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M:\Financial-Management-Capital-Strategy\1.M.A.T\Corporate Monitoring\2024-25\06 September 2024\Appendices &amp; Supporting Information\"/>
    </mc:Choice>
  </mc:AlternateContent>
  <xr:revisionPtr revIDLastSave="0" documentId="13_ncr:1_{ACADE389-E82B-494E-AD2C-C026A3F0FBF4}" xr6:coauthVersionLast="47" xr6:coauthVersionMax="47" xr10:uidLastSave="{00000000-0000-0000-0000-000000000000}"/>
  <bookViews>
    <workbookView xWindow="-110" yWindow="-110" windowWidth="19420" windowHeight="10420" firstSheet="34" activeTab="34" xr2:uid="{00000000-000D-0000-FFFF-FFFF00000000}"/>
  </bookViews>
  <sheets>
    <sheet name="Appendix A (updated 24.06)" sheetId="1" state="hidden" r:id="rId1"/>
    <sheet name="Appendix A (Original)" sheetId="2" state="hidden" r:id="rId2"/>
    <sheet name="Comments Feeder" sheetId="30" state="hidden" r:id="rId3"/>
    <sheet name="_control" sheetId="3" state="hidden" r:id="rId4"/>
    <sheet name="Comments" sheetId="4" state="hidden" r:id="rId5"/>
    <sheet name="Virements" sheetId="5" state="hidden" r:id="rId6"/>
    <sheet name="old Comments Feeder" sheetId="6" state="hidden" r:id="rId7"/>
    <sheet name="COVID" sheetId="7" state="hidden" r:id="rId8"/>
    <sheet name="Appendix A 040722" sheetId="21" state="hidden" r:id="rId9"/>
    <sheet name="Appendix A 0407" sheetId="22" state="hidden" r:id="rId10"/>
    <sheet name="Grants" sheetId="23" state="hidden" r:id="rId11"/>
    <sheet name="Car parking" sheetId="24" state="hidden" r:id="rId12"/>
    <sheet name="Appendix A 0607" sheetId="25" state="hidden" r:id="rId13"/>
    <sheet name="Sheet2" sheetId="26" state="hidden" r:id="rId14"/>
    <sheet name="OX-1002860 1002859" sheetId="8" state="hidden" r:id="rId15"/>
    <sheet name="september Appendix A for report" sheetId="9" state="hidden" r:id="rId16"/>
    <sheet name="COVID sept" sheetId="10" state="hidden" r:id="rId17"/>
    <sheet name="_options" sheetId="11" state="hidden" r:id="rId18"/>
    <sheet name="Template" sheetId="12" state="hidden" r:id="rId19"/>
    <sheet name="Appendix EX" sheetId="55" state="hidden" r:id="rId20"/>
    <sheet name="COVID 19" sheetId="13" state="hidden" r:id="rId21"/>
    <sheet name="All transactions" sheetId="14" state="hidden" r:id="rId22"/>
    <sheet name="pivot" sheetId="15" state="hidden" r:id="rId23"/>
    <sheet name="AJ all trans" sheetId="16" state="hidden" r:id="rId24"/>
    <sheet name="planning" sheetId="17" state="hidden" r:id="rId25"/>
    <sheet name="COVID 19 " sheetId="18" state="hidden" r:id="rId26"/>
    <sheet name="COVID 19)" sheetId="19" state="hidden" r:id="rId27"/>
    <sheet name="COVID 19  (2)" sheetId="20" state="hidden" r:id="rId28"/>
    <sheet name="old Appendix A" sheetId="28" state="hidden" r:id="rId29"/>
    <sheet name="Last Appendix A" sheetId="29" state="hidden" r:id="rId30"/>
    <sheet name="Appendix A 240227" sheetId="31" state="hidden" r:id="rId31"/>
    <sheet name="Appendix A 240321" sheetId="32" state="hidden" r:id="rId32"/>
    <sheet name="Appendix A 21.03" sheetId="33" state="hidden" r:id="rId33"/>
    <sheet name="Appendix A 12.04" sheetId="37" state="hidden" r:id="rId34"/>
    <sheet name="Appendix A" sheetId="56"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3" hidden="1">'AJ all trans'!$A$1:$M$2441</definedName>
    <definedName name="_xlnm._FilterDatabase" localSheetId="21" hidden="1">'All transactions'!$A$1:$L$8964</definedName>
    <definedName name="_xlnm._FilterDatabase" localSheetId="19" hidden="1">'Appendix EX'!$A$1:$A$4313</definedName>
    <definedName name="_xlnm._FilterDatabase" localSheetId="25" hidden="1">'COVID 19 '!$A$6:$Z$35</definedName>
    <definedName name="_xlnm._FilterDatabase" localSheetId="27" hidden="1">'COVID 19  (2)'!$A$6:$Z$35</definedName>
    <definedName name="_xlnm._FilterDatabase" localSheetId="26" hidden="1">'COVID 19)'!$A$6:$Z$35</definedName>
    <definedName name="_xlnm._FilterDatabase" localSheetId="16" hidden="1">'COVID sept'!$A$6:$Z$35</definedName>
    <definedName name="_xlnm._FilterDatabase" localSheetId="18" hidden="1">Template!$A$1:$A$4220</definedName>
    <definedName name="_GoBack" localSheetId="4">Comments!$F$139</definedName>
    <definedName name="_Hlk179983188">Comments!$F$112</definedName>
    <definedName name="_NI992">'[1]NI Calcs'!$A$11:$EW$22</definedName>
    <definedName name="acc">[2]!acc</definedName>
    <definedName name="ACCOUNTS">[3]Lookups!$D$1:$D$1044</definedName>
    <definedName name="ALPHA">[3]Lookups!$A$2:$B$27</definedName>
    <definedName name="APPB">'[4]Appendix B'!$A:$S</definedName>
    <definedName name="Appraisal1">'[5]List Imported'!$F$8:$F$54</definedName>
    <definedName name="Appraisal2">'[5]List Imported'!$D$8:$D$54</definedName>
    <definedName name="Archetype">'[5]Repairs &amp; Maint. Assumptions'!$A$20:$A$24</definedName>
    <definedName name="ArchSt1">'[5]Repairs &amp; Maint. Assumptions'!$C$20</definedName>
    <definedName name="ArchSt2">'[5]Repairs &amp; Maint. Assumptions'!$C$21</definedName>
    <definedName name="ArchSt3">'[5]Repairs &amp; Maint. Assumptions'!$C$22</definedName>
    <definedName name="ArchSt4">'[5]Repairs &amp; Maint. Assumptions'!$C$23</definedName>
    <definedName name="ArchSt5">'[5]Repairs &amp; Maint. Assumptions'!$C$24</definedName>
    <definedName name="AssetCover">'[5]Covenant Assumptions'!$D$6</definedName>
    <definedName name="BCProfile">'[5]Hidden - Lookup Lists'!$H$6:$H$8</definedName>
    <definedName name="BSAccLookup">'[5]Hidden - Lookup Lists'!$R$6:$R$7</definedName>
    <definedName name="BSCshLookup">'[5]Hidden - Lookup Lists'!$T$6:$T$14</definedName>
    <definedName name="BuildCostIn">'[5]Development BP Assumptions'!$G$105:$U$105</definedName>
    <definedName name="BuildCostProfIn">'[5]Development BP Assumptions'!$G$100:$U$100</definedName>
    <definedName name="BuildCostW">'[5]Development BP Assumptions'!$G$144:$U$144</definedName>
    <definedName name="BuildDaysW">'[5]Development Capital'!$G$128:$U$128</definedName>
    <definedName name="CapExpCodes">'[5]FFR Key Defn'!$C$34:$C$43</definedName>
    <definedName name="CapIncCodes">'[5]FFR Key Defn'!$C$23:$C$30</definedName>
    <definedName name="CapIntCoExpCodes">'[5]FFR Key Defn'!$C$34:$C$45</definedName>
    <definedName name="CapIntCoIncCodes">'[5]FFR Key Defn'!$C$23:$C$32</definedName>
    <definedName name="CapitalIntYesNo">'[5]Development BP Assumptions'!$G$111:$U$111</definedName>
    <definedName name="CapSerChg">'[5]FFR Key Defn'!$C$24:$C$25</definedName>
    <definedName name="CC">[3]Lookups!$F$1:$F$1231</definedName>
    <definedName name="ChartDataRange" localSheetId="34">ChartData:OFFSET(ChartData,0,ChartOffset-1)</definedName>
    <definedName name="ChartDataRange" localSheetId="1">ChartData:OFFSET(ChartData,0,ChartOffset-1)</definedName>
    <definedName name="ChartDataRange" localSheetId="0">ChartData:OFFSET(ChartData,0,ChartOffset-1)</definedName>
    <definedName name="ChartDataRange" localSheetId="9">ChartData:OFFSET(ChartData,0,ChartOffset-1)</definedName>
    <definedName name="ChartDataRange" localSheetId="8">ChartData:OFFSET(ChartData,0,ChartOffset-1)</definedName>
    <definedName name="ChartDataRange" localSheetId="12">ChartData:OFFSET(ChartData,0,ChartOffset-1)</definedName>
    <definedName name="ChartDataRange" localSheetId="33">ChartData:OFFSET(ChartData,0,ChartOffset-1)</definedName>
    <definedName name="ChartDataRange" localSheetId="32">ChartData:OFFSET(ChartData,0,ChartOffset-1)</definedName>
    <definedName name="ChartDataRange" localSheetId="30">ChartData:OFFSET(ChartData,0,ChartOffset-1)</definedName>
    <definedName name="ChartDataRange" localSheetId="31">ChartData:OFFSET(ChartData,0,ChartOffset-1)</definedName>
    <definedName name="ChartDataRange" localSheetId="19">ChartData:OFFSET(ChartData,0,ChartOffset-1)</definedName>
    <definedName name="ChartDataRange" localSheetId="2">ChartData:OFFSET(ChartData,0,ChartOffset-1)</definedName>
    <definedName name="ChartDataRange" localSheetId="25">ChartData:OFFSET(ChartData,0,ChartOffset-1)</definedName>
    <definedName name="ChartDataRange" localSheetId="27">ChartData:OFFSET(ChartData,0,ChartOffset-1)</definedName>
    <definedName name="ChartDataRange" localSheetId="26">ChartData:OFFSET(ChartData,0,ChartOffset-1)</definedName>
    <definedName name="ChartDataRange" localSheetId="16">ChartData:OFFSET(ChartData,0,ChartOffset-1)</definedName>
    <definedName name="ChartDataRange" localSheetId="29">ChartData:OFFSET(ChartData,0,ChartOffset-1)</definedName>
    <definedName name="ChartDataRange" localSheetId="28">ChartData:OFFSET(ChartData,0,ChartOffset-1)</definedName>
    <definedName name="ChartDataRange" localSheetId="6">ChartData:OFFSET(ChartData,0,ChartOffset-1)</definedName>
    <definedName name="ChartDataRange" localSheetId="15">ChartData:OFFSET(ChartData,0,ChartOffset-1)</definedName>
    <definedName name="ChartDataRange">ChartData:OFFSET(ChartData,0,ChartOffset-1)</definedName>
    <definedName name="ChartLegRange" localSheetId="34">ChartLeg:OFFSET(ChartLeg,0,ChartOffset-1)</definedName>
    <definedName name="ChartLegRange" localSheetId="1">ChartLeg:OFFSET(ChartLeg,0,ChartOffset-1)</definedName>
    <definedName name="ChartLegRange" localSheetId="0">ChartLeg:OFFSET(ChartLeg,0,ChartOffset-1)</definedName>
    <definedName name="ChartLegRange" localSheetId="9">ChartLeg:OFFSET(ChartLeg,0,ChartOffset-1)</definedName>
    <definedName name="ChartLegRange" localSheetId="8">ChartLeg:OFFSET(ChartLeg,0,ChartOffset-1)</definedName>
    <definedName name="ChartLegRange" localSheetId="12">ChartLeg:OFFSET(ChartLeg,0,ChartOffset-1)</definedName>
    <definedName name="ChartLegRange" localSheetId="33">ChartLeg:OFFSET(ChartLeg,0,ChartOffset-1)</definedName>
    <definedName name="ChartLegRange" localSheetId="32">ChartLeg:OFFSET(ChartLeg,0,ChartOffset-1)</definedName>
    <definedName name="ChartLegRange" localSheetId="30">ChartLeg:OFFSET(ChartLeg,0,ChartOffset-1)</definedName>
    <definedName name="ChartLegRange" localSheetId="31">ChartLeg:OFFSET(ChartLeg,0,ChartOffset-1)</definedName>
    <definedName name="ChartLegRange" localSheetId="19">ChartLeg:OFFSET(ChartLeg,0,ChartOffset-1)</definedName>
    <definedName name="ChartLegRange" localSheetId="2">ChartLeg:OFFSET(ChartLeg,0,ChartOffset-1)</definedName>
    <definedName name="ChartLegRange" localSheetId="25">ChartLeg:OFFSET(ChartLeg,0,ChartOffset-1)</definedName>
    <definedName name="ChartLegRange" localSheetId="27">ChartLeg:OFFSET(ChartLeg,0,ChartOffset-1)</definedName>
    <definedName name="ChartLegRange" localSheetId="26">ChartLeg:OFFSET(ChartLeg,0,ChartOffset-1)</definedName>
    <definedName name="ChartLegRange" localSheetId="16">ChartLeg:OFFSET(ChartLeg,0,ChartOffset-1)</definedName>
    <definedName name="ChartLegRange" localSheetId="29">ChartLeg:OFFSET(ChartLeg,0,ChartOffset-1)</definedName>
    <definedName name="ChartLegRange" localSheetId="28">ChartLeg:OFFSET(ChartLeg,0,ChartOffset-1)</definedName>
    <definedName name="ChartLegRange" localSheetId="6">ChartLeg:OFFSET(ChartLeg,0,ChartOffset-1)</definedName>
    <definedName name="ChartLegRange" localSheetId="15">ChartLeg:OFFSET(ChartLeg,0,ChartOffset-1)</definedName>
    <definedName name="ChartLegRange">ChartLeg:OFFSET(ChartLeg,0,ChartOffset-1)</definedName>
    <definedName name="ChartRange" localSheetId="34">ChartData:OFFSET(ChartData,0,ChartOffset-1)</definedName>
    <definedName name="ChartRange" localSheetId="1">ChartData:OFFSET(ChartData,0,ChartOffset-1)</definedName>
    <definedName name="ChartRange" localSheetId="0">ChartData:OFFSET(ChartData,0,ChartOffset-1)</definedName>
    <definedName name="ChartRange" localSheetId="9">ChartData:OFFSET(ChartData,0,ChartOffset-1)</definedName>
    <definedName name="ChartRange" localSheetId="8">ChartData:OFFSET(ChartData,0,ChartOffset-1)</definedName>
    <definedName name="ChartRange" localSheetId="12">ChartData:OFFSET(ChartData,0,ChartOffset-1)</definedName>
    <definedName name="ChartRange" localSheetId="33">ChartData:OFFSET(ChartData,0,ChartOffset-1)</definedName>
    <definedName name="ChartRange" localSheetId="32">ChartData:OFFSET(ChartData,0,ChartOffset-1)</definedName>
    <definedName name="ChartRange" localSheetId="30">ChartData:OFFSET(ChartData,0,ChartOffset-1)</definedName>
    <definedName name="ChartRange" localSheetId="31">ChartData:OFFSET(ChartData,0,ChartOffset-1)</definedName>
    <definedName name="ChartRange" localSheetId="19">ChartData:OFFSET(ChartData,0,ChartOffset-1)</definedName>
    <definedName name="ChartRange" localSheetId="2">ChartData:OFFSET(ChartData,0,ChartOffset-1)</definedName>
    <definedName name="ChartRange" localSheetId="25">ChartData:OFFSET(ChartData,0,ChartOffset-1)</definedName>
    <definedName name="ChartRange" localSheetId="27">ChartData:OFFSET(ChartData,0,ChartOffset-1)</definedName>
    <definedName name="ChartRange" localSheetId="26">ChartData:OFFSET(ChartData,0,ChartOffset-1)</definedName>
    <definedName name="ChartRange" localSheetId="16">ChartData:OFFSET(ChartData,0,ChartOffset-1)</definedName>
    <definedName name="ChartRange" localSheetId="29">ChartData:OFFSET(ChartData,0,ChartOffset-1)</definedName>
    <definedName name="ChartRange" localSheetId="28">ChartData:OFFSET(ChartData,0,ChartOffset-1)</definedName>
    <definedName name="ChartRange" localSheetId="6">ChartData:OFFSET(ChartData,0,ChartOffset-1)</definedName>
    <definedName name="ChartRange" localSheetId="15">ChartData:OFFSET(ChartData,0,ChartOffset-1)</definedName>
    <definedName name="ChartRange">ChartData:OFFSET(ChartData,0,ChartOffset-1)</definedName>
    <definedName name="Ck_Cap_Exp">'[5]Capital Expenditure Assumptions'!$B$5</definedName>
    <definedName name="Ck_Cash_Jnl">'[5]Cash Journals'!$D$5</definedName>
    <definedName name="Ck_Conv_Disp">'[5]Stock Conversion Assumptions'!$C$5</definedName>
    <definedName name="Ck_Eco_Assump">'[5]Economic Assumptions'!$D$5</definedName>
    <definedName name="Ck_Int_Exp">'[5]Intercompany Expend Assumptions'!$D$5</definedName>
    <definedName name="Ck_Int_Inc">'[5]Intercompany Income Assumptions'!$D$5</definedName>
    <definedName name="Ck_Jnl_Ass">'[5]Journal Assumptions'!$C$5</definedName>
    <definedName name="Ck_Mgt_costs">'[5]Management Costs Assumptions'!$E$5</definedName>
    <definedName name="Ck_Non_Ten_Cap">'[5]Non Tenure Capital Assumptions'!$B$5</definedName>
    <definedName name="Ck_Oth_Inc_Ass">'[5]Other Income Assumptions'!$C$5</definedName>
    <definedName name="Ck_Rep_Rephasing">'[5]Repairs &amp; Maint. Rephasing'!$D$6</definedName>
    <definedName name="Ck_Serv_Chge">'[5]Service Charge Assumptions'!$C$5</definedName>
    <definedName name="Ck_Spec_Inc_Ass">'[5]Specific Income Assumptions'!$C$5</definedName>
    <definedName name="Ck_Stk_Disp">'[5]Stock Disposal Assumptions'!$C$5</definedName>
    <definedName name="CMCats">'[5]FFR Key Defn'!$C$12:$C$20</definedName>
    <definedName name="CMStkCats">'[5]FFR Key Defn'!$F$12:$F$18</definedName>
    <definedName name="CommFeeMethod" localSheetId="25">'[6]Hidden - Lookup Lists'!$O$6:$O$7</definedName>
    <definedName name="CommFeeMethod" localSheetId="27">'[6]Hidden - Lookup Lists'!$O$6:$O$7</definedName>
    <definedName name="CommFeeMethod" localSheetId="26">'[6]Hidden - Lookup Lists'!$O$6:$O$7</definedName>
    <definedName name="CommFeeMethod" localSheetId="16">'[6]Hidden - Lookup Lists'!$O$6:$O$7</definedName>
    <definedName name="CommFeeMethod">'[6]Hidden - Lookup Lists'!$O$6:$O$7</definedName>
    <definedName name="CommRentIn">'[5]Development BP Assumptions'!$G$62:$U$62</definedName>
    <definedName name="CompletionMethodW" localSheetId="25">'[6]Development BP Assumptions'!$G$39:$U$39</definedName>
    <definedName name="CompletionMethodW" localSheetId="27">'[6]Development BP Assumptions'!$G$39:$U$39</definedName>
    <definedName name="CompletionMethodW" localSheetId="26">'[6]Development BP Assumptions'!$G$39:$U$39</definedName>
    <definedName name="CompletionMethodW" localSheetId="16">'[6]Development BP Assumptions'!$G$39:$U$39</definedName>
    <definedName name="CompletionMethodW">'[6]Development BP Assumptions'!$G$39:$U$39</definedName>
    <definedName name="CompletionProfile" localSheetId="25">'[6]Hidden - Lookup Lists'!$H$6:$H$7</definedName>
    <definedName name="CompletionProfile" localSheetId="27">'[6]Hidden - Lookup Lists'!$H$6:$H$7</definedName>
    <definedName name="CompletionProfile" localSheetId="26">'[6]Hidden - Lookup Lists'!$H$6:$H$7</definedName>
    <definedName name="CompletionProfile" localSheetId="16">'[6]Hidden - Lookup Lists'!$H$6:$H$7</definedName>
    <definedName name="CompletionProfile">'[6]Hidden - Lookup Lists'!$H$6:$H$7</definedName>
    <definedName name="ConsolOption">'[5]Development Consol Options'!$I$11</definedName>
    <definedName name="ConstructionTotal" localSheetId="1">'[7]Building 2'!#REF!</definedName>
    <definedName name="ConstructionTotal" localSheetId="0">'[7]Building 2'!#REF!</definedName>
    <definedName name="ConstructionTotal" localSheetId="9">'[7]Building 2'!#REF!</definedName>
    <definedName name="ConstructionTotal" localSheetId="8">'[7]Building 2'!#REF!</definedName>
    <definedName name="ConstructionTotal" localSheetId="12">'[7]Building 2'!#REF!</definedName>
    <definedName name="ConstructionTotal" localSheetId="25">'[7]Building 2'!#REF!</definedName>
    <definedName name="ConstructionTotal" localSheetId="27">'[7]Building 2'!#REF!</definedName>
    <definedName name="ConstructionTotal" localSheetId="26">'[7]Building 2'!#REF!</definedName>
    <definedName name="ConstructionTotal" localSheetId="16">'[7]Building 2'!#REF!</definedName>
    <definedName name="ConstructionTotal" localSheetId="6">'[7]Building 2'!#REF!</definedName>
    <definedName name="ConstructionTotal" localSheetId="15">'[7]Building 2'!#REF!</definedName>
    <definedName name="ConstructionTotal">'[7]Building 2'!#REF!</definedName>
    <definedName name="ConversionType">'[5]Hidden - Lookup Lists'!$K$6:$K$7</definedName>
    <definedName name="Corporate">'[8]drop-down list'!$A$2:$A$9</definedName>
    <definedName name="CostCats">'[5]Management Costs Assumptions'!$B$7:$B$14</definedName>
    <definedName name="CostDrivers">'[5]Management Cost Drivers'!$C$7:$Z$7</definedName>
    <definedName name="CostValuationW">'[5]Development BP Assumptions'!$G$221:$U$221</definedName>
    <definedName name="CovenantDashboard">'[5]Covenant Assumptions'!$D$6:$F$6</definedName>
    <definedName name="CovenantSelector">'[5]Funding Dashboard'!$R$6</definedName>
    <definedName name="CovenantYearSelector">'[5]Funding Dashboard'!$V$6</definedName>
    <definedName name="CshJnlLookup">'[5]Hidden - Lookup Lists'!$P$6:$P$28</definedName>
    <definedName name="data1">[9]Sheet1!$A$4:$E$7</definedName>
    <definedName name="Date01">'[5]Funding Assumptions'!$B$56:$B$66</definedName>
    <definedName name="Date01a">'[5]Funding Assumptions'!$A$69:$A$79</definedName>
    <definedName name="Date02">'[5]Funding Assumptions'!$B$85:$B$100</definedName>
    <definedName name="Date03">'[5]Funding Assumptions'!$A$104:$A$119</definedName>
    <definedName name="Date04">'[5]Funding Assumptions'!$B$145:$B$150</definedName>
    <definedName name="Date05">'[5]Funding Assumptions'!$B$158:$B$163</definedName>
    <definedName name="Date06">'[5]Funding Assumptions'!$B$168:$B$172</definedName>
    <definedName name="Date07">'[5]Funding Assumptions'!$E$139:$R$139</definedName>
    <definedName name="Date08">'[5]Funding Assumptions'!$E$153:$R$153</definedName>
    <definedName name="Date09">'[5]Funding Assumptions'!$B$271:$B$310</definedName>
    <definedName name="Date10">'[5]Funding Assumptions'!$E$176:$R$176</definedName>
    <definedName name="Date11">'[5]Funding Assumptions'!$G$13:$G$33</definedName>
    <definedName name="Date12">'[5]Funding Assumptions'!$B$215:$B$225</definedName>
    <definedName name="Date13">'[5]Funding Assumptions'!$B$230:$B$235</definedName>
    <definedName name="Date14">'[5]Funding Assumptions'!$B$239:$B$244</definedName>
    <definedName name="Date15">'[5]Funding Assumptions'!$E$125:$R$125</definedName>
    <definedName name="Date16">'[5]Funding Assumptions'!$E$127:$R$127</definedName>
    <definedName name="Date17">'[5]Funding Assumptions'!$B$187:$B$191</definedName>
    <definedName name="Date18">'[5]Funding Assumptions'!$B$250:$B$255</definedName>
    <definedName name="Date19">'[5]Funding Assumptions'!$B$258:$B$261</definedName>
    <definedName name="Date20">'[5]Funding Assumptions'!$E$181:$R$181</definedName>
    <definedName name="Date21">'[5]Funding Assumptions'!$E$182:$R$182</definedName>
    <definedName name="Date22">'[5]Funding Assumptions'!$B$265:$B$268</definedName>
    <definedName name="DateCompletedIn">'[5]Development BP Assumptions'!$G$46:$U$46</definedName>
    <definedName name="DateCompletedInFrom">'[5]Development BP Assumptions'!$G$45:$U$45</definedName>
    <definedName name="DateInterF01">'[5]Interco Funding Assumptions'!$A$14:$A$18</definedName>
    <definedName name="DateInterF02">'[5]Interco Funding Assumptions'!$A$23:$A$27</definedName>
    <definedName name="DateInterF03">'[5]Interco Funding Assumptions'!$A$32:$A$36</definedName>
    <definedName name="DateOfSwitchIn">'[5]Development BP Assumptions'!$G$69:$U$69</definedName>
    <definedName name="DatePurchaseIn">'[5]Development BP Assumptions'!$G$42:$U$42</definedName>
    <definedName name="DatePurchaseInFrom">'[5]Development BP Assumptions'!$G$41:$U$41</definedName>
    <definedName name="Dates" localSheetId="34">DevCostDates,StCaseDates,SODates,DevIncDates,StMgtDates,MthStDates,YrStDates,DevSimCostDates</definedName>
    <definedName name="Dates" localSheetId="1">DevCostDates,StCaseDates,SODates,DevIncDates,StMgtDates,MthStDates,YrStDates,DevSimCostDates</definedName>
    <definedName name="Dates" localSheetId="0">DevCostDates,StCaseDates,SODates,DevIncDates,StMgtDates,MthStDates,YrStDates,DevSimCostDates</definedName>
    <definedName name="Dates" localSheetId="9">DevCostDates,StCaseDates,SODates,DevIncDates,StMgtDates,MthStDates,YrStDates,DevSimCostDates</definedName>
    <definedName name="Dates" localSheetId="8">DevCostDates,StCaseDates,SODates,DevIncDates,StMgtDates,MthStDates,YrStDates,DevSimCostDates</definedName>
    <definedName name="Dates" localSheetId="12">DevCostDates,StCaseDates,SODates,DevIncDates,StMgtDates,MthStDates,YrStDates,DevSimCostDates</definedName>
    <definedName name="Dates" localSheetId="33">DevCostDates,StCaseDates,SODates,DevIncDates,StMgtDates,MthStDates,YrStDates,DevSimCostDates</definedName>
    <definedName name="Dates" localSheetId="32">DevCostDates,StCaseDates,SODates,DevIncDates,StMgtDates,MthStDates,YrStDates,DevSimCostDates</definedName>
    <definedName name="Dates" localSheetId="30">DevCostDates,StCaseDates,SODates,DevIncDates,StMgtDates,MthStDates,YrStDates,DevSimCostDates</definedName>
    <definedName name="Dates" localSheetId="31">DevCostDates,StCaseDates,SODates,DevIncDates,StMgtDates,MthStDates,YrStDates,DevSimCostDates</definedName>
    <definedName name="Dates" localSheetId="19">DevCostDates,StCaseDates,SODates,DevIncDates,StMgtDates,MthStDates,YrStDates,DevSimCostDates</definedName>
    <definedName name="Dates" localSheetId="2">DevCostDates,StCaseDates,SODates,DevIncDates,StMgtDates,MthStDates,YrStDates,DevSimCostDates</definedName>
    <definedName name="Dates" localSheetId="25">DevCostDates,StCaseDates,SODates,DevIncDates,StMgtDates,MthStDates,YrStDates,DevSimCostDates</definedName>
    <definedName name="Dates" localSheetId="27">DevCostDates,StCaseDates,SODates,DevIncDates,StMgtDates,MthStDates,YrStDates,DevSimCostDates</definedName>
    <definedName name="Dates" localSheetId="26">DevCostDates,StCaseDates,SODates,DevIncDates,StMgtDates,MthStDates,YrStDates,DevSimCostDates</definedName>
    <definedName name="Dates" localSheetId="16">DevCostDates,StCaseDates,SODates,DevIncDates,StMgtDates,MthStDates,YrStDates,DevSimCostDates</definedName>
    <definedName name="Dates" localSheetId="29">DevCostDates,StCaseDates,SODates,DevIncDates,StMgtDates,MthStDates,YrStDates,DevSimCostDates</definedName>
    <definedName name="Dates" localSheetId="28">DevCostDates,StCaseDates,SODates,DevIncDates,StMgtDates,MthStDates,YrStDates,DevSimCostDates</definedName>
    <definedName name="Dates" localSheetId="6">DevCostDates,StCaseDates,SODates,DevIncDates,StMgtDates,MthStDates,YrStDates,DevSimCostDates</definedName>
    <definedName name="Dates" localSheetId="15">DevCostDates,StCaseDates,SODates,DevIncDates,StMgtDates,MthStDates,YrStDates,DevSimCostDates</definedName>
    <definedName name="Dates">DevCostDates,StCaseDates,SODates,DevIncDates,StMgtDates,MthStDates,YrStDates,DevSimCostDates</definedName>
    <definedName name="DateSalesReceiptIn">'[5]Development BP Assumptions'!$G$75:$U$75</definedName>
    <definedName name="DateSalesReceiptInFrom">'[5]Development BP Assumptions'!$G$74:$U$74</definedName>
    <definedName name="DateSoSIn">'[5]Development BP Assumptions'!$G$44:$U$44</definedName>
    <definedName name="DateSoSInFrom">'[5]Development BP Assumptions'!$G$43:$U$43</definedName>
    <definedName name="DateUnitsMgmtIn">'[5]Development BP Assumptions'!$G$48:$U$48</definedName>
    <definedName name="DateUnitsMgmtInFrom">'[5]Development BP Assumptions'!$G$47:$U$47</definedName>
    <definedName name="Debt_Unit">'[5]Covenant Assumptions'!$G$6</definedName>
    <definedName name="DelaySale">'[5]OW - Multivariable Factors'!$AF$11</definedName>
    <definedName name="Delete_lnk">[5]Lists!$C$10</definedName>
    <definedName name="DepnType">'[5]Housing Asset Assumptions'!$D$6:$H$6</definedName>
    <definedName name="Development_Capital_Headings">'[5]Hidden - Development Navigation'!$B$8:$B$23</definedName>
    <definedName name="Development_Expenditure_Headings">'[5]Hidden - Development Navigation'!$D$8:$D$14</definedName>
    <definedName name="Development_Revenue_Headings">'[5]Hidden - Development Navigation'!$C$8:$C$13</definedName>
    <definedName name="Development_Stock_Headings">'[5]Hidden - Development Navigation'!$A$8:$A$11</definedName>
    <definedName name="DevScroll">'[5]Development Revenue'!$C$7</definedName>
    <definedName name="DisplayFacility">'[5]Funding Dashboard'!$I$6</definedName>
    <definedName name="DisplayFunder">'[5]Funding Dashboard'!$D$6</definedName>
    <definedName name="DisposalType">'[5]Hidden - Lookup Lists'!$J$6:$J$9</definedName>
    <definedName name="Dvpt_NonCash_Headings">'[5]Hidden - Development Navigation'!$E$8:$E$56</definedName>
    <definedName name="DvptAdmin">'[5]Development Consol Options'!$H$14</definedName>
    <definedName name="DvptBasisHsgPropW">'[5]Development BP Assumptions'!$G$226:$U$226</definedName>
    <definedName name="DvptCompReplaceYesNo">'[5]Development BP Assumptions'!$G$261:$U$261</definedName>
    <definedName name="DvptDates">'[5]Hidden - Year Table'!$AU$7:$AU$101</definedName>
    <definedName name="DvptDatesFund">'[5]Funding Assumptions'!$A$313:$A$407</definedName>
    <definedName name="DvptDatesYearly">'[5]Hidden - Year Table'!$AU$67:$AU$101</definedName>
    <definedName name="DvptDuration">'[5]Development Consol Options'!$H$15</definedName>
    <definedName name="DvptHsgPropW">'[5]Development BP Assumptions'!$G$223:$U$223</definedName>
    <definedName name="DvptHsgPropWSchemeCashflowSelector">'[5]Development BP Assumptions'!$G$224:$U$224</definedName>
    <definedName name="DvptMethods">'[5]Hidden - Lookup Lists'!$A$6:$A$9</definedName>
    <definedName name="DvptMethodsIn">'[5]Development BP Assumptions'!$G$103:$U$103</definedName>
    <definedName name="DvptMultiYearDates" localSheetId="25">'[6]Hidden - Year Table'!$BE$6:$BE$45</definedName>
    <definedName name="DvptMultiYearDates" localSheetId="27">'[6]Hidden - Year Table'!$BE$6:$BE$45</definedName>
    <definedName name="DvptMultiYearDates" localSheetId="26">'[6]Hidden - Year Table'!$BE$6:$BE$45</definedName>
    <definedName name="DvptMultiYearDates" localSheetId="16">'[6]Hidden - Year Table'!$BE$6:$BE$45</definedName>
    <definedName name="DvptMultiYearDates">'[6]Hidden - Year Table'!$BE$6:$BE$45</definedName>
    <definedName name="DvtCon10">'[5]Development Consol Options'!$E$52</definedName>
    <definedName name="DvtCon11">'[5]Development Consol Options'!$E$53</definedName>
    <definedName name="DvtCon12">'[5]Development Consol Options'!$E$54</definedName>
    <definedName name="DvtCon4">'[5]Development Consol Options'!$E$46</definedName>
    <definedName name="DvtCon5">'[5]Development Consol Options'!$E$47</definedName>
    <definedName name="DvtCon6">'[5]Development Consol Options'!$E$48</definedName>
    <definedName name="DvtCon7">'[5]Development Consol Options'!$E$49</definedName>
    <definedName name="DvtCon8">'[5]Development Consol Options'!$E$50</definedName>
    <definedName name="DvtCon9">'[5]Development Consol Options'!$E$51</definedName>
    <definedName name="EndDate">'[5]Hidden - Year Table'!$V$4</definedName>
    <definedName name="ExclUncommitDvpt">'[5]OW - Multivariable Factors'!$AE$11</definedName>
    <definedName name="Existing_assets">'[8]drop-down list'!$F$2:$F$8</definedName>
    <definedName name="f">FALSE</definedName>
    <definedName name="Facility">'[5]Funding Assumptions'!$D$37:$D$43</definedName>
    <definedName name="Facility2">'[5]Funding Assumptions'!$D$36:$D$43</definedName>
    <definedName name="FFRCondForm">'[5]FFR Key Defn'!$A$57:$A$63</definedName>
    <definedName name="FFRDebtType" localSheetId="25">'[6]Hidden - Lookup Lists'!$AB$6:$AB$7</definedName>
    <definedName name="FFRDebtType" localSheetId="27">'[6]Hidden - Lookup Lists'!$AB$6:$AB$7</definedName>
    <definedName name="FFRDebtType" localSheetId="26">'[6]Hidden - Lookup Lists'!$AB$6:$AB$7</definedName>
    <definedName name="FFRDebtType" localSheetId="16">'[6]Hidden - Lookup Lists'!$AB$6:$AB$7</definedName>
    <definedName name="FFRDebtType">'[6]Hidden - Lookup Lists'!$AB$6:$AB$7</definedName>
    <definedName name="FFROptions">'[5]FFR Key Defn'!$B$57:$B$63</definedName>
    <definedName name="FFRRangeName">'[5]FFR Key Defn'!$G$57:$G$63</definedName>
    <definedName name="Full_VAT">17.5%</definedName>
    <definedName name="FundDates" localSheetId="30">Date01,Date01a,Date02,Date03,Date04,Date05,Date06,Date07,Date08,Date09,Date10,Date11,Date12,Date13,Date14,Date15,Date16,Date17,Date18,Date19,Date20,Date21</definedName>
    <definedName name="FundDates" localSheetId="25">Date01,Date01a,Date02,Date03,Date04,Date05,Date06,Date07,Date08,Date09,Date10,Date11,Date12,Date13,Date14,Date15,Date16,Date17,Date18,Date19,Date20,Date21</definedName>
    <definedName name="FundDates" localSheetId="27">Date01,Date01a,Date02,Date03,Date04,Date05,Date06,Date07,Date08,Date09,Date10,Date11,Date12,Date13,Date14,Date15,Date16,Date17,Date18,Date19,Date20,Date21</definedName>
    <definedName name="FundDates" localSheetId="26">Date01,Date01a,Date02,Date03,Date04,Date05,Date06,Date07,Date08,Date09,Date10,Date11,Date12,Date13,Date14,Date15,Date16,Date17,Date18,Date19,Date20,Date21</definedName>
    <definedName name="FundDates" localSheetId="16">Date01,Date01a,Date02,Date03,Date04,Date05,Date06,Date07,Date08,Date09,Date10,Date11,Date12,Date13,Date14,Date15,Date16,Date17,Date18,Date19,Date20,Date21</definedName>
    <definedName name="FundDates">Date01,Date01a,Date02,Date03,Date04,Date05,Date06,Date07,Date08,Date09,Date10,Date11,Date12,Date13,Date14,Date15,Date16,Date17,Date18,Date19,Date20,Date21</definedName>
    <definedName name="FundDvptDates" localSheetId="30">Date01,Date01a,Date02,Date03,Date04,Date05,Date06,Date07,Date08,Date09,Date10,Date11,Date12,Date13,Date14,Date15,Date16,Date17,Date18,Date19,Date20,Date21,Date22,DvptDatesFund,InterCoDatesFund</definedName>
    <definedName name="FundDvptDates" localSheetId="25">Date01,Date01a,Date02,Date03,Date04,Date05,Date06,Date07,Date08,Date09,Date10,Date11,Date12,Date13,Date14,Date15,Date16,Date17,Date18,Date19,Date20,Date21,Date22,DvptDatesFund,InterCoDatesFund</definedName>
    <definedName name="FundDvptDates" localSheetId="27">Date01,Date01a,Date02,Date03,Date04,Date05,Date06,Date07,Date08,Date09,Date10,Date11,Date12,Date13,Date14,Date15,Date16,Date17,Date18,Date19,Date20,Date21,Date22,DvptDatesFund,InterCoDatesFund</definedName>
    <definedName name="FundDvptDates" localSheetId="26">Date01,Date01a,Date02,Date03,Date04,Date05,Date06,Date07,Date08,Date09,Date10,Date11,Date12,Date13,Date14,Date15,Date16,Date17,Date18,Date19,Date20,Date21,Date22,DvptDatesFund,InterCoDatesFund</definedName>
    <definedName name="FundDvptDates" localSheetId="16">Date01,Date01a,Date02,Date03,Date04,Date05,Date06,Date07,Date08,Date09,Date10,Date11,Date12,Date13,Date14,Date15,Date16,Date17,Date18,Date19,Date20,Date21,Date22,DvptDatesFund,InterCoDatesFund</definedName>
    <definedName name="FundDvptDates">Date01,Date01a,Date02,Date03,Date04,Date05,Date06,Date07,Date08,Date09,Date10,Date11,Date12,Date13,Date14,Date15,Date16,Date17,Date18,Date19,Date20,Date21,Date22,DvptDatesFund,InterCoDatesFund</definedName>
    <definedName name="Funders">'[5]Funding Assumptions'!$B$37:$B$43</definedName>
    <definedName name="Funders2">'[5]Funding Assumptions'!$B$36:$B$43</definedName>
    <definedName name="funding">'[8]drop-down list'!$D$2:$D$7</definedName>
    <definedName name="FundInterDates" localSheetId="30">DateInterF01,DateInterF02,DateInterF03</definedName>
    <definedName name="FundInterDates" localSheetId="25">DateInterF01,DateInterF02,DateInterF03</definedName>
    <definedName name="FundInterDates" localSheetId="27">DateInterF01,DateInterF02,DateInterF03</definedName>
    <definedName name="FundInterDates" localSheetId="26">DateInterF01,DateInterF02,DateInterF03</definedName>
    <definedName name="FundInterDates" localSheetId="16">DateInterF01,DateInterF02,DateInterF03</definedName>
    <definedName name="FundInterDates">DateInterF01,DateInterF02,DateInterF03</definedName>
    <definedName name="FundMonthDesc">'[5]Hidden - Year Table'!$BB$7:$BB$18</definedName>
    <definedName name="HATypeValueBasisW">'[5]Housing Asset Assumptions'!$D$12:$H$12</definedName>
    <definedName name="HAValueBasis">'[5]Housing Asset Assumptions'!$D$11:$H$11</definedName>
    <definedName name="HeadingTypeW">'[5]All Schemes BP Cashflow'!$E$7:$BB$7</definedName>
    <definedName name="HeadingTypeWSchemeCashflowSelector">'[5]BP Input Scheme Cashflows'!$E$9:$AN$9</definedName>
    <definedName name="HeadingW">'[5]Development BP Assumptions'!$G$26:$U$26</definedName>
    <definedName name="HeadingWSchemeCashflowSelector">'[5]Development BP Assumptions'!$G$27:$U$27</definedName>
    <definedName name="Heating_VAT">5%</definedName>
    <definedName name="Historic">'[4]Historic Costs'!$A$2:$I$268</definedName>
    <definedName name="HouseTypeIn">'[5]Development BP Assumptions'!$G$11:$U$11</definedName>
    <definedName name="HousingProperty">'[5]Hidden - Lookup Lists'!$V$6:$V$7</definedName>
    <definedName name="HsgProp">'[5]Hidden - Lookup Lists'!$V$6</definedName>
    <definedName name="ImpairmentDirect">'[5]Development BP Assumptions'!$D$212</definedName>
    <definedName name="ImportedSchemes">'[5]List Imported'!$A$8:$A$54</definedName>
    <definedName name="ImportMode1">'[5]Multivariable Planner'!$I$8</definedName>
    <definedName name="ImportMode2">'[5]Multivariable Planner'!$N$8</definedName>
    <definedName name="ImportMode3">'[5]Multivariable Planner'!$S$8</definedName>
    <definedName name="ImportMode4">'[5]Multivariable Planner'!$X$8</definedName>
    <definedName name="IncForMacRun">"No"</definedName>
    <definedName name="Income_Spend">'[5]Covenant Assumptions'!$F$6</definedName>
    <definedName name="InflateCapitalIn">'[5]Development BP Assumptions'!$G$19:$U$19</definedName>
    <definedName name="InflateCapitalSales">'[5]Development BP Assumptions'!$G$20:$U$20</definedName>
    <definedName name="InitialPercIn">'[5]Development BP Assumptions'!$G$132:$U$132</definedName>
    <definedName name="Input">'[5]Hidden - Lookup Lists'!$I$6</definedName>
    <definedName name="InstallTotal" localSheetId="1">'[7]Building 2'!#REF!</definedName>
    <definedName name="InstallTotal" localSheetId="0">'[7]Building 2'!#REF!</definedName>
    <definedName name="InstallTotal" localSheetId="9">'[7]Building 2'!#REF!</definedName>
    <definedName name="InstallTotal" localSheetId="8">'[7]Building 2'!#REF!</definedName>
    <definedName name="InstallTotal" localSheetId="12">'[7]Building 2'!#REF!</definedName>
    <definedName name="InstallTotal" localSheetId="25">'[7]Building 2'!#REF!</definedName>
    <definedName name="InstallTotal" localSheetId="27">'[7]Building 2'!#REF!</definedName>
    <definedName name="InstallTotal" localSheetId="26">'[7]Building 2'!#REF!</definedName>
    <definedName name="InstallTotal" localSheetId="16">'[7]Building 2'!#REF!</definedName>
    <definedName name="InstallTotal" localSheetId="6">'[7]Building 2'!#REF!</definedName>
    <definedName name="InstallTotal" localSheetId="15">'[7]Building 2'!#REF!</definedName>
    <definedName name="InstallTotal">'[7]Building 2'!#REF!</definedName>
    <definedName name="InterCoDatesFund">'[5]Funding Assumptions'!$A$411:$A$425</definedName>
    <definedName name="InterestCover">'[5]Covenant Assumptions'!$E$6</definedName>
    <definedName name="InterestPayFreq">'[5]Hidden - Lookup Lists'!$L$6:$L$10</definedName>
    <definedName name="InvtProp">'[5]Hidden - Lookup Lists'!$V$7</definedName>
    <definedName name="IPT">5%</definedName>
    <definedName name="IR_BPRepairReal">'[5]Economic Assumptions'!$A$169:$A$173</definedName>
    <definedName name="IR_Cap_Exp2">'[5]Capital Expenditure Assumptions'!$A$17:$A$31</definedName>
    <definedName name="IR_Cash_Journals">'[5]Cash Journals'!$A$9:$A$18</definedName>
    <definedName name="IR_DemCostReal">'[5]Economic Assumptions'!$A$190:$A$193</definedName>
    <definedName name="IR_DevMgtReal">'[5]Economic Assumptions'!$A$235:$A$239</definedName>
    <definedName name="IR_DevOtherReal">'[5]Economic Assumptions'!$A$257:$A$261</definedName>
    <definedName name="IR_DevRentReal">'[5]Economic Assumptions'!$A$202:$A$206</definedName>
    <definedName name="IR_DevRepairsReal">'[5]Economic Assumptions'!$A$246:$A$250</definedName>
    <definedName name="IR_DevServiceChg">'[5]Economic Assumptions'!$A$213:$A$217</definedName>
    <definedName name="IR_ExistRentReal">'[5]Economic Assumptions'!$A$32:$A$63</definedName>
    <definedName name="IR_FundFeesReal">'[5]Economic Assumptions'!$A$269:$A$273</definedName>
    <definedName name="IR_Intco_Exp1">'[5]Intercompany Expend Assumptions'!$A$7:$A$11</definedName>
    <definedName name="IR_Intco_Exp2">'[5]Intercompany Expend Assumptions'!$A$16:$A$30</definedName>
    <definedName name="IR_Intco_Inc_Ass1">'[5]Intercompany Income Assumptions'!$A$7:$A$11</definedName>
    <definedName name="IR_Intco_Inc_Ass2">'[5]Intercompany Income Assumptions'!$A$16:$A$30</definedName>
    <definedName name="IR_LeaseIncReal">'[5]Economic Assumptions'!$A$138:$A$141</definedName>
    <definedName name="IR_MvtWC">'[5]Cash Journals'!$A$24:$A$33</definedName>
    <definedName name="IR_NewRentReal">'[5]Economic Assumptions'!$A$69:$A$99</definedName>
    <definedName name="IR_NonTenCap_Exp2">'[5]Non Tenure Capital Assumptions'!$A$16:$A$25</definedName>
    <definedName name="IR_Oneoff_Cost_Ass">'[5]Management Costs Assumptions'!$A$61:$B$80</definedName>
    <definedName name="IR_Oth_Inc_Ass5">'[5]Other Income Assumptions'!$A$20:$A$28</definedName>
    <definedName name="IR_Oth_Inc_Ass6">'[5]Other Income Assumptions'!$A$34:$A$43</definedName>
    <definedName name="IR_OtherCostReal">'[5]Economic Assumptions'!$A$158:$A$162</definedName>
    <definedName name="IR_OtherExpReal">'[5]Economic Assumptions'!$A$180:$A$184</definedName>
    <definedName name="IR_OtherIncReal">'[5]Economic Assumptions'!$A$127:$A$131</definedName>
    <definedName name="IR_Rep_Rephase">'[5]Repairs &amp; Maint. Rephasing'!$A$10:$A$19</definedName>
    <definedName name="IR_RPI">'[5]Economic Assumptions'!$A$20:$A$24</definedName>
    <definedName name="IR_RPIRents">'[5]Economic Assumptions'!$A$10:$A$14</definedName>
    <definedName name="IR_RTBReal">'[5]Economic Assumptions'!$A$116:$A$120</definedName>
    <definedName name="IR_ServChg_01">'[5]Service Charge Assumptions'!$A$20:$A$23</definedName>
    <definedName name="IR_Spec_Inc_Ass1">'[5]Specific Income Assumptions'!$A$22:$A$26</definedName>
    <definedName name="IR_StaffCostReal">'[5]Economic Assumptions'!$A$148:$A$152</definedName>
    <definedName name="IR_Stock_Disp_Desc">'[5]Stock Disposal Assumptions'!$A$9:$H$23</definedName>
    <definedName name="IR_StockDispAss_01">'[5]Stock Conversion Assumptions'!$A$9:$A$18</definedName>
    <definedName name="IR_SuppService">'[5]Economic Assumptions'!$A$224:$A$228</definedName>
    <definedName name="JournalCats">'[5]Total Trial Balance'!$D$6:$CG$6</definedName>
    <definedName name="LandCostIn">'[5]Development BP Assumptions'!$G$104:$U$104</definedName>
    <definedName name="LandCostW">'[5]Development BP Assumptions'!$G$143:$U$143</definedName>
    <definedName name="LandPercIn">'[5]Development BP Assumptions'!$G$232:$U$232</definedName>
    <definedName name="LoanDate">'[5]Funding Assumptions'!A$132</definedName>
    <definedName name="LoanDebtExist" localSheetId="25">'[6]Hidden - Lookup Lists'!$AB$6</definedName>
    <definedName name="LoanDebtExist" localSheetId="27">'[6]Hidden - Lookup Lists'!$AB$6</definedName>
    <definedName name="LoanDebtExist" localSheetId="26">'[6]Hidden - Lookup Lists'!$AB$6</definedName>
    <definedName name="LoanDebtExist" localSheetId="16">'[6]Hidden - Lookup Lists'!$AB$6</definedName>
    <definedName name="LoanDebtExist">'[6]Hidden - Lookup Lists'!$AB$6</definedName>
    <definedName name="LoanDebtNew" localSheetId="25">'[6]Hidden - Lookup Lists'!$AB$7</definedName>
    <definedName name="LoanDebtNew" localSheetId="27">'[6]Hidden - Lookup Lists'!$AB$7</definedName>
    <definedName name="LoanDebtNew" localSheetId="26">'[6]Hidden - Lookup Lists'!$AB$7</definedName>
    <definedName name="LoanDebtNew" localSheetId="16">'[6]Hidden - Lookup Lists'!$AB$7</definedName>
    <definedName name="LoanDebtNew">'[6]Hidden - Lookup Lists'!$AB$7</definedName>
    <definedName name="LoanType">'[5]Funding Assumptions'!A$130</definedName>
    <definedName name="LoanTypeFix">'[5]Hidden - Lookup Lists'!$Y$6</definedName>
    <definedName name="LoanTypeVar">'[5]Hidden - Lookup Lists'!$Y$7</definedName>
    <definedName name="MacEndTime">'[5]Macro Duration'!$B$6</definedName>
    <definedName name="MacStartTime">'[5]Macro Duration'!$B$4</definedName>
    <definedName name="MarketValueIn">'[5]Development BP Assumptions'!$G$218:$U$218</definedName>
    <definedName name="MarketValueInConv">'[5]Development BP Assumptions'!$G$219:$U$219</definedName>
    <definedName name="MgtCap">'[5]Capitalisation Assumptions'!$E$18</definedName>
    <definedName name="MgtCapYr">'[5]Capitalisation Assumptions'!$E$19</definedName>
    <definedName name="Mode">"Business Plan"</definedName>
    <definedName name="MVIn">'[5]Development BP Assumptions'!$G$133:$U$133</definedName>
    <definedName name="MVInW">'[5]Development BP Assumptions'!$G$137:$U$137</definedName>
    <definedName name="narr">'[10]Header Sheet'!$B$16</definedName>
    <definedName name="new_revenue">'[8]drop-down list'!$E$2:$E$6</definedName>
    <definedName name="NILOW" localSheetId="1">[11]SCP!#REF!</definedName>
    <definedName name="NILOW" localSheetId="0">[11]SCP!#REF!</definedName>
    <definedName name="NILOW" localSheetId="9">[11]SCP!#REF!</definedName>
    <definedName name="NILOW" localSheetId="8">[11]SCP!#REF!</definedName>
    <definedName name="NILOW" localSheetId="12">[11]SCP!#REF!</definedName>
    <definedName name="NILOW" localSheetId="25">[11]SCP!#REF!</definedName>
    <definedName name="NILOW" localSheetId="27">[11]SCP!#REF!</definedName>
    <definedName name="NILOW" localSheetId="26">[11]SCP!#REF!</definedName>
    <definedName name="NILOW" localSheetId="16">[11]SCP!#REF!</definedName>
    <definedName name="NILOW" localSheetId="6">[11]SCP!#REF!</definedName>
    <definedName name="NILOW" localSheetId="15">[11]SCP!#REF!</definedName>
    <definedName name="NILOW">[11]SCP!#REF!</definedName>
    <definedName name="NILOWPER">'[12]SCP''s'!$E$174</definedName>
    <definedName name="NIPERLOW" localSheetId="1">[11]SCP!#REF!</definedName>
    <definedName name="NIPERLOW" localSheetId="0">[11]SCP!#REF!</definedName>
    <definedName name="NIPERLOW" localSheetId="9">[11]SCP!#REF!</definedName>
    <definedName name="NIPERLOW" localSheetId="8">[11]SCP!#REF!</definedName>
    <definedName name="NIPERLOW" localSheetId="12">[11]SCP!#REF!</definedName>
    <definedName name="NIPERLOW" localSheetId="25">[11]SCP!#REF!</definedName>
    <definedName name="NIPERLOW" localSheetId="27">[11]SCP!#REF!</definedName>
    <definedName name="NIPERLOW" localSheetId="26">[11]SCP!#REF!</definedName>
    <definedName name="NIPERLOW" localSheetId="16">[11]SCP!#REF!</definedName>
    <definedName name="NIPERLOW" localSheetId="6">[11]SCP!#REF!</definedName>
    <definedName name="NIPERLOW" localSheetId="15">[11]SCP!#REF!</definedName>
    <definedName name="NIPERLOW">[11]SCP!#REF!</definedName>
    <definedName name="NIPERUPPER" localSheetId="1">[11]SCP!#REF!</definedName>
    <definedName name="NIPERUPPER" localSheetId="0">[11]SCP!#REF!</definedName>
    <definedName name="NIPERUPPER" localSheetId="9">[11]SCP!#REF!</definedName>
    <definedName name="NIPERUPPER" localSheetId="8">[11]SCP!#REF!</definedName>
    <definedName name="NIPERUPPER" localSheetId="12">[11]SCP!#REF!</definedName>
    <definedName name="NIPERUPPER" localSheetId="25">[11]SCP!#REF!</definedName>
    <definedName name="NIPERUPPER" localSheetId="27">[11]SCP!#REF!</definedName>
    <definedName name="NIPERUPPER" localSheetId="26">[11]SCP!#REF!</definedName>
    <definedName name="NIPERUPPER" localSheetId="16">[11]SCP!#REF!</definedName>
    <definedName name="NIPERUPPER" localSheetId="6">[11]SCP!#REF!</definedName>
    <definedName name="NIPERUPPER" localSheetId="15">[11]SCP!#REF!</definedName>
    <definedName name="NIPERUPPER">[11]SCP!#REF!</definedName>
    <definedName name="NIUP">'[12]SCP''s'!$D$174</definedName>
    <definedName name="NIUPPER" localSheetId="1">[11]SCP!#REF!</definedName>
    <definedName name="NIUPPER" localSheetId="0">[11]SCP!#REF!</definedName>
    <definedName name="NIUPPER" localSheetId="9">[11]SCP!#REF!</definedName>
    <definedName name="NIUPPER" localSheetId="8">[11]SCP!#REF!</definedName>
    <definedName name="NIUPPER" localSheetId="12">[11]SCP!#REF!</definedName>
    <definedName name="NIUPPER" localSheetId="25">[11]SCP!#REF!</definedName>
    <definedName name="NIUPPER" localSheetId="27">[11]SCP!#REF!</definedName>
    <definedName name="NIUPPER" localSheetId="26">[11]SCP!#REF!</definedName>
    <definedName name="NIUPPER" localSheetId="16">[11]SCP!#REF!</definedName>
    <definedName name="NIUPPER" localSheetId="6">[11]SCP!#REF!</definedName>
    <definedName name="NIUPPER" localSheetId="15">[11]SCP!#REF!</definedName>
    <definedName name="NIUPPER">[11]SCP!#REF!</definedName>
    <definedName name="NMRBadDebtIn">'[5]Development BP Assumptions'!$G$164:$U$164</definedName>
    <definedName name="NMRMgmtIn">'[5]Development BP Assumptions'!$G$166:$U$166</definedName>
    <definedName name="NMRPMIn">'[5]Development BP Assumptions'!$G$169:$U$169</definedName>
    <definedName name="NMRRentIn">'[5]Development BP Assumptions'!$G$161:$U$161</definedName>
    <definedName name="NMRRespIn">'[5]Development BP Assumptions'!$G$168:$U$168</definedName>
    <definedName name="NMRServCostsIn">'[5]Development BP Assumptions'!$G$167:$U$167</definedName>
    <definedName name="NMRServiceIn">'[5]Development BP Assumptions'!$G$162:$U$162</definedName>
    <definedName name="NMRVoidsIn">'[5]Development BP Assumptions'!$G$163:$U$163</definedName>
    <definedName name="No_VAT">0%</definedName>
    <definedName name="NonSocHsgDesc">'[5]FFR Key Defn'!$C$53</definedName>
    <definedName name="NonTenureCapExp">'[5]Hidden - Lookup Lists'!$Z$6:$Z$9</definedName>
    <definedName name="Num_Schemes">[5]Lists!$B$10</definedName>
    <definedName name="OnCostsMethodIn">'[5]Development BP Assumptions'!$G$107:$U$107</definedName>
    <definedName name="OnCostsPercIn">'[5]Development BP Assumptions'!$G$109:$U$109</definedName>
    <definedName name="OnCostsTotalIn">'[5]Development BP Assumptions'!$G$108:$U$108</definedName>
    <definedName name="OnCostsW">'[5]Development BP Assumptions'!$G$145:$U$145</definedName>
    <definedName name="OpeningBuildIn">'[5]Development BP Assumptions'!$G$91:$U$91</definedName>
    <definedName name="OpeningLandIn">'[5]Development BP Assumptions'!$G$90:$U$90</definedName>
    <definedName name="OpeningOnCostsIn">'[5]Development BP Assumptions'!$G$92:$U$92</definedName>
    <definedName name="OpeningSHGIn">'[5]Development BP Assumptions'!$G$93:$U$93</definedName>
    <definedName name="OtherFixedAssetDV">'[5]Hidden - Lookup Lists'!$X$6</definedName>
    <definedName name="OtherFixedAssetMethod">'[5]Hidden - Lookup Lists'!$X$6:$X$7</definedName>
    <definedName name="OtherFixedAssetSL">'[5]Hidden - Lookup Lists'!$X$7</definedName>
    <definedName name="OtherFixedAssetType">'[5]Hidden - Lookup Lists'!$W$6:$W$7</definedName>
    <definedName name="OthFixedAssets">'[5]Other Fixed Asset Assumptions'!$D$7:$K$7</definedName>
    <definedName name="OthIncDefault">'[5]FFR Key Defn'!$C$29</definedName>
    <definedName name="OthSocHsgDesc">'[5]FFR Key Defn'!$C$54</definedName>
    <definedName name="PercSoldDvptW">'[5]Development BP Assumptions'!$G$138:$U$138</definedName>
    <definedName name="PercSoldW">'[5]Development BP Assumptions'!$G$139:$U$139</definedName>
    <definedName name="Planning2Total" localSheetId="1">'[7]Building 2'!#REF!</definedName>
    <definedName name="Planning2Total" localSheetId="0">'[7]Building 2'!#REF!</definedName>
    <definedName name="Planning2Total" localSheetId="9">'[7]Building 2'!#REF!</definedName>
    <definedName name="Planning2Total" localSheetId="8">'[7]Building 2'!#REF!</definedName>
    <definedName name="Planning2Total" localSheetId="12">'[7]Building 2'!#REF!</definedName>
    <definedName name="Planning2Total" localSheetId="25">'[7]Building 2'!#REF!</definedName>
    <definedName name="Planning2Total" localSheetId="27">'[7]Building 2'!#REF!</definedName>
    <definedName name="Planning2Total" localSheetId="26">'[7]Building 2'!#REF!</definedName>
    <definedName name="Planning2Total" localSheetId="16">'[7]Building 2'!#REF!</definedName>
    <definedName name="Planning2Total" localSheetId="6">'[7]Building 2'!#REF!</definedName>
    <definedName name="Planning2Total" localSheetId="15">'[7]Building 2'!#REF!</definedName>
    <definedName name="Planning2Total">'[7]Building 2'!#REF!</definedName>
    <definedName name="PlanningTotal" localSheetId="1">'[7]Building 2'!#REF!</definedName>
    <definedName name="PlanningTotal" localSheetId="0">'[7]Building 2'!#REF!</definedName>
    <definedName name="PlanningTotal" localSheetId="9">'[7]Building 2'!#REF!</definedName>
    <definedName name="PlanningTotal" localSheetId="8">'[7]Building 2'!#REF!</definedName>
    <definedName name="PlanningTotal" localSheetId="12">'[7]Building 2'!#REF!</definedName>
    <definedName name="PlanningTotal" localSheetId="25">'[7]Building 2'!#REF!</definedName>
    <definedName name="PlanningTotal" localSheetId="27">'[7]Building 2'!#REF!</definedName>
    <definedName name="PlanningTotal" localSheetId="26">'[7]Building 2'!#REF!</definedName>
    <definedName name="PlanningTotal" localSheetId="16">'[7]Building 2'!#REF!</definedName>
    <definedName name="PlanningTotal" localSheetId="6">'[7]Building 2'!#REF!</definedName>
    <definedName name="PlanningTotal" localSheetId="15">'[7]Building 2'!#REF!</definedName>
    <definedName name="PlanningTotal">'[7]Building 2'!#REF!</definedName>
    <definedName name="R_Covenants">'[5]Multivariable Planner'!$AE$9:$AI$9</definedName>
    <definedName name="R_DataOffset">'[5]OW - Captured Data'!$I$11</definedName>
    <definedName name="R_GraphOffset">'[5]OW - Covenant Calculation'!$C$16</definedName>
    <definedName name="R_MetBreachData">'[5]OW - Covenant Calculation'!$T$19</definedName>
    <definedName name="R_SortCovenant">'[5]OW - Covenant Calculation'!$C$9</definedName>
    <definedName name="R_SortStress">'[5]OW - Covenant Calculation'!$C$17</definedName>
    <definedName name="R_Stress">'[5]Multivariable Dashboard'!$E$6</definedName>
    <definedName name="R_StressTestNames">'[5]OW - Covenant Calculation'!$E$7:$E$11</definedName>
    <definedName name="R_StressTests">'[5]Multivariable Planner'!$D$9:$AB$9</definedName>
    <definedName name="Rate1">'[5]Funding Assumptions'!A$133</definedName>
    <definedName name="Rate2">'[5]Funding Assumptions'!A$134</definedName>
    <definedName name="RentIn">'[5]Development BP Assumptions'!$G$174:$U$174</definedName>
    <definedName name="RentWks">'[5]Rent Assumptions'!$C$8</definedName>
    <definedName name="Rep_Acc_12">'[5]Accounts Assumptions'!$C$34</definedName>
    <definedName name="Rep_Acc_15">'[5]Additional Pension Assumptions'!$D$7</definedName>
    <definedName name="Rep_Acc_16">'[5]Accounts Assumptions'!$D$60</definedName>
    <definedName name="Rep_FFRW_047" localSheetId="1">'[6]FFR Workings'!#REF!</definedName>
    <definedName name="Rep_FFRW_047" localSheetId="0">'[6]FFR Workings'!#REF!</definedName>
    <definedName name="Rep_FFRW_047" localSheetId="9">'[6]FFR Workings'!#REF!</definedName>
    <definedName name="Rep_FFRW_047" localSheetId="8">'[6]FFR Workings'!#REF!</definedName>
    <definedName name="Rep_FFRW_047" localSheetId="12">'[6]FFR Workings'!#REF!</definedName>
    <definedName name="Rep_FFRW_047" localSheetId="25">'[6]FFR Workings'!#REF!</definedName>
    <definedName name="Rep_FFRW_047" localSheetId="27">'[6]FFR Workings'!#REF!</definedName>
    <definedName name="Rep_FFRW_047" localSheetId="26">'[6]FFR Workings'!#REF!</definedName>
    <definedName name="Rep_FFRW_047" localSheetId="16">'[6]FFR Workings'!#REF!</definedName>
    <definedName name="Rep_FFRW_047" localSheetId="6">'[6]FFR Workings'!#REF!</definedName>
    <definedName name="Rep_FFRW_047" localSheetId="15">'[6]FFR Workings'!#REF!</definedName>
    <definedName name="Rep_FFRW_047">'[6]FFR Workings'!#REF!</definedName>
    <definedName name="Rep_FFRW_112" localSheetId="1">'[6]FFR Workings'!#REF!</definedName>
    <definedName name="Rep_FFRW_112" localSheetId="0">'[6]FFR Workings'!#REF!</definedName>
    <definedName name="Rep_FFRW_112" localSheetId="9">'[6]FFR Workings'!#REF!</definedName>
    <definedName name="Rep_FFRW_112" localSheetId="8">'[6]FFR Workings'!#REF!</definedName>
    <definedName name="Rep_FFRW_112" localSheetId="12">'[6]FFR Workings'!#REF!</definedName>
    <definedName name="Rep_FFRW_112" localSheetId="25">'[6]FFR Workings'!#REF!</definedName>
    <definedName name="Rep_FFRW_112" localSheetId="27">'[6]FFR Workings'!#REF!</definedName>
    <definedName name="Rep_FFRW_112" localSheetId="26">'[6]FFR Workings'!#REF!</definedName>
    <definedName name="Rep_FFRW_112" localSheetId="16">'[6]FFR Workings'!#REF!</definedName>
    <definedName name="Rep_FFRW_112" localSheetId="6">'[6]FFR Workings'!#REF!</definedName>
    <definedName name="Rep_FFRW_112" localSheetId="15">'[6]FFR Workings'!#REF!</definedName>
    <definedName name="Rep_FFRW_112">'[6]FFR Workings'!#REF!</definedName>
    <definedName name="Rep_Own_03">'[5]Owner Occupier Assumptions'!$D$6:$D$6</definedName>
    <definedName name="Rep_Rep_02" localSheetId="25">'[6]Repairs &amp; Maint. Assumptions'!$D$8:$D$15</definedName>
    <definedName name="Rep_Rep_02" localSheetId="27">'[6]Repairs &amp; Maint. Assumptions'!$D$8:$D$15</definedName>
    <definedName name="Rep_Rep_02" localSheetId="26">'[6]Repairs &amp; Maint. Assumptions'!$D$8:$D$15</definedName>
    <definedName name="Rep_Rep_02" localSheetId="16">'[6]Repairs &amp; Maint. Assumptions'!$D$8:$D$15</definedName>
    <definedName name="Rep_Rep_02">'[6]Repairs &amp; Maint. Assumptions'!$D$8:$D$15</definedName>
    <definedName name="Rep_Sto_3">'[5]Stock Assumptions'!$E$8:$X$8</definedName>
    <definedName name="Rep_Tax_07">'[5]Taxation Assumptions'!$D$27</definedName>
    <definedName name="RepairsDefault" localSheetId="25">'[6]FFR Key Defn'!$D$37</definedName>
    <definedName name="RepairsDefault" localSheetId="27">'[6]FFR Key Defn'!$D$37</definedName>
    <definedName name="RepairsDefault" localSheetId="26">'[6]FFR Key Defn'!$D$37</definedName>
    <definedName name="RepairsDefault" localSheetId="16">'[6]FFR Key Defn'!$D$37</definedName>
    <definedName name="RepairsDefault">'[6]FFR Key Defn'!$D$37</definedName>
    <definedName name="RepCap">'[5]Capitalisation Assumptions'!$E$34</definedName>
    <definedName name="RepCapYr">'[5]Capitalisation Assumptions'!$E$35</definedName>
    <definedName name="RepCat">'[5]FFR Key Defn'!$C$37:$C$38</definedName>
    <definedName name="RepSumDefault" localSheetId="25">'[6]Repairs &amp; Maint. Assumptions'!$A$8</definedName>
    <definedName name="RepSumDefault" localSheetId="27">'[6]Repairs &amp; Maint. Assumptions'!$A$8</definedName>
    <definedName name="RepSumDefault" localSheetId="26">'[6]Repairs &amp; Maint. Assumptions'!$A$8</definedName>
    <definedName name="RepSumDefault" localSheetId="16">'[6]Repairs &amp; Maint. Assumptions'!$A$8</definedName>
    <definedName name="RepSumDefault">'[6]Repairs &amp; Maint. Assumptions'!$A$8</definedName>
    <definedName name="RMCats">'[5]Repairs &amp; Maint. Assumptions'!$A$8:$A$15</definedName>
    <definedName name="RoundTolerance">'[5]Hidden - Year Table'!$K$2</definedName>
    <definedName name="SalePercIn">'[5]Development BP Assumptions'!$G$136:$U$136</definedName>
    <definedName name="SaleReceiptW">'[5]Development BP Assumptions'!$G$64:$U$64</definedName>
    <definedName name="SalesMethodsIn">'[5]Development BP Assumptions'!$G$134:$U$134</definedName>
    <definedName name="SalesW">'[5]Development BP Assumptions'!$G$148:$U$148</definedName>
    <definedName name="SaleTotalIn">'[5]Development BP Assumptions'!$G$135:$U$135</definedName>
    <definedName name="Scheme_List" localSheetId="30">OFFSET([5]Lists!XFD1,[0]!Num_Schemes-1,0)</definedName>
    <definedName name="Scheme_List" localSheetId="25">OFFSET([5]Lists!XFD1,[0]!Num_Schemes-1,0)</definedName>
    <definedName name="Scheme_List" localSheetId="27">OFFSET([5]Lists!XFD1,[0]!Num_Schemes-1,0)</definedName>
    <definedName name="Scheme_List" localSheetId="26">OFFSET([5]Lists!XFD1,[0]!Num_Schemes-1,0)</definedName>
    <definedName name="Scheme_List" localSheetId="16">OFFSET([5]Lists!XFD1,[0]!Num_Schemes-1,0)</definedName>
    <definedName name="Scheme_List">OFFSET([5]Lists!XFD1,[0]!Num_Schemes-1,0)</definedName>
    <definedName name="SchemeCashflowSelector">'[5]BP Input Scheme Cashflows'!$A$7</definedName>
    <definedName name="SchemeIncExcW">'[5]Development BP Assumptions'!$G$14:$U$14</definedName>
    <definedName name="SchemeLink">'[5]Development Consol Options'!$B$27</definedName>
    <definedName name="SchemeName">'[5]BP Input Schemes'!$A$10:$A$19</definedName>
    <definedName name="Schemes">[5]Lists!$A$11:$A$12</definedName>
    <definedName name="SchemeSelect">'[5]BP Input Schemes'!$A$9:$A$19</definedName>
    <definedName name="SchemeSelection">'[5]Development BP Assumptions'!$G$15:$U$15</definedName>
    <definedName name="SchemeSummary">'[5]Development BP Assumptions'!$G$16:$U$16</definedName>
    <definedName name="SCP_PEN">'[13]SCP''s'!$A$6:$H$148</definedName>
    <definedName name="SCSCostCat">'[5]Repairs &amp; Maint. Assumptions'!$D$56:$L$56</definedName>
    <definedName name="SCurveCW">'[5]Development Capital'!$G$125:$U$125</definedName>
    <definedName name="SCurveKW">'[5]Development Capital'!$G$126:$U$126</definedName>
    <definedName name="Sensitivity">'[5]Hidden - Detailed Sensitivities'!$D$8</definedName>
    <definedName name="ServiceChargeIn">'[5]Development BP Assumptions'!$G$175:$U$175</definedName>
    <definedName name="ServiceLabel">'[5]FFR Key Defn'!$C$24</definedName>
    <definedName name="Services">'[5]Management Costs Assumptions'!$D$18:$W$18</definedName>
    <definedName name="SHGCompletedIn">'[5]Development BP Assumptions'!$G$123:$U$123</definedName>
    <definedName name="SHGMethods">'[5]Hidden - Lookup Lists'!$B$6:$B$8</definedName>
    <definedName name="SHGMethodsIn">'[5]Development BP Assumptions'!$G$117:$U$117</definedName>
    <definedName name="SHGPercIn">'[5]Development BP Assumptions'!$G$119:$U$119</definedName>
    <definedName name="SHGProfile">'[5]Hidden - Lookup Lists'!$I$6:$I$8</definedName>
    <definedName name="SHGProfileIn">'[5]Development BP Assumptions'!$G$114:$U$114</definedName>
    <definedName name="SHGPurchaseIn">'[5]Development BP Assumptions'!$G$121:$U$121</definedName>
    <definedName name="SHGSoSIn">'[5]Development BP Assumptions'!$G$122:$U$122</definedName>
    <definedName name="SHGTotaIn">'[5]Development BP Assumptions'!$G$118:$U$118</definedName>
    <definedName name="SHGW">'[5]Development BP Assumptions'!$G$146:$U$146</definedName>
    <definedName name="small">'[8]drop-down list'!$C$2:$C$6</definedName>
    <definedName name="SocHsgPBDesc">'[5]FFR Key Defn'!$C$52</definedName>
    <definedName name="StairReceiptIn">'[5]Development BP Assumptions'!$G$198:$U$198</definedName>
    <definedName name="Stat">'[8]drop-down list'!$B$2:$B$6</definedName>
    <definedName name="StDate">'[5]Hidden - Year Table'!$U$4</definedName>
    <definedName name="StockCheck">"iioi"</definedName>
    <definedName name="StockType">'[5]Stock Assumptions'!$E$6:$X$6</definedName>
    <definedName name="StraightLine">'[5]Hidden - Lookup Lists'!$H$8</definedName>
    <definedName name="StressTestMode">'[5]Live Multivariable Planner'!$O$11</definedName>
    <definedName name="SumCheck">'[5]Hidden - Sheet Lists'!$G$14</definedName>
    <definedName name="SummayOtherIncomeDropdown">'[5]Specific Income Assumptions'!$A$7:$A$14</definedName>
    <definedName name="SupportLabel">'[5]FFR Key Defn'!$C$25</definedName>
    <definedName name="Targets">'[5]Covenant Assumptions'!$D$6:$H$6</definedName>
    <definedName name="Tenure1">'[5]Hidden - Lookup Lists'!$E$6</definedName>
    <definedName name="Tenure2">'[5]Hidden - Lookup Lists'!$E$7</definedName>
    <definedName name="Tenure3">'[5]Hidden - Lookup Lists'!$E$8</definedName>
    <definedName name="Tenure4">'[5]Hidden - Lookup Lists'!$E$9</definedName>
    <definedName name="Tenure5">'[5]Hidden - Lookup Lists'!$E$10</definedName>
    <definedName name="Tenure6">'[5]Hidden - Lookup Lists'!$E$11</definedName>
    <definedName name="Tenure7">'[5]Hidden - Lookup Lists'!$E$12</definedName>
    <definedName name="Tenure8">'[5]Hidden - Lookup Lists'!$E$13</definedName>
    <definedName name="Tenure9">'[5]Hidden - Lookup Lists'!$E$14</definedName>
    <definedName name="TenureType">'[5]Hidden - Lookup Lists'!$E$6:$E$14</definedName>
    <definedName name="TenureTypeCommit">'[5]Development BP Assumptions'!$G$22:$U$22</definedName>
    <definedName name="TenureTypeCommitFill">'[5]Development Capital'!$G$539:$U$539</definedName>
    <definedName name="TenureTypeIn">'[5]Development BP Assumptions'!$G$21:$U$21</definedName>
    <definedName name="TenureTypeMulti">'[5]Hidden - Lookup Lists'!$N$6:$N$13</definedName>
    <definedName name="TestTotal" localSheetId="1">'[7]Building 2'!#REF!</definedName>
    <definedName name="TestTotal" localSheetId="0">'[7]Building 2'!#REF!</definedName>
    <definedName name="TestTotal" localSheetId="9">'[7]Building 2'!#REF!</definedName>
    <definedName name="TestTotal" localSheetId="8">'[7]Building 2'!#REF!</definedName>
    <definedName name="TestTotal" localSheetId="12">'[7]Building 2'!#REF!</definedName>
    <definedName name="TestTotal" localSheetId="25">'[7]Building 2'!#REF!</definedName>
    <definedName name="TestTotal" localSheetId="27">'[7]Building 2'!#REF!</definedName>
    <definedName name="TestTotal" localSheetId="26">'[7]Building 2'!#REF!</definedName>
    <definedName name="TestTotal" localSheetId="16">'[7]Building 2'!#REF!</definedName>
    <definedName name="TestTotal" localSheetId="6">'[7]Building 2'!#REF!</definedName>
    <definedName name="TestTotal" localSheetId="15">'[7]Building 2'!#REF!</definedName>
    <definedName name="TestTotal">'[7]Building 2'!#REF!</definedName>
    <definedName name="TransferDate">'[5]Global Assumptions'!$C$9</definedName>
    <definedName name="UGNav036" localSheetId="1">'[5]User Guide'!#REF!</definedName>
    <definedName name="UGNav036" localSheetId="0">'[5]User Guide'!#REF!</definedName>
    <definedName name="UGNav036" localSheetId="9">'[5]User Guide'!#REF!</definedName>
    <definedName name="UGNav036" localSheetId="8">'[5]User Guide'!#REF!</definedName>
    <definedName name="UGNav036" localSheetId="12">'[5]User Guide'!#REF!</definedName>
    <definedName name="UGNav036" localSheetId="25">'[5]User Guide'!#REF!</definedName>
    <definedName name="UGNav036" localSheetId="27">'[5]User Guide'!#REF!</definedName>
    <definedName name="UGNav036" localSheetId="26">'[5]User Guide'!#REF!</definedName>
    <definedName name="UGNav036" localSheetId="16">'[5]User Guide'!#REF!</definedName>
    <definedName name="UGNav036" localSheetId="6">'[5]User Guide'!#REF!</definedName>
    <definedName name="UGNav036" localSheetId="15">'[5]User Guide'!#REF!</definedName>
    <definedName name="UGNav036">'[5]User Guide'!#REF!</definedName>
    <definedName name="UnitsDvptIn">'[5]Development BP Assumptions'!$G$82:$U$82</definedName>
    <definedName name="UnitsDvptInForm">'[5]Development BP Assumptions'!$G$84:$U$84</definedName>
    <definedName name="UnitsInMgmtIn">'[5]Development BP Assumptions'!$G$83:$U$83</definedName>
    <definedName name="UnitsInMgmtInForm">'[5]Development BP Assumptions'!$G$85:$U$85</definedName>
    <definedName name="ValueBasis">'[5]Hidden - Lookup Lists'!$D$6:$D$9</definedName>
    <definedName name="ValueBasisIn">'[5]Development BP Assumptions'!$G$214:$U$214</definedName>
    <definedName name="ValueBasisInW">'[5]Development BP Assumptions'!$G$220:$U$220</definedName>
    <definedName name="VAT">17.5%</definedName>
    <definedName name="WriteoffOpBalIn">'[5]Housing Asset Assumptions'!$D$97:$H$97</definedName>
    <definedName name="Year">'[5]Hidden - Year Table'!$I$6:$I$106</definedName>
    <definedName name="YearCompletedFromW">'[5]Development BP Assumptions'!$G$51:$U$51</definedName>
    <definedName name="YearCompletedW">'[5]Development BP Assumptions'!$G$52:$U$52</definedName>
    <definedName name="YearPurchaseW">'[5]Development BP Assumptions'!$G$50:$U$50</definedName>
    <definedName name="YearSaleFromW">'[5]Development BP Assumptions'!$G$77:$U$77</definedName>
    <definedName name="YearSaleW">'[5]Development BP Assumptions'!$G$78:$U$78</definedName>
    <definedName name="YearSwitchW">'[5]Development BP Assumptions'!$G$76:$U$76</definedName>
    <definedName name="Z_051C2D13_0D3D_44C3_A7DB_A0EAFBF115F0_.wvu.Cols" localSheetId="34" hidden="1">'Appendix A'!$E:$K,'Appendix A'!$O:$P</definedName>
    <definedName name="Z_051C2D13_0D3D_44C3_A7DB_A0EAFBF115F0_.wvu.Cols" localSheetId="1" hidden="1">'Appendix A (Original)'!$E:$K,'Appendix A (Original)'!$O:$P</definedName>
    <definedName name="Z_051C2D13_0D3D_44C3_A7DB_A0EAFBF115F0_.wvu.Cols" localSheetId="0" hidden="1">'Appendix A (updated 24.06)'!$E:$K,'Appendix A (updated 24.06)'!$O:$P</definedName>
    <definedName name="Z_051C2D13_0D3D_44C3_A7DB_A0EAFBF115F0_.wvu.Cols" localSheetId="9" hidden="1">'Appendix A 0407'!$E:$K,'Appendix A 0407'!$O:$P</definedName>
    <definedName name="Z_051C2D13_0D3D_44C3_A7DB_A0EAFBF115F0_.wvu.Cols" localSheetId="8" hidden="1">'Appendix A 040722'!$E:$K,'Appendix A 040722'!$O:$P</definedName>
    <definedName name="Z_051C2D13_0D3D_44C3_A7DB_A0EAFBF115F0_.wvu.Cols" localSheetId="12" hidden="1">'Appendix A 0607'!$E:$K,'Appendix A 0607'!$O:$P</definedName>
    <definedName name="Z_051C2D13_0D3D_44C3_A7DB_A0EAFBF115F0_.wvu.Cols" localSheetId="33" hidden="1">'Appendix A 12.04'!$E:$K,'Appendix A 12.04'!$O:$P</definedName>
    <definedName name="Z_051C2D13_0D3D_44C3_A7DB_A0EAFBF115F0_.wvu.Cols" localSheetId="32" hidden="1">'Appendix A 21.03'!$E:$K,'Appendix A 21.03'!$O:$P</definedName>
    <definedName name="Z_051C2D13_0D3D_44C3_A7DB_A0EAFBF115F0_.wvu.Cols" localSheetId="30" hidden="1">'Appendix A 240227'!$E:$K,'Appendix A 240227'!$O:$P</definedName>
    <definedName name="Z_051C2D13_0D3D_44C3_A7DB_A0EAFBF115F0_.wvu.Cols" localSheetId="31" hidden="1">'Appendix A 240321'!$E:$K,'Appendix A 240321'!$O:$P</definedName>
    <definedName name="Z_051C2D13_0D3D_44C3_A7DB_A0EAFBF115F0_.wvu.Cols" localSheetId="19" hidden="1">'Appendix EX'!$F:$L,'Appendix EX'!$P:$Q</definedName>
    <definedName name="Z_051C2D13_0D3D_44C3_A7DB_A0EAFBF115F0_.wvu.Cols" localSheetId="4" hidden="1">Comments!$C:$E</definedName>
    <definedName name="Z_051C2D13_0D3D_44C3_A7DB_A0EAFBF115F0_.wvu.Cols" localSheetId="2" hidden="1">'Comments Feeder'!$E:$K,'Comments Feeder'!$O:$P</definedName>
    <definedName name="Z_051C2D13_0D3D_44C3_A7DB_A0EAFBF115F0_.wvu.Cols" localSheetId="7" hidden="1">COVID!$A:$E,COVID!$L:$M</definedName>
    <definedName name="Z_051C2D13_0D3D_44C3_A7DB_A0EAFBF115F0_.wvu.Cols" localSheetId="20" hidden="1">'COVID 19'!$A:$E,'COVID 19'!$J:$M</definedName>
    <definedName name="Z_051C2D13_0D3D_44C3_A7DB_A0EAFBF115F0_.wvu.Cols" localSheetId="25" hidden="1">'COVID 19 '!$A:$E,'COVID 19 '!$J:$M</definedName>
    <definedName name="Z_051C2D13_0D3D_44C3_A7DB_A0EAFBF115F0_.wvu.Cols" localSheetId="27" hidden="1">'COVID 19  (2)'!$A:$E,'COVID 19  (2)'!$J:$M</definedName>
    <definedName name="Z_051C2D13_0D3D_44C3_A7DB_A0EAFBF115F0_.wvu.Cols" localSheetId="26" hidden="1">'COVID 19)'!$A:$E,'COVID 19)'!$L:$M</definedName>
    <definedName name="Z_051C2D13_0D3D_44C3_A7DB_A0EAFBF115F0_.wvu.Cols" localSheetId="16" hidden="1">'COVID sept'!$A:$E,'COVID sept'!$L:$M</definedName>
    <definedName name="Z_051C2D13_0D3D_44C3_A7DB_A0EAFBF115F0_.wvu.Cols" localSheetId="29" hidden="1">'Last Appendix A'!$E:$K,'Last Appendix A'!$O:$P</definedName>
    <definedName name="Z_051C2D13_0D3D_44C3_A7DB_A0EAFBF115F0_.wvu.Cols" localSheetId="28" hidden="1">'old Appendix A'!$E:$K,'old Appendix A'!$O:$P</definedName>
    <definedName name="Z_051C2D13_0D3D_44C3_A7DB_A0EAFBF115F0_.wvu.Cols" localSheetId="6" hidden="1">'old Comments Feeder'!$E:$K,'old Comments Feeder'!$O:$P</definedName>
    <definedName name="Z_051C2D13_0D3D_44C3_A7DB_A0EAFBF115F0_.wvu.Cols" localSheetId="15" hidden="1">'september Appendix A for report'!$D:$L,'september Appendix A for report'!$P:$U,'september Appendix A for report'!$X:$Y,'september Appendix A for report'!$AC:$AG</definedName>
    <definedName name="Z_051C2D13_0D3D_44C3_A7DB_A0EAFBF115F0_.wvu.Cols" localSheetId="18" hidden="1">Template!$F:$L,Template!$P:$Q</definedName>
    <definedName name="Z_051C2D13_0D3D_44C3_A7DB_A0EAFBF115F0_.wvu.FilterData" localSheetId="23" hidden="1">'AJ all trans'!$A$1:$M$2441</definedName>
    <definedName name="Z_051C2D13_0D3D_44C3_A7DB_A0EAFBF115F0_.wvu.FilterData" localSheetId="21" hidden="1">'All transactions'!$A$1:$L$8964</definedName>
    <definedName name="Z_051C2D13_0D3D_44C3_A7DB_A0EAFBF115F0_.wvu.FilterData" localSheetId="34" hidden="1">'Appendix A'!#REF!</definedName>
    <definedName name="Z_051C2D13_0D3D_44C3_A7DB_A0EAFBF115F0_.wvu.FilterData" localSheetId="1" hidden="1">'Appendix A (Original)'!#REF!</definedName>
    <definedName name="Z_051C2D13_0D3D_44C3_A7DB_A0EAFBF115F0_.wvu.FilterData" localSheetId="0" hidden="1">'Appendix A (updated 24.06)'!#REF!</definedName>
    <definedName name="Z_051C2D13_0D3D_44C3_A7DB_A0EAFBF115F0_.wvu.FilterData" localSheetId="9" hidden="1">'Appendix A 0407'!#REF!</definedName>
    <definedName name="Z_051C2D13_0D3D_44C3_A7DB_A0EAFBF115F0_.wvu.FilterData" localSheetId="8" hidden="1">'Appendix A 040722'!#REF!</definedName>
    <definedName name="Z_051C2D13_0D3D_44C3_A7DB_A0EAFBF115F0_.wvu.FilterData" localSheetId="12" hidden="1">'Appendix A 0607'!#REF!</definedName>
    <definedName name="Z_051C2D13_0D3D_44C3_A7DB_A0EAFBF115F0_.wvu.FilterData" localSheetId="33" hidden="1">'Appendix A 12.04'!#REF!</definedName>
    <definedName name="Z_051C2D13_0D3D_44C3_A7DB_A0EAFBF115F0_.wvu.FilterData" localSheetId="32" hidden="1">'Appendix A 21.03'!#REF!</definedName>
    <definedName name="Z_051C2D13_0D3D_44C3_A7DB_A0EAFBF115F0_.wvu.FilterData" localSheetId="30" hidden="1">'Appendix A 240227'!#REF!</definedName>
    <definedName name="Z_051C2D13_0D3D_44C3_A7DB_A0EAFBF115F0_.wvu.FilterData" localSheetId="31" hidden="1">'Appendix A 240321'!#REF!</definedName>
    <definedName name="Z_051C2D13_0D3D_44C3_A7DB_A0EAFBF115F0_.wvu.FilterData" localSheetId="19" hidden="1">'Appendix EX'!$A$1:$A$4313</definedName>
    <definedName name="Z_051C2D13_0D3D_44C3_A7DB_A0EAFBF115F0_.wvu.FilterData" localSheetId="2" hidden="1">'Comments Feeder'!#REF!</definedName>
    <definedName name="Z_051C2D13_0D3D_44C3_A7DB_A0EAFBF115F0_.wvu.FilterData" localSheetId="25" hidden="1">'COVID 19 '!$A$6:$Z$35</definedName>
    <definedName name="Z_051C2D13_0D3D_44C3_A7DB_A0EAFBF115F0_.wvu.FilterData" localSheetId="27" hidden="1">'COVID 19  (2)'!$A$6:$Z$35</definedName>
    <definedName name="Z_051C2D13_0D3D_44C3_A7DB_A0EAFBF115F0_.wvu.FilterData" localSheetId="26" hidden="1">'COVID 19)'!$A$6:$Z$35</definedName>
    <definedName name="Z_051C2D13_0D3D_44C3_A7DB_A0EAFBF115F0_.wvu.FilterData" localSheetId="16" hidden="1">'COVID sept'!$A$6:$Z$35</definedName>
    <definedName name="Z_051C2D13_0D3D_44C3_A7DB_A0EAFBF115F0_.wvu.FilterData" localSheetId="29" hidden="1">'Last Appendix A'!#REF!</definedName>
    <definedName name="Z_051C2D13_0D3D_44C3_A7DB_A0EAFBF115F0_.wvu.FilterData" localSheetId="28" hidden="1">'old Appendix A'!#REF!</definedName>
    <definedName name="Z_051C2D13_0D3D_44C3_A7DB_A0EAFBF115F0_.wvu.FilterData" localSheetId="6" hidden="1">'old Comments Feeder'!#REF!</definedName>
    <definedName name="Z_051C2D13_0D3D_44C3_A7DB_A0EAFBF115F0_.wvu.FilterData" localSheetId="18" hidden="1">Template!$A$1:$A$4220</definedName>
    <definedName name="Z_051C2D13_0D3D_44C3_A7DB_A0EAFBF115F0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1C37263A_F88D_4125_8618_1069D0E59B34_.wvu.Cols" localSheetId="34" hidden="1">'Appendix A'!$E:$K</definedName>
    <definedName name="Z_1C37263A_F88D_4125_8618_1069D0E59B34_.wvu.Cols" localSheetId="1" hidden="1">'Appendix A (Original)'!$E:$K</definedName>
    <definedName name="Z_1C37263A_F88D_4125_8618_1069D0E59B34_.wvu.Cols" localSheetId="0" hidden="1">'Appendix A (updated 24.06)'!$E:$K</definedName>
    <definedName name="Z_1C37263A_F88D_4125_8618_1069D0E59B34_.wvu.Cols" localSheetId="9" hidden="1">'Appendix A 0407'!$E:$K</definedName>
    <definedName name="Z_1C37263A_F88D_4125_8618_1069D0E59B34_.wvu.Cols" localSheetId="8" hidden="1">'Appendix A 040722'!$E:$K</definedName>
    <definedName name="Z_1C37263A_F88D_4125_8618_1069D0E59B34_.wvu.Cols" localSheetId="12" hidden="1">'Appendix A 0607'!$E:$K</definedName>
    <definedName name="Z_1C37263A_F88D_4125_8618_1069D0E59B34_.wvu.Cols" localSheetId="33" hidden="1">'Appendix A 12.04'!$E:$K</definedName>
    <definedName name="Z_1C37263A_F88D_4125_8618_1069D0E59B34_.wvu.Cols" localSheetId="32" hidden="1">'Appendix A 21.03'!$E:$K</definedName>
    <definedName name="Z_1C37263A_F88D_4125_8618_1069D0E59B34_.wvu.Cols" localSheetId="30" hidden="1">'Appendix A 240227'!$E:$K</definedName>
    <definedName name="Z_1C37263A_F88D_4125_8618_1069D0E59B34_.wvu.Cols" localSheetId="31" hidden="1">'Appendix A 240321'!$E:$K</definedName>
    <definedName name="Z_1C37263A_F88D_4125_8618_1069D0E59B34_.wvu.Cols" localSheetId="19" hidden="1">'Appendix EX'!$F:$L</definedName>
    <definedName name="Z_1C37263A_F88D_4125_8618_1069D0E59B34_.wvu.Cols" localSheetId="4" hidden="1">Comments!$D:$E</definedName>
    <definedName name="Z_1C37263A_F88D_4125_8618_1069D0E59B34_.wvu.Cols" localSheetId="2" hidden="1">'Comments Feeder'!$E:$K</definedName>
    <definedName name="Z_1C37263A_F88D_4125_8618_1069D0E59B34_.wvu.Cols" localSheetId="29" hidden="1">'Last Appendix A'!$E:$K</definedName>
    <definedName name="Z_1C37263A_F88D_4125_8618_1069D0E59B34_.wvu.Cols" localSheetId="28" hidden="1">'old Appendix A'!$E:$K</definedName>
    <definedName name="Z_1C37263A_F88D_4125_8618_1069D0E59B34_.wvu.Cols" localSheetId="6" hidden="1">'old Comments Feeder'!$E:$K</definedName>
    <definedName name="Z_1C37263A_F88D_4125_8618_1069D0E59B34_.wvu.Cols" localSheetId="15" hidden="1">'september Appendix A for report'!$E:$K</definedName>
    <definedName name="Z_1C37263A_F88D_4125_8618_1069D0E59B34_.wvu.Cols" localSheetId="18" hidden="1">Template!$F:$L</definedName>
    <definedName name="Z_1C37263A_F88D_4125_8618_1069D0E59B34_.wvu.Rows" localSheetId="34" hidden="1">'Appendix A'!#REF!,'Appendix A'!#REF!</definedName>
    <definedName name="Z_1C37263A_F88D_4125_8618_1069D0E59B34_.wvu.Rows" localSheetId="1" hidden="1">'Appendix A (Original)'!#REF!,'Appendix A (Original)'!#REF!</definedName>
    <definedName name="Z_1C37263A_F88D_4125_8618_1069D0E59B34_.wvu.Rows" localSheetId="0" hidden="1">'Appendix A (updated 24.06)'!#REF!,'Appendix A (updated 24.06)'!#REF!</definedName>
    <definedName name="Z_1C37263A_F88D_4125_8618_1069D0E59B34_.wvu.Rows" localSheetId="9" hidden="1">'Appendix A 0407'!#REF!,'Appendix A 0407'!#REF!</definedName>
    <definedName name="Z_1C37263A_F88D_4125_8618_1069D0E59B34_.wvu.Rows" localSheetId="8" hidden="1">'Appendix A 040722'!#REF!,'Appendix A 040722'!#REF!</definedName>
    <definedName name="Z_1C37263A_F88D_4125_8618_1069D0E59B34_.wvu.Rows" localSheetId="12" hidden="1">'Appendix A 0607'!#REF!,'Appendix A 0607'!#REF!</definedName>
    <definedName name="Z_1C37263A_F88D_4125_8618_1069D0E59B34_.wvu.Rows" localSheetId="33" hidden="1">'Appendix A 12.04'!#REF!,'Appendix A 12.04'!#REF!</definedName>
    <definedName name="Z_1C37263A_F88D_4125_8618_1069D0E59B34_.wvu.Rows" localSheetId="32" hidden="1">'Appendix A 21.03'!#REF!,'Appendix A 21.03'!#REF!</definedName>
    <definedName name="Z_1C37263A_F88D_4125_8618_1069D0E59B34_.wvu.Rows" localSheetId="30" hidden="1">'Appendix A 240227'!#REF!,'Appendix A 240227'!#REF!</definedName>
    <definedName name="Z_1C37263A_F88D_4125_8618_1069D0E59B34_.wvu.Rows" localSheetId="31" hidden="1">'Appendix A 240321'!#REF!,'Appendix A 240321'!#REF!</definedName>
    <definedName name="Z_1C37263A_F88D_4125_8618_1069D0E59B34_.wvu.Rows" localSheetId="19" hidden="1">'Appendix EX'!#REF!,'Appendix EX'!#REF!</definedName>
    <definedName name="Z_1C37263A_F88D_4125_8618_1069D0E59B34_.wvu.Rows" localSheetId="2" hidden="1">'Comments Feeder'!#REF!,'Comments Feeder'!#REF!</definedName>
    <definedName name="Z_1C37263A_F88D_4125_8618_1069D0E59B34_.wvu.Rows" localSheetId="29" hidden="1">'Last Appendix A'!#REF!,'Last Appendix A'!#REF!</definedName>
    <definedName name="Z_1C37263A_F88D_4125_8618_1069D0E59B34_.wvu.Rows" localSheetId="28" hidden="1">'old Appendix A'!#REF!,'old Appendix A'!#REF!</definedName>
    <definedName name="Z_1C37263A_F88D_4125_8618_1069D0E59B34_.wvu.Rows" localSheetId="6" hidden="1">'old Comments Feeder'!#REF!,'old Comments Feeder'!#REF!</definedName>
    <definedName name="Z_1C37263A_F88D_4125_8618_1069D0E59B34_.wvu.Rows" localSheetId="15" hidden="1">'september Appendix A for report'!#REF!,'september Appendix A for report'!#REF!</definedName>
    <definedName name="Z_1C37263A_F88D_4125_8618_1069D0E59B34_.wvu.Rows" localSheetId="18" hidden="1">Template!#REF!,Template!#REF!</definedName>
    <definedName name="Z_2131F89A_CF1F_4CB8_B5F3_8B354EA64F43_.wvu.Cols" localSheetId="34" hidden="1">'Appendix A'!$E:$K,'Appendix A'!$N:$S</definedName>
    <definedName name="Z_2131F89A_CF1F_4CB8_B5F3_8B354EA64F43_.wvu.Cols" localSheetId="1" hidden="1">'Appendix A (Original)'!$E:$K,'Appendix A (Original)'!$N:$S</definedName>
    <definedName name="Z_2131F89A_CF1F_4CB8_B5F3_8B354EA64F43_.wvu.Cols" localSheetId="0" hidden="1">'Appendix A (updated 24.06)'!$E:$K,'Appendix A (updated 24.06)'!$N:$S</definedName>
    <definedName name="Z_2131F89A_CF1F_4CB8_B5F3_8B354EA64F43_.wvu.Cols" localSheetId="9" hidden="1">'Appendix A 0407'!$E:$K,'Appendix A 0407'!$N:$S</definedName>
    <definedName name="Z_2131F89A_CF1F_4CB8_B5F3_8B354EA64F43_.wvu.Cols" localSheetId="8" hidden="1">'Appendix A 040722'!$E:$K,'Appendix A 040722'!$N:$S</definedName>
    <definedName name="Z_2131F89A_CF1F_4CB8_B5F3_8B354EA64F43_.wvu.Cols" localSheetId="12" hidden="1">'Appendix A 0607'!$E:$K,'Appendix A 0607'!$N:$S</definedName>
    <definedName name="Z_2131F89A_CF1F_4CB8_B5F3_8B354EA64F43_.wvu.Cols" localSheetId="33" hidden="1">'Appendix A 12.04'!$E:$K,'Appendix A 12.04'!$N:$S</definedName>
    <definedName name="Z_2131F89A_CF1F_4CB8_B5F3_8B354EA64F43_.wvu.Cols" localSheetId="32" hidden="1">'Appendix A 21.03'!$E:$K,'Appendix A 21.03'!$N:$S</definedName>
    <definedName name="Z_2131F89A_CF1F_4CB8_B5F3_8B354EA64F43_.wvu.Cols" localSheetId="30" hidden="1">'Appendix A 240227'!$E:$K,'Appendix A 240227'!$N:$S</definedName>
    <definedName name="Z_2131F89A_CF1F_4CB8_B5F3_8B354EA64F43_.wvu.Cols" localSheetId="31" hidden="1">'Appendix A 240321'!$E:$K,'Appendix A 240321'!$N:$S</definedName>
    <definedName name="Z_2131F89A_CF1F_4CB8_B5F3_8B354EA64F43_.wvu.Cols" localSheetId="19" hidden="1">'Appendix EX'!$F:$L,'Appendix EX'!$O:$T</definedName>
    <definedName name="Z_2131F89A_CF1F_4CB8_B5F3_8B354EA64F43_.wvu.Cols" localSheetId="4" hidden="1">Comments!$C:$E</definedName>
    <definedName name="Z_2131F89A_CF1F_4CB8_B5F3_8B354EA64F43_.wvu.Cols" localSheetId="2" hidden="1">'Comments Feeder'!$E:$K,'Comments Feeder'!$N:$S</definedName>
    <definedName name="Z_2131F89A_CF1F_4CB8_B5F3_8B354EA64F43_.wvu.Cols" localSheetId="29" hidden="1">'Last Appendix A'!$E:$K,'Last Appendix A'!$N:$S</definedName>
    <definedName name="Z_2131F89A_CF1F_4CB8_B5F3_8B354EA64F43_.wvu.Cols" localSheetId="28" hidden="1">'old Appendix A'!$E:$K,'old Appendix A'!$N:$S</definedName>
    <definedName name="Z_2131F89A_CF1F_4CB8_B5F3_8B354EA64F43_.wvu.Cols" localSheetId="6" hidden="1">'old Comments Feeder'!$E:$K,'old Comments Feeder'!$N:$S</definedName>
    <definedName name="Z_2131F89A_CF1F_4CB8_B5F3_8B354EA64F43_.wvu.Cols" localSheetId="15" hidden="1">'september Appendix A for report'!$E:$K,'september Appendix A for report'!$O:$T</definedName>
    <definedName name="Z_2131F89A_CF1F_4CB8_B5F3_8B354EA64F43_.wvu.Cols" localSheetId="18" hidden="1">Template!$F:$L,Template!$O:$T</definedName>
    <definedName name="Z_28ADD64E_1C54_4CF2_8A6A_391E4DF6D903_.wvu.Cols" localSheetId="34" hidden="1">'Appendix A'!$E:$K,'Appendix A'!$O:$P</definedName>
    <definedName name="Z_28ADD64E_1C54_4CF2_8A6A_391E4DF6D903_.wvu.Cols" localSheetId="1" hidden="1">'Appendix A (Original)'!$E:$K,'Appendix A (Original)'!$O:$P</definedName>
    <definedName name="Z_28ADD64E_1C54_4CF2_8A6A_391E4DF6D903_.wvu.Cols" localSheetId="0" hidden="1">'Appendix A (updated 24.06)'!$E:$K,'Appendix A (updated 24.06)'!$O:$P</definedName>
    <definedName name="Z_28ADD64E_1C54_4CF2_8A6A_391E4DF6D903_.wvu.Cols" localSheetId="9" hidden="1">'Appendix A 0407'!$E:$K,'Appendix A 0407'!$O:$P</definedName>
    <definedName name="Z_28ADD64E_1C54_4CF2_8A6A_391E4DF6D903_.wvu.Cols" localSheetId="8" hidden="1">'Appendix A 040722'!$E:$K,'Appendix A 040722'!$O:$P</definedName>
    <definedName name="Z_28ADD64E_1C54_4CF2_8A6A_391E4DF6D903_.wvu.Cols" localSheetId="12" hidden="1">'Appendix A 0607'!$E:$K,'Appendix A 0607'!$O:$P</definedName>
    <definedName name="Z_28ADD64E_1C54_4CF2_8A6A_391E4DF6D903_.wvu.Cols" localSheetId="33" hidden="1">'Appendix A 12.04'!$E:$K,'Appendix A 12.04'!$O:$P</definedName>
    <definedName name="Z_28ADD64E_1C54_4CF2_8A6A_391E4DF6D903_.wvu.Cols" localSheetId="32" hidden="1">'Appendix A 21.03'!$E:$K,'Appendix A 21.03'!$O:$P</definedName>
    <definedName name="Z_28ADD64E_1C54_4CF2_8A6A_391E4DF6D903_.wvu.Cols" localSheetId="30" hidden="1">'Appendix A 240227'!$E:$K,'Appendix A 240227'!$O:$P</definedName>
    <definedName name="Z_28ADD64E_1C54_4CF2_8A6A_391E4DF6D903_.wvu.Cols" localSheetId="31" hidden="1">'Appendix A 240321'!$E:$K,'Appendix A 240321'!$O:$P</definedName>
    <definedName name="Z_28ADD64E_1C54_4CF2_8A6A_391E4DF6D903_.wvu.Cols" localSheetId="19" hidden="1">'Appendix EX'!$F:$L,'Appendix EX'!$P:$Q</definedName>
    <definedName name="Z_28ADD64E_1C54_4CF2_8A6A_391E4DF6D903_.wvu.Cols" localSheetId="4" hidden="1">Comments!$C:$E</definedName>
    <definedName name="Z_28ADD64E_1C54_4CF2_8A6A_391E4DF6D903_.wvu.Cols" localSheetId="2" hidden="1">'Comments Feeder'!$E:$K,'Comments Feeder'!$O:$P</definedName>
    <definedName name="Z_28ADD64E_1C54_4CF2_8A6A_391E4DF6D903_.wvu.Cols" localSheetId="20" hidden="1">'COVID 19'!$A:$E,'COVID 19'!$J:$M</definedName>
    <definedName name="Z_28ADD64E_1C54_4CF2_8A6A_391E4DF6D903_.wvu.Cols" localSheetId="29" hidden="1">'Last Appendix A'!$E:$K,'Last Appendix A'!$O:$P</definedName>
    <definedName name="Z_28ADD64E_1C54_4CF2_8A6A_391E4DF6D903_.wvu.Cols" localSheetId="28" hidden="1">'old Appendix A'!$E:$K,'old Appendix A'!$O:$P</definedName>
    <definedName name="Z_28ADD64E_1C54_4CF2_8A6A_391E4DF6D903_.wvu.Cols" localSheetId="6" hidden="1">'old Comments Feeder'!$E:$K,'old Comments Feeder'!$O:$P</definedName>
    <definedName name="Z_28ADD64E_1C54_4CF2_8A6A_391E4DF6D903_.wvu.Cols" localSheetId="15" hidden="1">'september Appendix A for report'!$E:$K,'september Appendix A for report'!$P:$Q</definedName>
    <definedName name="Z_28ADD64E_1C54_4CF2_8A6A_391E4DF6D903_.wvu.Cols" localSheetId="18" hidden="1">Template!$F:$L,Template!$P:$Q</definedName>
    <definedName name="Z_28ADD64E_1C54_4CF2_8A6A_391E4DF6D903_.wvu.FilterData" localSheetId="23" hidden="1">'AJ all trans'!$A$1:$M$2441</definedName>
    <definedName name="Z_28ADD64E_1C54_4CF2_8A6A_391E4DF6D903_.wvu.FilterData" localSheetId="21" hidden="1">'All transactions'!$A$1:$L$8964</definedName>
    <definedName name="Z_28ADD64E_1C54_4CF2_8A6A_391E4DF6D903_.wvu.FilterData" localSheetId="34" hidden="1">'Appendix A'!#REF!</definedName>
    <definedName name="Z_28ADD64E_1C54_4CF2_8A6A_391E4DF6D903_.wvu.FilterData" localSheetId="1" hidden="1">'Appendix A (Original)'!#REF!</definedName>
    <definedName name="Z_28ADD64E_1C54_4CF2_8A6A_391E4DF6D903_.wvu.FilterData" localSheetId="0" hidden="1">'Appendix A (updated 24.06)'!#REF!</definedName>
    <definedName name="Z_28ADD64E_1C54_4CF2_8A6A_391E4DF6D903_.wvu.FilterData" localSheetId="9" hidden="1">'Appendix A 0407'!#REF!</definedName>
    <definedName name="Z_28ADD64E_1C54_4CF2_8A6A_391E4DF6D903_.wvu.FilterData" localSheetId="8" hidden="1">'Appendix A 040722'!#REF!</definedName>
    <definedName name="Z_28ADD64E_1C54_4CF2_8A6A_391E4DF6D903_.wvu.FilterData" localSheetId="12" hidden="1">'Appendix A 0607'!#REF!</definedName>
    <definedName name="Z_28ADD64E_1C54_4CF2_8A6A_391E4DF6D903_.wvu.FilterData" localSheetId="33" hidden="1">'Appendix A 12.04'!#REF!</definedName>
    <definedName name="Z_28ADD64E_1C54_4CF2_8A6A_391E4DF6D903_.wvu.FilterData" localSheetId="32" hidden="1">'Appendix A 21.03'!#REF!</definedName>
    <definedName name="Z_28ADD64E_1C54_4CF2_8A6A_391E4DF6D903_.wvu.FilterData" localSheetId="30" hidden="1">'Appendix A 240227'!#REF!</definedName>
    <definedName name="Z_28ADD64E_1C54_4CF2_8A6A_391E4DF6D903_.wvu.FilterData" localSheetId="31" hidden="1">'Appendix A 240321'!#REF!</definedName>
    <definedName name="Z_28ADD64E_1C54_4CF2_8A6A_391E4DF6D903_.wvu.FilterData" localSheetId="19" hidden="1">'Appendix EX'!$A$1:$A$4313</definedName>
    <definedName name="Z_28ADD64E_1C54_4CF2_8A6A_391E4DF6D903_.wvu.FilterData" localSheetId="2" hidden="1">'Comments Feeder'!#REF!</definedName>
    <definedName name="Z_28ADD64E_1C54_4CF2_8A6A_391E4DF6D903_.wvu.FilterData" localSheetId="29" hidden="1">'Last Appendix A'!#REF!</definedName>
    <definedName name="Z_28ADD64E_1C54_4CF2_8A6A_391E4DF6D903_.wvu.FilterData" localSheetId="28" hidden="1">'old Appendix A'!#REF!</definedName>
    <definedName name="Z_28ADD64E_1C54_4CF2_8A6A_391E4DF6D903_.wvu.FilterData" localSheetId="6" hidden="1">'old Comments Feeder'!#REF!</definedName>
    <definedName name="Z_28ADD64E_1C54_4CF2_8A6A_391E4DF6D903_.wvu.FilterData" localSheetId="15" hidden="1">'september Appendix A for report'!#REF!</definedName>
    <definedName name="Z_28ADD64E_1C54_4CF2_8A6A_391E4DF6D903_.wvu.FilterData" localSheetId="18" hidden="1">Template!$A$1:$A$4220</definedName>
    <definedName name="Z_2EE8538C_E3AE_40C6_B22A_073EBF96300A_.wvu.Cols" localSheetId="34" hidden="1">'Appendix A'!$E:$K,'Appendix A'!$O:$P</definedName>
    <definedName name="Z_2EE8538C_E3AE_40C6_B22A_073EBF96300A_.wvu.Cols" localSheetId="1" hidden="1">'Appendix A (Original)'!$E:$K,'Appendix A (Original)'!$O:$P</definedName>
    <definedName name="Z_2EE8538C_E3AE_40C6_B22A_073EBF96300A_.wvu.Cols" localSheetId="0" hidden="1">'Appendix A (updated 24.06)'!$E:$K,'Appendix A (updated 24.06)'!$O:$P</definedName>
    <definedName name="Z_2EE8538C_E3AE_40C6_B22A_073EBF96300A_.wvu.Cols" localSheetId="9" hidden="1">'Appendix A 0407'!$E:$K,'Appendix A 0407'!$O:$P</definedName>
    <definedName name="Z_2EE8538C_E3AE_40C6_B22A_073EBF96300A_.wvu.Cols" localSheetId="8" hidden="1">'Appendix A 040722'!$E:$K,'Appendix A 040722'!$O:$P</definedName>
    <definedName name="Z_2EE8538C_E3AE_40C6_B22A_073EBF96300A_.wvu.Cols" localSheetId="12" hidden="1">'Appendix A 0607'!$E:$K,'Appendix A 0607'!$O:$P</definedName>
    <definedName name="Z_2EE8538C_E3AE_40C6_B22A_073EBF96300A_.wvu.Cols" localSheetId="33" hidden="1">'Appendix A 12.04'!$E:$K,'Appendix A 12.04'!$O:$P</definedName>
    <definedName name="Z_2EE8538C_E3AE_40C6_B22A_073EBF96300A_.wvu.Cols" localSheetId="32" hidden="1">'Appendix A 21.03'!$E:$K,'Appendix A 21.03'!$O:$P</definedName>
    <definedName name="Z_2EE8538C_E3AE_40C6_B22A_073EBF96300A_.wvu.Cols" localSheetId="30" hidden="1">'Appendix A 240227'!$E:$K,'Appendix A 240227'!$O:$P</definedName>
    <definedName name="Z_2EE8538C_E3AE_40C6_B22A_073EBF96300A_.wvu.Cols" localSheetId="31" hidden="1">'Appendix A 240321'!$E:$K,'Appendix A 240321'!$O:$P</definedName>
    <definedName name="Z_2EE8538C_E3AE_40C6_B22A_073EBF96300A_.wvu.Cols" localSheetId="19" hidden="1">'Appendix EX'!$F:$L,'Appendix EX'!$P:$Q</definedName>
    <definedName name="Z_2EE8538C_E3AE_40C6_B22A_073EBF96300A_.wvu.Cols" localSheetId="4" hidden="1">Comments!$C:$E</definedName>
    <definedName name="Z_2EE8538C_E3AE_40C6_B22A_073EBF96300A_.wvu.Cols" localSheetId="2" hidden="1">'Comments Feeder'!$E:$K,'Comments Feeder'!$O:$P</definedName>
    <definedName name="Z_2EE8538C_E3AE_40C6_B22A_073EBF96300A_.wvu.Cols" localSheetId="7" hidden="1">COVID!$A:$E,COVID!$L:$M</definedName>
    <definedName name="Z_2EE8538C_E3AE_40C6_B22A_073EBF96300A_.wvu.Cols" localSheetId="20" hidden="1">'COVID 19'!$A:$E,'COVID 19'!$J:$M</definedName>
    <definedName name="Z_2EE8538C_E3AE_40C6_B22A_073EBF96300A_.wvu.Cols" localSheetId="25" hidden="1">'COVID 19 '!$A:$E,'COVID 19 '!$J:$M</definedName>
    <definedName name="Z_2EE8538C_E3AE_40C6_B22A_073EBF96300A_.wvu.Cols" localSheetId="27" hidden="1">'COVID 19  (2)'!$A:$E,'COVID 19  (2)'!$J:$M</definedName>
    <definedName name="Z_2EE8538C_E3AE_40C6_B22A_073EBF96300A_.wvu.Cols" localSheetId="26" hidden="1">'COVID 19)'!$A:$E,'COVID 19)'!$L:$M</definedName>
    <definedName name="Z_2EE8538C_E3AE_40C6_B22A_073EBF96300A_.wvu.Cols" localSheetId="16" hidden="1">'COVID sept'!$A:$E,'COVID sept'!$L:$M</definedName>
    <definedName name="Z_2EE8538C_E3AE_40C6_B22A_073EBF96300A_.wvu.Cols" localSheetId="29" hidden="1">'Last Appendix A'!$E:$K,'Last Appendix A'!$O:$P</definedName>
    <definedName name="Z_2EE8538C_E3AE_40C6_B22A_073EBF96300A_.wvu.Cols" localSheetId="28" hidden="1">'old Appendix A'!$E:$K,'old Appendix A'!$O:$P</definedName>
    <definedName name="Z_2EE8538C_E3AE_40C6_B22A_073EBF96300A_.wvu.Cols" localSheetId="6" hidden="1">'old Comments Feeder'!$E:$K,'old Comments Feeder'!$O:$P</definedName>
    <definedName name="Z_2EE8538C_E3AE_40C6_B22A_073EBF96300A_.wvu.Cols" localSheetId="15" hidden="1">'september Appendix A for report'!$D:$L,'september Appendix A for report'!$P:$U,'september Appendix A for report'!$X:$Y,'september Appendix A for report'!$AC:$AG</definedName>
    <definedName name="Z_2EE8538C_E3AE_40C6_B22A_073EBF96300A_.wvu.Cols" localSheetId="18" hidden="1">Template!$F:$L,Template!$P:$Q</definedName>
    <definedName name="Z_2EE8538C_E3AE_40C6_B22A_073EBF96300A_.wvu.FilterData" localSheetId="23" hidden="1">'AJ all trans'!$A$1:$M$2441</definedName>
    <definedName name="Z_2EE8538C_E3AE_40C6_B22A_073EBF96300A_.wvu.FilterData" localSheetId="21" hidden="1">'All transactions'!$A$1:$L$8964</definedName>
    <definedName name="Z_2EE8538C_E3AE_40C6_B22A_073EBF96300A_.wvu.FilterData" localSheetId="34" hidden="1">'Appendix A'!#REF!</definedName>
    <definedName name="Z_2EE8538C_E3AE_40C6_B22A_073EBF96300A_.wvu.FilterData" localSheetId="1" hidden="1">'Appendix A (Original)'!#REF!</definedName>
    <definedName name="Z_2EE8538C_E3AE_40C6_B22A_073EBF96300A_.wvu.FilterData" localSheetId="0" hidden="1">'Appendix A (updated 24.06)'!#REF!</definedName>
    <definedName name="Z_2EE8538C_E3AE_40C6_B22A_073EBF96300A_.wvu.FilterData" localSheetId="9" hidden="1">'Appendix A 0407'!#REF!</definedName>
    <definedName name="Z_2EE8538C_E3AE_40C6_B22A_073EBF96300A_.wvu.FilterData" localSheetId="8" hidden="1">'Appendix A 040722'!#REF!</definedName>
    <definedName name="Z_2EE8538C_E3AE_40C6_B22A_073EBF96300A_.wvu.FilterData" localSheetId="12" hidden="1">'Appendix A 0607'!#REF!</definedName>
    <definedName name="Z_2EE8538C_E3AE_40C6_B22A_073EBF96300A_.wvu.FilterData" localSheetId="33" hidden="1">'Appendix A 12.04'!#REF!</definedName>
    <definedName name="Z_2EE8538C_E3AE_40C6_B22A_073EBF96300A_.wvu.FilterData" localSheetId="32" hidden="1">'Appendix A 21.03'!#REF!</definedName>
    <definedName name="Z_2EE8538C_E3AE_40C6_B22A_073EBF96300A_.wvu.FilterData" localSheetId="30" hidden="1">'Appendix A 240227'!#REF!</definedName>
    <definedName name="Z_2EE8538C_E3AE_40C6_B22A_073EBF96300A_.wvu.FilterData" localSheetId="31" hidden="1">'Appendix A 240321'!#REF!</definedName>
    <definedName name="Z_2EE8538C_E3AE_40C6_B22A_073EBF96300A_.wvu.FilterData" localSheetId="19" hidden="1">'Appendix EX'!$A$1:$A$4313</definedName>
    <definedName name="Z_2EE8538C_E3AE_40C6_B22A_073EBF96300A_.wvu.FilterData" localSheetId="2" hidden="1">'Comments Feeder'!#REF!</definedName>
    <definedName name="Z_2EE8538C_E3AE_40C6_B22A_073EBF96300A_.wvu.FilterData" localSheetId="25" hidden="1">'COVID 19 '!$A$6:$Z$35</definedName>
    <definedName name="Z_2EE8538C_E3AE_40C6_B22A_073EBF96300A_.wvu.FilterData" localSheetId="27" hidden="1">'COVID 19  (2)'!$A$6:$Z$35</definedName>
    <definedName name="Z_2EE8538C_E3AE_40C6_B22A_073EBF96300A_.wvu.FilterData" localSheetId="26" hidden="1">'COVID 19)'!$A$6:$Z$35</definedName>
    <definedName name="Z_2EE8538C_E3AE_40C6_B22A_073EBF96300A_.wvu.FilterData" localSheetId="16" hidden="1">'COVID sept'!$A$6:$Z$35</definedName>
    <definedName name="Z_2EE8538C_E3AE_40C6_B22A_073EBF96300A_.wvu.FilterData" localSheetId="29" hidden="1">'Last Appendix A'!#REF!</definedName>
    <definedName name="Z_2EE8538C_E3AE_40C6_B22A_073EBF96300A_.wvu.FilterData" localSheetId="28" hidden="1">'old Appendix A'!#REF!</definedName>
    <definedName name="Z_2EE8538C_E3AE_40C6_B22A_073EBF96300A_.wvu.FilterData" localSheetId="6" hidden="1">'old Comments Feeder'!#REF!</definedName>
    <definedName name="Z_2EE8538C_E3AE_40C6_B22A_073EBF96300A_.wvu.FilterData" localSheetId="18" hidden="1">Template!$A$1:$A$4220</definedName>
    <definedName name="Z_2EE8538C_E3AE_40C6_B22A_073EBF96300A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2F5D2611_A2AC_4668_B979_0EE258BE5F1F_.wvu.Cols" localSheetId="34" hidden="1">'Appendix A'!$E:$K,'Appendix A'!$O:$P</definedName>
    <definedName name="Z_2F5D2611_A2AC_4668_B979_0EE258BE5F1F_.wvu.Cols" localSheetId="1" hidden="1">'Appendix A (Original)'!$E:$K,'Appendix A (Original)'!$O:$P</definedName>
    <definedName name="Z_2F5D2611_A2AC_4668_B979_0EE258BE5F1F_.wvu.Cols" localSheetId="0" hidden="1">'Appendix A (updated 24.06)'!$E:$K,'Appendix A (updated 24.06)'!$O:$P</definedName>
    <definedName name="Z_2F5D2611_A2AC_4668_B979_0EE258BE5F1F_.wvu.Cols" localSheetId="9" hidden="1">'Appendix A 0407'!$E:$K,'Appendix A 0407'!$O:$P</definedName>
    <definedName name="Z_2F5D2611_A2AC_4668_B979_0EE258BE5F1F_.wvu.Cols" localSheetId="8" hidden="1">'Appendix A 040722'!$E:$K,'Appendix A 040722'!$O:$P</definedName>
    <definedName name="Z_2F5D2611_A2AC_4668_B979_0EE258BE5F1F_.wvu.Cols" localSheetId="12" hidden="1">'Appendix A 0607'!$E:$K,'Appendix A 0607'!$O:$P</definedName>
    <definedName name="Z_2F5D2611_A2AC_4668_B979_0EE258BE5F1F_.wvu.Cols" localSheetId="33" hidden="1">'Appendix A 12.04'!$E:$K,'Appendix A 12.04'!$O:$P</definedName>
    <definedName name="Z_2F5D2611_A2AC_4668_B979_0EE258BE5F1F_.wvu.Cols" localSheetId="32" hidden="1">'Appendix A 21.03'!$E:$K,'Appendix A 21.03'!$O:$P</definedName>
    <definedName name="Z_2F5D2611_A2AC_4668_B979_0EE258BE5F1F_.wvu.Cols" localSheetId="30" hidden="1">'Appendix A 240227'!$E:$K,'Appendix A 240227'!$O:$P</definedName>
    <definedName name="Z_2F5D2611_A2AC_4668_B979_0EE258BE5F1F_.wvu.Cols" localSheetId="31" hidden="1">'Appendix A 240321'!$E:$K,'Appendix A 240321'!$O:$P</definedName>
    <definedName name="Z_2F5D2611_A2AC_4668_B979_0EE258BE5F1F_.wvu.Cols" localSheetId="19" hidden="1">'Appendix EX'!$F:$L,'Appendix EX'!$P:$Q</definedName>
    <definedName name="Z_2F5D2611_A2AC_4668_B979_0EE258BE5F1F_.wvu.Cols" localSheetId="4" hidden="1">Comments!$C:$E</definedName>
    <definedName name="Z_2F5D2611_A2AC_4668_B979_0EE258BE5F1F_.wvu.Cols" localSheetId="2" hidden="1">'Comments Feeder'!$E:$K,'Comments Feeder'!$O:$P</definedName>
    <definedName name="Z_2F5D2611_A2AC_4668_B979_0EE258BE5F1F_.wvu.Cols" localSheetId="7" hidden="1">COVID!$A:$E,COVID!$L:$M</definedName>
    <definedName name="Z_2F5D2611_A2AC_4668_B979_0EE258BE5F1F_.wvu.Cols" localSheetId="20" hidden="1">'COVID 19'!$A:$E,'COVID 19'!$J:$M</definedName>
    <definedName name="Z_2F5D2611_A2AC_4668_B979_0EE258BE5F1F_.wvu.Cols" localSheetId="25" hidden="1">'COVID 19 '!$A:$E,'COVID 19 '!$J:$M</definedName>
    <definedName name="Z_2F5D2611_A2AC_4668_B979_0EE258BE5F1F_.wvu.Cols" localSheetId="27" hidden="1">'COVID 19  (2)'!$A:$E,'COVID 19  (2)'!$J:$M</definedName>
    <definedName name="Z_2F5D2611_A2AC_4668_B979_0EE258BE5F1F_.wvu.Cols" localSheetId="26" hidden="1">'COVID 19)'!$A:$E,'COVID 19)'!$L:$M</definedName>
    <definedName name="Z_2F5D2611_A2AC_4668_B979_0EE258BE5F1F_.wvu.Cols" localSheetId="16" hidden="1">'COVID sept'!$A:$E,'COVID sept'!$L:$M</definedName>
    <definedName name="Z_2F5D2611_A2AC_4668_B979_0EE258BE5F1F_.wvu.Cols" localSheetId="29" hidden="1">'Last Appendix A'!$E:$K,'Last Appendix A'!$O:$P</definedName>
    <definedName name="Z_2F5D2611_A2AC_4668_B979_0EE258BE5F1F_.wvu.Cols" localSheetId="28" hidden="1">'old Appendix A'!$E:$K,'old Appendix A'!$O:$P</definedName>
    <definedName name="Z_2F5D2611_A2AC_4668_B979_0EE258BE5F1F_.wvu.Cols" localSheetId="6" hidden="1">'old Comments Feeder'!$E:$K,'old Comments Feeder'!$O:$P</definedName>
    <definedName name="Z_2F5D2611_A2AC_4668_B979_0EE258BE5F1F_.wvu.Cols" localSheetId="15" hidden="1">'september Appendix A for report'!$D:$L,'september Appendix A for report'!$P:$U,'september Appendix A for report'!$X:$Y,'september Appendix A for report'!$AC:$AG</definedName>
    <definedName name="Z_2F5D2611_A2AC_4668_B979_0EE258BE5F1F_.wvu.Cols" localSheetId="18" hidden="1">Template!$F:$L,Template!$P:$Q</definedName>
    <definedName name="Z_2F5D2611_A2AC_4668_B979_0EE258BE5F1F_.wvu.FilterData" localSheetId="23" hidden="1">'AJ all trans'!$A$1:$M$2441</definedName>
    <definedName name="Z_2F5D2611_A2AC_4668_B979_0EE258BE5F1F_.wvu.FilterData" localSheetId="21" hidden="1">'All transactions'!$A$1:$L$8964</definedName>
    <definedName name="Z_2F5D2611_A2AC_4668_B979_0EE258BE5F1F_.wvu.FilterData" localSheetId="34" hidden="1">'Appendix A'!#REF!</definedName>
    <definedName name="Z_2F5D2611_A2AC_4668_B979_0EE258BE5F1F_.wvu.FilterData" localSheetId="1" hidden="1">'Appendix A (Original)'!#REF!</definedName>
    <definedName name="Z_2F5D2611_A2AC_4668_B979_0EE258BE5F1F_.wvu.FilterData" localSheetId="0" hidden="1">'Appendix A (updated 24.06)'!#REF!</definedName>
    <definedName name="Z_2F5D2611_A2AC_4668_B979_0EE258BE5F1F_.wvu.FilterData" localSheetId="9" hidden="1">'Appendix A 0407'!#REF!</definedName>
    <definedName name="Z_2F5D2611_A2AC_4668_B979_0EE258BE5F1F_.wvu.FilterData" localSheetId="8" hidden="1">'Appendix A 040722'!#REF!</definedName>
    <definedName name="Z_2F5D2611_A2AC_4668_B979_0EE258BE5F1F_.wvu.FilterData" localSheetId="12" hidden="1">'Appendix A 0607'!#REF!</definedName>
    <definedName name="Z_2F5D2611_A2AC_4668_B979_0EE258BE5F1F_.wvu.FilterData" localSheetId="33" hidden="1">'Appendix A 12.04'!#REF!</definedName>
    <definedName name="Z_2F5D2611_A2AC_4668_B979_0EE258BE5F1F_.wvu.FilterData" localSheetId="32" hidden="1">'Appendix A 21.03'!#REF!</definedName>
    <definedName name="Z_2F5D2611_A2AC_4668_B979_0EE258BE5F1F_.wvu.FilterData" localSheetId="30" hidden="1">'Appendix A 240227'!#REF!</definedName>
    <definedName name="Z_2F5D2611_A2AC_4668_B979_0EE258BE5F1F_.wvu.FilterData" localSheetId="31" hidden="1">'Appendix A 240321'!#REF!</definedName>
    <definedName name="Z_2F5D2611_A2AC_4668_B979_0EE258BE5F1F_.wvu.FilterData" localSheetId="19" hidden="1">'Appendix EX'!$A$1:$A$4313</definedName>
    <definedName name="Z_2F5D2611_A2AC_4668_B979_0EE258BE5F1F_.wvu.FilterData" localSheetId="2" hidden="1">'Comments Feeder'!#REF!</definedName>
    <definedName name="Z_2F5D2611_A2AC_4668_B979_0EE258BE5F1F_.wvu.FilterData" localSheetId="25" hidden="1">'COVID 19 '!$A$6:$Z$35</definedName>
    <definedName name="Z_2F5D2611_A2AC_4668_B979_0EE258BE5F1F_.wvu.FilterData" localSheetId="27" hidden="1">'COVID 19  (2)'!$A$6:$Z$35</definedName>
    <definedName name="Z_2F5D2611_A2AC_4668_B979_0EE258BE5F1F_.wvu.FilterData" localSheetId="26" hidden="1">'COVID 19)'!$A$6:$Z$35</definedName>
    <definedName name="Z_2F5D2611_A2AC_4668_B979_0EE258BE5F1F_.wvu.FilterData" localSheetId="16" hidden="1">'COVID sept'!$A$6:$Z$35</definedName>
    <definedName name="Z_2F5D2611_A2AC_4668_B979_0EE258BE5F1F_.wvu.FilterData" localSheetId="29" hidden="1">'Last Appendix A'!#REF!</definedName>
    <definedName name="Z_2F5D2611_A2AC_4668_B979_0EE258BE5F1F_.wvu.FilterData" localSheetId="28" hidden="1">'old Appendix A'!#REF!</definedName>
    <definedName name="Z_2F5D2611_A2AC_4668_B979_0EE258BE5F1F_.wvu.FilterData" localSheetId="6" hidden="1">'old Comments Feeder'!#REF!</definedName>
    <definedName name="Z_2F5D2611_A2AC_4668_B979_0EE258BE5F1F_.wvu.FilterData" localSheetId="18" hidden="1">Template!$A$1:$A$4220</definedName>
    <definedName name="Z_2F5D2611_A2AC_4668_B979_0EE258BE5F1F_.wvu.Rows" localSheetId="4" hidden="1">Comments!$13:$18</definedName>
    <definedName name="Z_2F5D2611_A2AC_4668_B979_0EE258BE5F1F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30C3D7AB_E56A_47C2_89EC_1039E259AD4A_.wvu.Cols" localSheetId="4" hidden="1">Comments!$C:$E</definedName>
    <definedName name="Z_3B23E653_76A9_48FF_B773_54124E6EE6DA_.wvu.Cols" localSheetId="34" hidden="1">'Appendix A'!$E:$K,'Appendix A'!$Y:$Z</definedName>
    <definedName name="Z_3B23E653_76A9_48FF_B773_54124E6EE6DA_.wvu.Cols" localSheetId="1" hidden="1">'Appendix A (Original)'!$E:$K,'Appendix A (Original)'!$Y:$Z</definedName>
    <definedName name="Z_3B23E653_76A9_48FF_B773_54124E6EE6DA_.wvu.Cols" localSheetId="0" hidden="1">'Appendix A (updated 24.06)'!$E:$K,'Appendix A (updated 24.06)'!$AB:$AC</definedName>
    <definedName name="Z_3B23E653_76A9_48FF_B773_54124E6EE6DA_.wvu.Cols" localSheetId="9" hidden="1">'Appendix A 0407'!$E:$K,'Appendix A 0407'!$Y:$Z</definedName>
    <definedName name="Z_3B23E653_76A9_48FF_B773_54124E6EE6DA_.wvu.Cols" localSheetId="8" hidden="1">'Appendix A 040722'!$E:$K,'Appendix A 040722'!$Y:$Z</definedName>
    <definedName name="Z_3B23E653_76A9_48FF_B773_54124E6EE6DA_.wvu.Cols" localSheetId="12" hidden="1">'Appendix A 0607'!$E:$K,'Appendix A 0607'!$Y:$Z</definedName>
    <definedName name="Z_3B23E653_76A9_48FF_B773_54124E6EE6DA_.wvu.Cols" localSheetId="33" hidden="1">'Appendix A 12.04'!$E:$K,'Appendix A 12.04'!$Y:$Z</definedName>
    <definedName name="Z_3B23E653_76A9_48FF_B773_54124E6EE6DA_.wvu.Cols" localSheetId="32" hidden="1">'Appendix A 21.03'!$E:$K,'Appendix A 21.03'!$Y:$Z</definedName>
    <definedName name="Z_3B23E653_76A9_48FF_B773_54124E6EE6DA_.wvu.Cols" localSheetId="30" hidden="1">'Appendix A 240227'!$E:$K,'Appendix A 240227'!$Y:$Z</definedName>
    <definedName name="Z_3B23E653_76A9_48FF_B773_54124E6EE6DA_.wvu.Cols" localSheetId="31" hidden="1">'Appendix A 240321'!$E:$K,'Appendix A 240321'!$Y:$Z</definedName>
    <definedName name="Z_3B23E653_76A9_48FF_B773_54124E6EE6DA_.wvu.Cols" localSheetId="19" hidden="1">'Appendix EX'!$F:$L,'Appendix EX'!$Z:$AA</definedName>
    <definedName name="Z_3B23E653_76A9_48FF_B773_54124E6EE6DA_.wvu.Cols" localSheetId="4" hidden="1">Comments!$D:$E</definedName>
    <definedName name="Z_3B23E653_76A9_48FF_B773_54124E6EE6DA_.wvu.Cols" localSheetId="2" hidden="1">'Comments Feeder'!$E:$K,'Comments Feeder'!$V:$W</definedName>
    <definedName name="Z_3B23E653_76A9_48FF_B773_54124E6EE6DA_.wvu.Cols" localSheetId="29" hidden="1">'Last Appendix A'!$E:$K,'Last Appendix A'!$Y:$Z</definedName>
    <definedName name="Z_3B23E653_76A9_48FF_B773_54124E6EE6DA_.wvu.Cols" localSheetId="28" hidden="1">'old Appendix A'!$E:$K,'old Appendix A'!$Y:$Z</definedName>
    <definedName name="Z_3B23E653_76A9_48FF_B773_54124E6EE6DA_.wvu.Cols" localSheetId="6" hidden="1">'old Comments Feeder'!$E:$K,'old Comments Feeder'!$Y:$Z</definedName>
    <definedName name="Z_3B23E653_76A9_48FF_B773_54124E6EE6DA_.wvu.Cols" localSheetId="15" hidden="1">'september Appendix A for report'!$E:$K,'september Appendix A for report'!$Z:$AA</definedName>
    <definedName name="Z_3B23E653_76A9_48FF_B773_54124E6EE6DA_.wvu.Cols" localSheetId="18" hidden="1">Template!$F:$L,Template!$Z:$AA</definedName>
    <definedName name="Z_3E006852_BD2D_4884_A2A1_BFAEAE24582F_.wvu.Cols" localSheetId="34" hidden="1">'Appendix A'!$E:$K,'Appendix A'!$O:$P</definedName>
    <definedName name="Z_3E006852_BD2D_4884_A2A1_BFAEAE24582F_.wvu.Cols" localSheetId="1" hidden="1">'Appendix A (Original)'!$E:$K,'Appendix A (Original)'!$O:$P</definedName>
    <definedName name="Z_3E006852_BD2D_4884_A2A1_BFAEAE24582F_.wvu.Cols" localSheetId="0" hidden="1">'Appendix A (updated 24.06)'!$E:$K,'Appendix A (updated 24.06)'!$O:$P</definedName>
    <definedName name="Z_3E006852_BD2D_4884_A2A1_BFAEAE24582F_.wvu.Cols" localSheetId="9" hidden="1">'Appendix A 0407'!$E:$K,'Appendix A 0407'!$O:$P</definedName>
    <definedName name="Z_3E006852_BD2D_4884_A2A1_BFAEAE24582F_.wvu.Cols" localSheetId="8" hidden="1">'Appendix A 040722'!$E:$K,'Appendix A 040722'!$O:$P</definedName>
    <definedName name="Z_3E006852_BD2D_4884_A2A1_BFAEAE24582F_.wvu.Cols" localSheetId="12" hidden="1">'Appendix A 0607'!$E:$K,'Appendix A 0607'!$O:$P</definedName>
    <definedName name="Z_3E006852_BD2D_4884_A2A1_BFAEAE24582F_.wvu.Cols" localSheetId="33" hidden="1">'Appendix A 12.04'!$E:$K,'Appendix A 12.04'!$O:$P</definedName>
    <definedName name="Z_3E006852_BD2D_4884_A2A1_BFAEAE24582F_.wvu.Cols" localSheetId="32" hidden="1">'Appendix A 21.03'!$E:$K,'Appendix A 21.03'!$O:$P</definedName>
    <definedName name="Z_3E006852_BD2D_4884_A2A1_BFAEAE24582F_.wvu.Cols" localSheetId="30" hidden="1">'Appendix A 240227'!$E:$K,'Appendix A 240227'!$O:$P</definedName>
    <definedName name="Z_3E006852_BD2D_4884_A2A1_BFAEAE24582F_.wvu.Cols" localSheetId="31" hidden="1">'Appendix A 240321'!$E:$K,'Appendix A 240321'!$O:$P</definedName>
    <definedName name="Z_3E006852_BD2D_4884_A2A1_BFAEAE24582F_.wvu.Cols" localSheetId="19" hidden="1">'Appendix EX'!$F:$L,'Appendix EX'!$P:$Q</definedName>
    <definedName name="Z_3E006852_BD2D_4884_A2A1_BFAEAE24582F_.wvu.Cols" localSheetId="4" hidden="1">Comments!$C:$E</definedName>
    <definedName name="Z_3E006852_BD2D_4884_A2A1_BFAEAE24582F_.wvu.Cols" localSheetId="2" hidden="1">'Comments Feeder'!$E:$K,'Comments Feeder'!$O:$P</definedName>
    <definedName name="Z_3E006852_BD2D_4884_A2A1_BFAEAE24582F_.wvu.Cols" localSheetId="7" hidden="1">COVID!$A:$E,COVID!$L:$M</definedName>
    <definedName name="Z_3E006852_BD2D_4884_A2A1_BFAEAE24582F_.wvu.Cols" localSheetId="20" hidden="1">'COVID 19'!$A:$E,'COVID 19'!$J:$M</definedName>
    <definedName name="Z_3E006852_BD2D_4884_A2A1_BFAEAE24582F_.wvu.Cols" localSheetId="25" hidden="1">'COVID 19 '!$A:$E,'COVID 19 '!$J:$M</definedName>
    <definedName name="Z_3E006852_BD2D_4884_A2A1_BFAEAE24582F_.wvu.Cols" localSheetId="27" hidden="1">'COVID 19  (2)'!$A:$E,'COVID 19  (2)'!$J:$M</definedName>
    <definedName name="Z_3E006852_BD2D_4884_A2A1_BFAEAE24582F_.wvu.Cols" localSheetId="26" hidden="1">'COVID 19)'!$A:$E,'COVID 19)'!$L:$M</definedName>
    <definedName name="Z_3E006852_BD2D_4884_A2A1_BFAEAE24582F_.wvu.Cols" localSheetId="16" hidden="1">'COVID sept'!$A:$E,'COVID sept'!$L:$M</definedName>
    <definedName name="Z_3E006852_BD2D_4884_A2A1_BFAEAE24582F_.wvu.Cols" localSheetId="29" hidden="1">'Last Appendix A'!$E:$K,'Last Appendix A'!$O:$P</definedName>
    <definedName name="Z_3E006852_BD2D_4884_A2A1_BFAEAE24582F_.wvu.Cols" localSheetId="28" hidden="1">'old Appendix A'!$E:$K,'old Appendix A'!$O:$P</definedName>
    <definedName name="Z_3E006852_BD2D_4884_A2A1_BFAEAE24582F_.wvu.Cols" localSheetId="6" hidden="1">'old Comments Feeder'!$E:$K,'old Comments Feeder'!$O:$P</definedName>
    <definedName name="Z_3E006852_BD2D_4884_A2A1_BFAEAE24582F_.wvu.Cols" localSheetId="15" hidden="1">'september Appendix A for report'!$D:$L,'september Appendix A for report'!$P:$U,'september Appendix A for report'!$X:$Y,'september Appendix A for report'!$AC:$AG</definedName>
    <definedName name="Z_3E006852_BD2D_4884_A2A1_BFAEAE24582F_.wvu.Cols" localSheetId="18" hidden="1">Template!$F:$L,Template!$P:$Q</definedName>
    <definedName name="Z_3E006852_BD2D_4884_A2A1_BFAEAE24582F_.wvu.FilterData" localSheetId="23" hidden="1">'AJ all trans'!$A$1:$M$2441</definedName>
    <definedName name="Z_3E006852_BD2D_4884_A2A1_BFAEAE24582F_.wvu.FilterData" localSheetId="21" hidden="1">'All transactions'!$A$1:$L$8964</definedName>
    <definedName name="Z_3E006852_BD2D_4884_A2A1_BFAEAE24582F_.wvu.FilterData" localSheetId="34" hidden="1">'Appendix A'!#REF!</definedName>
    <definedName name="Z_3E006852_BD2D_4884_A2A1_BFAEAE24582F_.wvu.FilterData" localSheetId="1" hidden="1">'Appendix A (Original)'!#REF!</definedName>
    <definedName name="Z_3E006852_BD2D_4884_A2A1_BFAEAE24582F_.wvu.FilterData" localSheetId="0" hidden="1">'Appendix A (updated 24.06)'!#REF!</definedName>
    <definedName name="Z_3E006852_BD2D_4884_A2A1_BFAEAE24582F_.wvu.FilterData" localSheetId="9" hidden="1">'Appendix A 0407'!#REF!</definedName>
    <definedName name="Z_3E006852_BD2D_4884_A2A1_BFAEAE24582F_.wvu.FilterData" localSheetId="8" hidden="1">'Appendix A 040722'!#REF!</definedName>
    <definedName name="Z_3E006852_BD2D_4884_A2A1_BFAEAE24582F_.wvu.FilterData" localSheetId="12" hidden="1">'Appendix A 0607'!#REF!</definedName>
    <definedName name="Z_3E006852_BD2D_4884_A2A1_BFAEAE24582F_.wvu.FilterData" localSheetId="33" hidden="1">'Appendix A 12.04'!#REF!</definedName>
    <definedName name="Z_3E006852_BD2D_4884_A2A1_BFAEAE24582F_.wvu.FilterData" localSheetId="32" hidden="1">'Appendix A 21.03'!#REF!</definedName>
    <definedName name="Z_3E006852_BD2D_4884_A2A1_BFAEAE24582F_.wvu.FilterData" localSheetId="30" hidden="1">'Appendix A 240227'!#REF!</definedName>
    <definedName name="Z_3E006852_BD2D_4884_A2A1_BFAEAE24582F_.wvu.FilterData" localSheetId="31" hidden="1">'Appendix A 240321'!#REF!</definedName>
    <definedName name="Z_3E006852_BD2D_4884_A2A1_BFAEAE24582F_.wvu.FilterData" localSheetId="19" hidden="1">'Appendix EX'!$A$1:$A$4313</definedName>
    <definedName name="Z_3E006852_BD2D_4884_A2A1_BFAEAE24582F_.wvu.FilterData" localSheetId="2" hidden="1">'Comments Feeder'!#REF!</definedName>
    <definedName name="Z_3E006852_BD2D_4884_A2A1_BFAEAE24582F_.wvu.FilterData" localSheetId="25" hidden="1">'COVID 19 '!$A$6:$Z$35</definedName>
    <definedName name="Z_3E006852_BD2D_4884_A2A1_BFAEAE24582F_.wvu.FilterData" localSheetId="27" hidden="1">'COVID 19  (2)'!$A$6:$Z$35</definedName>
    <definedName name="Z_3E006852_BD2D_4884_A2A1_BFAEAE24582F_.wvu.FilterData" localSheetId="26" hidden="1">'COVID 19)'!$A$6:$Z$35</definedName>
    <definedName name="Z_3E006852_BD2D_4884_A2A1_BFAEAE24582F_.wvu.FilterData" localSheetId="16" hidden="1">'COVID sept'!$A$6:$Z$35</definedName>
    <definedName name="Z_3E006852_BD2D_4884_A2A1_BFAEAE24582F_.wvu.FilterData" localSheetId="29" hidden="1">'Last Appendix A'!#REF!</definedName>
    <definedName name="Z_3E006852_BD2D_4884_A2A1_BFAEAE24582F_.wvu.FilterData" localSheetId="28" hidden="1">'old Appendix A'!#REF!</definedName>
    <definedName name="Z_3E006852_BD2D_4884_A2A1_BFAEAE24582F_.wvu.FilterData" localSheetId="6" hidden="1">'old Comments Feeder'!#REF!</definedName>
    <definedName name="Z_3E006852_BD2D_4884_A2A1_BFAEAE24582F_.wvu.FilterData" localSheetId="18" hidden="1">Template!$A$1:$A$4220</definedName>
    <definedName name="Z_3E006852_BD2D_4884_A2A1_BFAEAE24582F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423F7E4C_3EA6_4A35_AECA_AD1852DC222C_.wvu.Cols" localSheetId="34" hidden="1">'Appendix A'!$E:$K,'Appendix A'!$M:$M,'Appendix A'!$Y:$Z</definedName>
    <definedName name="Z_423F7E4C_3EA6_4A35_AECA_AD1852DC222C_.wvu.Cols" localSheetId="1" hidden="1">'Appendix A (Original)'!$E:$K,'Appendix A (Original)'!$M:$M,'Appendix A (Original)'!$Y:$Z</definedName>
    <definedName name="Z_423F7E4C_3EA6_4A35_AECA_AD1852DC222C_.wvu.Cols" localSheetId="0" hidden="1">'Appendix A (updated 24.06)'!$E:$K,'Appendix A (updated 24.06)'!$M:$M,'Appendix A (updated 24.06)'!$AB:$AC</definedName>
    <definedName name="Z_423F7E4C_3EA6_4A35_AECA_AD1852DC222C_.wvu.Cols" localSheetId="9" hidden="1">'Appendix A 0407'!$E:$K,'Appendix A 0407'!$M:$M,'Appendix A 0407'!$Y:$Z</definedName>
    <definedName name="Z_423F7E4C_3EA6_4A35_AECA_AD1852DC222C_.wvu.Cols" localSheetId="8" hidden="1">'Appendix A 040722'!$E:$K,'Appendix A 040722'!$M:$M,'Appendix A 040722'!$Y:$Z</definedName>
    <definedName name="Z_423F7E4C_3EA6_4A35_AECA_AD1852DC222C_.wvu.Cols" localSheetId="12" hidden="1">'Appendix A 0607'!$E:$K,'Appendix A 0607'!$M:$M,'Appendix A 0607'!$Y:$Z</definedName>
    <definedName name="Z_423F7E4C_3EA6_4A35_AECA_AD1852DC222C_.wvu.Cols" localSheetId="33" hidden="1">'Appendix A 12.04'!$E:$K,'Appendix A 12.04'!$M:$M,'Appendix A 12.04'!$Y:$Z</definedName>
    <definedName name="Z_423F7E4C_3EA6_4A35_AECA_AD1852DC222C_.wvu.Cols" localSheetId="32" hidden="1">'Appendix A 21.03'!$E:$K,'Appendix A 21.03'!$M:$M,'Appendix A 21.03'!$Y:$Z</definedName>
    <definedName name="Z_423F7E4C_3EA6_4A35_AECA_AD1852DC222C_.wvu.Cols" localSheetId="30" hidden="1">'Appendix A 240227'!$E:$K,'Appendix A 240227'!$M:$M,'Appendix A 240227'!$Y:$Z</definedName>
    <definedName name="Z_423F7E4C_3EA6_4A35_AECA_AD1852DC222C_.wvu.Cols" localSheetId="31" hidden="1">'Appendix A 240321'!$E:$K,'Appendix A 240321'!$M:$M,'Appendix A 240321'!$Y:$Z</definedName>
    <definedName name="Z_423F7E4C_3EA6_4A35_AECA_AD1852DC222C_.wvu.Cols" localSheetId="19" hidden="1">'Appendix EX'!$F:$L,'Appendix EX'!$N:$N,'Appendix EX'!$Z:$AA</definedName>
    <definedName name="Z_423F7E4C_3EA6_4A35_AECA_AD1852DC222C_.wvu.Cols" localSheetId="4" hidden="1">Comments!$C:$E</definedName>
    <definedName name="Z_423F7E4C_3EA6_4A35_AECA_AD1852DC222C_.wvu.Cols" localSheetId="2" hidden="1">'Comments Feeder'!$E:$K,'Comments Feeder'!$M:$M,'Comments Feeder'!$V:$W</definedName>
    <definedName name="Z_423F7E4C_3EA6_4A35_AECA_AD1852DC222C_.wvu.Cols" localSheetId="29" hidden="1">'Last Appendix A'!$E:$K,'Last Appendix A'!$M:$M,'Last Appendix A'!$Y:$Z</definedName>
    <definedName name="Z_423F7E4C_3EA6_4A35_AECA_AD1852DC222C_.wvu.Cols" localSheetId="28" hidden="1">'old Appendix A'!$E:$K,'old Appendix A'!$M:$M,'old Appendix A'!$Y:$Z</definedName>
    <definedName name="Z_423F7E4C_3EA6_4A35_AECA_AD1852DC222C_.wvu.Cols" localSheetId="6" hidden="1">'old Comments Feeder'!$E:$K,'old Comments Feeder'!$M:$M,'old Comments Feeder'!$Y:$Z</definedName>
    <definedName name="Z_423F7E4C_3EA6_4A35_AECA_AD1852DC222C_.wvu.Cols" localSheetId="15" hidden="1">'september Appendix A for report'!$E:$K,'september Appendix A for report'!$N:$N,'september Appendix A for report'!$Z:$AA</definedName>
    <definedName name="Z_423F7E4C_3EA6_4A35_AECA_AD1852DC222C_.wvu.Cols" localSheetId="18" hidden="1">Template!$F:$L,Template!$N:$N,Template!$Z:$AA</definedName>
    <definedName name="Z_423F7E4C_3EA6_4A35_AECA_AD1852DC222C_.wvu.Rows" localSheetId="34" hidden="1">'Appendix A'!#REF!,'Appendix A'!#REF!,'Appendix A'!#REF!,'Appendix A'!#REF!,'Appendix A'!#REF!,'Appendix A'!#REF!,'Appendix A'!#REF!,'Appendix A'!#REF!,'Appendix A'!#REF!,'Appendix A'!#REF!,'Appendix A'!#REF!,'Appendix A'!#REF!,'Appendix A'!#REF!</definedName>
    <definedName name="Z_423F7E4C_3EA6_4A35_AECA_AD1852DC222C_.wvu.Rows" localSheetId="1" hidden="1">'Appendix A (Original)'!#REF!,'Appendix A (Original)'!#REF!,'Appendix A (Original)'!#REF!,'Appendix A (Original)'!#REF!,'Appendix A (Original)'!#REF!,'Appendix A (Original)'!#REF!,'Appendix A (Original)'!#REF!,'Appendix A (Original)'!#REF!,'Appendix A (Original)'!#REF!,'Appendix A (Original)'!#REF!,'Appendix A (Original)'!#REF!,'Appendix A (Original)'!#REF!,'Appendix A (Original)'!#REF!</definedName>
    <definedName name="Z_423F7E4C_3EA6_4A35_AECA_AD1852DC222C_.wvu.Rows" localSheetId="0" hidden="1">'Appendix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definedName>
    <definedName name="Z_423F7E4C_3EA6_4A35_AECA_AD1852DC222C_.wvu.Rows" localSheetId="9" hidden="1">'Appendix A 0407'!#REF!,'Appendix A 0407'!#REF!,'Appendix A 0407'!#REF!,'Appendix A 0407'!#REF!,'Appendix A 0407'!#REF!,'Appendix A 0407'!#REF!,'Appendix A 0407'!#REF!,'Appendix A 0407'!#REF!,'Appendix A 0407'!#REF!,'Appendix A 0407'!#REF!,'Appendix A 0407'!#REF!,'Appendix A 0407'!#REF!,'Appendix A 0407'!#REF!</definedName>
    <definedName name="Z_423F7E4C_3EA6_4A35_AECA_AD1852DC222C_.wvu.Rows" localSheetId="8" hidden="1">'Appendix A 040722'!#REF!,'Appendix A 040722'!#REF!,'Appendix A 040722'!#REF!,'Appendix A 040722'!#REF!,'Appendix A 040722'!#REF!,'Appendix A 040722'!#REF!,'Appendix A 040722'!#REF!,'Appendix A 040722'!#REF!,'Appendix A 040722'!#REF!,'Appendix A 040722'!#REF!,'Appendix A 040722'!#REF!,'Appendix A 040722'!#REF!,'Appendix A 040722'!#REF!</definedName>
    <definedName name="Z_423F7E4C_3EA6_4A35_AECA_AD1852DC222C_.wvu.Rows" localSheetId="12" hidden="1">'Appendix A 0607'!#REF!,'Appendix A 0607'!#REF!,'Appendix A 0607'!#REF!,'Appendix A 0607'!#REF!,'Appendix A 0607'!#REF!,'Appendix A 0607'!#REF!,'Appendix A 0607'!#REF!,'Appendix A 0607'!#REF!,'Appendix A 0607'!#REF!,'Appendix A 0607'!#REF!,'Appendix A 0607'!#REF!,'Appendix A 0607'!#REF!,'Appendix A 0607'!#REF!</definedName>
    <definedName name="Z_423F7E4C_3EA6_4A35_AECA_AD1852DC222C_.wvu.Rows" localSheetId="33" hidden="1">'Appendix A 12.04'!#REF!,'Appendix A 12.04'!#REF!,'Appendix A 12.04'!#REF!,'Appendix A 12.04'!#REF!,'Appendix A 12.04'!#REF!,'Appendix A 12.04'!#REF!,'Appendix A 12.04'!#REF!,'Appendix A 12.04'!#REF!,'Appendix A 12.04'!#REF!,'Appendix A 12.04'!#REF!,'Appendix A 12.04'!#REF!,'Appendix A 12.04'!#REF!,'Appendix A 12.04'!#REF!</definedName>
    <definedName name="Z_423F7E4C_3EA6_4A35_AECA_AD1852DC222C_.wvu.Rows" localSheetId="32" hidden="1">'Appendix A 21.03'!#REF!,'Appendix A 21.03'!#REF!,'Appendix A 21.03'!#REF!,'Appendix A 21.03'!#REF!,'Appendix A 21.03'!#REF!,'Appendix A 21.03'!#REF!,'Appendix A 21.03'!#REF!,'Appendix A 21.03'!#REF!,'Appendix A 21.03'!#REF!,'Appendix A 21.03'!#REF!,'Appendix A 21.03'!#REF!,'Appendix A 21.03'!#REF!,'Appendix A 21.03'!#REF!</definedName>
    <definedName name="Z_423F7E4C_3EA6_4A35_AECA_AD1852DC222C_.wvu.Rows" localSheetId="30" hidden="1">'Appendix A 240227'!#REF!,'Appendix A 240227'!#REF!,'Appendix A 240227'!#REF!,'Appendix A 240227'!#REF!,'Appendix A 240227'!#REF!,'Appendix A 240227'!#REF!,'Appendix A 240227'!#REF!,'Appendix A 240227'!#REF!,'Appendix A 240227'!#REF!,'Appendix A 240227'!#REF!,'Appendix A 240227'!#REF!,'Appendix A 240227'!#REF!,'Appendix A 240227'!#REF!</definedName>
    <definedName name="Z_423F7E4C_3EA6_4A35_AECA_AD1852DC222C_.wvu.Rows" localSheetId="31" hidden="1">'Appendix A 240321'!#REF!,'Appendix A 240321'!#REF!,'Appendix A 240321'!#REF!,'Appendix A 240321'!#REF!,'Appendix A 240321'!#REF!,'Appendix A 240321'!#REF!,'Appendix A 240321'!#REF!,'Appendix A 240321'!#REF!,'Appendix A 240321'!#REF!,'Appendix A 240321'!#REF!,'Appendix A 240321'!#REF!,'Appendix A 240321'!#REF!,'Appendix A 240321'!#REF!</definedName>
    <definedName name="Z_423F7E4C_3EA6_4A35_AECA_AD1852DC222C_.wvu.Rows" localSheetId="19" hidden="1">'Appendix EX'!#REF!,'Appendix EX'!#REF!,'Appendix EX'!#REF!,'Appendix EX'!#REF!,'Appendix EX'!#REF!,'Appendix EX'!#REF!,'Appendix EX'!#REF!,'Appendix EX'!#REF!,'Appendix EX'!#REF!,'Appendix EX'!#REF!,'Appendix EX'!#REF!,'Appendix EX'!#REF!,'Appendix EX'!#REF!</definedName>
    <definedName name="Z_423F7E4C_3EA6_4A35_AECA_AD1852DC222C_.wvu.Rows" localSheetId="2" hidden="1">'Comments Feeder'!#REF!,'Comments Feeder'!#REF!,'Comments Feeder'!#REF!,'Comments Feeder'!#REF!,'Comments Feeder'!#REF!,'Comments Feeder'!#REF!,'Comments Feeder'!#REF!,'Comments Feeder'!#REF!,'Comments Feeder'!#REF!,'Comments Feeder'!#REF!,'Comments Feeder'!#REF!,'Comments Feeder'!#REF!,'Comments Feeder'!#REF!</definedName>
    <definedName name="Z_423F7E4C_3EA6_4A35_AECA_AD1852DC222C_.wvu.Rows" localSheetId="29" hidden="1">'Last Appendix A'!#REF!,'Last Appendix A'!#REF!,'Last Appendix A'!#REF!,'Last Appendix A'!#REF!,'Last Appendix A'!#REF!,'Last Appendix A'!#REF!,'Last Appendix A'!#REF!,'Last Appendix A'!#REF!,'Last Appendix A'!#REF!,'Last Appendix A'!#REF!,'Last Appendix A'!#REF!,'Last Appendix A'!#REF!,'Last Appendix A'!#REF!</definedName>
    <definedName name="Z_423F7E4C_3EA6_4A35_AECA_AD1852DC222C_.wvu.Rows" localSheetId="28" hidden="1">'old Appendix A'!#REF!,'old Appendix A'!#REF!,'old Appendix A'!#REF!,'old Appendix A'!#REF!,'old Appendix A'!#REF!,'old Appendix A'!#REF!,'old Appendix A'!#REF!,'old Appendix A'!#REF!,'old Appendix A'!#REF!,'old Appendix A'!#REF!,'old Appendix A'!#REF!,'old Appendix A'!#REF!,'old Appendix A'!#REF!</definedName>
    <definedName name="Z_423F7E4C_3EA6_4A35_AECA_AD1852DC222C_.wvu.Rows" localSheetId="6" hidden="1">'old Comments Feeder'!#REF!,'old Comments Feeder'!#REF!,'old Comments Feeder'!#REF!,'old Comments Feeder'!#REF!,'old Comments Feeder'!#REF!,'old Comments Feeder'!#REF!,'old Comments Feeder'!#REF!,'old Comments Feeder'!#REF!,'old Comments Feeder'!#REF!,'old Comments Feeder'!#REF!,'old Comments Feeder'!#REF!,'old Comments Feeder'!#REF!,'old Comments Feeder'!#REF!</definedName>
    <definedName name="Z_423F7E4C_3EA6_4A35_AECA_AD1852DC222C_.wvu.Rows" localSheetId="15" hidden="1">'september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definedName>
    <definedName name="Z_423F7E4C_3EA6_4A35_AECA_AD1852DC222C_.wvu.Rows" localSheetId="18" hidden="1">Template!#REF!,Template!#REF!,Template!#REF!,Template!#REF!,Template!#REF!,Template!#REF!,Template!#REF!,Template!#REF!,Template!#REF!,Template!#REF!,Template!#REF!,Template!#REF!,Template!#REF!</definedName>
    <definedName name="Z_448507B7_6BA4_47A7_A7D3_9FEBC2036764_.wvu.Cols" localSheetId="4" hidden="1">Comments!$C:$E</definedName>
    <definedName name="Z_45942A6B_DF6C_49E3_BD24_8720D484CA94_.wvu.Cols" localSheetId="34" hidden="1">'Appendix A'!$S:$T</definedName>
    <definedName name="Z_45942A6B_DF6C_49E3_BD24_8720D484CA94_.wvu.Cols" localSheetId="1" hidden="1">'Appendix A (Original)'!$S:$T</definedName>
    <definedName name="Z_45942A6B_DF6C_49E3_BD24_8720D484CA94_.wvu.Cols" localSheetId="0" hidden="1">'Appendix A (updated 24.06)'!$S:$T</definedName>
    <definedName name="Z_45942A6B_DF6C_49E3_BD24_8720D484CA94_.wvu.Cols" localSheetId="9" hidden="1">'Appendix A 0407'!$S:$T</definedName>
    <definedName name="Z_45942A6B_DF6C_49E3_BD24_8720D484CA94_.wvu.Cols" localSheetId="8" hidden="1">'Appendix A 040722'!$S:$T</definedName>
    <definedName name="Z_45942A6B_DF6C_49E3_BD24_8720D484CA94_.wvu.Cols" localSheetId="12" hidden="1">'Appendix A 0607'!$S:$T</definedName>
    <definedName name="Z_45942A6B_DF6C_49E3_BD24_8720D484CA94_.wvu.Cols" localSheetId="33" hidden="1">'Appendix A 12.04'!$S:$T</definedName>
    <definedName name="Z_45942A6B_DF6C_49E3_BD24_8720D484CA94_.wvu.Cols" localSheetId="32" hidden="1">'Appendix A 21.03'!$S:$T</definedName>
    <definedName name="Z_45942A6B_DF6C_49E3_BD24_8720D484CA94_.wvu.Cols" localSheetId="30" hidden="1">'Appendix A 240227'!$S:$T</definedName>
    <definedName name="Z_45942A6B_DF6C_49E3_BD24_8720D484CA94_.wvu.Cols" localSheetId="31" hidden="1">'Appendix A 240321'!$S:$T</definedName>
    <definedName name="Z_45942A6B_DF6C_49E3_BD24_8720D484CA94_.wvu.Cols" localSheetId="19" hidden="1">'Appendix EX'!$T:$U</definedName>
    <definedName name="Z_45942A6B_DF6C_49E3_BD24_8720D484CA94_.wvu.Cols" localSheetId="4" hidden="1">Comments!$D:$E</definedName>
    <definedName name="Z_45942A6B_DF6C_49E3_BD24_8720D484CA94_.wvu.Cols" localSheetId="2" hidden="1">'Comments Feeder'!$S:$T</definedName>
    <definedName name="Z_45942A6B_DF6C_49E3_BD24_8720D484CA94_.wvu.Cols" localSheetId="29" hidden="1">'Last Appendix A'!$S:$T</definedName>
    <definedName name="Z_45942A6B_DF6C_49E3_BD24_8720D484CA94_.wvu.Cols" localSheetId="28" hidden="1">'old Appendix A'!$S:$T</definedName>
    <definedName name="Z_45942A6B_DF6C_49E3_BD24_8720D484CA94_.wvu.Cols" localSheetId="6" hidden="1">'old Comments Feeder'!$S:$T</definedName>
    <definedName name="Z_45942A6B_DF6C_49E3_BD24_8720D484CA94_.wvu.Cols" localSheetId="15" hidden="1">'september Appendix A for report'!$T:$U</definedName>
    <definedName name="Z_45942A6B_DF6C_49E3_BD24_8720D484CA94_.wvu.Cols" localSheetId="18" hidden="1">Template!$T:$U</definedName>
    <definedName name="Z_52271551_57B5_4774_A573_3A332544B78F_.wvu.Cols" localSheetId="4" hidden="1">Comments!$C:$E</definedName>
    <definedName name="Z_52271551_57B5_4774_A573_3A332544B78F_.wvu.PrintArea" localSheetId="34" hidden="1">'Appendix A'!$B$1:$T$83</definedName>
    <definedName name="Z_52271551_57B5_4774_A573_3A332544B78F_.wvu.PrintArea" localSheetId="1" hidden="1">'Appendix A (Original)'!$B$1:$T$79</definedName>
    <definedName name="Z_52271551_57B5_4774_A573_3A332544B78F_.wvu.PrintArea" localSheetId="0" hidden="1">'Appendix A (updated 24.06)'!$B$1:$T$79</definedName>
    <definedName name="Z_52271551_57B5_4774_A573_3A332544B78F_.wvu.PrintArea" localSheetId="9" hidden="1">'Appendix A 0407'!$B$1:$T$79</definedName>
    <definedName name="Z_52271551_57B5_4774_A573_3A332544B78F_.wvu.PrintArea" localSheetId="8" hidden="1">'Appendix A 040722'!$B$1:$T$79</definedName>
    <definedName name="Z_52271551_57B5_4774_A573_3A332544B78F_.wvu.PrintArea" localSheetId="12" hidden="1">'Appendix A 0607'!$B$1:$T$79</definedName>
    <definedName name="Z_52271551_57B5_4774_A573_3A332544B78F_.wvu.PrintArea" localSheetId="33" hidden="1">'Appendix A 12.04'!$B$1:$T$81</definedName>
    <definedName name="Z_52271551_57B5_4774_A573_3A332544B78F_.wvu.PrintArea" localSheetId="32" hidden="1">'Appendix A 21.03'!$B$1:$T$81</definedName>
    <definedName name="Z_52271551_57B5_4774_A573_3A332544B78F_.wvu.PrintArea" localSheetId="30" hidden="1">'Appendix A 240227'!$B$1:$T$81</definedName>
    <definedName name="Z_52271551_57B5_4774_A573_3A332544B78F_.wvu.PrintArea" localSheetId="31" hidden="1">'Appendix A 240321'!$B$1:$T$81</definedName>
    <definedName name="Z_52271551_57B5_4774_A573_3A332544B78F_.wvu.PrintArea" localSheetId="19" hidden="1">'Appendix EX'!$C$2:$U$264</definedName>
    <definedName name="Z_52271551_57B5_4774_A573_3A332544B78F_.wvu.PrintArea" localSheetId="2" hidden="1">'Comments Feeder'!$B$1:$T$81</definedName>
    <definedName name="Z_52271551_57B5_4774_A573_3A332544B78F_.wvu.PrintArea" localSheetId="29" hidden="1">'Last Appendix A'!$B$1:$T$81</definedName>
    <definedName name="Z_52271551_57B5_4774_A573_3A332544B78F_.wvu.PrintArea" localSheetId="28" hidden="1">'old Appendix A'!$B$1:$T$81</definedName>
    <definedName name="Z_52271551_57B5_4774_A573_3A332544B78F_.wvu.PrintArea" localSheetId="6" hidden="1">'old Comments Feeder'!$B$1:$T$79</definedName>
    <definedName name="Z_52271551_57B5_4774_A573_3A332544B78F_.wvu.PrintArea" localSheetId="15" hidden="1">'september Appendix A for report'!$B$1:$U$76</definedName>
    <definedName name="Z_52271551_57B5_4774_A573_3A332544B78F_.wvu.PrintArea" localSheetId="18" hidden="1">Template!$C$2:$U$185</definedName>
    <definedName name="Z_53BDF340_8591_44BD_86B0_AA0F12C9FC43_.wvu.Cols" localSheetId="4" hidden="1">Comments!$C:$E</definedName>
    <definedName name="Z_53BDF340_8591_44BD_86B0_AA0F12C9FC43_.wvu.PrintArea" localSheetId="34" hidden="1">'Appendix A'!$B$1:$T$83</definedName>
    <definedName name="Z_53BDF340_8591_44BD_86B0_AA0F12C9FC43_.wvu.PrintArea" localSheetId="1" hidden="1">'Appendix A (Original)'!$B$1:$T$79</definedName>
    <definedName name="Z_53BDF340_8591_44BD_86B0_AA0F12C9FC43_.wvu.PrintArea" localSheetId="0" hidden="1">'Appendix A (updated 24.06)'!$B$1:$T$79</definedName>
    <definedName name="Z_53BDF340_8591_44BD_86B0_AA0F12C9FC43_.wvu.PrintArea" localSheetId="9" hidden="1">'Appendix A 0407'!$B$1:$T$79</definedName>
    <definedName name="Z_53BDF340_8591_44BD_86B0_AA0F12C9FC43_.wvu.PrintArea" localSheetId="8" hidden="1">'Appendix A 040722'!$B$1:$T$79</definedName>
    <definedName name="Z_53BDF340_8591_44BD_86B0_AA0F12C9FC43_.wvu.PrintArea" localSheetId="12" hidden="1">'Appendix A 0607'!$B$1:$T$79</definedName>
    <definedName name="Z_53BDF340_8591_44BD_86B0_AA0F12C9FC43_.wvu.PrintArea" localSheetId="33" hidden="1">'Appendix A 12.04'!$B$1:$T$81</definedName>
    <definedName name="Z_53BDF340_8591_44BD_86B0_AA0F12C9FC43_.wvu.PrintArea" localSheetId="32" hidden="1">'Appendix A 21.03'!$B$1:$T$81</definedName>
    <definedName name="Z_53BDF340_8591_44BD_86B0_AA0F12C9FC43_.wvu.PrintArea" localSheetId="30" hidden="1">'Appendix A 240227'!$B$1:$T$81</definedName>
    <definedName name="Z_53BDF340_8591_44BD_86B0_AA0F12C9FC43_.wvu.PrintArea" localSheetId="31" hidden="1">'Appendix A 240321'!$B$1:$T$81</definedName>
    <definedName name="Z_53BDF340_8591_44BD_86B0_AA0F12C9FC43_.wvu.PrintArea" localSheetId="19" hidden="1">'Appendix EX'!$C$2:$U$264</definedName>
    <definedName name="Z_53BDF340_8591_44BD_86B0_AA0F12C9FC43_.wvu.PrintArea" localSheetId="2" hidden="1">'Comments Feeder'!$B$1:$T$81</definedName>
    <definedName name="Z_53BDF340_8591_44BD_86B0_AA0F12C9FC43_.wvu.PrintArea" localSheetId="29" hidden="1">'Last Appendix A'!$B$1:$T$81</definedName>
    <definedName name="Z_53BDF340_8591_44BD_86B0_AA0F12C9FC43_.wvu.PrintArea" localSheetId="28" hidden="1">'old Appendix A'!$B$1:$T$81</definedName>
    <definedName name="Z_53BDF340_8591_44BD_86B0_AA0F12C9FC43_.wvu.PrintArea" localSheetId="6" hidden="1">'old Comments Feeder'!$B$1:$T$79</definedName>
    <definedName name="Z_53BDF340_8591_44BD_86B0_AA0F12C9FC43_.wvu.PrintArea" localSheetId="15" hidden="1">'september Appendix A for report'!$B$1:$U$76</definedName>
    <definedName name="Z_53BDF340_8591_44BD_86B0_AA0F12C9FC43_.wvu.PrintArea" localSheetId="18" hidden="1">Template!$C$2:$U$185</definedName>
    <definedName name="Z_53BDF340_8591_44BD_86B0_AA0F12C9FC43_.wvu.Rows" localSheetId="34" hidden="1">'Appendix A'!#REF!,'Appendix A'!#REF!</definedName>
    <definedName name="Z_53BDF340_8591_44BD_86B0_AA0F12C9FC43_.wvu.Rows" localSheetId="1" hidden="1">'Appendix A (Original)'!#REF!,'Appendix A (Original)'!#REF!</definedName>
    <definedName name="Z_53BDF340_8591_44BD_86B0_AA0F12C9FC43_.wvu.Rows" localSheetId="0" hidden="1">'Appendix A (updated 24.06)'!#REF!,'Appendix A (updated 24.06)'!#REF!</definedName>
    <definedName name="Z_53BDF340_8591_44BD_86B0_AA0F12C9FC43_.wvu.Rows" localSheetId="9" hidden="1">'Appendix A 0407'!#REF!,'Appendix A 0407'!#REF!</definedName>
    <definedName name="Z_53BDF340_8591_44BD_86B0_AA0F12C9FC43_.wvu.Rows" localSheetId="8" hidden="1">'Appendix A 040722'!#REF!,'Appendix A 040722'!#REF!</definedName>
    <definedName name="Z_53BDF340_8591_44BD_86B0_AA0F12C9FC43_.wvu.Rows" localSheetId="12" hidden="1">'Appendix A 0607'!#REF!,'Appendix A 0607'!#REF!</definedName>
    <definedName name="Z_53BDF340_8591_44BD_86B0_AA0F12C9FC43_.wvu.Rows" localSheetId="33" hidden="1">'Appendix A 12.04'!#REF!,'Appendix A 12.04'!#REF!</definedName>
    <definedName name="Z_53BDF340_8591_44BD_86B0_AA0F12C9FC43_.wvu.Rows" localSheetId="32" hidden="1">'Appendix A 21.03'!#REF!,'Appendix A 21.03'!#REF!</definedName>
    <definedName name="Z_53BDF340_8591_44BD_86B0_AA0F12C9FC43_.wvu.Rows" localSheetId="30" hidden="1">'Appendix A 240227'!#REF!,'Appendix A 240227'!#REF!</definedName>
    <definedName name="Z_53BDF340_8591_44BD_86B0_AA0F12C9FC43_.wvu.Rows" localSheetId="31" hidden="1">'Appendix A 240321'!#REF!,'Appendix A 240321'!#REF!</definedName>
    <definedName name="Z_53BDF340_8591_44BD_86B0_AA0F12C9FC43_.wvu.Rows" localSheetId="19" hidden="1">'Appendix EX'!#REF!,'Appendix EX'!#REF!</definedName>
    <definedName name="Z_53BDF340_8591_44BD_86B0_AA0F12C9FC43_.wvu.Rows" localSheetId="2" hidden="1">'Comments Feeder'!#REF!,'Comments Feeder'!#REF!</definedName>
    <definedName name="Z_53BDF340_8591_44BD_86B0_AA0F12C9FC43_.wvu.Rows" localSheetId="29" hidden="1">'Last Appendix A'!#REF!,'Last Appendix A'!#REF!</definedName>
    <definedName name="Z_53BDF340_8591_44BD_86B0_AA0F12C9FC43_.wvu.Rows" localSheetId="28" hidden="1">'old Appendix A'!#REF!,'old Appendix A'!#REF!</definedName>
    <definedName name="Z_53BDF340_8591_44BD_86B0_AA0F12C9FC43_.wvu.Rows" localSheetId="6" hidden="1">'old Comments Feeder'!#REF!,'old Comments Feeder'!#REF!</definedName>
    <definedName name="Z_53BDF340_8591_44BD_86B0_AA0F12C9FC43_.wvu.Rows" localSheetId="15" hidden="1">'september Appendix A for report'!#REF!,'september Appendix A for report'!#REF!</definedName>
    <definedName name="Z_53BDF340_8591_44BD_86B0_AA0F12C9FC43_.wvu.Rows" localSheetId="18" hidden="1">Template!#REF!,Template!#REF!</definedName>
    <definedName name="Z_599C56AE_27D6_400B_A8AC_381136D966A8_.wvu.Cols" localSheetId="34" hidden="1">'Appendix A'!$E:$K</definedName>
    <definedName name="Z_599C56AE_27D6_400B_A8AC_381136D966A8_.wvu.Cols" localSheetId="1" hidden="1">'Appendix A (Original)'!$E:$K</definedName>
    <definedName name="Z_599C56AE_27D6_400B_A8AC_381136D966A8_.wvu.Cols" localSheetId="0" hidden="1">'Appendix A (updated 24.06)'!$E:$K</definedName>
    <definedName name="Z_599C56AE_27D6_400B_A8AC_381136D966A8_.wvu.Cols" localSheetId="9" hidden="1">'Appendix A 0407'!$E:$K</definedName>
    <definedName name="Z_599C56AE_27D6_400B_A8AC_381136D966A8_.wvu.Cols" localSheetId="8" hidden="1">'Appendix A 040722'!$E:$K</definedName>
    <definedName name="Z_599C56AE_27D6_400B_A8AC_381136D966A8_.wvu.Cols" localSheetId="12" hidden="1">'Appendix A 0607'!$E:$K</definedName>
    <definedName name="Z_599C56AE_27D6_400B_A8AC_381136D966A8_.wvu.Cols" localSheetId="33" hidden="1">'Appendix A 12.04'!$E:$K</definedName>
    <definedName name="Z_599C56AE_27D6_400B_A8AC_381136D966A8_.wvu.Cols" localSheetId="32" hidden="1">'Appendix A 21.03'!$E:$K</definedName>
    <definedName name="Z_599C56AE_27D6_400B_A8AC_381136D966A8_.wvu.Cols" localSheetId="30" hidden="1">'Appendix A 240227'!$E:$K</definedName>
    <definedName name="Z_599C56AE_27D6_400B_A8AC_381136D966A8_.wvu.Cols" localSheetId="31" hidden="1">'Appendix A 240321'!$E:$K</definedName>
    <definedName name="Z_599C56AE_27D6_400B_A8AC_381136D966A8_.wvu.Cols" localSheetId="19" hidden="1">'Appendix EX'!$F:$L</definedName>
    <definedName name="Z_599C56AE_27D6_400B_A8AC_381136D966A8_.wvu.Cols" localSheetId="4" hidden="1">Comments!$D:$E</definedName>
    <definedName name="Z_599C56AE_27D6_400B_A8AC_381136D966A8_.wvu.Cols" localSheetId="2" hidden="1">'Comments Feeder'!$E:$K</definedName>
    <definedName name="Z_599C56AE_27D6_400B_A8AC_381136D966A8_.wvu.Cols" localSheetId="29" hidden="1">'Last Appendix A'!$E:$K</definedName>
    <definedName name="Z_599C56AE_27D6_400B_A8AC_381136D966A8_.wvu.Cols" localSheetId="28" hidden="1">'old Appendix A'!$E:$K</definedName>
    <definedName name="Z_599C56AE_27D6_400B_A8AC_381136D966A8_.wvu.Cols" localSheetId="6" hidden="1">'old Comments Feeder'!$E:$K</definedName>
    <definedName name="Z_599C56AE_27D6_400B_A8AC_381136D966A8_.wvu.Cols" localSheetId="15" hidden="1">'september Appendix A for report'!$E:$K</definedName>
    <definedName name="Z_599C56AE_27D6_400B_A8AC_381136D966A8_.wvu.Cols" localSheetId="18" hidden="1">Template!$F:$L</definedName>
    <definedName name="Z_60D33D53_3876_4BBF_9379_C28529654F04_.wvu.Cols" localSheetId="30" hidden="1">'Appendix A 240227'!$E:$K,'Appendix A 240227'!$O:$P</definedName>
    <definedName name="Z_60D33D53_3876_4BBF_9379_C28529654F04_.wvu.FilterData" localSheetId="30" hidden="1">'Appendix A 240227'!#REF!</definedName>
    <definedName name="Z_6189AEF8_7BA7_4331_BA5E_814E96FAF5B2_.wvu.Cols" localSheetId="34" hidden="1">'Appendix A'!#REF!</definedName>
    <definedName name="Z_6189AEF8_7BA7_4331_BA5E_814E96FAF5B2_.wvu.Cols" localSheetId="1" hidden="1">'Appendix A (Original)'!#REF!</definedName>
    <definedName name="Z_6189AEF8_7BA7_4331_BA5E_814E96FAF5B2_.wvu.Cols" localSheetId="0" hidden="1">'Appendix A (updated 24.06)'!#REF!</definedName>
    <definedName name="Z_6189AEF8_7BA7_4331_BA5E_814E96FAF5B2_.wvu.Cols" localSheetId="9" hidden="1">'Appendix A 0407'!#REF!</definedName>
    <definedName name="Z_6189AEF8_7BA7_4331_BA5E_814E96FAF5B2_.wvu.Cols" localSheetId="8" hidden="1">'Appendix A 040722'!#REF!</definedName>
    <definedName name="Z_6189AEF8_7BA7_4331_BA5E_814E96FAF5B2_.wvu.Cols" localSheetId="12" hidden="1">'Appendix A 0607'!#REF!</definedName>
    <definedName name="Z_6189AEF8_7BA7_4331_BA5E_814E96FAF5B2_.wvu.Cols" localSheetId="33" hidden="1">'Appendix A 12.04'!#REF!</definedName>
    <definedName name="Z_6189AEF8_7BA7_4331_BA5E_814E96FAF5B2_.wvu.Cols" localSheetId="32" hidden="1">'Appendix A 21.03'!#REF!</definedName>
    <definedName name="Z_6189AEF8_7BA7_4331_BA5E_814E96FAF5B2_.wvu.Cols" localSheetId="30" hidden="1">'Appendix A 240227'!#REF!</definedName>
    <definedName name="Z_6189AEF8_7BA7_4331_BA5E_814E96FAF5B2_.wvu.Cols" localSheetId="31" hidden="1">'Appendix A 240321'!#REF!</definedName>
    <definedName name="Z_6189AEF8_7BA7_4331_BA5E_814E96FAF5B2_.wvu.Cols" localSheetId="19" hidden="1">'Appendix EX'!#REF!</definedName>
    <definedName name="Z_6189AEF8_7BA7_4331_BA5E_814E96FAF5B2_.wvu.Cols" localSheetId="4" hidden="1">Comments!$D:$E</definedName>
    <definedName name="Z_6189AEF8_7BA7_4331_BA5E_814E96FAF5B2_.wvu.Cols" localSheetId="2" hidden="1">'Comments Feeder'!#REF!</definedName>
    <definedName name="Z_6189AEF8_7BA7_4331_BA5E_814E96FAF5B2_.wvu.Cols" localSheetId="29" hidden="1">'Last Appendix A'!#REF!</definedName>
    <definedName name="Z_6189AEF8_7BA7_4331_BA5E_814E96FAF5B2_.wvu.Cols" localSheetId="28" hidden="1">'old Appendix A'!#REF!</definedName>
    <definedName name="Z_6189AEF8_7BA7_4331_BA5E_814E96FAF5B2_.wvu.Cols" localSheetId="6" hidden="1">'old Comments Feeder'!#REF!</definedName>
    <definedName name="Z_6189AEF8_7BA7_4331_BA5E_814E96FAF5B2_.wvu.Cols" localSheetId="15" hidden="1">'september Appendix A for report'!#REF!</definedName>
    <definedName name="Z_6189AEF8_7BA7_4331_BA5E_814E96FAF5B2_.wvu.Cols" localSheetId="18" hidden="1">Template!#REF!</definedName>
    <definedName name="Z_699513E6_E09B_4BFD_AF29_CB8558C8F135_.wvu.Cols" localSheetId="34" hidden="1">'Appendix A'!$E:$K,'Appendix A'!$M:$M</definedName>
    <definedName name="Z_699513E6_E09B_4BFD_AF29_CB8558C8F135_.wvu.Cols" localSheetId="1" hidden="1">'Appendix A (Original)'!$E:$K,'Appendix A (Original)'!$M:$M</definedName>
    <definedName name="Z_699513E6_E09B_4BFD_AF29_CB8558C8F135_.wvu.Cols" localSheetId="0" hidden="1">'Appendix A (updated 24.06)'!$E:$K,'Appendix A (updated 24.06)'!$M:$M</definedName>
    <definedName name="Z_699513E6_E09B_4BFD_AF29_CB8558C8F135_.wvu.Cols" localSheetId="9" hidden="1">'Appendix A 0407'!$E:$K,'Appendix A 0407'!$M:$M</definedName>
    <definedName name="Z_699513E6_E09B_4BFD_AF29_CB8558C8F135_.wvu.Cols" localSheetId="8" hidden="1">'Appendix A 040722'!$E:$K,'Appendix A 040722'!$M:$M</definedName>
    <definedName name="Z_699513E6_E09B_4BFD_AF29_CB8558C8F135_.wvu.Cols" localSheetId="12" hidden="1">'Appendix A 0607'!$E:$K,'Appendix A 0607'!$M:$M</definedName>
    <definedName name="Z_699513E6_E09B_4BFD_AF29_CB8558C8F135_.wvu.Cols" localSheetId="33" hidden="1">'Appendix A 12.04'!$E:$K,'Appendix A 12.04'!$M:$M</definedName>
    <definedName name="Z_699513E6_E09B_4BFD_AF29_CB8558C8F135_.wvu.Cols" localSheetId="32" hidden="1">'Appendix A 21.03'!$E:$K,'Appendix A 21.03'!$M:$M</definedName>
    <definedName name="Z_699513E6_E09B_4BFD_AF29_CB8558C8F135_.wvu.Cols" localSheetId="30" hidden="1">'Appendix A 240227'!$E:$K,'Appendix A 240227'!$M:$M</definedName>
    <definedName name="Z_699513E6_E09B_4BFD_AF29_CB8558C8F135_.wvu.Cols" localSheetId="31" hidden="1">'Appendix A 240321'!$E:$K,'Appendix A 240321'!$M:$M</definedName>
    <definedName name="Z_699513E6_E09B_4BFD_AF29_CB8558C8F135_.wvu.Cols" localSheetId="19" hidden="1">'Appendix EX'!$F:$L,'Appendix EX'!$N:$N</definedName>
    <definedName name="Z_699513E6_E09B_4BFD_AF29_CB8558C8F135_.wvu.Cols" localSheetId="4" hidden="1">Comments!$C:$E</definedName>
    <definedName name="Z_699513E6_E09B_4BFD_AF29_CB8558C8F135_.wvu.Cols" localSheetId="2" hidden="1">'Comments Feeder'!$E:$K,'Comments Feeder'!$M:$M</definedName>
    <definedName name="Z_699513E6_E09B_4BFD_AF29_CB8558C8F135_.wvu.Cols" localSheetId="29" hidden="1">'Last Appendix A'!$E:$K,'Last Appendix A'!$M:$M</definedName>
    <definedName name="Z_699513E6_E09B_4BFD_AF29_CB8558C8F135_.wvu.Cols" localSheetId="28" hidden="1">'old Appendix A'!$E:$K,'old Appendix A'!$M:$M</definedName>
    <definedName name="Z_699513E6_E09B_4BFD_AF29_CB8558C8F135_.wvu.Cols" localSheetId="6" hidden="1">'old Comments Feeder'!$E:$K,'old Comments Feeder'!$M:$M</definedName>
    <definedName name="Z_699513E6_E09B_4BFD_AF29_CB8558C8F135_.wvu.Cols" localSheetId="15" hidden="1">'september Appendix A for report'!$E:$K,'september Appendix A for report'!$N:$N</definedName>
    <definedName name="Z_699513E6_E09B_4BFD_AF29_CB8558C8F135_.wvu.Cols" localSheetId="18" hidden="1">Template!$F:$L,Template!$N:$N</definedName>
    <definedName name="Z_699513E6_E09B_4BFD_AF29_CB8558C8F135_.wvu.PrintArea" localSheetId="34" hidden="1">'Appendix A'!$B$3:$W$83</definedName>
    <definedName name="Z_699513E6_E09B_4BFD_AF29_CB8558C8F135_.wvu.PrintArea" localSheetId="1" hidden="1">'Appendix A (Original)'!$B$2:$W$79</definedName>
    <definedName name="Z_699513E6_E09B_4BFD_AF29_CB8558C8F135_.wvu.PrintArea" localSheetId="0" hidden="1">'Appendix A (updated 24.06)'!$B$2:$Z$79</definedName>
    <definedName name="Z_699513E6_E09B_4BFD_AF29_CB8558C8F135_.wvu.PrintArea" localSheetId="9" hidden="1">'Appendix A 0407'!$B$2:$W$79</definedName>
    <definedName name="Z_699513E6_E09B_4BFD_AF29_CB8558C8F135_.wvu.PrintArea" localSheetId="8" hidden="1">'Appendix A 040722'!$B$2:$W$79</definedName>
    <definedName name="Z_699513E6_E09B_4BFD_AF29_CB8558C8F135_.wvu.PrintArea" localSheetId="12" hidden="1">'Appendix A 0607'!$B$2:$W$79</definedName>
    <definedName name="Z_699513E6_E09B_4BFD_AF29_CB8558C8F135_.wvu.PrintArea" localSheetId="33" hidden="1">'Appendix A 12.04'!$B$2:$W$81</definedName>
    <definedName name="Z_699513E6_E09B_4BFD_AF29_CB8558C8F135_.wvu.PrintArea" localSheetId="32" hidden="1">'Appendix A 21.03'!$B$2:$W$81</definedName>
    <definedName name="Z_699513E6_E09B_4BFD_AF29_CB8558C8F135_.wvu.PrintArea" localSheetId="30" hidden="1">'Appendix A 240227'!$B$2:$W$81</definedName>
    <definedName name="Z_699513E6_E09B_4BFD_AF29_CB8558C8F135_.wvu.PrintArea" localSheetId="31" hidden="1">'Appendix A 240321'!$B$2:$W$81</definedName>
    <definedName name="Z_699513E6_E09B_4BFD_AF29_CB8558C8F135_.wvu.PrintArea" localSheetId="19" hidden="1">'Appendix EX'!$C$177:$X$264</definedName>
    <definedName name="Z_699513E6_E09B_4BFD_AF29_CB8558C8F135_.wvu.PrintArea" localSheetId="2" hidden="1">'Comments Feeder'!$B$2:$W$81</definedName>
    <definedName name="Z_699513E6_E09B_4BFD_AF29_CB8558C8F135_.wvu.PrintArea" localSheetId="29" hidden="1">'Last Appendix A'!$B$2:$W$81</definedName>
    <definedName name="Z_699513E6_E09B_4BFD_AF29_CB8558C8F135_.wvu.PrintArea" localSheetId="28" hidden="1">'old Appendix A'!$B$2:$W$81</definedName>
    <definedName name="Z_699513E6_E09B_4BFD_AF29_CB8558C8F135_.wvu.PrintArea" localSheetId="6" hidden="1">'old Comments Feeder'!$B$2:$W$79</definedName>
    <definedName name="Z_699513E6_E09B_4BFD_AF29_CB8558C8F135_.wvu.PrintArea" localSheetId="15" hidden="1">'september Appendix A for report'!$B$2:$X$76</definedName>
    <definedName name="Z_699513E6_E09B_4BFD_AF29_CB8558C8F135_.wvu.PrintArea" localSheetId="18" hidden="1">Template!$C$176:$X$185</definedName>
    <definedName name="Z_6AD35356_6CD8_4D09_9C9A_B53B6BFE5C64_.wvu.Cols" localSheetId="4" hidden="1">Comments!$C:$E</definedName>
    <definedName name="Z_6CAA6574_0DFC_4FE3_8C41_73F68B4E2CEE_.wvu.Cols" localSheetId="34" hidden="1">'Appendix A'!$E:$K,'Appendix A'!$M:$M,'Appendix A'!$O:$T,'Appendix A'!$W:$Z</definedName>
    <definedName name="Z_6CAA6574_0DFC_4FE3_8C41_73F68B4E2CEE_.wvu.Cols" localSheetId="1" hidden="1">'Appendix A (Original)'!$E:$K,'Appendix A (Original)'!$M:$M,'Appendix A (Original)'!$O:$T,'Appendix A (Original)'!$W:$Z</definedName>
    <definedName name="Z_6CAA6574_0DFC_4FE3_8C41_73F68B4E2CEE_.wvu.Cols" localSheetId="0" hidden="1">'Appendix A (updated 24.06)'!$E:$K,'Appendix A (updated 24.06)'!$M:$M,'Appendix A (updated 24.06)'!$O:$T,'Appendix A (updated 24.06)'!$Z:$AC</definedName>
    <definedName name="Z_6CAA6574_0DFC_4FE3_8C41_73F68B4E2CEE_.wvu.Cols" localSheetId="9" hidden="1">'Appendix A 0407'!$E:$K,'Appendix A 0407'!$M:$M,'Appendix A 0407'!$O:$T,'Appendix A 0407'!$W:$Z</definedName>
    <definedName name="Z_6CAA6574_0DFC_4FE3_8C41_73F68B4E2CEE_.wvu.Cols" localSheetId="8" hidden="1">'Appendix A 040722'!$E:$K,'Appendix A 040722'!$M:$M,'Appendix A 040722'!$O:$T,'Appendix A 040722'!$W:$Z</definedName>
    <definedName name="Z_6CAA6574_0DFC_4FE3_8C41_73F68B4E2CEE_.wvu.Cols" localSheetId="12" hidden="1">'Appendix A 0607'!$E:$K,'Appendix A 0607'!$M:$M,'Appendix A 0607'!$O:$T,'Appendix A 0607'!$W:$Z</definedName>
    <definedName name="Z_6CAA6574_0DFC_4FE3_8C41_73F68B4E2CEE_.wvu.Cols" localSheetId="33" hidden="1">'Appendix A 12.04'!$E:$K,'Appendix A 12.04'!$M:$M,'Appendix A 12.04'!$O:$T,'Appendix A 12.04'!$W:$Z</definedName>
    <definedName name="Z_6CAA6574_0DFC_4FE3_8C41_73F68B4E2CEE_.wvu.Cols" localSheetId="32" hidden="1">'Appendix A 21.03'!$E:$K,'Appendix A 21.03'!$M:$M,'Appendix A 21.03'!$O:$T,'Appendix A 21.03'!$W:$Z</definedName>
    <definedName name="Z_6CAA6574_0DFC_4FE3_8C41_73F68B4E2CEE_.wvu.Cols" localSheetId="30" hidden="1">'Appendix A 240227'!$E:$K,'Appendix A 240227'!$M:$M,'Appendix A 240227'!$O:$T,'Appendix A 240227'!$W:$Z</definedName>
    <definedName name="Z_6CAA6574_0DFC_4FE3_8C41_73F68B4E2CEE_.wvu.Cols" localSheetId="31" hidden="1">'Appendix A 240321'!$E:$K,'Appendix A 240321'!$M:$M,'Appendix A 240321'!$O:$T,'Appendix A 240321'!$W:$Z</definedName>
    <definedName name="Z_6CAA6574_0DFC_4FE3_8C41_73F68B4E2CEE_.wvu.Cols" localSheetId="19" hidden="1">'Appendix EX'!$F:$L,'Appendix EX'!$N:$N,'Appendix EX'!$P:$U,'Appendix EX'!$X:$AA</definedName>
    <definedName name="Z_6CAA6574_0DFC_4FE3_8C41_73F68B4E2CEE_.wvu.Cols" localSheetId="4" hidden="1">Comments!$C:$E</definedName>
    <definedName name="Z_6CAA6574_0DFC_4FE3_8C41_73F68B4E2CEE_.wvu.Cols" localSheetId="2" hidden="1">'Comments Feeder'!$E:$K,'Comments Feeder'!$M:$M,'Comments Feeder'!$O:$T,'Comments Feeder'!$V:$W</definedName>
    <definedName name="Z_6CAA6574_0DFC_4FE3_8C41_73F68B4E2CEE_.wvu.Cols" localSheetId="29" hidden="1">'Last Appendix A'!$E:$K,'Last Appendix A'!$M:$M,'Last Appendix A'!$O:$T,'Last Appendix A'!$W:$Z</definedName>
    <definedName name="Z_6CAA6574_0DFC_4FE3_8C41_73F68B4E2CEE_.wvu.Cols" localSheetId="28" hidden="1">'old Appendix A'!$E:$K,'old Appendix A'!$M:$M,'old Appendix A'!$O:$T,'old Appendix A'!$W:$Z</definedName>
    <definedName name="Z_6CAA6574_0DFC_4FE3_8C41_73F68B4E2CEE_.wvu.Cols" localSheetId="6" hidden="1">'old Comments Feeder'!$E:$K,'old Comments Feeder'!$M:$M,'old Comments Feeder'!$O:$T,'old Comments Feeder'!$W:$Z</definedName>
    <definedName name="Z_6CAA6574_0DFC_4FE3_8C41_73F68B4E2CEE_.wvu.Cols" localSheetId="15" hidden="1">'september Appendix A for report'!$E:$K,'september Appendix A for report'!$N:$N,'september Appendix A for report'!$P:$U,'september Appendix A for report'!$X:$AA</definedName>
    <definedName name="Z_6CAA6574_0DFC_4FE3_8C41_73F68B4E2CEE_.wvu.Cols" localSheetId="18" hidden="1">Template!$F:$L,Template!$N:$N,Template!$P:$U,Template!$X:$AA</definedName>
    <definedName name="Z_6CAA6574_0DFC_4FE3_8C41_73F68B4E2CEE_.wvu.PrintArea" localSheetId="34" hidden="1">'Appendix A'!$B$3:$Z$83</definedName>
    <definedName name="Z_6CAA6574_0DFC_4FE3_8C41_73F68B4E2CEE_.wvu.PrintArea" localSheetId="1" hidden="1">'Appendix A (Original)'!$B$2:$Z$79</definedName>
    <definedName name="Z_6CAA6574_0DFC_4FE3_8C41_73F68B4E2CEE_.wvu.PrintArea" localSheetId="0" hidden="1">'Appendix A (updated 24.06)'!$B$2:$AC$79</definedName>
    <definedName name="Z_6CAA6574_0DFC_4FE3_8C41_73F68B4E2CEE_.wvu.PrintArea" localSheetId="9" hidden="1">'Appendix A 0407'!$B$2:$Z$79</definedName>
    <definedName name="Z_6CAA6574_0DFC_4FE3_8C41_73F68B4E2CEE_.wvu.PrintArea" localSheetId="8" hidden="1">'Appendix A 040722'!$B$2:$Z$79</definedName>
    <definedName name="Z_6CAA6574_0DFC_4FE3_8C41_73F68B4E2CEE_.wvu.PrintArea" localSheetId="12" hidden="1">'Appendix A 0607'!$B$2:$Z$79</definedName>
    <definedName name="Z_6CAA6574_0DFC_4FE3_8C41_73F68B4E2CEE_.wvu.PrintArea" localSheetId="33" hidden="1">'Appendix A 12.04'!$B$2:$Z$81</definedName>
    <definedName name="Z_6CAA6574_0DFC_4FE3_8C41_73F68B4E2CEE_.wvu.PrintArea" localSheetId="32" hidden="1">'Appendix A 21.03'!$B$2:$Z$81</definedName>
    <definedName name="Z_6CAA6574_0DFC_4FE3_8C41_73F68B4E2CEE_.wvu.PrintArea" localSheetId="30" hidden="1">'Appendix A 240227'!$B$2:$Z$81</definedName>
    <definedName name="Z_6CAA6574_0DFC_4FE3_8C41_73F68B4E2CEE_.wvu.PrintArea" localSheetId="31" hidden="1">'Appendix A 240321'!$B$2:$Z$81</definedName>
    <definedName name="Z_6CAA6574_0DFC_4FE3_8C41_73F68B4E2CEE_.wvu.PrintArea" localSheetId="19" hidden="1">'Appendix EX'!$C$177:$AA$264</definedName>
    <definedName name="Z_6CAA6574_0DFC_4FE3_8C41_73F68B4E2CEE_.wvu.PrintArea" localSheetId="2" hidden="1">'Comments Feeder'!$B$2:$Z$81</definedName>
    <definedName name="Z_6CAA6574_0DFC_4FE3_8C41_73F68B4E2CEE_.wvu.PrintArea" localSheetId="29" hidden="1">'Last Appendix A'!$B$2:$Z$81</definedName>
    <definedName name="Z_6CAA6574_0DFC_4FE3_8C41_73F68B4E2CEE_.wvu.PrintArea" localSheetId="28" hidden="1">'old Appendix A'!$B$2:$Z$81</definedName>
    <definedName name="Z_6CAA6574_0DFC_4FE3_8C41_73F68B4E2CEE_.wvu.PrintArea" localSheetId="6" hidden="1">'old Comments Feeder'!$B$2:$Z$79</definedName>
    <definedName name="Z_6CAA6574_0DFC_4FE3_8C41_73F68B4E2CEE_.wvu.PrintArea" localSheetId="15" hidden="1">'september Appendix A for report'!$B$2:$AA$76</definedName>
    <definedName name="Z_6CAA6574_0DFC_4FE3_8C41_73F68B4E2CEE_.wvu.PrintArea" localSheetId="18" hidden="1">Template!$C$176:$AA$185</definedName>
    <definedName name="Z_6CAA6574_0DFC_4FE3_8C41_73F68B4E2CEE_.wvu.Rows" localSheetId="34" hidden="1">'Appendix A'!#REF!,'Appendix A'!#REF!,'Appendix A'!#REF!,'Appendix A'!#REF!,'Appendix A'!#REF!,'Appendix A'!#REF!,'Appendix A'!#REF!,'Appendix A'!#REF!,'Appendix A'!#REF!,'Appendix A'!#REF!,'Appendix A'!#REF!,'Appendix A'!#REF!,'Appendix A'!#REF!</definedName>
    <definedName name="Z_6CAA6574_0DFC_4FE3_8C41_73F68B4E2CEE_.wvu.Rows" localSheetId="1" hidden="1">'Appendix A (Original)'!#REF!,'Appendix A (Original)'!#REF!,'Appendix A (Original)'!#REF!,'Appendix A (Original)'!#REF!,'Appendix A (Original)'!#REF!,'Appendix A (Original)'!#REF!,'Appendix A (Original)'!#REF!,'Appendix A (Original)'!#REF!,'Appendix A (Original)'!#REF!,'Appendix A (Original)'!#REF!,'Appendix A (Original)'!#REF!,'Appendix A (Original)'!#REF!,'Appendix A (Original)'!#REF!</definedName>
    <definedName name="Z_6CAA6574_0DFC_4FE3_8C41_73F68B4E2CEE_.wvu.Rows" localSheetId="0" hidden="1">'Appendix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definedName>
    <definedName name="Z_6CAA6574_0DFC_4FE3_8C41_73F68B4E2CEE_.wvu.Rows" localSheetId="9" hidden="1">'Appendix A 0407'!#REF!,'Appendix A 0407'!#REF!,'Appendix A 0407'!#REF!,'Appendix A 0407'!#REF!,'Appendix A 0407'!#REF!,'Appendix A 0407'!#REF!,'Appendix A 0407'!#REF!,'Appendix A 0407'!#REF!,'Appendix A 0407'!#REF!,'Appendix A 0407'!#REF!,'Appendix A 0407'!#REF!,'Appendix A 0407'!#REF!,'Appendix A 0407'!#REF!</definedName>
    <definedName name="Z_6CAA6574_0DFC_4FE3_8C41_73F68B4E2CEE_.wvu.Rows" localSheetId="8" hidden="1">'Appendix A 040722'!#REF!,'Appendix A 040722'!#REF!,'Appendix A 040722'!#REF!,'Appendix A 040722'!#REF!,'Appendix A 040722'!#REF!,'Appendix A 040722'!#REF!,'Appendix A 040722'!#REF!,'Appendix A 040722'!#REF!,'Appendix A 040722'!#REF!,'Appendix A 040722'!#REF!,'Appendix A 040722'!#REF!,'Appendix A 040722'!#REF!,'Appendix A 040722'!#REF!</definedName>
    <definedName name="Z_6CAA6574_0DFC_4FE3_8C41_73F68B4E2CEE_.wvu.Rows" localSheetId="12" hidden="1">'Appendix A 0607'!#REF!,'Appendix A 0607'!#REF!,'Appendix A 0607'!#REF!,'Appendix A 0607'!#REF!,'Appendix A 0607'!#REF!,'Appendix A 0607'!#REF!,'Appendix A 0607'!#REF!,'Appendix A 0607'!#REF!,'Appendix A 0607'!#REF!,'Appendix A 0607'!#REF!,'Appendix A 0607'!#REF!,'Appendix A 0607'!#REF!,'Appendix A 0607'!#REF!</definedName>
    <definedName name="Z_6CAA6574_0DFC_4FE3_8C41_73F68B4E2CEE_.wvu.Rows" localSheetId="33" hidden="1">'Appendix A 12.04'!#REF!,'Appendix A 12.04'!#REF!,'Appendix A 12.04'!#REF!,'Appendix A 12.04'!#REF!,'Appendix A 12.04'!#REF!,'Appendix A 12.04'!#REF!,'Appendix A 12.04'!#REF!,'Appendix A 12.04'!#REF!,'Appendix A 12.04'!#REF!,'Appendix A 12.04'!#REF!,'Appendix A 12.04'!#REF!,'Appendix A 12.04'!#REF!,'Appendix A 12.04'!#REF!</definedName>
    <definedName name="Z_6CAA6574_0DFC_4FE3_8C41_73F68B4E2CEE_.wvu.Rows" localSheetId="32" hidden="1">'Appendix A 21.03'!#REF!,'Appendix A 21.03'!#REF!,'Appendix A 21.03'!#REF!,'Appendix A 21.03'!#REF!,'Appendix A 21.03'!#REF!,'Appendix A 21.03'!#REF!,'Appendix A 21.03'!#REF!,'Appendix A 21.03'!#REF!,'Appendix A 21.03'!#REF!,'Appendix A 21.03'!#REF!,'Appendix A 21.03'!#REF!,'Appendix A 21.03'!#REF!,'Appendix A 21.03'!#REF!</definedName>
    <definedName name="Z_6CAA6574_0DFC_4FE3_8C41_73F68B4E2CEE_.wvu.Rows" localSheetId="30" hidden="1">'Appendix A 240227'!#REF!,'Appendix A 240227'!#REF!,'Appendix A 240227'!#REF!,'Appendix A 240227'!#REF!,'Appendix A 240227'!#REF!,'Appendix A 240227'!#REF!,'Appendix A 240227'!#REF!,'Appendix A 240227'!#REF!,'Appendix A 240227'!#REF!,'Appendix A 240227'!#REF!,'Appendix A 240227'!#REF!,'Appendix A 240227'!#REF!,'Appendix A 240227'!#REF!</definedName>
    <definedName name="Z_6CAA6574_0DFC_4FE3_8C41_73F68B4E2CEE_.wvu.Rows" localSheetId="31" hidden="1">'Appendix A 240321'!#REF!,'Appendix A 240321'!#REF!,'Appendix A 240321'!#REF!,'Appendix A 240321'!#REF!,'Appendix A 240321'!#REF!,'Appendix A 240321'!#REF!,'Appendix A 240321'!#REF!,'Appendix A 240321'!#REF!,'Appendix A 240321'!#REF!,'Appendix A 240321'!#REF!,'Appendix A 240321'!#REF!,'Appendix A 240321'!#REF!,'Appendix A 240321'!#REF!</definedName>
    <definedName name="Z_6CAA6574_0DFC_4FE3_8C41_73F68B4E2CEE_.wvu.Rows" localSheetId="19" hidden="1">'Appendix EX'!#REF!,'Appendix EX'!#REF!,'Appendix EX'!#REF!,'Appendix EX'!#REF!,'Appendix EX'!#REF!,'Appendix EX'!#REF!,'Appendix EX'!#REF!,'Appendix EX'!#REF!,'Appendix EX'!#REF!,'Appendix EX'!#REF!,'Appendix EX'!#REF!,'Appendix EX'!#REF!,'Appendix EX'!#REF!</definedName>
    <definedName name="Z_6CAA6574_0DFC_4FE3_8C41_73F68B4E2CEE_.wvu.Rows" localSheetId="2" hidden="1">'Comments Feeder'!#REF!,'Comments Feeder'!#REF!,'Comments Feeder'!#REF!,'Comments Feeder'!#REF!,'Comments Feeder'!#REF!,'Comments Feeder'!#REF!,'Comments Feeder'!#REF!,'Comments Feeder'!#REF!,'Comments Feeder'!#REF!,'Comments Feeder'!#REF!,'Comments Feeder'!#REF!,'Comments Feeder'!#REF!,'Comments Feeder'!#REF!</definedName>
    <definedName name="Z_6CAA6574_0DFC_4FE3_8C41_73F68B4E2CEE_.wvu.Rows" localSheetId="29" hidden="1">'Last Appendix A'!#REF!,'Last Appendix A'!#REF!,'Last Appendix A'!#REF!,'Last Appendix A'!#REF!,'Last Appendix A'!#REF!,'Last Appendix A'!#REF!,'Last Appendix A'!#REF!,'Last Appendix A'!#REF!,'Last Appendix A'!#REF!,'Last Appendix A'!#REF!,'Last Appendix A'!#REF!,'Last Appendix A'!#REF!,'Last Appendix A'!#REF!</definedName>
    <definedName name="Z_6CAA6574_0DFC_4FE3_8C41_73F68B4E2CEE_.wvu.Rows" localSheetId="28" hidden="1">'old Appendix A'!#REF!,'old Appendix A'!#REF!,'old Appendix A'!#REF!,'old Appendix A'!#REF!,'old Appendix A'!#REF!,'old Appendix A'!#REF!,'old Appendix A'!#REF!,'old Appendix A'!#REF!,'old Appendix A'!#REF!,'old Appendix A'!#REF!,'old Appendix A'!#REF!,'old Appendix A'!#REF!,'old Appendix A'!#REF!</definedName>
    <definedName name="Z_6CAA6574_0DFC_4FE3_8C41_73F68B4E2CEE_.wvu.Rows" localSheetId="6" hidden="1">'old Comments Feeder'!#REF!,'old Comments Feeder'!#REF!,'old Comments Feeder'!#REF!,'old Comments Feeder'!#REF!,'old Comments Feeder'!#REF!,'old Comments Feeder'!#REF!,'old Comments Feeder'!#REF!,'old Comments Feeder'!#REF!,'old Comments Feeder'!#REF!,'old Comments Feeder'!#REF!,'old Comments Feeder'!#REF!,'old Comments Feeder'!#REF!,'old Comments Feeder'!#REF!</definedName>
    <definedName name="Z_6CAA6574_0DFC_4FE3_8C41_73F68B4E2CEE_.wvu.Rows" localSheetId="15" hidden="1">'september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definedName>
    <definedName name="Z_6CAA6574_0DFC_4FE3_8C41_73F68B4E2CEE_.wvu.Rows" localSheetId="18" hidden="1">Template!#REF!,Template!#REF!,Template!#REF!,Template!#REF!,Template!#REF!,Template!#REF!,Template!#REF!,Template!#REF!,Template!#REF!,Template!#REF!,Template!#REF!,Template!#REF!,Template!#REF!</definedName>
    <definedName name="Z_6D908407_2741_4A6D_8138_48EDC81E8A5F_.wvu.Cols" localSheetId="4" hidden="1">Comments!$C:$E</definedName>
    <definedName name="Z_6D908407_2741_4A6D_8138_48EDC81E8A5F_.wvu.PrintArea" localSheetId="34" hidden="1">'Appendix A'!$B$1:$T$83</definedName>
    <definedName name="Z_6D908407_2741_4A6D_8138_48EDC81E8A5F_.wvu.PrintArea" localSheetId="1" hidden="1">'Appendix A (Original)'!$B$1:$T$79</definedName>
    <definedName name="Z_6D908407_2741_4A6D_8138_48EDC81E8A5F_.wvu.PrintArea" localSheetId="0" hidden="1">'Appendix A (updated 24.06)'!$B$1:$T$79</definedName>
    <definedName name="Z_6D908407_2741_4A6D_8138_48EDC81E8A5F_.wvu.PrintArea" localSheetId="9" hidden="1">'Appendix A 0407'!$B$1:$T$79</definedName>
    <definedName name="Z_6D908407_2741_4A6D_8138_48EDC81E8A5F_.wvu.PrintArea" localSheetId="8" hidden="1">'Appendix A 040722'!$B$1:$T$79</definedName>
    <definedName name="Z_6D908407_2741_4A6D_8138_48EDC81E8A5F_.wvu.PrintArea" localSheetId="12" hidden="1">'Appendix A 0607'!$B$1:$T$79</definedName>
    <definedName name="Z_6D908407_2741_4A6D_8138_48EDC81E8A5F_.wvu.PrintArea" localSheetId="33" hidden="1">'Appendix A 12.04'!$B$1:$T$81</definedName>
    <definedName name="Z_6D908407_2741_4A6D_8138_48EDC81E8A5F_.wvu.PrintArea" localSheetId="32" hidden="1">'Appendix A 21.03'!$B$1:$T$81</definedName>
    <definedName name="Z_6D908407_2741_4A6D_8138_48EDC81E8A5F_.wvu.PrintArea" localSheetId="30" hidden="1">'Appendix A 240227'!$B$1:$T$81</definedName>
    <definedName name="Z_6D908407_2741_4A6D_8138_48EDC81E8A5F_.wvu.PrintArea" localSheetId="31" hidden="1">'Appendix A 240321'!$B$1:$T$81</definedName>
    <definedName name="Z_6D908407_2741_4A6D_8138_48EDC81E8A5F_.wvu.PrintArea" localSheetId="19" hidden="1">'Appendix EX'!$C$2:$U$264</definedName>
    <definedName name="Z_6D908407_2741_4A6D_8138_48EDC81E8A5F_.wvu.PrintArea" localSheetId="2" hidden="1">'Comments Feeder'!$B$1:$T$81</definedName>
    <definedName name="Z_6D908407_2741_4A6D_8138_48EDC81E8A5F_.wvu.PrintArea" localSheetId="29" hidden="1">'Last Appendix A'!$B$1:$T$81</definedName>
    <definedName name="Z_6D908407_2741_4A6D_8138_48EDC81E8A5F_.wvu.PrintArea" localSheetId="28" hidden="1">'old Appendix A'!$B$1:$T$81</definedName>
    <definedName name="Z_6D908407_2741_4A6D_8138_48EDC81E8A5F_.wvu.PrintArea" localSheetId="6" hidden="1">'old Comments Feeder'!$B$1:$T$79</definedName>
    <definedName name="Z_6D908407_2741_4A6D_8138_48EDC81E8A5F_.wvu.PrintArea" localSheetId="15" hidden="1">'september Appendix A for report'!$B$1:$U$76</definedName>
    <definedName name="Z_6D908407_2741_4A6D_8138_48EDC81E8A5F_.wvu.PrintArea" localSheetId="18" hidden="1">Template!$C$2:$U$185</definedName>
    <definedName name="Z_6D908407_2741_4A6D_8138_48EDC81E8A5F_.wvu.Rows" localSheetId="34" hidden="1">'Appendix A'!#REF!</definedName>
    <definedName name="Z_6D908407_2741_4A6D_8138_48EDC81E8A5F_.wvu.Rows" localSheetId="1" hidden="1">'Appendix A (Original)'!#REF!</definedName>
    <definedName name="Z_6D908407_2741_4A6D_8138_48EDC81E8A5F_.wvu.Rows" localSheetId="0" hidden="1">'Appendix A (updated 24.06)'!#REF!</definedName>
    <definedName name="Z_6D908407_2741_4A6D_8138_48EDC81E8A5F_.wvu.Rows" localSheetId="9" hidden="1">'Appendix A 0407'!#REF!</definedName>
    <definedName name="Z_6D908407_2741_4A6D_8138_48EDC81E8A5F_.wvu.Rows" localSheetId="8" hidden="1">'Appendix A 040722'!#REF!</definedName>
    <definedName name="Z_6D908407_2741_4A6D_8138_48EDC81E8A5F_.wvu.Rows" localSheetId="12" hidden="1">'Appendix A 0607'!#REF!</definedName>
    <definedName name="Z_6D908407_2741_4A6D_8138_48EDC81E8A5F_.wvu.Rows" localSheetId="33" hidden="1">'Appendix A 12.04'!#REF!</definedName>
    <definedName name="Z_6D908407_2741_4A6D_8138_48EDC81E8A5F_.wvu.Rows" localSheetId="32" hidden="1">'Appendix A 21.03'!#REF!</definedName>
    <definedName name="Z_6D908407_2741_4A6D_8138_48EDC81E8A5F_.wvu.Rows" localSheetId="30" hidden="1">'Appendix A 240227'!#REF!</definedName>
    <definedName name="Z_6D908407_2741_4A6D_8138_48EDC81E8A5F_.wvu.Rows" localSheetId="31" hidden="1">'Appendix A 240321'!#REF!</definedName>
    <definedName name="Z_6D908407_2741_4A6D_8138_48EDC81E8A5F_.wvu.Rows" localSheetId="19" hidden="1">'Appendix EX'!#REF!</definedName>
    <definedName name="Z_6D908407_2741_4A6D_8138_48EDC81E8A5F_.wvu.Rows" localSheetId="2" hidden="1">'Comments Feeder'!#REF!</definedName>
    <definedName name="Z_6D908407_2741_4A6D_8138_48EDC81E8A5F_.wvu.Rows" localSheetId="29" hidden="1">'Last Appendix A'!#REF!</definedName>
    <definedName name="Z_6D908407_2741_4A6D_8138_48EDC81E8A5F_.wvu.Rows" localSheetId="28" hidden="1">'old Appendix A'!#REF!</definedName>
    <definedName name="Z_6D908407_2741_4A6D_8138_48EDC81E8A5F_.wvu.Rows" localSheetId="6" hidden="1">'old Comments Feeder'!#REF!</definedName>
    <definedName name="Z_6D908407_2741_4A6D_8138_48EDC81E8A5F_.wvu.Rows" localSheetId="15" hidden="1">'september Appendix A for report'!#REF!</definedName>
    <definedName name="Z_6D908407_2741_4A6D_8138_48EDC81E8A5F_.wvu.Rows" localSheetId="18" hidden="1">Template!#REF!</definedName>
    <definedName name="Z_70403EF3_4DEC_4ED9_BF01_107CB4CBF83D_.wvu.Cols" localSheetId="34" hidden="1">'Appendix A'!#REF!</definedName>
    <definedName name="Z_70403EF3_4DEC_4ED9_BF01_107CB4CBF83D_.wvu.Cols" localSheetId="1" hidden="1">'Appendix A (Original)'!#REF!</definedName>
    <definedName name="Z_70403EF3_4DEC_4ED9_BF01_107CB4CBF83D_.wvu.Cols" localSheetId="0" hidden="1">'Appendix A (updated 24.06)'!#REF!</definedName>
    <definedName name="Z_70403EF3_4DEC_4ED9_BF01_107CB4CBF83D_.wvu.Cols" localSheetId="9" hidden="1">'Appendix A 0407'!#REF!</definedName>
    <definedName name="Z_70403EF3_4DEC_4ED9_BF01_107CB4CBF83D_.wvu.Cols" localSheetId="8" hidden="1">'Appendix A 040722'!#REF!</definedName>
    <definedName name="Z_70403EF3_4DEC_4ED9_BF01_107CB4CBF83D_.wvu.Cols" localSheetId="12" hidden="1">'Appendix A 0607'!#REF!</definedName>
    <definedName name="Z_70403EF3_4DEC_4ED9_BF01_107CB4CBF83D_.wvu.Cols" localSheetId="33" hidden="1">'Appendix A 12.04'!#REF!</definedName>
    <definedName name="Z_70403EF3_4DEC_4ED9_BF01_107CB4CBF83D_.wvu.Cols" localSheetId="32" hidden="1">'Appendix A 21.03'!#REF!</definedName>
    <definedName name="Z_70403EF3_4DEC_4ED9_BF01_107CB4CBF83D_.wvu.Cols" localSheetId="30" hidden="1">'Appendix A 240227'!#REF!</definedName>
    <definedName name="Z_70403EF3_4DEC_4ED9_BF01_107CB4CBF83D_.wvu.Cols" localSheetId="31" hidden="1">'Appendix A 240321'!#REF!</definedName>
    <definedName name="Z_70403EF3_4DEC_4ED9_BF01_107CB4CBF83D_.wvu.Cols" localSheetId="19" hidden="1">'Appendix EX'!#REF!</definedName>
    <definedName name="Z_70403EF3_4DEC_4ED9_BF01_107CB4CBF83D_.wvu.Cols" localSheetId="4" hidden="1">Comments!$C:$E</definedName>
    <definedName name="Z_70403EF3_4DEC_4ED9_BF01_107CB4CBF83D_.wvu.Cols" localSheetId="2" hidden="1">'Comments Feeder'!#REF!</definedName>
    <definedName name="Z_70403EF3_4DEC_4ED9_BF01_107CB4CBF83D_.wvu.Cols" localSheetId="29" hidden="1">'Last Appendix A'!#REF!</definedName>
    <definedName name="Z_70403EF3_4DEC_4ED9_BF01_107CB4CBF83D_.wvu.Cols" localSheetId="28" hidden="1">'old Appendix A'!#REF!</definedName>
    <definedName name="Z_70403EF3_4DEC_4ED9_BF01_107CB4CBF83D_.wvu.Cols" localSheetId="6" hidden="1">'old Comments Feeder'!#REF!</definedName>
    <definedName name="Z_70403EF3_4DEC_4ED9_BF01_107CB4CBF83D_.wvu.Cols" localSheetId="15" hidden="1">'september Appendix A for report'!#REF!</definedName>
    <definedName name="Z_70403EF3_4DEC_4ED9_BF01_107CB4CBF83D_.wvu.Cols" localSheetId="18" hidden="1">Template!#REF!</definedName>
    <definedName name="Z_76D7F504_E0D4_41B2_80CE_DB9084DBEADB_.wvu.Cols" localSheetId="34" hidden="1">'Appendix A'!#REF!</definedName>
    <definedName name="Z_76D7F504_E0D4_41B2_80CE_DB9084DBEADB_.wvu.Cols" localSheetId="1" hidden="1">'Appendix A (Original)'!#REF!</definedName>
    <definedName name="Z_76D7F504_E0D4_41B2_80CE_DB9084DBEADB_.wvu.Cols" localSheetId="0" hidden="1">'Appendix A (updated 24.06)'!#REF!</definedName>
    <definedName name="Z_76D7F504_E0D4_41B2_80CE_DB9084DBEADB_.wvu.Cols" localSheetId="9" hidden="1">'Appendix A 0407'!#REF!</definedName>
    <definedName name="Z_76D7F504_E0D4_41B2_80CE_DB9084DBEADB_.wvu.Cols" localSheetId="8" hidden="1">'Appendix A 040722'!#REF!</definedName>
    <definedName name="Z_76D7F504_E0D4_41B2_80CE_DB9084DBEADB_.wvu.Cols" localSheetId="12" hidden="1">'Appendix A 0607'!#REF!</definedName>
    <definedName name="Z_76D7F504_E0D4_41B2_80CE_DB9084DBEADB_.wvu.Cols" localSheetId="33" hidden="1">'Appendix A 12.04'!#REF!</definedName>
    <definedName name="Z_76D7F504_E0D4_41B2_80CE_DB9084DBEADB_.wvu.Cols" localSheetId="32" hidden="1">'Appendix A 21.03'!#REF!</definedName>
    <definedName name="Z_76D7F504_E0D4_41B2_80CE_DB9084DBEADB_.wvu.Cols" localSheetId="30" hidden="1">'Appendix A 240227'!#REF!</definedName>
    <definedName name="Z_76D7F504_E0D4_41B2_80CE_DB9084DBEADB_.wvu.Cols" localSheetId="31" hidden="1">'Appendix A 240321'!#REF!</definedName>
    <definedName name="Z_76D7F504_E0D4_41B2_80CE_DB9084DBEADB_.wvu.Cols" localSheetId="19" hidden="1">'Appendix EX'!#REF!</definedName>
    <definedName name="Z_76D7F504_E0D4_41B2_80CE_DB9084DBEADB_.wvu.Cols" localSheetId="4" hidden="1">Comments!$D:$E</definedName>
    <definedName name="Z_76D7F504_E0D4_41B2_80CE_DB9084DBEADB_.wvu.Cols" localSheetId="2" hidden="1">'Comments Feeder'!#REF!</definedName>
    <definedName name="Z_76D7F504_E0D4_41B2_80CE_DB9084DBEADB_.wvu.Cols" localSheetId="29" hidden="1">'Last Appendix A'!#REF!</definedName>
    <definedName name="Z_76D7F504_E0D4_41B2_80CE_DB9084DBEADB_.wvu.Cols" localSheetId="28" hidden="1">'old Appendix A'!#REF!</definedName>
    <definedName name="Z_76D7F504_E0D4_41B2_80CE_DB9084DBEADB_.wvu.Cols" localSheetId="6" hidden="1">'old Comments Feeder'!#REF!</definedName>
    <definedName name="Z_76D7F504_E0D4_41B2_80CE_DB9084DBEADB_.wvu.Cols" localSheetId="15" hidden="1">'september Appendix A for report'!#REF!</definedName>
    <definedName name="Z_76D7F504_E0D4_41B2_80CE_DB9084DBEADB_.wvu.Cols" localSheetId="18" hidden="1">Template!#REF!</definedName>
    <definedName name="Z_76D7F504_E0D4_41B2_80CE_DB9084DBEADB_.wvu.Rows" localSheetId="4" hidden="1">Comments!#REF!,Comments!#REF!</definedName>
    <definedName name="Z_7910FD81_BFE7_4CD5_939B_3D7A1CA9601A_.wvu.Cols" localSheetId="34" hidden="1">'Appendix A'!$E:$K,'Appendix A'!$O:$P</definedName>
    <definedName name="Z_7910FD81_BFE7_4CD5_939B_3D7A1CA9601A_.wvu.Cols" localSheetId="1" hidden="1">'Appendix A (Original)'!$E:$K,'Appendix A (Original)'!$O:$P</definedName>
    <definedName name="Z_7910FD81_BFE7_4CD5_939B_3D7A1CA9601A_.wvu.Cols" localSheetId="0" hidden="1">'Appendix A (updated 24.06)'!$E:$K,'Appendix A (updated 24.06)'!$O:$P</definedName>
    <definedName name="Z_7910FD81_BFE7_4CD5_939B_3D7A1CA9601A_.wvu.Cols" localSheetId="9" hidden="1">'Appendix A 0407'!$E:$K,'Appendix A 0407'!$O:$P</definedName>
    <definedName name="Z_7910FD81_BFE7_4CD5_939B_3D7A1CA9601A_.wvu.Cols" localSheetId="8" hidden="1">'Appendix A 040722'!$E:$K,'Appendix A 040722'!$O:$P</definedName>
    <definedName name="Z_7910FD81_BFE7_4CD5_939B_3D7A1CA9601A_.wvu.Cols" localSheetId="12" hidden="1">'Appendix A 0607'!$E:$K,'Appendix A 0607'!$O:$P</definedName>
    <definedName name="Z_7910FD81_BFE7_4CD5_939B_3D7A1CA9601A_.wvu.Cols" localSheetId="33" hidden="1">'Appendix A 12.04'!$E:$K,'Appendix A 12.04'!$O:$P</definedName>
    <definedName name="Z_7910FD81_BFE7_4CD5_939B_3D7A1CA9601A_.wvu.Cols" localSheetId="32" hidden="1">'Appendix A 21.03'!$E:$K,'Appendix A 21.03'!$O:$P</definedName>
    <definedName name="Z_7910FD81_BFE7_4CD5_939B_3D7A1CA9601A_.wvu.Cols" localSheetId="30" hidden="1">'Appendix A 240227'!$E:$K,'Appendix A 240227'!$O:$P</definedName>
    <definedName name="Z_7910FD81_BFE7_4CD5_939B_3D7A1CA9601A_.wvu.Cols" localSheetId="31" hidden="1">'Appendix A 240321'!$E:$K,'Appendix A 240321'!$O:$P</definedName>
    <definedName name="Z_7910FD81_BFE7_4CD5_939B_3D7A1CA9601A_.wvu.Cols" localSheetId="19" hidden="1">'Appendix EX'!$F:$L,'Appendix EX'!$P:$Q</definedName>
    <definedName name="Z_7910FD81_BFE7_4CD5_939B_3D7A1CA9601A_.wvu.Cols" localSheetId="4" hidden="1">Comments!$C:$E</definedName>
    <definedName name="Z_7910FD81_BFE7_4CD5_939B_3D7A1CA9601A_.wvu.Cols" localSheetId="2" hidden="1">'Comments Feeder'!$E:$K,'Comments Feeder'!$O:$P</definedName>
    <definedName name="Z_7910FD81_BFE7_4CD5_939B_3D7A1CA9601A_.wvu.Cols" localSheetId="7" hidden="1">COVID!$A:$E,COVID!$L:$M</definedName>
    <definedName name="Z_7910FD81_BFE7_4CD5_939B_3D7A1CA9601A_.wvu.Cols" localSheetId="20" hidden="1">'COVID 19'!$A:$E,'COVID 19'!$J:$M</definedName>
    <definedName name="Z_7910FD81_BFE7_4CD5_939B_3D7A1CA9601A_.wvu.Cols" localSheetId="25" hidden="1">'COVID 19 '!$A:$E,'COVID 19 '!$J:$M</definedName>
    <definedName name="Z_7910FD81_BFE7_4CD5_939B_3D7A1CA9601A_.wvu.Cols" localSheetId="27" hidden="1">'COVID 19  (2)'!$A:$E,'COVID 19  (2)'!$J:$M</definedName>
    <definedName name="Z_7910FD81_BFE7_4CD5_939B_3D7A1CA9601A_.wvu.Cols" localSheetId="26" hidden="1">'COVID 19)'!$A:$E,'COVID 19)'!$L:$M</definedName>
    <definedName name="Z_7910FD81_BFE7_4CD5_939B_3D7A1CA9601A_.wvu.Cols" localSheetId="16" hidden="1">'COVID sept'!$A:$E,'COVID sept'!$L:$M</definedName>
    <definedName name="Z_7910FD81_BFE7_4CD5_939B_3D7A1CA9601A_.wvu.Cols" localSheetId="29" hidden="1">'Last Appendix A'!$E:$K,'Last Appendix A'!$O:$P</definedName>
    <definedName name="Z_7910FD81_BFE7_4CD5_939B_3D7A1CA9601A_.wvu.Cols" localSheetId="28" hidden="1">'old Appendix A'!$E:$K,'old Appendix A'!$O:$P</definedName>
    <definedName name="Z_7910FD81_BFE7_4CD5_939B_3D7A1CA9601A_.wvu.Cols" localSheetId="6" hidden="1">'old Comments Feeder'!$E:$K,'old Comments Feeder'!$O:$P</definedName>
    <definedName name="Z_7910FD81_BFE7_4CD5_939B_3D7A1CA9601A_.wvu.Cols" localSheetId="15" hidden="1">'september Appendix A for report'!$D:$L,'september Appendix A for report'!$P:$U,'september Appendix A for report'!$X:$Y,'september Appendix A for report'!$AC:$AG</definedName>
    <definedName name="Z_7910FD81_BFE7_4CD5_939B_3D7A1CA9601A_.wvu.Cols" localSheetId="18" hidden="1">Template!$F:$L,Template!$P:$Q</definedName>
    <definedName name="Z_7910FD81_BFE7_4CD5_939B_3D7A1CA9601A_.wvu.Cols" localSheetId="5" hidden="1">Virements!$H:$BL</definedName>
    <definedName name="Z_7910FD81_BFE7_4CD5_939B_3D7A1CA9601A_.wvu.FilterData" localSheetId="23" hidden="1">'AJ all trans'!$A$1:$M$2441</definedName>
    <definedName name="Z_7910FD81_BFE7_4CD5_939B_3D7A1CA9601A_.wvu.FilterData" localSheetId="21" hidden="1">'All transactions'!$A$1:$L$8964</definedName>
    <definedName name="Z_7910FD81_BFE7_4CD5_939B_3D7A1CA9601A_.wvu.FilterData" localSheetId="34" hidden="1">'Appendix A'!#REF!</definedName>
    <definedName name="Z_7910FD81_BFE7_4CD5_939B_3D7A1CA9601A_.wvu.FilterData" localSheetId="1" hidden="1">'Appendix A (Original)'!#REF!</definedName>
    <definedName name="Z_7910FD81_BFE7_4CD5_939B_3D7A1CA9601A_.wvu.FilterData" localSheetId="0" hidden="1">'Appendix A (updated 24.06)'!#REF!</definedName>
    <definedName name="Z_7910FD81_BFE7_4CD5_939B_3D7A1CA9601A_.wvu.FilterData" localSheetId="9" hidden="1">'Appendix A 0407'!#REF!</definedName>
    <definedName name="Z_7910FD81_BFE7_4CD5_939B_3D7A1CA9601A_.wvu.FilterData" localSheetId="8" hidden="1">'Appendix A 040722'!#REF!</definedName>
    <definedName name="Z_7910FD81_BFE7_4CD5_939B_3D7A1CA9601A_.wvu.FilterData" localSheetId="12" hidden="1">'Appendix A 0607'!#REF!</definedName>
    <definedName name="Z_7910FD81_BFE7_4CD5_939B_3D7A1CA9601A_.wvu.FilterData" localSheetId="33" hidden="1">'Appendix A 12.04'!#REF!</definedName>
    <definedName name="Z_7910FD81_BFE7_4CD5_939B_3D7A1CA9601A_.wvu.FilterData" localSheetId="32" hidden="1">'Appendix A 21.03'!#REF!</definedName>
    <definedName name="Z_7910FD81_BFE7_4CD5_939B_3D7A1CA9601A_.wvu.FilterData" localSheetId="30" hidden="1">'Appendix A 240227'!#REF!</definedName>
    <definedName name="Z_7910FD81_BFE7_4CD5_939B_3D7A1CA9601A_.wvu.FilterData" localSheetId="31" hidden="1">'Appendix A 240321'!#REF!</definedName>
    <definedName name="Z_7910FD81_BFE7_4CD5_939B_3D7A1CA9601A_.wvu.FilterData" localSheetId="19" hidden="1">'Appendix EX'!$A$1:$A$4313</definedName>
    <definedName name="Z_7910FD81_BFE7_4CD5_939B_3D7A1CA9601A_.wvu.FilterData" localSheetId="2" hidden="1">'Comments Feeder'!#REF!</definedName>
    <definedName name="Z_7910FD81_BFE7_4CD5_939B_3D7A1CA9601A_.wvu.FilterData" localSheetId="25" hidden="1">'COVID 19 '!$A$6:$Z$35</definedName>
    <definedName name="Z_7910FD81_BFE7_4CD5_939B_3D7A1CA9601A_.wvu.FilterData" localSheetId="27" hidden="1">'COVID 19  (2)'!$A$6:$Z$35</definedName>
    <definedName name="Z_7910FD81_BFE7_4CD5_939B_3D7A1CA9601A_.wvu.FilterData" localSheetId="26" hidden="1">'COVID 19)'!$A$6:$Z$35</definedName>
    <definedName name="Z_7910FD81_BFE7_4CD5_939B_3D7A1CA9601A_.wvu.FilterData" localSheetId="16" hidden="1">'COVID sept'!$A$6:$Z$35</definedName>
    <definedName name="Z_7910FD81_BFE7_4CD5_939B_3D7A1CA9601A_.wvu.FilterData" localSheetId="29" hidden="1">'Last Appendix A'!#REF!</definedName>
    <definedName name="Z_7910FD81_BFE7_4CD5_939B_3D7A1CA9601A_.wvu.FilterData" localSheetId="28" hidden="1">'old Appendix A'!#REF!</definedName>
    <definedName name="Z_7910FD81_BFE7_4CD5_939B_3D7A1CA9601A_.wvu.FilterData" localSheetId="6" hidden="1">'old Comments Feeder'!#REF!</definedName>
    <definedName name="Z_7910FD81_BFE7_4CD5_939B_3D7A1CA9601A_.wvu.FilterData" localSheetId="18" hidden="1">Template!$A$1:$A$4220</definedName>
    <definedName name="Z_7910FD81_BFE7_4CD5_939B_3D7A1CA9601A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79145CB8_826C_419B_9092_16899AD82B81_.wvu.Cols" localSheetId="34" hidden="1">'Appendix A'!#REF!</definedName>
    <definedName name="Z_79145CB8_826C_419B_9092_16899AD82B81_.wvu.Cols" localSheetId="1" hidden="1">'Appendix A (Original)'!#REF!</definedName>
    <definedName name="Z_79145CB8_826C_419B_9092_16899AD82B81_.wvu.Cols" localSheetId="0" hidden="1">'Appendix A (updated 24.06)'!#REF!</definedName>
    <definedName name="Z_79145CB8_826C_419B_9092_16899AD82B81_.wvu.Cols" localSheetId="9" hidden="1">'Appendix A 0407'!#REF!</definedName>
    <definedName name="Z_79145CB8_826C_419B_9092_16899AD82B81_.wvu.Cols" localSheetId="8" hidden="1">'Appendix A 040722'!#REF!</definedName>
    <definedName name="Z_79145CB8_826C_419B_9092_16899AD82B81_.wvu.Cols" localSheetId="12" hidden="1">'Appendix A 0607'!#REF!</definedName>
    <definedName name="Z_79145CB8_826C_419B_9092_16899AD82B81_.wvu.Cols" localSheetId="33" hidden="1">'Appendix A 12.04'!#REF!</definedName>
    <definedName name="Z_79145CB8_826C_419B_9092_16899AD82B81_.wvu.Cols" localSheetId="32" hidden="1">'Appendix A 21.03'!#REF!</definedName>
    <definedName name="Z_79145CB8_826C_419B_9092_16899AD82B81_.wvu.Cols" localSheetId="30" hidden="1">'Appendix A 240227'!#REF!</definedName>
    <definedName name="Z_79145CB8_826C_419B_9092_16899AD82B81_.wvu.Cols" localSheetId="31" hidden="1">'Appendix A 240321'!#REF!</definedName>
    <definedName name="Z_79145CB8_826C_419B_9092_16899AD82B81_.wvu.Cols" localSheetId="19" hidden="1">'Appendix EX'!#REF!</definedName>
    <definedName name="Z_79145CB8_826C_419B_9092_16899AD82B81_.wvu.Cols" localSheetId="4" hidden="1">Comments!$D:$E</definedName>
    <definedName name="Z_79145CB8_826C_419B_9092_16899AD82B81_.wvu.Cols" localSheetId="2" hidden="1">'Comments Feeder'!#REF!</definedName>
    <definedName name="Z_79145CB8_826C_419B_9092_16899AD82B81_.wvu.Cols" localSheetId="29" hidden="1">'Last Appendix A'!#REF!</definedName>
    <definedName name="Z_79145CB8_826C_419B_9092_16899AD82B81_.wvu.Cols" localSheetId="28" hidden="1">'old Appendix A'!#REF!</definedName>
    <definedName name="Z_79145CB8_826C_419B_9092_16899AD82B81_.wvu.Cols" localSheetId="6" hidden="1">'old Comments Feeder'!#REF!</definedName>
    <definedName name="Z_79145CB8_826C_419B_9092_16899AD82B81_.wvu.Cols" localSheetId="15" hidden="1">'september Appendix A for report'!#REF!</definedName>
    <definedName name="Z_79145CB8_826C_419B_9092_16899AD82B81_.wvu.Cols" localSheetId="18" hidden="1">Template!#REF!</definedName>
    <definedName name="Z_7AAC1C1F_CCA1_41BD_A9CF_BADCDD418ECF_.wvu.Cols" localSheetId="34" hidden="1">'Appendix A'!$D:$P,'Appendix A'!$T:$Z</definedName>
    <definedName name="Z_7AAC1C1F_CCA1_41BD_A9CF_BADCDD418ECF_.wvu.Cols" localSheetId="1" hidden="1">'Appendix A (Original)'!$D:$P,'Appendix A (Original)'!$T:$Z</definedName>
    <definedName name="Z_7AAC1C1F_CCA1_41BD_A9CF_BADCDD418ECF_.wvu.Cols" localSheetId="0" hidden="1">'Appendix A (updated 24.06)'!$D:$P,'Appendix A (updated 24.06)'!$T:$AC</definedName>
    <definedName name="Z_7AAC1C1F_CCA1_41BD_A9CF_BADCDD418ECF_.wvu.Cols" localSheetId="9" hidden="1">'Appendix A 0407'!$D:$P,'Appendix A 0407'!$T:$Z</definedName>
    <definedName name="Z_7AAC1C1F_CCA1_41BD_A9CF_BADCDD418ECF_.wvu.Cols" localSheetId="8" hidden="1">'Appendix A 040722'!$D:$P,'Appendix A 040722'!$T:$Z</definedName>
    <definedName name="Z_7AAC1C1F_CCA1_41BD_A9CF_BADCDD418ECF_.wvu.Cols" localSheetId="12" hidden="1">'Appendix A 0607'!$D:$P,'Appendix A 0607'!$T:$Z</definedName>
    <definedName name="Z_7AAC1C1F_CCA1_41BD_A9CF_BADCDD418ECF_.wvu.Cols" localSheetId="33" hidden="1">'Appendix A 12.04'!$D:$P,'Appendix A 12.04'!$T:$Z</definedName>
    <definedName name="Z_7AAC1C1F_CCA1_41BD_A9CF_BADCDD418ECF_.wvu.Cols" localSheetId="32" hidden="1">'Appendix A 21.03'!$D:$P,'Appendix A 21.03'!$T:$Z</definedName>
    <definedName name="Z_7AAC1C1F_CCA1_41BD_A9CF_BADCDD418ECF_.wvu.Cols" localSheetId="30" hidden="1">'Appendix A 240227'!$D:$P,'Appendix A 240227'!$T:$Z</definedName>
    <definedName name="Z_7AAC1C1F_CCA1_41BD_A9CF_BADCDD418ECF_.wvu.Cols" localSheetId="31" hidden="1">'Appendix A 240321'!$D:$P,'Appendix A 240321'!$T:$Z</definedName>
    <definedName name="Z_7AAC1C1F_CCA1_41BD_A9CF_BADCDD418ECF_.wvu.Cols" localSheetId="19" hidden="1">'Appendix EX'!$E:$Q,'Appendix EX'!$U:$AA</definedName>
    <definedName name="Z_7AAC1C1F_CCA1_41BD_A9CF_BADCDD418ECF_.wvu.Cols" localSheetId="4" hidden="1">Comments!$D:$E</definedName>
    <definedName name="Z_7AAC1C1F_CCA1_41BD_A9CF_BADCDD418ECF_.wvu.Cols" localSheetId="2" hidden="1">'Comments Feeder'!$D:$P,'Comments Feeder'!$T:$W</definedName>
    <definedName name="Z_7AAC1C1F_CCA1_41BD_A9CF_BADCDD418ECF_.wvu.Cols" localSheetId="29" hidden="1">'Last Appendix A'!$D:$P,'Last Appendix A'!$T:$Z</definedName>
    <definedName name="Z_7AAC1C1F_CCA1_41BD_A9CF_BADCDD418ECF_.wvu.Cols" localSheetId="28" hidden="1">'old Appendix A'!$D:$P,'old Appendix A'!$T:$Z</definedName>
    <definedName name="Z_7AAC1C1F_CCA1_41BD_A9CF_BADCDD418ECF_.wvu.Cols" localSheetId="6" hidden="1">'old Comments Feeder'!$D:$P,'old Comments Feeder'!$T:$Z</definedName>
    <definedName name="Z_7AAC1C1F_CCA1_41BD_A9CF_BADCDD418ECF_.wvu.Cols" localSheetId="15" hidden="1">'september Appendix A for report'!$D:$Q,'september Appendix A for report'!$U:$AA</definedName>
    <definedName name="Z_7AAC1C1F_CCA1_41BD_A9CF_BADCDD418ECF_.wvu.Cols" localSheetId="18" hidden="1">Template!$E:$Q,Template!$U:$AA</definedName>
    <definedName name="Z_7B7210A5_B842_46C1_981E_A08A3BEF25FE_.wvu.Cols" localSheetId="4" hidden="1">Comments!$D:$E</definedName>
    <definedName name="Z_7B7210A5_B842_46C1_981E_A08A3BEF25FE_.wvu.Rows" localSheetId="4" hidden="1">Comments!#REF!,Comments!#REF!</definedName>
    <definedName name="Z_7EEB96F4_D751_43F0_8B90_6E8F878EF90C_.wvu.Cols" localSheetId="4" hidden="1">Comments!$D:$E</definedName>
    <definedName name="Z_805DEC1F_156F_4737_8433_4D1357787317_.wvu.Cols" localSheetId="4" hidden="1">Comments!$C:$E</definedName>
    <definedName name="Z_883E7384_A1EC_48B0_9D26_4795741814DC_.wvu.Cols" localSheetId="34" hidden="1">'Appendix A'!$R:$T</definedName>
    <definedName name="Z_883E7384_A1EC_48B0_9D26_4795741814DC_.wvu.Cols" localSheetId="1" hidden="1">'Appendix A (Original)'!$R:$T</definedName>
    <definedName name="Z_883E7384_A1EC_48B0_9D26_4795741814DC_.wvu.Cols" localSheetId="0" hidden="1">'Appendix A (updated 24.06)'!$R:$T</definedName>
    <definedName name="Z_883E7384_A1EC_48B0_9D26_4795741814DC_.wvu.Cols" localSheetId="9" hidden="1">'Appendix A 0407'!$R:$T</definedName>
    <definedName name="Z_883E7384_A1EC_48B0_9D26_4795741814DC_.wvu.Cols" localSheetId="8" hidden="1">'Appendix A 040722'!$R:$T</definedName>
    <definedName name="Z_883E7384_A1EC_48B0_9D26_4795741814DC_.wvu.Cols" localSheetId="12" hidden="1">'Appendix A 0607'!$R:$T</definedName>
    <definedName name="Z_883E7384_A1EC_48B0_9D26_4795741814DC_.wvu.Cols" localSheetId="33" hidden="1">'Appendix A 12.04'!$R:$T</definedName>
    <definedName name="Z_883E7384_A1EC_48B0_9D26_4795741814DC_.wvu.Cols" localSheetId="32" hidden="1">'Appendix A 21.03'!$R:$T</definedName>
    <definedName name="Z_883E7384_A1EC_48B0_9D26_4795741814DC_.wvu.Cols" localSheetId="30" hidden="1">'Appendix A 240227'!$R:$T</definedName>
    <definedName name="Z_883E7384_A1EC_48B0_9D26_4795741814DC_.wvu.Cols" localSheetId="31" hidden="1">'Appendix A 240321'!$R:$T</definedName>
    <definedName name="Z_883E7384_A1EC_48B0_9D26_4795741814DC_.wvu.Cols" localSheetId="19" hidden="1">'Appendix EX'!$S:$U</definedName>
    <definedName name="Z_883E7384_A1EC_48B0_9D26_4795741814DC_.wvu.Cols" localSheetId="4" hidden="1">Comments!$D:$E</definedName>
    <definedName name="Z_883E7384_A1EC_48B0_9D26_4795741814DC_.wvu.Cols" localSheetId="2" hidden="1">'Comments Feeder'!$R:$T</definedName>
    <definedName name="Z_883E7384_A1EC_48B0_9D26_4795741814DC_.wvu.Cols" localSheetId="29" hidden="1">'Last Appendix A'!$R:$T</definedName>
    <definedName name="Z_883E7384_A1EC_48B0_9D26_4795741814DC_.wvu.Cols" localSheetId="28" hidden="1">'old Appendix A'!$R:$T</definedName>
    <definedName name="Z_883E7384_A1EC_48B0_9D26_4795741814DC_.wvu.Cols" localSheetId="6" hidden="1">'old Comments Feeder'!$R:$T</definedName>
    <definedName name="Z_883E7384_A1EC_48B0_9D26_4795741814DC_.wvu.Cols" localSheetId="15" hidden="1">'september Appendix A for report'!$S:$U</definedName>
    <definedName name="Z_883E7384_A1EC_48B0_9D26_4795741814DC_.wvu.Cols" localSheetId="18" hidden="1">Template!$S:$U</definedName>
    <definedName name="Z_903669DD_1133_45D2_B108_C6B5BEA5EB61_.wvu.Cols" localSheetId="34" hidden="1">'Appendix A'!$E:$K,'Appendix A'!$O:$P</definedName>
    <definedName name="Z_903669DD_1133_45D2_B108_C6B5BEA5EB61_.wvu.Cols" localSheetId="1" hidden="1">'Appendix A (Original)'!$D:$M,'Appendix A (Original)'!$T:$V,'Appendix A (Original)'!$X:$Z</definedName>
    <definedName name="Z_903669DD_1133_45D2_B108_C6B5BEA5EB61_.wvu.Cols" localSheetId="0" hidden="1">'Appendix A (updated 24.06)'!$E:$K,'Appendix A (updated 24.06)'!$O:$P</definedName>
    <definedName name="Z_903669DD_1133_45D2_B108_C6B5BEA5EB61_.wvu.Cols" localSheetId="9" hidden="1">'Appendix A 0407'!$E:$K,'Appendix A 0407'!$O:$P</definedName>
    <definedName name="Z_903669DD_1133_45D2_B108_C6B5BEA5EB61_.wvu.Cols" localSheetId="8" hidden="1">'Appendix A 040722'!$E:$K,'Appendix A 040722'!$O:$P</definedName>
    <definedName name="Z_903669DD_1133_45D2_B108_C6B5BEA5EB61_.wvu.Cols" localSheetId="12" hidden="1">'Appendix A 0607'!$E:$K,'Appendix A 0607'!$O:$P</definedName>
    <definedName name="Z_903669DD_1133_45D2_B108_C6B5BEA5EB61_.wvu.Cols" localSheetId="33" hidden="1">'Appendix A 12.04'!$E:$K,'Appendix A 12.04'!$O:$P</definedName>
    <definedName name="Z_903669DD_1133_45D2_B108_C6B5BEA5EB61_.wvu.Cols" localSheetId="32" hidden="1">'Appendix A 21.03'!$E:$K,'Appendix A 21.03'!$O:$P</definedName>
    <definedName name="Z_903669DD_1133_45D2_B108_C6B5BEA5EB61_.wvu.Cols" localSheetId="30" hidden="1">'Appendix A 240227'!$E:$K,'Appendix A 240227'!$O:$P</definedName>
    <definedName name="Z_903669DD_1133_45D2_B108_C6B5BEA5EB61_.wvu.Cols" localSheetId="31" hidden="1">'Appendix A 240321'!$E:$K,'Appendix A 240321'!$O:$P</definedName>
    <definedName name="Z_903669DD_1133_45D2_B108_C6B5BEA5EB61_.wvu.Cols" localSheetId="19" hidden="1">'Appendix EX'!$F:$L,'Appendix EX'!$P:$Q</definedName>
    <definedName name="Z_903669DD_1133_45D2_B108_C6B5BEA5EB61_.wvu.Cols" localSheetId="4" hidden="1">Comments!$C:$E</definedName>
    <definedName name="Z_903669DD_1133_45D2_B108_C6B5BEA5EB61_.wvu.Cols" localSheetId="2" hidden="1">'Comments Feeder'!$E:$K,'Comments Feeder'!$O:$P</definedName>
    <definedName name="Z_903669DD_1133_45D2_B108_C6B5BEA5EB61_.wvu.Cols" localSheetId="7" hidden="1">COVID!$A:$E,COVID!$L:$M</definedName>
    <definedName name="Z_903669DD_1133_45D2_B108_C6B5BEA5EB61_.wvu.Cols" localSheetId="20" hidden="1">'COVID 19'!$A:$E,'COVID 19'!$J:$M</definedName>
    <definedName name="Z_903669DD_1133_45D2_B108_C6B5BEA5EB61_.wvu.Cols" localSheetId="25" hidden="1">'COVID 19 '!$A:$E,'COVID 19 '!$J:$M</definedName>
    <definedName name="Z_903669DD_1133_45D2_B108_C6B5BEA5EB61_.wvu.Cols" localSheetId="27" hidden="1">'COVID 19  (2)'!$A:$E,'COVID 19  (2)'!$J:$M</definedName>
    <definedName name="Z_903669DD_1133_45D2_B108_C6B5BEA5EB61_.wvu.Cols" localSheetId="26" hidden="1">'COVID 19)'!$A:$E,'COVID 19)'!$L:$M</definedName>
    <definedName name="Z_903669DD_1133_45D2_B108_C6B5BEA5EB61_.wvu.Cols" localSheetId="16" hidden="1">'COVID sept'!$A:$E,'COVID sept'!$L:$M</definedName>
    <definedName name="Z_903669DD_1133_45D2_B108_C6B5BEA5EB61_.wvu.Cols" localSheetId="29" hidden="1">'Last Appendix A'!$E:$K,'Last Appendix A'!$O:$P</definedName>
    <definedName name="Z_903669DD_1133_45D2_B108_C6B5BEA5EB61_.wvu.Cols" localSheetId="28" hidden="1">'old Appendix A'!$E:$K,'old Appendix A'!$O:$P</definedName>
    <definedName name="Z_903669DD_1133_45D2_B108_C6B5BEA5EB61_.wvu.Cols" localSheetId="6" hidden="1">'old Comments Feeder'!$E:$K,'old Comments Feeder'!$O:$P</definedName>
    <definedName name="Z_903669DD_1133_45D2_B108_C6B5BEA5EB61_.wvu.Cols" localSheetId="15" hidden="1">'september Appendix A for report'!$D:$L,'september Appendix A for report'!$P:$U,'september Appendix A for report'!$X:$Y,'september Appendix A for report'!$AC:$AG</definedName>
    <definedName name="Z_903669DD_1133_45D2_B108_C6B5BEA5EB61_.wvu.Cols" localSheetId="18" hidden="1">Template!$F:$L,Template!$P:$Q</definedName>
    <definedName name="Z_903669DD_1133_45D2_B108_C6B5BEA5EB61_.wvu.FilterData" localSheetId="23" hidden="1">'AJ all trans'!$A$1:$M$2441</definedName>
    <definedName name="Z_903669DD_1133_45D2_B108_C6B5BEA5EB61_.wvu.FilterData" localSheetId="21" hidden="1">'All transactions'!$A$1:$L$8964</definedName>
    <definedName name="Z_903669DD_1133_45D2_B108_C6B5BEA5EB61_.wvu.FilterData" localSheetId="34" hidden="1">'Appendix A'!#REF!</definedName>
    <definedName name="Z_903669DD_1133_45D2_B108_C6B5BEA5EB61_.wvu.FilterData" localSheetId="0" hidden="1">'Appendix A (updated 24.06)'!#REF!</definedName>
    <definedName name="Z_903669DD_1133_45D2_B108_C6B5BEA5EB61_.wvu.FilterData" localSheetId="9" hidden="1">'Appendix A 0407'!#REF!</definedName>
    <definedName name="Z_903669DD_1133_45D2_B108_C6B5BEA5EB61_.wvu.FilterData" localSheetId="8" hidden="1">'Appendix A 040722'!#REF!</definedName>
    <definedName name="Z_903669DD_1133_45D2_B108_C6B5BEA5EB61_.wvu.FilterData" localSheetId="12" hidden="1">'Appendix A 0607'!#REF!</definedName>
    <definedName name="Z_903669DD_1133_45D2_B108_C6B5BEA5EB61_.wvu.FilterData" localSheetId="33" hidden="1">'Appendix A 12.04'!#REF!</definedName>
    <definedName name="Z_903669DD_1133_45D2_B108_C6B5BEA5EB61_.wvu.FilterData" localSheetId="32" hidden="1">'Appendix A 21.03'!#REF!</definedName>
    <definedName name="Z_903669DD_1133_45D2_B108_C6B5BEA5EB61_.wvu.FilterData" localSheetId="30" hidden="1">'Appendix A 240227'!#REF!</definedName>
    <definedName name="Z_903669DD_1133_45D2_B108_C6B5BEA5EB61_.wvu.FilterData" localSheetId="31" hidden="1">'Appendix A 240321'!#REF!</definedName>
    <definedName name="Z_903669DD_1133_45D2_B108_C6B5BEA5EB61_.wvu.FilterData" localSheetId="19" hidden="1">'Appendix EX'!$A$1:$A$4313</definedName>
    <definedName name="Z_903669DD_1133_45D2_B108_C6B5BEA5EB61_.wvu.FilterData" localSheetId="2" hidden="1">'Comments Feeder'!#REF!</definedName>
    <definedName name="Z_903669DD_1133_45D2_B108_C6B5BEA5EB61_.wvu.FilterData" localSheetId="25" hidden="1">'COVID 19 '!$A$6:$Z$35</definedName>
    <definedName name="Z_903669DD_1133_45D2_B108_C6B5BEA5EB61_.wvu.FilterData" localSheetId="27" hidden="1">'COVID 19  (2)'!$A$6:$Z$35</definedName>
    <definedName name="Z_903669DD_1133_45D2_B108_C6B5BEA5EB61_.wvu.FilterData" localSheetId="26" hidden="1">'COVID 19)'!$A$6:$Z$35</definedName>
    <definedName name="Z_903669DD_1133_45D2_B108_C6B5BEA5EB61_.wvu.FilterData" localSheetId="16" hidden="1">'COVID sept'!$A$6:$Z$35</definedName>
    <definedName name="Z_903669DD_1133_45D2_B108_C6B5BEA5EB61_.wvu.FilterData" localSheetId="29" hidden="1">'Last Appendix A'!#REF!</definedName>
    <definedName name="Z_903669DD_1133_45D2_B108_C6B5BEA5EB61_.wvu.FilterData" localSheetId="28" hidden="1">'old Appendix A'!#REF!</definedName>
    <definedName name="Z_903669DD_1133_45D2_B108_C6B5BEA5EB61_.wvu.FilterData" localSheetId="18" hidden="1">Template!$A$1:$A$4220</definedName>
    <definedName name="Z_903669DD_1133_45D2_B108_C6B5BEA5EB61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9C479752_7F2F_4739_B52F_47A06FE05EF0_.wvu.Cols" localSheetId="34" hidden="1">'Appendix A'!$E:$K,'Appendix A'!$O:$P</definedName>
    <definedName name="Z_9C479752_7F2F_4739_B52F_47A06FE05EF0_.wvu.Cols" localSheetId="1" hidden="1">'Appendix A (Original)'!$E:$K,'Appendix A (Original)'!$O:$P</definedName>
    <definedName name="Z_9C479752_7F2F_4739_B52F_47A06FE05EF0_.wvu.Cols" localSheetId="0" hidden="1">'Appendix A (updated 24.06)'!$E:$K,'Appendix A (updated 24.06)'!$O:$P</definedName>
    <definedName name="Z_9C479752_7F2F_4739_B52F_47A06FE05EF0_.wvu.Cols" localSheetId="9" hidden="1">'Appendix A 0407'!$E:$K,'Appendix A 0407'!$O:$P</definedName>
    <definedName name="Z_9C479752_7F2F_4739_B52F_47A06FE05EF0_.wvu.Cols" localSheetId="8" hidden="1">'Appendix A 040722'!$E:$K,'Appendix A 040722'!$O:$P</definedName>
    <definedName name="Z_9C479752_7F2F_4739_B52F_47A06FE05EF0_.wvu.Cols" localSheetId="12" hidden="1">'Appendix A 0607'!$E:$K,'Appendix A 0607'!$O:$P</definedName>
    <definedName name="Z_9C479752_7F2F_4739_B52F_47A06FE05EF0_.wvu.Cols" localSheetId="33" hidden="1">'Appendix A 12.04'!$E:$K,'Appendix A 12.04'!$O:$P</definedName>
    <definedName name="Z_9C479752_7F2F_4739_B52F_47A06FE05EF0_.wvu.Cols" localSheetId="32" hidden="1">'Appendix A 21.03'!$E:$K,'Appendix A 21.03'!$O:$P</definedName>
    <definedName name="Z_9C479752_7F2F_4739_B52F_47A06FE05EF0_.wvu.Cols" localSheetId="30" hidden="1">'Appendix A 240227'!$E:$K,'Appendix A 240227'!$O:$P</definedName>
    <definedName name="Z_9C479752_7F2F_4739_B52F_47A06FE05EF0_.wvu.Cols" localSheetId="31" hidden="1">'Appendix A 240321'!$E:$K,'Appendix A 240321'!$O:$P</definedName>
    <definedName name="Z_9C479752_7F2F_4739_B52F_47A06FE05EF0_.wvu.Cols" localSheetId="19" hidden="1">'Appendix EX'!$F:$L,'Appendix EX'!$P:$Q</definedName>
    <definedName name="Z_9C479752_7F2F_4739_B52F_47A06FE05EF0_.wvu.Cols" localSheetId="4" hidden="1">Comments!$C:$E</definedName>
    <definedName name="Z_9C479752_7F2F_4739_B52F_47A06FE05EF0_.wvu.Cols" localSheetId="2" hidden="1">'Comments Feeder'!$E:$K,'Comments Feeder'!$O:$P</definedName>
    <definedName name="Z_9C479752_7F2F_4739_B52F_47A06FE05EF0_.wvu.Cols" localSheetId="7" hidden="1">COVID!$A:$E,COVID!$L:$M</definedName>
    <definedName name="Z_9C479752_7F2F_4739_B52F_47A06FE05EF0_.wvu.Cols" localSheetId="20" hidden="1">'COVID 19'!$A:$E,'COVID 19'!$J:$M</definedName>
    <definedName name="Z_9C479752_7F2F_4739_B52F_47A06FE05EF0_.wvu.Cols" localSheetId="25" hidden="1">'COVID 19 '!$A:$E,'COVID 19 '!$J:$M</definedName>
    <definedName name="Z_9C479752_7F2F_4739_B52F_47A06FE05EF0_.wvu.Cols" localSheetId="27" hidden="1">'COVID 19  (2)'!$A:$E,'COVID 19  (2)'!$J:$M</definedName>
    <definedName name="Z_9C479752_7F2F_4739_B52F_47A06FE05EF0_.wvu.Cols" localSheetId="26" hidden="1">'COVID 19)'!$A:$E,'COVID 19)'!$L:$M</definedName>
    <definedName name="Z_9C479752_7F2F_4739_B52F_47A06FE05EF0_.wvu.Cols" localSheetId="16" hidden="1">'COVID sept'!$A:$E,'COVID sept'!$L:$M</definedName>
    <definedName name="Z_9C479752_7F2F_4739_B52F_47A06FE05EF0_.wvu.Cols" localSheetId="29" hidden="1">'Last Appendix A'!$E:$K,'Last Appendix A'!$O:$P</definedName>
    <definedName name="Z_9C479752_7F2F_4739_B52F_47A06FE05EF0_.wvu.Cols" localSheetId="28" hidden="1">'old Appendix A'!$E:$K,'old Appendix A'!$O:$P</definedName>
    <definedName name="Z_9C479752_7F2F_4739_B52F_47A06FE05EF0_.wvu.Cols" localSheetId="6" hidden="1">'old Comments Feeder'!$E:$K,'old Comments Feeder'!$O:$P</definedName>
    <definedName name="Z_9C479752_7F2F_4739_B52F_47A06FE05EF0_.wvu.Cols" localSheetId="15" hidden="1">'september Appendix A for report'!$D:$L,'september Appendix A for report'!$P:$U,'september Appendix A for report'!$X:$Y,'september Appendix A for report'!$AC:$AG</definedName>
    <definedName name="Z_9C479752_7F2F_4739_B52F_47A06FE05EF0_.wvu.Cols" localSheetId="18" hidden="1">Template!$F:$L,Template!$P:$Q</definedName>
    <definedName name="Z_9C479752_7F2F_4739_B52F_47A06FE05EF0_.wvu.Cols" localSheetId="5" hidden="1">Virements!$I:$Y</definedName>
    <definedName name="Z_9C479752_7F2F_4739_B52F_47A06FE05EF0_.wvu.FilterData" localSheetId="23" hidden="1">'AJ all trans'!$A$1:$M$2441</definedName>
    <definedName name="Z_9C479752_7F2F_4739_B52F_47A06FE05EF0_.wvu.FilterData" localSheetId="21" hidden="1">'All transactions'!$A$1:$L$8964</definedName>
    <definedName name="Z_9C479752_7F2F_4739_B52F_47A06FE05EF0_.wvu.FilterData" localSheetId="34" hidden="1">'Appendix A'!#REF!</definedName>
    <definedName name="Z_9C479752_7F2F_4739_B52F_47A06FE05EF0_.wvu.FilterData" localSheetId="1" hidden="1">'Appendix A (Original)'!#REF!</definedName>
    <definedName name="Z_9C479752_7F2F_4739_B52F_47A06FE05EF0_.wvu.FilterData" localSheetId="0" hidden="1">'Appendix A (updated 24.06)'!#REF!</definedName>
    <definedName name="Z_9C479752_7F2F_4739_B52F_47A06FE05EF0_.wvu.FilterData" localSheetId="9" hidden="1">'Appendix A 0407'!#REF!</definedName>
    <definedName name="Z_9C479752_7F2F_4739_B52F_47A06FE05EF0_.wvu.FilterData" localSheetId="8" hidden="1">'Appendix A 040722'!#REF!</definedName>
    <definedName name="Z_9C479752_7F2F_4739_B52F_47A06FE05EF0_.wvu.FilterData" localSheetId="12" hidden="1">'Appendix A 0607'!#REF!</definedName>
    <definedName name="Z_9C479752_7F2F_4739_B52F_47A06FE05EF0_.wvu.FilterData" localSheetId="33" hidden="1">'Appendix A 12.04'!#REF!</definedName>
    <definedName name="Z_9C479752_7F2F_4739_B52F_47A06FE05EF0_.wvu.FilterData" localSheetId="32" hidden="1">'Appendix A 21.03'!#REF!</definedName>
    <definedName name="Z_9C479752_7F2F_4739_B52F_47A06FE05EF0_.wvu.FilterData" localSheetId="30" hidden="1">'Appendix A 240227'!#REF!</definedName>
    <definedName name="Z_9C479752_7F2F_4739_B52F_47A06FE05EF0_.wvu.FilterData" localSheetId="31" hidden="1">'Appendix A 240321'!#REF!</definedName>
    <definedName name="Z_9C479752_7F2F_4739_B52F_47A06FE05EF0_.wvu.FilterData" localSheetId="19" hidden="1">'Appendix EX'!$A$1:$A$4313</definedName>
    <definedName name="Z_9C479752_7F2F_4739_B52F_47A06FE05EF0_.wvu.FilterData" localSheetId="2" hidden="1">'Comments Feeder'!#REF!</definedName>
    <definedName name="Z_9C479752_7F2F_4739_B52F_47A06FE05EF0_.wvu.FilterData" localSheetId="25" hidden="1">'COVID 19 '!$A$6:$Z$35</definedName>
    <definedName name="Z_9C479752_7F2F_4739_B52F_47A06FE05EF0_.wvu.FilterData" localSheetId="27" hidden="1">'COVID 19  (2)'!$A$6:$Z$35</definedName>
    <definedName name="Z_9C479752_7F2F_4739_B52F_47A06FE05EF0_.wvu.FilterData" localSheetId="26" hidden="1">'COVID 19)'!$A$6:$Z$35</definedName>
    <definedName name="Z_9C479752_7F2F_4739_B52F_47A06FE05EF0_.wvu.FilterData" localSheetId="16" hidden="1">'COVID sept'!$A$6:$Z$35</definedName>
    <definedName name="Z_9C479752_7F2F_4739_B52F_47A06FE05EF0_.wvu.FilterData" localSheetId="29" hidden="1">'Last Appendix A'!#REF!</definedName>
    <definedName name="Z_9C479752_7F2F_4739_B52F_47A06FE05EF0_.wvu.FilterData" localSheetId="28" hidden="1">'old Appendix A'!#REF!</definedName>
    <definedName name="Z_9C479752_7F2F_4739_B52F_47A06FE05EF0_.wvu.FilterData" localSheetId="6" hidden="1">'old Comments Feeder'!#REF!</definedName>
    <definedName name="Z_9C479752_7F2F_4739_B52F_47A06FE05EF0_.wvu.FilterData" localSheetId="18" hidden="1">Template!$A$1:$A$4220</definedName>
    <definedName name="Z_9C479752_7F2F_4739_B52F_47A06FE05EF0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A0809A10_8F40_4AD2_8943_60E412AED428_.wvu.Cols" localSheetId="34" hidden="1">'Appendix A'!$E:$K,'Appendix A'!$O:$P</definedName>
    <definedName name="Z_A0809A10_8F40_4AD2_8943_60E412AED428_.wvu.Cols" localSheetId="1" hidden="1">'Appendix A (Original)'!$E:$K,'Appendix A (Original)'!$O:$P</definedName>
    <definedName name="Z_A0809A10_8F40_4AD2_8943_60E412AED428_.wvu.Cols" localSheetId="0" hidden="1">'Appendix A (updated 24.06)'!$E:$K,'Appendix A (updated 24.06)'!$O:$P</definedName>
    <definedName name="Z_A0809A10_8F40_4AD2_8943_60E412AED428_.wvu.Cols" localSheetId="9" hidden="1">'Appendix A 0407'!$E:$K,'Appendix A 0407'!$O:$P</definedName>
    <definedName name="Z_A0809A10_8F40_4AD2_8943_60E412AED428_.wvu.Cols" localSheetId="8" hidden="1">'Appendix A 040722'!$E:$K,'Appendix A 040722'!$O:$P</definedName>
    <definedName name="Z_A0809A10_8F40_4AD2_8943_60E412AED428_.wvu.Cols" localSheetId="12" hidden="1">'Appendix A 0607'!$E:$K,'Appendix A 0607'!$O:$P</definedName>
    <definedName name="Z_A0809A10_8F40_4AD2_8943_60E412AED428_.wvu.Cols" localSheetId="33" hidden="1">'Appendix A 12.04'!$E:$K,'Appendix A 12.04'!$O:$P</definedName>
    <definedName name="Z_A0809A10_8F40_4AD2_8943_60E412AED428_.wvu.Cols" localSheetId="32" hidden="1">'Appendix A 21.03'!$E:$K,'Appendix A 21.03'!$O:$P</definedName>
    <definedName name="Z_A0809A10_8F40_4AD2_8943_60E412AED428_.wvu.Cols" localSheetId="30" hidden="1">'Appendix A 240227'!$E:$K,'Appendix A 240227'!$O:$P</definedName>
    <definedName name="Z_A0809A10_8F40_4AD2_8943_60E412AED428_.wvu.Cols" localSheetId="31" hidden="1">'Appendix A 240321'!$E:$K,'Appendix A 240321'!$O:$P</definedName>
    <definedName name="Z_A0809A10_8F40_4AD2_8943_60E412AED428_.wvu.Cols" localSheetId="19" hidden="1">'Appendix EX'!$F:$L,'Appendix EX'!$P:$Q</definedName>
    <definedName name="Z_A0809A10_8F40_4AD2_8943_60E412AED428_.wvu.Cols" localSheetId="4" hidden="1">Comments!$C:$E</definedName>
    <definedName name="Z_A0809A10_8F40_4AD2_8943_60E412AED428_.wvu.Cols" localSheetId="2" hidden="1">'Comments Feeder'!$E:$K,'Comments Feeder'!$O:$P</definedName>
    <definedName name="Z_A0809A10_8F40_4AD2_8943_60E412AED428_.wvu.Cols" localSheetId="7" hidden="1">COVID!$A:$E,COVID!$L:$M</definedName>
    <definedName name="Z_A0809A10_8F40_4AD2_8943_60E412AED428_.wvu.Cols" localSheetId="20" hidden="1">'COVID 19'!$A:$E,'COVID 19'!$J:$M</definedName>
    <definedName name="Z_A0809A10_8F40_4AD2_8943_60E412AED428_.wvu.Cols" localSheetId="25" hidden="1">'COVID 19 '!$A:$E,'COVID 19 '!$J:$M</definedName>
    <definedName name="Z_A0809A10_8F40_4AD2_8943_60E412AED428_.wvu.Cols" localSheetId="27" hidden="1">'COVID 19  (2)'!$A:$E,'COVID 19  (2)'!$J:$M</definedName>
    <definedName name="Z_A0809A10_8F40_4AD2_8943_60E412AED428_.wvu.Cols" localSheetId="26" hidden="1">'COVID 19)'!$A:$E,'COVID 19)'!$L:$M</definedName>
    <definedName name="Z_A0809A10_8F40_4AD2_8943_60E412AED428_.wvu.Cols" localSheetId="16" hidden="1">'COVID sept'!$A:$E,'COVID sept'!$L:$M</definedName>
    <definedName name="Z_A0809A10_8F40_4AD2_8943_60E412AED428_.wvu.Cols" localSheetId="29" hidden="1">'Last Appendix A'!$E:$K,'Last Appendix A'!$O:$P</definedName>
    <definedName name="Z_A0809A10_8F40_4AD2_8943_60E412AED428_.wvu.Cols" localSheetId="28" hidden="1">'old Appendix A'!$E:$K,'old Appendix A'!$O:$P</definedName>
    <definedName name="Z_A0809A10_8F40_4AD2_8943_60E412AED428_.wvu.Cols" localSheetId="6" hidden="1">'old Comments Feeder'!$E:$K,'old Comments Feeder'!$O:$P</definedName>
    <definedName name="Z_A0809A10_8F40_4AD2_8943_60E412AED428_.wvu.Cols" localSheetId="15" hidden="1">'september Appendix A for report'!$D:$L,'september Appendix A for report'!$P:$U,'september Appendix A for report'!$X:$Y,'september Appendix A for report'!$AC:$AG</definedName>
    <definedName name="Z_A0809A10_8F40_4AD2_8943_60E412AED428_.wvu.Cols" localSheetId="18" hidden="1">Template!$F:$L,Template!$P:$Q</definedName>
    <definedName name="Z_A0809A10_8F40_4AD2_8943_60E412AED428_.wvu.FilterData" localSheetId="23" hidden="1">'AJ all trans'!$A$1:$M$2441</definedName>
    <definedName name="Z_A0809A10_8F40_4AD2_8943_60E412AED428_.wvu.FilterData" localSheetId="21" hidden="1">'All transactions'!$A$1:$L$8964</definedName>
    <definedName name="Z_A0809A10_8F40_4AD2_8943_60E412AED428_.wvu.FilterData" localSheetId="34" hidden="1">'Appendix A'!#REF!</definedName>
    <definedName name="Z_A0809A10_8F40_4AD2_8943_60E412AED428_.wvu.FilterData" localSheetId="1" hidden="1">'Appendix A (Original)'!#REF!</definedName>
    <definedName name="Z_A0809A10_8F40_4AD2_8943_60E412AED428_.wvu.FilterData" localSheetId="0" hidden="1">'Appendix A (updated 24.06)'!#REF!</definedName>
    <definedName name="Z_A0809A10_8F40_4AD2_8943_60E412AED428_.wvu.FilterData" localSheetId="9" hidden="1">'Appendix A 0407'!#REF!</definedName>
    <definedName name="Z_A0809A10_8F40_4AD2_8943_60E412AED428_.wvu.FilterData" localSheetId="8" hidden="1">'Appendix A 040722'!#REF!</definedName>
    <definedName name="Z_A0809A10_8F40_4AD2_8943_60E412AED428_.wvu.FilterData" localSheetId="12" hidden="1">'Appendix A 0607'!#REF!</definedName>
    <definedName name="Z_A0809A10_8F40_4AD2_8943_60E412AED428_.wvu.FilterData" localSheetId="33" hidden="1">'Appendix A 12.04'!#REF!</definedName>
    <definedName name="Z_A0809A10_8F40_4AD2_8943_60E412AED428_.wvu.FilterData" localSheetId="32" hidden="1">'Appendix A 21.03'!#REF!</definedName>
    <definedName name="Z_A0809A10_8F40_4AD2_8943_60E412AED428_.wvu.FilterData" localSheetId="30" hidden="1">'Appendix A 240227'!#REF!</definedName>
    <definedName name="Z_A0809A10_8F40_4AD2_8943_60E412AED428_.wvu.FilterData" localSheetId="31" hidden="1">'Appendix A 240321'!#REF!</definedName>
    <definedName name="Z_A0809A10_8F40_4AD2_8943_60E412AED428_.wvu.FilterData" localSheetId="19" hidden="1">'Appendix EX'!$A$1:$A$4313</definedName>
    <definedName name="Z_A0809A10_8F40_4AD2_8943_60E412AED428_.wvu.FilterData" localSheetId="2" hidden="1">'Comments Feeder'!#REF!</definedName>
    <definedName name="Z_A0809A10_8F40_4AD2_8943_60E412AED428_.wvu.FilterData" localSheetId="25" hidden="1">'COVID 19 '!$A$6:$Z$35</definedName>
    <definedName name="Z_A0809A10_8F40_4AD2_8943_60E412AED428_.wvu.FilterData" localSheetId="27" hidden="1">'COVID 19  (2)'!$A$6:$Z$35</definedName>
    <definedName name="Z_A0809A10_8F40_4AD2_8943_60E412AED428_.wvu.FilterData" localSheetId="26" hidden="1">'COVID 19)'!$A$6:$Z$35</definedName>
    <definedName name="Z_A0809A10_8F40_4AD2_8943_60E412AED428_.wvu.FilterData" localSheetId="16" hidden="1">'COVID sept'!$A$6:$Z$35</definedName>
    <definedName name="Z_A0809A10_8F40_4AD2_8943_60E412AED428_.wvu.FilterData" localSheetId="29" hidden="1">'Last Appendix A'!#REF!</definedName>
    <definedName name="Z_A0809A10_8F40_4AD2_8943_60E412AED428_.wvu.FilterData" localSheetId="28" hidden="1">'old Appendix A'!#REF!</definedName>
    <definedName name="Z_A0809A10_8F40_4AD2_8943_60E412AED428_.wvu.FilterData" localSheetId="6" hidden="1">'old Comments Feeder'!#REF!</definedName>
    <definedName name="Z_A0809A10_8F40_4AD2_8943_60E412AED428_.wvu.FilterData" localSheetId="18" hidden="1">Template!$A$1:$A$4220</definedName>
    <definedName name="Z_A0809A10_8F40_4AD2_8943_60E412AED428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A37DD352_A7AF_49CE_912C_361DC6A5C2EA_.wvu.Cols" localSheetId="34" hidden="1">'Appendix A'!$E:$K,'Appendix A'!$Y:$Z</definedName>
    <definedName name="Z_A37DD352_A7AF_49CE_912C_361DC6A5C2EA_.wvu.Cols" localSheetId="1" hidden="1">'Appendix A (Original)'!$E:$K,'Appendix A (Original)'!$Y:$Z</definedName>
    <definedName name="Z_A37DD352_A7AF_49CE_912C_361DC6A5C2EA_.wvu.Cols" localSheetId="0" hidden="1">'Appendix A (updated 24.06)'!$E:$K,'Appendix A (updated 24.06)'!$AB:$AC</definedName>
    <definedName name="Z_A37DD352_A7AF_49CE_912C_361DC6A5C2EA_.wvu.Cols" localSheetId="9" hidden="1">'Appendix A 0407'!$E:$K,'Appendix A 0407'!$Y:$Z</definedName>
    <definedName name="Z_A37DD352_A7AF_49CE_912C_361DC6A5C2EA_.wvu.Cols" localSheetId="8" hidden="1">'Appendix A 040722'!$E:$K,'Appendix A 040722'!$Y:$Z</definedName>
    <definedName name="Z_A37DD352_A7AF_49CE_912C_361DC6A5C2EA_.wvu.Cols" localSheetId="12" hidden="1">'Appendix A 0607'!$E:$K,'Appendix A 0607'!$Y:$Z</definedName>
    <definedName name="Z_A37DD352_A7AF_49CE_912C_361DC6A5C2EA_.wvu.Cols" localSheetId="33" hidden="1">'Appendix A 12.04'!$E:$K,'Appendix A 12.04'!$Y:$Z</definedName>
    <definedName name="Z_A37DD352_A7AF_49CE_912C_361DC6A5C2EA_.wvu.Cols" localSheetId="32" hidden="1">'Appendix A 21.03'!$E:$K,'Appendix A 21.03'!$Y:$Z</definedName>
    <definedName name="Z_A37DD352_A7AF_49CE_912C_361DC6A5C2EA_.wvu.Cols" localSheetId="30" hidden="1">'Appendix A 240227'!$E:$K,'Appendix A 240227'!$Y:$Z</definedName>
    <definedName name="Z_A37DD352_A7AF_49CE_912C_361DC6A5C2EA_.wvu.Cols" localSheetId="31" hidden="1">'Appendix A 240321'!$E:$K,'Appendix A 240321'!$Y:$Z</definedName>
    <definedName name="Z_A37DD352_A7AF_49CE_912C_361DC6A5C2EA_.wvu.Cols" localSheetId="19" hidden="1">'Appendix EX'!$F:$L,'Appendix EX'!$Z:$AA</definedName>
    <definedName name="Z_A37DD352_A7AF_49CE_912C_361DC6A5C2EA_.wvu.Cols" localSheetId="4" hidden="1">Comments!$D:$E</definedName>
    <definedName name="Z_A37DD352_A7AF_49CE_912C_361DC6A5C2EA_.wvu.Cols" localSheetId="2" hidden="1">'Comments Feeder'!$E:$K,'Comments Feeder'!$V:$W</definedName>
    <definedName name="Z_A37DD352_A7AF_49CE_912C_361DC6A5C2EA_.wvu.Cols" localSheetId="29" hidden="1">'Last Appendix A'!$E:$K,'Last Appendix A'!$Y:$Z</definedName>
    <definedName name="Z_A37DD352_A7AF_49CE_912C_361DC6A5C2EA_.wvu.Cols" localSheetId="28" hidden="1">'old Appendix A'!$E:$K,'old Appendix A'!$Y:$Z</definedName>
    <definedName name="Z_A37DD352_A7AF_49CE_912C_361DC6A5C2EA_.wvu.Cols" localSheetId="6" hidden="1">'old Comments Feeder'!$E:$K,'old Comments Feeder'!$Y:$Z</definedName>
    <definedName name="Z_A37DD352_A7AF_49CE_912C_361DC6A5C2EA_.wvu.Cols" localSheetId="15" hidden="1">'september Appendix A for report'!$E:$K,'september Appendix A for report'!$Z:$AA</definedName>
    <definedName name="Z_A37DD352_A7AF_49CE_912C_361DC6A5C2EA_.wvu.Cols" localSheetId="18" hidden="1">Template!$F:$L,Template!$Z:$AA</definedName>
    <definedName name="Z_B3BC7063_5810_40F6_8E2D_E6616BB6B71C_.wvu.Cols" localSheetId="34" hidden="1">'Appendix A'!$S:$T</definedName>
    <definedName name="Z_B3BC7063_5810_40F6_8E2D_E6616BB6B71C_.wvu.Cols" localSheetId="1" hidden="1">'Appendix A (Original)'!$S:$T</definedName>
    <definedName name="Z_B3BC7063_5810_40F6_8E2D_E6616BB6B71C_.wvu.Cols" localSheetId="0" hidden="1">'Appendix A (updated 24.06)'!$S:$T</definedName>
    <definedName name="Z_B3BC7063_5810_40F6_8E2D_E6616BB6B71C_.wvu.Cols" localSheetId="9" hidden="1">'Appendix A 0407'!$S:$T</definedName>
    <definedName name="Z_B3BC7063_5810_40F6_8E2D_E6616BB6B71C_.wvu.Cols" localSheetId="8" hidden="1">'Appendix A 040722'!$S:$T</definedName>
    <definedName name="Z_B3BC7063_5810_40F6_8E2D_E6616BB6B71C_.wvu.Cols" localSheetId="12" hidden="1">'Appendix A 0607'!$S:$T</definedName>
    <definedName name="Z_B3BC7063_5810_40F6_8E2D_E6616BB6B71C_.wvu.Cols" localSheetId="33" hidden="1">'Appendix A 12.04'!$S:$T</definedName>
    <definedName name="Z_B3BC7063_5810_40F6_8E2D_E6616BB6B71C_.wvu.Cols" localSheetId="32" hidden="1">'Appendix A 21.03'!$S:$T</definedName>
    <definedName name="Z_B3BC7063_5810_40F6_8E2D_E6616BB6B71C_.wvu.Cols" localSheetId="30" hidden="1">'Appendix A 240227'!$S:$T</definedName>
    <definedName name="Z_B3BC7063_5810_40F6_8E2D_E6616BB6B71C_.wvu.Cols" localSheetId="31" hidden="1">'Appendix A 240321'!$S:$T</definedName>
    <definedName name="Z_B3BC7063_5810_40F6_8E2D_E6616BB6B71C_.wvu.Cols" localSheetId="19" hidden="1">'Appendix EX'!$T:$U</definedName>
    <definedName name="Z_B3BC7063_5810_40F6_8E2D_E6616BB6B71C_.wvu.Cols" localSheetId="4" hidden="1">Comments!$D:$E</definedName>
    <definedName name="Z_B3BC7063_5810_40F6_8E2D_E6616BB6B71C_.wvu.Cols" localSheetId="2" hidden="1">'Comments Feeder'!$S:$T</definedName>
    <definedName name="Z_B3BC7063_5810_40F6_8E2D_E6616BB6B71C_.wvu.Cols" localSheetId="29" hidden="1">'Last Appendix A'!$S:$T</definedName>
    <definedName name="Z_B3BC7063_5810_40F6_8E2D_E6616BB6B71C_.wvu.Cols" localSheetId="28" hidden="1">'old Appendix A'!$S:$T</definedName>
    <definedName name="Z_B3BC7063_5810_40F6_8E2D_E6616BB6B71C_.wvu.Cols" localSheetId="6" hidden="1">'old Comments Feeder'!$S:$T</definedName>
    <definedName name="Z_B3BC7063_5810_40F6_8E2D_E6616BB6B71C_.wvu.Cols" localSheetId="15" hidden="1">'september Appendix A for report'!$T:$U</definedName>
    <definedName name="Z_B3BC7063_5810_40F6_8E2D_E6616BB6B71C_.wvu.Cols" localSheetId="18" hidden="1">Template!$T:$U</definedName>
    <definedName name="Z_B5B78BF3_B1F8_4BBA_8E40_E18C6034B566_.wvu.Cols" localSheetId="34" hidden="1">'Appendix A'!$E:$K,'Appendix A'!$O:$P</definedName>
    <definedName name="Z_B5B78BF3_B1F8_4BBA_8E40_E18C6034B566_.wvu.Cols" localSheetId="1" hidden="1">'Appendix A (Original)'!$E:$K,'Appendix A (Original)'!$O:$P</definedName>
    <definedName name="Z_B5B78BF3_B1F8_4BBA_8E40_E18C6034B566_.wvu.Cols" localSheetId="0" hidden="1">'Appendix A (updated 24.06)'!$E:$K,'Appendix A (updated 24.06)'!$O:$P</definedName>
    <definedName name="Z_B5B78BF3_B1F8_4BBA_8E40_E18C6034B566_.wvu.Cols" localSheetId="9" hidden="1">'Appendix A 0407'!$E:$K,'Appendix A 0407'!$O:$P</definedName>
    <definedName name="Z_B5B78BF3_B1F8_4BBA_8E40_E18C6034B566_.wvu.Cols" localSheetId="8" hidden="1">'Appendix A 040722'!$E:$K,'Appendix A 040722'!$O:$P</definedName>
    <definedName name="Z_B5B78BF3_B1F8_4BBA_8E40_E18C6034B566_.wvu.Cols" localSheetId="12" hidden="1">'Appendix A 0607'!$E:$K,'Appendix A 0607'!$O:$P</definedName>
    <definedName name="Z_B5B78BF3_B1F8_4BBA_8E40_E18C6034B566_.wvu.Cols" localSheetId="33" hidden="1">'Appendix A 12.04'!$E:$K,'Appendix A 12.04'!$O:$P</definedName>
    <definedName name="Z_B5B78BF3_B1F8_4BBA_8E40_E18C6034B566_.wvu.Cols" localSheetId="32" hidden="1">'Appendix A 21.03'!$E:$K,'Appendix A 21.03'!$O:$P</definedName>
    <definedName name="Z_B5B78BF3_B1F8_4BBA_8E40_E18C6034B566_.wvu.Cols" localSheetId="30" hidden="1">'Appendix A 240227'!$E:$K,'Appendix A 240227'!$O:$P</definedName>
    <definedName name="Z_B5B78BF3_B1F8_4BBA_8E40_E18C6034B566_.wvu.Cols" localSheetId="31" hidden="1">'Appendix A 240321'!$E:$K,'Appendix A 240321'!$O:$P</definedName>
    <definedName name="Z_B5B78BF3_B1F8_4BBA_8E40_E18C6034B566_.wvu.Cols" localSheetId="19" hidden="1">'Appendix EX'!$F:$L,'Appendix EX'!$P:$Q</definedName>
    <definedName name="Z_B5B78BF3_B1F8_4BBA_8E40_E18C6034B566_.wvu.Cols" localSheetId="4" hidden="1">Comments!$C:$E</definedName>
    <definedName name="Z_B5B78BF3_B1F8_4BBA_8E40_E18C6034B566_.wvu.Cols" localSheetId="2" hidden="1">'Comments Feeder'!$E:$K,'Comments Feeder'!$O:$P</definedName>
    <definedName name="Z_B5B78BF3_B1F8_4BBA_8E40_E18C6034B566_.wvu.Cols" localSheetId="20" hidden="1">'COVID 19'!$A:$E,'COVID 19'!$J:$M</definedName>
    <definedName name="Z_B5B78BF3_B1F8_4BBA_8E40_E18C6034B566_.wvu.Cols" localSheetId="25" hidden="1">'COVID 19 '!$A:$E,'COVID 19 '!$J:$M</definedName>
    <definedName name="Z_B5B78BF3_B1F8_4BBA_8E40_E18C6034B566_.wvu.Cols" localSheetId="27" hidden="1">'COVID 19  (2)'!$A:$E,'COVID 19  (2)'!$J:$M</definedName>
    <definedName name="Z_B5B78BF3_B1F8_4BBA_8E40_E18C6034B566_.wvu.Cols" localSheetId="26" hidden="1">'COVID 19)'!$A:$E,'COVID 19)'!$L:$M</definedName>
    <definedName name="Z_B5B78BF3_B1F8_4BBA_8E40_E18C6034B566_.wvu.Cols" localSheetId="16" hidden="1">'COVID sept'!$A:$E,'COVID sept'!$L:$M</definedName>
    <definedName name="Z_B5B78BF3_B1F8_4BBA_8E40_E18C6034B566_.wvu.Cols" localSheetId="29" hidden="1">'Last Appendix A'!$E:$K,'Last Appendix A'!$O:$P</definedName>
    <definedName name="Z_B5B78BF3_B1F8_4BBA_8E40_E18C6034B566_.wvu.Cols" localSheetId="28" hidden="1">'old Appendix A'!$E:$K,'old Appendix A'!$O:$P</definedName>
    <definedName name="Z_B5B78BF3_B1F8_4BBA_8E40_E18C6034B566_.wvu.Cols" localSheetId="6" hidden="1">'old Comments Feeder'!$E:$K,'old Comments Feeder'!$O:$P</definedName>
    <definedName name="Z_B5B78BF3_B1F8_4BBA_8E40_E18C6034B566_.wvu.Cols" localSheetId="15" hidden="1">'september Appendix A for report'!$D:$L,'september Appendix A for report'!$P:$U,'september Appendix A for report'!$X:$Y,'september Appendix A for report'!$AC:$AG</definedName>
    <definedName name="Z_B5B78BF3_B1F8_4BBA_8E40_E18C6034B566_.wvu.Cols" localSheetId="18" hidden="1">Template!$F:$L,Template!$P:$Q</definedName>
    <definedName name="Z_B5B78BF3_B1F8_4BBA_8E40_E18C6034B566_.wvu.Cols" localSheetId="5" hidden="1">Virements!$I:$Y</definedName>
    <definedName name="Z_B5B78BF3_B1F8_4BBA_8E40_E18C6034B566_.wvu.FilterData" localSheetId="23" hidden="1">'AJ all trans'!$A$1:$M$2441</definedName>
    <definedName name="Z_B5B78BF3_B1F8_4BBA_8E40_E18C6034B566_.wvu.FilterData" localSheetId="21" hidden="1">'All transactions'!$A$1:$L$8964</definedName>
    <definedName name="Z_B5B78BF3_B1F8_4BBA_8E40_E18C6034B566_.wvu.FilterData" localSheetId="34" hidden="1">'Appendix A'!#REF!</definedName>
    <definedName name="Z_B5B78BF3_B1F8_4BBA_8E40_E18C6034B566_.wvu.FilterData" localSheetId="1" hidden="1">'Appendix A (Original)'!#REF!</definedName>
    <definedName name="Z_B5B78BF3_B1F8_4BBA_8E40_E18C6034B566_.wvu.FilterData" localSheetId="0" hidden="1">'Appendix A (updated 24.06)'!#REF!</definedName>
    <definedName name="Z_B5B78BF3_B1F8_4BBA_8E40_E18C6034B566_.wvu.FilterData" localSheetId="9" hidden="1">'Appendix A 0407'!#REF!</definedName>
    <definedName name="Z_B5B78BF3_B1F8_4BBA_8E40_E18C6034B566_.wvu.FilterData" localSheetId="8" hidden="1">'Appendix A 040722'!#REF!</definedName>
    <definedName name="Z_B5B78BF3_B1F8_4BBA_8E40_E18C6034B566_.wvu.FilterData" localSheetId="12" hidden="1">'Appendix A 0607'!#REF!</definedName>
    <definedName name="Z_B5B78BF3_B1F8_4BBA_8E40_E18C6034B566_.wvu.FilterData" localSheetId="33" hidden="1">'Appendix A 12.04'!#REF!</definedName>
    <definedName name="Z_B5B78BF3_B1F8_4BBA_8E40_E18C6034B566_.wvu.FilterData" localSheetId="32" hidden="1">'Appendix A 21.03'!#REF!</definedName>
    <definedName name="Z_B5B78BF3_B1F8_4BBA_8E40_E18C6034B566_.wvu.FilterData" localSheetId="30" hidden="1">'Appendix A 240227'!#REF!</definedName>
    <definedName name="Z_B5B78BF3_B1F8_4BBA_8E40_E18C6034B566_.wvu.FilterData" localSheetId="31" hidden="1">'Appendix A 240321'!#REF!</definedName>
    <definedName name="Z_B5B78BF3_B1F8_4BBA_8E40_E18C6034B566_.wvu.FilterData" localSheetId="19" hidden="1">'Appendix EX'!$A$1:$A$4313</definedName>
    <definedName name="Z_B5B78BF3_B1F8_4BBA_8E40_E18C6034B566_.wvu.FilterData" localSheetId="2" hidden="1">'Comments Feeder'!#REF!</definedName>
    <definedName name="Z_B5B78BF3_B1F8_4BBA_8E40_E18C6034B566_.wvu.FilterData" localSheetId="25" hidden="1">'COVID 19 '!$A$6:$Z$35</definedName>
    <definedName name="Z_B5B78BF3_B1F8_4BBA_8E40_E18C6034B566_.wvu.FilterData" localSheetId="27" hidden="1">'COVID 19  (2)'!$A$6:$Z$35</definedName>
    <definedName name="Z_B5B78BF3_B1F8_4BBA_8E40_E18C6034B566_.wvu.FilterData" localSheetId="26" hidden="1">'COVID 19)'!$A$6:$Z$35</definedName>
    <definedName name="Z_B5B78BF3_B1F8_4BBA_8E40_E18C6034B566_.wvu.FilterData" localSheetId="16" hidden="1">'COVID sept'!$A$6:$Z$35</definedName>
    <definedName name="Z_B5B78BF3_B1F8_4BBA_8E40_E18C6034B566_.wvu.FilterData" localSheetId="29" hidden="1">'Last Appendix A'!#REF!</definedName>
    <definedName name="Z_B5B78BF3_B1F8_4BBA_8E40_E18C6034B566_.wvu.FilterData" localSheetId="28" hidden="1">'old Appendix A'!#REF!</definedName>
    <definedName name="Z_B5B78BF3_B1F8_4BBA_8E40_E18C6034B566_.wvu.FilterData" localSheetId="6" hidden="1">'old Comments Feeder'!#REF!</definedName>
    <definedName name="Z_B5B78BF3_B1F8_4BBA_8E40_E18C6034B566_.wvu.FilterData" localSheetId="18" hidden="1">Template!$A$1:$A$4220</definedName>
    <definedName name="Z_B5B78BF3_B1F8_4BBA_8E40_E18C6034B566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B940A5ED_6CAB_42A2_A77E_707D75DEC73F_.wvu.Cols" localSheetId="34" hidden="1">'Appendix A'!$G:$N</definedName>
    <definedName name="Z_B940A5ED_6CAB_42A2_A77E_707D75DEC73F_.wvu.Cols" localSheetId="1" hidden="1">'Appendix A (Original)'!$G:$N</definedName>
    <definedName name="Z_B940A5ED_6CAB_42A2_A77E_707D75DEC73F_.wvu.Cols" localSheetId="0" hidden="1">'Appendix A (updated 24.06)'!$G:$N</definedName>
    <definedName name="Z_B940A5ED_6CAB_42A2_A77E_707D75DEC73F_.wvu.Cols" localSheetId="9" hidden="1">'Appendix A 0407'!$G:$N</definedName>
    <definedName name="Z_B940A5ED_6CAB_42A2_A77E_707D75DEC73F_.wvu.Cols" localSheetId="8" hidden="1">'Appendix A 040722'!$G:$N</definedName>
    <definedName name="Z_B940A5ED_6CAB_42A2_A77E_707D75DEC73F_.wvu.Cols" localSheetId="12" hidden="1">'Appendix A 0607'!$G:$N</definedName>
    <definedName name="Z_B940A5ED_6CAB_42A2_A77E_707D75DEC73F_.wvu.Cols" localSheetId="33" hidden="1">'Appendix A 12.04'!$G:$N</definedName>
    <definedName name="Z_B940A5ED_6CAB_42A2_A77E_707D75DEC73F_.wvu.Cols" localSheetId="32" hidden="1">'Appendix A 21.03'!$G:$N</definedName>
    <definedName name="Z_B940A5ED_6CAB_42A2_A77E_707D75DEC73F_.wvu.Cols" localSheetId="30" hidden="1">'Appendix A 240227'!$G:$N</definedName>
    <definedName name="Z_B940A5ED_6CAB_42A2_A77E_707D75DEC73F_.wvu.Cols" localSheetId="31" hidden="1">'Appendix A 240321'!$G:$N</definedName>
    <definedName name="Z_B940A5ED_6CAB_42A2_A77E_707D75DEC73F_.wvu.Cols" localSheetId="19" hidden="1">'Appendix EX'!$H:$O</definedName>
    <definedName name="Z_B940A5ED_6CAB_42A2_A77E_707D75DEC73F_.wvu.Cols" localSheetId="4" hidden="1">Comments!$D:$E</definedName>
    <definedName name="Z_B940A5ED_6CAB_42A2_A77E_707D75DEC73F_.wvu.Cols" localSheetId="2" hidden="1">'Comments Feeder'!$G:$N</definedName>
    <definedName name="Z_B940A5ED_6CAB_42A2_A77E_707D75DEC73F_.wvu.Cols" localSheetId="29" hidden="1">'Last Appendix A'!$G:$N</definedName>
    <definedName name="Z_B940A5ED_6CAB_42A2_A77E_707D75DEC73F_.wvu.Cols" localSheetId="28" hidden="1">'old Appendix A'!$G:$N</definedName>
    <definedName name="Z_B940A5ED_6CAB_42A2_A77E_707D75DEC73F_.wvu.Cols" localSheetId="6" hidden="1">'old Comments Feeder'!$G:$N</definedName>
    <definedName name="Z_B940A5ED_6CAB_42A2_A77E_707D75DEC73F_.wvu.Cols" localSheetId="15" hidden="1">'september Appendix A for report'!$G:$O</definedName>
    <definedName name="Z_B940A5ED_6CAB_42A2_A77E_707D75DEC73F_.wvu.Cols" localSheetId="18" hidden="1">Template!$H:$O</definedName>
    <definedName name="Z_B940A5ED_6CAB_42A2_A77E_707D75DEC73F_.wvu.Rows" localSheetId="34" hidden="1">'Appendix A'!#REF!,'Appendix A'!#REF!,'Appendix A'!#REF!</definedName>
    <definedName name="Z_B940A5ED_6CAB_42A2_A77E_707D75DEC73F_.wvu.Rows" localSheetId="1" hidden="1">'Appendix A (Original)'!#REF!,'Appendix A (Original)'!#REF!,'Appendix A (Original)'!#REF!</definedName>
    <definedName name="Z_B940A5ED_6CAB_42A2_A77E_707D75DEC73F_.wvu.Rows" localSheetId="0" hidden="1">'Appendix A (updated 24.06)'!#REF!,'Appendix A (updated 24.06)'!#REF!,'Appendix A (updated 24.06)'!#REF!</definedName>
    <definedName name="Z_B940A5ED_6CAB_42A2_A77E_707D75DEC73F_.wvu.Rows" localSheetId="9" hidden="1">'Appendix A 0407'!#REF!,'Appendix A 0407'!#REF!,'Appendix A 0407'!#REF!</definedName>
    <definedName name="Z_B940A5ED_6CAB_42A2_A77E_707D75DEC73F_.wvu.Rows" localSheetId="8" hidden="1">'Appendix A 040722'!#REF!,'Appendix A 040722'!#REF!,'Appendix A 040722'!#REF!</definedName>
    <definedName name="Z_B940A5ED_6CAB_42A2_A77E_707D75DEC73F_.wvu.Rows" localSheetId="12" hidden="1">'Appendix A 0607'!#REF!,'Appendix A 0607'!#REF!,'Appendix A 0607'!#REF!</definedName>
    <definedName name="Z_B940A5ED_6CAB_42A2_A77E_707D75DEC73F_.wvu.Rows" localSheetId="33" hidden="1">'Appendix A 12.04'!#REF!,'Appendix A 12.04'!#REF!,'Appendix A 12.04'!#REF!</definedName>
    <definedName name="Z_B940A5ED_6CAB_42A2_A77E_707D75DEC73F_.wvu.Rows" localSheetId="32" hidden="1">'Appendix A 21.03'!#REF!,'Appendix A 21.03'!#REF!,'Appendix A 21.03'!#REF!</definedName>
    <definedName name="Z_B940A5ED_6CAB_42A2_A77E_707D75DEC73F_.wvu.Rows" localSheetId="30" hidden="1">'Appendix A 240227'!#REF!,'Appendix A 240227'!#REF!,'Appendix A 240227'!#REF!</definedName>
    <definedName name="Z_B940A5ED_6CAB_42A2_A77E_707D75DEC73F_.wvu.Rows" localSheetId="31" hidden="1">'Appendix A 240321'!#REF!,'Appendix A 240321'!#REF!,'Appendix A 240321'!#REF!</definedName>
    <definedName name="Z_B940A5ED_6CAB_42A2_A77E_707D75DEC73F_.wvu.Rows" localSheetId="19" hidden="1">'Appendix EX'!#REF!,'Appendix EX'!#REF!,'Appendix EX'!#REF!</definedName>
    <definedName name="Z_B940A5ED_6CAB_42A2_A77E_707D75DEC73F_.wvu.Rows" localSheetId="4" hidden="1">Comments!#REF!,Comments!#REF!</definedName>
    <definedName name="Z_B940A5ED_6CAB_42A2_A77E_707D75DEC73F_.wvu.Rows" localSheetId="2" hidden="1">'Comments Feeder'!#REF!,'Comments Feeder'!#REF!,'Comments Feeder'!#REF!</definedName>
    <definedName name="Z_B940A5ED_6CAB_42A2_A77E_707D75DEC73F_.wvu.Rows" localSheetId="29" hidden="1">'Last Appendix A'!#REF!,'Last Appendix A'!#REF!,'Last Appendix A'!#REF!</definedName>
    <definedName name="Z_B940A5ED_6CAB_42A2_A77E_707D75DEC73F_.wvu.Rows" localSheetId="28" hidden="1">'old Appendix A'!#REF!,'old Appendix A'!#REF!,'old Appendix A'!#REF!</definedName>
    <definedName name="Z_B940A5ED_6CAB_42A2_A77E_707D75DEC73F_.wvu.Rows" localSheetId="6" hidden="1">'old Comments Feeder'!#REF!,'old Comments Feeder'!#REF!,'old Comments Feeder'!#REF!</definedName>
    <definedName name="Z_B940A5ED_6CAB_42A2_A77E_707D75DEC73F_.wvu.Rows" localSheetId="15" hidden="1">'september Appendix A for report'!#REF!,'september Appendix A for report'!#REF!,'september Appendix A for report'!#REF!</definedName>
    <definedName name="Z_B940A5ED_6CAB_42A2_A77E_707D75DEC73F_.wvu.Rows" localSheetId="18" hidden="1">Template!#REF!,Template!#REF!,Template!#REF!</definedName>
    <definedName name="Z_BB55EB4D_9B0D_4B92_8E77_C896ABD5E235_.wvu.Cols" localSheetId="34" hidden="1">'Appendix A'!$E:$K</definedName>
    <definedName name="Z_BB55EB4D_9B0D_4B92_8E77_C896ABD5E235_.wvu.Cols" localSheetId="1" hidden="1">'Appendix A (Original)'!$E:$K</definedName>
    <definedName name="Z_BB55EB4D_9B0D_4B92_8E77_C896ABD5E235_.wvu.Cols" localSheetId="0" hidden="1">'Appendix A (updated 24.06)'!$E:$K</definedName>
    <definedName name="Z_BB55EB4D_9B0D_4B92_8E77_C896ABD5E235_.wvu.Cols" localSheetId="9" hidden="1">'Appendix A 0407'!$E:$K</definedName>
    <definedName name="Z_BB55EB4D_9B0D_4B92_8E77_C896ABD5E235_.wvu.Cols" localSheetId="8" hidden="1">'Appendix A 040722'!$E:$K</definedName>
    <definedName name="Z_BB55EB4D_9B0D_4B92_8E77_C896ABD5E235_.wvu.Cols" localSheetId="12" hidden="1">'Appendix A 0607'!$E:$K</definedName>
    <definedName name="Z_BB55EB4D_9B0D_4B92_8E77_C896ABD5E235_.wvu.Cols" localSheetId="33" hidden="1">'Appendix A 12.04'!$E:$K</definedName>
    <definedName name="Z_BB55EB4D_9B0D_4B92_8E77_C896ABD5E235_.wvu.Cols" localSheetId="32" hidden="1">'Appendix A 21.03'!$E:$K</definedName>
    <definedName name="Z_BB55EB4D_9B0D_4B92_8E77_C896ABD5E235_.wvu.Cols" localSheetId="30" hidden="1">'Appendix A 240227'!$E:$K</definedName>
    <definedName name="Z_BB55EB4D_9B0D_4B92_8E77_C896ABD5E235_.wvu.Cols" localSheetId="31" hidden="1">'Appendix A 240321'!$E:$K</definedName>
    <definedName name="Z_BB55EB4D_9B0D_4B92_8E77_C896ABD5E235_.wvu.Cols" localSheetId="19" hidden="1">'Appendix EX'!$F:$L</definedName>
    <definedName name="Z_BB55EB4D_9B0D_4B92_8E77_C896ABD5E235_.wvu.Cols" localSheetId="4" hidden="1">Comments!$D:$E</definedName>
    <definedName name="Z_BB55EB4D_9B0D_4B92_8E77_C896ABD5E235_.wvu.Cols" localSheetId="2" hidden="1">'Comments Feeder'!$E:$K</definedName>
    <definedName name="Z_BB55EB4D_9B0D_4B92_8E77_C896ABD5E235_.wvu.Cols" localSheetId="29" hidden="1">'Last Appendix A'!$E:$K</definedName>
    <definedName name="Z_BB55EB4D_9B0D_4B92_8E77_C896ABD5E235_.wvu.Cols" localSheetId="28" hidden="1">'old Appendix A'!$E:$K</definedName>
    <definedName name="Z_BB55EB4D_9B0D_4B92_8E77_C896ABD5E235_.wvu.Cols" localSheetId="6" hidden="1">'old Comments Feeder'!$E:$K</definedName>
    <definedName name="Z_BB55EB4D_9B0D_4B92_8E77_C896ABD5E235_.wvu.Cols" localSheetId="15" hidden="1">'september Appendix A for report'!$E:$K</definedName>
    <definedName name="Z_BB55EB4D_9B0D_4B92_8E77_C896ABD5E235_.wvu.Cols" localSheetId="18" hidden="1">Template!$F:$L</definedName>
    <definedName name="Z_C863E85C_7A8F_4EF3_8695_971E88BA737B_.wvu.Cols" localSheetId="4" hidden="1">Comments!$C:$E</definedName>
    <definedName name="Z_CEEEC9CC_7E4F_4BA3_AAC4_4DCBAABD71C2_.wvu.Cols" localSheetId="34" hidden="1">'Appendix A'!$E:$K,'Appendix A'!$M:$M,'Appendix A'!$O:$T,'Appendix A'!$W:$Z</definedName>
    <definedName name="Z_CEEEC9CC_7E4F_4BA3_AAC4_4DCBAABD71C2_.wvu.Cols" localSheetId="1" hidden="1">'Appendix A (Original)'!$E:$K,'Appendix A (Original)'!$M:$M,'Appendix A (Original)'!$O:$T,'Appendix A (Original)'!$W:$Z</definedName>
    <definedName name="Z_CEEEC9CC_7E4F_4BA3_AAC4_4DCBAABD71C2_.wvu.Cols" localSheetId="0" hidden="1">'Appendix A (updated 24.06)'!$E:$K,'Appendix A (updated 24.06)'!$M:$M,'Appendix A (updated 24.06)'!$O:$T,'Appendix A (updated 24.06)'!$Z:$AC</definedName>
    <definedName name="Z_CEEEC9CC_7E4F_4BA3_AAC4_4DCBAABD71C2_.wvu.Cols" localSheetId="9" hidden="1">'Appendix A 0407'!$E:$K,'Appendix A 0407'!$M:$M,'Appendix A 0407'!$O:$T,'Appendix A 0407'!$W:$Z</definedName>
    <definedName name="Z_CEEEC9CC_7E4F_4BA3_AAC4_4DCBAABD71C2_.wvu.Cols" localSheetId="8" hidden="1">'Appendix A 040722'!$E:$K,'Appendix A 040722'!$M:$M,'Appendix A 040722'!$O:$T,'Appendix A 040722'!$W:$Z</definedName>
    <definedName name="Z_CEEEC9CC_7E4F_4BA3_AAC4_4DCBAABD71C2_.wvu.Cols" localSheetId="12" hidden="1">'Appendix A 0607'!$E:$K,'Appendix A 0607'!$M:$M,'Appendix A 0607'!$O:$T,'Appendix A 0607'!$W:$Z</definedName>
    <definedName name="Z_CEEEC9CC_7E4F_4BA3_AAC4_4DCBAABD71C2_.wvu.Cols" localSheetId="33" hidden="1">'Appendix A 12.04'!$E:$K,'Appendix A 12.04'!$M:$M,'Appendix A 12.04'!$O:$T,'Appendix A 12.04'!$W:$Z</definedName>
    <definedName name="Z_CEEEC9CC_7E4F_4BA3_AAC4_4DCBAABD71C2_.wvu.Cols" localSheetId="32" hidden="1">'Appendix A 21.03'!$E:$K,'Appendix A 21.03'!$M:$M,'Appendix A 21.03'!$O:$T,'Appendix A 21.03'!$W:$Z</definedName>
    <definedName name="Z_CEEEC9CC_7E4F_4BA3_AAC4_4DCBAABD71C2_.wvu.Cols" localSheetId="30" hidden="1">'Appendix A 240227'!$E:$K,'Appendix A 240227'!$M:$M,'Appendix A 240227'!$O:$T,'Appendix A 240227'!$W:$Z</definedName>
    <definedName name="Z_CEEEC9CC_7E4F_4BA3_AAC4_4DCBAABD71C2_.wvu.Cols" localSheetId="31" hidden="1">'Appendix A 240321'!$E:$K,'Appendix A 240321'!$M:$M,'Appendix A 240321'!$O:$T,'Appendix A 240321'!$W:$Z</definedName>
    <definedName name="Z_CEEEC9CC_7E4F_4BA3_AAC4_4DCBAABD71C2_.wvu.Cols" localSheetId="19" hidden="1">'Appendix EX'!$F:$L,'Appendix EX'!$N:$N,'Appendix EX'!$P:$U,'Appendix EX'!$X:$AA</definedName>
    <definedName name="Z_CEEEC9CC_7E4F_4BA3_AAC4_4DCBAABD71C2_.wvu.Cols" localSheetId="4" hidden="1">Comments!$C:$E</definedName>
    <definedName name="Z_CEEEC9CC_7E4F_4BA3_AAC4_4DCBAABD71C2_.wvu.Cols" localSheetId="2" hidden="1">'Comments Feeder'!$E:$K,'Comments Feeder'!$M:$M,'Comments Feeder'!$O:$T,'Comments Feeder'!$V:$W</definedName>
    <definedName name="Z_CEEEC9CC_7E4F_4BA3_AAC4_4DCBAABD71C2_.wvu.Cols" localSheetId="29" hidden="1">'Last Appendix A'!$E:$K,'Last Appendix A'!$M:$M,'Last Appendix A'!$O:$T,'Last Appendix A'!$W:$Z</definedName>
    <definedName name="Z_CEEEC9CC_7E4F_4BA3_AAC4_4DCBAABD71C2_.wvu.Cols" localSheetId="28" hidden="1">'old Appendix A'!$E:$K,'old Appendix A'!$M:$M,'old Appendix A'!$O:$T,'old Appendix A'!$W:$Z</definedName>
    <definedName name="Z_CEEEC9CC_7E4F_4BA3_AAC4_4DCBAABD71C2_.wvu.Cols" localSheetId="6" hidden="1">'old Comments Feeder'!$E:$K,'old Comments Feeder'!$M:$M,'old Comments Feeder'!$O:$T,'old Comments Feeder'!$W:$Z</definedName>
    <definedName name="Z_CEEEC9CC_7E4F_4BA3_AAC4_4DCBAABD71C2_.wvu.Cols" localSheetId="15" hidden="1">'september Appendix A for report'!$E:$K,'september Appendix A for report'!$N:$N,'september Appendix A for report'!$P:$U,'september Appendix A for report'!$X:$AA</definedName>
    <definedName name="Z_CEEEC9CC_7E4F_4BA3_AAC4_4DCBAABD71C2_.wvu.Cols" localSheetId="18" hidden="1">Template!$F:$L,Template!$N:$N,Template!$P:$U,Template!$X:$AA</definedName>
    <definedName name="Z_CEEEC9CC_7E4F_4BA3_AAC4_4DCBAABD71C2_.wvu.PrintArea" localSheetId="34" hidden="1">'Appendix A'!$B$3:$Z$83</definedName>
    <definedName name="Z_CEEEC9CC_7E4F_4BA3_AAC4_4DCBAABD71C2_.wvu.PrintArea" localSheetId="1" hidden="1">'Appendix A (Original)'!$B$2:$Z$79</definedName>
    <definedName name="Z_CEEEC9CC_7E4F_4BA3_AAC4_4DCBAABD71C2_.wvu.PrintArea" localSheetId="0" hidden="1">'Appendix A (updated 24.06)'!$B$2:$AC$79</definedName>
    <definedName name="Z_CEEEC9CC_7E4F_4BA3_AAC4_4DCBAABD71C2_.wvu.PrintArea" localSheetId="9" hidden="1">'Appendix A 0407'!$B$2:$Z$79</definedName>
    <definedName name="Z_CEEEC9CC_7E4F_4BA3_AAC4_4DCBAABD71C2_.wvu.PrintArea" localSheetId="8" hidden="1">'Appendix A 040722'!$B$2:$Z$79</definedName>
    <definedName name="Z_CEEEC9CC_7E4F_4BA3_AAC4_4DCBAABD71C2_.wvu.PrintArea" localSheetId="12" hidden="1">'Appendix A 0607'!$B$2:$Z$79</definedName>
    <definedName name="Z_CEEEC9CC_7E4F_4BA3_AAC4_4DCBAABD71C2_.wvu.PrintArea" localSheetId="33" hidden="1">'Appendix A 12.04'!$B$2:$Z$81</definedName>
    <definedName name="Z_CEEEC9CC_7E4F_4BA3_AAC4_4DCBAABD71C2_.wvu.PrintArea" localSheetId="32" hidden="1">'Appendix A 21.03'!$B$2:$Z$81</definedName>
    <definedName name="Z_CEEEC9CC_7E4F_4BA3_AAC4_4DCBAABD71C2_.wvu.PrintArea" localSheetId="30" hidden="1">'Appendix A 240227'!$B$2:$Z$81</definedName>
    <definedName name="Z_CEEEC9CC_7E4F_4BA3_AAC4_4DCBAABD71C2_.wvu.PrintArea" localSheetId="31" hidden="1">'Appendix A 240321'!$B$2:$Z$81</definedName>
    <definedName name="Z_CEEEC9CC_7E4F_4BA3_AAC4_4DCBAABD71C2_.wvu.PrintArea" localSheetId="19" hidden="1">'Appendix EX'!$C$177:$AA$264</definedName>
    <definedName name="Z_CEEEC9CC_7E4F_4BA3_AAC4_4DCBAABD71C2_.wvu.PrintArea" localSheetId="2" hidden="1">'Comments Feeder'!$B$2:$Z$81</definedName>
    <definedName name="Z_CEEEC9CC_7E4F_4BA3_AAC4_4DCBAABD71C2_.wvu.PrintArea" localSheetId="29" hidden="1">'Last Appendix A'!$B$2:$Z$81</definedName>
    <definedName name="Z_CEEEC9CC_7E4F_4BA3_AAC4_4DCBAABD71C2_.wvu.PrintArea" localSheetId="28" hidden="1">'old Appendix A'!$B$2:$Z$81</definedName>
    <definedName name="Z_CEEEC9CC_7E4F_4BA3_AAC4_4DCBAABD71C2_.wvu.PrintArea" localSheetId="6" hidden="1">'old Comments Feeder'!$B$2:$Z$79</definedName>
    <definedName name="Z_CEEEC9CC_7E4F_4BA3_AAC4_4DCBAABD71C2_.wvu.PrintArea" localSheetId="15" hidden="1">'september Appendix A for report'!$B$2:$AA$76</definedName>
    <definedName name="Z_CEEEC9CC_7E4F_4BA3_AAC4_4DCBAABD71C2_.wvu.PrintArea" localSheetId="18" hidden="1">Template!$C$176:$AA$185</definedName>
    <definedName name="Z_CEEEC9CC_7E4F_4BA3_AAC4_4DCBAABD71C2_.wvu.Rows" localSheetId="34" hidden="1">'Appendix A'!#REF!,'Appendix A'!#REF!,'Appendix A'!#REF!,'Appendix A'!#REF!,'Appendix A'!#REF!,'Appendix A'!#REF!,'Appendix A'!#REF!,'Appendix A'!#REF!,'Appendix A'!#REF!,'Appendix A'!#REF!,'Appendix A'!#REF!,'Appendix A'!#REF!,'Appendix A'!#REF!</definedName>
    <definedName name="Z_CEEEC9CC_7E4F_4BA3_AAC4_4DCBAABD71C2_.wvu.Rows" localSheetId="1" hidden="1">'Appendix A (Original)'!#REF!,'Appendix A (Original)'!#REF!,'Appendix A (Original)'!#REF!,'Appendix A (Original)'!#REF!,'Appendix A (Original)'!#REF!,'Appendix A (Original)'!#REF!,'Appendix A (Original)'!#REF!,'Appendix A (Original)'!#REF!,'Appendix A (Original)'!#REF!,'Appendix A (Original)'!#REF!,'Appendix A (Original)'!#REF!,'Appendix A (Original)'!#REF!,'Appendix A (Original)'!#REF!</definedName>
    <definedName name="Z_CEEEC9CC_7E4F_4BA3_AAC4_4DCBAABD71C2_.wvu.Rows" localSheetId="0" hidden="1">'Appendix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24.06)'!#REF!,'Appendix A (updated 24.06)'!#REF!</definedName>
    <definedName name="Z_CEEEC9CC_7E4F_4BA3_AAC4_4DCBAABD71C2_.wvu.Rows" localSheetId="9" hidden="1">'Appendix A 0407'!#REF!,'Appendix A 0407'!#REF!,'Appendix A 0407'!#REF!,'Appendix A 0407'!#REF!,'Appendix A 0407'!#REF!,'Appendix A 0407'!#REF!,'Appendix A 0407'!#REF!,'Appendix A 0407'!#REF!,'Appendix A 0407'!#REF!,'Appendix A 0407'!#REF!,'Appendix A 0407'!#REF!,'Appendix A 0407'!#REF!,'Appendix A 0407'!#REF!</definedName>
    <definedName name="Z_CEEEC9CC_7E4F_4BA3_AAC4_4DCBAABD71C2_.wvu.Rows" localSheetId="8" hidden="1">'Appendix A 040722'!#REF!,'Appendix A 040722'!#REF!,'Appendix A 040722'!#REF!,'Appendix A 040722'!#REF!,'Appendix A 040722'!#REF!,'Appendix A 040722'!#REF!,'Appendix A 040722'!#REF!,'Appendix A 040722'!#REF!,'Appendix A 040722'!#REF!,'Appendix A 040722'!#REF!,'Appendix A 040722'!#REF!,'Appendix A 040722'!#REF!,'Appendix A 040722'!#REF!</definedName>
    <definedName name="Z_CEEEC9CC_7E4F_4BA3_AAC4_4DCBAABD71C2_.wvu.Rows" localSheetId="12" hidden="1">'Appendix A 0607'!#REF!,'Appendix A 0607'!#REF!,'Appendix A 0607'!#REF!,'Appendix A 0607'!#REF!,'Appendix A 0607'!#REF!,'Appendix A 0607'!#REF!,'Appendix A 0607'!#REF!,'Appendix A 0607'!#REF!,'Appendix A 0607'!#REF!,'Appendix A 0607'!#REF!,'Appendix A 0607'!#REF!,'Appendix A 0607'!#REF!,'Appendix A 0607'!#REF!</definedName>
    <definedName name="Z_CEEEC9CC_7E4F_4BA3_AAC4_4DCBAABD71C2_.wvu.Rows" localSheetId="33" hidden="1">'Appendix A 12.04'!#REF!,'Appendix A 12.04'!#REF!,'Appendix A 12.04'!#REF!,'Appendix A 12.04'!#REF!,'Appendix A 12.04'!#REF!,'Appendix A 12.04'!#REF!,'Appendix A 12.04'!#REF!,'Appendix A 12.04'!#REF!,'Appendix A 12.04'!#REF!,'Appendix A 12.04'!#REF!,'Appendix A 12.04'!#REF!,'Appendix A 12.04'!#REF!,'Appendix A 12.04'!#REF!</definedName>
    <definedName name="Z_CEEEC9CC_7E4F_4BA3_AAC4_4DCBAABD71C2_.wvu.Rows" localSheetId="32" hidden="1">'Appendix A 21.03'!#REF!,'Appendix A 21.03'!#REF!,'Appendix A 21.03'!#REF!,'Appendix A 21.03'!#REF!,'Appendix A 21.03'!#REF!,'Appendix A 21.03'!#REF!,'Appendix A 21.03'!#REF!,'Appendix A 21.03'!#REF!,'Appendix A 21.03'!#REF!,'Appendix A 21.03'!#REF!,'Appendix A 21.03'!#REF!,'Appendix A 21.03'!#REF!,'Appendix A 21.03'!#REF!</definedName>
    <definedName name="Z_CEEEC9CC_7E4F_4BA3_AAC4_4DCBAABD71C2_.wvu.Rows" localSheetId="30" hidden="1">'Appendix A 240227'!#REF!,'Appendix A 240227'!#REF!,'Appendix A 240227'!#REF!,'Appendix A 240227'!#REF!,'Appendix A 240227'!#REF!,'Appendix A 240227'!#REF!,'Appendix A 240227'!#REF!,'Appendix A 240227'!#REF!,'Appendix A 240227'!#REF!,'Appendix A 240227'!#REF!,'Appendix A 240227'!#REF!,'Appendix A 240227'!#REF!,'Appendix A 240227'!#REF!</definedName>
    <definedName name="Z_CEEEC9CC_7E4F_4BA3_AAC4_4DCBAABD71C2_.wvu.Rows" localSheetId="31" hidden="1">'Appendix A 240321'!#REF!,'Appendix A 240321'!#REF!,'Appendix A 240321'!#REF!,'Appendix A 240321'!#REF!,'Appendix A 240321'!#REF!,'Appendix A 240321'!#REF!,'Appendix A 240321'!#REF!,'Appendix A 240321'!#REF!,'Appendix A 240321'!#REF!,'Appendix A 240321'!#REF!,'Appendix A 240321'!#REF!,'Appendix A 240321'!#REF!,'Appendix A 240321'!#REF!</definedName>
    <definedName name="Z_CEEEC9CC_7E4F_4BA3_AAC4_4DCBAABD71C2_.wvu.Rows" localSheetId="19" hidden="1">'Appendix EX'!#REF!,'Appendix EX'!#REF!,'Appendix EX'!#REF!,'Appendix EX'!#REF!,'Appendix EX'!#REF!,'Appendix EX'!#REF!,'Appendix EX'!#REF!,'Appendix EX'!#REF!,'Appendix EX'!#REF!,'Appendix EX'!#REF!,'Appendix EX'!#REF!,'Appendix EX'!#REF!,'Appendix EX'!#REF!</definedName>
    <definedName name="Z_CEEEC9CC_7E4F_4BA3_AAC4_4DCBAABD71C2_.wvu.Rows" localSheetId="2" hidden="1">'Comments Feeder'!#REF!,'Comments Feeder'!#REF!,'Comments Feeder'!#REF!,'Comments Feeder'!#REF!,'Comments Feeder'!#REF!,'Comments Feeder'!#REF!,'Comments Feeder'!#REF!,'Comments Feeder'!#REF!,'Comments Feeder'!#REF!,'Comments Feeder'!#REF!,'Comments Feeder'!#REF!,'Comments Feeder'!#REF!,'Comments Feeder'!#REF!</definedName>
    <definedName name="Z_CEEEC9CC_7E4F_4BA3_AAC4_4DCBAABD71C2_.wvu.Rows" localSheetId="29" hidden="1">'Last Appendix A'!#REF!,'Last Appendix A'!#REF!,'Last Appendix A'!#REF!,'Last Appendix A'!#REF!,'Last Appendix A'!#REF!,'Last Appendix A'!#REF!,'Last Appendix A'!#REF!,'Last Appendix A'!#REF!,'Last Appendix A'!#REF!,'Last Appendix A'!#REF!,'Last Appendix A'!#REF!,'Last Appendix A'!#REF!,'Last Appendix A'!#REF!</definedName>
    <definedName name="Z_CEEEC9CC_7E4F_4BA3_AAC4_4DCBAABD71C2_.wvu.Rows" localSheetId="28" hidden="1">'old Appendix A'!#REF!,'old Appendix A'!#REF!,'old Appendix A'!#REF!,'old Appendix A'!#REF!,'old Appendix A'!#REF!,'old Appendix A'!#REF!,'old Appendix A'!#REF!,'old Appendix A'!#REF!,'old Appendix A'!#REF!,'old Appendix A'!#REF!,'old Appendix A'!#REF!,'old Appendix A'!#REF!,'old Appendix A'!#REF!</definedName>
    <definedName name="Z_CEEEC9CC_7E4F_4BA3_AAC4_4DCBAABD71C2_.wvu.Rows" localSheetId="6" hidden="1">'old Comments Feeder'!#REF!,'old Comments Feeder'!#REF!,'old Comments Feeder'!#REF!,'old Comments Feeder'!#REF!,'old Comments Feeder'!#REF!,'old Comments Feeder'!#REF!,'old Comments Feeder'!#REF!,'old Comments Feeder'!#REF!,'old Comments Feeder'!#REF!,'old Comments Feeder'!#REF!,'old Comments Feeder'!#REF!,'old Comments Feeder'!#REF!,'old Comments Feeder'!#REF!</definedName>
    <definedName name="Z_CEEEC9CC_7E4F_4BA3_AAC4_4DCBAABD71C2_.wvu.Rows" localSheetId="15" hidden="1">'september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report'!#REF!,'september Appendix A for report'!#REF!</definedName>
    <definedName name="Z_CEEEC9CC_7E4F_4BA3_AAC4_4DCBAABD71C2_.wvu.Rows" localSheetId="18" hidden="1">Template!#REF!,Template!#REF!,Template!#REF!,Template!#REF!,Template!#REF!,Template!#REF!,Template!#REF!,Template!#REF!,Template!#REF!,Template!#REF!,Template!#REF!,Template!#REF!,Template!#REF!</definedName>
    <definedName name="Z_D4578D5B_AE57_4C5E_9601_5B42D6BAB7D6_.wvu.Cols" localSheetId="34" hidden="1">'Appendix A'!$E:$K</definedName>
    <definedName name="Z_D4578D5B_AE57_4C5E_9601_5B42D6BAB7D6_.wvu.Cols" localSheetId="1" hidden="1">'Appendix A (Original)'!$E:$K</definedName>
    <definedName name="Z_D4578D5B_AE57_4C5E_9601_5B42D6BAB7D6_.wvu.Cols" localSheetId="0" hidden="1">'Appendix A (updated 24.06)'!$E:$K</definedName>
    <definedName name="Z_D4578D5B_AE57_4C5E_9601_5B42D6BAB7D6_.wvu.Cols" localSheetId="9" hidden="1">'Appendix A 0407'!$E:$K</definedName>
    <definedName name="Z_D4578D5B_AE57_4C5E_9601_5B42D6BAB7D6_.wvu.Cols" localSheetId="8" hidden="1">'Appendix A 040722'!$E:$K</definedName>
    <definedName name="Z_D4578D5B_AE57_4C5E_9601_5B42D6BAB7D6_.wvu.Cols" localSheetId="12" hidden="1">'Appendix A 0607'!$E:$K</definedName>
    <definedName name="Z_D4578D5B_AE57_4C5E_9601_5B42D6BAB7D6_.wvu.Cols" localSheetId="33" hidden="1">'Appendix A 12.04'!$E:$K</definedName>
    <definedName name="Z_D4578D5B_AE57_4C5E_9601_5B42D6BAB7D6_.wvu.Cols" localSheetId="32" hidden="1">'Appendix A 21.03'!$E:$K</definedName>
    <definedName name="Z_D4578D5B_AE57_4C5E_9601_5B42D6BAB7D6_.wvu.Cols" localSheetId="30" hidden="1">'Appendix A 240227'!$E:$K</definedName>
    <definedName name="Z_D4578D5B_AE57_4C5E_9601_5B42D6BAB7D6_.wvu.Cols" localSheetId="31" hidden="1">'Appendix A 240321'!$E:$K</definedName>
    <definedName name="Z_D4578D5B_AE57_4C5E_9601_5B42D6BAB7D6_.wvu.Cols" localSheetId="19" hidden="1">'Appendix EX'!$F:$L</definedName>
    <definedName name="Z_D4578D5B_AE57_4C5E_9601_5B42D6BAB7D6_.wvu.Cols" localSheetId="4" hidden="1">Comments!$D:$E</definedName>
    <definedName name="Z_D4578D5B_AE57_4C5E_9601_5B42D6BAB7D6_.wvu.Cols" localSheetId="2" hidden="1">'Comments Feeder'!$E:$K</definedName>
    <definedName name="Z_D4578D5B_AE57_4C5E_9601_5B42D6BAB7D6_.wvu.Cols" localSheetId="29" hidden="1">'Last Appendix A'!$E:$K</definedName>
    <definedName name="Z_D4578D5B_AE57_4C5E_9601_5B42D6BAB7D6_.wvu.Cols" localSheetId="28" hidden="1">'old Appendix A'!$E:$K</definedName>
    <definedName name="Z_D4578D5B_AE57_4C5E_9601_5B42D6BAB7D6_.wvu.Cols" localSheetId="6" hidden="1">'old Comments Feeder'!$E:$K</definedName>
    <definedName name="Z_D4578D5B_AE57_4C5E_9601_5B42D6BAB7D6_.wvu.Cols" localSheetId="15" hidden="1">'september Appendix A for report'!$E:$K</definedName>
    <definedName name="Z_D4578D5B_AE57_4C5E_9601_5B42D6BAB7D6_.wvu.Cols" localSheetId="18" hidden="1">Template!$F:$L</definedName>
    <definedName name="Z_D645D98E_1543_4155_8F90_931C0A813313_.wvu.Cols" localSheetId="34" hidden="1">'Appendix A'!$E:$K</definedName>
    <definedName name="Z_D645D98E_1543_4155_8F90_931C0A813313_.wvu.Cols" localSheetId="1" hidden="1">'Appendix A (Original)'!$E:$K</definedName>
    <definedName name="Z_D645D98E_1543_4155_8F90_931C0A813313_.wvu.Cols" localSheetId="0" hidden="1">'Appendix A (updated 24.06)'!$E:$K</definedName>
    <definedName name="Z_D645D98E_1543_4155_8F90_931C0A813313_.wvu.Cols" localSheetId="9" hidden="1">'Appendix A 0407'!$E:$K</definedName>
    <definedName name="Z_D645D98E_1543_4155_8F90_931C0A813313_.wvu.Cols" localSheetId="8" hidden="1">'Appendix A 040722'!$E:$K</definedName>
    <definedName name="Z_D645D98E_1543_4155_8F90_931C0A813313_.wvu.Cols" localSheetId="12" hidden="1">'Appendix A 0607'!$E:$K</definedName>
    <definedName name="Z_D645D98E_1543_4155_8F90_931C0A813313_.wvu.Cols" localSheetId="33" hidden="1">'Appendix A 12.04'!$E:$K</definedName>
    <definedName name="Z_D645D98E_1543_4155_8F90_931C0A813313_.wvu.Cols" localSheetId="32" hidden="1">'Appendix A 21.03'!$E:$K</definedName>
    <definedName name="Z_D645D98E_1543_4155_8F90_931C0A813313_.wvu.Cols" localSheetId="30" hidden="1">'Appendix A 240227'!$E:$K</definedName>
    <definedName name="Z_D645D98E_1543_4155_8F90_931C0A813313_.wvu.Cols" localSheetId="31" hidden="1">'Appendix A 240321'!$E:$K</definedName>
    <definedName name="Z_D645D98E_1543_4155_8F90_931C0A813313_.wvu.Cols" localSheetId="19" hidden="1">'Appendix EX'!$F:$L</definedName>
    <definedName name="Z_D645D98E_1543_4155_8F90_931C0A813313_.wvu.Cols" localSheetId="2" hidden="1">'Comments Feeder'!$E:$K</definedName>
    <definedName name="Z_D645D98E_1543_4155_8F90_931C0A813313_.wvu.Cols" localSheetId="29" hidden="1">'Last Appendix A'!$E:$K</definedName>
    <definedName name="Z_D645D98E_1543_4155_8F90_931C0A813313_.wvu.Cols" localSheetId="28" hidden="1">'old Appendix A'!$E:$K</definedName>
    <definedName name="Z_D645D98E_1543_4155_8F90_931C0A813313_.wvu.Cols" localSheetId="6" hidden="1">'old Comments Feeder'!$E:$K</definedName>
    <definedName name="Z_D645D98E_1543_4155_8F90_931C0A813313_.wvu.Cols" localSheetId="15" hidden="1">'september Appendix A for report'!$E:$K</definedName>
    <definedName name="Z_D645D98E_1543_4155_8F90_931C0A813313_.wvu.Cols" localSheetId="18" hidden="1">Template!$F:$L</definedName>
    <definedName name="Z_E4F22399_07D5_465E_AFB1_A36259E00328_.wvu.Cols" localSheetId="34" hidden="1">'Appendix A'!$E:$K,'Appendix A'!$O:$P</definedName>
    <definedName name="Z_E4F22399_07D5_465E_AFB1_A36259E00328_.wvu.Cols" localSheetId="1" hidden="1">'Appendix A (Original)'!$D:$M,'Appendix A (Original)'!$T:$V,'Appendix A (Original)'!$X:$Z</definedName>
    <definedName name="Z_E4F22399_07D5_465E_AFB1_A36259E00328_.wvu.Cols" localSheetId="0" hidden="1">'Appendix A (updated 24.06)'!$E:$K,'Appendix A (updated 24.06)'!$M:$M,'Appendix A (updated 24.06)'!$O:$P,'Appendix A (updated 24.06)'!$R:$T,'Appendix A (updated 24.06)'!$Z:$AC,'Appendix A (updated 24.06)'!$AE:$AI</definedName>
    <definedName name="Z_E4F22399_07D5_465E_AFB1_A36259E00328_.wvu.Cols" localSheetId="9" hidden="1">'Appendix A 0407'!$E:$K,'Appendix A 0407'!$O:$P</definedName>
    <definedName name="Z_E4F22399_07D5_465E_AFB1_A36259E00328_.wvu.Cols" localSheetId="8" hidden="1">'Appendix A 040722'!$E:$K,'Appendix A 040722'!$O:$P</definedName>
    <definedName name="Z_E4F22399_07D5_465E_AFB1_A36259E00328_.wvu.Cols" localSheetId="12" hidden="1">'Appendix A 0607'!$E:$K,'Appendix A 0607'!$O:$P</definedName>
    <definedName name="Z_E4F22399_07D5_465E_AFB1_A36259E00328_.wvu.Cols" localSheetId="33" hidden="1">'Appendix A 12.04'!$E:$K,'Appendix A 12.04'!$O:$P</definedName>
    <definedName name="Z_E4F22399_07D5_465E_AFB1_A36259E00328_.wvu.Cols" localSheetId="32" hidden="1">'Appendix A 21.03'!$E:$K,'Appendix A 21.03'!$O:$P</definedName>
    <definedName name="Z_E4F22399_07D5_465E_AFB1_A36259E00328_.wvu.Cols" localSheetId="31" hidden="1">'Appendix A 240321'!$E:$K,'Appendix A 240321'!$O:$P</definedName>
    <definedName name="Z_E4F22399_07D5_465E_AFB1_A36259E00328_.wvu.Cols" localSheetId="19" hidden="1">'Appendix EX'!$F:$L,'Appendix EX'!$P:$Q</definedName>
    <definedName name="Z_E4F22399_07D5_465E_AFB1_A36259E00328_.wvu.Cols" localSheetId="4" hidden="1">Comments!$C:$E</definedName>
    <definedName name="Z_E4F22399_07D5_465E_AFB1_A36259E00328_.wvu.Cols" localSheetId="2" hidden="1">'Comments Feeder'!$E:$K,'Comments Feeder'!$O:$P</definedName>
    <definedName name="Z_E4F22399_07D5_465E_AFB1_A36259E00328_.wvu.Cols" localSheetId="7" hidden="1">COVID!$A:$E,COVID!$L:$M</definedName>
    <definedName name="Z_E4F22399_07D5_465E_AFB1_A36259E00328_.wvu.Cols" localSheetId="20" hidden="1">'COVID 19'!$A:$E,'COVID 19'!$J:$M</definedName>
    <definedName name="Z_E4F22399_07D5_465E_AFB1_A36259E00328_.wvu.Cols" localSheetId="25" hidden="1">'COVID 19 '!$A:$E,'COVID 19 '!$J:$M</definedName>
    <definedName name="Z_E4F22399_07D5_465E_AFB1_A36259E00328_.wvu.Cols" localSheetId="27" hidden="1">'COVID 19  (2)'!$A:$E,'COVID 19  (2)'!$J:$M</definedName>
    <definedName name="Z_E4F22399_07D5_465E_AFB1_A36259E00328_.wvu.Cols" localSheetId="26" hidden="1">'COVID 19)'!$A:$E,'COVID 19)'!$L:$M</definedName>
    <definedName name="Z_E4F22399_07D5_465E_AFB1_A36259E00328_.wvu.Cols" localSheetId="16" hidden="1">'COVID sept'!$A:$E,'COVID sept'!$L:$M</definedName>
    <definedName name="Z_E4F22399_07D5_465E_AFB1_A36259E00328_.wvu.Cols" localSheetId="29" hidden="1">'Last Appendix A'!$E:$K,'Last Appendix A'!$O:$P</definedName>
    <definedName name="Z_E4F22399_07D5_465E_AFB1_A36259E00328_.wvu.Cols" localSheetId="28" hidden="1">'old Appendix A'!$E:$K,'old Appendix A'!$O:$P</definedName>
    <definedName name="Z_E4F22399_07D5_465E_AFB1_A36259E00328_.wvu.Cols" localSheetId="6" hidden="1">'old Comments Feeder'!$E:$K,'old Comments Feeder'!$O:$P</definedName>
    <definedName name="Z_E4F22399_07D5_465E_AFB1_A36259E00328_.wvu.Cols" localSheetId="15" hidden="1">'september Appendix A for report'!$D:$L,'september Appendix A for report'!$P:$U,'september Appendix A for report'!$X:$Y,'september Appendix A for report'!$AC:$AG</definedName>
    <definedName name="Z_E4F22399_07D5_465E_AFB1_A36259E00328_.wvu.Cols" localSheetId="18" hidden="1">Template!$F:$L,Template!$P:$Q</definedName>
    <definedName name="Z_E4F22399_07D5_465E_AFB1_A36259E00328_.wvu.FilterData" localSheetId="23" hidden="1">'AJ all trans'!$A$1:$M$2441</definedName>
    <definedName name="Z_E4F22399_07D5_465E_AFB1_A36259E00328_.wvu.FilterData" localSheetId="21" hidden="1">'All transactions'!$A$1:$L$8964</definedName>
    <definedName name="Z_E4F22399_07D5_465E_AFB1_A36259E00328_.wvu.FilterData" localSheetId="34" hidden="1">'Appendix A'!#REF!</definedName>
    <definedName name="Z_E4F22399_07D5_465E_AFB1_A36259E00328_.wvu.FilterData" localSheetId="0" hidden="1">'Appendix A (updated 24.06)'!#REF!</definedName>
    <definedName name="Z_E4F22399_07D5_465E_AFB1_A36259E00328_.wvu.FilterData" localSheetId="9" hidden="1">'Appendix A 0407'!#REF!</definedName>
    <definedName name="Z_E4F22399_07D5_465E_AFB1_A36259E00328_.wvu.FilterData" localSheetId="8" hidden="1">'Appendix A 040722'!#REF!</definedName>
    <definedName name="Z_E4F22399_07D5_465E_AFB1_A36259E00328_.wvu.FilterData" localSheetId="12" hidden="1">'Appendix A 0607'!#REF!</definedName>
    <definedName name="Z_E4F22399_07D5_465E_AFB1_A36259E00328_.wvu.FilterData" localSheetId="33" hidden="1">'Appendix A 12.04'!#REF!</definedName>
    <definedName name="Z_E4F22399_07D5_465E_AFB1_A36259E00328_.wvu.FilterData" localSheetId="32" hidden="1">'Appendix A 21.03'!#REF!</definedName>
    <definedName name="Z_E4F22399_07D5_465E_AFB1_A36259E00328_.wvu.FilterData" localSheetId="31" hidden="1">'Appendix A 240321'!#REF!</definedName>
    <definedName name="Z_E4F22399_07D5_465E_AFB1_A36259E00328_.wvu.FilterData" localSheetId="19" hidden="1">'Appendix EX'!$A$1:$A$4313</definedName>
    <definedName name="Z_E4F22399_07D5_465E_AFB1_A36259E00328_.wvu.FilterData" localSheetId="2" hidden="1">'Comments Feeder'!#REF!</definedName>
    <definedName name="Z_E4F22399_07D5_465E_AFB1_A36259E00328_.wvu.FilterData" localSheetId="25" hidden="1">'COVID 19 '!$A$6:$Z$35</definedName>
    <definedName name="Z_E4F22399_07D5_465E_AFB1_A36259E00328_.wvu.FilterData" localSheetId="27" hidden="1">'COVID 19  (2)'!$A$6:$Z$35</definedName>
    <definedName name="Z_E4F22399_07D5_465E_AFB1_A36259E00328_.wvu.FilterData" localSheetId="26" hidden="1">'COVID 19)'!$A$6:$Z$35</definedName>
    <definedName name="Z_E4F22399_07D5_465E_AFB1_A36259E00328_.wvu.FilterData" localSheetId="16" hidden="1">'COVID sept'!$A$6:$Z$35</definedName>
    <definedName name="Z_E4F22399_07D5_465E_AFB1_A36259E00328_.wvu.FilterData" localSheetId="29" hidden="1">'Last Appendix A'!#REF!</definedName>
    <definedName name="Z_E4F22399_07D5_465E_AFB1_A36259E00328_.wvu.FilterData" localSheetId="28" hidden="1">'old Appendix A'!#REF!</definedName>
    <definedName name="Z_E4F22399_07D5_465E_AFB1_A36259E00328_.wvu.FilterData" localSheetId="18" hidden="1">Template!$A$1:$A$4220</definedName>
    <definedName name="Z_E4F22399_07D5_465E_AFB1_A36259E00328_.wvu.Rows" localSheetId="15" hidden="1">'september Appendix A for report'!$5:$9,'september Appendix A for report'!$11:$19,'september Appendix A for report'!$22:$26,'september Appendix A for report'!$28:$31,'september Appendix A for report'!$34:$36,'september Appendix A for report'!$39:$42,'september Appendix A for report'!$44:$45,'september Appendix A for report'!$48:$50,'september Appendix A for report'!$52:$61,'september Appendix A for report'!$64:$69,'september Appendix A for report'!$71:$74,'september Appendix A for report'!$80:$98,'september Appendix A for report'!$102:$111,'september Appendix A for report'!$114:$118</definedName>
    <definedName name="Z_E84FE4DF_58E5_420D_8494_76C826B30975_.wvu.Cols" localSheetId="34" hidden="1">'Appendix A'!$E:$K,'Appendix A'!$M:$M,'Appendix A'!$Y:$Z</definedName>
    <definedName name="Z_E84FE4DF_58E5_420D_8494_76C826B30975_.wvu.Cols" localSheetId="1" hidden="1">'Appendix A (Original)'!$E:$K,'Appendix A (Original)'!$M:$M,'Appendix A (Original)'!$Y:$Z</definedName>
    <definedName name="Z_E84FE4DF_58E5_420D_8494_76C826B30975_.wvu.Cols" localSheetId="0" hidden="1">'Appendix A (updated 24.06)'!$E:$K,'Appendix A (updated 24.06)'!$M:$M,'Appendix A (updated 24.06)'!$AB:$AC</definedName>
    <definedName name="Z_E84FE4DF_58E5_420D_8494_76C826B30975_.wvu.Cols" localSheetId="9" hidden="1">'Appendix A 0407'!$E:$K,'Appendix A 0407'!$M:$M,'Appendix A 0407'!$Y:$Z</definedName>
    <definedName name="Z_E84FE4DF_58E5_420D_8494_76C826B30975_.wvu.Cols" localSheetId="8" hidden="1">'Appendix A 040722'!$E:$K,'Appendix A 040722'!$M:$M,'Appendix A 040722'!$Y:$Z</definedName>
    <definedName name="Z_E84FE4DF_58E5_420D_8494_76C826B30975_.wvu.Cols" localSheetId="12" hidden="1">'Appendix A 0607'!$E:$K,'Appendix A 0607'!$M:$M,'Appendix A 0607'!$Y:$Z</definedName>
    <definedName name="Z_E84FE4DF_58E5_420D_8494_76C826B30975_.wvu.Cols" localSheetId="33" hidden="1">'Appendix A 12.04'!$E:$K,'Appendix A 12.04'!$M:$M,'Appendix A 12.04'!$Y:$Z</definedName>
    <definedName name="Z_E84FE4DF_58E5_420D_8494_76C826B30975_.wvu.Cols" localSheetId="32" hidden="1">'Appendix A 21.03'!$E:$K,'Appendix A 21.03'!$M:$M,'Appendix A 21.03'!$Y:$Z</definedName>
    <definedName name="Z_E84FE4DF_58E5_420D_8494_76C826B30975_.wvu.Cols" localSheetId="30" hidden="1">'Appendix A 240227'!$E:$K,'Appendix A 240227'!$M:$M,'Appendix A 240227'!$Y:$Z</definedName>
    <definedName name="Z_E84FE4DF_58E5_420D_8494_76C826B30975_.wvu.Cols" localSheetId="31" hidden="1">'Appendix A 240321'!$E:$K,'Appendix A 240321'!$M:$M,'Appendix A 240321'!$Y:$Z</definedName>
    <definedName name="Z_E84FE4DF_58E5_420D_8494_76C826B30975_.wvu.Cols" localSheetId="19" hidden="1">'Appendix EX'!$F:$L,'Appendix EX'!$N:$N,'Appendix EX'!$Z:$AA</definedName>
    <definedName name="Z_E84FE4DF_58E5_420D_8494_76C826B30975_.wvu.Cols" localSheetId="4" hidden="1">Comments!$C:$E</definedName>
    <definedName name="Z_E84FE4DF_58E5_420D_8494_76C826B30975_.wvu.Cols" localSheetId="2" hidden="1">'Comments Feeder'!$E:$K,'Comments Feeder'!$M:$M,'Comments Feeder'!$V:$W</definedName>
    <definedName name="Z_E84FE4DF_58E5_420D_8494_76C826B30975_.wvu.Cols" localSheetId="29" hidden="1">'Last Appendix A'!$E:$K,'Last Appendix A'!$M:$M,'Last Appendix A'!$Y:$Z</definedName>
    <definedName name="Z_E84FE4DF_58E5_420D_8494_76C826B30975_.wvu.Cols" localSheetId="28" hidden="1">'old Appendix A'!$E:$K,'old Appendix A'!$M:$M,'old Appendix A'!$Y:$Z</definedName>
    <definedName name="Z_E84FE4DF_58E5_420D_8494_76C826B30975_.wvu.Cols" localSheetId="6" hidden="1">'old Comments Feeder'!$E:$K,'old Comments Feeder'!$M:$M,'old Comments Feeder'!$Y:$Z</definedName>
    <definedName name="Z_E84FE4DF_58E5_420D_8494_76C826B30975_.wvu.Cols" localSheetId="15" hidden="1">'september Appendix A for report'!$E:$K,'september Appendix A for report'!$N:$N,'september Appendix A for report'!$Z:$AA</definedName>
    <definedName name="Z_E84FE4DF_58E5_420D_8494_76C826B30975_.wvu.Cols" localSheetId="18" hidden="1">Template!$F:$L,Template!$N:$N,Template!$Z:$AA</definedName>
    <definedName name="Z_E84FE4DF_58E5_420D_8494_76C826B30975_.wvu.PrintArea" localSheetId="34" hidden="1">'Appendix A'!$B$3:$W$83</definedName>
    <definedName name="Z_E84FE4DF_58E5_420D_8494_76C826B30975_.wvu.PrintArea" localSheetId="1" hidden="1">'Appendix A (Original)'!$B$2:$W$79</definedName>
    <definedName name="Z_E84FE4DF_58E5_420D_8494_76C826B30975_.wvu.PrintArea" localSheetId="0" hidden="1">'Appendix A (updated 24.06)'!$B$2:$Z$79</definedName>
    <definedName name="Z_E84FE4DF_58E5_420D_8494_76C826B30975_.wvu.PrintArea" localSheetId="9" hidden="1">'Appendix A 0407'!$B$2:$W$79</definedName>
    <definedName name="Z_E84FE4DF_58E5_420D_8494_76C826B30975_.wvu.PrintArea" localSheetId="8" hidden="1">'Appendix A 040722'!$B$2:$W$79</definedName>
    <definedName name="Z_E84FE4DF_58E5_420D_8494_76C826B30975_.wvu.PrintArea" localSheetId="12" hidden="1">'Appendix A 0607'!$B$2:$W$79</definedName>
    <definedName name="Z_E84FE4DF_58E5_420D_8494_76C826B30975_.wvu.PrintArea" localSheetId="33" hidden="1">'Appendix A 12.04'!$B$2:$W$81</definedName>
    <definedName name="Z_E84FE4DF_58E5_420D_8494_76C826B30975_.wvu.PrintArea" localSheetId="32" hidden="1">'Appendix A 21.03'!$B$2:$W$81</definedName>
    <definedName name="Z_E84FE4DF_58E5_420D_8494_76C826B30975_.wvu.PrintArea" localSheetId="30" hidden="1">'Appendix A 240227'!$B$2:$W$81</definedName>
    <definedName name="Z_E84FE4DF_58E5_420D_8494_76C826B30975_.wvu.PrintArea" localSheetId="31" hidden="1">'Appendix A 240321'!$B$2:$W$81</definedName>
    <definedName name="Z_E84FE4DF_58E5_420D_8494_76C826B30975_.wvu.PrintArea" localSheetId="19" hidden="1">'Appendix EX'!$C$177:$X$264</definedName>
    <definedName name="Z_E84FE4DF_58E5_420D_8494_76C826B30975_.wvu.PrintArea" localSheetId="2" hidden="1">'Comments Feeder'!$B$2:$W$81</definedName>
    <definedName name="Z_E84FE4DF_58E5_420D_8494_76C826B30975_.wvu.PrintArea" localSheetId="29" hidden="1">'Last Appendix A'!$B$2:$W$81</definedName>
    <definedName name="Z_E84FE4DF_58E5_420D_8494_76C826B30975_.wvu.PrintArea" localSheetId="28" hidden="1">'old Appendix A'!$B$2:$W$81</definedName>
    <definedName name="Z_E84FE4DF_58E5_420D_8494_76C826B30975_.wvu.PrintArea" localSheetId="6" hidden="1">'old Comments Feeder'!$B$2:$W$79</definedName>
    <definedName name="Z_E84FE4DF_58E5_420D_8494_76C826B30975_.wvu.PrintArea" localSheetId="15" hidden="1">'september Appendix A for report'!$B$2:$X$76</definedName>
    <definedName name="Z_E84FE4DF_58E5_420D_8494_76C826B30975_.wvu.PrintArea" localSheetId="18" hidden="1">Template!$C$176:$X$185</definedName>
  </definedNames>
  <calcPr calcId="191028"/>
  <customWorkbookViews>
    <customWorkbookView name="awinship - Personal View" guid="{903669DD-1133-45D2-B108-C6B5BEA5EB61}" mergeInterval="0" personalView="1" maximized="1" xWindow="2869" yWindow="-11" windowWidth="2902" windowHeight="1597" activeSheetId="2"/>
    <customWorkbookView name="shilton - Personal View" guid="{7910FD81-BFE7-4CD5-939B-3D7A1CA9601A}" mergeInterval="0" personalView="1" maximized="1" xWindow="-8" yWindow="-8" windowWidth="1936" windowHeight="1056" activeSheetId="2"/>
    <customWorkbookView name="bsmolonska - Personal View" guid="{051C2D13-0D3D-44C3-A7DB-A0EAFBF115F0}" mergeInterval="0" personalView="1" maximized="1" xWindow="-8" yWindow="-8" windowWidth="1936" windowHeight="1056" activeSheetId="4"/>
    <customWorkbookView name="pswaffield - Personal View" guid="{9C479752-7F2F-4739-B52F-47A06FE05EF0}" mergeInterval="0" personalView="1" maximized="1" xWindow="-2891" yWindow="-200" windowWidth="2902" windowHeight="1762" activeSheetId="4"/>
    <customWorkbookView name="eburson - Personal View" guid="{A0809A10-8F40-4AD2-8943-60E412AED428}" mergeInterval="0" personalView="1" maximized="1" xWindow="2869" yWindow="-11" windowWidth="2542" windowHeight="1537" activeSheetId="4"/>
    <customWorkbookView name="jmarriott - Personal View" guid="{3E006852-BD2D-4884-A2A1-BFAEAE24582F}" mergeInterval="0" personalView="1" maximized="1" xWindow="-9" yWindow="-9" windowWidth="1938" windowHeight="1048" activeSheetId="4"/>
    <customWorkbookView name="carnold - Personal View" guid="{28ADD64E-1C54-4CF2-8A6A-391E4DF6D903}" mergeInterval="0" personalView="1" xWindow="-961" yWindow="94" windowWidth="962" windowHeight="1042" activeSheetId="4"/>
    <customWorkbookView name="awickens - Personal View" guid="{B5B78BF3-B1F8-4BBA-8E40-E18C6034B566}" mergeInterval="0" personalView="1" maximized="1" xWindow="-11" yWindow="-11" windowWidth="1942" windowHeight="1042" activeSheetId="4"/>
    <customWorkbookView name="hmakins - Personal View" guid="{2F5D2611-A2AC-4668-B979-0EE258BE5F1F}" mergeInterval="0" personalView="1" maximized="1" xWindow="-9" yWindow="-9" windowWidth="1938" windowHeight="1048" activeSheetId="3"/>
    <customWorkbookView name="tcheng - Personal View" guid="{2EE8538C-E3AE-40C6-B22A-073EBF96300A}" mergeInterval="0" personalView="1" maximized="1" xWindow="1911" yWindow="-252" windowWidth="1618" windowHeight="868" activeSheetId="4"/>
    <customWorkbookView name="rtaylor - Personal View" guid="{E4F22399-07D5-465E-AFB1-A36259E00328}" mergeInterval="0" personalView="1" maximized="1" xWindow="-8" yWindow="-8" windowWidth="1936" windowHeight="1056" activeSheetId="1"/>
  </customWorkbookViews>
  <pivotCaches>
    <pivotCache cacheId="0" r:id="rId5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0" i="4" l="1"/>
  <c r="B187" i="4" l="1"/>
  <c r="B296" i="4" l="1"/>
  <c r="V30" i="56"/>
  <c r="V75" i="56"/>
  <c r="U10" i="56"/>
  <c r="U9" i="56"/>
  <c r="U8" i="56"/>
  <c r="U7" i="56"/>
  <c r="U6" i="56"/>
  <c r="W12" i="56"/>
  <c r="B40" i="4"/>
  <c r="AD25" i="56"/>
  <c r="Q25" i="56"/>
  <c r="A111" i="4"/>
  <c r="U8" i="30"/>
  <c r="V8" i="30"/>
  <c r="V5" i="30"/>
  <c r="U5" i="30"/>
  <c r="V27" i="30"/>
  <c r="U27" i="30"/>
  <c r="U26" i="30"/>
  <c r="V26" i="30"/>
  <c r="U24" i="30"/>
  <c r="V24" i="30"/>
  <c r="V6" i="30"/>
  <c r="V23" i="30"/>
  <c r="B24" i="4"/>
  <c r="B25" i="4"/>
  <c r="B26" i="4"/>
  <c r="B27" i="4"/>
  <c r="B28" i="4"/>
  <c r="B29" i="4"/>
  <c r="B30" i="4"/>
  <c r="B31" i="4"/>
  <c r="B32" i="4"/>
  <c r="B35" i="4"/>
  <c r="U31" i="30"/>
  <c r="V31" i="30" s="1"/>
  <c r="U32" i="30"/>
  <c r="V32" i="30" s="1"/>
  <c r="U30" i="30"/>
  <c r="V30" i="30" s="1"/>
  <c r="U25" i="30"/>
  <c r="V25" i="30" s="1"/>
  <c r="U28" i="30"/>
  <c r="V28" i="30" s="1"/>
  <c r="U23" i="30"/>
  <c r="B284" i="4"/>
  <c r="AE25" i="56" l="1"/>
  <c r="V7" i="30"/>
  <c r="B299" i="4"/>
  <c r="U6" i="30"/>
  <c r="U7" i="30"/>
  <c r="U9" i="30"/>
  <c r="V9" i="30" s="1"/>
  <c r="V29" i="30"/>
  <c r="V33" i="30"/>
  <c r="U33" i="30"/>
  <c r="S33" i="30"/>
  <c r="O33" i="30"/>
  <c r="P33" i="30"/>
  <c r="Q33" i="30"/>
  <c r="T33" i="30" s="1"/>
  <c r="R33" i="30"/>
  <c r="N33" i="30"/>
  <c r="T31" i="30"/>
  <c r="T32" i="30"/>
  <c r="T30" i="30"/>
  <c r="S31" i="30"/>
  <c r="S32" i="30"/>
  <c r="S30" i="30"/>
  <c r="U29" i="30"/>
  <c r="T24" i="30"/>
  <c r="T25" i="30"/>
  <c r="T26" i="30"/>
  <c r="T27" i="30"/>
  <c r="T23" i="30"/>
  <c r="O29" i="30"/>
  <c r="P29" i="30"/>
  <c r="Q29" i="30"/>
  <c r="R29" i="30"/>
  <c r="S29" i="30"/>
  <c r="N29" i="30"/>
  <c r="T29" i="30" s="1"/>
  <c r="S11" i="30"/>
  <c r="R11" i="30"/>
  <c r="Q11" i="30"/>
  <c r="N11" i="30"/>
  <c r="T6" i="30"/>
  <c r="T7" i="30"/>
  <c r="T8" i="30"/>
  <c r="T9" i="30"/>
  <c r="T5" i="30"/>
  <c r="S6" i="30"/>
  <c r="S7" i="30"/>
  <c r="S8" i="30"/>
  <c r="S9" i="30"/>
  <c r="S5" i="30"/>
  <c r="T11" i="30" l="1"/>
  <c r="V11" i="30"/>
  <c r="U11" i="30"/>
  <c r="A266" i="4" l="1"/>
  <c r="A292" i="4"/>
  <c r="V38" i="30" l="1"/>
  <c r="B223" i="4" s="1"/>
  <c r="B215" i="4"/>
  <c r="B229" i="4" l="1"/>
  <c r="V39" i="56"/>
  <c r="K136" i="56" l="1"/>
  <c r="L136" i="56"/>
  <c r="M136" i="56"/>
  <c r="S136" i="56"/>
  <c r="T136" i="56"/>
  <c r="U136" i="56"/>
  <c r="AD136" i="56"/>
  <c r="AE136" i="56" s="1"/>
  <c r="AF136" i="56" s="1"/>
  <c r="K137" i="56"/>
  <c r="L137" i="56"/>
  <c r="M137" i="56"/>
  <c r="S137" i="56"/>
  <c r="T137" i="56"/>
  <c r="U137" i="56"/>
  <c r="AD137" i="56"/>
  <c r="AE137" i="56" s="1"/>
  <c r="K138" i="56"/>
  <c r="L138" i="56"/>
  <c r="M138" i="56"/>
  <c r="S138" i="56"/>
  <c r="T138" i="56"/>
  <c r="U138" i="56"/>
  <c r="AD138" i="56"/>
  <c r="AE138" i="56" s="1"/>
  <c r="AF138" i="56" s="1"/>
  <c r="K121" i="56"/>
  <c r="L121" i="56"/>
  <c r="M121" i="56"/>
  <c r="S121" i="56"/>
  <c r="T121" i="56"/>
  <c r="U121" i="56"/>
  <c r="AD121" i="56"/>
  <c r="AE121" i="56" s="1"/>
  <c r="AF121" i="56" s="1"/>
  <c r="K122" i="56"/>
  <c r="L122" i="56"/>
  <c r="M122" i="56"/>
  <c r="S122" i="56"/>
  <c r="T122" i="56"/>
  <c r="U122" i="56"/>
  <c r="AD122" i="56"/>
  <c r="AE122" i="56" s="1"/>
  <c r="K123" i="56"/>
  <c r="L123" i="56"/>
  <c r="M123" i="56"/>
  <c r="S123" i="56"/>
  <c r="T123" i="56"/>
  <c r="U123" i="56"/>
  <c r="AD123" i="56"/>
  <c r="AE123" i="56"/>
  <c r="AF123" i="56" s="1"/>
  <c r="AD120" i="56"/>
  <c r="AE120" i="56" s="1"/>
  <c r="AF120" i="56" s="1"/>
  <c r="U120" i="56"/>
  <c r="T120" i="56"/>
  <c r="S120" i="56"/>
  <c r="M120" i="56"/>
  <c r="L120" i="56"/>
  <c r="K120" i="56"/>
  <c r="K110" i="56"/>
  <c r="L110" i="56"/>
  <c r="M110" i="56"/>
  <c r="S110" i="56"/>
  <c r="T110" i="56"/>
  <c r="U110" i="56"/>
  <c r="AD110" i="56"/>
  <c r="AE110" i="56" s="1"/>
  <c r="AF110" i="56" s="1"/>
  <c r="K111" i="56"/>
  <c r="L111" i="56"/>
  <c r="M111" i="56"/>
  <c r="S111" i="56"/>
  <c r="T111" i="56"/>
  <c r="U111" i="56"/>
  <c r="AD111" i="56"/>
  <c r="AE111" i="56" s="1"/>
  <c r="AF111" i="56" s="1"/>
  <c r="K112" i="56"/>
  <c r="L112" i="56"/>
  <c r="M112" i="56"/>
  <c r="S112" i="56"/>
  <c r="T112" i="56"/>
  <c r="U112" i="56"/>
  <c r="AD112" i="56"/>
  <c r="AE112" i="56" s="1"/>
  <c r="AF112" i="56" s="1"/>
  <c r="K113" i="56"/>
  <c r="L113" i="56"/>
  <c r="M113" i="56"/>
  <c r="S113" i="56"/>
  <c r="T113" i="56"/>
  <c r="U113" i="56"/>
  <c r="AD113" i="56"/>
  <c r="AE113" i="56" s="1"/>
  <c r="AF113" i="56" s="1"/>
  <c r="K114" i="56"/>
  <c r="L114" i="56"/>
  <c r="M114" i="56"/>
  <c r="S114" i="56"/>
  <c r="T114" i="56"/>
  <c r="U114" i="56"/>
  <c r="AD114" i="56"/>
  <c r="AE114" i="56" s="1"/>
  <c r="AF114" i="56" s="1"/>
  <c r="K115" i="56"/>
  <c r="L115" i="56"/>
  <c r="M115" i="56"/>
  <c r="S115" i="56"/>
  <c r="T115" i="56"/>
  <c r="U115" i="56"/>
  <c r="AD115" i="56"/>
  <c r="AE115" i="56" s="1"/>
  <c r="AF115" i="56" s="1"/>
  <c r="AD109" i="56"/>
  <c r="AE109" i="56" s="1"/>
  <c r="U109" i="56"/>
  <c r="T109" i="56"/>
  <c r="S109" i="56"/>
  <c r="M109" i="56"/>
  <c r="L109" i="56"/>
  <c r="K109" i="56"/>
  <c r="V82" i="56"/>
  <c r="W82" i="56"/>
  <c r="N82" i="56"/>
  <c r="O82" i="56"/>
  <c r="P82" i="56"/>
  <c r="Q82" i="56"/>
  <c r="R82" i="56"/>
  <c r="C82" i="56"/>
  <c r="D82" i="56"/>
  <c r="E82" i="56"/>
  <c r="F82" i="56"/>
  <c r="G82" i="56"/>
  <c r="H82" i="56"/>
  <c r="I82" i="56"/>
  <c r="J82" i="56"/>
  <c r="V78" i="56"/>
  <c r="W78" i="56"/>
  <c r="N78" i="56"/>
  <c r="U78" i="56" s="1"/>
  <c r="O78" i="56"/>
  <c r="P78" i="56"/>
  <c r="Q78" i="56"/>
  <c r="T78" i="56" s="1"/>
  <c r="R78" i="56"/>
  <c r="C78" i="56"/>
  <c r="D78" i="56"/>
  <c r="E78" i="56"/>
  <c r="F78" i="56"/>
  <c r="G78" i="56"/>
  <c r="H78" i="56"/>
  <c r="I78" i="56"/>
  <c r="J78" i="56"/>
  <c r="W75" i="56"/>
  <c r="N75" i="56"/>
  <c r="O75" i="56"/>
  <c r="P75" i="56"/>
  <c r="Q75" i="56"/>
  <c r="R75" i="56"/>
  <c r="C75" i="56"/>
  <c r="D75" i="56"/>
  <c r="E75" i="56"/>
  <c r="F75" i="56"/>
  <c r="G75" i="56"/>
  <c r="H75" i="56"/>
  <c r="I75" i="56"/>
  <c r="J75" i="56"/>
  <c r="V68" i="56"/>
  <c r="W68" i="56"/>
  <c r="N68" i="56"/>
  <c r="O68" i="56"/>
  <c r="P68" i="56"/>
  <c r="Q68" i="56"/>
  <c r="R68" i="56"/>
  <c r="C68" i="56"/>
  <c r="D68" i="56"/>
  <c r="L68" i="56" s="1"/>
  <c r="E68" i="56"/>
  <c r="F68" i="56"/>
  <c r="G68" i="56"/>
  <c r="H68" i="56"/>
  <c r="I68" i="56"/>
  <c r="J68" i="56"/>
  <c r="V61" i="56"/>
  <c r="V62" i="56" s="1"/>
  <c r="W61" i="56"/>
  <c r="W62" i="56" s="1"/>
  <c r="N61" i="56"/>
  <c r="O61" i="56"/>
  <c r="O62" i="56" s="1"/>
  <c r="P61" i="56"/>
  <c r="P62" i="56" s="1"/>
  <c r="Q61" i="56"/>
  <c r="Q62" i="56" s="1"/>
  <c r="R61" i="56"/>
  <c r="R62" i="56" s="1"/>
  <c r="C61" i="56"/>
  <c r="C62" i="56" s="1"/>
  <c r="D61" i="56"/>
  <c r="D62" i="56" s="1"/>
  <c r="E61" i="56"/>
  <c r="E62" i="56" s="1"/>
  <c r="F61" i="56"/>
  <c r="G61" i="56"/>
  <c r="G62" i="56" s="1"/>
  <c r="H61" i="56"/>
  <c r="H62" i="56" s="1"/>
  <c r="I61" i="56"/>
  <c r="I62" i="56" s="1"/>
  <c r="J61" i="56"/>
  <c r="J62" i="56" s="1"/>
  <c r="V49" i="56"/>
  <c r="W49" i="56"/>
  <c r="N49" i="56"/>
  <c r="U49" i="56" s="1"/>
  <c r="O49" i="56"/>
  <c r="P49" i="56"/>
  <c r="Q49" i="56"/>
  <c r="R49" i="56"/>
  <c r="C49" i="56"/>
  <c r="D49" i="56"/>
  <c r="E49" i="56"/>
  <c r="F49" i="56"/>
  <c r="G49" i="56"/>
  <c r="H49" i="56"/>
  <c r="I49" i="56"/>
  <c r="J49" i="56"/>
  <c r="V45" i="56"/>
  <c r="V50" i="56" s="1"/>
  <c r="N45" i="56"/>
  <c r="O45" i="56"/>
  <c r="P45" i="56"/>
  <c r="Q45" i="56"/>
  <c r="R45" i="56"/>
  <c r="C45" i="56"/>
  <c r="D45" i="56"/>
  <c r="E45" i="56"/>
  <c r="F45" i="56"/>
  <c r="G45" i="56"/>
  <c r="H45" i="56"/>
  <c r="H50" i="56" s="1"/>
  <c r="I45" i="56"/>
  <c r="J45" i="56"/>
  <c r="J50" i="56" s="1"/>
  <c r="V40" i="56"/>
  <c r="W40" i="56"/>
  <c r="N40" i="56"/>
  <c r="O40" i="56"/>
  <c r="P40" i="56"/>
  <c r="Q40" i="56"/>
  <c r="S40" i="56" s="1"/>
  <c r="R40" i="56"/>
  <c r="C40" i="56"/>
  <c r="M40" i="56" s="1"/>
  <c r="D40" i="56"/>
  <c r="E40" i="56"/>
  <c r="F40" i="56"/>
  <c r="G40" i="56"/>
  <c r="H40" i="56"/>
  <c r="I40" i="56"/>
  <c r="J40" i="56"/>
  <c r="V34" i="56"/>
  <c r="W34" i="56"/>
  <c r="N34" i="56"/>
  <c r="O34" i="56"/>
  <c r="P34" i="56"/>
  <c r="Q34" i="56"/>
  <c r="R34" i="56"/>
  <c r="S34" i="56" s="1"/>
  <c r="C34" i="56"/>
  <c r="D34" i="56"/>
  <c r="E34" i="56"/>
  <c r="F34" i="56"/>
  <c r="G34" i="56"/>
  <c r="H34" i="56"/>
  <c r="I34" i="56"/>
  <c r="J34" i="56"/>
  <c r="W30" i="56"/>
  <c r="N30" i="56"/>
  <c r="O30" i="56"/>
  <c r="P30" i="56"/>
  <c r="Q30" i="56"/>
  <c r="R30" i="56"/>
  <c r="C30" i="56"/>
  <c r="D30" i="56"/>
  <c r="E30" i="56"/>
  <c r="F30" i="56"/>
  <c r="G30" i="56"/>
  <c r="H30" i="56"/>
  <c r="I30" i="56"/>
  <c r="J30" i="56"/>
  <c r="V22" i="56"/>
  <c r="W22" i="56"/>
  <c r="W23" i="56" s="1"/>
  <c r="N22" i="56"/>
  <c r="O22" i="56"/>
  <c r="P22" i="56"/>
  <c r="Q22" i="56"/>
  <c r="R22" i="56"/>
  <c r="C22" i="56"/>
  <c r="D22" i="56"/>
  <c r="E22" i="56"/>
  <c r="F22" i="56"/>
  <c r="G22" i="56"/>
  <c r="H22" i="56"/>
  <c r="I22" i="56"/>
  <c r="J22" i="56"/>
  <c r="V14" i="56"/>
  <c r="W14" i="56"/>
  <c r="N14" i="56"/>
  <c r="O14" i="56"/>
  <c r="P14" i="56"/>
  <c r="Q14" i="56"/>
  <c r="R14" i="56"/>
  <c r="C14" i="56"/>
  <c r="D14" i="56"/>
  <c r="E14" i="56"/>
  <c r="F14" i="56"/>
  <c r="G14" i="56"/>
  <c r="H14" i="56"/>
  <c r="I14" i="56"/>
  <c r="J14" i="56"/>
  <c r="V12" i="56"/>
  <c r="N12" i="56"/>
  <c r="O12" i="56"/>
  <c r="P12" i="56"/>
  <c r="P23" i="56" s="1"/>
  <c r="Q12" i="56"/>
  <c r="R12" i="56"/>
  <c r="C12" i="56"/>
  <c r="D12" i="56"/>
  <c r="D23" i="56" s="1"/>
  <c r="E12" i="56"/>
  <c r="F12" i="56"/>
  <c r="G12" i="56"/>
  <c r="H12" i="56"/>
  <c r="I12" i="56"/>
  <c r="J12" i="56"/>
  <c r="L40" i="56"/>
  <c r="U30" i="56"/>
  <c r="AC12" i="56"/>
  <c r="AB12" i="56"/>
  <c r="K6" i="56"/>
  <c r="L6" i="56"/>
  <c r="M6" i="56"/>
  <c r="S6" i="56"/>
  <c r="T6" i="56"/>
  <c r="AD6" i="56"/>
  <c r="AE6" i="56" s="1"/>
  <c r="AF6" i="56" s="1"/>
  <c r="K7" i="56"/>
  <c r="L7" i="56"/>
  <c r="M7" i="56"/>
  <c r="S7" i="56"/>
  <c r="T7" i="56"/>
  <c r="AD7" i="56"/>
  <c r="AE7" i="56" s="1"/>
  <c r="AF7" i="56" s="1"/>
  <c r="K8" i="56"/>
  <c r="L8" i="56"/>
  <c r="M8" i="56"/>
  <c r="S8" i="56"/>
  <c r="T8" i="56"/>
  <c r="AD8" i="56"/>
  <c r="AE8" i="56" s="1"/>
  <c r="AF8" i="56" s="1"/>
  <c r="K9" i="56"/>
  <c r="L9" i="56"/>
  <c r="M9" i="56"/>
  <c r="S9" i="56"/>
  <c r="T9" i="56"/>
  <c r="AD9" i="56"/>
  <c r="AE9" i="56" s="1"/>
  <c r="AF9" i="56" s="1"/>
  <c r="K10" i="56"/>
  <c r="L10" i="56"/>
  <c r="M10" i="56"/>
  <c r="S10" i="56"/>
  <c r="T10" i="56"/>
  <c r="AD10" i="56"/>
  <c r="AE10" i="56" s="1"/>
  <c r="AF10" i="56" s="1"/>
  <c r="K11" i="56"/>
  <c r="L11" i="56"/>
  <c r="M11" i="56"/>
  <c r="S11" i="56"/>
  <c r="T11" i="56"/>
  <c r="U11" i="56"/>
  <c r="AD11" i="56"/>
  <c r="AE11" i="56" s="1"/>
  <c r="AF11" i="56" s="1"/>
  <c r="K13" i="56"/>
  <c r="L13" i="56"/>
  <c r="M13" i="56"/>
  <c r="S13" i="56"/>
  <c r="T13" i="56"/>
  <c r="U13" i="56"/>
  <c r="AD13" i="56"/>
  <c r="AE13" i="56" s="1"/>
  <c r="AF13" i="56" s="1"/>
  <c r="K15" i="56"/>
  <c r="L15" i="56"/>
  <c r="M15" i="56"/>
  <c r="S15" i="56"/>
  <c r="T15" i="56"/>
  <c r="U15" i="56"/>
  <c r="AD15" i="56"/>
  <c r="AE15" i="56" s="1"/>
  <c r="AF15" i="56" s="1"/>
  <c r="K16" i="56"/>
  <c r="L16" i="56"/>
  <c r="M16" i="56"/>
  <c r="S16" i="56"/>
  <c r="T16" i="56"/>
  <c r="U16" i="56"/>
  <c r="AD16" i="56"/>
  <c r="AE16" i="56" s="1"/>
  <c r="AF16" i="56" s="1"/>
  <c r="K17" i="56"/>
  <c r="L17" i="56"/>
  <c r="M17" i="56"/>
  <c r="S17" i="56"/>
  <c r="T17" i="56"/>
  <c r="U17" i="56"/>
  <c r="AD17" i="56"/>
  <c r="AE17" i="56" s="1"/>
  <c r="AF17" i="56" s="1"/>
  <c r="K18" i="56"/>
  <c r="L18" i="56"/>
  <c r="M18" i="56"/>
  <c r="S18" i="56"/>
  <c r="T18" i="56"/>
  <c r="U18" i="56"/>
  <c r="AD18" i="56"/>
  <c r="AE18" i="56" s="1"/>
  <c r="AF18" i="56" s="1"/>
  <c r="K19" i="56"/>
  <c r="L19" i="56"/>
  <c r="M19" i="56"/>
  <c r="S19" i="56"/>
  <c r="T19" i="56"/>
  <c r="U19" i="56"/>
  <c r="AD19" i="56"/>
  <c r="AE19" i="56" s="1"/>
  <c r="AF19" i="56" s="1"/>
  <c r="K20" i="56"/>
  <c r="L20" i="56"/>
  <c r="M20" i="56"/>
  <c r="S20" i="56"/>
  <c r="T20" i="56"/>
  <c r="U20" i="56"/>
  <c r="AD20" i="56"/>
  <c r="AE20" i="56" s="1"/>
  <c r="AF20" i="56" s="1"/>
  <c r="K21" i="56"/>
  <c r="L21" i="56"/>
  <c r="M21" i="56"/>
  <c r="S21" i="56"/>
  <c r="T21" i="56"/>
  <c r="U21" i="56"/>
  <c r="AD21" i="56"/>
  <c r="AE21" i="56" s="1"/>
  <c r="AF21" i="56" s="1"/>
  <c r="K24" i="56"/>
  <c r="L24" i="56"/>
  <c r="M24" i="56"/>
  <c r="S24" i="56"/>
  <c r="T24" i="56"/>
  <c r="U24" i="56"/>
  <c r="AD24" i="56"/>
  <c r="K25" i="56"/>
  <c r="L25" i="56"/>
  <c r="M25" i="56"/>
  <c r="S25" i="56"/>
  <c r="T25" i="56"/>
  <c r="U25" i="56"/>
  <c r="AF25" i="56"/>
  <c r="K26" i="56"/>
  <c r="L26" i="56"/>
  <c r="M26" i="56"/>
  <c r="S26" i="56"/>
  <c r="T26" i="56"/>
  <c r="U26" i="56"/>
  <c r="AD26" i="56"/>
  <c r="AE26" i="56" s="1"/>
  <c r="AF26" i="56" s="1"/>
  <c r="K27" i="56"/>
  <c r="L27" i="56"/>
  <c r="M27" i="56"/>
  <c r="S27" i="56"/>
  <c r="T27" i="56"/>
  <c r="U27" i="56"/>
  <c r="AD27" i="56"/>
  <c r="AE27" i="56" s="1"/>
  <c r="AF27" i="56" s="1"/>
  <c r="K28" i="56"/>
  <c r="L28" i="56"/>
  <c r="M28" i="56"/>
  <c r="S28" i="56"/>
  <c r="T28" i="56"/>
  <c r="U28" i="56"/>
  <c r="AD28" i="56"/>
  <c r="AE28" i="56" s="1"/>
  <c r="AF28" i="56" s="1"/>
  <c r="K29" i="56"/>
  <c r="L29" i="56"/>
  <c r="M29" i="56"/>
  <c r="S29" i="56"/>
  <c r="T29" i="56"/>
  <c r="U29" i="56"/>
  <c r="AD29" i="56"/>
  <c r="AE29" i="56" s="1"/>
  <c r="AF29" i="56" s="1"/>
  <c r="K31" i="56"/>
  <c r="L31" i="56"/>
  <c r="M31" i="56"/>
  <c r="S31" i="56"/>
  <c r="T31" i="56"/>
  <c r="U31" i="56"/>
  <c r="AD31" i="56"/>
  <c r="AE31" i="56" s="1"/>
  <c r="AF31" i="56" s="1"/>
  <c r="K32" i="56"/>
  <c r="L32" i="56"/>
  <c r="M32" i="56"/>
  <c r="S32" i="56"/>
  <c r="T32" i="56"/>
  <c r="U32" i="56"/>
  <c r="AD32" i="56"/>
  <c r="AE32" i="56" s="1"/>
  <c r="AF32" i="56" s="1"/>
  <c r="K33" i="56"/>
  <c r="L33" i="56"/>
  <c r="M33" i="56"/>
  <c r="S33" i="56"/>
  <c r="T33" i="56"/>
  <c r="U33" i="56"/>
  <c r="AD33" i="56"/>
  <c r="AE33" i="56" s="1"/>
  <c r="AF33" i="56" s="1"/>
  <c r="K35" i="56"/>
  <c r="L35" i="56"/>
  <c r="M35" i="56"/>
  <c r="S35" i="56"/>
  <c r="T35" i="56"/>
  <c r="U35" i="56"/>
  <c r="AD35" i="56"/>
  <c r="AE35" i="56" s="1"/>
  <c r="AF35" i="56" s="1"/>
  <c r="K36" i="56"/>
  <c r="L36" i="56"/>
  <c r="M36" i="56"/>
  <c r="S36" i="56"/>
  <c r="T36" i="56"/>
  <c r="U36" i="56"/>
  <c r="AD36" i="56"/>
  <c r="AE36" i="56" s="1"/>
  <c r="AF36" i="56" s="1"/>
  <c r="K37" i="56"/>
  <c r="L37" i="56"/>
  <c r="M37" i="56"/>
  <c r="S37" i="56"/>
  <c r="T37" i="56"/>
  <c r="U37" i="56"/>
  <c r="AD37" i="56"/>
  <c r="AE37" i="56" s="1"/>
  <c r="AF37" i="56" s="1"/>
  <c r="K38" i="56"/>
  <c r="L38" i="56"/>
  <c r="M38" i="56"/>
  <c r="S38" i="56"/>
  <c r="T38" i="56"/>
  <c r="U38" i="56"/>
  <c r="AD38" i="56"/>
  <c r="AE38" i="56" s="1"/>
  <c r="AF38" i="56" s="1"/>
  <c r="K39" i="56"/>
  <c r="L39" i="56"/>
  <c r="M39" i="56"/>
  <c r="S39" i="56"/>
  <c r="T39" i="56"/>
  <c r="U39" i="56"/>
  <c r="AD39" i="56"/>
  <c r="AE39" i="56" s="1"/>
  <c r="AF39" i="56" s="1"/>
  <c r="K42" i="56"/>
  <c r="L42" i="56"/>
  <c r="M42" i="56"/>
  <c r="S42" i="56"/>
  <c r="T42" i="56"/>
  <c r="U42" i="56"/>
  <c r="AD42" i="56"/>
  <c r="AE42" i="56" s="1"/>
  <c r="AF42" i="56" s="1"/>
  <c r="K43" i="56"/>
  <c r="L43" i="56"/>
  <c r="M43" i="56"/>
  <c r="S43" i="56"/>
  <c r="T43" i="56"/>
  <c r="U43" i="56"/>
  <c r="AD43" i="56"/>
  <c r="AE43" i="56" s="1"/>
  <c r="AF43" i="56" s="1"/>
  <c r="K44" i="56"/>
  <c r="L44" i="56"/>
  <c r="M44" i="56"/>
  <c r="S44" i="56"/>
  <c r="T44" i="56"/>
  <c r="U44" i="56"/>
  <c r="AD44" i="56"/>
  <c r="AE44" i="56" s="1"/>
  <c r="AF44" i="56" s="1"/>
  <c r="K46" i="56"/>
  <c r="L46" i="56"/>
  <c r="M46" i="56"/>
  <c r="S46" i="56"/>
  <c r="T46" i="56"/>
  <c r="U46" i="56"/>
  <c r="AD46" i="56"/>
  <c r="AE46" i="56" s="1"/>
  <c r="AF46" i="56" s="1"/>
  <c r="K47" i="56"/>
  <c r="L47" i="56"/>
  <c r="M47" i="56"/>
  <c r="S47" i="56"/>
  <c r="T47" i="56"/>
  <c r="U47" i="56"/>
  <c r="AD47" i="56"/>
  <c r="AE47" i="56" s="1"/>
  <c r="AF47" i="56" s="1"/>
  <c r="K48" i="56"/>
  <c r="L48" i="56"/>
  <c r="M48" i="56"/>
  <c r="S48" i="56"/>
  <c r="T48" i="56"/>
  <c r="U48" i="56"/>
  <c r="AD48" i="56"/>
  <c r="AE48" i="56" s="1"/>
  <c r="AF48" i="56" s="1"/>
  <c r="K51" i="56"/>
  <c r="L51" i="56"/>
  <c r="M51" i="56"/>
  <c r="S51" i="56"/>
  <c r="T51" i="56"/>
  <c r="U51" i="56"/>
  <c r="AD51" i="56"/>
  <c r="AE51" i="56" s="1"/>
  <c r="AF51" i="56" s="1"/>
  <c r="K52" i="56"/>
  <c r="L52" i="56"/>
  <c r="M52" i="56"/>
  <c r="S52" i="56"/>
  <c r="T52" i="56"/>
  <c r="U52" i="56"/>
  <c r="AD52" i="56"/>
  <c r="AE52" i="56" s="1"/>
  <c r="AF52" i="56" s="1"/>
  <c r="K53" i="56"/>
  <c r="L53" i="56"/>
  <c r="M53" i="56"/>
  <c r="S53" i="56"/>
  <c r="T53" i="56"/>
  <c r="U53" i="56"/>
  <c r="AD53" i="56"/>
  <c r="AE53" i="56" s="1"/>
  <c r="AF53" i="56" s="1"/>
  <c r="K54" i="56"/>
  <c r="L54" i="56"/>
  <c r="M54" i="56"/>
  <c r="S54" i="56"/>
  <c r="T54" i="56"/>
  <c r="U54" i="56"/>
  <c r="AD54" i="56"/>
  <c r="AE54" i="56" s="1"/>
  <c r="AF54" i="56" s="1"/>
  <c r="K55" i="56"/>
  <c r="L55" i="56"/>
  <c r="M55" i="56"/>
  <c r="S55" i="56"/>
  <c r="T55" i="56"/>
  <c r="U55" i="56"/>
  <c r="AD55" i="56"/>
  <c r="AE55" i="56" s="1"/>
  <c r="AF55" i="56" s="1"/>
  <c r="K56" i="56"/>
  <c r="L56" i="56"/>
  <c r="M56" i="56"/>
  <c r="S56" i="56"/>
  <c r="T56" i="56"/>
  <c r="U56" i="56"/>
  <c r="AD56" i="56"/>
  <c r="AE56" i="56" s="1"/>
  <c r="AF56" i="56" s="1"/>
  <c r="K57" i="56"/>
  <c r="L57" i="56"/>
  <c r="M57" i="56"/>
  <c r="S57" i="56"/>
  <c r="T57" i="56"/>
  <c r="U57" i="56"/>
  <c r="AD57" i="56"/>
  <c r="AE57" i="56" s="1"/>
  <c r="AF57" i="56" s="1"/>
  <c r="K58" i="56"/>
  <c r="L58" i="56"/>
  <c r="M58" i="56"/>
  <c r="S58" i="56"/>
  <c r="T58" i="56"/>
  <c r="U58" i="56"/>
  <c r="AD58" i="56"/>
  <c r="AE58" i="56" s="1"/>
  <c r="AF58" i="56" s="1"/>
  <c r="K59" i="56"/>
  <c r="L59" i="56"/>
  <c r="M59" i="56"/>
  <c r="S59" i="56"/>
  <c r="T59" i="56"/>
  <c r="U59" i="56"/>
  <c r="AD59" i="56"/>
  <c r="AE59" i="56" s="1"/>
  <c r="AF59" i="56" s="1"/>
  <c r="K60" i="56"/>
  <c r="L60" i="56"/>
  <c r="M60" i="56"/>
  <c r="S60" i="56"/>
  <c r="T60" i="56"/>
  <c r="U60" i="56"/>
  <c r="AD60" i="56"/>
  <c r="AE60" i="56" s="1"/>
  <c r="AF60" i="56" s="1"/>
  <c r="K63" i="56"/>
  <c r="L63" i="56"/>
  <c r="M63" i="56"/>
  <c r="S63" i="56"/>
  <c r="T63" i="56"/>
  <c r="U63" i="56"/>
  <c r="AD63" i="56"/>
  <c r="AE63" i="56" s="1"/>
  <c r="AF63" i="56" s="1"/>
  <c r="K64" i="56"/>
  <c r="L64" i="56"/>
  <c r="M64" i="56"/>
  <c r="S64" i="56"/>
  <c r="T64" i="56"/>
  <c r="U64" i="56"/>
  <c r="AD64" i="56"/>
  <c r="AE64" i="56" s="1"/>
  <c r="AF64" i="56" s="1"/>
  <c r="K65" i="56"/>
  <c r="L65" i="56"/>
  <c r="M65" i="56"/>
  <c r="S65" i="56"/>
  <c r="T65" i="56"/>
  <c r="U65" i="56"/>
  <c r="AD65" i="56"/>
  <c r="AE65" i="56" s="1"/>
  <c r="AF65" i="56" s="1"/>
  <c r="K66" i="56"/>
  <c r="L66" i="56"/>
  <c r="M66" i="56"/>
  <c r="S66" i="56"/>
  <c r="T66" i="56"/>
  <c r="U66" i="56"/>
  <c r="AD66" i="56"/>
  <c r="AE66" i="56" s="1"/>
  <c r="AF66" i="56" s="1"/>
  <c r="K67" i="56"/>
  <c r="L67" i="56"/>
  <c r="M67" i="56"/>
  <c r="S67" i="56"/>
  <c r="T67" i="56"/>
  <c r="U67" i="56"/>
  <c r="AD67" i="56"/>
  <c r="AE67" i="56" s="1"/>
  <c r="AF67" i="56" s="1"/>
  <c r="K69" i="56"/>
  <c r="L69" i="56"/>
  <c r="M69" i="56"/>
  <c r="S69" i="56"/>
  <c r="T69" i="56"/>
  <c r="U69" i="56"/>
  <c r="AD69" i="56"/>
  <c r="AE69" i="56" s="1"/>
  <c r="AF69" i="56" s="1"/>
  <c r="K70" i="56"/>
  <c r="L70" i="56"/>
  <c r="M70" i="56"/>
  <c r="S70" i="56"/>
  <c r="T70" i="56"/>
  <c r="U70" i="56"/>
  <c r="AD70" i="56"/>
  <c r="AE70" i="56" s="1"/>
  <c r="AF70" i="56" s="1"/>
  <c r="K71" i="56"/>
  <c r="L71" i="56"/>
  <c r="M71" i="56"/>
  <c r="S71" i="56"/>
  <c r="T71" i="56"/>
  <c r="U71" i="56"/>
  <c r="AD71" i="56"/>
  <c r="AE71" i="56" s="1"/>
  <c r="AF71" i="56" s="1"/>
  <c r="K72" i="56"/>
  <c r="L72" i="56"/>
  <c r="M72" i="56"/>
  <c r="S72" i="56"/>
  <c r="T72" i="56"/>
  <c r="U72" i="56"/>
  <c r="AD72" i="56"/>
  <c r="AE72" i="56" s="1"/>
  <c r="AF72" i="56" s="1"/>
  <c r="K73" i="56"/>
  <c r="L73" i="56"/>
  <c r="M73" i="56"/>
  <c r="S73" i="56"/>
  <c r="T73" i="56"/>
  <c r="U73" i="56"/>
  <c r="AD73" i="56"/>
  <c r="AE73" i="56" s="1"/>
  <c r="AF73" i="56" s="1"/>
  <c r="K74" i="56"/>
  <c r="L74" i="56"/>
  <c r="M74" i="56"/>
  <c r="S74" i="56"/>
  <c r="T74" i="56"/>
  <c r="U74" i="56"/>
  <c r="AD74" i="56"/>
  <c r="AE74" i="56" s="1"/>
  <c r="AF74" i="56" s="1"/>
  <c r="K76" i="56"/>
  <c r="L76" i="56"/>
  <c r="M76" i="56"/>
  <c r="S76" i="56"/>
  <c r="T76" i="56"/>
  <c r="U76" i="56"/>
  <c r="AD76" i="56"/>
  <c r="AE76" i="56" s="1"/>
  <c r="AF76" i="56" s="1"/>
  <c r="K77" i="56"/>
  <c r="L77" i="56"/>
  <c r="M77" i="56"/>
  <c r="S77" i="56"/>
  <c r="T77" i="56"/>
  <c r="U77" i="56"/>
  <c r="AD77" i="56"/>
  <c r="AE77" i="56" s="1"/>
  <c r="AF77" i="56" s="1"/>
  <c r="K79" i="56"/>
  <c r="L79" i="56"/>
  <c r="M79" i="56"/>
  <c r="S79" i="56"/>
  <c r="T79" i="56"/>
  <c r="U79" i="56"/>
  <c r="AD79" i="56"/>
  <c r="AE79" i="56" s="1"/>
  <c r="AF79" i="56" s="1"/>
  <c r="K80" i="56"/>
  <c r="L80" i="56"/>
  <c r="M80" i="56"/>
  <c r="S80" i="56"/>
  <c r="T80" i="56"/>
  <c r="U80" i="56"/>
  <c r="AD80" i="56"/>
  <c r="AE80" i="56" s="1"/>
  <c r="AF80" i="56" s="1"/>
  <c r="K81" i="56"/>
  <c r="L81" i="56"/>
  <c r="M81" i="56"/>
  <c r="S81" i="56"/>
  <c r="T81" i="56"/>
  <c r="U81" i="56"/>
  <c r="AD81" i="56"/>
  <c r="AE81" i="56" s="1"/>
  <c r="AF81" i="56" s="1"/>
  <c r="AC141" i="56"/>
  <c r="AB141" i="56"/>
  <c r="Z141" i="56"/>
  <c r="Y141" i="56"/>
  <c r="X141" i="56"/>
  <c r="W141" i="56"/>
  <c r="V141" i="56"/>
  <c r="R141" i="56"/>
  <c r="Q141" i="56"/>
  <c r="S141" i="56" s="1"/>
  <c r="P141" i="56"/>
  <c r="O141" i="56"/>
  <c r="N141" i="56"/>
  <c r="J141" i="56"/>
  <c r="I141" i="56"/>
  <c r="H141" i="56"/>
  <c r="G141" i="56"/>
  <c r="F141" i="56"/>
  <c r="E141" i="56"/>
  <c r="D141" i="56"/>
  <c r="L141" i="56" s="1"/>
  <c r="C141" i="56"/>
  <c r="M141" i="56" s="1"/>
  <c r="AD139" i="56"/>
  <c r="AE139" i="56" s="1"/>
  <c r="AF139" i="56" s="1"/>
  <c r="U139" i="56"/>
  <c r="T139" i="56"/>
  <c r="S139" i="56"/>
  <c r="M139" i="56"/>
  <c r="L139" i="56"/>
  <c r="K139" i="56"/>
  <c r="AD130" i="56"/>
  <c r="AE130" i="56" s="1"/>
  <c r="AF130" i="56" s="1"/>
  <c r="U130" i="56"/>
  <c r="T130" i="56"/>
  <c r="S130" i="56"/>
  <c r="M130" i="56"/>
  <c r="L130" i="56"/>
  <c r="K130" i="56"/>
  <c r="Z126" i="56"/>
  <c r="Y126" i="56"/>
  <c r="X126" i="56"/>
  <c r="AD124" i="56"/>
  <c r="AE124" i="56" s="1"/>
  <c r="AF124" i="56" s="1"/>
  <c r="U124" i="56"/>
  <c r="T124" i="56"/>
  <c r="S124" i="56"/>
  <c r="M124" i="56"/>
  <c r="L124" i="56"/>
  <c r="K124" i="56"/>
  <c r="AC119" i="56"/>
  <c r="AB119" i="56"/>
  <c r="W119" i="56"/>
  <c r="V119" i="56"/>
  <c r="R119" i="56"/>
  <c r="Q119" i="56"/>
  <c r="P119" i="56"/>
  <c r="O119" i="56"/>
  <c r="N119" i="56"/>
  <c r="J119" i="56"/>
  <c r="I119" i="56"/>
  <c r="H119" i="56"/>
  <c r="G119" i="56"/>
  <c r="F119" i="56"/>
  <c r="E119" i="56"/>
  <c r="D119" i="56"/>
  <c r="L119" i="56" s="1"/>
  <c r="C119" i="56"/>
  <c r="AD117" i="56"/>
  <c r="U117" i="56"/>
  <c r="T117" i="56"/>
  <c r="S117" i="56"/>
  <c r="M117" i="56"/>
  <c r="L117" i="56"/>
  <c r="K117" i="56"/>
  <c r="AD116" i="56"/>
  <c r="AE116" i="56" s="1"/>
  <c r="AF116" i="56" s="1"/>
  <c r="U116" i="56"/>
  <c r="T116" i="56"/>
  <c r="S116" i="56"/>
  <c r="M116" i="56"/>
  <c r="L116" i="56"/>
  <c r="K116" i="56"/>
  <c r="AC108" i="56"/>
  <c r="AC126" i="56" s="1"/>
  <c r="AB108" i="56"/>
  <c r="W108" i="56"/>
  <c r="V108" i="56"/>
  <c r="R108" i="56"/>
  <c r="Q108" i="56"/>
  <c r="S108" i="56" s="1"/>
  <c r="P108" i="56"/>
  <c r="O108" i="56"/>
  <c r="N108" i="56"/>
  <c r="J108" i="56"/>
  <c r="I108" i="56"/>
  <c r="H108" i="56"/>
  <c r="G108" i="56"/>
  <c r="F108" i="56"/>
  <c r="E108" i="56"/>
  <c r="D108" i="56"/>
  <c r="C108" i="56"/>
  <c r="AC106" i="56"/>
  <c r="AB106" i="56"/>
  <c r="Z106" i="56"/>
  <c r="Y106" i="56"/>
  <c r="X106" i="56"/>
  <c r="W106" i="56"/>
  <c r="V106" i="56"/>
  <c r="R106" i="56"/>
  <c r="Q106" i="56"/>
  <c r="P106" i="56"/>
  <c r="O106" i="56"/>
  <c r="N106" i="56"/>
  <c r="J106" i="56"/>
  <c r="I106" i="56"/>
  <c r="H106" i="56"/>
  <c r="G106" i="56"/>
  <c r="F106" i="56"/>
  <c r="E106" i="56"/>
  <c r="D106" i="56"/>
  <c r="C106" i="56"/>
  <c r="AD104" i="56"/>
  <c r="AE104" i="56" s="1"/>
  <c r="AF104" i="56" s="1"/>
  <c r="U104" i="56"/>
  <c r="T104" i="56"/>
  <c r="S104" i="56"/>
  <c r="M104" i="56"/>
  <c r="L104" i="56"/>
  <c r="K104" i="56"/>
  <c r="AD103" i="56"/>
  <c r="AE103" i="56" s="1"/>
  <c r="AF103" i="56" s="1"/>
  <c r="U103" i="56"/>
  <c r="T103" i="56"/>
  <c r="S103" i="56"/>
  <c r="M103" i="56"/>
  <c r="L103" i="56"/>
  <c r="K103" i="56"/>
  <c r="AD102" i="56"/>
  <c r="AE102" i="56" s="1"/>
  <c r="AF102" i="56" s="1"/>
  <c r="U102" i="56"/>
  <c r="T102" i="56"/>
  <c r="S102" i="56"/>
  <c r="M102" i="56"/>
  <c r="L102" i="56"/>
  <c r="K102" i="56"/>
  <c r="AD101" i="56"/>
  <c r="AE101" i="56" s="1"/>
  <c r="AF101" i="56" s="1"/>
  <c r="U101" i="56"/>
  <c r="T101" i="56"/>
  <c r="S101" i="56"/>
  <c r="M101" i="56"/>
  <c r="L101" i="56"/>
  <c r="K101" i="56"/>
  <c r="AD100" i="56"/>
  <c r="AE100" i="56" s="1"/>
  <c r="AF100" i="56" s="1"/>
  <c r="U100" i="56"/>
  <c r="T100" i="56"/>
  <c r="S100" i="56"/>
  <c r="M100" i="56"/>
  <c r="L100" i="56"/>
  <c r="K100" i="56"/>
  <c r="AD99" i="56"/>
  <c r="AE99" i="56" s="1"/>
  <c r="AF99" i="56" s="1"/>
  <c r="U99" i="56"/>
  <c r="T99" i="56"/>
  <c r="S99" i="56"/>
  <c r="M99" i="56"/>
  <c r="L99" i="56"/>
  <c r="K99" i="56"/>
  <c r="AD98" i="56"/>
  <c r="AE98" i="56" s="1"/>
  <c r="AF98" i="56" s="1"/>
  <c r="U98" i="56"/>
  <c r="T98" i="56"/>
  <c r="S98" i="56"/>
  <c r="M98" i="56"/>
  <c r="L98" i="56"/>
  <c r="K98" i="56"/>
  <c r="AD97" i="56"/>
  <c r="AE97" i="56" s="1"/>
  <c r="AF97" i="56" s="1"/>
  <c r="U97" i="56"/>
  <c r="T97" i="56"/>
  <c r="S97" i="56"/>
  <c r="M97" i="56"/>
  <c r="L97" i="56"/>
  <c r="K97" i="56"/>
  <c r="AD96" i="56"/>
  <c r="AE96" i="56" s="1"/>
  <c r="AF96" i="56" s="1"/>
  <c r="U96" i="56"/>
  <c r="T96" i="56"/>
  <c r="S96" i="56"/>
  <c r="M96" i="56"/>
  <c r="L96" i="56"/>
  <c r="K96" i="56"/>
  <c r="AD95" i="56"/>
  <c r="AE95" i="56" s="1"/>
  <c r="AF95" i="56" s="1"/>
  <c r="U95" i="56"/>
  <c r="T95" i="56"/>
  <c r="S95" i="56"/>
  <c r="M95" i="56"/>
  <c r="L95" i="56"/>
  <c r="K95" i="56"/>
  <c r="AD94" i="56"/>
  <c r="AE94" i="56" s="1"/>
  <c r="AF94" i="56" s="1"/>
  <c r="U94" i="56"/>
  <c r="T94" i="56"/>
  <c r="S94" i="56"/>
  <c r="M94" i="56"/>
  <c r="L94" i="56"/>
  <c r="K94" i="56"/>
  <c r="AD93" i="56"/>
  <c r="U93" i="56"/>
  <c r="T93" i="56"/>
  <c r="S93" i="56"/>
  <c r="M93" i="56"/>
  <c r="L93" i="56"/>
  <c r="K93" i="56"/>
  <c r="AD92" i="56"/>
  <c r="AE92" i="56" s="1"/>
  <c r="AF92" i="56" s="1"/>
  <c r="U92" i="56"/>
  <c r="T92" i="56"/>
  <c r="S92" i="56"/>
  <c r="M92" i="56"/>
  <c r="L92" i="56"/>
  <c r="K92" i="56"/>
  <c r="AD91" i="56"/>
  <c r="AE91" i="56" s="1"/>
  <c r="AF91" i="56" s="1"/>
  <c r="U91" i="56"/>
  <c r="T91" i="56"/>
  <c r="S91" i="56"/>
  <c r="M91" i="56"/>
  <c r="L91" i="56"/>
  <c r="K91" i="56"/>
  <c r="AD90" i="56"/>
  <c r="AE90" i="56" s="1"/>
  <c r="AF90" i="56" s="1"/>
  <c r="U90" i="56"/>
  <c r="T90" i="56"/>
  <c r="S90" i="56"/>
  <c r="M90" i="56"/>
  <c r="L90" i="56"/>
  <c r="K90" i="56"/>
  <c r="AD89" i="56"/>
  <c r="AE89" i="56" s="1"/>
  <c r="AF89" i="56" s="1"/>
  <c r="U89" i="56"/>
  <c r="T89" i="56"/>
  <c r="S89" i="56"/>
  <c r="M89" i="56"/>
  <c r="L89" i="56"/>
  <c r="K89" i="56"/>
  <c r="AD88" i="56"/>
  <c r="AE88" i="56" s="1"/>
  <c r="AF88" i="56" s="1"/>
  <c r="U88" i="56"/>
  <c r="T88" i="56"/>
  <c r="S88" i="56"/>
  <c r="M88" i="56"/>
  <c r="L88" i="56"/>
  <c r="K88" i="56"/>
  <c r="AD87" i="56"/>
  <c r="AE87" i="56" s="1"/>
  <c r="U87" i="56"/>
  <c r="T87" i="56"/>
  <c r="S87" i="56"/>
  <c r="M87" i="56"/>
  <c r="L87" i="56"/>
  <c r="K87" i="56"/>
  <c r="Z85" i="56"/>
  <c r="Z128" i="56" s="1"/>
  <c r="Z132" i="56" s="1"/>
  <c r="Z143" i="56" s="1"/>
  <c r="Y85" i="56"/>
  <c r="X85" i="56"/>
  <c r="AD4310" i="55"/>
  <c r="AC4310" i="55"/>
  <c r="AA4310" i="55"/>
  <c r="Z4310" i="55"/>
  <c r="Y4310" i="55"/>
  <c r="X4310" i="55"/>
  <c r="W4310" i="55"/>
  <c r="S4310" i="55"/>
  <c r="R4310" i="55"/>
  <c r="Q4310" i="55"/>
  <c r="P4310" i="55"/>
  <c r="O4310" i="55"/>
  <c r="K4310" i="55"/>
  <c r="J4310" i="55"/>
  <c r="I4310" i="55"/>
  <c r="H4310" i="55"/>
  <c r="G4310" i="55"/>
  <c r="F4310" i="55"/>
  <c r="E4310" i="55"/>
  <c r="D4310" i="55"/>
  <c r="AE4307" i="55"/>
  <c r="AF4307" i="55" s="1"/>
  <c r="AG4307" i="55" s="1"/>
  <c r="V4307" i="55"/>
  <c r="U4307" i="55"/>
  <c r="T4307" i="55"/>
  <c r="N4307" i="55"/>
  <c r="M4307" i="55"/>
  <c r="L4307" i="55"/>
  <c r="AE4306" i="55"/>
  <c r="AF4306" i="55" s="1"/>
  <c r="AG4306" i="55" s="1"/>
  <c r="V4306" i="55"/>
  <c r="U4306" i="55"/>
  <c r="T4306" i="55"/>
  <c r="N4306" i="55"/>
  <c r="M4306" i="55"/>
  <c r="L4306" i="55"/>
  <c r="AE4305" i="55"/>
  <c r="AF4305" i="55" s="1"/>
  <c r="AG4305" i="55" s="1"/>
  <c r="V4305" i="55"/>
  <c r="U4305" i="55"/>
  <c r="T4305" i="55"/>
  <c r="N4305" i="55"/>
  <c r="M4305" i="55"/>
  <c r="L4305" i="55"/>
  <c r="AE4304" i="55"/>
  <c r="V4304" i="55"/>
  <c r="U4304" i="55"/>
  <c r="T4304" i="55"/>
  <c r="N4304" i="55"/>
  <c r="M4304" i="55"/>
  <c r="L4304" i="55"/>
  <c r="A4292" i="55"/>
  <c r="A4291" i="55"/>
  <c r="A4290" i="55"/>
  <c r="A4289" i="55"/>
  <c r="A4288" i="55"/>
  <c r="A4287" i="55"/>
  <c r="A4286" i="55"/>
  <c r="A4238" i="55"/>
  <c r="A4222" i="55"/>
  <c r="A4207" i="55"/>
  <c r="A4192" i="55"/>
  <c r="A4173" i="55"/>
  <c r="A4155" i="55"/>
  <c r="AE4124" i="55"/>
  <c r="AF4124" i="55" s="1"/>
  <c r="AG4124" i="55" s="1"/>
  <c r="V4124" i="55"/>
  <c r="U4124" i="55"/>
  <c r="T4124" i="55"/>
  <c r="N4124" i="55"/>
  <c r="M4124" i="55"/>
  <c r="L4124" i="55"/>
  <c r="A4114" i="55"/>
  <c r="A4113" i="55"/>
  <c r="A4112" i="55"/>
  <c r="A4111" i="55"/>
  <c r="A4110" i="55"/>
  <c r="A4109" i="55"/>
  <c r="A4108" i="55"/>
  <c r="A4060" i="55"/>
  <c r="A4044" i="55"/>
  <c r="A4029" i="55"/>
  <c r="A4014" i="55"/>
  <c r="A3995" i="55"/>
  <c r="A3977" i="55"/>
  <c r="AA3946" i="55"/>
  <c r="Z3946" i="55"/>
  <c r="Y3946" i="55"/>
  <c r="AE3943" i="55"/>
  <c r="AF3943" i="55" s="1"/>
  <c r="AG3943" i="55" s="1"/>
  <c r="V3943" i="55"/>
  <c r="U3943" i="55"/>
  <c r="T3943" i="55"/>
  <c r="N3943" i="55"/>
  <c r="M3943" i="55"/>
  <c r="L3943" i="55"/>
  <c r="AE3942" i="55"/>
  <c r="AF3942" i="55" s="1"/>
  <c r="AG3942" i="55" s="1"/>
  <c r="V3942" i="55"/>
  <c r="U3942" i="55"/>
  <c r="T3942" i="55"/>
  <c r="N3942" i="55"/>
  <c r="M3942" i="55"/>
  <c r="L3942" i="55"/>
  <c r="AE3941" i="55"/>
  <c r="AF3941" i="55" s="1"/>
  <c r="AG3941" i="55" s="1"/>
  <c r="V3941" i="55"/>
  <c r="U3941" i="55"/>
  <c r="T3941" i="55"/>
  <c r="N3941" i="55"/>
  <c r="M3941" i="55"/>
  <c r="L3941" i="55"/>
  <c r="AE3940" i="55"/>
  <c r="V3940" i="55"/>
  <c r="U3940" i="55"/>
  <c r="T3940" i="55"/>
  <c r="N3940" i="55"/>
  <c r="M3940" i="55"/>
  <c r="L3940" i="55"/>
  <c r="AE3939" i="55"/>
  <c r="AF3939" i="55" s="1"/>
  <c r="V3939" i="55"/>
  <c r="U3939" i="55"/>
  <c r="T3939" i="55"/>
  <c r="N3939" i="55"/>
  <c r="M3939" i="55"/>
  <c r="L3939" i="55"/>
  <c r="AD3937" i="55"/>
  <c r="AC3937" i="55"/>
  <c r="X3937" i="55"/>
  <c r="W3937" i="55"/>
  <c r="S3937" i="55"/>
  <c r="R3937" i="55"/>
  <c r="Q3937" i="55"/>
  <c r="P3937" i="55"/>
  <c r="O3937" i="55"/>
  <c r="N3937" i="55" s="1"/>
  <c r="K3937" i="55"/>
  <c r="J3937" i="55"/>
  <c r="I3937" i="55"/>
  <c r="H3937" i="55"/>
  <c r="G3937" i="55"/>
  <c r="F3937" i="55"/>
  <c r="E3937" i="55"/>
  <c r="D3937" i="55"/>
  <c r="A3927" i="55"/>
  <c r="A3926" i="55"/>
  <c r="A3925" i="55"/>
  <c r="A3924" i="55"/>
  <c r="A3923" i="55"/>
  <c r="A3922" i="55"/>
  <c r="A3921" i="55"/>
  <c r="A3873" i="55"/>
  <c r="A3857" i="55"/>
  <c r="A3842" i="55"/>
  <c r="A3827" i="55"/>
  <c r="A3808" i="55"/>
  <c r="A3790" i="55"/>
  <c r="AE3762" i="55"/>
  <c r="AF3762" i="55" s="1"/>
  <c r="AG3762" i="55" s="1"/>
  <c r="V3762" i="55"/>
  <c r="U3762" i="55"/>
  <c r="T3762" i="55"/>
  <c r="N3762" i="55"/>
  <c r="M3762" i="55"/>
  <c r="L3762" i="55"/>
  <c r="A3752" i="55"/>
  <c r="A3751" i="55"/>
  <c r="A3750" i="55"/>
  <c r="A3749" i="55"/>
  <c r="A3748" i="55"/>
  <c r="A3747" i="55"/>
  <c r="A3746" i="55"/>
  <c r="A3698" i="55"/>
  <c r="A3682" i="55"/>
  <c r="A3667" i="55"/>
  <c r="A3652" i="55"/>
  <c r="A3633" i="55"/>
  <c r="A3615" i="55"/>
  <c r="AE3587" i="55"/>
  <c r="AF3587" i="55" s="1"/>
  <c r="AG3587" i="55" s="1"/>
  <c r="V3587" i="55"/>
  <c r="U3587" i="55"/>
  <c r="T3587" i="55"/>
  <c r="N3587" i="55"/>
  <c r="M3587" i="55"/>
  <c r="L3587" i="55"/>
  <c r="AG3586" i="55"/>
  <c r="AE3586" i="55"/>
  <c r="AF3586" i="55" s="1"/>
  <c r="V3586" i="55"/>
  <c r="U3586" i="55"/>
  <c r="T3586" i="55"/>
  <c r="N3586" i="55"/>
  <c r="M3586" i="55"/>
  <c r="L3586" i="55"/>
  <c r="AE3585" i="55"/>
  <c r="AF3585" i="55" s="1"/>
  <c r="AG3585" i="55" s="1"/>
  <c r="V3585" i="55"/>
  <c r="U3585" i="55"/>
  <c r="T3585" i="55"/>
  <c r="N3585" i="55"/>
  <c r="M3585" i="55"/>
  <c r="L3585" i="55"/>
  <c r="AE3584" i="55"/>
  <c r="AF3584" i="55" s="1"/>
  <c r="AG3584" i="55" s="1"/>
  <c r="V3584" i="55"/>
  <c r="U3584" i="55"/>
  <c r="T3584" i="55"/>
  <c r="N3584" i="55"/>
  <c r="M3584" i="55"/>
  <c r="L3584" i="55"/>
  <c r="AE3583" i="55"/>
  <c r="AF3583" i="55" s="1"/>
  <c r="AG3583" i="55" s="1"/>
  <c r="V3583" i="55"/>
  <c r="U3583" i="55"/>
  <c r="T3583" i="55"/>
  <c r="N3583" i="55"/>
  <c r="M3583" i="55"/>
  <c r="L3583" i="55"/>
  <c r="AE3582" i="55"/>
  <c r="AF3582" i="55" s="1"/>
  <c r="AG3582" i="55" s="1"/>
  <c r="V3582" i="55"/>
  <c r="U3582" i="55"/>
  <c r="T3582" i="55"/>
  <c r="N3582" i="55"/>
  <c r="M3582" i="55"/>
  <c r="L3582" i="55"/>
  <c r="AE3581" i="55"/>
  <c r="AF3581" i="55" s="1"/>
  <c r="AG3581" i="55" s="1"/>
  <c r="V3581" i="55"/>
  <c r="U3581" i="55"/>
  <c r="T3581" i="55"/>
  <c r="N3581" i="55"/>
  <c r="M3581" i="55"/>
  <c r="L3581" i="55"/>
  <c r="AE3580" i="55"/>
  <c r="AF3580" i="55" s="1"/>
  <c r="V3580" i="55"/>
  <c r="U3580" i="55"/>
  <c r="T3580" i="55"/>
  <c r="N3580" i="55"/>
  <c r="M3580" i="55"/>
  <c r="L3580" i="55"/>
  <c r="AD3578" i="55"/>
  <c r="AD3946" i="55" s="1"/>
  <c r="AC3578" i="55"/>
  <c r="X3578" i="55"/>
  <c r="X3946" i="55" s="1"/>
  <c r="W3578" i="55"/>
  <c r="W3946" i="55" s="1"/>
  <c r="V3578" i="55"/>
  <c r="S3578" i="55"/>
  <c r="S3946" i="55" s="1"/>
  <c r="R3578" i="55"/>
  <c r="R3946" i="55" s="1"/>
  <c r="Q3578" i="55"/>
  <c r="P3578" i="55"/>
  <c r="O3578" i="55"/>
  <c r="O3946" i="55" s="1"/>
  <c r="K3578" i="55"/>
  <c r="J3578" i="55"/>
  <c r="J3946" i="55" s="1"/>
  <c r="I3578" i="55"/>
  <c r="I3946" i="55" s="1"/>
  <c r="H3578" i="55"/>
  <c r="H3946" i="55" s="1"/>
  <c r="G3578" i="55"/>
  <c r="G3946" i="55" s="1"/>
  <c r="F3578" i="55"/>
  <c r="E3578" i="55"/>
  <c r="D3578" i="55"/>
  <c r="A3569" i="55"/>
  <c r="A3568" i="55"/>
  <c r="A3567" i="55"/>
  <c r="A3566" i="55"/>
  <c r="A3565" i="55"/>
  <c r="A3564" i="55"/>
  <c r="A3563" i="55"/>
  <c r="A3515" i="55"/>
  <c r="A3499" i="55"/>
  <c r="A3484" i="55"/>
  <c r="A3469" i="55"/>
  <c r="A3450" i="55"/>
  <c r="A3432" i="55"/>
  <c r="AD3403" i="55"/>
  <c r="AC3403" i="55"/>
  <c r="AA3403" i="55"/>
  <c r="Z3403" i="55"/>
  <c r="Y3403" i="55"/>
  <c r="X3403" i="55"/>
  <c r="W3403" i="55"/>
  <c r="S3403" i="55"/>
  <c r="R3403" i="55"/>
  <c r="T3403" i="55" s="1"/>
  <c r="Q3403" i="55"/>
  <c r="P3403" i="55"/>
  <c r="O3403" i="55"/>
  <c r="V3403" i="55" s="1"/>
  <c r="K3403" i="55"/>
  <c r="J3403" i="55"/>
  <c r="I3403" i="55"/>
  <c r="H3403" i="55"/>
  <c r="G3403" i="55"/>
  <c r="F3403" i="55"/>
  <c r="E3403" i="55"/>
  <c r="D3403" i="55"/>
  <c r="AE3401" i="55"/>
  <c r="AF3401" i="55" s="1"/>
  <c r="AG3401" i="55" s="1"/>
  <c r="V3401" i="55"/>
  <c r="U3401" i="55"/>
  <c r="T3401" i="55"/>
  <c r="N3401" i="55"/>
  <c r="M3401" i="55"/>
  <c r="L3401" i="55"/>
  <c r="A3392" i="55"/>
  <c r="A3391" i="55"/>
  <c r="A3390" i="55"/>
  <c r="A3389" i="55"/>
  <c r="A3388" i="55"/>
  <c r="A3387" i="55"/>
  <c r="A3386" i="55"/>
  <c r="A3338" i="55"/>
  <c r="A3322" i="55"/>
  <c r="A3307" i="55"/>
  <c r="A3292" i="55"/>
  <c r="A3273" i="55"/>
  <c r="A3255" i="55"/>
  <c r="AE3227" i="55"/>
  <c r="AF3227" i="55" s="1"/>
  <c r="AG3227" i="55" s="1"/>
  <c r="V3227" i="55"/>
  <c r="U3227" i="55"/>
  <c r="T3227" i="55"/>
  <c r="N3227" i="55"/>
  <c r="M3227" i="55"/>
  <c r="L3227" i="55"/>
  <c r="A3218" i="55"/>
  <c r="A3217" i="55"/>
  <c r="A3216" i="55"/>
  <c r="A3215" i="55"/>
  <c r="A3214" i="55"/>
  <c r="A3213" i="55"/>
  <c r="A3212" i="55"/>
  <c r="A3164" i="55"/>
  <c r="A3148" i="55"/>
  <c r="A3133" i="55"/>
  <c r="A3118" i="55"/>
  <c r="A3099" i="55"/>
  <c r="A3081" i="55"/>
  <c r="AE3053" i="55"/>
  <c r="AF3053" i="55" s="1"/>
  <c r="AG3053" i="55" s="1"/>
  <c r="V3053" i="55"/>
  <c r="U3053" i="55"/>
  <c r="T3053" i="55"/>
  <c r="N3053" i="55"/>
  <c r="M3053" i="55"/>
  <c r="L3053" i="55"/>
  <c r="A3044" i="55"/>
  <c r="A3043" i="55"/>
  <c r="A3042" i="55"/>
  <c r="A3041" i="55"/>
  <c r="A3040" i="55"/>
  <c r="A3039" i="55"/>
  <c r="A3038" i="55"/>
  <c r="A2990" i="55"/>
  <c r="A2974" i="55"/>
  <c r="A2959" i="55"/>
  <c r="A2944" i="55"/>
  <c r="B2925" i="55"/>
  <c r="B2907" i="55"/>
  <c r="AE2879" i="55"/>
  <c r="AF2879" i="55" s="1"/>
  <c r="AG2879" i="55" s="1"/>
  <c r="V2879" i="55"/>
  <c r="U2879" i="55"/>
  <c r="T2879" i="55"/>
  <c r="N2879" i="55"/>
  <c r="M2879" i="55"/>
  <c r="L2879" i="55"/>
  <c r="A2870" i="55"/>
  <c r="A2869" i="55"/>
  <c r="A2868" i="55"/>
  <c r="A2867" i="55"/>
  <c r="A2866" i="55"/>
  <c r="A2865" i="55"/>
  <c r="A2864" i="55"/>
  <c r="A2816" i="55"/>
  <c r="A2800" i="55"/>
  <c r="A2785" i="55"/>
  <c r="A2770" i="55"/>
  <c r="A2751" i="55"/>
  <c r="A2733" i="55"/>
  <c r="AE2705" i="55"/>
  <c r="AF2705" i="55" s="1"/>
  <c r="AG2705" i="55" s="1"/>
  <c r="V2705" i="55"/>
  <c r="U2705" i="55"/>
  <c r="T2705" i="55"/>
  <c r="N2705" i="55"/>
  <c r="M2705" i="55"/>
  <c r="L2705" i="55"/>
  <c r="A2696" i="55"/>
  <c r="A2695" i="55"/>
  <c r="A2694" i="55"/>
  <c r="A2693" i="55"/>
  <c r="A2692" i="55"/>
  <c r="A2691" i="55"/>
  <c r="A2690" i="55"/>
  <c r="A2642" i="55"/>
  <c r="A2626" i="55"/>
  <c r="A2611" i="55"/>
  <c r="A2596" i="55"/>
  <c r="A2577" i="55"/>
  <c r="A2559" i="55"/>
  <c r="AF2531" i="55"/>
  <c r="AG2531" i="55" s="1"/>
  <c r="AE2531" i="55"/>
  <c r="V2531" i="55"/>
  <c r="U2531" i="55"/>
  <c r="T2531" i="55"/>
  <c r="N2531" i="55"/>
  <c r="M2531" i="55"/>
  <c r="L2531" i="55"/>
  <c r="A2522" i="55"/>
  <c r="A2521" i="55"/>
  <c r="A2520" i="55"/>
  <c r="A2519" i="55"/>
  <c r="A2518" i="55"/>
  <c r="A2517" i="55"/>
  <c r="A2516" i="55"/>
  <c r="A2468" i="55"/>
  <c r="A2452" i="55"/>
  <c r="A2437" i="55"/>
  <c r="A2422" i="55"/>
  <c r="A2403" i="55"/>
  <c r="A2385" i="55"/>
  <c r="AE2357" i="55"/>
  <c r="AF2357" i="55" s="1"/>
  <c r="AG2357" i="55" s="1"/>
  <c r="V2357" i="55"/>
  <c r="U2357" i="55"/>
  <c r="T2357" i="55"/>
  <c r="N2357" i="55"/>
  <c r="M2357" i="55"/>
  <c r="L2357" i="55"/>
  <c r="A2348" i="55"/>
  <c r="A2347" i="55"/>
  <c r="A2346" i="55"/>
  <c r="A2345" i="55"/>
  <c r="A2344" i="55"/>
  <c r="A2343" i="55"/>
  <c r="A2342" i="55"/>
  <c r="A2294" i="55"/>
  <c r="A2278" i="55"/>
  <c r="A2263" i="55"/>
  <c r="A2248" i="55"/>
  <c r="A2229" i="55"/>
  <c r="A2211" i="55"/>
  <c r="AE2183" i="55"/>
  <c r="AF2183" i="55" s="1"/>
  <c r="AG2183" i="55" s="1"/>
  <c r="V2183" i="55"/>
  <c r="U2183" i="55"/>
  <c r="T2183" i="55"/>
  <c r="N2183" i="55"/>
  <c r="M2183" i="55"/>
  <c r="L2183" i="55"/>
  <c r="A2174" i="55"/>
  <c r="A2173" i="55"/>
  <c r="A2172" i="55"/>
  <c r="A2171" i="55"/>
  <c r="A2170" i="55"/>
  <c r="A2169" i="55"/>
  <c r="A2168" i="55"/>
  <c r="A2120" i="55"/>
  <c r="A2104" i="55"/>
  <c r="A2089" i="55"/>
  <c r="A2074" i="55"/>
  <c r="A2055" i="55"/>
  <c r="A2037" i="55"/>
  <c r="AE2009" i="55"/>
  <c r="AF2009" i="55" s="1"/>
  <c r="AG2009" i="55" s="1"/>
  <c r="V2009" i="55"/>
  <c r="U2009" i="55"/>
  <c r="T2009" i="55"/>
  <c r="N2009" i="55"/>
  <c r="M2009" i="55"/>
  <c r="L2009" i="55"/>
  <c r="A2000" i="55"/>
  <c r="A1999" i="55"/>
  <c r="A1998" i="55"/>
  <c r="A1997" i="55"/>
  <c r="A1996" i="55"/>
  <c r="A1995" i="55"/>
  <c r="A1994" i="55"/>
  <c r="A1946" i="55"/>
  <c r="A1930" i="55"/>
  <c r="A1915" i="55"/>
  <c r="A1900" i="55"/>
  <c r="A1881" i="55"/>
  <c r="A1863" i="55"/>
  <c r="AE1835" i="55"/>
  <c r="AF1835" i="55" s="1"/>
  <c r="AG1835" i="55" s="1"/>
  <c r="V1835" i="55"/>
  <c r="U1835" i="55"/>
  <c r="T1835" i="55"/>
  <c r="N1835" i="55"/>
  <c r="M1835" i="55"/>
  <c r="L1835" i="55"/>
  <c r="A1826" i="55"/>
  <c r="A1825" i="55"/>
  <c r="A1824" i="55"/>
  <c r="A1823" i="55"/>
  <c r="A1822" i="55"/>
  <c r="A1821" i="55"/>
  <c r="A1820" i="55"/>
  <c r="A1772" i="55"/>
  <c r="A1756" i="55"/>
  <c r="A1741" i="55"/>
  <c r="A1726" i="55"/>
  <c r="A1707" i="55"/>
  <c r="A1689" i="55"/>
  <c r="AE1661" i="55"/>
  <c r="AF1661" i="55" s="1"/>
  <c r="AG1661" i="55" s="1"/>
  <c r="V1661" i="55"/>
  <c r="U1661" i="55"/>
  <c r="T1661" i="55"/>
  <c r="N1661" i="55"/>
  <c r="M1661" i="55"/>
  <c r="L1661" i="55"/>
  <c r="A1652" i="55"/>
  <c r="A1651" i="55"/>
  <c r="A1650" i="55"/>
  <c r="A1649" i="55"/>
  <c r="A1648" i="55"/>
  <c r="A1647" i="55"/>
  <c r="A1646" i="55"/>
  <c r="A1598" i="55"/>
  <c r="A1582" i="55"/>
  <c r="A1567" i="55"/>
  <c r="A1552" i="55"/>
  <c r="A1533" i="55"/>
  <c r="A1515" i="55"/>
  <c r="AE1487" i="55"/>
  <c r="AF1487" i="55" s="1"/>
  <c r="AG1487" i="55" s="1"/>
  <c r="V1487" i="55"/>
  <c r="U1487" i="55"/>
  <c r="T1487" i="55"/>
  <c r="N1487" i="55"/>
  <c r="M1487" i="55"/>
  <c r="L1487" i="55"/>
  <c r="A1478" i="55"/>
  <c r="A1477" i="55"/>
  <c r="A1476" i="55"/>
  <c r="A1475" i="55"/>
  <c r="A1474" i="55"/>
  <c r="A1473" i="55"/>
  <c r="A1472" i="55"/>
  <c r="A1424" i="55"/>
  <c r="A1408" i="55"/>
  <c r="A1393" i="55"/>
  <c r="A1378" i="55"/>
  <c r="A1359" i="55"/>
  <c r="A1341" i="55"/>
  <c r="AE1313" i="55"/>
  <c r="AF1313" i="55" s="1"/>
  <c r="AG1313" i="55" s="1"/>
  <c r="V1313" i="55"/>
  <c r="U1313" i="55"/>
  <c r="T1313" i="55"/>
  <c r="N1313" i="55"/>
  <c r="M1313" i="55"/>
  <c r="L1313" i="55"/>
  <c r="A1304" i="55"/>
  <c r="A1303" i="55"/>
  <c r="A1302" i="55"/>
  <c r="A1301" i="55"/>
  <c r="A1300" i="55"/>
  <c r="A1299" i="55"/>
  <c r="A1298" i="55"/>
  <c r="A1250" i="55"/>
  <c r="A1234" i="55"/>
  <c r="A1219" i="55"/>
  <c r="A1204" i="55"/>
  <c r="A1185" i="55"/>
  <c r="A1167" i="55"/>
  <c r="AE1139" i="55"/>
  <c r="AF1139" i="55" s="1"/>
  <c r="AG1139" i="55" s="1"/>
  <c r="V1139" i="55"/>
  <c r="U1139" i="55"/>
  <c r="T1139" i="55"/>
  <c r="N1139" i="55"/>
  <c r="M1139" i="55"/>
  <c r="L1139" i="55"/>
  <c r="A1130" i="55"/>
  <c r="A1129" i="55"/>
  <c r="A1128" i="55"/>
  <c r="A1127" i="55"/>
  <c r="A1126" i="55"/>
  <c r="A1125" i="55"/>
  <c r="A1124" i="55"/>
  <c r="A1076" i="55"/>
  <c r="A1060" i="55"/>
  <c r="A1045" i="55"/>
  <c r="A1030" i="55"/>
  <c r="A1011" i="55"/>
  <c r="A993" i="55"/>
  <c r="AF965" i="55"/>
  <c r="AG965" i="55" s="1"/>
  <c r="AE965" i="55"/>
  <c r="V965" i="55"/>
  <c r="U965" i="55"/>
  <c r="T965" i="55"/>
  <c r="N965" i="55"/>
  <c r="M965" i="55"/>
  <c r="L965" i="55"/>
  <c r="A956" i="55"/>
  <c r="A955" i="55"/>
  <c r="A954" i="55"/>
  <c r="A953" i="55"/>
  <c r="A952" i="55"/>
  <c r="A951" i="55"/>
  <c r="A950" i="55"/>
  <c r="A902" i="55"/>
  <c r="A886" i="55"/>
  <c r="A871" i="55"/>
  <c r="A856" i="55"/>
  <c r="A837" i="55"/>
  <c r="A819" i="55"/>
  <c r="AE791" i="55"/>
  <c r="AF791" i="55" s="1"/>
  <c r="AG791" i="55" s="1"/>
  <c r="V791" i="55"/>
  <c r="U791" i="55"/>
  <c r="T791" i="55"/>
  <c r="N791" i="55"/>
  <c r="M791" i="55"/>
  <c r="L791" i="55"/>
  <c r="A782" i="55"/>
  <c r="A781" i="55"/>
  <c r="A780" i="55"/>
  <c r="A779" i="55"/>
  <c r="A778" i="55"/>
  <c r="A777" i="55"/>
  <c r="A776" i="55"/>
  <c r="A728" i="55"/>
  <c r="A712" i="55"/>
  <c r="A697" i="55"/>
  <c r="A682" i="55"/>
  <c r="A663" i="55"/>
  <c r="A645" i="55"/>
  <c r="AE617" i="55"/>
  <c r="AF617" i="55" s="1"/>
  <c r="AG617" i="55" s="1"/>
  <c r="V617" i="55"/>
  <c r="U617" i="55"/>
  <c r="T617" i="55"/>
  <c r="N617" i="55"/>
  <c r="M617" i="55"/>
  <c r="L617" i="55"/>
  <c r="A608" i="55"/>
  <c r="A607" i="55"/>
  <c r="A606" i="55"/>
  <c r="A605" i="55"/>
  <c r="A604" i="55"/>
  <c r="A603" i="55"/>
  <c r="A602" i="55"/>
  <c r="A554" i="55"/>
  <c r="A538" i="55"/>
  <c r="A523" i="55"/>
  <c r="A508" i="55"/>
  <c r="A489" i="55"/>
  <c r="A471" i="55"/>
  <c r="AF443" i="55"/>
  <c r="AE443" i="55"/>
  <c r="V443" i="55"/>
  <c r="U443" i="55"/>
  <c r="T443" i="55"/>
  <c r="N443" i="55"/>
  <c r="M443" i="55"/>
  <c r="L443" i="55"/>
  <c r="A434" i="55"/>
  <c r="A433" i="55"/>
  <c r="A432" i="55"/>
  <c r="A431" i="55"/>
  <c r="A430" i="55"/>
  <c r="A429" i="55"/>
  <c r="A428" i="55"/>
  <c r="A380" i="55"/>
  <c r="A364" i="55"/>
  <c r="A349" i="55"/>
  <c r="A334" i="55"/>
  <c r="A315" i="55"/>
  <c r="A297" i="55"/>
  <c r="AA268" i="55"/>
  <c r="Z268" i="55"/>
  <c r="Z3948" i="55" s="1"/>
  <c r="Z4126" i="55" s="1"/>
  <c r="Z4312" i="55" s="1"/>
  <c r="Y268" i="55"/>
  <c r="Y3948" i="55" s="1"/>
  <c r="Y4126" i="55" s="1"/>
  <c r="Y4312" i="55" s="1"/>
  <c r="V266" i="55"/>
  <c r="U266" i="55"/>
  <c r="T266" i="55"/>
  <c r="N266" i="55"/>
  <c r="M266" i="55"/>
  <c r="L266" i="55"/>
  <c r="V265" i="55"/>
  <c r="U265" i="55"/>
  <c r="T265" i="55"/>
  <c r="N265" i="55"/>
  <c r="M265" i="55"/>
  <c r="L265" i="55"/>
  <c r="AE264" i="55"/>
  <c r="AF264" i="55" s="1"/>
  <c r="AG264" i="55" s="1"/>
  <c r="V264" i="55"/>
  <c r="U264" i="55"/>
  <c r="T264" i="55"/>
  <c r="N264" i="55"/>
  <c r="M264" i="55"/>
  <c r="L264" i="55"/>
  <c r="X262" i="55"/>
  <c r="W262" i="55"/>
  <c r="S262" i="55"/>
  <c r="R262" i="55"/>
  <c r="Q262" i="55"/>
  <c r="P262" i="55"/>
  <c r="O262" i="55"/>
  <c r="K262" i="55"/>
  <c r="J262" i="55"/>
  <c r="I262" i="55"/>
  <c r="H262" i="55"/>
  <c r="G262" i="55"/>
  <c r="F262" i="55"/>
  <c r="E262" i="55"/>
  <c r="D262" i="55"/>
  <c r="AE261" i="55"/>
  <c r="AF261" i="55" s="1"/>
  <c r="AG261" i="55" s="1"/>
  <c r="V261" i="55"/>
  <c r="U261" i="55"/>
  <c r="T261" i="55"/>
  <c r="N261" i="55"/>
  <c r="M261" i="55"/>
  <c r="L261" i="55"/>
  <c r="AE260" i="55"/>
  <c r="AF260" i="55" s="1"/>
  <c r="AG260" i="55" s="1"/>
  <c r="V260" i="55"/>
  <c r="U260" i="55"/>
  <c r="T260" i="55"/>
  <c r="N260" i="55"/>
  <c r="M260" i="55"/>
  <c r="L260" i="55"/>
  <c r="AE259" i="55"/>
  <c r="AF259" i="55" s="1"/>
  <c r="AG259" i="55" s="1"/>
  <c r="V259" i="55"/>
  <c r="U259" i="55"/>
  <c r="T259" i="55"/>
  <c r="N259" i="55"/>
  <c r="M259" i="55"/>
  <c r="L259" i="55"/>
  <c r="X258" i="55"/>
  <c r="W258" i="55"/>
  <c r="S258" i="55"/>
  <c r="R258" i="55"/>
  <c r="Q258" i="55"/>
  <c r="P258" i="55"/>
  <c r="O258" i="55"/>
  <c r="K258" i="55"/>
  <c r="J258" i="55"/>
  <c r="I258" i="55"/>
  <c r="H258" i="55"/>
  <c r="G258" i="55"/>
  <c r="F258" i="55"/>
  <c r="E258" i="55"/>
  <c r="D258" i="55"/>
  <c r="AG257" i="55"/>
  <c r="AE257" i="55"/>
  <c r="AF257" i="55" s="1"/>
  <c r="V257" i="55"/>
  <c r="U257" i="55"/>
  <c r="T257" i="55"/>
  <c r="N257" i="55"/>
  <c r="M257" i="55"/>
  <c r="L257" i="55"/>
  <c r="AE256" i="55"/>
  <c r="AF256" i="55" s="1"/>
  <c r="AG256" i="55" s="1"/>
  <c r="V256" i="55"/>
  <c r="U256" i="55"/>
  <c r="T256" i="55"/>
  <c r="N256" i="55"/>
  <c r="M256" i="55"/>
  <c r="L256" i="55"/>
  <c r="X255" i="55"/>
  <c r="W255" i="55"/>
  <c r="S255" i="55"/>
  <c r="R255" i="55"/>
  <c r="U255" i="55" s="1"/>
  <c r="Q255" i="55"/>
  <c r="P255" i="55"/>
  <c r="O255" i="55"/>
  <c r="K255" i="55"/>
  <c r="J255" i="55"/>
  <c r="I255" i="55"/>
  <c r="H255" i="55"/>
  <c r="G255" i="55"/>
  <c r="F255" i="55"/>
  <c r="E255" i="55"/>
  <c r="D255" i="55"/>
  <c r="AE254" i="55"/>
  <c r="AF254" i="55" s="1"/>
  <c r="AG254" i="55" s="1"/>
  <c r="V254" i="55"/>
  <c r="U254" i="55"/>
  <c r="T254" i="55"/>
  <c r="N254" i="55"/>
  <c r="M254" i="55"/>
  <c r="L254" i="55"/>
  <c r="AE253" i="55"/>
  <c r="AF253" i="55" s="1"/>
  <c r="AG253" i="55" s="1"/>
  <c r="V253" i="55"/>
  <c r="U253" i="55"/>
  <c r="T253" i="55"/>
  <c r="N253" i="55"/>
  <c r="M253" i="55"/>
  <c r="L253" i="55"/>
  <c r="AE252" i="55"/>
  <c r="AF252" i="55" s="1"/>
  <c r="AG252" i="55" s="1"/>
  <c r="V252" i="55"/>
  <c r="U252" i="55"/>
  <c r="T252" i="55"/>
  <c r="N252" i="55"/>
  <c r="M252" i="55"/>
  <c r="L252" i="55"/>
  <c r="AE251" i="55"/>
  <c r="AF251" i="55" s="1"/>
  <c r="AG251" i="55" s="1"/>
  <c r="V251" i="55"/>
  <c r="U251" i="55"/>
  <c r="T251" i="55"/>
  <c r="N251" i="55"/>
  <c r="M251" i="55"/>
  <c r="L251" i="55"/>
  <c r="AE250" i="55"/>
  <c r="AF250" i="55" s="1"/>
  <c r="AG250" i="55" s="1"/>
  <c r="V250" i="55"/>
  <c r="U250" i="55"/>
  <c r="T250" i="55"/>
  <c r="N250" i="55"/>
  <c r="M250" i="55"/>
  <c r="L250" i="55"/>
  <c r="AE249" i="55"/>
  <c r="AF249" i="55" s="1"/>
  <c r="AG249" i="55" s="1"/>
  <c r="V249" i="55"/>
  <c r="U249" i="55"/>
  <c r="T249" i="55"/>
  <c r="N249" i="55"/>
  <c r="M249" i="55"/>
  <c r="L249" i="55"/>
  <c r="X248" i="55"/>
  <c r="W248" i="55"/>
  <c r="S248" i="55"/>
  <c r="R248" i="55"/>
  <c r="T248" i="55" s="1"/>
  <c r="Q248" i="55"/>
  <c r="P248" i="55"/>
  <c r="O248" i="55"/>
  <c r="K248" i="55"/>
  <c r="J248" i="55"/>
  <c r="I248" i="55"/>
  <c r="H248" i="55"/>
  <c r="G248" i="55"/>
  <c r="F248" i="55"/>
  <c r="E248" i="55"/>
  <c r="D248" i="55"/>
  <c r="AE247" i="55"/>
  <c r="AF247" i="55" s="1"/>
  <c r="AG247" i="55" s="1"/>
  <c r="V247" i="55"/>
  <c r="U247" i="55"/>
  <c r="T247" i="55"/>
  <c r="N247" i="55"/>
  <c r="M247" i="55"/>
  <c r="L247" i="55"/>
  <c r="AE246" i="55"/>
  <c r="AF246" i="55" s="1"/>
  <c r="AG246" i="55" s="1"/>
  <c r="V246" i="55"/>
  <c r="U246" i="55"/>
  <c r="T246" i="55"/>
  <c r="N246" i="55"/>
  <c r="M246" i="55"/>
  <c r="L246" i="55"/>
  <c r="AE245" i="55"/>
  <c r="AF245" i="55" s="1"/>
  <c r="AG245" i="55" s="1"/>
  <c r="V245" i="55"/>
  <c r="U245" i="55"/>
  <c r="T245" i="55"/>
  <c r="N245" i="55"/>
  <c r="M245" i="55"/>
  <c r="L245" i="55"/>
  <c r="AE244" i="55"/>
  <c r="AF244" i="55" s="1"/>
  <c r="AG244" i="55" s="1"/>
  <c r="V244" i="55"/>
  <c r="U244" i="55"/>
  <c r="T244" i="55"/>
  <c r="N244" i="55"/>
  <c r="M244" i="55"/>
  <c r="L244" i="55"/>
  <c r="AE243" i="55"/>
  <c r="AF243" i="55" s="1"/>
  <c r="AG243" i="55" s="1"/>
  <c r="V243" i="55"/>
  <c r="U243" i="55"/>
  <c r="T243" i="55"/>
  <c r="N243" i="55"/>
  <c r="M243" i="55"/>
  <c r="L243" i="55"/>
  <c r="X242" i="55"/>
  <c r="E242" i="55"/>
  <c r="X241" i="55"/>
  <c r="W241" i="55"/>
  <c r="W242" i="55" s="1"/>
  <c r="S241" i="55"/>
  <c r="S242" i="55" s="1"/>
  <c r="R241" i="55"/>
  <c r="R242" i="55" s="1"/>
  <c r="Q241" i="55"/>
  <c r="Q242" i="55" s="1"/>
  <c r="P241" i="55"/>
  <c r="P242" i="55" s="1"/>
  <c r="O241" i="55"/>
  <c r="K241" i="55"/>
  <c r="K242" i="55" s="1"/>
  <c r="J241" i="55"/>
  <c r="J242" i="55" s="1"/>
  <c r="I241" i="55"/>
  <c r="I242" i="55" s="1"/>
  <c r="H241" i="55"/>
  <c r="H242" i="55" s="1"/>
  <c r="G241" i="55"/>
  <c r="G242" i="55" s="1"/>
  <c r="F241" i="55"/>
  <c r="F242" i="55" s="1"/>
  <c r="E241" i="55"/>
  <c r="D241" i="55"/>
  <c r="D242" i="55" s="1"/>
  <c r="AE240" i="55"/>
  <c r="AF240" i="55" s="1"/>
  <c r="AG240" i="55" s="1"/>
  <c r="V240" i="55"/>
  <c r="U240" i="55"/>
  <c r="T240" i="55"/>
  <c r="N240" i="55"/>
  <c r="M240" i="55"/>
  <c r="L240" i="55"/>
  <c r="AE239" i="55"/>
  <c r="AF239" i="55" s="1"/>
  <c r="AG239" i="55" s="1"/>
  <c r="V239" i="55"/>
  <c r="U239" i="55"/>
  <c r="T239" i="55"/>
  <c r="N239" i="55"/>
  <c r="M239" i="55"/>
  <c r="L239" i="55"/>
  <c r="AE238" i="55"/>
  <c r="AF238" i="55" s="1"/>
  <c r="AG238" i="55" s="1"/>
  <c r="V238" i="55"/>
  <c r="U238" i="55"/>
  <c r="T238" i="55"/>
  <c r="N238" i="55"/>
  <c r="M238" i="55"/>
  <c r="L238" i="55"/>
  <c r="AF237" i="55"/>
  <c r="AG237" i="55" s="1"/>
  <c r="AE237" i="55"/>
  <c r="V237" i="55"/>
  <c r="U237" i="55"/>
  <c r="T237" i="55"/>
  <c r="N237" i="55"/>
  <c r="M237" i="55"/>
  <c r="L237" i="55"/>
  <c r="AE236" i="55"/>
  <c r="AF236" i="55" s="1"/>
  <c r="AG236" i="55" s="1"/>
  <c r="V236" i="55"/>
  <c r="U236" i="55"/>
  <c r="T236" i="55"/>
  <c r="N236" i="55"/>
  <c r="M236" i="55"/>
  <c r="L236" i="55"/>
  <c r="AF235" i="55"/>
  <c r="AG235" i="55" s="1"/>
  <c r="AE235" i="55"/>
  <c r="V235" i="55"/>
  <c r="U235" i="55"/>
  <c r="T235" i="55"/>
  <c r="N235" i="55"/>
  <c r="M235" i="55"/>
  <c r="L235" i="55"/>
  <c r="AE234" i="55"/>
  <c r="AF234" i="55" s="1"/>
  <c r="AG234" i="55" s="1"/>
  <c r="V234" i="55"/>
  <c r="U234" i="55"/>
  <c r="T234" i="55"/>
  <c r="N234" i="55"/>
  <c r="M234" i="55"/>
  <c r="L234" i="55"/>
  <c r="AE233" i="55"/>
  <c r="AF233" i="55" s="1"/>
  <c r="AG233" i="55" s="1"/>
  <c r="V233" i="55"/>
  <c r="U233" i="55"/>
  <c r="T233" i="55"/>
  <c r="N233" i="55"/>
  <c r="M233" i="55"/>
  <c r="L233" i="55"/>
  <c r="AE232" i="55"/>
  <c r="AF232" i="55" s="1"/>
  <c r="AG232" i="55" s="1"/>
  <c r="V232" i="55"/>
  <c r="U232" i="55"/>
  <c r="T232" i="55"/>
  <c r="N232" i="55"/>
  <c r="M232" i="55"/>
  <c r="L232" i="55"/>
  <c r="AE231" i="55"/>
  <c r="AF231" i="55" s="1"/>
  <c r="AG231" i="55" s="1"/>
  <c r="V231" i="55"/>
  <c r="U231" i="55"/>
  <c r="T231" i="55"/>
  <c r="N231" i="55"/>
  <c r="M231" i="55"/>
  <c r="L231" i="55"/>
  <c r="S230" i="55"/>
  <c r="X229" i="55"/>
  <c r="W229" i="55"/>
  <c r="S229" i="55"/>
  <c r="R229" i="55"/>
  <c r="Q229" i="55"/>
  <c r="P229" i="55"/>
  <c r="O229" i="55"/>
  <c r="K229" i="55"/>
  <c r="J229" i="55"/>
  <c r="I229" i="55"/>
  <c r="H229" i="55"/>
  <c r="G229" i="55"/>
  <c r="G230" i="55" s="1"/>
  <c r="F229" i="55"/>
  <c r="L229" i="55" s="1"/>
  <c r="E229" i="55"/>
  <c r="D229" i="55"/>
  <c r="AE228" i="55"/>
  <c r="AF228" i="55" s="1"/>
  <c r="AG228" i="55" s="1"/>
  <c r="V228" i="55"/>
  <c r="U228" i="55"/>
  <c r="T228" i="55"/>
  <c r="N228" i="55"/>
  <c r="M228" i="55"/>
  <c r="L228" i="55"/>
  <c r="AE227" i="55"/>
  <c r="AF227" i="55" s="1"/>
  <c r="AG227" i="55" s="1"/>
  <c r="V227" i="55"/>
  <c r="U227" i="55"/>
  <c r="T227" i="55"/>
  <c r="N227" i="55"/>
  <c r="M227" i="55"/>
  <c r="L227" i="55"/>
  <c r="AF226" i="55"/>
  <c r="AG226" i="55" s="1"/>
  <c r="AE226" i="55"/>
  <c r="V226" i="55"/>
  <c r="U226" i="55"/>
  <c r="T226" i="55"/>
  <c r="N226" i="55"/>
  <c r="M226" i="55"/>
  <c r="L226" i="55"/>
  <c r="X225" i="55"/>
  <c r="X230" i="55" s="1"/>
  <c r="W225" i="55"/>
  <c r="W230" i="55" s="1"/>
  <c r="S225" i="55"/>
  <c r="R225" i="55"/>
  <c r="T225" i="55" s="1"/>
  <c r="Q225" i="55"/>
  <c r="P225" i="55"/>
  <c r="P230" i="55" s="1"/>
  <c r="O225" i="55"/>
  <c r="K225" i="55"/>
  <c r="J225" i="55"/>
  <c r="J230" i="55" s="1"/>
  <c r="I225" i="55"/>
  <c r="I230" i="55" s="1"/>
  <c r="H225" i="55"/>
  <c r="G225" i="55"/>
  <c r="F225" i="55"/>
  <c r="E225" i="55"/>
  <c r="D225" i="55"/>
  <c r="AE224" i="55"/>
  <c r="AF224" i="55" s="1"/>
  <c r="AG224" i="55" s="1"/>
  <c r="V224" i="55"/>
  <c r="U224" i="55"/>
  <c r="T224" i="55"/>
  <c r="N224" i="55"/>
  <c r="M224" i="55"/>
  <c r="L224" i="55"/>
  <c r="AE223" i="55"/>
  <c r="AF223" i="55" s="1"/>
  <c r="AG223" i="55" s="1"/>
  <c r="V223" i="55"/>
  <c r="U223" i="55"/>
  <c r="T223" i="55"/>
  <c r="N223" i="55"/>
  <c r="M223" i="55"/>
  <c r="L223" i="55"/>
  <c r="AF222" i="55"/>
  <c r="AG222" i="55" s="1"/>
  <c r="AE222" i="55"/>
  <c r="V222" i="55"/>
  <c r="U222" i="55"/>
  <c r="T222" i="55"/>
  <c r="N222" i="55"/>
  <c r="M222" i="55"/>
  <c r="L222" i="55"/>
  <c r="X220" i="55"/>
  <c r="W220" i="55"/>
  <c r="S220" i="55"/>
  <c r="R220" i="55"/>
  <c r="U220" i="55" s="1"/>
  <c r="Q220" i="55"/>
  <c r="P220" i="55"/>
  <c r="O220" i="55"/>
  <c r="V220" i="55" s="1"/>
  <c r="K220" i="55"/>
  <c r="J220" i="55"/>
  <c r="I220" i="55"/>
  <c r="H220" i="55"/>
  <c r="G220" i="55"/>
  <c r="F220" i="55"/>
  <c r="E220" i="55"/>
  <c r="D220" i="55"/>
  <c r="N220" i="55" s="1"/>
  <c r="AE219" i="55"/>
  <c r="AF219" i="55" s="1"/>
  <c r="AG219" i="55" s="1"/>
  <c r="V219" i="55"/>
  <c r="U219" i="55"/>
  <c r="T219" i="55"/>
  <c r="N219" i="55"/>
  <c r="M219" i="55"/>
  <c r="L219" i="55"/>
  <c r="AE218" i="55"/>
  <c r="AF218" i="55" s="1"/>
  <c r="AG218" i="55" s="1"/>
  <c r="V218" i="55"/>
  <c r="U218" i="55"/>
  <c r="T218" i="55"/>
  <c r="N218" i="55"/>
  <c r="M218" i="55"/>
  <c r="L218" i="55"/>
  <c r="AE217" i="55"/>
  <c r="AF217" i="55" s="1"/>
  <c r="AG217" i="55" s="1"/>
  <c r="V217" i="55"/>
  <c r="U217" i="55"/>
  <c r="T217" i="55"/>
  <c r="N217" i="55"/>
  <c r="M217" i="55"/>
  <c r="L217" i="55"/>
  <c r="AE216" i="55"/>
  <c r="AF216" i="55" s="1"/>
  <c r="AG216" i="55" s="1"/>
  <c r="V216" i="55"/>
  <c r="U216" i="55"/>
  <c r="T216" i="55"/>
  <c r="N216" i="55"/>
  <c r="M216" i="55"/>
  <c r="L216" i="55"/>
  <c r="AE215" i="55"/>
  <c r="AF215" i="55" s="1"/>
  <c r="AG215" i="55" s="1"/>
  <c r="V215" i="55"/>
  <c r="U215" i="55"/>
  <c r="T215" i="55"/>
  <c r="N215" i="55"/>
  <c r="M215" i="55"/>
  <c r="L215" i="55"/>
  <c r="X214" i="55"/>
  <c r="W214" i="55"/>
  <c r="W221" i="55" s="1"/>
  <c r="S214" i="55"/>
  <c r="R214" i="55"/>
  <c r="U214" i="55" s="1"/>
  <c r="Q214" i="55"/>
  <c r="P214" i="55"/>
  <c r="P221" i="55" s="1"/>
  <c r="O214" i="55"/>
  <c r="K214" i="55"/>
  <c r="J214" i="55"/>
  <c r="I214" i="55"/>
  <c r="H214" i="55"/>
  <c r="G214" i="55"/>
  <c r="F214" i="55"/>
  <c r="L214" i="55" s="1"/>
  <c r="E214" i="55"/>
  <c r="D214" i="55"/>
  <c r="AE213" i="55"/>
  <c r="AF213" i="55" s="1"/>
  <c r="AG213" i="55" s="1"/>
  <c r="V213" i="55"/>
  <c r="U213" i="55"/>
  <c r="T213" i="55"/>
  <c r="N213" i="55"/>
  <c r="M213" i="55"/>
  <c r="L213" i="55"/>
  <c r="AE212" i="55"/>
  <c r="AF212" i="55" s="1"/>
  <c r="AG212" i="55" s="1"/>
  <c r="V212" i="55"/>
  <c r="U212" i="55"/>
  <c r="T212" i="55"/>
  <c r="N212" i="55"/>
  <c r="M212" i="55"/>
  <c r="L212" i="55"/>
  <c r="AE211" i="55"/>
  <c r="AF211" i="55" s="1"/>
  <c r="AG211" i="55" s="1"/>
  <c r="V211" i="55"/>
  <c r="U211" i="55"/>
  <c r="T211" i="55"/>
  <c r="N211" i="55"/>
  <c r="M211" i="55"/>
  <c r="L211" i="55"/>
  <c r="X210" i="55"/>
  <c r="W210" i="55"/>
  <c r="S210" i="55"/>
  <c r="R210" i="55"/>
  <c r="T210" i="55" s="1"/>
  <c r="Q210" i="55"/>
  <c r="P210" i="55"/>
  <c r="O210" i="55"/>
  <c r="V210" i="55" s="1"/>
  <c r="K210" i="55"/>
  <c r="J210" i="55"/>
  <c r="I210" i="55"/>
  <c r="H210" i="55"/>
  <c r="G210" i="55"/>
  <c r="G221" i="55" s="1"/>
  <c r="F210" i="55"/>
  <c r="F221" i="55" s="1"/>
  <c r="E210" i="55"/>
  <c r="D210" i="55"/>
  <c r="AE209" i="55"/>
  <c r="AF209" i="55" s="1"/>
  <c r="AG209" i="55" s="1"/>
  <c r="V209" i="55"/>
  <c r="U209" i="55"/>
  <c r="T209" i="55"/>
  <c r="N209" i="55"/>
  <c r="M209" i="55"/>
  <c r="L209" i="55"/>
  <c r="AE208" i="55"/>
  <c r="AF208" i="55" s="1"/>
  <c r="AG208" i="55" s="1"/>
  <c r="V208" i="55"/>
  <c r="U208" i="55"/>
  <c r="T208" i="55"/>
  <c r="N208" i="55"/>
  <c r="M208" i="55"/>
  <c r="L208" i="55"/>
  <c r="AE207" i="55"/>
  <c r="AF207" i="55" s="1"/>
  <c r="AG207" i="55" s="1"/>
  <c r="V207" i="55"/>
  <c r="U207" i="55"/>
  <c r="T207" i="55"/>
  <c r="N207" i="55"/>
  <c r="M207" i="55"/>
  <c r="L207" i="55"/>
  <c r="AE206" i="55"/>
  <c r="AF206" i="55" s="1"/>
  <c r="AG206" i="55" s="1"/>
  <c r="V206" i="55"/>
  <c r="U206" i="55"/>
  <c r="T206" i="55"/>
  <c r="N206" i="55"/>
  <c r="M206" i="55"/>
  <c r="L206" i="55"/>
  <c r="AF205" i="55"/>
  <c r="AG205" i="55" s="1"/>
  <c r="AE205" i="55"/>
  <c r="V205" i="55"/>
  <c r="U205" i="55"/>
  <c r="T205" i="55"/>
  <c r="N205" i="55"/>
  <c r="M205" i="55"/>
  <c r="L205" i="55"/>
  <c r="AE204" i="55"/>
  <c r="AF204" i="55" s="1"/>
  <c r="AG204" i="55" s="1"/>
  <c r="V204" i="55"/>
  <c r="U204" i="55"/>
  <c r="T204" i="55"/>
  <c r="N204" i="55"/>
  <c r="M204" i="55"/>
  <c r="L204" i="55"/>
  <c r="X202" i="55"/>
  <c r="W202" i="55"/>
  <c r="T202" i="55"/>
  <c r="S202" i="55"/>
  <c r="R202" i="55"/>
  <c r="Q202" i="55"/>
  <c r="P202" i="55"/>
  <c r="O202" i="55"/>
  <c r="K202" i="55"/>
  <c r="J202" i="55"/>
  <c r="I202" i="55"/>
  <c r="H202" i="55"/>
  <c r="G202" i="55"/>
  <c r="F202" i="55"/>
  <c r="E202" i="55"/>
  <c r="M202" i="55" s="1"/>
  <c r="D202" i="55"/>
  <c r="N202" i="55" s="1"/>
  <c r="AE201" i="55"/>
  <c r="AF201" i="55" s="1"/>
  <c r="AG201" i="55" s="1"/>
  <c r="V201" i="55"/>
  <c r="U201" i="55"/>
  <c r="T201" i="55"/>
  <c r="N201" i="55"/>
  <c r="M201" i="55"/>
  <c r="L201" i="55"/>
  <c r="AE200" i="55"/>
  <c r="AF200" i="55" s="1"/>
  <c r="AG200" i="55" s="1"/>
  <c r="V200" i="55"/>
  <c r="U200" i="55"/>
  <c r="T200" i="55"/>
  <c r="N200" i="55"/>
  <c r="M200" i="55"/>
  <c r="L200" i="55"/>
  <c r="AE199" i="55"/>
  <c r="AF199" i="55" s="1"/>
  <c r="AG199" i="55" s="1"/>
  <c r="V199" i="55"/>
  <c r="U199" i="55"/>
  <c r="T199" i="55"/>
  <c r="N199" i="55"/>
  <c r="M199" i="55"/>
  <c r="L199" i="55"/>
  <c r="AE198" i="55"/>
  <c r="AF198" i="55" s="1"/>
  <c r="AG198" i="55" s="1"/>
  <c r="V198" i="55"/>
  <c r="U198" i="55"/>
  <c r="T198" i="55"/>
  <c r="N198" i="55"/>
  <c r="M198" i="55"/>
  <c r="L198" i="55"/>
  <c r="AE197" i="55"/>
  <c r="AF197" i="55" s="1"/>
  <c r="AG197" i="55" s="1"/>
  <c r="V197" i="55"/>
  <c r="U197" i="55"/>
  <c r="T197" i="55"/>
  <c r="N197" i="55"/>
  <c r="M197" i="55"/>
  <c r="L197" i="55"/>
  <c r="AE196" i="55"/>
  <c r="AF196" i="55" s="1"/>
  <c r="AG196" i="55" s="1"/>
  <c r="V196" i="55"/>
  <c r="U196" i="55"/>
  <c r="T196" i="55"/>
  <c r="N196" i="55"/>
  <c r="M196" i="55"/>
  <c r="L196" i="55"/>
  <c r="AE195" i="55"/>
  <c r="AF195" i="55" s="1"/>
  <c r="AG195" i="55" s="1"/>
  <c r="V195" i="55"/>
  <c r="U195" i="55"/>
  <c r="T195" i="55"/>
  <c r="N195" i="55"/>
  <c r="M195" i="55"/>
  <c r="L195" i="55"/>
  <c r="X194" i="55"/>
  <c r="W194" i="55"/>
  <c r="S194" i="55"/>
  <c r="R194" i="55"/>
  <c r="Q194" i="55"/>
  <c r="P194" i="55"/>
  <c r="O194" i="55"/>
  <c r="K194" i="55"/>
  <c r="J194" i="55"/>
  <c r="I194" i="55"/>
  <c r="H194" i="55"/>
  <c r="G194" i="55"/>
  <c r="F194" i="55"/>
  <c r="E194" i="55"/>
  <c r="D194" i="55"/>
  <c r="AE193" i="55"/>
  <c r="AF193" i="55" s="1"/>
  <c r="AG193" i="55" s="1"/>
  <c r="V193" i="55"/>
  <c r="U193" i="55"/>
  <c r="T193" i="55"/>
  <c r="N193" i="55"/>
  <c r="M193" i="55"/>
  <c r="L193" i="55"/>
  <c r="AD192" i="55"/>
  <c r="AC192" i="55"/>
  <c r="X192" i="55"/>
  <c r="W192" i="55"/>
  <c r="S192" i="55"/>
  <c r="S203" i="55" s="1"/>
  <c r="R192" i="55"/>
  <c r="U192" i="55" s="1"/>
  <c r="Q192" i="55"/>
  <c r="P192" i="55"/>
  <c r="O192" i="55"/>
  <c r="K192" i="55"/>
  <c r="J192" i="55"/>
  <c r="I192" i="55"/>
  <c r="H192" i="55"/>
  <c r="H203" i="55" s="1"/>
  <c r="G192" i="55"/>
  <c r="F192" i="55"/>
  <c r="E192" i="55"/>
  <c r="D192" i="55"/>
  <c r="AE191" i="55"/>
  <c r="AF191" i="55" s="1"/>
  <c r="AG191" i="55" s="1"/>
  <c r="V191" i="55"/>
  <c r="U191" i="55"/>
  <c r="T191" i="55"/>
  <c r="N191" i="55"/>
  <c r="M191" i="55"/>
  <c r="L191" i="55"/>
  <c r="AE190" i="55"/>
  <c r="AF190" i="55" s="1"/>
  <c r="AG190" i="55" s="1"/>
  <c r="V190" i="55"/>
  <c r="U190" i="55"/>
  <c r="T190" i="55"/>
  <c r="N190" i="55"/>
  <c r="M190" i="55"/>
  <c r="L190" i="55"/>
  <c r="AE189" i="55"/>
  <c r="AF189" i="55" s="1"/>
  <c r="AG189" i="55" s="1"/>
  <c r="V189" i="55"/>
  <c r="U189" i="55"/>
  <c r="T189" i="55"/>
  <c r="N189" i="55"/>
  <c r="M189" i="55"/>
  <c r="L189" i="55"/>
  <c r="AE188" i="55"/>
  <c r="AF188" i="55" s="1"/>
  <c r="AG188" i="55" s="1"/>
  <c r="V188" i="55"/>
  <c r="U188" i="55"/>
  <c r="T188" i="55"/>
  <c r="N188" i="55"/>
  <c r="M188" i="55"/>
  <c r="L188" i="55"/>
  <c r="AE187" i="55"/>
  <c r="AF187" i="55" s="1"/>
  <c r="AG187" i="55" s="1"/>
  <c r="V187" i="55"/>
  <c r="U187" i="55"/>
  <c r="T187" i="55"/>
  <c r="N187" i="55"/>
  <c r="M187" i="55"/>
  <c r="L187" i="55"/>
  <c r="AE186" i="55"/>
  <c r="AF186" i="55" s="1"/>
  <c r="AG186" i="55" s="1"/>
  <c r="V186" i="55"/>
  <c r="U186" i="55"/>
  <c r="T186" i="55"/>
  <c r="N186" i="55"/>
  <c r="M186" i="55"/>
  <c r="L186" i="55"/>
  <c r="D174" i="55"/>
  <c r="D173" i="55"/>
  <c r="E172" i="55"/>
  <c r="D172" i="55"/>
  <c r="D171" i="55"/>
  <c r="E171" i="55" s="1"/>
  <c r="E170" i="55"/>
  <c r="D170" i="55"/>
  <c r="A165" i="55"/>
  <c r="A164" i="55"/>
  <c r="A163" i="55"/>
  <c r="A162" i="55"/>
  <c r="A161" i="55"/>
  <c r="A160" i="55"/>
  <c r="A159" i="55"/>
  <c r="A111" i="55"/>
  <c r="A95" i="55"/>
  <c r="A80" i="55"/>
  <c r="A65" i="55"/>
  <c r="A46" i="55"/>
  <c r="A28" i="55"/>
  <c r="U141" i="56" l="1"/>
  <c r="S22" i="56"/>
  <c r="U108" i="56"/>
  <c r="F126" i="56"/>
  <c r="U106" i="56"/>
  <c r="G126" i="56"/>
  <c r="S45" i="56"/>
  <c r="J126" i="56"/>
  <c r="E126" i="56"/>
  <c r="L78" i="56"/>
  <c r="U68" i="56"/>
  <c r="C83" i="56"/>
  <c r="S75" i="56"/>
  <c r="G83" i="56"/>
  <c r="M68" i="56"/>
  <c r="F50" i="56"/>
  <c r="N50" i="56"/>
  <c r="U50" i="56" s="1"/>
  <c r="T49" i="56"/>
  <c r="I41" i="56"/>
  <c r="Q41" i="56"/>
  <c r="J41" i="56"/>
  <c r="L14" i="56"/>
  <c r="M14" i="56"/>
  <c r="T14" i="56"/>
  <c r="T106" i="56"/>
  <c r="I126" i="56"/>
  <c r="AE24" i="56"/>
  <c r="AF24" i="56" s="1"/>
  <c r="U14" i="56"/>
  <c r="T22" i="56"/>
  <c r="L30" i="56"/>
  <c r="T75" i="56"/>
  <c r="S82" i="56"/>
  <c r="F203" i="55"/>
  <c r="I221" i="55"/>
  <c r="T220" i="55"/>
  <c r="K230" i="55"/>
  <c r="L248" i="55"/>
  <c r="N262" i="55"/>
  <c r="C126" i="56"/>
  <c r="H41" i="56"/>
  <c r="L194" i="55"/>
  <c r="V225" i="55"/>
  <c r="M3937" i="55"/>
  <c r="V126" i="56"/>
  <c r="AD119" i="56"/>
  <c r="L49" i="56"/>
  <c r="M34" i="56"/>
  <c r="L75" i="56"/>
  <c r="M82" i="56"/>
  <c r="L3937" i="55"/>
  <c r="S49" i="56"/>
  <c r="M22" i="56"/>
  <c r="H23" i="56"/>
  <c r="V23" i="56"/>
  <c r="E41" i="56"/>
  <c r="R50" i="56"/>
  <c r="A31" i="55"/>
  <c r="E263" i="55"/>
  <c r="V202" i="55"/>
  <c r="T242" i="55"/>
  <c r="J263" i="55"/>
  <c r="L3578" i="55"/>
  <c r="M119" i="56"/>
  <c r="N83" i="56"/>
  <c r="M83" i="56" s="1"/>
  <c r="O221" i="55"/>
  <c r="V221" i="55" s="1"/>
  <c r="D230" i="55"/>
  <c r="V255" i="55"/>
  <c r="K3946" i="55"/>
  <c r="N4310" i="55"/>
  <c r="X128" i="56"/>
  <c r="X132" i="56" s="1"/>
  <c r="X143" i="56" s="1"/>
  <c r="K106" i="56"/>
  <c r="K108" i="56"/>
  <c r="I23" i="56"/>
  <c r="M30" i="56"/>
  <c r="P50" i="56"/>
  <c r="M49" i="56"/>
  <c r="W83" i="56"/>
  <c r="M78" i="56"/>
  <c r="N192" i="55"/>
  <c r="M194" i="55"/>
  <c r="L220" i="55"/>
  <c r="E230" i="55"/>
  <c r="U248" i="55"/>
  <c r="AE3937" i="55"/>
  <c r="E23" i="56"/>
  <c r="R41" i="56"/>
  <c r="V83" i="56"/>
  <c r="S221" i="55"/>
  <c r="Q221" i="55"/>
  <c r="P3946" i="55"/>
  <c r="A1" i="55"/>
  <c r="Q203" i="55"/>
  <c r="L3403" i="55"/>
  <c r="Q3946" i="55"/>
  <c r="M75" i="56"/>
  <c r="P41" i="56"/>
  <c r="F83" i="56"/>
  <c r="U75" i="56"/>
  <c r="P126" i="56"/>
  <c r="D83" i="56"/>
  <c r="AE4310" i="55"/>
  <c r="M106" i="56"/>
  <c r="M45" i="56"/>
  <c r="V3946" i="55"/>
  <c r="Y128" i="56"/>
  <c r="Y132" i="56" s="1"/>
  <c r="Y143" i="56" s="1"/>
  <c r="H126" i="56"/>
  <c r="R126" i="56"/>
  <c r="K119" i="56"/>
  <c r="S30" i="56"/>
  <c r="C23" i="56"/>
  <c r="E50" i="56"/>
  <c r="W50" i="56"/>
  <c r="J83" i="56"/>
  <c r="R83" i="56"/>
  <c r="E203" i="55"/>
  <c r="H221" i="55"/>
  <c r="V194" i="55"/>
  <c r="E221" i="55"/>
  <c r="M221" i="55" s="1"/>
  <c r="M220" i="55"/>
  <c r="M3403" i="55"/>
  <c r="T3578" i="55"/>
  <c r="M4310" i="55"/>
  <c r="T108" i="56"/>
  <c r="K141" i="56"/>
  <c r="T30" i="56"/>
  <c r="T45" i="56"/>
  <c r="J23" i="56"/>
  <c r="R23" i="56"/>
  <c r="K22" i="56"/>
  <c r="K30" i="56"/>
  <c r="O41" i="56"/>
  <c r="K34" i="56"/>
  <c r="K40" i="56"/>
  <c r="L45" i="56"/>
  <c r="I83" i="56"/>
  <c r="Q83" i="56"/>
  <c r="K75" i="56"/>
  <c r="K78" i="56"/>
  <c r="K82" i="56"/>
  <c r="Q230" i="55"/>
  <c r="H263" i="55"/>
  <c r="X203" i="55"/>
  <c r="J203" i="55"/>
  <c r="J268" i="55" s="1"/>
  <c r="J3948" i="55" s="1"/>
  <c r="J4126" i="55" s="1"/>
  <c r="J4312" i="55" s="1"/>
  <c r="J221" i="55"/>
  <c r="L225" i="55"/>
  <c r="S263" i="55"/>
  <c r="X263" i="55"/>
  <c r="V262" i="55"/>
  <c r="U3578" i="55"/>
  <c r="T3937" i="55"/>
  <c r="AF4304" i="55"/>
  <c r="AG4304" i="55" s="1"/>
  <c r="L4310" i="55"/>
  <c r="S119" i="56"/>
  <c r="F41" i="56"/>
  <c r="N41" i="56"/>
  <c r="U40" i="56"/>
  <c r="C50" i="56"/>
  <c r="H83" i="56"/>
  <c r="P83" i="56"/>
  <c r="G263" i="55"/>
  <c r="K203" i="55"/>
  <c r="K221" i="55"/>
  <c r="X221" i="55"/>
  <c r="O263" i="55"/>
  <c r="M263" i="55" s="1"/>
  <c r="L262" i="55"/>
  <c r="M108" i="56"/>
  <c r="O83" i="56"/>
  <c r="L242" i="55"/>
  <c r="V248" i="55"/>
  <c r="P263" i="55"/>
  <c r="E3946" i="55"/>
  <c r="U3937" i="55"/>
  <c r="AD106" i="56"/>
  <c r="D126" i="56"/>
  <c r="N126" i="56"/>
  <c r="W126" i="56"/>
  <c r="T119" i="56"/>
  <c r="G23" i="56"/>
  <c r="O23" i="56"/>
  <c r="D41" i="56"/>
  <c r="V41" i="56"/>
  <c r="I50" i="56"/>
  <c r="Q50" i="56"/>
  <c r="A3465" i="55"/>
  <c r="U202" i="55"/>
  <c r="P203" i="55"/>
  <c r="L202" i="55"/>
  <c r="M210" i="55"/>
  <c r="V214" i="55"/>
  <c r="M229" i="55"/>
  <c r="D263" i="55"/>
  <c r="N248" i="55"/>
  <c r="W263" i="55"/>
  <c r="L258" i="55"/>
  <c r="T262" i="55"/>
  <c r="V3937" i="55"/>
  <c r="O126" i="56"/>
  <c r="AB126" i="56"/>
  <c r="AD108" i="56"/>
  <c r="U119" i="56"/>
  <c r="Q126" i="56"/>
  <c r="T141" i="56"/>
  <c r="S78" i="56"/>
  <c r="K12" i="56"/>
  <c r="M12" i="56"/>
  <c r="K14" i="56"/>
  <c r="L22" i="56"/>
  <c r="U22" i="56"/>
  <c r="T40" i="56"/>
  <c r="K49" i="56"/>
  <c r="O50" i="56"/>
  <c r="K61" i="56"/>
  <c r="M61" i="56"/>
  <c r="K68" i="56"/>
  <c r="L192" i="55"/>
  <c r="L221" i="55"/>
  <c r="U3403" i="55"/>
  <c r="AC3946" i="55"/>
  <c r="V4310" i="55"/>
  <c r="L106" i="56"/>
  <c r="W41" i="56"/>
  <c r="S41" i="56"/>
  <c r="AF137" i="56"/>
  <c r="AF141" i="56" s="1"/>
  <c r="AE141" i="56"/>
  <c r="AF87" i="56"/>
  <c r="S62" i="56"/>
  <c r="AF122" i="56"/>
  <c r="AF119" i="56" s="1"/>
  <c r="AE119" i="56"/>
  <c r="AF109" i="56"/>
  <c r="L108" i="56"/>
  <c r="S12" i="56"/>
  <c r="S14" i="56"/>
  <c r="S61" i="56"/>
  <c r="S68" i="56"/>
  <c r="Q23" i="56"/>
  <c r="G50" i="56"/>
  <c r="F62" i="56"/>
  <c r="K62" i="56" s="1"/>
  <c r="N62" i="56"/>
  <c r="E83" i="56"/>
  <c r="AE117" i="56"/>
  <c r="AF117" i="56" s="1"/>
  <c r="AD141" i="56"/>
  <c r="T12" i="56"/>
  <c r="T34" i="56"/>
  <c r="T61" i="56"/>
  <c r="T68" i="56"/>
  <c r="T82" i="56"/>
  <c r="G41" i="56"/>
  <c r="S106" i="56"/>
  <c r="U12" i="56"/>
  <c r="U34" i="56"/>
  <c r="U45" i="56"/>
  <c r="U61" i="56"/>
  <c r="U82" i="56"/>
  <c r="AB14" i="56"/>
  <c r="AB22" i="56" s="1"/>
  <c r="F23" i="56"/>
  <c r="N23" i="56"/>
  <c r="D50" i="56"/>
  <c r="AC14" i="56"/>
  <c r="AC22" i="56" s="1"/>
  <c r="AE93" i="56"/>
  <c r="AF93" i="56" s="1"/>
  <c r="K45" i="56"/>
  <c r="C41" i="56"/>
  <c r="L12" i="56"/>
  <c r="L34" i="56"/>
  <c r="L61" i="56"/>
  <c r="L82" i="56"/>
  <c r="AF3578" i="55"/>
  <c r="B2929" i="55"/>
  <c r="A41" i="55"/>
  <c r="A474" i="55"/>
  <c r="A748" i="55"/>
  <c r="D3946" i="55"/>
  <c r="N3578" i="55"/>
  <c r="A286" i="55"/>
  <c r="A3129" i="55"/>
  <c r="D221" i="55"/>
  <c r="N221" i="55" s="1"/>
  <c r="A534" i="55"/>
  <c r="A81" i="55"/>
  <c r="I203" i="55"/>
  <c r="H230" i="55"/>
  <c r="A1168" i="55"/>
  <c r="A1931" i="55"/>
  <c r="A9" i="55"/>
  <c r="A47" i="55"/>
  <c r="A91" i="55"/>
  <c r="A139" i="55"/>
  <c r="S268" i="55"/>
  <c r="S3948" i="55" s="1"/>
  <c r="S4126" i="55" s="1"/>
  <c r="S4312" i="55" s="1"/>
  <c r="U229" i="55"/>
  <c r="T229" i="55"/>
  <c r="Q263" i="55"/>
  <c r="T255" i="55"/>
  <c r="U258" i="55"/>
  <c r="F263" i="55"/>
  <c r="A316" i="55"/>
  <c r="A764" i="55"/>
  <c r="A808" i="55"/>
  <c r="A872" i="55"/>
  <c r="A1548" i="55"/>
  <c r="A1859" i="55"/>
  <c r="A1941" i="55"/>
  <c r="A2453" i="55"/>
  <c r="A3323" i="55"/>
  <c r="F3946" i="55"/>
  <c r="L3946" i="55" s="1"/>
  <c r="A4144" i="55"/>
  <c r="A76" i="55"/>
  <c r="A648" i="55"/>
  <c r="A1148" i="55"/>
  <c r="A1342" i="55"/>
  <c r="R263" i="55"/>
  <c r="A667" i="55"/>
  <c r="A1537" i="55"/>
  <c r="A3828" i="55"/>
  <c r="A4136" i="55"/>
  <c r="A17" i="55"/>
  <c r="A50" i="55"/>
  <c r="A147" i="55"/>
  <c r="T192" i="55"/>
  <c r="N194" i="55"/>
  <c r="I263" i="55"/>
  <c r="A319" i="55"/>
  <c r="A400" i="55"/>
  <c r="AE3403" i="55"/>
  <c r="A490" i="55"/>
  <c r="A555" i="55"/>
  <c r="A693" i="55"/>
  <c r="A2463" i="55"/>
  <c r="A2811" i="55"/>
  <c r="A2975" i="55"/>
  <c r="A3177" i="55"/>
  <c r="G203" i="55"/>
  <c r="L203" i="55" s="1"/>
  <c r="A360" i="55"/>
  <c r="A1626" i="55"/>
  <c r="A2059" i="55"/>
  <c r="A2578" i="55"/>
  <c r="A124" i="55"/>
  <c r="A1634" i="55"/>
  <c r="A2249" i="55"/>
  <c r="A3559" i="55"/>
  <c r="AG3580" i="55"/>
  <c r="AG3578" i="55" s="1"/>
  <c r="A4088" i="55"/>
  <c r="A4258" i="55"/>
  <c r="A4208" i="55"/>
  <c r="A4080" i="55"/>
  <c r="A4030" i="55"/>
  <c r="A3917" i="55"/>
  <c r="A3858" i="55"/>
  <c r="A3823" i="55"/>
  <c r="A3786" i="55"/>
  <c r="A3699" i="55"/>
  <c r="A3663" i="55"/>
  <c r="A3618" i="55"/>
  <c r="A3551" i="55"/>
  <c r="A3454" i="55"/>
  <c r="A3421" i="55"/>
  <c r="A3374" i="55"/>
  <c r="A3277" i="55"/>
  <c r="A3244" i="55"/>
  <c r="A3119" i="55"/>
  <c r="A3082" i="55"/>
  <c r="A3010" i="55"/>
  <c r="A2960" i="55"/>
  <c r="A2860" i="55"/>
  <c r="A2801" i="55"/>
  <c r="A2766" i="55"/>
  <c r="A2729" i="55"/>
  <c r="A2643" i="55"/>
  <c r="A2607" i="55"/>
  <c r="A2562" i="55"/>
  <c r="A2496" i="55"/>
  <c r="A2448" i="55"/>
  <c r="A2404" i="55"/>
  <c r="A2366" i="55"/>
  <c r="A2289" i="55"/>
  <c r="A2133" i="55"/>
  <c r="A2050" i="55"/>
  <c r="A1982" i="55"/>
  <c r="A1885" i="55"/>
  <c r="A1852" i="55"/>
  <c r="A1727" i="55"/>
  <c r="A1690" i="55"/>
  <c r="A1618" i="55"/>
  <c r="A1568" i="55"/>
  <c r="A1468" i="55"/>
  <c r="A1409" i="55"/>
  <c r="A1374" i="55"/>
  <c r="A1337" i="55"/>
  <c r="A1251" i="55"/>
  <c r="A1215" i="55"/>
  <c r="A1170" i="55"/>
  <c r="A1104" i="55"/>
  <c r="A1056" i="55"/>
  <c r="A1012" i="55"/>
  <c r="A974" i="55"/>
  <c r="A897" i="55"/>
  <c r="A741" i="55"/>
  <c r="A658" i="55"/>
  <c r="A590" i="55"/>
  <c r="A4251" i="55"/>
  <c r="A4168" i="55"/>
  <c r="A4073" i="55"/>
  <c r="A3990" i="55"/>
  <c r="A3909" i="55"/>
  <c r="A3812" i="55"/>
  <c r="A3779" i="55"/>
  <c r="A3653" i="55"/>
  <c r="A3616" i="55"/>
  <c r="A3543" i="55"/>
  <c r="A3495" i="55"/>
  <c r="A3451" i="55"/>
  <c r="A3413" i="55"/>
  <c r="A3366" i="55"/>
  <c r="A3318" i="55"/>
  <c r="A3274" i="55"/>
  <c r="A3236" i="55"/>
  <c r="A3159" i="55"/>
  <c r="A3003" i="55"/>
  <c r="B2920" i="55"/>
  <c r="A2852" i="55"/>
  <c r="A2755" i="55"/>
  <c r="A2722" i="55"/>
  <c r="A2597" i="55"/>
  <c r="A2560" i="55"/>
  <c r="A2488" i="55"/>
  <c r="A2438" i="55"/>
  <c r="A2338" i="55"/>
  <c r="A2279" i="55"/>
  <c r="A2244" i="55"/>
  <c r="A2207" i="55"/>
  <c r="A2121" i="55"/>
  <c r="A2085" i="55"/>
  <c r="A2040" i="55"/>
  <c r="A1974" i="55"/>
  <c r="A1926" i="55"/>
  <c r="A1882" i="55"/>
  <c r="A1844" i="55"/>
  <c r="A1767" i="55"/>
  <c r="A1611" i="55"/>
  <c r="A1528" i="55"/>
  <c r="A1460" i="55"/>
  <c r="A4239" i="55"/>
  <c r="A4203" i="55"/>
  <c r="A4158" i="55"/>
  <c r="A4061" i="55"/>
  <c r="A4025" i="55"/>
  <c r="A3980" i="55"/>
  <c r="A3901" i="55"/>
  <c r="A3853" i="55"/>
  <c r="A3809" i="55"/>
  <c r="A3771" i="55"/>
  <c r="A3693" i="55"/>
  <c r="A3535" i="55"/>
  <c r="A3485" i="55"/>
  <c r="A3358" i="55"/>
  <c r="A3308" i="55"/>
  <c r="A3208" i="55"/>
  <c r="A3149" i="55"/>
  <c r="A3114" i="55"/>
  <c r="A3077" i="55"/>
  <c r="A2991" i="55"/>
  <c r="A2955" i="55"/>
  <c r="B2910" i="55"/>
  <c r="A2844" i="55"/>
  <c r="A2796" i="55"/>
  <c r="A2752" i="55"/>
  <c r="A2714" i="55"/>
  <c r="A2637" i="55"/>
  <c r="A2481" i="55"/>
  <c r="A2398" i="55"/>
  <c r="A2330" i="55"/>
  <c r="A2233" i="55"/>
  <c r="A2200" i="55"/>
  <c r="A2075" i="55"/>
  <c r="A2038" i="55"/>
  <c r="A1966" i="55"/>
  <c r="A1916" i="55"/>
  <c r="A1816" i="55"/>
  <c r="A1757" i="55"/>
  <c r="A1722" i="55"/>
  <c r="A1685" i="55"/>
  <c r="A1599" i="55"/>
  <c r="A1563" i="55"/>
  <c r="A1518" i="55"/>
  <c r="A1452" i="55"/>
  <c r="A1404" i="55"/>
  <c r="A1360" i="55"/>
  <c r="A1322" i="55"/>
  <c r="A1245" i="55"/>
  <c r="A1089" i="55"/>
  <c r="A1006" i="55"/>
  <c r="A938" i="55"/>
  <c r="A4193" i="55"/>
  <c r="A4156" i="55"/>
  <c r="A4015" i="55"/>
  <c r="A3978" i="55"/>
  <c r="A3893" i="55"/>
  <c r="A3843" i="55"/>
  <c r="A3742" i="55"/>
  <c r="A3683" i="55"/>
  <c r="A3648" i="55"/>
  <c r="A3611" i="55"/>
  <c r="A3528" i="55"/>
  <c r="A3445" i="55"/>
  <c r="A3351" i="55"/>
  <c r="A3268" i="55"/>
  <c r="A3200" i="55"/>
  <c r="A3103" i="55"/>
  <c r="A3070" i="55"/>
  <c r="A2945" i="55"/>
  <c r="B2908" i="55"/>
  <c r="A2836" i="55"/>
  <c r="A2786" i="55"/>
  <c r="A2686" i="55"/>
  <c r="A2627" i="55"/>
  <c r="A2592" i="55"/>
  <c r="A2555" i="55"/>
  <c r="A2469" i="55"/>
  <c r="A2433" i="55"/>
  <c r="A2388" i="55"/>
  <c r="A2322" i="55"/>
  <c r="A2274" i="55"/>
  <c r="A2230" i="55"/>
  <c r="A2192" i="55"/>
  <c r="A2115" i="55"/>
  <c r="A1959" i="55"/>
  <c r="A1876" i="55"/>
  <c r="A1808" i="55"/>
  <c r="A1711" i="55"/>
  <c r="A1678" i="55"/>
  <c r="A1553" i="55"/>
  <c r="A1516" i="55"/>
  <c r="A1444" i="55"/>
  <c r="A1394" i="55"/>
  <c r="A1294" i="55"/>
  <c r="A1235" i="55"/>
  <c r="A1200" i="55"/>
  <c r="A1163" i="55"/>
  <c r="A1077" i="55"/>
  <c r="A1041" i="55"/>
  <c r="A996" i="55"/>
  <c r="A930" i="55"/>
  <c r="A882" i="55"/>
  <c r="A838" i="55"/>
  <c r="A800" i="55"/>
  <c r="A723" i="55"/>
  <c r="A567" i="55"/>
  <c r="A4233" i="55"/>
  <c r="A4055" i="55"/>
  <c r="A3886" i="55"/>
  <c r="A3803" i="55"/>
  <c r="A3734" i="55"/>
  <c r="A3637" i="55"/>
  <c r="A3604" i="55"/>
  <c r="A3516" i="55"/>
  <c r="A3480" i="55"/>
  <c r="A3435" i="55"/>
  <c r="A3339" i="55"/>
  <c r="A3303" i="55"/>
  <c r="A3258" i="55"/>
  <c r="A3192" i="55"/>
  <c r="A3144" i="55"/>
  <c r="A3100" i="55"/>
  <c r="A3062" i="55"/>
  <c r="A2985" i="55"/>
  <c r="A2829" i="55"/>
  <c r="A2746" i="55"/>
  <c r="A2678" i="55"/>
  <c r="A2581" i="55"/>
  <c r="A2548" i="55"/>
  <c r="A2423" i="55"/>
  <c r="A2386" i="55"/>
  <c r="A2314" i="55"/>
  <c r="A2264" i="55"/>
  <c r="A2164" i="55"/>
  <c r="A2105" i="55"/>
  <c r="A2070" i="55"/>
  <c r="A2033" i="55"/>
  <c r="A1947" i="55"/>
  <c r="A1911" i="55"/>
  <c r="A1866" i="55"/>
  <c r="A1800" i="55"/>
  <c r="A1752" i="55"/>
  <c r="A1708" i="55"/>
  <c r="A1670" i="55"/>
  <c r="A1593" i="55"/>
  <c r="A1437" i="55"/>
  <c r="A1354" i="55"/>
  <c r="A1286" i="55"/>
  <c r="A1189" i="55"/>
  <c r="A1156" i="55"/>
  <c r="A1031" i="55"/>
  <c r="A994" i="55"/>
  <c r="A922" i="55"/>
  <c r="A4282" i="55"/>
  <c r="A4223" i="55"/>
  <c r="A4188" i="55"/>
  <c r="A4151" i="55"/>
  <c r="A4104" i="55"/>
  <c r="A4045" i="55"/>
  <c r="A4010" i="55"/>
  <c r="A3973" i="55"/>
  <c r="A3874" i="55"/>
  <c r="A4040" i="55"/>
  <c r="A3958" i="55"/>
  <c r="A3793" i="55"/>
  <c r="A3510" i="55"/>
  <c r="A3433" i="55"/>
  <c r="A3293" i="55"/>
  <c r="A3165" i="55"/>
  <c r="A3094" i="55"/>
  <c r="A2781" i="55"/>
  <c r="A2572" i="55"/>
  <c r="A2374" i="55"/>
  <c r="A2307" i="55"/>
  <c r="A1792" i="55"/>
  <c r="A1534" i="55"/>
  <c r="A1278" i="55"/>
  <c r="A1205" i="55"/>
  <c r="A1120" i="55"/>
  <c r="A946" i="55"/>
  <c r="A867" i="55"/>
  <c r="A820" i="55"/>
  <c r="A729" i="55"/>
  <c r="A683" i="55"/>
  <c r="A549" i="55"/>
  <c r="A393" i="55"/>
  <c r="A310" i="55"/>
  <c r="A4177" i="55"/>
  <c r="A3868" i="55"/>
  <c r="A3791" i="55"/>
  <c r="A3726" i="55"/>
  <c r="A3500" i="55"/>
  <c r="A3084" i="55"/>
  <c r="A2970" i="55"/>
  <c r="B2903" i="55"/>
  <c r="A2771" i="55"/>
  <c r="A2295" i="55"/>
  <c r="A2224" i="55"/>
  <c r="A2100" i="55"/>
  <c r="A2026" i="55"/>
  <c r="A1901" i="55"/>
  <c r="A1785" i="55"/>
  <c r="A1583" i="55"/>
  <c r="A1389" i="55"/>
  <c r="A1330" i="55"/>
  <c r="A1270" i="55"/>
  <c r="A1112" i="55"/>
  <c r="A915" i="55"/>
  <c r="A857" i="55"/>
  <c r="A641" i="55"/>
  <c r="A539" i="55"/>
  <c r="A504" i="55"/>
  <c r="A467" i="55"/>
  <c r="A381" i="55"/>
  <c r="A345" i="55"/>
  <c r="A300" i="55"/>
  <c r="A4274" i="55"/>
  <c r="A4174" i="55"/>
  <c r="A3718" i="55"/>
  <c r="A3634" i="55"/>
  <c r="A3428" i="55"/>
  <c r="A3382" i="55"/>
  <c r="A3288" i="55"/>
  <c r="A2896" i="55"/>
  <c r="A2622" i="55"/>
  <c r="A2540" i="55"/>
  <c r="A2214" i="55"/>
  <c r="A2090" i="55"/>
  <c r="A2018" i="55"/>
  <c r="A1773" i="55"/>
  <c r="A1702" i="55"/>
  <c r="A1379" i="55"/>
  <c r="A1263" i="55"/>
  <c r="A1186" i="55"/>
  <c r="A1096" i="55"/>
  <c r="A1026" i="55"/>
  <c r="A903" i="55"/>
  <c r="A815" i="55"/>
  <c r="A713" i="55"/>
  <c r="A678" i="55"/>
  <c r="A634" i="55"/>
  <c r="A493" i="55"/>
  <c r="A460" i="55"/>
  <c r="A335" i="55"/>
  <c r="A298" i="55"/>
  <c r="A4266" i="55"/>
  <c r="A3999" i="55"/>
  <c r="A3711" i="55"/>
  <c r="A3134" i="55"/>
  <c r="A3034" i="55"/>
  <c r="A2888" i="55"/>
  <c r="A2817" i="55"/>
  <c r="A2612" i="55"/>
  <c r="A2512" i="55"/>
  <c r="A2418" i="55"/>
  <c r="A2212" i="55"/>
  <c r="A1990" i="55"/>
  <c r="A1896" i="55"/>
  <c r="A1692" i="55"/>
  <c r="A1578" i="55"/>
  <c r="A1511" i="55"/>
  <c r="A4096" i="55"/>
  <c r="A3996" i="55"/>
  <c r="A3838" i="55"/>
  <c r="A3628" i="55"/>
  <c r="A3470" i="55"/>
  <c r="A3333" i="55"/>
  <c r="A3256" i="55"/>
  <c r="A3026" i="55"/>
  <c r="A2940" i="55"/>
  <c r="A2736" i="55"/>
  <c r="A2504" i="55"/>
  <c r="A2407" i="55"/>
  <c r="A2156" i="55"/>
  <c r="A1504" i="55"/>
  <c r="A1425" i="55"/>
  <c r="A1363" i="55"/>
  <c r="A1180" i="55"/>
  <c r="A1071" i="55"/>
  <c r="A887" i="55"/>
  <c r="A841" i="55"/>
  <c r="A772" i="55"/>
  <c r="A708" i="55"/>
  <c r="A664" i="55"/>
  <c r="A582" i="55"/>
  <c r="A524" i="55"/>
  <c r="A424" i="55"/>
  <c r="A365" i="55"/>
  <c r="A330" i="55"/>
  <c r="A293" i="55"/>
  <c r="N210" i="55"/>
  <c r="I268" i="55"/>
  <c r="I3948" i="55" s="1"/>
  <c r="I4126" i="55" s="1"/>
  <c r="I4312" i="55" s="1"/>
  <c r="A1344" i="55"/>
  <c r="A1642" i="55"/>
  <c r="A2259" i="55"/>
  <c r="M3578" i="55"/>
  <c r="A3966" i="55"/>
  <c r="A24" i="55"/>
  <c r="A61" i="55"/>
  <c r="A96" i="55"/>
  <c r="S147" i="55"/>
  <c r="V192" i="55"/>
  <c r="AC194" i="55"/>
  <c r="T214" i="55"/>
  <c r="V229" i="55"/>
  <c r="O230" i="55"/>
  <c r="T241" i="55"/>
  <c r="L255" i="55"/>
  <c r="P268" i="55"/>
  <c r="P3948" i="55" s="1"/>
  <c r="P4126" i="55" s="1"/>
  <c r="P4312" i="55" s="1"/>
  <c r="A408" i="55"/>
  <c r="AF3403" i="55"/>
  <c r="AG443" i="55"/>
  <c r="AG3403" i="55" s="1"/>
  <c r="A574" i="55"/>
  <c r="A626" i="55"/>
  <c r="A822" i="55"/>
  <c r="A1046" i="55"/>
  <c r="A1864" i="55"/>
  <c r="A2140" i="55"/>
  <c r="A2381" i="55"/>
  <c r="A2655" i="55"/>
  <c r="A3184" i="55"/>
  <c r="A3251" i="55"/>
  <c r="A3668" i="55"/>
  <c r="A112" i="55"/>
  <c r="U194" i="55"/>
  <c r="T194" i="55"/>
  <c r="U225" i="55"/>
  <c r="R230" i="55"/>
  <c r="O242" i="55"/>
  <c r="V241" i="55"/>
  <c r="N241" i="55"/>
  <c r="V258" i="55"/>
  <c r="N258" i="55"/>
  <c r="M258" i="55"/>
  <c r="A472" i="55"/>
  <c r="A852" i="55"/>
  <c r="A1742" i="55"/>
  <c r="A3596" i="55"/>
  <c r="A4218" i="55"/>
  <c r="A131" i="55"/>
  <c r="A375" i="55"/>
  <c r="A484" i="55"/>
  <c r="A756" i="55"/>
  <c r="A1015" i="55"/>
  <c r="A106" i="55"/>
  <c r="A155" i="55"/>
  <c r="E268" i="55"/>
  <c r="E3948" i="55" s="1"/>
  <c r="E4126" i="55" s="1"/>
  <c r="E4312" i="55" s="1"/>
  <c r="W203" i="55"/>
  <c r="W268" i="55" s="1"/>
  <c r="W3948" i="55" s="1"/>
  <c r="W4126" i="55" s="1"/>
  <c r="W4312" i="55" s="1"/>
  <c r="AD194" i="55"/>
  <c r="R221" i="55"/>
  <c r="U210" i="55"/>
  <c r="F230" i="55"/>
  <c r="L230" i="55" s="1"/>
  <c r="L241" i="55"/>
  <c r="U241" i="55"/>
  <c r="K263" i="55"/>
  <c r="K268" i="55" s="1"/>
  <c r="K3948" i="55" s="1"/>
  <c r="K4126" i="55" s="1"/>
  <c r="K4312" i="55" s="1"/>
  <c r="U262" i="55"/>
  <c r="Q268" i="55"/>
  <c r="Q3948" i="55" s="1"/>
  <c r="Q4126" i="55" s="1"/>
  <c r="Q4312" i="55" s="1"/>
  <c r="A416" i="55"/>
  <c r="A452" i="55"/>
  <c r="A509" i="55"/>
  <c r="A598" i="55"/>
  <c r="A698" i="55"/>
  <c r="A832" i="55"/>
  <c r="A982" i="55"/>
  <c r="A1220" i="55"/>
  <c r="A1737" i="55"/>
  <c r="A2148" i="55"/>
  <c r="A2662" i="55"/>
  <c r="A3018" i="55"/>
  <c r="A3678" i="55"/>
  <c r="AF4310" i="55"/>
  <c r="L210" i="55"/>
  <c r="H268" i="55"/>
  <c r="H3948" i="55" s="1"/>
  <c r="H4126" i="55" s="1"/>
  <c r="H4312" i="55" s="1"/>
  <c r="A29" i="55"/>
  <c r="A66" i="55"/>
  <c r="F268" i="55"/>
  <c r="M192" i="55"/>
  <c r="O203" i="55"/>
  <c r="D203" i="55"/>
  <c r="D268" i="55" s="1"/>
  <c r="D3948" i="55" s="1"/>
  <c r="D4126" i="55" s="1"/>
  <c r="D4312" i="55" s="1"/>
  <c r="R203" i="55"/>
  <c r="N229" i="55"/>
  <c r="M241" i="55"/>
  <c r="M248" i="55"/>
  <c r="M262" i="55"/>
  <c r="A278" i="55"/>
  <c r="A350" i="55"/>
  <c r="A519" i="55"/>
  <c r="A646" i="55"/>
  <c r="A989" i="55"/>
  <c r="A1061" i="55"/>
  <c r="A1230" i="55"/>
  <c r="A1419" i="55"/>
  <c r="A1496" i="55"/>
  <c r="A2056" i="55"/>
  <c r="A2670" i="55"/>
  <c r="A2734" i="55"/>
  <c r="B2926" i="55"/>
  <c r="AE3578" i="55"/>
  <c r="AE3946" i="55" s="1"/>
  <c r="N3946" i="55"/>
  <c r="AA3948" i="55"/>
  <c r="AA4126" i="55" s="1"/>
  <c r="AA4312" i="55" s="1"/>
  <c r="AF3937" i="55"/>
  <c r="AG4310" i="55"/>
  <c r="M214" i="55"/>
  <c r="M225" i="55"/>
  <c r="M255" i="55"/>
  <c r="T258" i="55"/>
  <c r="AG3939" i="55"/>
  <c r="AF3940" i="55"/>
  <c r="AG3940" i="55" s="1"/>
  <c r="N214" i="55"/>
  <c r="N225" i="55"/>
  <c r="N255" i="55"/>
  <c r="U4310" i="55"/>
  <c r="U3946" i="55"/>
  <c r="T3946" i="55"/>
  <c r="M3946" i="55"/>
  <c r="N3403" i="55"/>
  <c r="T4310" i="55"/>
  <c r="E149" i="4"/>
  <c r="D149" i="4"/>
  <c r="C149" i="4"/>
  <c r="B149" i="4"/>
  <c r="A149" i="4"/>
  <c r="E148" i="4"/>
  <c r="D148" i="4"/>
  <c r="C148" i="4"/>
  <c r="B148" i="4"/>
  <c r="A148" i="4"/>
  <c r="E147" i="4"/>
  <c r="D147" i="4"/>
  <c r="C147" i="4"/>
  <c r="B147" i="4"/>
  <c r="A147" i="4"/>
  <c r="E146" i="4"/>
  <c r="D146" i="4"/>
  <c r="C146" i="4"/>
  <c r="A146" i="4"/>
  <c r="E145" i="4"/>
  <c r="D145" i="4"/>
  <c r="C145" i="4"/>
  <c r="A145" i="4"/>
  <c r="E144" i="4"/>
  <c r="D144" i="4"/>
  <c r="C144" i="4"/>
  <c r="B144" i="4"/>
  <c r="A144" i="4"/>
  <c r="E143" i="4"/>
  <c r="D143" i="4"/>
  <c r="C143" i="4"/>
  <c r="B143" i="4"/>
  <c r="A143" i="4"/>
  <c r="E142" i="4"/>
  <c r="D142" i="4"/>
  <c r="C142" i="4"/>
  <c r="B142" i="4"/>
  <c r="A142" i="4"/>
  <c r="E141" i="4"/>
  <c r="D141" i="4"/>
  <c r="C141" i="4"/>
  <c r="B141" i="4"/>
  <c r="A141" i="4"/>
  <c r="E140" i="4"/>
  <c r="D140" i="4"/>
  <c r="C140" i="4"/>
  <c r="B140" i="4"/>
  <c r="B158" i="4" s="1"/>
  <c r="A140" i="4"/>
  <c r="E139" i="4"/>
  <c r="D139" i="4"/>
  <c r="C139" i="4"/>
  <c r="B139" i="4"/>
  <c r="A139" i="4"/>
  <c r="E138" i="4"/>
  <c r="D138" i="4"/>
  <c r="C138" i="4"/>
  <c r="B138" i="4"/>
  <c r="A138" i="4"/>
  <c r="K126" i="56" l="1"/>
  <c r="I85" i="56"/>
  <c r="I128" i="56" s="1"/>
  <c r="I132" i="56" s="1"/>
  <c r="I143" i="56" s="1"/>
  <c r="AD126" i="56"/>
  <c r="L126" i="56"/>
  <c r="S83" i="56"/>
  <c r="L83" i="56"/>
  <c r="T83" i="56"/>
  <c r="K83" i="56"/>
  <c r="T50" i="56"/>
  <c r="M50" i="56"/>
  <c r="K50" i="56"/>
  <c r="S50" i="56"/>
  <c r="W85" i="56"/>
  <c r="W128" i="56" s="1"/>
  <c r="W132" i="56" s="1"/>
  <c r="W143" i="56" s="1"/>
  <c r="H85" i="56"/>
  <c r="H128" i="56" s="1"/>
  <c r="H132" i="56" s="1"/>
  <c r="H143" i="56" s="1"/>
  <c r="F85" i="56"/>
  <c r="F128" i="56" s="1"/>
  <c r="F132" i="56" s="1"/>
  <c r="F143" i="56" s="1"/>
  <c r="K41" i="56"/>
  <c r="J85" i="56"/>
  <c r="J128" i="56" s="1"/>
  <c r="J132" i="56" s="1"/>
  <c r="J143" i="56" s="1"/>
  <c r="D85" i="56"/>
  <c r="D128" i="56" s="1"/>
  <c r="D132" i="56" s="1"/>
  <c r="D143" i="56" s="1"/>
  <c r="U41" i="56"/>
  <c r="U83" i="56"/>
  <c r="AG3937" i="55"/>
  <c r="P85" i="56"/>
  <c r="P128" i="56" s="1"/>
  <c r="P132" i="56" s="1"/>
  <c r="P143" i="56" s="1"/>
  <c r="M126" i="56"/>
  <c r="V85" i="56"/>
  <c r="V128" i="56" s="1"/>
  <c r="V132" i="56" s="1"/>
  <c r="V143" i="56" s="1"/>
  <c r="U126" i="56"/>
  <c r="C85" i="56"/>
  <c r="C128" i="56" s="1"/>
  <c r="C132" i="56" s="1"/>
  <c r="C143" i="56" s="1"/>
  <c r="T126" i="56"/>
  <c r="S126" i="56"/>
  <c r="L41" i="56"/>
  <c r="T41" i="56"/>
  <c r="R85" i="56"/>
  <c r="R128" i="56" s="1"/>
  <c r="R132" i="56" s="1"/>
  <c r="R143" i="56" s="1"/>
  <c r="M41" i="56"/>
  <c r="O85" i="56"/>
  <c r="O128" i="56" s="1"/>
  <c r="O132" i="56" s="1"/>
  <c r="O143" i="56" s="1"/>
  <c r="G85" i="56"/>
  <c r="G128" i="56" s="1"/>
  <c r="G132" i="56" s="1"/>
  <c r="G143" i="56" s="1"/>
  <c r="X268" i="55"/>
  <c r="X3948" i="55" s="1"/>
  <c r="X4126" i="55" s="1"/>
  <c r="X4312" i="55" s="1"/>
  <c r="V263" i="55"/>
  <c r="G268" i="55"/>
  <c r="G3948" i="55" s="1"/>
  <c r="G4126" i="55" s="1"/>
  <c r="G4312" i="55" s="1"/>
  <c r="N263" i="55"/>
  <c r="AE108" i="56"/>
  <c r="AE126" i="56" s="1"/>
  <c r="K23" i="56"/>
  <c r="M23" i="56"/>
  <c r="L23" i="56"/>
  <c r="N85" i="56"/>
  <c r="U23" i="56"/>
  <c r="L62" i="56"/>
  <c r="U62" i="56"/>
  <c r="M62" i="56"/>
  <c r="E85" i="56"/>
  <c r="L50" i="56"/>
  <c r="AC23" i="56"/>
  <c r="AB23" i="56"/>
  <c r="AB30" i="56" s="1"/>
  <c r="T23" i="56"/>
  <c r="Q85" i="56"/>
  <c r="S23" i="56"/>
  <c r="AF106" i="56"/>
  <c r="AF108" i="56"/>
  <c r="AF126" i="56" s="1"/>
  <c r="T62" i="56"/>
  <c r="AE106" i="56"/>
  <c r="V230" i="55"/>
  <c r="N230" i="55"/>
  <c r="M230" i="55"/>
  <c r="AG3946" i="55"/>
  <c r="T221" i="55"/>
  <c r="U221" i="55"/>
  <c r="U230" i="55"/>
  <c r="T230" i="55"/>
  <c r="AD202" i="55"/>
  <c r="AD203" i="55" s="1"/>
  <c r="L263" i="55"/>
  <c r="U263" i="55"/>
  <c r="T263" i="55"/>
  <c r="T203" i="55"/>
  <c r="U203" i="55"/>
  <c r="R268" i="55"/>
  <c r="AC202" i="55"/>
  <c r="N203" i="55"/>
  <c r="M203" i="55"/>
  <c r="V203" i="55"/>
  <c r="F3948" i="55"/>
  <c r="L268" i="55"/>
  <c r="O268" i="55"/>
  <c r="N242" i="55"/>
  <c r="M242" i="55"/>
  <c r="U242" i="55"/>
  <c r="V242" i="55"/>
  <c r="AF3946" i="55"/>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AB34" i="56" l="1"/>
  <c r="AB40" i="56" s="1"/>
  <c r="AB41" i="56" s="1"/>
  <c r="E128" i="56"/>
  <c r="K85" i="56"/>
  <c r="AC30" i="56"/>
  <c r="AC34" i="56" s="1"/>
  <c r="AD23" i="56"/>
  <c r="AE23" i="56" s="1"/>
  <c r="AF23" i="56" s="1"/>
  <c r="T85" i="56"/>
  <c r="S85" i="56"/>
  <c r="Q128" i="56"/>
  <c r="N128" i="56"/>
  <c r="U85" i="56"/>
  <c r="M85" i="56"/>
  <c r="L85" i="56"/>
  <c r="F4126" i="55"/>
  <c r="L3948" i="55"/>
  <c r="O3948" i="55"/>
  <c r="V268" i="55"/>
  <c r="N268" i="55"/>
  <c r="M268" i="55"/>
  <c r="AD210" i="55"/>
  <c r="AD214" i="55" s="1"/>
  <c r="U268" i="55"/>
  <c r="R3948" i="55"/>
  <c r="T268" i="55"/>
  <c r="AC203" i="55"/>
  <c r="N133" i="37"/>
  <c r="L133" i="37" s="1"/>
  <c r="Q133" i="37"/>
  <c r="S133" i="37" s="1"/>
  <c r="O133" i="37"/>
  <c r="L133" i="33"/>
  <c r="AH145" i="37"/>
  <c r="AH143" i="37"/>
  <c r="AH142" i="37"/>
  <c r="AH141" i="37"/>
  <c r="AH140" i="37"/>
  <c r="AH139" i="37"/>
  <c r="AH138" i="37"/>
  <c r="AH137" i="37"/>
  <c r="AH136" i="37"/>
  <c r="AH134" i="37"/>
  <c r="AH133" i="37"/>
  <c r="AH132" i="37"/>
  <c r="AH130" i="37"/>
  <c r="AH128" i="37"/>
  <c r="AH127" i="37"/>
  <c r="AH126" i="37"/>
  <c r="AH125" i="37"/>
  <c r="AH124" i="37"/>
  <c r="AH123" i="37"/>
  <c r="AH122" i="37"/>
  <c r="AH121" i="37"/>
  <c r="AH120" i="37"/>
  <c r="AH118" i="37"/>
  <c r="AH117" i="37"/>
  <c r="AH116" i="37"/>
  <c r="AH115" i="37"/>
  <c r="AH114" i="37"/>
  <c r="AH113" i="37"/>
  <c r="AH112" i="37"/>
  <c r="AH111" i="37"/>
  <c r="AH110" i="37"/>
  <c r="AH109" i="37"/>
  <c r="AH108" i="37"/>
  <c r="AH107" i="37"/>
  <c r="AH105" i="37"/>
  <c r="AH103" i="37"/>
  <c r="AH102" i="37"/>
  <c r="AH101" i="37"/>
  <c r="AH100" i="37"/>
  <c r="AH99" i="37"/>
  <c r="AH98" i="37"/>
  <c r="AH97" i="37"/>
  <c r="AH96" i="37"/>
  <c r="AH95" i="37"/>
  <c r="AH94" i="37"/>
  <c r="AH93" i="37"/>
  <c r="AH92" i="37"/>
  <c r="AH91" i="37"/>
  <c r="AH90" i="37"/>
  <c r="AH89" i="37"/>
  <c r="AH88" i="37"/>
  <c r="AH87" i="37"/>
  <c r="AH86" i="37"/>
  <c r="AH85" i="37"/>
  <c r="AH84" i="37"/>
  <c r="AH82" i="37"/>
  <c r="AH79" i="37"/>
  <c r="AH78" i="37"/>
  <c r="AH77" i="37"/>
  <c r="AH75" i="37"/>
  <c r="AH74" i="37"/>
  <c r="AH72" i="37"/>
  <c r="AH71" i="37"/>
  <c r="AH70" i="37"/>
  <c r="AH69" i="37"/>
  <c r="AH68" i="37"/>
  <c r="AH67" i="37"/>
  <c r="AH65" i="37"/>
  <c r="AH64" i="37"/>
  <c r="AH63" i="37"/>
  <c r="AH62" i="37"/>
  <c r="AH61" i="37"/>
  <c r="AH58" i="37"/>
  <c r="AH57" i="37"/>
  <c r="AH56" i="37"/>
  <c r="AH55" i="37"/>
  <c r="AH54" i="37"/>
  <c r="AH53" i="37"/>
  <c r="AH52" i="37"/>
  <c r="AH51" i="37"/>
  <c r="AH50" i="37"/>
  <c r="AH49" i="37"/>
  <c r="AH46" i="37"/>
  <c r="AH45" i="37"/>
  <c r="AH44" i="37"/>
  <c r="AH42" i="37"/>
  <c r="AH41" i="37"/>
  <c r="AH40" i="37"/>
  <c r="AH37" i="37"/>
  <c r="AH36" i="37"/>
  <c r="AH35" i="37"/>
  <c r="AH34" i="37"/>
  <c r="AH33" i="37"/>
  <c r="AH31" i="37"/>
  <c r="AH30" i="37"/>
  <c r="AH29" i="37"/>
  <c r="AH27" i="37"/>
  <c r="AH26" i="37"/>
  <c r="AH25" i="37"/>
  <c r="AH22" i="37"/>
  <c r="AH21" i="37"/>
  <c r="AH20" i="37"/>
  <c r="AH19" i="37"/>
  <c r="AH18" i="37"/>
  <c r="AH17" i="37"/>
  <c r="AH16" i="37"/>
  <c r="AH15" i="37"/>
  <c r="AH14" i="37"/>
  <c r="AH12" i="37"/>
  <c r="AH10" i="37"/>
  <c r="AH9" i="37"/>
  <c r="AH8" i="37"/>
  <c r="AH7" i="37"/>
  <c r="AH6" i="37"/>
  <c r="AH5" i="37"/>
  <c r="K139" i="37"/>
  <c r="L139" i="37"/>
  <c r="M139" i="37"/>
  <c r="S139" i="37"/>
  <c r="T139" i="37"/>
  <c r="U139" i="37"/>
  <c r="AD139" i="37"/>
  <c r="AE139" i="37" s="1"/>
  <c r="K140" i="37"/>
  <c r="L140" i="37"/>
  <c r="M140" i="37"/>
  <c r="S140" i="37"/>
  <c r="T140" i="37"/>
  <c r="U140" i="37"/>
  <c r="AD140" i="37"/>
  <c r="AE140" i="37" s="1"/>
  <c r="AF140" i="37" s="1"/>
  <c r="K141" i="37"/>
  <c r="L141" i="37"/>
  <c r="M141" i="37"/>
  <c r="S141" i="37"/>
  <c r="T141" i="37"/>
  <c r="U141" i="37"/>
  <c r="AD141" i="37"/>
  <c r="AE141" i="37" s="1"/>
  <c r="AF141" i="37" s="1"/>
  <c r="K121" i="37"/>
  <c r="L121" i="37"/>
  <c r="M121" i="37"/>
  <c r="S121" i="37"/>
  <c r="T121" i="37"/>
  <c r="U121" i="37"/>
  <c r="AD121" i="37"/>
  <c r="AE121" i="37" s="1"/>
  <c r="AF121" i="37" s="1"/>
  <c r="K122" i="37"/>
  <c r="L122" i="37"/>
  <c r="M122" i="37"/>
  <c r="S122" i="37"/>
  <c r="T122" i="37"/>
  <c r="U122" i="37"/>
  <c r="AD122" i="37"/>
  <c r="AE122" i="37" s="1"/>
  <c r="AF122" i="37" s="1"/>
  <c r="K123" i="37"/>
  <c r="L123" i="37"/>
  <c r="M123" i="37"/>
  <c r="S123" i="37"/>
  <c r="T123" i="37"/>
  <c r="U123" i="37"/>
  <c r="AD123" i="37"/>
  <c r="AE123" i="37" s="1"/>
  <c r="AF123" i="37" s="1"/>
  <c r="K124" i="37"/>
  <c r="L124" i="37"/>
  <c r="M124" i="37"/>
  <c r="S124" i="37"/>
  <c r="T124" i="37"/>
  <c r="U124" i="37"/>
  <c r="AD124" i="37"/>
  <c r="AE124" i="37"/>
  <c r="AF124" i="37" s="1"/>
  <c r="K125" i="37"/>
  <c r="L125" i="37"/>
  <c r="M125" i="37"/>
  <c r="S125" i="37"/>
  <c r="T125" i="37"/>
  <c r="U125" i="37"/>
  <c r="AD125" i="37"/>
  <c r="AE125" i="37" s="1"/>
  <c r="AF125" i="37" s="1"/>
  <c r="K126" i="37"/>
  <c r="L126" i="37"/>
  <c r="M126" i="37"/>
  <c r="S126" i="37"/>
  <c r="T126" i="37"/>
  <c r="U126" i="37"/>
  <c r="AD126" i="37"/>
  <c r="AE126" i="37" s="1"/>
  <c r="AF126" i="37" s="1"/>
  <c r="AD120" i="37"/>
  <c r="AE120" i="37" s="1"/>
  <c r="U120" i="37"/>
  <c r="T120" i="37"/>
  <c r="S120" i="37"/>
  <c r="M120" i="37"/>
  <c r="L120" i="37"/>
  <c r="K120" i="37"/>
  <c r="K108" i="37"/>
  <c r="L108" i="37"/>
  <c r="M108" i="37"/>
  <c r="S108" i="37"/>
  <c r="T108" i="37"/>
  <c r="U108" i="37"/>
  <c r="AD108" i="37"/>
  <c r="AE108" i="37" s="1"/>
  <c r="AF108" i="37" s="1"/>
  <c r="K109" i="37"/>
  <c r="L109" i="37"/>
  <c r="M109" i="37"/>
  <c r="S109" i="37"/>
  <c r="T109" i="37"/>
  <c r="U109" i="37"/>
  <c r="AD109" i="37"/>
  <c r="AE109" i="37" s="1"/>
  <c r="AF109" i="37" s="1"/>
  <c r="K110" i="37"/>
  <c r="L110" i="37"/>
  <c r="M110" i="37"/>
  <c r="S110" i="37"/>
  <c r="T110" i="37"/>
  <c r="U110" i="37"/>
  <c r="AD110" i="37"/>
  <c r="AE110" i="37" s="1"/>
  <c r="AF110" i="37" s="1"/>
  <c r="K111" i="37"/>
  <c r="L111" i="37"/>
  <c r="M111" i="37"/>
  <c r="S111" i="37"/>
  <c r="T111" i="37"/>
  <c r="U111" i="37"/>
  <c r="AD111" i="37"/>
  <c r="AE111" i="37" s="1"/>
  <c r="AF111" i="37" s="1"/>
  <c r="K112" i="37"/>
  <c r="L112" i="37"/>
  <c r="M112" i="37"/>
  <c r="S112" i="37"/>
  <c r="T112" i="37"/>
  <c r="U112" i="37"/>
  <c r="AD112" i="37"/>
  <c r="AE112" i="37" s="1"/>
  <c r="AF112" i="37" s="1"/>
  <c r="K113" i="37"/>
  <c r="L113" i="37"/>
  <c r="M113" i="37"/>
  <c r="S113" i="37"/>
  <c r="T113" i="37"/>
  <c r="U113" i="37"/>
  <c r="AD113" i="37"/>
  <c r="AE113" i="37" s="1"/>
  <c r="AF113" i="37" s="1"/>
  <c r="K114" i="37"/>
  <c r="L114" i="37"/>
  <c r="M114" i="37"/>
  <c r="S114" i="37"/>
  <c r="T114" i="37"/>
  <c r="U114" i="37"/>
  <c r="AD114" i="37"/>
  <c r="AE114" i="37" s="1"/>
  <c r="AF114" i="37" s="1"/>
  <c r="K115" i="37"/>
  <c r="L115" i="37"/>
  <c r="M115" i="37"/>
  <c r="S115" i="37"/>
  <c r="T115" i="37"/>
  <c r="U115" i="37"/>
  <c r="AD115" i="37"/>
  <c r="AE115" i="37" s="1"/>
  <c r="AF115" i="37" s="1"/>
  <c r="AD107" i="37"/>
  <c r="AE107" i="37" s="1"/>
  <c r="U107" i="37"/>
  <c r="T107" i="37"/>
  <c r="S107" i="37"/>
  <c r="M107" i="37"/>
  <c r="L107" i="37"/>
  <c r="K107" i="37"/>
  <c r="V80" i="37"/>
  <c r="W80" i="37"/>
  <c r="N80" i="37"/>
  <c r="O80" i="37"/>
  <c r="P80" i="37"/>
  <c r="Q80" i="37"/>
  <c r="R80" i="37"/>
  <c r="C80" i="37"/>
  <c r="D80" i="37"/>
  <c r="E80" i="37"/>
  <c r="F80" i="37"/>
  <c r="G80" i="37"/>
  <c r="H80" i="37"/>
  <c r="I80" i="37"/>
  <c r="J80" i="37"/>
  <c r="V76" i="37"/>
  <c r="W76" i="37"/>
  <c r="N76" i="37"/>
  <c r="O76" i="37"/>
  <c r="P76" i="37"/>
  <c r="Q76" i="37"/>
  <c r="R76" i="37"/>
  <c r="C76" i="37"/>
  <c r="D76" i="37"/>
  <c r="E76" i="37"/>
  <c r="F76" i="37"/>
  <c r="G76" i="37"/>
  <c r="H76" i="37"/>
  <c r="I76" i="37"/>
  <c r="J76" i="37"/>
  <c r="V73" i="37"/>
  <c r="W73" i="37"/>
  <c r="N73" i="37"/>
  <c r="O73" i="37"/>
  <c r="P73" i="37"/>
  <c r="Q73" i="37"/>
  <c r="R73" i="37"/>
  <c r="C73" i="37"/>
  <c r="D73" i="37"/>
  <c r="E73" i="37"/>
  <c r="F73" i="37"/>
  <c r="G73" i="37"/>
  <c r="H73" i="37"/>
  <c r="I73" i="37"/>
  <c r="J73" i="37"/>
  <c r="V66" i="37"/>
  <c r="W66" i="37"/>
  <c r="N66" i="37"/>
  <c r="O66" i="37"/>
  <c r="P66" i="37"/>
  <c r="Q66" i="37"/>
  <c r="R66" i="37"/>
  <c r="C66" i="37"/>
  <c r="D66" i="37"/>
  <c r="E66" i="37"/>
  <c r="F66" i="37"/>
  <c r="G66" i="37"/>
  <c r="H66" i="37"/>
  <c r="I66" i="37"/>
  <c r="J66" i="37"/>
  <c r="V59" i="37"/>
  <c r="V60" i="37" s="1"/>
  <c r="W59" i="37"/>
  <c r="W60" i="37" s="1"/>
  <c r="N59" i="37"/>
  <c r="N60" i="37" s="1"/>
  <c r="O59" i="37"/>
  <c r="O60" i="37" s="1"/>
  <c r="P59" i="37"/>
  <c r="P60" i="37" s="1"/>
  <c r="Q59" i="37"/>
  <c r="R59" i="37"/>
  <c r="R60" i="37" s="1"/>
  <c r="C59" i="37"/>
  <c r="C60" i="37" s="1"/>
  <c r="D59" i="37"/>
  <c r="D60" i="37" s="1"/>
  <c r="E59" i="37"/>
  <c r="E60" i="37" s="1"/>
  <c r="F59" i="37"/>
  <c r="F60" i="37" s="1"/>
  <c r="G59" i="37"/>
  <c r="G60" i="37" s="1"/>
  <c r="H59" i="37"/>
  <c r="H60" i="37" s="1"/>
  <c r="I59" i="37"/>
  <c r="I60" i="37" s="1"/>
  <c r="J59" i="37"/>
  <c r="J60" i="37" s="1"/>
  <c r="V47" i="37"/>
  <c r="W47" i="37"/>
  <c r="N47" i="37"/>
  <c r="L47" i="37" s="1"/>
  <c r="O47" i="37"/>
  <c r="P47" i="37"/>
  <c r="Q47" i="37"/>
  <c r="R47" i="37"/>
  <c r="C47" i="37"/>
  <c r="D47" i="37"/>
  <c r="E47" i="37"/>
  <c r="F47" i="37"/>
  <c r="G47" i="37"/>
  <c r="H47" i="37"/>
  <c r="I47" i="37"/>
  <c r="J47" i="37"/>
  <c r="V43" i="37"/>
  <c r="W43" i="37"/>
  <c r="N43" i="37"/>
  <c r="O43" i="37"/>
  <c r="P43" i="37"/>
  <c r="Q43" i="37"/>
  <c r="R43" i="37"/>
  <c r="C43" i="37"/>
  <c r="D43" i="37"/>
  <c r="E43" i="37"/>
  <c r="F43" i="37"/>
  <c r="G43" i="37"/>
  <c r="H43" i="37"/>
  <c r="I43" i="37"/>
  <c r="J43" i="37"/>
  <c r="V38" i="37"/>
  <c r="W38" i="37"/>
  <c r="N38" i="37"/>
  <c r="O38" i="37"/>
  <c r="P38" i="37"/>
  <c r="Q38" i="37"/>
  <c r="R38" i="37"/>
  <c r="C38" i="37"/>
  <c r="D38" i="37"/>
  <c r="E38" i="37"/>
  <c r="F38" i="37"/>
  <c r="G38" i="37"/>
  <c r="H38" i="37"/>
  <c r="I38" i="37"/>
  <c r="J38" i="37"/>
  <c r="V32" i="37"/>
  <c r="W32" i="37"/>
  <c r="N32" i="37"/>
  <c r="O32" i="37"/>
  <c r="P32" i="37"/>
  <c r="Q32" i="37"/>
  <c r="R32" i="37"/>
  <c r="C32" i="37"/>
  <c r="D32" i="37"/>
  <c r="E32" i="37"/>
  <c r="F32" i="37"/>
  <c r="G32" i="37"/>
  <c r="H32" i="37"/>
  <c r="I32" i="37"/>
  <c r="J32" i="37"/>
  <c r="V28" i="37"/>
  <c r="W28" i="37"/>
  <c r="N28" i="37"/>
  <c r="O28" i="37"/>
  <c r="P28" i="37"/>
  <c r="Q28" i="37"/>
  <c r="R28" i="37"/>
  <c r="C28" i="37"/>
  <c r="D28" i="37"/>
  <c r="E28" i="37"/>
  <c r="F28" i="37"/>
  <c r="G28" i="37"/>
  <c r="H28" i="37"/>
  <c r="I28" i="37"/>
  <c r="J28" i="37"/>
  <c r="V23" i="37"/>
  <c r="W23" i="37"/>
  <c r="N23" i="37"/>
  <c r="O23" i="37"/>
  <c r="P23" i="37"/>
  <c r="Q23" i="37"/>
  <c r="R23" i="37"/>
  <c r="C23" i="37"/>
  <c r="D23" i="37"/>
  <c r="E23" i="37"/>
  <c r="F23" i="37"/>
  <c r="G23" i="37"/>
  <c r="H23" i="37"/>
  <c r="I23" i="37"/>
  <c r="J23" i="37"/>
  <c r="V13" i="37"/>
  <c r="W13" i="37"/>
  <c r="N13" i="37"/>
  <c r="O13" i="37"/>
  <c r="P13" i="37"/>
  <c r="Q13" i="37"/>
  <c r="R13" i="37"/>
  <c r="C13" i="37"/>
  <c r="D13" i="37"/>
  <c r="E13" i="37"/>
  <c r="F13" i="37"/>
  <c r="G13" i="37"/>
  <c r="H13" i="37"/>
  <c r="I13" i="37"/>
  <c r="J13" i="37"/>
  <c r="V11" i="37"/>
  <c r="W11" i="37"/>
  <c r="N11" i="37"/>
  <c r="O11" i="37"/>
  <c r="P11" i="37"/>
  <c r="Q11" i="37"/>
  <c r="R11" i="37"/>
  <c r="C11" i="37"/>
  <c r="D11" i="37"/>
  <c r="E11" i="37"/>
  <c r="F11" i="37"/>
  <c r="G11" i="37"/>
  <c r="H11" i="37"/>
  <c r="I11" i="37"/>
  <c r="J11" i="37"/>
  <c r="AC11" i="37"/>
  <c r="AB11" i="37"/>
  <c r="K5" i="37"/>
  <c r="L5" i="37"/>
  <c r="M5" i="37"/>
  <c r="S5" i="37"/>
  <c r="T5" i="37"/>
  <c r="U5" i="37"/>
  <c r="AD5" i="37"/>
  <c r="AE5" i="37" s="1"/>
  <c r="AF5" i="37" s="1"/>
  <c r="K6" i="37"/>
  <c r="L6" i="37"/>
  <c r="M6" i="37"/>
  <c r="S6" i="37"/>
  <c r="T6" i="37"/>
  <c r="U6" i="37"/>
  <c r="AD6" i="37"/>
  <c r="AE6" i="37" s="1"/>
  <c r="AF6" i="37" s="1"/>
  <c r="K7" i="37"/>
  <c r="L7" i="37"/>
  <c r="M7" i="37"/>
  <c r="S7" i="37"/>
  <c r="T7" i="37"/>
  <c r="U7" i="37"/>
  <c r="AD7" i="37"/>
  <c r="AE7" i="37" s="1"/>
  <c r="AF7" i="37" s="1"/>
  <c r="K8" i="37"/>
  <c r="L8" i="37"/>
  <c r="M8" i="37"/>
  <c r="S8" i="37"/>
  <c r="T8" i="37"/>
  <c r="U8" i="37"/>
  <c r="AD8" i="37"/>
  <c r="AE8" i="37" s="1"/>
  <c r="AF8" i="37" s="1"/>
  <c r="K9" i="37"/>
  <c r="L9" i="37"/>
  <c r="M9" i="37"/>
  <c r="S9" i="37"/>
  <c r="T9" i="37"/>
  <c r="U9" i="37"/>
  <c r="AD9" i="37"/>
  <c r="AE9" i="37" s="1"/>
  <c r="AF9" i="37" s="1"/>
  <c r="K10" i="37"/>
  <c r="L10" i="37"/>
  <c r="M10" i="37"/>
  <c r="S10" i="37"/>
  <c r="T10" i="37"/>
  <c r="U10" i="37"/>
  <c r="AD10" i="37"/>
  <c r="AE10" i="37" s="1"/>
  <c r="AF10" i="37" s="1"/>
  <c r="K12" i="37"/>
  <c r="L12" i="37"/>
  <c r="M12" i="37"/>
  <c r="S12" i="37"/>
  <c r="T12" i="37"/>
  <c r="U12" i="37"/>
  <c r="AD12" i="37"/>
  <c r="AE12" i="37" s="1"/>
  <c r="AF12" i="37" s="1"/>
  <c r="K14" i="37"/>
  <c r="L14" i="37"/>
  <c r="M14" i="37"/>
  <c r="S14" i="37"/>
  <c r="T14" i="37"/>
  <c r="U14" i="37"/>
  <c r="AD14" i="37"/>
  <c r="AE14" i="37" s="1"/>
  <c r="AF14" i="37" s="1"/>
  <c r="K15" i="37"/>
  <c r="L15" i="37"/>
  <c r="M15" i="37"/>
  <c r="S15" i="37"/>
  <c r="T15" i="37"/>
  <c r="U15" i="37"/>
  <c r="AD15" i="37"/>
  <c r="AE15" i="37" s="1"/>
  <c r="AF15" i="37" s="1"/>
  <c r="K16" i="37"/>
  <c r="L16" i="37"/>
  <c r="M16" i="37"/>
  <c r="S16" i="37"/>
  <c r="T16" i="37"/>
  <c r="U16" i="37"/>
  <c r="AD16" i="37"/>
  <c r="AE16" i="37" s="1"/>
  <c r="AF16" i="37" s="1"/>
  <c r="K17" i="37"/>
  <c r="L17" i="37"/>
  <c r="M17" i="37"/>
  <c r="S17" i="37"/>
  <c r="T17" i="37"/>
  <c r="U17" i="37"/>
  <c r="AD17" i="37"/>
  <c r="AE17" i="37" s="1"/>
  <c r="AF17" i="37" s="1"/>
  <c r="K18" i="37"/>
  <c r="L18" i="37"/>
  <c r="M18" i="37"/>
  <c r="S18" i="37"/>
  <c r="T18" i="37"/>
  <c r="U18" i="37"/>
  <c r="AD18" i="37"/>
  <c r="AE18" i="37" s="1"/>
  <c r="AF18" i="37" s="1"/>
  <c r="K19" i="37"/>
  <c r="L19" i="37"/>
  <c r="M19" i="37"/>
  <c r="S19" i="37"/>
  <c r="T19" i="37"/>
  <c r="U19" i="37"/>
  <c r="AD19" i="37"/>
  <c r="AE19" i="37" s="1"/>
  <c r="AF19" i="37" s="1"/>
  <c r="K20" i="37"/>
  <c r="L20" i="37"/>
  <c r="M20" i="37"/>
  <c r="S20" i="37"/>
  <c r="T20" i="37"/>
  <c r="U20" i="37"/>
  <c r="AD20" i="37"/>
  <c r="AE20" i="37" s="1"/>
  <c r="AF20" i="37" s="1"/>
  <c r="K21" i="37"/>
  <c r="L21" i="37"/>
  <c r="M21" i="37"/>
  <c r="S21" i="37"/>
  <c r="T21" i="37"/>
  <c r="U21" i="37"/>
  <c r="AD21" i="37"/>
  <c r="AE21" i="37" s="1"/>
  <c r="AF21" i="37" s="1"/>
  <c r="K22" i="37"/>
  <c r="L22" i="37"/>
  <c r="M22" i="37"/>
  <c r="S22" i="37"/>
  <c r="T22" i="37"/>
  <c r="U22" i="37"/>
  <c r="AD22" i="37"/>
  <c r="AE22" i="37" s="1"/>
  <c r="AF22" i="37" s="1"/>
  <c r="K25" i="37"/>
  <c r="L25" i="37"/>
  <c r="M25" i="37"/>
  <c r="S25" i="37"/>
  <c r="T25" i="37"/>
  <c r="U25" i="37"/>
  <c r="AD25" i="37"/>
  <c r="AE25" i="37" s="1"/>
  <c r="AF25" i="37" s="1"/>
  <c r="K26" i="37"/>
  <c r="L26" i="37"/>
  <c r="M26" i="37"/>
  <c r="S26" i="37"/>
  <c r="T26" i="37"/>
  <c r="U26" i="37"/>
  <c r="AD26" i="37"/>
  <c r="AE26" i="37" s="1"/>
  <c r="AF26" i="37" s="1"/>
  <c r="K27" i="37"/>
  <c r="L27" i="37"/>
  <c r="M27" i="37"/>
  <c r="S27" i="37"/>
  <c r="T27" i="37"/>
  <c r="U27" i="37"/>
  <c r="AD27" i="37"/>
  <c r="AE27" i="37" s="1"/>
  <c r="AF27" i="37" s="1"/>
  <c r="K29" i="37"/>
  <c r="L29" i="37"/>
  <c r="M29" i="37"/>
  <c r="S29" i="37"/>
  <c r="T29" i="37"/>
  <c r="U29" i="37"/>
  <c r="AD29" i="37"/>
  <c r="AE29" i="37" s="1"/>
  <c r="AF29" i="37" s="1"/>
  <c r="K30" i="37"/>
  <c r="L30" i="37"/>
  <c r="M30" i="37"/>
  <c r="S30" i="37"/>
  <c r="T30" i="37"/>
  <c r="U30" i="37"/>
  <c r="AD30" i="37"/>
  <c r="AE30" i="37" s="1"/>
  <c r="AF30" i="37" s="1"/>
  <c r="K31" i="37"/>
  <c r="L31" i="37"/>
  <c r="M31" i="37"/>
  <c r="S31" i="37"/>
  <c r="T31" i="37"/>
  <c r="U31" i="37"/>
  <c r="AD31" i="37"/>
  <c r="AE31" i="37" s="1"/>
  <c r="AF31" i="37" s="1"/>
  <c r="K33" i="37"/>
  <c r="L33" i="37"/>
  <c r="M33" i="37"/>
  <c r="S33" i="37"/>
  <c r="T33" i="37"/>
  <c r="U33" i="37"/>
  <c r="AD33" i="37"/>
  <c r="AE33" i="37" s="1"/>
  <c r="AF33" i="37" s="1"/>
  <c r="K34" i="37"/>
  <c r="L34" i="37"/>
  <c r="M34" i="37"/>
  <c r="S34" i="37"/>
  <c r="T34" i="37"/>
  <c r="U34" i="37"/>
  <c r="AD34" i="37"/>
  <c r="AE34" i="37" s="1"/>
  <c r="AF34" i="37" s="1"/>
  <c r="K35" i="37"/>
  <c r="L35" i="37"/>
  <c r="M35" i="37"/>
  <c r="S35" i="37"/>
  <c r="T35" i="37"/>
  <c r="U35" i="37"/>
  <c r="AD35" i="37"/>
  <c r="AE35" i="37" s="1"/>
  <c r="AF35" i="37" s="1"/>
  <c r="K36" i="37"/>
  <c r="L36" i="37"/>
  <c r="M36" i="37"/>
  <c r="S36" i="37"/>
  <c r="T36" i="37"/>
  <c r="U36" i="37"/>
  <c r="AD36" i="37"/>
  <c r="AE36" i="37" s="1"/>
  <c r="AF36" i="37" s="1"/>
  <c r="K37" i="37"/>
  <c r="L37" i="37"/>
  <c r="M37" i="37"/>
  <c r="S37" i="37"/>
  <c r="T37" i="37"/>
  <c r="U37" i="37"/>
  <c r="AD37" i="37"/>
  <c r="AE37" i="37" s="1"/>
  <c r="AF37" i="37" s="1"/>
  <c r="K40" i="37"/>
  <c r="L40" i="37"/>
  <c r="M40" i="37"/>
  <c r="S40" i="37"/>
  <c r="T40" i="37"/>
  <c r="U40" i="37"/>
  <c r="AD40" i="37"/>
  <c r="AE40" i="37" s="1"/>
  <c r="AF40" i="37" s="1"/>
  <c r="K41" i="37"/>
  <c r="L41" i="37"/>
  <c r="M41" i="37"/>
  <c r="S41" i="37"/>
  <c r="T41" i="37"/>
  <c r="U41" i="37"/>
  <c r="AD41" i="37"/>
  <c r="AE41" i="37" s="1"/>
  <c r="AF41" i="37" s="1"/>
  <c r="K42" i="37"/>
  <c r="L42" i="37"/>
  <c r="M42" i="37"/>
  <c r="S42" i="37"/>
  <c r="T42" i="37"/>
  <c r="U42" i="37"/>
  <c r="AD42" i="37"/>
  <c r="AE42" i="37" s="1"/>
  <c r="AF42" i="37" s="1"/>
  <c r="K44" i="37"/>
  <c r="L44" i="37"/>
  <c r="M44" i="37"/>
  <c r="S44" i="37"/>
  <c r="T44" i="37"/>
  <c r="U44" i="37"/>
  <c r="AD44" i="37"/>
  <c r="AE44" i="37" s="1"/>
  <c r="AF44" i="37" s="1"/>
  <c r="K45" i="37"/>
  <c r="L45" i="37"/>
  <c r="M45" i="37"/>
  <c r="S45" i="37"/>
  <c r="T45" i="37"/>
  <c r="U45" i="37"/>
  <c r="AD45" i="37"/>
  <c r="AE45" i="37" s="1"/>
  <c r="AF45" i="37" s="1"/>
  <c r="K46" i="37"/>
  <c r="L46" i="37"/>
  <c r="M46" i="37"/>
  <c r="S46" i="37"/>
  <c r="T46" i="37"/>
  <c r="U46" i="37"/>
  <c r="AD46" i="37"/>
  <c r="AE46" i="37" s="1"/>
  <c r="AF46" i="37" s="1"/>
  <c r="K49" i="37"/>
  <c r="L49" i="37"/>
  <c r="M49" i="37"/>
  <c r="S49" i="37"/>
  <c r="T49" i="37"/>
  <c r="U49" i="37"/>
  <c r="AD49" i="37"/>
  <c r="AE49" i="37" s="1"/>
  <c r="AF49" i="37" s="1"/>
  <c r="K50" i="37"/>
  <c r="L50" i="37"/>
  <c r="M50" i="37"/>
  <c r="S50" i="37"/>
  <c r="T50" i="37"/>
  <c r="U50" i="37"/>
  <c r="AD50" i="37"/>
  <c r="AE50" i="37" s="1"/>
  <c r="AF50" i="37" s="1"/>
  <c r="K51" i="37"/>
  <c r="L51" i="37"/>
  <c r="M51" i="37"/>
  <c r="S51" i="37"/>
  <c r="T51" i="37"/>
  <c r="U51" i="37"/>
  <c r="AD51" i="37"/>
  <c r="AE51" i="37" s="1"/>
  <c r="AF51" i="37" s="1"/>
  <c r="K52" i="37"/>
  <c r="L52" i="37"/>
  <c r="M52" i="37"/>
  <c r="S52" i="37"/>
  <c r="T52" i="37"/>
  <c r="U52" i="37"/>
  <c r="AD52" i="37"/>
  <c r="AE52" i="37" s="1"/>
  <c r="AF52" i="37" s="1"/>
  <c r="K53" i="37"/>
  <c r="L53" i="37"/>
  <c r="M53" i="37"/>
  <c r="S53" i="37"/>
  <c r="T53" i="37"/>
  <c r="U53" i="37"/>
  <c r="AD53" i="37"/>
  <c r="AE53" i="37" s="1"/>
  <c r="AF53" i="37" s="1"/>
  <c r="K54" i="37"/>
  <c r="L54" i="37"/>
  <c r="M54" i="37"/>
  <c r="S54" i="37"/>
  <c r="T54" i="37"/>
  <c r="U54" i="37"/>
  <c r="AD54" i="37"/>
  <c r="AE54" i="37" s="1"/>
  <c r="AF54" i="37" s="1"/>
  <c r="K55" i="37"/>
  <c r="L55" i="37"/>
  <c r="M55" i="37"/>
  <c r="S55" i="37"/>
  <c r="T55" i="37"/>
  <c r="U55" i="37"/>
  <c r="AD55" i="37"/>
  <c r="AE55" i="37" s="1"/>
  <c r="AF55" i="37" s="1"/>
  <c r="K56" i="37"/>
  <c r="L56" i="37"/>
  <c r="M56" i="37"/>
  <c r="S56" i="37"/>
  <c r="T56" i="37"/>
  <c r="U56" i="37"/>
  <c r="AD56" i="37"/>
  <c r="AE56" i="37" s="1"/>
  <c r="AF56" i="37" s="1"/>
  <c r="K57" i="37"/>
  <c r="L57" i="37"/>
  <c r="M57" i="37"/>
  <c r="S57" i="37"/>
  <c r="T57" i="37"/>
  <c r="U57" i="37"/>
  <c r="AD57" i="37"/>
  <c r="AE57" i="37" s="1"/>
  <c r="AF57" i="37" s="1"/>
  <c r="K58" i="37"/>
  <c r="L58" i="37"/>
  <c r="M58" i="37"/>
  <c r="S58" i="37"/>
  <c r="T58" i="37"/>
  <c r="U58" i="37"/>
  <c r="AD58" i="37"/>
  <c r="AE58" i="37" s="1"/>
  <c r="AF58" i="37" s="1"/>
  <c r="K61" i="37"/>
  <c r="L61" i="37"/>
  <c r="M61" i="37"/>
  <c r="S61" i="37"/>
  <c r="T61" i="37"/>
  <c r="U61" i="37"/>
  <c r="AD61" i="37"/>
  <c r="AE61" i="37" s="1"/>
  <c r="AF61" i="37" s="1"/>
  <c r="K62" i="37"/>
  <c r="L62" i="37"/>
  <c r="M62" i="37"/>
  <c r="S62" i="37"/>
  <c r="T62" i="37"/>
  <c r="U62" i="37"/>
  <c r="AD62" i="37"/>
  <c r="AE62" i="37" s="1"/>
  <c r="AF62" i="37" s="1"/>
  <c r="K63" i="37"/>
  <c r="L63" i="37"/>
  <c r="M63" i="37"/>
  <c r="S63" i="37"/>
  <c r="T63" i="37"/>
  <c r="U63" i="37"/>
  <c r="AD63" i="37"/>
  <c r="AE63" i="37" s="1"/>
  <c r="AF63" i="37" s="1"/>
  <c r="K64" i="37"/>
  <c r="L64" i="37"/>
  <c r="M64" i="37"/>
  <c r="S64" i="37"/>
  <c r="T64" i="37"/>
  <c r="U64" i="37"/>
  <c r="AD64" i="37"/>
  <c r="AE64" i="37" s="1"/>
  <c r="AF64" i="37" s="1"/>
  <c r="K65" i="37"/>
  <c r="L65" i="37"/>
  <c r="M65" i="37"/>
  <c r="S65" i="37"/>
  <c r="T65" i="37"/>
  <c r="U65" i="37"/>
  <c r="AD65" i="37"/>
  <c r="AE65" i="37" s="1"/>
  <c r="AF65" i="37" s="1"/>
  <c r="K67" i="37"/>
  <c r="L67" i="37"/>
  <c r="M67" i="37"/>
  <c r="S67" i="37"/>
  <c r="T67" i="37"/>
  <c r="U67" i="37"/>
  <c r="AD67" i="37"/>
  <c r="AE67" i="37" s="1"/>
  <c r="AF67" i="37" s="1"/>
  <c r="K68" i="37"/>
  <c r="L68" i="37"/>
  <c r="M68" i="37"/>
  <c r="S68" i="37"/>
  <c r="T68" i="37"/>
  <c r="U68" i="37"/>
  <c r="AD68" i="37"/>
  <c r="AE68" i="37" s="1"/>
  <c r="AF68" i="37" s="1"/>
  <c r="K69" i="37"/>
  <c r="L69" i="37"/>
  <c r="M69" i="37"/>
  <c r="S69" i="37"/>
  <c r="T69" i="37"/>
  <c r="U69" i="37"/>
  <c r="AD69" i="37"/>
  <c r="AE69" i="37" s="1"/>
  <c r="AF69" i="37" s="1"/>
  <c r="K70" i="37"/>
  <c r="L70" i="37"/>
  <c r="M70" i="37"/>
  <c r="S70" i="37"/>
  <c r="T70" i="37"/>
  <c r="U70" i="37"/>
  <c r="AD70" i="37"/>
  <c r="AE70" i="37" s="1"/>
  <c r="AF70" i="37" s="1"/>
  <c r="K71" i="37"/>
  <c r="L71" i="37"/>
  <c r="M71" i="37"/>
  <c r="S71" i="37"/>
  <c r="T71" i="37"/>
  <c r="U71" i="37"/>
  <c r="AD71" i="37"/>
  <c r="AE71" i="37" s="1"/>
  <c r="AF71" i="37" s="1"/>
  <c r="K72" i="37"/>
  <c r="L72" i="37"/>
  <c r="M72" i="37"/>
  <c r="S72" i="37"/>
  <c r="T72" i="37"/>
  <c r="U72" i="37"/>
  <c r="AD72" i="37"/>
  <c r="AE72" i="37" s="1"/>
  <c r="AF72" i="37" s="1"/>
  <c r="K74" i="37"/>
  <c r="L74" i="37"/>
  <c r="M74" i="37"/>
  <c r="S74" i="37"/>
  <c r="T74" i="37"/>
  <c r="U74" i="37"/>
  <c r="AD74" i="37"/>
  <c r="AE74" i="37" s="1"/>
  <c r="AF74" i="37" s="1"/>
  <c r="K75" i="37"/>
  <c r="L75" i="37"/>
  <c r="M75" i="37"/>
  <c r="S75" i="37"/>
  <c r="T75" i="37"/>
  <c r="U75" i="37"/>
  <c r="AD75" i="37"/>
  <c r="AE75" i="37" s="1"/>
  <c r="AF75" i="37" s="1"/>
  <c r="K77" i="37"/>
  <c r="L77" i="37"/>
  <c r="M77" i="37"/>
  <c r="S77" i="37"/>
  <c r="T77" i="37"/>
  <c r="U77" i="37"/>
  <c r="AD77" i="37"/>
  <c r="AE77" i="37" s="1"/>
  <c r="AF77" i="37" s="1"/>
  <c r="K78" i="37"/>
  <c r="L78" i="37"/>
  <c r="M78" i="37"/>
  <c r="S78" i="37"/>
  <c r="T78" i="37"/>
  <c r="U78" i="37"/>
  <c r="AD78" i="37"/>
  <c r="AE78" i="37" s="1"/>
  <c r="AF78" i="37" s="1"/>
  <c r="K79" i="37"/>
  <c r="L79" i="37"/>
  <c r="M79" i="37"/>
  <c r="S79" i="37"/>
  <c r="T79" i="37"/>
  <c r="U79" i="37"/>
  <c r="AD79" i="37"/>
  <c r="AE79" i="37" s="1"/>
  <c r="AF79" i="37" s="1"/>
  <c r="AC144" i="37"/>
  <c r="AB144" i="37"/>
  <c r="Z144" i="37"/>
  <c r="Y144" i="37"/>
  <c r="X144" i="37"/>
  <c r="W144" i="37"/>
  <c r="V144" i="37"/>
  <c r="R144" i="37"/>
  <c r="Q144" i="37"/>
  <c r="P144" i="37"/>
  <c r="O144" i="37"/>
  <c r="N144" i="37"/>
  <c r="J144" i="37"/>
  <c r="I144" i="37"/>
  <c r="H144" i="37"/>
  <c r="G144" i="37"/>
  <c r="F144" i="37"/>
  <c r="E144" i="37"/>
  <c r="D144" i="37"/>
  <c r="C144" i="37"/>
  <c r="AD142" i="37"/>
  <c r="AE142" i="37" s="1"/>
  <c r="AF142" i="37" s="1"/>
  <c r="U142" i="37"/>
  <c r="T142" i="37"/>
  <c r="S142" i="37"/>
  <c r="M142" i="37"/>
  <c r="L142" i="37"/>
  <c r="K142" i="37"/>
  <c r="AD133" i="37"/>
  <c r="K133" i="37"/>
  <c r="Z129" i="37"/>
  <c r="Y129" i="37"/>
  <c r="X129" i="37"/>
  <c r="AD127" i="37"/>
  <c r="AE127" i="37" s="1"/>
  <c r="AF127" i="37" s="1"/>
  <c r="U127" i="37"/>
  <c r="T127" i="37"/>
  <c r="S127" i="37"/>
  <c r="M127" i="37"/>
  <c r="L127" i="37"/>
  <c r="K127" i="37"/>
  <c r="AC119" i="37"/>
  <c r="AB119" i="37"/>
  <c r="W119" i="37"/>
  <c r="V119" i="37"/>
  <c r="R119" i="37"/>
  <c r="Q119" i="37"/>
  <c r="P119" i="37"/>
  <c r="O119" i="37"/>
  <c r="N119" i="37"/>
  <c r="J119" i="37"/>
  <c r="I119" i="37"/>
  <c r="H119" i="37"/>
  <c r="G119" i="37"/>
  <c r="F119" i="37"/>
  <c r="E119" i="37"/>
  <c r="D119" i="37"/>
  <c r="C119" i="37"/>
  <c r="AD117" i="37"/>
  <c r="AE117" i="37" s="1"/>
  <c r="AF117" i="37" s="1"/>
  <c r="U117" i="37"/>
  <c r="T117" i="37"/>
  <c r="S117" i="37"/>
  <c r="M117" i="37"/>
  <c r="L117" i="37"/>
  <c r="K117" i="37"/>
  <c r="AD116" i="37"/>
  <c r="AE116" i="37" s="1"/>
  <c r="AF116" i="37" s="1"/>
  <c r="U116" i="37"/>
  <c r="T116" i="37"/>
  <c r="S116" i="37"/>
  <c r="M116" i="37"/>
  <c r="L116" i="37"/>
  <c r="K116" i="37"/>
  <c r="AC106" i="37"/>
  <c r="AB106" i="37"/>
  <c r="AB129" i="37" s="1"/>
  <c r="W106" i="37"/>
  <c r="V106" i="37"/>
  <c r="R106" i="37"/>
  <c r="Q106" i="37"/>
  <c r="P106" i="37"/>
  <c r="O106" i="37"/>
  <c r="N106" i="37"/>
  <c r="J106" i="37"/>
  <c r="I106" i="37"/>
  <c r="H106" i="37"/>
  <c r="G106" i="37"/>
  <c r="F106" i="37"/>
  <c r="E106" i="37"/>
  <c r="D106" i="37"/>
  <c r="C106" i="37"/>
  <c r="AC104" i="37"/>
  <c r="AB104" i="37"/>
  <c r="Z104" i="37"/>
  <c r="Y104" i="37"/>
  <c r="X104" i="37"/>
  <c r="W104" i="37"/>
  <c r="V104" i="37"/>
  <c r="R104" i="37"/>
  <c r="Q104" i="37"/>
  <c r="P104" i="37"/>
  <c r="O104" i="37"/>
  <c r="N104" i="37"/>
  <c r="J104" i="37"/>
  <c r="I104" i="37"/>
  <c r="H104" i="37"/>
  <c r="G104" i="37"/>
  <c r="F104" i="37"/>
  <c r="E104" i="37"/>
  <c r="D104" i="37"/>
  <c r="C104" i="37"/>
  <c r="AD102" i="37"/>
  <c r="AE102" i="37" s="1"/>
  <c r="AF102" i="37" s="1"/>
  <c r="U102" i="37"/>
  <c r="T102" i="37"/>
  <c r="S102" i="37"/>
  <c r="M102" i="37"/>
  <c r="L102" i="37"/>
  <c r="K102" i="37"/>
  <c r="AD101" i="37"/>
  <c r="AE101" i="37" s="1"/>
  <c r="AF101" i="37" s="1"/>
  <c r="U101" i="37"/>
  <c r="T101" i="37"/>
  <c r="S101" i="37"/>
  <c r="M101" i="37"/>
  <c r="L101" i="37"/>
  <c r="K101" i="37"/>
  <c r="AD100" i="37"/>
  <c r="AE100" i="37" s="1"/>
  <c r="AF100" i="37" s="1"/>
  <c r="U100" i="37"/>
  <c r="T100" i="37"/>
  <c r="S100" i="37"/>
  <c r="M100" i="37"/>
  <c r="L100" i="37"/>
  <c r="K100" i="37"/>
  <c r="AD99" i="37"/>
  <c r="AE99" i="37" s="1"/>
  <c r="AF99" i="37" s="1"/>
  <c r="U99" i="37"/>
  <c r="T99" i="37"/>
  <c r="S99" i="37"/>
  <c r="M99" i="37"/>
  <c r="L99" i="37"/>
  <c r="K99" i="37"/>
  <c r="AD98" i="37"/>
  <c r="AE98" i="37" s="1"/>
  <c r="AF98" i="37" s="1"/>
  <c r="U98" i="37"/>
  <c r="T98" i="37"/>
  <c r="S98" i="37"/>
  <c r="M98" i="37"/>
  <c r="L98" i="37"/>
  <c r="K98" i="37"/>
  <c r="AD97" i="37"/>
  <c r="AE97" i="37" s="1"/>
  <c r="AF97" i="37" s="1"/>
  <c r="U97" i="37"/>
  <c r="T97" i="37"/>
  <c r="S97" i="37"/>
  <c r="M97" i="37"/>
  <c r="L97" i="37"/>
  <c r="K97" i="37"/>
  <c r="AD96" i="37"/>
  <c r="AE96" i="37" s="1"/>
  <c r="AF96" i="37" s="1"/>
  <c r="U96" i="37"/>
  <c r="T96" i="37"/>
  <c r="S96" i="37"/>
  <c r="M96" i="37"/>
  <c r="L96" i="37"/>
  <c r="K96" i="37"/>
  <c r="AD95" i="37"/>
  <c r="AE95" i="37" s="1"/>
  <c r="AF95" i="37" s="1"/>
  <c r="U95" i="37"/>
  <c r="T95" i="37"/>
  <c r="S95" i="37"/>
  <c r="M95" i="37"/>
  <c r="L95" i="37"/>
  <c r="K95" i="37"/>
  <c r="AD94" i="37"/>
  <c r="AE94" i="37" s="1"/>
  <c r="AF94" i="37" s="1"/>
  <c r="U94" i="37"/>
  <c r="T94" i="37"/>
  <c r="S94" i="37"/>
  <c r="M94" i="37"/>
  <c r="L94" i="37"/>
  <c r="K94" i="37"/>
  <c r="AD93" i="37"/>
  <c r="AE93" i="37" s="1"/>
  <c r="AF93" i="37" s="1"/>
  <c r="U93" i="37"/>
  <c r="T93" i="37"/>
  <c r="S93" i="37"/>
  <c r="M93" i="37"/>
  <c r="L93" i="37"/>
  <c r="K93" i="37"/>
  <c r="AD92" i="37"/>
  <c r="AE92" i="37" s="1"/>
  <c r="AF92" i="37" s="1"/>
  <c r="U92" i="37"/>
  <c r="T92" i="37"/>
  <c r="S92" i="37"/>
  <c r="M92" i="37"/>
  <c r="L92" i="37"/>
  <c r="K92" i="37"/>
  <c r="AD91" i="37"/>
  <c r="AE91" i="37" s="1"/>
  <c r="AF91" i="37" s="1"/>
  <c r="U91" i="37"/>
  <c r="T91" i="37"/>
  <c r="S91" i="37"/>
  <c r="M91" i="37"/>
  <c r="L91" i="37"/>
  <c r="K91" i="37"/>
  <c r="AD90" i="37"/>
  <c r="AE90" i="37" s="1"/>
  <c r="AF90" i="37" s="1"/>
  <c r="U90" i="37"/>
  <c r="T90" i="37"/>
  <c r="S90" i="37"/>
  <c r="M90" i="37"/>
  <c r="L90" i="37"/>
  <c r="K90" i="37"/>
  <c r="AD89" i="37"/>
  <c r="AE89" i="37" s="1"/>
  <c r="AF89" i="37" s="1"/>
  <c r="U89" i="37"/>
  <c r="T89" i="37"/>
  <c r="S89" i="37"/>
  <c r="M89" i="37"/>
  <c r="L89" i="37"/>
  <c r="K89" i="37"/>
  <c r="AD88" i="37"/>
  <c r="AE88" i="37" s="1"/>
  <c r="AF88" i="37" s="1"/>
  <c r="U88" i="37"/>
  <c r="T88" i="37"/>
  <c r="S88" i="37"/>
  <c r="M88" i="37"/>
  <c r="L88" i="37"/>
  <c r="K88" i="37"/>
  <c r="AD87" i="37"/>
  <c r="AE87" i="37" s="1"/>
  <c r="AF87" i="37" s="1"/>
  <c r="U87" i="37"/>
  <c r="T87" i="37"/>
  <c r="S87" i="37"/>
  <c r="M87" i="37"/>
  <c r="L87" i="37"/>
  <c r="K87" i="37"/>
  <c r="AD86" i="37"/>
  <c r="AE86" i="37" s="1"/>
  <c r="AF86" i="37" s="1"/>
  <c r="U86" i="37"/>
  <c r="T86" i="37"/>
  <c r="S86" i="37"/>
  <c r="M86" i="37"/>
  <c r="L86" i="37"/>
  <c r="K86" i="37"/>
  <c r="AD85" i="37"/>
  <c r="AE85" i="37" s="1"/>
  <c r="AF85" i="37" s="1"/>
  <c r="U85" i="37"/>
  <c r="T85" i="37"/>
  <c r="S85" i="37"/>
  <c r="M85" i="37"/>
  <c r="L85" i="37"/>
  <c r="K85" i="37"/>
  <c r="Z83" i="37"/>
  <c r="Y83" i="37"/>
  <c r="X83" i="37"/>
  <c r="AC40" i="56" l="1"/>
  <c r="AC41" i="56" s="1"/>
  <c r="AD41" i="56" s="1"/>
  <c r="AE41" i="56" s="1"/>
  <c r="AF41" i="56" s="1"/>
  <c r="AE133" i="37"/>
  <c r="E132" i="56"/>
  <c r="K128" i="56"/>
  <c r="Q132" i="56"/>
  <c r="T128" i="56"/>
  <c r="S128" i="56"/>
  <c r="AB45" i="56"/>
  <c r="N132" i="56"/>
  <c r="U128" i="56"/>
  <c r="M128" i="56"/>
  <c r="L128" i="56"/>
  <c r="F4312" i="55"/>
  <c r="L4312" i="55" s="1"/>
  <c r="L4126" i="55"/>
  <c r="U3948" i="55"/>
  <c r="T3948" i="55"/>
  <c r="R4126" i="55"/>
  <c r="AD220" i="55"/>
  <c r="AE203" i="55"/>
  <c r="AF203" i="55" s="1"/>
  <c r="AG203" i="55" s="1"/>
  <c r="AC210" i="55"/>
  <c r="AC214" i="55"/>
  <c r="AC220" i="55" s="1"/>
  <c r="O4126" i="55"/>
  <c r="V3948" i="55"/>
  <c r="N3948" i="55"/>
  <c r="M3948" i="55"/>
  <c r="M133" i="37"/>
  <c r="T133" i="37"/>
  <c r="U133" i="37"/>
  <c r="AF133" i="37"/>
  <c r="U59" i="37"/>
  <c r="M11" i="37"/>
  <c r="F129" i="37"/>
  <c r="T32" i="37"/>
  <c r="M47" i="37"/>
  <c r="T80" i="37"/>
  <c r="U38" i="37"/>
  <c r="S32" i="37"/>
  <c r="M32" i="37"/>
  <c r="L13" i="37"/>
  <c r="S38" i="37"/>
  <c r="H48" i="37"/>
  <c r="S80" i="37"/>
  <c r="V129" i="37"/>
  <c r="U11" i="37"/>
  <c r="L43" i="37"/>
  <c r="M119" i="37"/>
  <c r="U66" i="37"/>
  <c r="S104" i="37"/>
  <c r="L119" i="37"/>
  <c r="O129" i="37"/>
  <c r="J48" i="37"/>
  <c r="R48" i="37"/>
  <c r="L73" i="37"/>
  <c r="G129" i="37"/>
  <c r="AD144" i="37"/>
  <c r="M43" i="37"/>
  <c r="L28" i="37"/>
  <c r="T43" i="37"/>
  <c r="P48" i="37"/>
  <c r="T66" i="37"/>
  <c r="L76" i="37"/>
  <c r="U76" i="37"/>
  <c r="M28" i="37"/>
  <c r="M76" i="37"/>
  <c r="U43" i="37"/>
  <c r="I129" i="37"/>
  <c r="L80" i="37"/>
  <c r="Y131" i="37"/>
  <c r="Y135" i="37" s="1"/>
  <c r="Y146" i="37" s="1"/>
  <c r="E129" i="37"/>
  <c r="P129" i="37"/>
  <c r="S119" i="37"/>
  <c r="U144" i="37"/>
  <c r="C24" i="37"/>
  <c r="J24" i="37"/>
  <c r="S13" i="37"/>
  <c r="T23" i="37"/>
  <c r="H39" i="37"/>
  <c r="P39" i="37"/>
  <c r="K32" i="37"/>
  <c r="F39" i="37"/>
  <c r="N39" i="37"/>
  <c r="E48" i="37"/>
  <c r="W48" i="37"/>
  <c r="D48" i="37"/>
  <c r="V48" i="37"/>
  <c r="J81" i="37"/>
  <c r="R81" i="37"/>
  <c r="T73" i="37"/>
  <c r="K80" i="37"/>
  <c r="M80" i="37"/>
  <c r="R129" i="37"/>
  <c r="M59" i="37"/>
  <c r="W129" i="37"/>
  <c r="G24" i="37"/>
  <c r="O24" i="37"/>
  <c r="F24" i="37"/>
  <c r="D39" i="37"/>
  <c r="C39" i="37"/>
  <c r="F81" i="37"/>
  <c r="K104" i="37"/>
  <c r="J129" i="37"/>
  <c r="L11" i="37"/>
  <c r="L23" i="37"/>
  <c r="J39" i="37"/>
  <c r="N24" i="37"/>
  <c r="M24" i="37" s="1"/>
  <c r="V39" i="37"/>
  <c r="C129" i="37"/>
  <c r="AC129" i="37"/>
  <c r="D129" i="37"/>
  <c r="R39" i="37"/>
  <c r="O39" i="37"/>
  <c r="I81" i="37"/>
  <c r="H129" i="37"/>
  <c r="AD119" i="37"/>
  <c r="L38" i="37"/>
  <c r="L59" i="37"/>
  <c r="H24" i="37"/>
  <c r="P24" i="37"/>
  <c r="U23" i="37"/>
  <c r="E39" i="37"/>
  <c r="W39" i="37"/>
  <c r="U32" i="37"/>
  <c r="M38" i="37"/>
  <c r="I48" i="37"/>
  <c r="T47" i="37"/>
  <c r="G81" i="37"/>
  <c r="O81" i="37"/>
  <c r="U73" i="37"/>
  <c r="K76" i="37"/>
  <c r="U80" i="37"/>
  <c r="E81" i="37"/>
  <c r="U119" i="37"/>
  <c r="U28" i="37"/>
  <c r="L66" i="37"/>
  <c r="E24" i="37"/>
  <c r="W24" i="37"/>
  <c r="G48" i="37"/>
  <c r="O48" i="37"/>
  <c r="D81" i="37"/>
  <c r="V81" i="37"/>
  <c r="K23" i="37"/>
  <c r="K73" i="37"/>
  <c r="W81" i="37"/>
  <c r="X131" i="37"/>
  <c r="X135" i="37" s="1"/>
  <c r="X146" i="37" s="1"/>
  <c r="AD106" i="37"/>
  <c r="L32" i="37"/>
  <c r="M66" i="37"/>
  <c r="D24" i="37"/>
  <c r="V24" i="37"/>
  <c r="I39" i="37"/>
  <c r="T28" i="37"/>
  <c r="F48" i="37"/>
  <c r="N48" i="37"/>
  <c r="K47" i="37"/>
  <c r="C81" i="37"/>
  <c r="T76" i="37"/>
  <c r="M13" i="37"/>
  <c r="G39" i="37"/>
  <c r="Q81" i="37"/>
  <c r="S81" i="37" s="1"/>
  <c r="K119" i="37"/>
  <c r="U13" i="37"/>
  <c r="U47" i="37"/>
  <c r="I24" i="37"/>
  <c r="T11" i="37"/>
  <c r="C48" i="37"/>
  <c r="T59" i="37"/>
  <c r="H81" i="37"/>
  <c r="P81" i="37"/>
  <c r="T104" i="37"/>
  <c r="L104" i="37"/>
  <c r="U104" i="37"/>
  <c r="M104" i="37"/>
  <c r="T144" i="37"/>
  <c r="S144" i="37"/>
  <c r="T106" i="37"/>
  <c r="S106" i="37"/>
  <c r="Q129" i="37"/>
  <c r="AF139" i="37"/>
  <c r="AF144" i="37" s="1"/>
  <c r="AE144" i="37"/>
  <c r="U60" i="37"/>
  <c r="M60" i="37"/>
  <c r="L60" i="37"/>
  <c r="AF107" i="37"/>
  <c r="AF106" i="37" s="1"/>
  <c r="AE106" i="37"/>
  <c r="AE119" i="37"/>
  <c r="K60" i="37"/>
  <c r="K106" i="37"/>
  <c r="Z131" i="37"/>
  <c r="Z135" i="37" s="1"/>
  <c r="Z146" i="37" s="1"/>
  <c r="AF104" i="37"/>
  <c r="AE104" i="37"/>
  <c r="N129" i="37"/>
  <c r="U106" i="37"/>
  <c r="M106" i="37"/>
  <c r="L106" i="37"/>
  <c r="K144" i="37"/>
  <c r="AD104" i="37"/>
  <c r="T119" i="37"/>
  <c r="K11" i="37"/>
  <c r="K13" i="37"/>
  <c r="K28" i="37"/>
  <c r="K38" i="37"/>
  <c r="K43" i="37"/>
  <c r="K59" i="37"/>
  <c r="K66" i="37"/>
  <c r="Q60" i="37"/>
  <c r="Q48" i="37"/>
  <c r="M23" i="37"/>
  <c r="M73" i="37"/>
  <c r="R24" i="37"/>
  <c r="Q39" i="37"/>
  <c r="N81" i="37"/>
  <c r="S11" i="37"/>
  <c r="S23" i="37"/>
  <c r="S28" i="37"/>
  <c r="S43" i="37"/>
  <c r="S47" i="37"/>
  <c r="S59" i="37"/>
  <c r="S66" i="37"/>
  <c r="S73" i="37"/>
  <c r="S76" i="37"/>
  <c r="Q24" i="37"/>
  <c r="L144" i="37"/>
  <c r="T13" i="37"/>
  <c r="T38" i="37"/>
  <c r="M144" i="37"/>
  <c r="AB13" i="37"/>
  <c r="AB23" i="37" s="1"/>
  <c r="AF120" i="37"/>
  <c r="AF119" i="37" s="1"/>
  <c r="AC13" i="37"/>
  <c r="AC23" i="37" s="1"/>
  <c r="E143" i="56" l="1"/>
  <c r="K143" i="56" s="1"/>
  <c r="K132" i="56"/>
  <c r="N143" i="56"/>
  <c r="U132" i="56"/>
  <c r="M132" i="56"/>
  <c r="L132" i="56"/>
  <c r="Q143" i="56"/>
  <c r="T132" i="56"/>
  <c r="S132" i="56"/>
  <c r="AB49" i="56"/>
  <c r="AB50" i="56" s="1"/>
  <c r="AC45" i="56"/>
  <c r="O4312" i="55"/>
  <c r="V4126" i="55"/>
  <c r="N4126" i="55"/>
  <c r="M4126" i="55"/>
  <c r="AC221" i="55"/>
  <c r="AC225" i="55"/>
  <c r="AC229" i="55" s="1"/>
  <c r="AD221" i="55"/>
  <c r="AD225" i="55" s="1"/>
  <c r="U4126" i="55"/>
  <c r="T4126" i="55"/>
  <c r="R4312" i="55"/>
  <c r="M39" i="37"/>
  <c r="AD129" i="37"/>
  <c r="U48" i="37"/>
  <c r="O83" i="37"/>
  <c r="O131" i="37" s="1"/>
  <c r="O135" i="37" s="1"/>
  <c r="O146" i="37" s="1"/>
  <c r="K48" i="37"/>
  <c r="R83" i="37"/>
  <c r="R131" i="37" s="1"/>
  <c r="R135" i="37" s="1"/>
  <c r="R146" i="37" s="1"/>
  <c r="L48" i="37"/>
  <c r="M48" i="37"/>
  <c r="K129" i="37"/>
  <c r="J83" i="37"/>
  <c r="J131" i="37" s="1"/>
  <c r="J135" i="37" s="1"/>
  <c r="J146" i="37" s="1"/>
  <c r="L39" i="37"/>
  <c r="C83" i="37"/>
  <c r="C131" i="37" s="1"/>
  <c r="C135" i="37" s="1"/>
  <c r="C146" i="37" s="1"/>
  <c r="W83" i="37"/>
  <c r="W131" i="37" s="1"/>
  <c r="W135" i="37" s="1"/>
  <c r="W146" i="37" s="1"/>
  <c r="I83" i="37"/>
  <c r="I131" i="37" s="1"/>
  <c r="I135" i="37" s="1"/>
  <c r="I146" i="37" s="1"/>
  <c r="F83" i="37"/>
  <c r="F131" i="37" s="1"/>
  <c r="F135" i="37" s="1"/>
  <c r="F146" i="37" s="1"/>
  <c r="E83" i="37"/>
  <c r="E131" i="37" s="1"/>
  <c r="G83" i="37"/>
  <c r="G131" i="37" s="1"/>
  <c r="G135" i="37" s="1"/>
  <c r="G146" i="37" s="1"/>
  <c r="K81" i="37"/>
  <c r="H83" i="37"/>
  <c r="H131" i="37" s="1"/>
  <c r="H135" i="37" s="1"/>
  <c r="H146" i="37" s="1"/>
  <c r="D83" i="37"/>
  <c r="D131" i="37" s="1"/>
  <c r="D135" i="37" s="1"/>
  <c r="D146" i="37" s="1"/>
  <c r="V83" i="37"/>
  <c r="P83" i="37"/>
  <c r="P131" i="37" s="1"/>
  <c r="P135" i="37" s="1"/>
  <c r="P146" i="37" s="1"/>
  <c r="K24" i="37"/>
  <c r="L24" i="37"/>
  <c r="U39" i="37"/>
  <c r="U24" i="37"/>
  <c r="AC24" i="37"/>
  <c r="AE129" i="37"/>
  <c r="K39" i="37"/>
  <c r="T48" i="37"/>
  <c r="S48" i="37"/>
  <c r="AB24" i="37"/>
  <c r="T60" i="37"/>
  <c r="S60" i="37"/>
  <c r="M81" i="37"/>
  <c r="L81" i="37"/>
  <c r="U81" i="37"/>
  <c r="AF129" i="37"/>
  <c r="T39" i="37"/>
  <c r="S39" i="37"/>
  <c r="N83" i="37"/>
  <c r="Q83" i="37"/>
  <c r="T24" i="37"/>
  <c r="S24" i="37"/>
  <c r="U129" i="37"/>
  <c r="M129" i="37"/>
  <c r="L129" i="37"/>
  <c r="T81" i="37"/>
  <c r="T129" i="37"/>
  <c r="S129" i="37"/>
  <c r="AB61" i="56" l="1"/>
  <c r="AB62" i="56" s="1"/>
  <c r="AB68" i="56" s="1"/>
  <c r="AB75" i="56" s="1"/>
  <c r="AB78" i="56" s="1"/>
  <c r="AB82" i="56" s="1"/>
  <c r="AB83" i="56" s="1"/>
  <c r="T143" i="56"/>
  <c r="S143" i="56"/>
  <c r="AC49" i="56"/>
  <c r="AC50" i="56" s="1"/>
  <c r="AC61" i="56" s="1"/>
  <c r="AC62" i="56" s="1"/>
  <c r="U143" i="56"/>
  <c r="M143" i="56"/>
  <c r="L143" i="56"/>
  <c r="AC230" i="55"/>
  <c r="AD229" i="55"/>
  <c r="AD230" i="55" s="1"/>
  <c r="AD241" i="55" s="1"/>
  <c r="AD242" i="55" s="1"/>
  <c r="AD248" i="55" s="1"/>
  <c r="AD255" i="55" s="1"/>
  <c r="AD258" i="55" s="1"/>
  <c r="AD262" i="55" s="1"/>
  <c r="AD263" i="55" s="1"/>
  <c r="AD265" i="55" s="1"/>
  <c r="AD266" i="55" s="1"/>
  <c r="AD268" i="55" s="1"/>
  <c r="AD3948" i="55" s="1"/>
  <c r="AD4126" i="55" s="1"/>
  <c r="AD4312" i="55" s="1"/>
  <c r="V4312" i="55"/>
  <c r="N4312" i="55"/>
  <c r="M4312" i="55"/>
  <c r="AE221" i="55"/>
  <c r="AF221" i="55" s="1"/>
  <c r="AG221" i="55" s="1"/>
  <c r="U4312" i="55"/>
  <c r="T4312" i="55"/>
  <c r="AB28" i="37"/>
  <c r="AB32" i="37" s="1"/>
  <c r="V131" i="37"/>
  <c r="K83" i="37"/>
  <c r="AC28" i="37"/>
  <c r="AC32" i="37" s="1"/>
  <c r="E135" i="37"/>
  <c r="K131" i="37"/>
  <c r="N131" i="37"/>
  <c r="L83" i="37"/>
  <c r="U83" i="37"/>
  <c r="M83" i="37"/>
  <c r="AD24" i="37"/>
  <c r="AE24" i="37" s="1"/>
  <c r="AF24" i="37" s="1"/>
  <c r="S83" i="37"/>
  <c r="Q131" i="37"/>
  <c r="T83" i="37"/>
  <c r="AB85" i="56" l="1"/>
  <c r="AC68" i="56"/>
  <c r="AC75" i="56" s="1"/>
  <c r="AC78" i="56" s="1"/>
  <c r="AC82" i="56" s="1"/>
  <c r="AC83" i="56" s="1"/>
  <c r="AC85" i="56" s="1"/>
  <c r="AC128" i="56" s="1"/>
  <c r="AC132" i="56" s="1"/>
  <c r="AC143" i="56" s="1"/>
  <c r="AD62" i="56"/>
  <c r="AE62" i="56" s="1"/>
  <c r="AF62" i="56" s="1"/>
  <c r="AD50" i="56"/>
  <c r="AE50" i="56" s="1"/>
  <c r="AF50" i="56" s="1"/>
  <c r="AE230" i="55"/>
  <c r="AF230" i="55" s="1"/>
  <c r="AG230" i="55" s="1"/>
  <c r="AC241" i="55"/>
  <c r="AC242" i="55" s="1"/>
  <c r="AB38" i="37"/>
  <c r="AB39" i="37" s="1"/>
  <c r="AB43" i="37" s="1"/>
  <c r="V135" i="37"/>
  <c r="AC38" i="37"/>
  <c r="AC39" i="37" s="1"/>
  <c r="AC43" i="37" s="1"/>
  <c r="N135" i="37"/>
  <c r="L131" i="37"/>
  <c r="M131" i="37"/>
  <c r="U131" i="37"/>
  <c r="K135" i="37"/>
  <c r="E146" i="37"/>
  <c r="K146" i="37" s="1"/>
  <c r="S131" i="37"/>
  <c r="Q135" i="37"/>
  <c r="T131" i="37"/>
  <c r="AD85" i="56" l="1"/>
  <c r="AB128" i="56"/>
  <c r="AB132" i="56" s="1"/>
  <c r="AB143" i="56" s="1"/>
  <c r="AD83" i="56"/>
  <c r="AE83" i="56" s="1"/>
  <c r="AF83" i="56" s="1"/>
  <c r="AE242" i="55"/>
  <c r="AF242" i="55" s="1"/>
  <c r="AG242" i="55" s="1"/>
  <c r="AC248" i="55"/>
  <c r="AC255" i="55" s="1"/>
  <c r="AC258" i="55" s="1"/>
  <c r="AC262" i="55" s="1"/>
  <c r="AC263" i="55" s="1"/>
  <c r="AB47" i="37"/>
  <c r="AB48" i="37" s="1"/>
  <c r="V146" i="37"/>
  <c r="AC47" i="37"/>
  <c r="AC48" i="37" s="1"/>
  <c r="AC59" i="37" s="1"/>
  <c r="AD39" i="37"/>
  <c r="AE39" i="37" s="1"/>
  <c r="AF39" i="37" s="1"/>
  <c r="U135" i="37"/>
  <c r="M135" i="37"/>
  <c r="N146" i="37"/>
  <c r="L135" i="37"/>
  <c r="T135" i="37"/>
  <c r="S135" i="37"/>
  <c r="Q146" i="37"/>
  <c r="AD128" i="56" l="1"/>
  <c r="AD132" i="56" s="1"/>
  <c r="AD143" i="56" s="1"/>
  <c r="AE85" i="56"/>
  <c r="AE263" i="55"/>
  <c r="AF263" i="55" s="1"/>
  <c r="AG263" i="55" s="1"/>
  <c r="AC265" i="55"/>
  <c r="AC266" i="55" s="1"/>
  <c r="AC60" i="37"/>
  <c r="AC66" i="37" s="1"/>
  <c r="AC73" i="37" s="1"/>
  <c r="U146" i="37"/>
  <c r="M146" i="37"/>
  <c r="L146" i="37"/>
  <c r="AD48" i="37"/>
  <c r="AE48" i="37" s="1"/>
  <c r="AF48" i="37" s="1"/>
  <c r="AB59" i="37"/>
  <c r="S146" i="37"/>
  <c r="T146" i="37"/>
  <c r="AF85" i="56" l="1"/>
  <c r="AF128" i="56" s="1"/>
  <c r="AF132" i="56" s="1"/>
  <c r="AF143" i="56" s="1"/>
  <c r="AE128" i="56"/>
  <c r="AE132" i="56" s="1"/>
  <c r="AE143" i="56" s="1"/>
  <c r="AE266" i="55"/>
  <c r="AF266" i="55" s="1"/>
  <c r="AG266" i="55" s="1"/>
  <c r="AC268" i="55"/>
  <c r="AC76" i="37"/>
  <c r="AC80" i="37" s="1"/>
  <c r="AC81" i="37" s="1"/>
  <c r="AC83" i="37" s="1"/>
  <c r="AC131" i="37" s="1"/>
  <c r="AC135" i="37" s="1"/>
  <c r="AC146" i="37" s="1"/>
  <c r="AB60" i="37"/>
  <c r="AC3948" i="55" l="1"/>
  <c r="AC4126" i="55" s="1"/>
  <c r="AC4312" i="55" s="1"/>
  <c r="AE268" i="55"/>
  <c r="AD60" i="37"/>
  <c r="AE60" i="37" s="1"/>
  <c r="AF60" i="37" s="1"/>
  <c r="AB66" i="37"/>
  <c r="AB73" i="37" s="1"/>
  <c r="AB76" i="37" s="1"/>
  <c r="AB80" i="37" s="1"/>
  <c r="AB81" i="37" s="1"/>
  <c r="AE3948" i="55" l="1"/>
  <c r="AE4126" i="55" s="1"/>
  <c r="AE4312" i="55" s="1"/>
  <c r="AF268" i="55"/>
  <c r="AD81" i="37"/>
  <c r="AE81" i="37" s="1"/>
  <c r="AF81" i="37" s="1"/>
  <c r="AB83" i="37"/>
  <c r="AF3948" i="55" l="1"/>
  <c r="AF4126" i="55" s="1"/>
  <c r="AF4312" i="55" s="1"/>
  <c r="AG268" i="55"/>
  <c r="AG3948" i="55" s="1"/>
  <c r="AG4126" i="55" s="1"/>
  <c r="AG4312" i="55" s="1"/>
  <c r="AB131" i="37"/>
  <c r="AB135" i="37" s="1"/>
  <c r="AB146" i="37" s="1"/>
  <c r="AD83" i="37"/>
  <c r="AD131" i="37" l="1"/>
  <c r="AD135" i="37" s="1"/>
  <c r="AD146" i="37" s="1"/>
  <c r="AE83" i="37"/>
  <c r="AF83" i="37" l="1"/>
  <c r="AF131" i="37" s="1"/>
  <c r="AF135" i="37" s="1"/>
  <c r="AF146" i="37" s="1"/>
  <c r="AE131" i="37"/>
  <c r="AE135" i="37" s="1"/>
  <c r="AE146" i="37" s="1"/>
  <c r="K139" i="33" l="1"/>
  <c r="L139" i="33"/>
  <c r="M139" i="33"/>
  <c r="S139" i="33"/>
  <c r="T139" i="33"/>
  <c r="U139" i="33"/>
  <c r="AD139" i="33"/>
  <c r="AE139" i="33" s="1"/>
  <c r="K140" i="33"/>
  <c r="L140" i="33"/>
  <c r="M140" i="33"/>
  <c r="S140" i="33"/>
  <c r="T140" i="33"/>
  <c r="U140" i="33"/>
  <c r="AD140" i="33"/>
  <c r="AE140" i="33" s="1"/>
  <c r="AF140" i="33" s="1"/>
  <c r="K141" i="33"/>
  <c r="L141" i="33"/>
  <c r="M141" i="33"/>
  <c r="S141" i="33"/>
  <c r="T141" i="33"/>
  <c r="U141" i="33"/>
  <c r="AD141" i="33"/>
  <c r="AE141" i="33" s="1"/>
  <c r="AF141" i="33" s="1"/>
  <c r="K121" i="33"/>
  <c r="L121" i="33"/>
  <c r="M121" i="33"/>
  <c r="S121" i="33"/>
  <c r="T121" i="33"/>
  <c r="U121" i="33"/>
  <c r="AD121" i="33"/>
  <c r="AE121" i="33" s="1"/>
  <c r="AF121" i="33" s="1"/>
  <c r="K122" i="33"/>
  <c r="L122" i="33"/>
  <c r="M122" i="33"/>
  <c r="S122" i="33"/>
  <c r="T122" i="33"/>
  <c r="U122" i="33"/>
  <c r="AD122" i="33"/>
  <c r="AE122" i="33" s="1"/>
  <c r="AF122" i="33" s="1"/>
  <c r="K123" i="33"/>
  <c r="L123" i="33"/>
  <c r="M123" i="33"/>
  <c r="S123" i="33"/>
  <c r="T123" i="33"/>
  <c r="U123" i="33"/>
  <c r="AD123" i="33"/>
  <c r="AE123" i="33" s="1"/>
  <c r="AF123" i="33" s="1"/>
  <c r="K124" i="33"/>
  <c r="L124" i="33"/>
  <c r="M124" i="33"/>
  <c r="S124" i="33"/>
  <c r="T124" i="33"/>
  <c r="U124" i="33"/>
  <c r="AD124" i="33"/>
  <c r="AE124" i="33" s="1"/>
  <c r="AF124" i="33" s="1"/>
  <c r="K125" i="33"/>
  <c r="L125" i="33"/>
  <c r="M125" i="33"/>
  <c r="S125" i="33"/>
  <c r="T125" i="33"/>
  <c r="U125" i="33"/>
  <c r="AD125" i="33"/>
  <c r="AE125" i="33" s="1"/>
  <c r="AF125" i="33" s="1"/>
  <c r="K126" i="33"/>
  <c r="L126" i="33"/>
  <c r="M126" i="33"/>
  <c r="S126" i="33"/>
  <c r="T126" i="33"/>
  <c r="U126" i="33"/>
  <c r="AD126" i="33"/>
  <c r="AE126" i="33" s="1"/>
  <c r="AF126" i="33" s="1"/>
  <c r="AD120" i="33"/>
  <c r="U120" i="33"/>
  <c r="T120" i="33"/>
  <c r="S120" i="33"/>
  <c r="M120" i="33"/>
  <c r="L120" i="33"/>
  <c r="K120" i="33"/>
  <c r="K108" i="33"/>
  <c r="L108" i="33"/>
  <c r="M108" i="33"/>
  <c r="S108" i="33"/>
  <c r="T108" i="33"/>
  <c r="U108" i="33"/>
  <c r="AD108" i="33"/>
  <c r="AE108" i="33" s="1"/>
  <c r="AF108" i="33" s="1"/>
  <c r="K109" i="33"/>
  <c r="L109" i="33"/>
  <c r="M109" i="33"/>
  <c r="S109" i="33"/>
  <c r="T109" i="33"/>
  <c r="U109" i="33"/>
  <c r="AD109" i="33"/>
  <c r="AE109" i="33" s="1"/>
  <c r="K110" i="33"/>
  <c r="L110" i="33"/>
  <c r="M110" i="33"/>
  <c r="S110" i="33"/>
  <c r="T110" i="33"/>
  <c r="U110" i="33"/>
  <c r="AD110" i="33"/>
  <c r="AE110" i="33" s="1"/>
  <c r="AF110" i="33" s="1"/>
  <c r="K111" i="33"/>
  <c r="L111" i="33"/>
  <c r="M111" i="33"/>
  <c r="S111" i="33"/>
  <c r="T111" i="33"/>
  <c r="U111" i="33"/>
  <c r="AD111" i="33"/>
  <c r="AE111" i="33" s="1"/>
  <c r="AF111" i="33" s="1"/>
  <c r="K112" i="33"/>
  <c r="L112" i="33"/>
  <c r="M112" i="33"/>
  <c r="S112" i="33"/>
  <c r="T112" i="33"/>
  <c r="U112" i="33"/>
  <c r="AD112" i="33"/>
  <c r="AE112" i="33" s="1"/>
  <c r="AF112" i="33" s="1"/>
  <c r="K113" i="33"/>
  <c r="L113" i="33"/>
  <c r="M113" i="33"/>
  <c r="S113" i="33"/>
  <c r="T113" i="33"/>
  <c r="U113" i="33"/>
  <c r="AD113" i="33"/>
  <c r="AE113" i="33" s="1"/>
  <c r="AF113" i="33" s="1"/>
  <c r="K114" i="33"/>
  <c r="L114" i="33"/>
  <c r="M114" i="33"/>
  <c r="S114" i="33"/>
  <c r="T114" i="33"/>
  <c r="U114" i="33"/>
  <c r="AD114" i="33"/>
  <c r="AE114" i="33" s="1"/>
  <c r="AF114" i="33" s="1"/>
  <c r="K115" i="33"/>
  <c r="L115" i="33"/>
  <c r="M115" i="33"/>
  <c r="S115" i="33"/>
  <c r="T115" i="33"/>
  <c r="U115" i="33"/>
  <c r="AD115" i="33"/>
  <c r="AE115" i="33" s="1"/>
  <c r="AF115" i="33" s="1"/>
  <c r="AD107" i="33"/>
  <c r="AE107" i="33" s="1"/>
  <c r="AF107" i="33" s="1"/>
  <c r="U107" i="33"/>
  <c r="T107" i="33"/>
  <c r="S107" i="33"/>
  <c r="M107" i="33"/>
  <c r="L107" i="33"/>
  <c r="K107" i="33"/>
  <c r="V80" i="33"/>
  <c r="AH80" i="37" s="1"/>
  <c r="W80" i="33"/>
  <c r="N80" i="33"/>
  <c r="O80" i="33"/>
  <c r="P80" i="33"/>
  <c r="Q80" i="33"/>
  <c r="R80" i="33"/>
  <c r="C80" i="33"/>
  <c r="D80" i="33"/>
  <c r="E80" i="33"/>
  <c r="F80" i="33"/>
  <c r="G80" i="33"/>
  <c r="H80" i="33"/>
  <c r="I80" i="33"/>
  <c r="J80" i="33"/>
  <c r="V76" i="33"/>
  <c r="AH76" i="37" s="1"/>
  <c r="W76" i="33"/>
  <c r="N76" i="33"/>
  <c r="U76" i="33" s="1"/>
  <c r="O76" i="33"/>
  <c r="P76" i="33"/>
  <c r="Q76" i="33"/>
  <c r="R76" i="33"/>
  <c r="C76" i="33"/>
  <c r="D76" i="33"/>
  <c r="E76" i="33"/>
  <c r="F76" i="33"/>
  <c r="G76" i="33"/>
  <c r="H76" i="33"/>
  <c r="I76" i="33"/>
  <c r="J76" i="33"/>
  <c r="V73" i="33"/>
  <c r="AH73" i="37" s="1"/>
  <c r="W73" i="33"/>
  <c r="N73" i="33"/>
  <c r="O73" i="33"/>
  <c r="P73" i="33"/>
  <c r="Q73" i="33"/>
  <c r="R73" i="33"/>
  <c r="C73" i="33"/>
  <c r="D73" i="33"/>
  <c r="E73" i="33"/>
  <c r="F73" i="33"/>
  <c r="G73" i="33"/>
  <c r="H73" i="33"/>
  <c r="I73" i="33"/>
  <c r="J73" i="33"/>
  <c r="V66" i="33"/>
  <c r="AH66" i="37" s="1"/>
  <c r="W66" i="33"/>
  <c r="N66" i="33"/>
  <c r="O66" i="33"/>
  <c r="P66" i="33"/>
  <c r="Q66" i="33"/>
  <c r="R66" i="33"/>
  <c r="C66" i="33"/>
  <c r="D66" i="33"/>
  <c r="E66" i="33"/>
  <c r="F66" i="33"/>
  <c r="G66" i="33"/>
  <c r="H66" i="33"/>
  <c r="I66" i="33"/>
  <c r="J66" i="33"/>
  <c r="V59" i="33"/>
  <c r="W59" i="33"/>
  <c r="W60" i="33" s="1"/>
  <c r="N59" i="33"/>
  <c r="O59" i="33"/>
  <c r="O60" i="33" s="1"/>
  <c r="P59" i="33"/>
  <c r="P60" i="33" s="1"/>
  <c r="Q59" i="33"/>
  <c r="R59" i="33"/>
  <c r="R60" i="33" s="1"/>
  <c r="C59" i="33"/>
  <c r="C60" i="33" s="1"/>
  <c r="D59" i="33"/>
  <c r="D60" i="33" s="1"/>
  <c r="E59" i="33"/>
  <c r="E60" i="33" s="1"/>
  <c r="F59" i="33"/>
  <c r="F60" i="33" s="1"/>
  <c r="G59" i="33"/>
  <c r="G60" i="33" s="1"/>
  <c r="H59" i="33"/>
  <c r="H60" i="33" s="1"/>
  <c r="I59" i="33"/>
  <c r="I60" i="33" s="1"/>
  <c r="J59" i="33"/>
  <c r="J60" i="33" s="1"/>
  <c r="V47" i="33"/>
  <c r="AH47" i="37" s="1"/>
  <c r="W47" i="33"/>
  <c r="N47" i="33"/>
  <c r="O47" i="33"/>
  <c r="P47" i="33"/>
  <c r="Q47" i="33"/>
  <c r="R47" i="33"/>
  <c r="C47" i="33"/>
  <c r="D47" i="33"/>
  <c r="E47" i="33"/>
  <c r="F47" i="33"/>
  <c r="G47" i="33"/>
  <c r="H47" i="33"/>
  <c r="I47" i="33"/>
  <c r="J47" i="33"/>
  <c r="V43" i="33"/>
  <c r="W43" i="33"/>
  <c r="N43" i="33"/>
  <c r="O43" i="33"/>
  <c r="P43" i="33"/>
  <c r="Q43" i="33"/>
  <c r="R43" i="33"/>
  <c r="C43" i="33"/>
  <c r="D43" i="33"/>
  <c r="E43" i="33"/>
  <c r="F43" i="33"/>
  <c r="G43" i="33"/>
  <c r="H43" i="33"/>
  <c r="I43" i="33"/>
  <c r="J43" i="33"/>
  <c r="V38" i="33"/>
  <c r="AH38" i="37" s="1"/>
  <c r="W38" i="33"/>
  <c r="N38" i="33"/>
  <c r="O38" i="33"/>
  <c r="P38" i="33"/>
  <c r="Q38" i="33"/>
  <c r="R38" i="33"/>
  <c r="C38" i="33"/>
  <c r="D38" i="33"/>
  <c r="E38" i="33"/>
  <c r="F38" i="33"/>
  <c r="G38" i="33"/>
  <c r="H38" i="33"/>
  <c r="I38" i="33"/>
  <c r="J38" i="33"/>
  <c r="V32" i="33"/>
  <c r="AH32" i="37" s="1"/>
  <c r="W32" i="33"/>
  <c r="N32" i="33"/>
  <c r="O32" i="33"/>
  <c r="P32" i="33"/>
  <c r="Q32" i="33"/>
  <c r="R32" i="33"/>
  <c r="C32" i="33"/>
  <c r="D32" i="33"/>
  <c r="E32" i="33"/>
  <c r="F32" i="33"/>
  <c r="G32" i="33"/>
  <c r="H32" i="33"/>
  <c r="I32" i="33"/>
  <c r="J32" i="33"/>
  <c r="V28" i="33"/>
  <c r="AH28" i="37" s="1"/>
  <c r="W28" i="33"/>
  <c r="N28" i="33"/>
  <c r="O28" i="33"/>
  <c r="P28" i="33"/>
  <c r="Q28" i="33"/>
  <c r="R28" i="33"/>
  <c r="C28" i="33"/>
  <c r="D28" i="33"/>
  <c r="E28" i="33"/>
  <c r="F28" i="33"/>
  <c r="G28" i="33"/>
  <c r="H28" i="33"/>
  <c r="I28" i="33"/>
  <c r="J28" i="33"/>
  <c r="V23" i="33"/>
  <c r="AH23" i="37" s="1"/>
  <c r="W23" i="33"/>
  <c r="N23" i="33"/>
  <c r="O23" i="33"/>
  <c r="P23" i="33"/>
  <c r="Q23" i="33"/>
  <c r="R23" i="33"/>
  <c r="C23" i="33"/>
  <c r="D23" i="33"/>
  <c r="E23" i="33"/>
  <c r="F23" i="33"/>
  <c r="G23" i="33"/>
  <c r="H23" i="33"/>
  <c r="I23" i="33"/>
  <c r="J23" i="33"/>
  <c r="V13" i="33"/>
  <c r="AH13" i="37" s="1"/>
  <c r="W13" i="33"/>
  <c r="N13" i="33"/>
  <c r="O13" i="33"/>
  <c r="P13" i="33"/>
  <c r="Q13" i="33"/>
  <c r="R13" i="33"/>
  <c r="C13" i="33"/>
  <c r="D13" i="33"/>
  <c r="E13" i="33"/>
  <c r="F13" i="33"/>
  <c r="G13" i="33"/>
  <c r="H13" i="33"/>
  <c r="I13" i="33"/>
  <c r="J13" i="33"/>
  <c r="V11" i="33"/>
  <c r="AH11" i="37" s="1"/>
  <c r="W11" i="33"/>
  <c r="N11" i="33"/>
  <c r="O11" i="33"/>
  <c r="P11" i="33"/>
  <c r="Q11" i="33"/>
  <c r="R11" i="33"/>
  <c r="C11" i="33"/>
  <c r="D11" i="33"/>
  <c r="E11" i="33"/>
  <c r="F11" i="33"/>
  <c r="G11" i="33"/>
  <c r="H11" i="33"/>
  <c r="I11" i="33"/>
  <c r="J11" i="33"/>
  <c r="AC11" i="33"/>
  <c r="AC13" i="33" s="1"/>
  <c r="AB11" i="33"/>
  <c r="K5" i="33"/>
  <c r="L5" i="33"/>
  <c r="M5" i="33"/>
  <c r="S5" i="33"/>
  <c r="T5" i="33"/>
  <c r="U5" i="33"/>
  <c r="AD5" i="33"/>
  <c r="AE5" i="33" s="1"/>
  <c r="AF5" i="33" s="1"/>
  <c r="K6" i="33"/>
  <c r="L6" i="33"/>
  <c r="M6" i="33"/>
  <c r="S6" i="33"/>
  <c r="T6" i="33"/>
  <c r="U6" i="33"/>
  <c r="AD6" i="33"/>
  <c r="AE6" i="33" s="1"/>
  <c r="AF6" i="33" s="1"/>
  <c r="K7" i="33"/>
  <c r="L7" i="33"/>
  <c r="M7" i="33"/>
  <c r="S7" i="33"/>
  <c r="T7" i="33"/>
  <c r="U7" i="33"/>
  <c r="AD7" i="33"/>
  <c r="AE7" i="33" s="1"/>
  <c r="AF7" i="33" s="1"/>
  <c r="K8" i="33"/>
  <c r="L8" i="33"/>
  <c r="M8" i="33"/>
  <c r="S8" i="33"/>
  <c r="T8" i="33"/>
  <c r="U8" i="33"/>
  <c r="AD8" i="33"/>
  <c r="AE8" i="33" s="1"/>
  <c r="AF8" i="33" s="1"/>
  <c r="K9" i="33"/>
  <c r="L9" i="33"/>
  <c r="M9" i="33"/>
  <c r="S9" i="33"/>
  <c r="T9" i="33"/>
  <c r="U9" i="33"/>
  <c r="AD9" i="33"/>
  <c r="AE9" i="33" s="1"/>
  <c r="AF9" i="33" s="1"/>
  <c r="K10" i="33"/>
  <c r="L10" i="33"/>
  <c r="M10" i="33"/>
  <c r="S10" i="33"/>
  <c r="T10" i="33"/>
  <c r="U10" i="33"/>
  <c r="AD10" i="33"/>
  <c r="AE10" i="33" s="1"/>
  <c r="AF10" i="33" s="1"/>
  <c r="K12" i="33"/>
  <c r="L12" i="33"/>
  <c r="M12" i="33"/>
  <c r="S12" i="33"/>
  <c r="T12" i="33"/>
  <c r="U12" i="33"/>
  <c r="AD12" i="33"/>
  <c r="AE12" i="33" s="1"/>
  <c r="AF12" i="33" s="1"/>
  <c r="K14" i="33"/>
  <c r="L14" i="33"/>
  <c r="M14" i="33"/>
  <c r="S14" i="33"/>
  <c r="T14" i="33"/>
  <c r="U14" i="33"/>
  <c r="AD14" i="33"/>
  <c r="AE14" i="33" s="1"/>
  <c r="AF14" i="33" s="1"/>
  <c r="K15" i="33"/>
  <c r="L15" i="33"/>
  <c r="M15" i="33"/>
  <c r="S15" i="33"/>
  <c r="T15" i="33"/>
  <c r="U15" i="33"/>
  <c r="AD15" i="33"/>
  <c r="AE15" i="33" s="1"/>
  <c r="AF15" i="33" s="1"/>
  <c r="K16" i="33"/>
  <c r="L16" i="33"/>
  <c r="M16" i="33"/>
  <c r="S16" i="33"/>
  <c r="T16" i="33"/>
  <c r="U16" i="33"/>
  <c r="AD16" i="33"/>
  <c r="AE16" i="33" s="1"/>
  <c r="AF16" i="33" s="1"/>
  <c r="K17" i="33"/>
  <c r="L17" i="33"/>
  <c r="M17" i="33"/>
  <c r="S17" i="33"/>
  <c r="T17" i="33"/>
  <c r="U17" i="33"/>
  <c r="AD17" i="33"/>
  <c r="AE17" i="33" s="1"/>
  <c r="AF17" i="33" s="1"/>
  <c r="K18" i="33"/>
  <c r="L18" i="33"/>
  <c r="M18" i="33"/>
  <c r="S18" i="33"/>
  <c r="T18" i="33"/>
  <c r="U18" i="33"/>
  <c r="AD18" i="33"/>
  <c r="AE18" i="33" s="1"/>
  <c r="AF18" i="33" s="1"/>
  <c r="K19" i="33"/>
  <c r="L19" i="33"/>
  <c r="M19" i="33"/>
  <c r="S19" i="33"/>
  <c r="T19" i="33"/>
  <c r="U19" i="33"/>
  <c r="AD19" i="33"/>
  <c r="AE19" i="33" s="1"/>
  <c r="AF19" i="33" s="1"/>
  <c r="K20" i="33"/>
  <c r="L20" i="33"/>
  <c r="M20" i="33"/>
  <c r="S20" i="33"/>
  <c r="T20" i="33"/>
  <c r="U20" i="33"/>
  <c r="AD20" i="33"/>
  <c r="AE20" i="33" s="1"/>
  <c r="AF20" i="33" s="1"/>
  <c r="K21" i="33"/>
  <c r="L21" i="33"/>
  <c r="M21" i="33"/>
  <c r="S21" i="33"/>
  <c r="T21" i="33"/>
  <c r="U21" i="33"/>
  <c r="AD21" i="33"/>
  <c r="AE21" i="33" s="1"/>
  <c r="AF21" i="33" s="1"/>
  <c r="K22" i="33"/>
  <c r="L22" i="33"/>
  <c r="M22" i="33"/>
  <c r="S22" i="33"/>
  <c r="T22" i="33"/>
  <c r="U22" i="33"/>
  <c r="AD22" i="33"/>
  <c r="AE22" i="33" s="1"/>
  <c r="AF22" i="33" s="1"/>
  <c r="K25" i="33"/>
  <c r="L25" i="33"/>
  <c r="M25" i="33"/>
  <c r="S25" i="33"/>
  <c r="T25" i="33"/>
  <c r="U25" i="33"/>
  <c r="AD25" i="33"/>
  <c r="AE25" i="33" s="1"/>
  <c r="AF25" i="33" s="1"/>
  <c r="K26" i="33"/>
  <c r="L26" i="33"/>
  <c r="M26" i="33"/>
  <c r="S26" i="33"/>
  <c r="T26" i="33"/>
  <c r="U26" i="33"/>
  <c r="AD26" i="33"/>
  <c r="AE26" i="33" s="1"/>
  <c r="AF26" i="33" s="1"/>
  <c r="K27" i="33"/>
  <c r="L27" i="33"/>
  <c r="M27" i="33"/>
  <c r="S27" i="33"/>
  <c r="T27" i="33"/>
  <c r="U27" i="33"/>
  <c r="AD27" i="33"/>
  <c r="AE27" i="33" s="1"/>
  <c r="AF27" i="33" s="1"/>
  <c r="K29" i="33"/>
  <c r="L29" i="33"/>
  <c r="M29" i="33"/>
  <c r="S29" i="33"/>
  <c r="T29" i="33"/>
  <c r="U29" i="33"/>
  <c r="AD29" i="33"/>
  <c r="AE29" i="33" s="1"/>
  <c r="AF29" i="33" s="1"/>
  <c r="K30" i="33"/>
  <c r="L30" i="33"/>
  <c r="M30" i="33"/>
  <c r="S30" i="33"/>
  <c r="T30" i="33"/>
  <c r="U30" i="33"/>
  <c r="AD30" i="33"/>
  <c r="AE30" i="33" s="1"/>
  <c r="AF30" i="33" s="1"/>
  <c r="K31" i="33"/>
  <c r="L31" i="33"/>
  <c r="M31" i="33"/>
  <c r="S31" i="33"/>
  <c r="T31" i="33"/>
  <c r="U31" i="33"/>
  <c r="AD31" i="33"/>
  <c r="AE31" i="33" s="1"/>
  <c r="AF31" i="33" s="1"/>
  <c r="K33" i="33"/>
  <c r="L33" i="33"/>
  <c r="M33" i="33"/>
  <c r="S33" i="33"/>
  <c r="T33" i="33"/>
  <c r="U33" i="33"/>
  <c r="AD33" i="33"/>
  <c r="AE33" i="33" s="1"/>
  <c r="AF33" i="33" s="1"/>
  <c r="K34" i="33"/>
  <c r="L34" i="33"/>
  <c r="M34" i="33"/>
  <c r="S34" i="33"/>
  <c r="T34" i="33"/>
  <c r="U34" i="33"/>
  <c r="AD34" i="33"/>
  <c r="AE34" i="33" s="1"/>
  <c r="AF34" i="33" s="1"/>
  <c r="K35" i="33"/>
  <c r="L35" i="33"/>
  <c r="M35" i="33"/>
  <c r="S35" i="33"/>
  <c r="T35" i="33"/>
  <c r="U35" i="33"/>
  <c r="AD35" i="33"/>
  <c r="AE35" i="33" s="1"/>
  <c r="AF35" i="33" s="1"/>
  <c r="K36" i="33"/>
  <c r="L36" i="33"/>
  <c r="M36" i="33"/>
  <c r="S36" i="33"/>
  <c r="T36" i="33"/>
  <c r="U36" i="33"/>
  <c r="AD36" i="33"/>
  <c r="AE36" i="33" s="1"/>
  <c r="AF36" i="33" s="1"/>
  <c r="K37" i="33"/>
  <c r="L37" i="33"/>
  <c r="M37" i="33"/>
  <c r="S37" i="33"/>
  <c r="T37" i="33"/>
  <c r="U37" i="33"/>
  <c r="AD37" i="33"/>
  <c r="AE37" i="33" s="1"/>
  <c r="AF37" i="33" s="1"/>
  <c r="K40" i="33"/>
  <c r="L40" i="33"/>
  <c r="M40" i="33"/>
  <c r="S40" i="33"/>
  <c r="T40" i="33"/>
  <c r="U40" i="33"/>
  <c r="AD40" i="33"/>
  <c r="AE40" i="33" s="1"/>
  <c r="AF40" i="33" s="1"/>
  <c r="K41" i="33"/>
  <c r="L41" i="33"/>
  <c r="M41" i="33"/>
  <c r="S41" i="33"/>
  <c r="T41" i="33"/>
  <c r="U41" i="33"/>
  <c r="AD41" i="33"/>
  <c r="AE41" i="33" s="1"/>
  <c r="AF41" i="33" s="1"/>
  <c r="K42" i="33"/>
  <c r="L42" i="33"/>
  <c r="M42" i="33"/>
  <c r="S42" i="33"/>
  <c r="T42" i="33"/>
  <c r="U42" i="33"/>
  <c r="AD42" i="33"/>
  <c r="AE42" i="33" s="1"/>
  <c r="AF42" i="33" s="1"/>
  <c r="K44" i="33"/>
  <c r="L44" i="33"/>
  <c r="M44" i="33"/>
  <c r="S44" i="33"/>
  <c r="T44" i="33"/>
  <c r="U44" i="33"/>
  <c r="AD44" i="33"/>
  <c r="AE44" i="33" s="1"/>
  <c r="AF44" i="33" s="1"/>
  <c r="K45" i="33"/>
  <c r="L45" i="33"/>
  <c r="M45" i="33"/>
  <c r="S45" i="33"/>
  <c r="T45" i="33"/>
  <c r="U45" i="33"/>
  <c r="AD45" i="33"/>
  <c r="AE45" i="33" s="1"/>
  <c r="AF45" i="33" s="1"/>
  <c r="K46" i="33"/>
  <c r="L46" i="33"/>
  <c r="M46" i="33"/>
  <c r="S46" i="33"/>
  <c r="T46" i="33"/>
  <c r="U46" i="33"/>
  <c r="AD46" i="33"/>
  <c r="AE46" i="33" s="1"/>
  <c r="AF46" i="33" s="1"/>
  <c r="K49" i="33"/>
  <c r="L49" i="33"/>
  <c r="M49" i="33"/>
  <c r="S49" i="33"/>
  <c r="T49" i="33"/>
  <c r="U49" i="33"/>
  <c r="AD49" i="33"/>
  <c r="AE49" i="33" s="1"/>
  <c r="AF49" i="33" s="1"/>
  <c r="K50" i="33"/>
  <c r="L50" i="33"/>
  <c r="M50" i="33"/>
  <c r="S50" i="33"/>
  <c r="T50" i="33"/>
  <c r="U50" i="33"/>
  <c r="AD50" i="33"/>
  <c r="AE50" i="33" s="1"/>
  <c r="AF50" i="33" s="1"/>
  <c r="K51" i="33"/>
  <c r="L51" i="33"/>
  <c r="M51" i="33"/>
  <c r="S51" i="33"/>
  <c r="T51" i="33"/>
  <c r="U51" i="33"/>
  <c r="AD51" i="33"/>
  <c r="AE51" i="33" s="1"/>
  <c r="AF51" i="33" s="1"/>
  <c r="K52" i="33"/>
  <c r="L52" i="33"/>
  <c r="M52" i="33"/>
  <c r="S52" i="33"/>
  <c r="T52" i="33"/>
  <c r="U52" i="33"/>
  <c r="AD52" i="33"/>
  <c r="AE52" i="33" s="1"/>
  <c r="AF52" i="33" s="1"/>
  <c r="K53" i="33"/>
  <c r="L53" i="33"/>
  <c r="M53" i="33"/>
  <c r="S53" i="33"/>
  <c r="T53" i="33"/>
  <c r="U53" i="33"/>
  <c r="AD53" i="33"/>
  <c r="AE53" i="33" s="1"/>
  <c r="AF53" i="33" s="1"/>
  <c r="K54" i="33"/>
  <c r="L54" i="33"/>
  <c r="M54" i="33"/>
  <c r="S54" i="33"/>
  <c r="T54" i="33"/>
  <c r="U54" i="33"/>
  <c r="AD54" i="33"/>
  <c r="AE54" i="33" s="1"/>
  <c r="AF54" i="33" s="1"/>
  <c r="K55" i="33"/>
  <c r="L55" i="33"/>
  <c r="M55" i="33"/>
  <c r="S55" i="33"/>
  <c r="T55" i="33"/>
  <c r="U55" i="33"/>
  <c r="AD55" i="33"/>
  <c r="AE55" i="33" s="1"/>
  <c r="AF55" i="33" s="1"/>
  <c r="K56" i="33"/>
  <c r="L56" i="33"/>
  <c r="M56" i="33"/>
  <c r="S56" i="33"/>
  <c r="T56" i="33"/>
  <c r="U56" i="33"/>
  <c r="AD56" i="33"/>
  <c r="AE56" i="33" s="1"/>
  <c r="AF56" i="33" s="1"/>
  <c r="K57" i="33"/>
  <c r="L57" i="33"/>
  <c r="M57" i="33"/>
  <c r="S57" i="33"/>
  <c r="T57" i="33"/>
  <c r="U57" i="33"/>
  <c r="AD57" i="33"/>
  <c r="AE57" i="33" s="1"/>
  <c r="AF57" i="33" s="1"/>
  <c r="K58" i="33"/>
  <c r="L58" i="33"/>
  <c r="M58" i="33"/>
  <c r="S58" i="33"/>
  <c r="T58" i="33"/>
  <c r="U58" i="33"/>
  <c r="AD58" i="33"/>
  <c r="AE58" i="33" s="1"/>
  <c r="AF58" i="33" s="1"/>
  <c r="K61" i="33"/>
  <c r="L61" i="33"/>
  <c r="M61" i="33"/>
  <c r="S61" i="33"/>
  <c r="T61" i="33"/>
  <c r="U61" i="33"/>
  <c r="AD61" i="33"/>
  <c r="AE61" i="33" s="1"/>
  <c r="AF61" i="33" s="1"/>
  <c r="K62" i="33"/>
  <c r="L62" i="33"/>
  <c r="M62" i="33"/>
  <c r="S62" i="33"/>
  <c r="T62" i="33"/>
  <c r="U62" i="33"/>
  <c r="AD62" i="33"/>
  <c r="AE62" i="33" s="1"/>
  <c r="AF62" i="33" s="1"/>
  <c r="K63" i="33"/>
  <c r="L63" i="33"/>
  <c r="M63" i="33"/>
  <c r="S63" i="33"/>
  <c r="T63" i="33"/>
  <c r="U63" i="33"/>
  <c r="AD63" i="33"/>
  <c r="AE63" i="33" s="1"/>
  <c r="AF63" i="33" s="1"/>
  <c r="K64" i="33"/>
  <c r="L64" i="33"/>
  <c r="M64" i="33"/>
  <c r="S64" i="33"/>
  <c r="T64" i="33"/>
  <c r="U64" i="33"/>
  <c r="AD64" i="33"/>
  <c r="AE64" i="33" s="1"/>
  <c r="AF64" i="33" s="1"/>
  <c r="K65" i="33"/>
  <c r="L65" i="33"/>
  <c r="M65" i="33"/>
  <c r="S65" i="33"/>
  <c r="T65" i="33"/>
  <c r="U65" i="33"/>
  <c r="AD65" i="33"/>
  <c r="AE65" i="33" s="1"/>
  <c r="AF65" i="33" s="1"/>
  <c r="K67" i="33"/>
  <c r="L67" i="33"/>
  <c r="M67" i="33"/>
  <c r="S67" i="33"/>
  <c r="T67" i="33"/>
  <c r="U67" i="33"/>
  <c r="AD67" i="33"/>
  <c r="AE67" i="33" s="1"/>
  <c r="AF67" i="33" s="1"/>
  <c r="K68" i="33"/>
  <c r="L68" i="33"/>
  <c r="M68" i="33"/>
  <c r="S68" i="33"/>
  <c r="T68" i="33"/>
  <c r="U68" i="33"/>
  <c r="AD68" i="33"/>
  <c r="AE68" i="33" s="1"/>
  <c r="AF68" i="33" s="1"/>
  <c r="K69" i="33"/>
  <c r="L69" i="33"/>
  <c r="M69" i="33"/>
  <c r="S69" i="33"/>
  <c r="T69" i="33"/>
  <c r="U69" i="33"/>
  <c r="AD69" i="33"/>
  <c r="AE69" i="33" s="1"/>
  <c r="AF69" i="33" s="1"/>
  <c r="K70" i="33"/>
  <c r="L70" i="33"/>
  <c r="M70" i="33"/>
  <c r="S70" i="33"/>
  <c r="T70" i="33"/>
  <c r="U70" i="33"/>
  <c r="AD70" i="33"/>
  <c r="AE70" i="33" s="1"/>
  <c r="AF70" i="33" s="1"/>
  <c r="K71" i="33"/>
  <c r="L71" i="33"/>
  <c r="M71" i="33"/>
  <c r="S71" i="33"/>
  <c r="T71" i="33"/>
  <c r="U71" i="33"/>
  <c r="AD71" i="33"/>
  <c r="AE71" i="33" s="1"/>
  <c r="AF71" i="33" s="1"/>
  <c r="K72" i="33"/>
  <c r="L72" i="33"/>
  <c r="M72" i="33"/>
  <c r="S72" i="33"/>
  <c r="T72" i="33"/>
  <c r="U72" i="33"/>
  <c r="AD72" i="33"/>
  <c r="AE72" i="33" s="1"/>
  <c r="AF72" i="33" s="1"/>
  <c r="K74" i="33"/>
  <c r="L74" i="33"/>
  <c r="M74" i="33"/>
  <c r="S74" i="33"/>
  <c r="T74" i="33"/>
  <c r="U74" i="33"/>
  <c r="AD74" i="33"/>
  <c r="AE74" i="33" s="1"/>
  <c r="AF74" i="33" s="1"/>
  <c r="K75" i="33"/>
  <c r="L75" i="33"/>
  <c r="M75" i="33"/>
  <c r="S75" i="33"/>
  <c r="T75" i="33"/>
  <c r="U75" i="33"/>
  <c r="AD75" i="33"/>
  <c r="AE75" i="33" s="1"/>
  <c r="AF75" i="33" s="1"/>
  <c r="K77" i="33"/>
  <c r="L77" i="33"/>
  <c r="M77" i="33"/>
  <c r="S77" i="33"/>
  <c r="T77" i="33"/>
  <c r="U77" i="33"/>
  <c r="AD77" i="33"/>
  <c r="AE77" i="33" s="1"/>
  <c r="AF77" i="33" s="1"/>
  <c r="K78" i="33"/>
  <c r="L78" i="33"/>
  <c r="M78" i="33"/>
  <c r="S78" i="33"/>
  <c r="T78" i="33"/>
  <c r="U78" i="33"/>
  <c r="AD78" i="33"/>
  <c r="AE78" i="33" s="1"/>
  <c r="AF78" i="33" s="1"/>
  <c r="K79" i="33"/>
  <c r="L79" i="33"/>
  <c r="M79" i="33"/>
  <c r="S79" i="33"/>
  <c r="T79" i="33"/>
  <c r="U79" i="33"/>
  <c r="AD79" i="33"/>
  <c r="AE79" i="33" s="1"/>
  <c r="AF79" i="33" s="1"/>
  <c r="AC144" i="33"/>
  <c r="AB144" i="33"/>
  <c r="Z144" i="33"/>
  <c r="Y144" i="33"/>
  <c r="X144" i="33"/>
  <c r="W144" i="33"/>
  <c r="V144" i="33"/>
  <c r="AH144" i="37" s="1"/>
  <c r="R144" i="33"/>
  <c r="Q144" i="33"/>
  <c r="P144" i="33"/>
  <c r="O144" i="33"/>
  <c r="N144" i="33"/>
  <c r="J144" i="33"/>
  <c r="I144" i="33"/>
  <c r="H144" i="33"/>
  <c r="G144" i="33"/>
  <c r="F144" i="33"/>
  <c r="E144" i="33"/>
  <c r="D144" i="33"/>
  <c r="C144" i="33"/>
  <c r="AD142" i="33"/>
  <c r="AE142" i="33" s="1"/>
  <c r="AF142" i="33" s="1"/>
  <c r="U142" i="33"/>
  <c r="T142" i="33"/>
  <c r="S142" i="33"/>
  <c r="M142" i="33"/>
  <c r="L142" i="33"/>
  <c r="K142" i="33"/>
  <c r="AD133" i="33"/>
  <c r="AE133" i="33" s="1"/>
  <c r="AF133" i="33" s="1"/>
  <c r="U133" i="33"/>
  <c r="T133" i="33"/>
  <c r="S133" i="33"/>
  <c r="M133" i="33"/>
  <c r="K133" i="33"/>
  <c r="Z129" i="33"/>
  <c r="Y129" i="33"/>
  <c r="X129" i="33"/>
  <c r="AD127" i="33"/>
  <c r="AE127" i="33" s="1"/>
  <c r="AF127" i="33" s="1"/>
  <c r="U127" i="33"/>
  <c r="T127" i="33"/>
  <c r="S127" i="33"/>
  <c r="M127" i="33"/>
  <c r="L127" i="33"/>
  <c r="K127" i="33"/>
  <c r="AC119" i="33"/>
  <c r="AB119" i="33"/>
  <c r="W119" i="33"/>
  <c r="V119" i="33"/>
  <c r="AH119" i="37" s="1"/>
  <c r="R119" i="33"/>
  <c r="Q119" i="33"/>
  <c r="P119" i="33"/>
  <c r="O119" i="33"/>
  <c r="N119" i="33"/>
  <c r="J119" i="33"/>
  <c r="I119" i="33"/>
  <c r="H119" i="33"/>
  <c r="G119" i="33"/>
  <c r="F119" i="33"/>
  <c r="E119" i="33"/>
  <c r="D119" i="33"/>
  <c r="C119" i="33"/>
  <c r="AD117" i="33"/>
  <c r="AE117" i="33" s="1"/>
  <c r="AF117" i="33" s="1"/>
  <c r="U117" i="33"/>
  <c r="T117" i="33"/>
  <c r="S117" i="33"/>
  <c r="M117" i="33"/>
  <c r="L117" i="33"/>
  <c r="K117" i="33"/>
  <c r="AD116" i="33"/>
  <c r="U116" i="33"/>
  <c r="T116" i="33"/>
  <c r="S116" i="33"/>
  <c r="M116" i="33"/>
  <c r="L116" i="33"/>
  <c r="K116" i="33"/>
  <c r="AC106" i="33"/>
  <c r="AB106" i="33"/>
  <c r="W106" i="33"/>
  <c r="V106" i="33"/>
  <c r="R106" i="33"/>
  <c r="Q106" i="33"/>
  <c r="P106" i="33"/>
  <c r="O106" i="33"/>
  <c r="N106" i="33"/>
  <c r="J106" i="33"/>
  <c r="I106" i="33"/>
  <c r="H106" i="33"/>
  <c r="G106" i="33"/>
  <c r="F106" i="33"/>
  <c r="E106" i="33"/>
  <c r="D106" i="33"/>
  <c r="C106" i="33"/>
  <c r="AC104" i="33"/>
  <c r="AB104" i="33"/>
  <c r="Z104" i="33"/>
  <c r="Y104" i="33"/>
  <c r="X104" i="33"/>
  <c r="W104" i="33"/>
  <c r="V104" i="33"/>
  <c r="AH104" i="37" s="1"/>
  <c r="R104" i="33"/>
  <c r="Q104" i="33"/>
  <c r="P104" i="33"/>
  <c r="O104" i="33"/>
  <c r="N104" i="33"/>
  <c r="J104" i="33"/>
  <c r="I104" i="33"/>
  <c r="H104" i="33"/>
  <c r="G104" i="33"/>
  <c r="F104" i="33"/>
  <c r="E104" i="33"/>
  <c r="D104" i="33"/>
  <c r="C104" i="33"/>
  <c r="AD102" i="33"/>
  <c r="AE102" i="33" s="1"/>
  <c r="AF102" i="33" s="1"/>
  <c r="U102" i="33"/>
  <c r="T102" i="33"/>
  <c r="S102" i="33"/>
  <c r="M102" i="33"/>
  <c r="L102" i="33"/>
  <c r="K102" i="33"/>
  <c r="AD101" i="33"/>
  <c r="AE101" i="33" s="1"/>
  <c r="AF101" i="33" s="1"/>
  <c r="U101" i="33"/>
  <c r="T101" i="33"/>
  <c r="S101" i="33"/>
  <c r="M101" i="33"/>
  <c r="L101" i="33"/>
  <c r="K101" i="33"/>
  <c r="AD100" i="33"/>
  <c r="AE100" i="33" s="1"/>
  <c r="AF100" i="33" s="1"/>
  <c r="U100" i="33"/>
  <c r="T100" i="33"/>
  <c r="S100" i="33"/>
  <c r="M100" i="33"/>
  <c r="L100" i="33"/>
  <c r="K100" i="33"/>
  <c r="AD99" i="33"/>
  <c r="AE99" i="33" s="1"/>
  <c r="AF99" i="33" s="1"/>
  <c r="U99" i="33"/>
  <c r="T99" i="33"/>
  <c r="S99" i="33"/>
  <c r="M99" i="33"/>
  <c r="L99" i="33"/>
  <c r="K99" i="33"/>
  <c r="AD98" i="33"/>
  <c r="AE98" i="33" s="1"/>
  <c r="AF98" i="33" s="1"/>
  <c r="U98" i="33"/>
  <c r="T98" i="33"/>
  <c r="S98" i="33"/>
  <c r="M98" i="33"/>
  <c r="L98" i="33"/>
  <c r="K98" i="33"/>
  <c r="AD97" i="33"/>
  <c r="AE97" i="33" s="1"/>
  <c r="AF97" i="33" s="1"/>
  <c r="U97" i="33"/>
  <c r="T97" i="33"/>
  <c r="S97" i="33"/>
  <c r="M97" i="33"/>
  <c r="L97" i="33"/>
  <c r="K97" i="33"/>
  <c r="AD96" i="33"/>
  <c r="AE96" i="33" s="1"/>
  <c r="AF96" i="33" s="1"/>
  <c r="U96" i="33"/>
  <c r="T96" i="33"/>
  <c r="S96" i="33"/>
  <c r="M96" i="33"/>
  <c r="L96" i="33"/>
  <c r="K96" i="33"/>
  <c r="AD95" i="33"/>
  <c r="AE95" i="33" s="1"/>
  <c r="AF95" i="33" s="1"/>
  <c r="U95" i="33"/>
  <c r="T95" i="33"/>
  <c r="S95" i="33"/>
  <c r="M95" i="33"/>
  <c r="L95" i="33"/>
  <c r="K95" i="33"/>
  <c r="AD94" i="33"/>
  <c r="AE94" i="33" s="1"/>
  <c r="AF94" i="33" s="1"/>
  <c r="U94" i="33"/>
  <c r="T94" i="33"/>
  <c r="S94" i="33"/>
  <c r="M94" i="33"/>
  <c r="L94" i="33"/>
  <c r="K94" i="33"/>
  <c r="AD93" i="33"/>
  <c r="AE93" i="33" s="1"/>
  <c r="AF93" i="33" s="1"/>
  <c r="U93" i="33"/>
  <c r="T93" i="33"/>
  <c r="S93" i="33"/>
  <c r="M93" i="33"/>
  <c r="L93" i="33"/>
  <c r="K93" i="33"/>
  <c r="AD92" i="33"/>
  <c r="AE92" i="33" s="1"/>
  <c r="AF92" i="33" s="1"/>
  <c r="U92" i="33"/>
  <c r="T92" i="33"/>
  <c r="S92" i="33"/>
  <c r="M92" i="33"/>
  <c r="L92" i="33"/>
  <c r="K92" i="33"/>
  <c r="AD91" i="33"/>
  <c r="AE91" i="33" s="1"/>
  <c r="AF91" i="33" s="1"/>
  <c r="U91" i="33"/>
  <c r="T91" i="33"/>
  <c r="S91" i="33"/>
  <c r="M91" i="33"/>
  <c r="L91" i="33"/>
  <c r="K91" i="33"/>
  <c r="AD90" i="33"/>
  <c r="AE90" i="33" s="1"/>
  <c r="AF90" i="33" s="1"/>
  <c r="U90" i="33"/>
  <c r="T90" i="33"/>
  <c r="S90" i="33"/>
  <c r="M90" i="33"/>
  <c r="L90" i="33"/>
  <c r="K90" i="33"/>
  <c r="AD89" i="33"/>
  <c r="AE89" i="33" s="1"/>
  <c r="AF89" i="33" s="1"/>
  <c r="U89" i="33"/>
  <c r="T89" i="33"/>
  <c r="S89" i="33"/>
  <c r="M89" i="33"/>
  <c r="L89" i="33"/>
  <c r="K89" i="33"/>
  <c r="AD88" i="33"/>
  <c r="AE88" i="33" s="1"/>
  <c r="AF88" i="33" s="1"/>
  <c r="U88" i="33"/>
  <c r="T88" i="33"/>
  <c r="S88" i="33"/>
  <c r="M88" i="33"/>
  <c r="L88" i="33"/>
  <c r="K88" i="33"/>
  <c r="AD87" i="33"/>
  <c r="AE87" i="33" s="1"/>
  <c r="AF87" i="33" s="1"/>
  <c r="U87" i="33"/>
  <c r="T87" i="33"/>
  <c r="S87" i="33"/>
  <c r="M87" i="33"/>
  <c r="L87" i="33"/>
  <c r="K87" i="33"/>
  <c r="AD86" i="33"/>
  <c r="U86" i="33"/>
  <c r="T86" i="33"/>
  <c r="S86" i="33"/>
  <c r="M86" i="33"/>
  <c r="L86" i="33"/>
  <c r="K86" i="33"/>
  <c r="AD85" i="33"/>
  <c r="AE85" i="33" s="1"/>
  <c r="U85" i="33"/>
  <c r="T85" i="33"/>
  <c r="S85" i="33"/>
  <c r="M85" i="33"/>
  <c r="L85" i="33"/>
  <c r="K85" i="33"/>
  <c r="Z83" i="33"/>
  <c r="Y83" i="33"/>
  <c r="X83" i="33"/>
  <c r="S38" i="33" l="1"/>
  <c r="S13" i="33"/>
  <c r="O39" i="33"/>
  <c r="T73" i="33"/>
  <c r="U59" i="33"/>
  <c r="T38" i="33"/>
  <c r="K32" i="33"/>
  <c r="S66" i="33"/>
  <c r="K80" i="33"/>
  <c r="U80" i="33"/>
  <c r="U23" i="33"/>
  <c r="D129" i="33"/>
  <c r="O129" i="33"/>
  <c r="F129" i="33"/>
  <c r="M59" i="33"/>
  <c r="S23" i="33"/>
  <c r="S76" i="33"/>
  <c r="G48" i="33"/>
  <c r="T59" i="33"/>
  <c r="M38" i="33"/>
  <c r="S28" i="33"/>
  <c r="S43" i="33"/>
  <c r="V48" i="33"/>
  <c r="AH48" i="37" s="1"/>
  <c r="AH43" i="37"/>
  <c r="N39" i="33"/>
  <c r="U38" i="33"/>
  <c r="V129" i="33"/>
  <c r="AH129" i="37" s="1"/>
  <c r="AH106" i="37"/>
  <c r="L32" i="33"/>
  <c r="H48" i="33"/>
  <c r="E81" i="33"/>
  <c r="M106" i="33"/>
  <c r="L13" i="33"/>
  <c r="J39" i="33"/>
  <c r="T80" i="33"/>
  <c r="U43" i="33"/>
  <c r="V60" i="33"/>
  <c r="AH60" i="37" s="1"/>
  <c r="AH59" i="37"/>
  <c r="T13" i="33"/>
  <c r="S73" i="33"/>
  <c r="K13" i="33"/>
  <c r="R24" i="33"/>
  <c r="X131" i="33"/>
  <c r="X135" i="33" s="1"/>
  <c r="X146" i="33" s="1"/>
  <c r="H39" i="33"/>
  <c r="S119" i="33"/>
  <c r="K66" i="33"/>
  <c r="S32" i="33"/>
  <c r="C81" i="33"/>
  <c r="M23" i="33"/>
  <c r="R81" i="33"/>
  <c r="M104" i="33"/>
  <c r="C129" i="33"/>
  <c r="R129" i="33"/>
  <c r="T23" i="33"/>
  <c r="E129" i="33"/>
  <c r="W129" i="33"/>
  <c r="L144" i="33"/>
  <c r="E39" i="33"/>
  <c r="Z131" i="33"/>
  <c r="Z135" i="33" s="1"/>
  <c r="Z146" i="33" s="1"/>
  <c r="L119" i="33"/>
  <c r="I24" i="33"/>
  <c r="P48" i="33"/>
  <c r="E24" i="33"/>
  <c r="R39" i="33"/>
  <c r="O48" i="33"/>
  <c r="H81" i="33"/>
  <c r="J129" i="33"/>
  <c r="U119" i="33"/>
  <c r="G39" i="33"/>
  <c r="M32" i="33"/>
  <c r="L59" i="33"/>
  <c r="T66" i="33"/>
  <c r="P24" i="33"/>
  <c r="F48" i="33"/>
  <c r="P81" i="33"/>
  <c r="P129" i="33"/>
  <c r="O24" i="33"/>
  <c r="V39" i="33"/>
  <c r="E48" i="33"/>
  <c r="O81" i="33"/>
  <c r="AD106" i="33"/>
  <c r="G129" i="33"/>
  <c r="M144" i="33"/>
  <c r="M13" i="33"/>
  <c r="Q48" i="33"/>
  <c r="F24" i="33"/>
  <c r="C39" i="33"/>
  <c r="I39" i="33"/>
  <c r="W39" i="33"/>
  <c r="I81" i="33"/>
  <c r="W81" i="33"/>
  <c r="K106" i="33"/>
  <c r="V81" i="33"/>
  <c r="AH81" i="37" s="1"/>
  <c r="T104" i="33"/>
  <c r="S144" i="33"/>
  <c r="C24" i="33"/>
  <c r="P39" i="33"/>
  <c r="I48" i="33"/>
  <c r="W48" i="33"/>
  <c r="F81" i="33"/>
  <c r="AC129" i="33"/>
  <c r="L73" i="33"/>
  <c r="H129" i="33"/>
  <c r="K47" i="33"/>
  <c r="M47" i="33"/>
  <c r="D81" i="33"/>
  <c r="K73" i="33"/>
  <c r="K11" i="33"/>
  <c r="L23" i="33"/>
  <c r="Q39" i="33"/>
  <c r="K38" i="33"/>
  <c r="S47" i="33"/>
  <c r="G81" i="33"/>
  <c r="M73" i="33"/>
  <c r="S106" i="33"/>
  <c r="K119" i="33"/>
  <c r="T119" i="33"/>
  <c r="U144" i="33"/>
  <c r="T32" i="33"/>
  <c r="AD104" i="33"/>
  <c r="L104" i="33"/>
  <c r="T106" i="33"/>
  <c r="AE86" i="33"/>
  <c r="AF86" i="33" s="1"/>
  <c r="S104" i="33"/>
  <c r="I129" i="33"/>
  <c r="U11" i="33"/>
  <c r="K76" i="33"/>
  <c r="K104" i="33"/>
  <c r="U104" i="33"/>
  <c r="AB129" i="33"/>
  <c r="K43" i="33"/>
  <c r="F39" i="33"/>
  <c r="AD119" i="33"/>
  <c r="K144" i="33"/>
  <c r="T47" i="33"/>
  <c r="G24" i="33"/>
  <c r="J24" i="33"/>
  <c r="D39" i="33"/>
  <c r="L38" i="33"/>
  <c r="D48" i="33"/>
  <c r="J81" i="33"/>
  <c r="N81" i="33"/>
  <c r="Y131" i="33"/>
  <c r="Y135" i="33" s="1"/>
  <c r="Y146" i="33" s="1"/>
  <c r="K28" i="33"/>
  <c r="C48" i="33"/>
  <c r="M119" i="33"/>
  <c r="H24" i="33"/>
  <c r="R48" i="33"/>
  <c r="AF139" i="33"/>
  <c r="AF144" i="33" s="1"/>
  <c r="AE144" i="33"/>
  <c r="AF109" i="33"/>
  <c r="K60" i="33"/>
  <c r="N48" i="33"/>
  <c r="U106" i="33"/>
  <c r="N129" i="33"/>
  <c r="AD144" i="33"/>
  <c r="L11" i="33"/>
  <c r="U13" i="33"/>
  <c r="L28" i="33"/>
  <c r="U32" i="33"/>
  <c r="L43" i="33"/>
  <c r="U47" i="33"/>
  <c r="L66" i="33"/>
  <c r="U73" i="33"/>
  <c r="L80" i="33"/>
  <c r="AE120" i="33"/>
  <c r="D24" i="33"/>
  <c r="J48" i="33"/>
  <c r="Q60" i="33"/>
  <c r="M11" i="33"/>
  <c r="AB13" i="33"/>
  <c r="AB23" i="33" s="1"/>
  <c r="M28" i="33"/>
  <c r="M43" i="33"/>
  <c r="M66" i="33"/>
  <c r="M80" i="33"/>
  <c r="S11" i="33"/>
  <c r="S80" i="33"/>
  <c r="Q24" i="33"/>
  <c r="N60" i="33"/>
  <c r="Q81" i="33"/>
  <c r="AF85" i="33"/>
  <c r="L106" i="33"/>
  <c r="AE116" i="33"/>
  <c r="AF116" i="33" s="1"/>
  <c r="Q129" i="33"/>
  <c r="T144" i="33"/>
  <c r="T11" i="33"/>
  <c r="K23" i="33"/>
  <c r="T28" i="33"/>
  <c r="T43" i="33"/>
  <c r="K59" i="33"/>
  <c r="U28" i="33"/>
  <c r="U66" i="33"/>
  <c r="L76" i="33"/>
  <c r="M76" i="33"/>
  <c r="N24" i="33"/>
  <c r="S59" i="33"/>
  <c r="W24" i="33"/>
  <c r="T76" i="33"/>
  <c r="V24" i="33"/>
  <c r="AH24" i="37" s="1"/>
  <c r="L47" i="33"/>
  <c r="AC23" i="33"/>
  <c r="M81" i="33" l="1"/>
  <c r="M39" i="33"/>
  <c r="T39" i="33"/>
  <c r="L39" i="33"/>
  <c r="O83" i="33"/>
  <c r="O131" i="33" s="1"/>
  <c r="O135" i="33" s="1"/>
  <c r="O146" i="33" s="1"/>
  <c r="AF104" i="33"/>
  <c r="T48" i="33"/>
  <c r="S48" i="33"/>
  <c r="C83" i="33"/>
  <c r="C131" i="33" s="1"/>
  <c r="C135" i="33" s="1"/>
  <c r="C146" i="33" s="1"/>
  <c r="U39" i="33"/>
  <c r="AH39" i="37"/>
  <c r="K129" i="33"/>
  <c r="G83" i="33"/>
  <c r="G131" i="33" s="1"/>
  <c r="G135" i="33" s="1"/>
  <c r="G146" i="33" s="1"/>
  <c r="I83" i="33"/>
  <c r="I131" i="33" s="1"/>
  <c r="I135" i="33" s="1"/>
  <c r="I146" i="33" s="1"/>
  <c r="D83" i="33"/>
  <c r="D131" i="33" s="1"/>
  <c r="D135" i="33" s="1"/>
  <c r="D146" i="33" s="1"/>
  <c r="E83" i="33"/>
  <c r="E131" i="33" s="1"/>
  <c r="L81" i="33"/>
  <c r="U81" i="33"/>
  <c r="K48" i="33"/>
  <c r="S39" i="33"/>
  <c r="K24" i="33"/>
  <c r="P83" i="33"/>
  <c r="P131" i="33" s="1"/>
  <c r="P135" i="33" s="1"/>
  <c r="P146" i="33" s="1"/>
  <c r="R83" i="33"/>
  <c r="R131" i="33" s="1"/>
  <c r="R135" i="33" s="1"/>
  <c r="R146" i="33" s="1"/>
  <c r="J83" i="33"/>
  <c r="J131" i="33" s="1"/>
  <c r="J135" i="33" s="1"/>
  <c r="J146" i="33" s="1"/>
  <c r="K81" i="33"/>
  <c r="H83" i="33"/>
  <c r="H131" i="33" s="1"/>
  <c r="H135" i="33" s="1"/>
  <c r="H146" i="33" s="1"/>
  <c r="V83" i="33"/>
  <c r="F83" i="33"/>
  <c r="F131" i="33" s="1"/>
  <c r="F135" i="33" s="1"/>
  <c r="F146" i="33" s="1"/>
  <c r="AD129" i="33"/>
  <c r="W83" i="33"/>
  <c r="W131" i="33" s="1"/>
  <c r="W135" i="33" s="1"/>
  <c r="W146" i="33" s="1"/>
  <c r="K39" i="33"/>
  <c r="AB24" i="33"/>
  <c r="AB28" i="33" s="1"/>
  <c r="AF106" i="33"/>
  <c r="AE104" i="33"/>
  <c r="M24" i="33"/>
  <c r="L24" i="33"/>
  <c r="U24" i="33"/>
  <c r="S24" i="33"/>
  <c r="T24" i="33"/>
  <c r="U48" i="33"/>
  <c r="M48" i="33"/>
  <c r="L48" i="33"/>
  <c r="Q83" i="33"/>
  <c r="T129" i="33"/>
  <c r="S129" i="33"/>
  <c r="N83" i="33"/>
  <c r="T60" i="33"/>
  <c r="S60" i="33"/>
  <c r="AE106" i="33"/>
  <c r="AC24" i="33"/>
  <c r="AC28" i="33" s="1"/>
  <c r="AE119" i="33"/>
  <c r="AF120" i="33"/>
  <c r="AF119" i="33" s="1"/>
  <c r="L129" i="33"/>
  <c r="U129" i="33"/>
  <c r="M129" i="33"/>
  <c r="T81" i="33"/>
  <c r="S81" i="33"/>
  <c r="U60" i="33"/>
  <c r="M60" i="33"/>
  <c r="L60" i="33"/>
  <c r="AF129" i="33" l="1"/>
  <c r="V131" i="33"/>
  <c r="AH83" i="37"/>
  <c r="K83" i="33"/>
  <c r="AB32" i="33"/>
  <c r="AB38" i="33" s="1"/>
  <c r="AE129" i="33"/>
  <c r="Q131" i="33"/>
  <c r="T83" i="33"/>
  <c r="S83" i="33"/>
  <c r="E135" i="33"/>
  <c r="K131" i="33"/>
  <c r="U83" i="33"/>
  <c r="N131" i="33"/>
  <c r="L83" i="33"/>
  <c r="M83" i="33"/>
  <c r="AC32" i="33"/>
  <c r="AC38" i="33" s="1"/>
  <c r="AD24" i="33"/>
  <c r="AE24" i="33" s="1"/>
  <c r="AF24" i="33" s="1"/>
  <c r="V135" i="33" l="1"/>
  <c r="AH131" i="37"/>
  <c r="AB39" i="33"/>
  <c r="AB43" i="33" s="1"/>
  <c r="AB47" i="33" s="1"/>
  <c r="AC39" i="33"/>
  <c r="Q135" i="33"/>
  <c r="S131" i="33"/>
  <c r="T131" i="33"/>
  <c r="E146" i="33"/>
  <c r="K146" i="33" s="1"/>
  <c r="K135" i="33"/>
  <c r="N135" i="33"/>
  <c r="M131" i="33"/>
  <c r="L131" i="33"/>
  <c r="U131" i="33"/>
  <c r="V146" i="33" l="1"/>
  <c r="AH146" i="37" s="1"/>
  <c r="AH135" i="37"/>
  <c r="AB48" i="33"/>
  <c r="AB59" i="33" s="1"/>
  <c r="AB60" i="33" s="1"/>
  <c r="AD39" i="33"/>
  <c r="AE39" i="33" s="1"/>
  <c r="AF39" i="33" s="1"/>
  <c r="Q146" i="33"/>
  <c r="T135" i="33"/>
  <c r="S135" i="33"/>
  <c r="M135" i="33"/>
  <c r="L135" i="33"/>
  <c r="N146" i="33"/>
  <c r="U135" i="33"/>
  <c r="AC43" i="33"/>
  <c r="AC47" i="33" s="1"/>
  <c r="AC48" i="33" s="1"/>
  <c r="AD48" i="33" s="1"/>
  <c r="AE48" i="33" s="1"/>
  <c r="AF48" i="33" s="1"/>
  <c r="AB66" i="33" l="1"/>
  <c r="AB73" i="33" s="1"/>
  <c r="AB76" i="33" s="1"/>
  <c r="T146" i="33"/>
  <c r="S146" i="33"/>
  <c r="AC59" i="33"/>
  <c r="AC60" i="33" s="1"/>
  <c r="AD60" i="33" s="1"/>
  <c r="AE60" i="33" s="1"/>
  <c r="AF60" i="33" s="1"/>
  <c r="U146" i="33"/>
  <c r="M146" i="33"/>
  <c r="L146" i="33"/>
  <c r="AB80" i="33" l="1"/>
  <c r="AB81" i="33" s="1"/>
  <c r="AB83" i="33" s="1"/>
  <c r="AC66" i="33"/>
  <c r="AC73" i="33" s="1"/>
  <c r="AC76" i="33" s="1"/>
  <c r="AC80" i="33" s="1"/>
  <c r="AC81" i="33" s="1"/>
  <c r="AC83" i="33" s="1"/>
  <c r="AC131" i="33" s="1"/>
  <c r="AC135" i="33" s="1"/>
  <c r="AC146" i="33" s="1"/>
  <c r="AD83" i="33" l="1"/>
  <c r="AD131" i="33" s="1"/>
  <c r="AD135" i="33" s="1"/>
  <c r="AD146" i="33" s="1"/>
  <c r="AB131" i="33"/>
  <c r="AB135" i="33" s="1"/>
  <c r="AB146" i="33" s="1"/>
  <c r="AD81" i="33"/>
  <c r="AE81" i="33" s="1"/>
  <c r="AF81" i="33" s="1"/>
  <c r="AE83" i="33" l="1"/>
  <c r="AE131" i="33" s="1"/>
  <c r="AE135" i="33" s="1"/>
  <c r="AE146" i="33" s="1"/>
  <c r="AF83" i="33" l="1"/>
  <c r="AF131" i="33" s="1"/>
  <c r="AF135" i="33" s="1"/>
  <c r="AF146" i="33" s="1"/>
  <c r="K139" i="32"/>
  <c r="L139" i="32"/>
  <c r="M139" i="32"/>
  <c r="S139" i="32"/>
  <c r="T139" i="32"/>
  <c r="U139" i="32"/>
  <c r="AD139" i="32"/>
  <c r="AE139" i="32" s="1"/>
  <c r="AF139" i="32" s="1"/>
  <c r="K140" i="32"/>
  <c r="L140" i="32"/>
  <c r="M140" i="32"/>
  <c r="S140" i="32"/>
  <c r="T140" i="32"/>
  <c r="U140" i="32"/>
  <c r="AD140" i="32"/>
  <c r="AE140" i="32" s="1"/>
  <c r="AF140" i="32" s="1"/>
  <c r="K141" i="32"/>
  <c r="L141" i="32"/>
  <c r="M141" i="32"/>
  <c r="S141" i="32"/>
  <c r="T141" i="32"/>
  <c r="U141" i="32"/>
  <c r="AD141" i="32"/>
  <c r="AE141" i="32" s="1"/>
  <c r="AF141" i="32" s="1"/>
  <c r="K121" i="32"/>
  <c r="L121" i="32"/>
  <c r="M121" i="32"/>
  <c r="S121" i="32"/>
  <c r="T121" i="32"/>
  <c r="U121" i="32"/>
  <c r="AD121" i="32"/>
  <c r="AE121" i="32" s="1"/>
  <c r="AF121" i="32" s="1"/>
  <c r="K122" i="32"/>
  <c r="L122" i="32"/>
  <c r="M122" i="32"/>
  <c r="S122" i="32"/>
  <c r="T122" i="32"/>
  <c r="U122" i="32"/>
  <c r="AD122" i="32"/>
  <c r="AE122" i="32" s="1"/>
  <c r="AF122" i="32" s="1"/>
  <c r="K123" i="32"/>
  <c r="L123" i="32"/>
  <c r="M123" i="32"/>
  <c r="S123" i="32"/>
  <c r="T123" i="32"/>
  <c r="U123" i="32"/>
  <c r="AD123" i="32"/>
  <c r="AE123" i="32" s="1"/>
  <c r="AF123" i="32" s="1"/>
  <c r="K124" i="32"/>
  <c r="L124" i="32"/>
  <c r="M124" i="32"/>
  <c r="S124" i="32"/>
  <c r="T124" i="32"/>
  <c r="U124" i="32"/>
  <c r="AD124" i="32"/>
  <c r="AE124" i="32" s="1"/>
  <c r="AF124" i="32" s="1"/>
  <c r="K125" i="32"/>
  <c r="L125" i="32"/>
  <c r="M125" i="32"/>
  <c r="S125" i="32"/>
  <c r="T125" i="32"/>
  <c r="U125" i="32"/>
  <c r="AD125" i="32"/>
  <c r="AE125" i="32" s="1"/>
  <c r="AF125" i="32" s="1"/>
  <c r="K126" i="32"/>
  <c r="L126" i="32"/>
  <c r="M126" i="32"/>
  <c r="S126" i="32"/>
  <c r="T126" i="32"/>
  <c r="U126" i="32"/>
  <c r="AD126" i="32"/>
  <c r="AE126" i="32" s="1"/>
  <c r="AF126" i="32" s="1"/>
  <c r="AD120" i="32"/>
  <c r="AE120" i="32" s="1"/>
  <c r="AF120" i="32" s="1"/>
  <c r="U120" i="32"/>
  <c r="T120" i="32"/>
  <c r="S120" i="32"/>
  <c r="M120" i="32"/>
  <c r="L120" i="32"/>
  <c r="K120" i="32"/>
  <c r="K108" i="32"/>
  <c r="L108" i="32"/>
  <c r="M108" i="32"/>
  <c r="S108" i="32"/>
  <c r="T108" i="32"/>
  <c r="U108" i="32"/>
  <c r="AD108" i="32"/>
  <c r="AE108" i="32" s="1"/>
  <c r="AF108" i="32" s="1"/>
  <c r="K109" i="32"/>
  <c r="L109" i="32"/>
  <c r="M109" i="32"/>
  <c r="S109" i="32"/>
  <c r="T109" i="32"/>
  <c r="U109" i="32"/>
  <c r="AD109" i="32"/>
  <c r="AE109" i="32" s="1"/>
  <c r="AF109" i="32" s="1"/>
  <c r="K110" i="32"/>
  <c r="L110" i="32"/>
  <c r="M110" i="32"/>
  <c r="S110" i="32"/>
  <c r="T110" i="32"/>
  <c r="U110" i="32"/>
  <c r="AD110" i="32"/>
  <c r="AE110" i="32" s="1"/>
  <c r="AF110" i="32" s="1"/>
  <c r="K111" i="32"/>
  <c r="L111" i="32"/>
  <c r="M111" i="32"/>
  <c r="S111" i="32"/>
  <c r="T111" i="32"/>
  <c r="U111" i="32"/>
  <c r="AD111" i="32"/>
  <c r="AE111" i="32" s="1"/>
  <c r="AF111" i="32" s="1"/>
  <c r="K112" i="32"/>
  <c r="L112" i="32"/>
  <c r="M112" i="32"/>
  <c r="S112" i="32"/>
  <c r="T112" i="32"/>
  <c r="U112" i="32"/>
  <c r="AD112" i="32"/>
  <c r="AE112" i="32" s="1"/>
  <c r="AF112" i="32" s="1"/>
  <c r="K113" i="32"/>
  <c r="L113" i="32"/>
  <c r="M113" i="32"/>
  <c r="S113" i="32"/>
  <c r="T113" i="32"/>
  <c r="U113" i="32"/>
  <c r="AD113" i="32"/>
  <c r="AE113" i="32" s="1"/>
  <c r="AF113" i="32" s="1"/>
  <c r="K114" i="32"/>
  <c r="L114" i="32"/>
  <c r="M114" i="32"/>
  <c r="S114" i="32"/>
  <c r="T114" i="32"/>
  <c r="U114" i="32"/>
  <c r="AD114" i="32"/>
  <c r="AE114" i="32" s="1"/>
  <c r="AF114" i="32" s="1"/>
  <c r="K115" i="32"/>
  <c r="L115" i="32"/>
  <c r="M115" i="32"/>
  <c r="S115" i="32"/>
  <c r="T115" i="32"/>
  <c r="U115" i="32"/>
  <c r="AD115" i="32"/>
  <c r="AE115" i="32" s="1"/>
  <c r="AF115" i="32" s="1"/>
  <c r="AD107" i="32"/>
  <c r="AE107" i="32" s="1"/>
  <c r="U107" i="32"/>
  <c r="T107" i="32"/>
  <c r="S107" i="32"/>
  <c r="M107" i="32"/>
  <c r="L107" i="32"/>
  <c r="K107" i="32"/>
  <c r="V80" i="32"/>
  <c r="W80" i="32"/>
  <c r="N80" i="32"/>
  <c r="O80" i="32"/>
  <c r="P80" i="32"/>
  <c r="Q80" i="32"/>
  <c r="R80" i="32"/>
  <c r="C80" i="32"/>
  <c r="D80" i="32"/>
  <c r="E80" i="32"/>
  <c r="F80" i="32"/>
  <c r="G80" i="32"/>
  <c r="H80" i="32"/>
  <c r="I80" i="32"/>
  <c r="J80" i="32"/>
  <c r="V76" i="32"/>
  <c r="W76" i="32"/>
  <c r="N76" i="32"/>
  <c r="O76" i="32"/>
  <c r="P76" i="32"/>
  <c r="Q76" i="32"/>
  <c r="R76" i="32"/>
  <c r="C76" i="32"/>
  <c r="D76" i="32"/>
  <c r="E76" i="32"/>
  <c r="F76" i="32"/>
  <c r="G76" i="32"/>
  <c r="H76" i="32"/>
  <c r="I76" i="32"/>
  <c r="J76" i="32"/>
  <c r="V73" i="32"/>
  <c r="W73" i="32"/>
  <c r="N73" i="32"/>
  <c r="O73" i="32"/>
  <c r="P73" i="32"/>
  <c r="Q73" i="32"/>
  <c r="R73" i="32"/>
  <c r="C73" i="32"/>
  <c r="D73" i="32"/>
  <c r="E73" i="32"/>
  <c r="F73" i="32"/>
  <c r="G73" i="32"/>
  <c r="H73" i="32"/>
  <c r="I73" i="32"/>
  <c r="J73" i="32"/>
  <c r="V66" i="32"/>
  <c r="W66" i="32"/>
  <c r="N66" i="32"/>
  <c r="O66" i="32"/>
  <c r="P66" i="32"/>
  <c r="Q66" i="32"/>
  <c r="R66" i="32"/>
  <c r="C66" i="32"/>
  <c r="D66" i="32"/>
  <c r="E66" i="32"/>
  <c r="F66" i="32"/>
  <c r="G66" i="32"/>
  <c r="H66" i="32"/>
  <c r="I66" i="32"/>
  <c r="J66" i="32"/>
  <c r="V59" i="32"/>
  <c r="V60" i="32" s="1"/>
  <c r="W59" i="32"/>
  <c r="W60" i="32" s="1"/>
  <c r="N59" i="32"/>
  <c r="O59" i="32"/>
  <c r="O60" i="32" s="1"/>
  <c r="P59" i="32"/>
  <c r="P60" i="32" s="1"/>
  <c r="Q59" i="32"/>
  <c r="R59" i="32"/>
  <c r="R60" i="32" s="1"/>
  <c r="C59" i="32"/>
  <c r="C60" i="32" s="1"/>
  <c r="D59" i="32"/>
  <c r="D60" i="32" s="1"/>
  <c r="E59" i="32"/>
  <c r="E60" i="32" s="1"/>
  <c r="F59" i="32"/>
  <c r="F60" i="32" s="1"/>
  <c r="G59" i="32"/>
  <c r="G60" i="32" s="1"/>
  <c r="H59" i="32"/>
  <c r="H60" i="32" s="1"/>
  <c r="I59" i="32"/>
  <c r="I60" i="32" s="1"/>
  <c r="J59" i="32"/>
  <c r="J60" i="32" s="1"/>
  <c r="V47" i="32"/>
  <c r="W47" i="32"/>
  <c r="N47" i="32"/>
  <c r="O47" i="32"/>
  <c r="P47" i="32"/>
  <c r="Q47" i="32"/>
  <c r="R47" i="32"/>
  <c r="C47" i="32"/>
  <c r="D47" i="32"/>
  <c r="E47" i="32"/>
  <c r="F47" i="32"/>
  <c r="G47" i="32"/>
  <c r="H47" i="32"/>
  <c r="I47" i="32"/>
  <c r="J47" i="32"/>
  <c r="V43" i="32"/>
  <c r="W43" i="32"/>
  <c r="N43" i="32"/>
  <c r="O43" i="32"/>
  <c r="P43" i="32"/>
  <c r="Q43" i="32"/>
  <c r="R43" i="32"/>
  <c r="C43" i="32"/>
  <c r="D43" i="32"/>
  <c r="E43" i="32"/>
  <c r="F43" i="32"/>
  <c r="G43" i="32"/>
  <c r="H43" i="32"/>
  <c r="I43" i="32"/>
  <c r="J43" i="32"/>
  <c r="V38" i="32"/>
  <c r="W38" i="32"/>
  <c r="N38" i="32"/>
  <c r="O38" i="32"/>
  <c r="P38" i="32"/>
  <c r="Q38" i="32"/>
  <c r="R38" i="32"/>
  <c r="C38" i="32"/>
  <c r="D38" i="32"/>
  <c r="E38" i="32"/>
  <c r="F38" i="32"/>
  <c r="G38" i="32"/>
  <c r="H38" i="32"/>
  <c r="I38" i="32"/>
  <c r="J38" i="32"/>
  <c r="V32" i="32"/>
  <c r="W32" i="32"/>
  <c r="N32" i="32"/>
  <c r="O32" i="32"/>
  <c r="P32" i="32"/>
  <c r="Q32" i="32"/>
  <c r="R32" i="32"/>
  <c r="C32" i="32"/>
  <c r="D32" i="32"/>
  <c r="E32" i="32"/>
  <c r="F32" i="32"/>
  <c r="G32" i="32"/>
  <c r="H32" i="32"/>
  <c r="I32" i="32"/>
  <c r="J32" i="32"/>
  <c r="V28" i="32"/>
  <c r="W28" i="32"/>
  <c r="N28" i="32"/>
  <c r="O28" i="32"/>
  <c r="P28" i="32"/>
  <c r="Q28" i="32"/>
  <c r="R28" i="32"/>
  <c r="C28" i="32"/>
  <c r="D28" i="32"/>
  <c r="E28" i="32"/>
  <c r="F28" i="32"/>
  <c r="G28" i="32"/>
  <c r="H28" i="32"/>
  <c r="I28" i="32"/>
  <c r="J28" i="32"/>
  <c r="V23" i="32"/>
  <c r="W23" i="32"/>
  <c r="N23" i="32"/>
  <c r="O23" i="32"/>
  <c r="P23" i="32"/>
  <c r="Q23" i="32"/>
  <c r="R23" i="32"/>
  <c r="C23" i="32"/>
  <c r="D23" i="32"/>
  <c r="E23" i="32"/>
  <c r="F23" i="32"/>
  <c r="G23" i="32"/>
  <c r="H23" i="32"/>
  <c r="I23" i="32"/>
  <c r="J23" i="32"/>
  <c r="V13" i="32"/>
  <c r="W13" i="32"/>
  <c r="N13" i="32"/>
  <c r="O13" i="32"/>
  <c r="P13" i="32"/>
  <c r="Q13" i="32"/>
  <c r="R13" i="32"/>
  <c r="C13" i="32"/>
  <c r="D13" i="32"/>
  <c r="E13" i="32"/>
  <c r="F13" i="32"/>
  <c r="G13" i="32"/>
  <c r="H13" i="32"/>
  <c r="I13" i="32"/>
  <c r="J13" i="32"/>
  <c r="V11" i="32"/>
  <c r="W11" i="32"/>
  <c r="N11" i="32"/>
  <c r="O11" i="32"/>
  <c r="P11" i="32"/>
  <c r="Q11" i="32"/>
  <c r="R11" i="32"/>
  <c r="C11" i="32"/>
  <c r="D11" i="32"/>
  <c r="E11" i="32"/>
  <c r="F11" i="32"/>
  <c r="G11" i="32"/>
  <c r="H11" i="32"/>
  <c r="I11" i="32"/>
  <c r="J11" i="32"/>
  <c r="AC11" i="32"/>
  <c r="AC13" i="32" s="1"/>
  <c r="AB11" i="32"/>
  <c r="AB13" i="32" s="1"/>
  <c r="K5" i="32"/>
  <c r="L5" i="32"/>
  <c r="M5" i="32"/>
  <c r="S5" i="32"/>
  <c r="T5" i="32"/>
  <c r="U5" i="32"/>
  <c r="AD5" i="32"/>
  <c r="AE5" i="32" s="1"/>
  <c r="AF5" i="32" s="1"/>
  <c r="K6" i="32"/>
  <c r="L6" i="32"/>
  <c r="M6" i="32"/>
  <c r="S6" i="32"/>
  <c r="T6" i="32"/>
  <c r="U6" i="32"/>
  <c r="AD6" i="32"/>
  <c r="AE6" i="32" s="1"/>
  <c r="AF6" i="32" s="1"/>
  <c r="K7" i="32"/>
  <c r="L7" i="32"/>
  <c r="M7" i="32"/>
  <c r="S7" i="32"/>
  <c r="T7" i="32"/>
  <c r="U7" i="32"/>
  <c r="AD7" i="32"/>
  <c r="AE7" i="32" s="1"/>
  <c r="AF7" i="32" s="1"/>
  <c r="K8" i="32"/>
  <c r="L8" i="32"/>
  <c r="M8" i="32"/>
  <c r="S8" i="32"/>
  <c r="T8" i="32"/>
  <c r="U8" i="32"/>
  <c r="AD8" i="32"/>
  <c r="AE8" i="32" s="1"/>
  <c r="AF8" i="32" s="1"/>
  <c r="K9" i="32"/>
  <c r="L9" i="32"/>
  <c r="M9" i="32"/>
  <c r="S9" i="32"/>
  <c r="T9" i="32"/>
  <c r="U9" i="32"/>
  <c r="AD9" i="32"/>
  <c r="AE9" i="32" s="1"/>
  <c r="AF9" i="32" s="1"/>
  <c r="K10" i="32"/>
  <c r="L10" i="32"/>
  <c r="M10" i="32"/>
  <c r="S10" i="32"/>
  <c r="T10" i="32"/>
  <c r="U10" i="32"/>
  <c r="AD10" i="32"/>
  <c r="AE10" i="32" s="1"/>
  <c r="AF10" i="32" s="1"/>
  <c r="K12" i="32"/>
  <c r="L12" i="32"/>
  <c r="M12" i="32"/>
  <c r="S12" i="32"/>
  <c r="T12" i="32"/>
  <c r="U12" i="32"/>
  <c r="AD12" i="32"/>
  <c r="AE12" i="32" s="1"/>
  <c r="AF12" i="32" s="1"/>
  <c r="K14" i="32"/>
  <c r="L14" i="32"/>
  <c r="M14" i="32"/>
  <c r="S14" i="32"/>
  <c r="T14" i="32"/>
  <c r="U14" i="32"/>
  <c r="AD14" i="32"/>
  <c r="AE14" i="32" s="1"/>
  <c r="AF14" i="32" s="1"/>
  <c r="K15" i="32"/>
  <c r="L15" i="32"/>
  <c r="M15" i="32"/>
  <c r="S15" i="32"/>
  <c r="T15" i="32"/>
  <c r="U15" i="32"/>
  <c r="AD15" i="32"/>
  <c r="AE15" i="32" s="1"/>
  <c r="AF15" i="32" s="1"/>
  <c r="K16" i="32"/>
  <c r="L16" i="32"/>
  <c r="M16" i="32"/>
  <c r="S16" i="32"/>
  <c r="T16" i="32"/>
  <c r="U16" i="32"/>
  <c r="AD16" i="32"/>
  <c r="AE16" i="32" s="1"/>
  <c r="AF16" i="32" s="1"/>
  <c r="K17" i="32"/>
  <c r="L17" i="32"/>
  <c r="M17" i="32"/>
  <c r="S17" i="32"/>
  <c r="T17" i="32"/>
  <c r="U17" i="32"/>
  <c r="AD17" i="32"/>
  <c r="AE17" i="32" s="1"/>
  <c r="AF17" i="32" s="1"/>
  <c r="K18" i="32"/>
  <c r="L18" i="32"/>
  <c r="M18" i="32"/>
  <c r="S18" i="32"/>
  <c r="T18" i="32"/>
  <c r="U18" i="32"/>
  <c r="AD18" i="32"/>
  <c r="AE18" i="32" s="1"/>
  <c r="AF18" i="32" s="1"/>
  <c r="K19" i="32"/>
  <c r="L19" i="32"/>
  <c r="M19" i="32"/>
  <c r="S19" i="32"/>
  <c r="T19" i="32"/>
  <c r="U19" i="32"/>
  <c r="AD19" i="32"/>
  <c r="AE19" i="32" s="1"/>
  <c r="AF19" i="32" s="1"/>
  <c r="K20" i="32"/>
  <c r="L20" i="32"/>
  <c r="M20" i="32"/>
  <c r="S20" i="32"/>
  <c r="T20" i="32"/>
  <c r="U20" i="32"/>
  <c r="AD20" i="32"/>
  <c r="AE20" i="32" s="1"/>
  <c r="AF20" i="32" s="1"/>
  <c r="K21" i="32"/>
  <c r="L21" i="32"/>
  <c r="M21" i="32"/>
  <c r="S21" i="32"/>
  <c r="T21" i="32"/>
  <c r="U21" i="32"/>
  <c r="AD21" i="32"/>
  <c r="AE21" i="32" s="1"/>
  <c r="AF21" i="32" s="1"/>
  <c r="K22" i="32"/>
  <c r="L22" i="32"/>
  <c r="M22" i="32"/>
  <c r="S22" i="32"/>
  <c r="T22" i="32"/>
  <c r="U22" i="32"/>
  <c r="AD22" i="32"/>
  <c r="AE22" i="32" s="1"/>
  <c r="AF22" i="32" s="1"/>
  <c r="K25" i="32"/>
  <c r="L25" i="32"/>
  <c r="M25" i="32"/>
  <c r="S25" i="32"/>
  <c r="T25" i="32"/>
  <c r="U25" i="32"/>
  <c r="AD25" i="32"/>
  <c r="AE25" i="32" s="1"/>
  <c r="AF25" i="32" s="1"/>
  <c r="K26" i="32"/>
  <c r="L26" i="32"/>
  <c r="M26" i="32"/>
  <c r="S26" i="32"/>
  <c r="T26" i="32"/>
  <c r="U26" i="32"/>
  <c r="AD26" i="32"/>
  <c r="AE26" i="32" s="1"/>
  <c r="AF26" i="32" s="1"/>
  <c r="K27" i="32"/>
  <c r="L27" i="32"/>
  <c r="M27" i="32"/>
  <c r="S27" i="32"/>
  <c r="T27" i="32"/>
  <c r="U27" i="32"/>
  <c r="AD27" i="32"/>
  <c r="AE27" i="32" s="1"/>
  <c r="AF27" i="32" s="1"/>
  <c r="K29" i="32"/>
  <c r="L29" i="32"/>
  <c r="M29" i="32"/>
  <c r="S29" i="32"/>
  <c r="T29" i="32"/>
  <c r="U29" i="32"/>
  <c r="AD29" i="32"/>
  <c r="AE29" i="32" s="1"/>
  <c r="AF29" i="32" s="1"/>
  <c r="K30" i="32"/>
  <c r="L30" i="32"/>
  <c r="M30" i="32"/>
  <c r="S30" i="32"/>
  <c r="T30" i="32"/>
  <c r="U30" i="32"/>
  <c r="AD30" i="32"/>
  <c r="AE30" i="32" s="1"/>
  <c r="AF30" i="32" s="1"/>
  <c r="K31" i="32"/>
  <c r="L31" i="32"/>
  <c r="M31" i="32"/>
  <c r="S31" i="32"/>
  <c r="T31" i="32"/>
  <c r="U31" i="32"/>
  <c r="AD31" i="32"/>
  <c r="AE31" i="32" s="1"/>
  <c r="AF31" i="32" s="1"/>
  <c r="K33" i="32"/>
  <c r="L33" i="32"/>
  <c r="M33" i="32"/>
  <c r="S33" i="32"/>
  <c r="T33" i="32"/>
  <c r="U33" i="32"/>
  <c r="AD33" i="32"/>
  <c r="AE33" i="32" s="1"/>
  <c r="AF33" i="32" s="1"/>
  <c r="K34" i="32"/>
  <c r="L34" i="32"/>
  <c r="M34" i="32"/>
  <c r="S34" i="32"/>
  <c r="T34" i="32"/>
  <c r="U34" i="32"/>
  <c r="AD34" i="32"/>
  <c r="AE34" i="32" s="1"/>
  <c r="AF34" i="32" s="1"/>
  <c r="K35" i="32"/>
  <c r="L35" i="32"/>
  <c r="M35" i="32"/>
  <c r="S35" i="32"/>
  <c r="T35" i="32"/>
  <c r="U35" i="32"/>
  <c r="AD35" i="32"/>
  <c r="AE35" i="32" s="1"/>
  <c r="AF35" i="32" s="1"/>
  <c r="K36" i="32"/>
  <c r="L36" i="32"/>
  <c r="M36" i="32"/>
  <c r="S36" i="32"/>
  <c r="T36" i="32"/>
  <c r="U36" i="32"/>
  <c r="AD36" i="32"/>
  <c r="AE36" i="32" s="1"/>
  <c r="AF36" i="32" s="1"/>
  <c r="K37" i="32"/>
  <c r="L37" i="32"/>
  <c r="M37" i="32"/>
  <c r="S37" i="32"/>
  <c r="T37" i="32"/>
  <c r="U37" i="32"/>
  <c r="AD37" i="32"/>
  <c r="AE37" i="32" s="1"/>
  <c r="AF37" i="32" s="1"/>
  <c r="K40" i="32"/>
  <c r="L40" i="32"/>
  <c r="M40" i="32"/>
  <c r="S40" i="32"/>
  <c r="T40" i="32"/>
  <c r="U40" i="32"/>
  <c r="AD40" i="32"/>
  <c r="AE40" i="32" s="1"/>
  <c r="AF40" i="32" s="1"/>
  <c r="K41" i="32"/>
  <c r="L41" i="32"/>
  <c r="M41" i="32"/>
  <c r="S41" i="32"/>
  <c r="T41" i="32"/>
  <c r="U41" i="32"/>
  <c r="AD41" i="32"/>
  <c r="AE41" i="32" s="1"/>
  <c r="AF41" i="32" s="1"/>
  <c r="K42" i="32"/>
  <c r="L42" i="32"/>
  <c r="M42" i="32"/>
  <c r="S42" i="32"/>
  <c r="T42" i="32"/>
  <c r="U42" i="32"/>
  <c r="AD42" i="32"/>
  <c r="AE42" i="32" s="1"/>
  <c r="AF42" i="32" s="1"/>
  <c r="K44" i="32"/>
  <c r="L44" i="32"/>
  <c r="M44" i="32"/>
  <c r="S44" i="32"/>
  <c r="T44" i="32"/>
  <c r="U44" i="32"/>
  <c r="AD44" i="32"/>
  <c r="AE44" i="32" s="1"/>
  <c r="AF44" i="32" s="1"/>
  <c r="K45" i="32"/>
  <c r="L45" i="32"/>
  <c r="M45" i="32"/>
  <c r="S45" i="32"/>
  <c r="T45" i="32"/>
  <c r="U45" i="32"/>
  <c r="AD45" i="32"/>
  <c r="AE45" i="32" s="1"/>
  <c r="AF45" i="32" s="1"/>
  <c r="K46" i="32"/>
  <c r="L46" i="32"/>
  <c r="M46" i="32"/>
  <c r="S46" i="32"/>
  <c r="T46" i="32"/>
  <c r="U46" i="32"/>
  <c r="AD46" i="32"/>
  <c r="AE46" i="32" s="1"/>
  <c r="AF46" i="32" s="1"/>
  <c r="K49" i="32"/>
  <c r="L49" i="32"/>
  <c r="M49" i="32"/>
  <c r="S49" i="32"/>
  <c r="T49" i="32"/>
  <c r="U49" i="32"/>
  <c r="AD49" i="32"/>
  <c r="AE49" i="32" s="1"/>
  <c r="AF49" i="32" s="1"/>
  <c r="K50" i="32"/>
  <c r="L50" i="32"/>
  <c r="M50" i="32"/>
  <c r="S50" i="32"/>
  <c r="T50" i="32"/>
  <c r="U50" i="32"/>
  <c r="AD50" i="32"/>
  <c r="AE50" i="32" s="1"/>
  <c r="AF50" i="32" s="1"/>
  <c r="K51" i="32"/>
  <c r="L51" i="32"/>
  <c r="M51" i="32"/>
  <c r="S51" i="32"/>
  <c r="T51" i="32"/>
  <c r="U51" i="32"/>
  <c r="AD51" i="32"/>
  <c r="AE51" i="32" s="1"/>
  <c r="AF51" i="32" s="1"/>
  <c r="K52" i="32"/>
  <c r="L52" i="32"/>
  <c r="M52" i="32"/>
  <c r="S52" i="32"/>
  <c r="T52" i="32"/>
  <c r="U52" i="32"/>
  <c r="AD52" i="32"/>
  <c r="AE52" i="32" s="1"/>
  <c r="AF52" i="32" s="1"/>
  <c r="K53" i="32"/>
  <c r="L53" i="32"/>
  <c r="M53" i="32"/>
  <c r="S53" i="32"/>
  <c r="T53" i="32"/>
  <c r="U53" i="32"/>
  <c r="AD53" i="32"/>
  <c r="AE53" i="32" s="1"/>
  <c r="AF53" i="32" s="1"/>
  <c r="K54" i="32"/>
  <c r="L54" i="32"/>
  <c r="M54" i="32"/>
  <c r="S54" i="32"/>
  <c r="T54" i="32"/>
  <c r="U54" i="32"/>
  <c r="AD54" i="32"/>
  <c r="AE54" i="32" s="1"/>
  <c r="AF54" i="32" s="1"/>
  <c r="K55" i="32"/>
  <c r="L55" i="32"/>
  <c r="M55" i="32"/>
  <c r="S55" i="32"/>
  <c r="T55" i="32"/>
  <c r="U55" i="32"/>
  <c r="AD55" i="32"/>
  <c r="AE55" i="32" s="1"/>
  <c r="AF55" i="32" s="1"/>
  <c r="K56" i="32"/>
  <c r="L56" i="32"/>
  <c r="M56" i="32"/>
  <c r="S56" i="32"/>
  <c r="T56" i="32"/>
  <c r="U56" i="32"/>
  <c r="AD56" i="32"/>
  <c r="AE56" i="32" s="1"/>
  <c r="AF56" i="32" s="1"/>
  <c r="K57" i="32"/>
  <c r="L57" i="32"/>
  <c r="M57" i="32"/>
  <c r="S57" i="32"/>
  <c r="T57" i="32"/>
  <c r="U57" i="32"/>
  <c r="AD57" i="32"/>
  <c r="AE57" i="32" s="1"/>
  <c r="AF57" i="32" s="1"/>
  <c r="K58" i="32"/>
  <c r="L58" i="32"/>
  <c r="M58" i="32"/>
  <c r="S58" i="32"/>
  <c r="T58" i="32"/>
  <c r="U58" i="32"/>
  <c r="AD58" i="32"/>
  <c r="AE58" i="32" s="1"/>
  <c r="AF58" i="32" s="1"/>
  <c r="K61" i="32"/>
  <c r="L61" i="32"/>
  <c r="M61" i="32"/>
  <c r="S61" i="32"/>
  <c r="T61" i="32"/>
  <c r="U61" i="32"/>
  <c r="AD61" i="32"/>
  <c r="AE61" i="32" s="1"/>
  <c r="AF61" i="32" s="1"/>
  <c r="K62" i="32"/>
  <c r="L62" i="32"/>
  <c r="M62" i="32"/>
  <c r="S62" i="32"/>
  <c r="T62" i="32"/>
  <c r="U62" i="32"/>
  <c r="AD62" i="32"/>
  <c r="AE62" i="32" s="1"/>
  <c r="AF62" i="32" s="1"/>
  <c r="K63" i="32"/>
  <c r="L63" i="32"/>
  <c r="M63" i="32"/>
  <c r="S63" i="32"/>
  <c r="T63" i="32"/>
  <c r="U63" i="32"/>
  <c r="AD63" i="32"/>
  <c r="AE63" i="32" s="1"/>
  <c r="AF63" i="32" s="1"/>
  <c r="K64" i="32"/>
  <c r="L64" i="32"/>
  <c r="M64" i="32"/>
  <c r="S64" i="32"/>
  <c r="T64" i="32"/>
  <c r="U64" i="32"/>
  <c r="AD64" i="32"/>
  <c r="AE64" i="32" s="1"/>
  <c r="AF64" i="32" s="1"/>
  <c r="K65" i="32"/>
  <c r="L65" i="32"/>
  <c r="M65" i="32"/>
  <c r="S65" i="32"/>
  <c r="T65" i="32"/>
  <c r="U65" i="32"/>
  <c r="AD65" i="32"/>
  <c r="AE65" i="32" s="1"/>
  <c r="AF65" i="32" s="1"/>
  <c r="K67" i="32"/>
  <c r="L67" i="32"/>
  <c r="M67" i="32"/>
  <c r="S67" i="32"/>
  <c r="T67" i="32"/>
  <c r="U67" i="32"/>
  <c r="AD67" i="32"/>
  <c r="AE67" i="32" s="1"/>
  <c r="AF67" i="32" s="1"/>
  <c r="K68" i="32"/>
  <c r="L68" i="32"/>
  <c r="M68" i="32"/>
  <c r="S68" i="32"/>
  <c r="T68" i="32"/>
  <c r="U68" i="32"/>
  <c r="AD68" i="32"/>
  <c r="AE68" i="32" s="1"/>
  <c r="AF68" i="32" s="1"/>
  <c r="K69" i="32"/>
  <c r="L69" i="32"/>
  <c r="M69" i="32"/>
  <c r="S69" i="32"/>
  <c r="T69" i="32"/>
  <c r="U69" i="32"/>
  <c r="AD69" i="32"/>
  <c r="AE69" i="32" s="1"/>
  <c r="AF69" i="32" s="1"/>
  <c r="K70" i="32"/>
  <c r="L70" i="32"/>
  <c r="M70" i="32"/>
  <c r="S70" i="32"/>
  <c r="T70" i="32"/>
  <c r="U70" i="32"/>
  <c r="AD70" i="32"/>
  <c r="AE70" i="32" s="1"/>
  <c r="AF70" i="32" s="1"/>
  <c r="K71" i="32"/>
  <c r="L71" i="32"/>
  <c r="M71" i="32"/>
  <c r="S71" i="32"/>
  <c r="T71" i="32"/>
  <c r="U71" i="32"/>
  <c r="AD71" i="32"/>
  <c r="AE71" i="32" s="1"/>
  <c r="AF71" i="32" s="1"/>
  <c r="K72" i="32"/>
  <c r="L72" i="32"/>
  <c r="M72" i="32"/>
  <c r="S72" i="32"/>
  <c r="T72" i="32"/>
  <c r="U72" i="32"/>
  <c r="AD72" i="32"/>
  <c r="AE72" i="32" s="1"/>
  <c r="AF72" i="32" s="1"/>
  <c r="K74" i="32"/>
  <c r="L74" i="32"/>
  <c r="M74" i="32"/>
  <c r="S74" i="32"/>
  <c r="T74" i="32"/>
  <c r="U74" i="32"/>
  <c r="AD74" i="32"/>
  <c r="AE74" i="32" s="1"/>
  <c r="AF74" i="32" s="1"/>
  <c r="K75" i="32"/>
  <c r="L75" i="32"/>
  <c r="M75" i="32"/>
  <c r="S75" i="32"/>
  <c r="T75" i="32"/>
  <c r="U75" i="32"/>
  <c r="AD75" i="32"/>
  <c r="AE75" i="32" s="1"/>
  <c r="AF75" i="32" s="1"/>
  <c r="K77" i="32"/>
  <c r="L77" i="32"/>
  <c r="M77" i="32"/>
  <c r="S77" i="32"/>
  <c r="T77" i="32"/>
  <c r="U77" i="32"/>
  <c r="AD77" i="32"/>
  <c r="AE77" i="32" s="1"/>
  <c r="AF77" i="32" s="1"/>
  <c r="K78" i="32"/>
  <c r="L78" i="32"/>
  <c r="M78" i="32"/>
  <c r="S78" i="32"/>
  <c r="T78" i="32"/>
  <c r="U78" i="32"/>
  <c r="AD78" i="32"/>
  <c r="AE78" i="32" s="1"/>
  <c r="AF78" i="32" s="1"/>
  <c r="K79" i="32"/>
  <c r="L79" i="32"/>
  <c r="M79" i="32"/>
  <c r="S79" i="32"/>
  <c r="T79" i="32"/>
  <c r="U79" i="32"/>
  <c r="AD79" i="32"/>
  <c r="AE79" i="32" s="1"/>
  <c r="AF79" i="32" s="1"/>
  <c r="AC144" i="32"/>
  <c r="AB144" i="32"/>
  <c r="Z144" i="32"/>
  <c r="Y144" i="32"/>
  <c r="X144" i="32"/>
  <c r="W144" i="32"/>
  <c r="V144" i="32"/>
  <c r="R144" i="32"/>
  <c r="Q144" i="32"/>
  <c r="P144" i="32"/>
  <c r="O144" i="32"/>
  <c r="N144" i="32"/>
  <c r="J144" i="32"/>
  <c r="I144" i="32"/>
  <c r="H144" i="32"/>
  <c r="G144" i="32"/>
  <c r="F144" i="32"/>
  <c r="E144" i="32"/>
  <c r="D144" i="32"/>
  <c r="C144" i="32"/>
  <c r="AD142" i="32"/>
  <c r="AE142" i="32" s="1"/>
  <c r="AF142" i="32" s="1"/>
  <c r="U142" i="32"/>
  <c r="T142" i="32"/>
  <c r="S142" i="32"/>
  <c r="M142" i="32"/>
  <c r="L142" i="32"/>
  <c r="K142" i="32"/>
  <c r="AD133" i="32"/>
  <c r="AE133" i="32" s="1"/>
  <c r="AF133" i="32" s="1"/>
  <c r="U133" i="32"/>
  <c r="T133" i="32"/>
  <c r="S133" i="32"/>
  <c r="M133" i="32"/>
  <c r="L133" i="32"/>
  <c r="K133" i="32"/>
  <c r="Z129" i="32"/>
  <c r="Y129" i="32"/>
  <c r="X129" i="32"/>
  <c r="AD127" i="32"/>
  <c r="AE127" i="32" s="1"/>
  <c r="AF127" i="32" s="1"/>
  <c r="U127" i="32"/>
  <c r="T127" i="32"/>
  <c r="S127" i="32"/>
  <c r="M127" i="32"/>
  <c r="L127" i="32"/>
  <c r="K127" i="32"/>
  <c r="AC119" i="32"/>
  <c r="AB119" i="32"/>
  <c r="W119" i="32"/>
  <c r="V119" i="32"/>
  <c r="R119" i="32"/>
  <c r="Q119" i="32"/>
  <c r="P119" i="32"/>
  <c r="O119" i="32"/>
  <c r="N119" i="32"/>
  <c r="J119" i="32"/>
  <c r="I119" i="32"/>
  <c r="H119" i="32"/>
  <c r="G119" i="32"/>
  <c r="F119" i="32"/>
  <c r="E119" i="32"/>
  <c r="D119" i="32"/>
  <c r="C119" i="32"/>
  <c r="AD117" i="32"/>
  <c r="AE117" i="32" s="1"/>
  <c r="AF117" i="32" s="1"/>
  <c r="U117" i="32"/>
  <c r="T117" i="32"/>
  <c r="S117" i="32"/>
  <c r="M117" i="32"/>
  <c r="L117" i="32"/>
  <c r="K117" i="32"/>
  <c r="AD116" i="32"/>
  <c r="AE116" i="32" s="1"/>
  <c r="AF116" i="32" s="1"/>
  <c r="U116" i="32"/>
  <c r="T116" i="32"/>
  <c r="S116" i="32"/>
  <c r="M116" i="32"/>
  <c r="L116" i="32"/>
  <c r="K116" i="32"/>
  <c r="AC106" i="32"/>
  <c r="AB106" i="32"/>
  <c r="W106" i="32"/>
  <c r="V106" i="32"/>
  <c r="R106" i="32"/>
  <c r="Q106" i="32"/>
  <c r="P106" i="32"/>
  <c r="O106" i="32"/>
  <c r="N106" i="32"/>
  <c r="J106" i="32"/>
  <c r="I106" i="32"/>
  <c r="H106" i="32"/>
  <c r="G106" i="32"/>
  <c r="F106" i="32"/>
  <c r="E106" i="32"/>
  <c r="D106" i="32"/>
  <c r="C106" i="32"/>
  <c r="AC104" i="32"/>
  <c r="AB104" i="32"/>
  <c r="Z104" i="32"/>
  <c r="Y104" i="32"/>
  <c r="X104" i="32"/>
  <c r="W104" i="32"/>
  <c r="V104" i="32"/>
  <c r="R104" i="32"/>
  <c r="Q104" i="32"/>
  <c r="P104" i="32"/>
  <c r="O104" i="32"/>
  <c r="N104" i="32"/>
  <c r="J104" i="32"/>
  <c r="I104" i="32"/>
  <c r="H104" i="32"/>
  <c r="G104" i="32"/>
  <c r="F104" i="32"/>
  <c r="E104" i="32"/>
  <c r="D104" i="32"/>
  <c r="C104" i="32"/>
  <c r="AD102" i="32"/>
  <c r="AE102" i="32" s="1"/>
  <c r="AF102" i="32" s="1"/>
  <c r="U102" i="32"/>
  <c r="T102" i="32"/>
  <c r="S102" i="32"/>
  <c r="M102" i="32"/>
  <c r="L102" i="32"/>
  <c r="K102" i="32"/>
  <c r="AD101" i="32"/>
  <c r="AE101" i="32" s="1"/>
  <c r="AF101" i="32" s="1"/>
  <c r="U101" i="32"/>
  <c r="T101" i="32"/>
  <c r="S101" i="32"/>
  <c r="M101" i="32"/>
  <c r="L101" i="32"/>
  <c r="K101" i="32"/>
  <c r="AD100" i="32"/>
  <c r="AE100" i="32" s="1"/>
  <c r="AF100" i="32" s="1"/>
  <c r="U100" i="32"/>
  <c r="T100" i="32"/>
  <c r="S100" i="32"/>
  <c r="M100" i="32"/>
  <c r="L100" i="32"/>
  <c r="K100" i="32"/>
  <c r="AD99" i="32"/>
  <c r="AE99" i="32" s="1"/>
  <c r="AF99" i="32" s="1"/>
  <c r="U99" i="32"/>
  <c r="T99" i="32"/>
  <c r="S99" i="32"/>
  <c r="M99" i="32"/>
  <c r="L99" i="32"/>
  <c r="K99" i="32"/>
  <c r="AD98" i="32"/>
  <c r="AE98" i="32" s="1"/>
  <c r="AF98" i="32" s="1"/>
  <c r="U98" i="32"/>
  <c r="T98" i="32"/>
  <c r="S98" i="32"/>
  <c r="M98" i="32"/>
  <c r="L98" i="32"/>
  <c r="K98" i="32"/>
  <c r="AD97" i="32"/>
  <c r="AE97" i="32" s="1"/>
  <c r="AF97" i="32" s="1"/>
  <c r="U97" i="32"/>
  <c r="T97" i="32"/>
  <c r="S97" i="32"/>
  <c r="M97" i="32"/>
  <c r="L97" i="32"/>
  <c r="K97" i="32"/>
  <c r="AD96" i="32"/>
  <c r="AE96" i="32" s="1"/>
  <c r="AF96" i="32" s="1"/>
  <c r="U96" i="32"/>
  <c r="T96" i="32"/>
  <c r="S96" i="32"/>
  <c r="M96" i="32"/>
  <c r="L96" i="32"/>
  <c r="K96" i="32"/>
  <c r="AD95" i="32"/>
  <c r="AE95" i="32" s="1"/>
  <c r="AF95" i="32" s="1"/>
  <c r="U95" i="32"/>
  <c r="T95" i="32"/>
  <c r="S95" i="32"/>
  <c r="M95" i="32"/>
  <c r="L95" i="32"/>
  <c r="K95" i="32"/>
  <c r="AD94" i="32"/>
  <c r="AE94" i="32" s="1"/>
  <c r="AF94" i="32" s="1"/>
  <c r="U94" i="32"/>
  <c r="T94" i="32"/>
  <c r="S94" i="32"/>
  <c r="M94" i="32"/>
  <c r="L94" i="32"/>
  <c r="K94" i="32"/>
  <c r="AD93" i="32"/>
  <c r="AE93" i="32" s="1"/>
  <c r="AF93" i="32" s="1"/>
  <c r="U93" i="32"/>
  <c r="T93" i="32"/>
  <c r="S93" i="32"/>
  <c r="M93" i="32"/>
  <c r="L93" i="32"/>
  <c r="K93" i="32"/>
  <c r="AD92" i="32"/>
  <c r="AE92" i="32" s="1"/>
  <c r="AF92" i="32" s="1"/>
  <c r="U92" i="32"/>
  <c r="T92" i="32"/>
  <c r="S92" i="32"/>
  <c r="M92" i="32"/>
  <c r="L92" i="32"/>
  <c r="K92" i="32"/>
  <c r="AD91" i="32"/>
  <c r="AE91" i="32" s="1"/>
  <c r="AF91" i="32" s="1"/>
  <c r="U91" i="32"/>
  <c r="T91" i="32"/>
  <c r="S91" i="32"/>
  <c r="M91" i="32"/>
  <c r="L91" i="32"/>
  <c r="K91" i="32"/>
  <c r="AD90" i="32"/>
  <c r="AE90" i="32" s="1"/>
  <c r="AF90" i="32" s="1"/>
  <c r="U90" i="32"/>
  <c r="T90" i="32"/>
  <c r="S90" i="32"/>
  <c r="M90" i="32"/>
  <c r="L90" i="32"/>
  <c r="K90" i="32"/>
  <c r="AD89" i="32"/>
  <c r="AE89" i="32" s="1"/>
  <c r="AF89" i="32" s="1"/>
  <c r="U89" i="32"/>
  <c r="T89" i="32"/>
  <c r="S89" i="32"/>
  <c r="M89" i="32"/>
  <c r="L89" i="32"/>
  <c r="K89" i="32"/>
  <c r="AD88" i="32"/>
  <c r="AE88" i="32" s="1"/>
  <c r="AF88" i="32" s="1"/>
  <c r="U88" i="32"/>
  <c r="T88" i="32"/>
  <c r="S88" i="32"/>
  <c r="M88" i="32"/>
  <c r="L88" i="32"/>
  <c r="K88" i="32"/>
  <c r="AD87" i="32"/>
  <c r="AE87" i="32" s="1"/>
  <c r="AF87" i="32" s="1"/>
  <c r="U87" i="32"/>
  <c r="T87" i="32"/>
  <c r="S87" i="32"/>
  <c r="M87" i="32"/>
  <c r="L87" i="32"/>
  <c r="K87" i="32"/>
  <c r="AD86" i="32"/>
  <c r="AE86" i="32" s="1"/>
  <c r="AF86" i="32" s="1"/>
  <c r="U86" i="32"/>
  <c r="T86" i="32"/>
  <c r="S86" i="32"/>
  <c r="M86" i="32"/>
  <c r="L86" i="32"/>
  <c r="K86" i="32"/>
  <c r="AD85" i="32"/>
  <c r="U85" i="32"/>
  <c r="T85" i="32"/>
  <c r="S85" i="32"/>
  <c r="M85" i="32"/>
  <c r="L85" i="32"/>
  <c r="K85" i="32"/>
  <c r="Z83" i="32"/>
  <c r="Y83" i="32"/>
  <c r="X83" i="32"/>
  <c r="A179" i="4"/>
  <c r="B179" i="4"/>
  <c r="C179" i="4"/>
  <c r="D179" i="4"/>
  <c r="E179" i="4"/>
  <c r="B180" i="4"/>
  <c r="C180" i="4"/>
  <c r="D180" i="4"/>
  <c r="E180" i="4"/>
  <c r="C181" i="4"/>
  <c r="D181" i="4"/>
  <c r="E181" i="4"/>
  <c r="D182" i="4"/>
  <c r="E182" i="4"/>
  <c r="A5" i="31"/>
  <c r="AC144" i="31"/>
  <c r="AB144" i="31"/>
  <c r="Z144" i="31"/>
  <c r="Y144" i="31"/>
  <c r="X144" i="31"/>
  <c r="W144" i="31"/>
  <c r="V144" i="31"/>
  <c r="R144" i="31"/>
  <c r="Q144" i="31"/>
  <c r="P144" i="31"/>
  <c r="O144" i="31"/>
  <c r="N144" i="31"/>
  <c r="J144" i="31"/>
  <c r="I144" i="31"/>
  <c r="H144" i="31"/>
  <c r="G144" i="31"/>
  <c r="F144" i="31"/>
  <c r="E144" i="31"/>
  <c r="D144" i="31"/>
  <c r="C144" i="31"/>
  <c r="AD142" i="31"/>
  <c r="AE142" i="31" s="1"/>
  <c r="AF142" i="31" s="1"/>
  <c r="U142" i="31"/>
  <c r="T142" i="31"/>
  <c r="S142" i="31"/>
  <c r="M142" i="31"/>
  <c r="L142" i="31"/>
  <c r="K142" i="31"/>
  <c r="AD141" i="31"/>
  <c r="AE141" i="31" s="1"/>
  <c r="AF141" i="31" s="1"/>
  <c r="U141" i="31"/>
  <c r="T141" i="31"/>
  <c r="S141" i="31"/>
  <c r="M141" i="31"/>
  <c r="L141" i="31"/>
  <c r="K141" i="31"/>
  <c r="AD140" i="31"/>
  <c r="AE140" i="31" s="1"/>
  <c r="AF140" i="31" s="1"/>
  <c r="U140" i="31"/>
  <c r="T140" i="31"/>
  <c r="S140" i="31"/>
  <c r="M140" i="31"/>
  <c r="L140" i="31"/>
  <c r="K140" i="31"/>
  <c r="AD139" i="31"/>
  <c r="AE139" i="31" s="1"/>
  <c r="U139" i="31"/>
  <c r="T139" i="31"/>
  <c r="S139" i="31"/>
  <c r="M139" i="31"/>
  <c r="L139" i="31"/>
  <c r="K139" i="31"/>
  <c r="AD133" i="31"/>
  <c r="AE133" i="31" s="1"/>
  <c r="AF133" i="31" s="1"/>
  <c r="U133" i="31"/>
  <c r="T133" i="31"/>
  <c r="S133" i="31"/>
  <c r="M133" i="31"/>
  <c r="L133" i="31"/>
  <c r="K133" i="31"/>
  <c r="Z129" i="31"/>
  <c r="Y129" i="31"/>
  <c r="X129" i="31"/>
  <c r="AD127" i="31"/>
  <c r="AE127" i="31" s="1"/>
  <c r="AF127" i="31" s="1"/>
  <c r="U127" i="31"/>
  <c r="T127" i="31"/>
  <c r="S127" i="31"/>
  <c r="M127" i="31"/>
  <c r="L127" i="31"/>
  <c r="K127" i="31"/>
  <c r="AD126" i="31"/>
  <c r="AE126" i="31" s="1"/>
  <c r="AF126" i="31" s="1"/>
  <c r="U126" i="31"/>
  <c r="T126" i="31"/>
  <c r="S126" i="31"/>
  <c r="M126" i="31"/>
  <c r="L126" i="31"/>
  <c r="K126" i="31"/>
  <c r="AD125" i="31"/>
  <c r="AE125" i="31" s="1"/>
  <c r="AF125" i="31" s="1"/>
  <c r="U125" i="31"/>
  <c r="T125" i="31"/>
  <c r="S125" i="31"/>
  <c r="M125" i="31"/>
  <c r="L125" i="31"/>
  <c r="K125" i="31"/>
  <c r="AD124" i="31"/>
  <c r="AE124" i="31" s="1"/>
  <c r="AF124" i="31" s="1"/>
  <c r="U124" i="31"/>
  <c r="T124" i="31"/>
  <c r="S124" i="31"/>
  <c r="M124" i="31"/>
  <c r="L124" i="31"/>
  <c r="K124" i="31"/>
  <c r="AD123" i="31"/>
  <c r="AE123" i="31" s="1"/>
  <c r="AF123" i="31" s="1"/>
  <c r="U123" i="31"/>
  <c r="T123" i="31"/>
  <c r="S123" i="31"/>
  <c r="M123" i="31"/>
  <c r="L123" i="31"/>
  <c r="K123" i="31"/>
  <c r="AD122" i="31"/>
  <c r="AE122" i="31" s="1"/>
  <c r="AF122" i="31" s="1"/>
  <c r="U122" i="31"/>
  <c r="T122" i="31"/>
  <c r="S122" i="31"/>
  <c r="M122" i="31"/>
  <c r="L122" i="31"/>
  <c r="K122" i="31"/>
  <c r="AD121" i="31"/>
  <c r="AE121" i="31" s="1"/>
  <c r="AF121" i="31" s="1"/>
  <c r="U121" i="31"/>
  <c r="T121" i="31"/>
  <c r="S121" i="31"/>
  <c r="M121" i="31"/>
  <c r="L121" i="31"/>
  <c r="K121" i="31"/>
  <c r="AD120" i="31"/>
  <c r="U120" i="31"/>
  <c r="T120" i="31"/>
  <c r="S120" i="31"/>
  <c r="M120" i="31"/>
  <c r="L120" i="31"/>
  <c r="K120" i="31"/>
  <c r="AC119" i="31"/>
  <c r="AB119" i="31"/>
  <c r="W119" i="31"/>
  <c r="V119" i="31"/>
  <c r="R119" i="31"/>
  <c r="Q119" i="31"/>
  <c r="P119" i="31"/>
  <c r="O119" i="31"/>
  <c r="N119" i="31"/>
  <c r="J119" i="31"/>
  <c r="I119" i="31"/>
  <c r="H119" i="31"/>
  <c r="G119" i="31"/>
  <c r="F119" i="31"/>
  <c r="E119" i="31"/>
  <c r="D119" i="31"/>
  <c r="C119" i="31"/>
  <c r="AD117" i="31"/>
  <c r="AE117" i="31" s="1"/>
  <c r="AF117" i="31" s="1"/>
  <c r="U117" i="31"/>
  <c r="T117" i="31"/>
  <c r="S117" i="31"/>
  <c r="M117" i="31"/>
  <c r="L117" i="31"/>
  <c r="K117" i="31"/>
  <c r="AD116" i="31"/>
  <c r="AE116" i="31" s="1"/>
  <c r="AF116" i="31" s="1"/>
  <c r="U116" i="31"/>
  <c r="T116" i="31"/>
  <c r="S116" i="31"/>
  <c r="M116" i="31"/>
  <c r="L116" i="31"/>
  <c r="K116" i="31"/>
  <c r="AD115" i="31"/>
  <c r="AE115" i="31" s="1"/>
  <c r="AF115" i="31" s="1"/>
  <c r="U115" i="31"/>
  <c r="T115" i="31"/>
  <c r="S115" i="31"/>
  <c r="M115" i="31"/>
  <c r="L115" i="31"/>
  <c r="K115" i="31"/>
  <c r="AD114" i="31"/>
  <c r="AE114" i="31" s="1"/>
  <c r="AF114" i="31" s="1"/>
  <c r="U114" i="31"/>
  <c r="T114" i="31"/>
  <c r="S114" i="31"/>
  <c r="M114" i="31"/>
  <c r="L114" i="31"/>
  <c r="K114" i="31"/>
  <c r="AD113" i="31"/>
  <c r="AE113" i="31" s="1"/>
  <c r="AF113" i="31" s="1"/>
  <c r="U113" i="31"/>
  <c r="T113" i="31"/>
  <c r="S113" i="31"/>
  <c r="M113" i="31"/>
  <c r="L113" i="31"/>
  <c r="K113" i="31"/>
  <c r="AD112" i="31"/>
  <c r="AE112" i="31" s="1"/>
  <c r="AF112" i="31" s="1"/>
  <c r="U112" i="31"/>
  <c r="T112" i="31"/>
  <c r="S112" i="31"/>
  <c r="M112" i="31"/>
  <c r="L112" i="31"/>
  <c r="K112" i="31"/>
  <c r="AD111" i="31"/>
  <c r="AE111" i="31" s="1"/>
  <c r="AF111" i="31" s="1"/>
  <c r="U111" i="31"/>
  <c r="T111" i="31"/>
  <c r="S111" i="31"/>
  <c r="M111" i="31"/>
  <c r="L111" i="31"/>
  <c r="K111" i="31"/>
  <c r="AD110" i="31"/>
  <c r="AE110" i="31" s="1"/>
  <c r="AF110" i="31" s="1"/>
  <c r="U110" i="31"/>
  <c r="T110" i="31"/>
  <c r="S110" i="31"/>
  <c r="M110" i="31"/>
  <c r="L110" i="31"/>
  <c r="K110" i="31"/>
  <c r="AD109" i="31"/>
  <c r="AE109" i="31" s="1"/>
  <c r="AF109" i="31" s="1"/>
  <c r="U109" i="31"/>
  <c r="T109" i="31"/>
  <c r="S109" i="31"/>
  <c r="M109" i="31"/>
  <c r="L109" i="31"/>
  <c r="K109" i="31"/>
  <c r="AD108" i="31"/>
  <c r="AE108" i="31" s="1"/>
  <c r="AF108" i="31" s="1"/>
  <c r="U108" i="31"/>
  <c r="T108" i="31"/>
  <c r="S108" i="31"/>
  <c r="M108" i="31"/>
  <c r="L108" i="31"/>
  <c r="K108" i="31"/>
  <c r="AD107" i="31"/>
  <c r="AE107" i="31" s="1"/>
  <c r="U107" i="31"/>
  <c r="T107" i="31"/>
  <c r="S107" i="31"/>
  <c r="M107" i="31"/>
  <c r="L107" i="31"/>
  <c r="K107" i="31"/>
  <c r="AC106" i="31"/>
  <c r="AB106" i="31"/>
  <c r="W106" i="31"/>
  <c r="V106" i="31"/>
  <c r="R106" i="31"/>
  <c r="Q106" i="31"/>
  <c r="P106" i="31"/>
  <c r="O106" i="31"/>
  <c r="N106" i="31"/>
  <c r="J106" i="31"/>
  <c r="I106" i="31"/>
  <c r="H106" i="31"/>
  <c r="G106" i="31"/>
  <c r="F106" i="31"/>
  <c r="E106" i="31"/>
  <c r="D106" i="31"/>
  <c r="C106" i="31"/>
  <c r="AC104" i="31"/>
  <c r="AB104" i="31"/>
  <c r="Z104" i="31"/>
  <c r="Y104" i="31"/>
  <c r="X104" i="31"/>
  <c r="W104" i="31"/>
  <c r="V104" i="31"/>
  <c r="R104" i="31"/>
  <c r="Q104" i="31"/>
  <c r="P104" i="31"/>
  <c r="O104" i="31"/>
  <c r="N104" i="31"/>
  <c r="J104" i="31"/>
  <c r="I104" i="31"/>
  <c r="H104" i="31"/>
  <c r="G104" i="31"/>
  <c r="F104" i="31"/>
  <c r="E104" i="31"/>
  <c r="D104" i="31"/>
  <c r="C104" i="31"/>
  <c r="AD102" i="31"/>
  <c r="AE102" i="31" s="1"/>
  <c r="AF102" i="31" s="1"/>
  <c r="U102" i="31"/>
  <c r="T102" i="31"/>
  <c r="S102" i="31"/>
  <c r="M102" i="31"/>
  <c r="L102" i="31"/>
  <c r="K102" i="31"/>
  <c r="AD101" i="31"/>
  <c r="AE101" i="31" s="1"/>
  <c r="AF101" i="31" s="1"/>
  <c r="U101" i="31"/>
  <c r="T101" i="31"/>
  <c r="S101" i="31"/>
  <c r="M101" i="31"/>
  <c r="L101" i="31"/>
  <c r="K101" i="31"/>
  <c r="AD100" i="31"/>
  <c r="AE100" i="31" s="1"/>
  <c r="AF100" i="31" s="1"/>
  <c r="U100" i="31"/>
  <c r="T100" i="31"/>
  <c r="S100" i="31"/>
  <c r="M100" i="31"/>
  <c r="L100" i="31"/>
  <c r="K100" i="31"/>
  <c r="AD99" i="31"/>
  <c r="AE99" i="31" s="1"/>
  <c r="AF99" i="31" s="1"/>
  <c r="U99" i="31"/>
  <c r="T99" i="31"/>
  <c r="S99" i="31"/>
  <c r="M99" i="31"/>
  <c r="L99" i="31"/>
  <c r="K99" i="31"/>
  <c r="AD98" i="31"/>
  <c r="AE98" i="31" s="1"/>
  <c r="AF98" i="31" s="1"/>
  <c r="U98" i="31"/>
  <c r="T98" i="31"/>
  <c r="S98" i="31"/>
  <c r="M98" i="31"/>
  <c r="L98" i="31"/>
  <c r="K98" i="31"/>
  <c r="AD97" i="31"/>
  <c r="AE97" i="31" s="1"/>
  <c r="AF97" i="31" s="1"/>
  <c r="U97" i="31"/>
  <c r="T97" i="31"/>
  <c r="S97" i="31"/>
  <c r="M97" i="31"/>
  <c r="L97" i="31"/>
  <c r="K97" i="31"/>
  <c r="AD96" i="31"/>
  <c r="AE96" i="31" s="1"/>
  <c r="AF96" i="31" s="1"/>
  <c r="U96" i="31"/>
  <c r="T96" i="31"/>
  <c r="S96" i="31"/>
  <c r="M96" i="31"/>
  <c r="L96" i="31"/>
  <c r="K96" i="31"/>
  <c r="AD95" i="31"/>
  <c r="AE95" i="31" s="1"/>
  <c r="AF95" i="31" s="1"/>
  <c r="U95" i="31"/>
  <c r="T95" i="31"/>
  <c r="S95" i="31"/>
  <c r="M95" i="31"/>
  <c r="L95" i="31"/>
  <c r="K95" i="31"/>
  <c r="AD94" i="31"/>
  <c r="AE94" i="31" s="1"/>
  <c r="AF94" i="31" s="1"/>
  <c r="U94" i="31"/>
  <c r="T94" i="31"/>
  <c r="S94" i="31"/>
  <c r="M94" i="31"/>
  <c r="L94" i="31"/>
  <c r="K94" i="31"/>
  <c r="AD93" i="31"/>
  <c r="AE93" i="31" s="1"/>
  <c r="AF93" i="31" s="1"/>
  <c r="U93" i="31"/>
  <c r="T93" i="31"/>
  <c r="S93" i="31"/>
  <c r="M93" i="31"/>
  <c r="L93" i="31"/>
  <c r="K93" i="31"/>
  <c r="AD92" i="31"/>
  <c r="AE92" i="31" s="1"/>
  <c r="AF92" i="31" s="1"/>
  <c r="U92" i="31"/>
  <c r="T92" i="31"/>
  <c r="S92" i="31"/>
  <c r="M92" i="31"/>
  <c r="L92" i="31"/>
  <c r="K92" i="31"/>
  <c r="AD91" i="31"/>
  <c r="AE91" i="31" s="1"/>
  <c r="AF91" i="31" s="1"/>
  <c r="U91" i="31"/>
  <c r="T91" i="31"/>
  <c r="S91" i="31"/>
  <c r="M91" i="31"/>
  <c r="L91" i="31"/>
  <c r="K91" i="31"/>
  <c r="AD90" i="31"/>
  <c r="AE90" i="31" s="1"/>
  <c r="AF90" i="31" s="1"/>
  <c r="U90" i="31"/>
  <c r="T90" i="31"/>
  <c r="S90" i="31"/>
  <c r="M90" i="31"/>
  <c r="L90" i="31"/>
  <c r="K90" i="31"/>
  <c r="AD89" i="31"/>
  <c r="AE89" i="31" s="1"/>
  <c r="AF89" i="31" s="1"/>
  <c r="U89" i="31"/>
  <c r="T89" i="31"/>
  <c r="S89" i="31"/>
  <c r="M89" i="31"/>
  <c r="L89" i="31"/>
  <c r="K89" i="31"/>
  <c r="AD88" i="31"/>
  <c r="AE88" i="31" s="1"/>
  <c r="AF88" i="31" s="1"/>
  <c r="U88" i="31"/>
  <c r="T88" i="31"/>
  <c r="S88" i="31"/>
  <c r="M88" i="31"/>
  <c r="L88" i="31"/>
  <c r="K88" i="31"/>
  <c r="AD87" i="31"/>
  <c r="AE87" i="31" s="1"/>
  <c r="AF87" i="31" s="1"/>
  <c r="U87" i="31"/>
  <c r="T87" i="31"/>
  <c r="S87" i="31"/>
  <c r="M87" i="31"/>
  <c r="L87" i="31"/>
  <c r="K87" i="31"/>
  <c r="AD86" i="31"/>
  <c r="AE86" i="31" s="1"/>
  <c r="AF86" i="31" s="1"/>
  <c r="U86" i="31"/>
  <c r="T86" i="31"/>
  <c r="S86" i="31"/>
  <c r="M86" i="31"/>
  <c r="L86" i="31"/>
  <c r="K86" i="31"/>
  <c r="AD85" i="31"/>
  <c r="AE85" i="31" s="1"/>
  <c r="AF85" i="31" s="1"/>
  <c r="U85" i="31"/>
  <c r="T85" i="31"/>
  <c r="S85" i="31"/>
  <c r="M85" i="31"/>
  <c r="L85" i="31"/>
  <c r="K85" i="31"/>
  <c r="Z83" i="31"/>
  <c r="Y83" i="31"/>
  <c r="X83" i="31"/>
  <c r="W80" i="31"/>
  <c r="V80" i="31"/>
  <c r="R80" i="31"/>
  <c r="Q80" i="31"/>
  <c r="P80" i="31"/>
  <c r="O80" i="31"/>
  <c r="N80" i="31"/>
  <c r="J80" i="31"/>
  <c r="I80" i="31"/>
  <c r="H80" i="31"/>
  <c r="G80" i="31"/>
  <c r="F80" i="31"/>
  <c r="E80" i="31"/>
  <c r="D80" i="31"/>
  <c r="C80" i="31"/>
  <c r="AD79" i="31"/>
  <c r="AE79" i="31" s="1"/>
  <c r="AF79" i="31" s="1"/>
  <c r="U79" i="31"/>
  <c r="T79" i="31"/>
  <c r="S79" i="31"/>
  <c r="M79" i="31"/>
  <c r="L79" i="31"/>
  <c r="K79" i="31"/>
  <c r="AD78" i="31"/>
  <c r="AE78" i="31" s="1"/>
  <c r="AF78" i="31" s="1"/>
  <c r="U78" i="31"/>
  <c r="T78" i="31"/>
  <c r="S78" i="31"/>
  <c r="M78" i="31"/>
  <c r="L78" i="31"/>
  <c r="K78" i="31"/>
  <c r="AD77" i="31"/>
  <c r="AE77" i="31" s="1"/>
  <c r="AF77" i="31" s="1"/>
  <c r="U77" i="31"/>
  <c r="T77" i="31"/>
  <c r="S77" i="31"/>
  <c r="M77" i="31"/>
  <c r="L77" i="31"/>
  <c r="K77" i="31"/>
  <c r="W76" i="31"/>
  <c r="V76" i="31"/>
  <c r="R76" i="31"/>
  <c r="Q76" i="31"/>
  <c r="P76" i="31"/>
  <c r="O76" i="31"/>
  <c r="N76" i="31"/>
  <c r="J76" i="31"/>
  <c r="I76" i="31"/>
  <c r="H76" i="31"/>
  <c r="G76" i="31"/>
  <c r="F76" i="31"/>
  <c r="E76" i="31"/>
  <c r="D76" i="31"/>
  <c r="C76" i="31"/>
  <c r="AD75" i="31"/>
  <c r="AE75" i="31" s="1"/>
  <c r="AF75" i="31" s="1"/>
  <c r="U75" i="31"/>
  <c r="T75" i="31"/>
  <c r="S75" i="31"/>
  <c r="M75" i="31"/>
  <c r="L75" i="31"/>
  <c r="K75" i="31"/>
  <c r="AD74" i="31"/>
  <c r="AE74" i="31" s="1"/>
  <c r="AF74" i="31" s="1"/>
  <c r="U74" i="31"/>
  <c r="T74" i="31"/>
  <c r="S74" i="31"/>
  <c r="M74" i="31"/>
  <c r="L74" i="31"/>
  <c r="K74" i="31"/>
  <c r="W73" i="31"/>
  <c r="V73" i="31"/>
  <c r="R73" i="31"/>
  <c r="Q73" i="31"/>
  <c r="P73" i="31"/>
  <c r="O73" i="31"/>
  <c r="N73" i="31"/>
  <c r="J73" i="31"/>
  <c r="I73" i="31"/>
  <c r="H73" i="31"/>
  <c r="G73" i="31"/>
  <c r="F73" i="31"/>
  <c r="E73" i="31"/>
  <c r="D73" i="31"/>
  <c r="C73" i="31"/>
  <c r="AD72" i="31"/>
  <c r="AE72" i="31" s="1"/>
  <c r="AF72" i="31" s="1"/>
  <c r="U72" i="31"/>
  <c r="T72" i="31"/>
  <c r="S72" i="31"/>
  <c r="M72" i="31"/>
  <c r="L72" i="31"/>
  <c r="K72" i="31"/>
  <c r="AD71" i="31"/>
  <c r="AE71" i="31" s="1"/>
  <c r="AF71" i="31" s="1"/>
  <c r="U71" i="31"/>
  <c r="T71" i="31"/>
  <c r="S71" i="31"/>
  <c r="M71" i="31"/>
  <c r="L71" i="31"/>
  <c r="K71" i="31"/>
  <c r="AD70" i="31"/>
  <c r="AE70" i="31" s="1"/>
  <c r="AF70" i="31" s="1"/>
  <c r="U70" i="31"/>
  <c r="T70" i="31"/>
  <c r="S70" i="31"/>
  <c r="M70" i="31"/>
  <c r="L70" i="31"/>
  <c r="K70" i="31"/>
  <c r="AD69" i="31"/>
  <c r="AE69" i="31" s="1"/>
  <c r="AF69" i="31" s="1"/>
  <c r="U69" i="31"/>
  <c r="T69" i="31"/>
  <c r="S69" i="31"/>
  <c r="M69" i="31"/>
  <c r="L69" i="31"/>
  <c r="K69" i="31"/>
  <c r="AD68" i="31"/>
  <c r="AE68" i="31" s="1"/>
  <c r="AF68" i="31" s="1"/>
  <c r="U68" i="31"/>
  <c r="T68" i="31"/>
  <c r="S68" i="31"/>
  <c r="M68" i="31"/>
  <c r="L68" i="31"/>
  <c r="K68" i="31"/>
  <c r="AD67" i="31"/>
  <c r="AE67" i="31" s="1"/>
  <c r="AF67" i="31" s="1"/>
  <c r="U67" i="31"/>
  <c r="T67" i="31"/>
  <c r="S67" i="31"/>
  <c r="M67" i="31"/>
  <c r="L67" i="31"/>
  <c r="K67" i="31"/>
  <c r="W66" i="31"/>
  <c r="V66" i="31"/>
  <c r="R66" i="31"/>
  <c r="Q66" i="31"/>
  <c r="P66" i="31"/>
  <c r="O66" i="31"/>
  <c r="N66" i="31"/>
  <c r="J66" i="31"/>
  <c r="I66" i="31"/>
  <c r="H66" i="31"/>
  <c r="G66" i="31"/>
  <c r="F66" i="31"/>
  <c r="E66" i="31"/>
  <c r="D66" i="31"/>
  <c r="C66" i="31"/>
  <c r="AD65" i="31"/>
  <c r="AE65" i="31" s="1"/>
  <c r="AF65" i="31" s="1"/>
  <c r="U65" i="31"/>
  <c r="T65" i="31"/>
  <c r="S65" i="31"/>
  <c r="M65" i="31"/>
  <c r="L65" i="31"/>
  <c r="K65" i="31"/>
  <c r="AD64" i="31"/>
  <c r="AE64" i="31" s="1"/>
  <c r="AF64" i="31" s="1"/>
  <c r="U64" i="31"/>
  <c r="T64" i="31"/>
  <c r="S64" i="31"/>
  <c r="M64" i="31"/>
  <c r="L64" i="31"/>
  <c r="K64" i="31"/>
  <c r="AD63" i="31"/>
  <c r="AE63" i="31" s="1"/>
  <c r="AF63" i="31" s="1"/>
  <c r="U63" i="31"/>
  <c r="T63" i="31"/>
  <c r="S63" i="31"/>
  <c r="M63" i="31"/>
  <c r="L63" i="31"/>
  <c r="K63" i="31"/>
  <c r="AD62" i="31"/>
  <c r="AE62" i="31" s="1"/>
  <c r="AF62" i="31" s="1"/>
  <c r="U62" i="31"/>
  <c r="T62" i="31"/>
  <c r="S62" i="31"/>
  <c r="M62" i="31"/>
  <c r="L62" i="31"/>
  <c r="K62" i="31"/>
  <c r="AD61" i="31"/>
  <c r="AE61" i="31" s="1"/>
  <c r="AF61" i="31" s="1"/>
  <c r="U61" i="31"/>
  <c r="T61" i="31"/>
  <c r="S61" i="31"/>
  <c r="M61" i="31"/>
  <c r="L61" i="31"/>
  <c r="K61" i="31"/>
  <c r="W59" i="31"/>
  <c r="W60" i="31" s="1"/>
  <c r="V59" i="31"/>
  <c r="V60" i="31" s="1"/>
  <c r="R59" i="31"/>
  <c r="R60" i="31" s="1"/>
  <c r="Q59" i="31"/>
  <c r="Q60" i="31" s="1"/>
  <c r="P59" i="31"/>
  <c r="P60" i="31" s="1"/>
  <c r="O59" i="31"/>
  <c r="O60" i="31" s="1"/>
  <c r="N59" i="31"/>
  <c r="N60" i="31" s="1"/>
  <c r="J59" i="31"/>
  <c r="J60" i="31" s="1"/>
  <c r="I59" i="31"/>
  <c r="I60" i="31" s="1"/>
  <c r="H59" i="31"/>
  <c r="H60" i="31" s="1"/>
  <c r="G59" i="31"/>
  <c r="G60" i="31" s="1"/>
  <c r="F59" i="31"/>
  <c r="F60" i="31" s="1"/>
  <c r="E59" i="31"/>
  <c r="D59" i="31"/>
  <c r="D60" i="31" s="1"/>
  <c r="C59" i="31"/>
  <c r="C60" i="31" s="1"/>
  <c r="AD58" i="31"/>
  <c r="AE58" i="31" s="1"/>
  <c r="AF58" i="31" s="1"/>
  <c r="U58" i="31"/>
  <c r="T58" i="31"/>
  <c r="S58" i="31"/>
  <c r="M58" i="31"/>
  <c r="L58" i="31"/>
  <c r="K58" i="31"/>
  <c r="AD57" i="31"/>
  <c r="AE57" i="31" s="1"/>
  <c r="AF57" i="31" s="1"/>
  <c r="U57" i="31"/>
  <c r="T57" i="31"/>
  <c r="S57" i="31"/>
  <c r="M57" i="31"/>
  <c r="L57" i="31"/>
  <c r="K57" i="31"/>
  <c r="AD56" i="31"/>
  <c r="AE56" i="31" s="1"/>
  <c r="AF56" i="31" s="1"/>
  <c r="U56" i="31"/>
  <c r="T56" i="31"/>
  <c r="S56" i="31"/>
  <c r="M56" i="31"/>
  <c r="L56" i="31"/>
  <c r="K56" i="31"/>
  <c r="AD55" i="31"/>
  <c r="AE55" i="31" s="1"/>
  <c r="AF55" i="31" s="1"/>
  <c r="U55" i="31"/>
  <c r="T55" i="31"/>
  <c r="S55" i="31"/>
  <c r="M55" i="31"/>
  <c r="L55" i="31"/>
  <c r="K55" i="31"/>
  <c r="AD54" i="31"/>
  <c r="AE54" i="31" s="1"/>
  <c r="AF54" i="31" s="1"/>
  <c r="U54" i="31"/>
  <c r="T54" i="31"/>
  <c r="S54" i="31"/>
  <c r="M54" i="31"/>
  <c r="L54" i="31"/>
  <c r="K54" i="31"/>
  <c r="AD53" i="31"/>
  <c r="AE53" i="31" s="1"/>
  <c r="AF53" i="31" s="1"/>
  <c r="U53" i="31"/>
  <c r="T53" i="31"/>
  <c r="S53" i="31"/>
  <c r="M53" i="31"/>
  <c r="L53" i="31"/>
  <c r="K53" i="31"/>
  <c r="AD52" i="31"/>
  <c r="AE52" i="31" s="1"/>
  <c r="AF52" i="31" s="1"/>
  <c r="U52" i="31"/>
  <c r="T52" i="31"/>
  <c r="S52" i="31"/>
  <c r="M52" i="31"/>
  <c r="L52" i="31"/>
  <c r="K52" i="31"/>
  <c r="AD51" i="31"/>
  <c r="AE51" i="31" s="1"/>
  <c r="AF51" i="31" s="1"/>
  <c r="U51" i="31"/>
  <c r="T51" i="31"/>
  <c r="S51" i="31"/>
  <c r="M51" i="31"/>
  <c r="L51" i="31"/>
  <c r="K51" i="31"/>
  <c r="AD50" i="31"/>
  <c r="AE50" i="31" s="1"/>
  <c r="AF50" i="31" s="1"/>
  <c r="U50" i="31"/>
  <c r="T50" i="31"/>
  <c r="S50" i="31"/>
  <c r="M50" i="31"/>
  <c r="L50" i="31"/>
  <c r="K50" i="31"/>
  <c r="AD49" i="31"/>
  <c r="AE49" i="31" s="1"/>
  <c r="AF49" i="31" s="1"/>
  <c r="U49" i="31"/>
  <c r="T49" i="31"/>
  <c r="S49" i="31"/>
  <c r="M49" i="31"/>
  <c r="L49" i="31"/>
  <c r="K49" i="31"/>
  <c r="W47" i="31"/>
  <c r="V47" i="31"/>
  <c r="R47" i="31"/>
  <c r="Q47" i="31"/>
  <c r="P47" i="31"/>
  <c r="O47" i="31"/>
  <c r="N47" i="31"/>
  <c r="J47" i="31"/>
  <c r="I47" i="31"/>
  <c r="H47" i="31"/>
  <c r="G47" i="31"/>
  <c r="F47" i="31"/>
  <c r="E47" i="31"/>
  <c r="D47" i="31"/>
  <c r="C47" i="31"/>
  <c r="AD46" i="31"/>
  <c r="AE46" i="31" s="1"/>
  <c r="AF46" i="31" s="1"/>
  <c r="U46" i="31"/>
  <c r="T46" i="31"/>
  <c r="S46" i="31"/>
  <c r="M46" i="31"/>
  <c r="L46" i="31"/>
  <c r="K46" i="31"/>
  <c r="AD45" i="31"/>
  <c r="AE45" i="31" s="1"/>
  <c r="AF45" i="31" s="1"/>
  <c r="U45" i="31"/>
  <c r="T45" i="31"/>
  <c r="S45" i="31"/>
  <c r="M45" i="31"/>
  <c r="L45" i="31"/>
  <c r="K45" i="31"/>
  <c r="AD44" i="31"/>
  <c r="AE44" i="31" s="1"/>
  <c r="AF44" i="31" s="1"/>
  <c r="U44" i="31"/>
  <c r="T44" i="31"/>
  <c r="S44" i="31"/>
  <c r="M44" i="31"/>
  <c r="L44" i="31"/>
  <c r="K44" i="31"/>
  <c r="W43" i="31"/>
  <c r="V43" i="31"/>
  <c r="R43" i="31"/>
  <c r="Q43" i="31"/>
  <c r="P43" i="31"/>
  <c r="O43" i="31"/>
  <c r="N43" i="31"/>
  <c r="J43" i="31"/>
  <c r="I43" i="31"/>
  <c r="H43" i="31"/>
  <c r="G43" i="31"/>
  <c r="F43" i="31"/>
  <c r="E43" i="31"/>
  <c r="D43" i="31"/>
  <c r="C43" i="31"/>
  <c r="AD42" i="31"/>
  <c r="AE42" i="31" s="1"/>
  <c r="AF42" i="31" s="1"/>
  <c r="U42" i="31"/>
  <c r="T42" i="31"/>
  <c r="S42" i="31"/>
  <c r="M42" i="31"/>
  <c r="L42" i="31"/>
  <c r="K42" i="31"/>
  <c r="AD41" i="31"/>
  <c r="AE41" i="31" s="1"/>
  <c r="AF41" i="31" s="1"/>
  <c r="U41" i="31"/>
  <c r="T41" i="31"/>
  <c r="S41" i="31"/>
  <c r="M41" i="31"/>
  <c r="L41" i="31"/>
  <c r="K41" i="31"/>
  <c r="AD40" i="31"/>
  <c r="AE40" i="31" s="1"/>
  <c r="AF40" i="31" s="1"/>
  <c r="U40" i="31"/>
  <c r="T40" i="31"/>
  <c r="S40" i="31"/>
  <c r="M40" i="31"/>
  <c r="L40" i="31"/>
  <c r="K40" i="31"/>
  <c r="W38" i="31"/>
  <c r="V38" i="31"/>
  <c r="R38" i="31"/>
  <c r="Q38" i="31"/>
  <c r="P38" i="31"/>
  <c r="O38" i="31"/>
  <c r="N38" i="31"/>
  <c r="J38" i="31"/>
  <c r="I38" i="31"/>
  <c r="H38" i="31"/>
  <c r="G38" i="31"/>
  <c r="F38" i="31"/>
  <c r="E38" i="31"/>
  <c r="D38" i="31"/>
  <c r="C38" i="31"/>
  <c r="AD37" i="31"/>
  <c r="AE37" i="31" s="1"/>
  <c r="AF37" i="31" s="1"/>
  <c r="U37" i="31"/>
  <c r="T37" i="31"/>
  <c r="S37" i="31"/>
  <c r="M37" i="31"/>
  <c r="L37" i="31"/>
  <c r="K37" i="31"/>
  <c r="AD36" i="31"/>
  <c r="AE36" i="31" s="1"/>
  <c r="AF36" i="31" s="1"/>
  <c r="U36" i="31"/>
  <c r="T36" i="31"/>
  <c r="S36" i="31"/>
  <c r="M36" i="31"/>
  <c r="L36" i="31"/>
  <c r="K36" i="31"/>
  <c r="AD35" i="31"/>
  <c r="AE35" i="31" s="1"/>
  <c r="AF35" i="31" s="1"/>
  <c r="U35" i="31"/>
  <c r="T35" i="31"/>
  <c r="S35" i="31"/>
  <c r="M35" i="31"/>
  <c r="L35" i="31"/>
  <c r="K35" i="31"/>
  <c r="AD34" i="31"/>
  <c r="AE34" i="31" s="1"/>
  <c r="AF34" i="31" s="1"/>
  <c r="U34" i="31"/>
  <c r="T34" i="31"/>
  <c r="S34" i="31"/>
  <c r="M34" i="31"/>
  <c r="L34" i="31"/>
  <c r="K34" i="31"/>
  <c r="AD33" i="31"/>
  <c r="AE33" i="31" s="1"/>
  <c r="AF33" i="31" s="1"/>
  <c r="U33" i="31"/>
  <c r="T33" i="31"/>
  <c r="S33" i="31"/>
  <c r="M33" i="31"/>
  <c r="L33" i="31"/>
  <c r="K33" i="31"/>
  <c r="W32" i="31"/>
  <c r="V32" i="31"/>
  <c r="R32" i="31"/>
  <c r="Q32" i="31"/>
  <c r="P32" i="31"/>
  <c r="O32" i="31"/>
  <c r="N32" i="31"/>
  <c r="J32" i="31"/>
  <c r="I32" i="31"/>
  <c r="H32" i="31"/>
  <c r="G32" i="31"/>
  <c r="F32" i="31"/>
  <c r="E32" i="31"/>
  <c r="D32" i="31"/>
  <c r="C32" i="31"/>
  <c r="AD31" i="31"/>
  <c r="AE31" i="31" s="1"/>
  <c r="AF31" i="31" s="1"/>
  <c r="U31" i="31"/>
  <c r="T31" i="31"/>
  <c r="S31" i="31"/>
  <c r="M31" i="31"/>
  <c r="L31" i="31"/>
  <c r="K31" i="31"/>
  <c r="AD30" i="31"/>
  <c r="AE30" i="31" s="1"/>
  <c r="AF30" i="31" s="1"/>
  <c r="U30" i="31"/>
  <c r="T30" i="31"/>
  <c r="S30" i="31"/>
  <c r="M30" i="31"/>
  <c r="L30" i="31"/>
  <c r="K30" i="31"/>
  <c r="AD29" i="31"/>
  <c r="AE29" i="31" s="1"/>
  <c r="AF29" i="31" s="1"/>
  <c r="U29" i="31"/>
  <c r="T29" i="31"/>
  <c r="S29" i="31"/>
  <c r="M29" i="31"/>
  <c r="L29" i="31"/>
  <c r="K29" i="31"/>
  <c r="W28" i="31"/>
  <c r="V28" i="31"/>
  <c r="R28" i="31"/>
  <c r="Q28" i="31"/>
  <c r="P28" i="31"/>
  <c r="O28" i="31"/>
  <c r="N28" i="31"/>
  <c r="J28" i="31"/>
  <c r="I28" i="31"/>
  <c r="H28" i="31"/>
  <c r="G28" i="31"/>
  <c r="F28" i="31"/>
  <c r="E28" i="31"/>
  <c r="D28" i="31"/>
  <c r="C28" i="31"/>
  <c r="AD27" i="31"/>
  <c r="AE27" i="31" s="1"/>
  <c r="AF27" i="31" s="1"/>
  <c r="U27" i="31"/>
  <c r="T27" i="31"/>
  <c r="S27" i="31"/>
  <c r="M27" i="31"/>
  <c r="L27" i="31"/>
  <c r="K27" i="31"/>
  <c r="AD26" i="31"/>
  <c r="AE26" i="31" s="1"/>
  <c r="AF26" i="31" s="1"/>
  <c r="U26" i="31"/>
  <c r="T26" i="31"/>
  <c r="S26" i="31"/>
  <c r="M26" i="31"/>
  <c r="L26" i="31"/>
  <c r="K26" i="31"/>
  <c r="AD25" i="31"/>
  <c r="AE25" i="31" s="1"/>
  <c r="AF25" i="31" s="1"/>
  <c r="U25" i="31"/>
  <c r="T25" i="31"/>
  <c r="S25" i="31"/>
  <c r="M25" i="31"/>
  <c r="L25" i="31"/>
  <c r="K25" i="31"/>
  <c r="W23" i="31"/>
  <c r="V23" i="31"/>
  <c r="R23" i="31"/>
  <c r="Q23" i="31"/>
  <c r="P23" i="31"/>
  <c r="O23" i="31"/>
  <c r="N23" i="31"/>
  <c r="J23" i="31"/>
  <c r="I23" i="31"/>
  <c r="H23" i="31"/>
  <c r="G23" i="31"/>
  <c r="F23" i="31"/>
  <c r="E23" i="31"/>
  <c r="D23" i="31"/>
  <c r="C23" i="31"/>
  <c r="AD22" i="31"/>
  <c r="AE22" i="31" s="1"/>
  <c r="AF22" i="31" s="1"/>
  <c r="U22" i="31"/>
  <c r="T22" i="31"/>
  <c r="S22" i="31"/>
  <c r="M22" i="31"/>
  <c r="L22" i="31"/>
  <c r="K22" i="31"/>
  <c r="AD21" i="31"/>
  <c r="AE21" i="31" s="1"/>
  <c r="AF21" i="31" s="1"/>
  <c r="U21" i="31"/>
  <c r="T21" i="31"/>
  <c r="S21" i="31"/>
  <c r="M21" i="31"/>
  <c r="L21" i="31"/>
  <c r="K21" i="31"/>
  <c r="AD20" i="31"/>
  <c r="AE20" i="31" s="1"/>
  <c r="AF20" i="31" s="1"/>
  <c r="U20" i="31"/>
  <c r="T20" i="31"/>
  <c r="S20" i="31"/>
  <c r="M20" i="31"/>
  <c r="L20" i="31"/>
  <c r="K20" i="31"/>
  <c r="AD19" i="31"/>
  <c r="AE19" i="31" s="1"/>
  <c r="AF19" i="31" s="1"/>
  <c r="U19" i="31"/>
  <c r="T19" i="31"/>
  <c r="S19" i="31"/>
  <c r="M19" i="31"/>
  <c r="L19" i="31"/>
  <c r="K19" i="31"/>
  <c r="AD18" i="31"/>
  <c r="AE18" i="31" s="1"/>
  <c r="AF18" i="31" s="1"/>
  <c r="U18" i="31"/>
  <c r="T18" i="31"/>
  <c r="S18" i="31"/>
  <c r="M18" i="31"/>
  <c r="L18" i="31"/>
  <c r="K18" i="31"/>
  <c r="AD17" i="31"/>
  <c r="AE17" i="31" s="1"/>
  <c r="AF17" i="31" s="1"/>
  <c r="U17" i="31"/>
  <c r="T17" i="31"/>
  <c r="S17" i="31"/>
  <c r="M17" i="31"/>
  <c r="L17" i="31"/>
  <c r="K17" i="31"/>
  <c r="AD16" i="31"/>
  <c r="AE16" i="31" s="1"/>
  <c r="AF16" i="31" s="1"/>
  <c r="U16" i="31"/>
  <c r="T16" i="31"/>
  <c r="S16" i="31"/>
  <c r="M16" i="31"/>
  <c r="L16" i="31"/>
  <c r="K16" i="31"/>
  <c r="AD15" i="31"/>
  <c r="AE15" i="31" s="1"/>
  <c r="AF15" i="31" s="1"/>
  <c r="U15" i="31"/>
  <c r="T15" i="31"/>
  <c r="S15" i="31"/>
  <c r="M15" i="31"/>
  <c r="L15" i="31"/>
  <c r="K15" i="31"/>
  <c r="AD14" i="31"/>
  <c r="AE14" i="31" s="1"/>
  <c r="AF14" i="31" s="1"/>
  <c r="U14" i="31"/>
  <c r="T14" i="31"/>
  <c r="S14" i="31"/>
  <c r="M14" i="31"/>
  <c r="L14" i="31"/>
  <c r="K14" i="31"/>
  <c r="W13" i="31"/>
  <c r="V13" i="31"/>
  <c r="R13" i="31"/>
  <c r="Q13" i="31"/>
  <c r="P13" i="31"/>
  <c r="O13" i="31"/>
  <c r="N13" i="31"/>
  <c r="J13" i="31"/>
  <c r="I13" i="31"/>
  <c r="H13" i="31"/>
  <c r="G13" i="31"/>
  <c r="F13" i="31"/>
  <c r="E13" i="31"/>
  <c r="D13" i="31"/>
  <c r="C13" i="31"/>
  <c r="AD12" i="31"/>
  <c r="AE12" i="31" s="1"/>
  <c r="AF12" i="31" s="1"/>
  <c r="U12" i="31"/>
  <c r="T12" i="31"/>
  <c r="S12" i="31"/>
  <c r="M12" i="31"/>
  <c r="L12" i="31"/>
  <c r="K12" i="31"/>
  <c r="AC11" i="31"/>
  <c r="AB11" i="31"/>
  <c r="W11" i="31"/>
  <c r="V11" i="31"/>
  <c r="R11" i="31"/>
  <c r="Q11" i="31"/>
  <c r="P11" i="31"/>
  <c r="O11" i="31"/>
  <c r="N11" i="31"/>
  <c r="J11" i="31"/>
  <c r="I11" i="31"/>
  <c r="H11" i="31"/>
  <c r="G11" i="31"/>
  <c r="F11" i="31"/>
  <c r="E11" i="31"/>
  <c r="D11" i="31"/>
  <c r="C11" i="31"/>
  <c r="AD10" i="31"/>
  <c r="AE10" i="31" s="1"/>
  <c r="AF10" i="31" s="1"/>
  <c r="U10" i="31"/>
  <c r="T10" i="31"/>
  <c r="S10" i="31"/>
  <c r="M10" i="31"/>
  <c r="L10" i="31"/>
  <c r="K10" i="31"/>
  <c r="AD9" i="31"/>
  <c r="AE9" i="31" s="1"/>
  <c r="AF9" i="31" s="1"/>
  <c r="U9" i="31"/>
  <c r="T9" i="31"/>
  <c r="S9" i="31"/>
  <c r="M9" i="31"/>
  <c r="L9" i="31"/>
  <c r="K9" i="31"/>
  <c r="AD8" i="31"/>
  <c r="AE8" i="31" s="1"/>
  <c r="AF8" i="31" s="1"/>
  <c r="U8" i="31"/>
  <c r="T8" i="31"/>
  <c r="S8" i="31"/>
  <c r="M8" i="31"/>
  <c r="L8" i="31"/>
  <c r="K8" i="31"/>
  <c r="AD7" i="31"/>
  <c r="AE7" i="31" s="1"/>
  <c r="AF7" i="31" s="1"/>
  <c r="U7" i="31"/>
  <c r="T7" i="31"/>
  <c r="S7" i="31"/>
  <c r="M7" i="31"/>
  <c r="L7" i="31"/>
  <c r="K7" i="31"/>
  <c r="AD6" i="31"/>
  <c r="AE6" i="31" s="1"/>
  <c r="AF6" i="31" s="1"/>
  <c r="U6" i="31"/>
  <c r="T6" i="31"/>
  <c r="S6" i="31"/>
  <c r="M6" i="31"/>
  <c r="L6" i="31"/>
  <c r="K6" i="31"/>
  <c r="AD5" i="31"/>
  <c r="AE5" i="31" s="1"/>
  <c r="AF5" i="31" s="1"/>
  <c r="U5" i="31"/>
  <c r="T5" i="31"/>
  <c r="S5" i="31"/>
  <c r="M5" i="31"/>
  <c r="L5" i="31"/>
  <c r="K5" i="31"/>
  <c r="B2" i="31"/>
  <c r="R48" i="31" l="1"/>
  <c r="W48" i="31"/>
  <c r="E48" i="31"/>
  <c r="I48" i="31"/>
  <c r="S119" i="32"/>
  <c r="T23" i="32"/>
  <c r="T47" i="31"/>
  <c r="S28" i="32"/>
  <c r="O24" i="31"/>
  <c r="F39" i="31"/>
  <c r="D48" i="31"/>
  <c r="V48" i="31"/>
  <c r="M104" i="31"/>
  <c r="R129" i="31"/>
  <c r="M80" i="31"/>
  <c r="F129" i="32"/>
  <c r="M59" i="32"/>
  <c r="M80" i="32"/>
  <c r="AC129" i="32"/>
  <c r="U66" i="31"/>
  <c r="W81" i="31"/>
  <c r="I129" i="32"/>
  <c r="I129" i="31"/>
  <c r="E39" i="31"/>
  <c r="D24" i="31"/>
  <c r="S66" i="31"/>
  <c r="O129" i="31"/>
  <c r="S119" i="31"/>
  <c r="H129" i="32"/>
  <c r="U32" i="31"/>
  <c r="P129" i="31"/>
  <c r="G24" i="31"/>
  <c r="J129" i="32"/>
  <c r="S73" i="32"/>
  <c r="Q39" i="31"/>
  <c r="F81" i="31"/>
  <c r="P48" i="31"/>
  <c r="K80" i="31"/>
  <c r="S104" i="31"/>
  <c r="S106" i="32"/>
  <c r="J129" i="31"/>
  <c r="U119" i="31"/>
  <c r="P129" i="32"/>
  <c r="O48" i="32"/>
  <c r="P24" i="31"/>
  <c r="M28" i="31"/>
  <c r="S32" i="31"/>
  <c r="L32" i="31"/>
  <c r="U43" i="31"/>
  <c r="L43" i="32"/>
  <c r="M38" i="31"/>
  <c r="M32" i="31"/>
  <c r="S38" i="31"/>
  <c r="T76" i="31"/>
  <c r="S80" i="31"/>
  <c r="U104" i="32"/>
  <c r="K13" i="32"/>
  <c r="L76" i="31"/>
  <c r="U80" i="31"/>
  <c r="W129" i="32"/>
  <c r="T11" i="32"/>
  <c r="S32" i="32"/>
  <c r="T80" i="32"/>
  <c r="U73" i="31"/>
  <c r="D129" i="31"/>
  <c r="V129" i="31"/>
  <c r="O129" i="32"/>
  <c r="O24" i="32"/>
  <c r="S13" i="32"/>
  <c r="H39" i="32"/>
  <c r="E48" i="32"/>
  <c r="V48" i="32"/>
  <c r="S66" i="32"/>
  <c r="N39" i="31"/>
  <c r="F129" i="31"/>
  <c r="F39" i="32"/>
  <c r="Z131" i="32"/>
  <c r="Z135" i="32" s="1"/>
  <c r="Z146" i="32" s="1"/>
  <c r="T38" i="32"/>
  <c r="K13" i="31"/>
  <c r="G48" i="31"/>
  <c r="H24" i="31"/>
  <c r="K144" i="31"/>
  <c r="J48" i="31"/>
  <c r="G81" i="31"/>
  <c r="X131" i="31"/>
  <c r="X135" i="31" s="1"/>
  <c r="X146" i="31" s="1"/>
  <c r="AE144" i="32"/>
  <c r="M23" i="32"/>
  <c r="S47" i="32"/>
  <c r="M73" i="32"/>
  <c r="S76" i="32"/>
  <c r="O48" i="31"/>
  <c r="T73" i="31"/>
  <c r="Z131" i="31"/>
  <c r="Z135" i="31" s="1"/>
  <c r="Z146" i="31" s="1"/>
  <c r="T104" i="31"/>
  <c r="C129" i="32"/>
  <c r="D81" i="31"/>
  <c r="D129" i="32"/>
  <c r="J39" i="32"/>
  <c r="N39" i="32"/>
  <c r="M47" i="32"/>
  <c r="D81" i="32"/>
  <c r="M76" i="32"/>
  <c r="L28" i="31"/>
  <c r="V81" i="31"/>
  <c r="L73" i="31"/>
  <c r="K119" i="31"/>
  <c r="T104" i="32"/>
  <c r="E129" i="32"/>
  <c r="V129" i="32"/>
  <c r="T76" i="32"/>
  <c r="P24" i="32"/>
  <c r="W39" i="32"/>
  <c r="M38" i="32"/>
  <c r="F48" i="32"/>
  <c r="C81" i="32"/>
  <c r="R24" i="31"/>
  <c r="L104" i="32"/>
  <c r="G129" i="32"/>
  <c r="AB129" i="32"/>
  <c r="T119" i="32"/>
  <c r="D48" i="32"/>
  <c r="T66" i="32"/>
  <c r="P39" i="31"/>
  <c r="T60" i="31"/>
  <c r="S76" i="31"/>
  <c r="S144" i="31"/>
  <c r="S43" i="32"/>
  <c r="M144" i="32"/>
  <c r="L144" i="32"/>
  <c r="K23" i="31"/>
  <c r="M144" i="31"/>
  <c r="U144" i="31"/>
  <c r="AD144" i="31"/>
  <c r="W24" i="31"/>
  <c r="V39" i="31"/>
  <c r="U38" i="31"/>
  <c r="S59" i="31"/>
  <c r="E60" i="31"/>
  <c r="K60" i="31" s="1"/>
  <c r="K59" i="31"/>
  <c r="M66" i="31"/>
  <c r="N129" i="31"/>
  <c r="U106" i="31"/>
  <c r="T106" i="31"/>
  <c r="J39" i="31"/>
  <c r="M106" i="31"/>
  <c r="L144" i="31"/>
  <c r="M28" i="32"/>
  <c r="I39" i="31"/>
  <c r="K76" i="31"/>
  <c r="S59" i="32"/>
  <c r="T59" i="32"/>
  <c r="J24" i="31"/>
  <c r="AD104" i="32"/>
  <c r="S144" i="32"/>
  <c r="J24" i="32"/>
  <c r="N24" i="32"/>
  <c r="L23" i="32"/>
  <c r="G39" i="32"/>
  <c r="M32" i="32"/>
  <c r="S38" i="32"/>
  <c r="G48" i="32"/>
  <c r="U59" i="32"/>
  <c r="L73" i="32"/>
  <c r="U80" i="32"/>
  <c r="K23" i="32"/>
  <c r="K73" i="32"/>
  <c r="O39" i="31"/>
  <c r="T43" i="31"/>
  <c r="K144" i="32"/>
  <c r="P81" i="32"/>
  <c r="S73" i="31"/>
  <c r="M43" i="31"/>
  <c r="U76" i="31"/>
  <c r="N81" i="31"/>
  <c r="K104" i="31"/>
  <c r="U104" i="31"/>
  <c r="G129" i="31"/>
  <c r="W129" i="31"/>
  <c r="M104" i="32"/>
  <c r="K28" i="32"/>
  <c r="O81" i="32"/>
  <c r="K76" i="32"/>
  <c r="U76" i="32"/>
  <c r="E129" i="31"/>
  <c r="T23" i="31"/>
  <c r="C39" i="31"/>
  <c r="L38" i="31"/>
  <c r="L43" i="31"/>
  <c r="S43" i="31"/>
  <c r="J81" i="31"/>
  <c r="O81" i="31"/>
  <c r="H129" i="31"/>
  <c r="AB129" i="31"/>
  <c r="K106" i="31"/>
  <c r="Q129" i="31"/>
  <c r="M11" i="32"/>
  <c r="M43" i="32"/>
  <c r="S80" i="32"/>
  <c r="U28" i="32"/>
  <c r="K38" i="31"/>
  <c r="T38" i="31"/>
  <c r="K73" i="31"/>
  <c r="AC129" i="31"/>
  <c r="R129" i="32"/>
  <c r="F24" i="32"/>
  <c r="I24" i="32"/>
  <c r="W24" i="32"/>
  <c r="C39" i="32"/>
  <c r="I39" i="32"/>
  <c r="P48" i="32"/>
  <c r="C48" i="32"/>
  <c r="I81" i="32"/>
  <c r="W81" i="32"/>
  <c r="R81" i="31"/>
  <c r="C81" i="31"/>
  <c r="L106" i="31"/>
  <c r="S106" i="31"/>
  <c r="T144" i="31"/>
  <c r="T144" i="32"/>
  <c r="K47" i="32"/>
  <c r="E24" i="31"/>
  <c r="K28" i="31"/>
  <c r="U28" i="31"/>
  <c r="T66" i="31"/>
  <c r="I81" i="31"/>
  <c r="T80" i="31"/>
  <c r="Y131" i="31"/>
  <c r="Y135" i="31" s="1"/>
  <c r="Y146" i="31" s="1"/>
  <c r="AD119" i="31"/>
  <c r="K106" i="32"/>
  <c r="AC23" i="32"/>
  <c r="AC24" i="32" s="1"/>
  <c r="D24" i="32"/>
  <c r="T28" i="32"/>
  <c r="J48" i="32"/>
  <c r="T47" i="32"/>
  <c r="G81" i="32"/>
  <c r="G39" i="31"/>
  <c r="W39" i="31"/>
  <c r="T32" i="31"/>
  <c r="S104" i="32"/>
  <c r="M66" i="32"/>
  <c r="C24" i="32"/>
  <c r="P39" i="32"/>
  <c r="I48" i="32"/>
  <c r="W48" i="32"/>
  <c r="F81" i="32"/>
  <c r="G24" i="32"/>
  <c r="M13" i="32"/>
  <c r="S23" i="32"/>
  <c r="D39" i="32"/>
  <c r="U38" i="32"/>
  <c r="Q48" i="32"/>
  <c r="L47" i="32"/>
  <c r="J81" i="32"/>
  <c r="N81" i="32"/>
  <c r="T73" i="32"/>
  <c r="L76" i="32"/>
  <c r="H24" i="32"/>
  <c r="V24" i="32"/>
  <c r="R39" i="32"/>
  <c r="E39" i="32"/>
  <c r="R48" i="32"/>
  <c r="H81" i="32"/>
  <c r="K80" i="32"/>
  <c r="Y131" i="32"/>
  <c r="Y135" i="32" s="1"/>
  <c r="Y146" i="32" s="1"/>
  <c r="Q129" i="32"/>
  <c r="K119" i="32"/>
  <c r="K32" i="32"/>
  <c r="S11" i="32"/>
  <c r="U23" i="32"/>
  <c r="O39" i="32"/>
  <c r="K38" i="32"/>
  <c r="U43" i="32"/>
  <c r="K66" i="32"/>
  <c r="AD106" i="32"/>
  <c r="AE119" i="32"/>
  <c r="X131" i="32"/>
  <c r="X135" i="32" s="1"/>
  <c r="X146" i="32" s="1"/>
  <c r="AE85" i="32"/>
  <c r="K104" i="32"/>
  <c r="AE106" i="32"/>
  <c r="AF107" i="32"/>
  <c r="AF106" i="32" s="1"/>
  <c r="AF144" i="32"/>
  <c r="AF119" i="32"/>
  <c r="M106" i="32"/>
  <c r="L106" i="32"/>
  <c r="N129" i="32"/>
  <c r="U106" i="32"/>
  <c r="U119" i="32"/>
  <c r="M119" i="32"/>
  <c r="L119" i="32"/>
  <c r="AD119" i="32"/>
  <c r="K60" i="32"/>
  <c r="E24" i="32"/>
  <c r="V39" i="32"/>
  <c r="E81" i="32"/>
  <c r="T106" i="32"/>
  <c r="K11" i="32"/>
  <c r="T13" i="32"/>
  <c r="T32" i="32"/>
  <c r="K43" i="32"/>
  <c r="N48" i="32"/>
  <c r="Q60" i="32"/>
  <c r="AD144" i="32"/>
  <c r="L11" i="32"/>
  <c r="U13" i="32"/>
  <c r="L28" i="32"/>
  <c r="U32" i="32"/>
  <c r="U47" i="32"/>
  <c r="L66" i="32"/>
  <c r="U73" i="32"/>
  <c r="L80" i="32"/>
  <c r="R24" i="32"/>
  <c r="H48" i="32"/>
  <c r="R81" i="32"/>
  <c r="N60" i="32"/>
  <c r="Q24" i="32"/>
  <c r="Q81" i="32"/>
  <c r="T43" i="32"/>
  <c r="K59" i="32"/>
  <c r="U144" i="32"/>
  <c r="U11" i="32"/>
  <c r="L38" i="32"/>
  <c r="L59" i="32"/>
  <c r="U66" i="32"/>
  <c r="Q39" i="32"/>
  <c r="V81" i="32"/>
  <c r="L13" i="32"/>
  <c r="L32" i="32"/>
  <c r="AB23" i="32"/>
  <c r="U60" i="31"/>
  <c r="M60" i="31"/>
  <c r="F48" i="31"/>
  <c r="K47" i="31"/>
  <c r="U13" i="31"/>
  <c r="M13" i="31"/>
  <c r="L13" i="31"/>
  <c r="R39" i="31"/>
  <c r="S28" i="31"/>
  <c r="P81" i="31"/>
  <c r="AF104" i="31"/>
  <c r="H39" i="31"/>
  <c r="K32" i="31"/>
  <c r="K43" i="31"/>
  <c r="H48" i="31"/>
  <c r="AF107" i="31"/>
  <c r="AF106" i="31" s="1"/>
  <c r="AE106" i="31"/>
  <c r="AF139" i="31"/>
  <c r="AF144" i="31" s="1"/>
  <c r="AE144" i="31"/>
  <c r="N24" i="31"/>
  <c r="U11" i="31"/>
  <c r="M11" i="31"/>
  <c r="L11" i="31"/>
  <c r="E81" i="31"/>
  <c r="K66" i="31"/>
  <c r="F24" i="31"/>
  <c r="T11" i="31"/>
  <c r="L60" i="31"/>
  <c r="H81" i="31"/>
  <c r="T13" i="31"/>
  <c r="V24" i="31"/>
  <c r="U23" i="31"/>
  <c r="M23" i="31"/>
  <c r="L23" i="31"/>
  <c r="D39" i="31"/>
  <c r="N48" i="31"/>
  <c r="U47" i="31"/>
  <c r="M47" i="31"/>
  <c r="L47" i="31"/>
  <c r="AD104" i="31"/>
  <c r="L59" i="31"/>
  <c r="T59" i="31"/>
  <c r="AE104" i="31"/>
  <c r="L119" i="31"/>
  <c r="T119" i="31"/>
  <c r="AE120" i="31"/>
  <c r="AB13" i="31"/>
  <c r="AB23" i="31" s="1"/>
  <c r="I24" i="31"/>
  <c r="Q24" i="31"/>
  <c r="T28" i="31"/>
  <c r="Q48" i="31"/>
  <c r="M59" i="31"/>
  <c r="U59" i="31"/>
  <c r="AD106" i="31"/>
  <c r="M119" i="31"/>
  <c r="C129" i="31"/>
  <c r="AC13" i="31"/>
  <c r="Q81" i="31"/>
  <c r="C24" i="31"/>
  <c r="C48" i="31"/>
  <c r="K11" i="31"/>
  <c r="S11" i="31"/>
  <c r="S13" i="31"/>
  <c r="S23" i="31"/>
  <c r="S47" i="31"/>
  <c r="M73" i="31"/>
  <c r="M76" i="31"/>
  <c r="S60" i="31"/>
  <c r="L66" i="31"/>
  <c r="L80" i="31"/>
  <c r="L104" i="31"/>
  <c r="S39" i="31" l="1"/>
  <c r="M81" i="32"/>
  <c r="T39" i="31"/>
  <c r="S129" i="31"/>
  <c r="G83" i="31"/>
  <c r="G131" i="31" s="1"/>
  <c r="G135" i="31" s="1"/>
  <c r="G146" i="31" s="1"/>
  <c r="U81" i="31"/>
  <c r="AD129" i="31"/>
  <c r="E83" i="31"/>
  <c r="E131" i="31" s="1"/>
  <c r="V83" i="31"/>
  <c r="V131" i="31" s="1"/>
  <c r="V135" i="31" s="1"/>
  <c r="V146" i="31" s="1"/>
  <c r="L129" i="31"/>
  <c r="G83" i="32"/>
  <c r="G131" i="32" s="1"/>
  <c r="G135" i="32" s="1"/>
  <c r="G146" i="32" s="1"/>
  <c r="J83" i="32"/>
  <c r="J131" i="32" s="1"/>
  <c r="J135" i="32" s="1"/>
  <c r="J146" i="32" s="1"/>
  <c r="M39" i="32"/>
  <c r="M81" i="31"/>
  <c r="S48" i="32"/>
  <c r="L39" i="32"/>
  <c r="U39" i="32"/>
  <c r="L39" i="31"/>
  <c r="M39" i="31"/>
  <c r="U81" i="32"/>
  <c r="U39" i="31"/>
  <c r="I83" i="31"/>
  <c r="I131" i="31" s="1"/>
  <c r="I135" i="31" s="1"/>
  <c r="I146" i="31" s="1"/>
  <c r="U129" i="31"/>
  <c r="L81" i="32"/>
  <c r="F83" i="31"/>
  <c r="F131" i="31" s="1"/>
  <c r="F135" i="31" s="1"/>
  <c r="F146" i="31" s="1"/>
  <c r="W83" i="31"/>
  <c r="W131" i="31" s="1"/>
  <c r="W135" i="31" s="1"/>
  <c r="W146" i="31" s="1"/>
  <c r="O83" i="31"/>
  <c r="O131" i="31" s="1"/>
  <c r="O135" i="31" s="1"/>
  <c r="O146" i="31" s="1"/>
  <c r="S129" i="32"/>
  <c r="I83" i="32"/>
  <c r="I131" i="32" s="1"/>
  <c r="I135" i="32" s="1"/>
  <c r="I146" i="32" s="1"/>
  <c r="K129" i="31"/>
  <c r="M24" i="32"/>
  <c r="L81" i="31"/>
  <c r="D83" i="32"/>
  <c r="D131" i="32" s="1"/>
  <c r="D135" i="32" s="1"/>
  <c r="D146" i="32" s="1"/>
  <c r="K129" i="32"/>
  <c r="K39" i="32"/>
  <c r="T129" i="31"/>
  <c r="K81" i="32"/>
  <c r="C83" i="31"/>
  <c r="C131" i="31" s="1"/>
  <c r="C135" i="31" s="1"/>
  <c r="C146" i="31" s="1"/>
  <c r="K24" i="32"/>
  <c r="P83" i="32"/>
  <c r="P131" i="32" s="1"/>
  <c r="P135" i="32" s="1"/>
  <c r="P146" i="32" s="1"/>
  <c r="H83" i="32"/>
  <c r="H131" i="32" s="1"/>
  <c r="H135" i="32" s="1"/>
  <c r="H146" i="32" s="1"/>
  <c r="U24" i="32"/>
  <c r="P83" i="31"/>
  <c r="P131" i="31" s="1"/>
  <c r="P135" i="31" s="1"/>
  <c r="P146" i="31" s="1"/>
  <c r="M129" i="31"/>
  <c r="K39" i="31"/>
  <c r="L24" i="32"/>
  <c r="J83" i="31"/>
  <c r="J131" i="31" s="1"/>
  <c r="J135" i="31" s="1"/>
  <c r="J146" i="31" s="1"/>
  <c r="W83" i="32"/>
  <c r="W131" i="32" s="1"/>
  <c r="W135" i="32" s="1"/>
  <c r="W146" i="32" s="1"/>
  <c r="AF129" i="32"/>
  <c r="N83" i="31"/>
  <c r="D83" i="31"/>
  <c r="D131" i="31" s="1"/>
  <c r="D135" i="31" s="1"/>
  <c r="D146" i="31" s="1"/>
  <c r="H83" i="31"/>
  <c r="H131" i="31" s="1"/>
  <c r="H135" i="31" s="1"/>
  <c r="H146" i="31" s="1"/>
  <c r="N83" i="32"/>
  <c r="R83" i="32"/>
  <c r="R131" i="32" s="1"/>
  <c r="R135" i="32" s="1"/>
  <c r="R146" i="32" s="1"/>
  <c r="F83" i="32"/>
  <c r="F131" i="32" s="1"/>
  <c r="F135" i="32" s="1"/>
  <c r="F146" i="32" s="1"/>
  <c r="C83" i="32"/>
  <c r="C131" i="32" s="1"/>
  <c r="C135" i="32" s="1"/>
  <c r="C146" i="32" s="1"/>
  <c r="O83" i="32"/>
  <c r="O131" i="32" s="1"/>
  <c r="O135" i="32" s="1"/>
  <c r="O146" i="32" s="1"/>
  <c r="T81" i="32"/>
  <c r="S81" i="32"/>
  <c r="U60" i="32"/>
  <c r="M60" i="32"/>
  <c r="L60" i="32"/>
  <c r="S24" i="32"/>
  <c r="T24" i="32"/>
  <c r="V83" i="32"/>
  <c r="V131" i="32" s="1"/>
  <c r="V135" i="32" s="1"/>
  <c r="V146" i="32" s="1"/>
  <c r="T48" i="32"/>
  <c r="E83" i="32"/>
  <c r="AB24" i="32"/>
  <c r="AD24" i="32" s="1"/>
  <c r="AE24" i="32" s="1"/>
  <c r="AF24" i="32" s="1"/>
  <c r="M129" i="32"/>
  <c r="L129" i="32"/>
  <c r="U129" i="32"/>
  <c r="AE129" i="32"/>
  <c r="T129" i="32"/>
  <c r="AC28" i="32"/>
  <c r="T60" i="32"/>
  <c r="S60" i="32"/>
  <c r="AE104" i="32"/>
  <c r="AF85" i="32"/>
  <c r="AF104" i="32" s="1"/>
  <c r="AD129" i="32"/>
  <c r="K48" i="32"/>
  <c r="M48" i="32"/>
  <c r="L48" i="32"/>
  <c r="U48" i="32"/>
  <c r="Q83" i="32"/>
  <c r="S39" i="32"/>
  <c r="T39" i="32"/>
  <c r="T24" i="31"/>
  <c r="S24" i="31"/>
  <c r="K81" i="31"/>
  <c r="K48" i="31"/>
  <c r="AC23" i="31"/>
  <c r="AC24" i="31" s="1"/>
  <c r="K24" i="31"/>
  <c r="T81" i="31"/>
  <c r="S81" i="31"/>
  <c r="U48" i="31"/>
  <c r="M48" i="31"/>
  <c r="L48" i="31"/>
  <c r="T48" i="31"/>
  <c r="S48" i="31"/>
  <c r="AF120" i="31"/>
  <c r="AF119" i="31" s="1"/>
  <c r="AF129" i="31" s="1"/>
  <c r="AE119" i="31"/>
  <c r="AE129" i="31" s="1"/>
  <c r="Q83" i="31"/>
  <c r="U24" i="31"/>
  <c r="M24" i="31"/>
  <c r="L24" i="31"/>
  <c r="AB24" i="31"/>
  <c r="AB28" i="31" s="1"/>
  <c r="R83" i="31"/>
  <c r="R131" i="31" s="1"/>
  <c r="R135" i="31" s="1"/>
  <c r="R146" i="31" s="1"/>
  <c r="L83" i="32" l="1"/>
  <c r="L83" i="31"/>
  <c r="M83" i="31"/>
  <c r="N131" i="31"/>
  <c r="L131" i="31" s="1"/>
  <c r="U83" i="31"/>
  <c r="M83" i="32"/>
  <c r="K83" i="31"/>
  <c r="N131" i="32"/>
  <c r="N135" i="32" s="1"/>
  <c r="AB28" i="32"/>
  <c r="Q131" i="32"/>
  <c r="S83" i="32"/>
  <c r="T83" i="32"/>
  <c r="AC32" i="32"/>
  <c r="AC38" i="32" s="1"/>
  <c r="E131" i="32"/>
  <c r="K83" i="32"/>
  <c r="U83" i="32"/>
  <c r="S83" i="31"/>
  <c r="Q131" i="31"/>
  <c r="T83" i="31"/>
  <c r="AC28" i="31"/>
  <c r="AD24" i="31"/>
  <c r="AE24" i="31" s="1"/>
  <c r="AF24" i="31" s="1"/>
  <c r="AB32" i="31"/>
  <c r="AB38" i="31" s="1"/>
  <c r="E135" i="31"/>
  <c r="K131" i="31"/>
  <c r="U131" i="31" l="1"/>
  <c r="N135" i="31"/>
  <c r="U135" i="31" s="1"/>
  <c r="M131" i="31"/>
  <c r="M131" i="32"/>
  <c r="U131" i="32"/>
  <c r="L131" i="32"/>
  <c r="T131" i="32"/>
  <c r="Q135" i="32"/>
  <c r="S131" i="32"/>
  <c r="M135" i="32"/>
  <c r="U135" i="32"/>
  <c r="N146" i="32"/>
  <c r="L135" i="32"/>
  <c r="AB32" i="32"/>
  <c r="E135" i="32"/>
  <c r="K131" i="32"/>
  <c r="AC39" i="32"/>
  <c r="AC43" i="32" s="1"/>
  <c r="S131" i="31"/>
  <c r="Q135" i="31"/>
  <c r="T131" i="31"/>
  <c r="AB39" i="31"/>
  <c r="E146" i="31"/>
  <c r="K146" i="31" s="1"/>
  <c r="K135" i="31"/>
  <c r="AC32" i="31"/>
  <c r="L135" i="31" l="1"/>
  <c r="M135" i="31"/>
  <c r="N146" i="31"/>
  <c r="L146" i="31" s="1"/>
  <c r="AB38" i="32"/>
  <c r="AB39" i="32" s="1"/>
  <c r="AC47" i="32"/>
  <c r="AC48" i="32" s="1"/>
  <c r="AC59" i="32" s="1"/>
  <c r="S135" i="32"/>
  <c r="Q146" i="32"/>
  <c r="T135" i="32"/>
  <c r="U146" i="32"/>
  <c r="L146" i="32"/>
  <c r="M146" i="32"/>
  <c r="K135" i="32"/>
  <c r="E146" i="32"/>
  <c r="K146" i="32" s="1"/>
  <c r="AB43" i="31"/>
  <c r="U146" i="31"/>
  <c r="M146" i="31"/>
  <c r="AC38" i="31"/>
  <c r="T135" i="31"/>
  <c r="S135" i="31"/>
  <c r="Q146" i="31"/>
  <c r="AD39" i="32" l="1"/>
  <c r="AE39" i="32" s="1"/>
  <c r="AF39" i="32" s="1"/>
  <c r="AB43" i="32"/>
  <c r="AB47" i="32" s="1"/>
  <c r="AB48" i="32" s="1"/>
  <c r="AD48" i="32" s="1"/>
  <c r="AE48" i="32" s="1"/>
  <c r="AF48" i="32" s="1"/>
  <c r="T146" i="32"/>
  <c r="S146" i="32"/>
  <c r="AC60" i="32"/>
  <c r="AC66" i="32" s="1"/>
  <c r="AC73" i="32" s="1"/>
  <c r="AC76" i="32" s="1"/>
  <c r="AC80" i="32" s="1"/>
  <c r="AC81" i="32" s="1"/>
  <c r="AC83" i="32" s="1"/>
  <c r="AC131" i="32" s="1"/>
  <c r="AC135" i="32" s="1"/>
  <c r="AC146" i="32" s="1"/>
  <c r="T146" i="31"/>
  <c r="S146" i="31"/>
  <c r="AC39" i="31"/>
  <c r="AB47" i="31"/>
  <c r="AB59" i="32" l="1"/>
  <c r="AB60" i="32" s="1"/>
  <c r="AD60" i="32" s="1"/>
  <c r="AE60" i="32" s="1"/>
  <c r="AF60" i="32" s="1"/>
  <c r="AD39" i="31"/>
  <c r="AE39" i="31" s="1"/>
  <c r="AF39" i="31" s="1"/>
  <c r="AC43" i="31"/>
  <c r="AC47" i="31" s="1"/>
  <c r="AC48" i="31" s="1"/>
  <c r="AC59" i="31" s="1"/>
  <c r="AB48" i="31"/>
  <c r="AB59" i="31" s="1"/>
  <c r="AB60" i="31" s="1"/>
  <c r="AB66" i="31" s="1"/>
  <c r="AB73" i="31" s="1"/>
  <c r="AB76" i="31" s="1"/>
  <c r="AB80" i="31" s="1"/>
  <c r="AB81" i="31" s="1"/>
  <c r="AB66" i="32" l="1"/>
  <c r="AB73" i="32" s="1"/>
  <c r="AB76" i="32" s="1"/>
  <c r="AB80" i="32" s="1"/>
  <c r="AB81" i="32" s="1"/>
  <c r="AD81" i="32" s="1"/>
  <c r="AE81" i="32" s="1"/>
  <c r="AF81" i="32" s="1"/>
  <c r="AB83" i="31"/>
  <c r="AC60" i="31"/>
  <c r="AC66" i="31" s="1"/>
  <c r="AC73" i="31" s="1"/>
  <c r="AC76" i="31" s="1"/>
  <c r="AC80" i="31" s="1"/>
  <c r="AC81" i="31" s="1"/>
  <c r="AC83" i="31" s="1"/>
  <c r="AC131" i="31" s="1"/>
  <c r="AC135" i="31" s="1"/>
  <c r="AC146" i="31" s="1"/>
  <c r="AD48" i="31"/>
  <c r="AE48" i="31" s="1"/>
  <c r="AF48" i="31" s="1"/>
  <c r="AB83" i="32" l="1"/>
  <c r="AD83" i="32" s="1"/>
  <c r="AD60" i="31"/>
  <c r="AE60" i="31" s="1"/>
  <c r="AF60" i="31" s="1"/>
  <c r="AB131" i="31"/>
  <c r="AB135" i="31" s="1"/>
  <c r="AB146" i="31" s="1"/>
  <c r="AD83" i="31"/>
  <c r="AD81" i="31"/>
  <c r="AE81" i="31" s="1"/>
  <c r="AF81" i="31" s="1"/>
  <c r="AB131" i="32" l="1"/>
  <c r="AB135" i="32" s="1"/>
  <c r="AB146" i="32" s="1"/>
  <c r="AD131" i="32"/>
  <c r="AD135" i="32" s="1"/>
  <c r="AD146" i="32" s="1"/>
  <c r="AE83" i="32"/>
  <c r="AD131" i="31"/>
  <c r="AD135" i="31" s="1"/>
  <c r="AD146" i="31" s="1"/>
  <c r="AE83" i="31"/>
  <c r="AE131" i="32" l="1"/>
  <c r="AE135" i="32" s="1"/>
  <c r="AE146" i="32" s="1"/>
  <c r="AF83" i="32"/>
  <c r="AF131" i="32" s="1"/>
  <c r="AF135" i="32" s="1"/>
  <c r="AF146" i="32" s="1"/>
  <c r="AF83" i="31"/>
  <c r="AF131" i="31" s="1"/>
  <c r="AF135" i="31" s="1"/>
  <c r="AF146" i="31" s="1"/>
  <c r="AE131" i="31"/>
  <c r="AE135" i="31" s="1"/>
  <c r="AE146" i="31" s="1"/>
  <c r="E542" i="4" l="1"/>
  <c r="D542" i="4"/>
  <c r="C541" i="4"/>
  <c r="E540" i="4"/>
  <c r="D540" i="4"/>
  <c r="B540" i="4"/>
  <c r="C539" i="4"/>
  <c r="E535" i="4"/>
  <c r="D535" i="4"/>
  <c r="C534" i="4"/>
  <c r="E533" i="4"/>
  <c r="D533" i="4"/>
  <c r="B533" i="4"/>
  <c r="C532" i="4"/>
  <c r="A532" i="4"/>
  <c r="A531" i="4"/>
  <c r="E479" i="4"/>
  <c r="D479" i="4"/>
  <c r="E478" i="4"/>
  <c r="D478" i="4"/>
  <c r="C478" i="4"/>
  <c r="E477" i="4"/>
  <c r="D477" i="4"/>
  <c r="C477" i="4"/>
  <c r="B477" i="4"/>
  <c r="E476" i="4"/>
  <c r="D476" i="4"/>
  <c r="C476" i="4"/>
  <c r="B476" i="4"/>
  <c r="E469" i="4"/>
  <c r="D469" i="4"/>
  <c r="C468" i="4"/>
  <c r="B467" i="4"/>
  <c r="A466" i="4"/>
  <c r="E331" i="4"/>
  <c r="D331" i="4"/>
  <c r="E330" i="4"/>
  <c r="D330" i="4"/>
  <c r="C330" i="4"/>
  <c r="E329" i="4"/>
  <c r="D329" i="4"/>
  <c r="C329" i="4"/>
  <c r="B329" i="4"/>
  <c r="E328" i="4"/>
  <c r="D328" i="4"/>
  <c r="C328" i="4"/>
  <c r="B328" i="4"/>
  <c r="A328" i="4"/>
  <c r="E255" i="4"/>
  <c r="D255" i="4"/>
  <c r="C254" i="4"/>
  <c r="B253" i="4"/>
  <c r="A252" i="4"/>
  <c r="E249" i="4"/>
  <c r="D249" i="4"/>
  <c r="C248" i="4"/>
  <c r="E188" i="4"/>
  <c r="D188" i="4"/>
  <c r="E187" i="4"/>
  <c r="D187" i="4"/>
  <c r="C187" i="4"/>
  <c r="E186" i="4"/>
  <c r="D186" i="4"/>
  <c r="C186" i="4"/>
  <c r="B186" i="4"/>
  <c r="E185" i="4"/>
  <c r="D185" i="4"/>
  <c r="C185" i="4"/>
  <c r="B185" i="4"/>
  <c r="A185" i="4"/>
  <c r="E176" i="4"/>
  <c r="D176" i="4"/>
  <c r="E175" i="4"/>
  <c r="D175" i="4"/>
  <c r="C175" i="4"/>
  <c r="E174" i="4"/>
  <c r="D174" i="4"/>
  <c r="C174" i="4"/>
  <c r="B174" i="4"/>
  <c r="E173" i="4"/>
  <c r="D173" i="4"/>
  <c r="C173" i="4"/>
  <c r="B173" i="4"/>
  <c r="A173" i="4"/>
  <c r="E159" i="4"/>
  <c r="D159" i="4"/>
  <c r="E158" i="4"/>
  <c r="D158" i="4"/>
  <c r="C158" i="4"/>
  <c r="E157" i="4"/>
  <c r="D157" i="4"/>
  <c r="C157" i="4"/>
  <c r="B157" i="4"/>
  <c r="E156" i="4"/>
  <c r="D156" i="4"/>
  <c r="C156" i="4"/>
  <c r="B156" i="4"/>
  <c r="A156" i="4"/>
  <c r="E120" i="4"/>
  <c r="D120" i="4"/>
  <c r="C119" i="4"/>
  <c r="E27" i="4"/>
  <c r="D27" i="4"/>
  <c r="C26" i="4"/>
  <c r="A24" i="4"/>
  <c r="K139" i="29"/>
  <c r="L139" i="29"/>
  <c r="M139" i="29"/>
  <c r="S139" i="29"/>
  <c r="T139" i="29"/>
  <c r="U139" i="29"/>
  <c r="AD139" i="29"/>
  <c r="AE139" i="29" s="1"/>
  <c r="AF139" i="29" s="1"/>
  <c r="K140" i="29"/>
  <c r="L140" i="29"/>
  <c r="M140" i="29"/>
  <c r="S140" i="29"/>
  <c r="T140" i="29"/>
  <c r="U140" i="29"/>
  <c r="AD140" i="29"/>
  <c r="AE140" i="29" s="1"/>
  <c r="AF140" i="29" s="1"/>
  <c r="K141" i="29"/>
  <c r="L141" i="29"/>
  <c r="M141" i="29"/>
  <c r="S141" i="29"/>
  <c r="T141" i="29"/>
  <c r="U141" i="29"/>
  <c r="AD141" i="29"/>
  <c r="AE141" i="29" s="1"/>
  <c r="AF141" i="29" s="1"/>
  <c r="K121" i="29"/>
  <c r="L121" i="29"/>
  <c r="M121" i="29"/>
  <c r="S121" i="29"/>
  <c r="T121" i="29"/>
  <c r="U121" i="29"/>
  <c r="AD121" i="29"/>
  <c r="K122" i="29"/>
  <c r="L122" i="29"/>
  <c r="M122" i="29"/>
  <c r="S122" i="29"/>
  <c r="T122" i="29"/>
  <c r="U122" i="29"/>
  <c r="AD122" i="29"/>
  <c r="AE122" i="29" s="1"/>
  <c r="AF122" i="29" s="1"/>
  <c r="K123" i="29"/>
  <c r="L123" i="29"/>
  <c r="M123" i="29"/>
  <c r="S123" i="29"/>
  <c r="T123" i="29"/>
  <c r="U123" i="29"/>
  <c r="AD123" i="29"/>
  <c r="AE123" i="29" s="1"/>
  <c r="AF123" i="29" s="1"/>
  <c r="K124" i="29"/>
  <c r="L124" i="29"/>
  <c r="M124" i="29"/>
  <c r="S124" i="29"/>
  <c r="T124" i="29"/>
  <c r="U124" i="29"/>
  <c r="AD124" i="29"/>
  <c r="AE124" i="29" s="1"/>
  <c r="AF124" i="29" s="1"/>
  <c r="K125" i="29"/>
  <c r="L125" i="29"/>
  <c r="M125" i="29"/>
  <c r="S125" i="29"/>
  <c r="T125" i="29"/>
  <c r="U125" i="29"/>
  <c r="AD125" i="29"/>
  <c r="AE125" i="29" s="1"/>
  <c r="AF125" i="29" s="1"/>
  <c r="K126" i="29"/>
  <c r="L126" i="29"/>
  <c r="M126" i="29"/>
  <c r="S126" i="29"/>
  <c r="T126" i="29"/>
  <c r="U126" i="29"/>
  <c r="AD126" i="29"/>
  <c r="AE126" i="29" s="1"/>
  <c r="AF126" i="29" s="1"/>
  <c r="AD120" i="29"/>
  <c r="AE120" i="29" s="1"/>
  <c r="AF120" i="29" s="1"/>
  <c r="U120" i="29"/>
  <c r="T120" i="29"/>
  <c r="S120" i="29"/>
  <c r="M120" i="29"/>
  <c r="L120" i="29"/>
  <c r="K120" i="29"/>
  <c r="K108" i="29"/>
  <c r="L108" i="29"/>
  <c r="M108" i="29"/>
  <c r="S108" i="29"/>
  <c r="T108" i="29"/>
  <c r="U108" i="29"/>
  <c r="AD108" i="29"/>
  <c r="AE108" i="29" s="1"/>
  <c r="AF108" i="29" s="1"/>
  <c r="K109" i="29"/>
  <c r="L109" i="29"/>
  <c r="M109" i="29"/>
  <c r="S109" i="29"/>
  <c r="T109" i="29"/>
  <c r="U109" i="29"/>
  <c r="AD109" i="29"/>
  <c r="AE109" i="29" s="1"/>
  <c r="K110" i="29"/>
  <c r="L110" i="29"/>
  <c r="M110" i="29"/>
  <c r="S110" i="29"/>
  <c r="T110" i="29"/>
  <c r="U110" i="29"/>
  <c r="AD110" i="29"/>
  <c r="AE110" i="29" s="1"/>
  <c r="AF110" i="29" s="1"/>
  <c r="K111" i="29"/>
  <c r="L111" i="29"/>
  <c r="M111" i="29"/>
  <c r="S111" i="29"/>
  <c r="T111" i="29"/>
  <c r="U111" i="29"/>
  <c r="AD111" i="29"/>
  <c r="AE111" i="29" s="1"/>
  <c r="AF111" i="29" s="1"/>
  <c r="K112" i="29"/>
  <c r="L112" i="29"/>
  <c r="M112" i="29"/>
  <c r="S112" i="29"/>
  <c r="T112" i="29"/>
  <c r="U112" i="29"/>
  <c r="AD112" i="29"/>
  <c r="AE112" i="29" s="1"/>
  <c r="AF112" i="29" s="1"/>
  <c r="K113" i="29"/>
  <c r="L113" i="29"/>
  <c r="M113" i="29"/>
  <c r="S113" i="29"/>
  <c r="T113" i="29"/>
  <c r="U113" i="29"/>
  <c r="AD113" i="29"/>
  <c r="AE113" i="29" s="1"/>
  <c r="AF113" i="29" s="1"/>
  <c r="K114" i="29"/>
  <c r="L114" i="29"/>
  <c r="M114" i="29"/>
  <c r="S114" i="29"/>
  <c r="T114" i="29"/>
  <c r="U114" i="29"/>
  <c r="AD114" i="29"/>
  <c r="AE114" i="29" s="1"/>
  <c r="AF114" i="29" s="1"/>
  <c r="K115" i="29"/>
  <c r="L115" i="29"/>
  <c r="M115" i="29"/>
  <c r="S115" i="29"/>
  <c r="T115" i="29"/>
  <c r="U115" i="29"/>
  <c r="AD115" i="29"/>
  <c r="AE115" i="29" s="1"/>
  <c r="AF115" i="29" s="1"/>
  <c r="AD107" i="29"/>
  <c r="AE107" i="29" s="1"/>
  <c r="AF107" i="29" s="1"/>
  <c r="U107" i="29"/>
  <c r="T107" i="29"/>
  <c r="S107" i="29"/>
  <c r="M107" i="29"/>
  <c r="L107" i="29"/>
  <c r="K107" i="29"/>
  <c r="V80" i="29"/>
  <c r="W80" i="29"/>
  <c r="N80" i="29"/>
  <c r="O80" i="29"/>
  <c r="P80" i="29"/>
  <c r="Q80" i="29"/>
  <c r="R80" i="29"/>
  <c r="C80" i="29"/>
  <c r="D80" i="29"/>
  <c r="E80" i="29"/>
  <c r="F80" i="29"/>
  <c r="G80" i="29"/>
  <c r="H80" i="29"/>
  <c r="I80" i="29"/>
  <c r="J80" i="29"/>
  <c r="V76" i="29"/>
  <c r="W76" i="29"/>
  <c r="N76" i="29"/>
  <c r="O76" i="29"/>
  <c r="P76" i="29"/>
  <c r="Q76" i="29"/>
  <c r="R76" i="29"/>
  <c r="C76" i="29"/>
  <c r="D76" i="29"/>
  <c r="E76" i="29"/>
  <c r="F76" i="29"/>
  <c r="G76" i="29"/>
  <c r="H76" i="29"/>
  <c r="I76" i="29"/>
  <c r="J76" i="29"/>
  <c r="V73" i="29"/>
  <c r="W73" i="29"/>
  <c r="N73" i="29"/>
  <c r="O73" i="29"/>
  <c r="P73" i="29"/>
  <c r="Q73" i="29"/>
  <c r="R73" i="29"/>
  <c r="C73" i="29"/>
  <c r="D73" i="29"/>
  <c r="E73" i="29"/>
  <c r="F73" i="29"/>
  <c r="G73" i="29"/>
  <c r="H73" i="29"/>
  <c r="I73" i="29"/>
  <c r="J73" i="29"/>
  <c r="V66" i="29"/>
  <c r="W66" i="29"/>
  <c r="N66" i="29"/>
  <c r="O66" i="29"/>
  <c r="P66" i="29"/>
  <c r="Q66" i="29"/>
  <c r="R66" i="29"/>
  <c r="C66" i="29"/>
  <c r="D66" i="29"/>
  <c r="E66" i="29"/>
  <c r="F66" i="29"/>
  <c r="G66" i="29"/>
  <c r="H66" i="29"/>
  <c r="I66" i="29"/>
  <c r="J66" i="29"/>
  <c r="V59" i="29"/>
  <c r="V60" i="29" s="1"/>
  <c r="W59" i="29"/>
  <c r="W60" i="29" s="1"/>
  <c r="N59" i="29"/>
  <c r="O59" i="29"/>
  <c r="O60" i="29" s="1"/>
  <c r="P59" i="29"/>
  <c r="P60" i="29" s="1"/>
  <c r="Q59" i="29"/>
  <c r="Q60" i="29" s="1"/>
  <c r="R59" i="29"/>
  <c r="R60" i="29" s="1"/>
  <c r="C59" i="29"/>
  <c r="C60" i="29" s="1"/>
  <c r="D59" i="29"/>
  <c r="D60" i="29" s="1"/>
  <c r="E59" i="29"/>
  <c r="E60" i="29" s="1"/>
  <c r="F59" i="29"/>
  <c r="F60" i="29" s="1"/>
  <c r="G59" i="29"/>
  <c r="G60" i="29" s="1"/>
  <c r="H59" i="29"/>
  <c r="H60" i="29" s="1"/>
  <c r="I59" i="29"/>
  <c r="I60" i="29" s="1"/>
  <c r="J59" i="29"/>
  <c r="J60" i="29" s="1"/>
  <c r="V47" i="29"/>
  <c r="W47" i="29"/>
  <c r="N47" i="29"/>
  <c r="O47" i="29"/>
  <c r="P47" i="29"/>
  <c r="Q47" i="29"/>
  <c r="R47" i="29"/>
  <c r="C47" i="29"/>
  <c r="D47" i="29"/>
  <c r="E47" i="29"/>
  <c r="F47" i="29"/>
  <c r="G47" i="29"/>
  <c r="H47" i="29"/>
  <c r="I47" i="29"/>
  <c r="J47" i="29"/>
  <c r="V43" i="29"/>
  <c r="W43" i="29"/>
  <c r="N43" i="29"/>
  <c r="O43" i="29"/>
  <c r="P43" i="29"/>
  <c r="Q43" i="29"/>
  <c r="R43" i="29"/>
  <c r="C43" i="29"/>
  <c r="D43" i="29"/>
  <c r="E43" i="29"/>
  <c r="F43" i="29"/>
  <c r="G43" i="29"/>
  <c r="H43" i="29"/>
  <c r="I43" i="29"/>
  <c r="J43" i="29"/>
  <c r="V38" i="29"/>
  <c r="W38" i="29"/>
  <c r="N38" i="29"/>
  <c r="O38" i="29"/>
  <c r="P38" i="29"/>
  <c r="Q38" i="29"/>
  <c r="R38" i="29"/>
  <c r="C38" i="29"/>
  <c r="D38" i="29"/>
  <c r="E38" i="29"/>
  <c r="F38" i="29"/>
  <c r="G38" i="29"/>
  <c r="H38" i="29"/>
  <c r="I38" i="29"/>
  <c r="J38" i="29"/>
  <c r="V32" i="29"/>
  <c r="W32" i="29"/>
  <c r="N32" i="29"/>
  <c r="O32" i="29"/>
  <c r="P32" i="29"/>
  <c r="Q32" i="29"/>
  <c r="R32" i="29"/>
  <c r="C32" i="29"/>
  <c r="D32" i="29"/>
  <c r="E32" i="29"/>
  <c r="F32" i="29"/>
  <c r="G32" i="29"/>
  <c r="H32" i="29"/>
  <c r="I32" i="29"/>
  <c r="J32" i="29"/>
  <c r="V28" i="29"/>
  <c r="W28" i="29"/>
  <c r="N28" i="29"/>
  <c r="O28" i="29"/>
  <c r="P28" i="29"/>
  <c r="Q28" i="29"/>
  <c r="R28" i="29"/>
  <c r="C28" i="29"/>
  <c r="D28" i="29"/>
  <c r="E28" i="29"/>
  <c r="F28" i="29"/>
  <c r="G28" i="29"/>
  <c r="H28" i="29"/>
  <c r="I28" i="29"/>
  <c r="J28" i="29"/>
  <c r="V23" i="29"/>
  <c r="W23" i="29"/>
  <c r="N23" i="29"/>
  <c r="O23" i="29"/>
  <c r="P23" i="29"/>
  <c r="Q23" i="29"/>
  <c r="R23" i="29"/>
  <c r="C23" i="29"/>
  <c r="D23" i="29"/>
  <c r="E23" i="29"/>
  <c r="F23" i="29"/>
  <c r="G23" i="29"/>
  <c r="H23" i="29"/>
  <c r="I23" i="29"/>
  <c r="J23" i="29"/>
  <c r="V13" i="29"/>
  <c r="W13" i="29"/>
  <c r="N13" i="29"/>
  <c r="O13" i="29"/>
  <c r="P13" i="29"/>
  <c r="Q13" i="29"/>
  <c r="R13" i="29"/>
  <c r="C13" i="29"/>
  <c r="D13" i="29"/>
  <c r="E13" i="29"/>
  <c r="F13" i="29"/>
  <c r="G13" i="29"/>
  <c r="H13" i="29"/>
  <c r="I13" i="29"/>
  <c r="J13" i="29"/>
  <c r="V11" i="29"/>
  <c r="W11" i="29"/>
  <c r="N11" i="29"/>
  <c r="O11" i="29"/>
  <c r="P11" i="29"/>
  <c r="Q11" i="29"/>
  <c r="R11" i="29"/>
  <c r="C11" i="29"/>
  <c r="D11" i="29"/>
  <c r="E11" i="29"/>
  <c r="F11" i="29"/>
  <c r="G11" i="29"/>
  <c r="H11" i="29"/>
  <c r="I11" i="29"/>
  <c r="J11" i="29"/>
  <c r="AC11" i="29"/>
  <c r="AB11" i="29"/>
  <c r="K5" i="29"/>
  <c r="L5" i="29"/>
  <c r="M5" i="29"/>
  <c r="S5" i="29"/>
  <c r="T5" i="29"/>
  <c r="U5" i="29"/>
  <c r="AD5" i="29"/>
  <c r="AE5" i="29" s="1"/>
  <c r="AF5" i="29" s="1"/>
  <c r="K6" i="29"/>
  <c r="L6" i="29"/>
  <c r="M6" i="29"/>
  <c r="S6" i="29"/>
  <c r="T6" i="29"/>
  <c r="U6" i="29"/>
  <c r="AD6" i="29"/>
  <c r="AE6" i="29" s="1"/>
  <c r="AF6" i="29" s="1"/>
  <c r="K7" i="29"/>
  <c r="L7" i="29"/>
  <c r="M7" i="29"/>
  <c r="S7" i="29"/>
  <c r="T7" i="29"/>
  <c r="U7" i="29"/>
  <c r="AD7" i="29"/>
  <c r="AE7" i="29" s="1"/>
  <c r="AF7" i="29" s="1"/>
  <c r="K8" i="29"/>
  <c r="L8" i="29"/>
  <c r="M8" i="29"/>
  <c r="S8" i="29"/>
  <c r="T8" i="29"/>
  <c r="U8" i="29"/>
  <c r="AD8" i="29"/>
  <c r="AE8" i="29" s="1"/>
  <c r="AF8" i="29" s="1"/>
  <c r="K9" i="29"/>
  <c r="L9" i="29"/>
  <c r="M9" i="29"/>
  <c r="S9" i="29"/>
  <c r="T9" i="29"/>
  <c r="U9" i="29"/>
  <c r="AD9" i="29"/>
  <c r="AE9" i="29" s="1"/>
  <c r="AF9" i="29" s="1"/>
  <c r="K10" i="29"/>
  <c r="L10" i="29"/>
  <c r="M10" i="29"/>
  <c r="S10" i="29"/>
  <c r="T10" i="29"/>
  <c r="U10" i="29"/>
  <c r="AD10" i="29"/>
  <c r="AE10" i="29" s="1"/>
  <c r="AF10" i="29" s="1"/>
  <c r="K12" i="29"/>
  <c r="L12" i="29"/>
  <c r="M12" i="29"/>
  <c r="S12" i="29"/>
  <c r="T12" i="29"/>
  <c r="U12" i="29"/>
  <c r="AD12" i="29"/>
  <c r="AE12" i="29" s="1"/>
  <c r="AF12" i="29" s="1"/>
  <c r="K14" i="29"/>
  <c r="L14" i="29"/>
  <c r="M14" i="29"/>
  <c r="S14" i="29"/>
  <c r="T14" i="29"/>
  <c r="U14" i="29"/>
  <c r="AD14" i="29"/>
  <c r="AE14" i="29" s="1"/>
  <c r="AF14" i="29" s="1"/>
  <c r="K15" i="29"/>
  <c r="L15" i="29"/>
  <c r="M15" i="29"/>
  <c r="S15" i="29"/>
  <c r="T15" i="29"/>
  <c r="U15" i="29"/>
  <c r="AD15" i="29"/>
  <c r="AE15" i="29" s="1"/>
  <c r="AF15" i="29" s="1"/>
  <c r="K16" i="29"/>
  <c r="L16" i="29"/>
  <c r="M16" i="29"/>
  <c r="S16" i="29"/>
  <c r="T16" i="29"/>
  <c r="U16" i="29"/>
  <c r="AD16" i="29"/>
  <c r="AE16" i="29" s="1"/>
  <c r="AF16" i="29" s="1"/>
  <c r="K17" i="29"/>
  <c r="L17" i="29"/>
  <c r="M17" i="29"/>
  <c r="S17" i="29"/>
  <c r="T17" i="29"/>
  <c r="U17" i="29"/>
  <c r="AD17" i="29"/>
  <c r="AE17" i="29" s="1"/>
  <c r="AF17" i="29" s="1"/>
  <c r="K18" i="29"/>
  <c r="L18" i="29"/>
  <c r="M18" i="29"/>
  <c r="S18" i="29"/>
  <c r="T18" i="29"/>
  <c r="U18" i="29"/>
  <c r="AD18" i="29"/>
  <c r="AE18" i="29" s="1"/>
  <c r="AF18" i="29" s="1"/>
  <c r="K19" i="29"/>
  <c r="L19" i="29"/>
  <c r="M19" i="29"/>
  <c r="S19" i="29"/>
  <c r="T19" i="29"/>
  <c r="U19" i="29"/>
  <c r="AD19" i="29"/>
  <c r="AE19" i="29" s="1"/>
  <c r="AF19" i="29" s="1"/>
  <c r="K20" i="29"/>
  <c r="L20" i="29"/>
  <c r="M20" i="29"/>
  <c r="S20" i="29"/>
  <c r="T20" i="29"/>
  <c r="U20" i="29"/>
  <c r="AD20" i="29"/>
  <c r="AE20" i="29" s="1"/>
  <c r="AF20" i="29" s="1"/>
  <c r="K21" i="29"/>
  <c r="L21" i="29"/>
  <c r="M21" i="29"/>
  <c r="S21" i="29"/>
  <c r="T21" i="29"/>
  <c r="U21" i="29"/>
  <c r="AD21" i="29"/>
  <c r="AE21" i="29" s="1"/>
  <c r="AF21" i="29" s="1"/>
  <c r="K22" i="29"/>
  <c r="L22" i="29"/>
  <c r="M22" i="29"/>
  <c r="S22" i="29"/>
  <c r="T22" i="29"/>
  <c r="U22" i="29"/>
  <c r="AD22" i="29"/>
  <c r="AE22" i="29" s="1"/>
  <c r="AF22" i="29" s="1"/>
  <c r="K25" i="29"/>
  <c r="L25" i="29"/>
  <c r="M25" i="29"/>
  <c r="S25" i="29"/>
  <c r="T25" i="29"/>
  <c r="U25" i="29"/>
  <c r="AD25" i="29"/>
  <c r="AE25" i="29" s="1"/>
  <c r="AF25" i="29" s="1"/>
  <c r="K26" i="29"/>
  <c r="L26" i="29"/>
  <c r="M26" i="29"/>
  <c r="S26" i="29"/>
  <c r="T26" i="29"/>
  <c r="U26" i="29"/>
  <c r="AD26" i="29"/>
  <c r="AE26" i="29" s="1"/>
  <c r="AF26" i="29" s="1"/>
  <c r="K27" i="29"/>
  <c r="L27" i="29"/>
  <c r="M27" i="29"/>
  <c r="S27" i="29"/>
  <c r="T27" i="29"/>
  <c r="U27" i="29"/>
  <c r="AD27" i="29"/>
  <c r="AE27" i="29" s="1"/>
  <c r="AF27" i="29" s="1"/>
  <c r="K29" i="29"/>
  <c r="L29" i="29"/>
  <c r="M29" i="29"/>
  <c r="S29" i="29"/>
  <c r="T29" i="29"/>
  <c r="U29" i="29"/>
  <c r="AD29" i="29"/>
  <c r="AE29" i="29" s="1"/>
  <c r="AF29" i="29" s="1"/>
  <c r="K30" i="29"/>
  <c r="L30" i="29"/>
  <c r="M30" i="29"/>
  <c r="S30" i="29"/>
  <c r="T30" i="29"/>
  <c r="U30" i="29"/>
  <c r="AD30" i="29"/>
  <c r="AE30" i="29" s="1"/>
  <c r="AF30" i="29" s="1"/>
  <c r="K31" i="29"/>
  <c r="L31" i="29"/>
  <c r="M31" i="29"/>
  <c r="S31" i="29"/>
  <c r="T31" i="29"/>
  <c r="U31" i="29"/>
  <c r="AD31" i="29"/>
  <c r="AE31" i="29" s="1"/>
  <c r="AF31" i="29" s="1"/>
  <c r="K33" i="29"/>
  <c r="L33" i="29"/>
  <c r="M33" i="29"/>
  <c r="S33" i="29"/>
  <c r="T33" i="29"/>
  <c r="U33" i="29"/>
  <c r="AD33" i="29"/>
  <c r="AE33" i="29" s="1"/>
  <c r="AF33" i="29" s="1"/>
  <c r="K34" i="29"/>
  <c r="L34" i="29"/>
  <c r="M34" i="29"/>
  <c r="S34" i="29"/>
  <c r="T34" i="29"/>
  <c r="U34" i="29"/>
  <c r="AD34" i="29"/>
  <c r="AE34" i="29" s="1"/>
  <c r="AF34" i="29" s="1"/>
  <c r="K35" i="29"/>
  <c r="L35" i="29"/>
  <c r="M35" i="29"/>
  <c r="S35" i="29"/>
  <c r="T35" i="29"/>
  <c r="U35" i="29"/>
  <c r="AD35" i="29"/>
  <c r="AE35" i="29" s="1"/>
  <c r="AF35" i="29" s="1"/>
  <c r="K36" i="29"/>
  <c r="L36" i="29"/>
  <c r="M36" i="29"/>
  <c r="S36" i="29"/>
  <c r="T36" i="29"/>
  <c r="U36" i="29"/>
  <c r="AD36" i="29"/>
  <c r="AE36" i="29" s="1"/>
  <c r="AF36" i="29" s="1"/>
  <c r="K37" i="29"/>
  <c r="L37" i="29"/>
  <c r="M37" i="29"/>
  <c r="S37" i="29"/>
  <c r="T37" i="29"/>
  <c r="U37" i="29"/>
  <c r="AD37" i="29"/>
  <c r="AE37" i="29" s="1"/>
  <c r="AF37" i="29" s="1"/>
  <c r="K40" i="29"/>
  <c r="L40" i="29"/>
  <c r="M40" i="29"/>
  <c r="S40" i="29"/>
  <c r="T40" i="29"/>
  <c r="U40" i="29"/>
  <c r="AD40" i="29"/>
  <c r="AE40" i="29" s="1"/>
  <c r="AF40" i="29" s="1"/>
  <c r="K41" i="29"/>
  <c r="L41" i="29"/>
  <c r="M41" i="29"/>
  <c r="S41" i="29"/>
  <c r="T41" i="29"/>
  <c r="U41" i="29"/>
  <c r="AD41" i="29"/>
  <c r="AE41" i="29" s="1"/>
  <c r="AF41" i="29" s="1"/>
  <c r="K42" i="29"/>
  <c r="L42" i="29"/>
  <c r="M42" i="29"/>
  <c r="S42" i="29"/>
  <c r="T42" i="29"/>
  <c r="U42" i="29"/>
  <c r="AD42" i="29"/>
  <c r="AE42" i="29" s="1"/>
  <c r="AF42" i="29" s="1"/>
  <c r="K44" i="29"/>
  <c r="L44" i="29"/>
  <c r="M44" i="29"/>
  <c r="S44" i="29"/>
  <c r="T44" i="29"/>
  <c r="U44" i="29"/>
  <c r="AD44" i="29"/>
  <c r="AE44" i="29" s="1"/>
  <c r="AF44" i="29" s="1"/>
  <c r="K45" i="29"/>
  <c r="L45" i="29"/>
  <c r="M45" i="29"/>
  <c r="S45" i="29"/>
  <c r="T45" i="29"/>
  <c r="U45" i="29"/>
  <c r="AD45" i="29"/>
  <c r="AE45" i="29" s="1"/>
  <c r="AF45" i="29" s="1"/>
  <c r="K46" i="29"/>
  <c r="L46" i="29"/>
  <c r="M46" i="29"/>
  <c r="S46" i="29"/>
  <c r="T46" i="29"/>
  <c r="U46" i="29"/>
  <c r="AD46" i="29"/>
  <c r="AE46" i="29" s="1"/>
  <c r="AF46" i="29" s="1"/>
  <c r="K49" i="29"/>
  <c r="L49" i="29"/>
  <c r="M49" i="29"/>
  <c r="S49" i="29"/>
  <c r="T49" i="29"/>
  <c r="U49" i="29"/>
  <c r="AD49" i="29"/>
  <c r="AE49" i="29" s="1"/>
  <c r="AF49" i="29" s="1"/>
  <c r="K50" i="29"/>
  <c r="L50" i="29"/>
  <c r="M50" i="29"/>
  <c r="S50" i="29"/>
  <c r="T50" i="29"/>
  <c r="U50" i="29"/>
  <c r="AD50" i="29"/>
  <c r="AE50" i="29" s="1"/>
  <c r="AF50" i="29" s="1"/>
  <c r="K51" i="29"/>
  <c r="L51" i="29"/>
  <c r="M51" i="29"/>
  <c r="S51" i="29"/>
  <c r="T51" i="29"/>
  <c r="U51" i="29"/>
  <c r="AD51" i="29"/>
  <c r="AE51" i="29" s="1"/>
  <c r="AF51" i="29" s="1"/>
  <c r="K52" i="29"/>
  <c r="L52" i="29"/>
  <c r="M52" i="29"/>
  <c r="S52" i="29"/>
  <c r="T52" i="29"/>
  <c r="U52" i="29"/>
  <c r="AD52" i="29"/>
  <c r="AE52" i="29" s="1"/>
  <c r="AF52" i="29" s="1"/>
  <c r="K53" i="29"/>
  <c r="L53" i="29"/>
  <c r="M53" i="29"/>
  <c r="S53" i="29"/>
  <c r="T53" i="29"/>
  <c r="U53" i="29"/>
  <c r="AD53" i="29"/>
  <c r="AE53" i="29" s="1"/>
  <c r="AF53" i="29" s="1"/>
  <c r="K54" i="29"/>
  <c r="L54" i="29"/>
  <c r="M54" i="29"/>
  <c r="S54" i="29"/>
  <c r="T54" i="29"/>
  <c r="U54" i="29"/>
  <c r="AD54" i="29"/>
  <c r="AE54" i="29" s="1"/>
  <c r="AF54" i="29" s="1"/>
  <c r="K55" i="29"/>
  <c r="L55" i="29"/>
  <c r="M55" i="29"/>
  <c r="S55" i="29"/>
  <c r="T55" i="29"/>
  <c r="U55" i="29"/>
  <c r="AD55" i="29"/>
  <c r="AE55" i="29" s="1"/>
  <c r="AF55" i="29" s="1"/>
  <c r="K56" i="29"/>
  <c r="L56" i="29"/>
  <c r="M56" i="29"/>
  <c r="S56" i="29"/>
  <c r="T56" i="29"/>
  <c r="U56" i="29"/>
  <c r="AD56" i="29"/>
  <c r="AE56" i="29" s="1"/>
  <c r="AF56" i="29" s="1"/>
  <c r="K57" i="29"/>
  <c r="L57" i="29"/>
  <c r="M57" i="29"/>
  <c r="S57" i="29"/>
  <c r="T57" i="29"/>
  <c r="U57" i="29"/>
  <c r="AD57" i="29"/>
  <c r="AE57" i="29" s="1"/>
  <c r="AF57" i="29" s="1"/>
  <c r="K58" i="29"/>
  <c r="L58" i="29"/>
  <c r="M58" i="29"/>
  <c r="S58" i="29"/>
  <c r="T58" i="29"/>
  <c r="U58" i="29"/>
  <c r="AD58" i="29"/>
  <c r="AE58" i="29" s="1"/>
  <c r="AF58" i="29" s="1"/>
  <c r="K61" i="29"/>
  <c r="L61" i="29"/>
  <c r="M61" i="29"/>
  <c r="S61" i="29"/>
  <c r="T61" i="29"/>
  <c r="U61" i="29"/>
  <c r="AD61" i="29"/>
  <c r="AE61" i="29" s="1"/>
  <c r="AF61" i="29" s="1"/>
  <c r="K62" i="29"/>
  <c r="L62" i="29"/>
  <c r="M62" i="29"/>
  <c r="S62" i="29"/>
  <c r="T62" i="29"/>
  <c r="U62" i="29"/>
  <c r="AD62" i="29"/>
  <c r="AE62" i="29" s="1"/>
  <c r="AF62" i="29" s="1"/>
  <c r="K63" i="29"/>
  <c r="L63" i="29"/>
  <c r="M63" i="29"/>
  <c r="S63" i="29"/>
  <c r="T63" i="29"/>
  <c r="U63" i="29"/>
  <c r="AD63" i="29"/>
  <c r="AE63" i="29" s="1"/>
  <c r="AF63" i="29" s="1"/>
  <c r="K64" i="29"/>
  <c r="L64" i="29"/>
  <c r="M64" i="29"/>
  <c r="S64" i="29"/>
  <c r="T64" i="29"/>
  <c r="U64" i="29"/>
  <c r="AD64" i="29"/>
  <c r="AE64" i="29" s="1"/>
  <c r="AF64" i="29" s="1"/>
  <c r="K65" i="29"/>
  <c r="L65" i="29"/>
  <c r="M65" i="29"/>
  <c r="S65" i="29"/>
  <c r="T65" i="29"/>
  <c r="U65" i="29"/>
  <c r="AD65" i="29"/>
  <c r="AE65" i="29" s="1"/>
  <c r="AF65" i="29" s="1"/>
  <c r="K67" i="29"/>
  <c r="L67" i="29"/>
  <c r="M67" i="29"/>
  <c r="S67" i="29"/>
  <c r="T67" i="29"/>
  <c r="U67" i="29"/>
  <c r="AD67" i="29"/>
  <c r="AE67" i="29" s="1"/>
  <c r="AF67" i="29" s="1"/>
  <c r="K68" i="29"/>
  <c r="L68" i="29"/>
  <c r="M68" i="29"/>
  <c r="S68" i="29"/>
  <c r="T68" i="29"/>
  <c r="U68" i="29"/>
  <c r="AD68" i="29"/>
  <c r="AE68" i="29" s="1"/>
  <c r="AF68" i="29" s="1"/>
  <c r="K69" i="29"/>
  <c r="L69" i="29"/>
  <c r="M69" i="29"/>
  <c r="S69" i="29"/>
  <c r="T69" i="29"/>
  <c r="U69" i="29"/>
  <c r="AD69" i="29"/>
  <c r="AE69" i="29" s="1"/>
  <c r="AF69" i="29" s="1"/>
  <c r="K70" i="29"/>
  <c r="L70" i="29"/>
  <c r="M70" i="29"/>
  <c r="S70" i="29"/>
  <c r="T70" i="29"/>
  <c r="U70" i="29"/>
  <c r="AD70" i="29"/>
  <c r="AE70" i="29" s="1"/>
  <c r="AF70" i="29" s="1"/>
  <c r="K71" i="29"/>
  <c r="L71" i="29"/>
  <c r="M71" i="29"/>
  <c r="S71" i="29"/>
  <c r="T71" i="29"/>
  <c r="U71" i="29"/>
  <c r="AD71" i="29"/>
  <c r="AE71" i="29" s="1"/>
  <c r="AF71" i="29" s="1"/>
  <c r="K72" i="29"/>
  <c r="L72" i="29"/>
  <c r="M72" i="29"/>
  <c r="S72" i="29"/>
  <c r="T72" i="29"/>
  <c r="U72" i="29"/>
  <c r="AD72" i="29"/>
  <c r="AE72" i="29" s="1"/>
  <c r="AF72" i="29" s="1"/>
  <c r="K74" i="29"/>
  <c r="L74" i="29"/>
  <c r="M74" i="29"/>
  <c r="S74" i="29"/>
  <c r="T74" i="29"/>
  <c r="U74" i="29"/>
  <c r="AD74" i="29"/>
  <c r="AE74" i="29" s="1"/>
  <c r="AF74" i="29" s="1"/>
  <c r="K75" i="29"/>
  <c r="L75" i="29"/>
  <c r="M75" i="29"/>
  <c r="S75" i="29"/>
  <c r="T75" i="29"/>
  <c r="U75" i="29"/>
  <c r="AD75" i="29"/>
  <c r="AE75" i="29" s="1"/>
  <c r="AF75" i="29" s="1"/>
  <c r="K77" i="29"/>
  <c r="L77" i="29"/>
  <c r="M77" i="29"/>
  <c r="S77" i="29"/>
  <c r="T77" i="29"/>
  <c r="U77" i="29"/>
  <c r="AD77" i="29"/>
  <c r="AE77" i="29" s="1"/>
  <c r="AF77" i="29" s="1"/>
  <c r="K78" i="29"/>
  <c r="L78" i="29"/>
  <c r="M78" i="29"/>
  <c r="S78" i="29"/>
  <c r="T78" i="29"/>
  <c r="U78" i="29"/>
  <c r="AD78" i="29"/>
  <c r="AE78" i="29" s="1"/>
  <c r="AF78" i="29" s="1"/>
  <c r="K79" i="29"/>
  <c r="L79" i="29"/>
  <c r="M79" i="29"/>
  <c r="S79" i="29"/>
  <c r="T79" i="29"/>
  <c r="U79" i="29"/>
  <c r="AD79" i="29"/>
  <c r="AE79" i="29" s="1"/>
  <c r="AF79" i="29" s="1"/>
  <c r="AC144" i="29"/>
  <c r="AB144" i="29"/>
  <c r="Z144" i="29"/>
  <c r="Y144" i="29"/>
  <c r="X144" i="29"/>
  <c r="W144" i="29"/>
  <c r="V144" i="29"/>
  <c r="R144" i="29"/>
  <c r="Q144" i="29"/>
  <c r="P144" i="29"/>
  <c r="O144" i="29"/>
  <c r="N144" i="29"/>
  <c r="J144" i="29"/>
  <c r="I144" i="29"/>
  <c r="H144" i="29"/>
  <c r="G144" i="29"/>
  <c r="F144" i="29"/>
  <c r="E144" i="29"/>
  <c r="D144" i="29"/>
  <c r="C144" i="29"/>
  <c r="AD142" i="29"/>
  <c r="AE142" i="29" s="1"/>
  <c r="U142" i="29"/>
  <c r="T142" i="29"/>
  <c r="S142" i="29"/>
  <c r="M142" i="29"/>
  <c r="L142" i="29"/>
  <c r="K142" i="29"/>
  <c r="AD133" i="29"/>
  <c r="AE133" i="29" s="1"/>
  <c r="AF133" i="29" s="1"/>
  <c r="U133" i="29"/>
  <c r="T133" i="29"/>
  <c r="S133" i="29"/>
  <c r="M133" i="29"/>
  <c r="L133" i="29"/>
  <c r="K133" i="29"/>
  <c r="Z129" i="29"/>
  <c r="Y129" i="29"/>
  <c r="X129" i="29"/>
  <c r="AD127" i="29"/>
  <c r="AE127" i="29" s="1"/>
  <c r="AF127" i="29" s="1"/>
  <c r="U127" i="29"/>
  <c r="T127" i="29"/>
  <c r="S127" i="29"/>
  <c r="M127" i="29"/>
  <c r="L127" i="29"/>
  <c r="K127" i="29"/>
  <c r="AC119" i="29"/>
  <c r="AB119" i="29"/>
  <c r="W119" i="29"/>
  <c r="V119" i="29"/>
  <c r="R119" i="29"/>
  <c r="Q119" i="29"/>
  <c r="P119" i="29"/>
  <c r="O119" i="29"/>
  <c r="N119" i="29"/>
  <c r="J119" i="29"/>
  <c r="I119" i="29"/>
  <c r="H119" i="29"/>
  <c r="G119" i="29"/>
  <c r="F119" i="29"/>
  <c r="E119" i="29"/>
  <c r="D119" i="29"/>
  <c r="C119" i="29"/>
  <c r="AD117" i="29"/>
  <c r="AE117" i="29" s="1"/>
  <c r="AF117" i="29" s="1"/>
  <c r="U117" i="29"/>
  <c r="T117" i="29"/>
  <c r="S117" i="29"/>
  <c r="M117" i="29"/>
  <c r="L117" i="29"/>
  <c r="K117" i="29"/>
  <c r="AD116" i="29"/>
  <c r="AE116" i="29" s="1"/>
  <c r="AF116" i="29" s="1"/>
  <c r="U116" i="29"/>
  <c r="T116" i="29"/>
  <c r="S116" i="29"/>
  <c r="M116" i="29"/>
  <c r="L116" i="29"/>
  <c r="K116" i="29"/>
  <c r="AC106" i="29"/>
  <c r="AB106" i="29"/>
  <c r="W106" i="29"/>
  <c r="V106" i="29"/>
  <c r="R106" i="29"/>
  <c r="Q106" i="29"/>
  <c r="P106" i="29"/>
  <c r="O106" i="29"/>
  <c r="N106" i="29"/>
  <c r="J106" i="29"/>
  <c r="I106" i="29"/>
  <c r="H106" i="29"/>
  <c r="G106" i="29"/>
  <c r="F106" i="29"/>
  <c r="E106" i="29"/>
  <c r="D106" i="29"/>
  <c r="C106" i="29"/>
  <c r="AC104" i="29"/>
  <c r="AB104" i="29"/>
  <c r="Z104" i="29"/>
  <c r="Y104" i="29"/>
  <c r="X104" i="29"/>
  <c r="W104" i="29"/>
  <c r="V104" i="29"/>
  <c r="R104" i="29"/>
  <c r="Q104" i="29"/>
  <c r="P104" i="29"/>
  <c r="O104" i="29"/>
  <c r="N104" i="29"/>
  <c r="J104" i="29"/>
  <c r="I104" i="29"/>
  <c r="H104" i="29"/>
  <c r="G104" i="29"/>
  <c r="F104" i="29"/>
  <c r="E104" i="29"/>
  <c r="D104" i="29"/>
  <c r="C104" i="29"/>
  <c r="AD102" i="29"/>
  <c r="AE102" i="29" s="1"/>
  <c r="AF102" i="29" s="1"/>
  <c r="U102" i="29"/>
  <c r="T102" i="29"/>
  <c r="S102" i="29"/>
  <c r="M102" i="29"/>
  <c r="L102" i="29"/>
  <c r="K102" i="29"/>
  <c r="AD101" i="29"/>
  <c r="AE101" i="29" s="1"/>
  <c r="AF101" i="29" s="1"/>
  <c r="U101" i="29"/>
  <c r="T101" i="29"/>
  <c r="S101" i="29"/>
  <c r="M101" i="29"/>
  <c r="L101" i="29"/>
  <c r="K101" i="29"/>
  <c r="AD100" i="29"/>
  <c r="AE100" i="29" s="1"/>
  <c r="AF100" i="29" s="1"/>
  <c r="U100" i="29"/>
  <c r="T100" i="29"/>
  <c r="S100" i="29"/>
  <c r="M100" i="29"/>
  <c r="L100" i="29"/>
  <c r="K100" i="29"/>
  <c r="AD99" i="29"/>
  <c r="AE99" i="29" s="1"/>
  <c r="AF99" i="29" s="1"/>
  <c r="U99" i="29"/>
  <c r="T99" i="29"/>
  <c r="S99" i="29"/>
  <c r="M99" i="29"/>
  <c r="L99" i="29"/>
  <c r="K99" i="29"/>
  <c r="AD98" i="29"/>
  <c r="AE98" i="29" s="1"/>
  <c r="AF98" i="29" s="1"/>
  <c r="U98" i="29"/>
  <c r="T98" i="29"/>
  <c r="S98" i="29"/>
  <c r="M98" i="29"/>
  <c r="L98" i="29"/>
  <c r="K98" i="29"/>
  <c r="AD97" i="29"/>
  <c r="AE97" i="29" s="1"/>
  <c r="AF97" i="29" s="1"/>
  <c r="U97" i="29"/>
  <c r="T97" i="29"/>
  <c r="S97" i="29"/>
  <c r="M97" i="29"/>
  <c r="L97" i="29"/>
  <c r="K97" i="29"/>
  <c r="AD96" i="29"/>
  <c r="AE96" i="29" s="1"/>
  <c r="AF96" i="29" s="1"/>
  <c r="U96" i="29"/>
  <c r="T96" i="29"/>
  <c r="S96" i="29"/>
  <c r="M96" i="29"/>
  <c r="L96" i="29"/>
  <c r="K96" i="29"/>
  <c r="AD95" i="29"/>
  <c r="AE95" i="29" s="1"/>
  <c r="AF95" i="29" s="1"/>
  <c r="U95" i="29"/>
  <c r="T95" i="29"/>
  <c r="S95" i="29"/>
  <c r="M95" i="29"/>
  <c r="L95" i="29"/>
  <c r="K95" i="29"/>
  <c r="AD94" i="29"/>
  <c r="AE94" i="29" s="1"/>
  <c r="AF94" i="29" s="1"/>
  <c r="U94" i="29"/>
  <c r="T94" i="29"/>
  <c r="S94" i="29"/>
  <c r="M94" i="29"/>
  <c r="L94" i="29"/>
  <c r="K94" i="29"/>
  <c r="AD93" i="29"/>
  <c r="AE93" i="29" s="1"/>
  <c r="AF93" i="29" s="1"/>
  <c r="U93" i="29"/>
  <c r="T93" i="29"/>
  <c r="S93" i="29"/>
  <c r="M93" i="29"/>
  <c r="L93" i="29"/>
  <c r="K93" i="29"/>
  <c r="AD92" i="29"/>
  <c r="AE92" i="29" s="1"/>
  <c r="AF92" i="29" s="1"/>
  <c r="U92" i="29"/>
  <c r="T92" i="29"/>
  <c r="S92" i="29"/>
  <c r="M92" i="29"/>
  <c r="L92" i="29"/>
  <c r="K92" i="29"/>
  <c r="AD91" i="29"/>
  <c r="AE91" i="29" s="1"/>
  <c r="AF91" i="29" s="1"/>
  <c r="U91" i="29"/>
  <c r="T91" i="29"/>
  <c r="S91" i="29"/>
  <c r="M91" i="29"/>
  <c r="L91" i="29"/>
  <c r="K91" i="29"/>
  <c r="AD90" i="29"/>
  <c r="AE90" i="29" s="1"/>
  <c r="AF90" i="29" s="1"/>
  <c r="U90" i="29"/>
  <c r="T90" i="29"/>
  <c r="S90" i="29"/>
  <c r="M90" i="29"/>
  <c r="L90" i="29"/>
  <c r="K90" i="29"/>
  <c r="AD89" i="29"/>
  <c r="AE89" i="29" s="1"/>
  <c r="AF89" i="29" s="1"/>
  <c r="U89" i="29"/>
  <c r="T89" i="29"/>
  <c r="S89" i="29"/>
  <c r="M89" i="29"/>
  <c r="L89" i="29"/>
  <c r="K89" i="29"/>
  <c r="AD88" i="29"/>
  <c r="AE88" i="29" s="1"/>
  <c r="AF88" i="29" s="1"/>
  <c r="U88" i="29"/>
  <c r="T88" i="29"/>
  <c r="S88" i="29"/>
  <c r="M88" i="29"/>
  <c r="L88" i="29"/>
  <c r="K88" i="29"/>
  <c r="AD87" i="29"/>
  <c r="AE87" i="29" s="1"/>
  <c r="AF87" i="29" s="1"/>
  <c r="U87" i="29"/>
  <c r="T87" i="29"/>
  <c r="S87" i="29"/>
  <c r="M87" i="29"/>
  <c r="L87" i="29"/>
  <c r="K87" i="29"/>
  <c r="AD86" i="29"/>
  <c r="AE86" i="29" s="1"/>
  <c r="AF86" i="29" s="1"/>
  <c r="U86" i="29"/>
  <c r="T86" i="29"/>
  <c r="S86" i="29"/>
  <c r="M86" i="29"/>
  <c r="L86" i="29"/>
  <c r="K86" i="29"/>
  <c r="AD85" i="29"/>
  <c r="U85" i="29"/>
  <c r="T85" i="29"/>
  <c r="S85" i="29"/>
  <c r="M85" i="29"/>
  <c r="L85" i="29"/>
  <c r="K85" i="29"/>
  <c r="Z83" i="29"/>
  <c r="Y83" i="29"/>
  <c r="X83" i="29"/>
  <c r="S143" i="28"/>
  <c r="R145" i="28"/>
  <c r="C145" i="28"/>
  <c r="S122" i="28"/>
  <c r="S133" i="28"/>
  <c r="X131" i="29" l="1"/>
  <c r="X135" i="29" s="1"/>
  <c r="Y131" i="29"/>
  <c r="Y135" i="29" s="1"/>
  <c r="V48" i="29"/>
  <c r="R39" i="29"/>
  <c r="U28" i="29"/>
  <c r="U47" i="29"/>
  <c r="U76" i="29"/>
  <c r="F129" i="29"/>
  <c r="AB129" i="29"/>
  <c r="T13" i="29"/>
  <c r="D48" i="29"/>
  <c r="J48" i="29"/>
  <c r="T104" i="29"/>
  <c r="M13" i="29"/>
  <c r="L28" i="29"/>
  <c r="L66" i="29"/>
  <c r="U80" i="29"/>
  <c r="U13" i="29"/>
  <c r="U38" i="29"/>
  <c r="U66" i="29"/>
  <c r="Q48" i="29"/>
  <c r="G81" i="29"/>
  <c r="L80" i="29"/>
  <c r="L47" i="29"/>
  <c r="M32" i="29"/>
  <c r="M80" i="29"/>
  <c r="M73" i="29"/>
  <c r="S59" i="29"/>
  <c r="O39" i="29"/>
  <c r="S32" i="29"/>
  <c r="M43" i="29"/>
  <c r="J39" i="29"/>
  <c r="L38" i="29"/>
  <c r="H81" i="29"/>
  <c r="M23" i="29"/>
  <c r="P129" i="29"/>
  <c r="L13" i="29"/>
  <c r="L76" i="29"/>
  <c r="M38" i="29"/>
  <c r="M66" i="29"/>
  <c r="U32" i="29"/>
  <c r="L32" i="29"/>
  <c r="N39" i="29"/>
  <c r="T80" i="29"/>
  <c r="C48" i="29"/>
  <c r="X146" i="29"/>
  <c r="W39" i="29"/>
  <c r="I48" i="29"/>
  <c r="Y146" i="29"/>
  <c r="J129" i="29"/>
  <c r="S119" i="29"/>
  <c r="S66" i="29"/>
  <c r="L43" i="29"/>
  <c r="G39" i="29"/>
  <c r="T32" i="29"/>
  <c r="F39" i="29"/>
  <c r="P81" i="29"/>
  <c r="R48" i="29"/>
  <c r="O81" i="29"/>
  <c r="M47" i="29"/>
  <c r="E39" i="29"/>
  <c r="I81" i="29"/>
  <c r="C129" i="29"/>
  <c r="AC129" i="29"/>
  <c r="G24" i="29"/>
  <c r="O24" i="29"/>
  <c r="F81" i="29"/>
  <c r="D129" i="29"/>
  <c r="M144" i="29"/>
  <c r="K11" i="29"/>
  <c r="T11" i="29"/>
  <c r="K13" i="29"/>
  <c r="L23" i="29"/>
  <c r="U23" i="29"/>
  <c r="C39" i="29"/>
  <c r="T38" i="29"/>
  <c r="G48" i="29"/>
  <c r="O48" i="29"/>
  <c r="T59" i="29"/>
  <c r="E81" i="29"/>
  <c r="W81" i="29"/>
  <c r="L73" i="29"/>
  <c r="U73" i="29"/>
  <c r="M76" i="29"/>
  <c r="J81" i="29"/>
  <c r="S80" i="29"/>
  <c r="G129" i="29"/>
  <c r="H129" i="29"/>
  <c r="C24" i="29"/>
  <c r="E48" i="29"/>
  <c r="W48" i="29"/>
  <c r="S11" i="29"/>
  <c r="I24" i="29"/>
  <c r="Q81" i="29"/>
  <c r="AF142" i="29"/>
  <c r="AF144" i="29" s="1"/>
  <c r="AE144" i="29"/>
  <c r="AF109" i="29"/>
  <c r="AF106" i="29" s="1"/>
  <c r="AE106" i="29"/>
  <c r="L104" i="29"/>
  <c r="S106" i="29"/>
  <c r="K119" i="29"/>
  <c r="M11" i="29"/>
  <c r="V24" i="29"/>
  <c r="I39" i="29"/>
  <c r="F48" i="29"/>
  <c r="N48" i="29"/>
  <c r="N24" i="29"/>
  <c r="R81" i="29"/>
  <c r="Z131" i="29"/>
  <c r="Z135" i="29" s="1"/>
  <c r="Z146" i="29" s="1"/>
  <c r="V129" i="29"/>
  <c r="L59" i="29"/>
  <c r="J24" i="29"/>
  <c r="S13" i="29"/>
  <c r="K106" i="29"/>
  <c r="AD106" i="29"/>
  <c r="L144" i="29"/>
  <c r="U11" i="29"/>
  <c r="M59" i="29"/>
  <c r="K32" i="29"/>
  <c r="K38" i="29"/>
  <c r="AD119" i="29"/>
  <c r="K104" i="29"/>
  <c r="S104" i="29"/>
  <c r="K144" i="29"/>
  <c r="M28" i="29"/>
  <c r="U59" i="29"/>
  <c r="O129" i="29"/>
  <c r="T144" i="29"/>
  <c r="S38" i="29"/>
  <c r="H48" i="29"/>
  <c r="P48" i="29"/>
  <c r="T66" i="29"/>
  <c r="F24" i="29"/>
  <c r="L11" i="29"/>
  <c r="E24" i="29"/>
  <c r="W24" i="29"/>
  <c r="D81" i="29"/>
  <c r="V81" i="29"/>
  <c r="C81" i="29"/>
  <c r="I129" i="29"/>
  <c r="W129" i="29"/>
  <c r="K60" i="29"/>
  <c r="L106" i="29"/>
  <c r="U106" i="29"/>
  <c r="M106" i="29"/>
  <c r="N129" i="29"/>
  <c r="E129" i="29"/>
  <c r="L119" i="29"/>
  <c r="M119" i="29"/>
  <c r="U119" i="29"/>
  <c r="R129" i="29"/>
  <c r="S60" i="29"/>
  <c r="S144" i="29"/>
  <c r="U144" i="29"/>
  <c r="AD144" i="29"/>
  <c r="AB13" i="29"/>
  <c r="AB23" i="29" s="1"/>
  <c r="K23" i="29"/>
  <c r="D39" i="29"/>
  <c r="V39" i="29"/>
  <c r="T43" i="29"/>
  <c r="S43" i="29"/>
  <c r="K73" i="29"/>
  <c r="AE121" i="29"/>
  <c r="D24" i="29"/>
  <c r="T28" i="29"/>
  <c r="S28" i="29"/>
  <c r="K47" i="29"/>
  <c r="T76" i="29"/>
  <c r="S76" i="29"/>
  <c r="AD104" i="29"/>
  <c r="AE85" i="29"/>
  <c r="T106" i="29"/>
  <c r="Q129" i="29"/>
  <c r="T119" i="29"/>
  <c r="U43" i="29"/>
  <c r="T23" i="29"/>
  <c r="S23" i="29"/>
  <c r="H39" i="29"/>
  <c r="P39" i="29"/>
  <c r="K43" i="29"/>
  <c r="T73" i="29"/>
  <c r="S73" i="29"/>
  <c r="K80" i="29"/>
  <c r="R24" i="29"/>
  <c r="Q39" i="29"/>
  <c r="N81" i="29"/>
  <c r="U104" i="29"/>
  <c r="M104" i="29"/>
  <c r="H24" i="29"/>
  <c r="P24" i="29"/>
  <c r="K28" i="29"/>
  <c r="T47" i="29"/>
  <c r="S47" i="29"/>
  <c r="K76" i="29"/>
  <c r="K59" i="29"/>
  <c r="K66" i="29"/>
  <c r="Q24" i="29"/>
  <c r="N60" i="29"/>
  <c r="T60" i="29" s="1"/>
  <c r="AC13" i="29"/>
  <c r="AC23" i="29" s="1"/>
  <c r="AC38" i="28"/>
  <c r="AB38" i="28"/>
  <c r="AC32" i="28"/>
  <c r="AB32" i="28"/>
  <c r="AB28" i="28"/>
  <c r="AC28" i="28"/>
  <c r="AC80" i="28"/>
  <c r="AB80" i="28"/>
  <c r="AC73" i="28"/>
  <c r="AB73" i="28"/>
  <c r="AC66" i="28"/>
  <c r="AB66" i="28"/>
  <c r="AC47" i="28"/>
  <c r="AB47" i="28"/>
  <c r="AB48" i="28" s="1"/>
  <c r="M24" i="29" l="1"/>
  <c r="L24" i="29"/>
  <c r="O83" i="29"/>
  <c r="O131" i="29" s="1"/>
  <c r="O135" i="29" s="1"/>
  <c r="O146" i="29" s="1"/>
  <c r="M48" i="29"/>
  <c r="S48" i="29"/>
  <c r="M39" i="29"/>
  <c r="L39" i="29"/>
  <c r="T48" i="29"/>
  <c r="J83" i="29"/>
  <c r="J131" i="29" s="1"/>
  <c r="J135" i="29" s="1"/>
  <c r="J146" i="29" s="1"/>
  <c r="R83" i="29"/>
  <c r="R131" i="29" s="1"/>
  <c r="R135" i="29" s="1"/>
  <c r="R146" i="29" s="1"/>
  <c r="C83" i="29"/>
  <c r="C131" i="29" s="1"/>
  <c r="C135" i="29" s="1"/>
  <c r="C146" i="29" s="1"/>
  <c r="K81" i="29"/>
  <c r="I83" i="29"/>
  <c r="I131" i="29" s="1"/>
  <c r="I135" i="29" s="1"/>
  <c r="I146" i="29" s="1"/>
  <c r="K39" i="29"/>
  <c r="K129" i="29"/>
  <c r="W83" i="29"/>
  <c r="W131" i="29" s="1"/>
  <c r="W135" i="29" s="1"/>
  <c r="W146" i="29" s="1"/>
  <c r="E83" i="29"/>
  <c r="E131" i="29" s="1"/>
  <c r="F83" i="29"/>
  <c r="F131" i="29" s="1"/>
  <c r="F135" i="29" s="1"/>
  <c r="F146" i="29" s="1"/>
  <c r="K48" i="29"/>
  <c r="S81" i="29"/>
  <c r="D83" i="29"/>
  <c r="D131" i="29" s="1"/>
  <c r="D135" i="29" s="1"/>
  <c r="D146" i="29" s="1"/>
  <c r="P83" i="29"/>
  <c r="P131" i="29" s="1"/>
  <c r="P135" i="29" s="1"/>
  <c r="P146" i="29" s="1"/>
  <c r="U24" i="29"/>
  <c r="G83" i="29"/>
  <c r="G131" i="29" s="1"/>
  <c r="G135" i="29" s="1"/>
  <c r="G146" i="29" s="1"/>
  <c r="T81" i="29"/>
  <c r="V83" i="29"/>
  <c r="V131" i="29" s="1"/>
  <c r="V135" i="29" s="1"/>
  <c r="V146" i="29" s="1"/>
  <c r="U48" i="29"/>
  <c r="H83" i="29"/>
  <c r="H131" i="29" s="1"/>
  <c r="H135" i="29" s="1"/>
  <c r="H146" i="29" s="1"/>
  <c r="L48" i="29"/>
  <c r="AD129" i="29"/>
  <c r="AC24" i="29"/>
  <c r="AC28" i="29" s="1"/>
  <c r="U39" i="29"/>
  <c r="T39" i="29"/>
  <c r="S39" i="29"/>
  <c r="U129" i="29"/>
  <c r="M129" i="29"/>
  <c r="L129" i="29"/>
  <c r="AF85" i="29"/>
  <c r="AF104" i="29" s="1"/>
  <c r="AE104" i="29"/>
  <c r="AB24" i="29"/>
  <c r="M60" i="29"/>
  <c r="U60" i="29"/>
  <c r="L60" i="29"/>
  <c r="T24" i="29"/>
  <c r="S24" i="29"/>
  <c r="Q83" i="29"/>
  <c r="N83" i="29"/>
  <c r="K24" i="29"/>
  <c r="AF121" i="29"/>
  <c r="AF119" i="29" s="1"/>
  <c r="AF129" i="29" s="1"/>
  <c r="AE119" i="29"/>
  <c r="AE129" i="29" s="1"/>
  <c r="L81" i="29"/>
  <c r="U81" i="29"/>
  <c r="M81" i="29"/>
  <c r="T129" i="29"/>
  <c r="S129" i="29"/>
  <c r="AB39" i="28"/>
  <c r="AC39" i="28"/>
  <c r="AC32" i="29" l="1"/>
  <c r="K83" i="29"/>
  <c r="T83" i="29"/>
  <c r="Q131" i="29"/>
  <c r="S83" i="29"/>
  <c r="L83" i="29"/>
  <c r="U83" i="29"/>
  <c r="N131" i="29"/>
  <c r="M83" i="29"/>
  <c r="E135" i="29"/>
  <c r="K131" i="29"/>
  <c r="AD24" i="29"/>
  <c r="AE24" i="29" s="1"/>
  <c r="AF24" i="29" s="1"/>
  <c r="AB28" i="29"/>
  <c r="AC48" i="28"/>
  <c r="AE103" i="28"/>
  <c r="AF103" i="28" s="1"/>
  <c r="AC38" i="29" l="1"/>
  <c r="E146" i="29"/>
  <c r="K146" i="29" s="1"/>
  <c r="K135" i="29"/>
  <c r="T131" i="29"/>
  <c r="Q135" i="29"/>
  <c r="S131" i="29"/>
  <c r="N135" i="29"/>
  <c r="L131" i="29"/>
  <c r="M131" i="29"/>
  <c r="U131" i="29"/>
  <c r="AB32" i="29"/>
  <c r="AB38" i="29" s="1"/>
  <c r="N11" i="28"/>
  <c r="AC39" i="29" l="1"/>
  <c r="AB39" i="29"/>
  <c r="AB43" i="29" s="1"/>
  <c r="AB47" i="29" s="1"/>
  <c r="Q146" i="29"/>
  <c r="T135" i="29"/>
  <c r="S135" i="29"/>
  <c r="N146" i="29"/>
  <c r="U135" i="29"/>
  <c r="M135" i="29"/>
  <c r="L135" i="29"/>
  <c r="K139" i="28"/>
  <c r="L139" i="28"/>
  <c r="M139" i="28"/>
  <c r="S139" i="28"/>
  <c r="T139" i="28"/>
  <c r="U139" i="28"/>
  <c r="AD139" i="28"/>
  <c r="AE139" i="28" s="1"/>
  <c r="K141" i="28"/>
  <c r="L141" i="28"/>
  <c r="M141" i="28"/>
  <c r="S141" i="28"/>
  <c r="T141" i="28"/>
  <c r="U141" i="28"/>
  <c r="AD141" i="28"/>
  <c r="AE141" i="28" s="1"/>
  <c r="AF141" i="28" s="1"/>
  <c r="K142" i="28"/>
  <c r="L142" i="28"/>
  <c r="M142" i="28"/>
  <c r="S142" i="28"/>
  <c r="T142" i="28"/>
  <c r="U142" i="28"/>
  <c r="AD142" i="28"/>
  <c r="AE142" i="28" s="1"/>
  <c r="AF142" i="28" s="1"/>
  <c r="K121" i="28"/>
  <c r="L121" i="28"/>
  <c r="M121" i="28"/>
  <c r="S121" i="28"/>
  <c r="T121" i="28"/>
  <c r="U121" i="28"/>
  <c r="AD121" i="28"/>
  <c r="AE121" i="28" s="1"/>
  <c r="AF121" i="28" s="1"/>
  <c r="K122" i="28"/>
  <c r="L122" i="28"/>
  <c r="M122" i="28"/>
  <c r="T122" i="28"/>
  <c r="U122" i="28"/>
  <c r="AD122" i="28"/>
  <c r="AE122" i="28" s="1"/>
  <c r="AF122" i="28" s="1"/>
  <c r="K123" i="28"/>
  <c r="L123" i="28"/>
  <c r="M123" i="28"/>
  <c r="S123" i="28"/>
  <c r="T123" i="28"/>
  <c r="U123" i="28"/>
  <c r="AD123" i="28"/>
  <c r="AE123" i="28" s="1"/>
  <c r="AF123" i="28" s="1"/>
  <c r="K124" i="28"/>
  <c r="L124" i="28"/>
  <c r="M124" i="28"/>
  <c r="S124" i="28"/>
  <c r="T124" i="28"/>
  <c r="U124" i="28"/>
  <c r="AD124" i="28"/>
  <c r="AE124" i="28" s="1"/>
  <c r="AF124" i="28" s="1"/>
  <c r="K125" i="28"/>
  <c r="L125" i="28"/>
  <c r="M125" i="28"/>
  <c r="S125" i="28"/>
  <c r="T125" i="28"/>
  <c r="U125" i="28"/>
  <c r="AD125" i="28"/>
  <c r="AE125" i="28" s="1"/>
  <c r="AF125" i="28" s="1"/>
  <c r="K126" i="28"/>
  <c r="L126" i="28"/>
  <c r="M126" i="28"/>
  <c r="S126" i="28"/>
  <c r="T126" i="28"/>
  <c r="U126" i="28"/>
  <c r="AD126" i="28"/>
  <c r="AE126" i="28" s="1"/>
  <c r="AF126" i="28" s="1"/>
  <c r="AD120" i="28"/>
  <c r="AE120" i="28" s="1"/>
  <c r="AF120" i="28" s="1"/>
  <c r="U120" i="28"/>
  <c r="T120" i="28"/>
  <c r="S120" i="28"/>
  <c r="M120" i="28"/>
  <c r="L120" i="28"/>
  <c r="K120" i="28"/>
  <c r="K108" i="28"/>
  <c r="L108" i="28"/>
  <c r="M108" i="28"/>
  <c r="S108" i="28"/>
  <c r="T108" i="28"/>
  <c r="U108" i="28"/>
  <c r="AD108" i="28"/>
  <c r="AE108" i="28" s="1"/>
  <c r="AF108" i="28" s="1"/>
  <c r="K109" i="28"/>
  <c r="L109" i="28"/>
  <c r="M109" i="28"/>
  <c r="S109" i="28"/>
  <c r="T109" i="28"/>
  <c r="U109" i="28"/>
  <c r="AD109" i="28"/>
  <c r="AE109" i="28" s="1"/>
  <c r="AF109" i="28" s="1"/>
  <c r="K110" i="28"/>
  <c r="L110" i="28"/>
  <c r="M110" i="28"/>
  <c r="S110" i="28"/>
  <c r="T110" i="28"/>
  <c r="U110" i="28"/>
  <c r="AD110" i="28"/>
  <c r="AE110" i="28" s="1"/>
  <c r="AF110" i="28" s="1"/>
  <c r="K111" i="28"/>
  <c r="L111" i="28"/>
  <c r="M111" i="28"/>
  <c r="S111" i="28"/>
  <c r="T111" i="28"/>
  <c r="U111" i="28"/>
  <c r="AD111" i="28"/>
  <c r="AE111" i="28" s="1"/>
  <c r="AF111" i="28" s="1"/>
  <c r="K112" i="28"/>
  <c r="L112" i="28"/>
  <c r="M112" i="28"/>
  <c r="S112" i="28"/>
  <c r="T112" i="28"/>
  <c r="U112" i="28"/>
  <c r="AD112" i="28"/>
  <c r="AE112" i="28" s="1"/>
  <c r="AF112" i="28" s="1"/>
  <c r="K113" i="28"/>
  <c r="L113" i="28"/>
  <c r="M113" i="28"/>
  <c r="S113" i="28"/>
  <c r="T113" i="28"/>
  <c r="U113" i="28"/>
  <c r="AD113" i="28"/>
  <c r="AE113" i="28" s="1"/>
  <c r="AF113" i="28" s="1"/>
  <c r="K114" i="28"/>
  <c r="L114" i="28"/>
  <c r="M114" i="28"/>
  <c r="S114" i="28"/>
  <c r="T114" i="28"/>
  <c r="U114" i="28"/>
  <c r="AD114" i="28"/>
  <c r="AE114" i="28" s="1"/>
  <c r="AF114" i="28" s="1"/>
  <c r="K115" i="28"/>
  <c r="L115" i="28"/>
  <c r="M115" i="28"/>
  <c r="S115" i="28"/>
  <c r="T115" i="28"/>
  <c r="U115" i="28"/>
  <c r="AD115" i="28"/>
  <c r="AE115" i="28" s="1"/>
  <c r="AF115" i="28" s="1"/>
  <c r="AD107" i="28"/>
  <c r="AE107" i="28" s="1"/>
  <c r="U107" i="28"/>
  <c r="T107" i="28"/>
  <c r="S107" i="28"/>
  <c r="M107" i="28"/>
  <c r="L107" i="28"/>
  <c r="K107" i="28"/>
  <c r="V80" i="28"/>
  <c r="W80" i="28"/>
  <c r="N80" i="28"/>
  <c r="O80" i="28"/>
  <c r="P80" i="28"/>
  <c r="Q80" i="28"/>
  <c r="R80" i="28"/>
  <c r="C80" i="28"/>
  <c r="D80" i="28"/>
  <c r="E80" i="28"/>
  <c r="F80" i="28"/>
  <c r="G80" i="28"/>
  <c r="H80" i="28"/>
  <c r="I80" i="28"/>
  <c r="J80" i="28"/>
  <c r="V76" i="28"/>
  <c r="W76" i="28"/>
  <c r="N76" i="28"/>
  <c r="O76" i="28"/>
  <c r="P76" i="28"/>
  <c r="Q76" i="28"/>
  <c r="R76" i="28"/>
  <c r="C76" i="28"/>
  <c r="D76" i="28"/>
  <c r="E76" i="28"/>
  <c r="F76" i="28"/>
  <c r="G76" i="28"/>
  <c r="H76" i="28"/>
  <c r="I76" i="28"/>
  <c r="J76" i="28"/>
  <c r="V73" i="28"/>
  <c r="W73" i="28"/>
  <c r="N73" i="28"/>
  <c r="O73" i="28"/>
  <c r="P73" i="28"/>
  <c r="Q73" i="28"/>
  <c r="R73" i="28"/>
  <c r="C73" i="28"/>
  <c r="D73" i="28"/>
  <c r="E73" i="28"/>
  <c r="F73" i="28"/>
  <c r="G73" i="28"/>
  <c r="H73" i="28"/>
  <c r="I73" i="28"/>
  <c r="J73" i="28"/>
  <c r="V66" i="28"/>
  <c r="W66" i="28"/>
  <c r="N66" i="28"/>
  <c r="O66" i="28"/>
  <c r="P66" i="28"/>
  <c r="Q66" i="28"/>
  <c r="R66" i="28"/>
  <c r="C66" i="28"/>
  <c r="D66" i="28"/>
  <c r="E66" i="28"/>
  <c r="F66" i="28"/>
  <c r="G66" i="28"/>
  <c r="H66" i="28"/>
  <c r="I66" i="28"/>
  <c r="J66" i="28"/>
  <c r="V59" i="28"/>
  <c r="W59" i="28"/>
  <c r="W60" i="28" s="1"/>
  <c r="N59" i="28"/>
  <c r="O59" i="28"/>
  <c r="O60" i="28" s="1"/>
  <c r="P59" i="28"/>
  <c r="P60" i="28" s="1"/>
  <c r="Q59" i="28"/>
  <c r="Q60" i="28" s="1"/>
  <c r="R59" i="28"/>
  <c r="R60" i="28" s="1"/>
  <c r="C59" i="28"/>
  <c r="C60" i="28" s="1"/>
  <c r="D59" i="28"/>
  <c r="D60" i="28" s="1"/>
  <c r="E59" i="28"/>
  <c r="E60" i="28" s="1"/>
  <c r="F59" i="28"/>
  <c r="F60" i="28" s="1"/>
  <c r="G59" i="28"/>
  <c r="G60" i="28" s="1"/>
  <c r="H59" i="28"/>
  <c r="H60" i="28" s="1"/>
  <c r="I59" i="28"/>
  <c r="I60" i="28" s="1"/>
  <c r="J59" i="28"/>
  <c r="J60" i="28" s="1"/>
  <c r="V47" i="28"/>
  <c r="W47" i="28"/>
  <c r="N47" i="28"/>
  <c r="O47" i="28"/>
  <c r="P47" i="28"/>
  <c r="Q47" i="28"/>
  <c r="R47" i="28"/>
  <c r="C47" i="28"/>
  <c r="D47" i="28"/>
  <c r="E47" i="28"/>
  <c r="F47" i="28"/>
  <c r="G47" i="28"/>
  <c r="H47" i="28"/>
  <c r="I47" i="28"/>
  <c r="J47" i="28"/>
  <c r="V43" i="28"/>
  <c r="W43" i="28"/>
  <c r="N43" i="28"/>
  <c r="O43" i="28"/>
  <c r="P43" i="28"/>
  <c r="Q43" i="28"/>
  <c r="R43" i="28"/>
  <c r="C43" i="28"/>
  <c r="D43" i="28"/>
  <c r="E43" i="28"/>
  <c r="F43" i="28"/>
  <c r="G43" i="28"/>
  <c r="H43" i="28"/>
  <c r="I43" i="28"/>
  <c r="J43" i="28"/>
  <c r="V38" i="28"/>
  <c r="W38" i="28"/>
  <c r="N38" i="28"/>
  <c r="O38" i="28"/>
  <c r="P38" i="28"/>
  <c r="Q38" i="28"/>
  <c r="R38" i="28"/>
  <c r="C38" i="28"/>
  <c r="D38" i="28"/>
  <c r="E38" i="28"/>
  <c r="F38" i="28"/>
  <c r="G38" i="28"/>
  <c r="H38" i="28"/>
  <c r="I38" i="28"/>
  <c r="J38" i="28"/>
  <c r="V32" i="28"/>
  <c r="W32" i="28"/>
  <c r="N32" i="28"/>
  <c r="O32" i="28"/>
  <c r="P32" i="28"/>
  <c r="Q32" i="28"/>
  <c r="R32" i="28"/>
  <c r="C32" i="28"/>
  <c r="D32" i="28"/>
  <c r="E32" i="28"/>
  <c r="F32" i="28"/>
  <c r="G32" i="28"/>
  <c r="H32" i="28"/>
  <c r="I32" i="28"/>
  <c r="J32" i="28"/>
  <c r="V28" i="28"/>
  <c r="W28" i="28"/>
  <c r="N28" i="28"/>
  <c r="O28" i="28"/>
  <c r="P28" i="28"/>
  <c r="Q28" i="28"/>
  <c r="R28" i="28"/>
  <c r="C28" i="28"/>
  <c r="D28" i="28"/>
  <c r="E28" i="28"/>
  <c r="F28" i="28"/>
  <c r="G28" i="28"/>
  <c r="H28" i="28"/>
  <c r="I28" i="28"/>
  <c r="J28" i="28"/>
  <c r="V23" i="28"/>
  <c r="W23" i="28"/>
  <c r="N23" i="28"/>
  <c r="O23" i="28"/>
  <c r="P23" i="28"/>
  <c r="Q23" i="28"/>
  <c r="R23" i="28"/>
  <c r="C23" i="28"/>
  <c r="D23" i="28"/>
  <c r="E23" i="28"/>
  <c r="F23" i="28"/>
  <c r="G23" i="28"/>
  <c r="H23" i="28"/>
  <c r="I23" i="28"/>
  <c r="J23" i="28"/>
  <c r="V13" i="28"/>
  <c r="W13" i="28"/>
  <c r="N13" i="28"/>
  <c r="O13" i="28"/>
  <c r="P13" i="28"/>
  <c r="Q13" i="28"/>
  <c r="R13" i="28"/>
  <c r="C13" i="28"/>
  <c r="D13" i="28"/>
  <c r="E13" i="28"/>
  <c r="F13" i="28"/>
  <c r="G13" i="28"/>
  <c r="H13" i="28"/>
  <c r="I13" i="28"/>
  <c r="J13" i="28"/>
  <c r="V11" i="28"/>
  <c r="W11" i="28"/>
  <c r="O11" i="28"/>
  <c r="P11" i="28"/>
  <c r="Q11" i="28"/>
  <c r="R11" i="28"/>
  <c r="C11" i="28"/>
  <c r="D11" i="28"/>
  <c r="E11" i="28"/>
  <c r="F11" i="28"/>
  <c r="G11" i="28"/>
  <c r="H11" i="28"/>
  <c r="I11" i="28"/>
  <c r="J11" i="28"/>
  <c r="AC11" i="28"/>
  <c r="AB11" i="28"/>
  <c r="K5" i="28"/>
  <c r="L5" i="28"/>
  <c r="M5" i="28"/>
  <c r="S5" i="28"/>
  <c r="T5" i="28"/>
  <c r="U5" i="28"/>
  <c r="AD5" i="28"/>
  <c r="AE5" i="28" s="1"/>
  <c r="AF5" i="28" s="1"/>
  <c r="K6" i="28"/>
  <c r="L6" i="28"/>
  <c r="M6" i="28"/>
  <c r="S6" i="28"/>
  <c r="T6" i="28"/>
  <c r="U6" i="28"/>
  <c r="AD6" i="28"/>
  <c r="AE6" i="28" s="1"/>
  <c r="AF6" i="28" s="1"/>
  <c r="K7" i="28"/>
  <c r="L7" i="28"/>
  <c r="M7" i="28"/>
  <c r="S7" i="28"/>
  <c r="T7" i="28"/>
  <c r="U7" i="28"/>
  <c r="AD7" i="28"/>
  <c r="AE7" i="28" s="1"/>
  <c r="AF7" i="28" s="1"/>
  <c r="K8" i="28"/>
  <c r="L8" i="28"/>
  <c r="M8" i="28"/>
  <c r="S8" i="28"/>
  <c r="T8" i="28"/>
  <c r="U8" i="28"/>
  <c r="AD8" i="28"/>
  <c r="AE8" i="28" s="1"/>
  <c r="AF8" i="28" s="1"/>
  <c r="K9" i="28"/>
  <c r="L9" i="28"/>
  <c r="M9" i="28"/>
  <c r="S9" i="28"/>
  <c r="T9" i="28"/>
  <c r="U9" i="28"/>
  <c r="AD9" i="28"/>
  <c r="AE9" i="28" s="1"/>
  <c r="AF9" i="28" s="1"/>
  <c r="K10" i="28"/>
  <c r="L10" i="28"/>
  <c r="M10" i="28"/>
  <c r="S10" i="28"/>
  <c r="T10" i="28"/>
  <c r="U10" i="28"/>
  <c r="AD10" i="28"/>
  <c r="AE10" i="28" s="1"/>
  <c r="AF10" i="28" s="1"/>
  <c r="K12" i="28"/>
  <c r="L12" i="28"/>
  <c r="M12" i="28"/>
  <c r="S12" i="28"/>
  <c r="T12" i="28"/>
  <c r="U12" i="28"/>
  <c r="AD12" i="28"/>
  <c r="AE12" i="28" s="1"/>
  <c r="AF12" i="28" s="1"/>
  <c r="K14" i="28"/>
  <c r="L14" i="28"/>
  <c r="M14" i="28"/>
  <c r="S14" i="28"/>
  <c r="T14" i="28"/>
  <c r="U14" i="28"/>
  <c r="AD14" i="28"/>
  <c r="AE14" i="28" s="1"/>
  <c r="AF14" i="28" s="1"/>
  <c r="K15" i="28"/>
  <c r="L15" i="28"/>
  <c r="M15" i="28"/>
  <c r="S15" i="28"/>
  <c r="T15" i="28"/>
  <c r="U15" i="28"/>
  <c r="AD15" i="28"/>
  <c r="AE15" i="28" s="1"/>
  <c r="AF15" i="28" s="1"/>
  <c r="K16" i="28"/>
  <c r="L16" i="28"/>
  <c r="M16" i="28"/>
  <c r="S16" i="28"/>
  <c r="T16" i="28"/>
  <c r="U16" i="28"/>
  <c r="AD16" i="28"/>
  <c r="AE16" i="28" s="1"/>
  <c r="AF16" i="28" s="1"/>
  <c r="K17" i="28"/>
  <c r="L17" i="28"/>
  <c r="M17" i="28"/>
  <c r="S17" i="28"/>
  <c r="T17" i="28"/>
  <c r="U17" i="28"/>
  <c r="AD17" i="28"/>
  <c r="K18" i="28"/>
  <c r="L18" i="28"/>
  <c r="M18" i="28"/>
  <c r="S18" i="28"/>
  <c r="T18" i="28"/>
  <c r="U18" i="28"/>
  <c r="AD18" i="28"/>
  <c r="K19" i="28"/>
  <c r="L19" i="28"/>
  <c r="M19" i="28"/>
  <c r="S19" i="28"/>
  <c r="T19" i="28"/>
  <c r="U19" i="28"/>
  <c r="AD19" i="28"/>
  <c r="AE19" i="28" s="1"/>
  <c r="AF19" i="28" s="1"/>
  <c r="K20" i="28"/>
  <c r="L20" i="28"/>
  <c r="M20" i="28"/>
  <c r="S20" i="28"/>
  <c r="T20" i="28"/>
  <c r="U20" i="28"/>
  <c r="AD20" i="28"/>
  <c r="AE20" i="28" s="1"/>
  <c r="AF20" i="28" s="1"/>
  <c r="K21" i="28"/>
  <c r="L21" i="28"/>
  <c r="M21" i="28"/>
  <c r="S21" i="28"/>
  <c r="T21" i="28"/>
  <c r="U21" i="28"/>
  <c r="AD21" i="28"/>
  <c r="AE21" i="28" s="1"/>
  <c r="AF21" i="28" s="1"/>
  <c r="K22" i="28"/>
  <c r="L22" i="28"/>
  <c r="M22" i="28"/>
  <c r="S22" i="28"/>
  <c r="T22" i="28"/>
  <c r="U22" i="28"/>
  <c r="AD22" i="28"/>
  <c r="AE22" i="28" s="1"/>
  <c r="AF22" i="28" s="1"/>
  <c r="K25" i="28"/>
  <c r="L25" i="28"/>
  <c r="M25" i="28"/>
  <c r="S25" i="28"/>
  <c r="T25" i="28"/>
  <c r="U25" i="28"/>
  <c r="AD25" i="28"/>
  <c r="AE25" i="28" s="1"/>
  <c r="AF25" i="28" s="1"/>
  <c r="K26" i="28"/>
  <c r="L26" i="28"/>
  <c r="M26" i="28"/>
  <c r="S26" i="28"/>
  <c r="T26" i="28"/>
  <c r="U26" i="28"/>
  <c r="AD26" i="28"/>
  <c r="K27" i="28"/>
  <c r="L27" i="28"/>
  <c r="M27" i="28"/>
  <c r="S27" i="28"/>
  <c r="T27" i="28"/>
  <c r="U27" i="28"/>
  <c r="AD27" i="28"/>
  <c r="K29" i="28"/>
  <c r="L29" i="28"/>
  <c r="M29" i="28"/>
  <c r="S29" i="28"/>
  <c r="T29" i="28"/>
  <c r="U29" i="28"/>
  <c r="AD29" i="28"/>
  <c r="AE29" i="28" s="1"/>
  <c r="K30" i="28"/>
  <c r="L30" i="28"/>
  <c r="M30" i="28"/>
  <c r="S30" i="28"/>
  <c r="T30" i="28"/>
  <c r="U30" i="28"/>
  <c r="AD30" i="28"/>
  <c r="AE30" i="28" s="1"/>
  <c r="AF30" i="28" s="1"/>
  <c r="K31" i="28"/>
  <c r="L31" i="28"/>
  <c r="M31" i="28"/>
  <c r="S31" i="28"/>
  <c r="T31" i="28"/>
  <c r="U31" i="28"/>
  <c r="AD31" i="28"/>
  <c r="AE31" i="28" s="1"/>
  <c r="AF31" i="28" s="1"/>
  <c r="K33" i="28"/>
  <c r="L33" i="28"/>
  <c r="M33" i="28"/>
  <c r="S33" i="28"/>
  <c r="T33" i="28"/>
  <c r="U33" i="28"/>
  <c r="AD33" i="28"/>
  <c r="K34" i="28"/>
  <c r="L34" i="28"/>
  <c r="M34" i="28"/>
  <c r="S34" i="28"/>
  <c r="T34" i="28"/>
  <c r="U34" i="28"/>
  <c r="AD34" i="28"/>
  <c r="K35" i="28"/>
  <c r="L35" i="28"/>
  <c r="M35" i="28"/>
  <c r="S35" i="28"/>
  <c r="T35" i="28"/>
  <c r="U35" i="28"/>
  <c r="AD35" i="28"/>
  <c r="K36" i="28"/>
  <c r="L36" i="28"/>
  <c r="M36" i="28"/>
  <c r="S36" i="28"/>
  <c r="T36" i="28"/>
  <c r="U36" i="28"/>
  <c r="AD36" i="28"/>
  <c r="K37" i="28"/>
  <c r="L37" i="28"/>
  <c r="M37" i="28"/>
  <c r="S37" i="28"/>
  <c r="T37" i="28"/>
  <c r="U37" i="28"/>
  <c r="AD37" i="28"/>
  <c r="K40" i="28"/>
  <c r="L40" i="28"/>
  <c r="M40" i="28"/>
  <c r="S40" i="28"/>
  <c r="T40" i="28"/>
  <c r="U40" i="28"/>
  <c r="AD40" i="28"/>
  <c r="AE40" i="28" s="1"/>
  <c r="AF40" i="28" s="1"/>
  <c r="K41" i="28"/>
  <c r="L41" i="28"/>
  <c r="M41" i="28"/>
  <c r="S41" i="28"/>
  <c r="T41" i="28"/>
  <c r="U41" i="28"/>
  <c r="AD41" i="28"/>
  <c r="AE41" i="28" s="1"/>
  <c r="AF41" i="28" s="1"/>
  <c r="K42" i="28"/>
  <c r="L42" i="28"/>
  <c r="M42" i="28"/>
  <c r="S42" i="28"/>
  <c r="T42" i="28"/>
  <c r="U42" i="28"/>
  <c r="AD42" i="28"/>
  <c r="AE42" i="28" s="1"/>
  <c r="AF42" i="28" s="1"/>
  <c r="K44" i="28"/>
  <c r="L44" i="28"/>
  <c r="M44" i="28"/>
  <c r="S44" i="28"/>
  <c r="T44" i="28"/>
  <c r="U44" i="28"/>
  <c r="AD44" i="28"/>
  <c r="AE44" i="28" s="1"/>
  <c r="K45" i="28"/>
  <c r="L45" i="28"/>
  <c r="M45" i="28"/>
  <c r="S45" i="28"/>
  <c r="T45" i="28"/>
  <c r="U45" i="28"/>
  <c r="AD45" i="28"/>
  <c r="AE45" i="28" s="1"/>
  <c r="AF45" i="28" s="1"/>
  <c r="K46" i="28"/>
  <c r="L46" i="28"/>
  <c r="M46" i="28"/>
  <c r="S46" i="28"/>
  <c r="T46" i="28"/>
  <c r="U46" i="28"/>
  <c r="AD46" i="28"/>
  <c r="AE46" i="28" s="1"/>
  <c r="AF46" i="28" s="1"/>
  <c r="K49" i="28"/>
  <c r="L49" i="28"/>
  <c r="M49" i="28"/>
  <c r="S49" i="28"/>
  <c r="T49" i="28"/>
  <c r="U49" i="28"/>
  <c r="AD49" i="28"/>
  <c r="AE49" i="28" s="1"/>
  <c r="K50" i="28"/>
  <c r="L50" i="28"/>
  <c r="M50" i="28"/>
  <c r="S50" i="28"/>
  <c r="T50" i="28"/>
  <c r="U50" i="28"/>
  <c r="AD50" i="28"/>
  <c r="AE50" i="28" s="1"/>
  <c r="AF50" i="28" s="1"/>
  <c r="K51" i="28"/>
  <c r="L51" i="28"/>
  <c r="M51" i="28"/>
  <c r="S51" i="28"/>
  <c r="T51" i="28"/>
  <c r="U51" i="28"/>
  <c r="AD51" i="28"/>
  <c r="AE51" i="28" s="1"/>
  <c r="AF51" i="28" s="1"/>
  <c r="K52" i="28"/>
  <c r="L52" i="28"/>
  <c r="M52" i="28"/>
  <c r="S52" i="28"/>
  <c r="T52" i="28"/>
  <c r="U52" i="28"/>
  <c r="AD52" i="28"/>
  <c r="AE52" i="28" s="1"/>
  <c r="AF52" i="28" s="1"/>
  <c r="K53" i="28"/>
  <c r="L53" i="28"/>
  <c r="M53" i="28"/>
  <c r="S53" i="28"/>
  <c r="T53" i="28"/>
  <c r="U53" i="28"/>
  <c r="AD53" i="28"/>
  <c r="AE53" i="28" s="1"/>
  <c r="AF53" i="28" s="1"/>
  <c r="K54" i="28"/>
  <c r="L54" i="28"/>
  <c r="M54" i="28"/>
  <c r="S54" i="28"/>
  <c r="T54" i="28"/>
  <c r="U54" i="28"/>
  <c r="AD54" i="28"/>
  <c r="AE54" i="28" s="1"/>
  <c r="AF54" i="28" s="1"/>
  <c r="K55" i="28"/>
  <c r="L55" i="28"/>
  <c r="M55" i="28"/>
  <c r="S55" i="28"/>
  <c r="T55" i="28"/>
  <c r="U55" i="28"/>
  <c r="AD55" i="28"/>
  <c r="AE55" i="28" s="1"/>
  <c r="AF55" i="28" s="1"/>
  <c r="K56" i="28"/>
  <c r="L56" i="28"/>
  <c r="M56" i="28"/>
  <c r="S56" i="28"/>
  <c r="T56" i="28"/>
  <c r="U56" i="28"/>
  <c r="AD56" i="28"/>
  <c r="AE56" i="28" s="1"/>
  <c r="AF56" i="28" s="1"/>
  <c r="K57" i="28"/>
  <c r="L57" i="28"/>
  <c r="M57" i="28"/>
  <c r="S57" i="28"/>
  <c r="T57" i="28"/>
  <c r="U57" i="28"/>
  <c r="AD57" i="28"/>
  <c r="AE57" i="28" s="1"/>
  <c r="AF57" i="28" s="1"/>
  <c r="K58" i="28"/>
  <c r="L58" i="28"/>
  <c r="M58" i="28"/>
  <c r="S58" i="28"/>
  <c r="T58" i="28"/>
  <c r="U58" i="28"/>
  <c r="AD58" i="28"/>
  <c r="AE58" i="28" s="1"/>
  <c r="AF58" i="28" s="1"/>
  <c r="K61" i="28"/>
  <c r="L61" i="28"/>
  <c r="M61" i="28"/>
  <c r="S61" i="28"/>
  <c r="T61" i="28"/>
  <c r="U61" i="28"/>
  <c r="AD61" i="28"/>
  <c r="AE61" i="28" s="1"/>
  <c r="K62" i="28"/>
  <c r="L62" i="28"/>
  <c r="M62" i="28"/>
  <c r="S62" i="28"/>
  <c r="T62" i="28"/>
  <c r="U62" i="28"/>
  <c r="AD62" i="28"/>
  <c r="AE62" i="28" s="1"/>
  <c r="AF62" i="28" s="1"/>
  <c r="K63" i="28"/>
  <c r="L63" i="28"/>
  <c r="M63" i="28"/>
  <c r="S63" i="28"/>
  <c r="T63" i="28"/>
  <c r="U63" i="28"/>
  <c r="AD63" i="28"/>
  <c r="AE63" i="28" s="1"/>
  <c r="AF63" i="28" s="1"/>
  <c r="K64" i="28"/>
  <c r="L64" i="28"/>
  <c r="M64" i="28"/>
  <c r="S64" i="28"/>
  <c r="T64" i="28"/>
  <c r="U64" i="28"/>
  <c r="AD64" i="28"/>
  <c r="AE64" i="28" s="1"/>
  <c r="AF64" i="28" s="1"/>
  <c r="K65" i="28"/>
  <c r="L65" i="28"/>
  <c r="M65" i="28"/>
  <c r="S65" i="28"/>
  <c r="T65" i="28"/>
  <c r="U65" i="28"/>
  <c r="AD65" i="28"/>
  <c r="AE65" i="28" s="1"/>
  <c r="AF65" i="28" s="1"/>
  <c r="K67" i="28"/>
  <c r="L67" i="28"/>
  <c r="M67" i="28"/>
  <c r="S67" i="28"/>
  <c r="T67" i="28"/>
  <c r="U67" i="28"/>
  <c r="AD67" i="28"/>
  <c r="AE67" i="28" s="1"/>
  <c r="K68" i="28"/>
  <c r="L68" i="28"/>
  <c r="M68" i="28"/>
  <c r="S68" i="28"/>
  <c r="T68" i="28"/>
  <c r="U68" i="28"/>
  <c r="AD68" i="28"/>
  <c r="AE68" i="28" s="1"/>
  <c r="AF68" i="28" s="1"/>
  <c r="K69" i="28"/>
  <c r="L69" i="28"/>
  <c r="M69" i="28"/>
  <c r="S69" i="28"/>
  <c r="T69" i="28"/>
  <c r="U69" i="28"/>
  <c r="AD69" i="28"/>
  <c r="AE69" i="28" s="1"/>
  <c r="AF69" i="28" s="1"/>
  <c r="K70" i="28"/>
  <c r="L70" i="28"/>
  <c r="M70" i="28"/>
  <c r="S70" i="28"/>
  <c r="T70" i="28"/>
  <c r="U70" i="28"/>
  <c r="AD70" i="28"/>
  <c r="AE70" i="28" s="1"/>
  <c r="AF70" i="28" s="1"/>
  <c r="K71" i="28"/>
  <c r="L71" i="28"/>
  <c r="M71" i="28"/>
  <c r="S71" i="28"/>
  <c r="T71" i="28"/>
  <c r="U71" i="28"/>
  <c r="AD71" i="28"/>
  <c r="AE71" i="28" s="1"/>
  <c r="AF71" i="28" s="1"/>
  <c r="K72" i="28"/>
  <c r="L72" i="28"/>
  <c r="M72" i="28"/>
  <c r="S72" i="28"/>
  <c r="T72" i="28"/>
  <c r="U72" i="28"/>
  <c r="AD72" i="28"/>
  <c r="AE72" i="28" s="1"/>
  <c r="AF72" i="28" s="1"/>
  <c r="K74" i="28"/>
  <c r="L74" i="28"/>
  <c r="M74" i="28"/>
  <c r="S74" i="28"/>
  <c r="T74" i="28"/>
  <c r="U74" i="28"/>
  <c r="AD74" i="28"/>
  <c r="AE74" i="28" s="1"/>
  <c r="K75" i="28"/>
  <c r="L75" i="28"/>
  <c r="M75" i="28"/>
  <c r="S75" i="28"/>
  <c r="T75" i="28"/>
  <c r="U75" i="28"/>
  <c r="AD75" i="28"/>
  <c r="AE75" i="28" s="1"/>
  <c r="AF75" i="28" s="1"/>
  <c r="K77" i="28"/>
  <c r="L77" i="28"/>
  <c r="M77" i="28"/>
  <c r="S77" i="28"/>
  <c r="T77" i="28"/>
  <c r="U77" i="28"/>
  <c r="AD77" i="28"/>
  <c r="AE77" i="28" s="1"/>
  <c r="K78" i="28"/>
  <c r="L78" i="28"/>
  <c r="M78" i="28"/>
  <c r="S78" i="28"/>
  <c r="T78" i="28"/>
  <c r="U78" i="28"/>
  <c r="AD78" i="28"/>
  <c r="AE78" i="28" s="1"/>
  <c r="AF78" i="28" s="1"/>
  <c r="K79" i="28"/>
  <c r="L79" i="28"/>
  <c r="M79" i="28"/>
  <c r="S79" i="28"/>
  <c r="T79" i="28"/>
  <c r="U79" i="28"/>
  <c r="AD79" i="28"/>
  <c r="AE79" i="28" s="1"/>
  <c r="AF79" i="28" s="1"/>
  <c r="AC145" i="28"/>
  <c r="AB145" i="28"/>
  <c r="Z145" i="28"/>
  <c r="Y145" i="28"/>
  <c r="X145" i="28"/>
  <c r="W145" i="28"/>
  <c r="V145" i="28"/>
  <c r="Q145" i="28"/>
  <c r="P145" i="28"/>
  <c r="O145" i="28"/>
  <c r="N145" i="28"/>
  <c r="J145" i="28"/>
  <c r="I145" i="28"/>
  <c r="H145" i="28"/>
  <c r="G145" i="28"/>
  <c r="F145" i="28"/>
  <c r="E145" i="28"/>
  <c r="D145" i="28"/>
  <c r="AD143" i="28"/>
  <c r="U143" i="28"/>
  <c r="T143" i="28"/>
  <c r="M143" i="28"/>
  <c r="L143" i="28"/>
  <c r="K143" i="28"/>
  <c r="AD133" i="28"/>
  <c r="AE133" i="28" s="1"/>
  <c r="AF133" i="28" s="1"/>
  <c r="U133" i="28"/>
  <c r="T133" i="28"/>
  <c r="M133" i="28"/>
  <c r="L133" i="28"/>
  <c r="K133" i="28"/>
  <c r="Z129" i="28"/>
  <c r="Y129" i="28"/>
  <c r="X129" i="28"/>
  <c r="AD127" i="28"/>
  <c r="AE127" i="28" s="1"/>
  <c r="AF127" i="28" s="1"/>
  <c r="U127" i="28"/>
  <c r="T127" i="28"/>
  <c r="S127" i="28"/>
  <c r="M127" i="28"/>
  <c r="L127" i="28"/>
  <c r="K127" i="28"/>
  <c r="AC119" i="28"/>
  <c r="AB119" i="28"/>
  <c r="W119" i="28"/>
  <c r="V119" i="28"/>
  <c r="R119" i="28"/>
  <c r="Q119" i="28"/>
  <c r="P119" i="28"/>
  <c r="O119" i="28"/>
  <c r="N119" i="28"/>
  <c r="J119" i="28"/>
  <c r="I119" i="28"/>
  <c r="H119" i="28"/>
  <c r="G119" i="28"/>
  <c r="F119" i="28"/>
  <c r="E119" i="28"/>
  <c r="D119" i="28"/>
  <c r="C119" i="28"/>
  <c r="AD140" i="28"/>
  <c r="AE140" i="28" s="1"/>
  <c r="AF140" i="28" s="1"/>
  <c r="U140" i="28"/>
  <c r="T140" i="28"/>
  <c r="S140" i="28"/>
  <c r="M140" i="28"/>
  <c r="L140" i="28"/>
  <c r="K140" i="28"/>
  <c r="AD116" i="28"/>
  <c r="AE116" i="28" s="1"/>
  <c r="AF116" i="28" s="1"/>
  <c r="U116" i="28"/>
  <c r="T116" i="28"/>
  <c r="S116" i="28"/>
  <c r="M116" i="28"/>
  <c r="L116" i="28"/>
  <c r="K116" i="28"/>
  <c r="AC106" i="28"/>
  <c r="AB106" i="28"/>
  <c r="W106" i="28"/>
  <c r="V106" i="28"/>
  <c r="R106" i="28"/>
  <c r="Q106" i="28"/>
  <c r="P106" i="28"/>
  <c r="O106" i="28"/>
  <c r="N106" i="28"/>
  <c r="J106" i="28"/>
  <c r="I106" i="28"/>
  <c r="H106" i="28"/>
  <c r="G106" i="28"/>
  <c r="F106" i="28"/>
  <c r="E106" i="28"/>
  <c r="D106" i="28"/>
  <c r="C106" i="28"/>
  <c r="AC104" i="28"/>
  <c r="AB104" i="28"/>
  <c r="Z104" i="28"/>
  <c r="Y104" i="28"/>
  <c r="X104" i="28"/>
  <c r="W104" i="28"/>
  <c r="V104" i="28"/>
  <c r="R104" i="28"/>
  <c r="Q104" i="28"/>
  <c r="P104" i="28"/>
  <c r="O104" i="28"/>
  <c r="N104" i="28"/>
  <c r="J104" i="28"/>
  <c r="I104" i="28"/>
  <c r="H104" i="28"/>
  <c r="G104" i="28"/>
  <c r="F104" i="28"/>
  <c r="E104" i="28"/>
  <c r="D104" i="28"/>
  <c r="C104" i="28"/>
  <c r="AD102" i="28"/>
  <c r="AE102" i="28" s="1"/>
  <c r="AF102" i="28" s="1"/>
  <c r="U102" i="28"/>
  <c r="T102" i="28"/>
  <c r="S102" i="28"/>
  <c r="M102" i="28"/>
  <c r="L102" i="28"/>
  <c r="K102" i="28"/>
  <c r="AD101" i="28"/>
  <c r="AE101" i="28" s="1"/>
  <c r="AF101" i="28" s="1"/>
  <c r="U101" i="28"/>
  <c r="T101" i="28"/>
  <c r="S101" i="28"/>
  <c r="M101" i="28"/>
  <c r="L101" i="28"/>
  <c r="K101" i="28"/>
  <c r="AD100" i="28"/>
  <c r="AE100" i="28" s="1"/>
  <c r="AF100" i="28" s="1"/>
  <c r="U100" i="28"/>
  <c r="T100" i="28"/>
  <c r="S100" i="28"/>
  <c r="M100" i="28"/>
  <c r="L100" i="28"/>
  <c r="K100" i="28"/>
  <c r="AD99" i="28"/>
  <c r="AE99" i="28" s="1"/>
  <c r="AF99" i="28" s="1"/>
  <c r="U99" i="28"/>
  <c r="T99" i="28"/>
  <c r="S99" i="28"/>
  <c r="M99" i="28"/>
  <c r="L99" i="28"/>
  <c r="K99" i="28"/>
  <c r="AD98" i="28"/>
  <c r="AE98" i="28" s="1"/>
  <c r="AF98" i="28" s="1"/>
  <c r="U98" i="28"/>
  <c r="T98" i="28"/>
  <c r="S98" i="28"/>
  <c r="M98" i="28"/>
  <c r="L98" i="28"/>
  <c r="K98" i="28"/>
  <c r="AD97" i="28"/>
  <c r="AE97" i="28" s="1"/>
  <c r="AF97" i="28" s="1"/>
  <c r="U97" i="28"/>
  <c r="T97" i="28"/>
  <c r="S97" i="28"/>
  <c r="M97" i="28"/>
  <c r="L97" i="28"/>
  <c r="K97" i="28"/>
  <c r="AD96" i="28"/>
  <c r="AE96" i="28" s="1"/>
  <c r="AF96" i="28" s="1"/>
  <c r="U96" i="28"/>
  <c r="T96" i="28"/>
  <c r="S96" i="28"/>
  <c r="M96" i="28"/>
  <c r="L96" i="28"/>
  <c r="K96" i="28"/>
  <c r="AD95" i="28"/>
  <c r="AE95" i="28" s="1"/>
  <c r="AF95" i="28" s="1"/>
  <c r="U95" i="28"/>
  <c r="T95" i="28"/>
  <c r="S95" i="28"/>
  <c r="M95" i="28"/>
  <c r="L95" i="28"/>
  <c r="K95" i="28"/>
  <c r="AD94" i="28"/>
  <c r="AE94" i="28" s="1"/>
  <c r="AF94" i="28" s="1"/>
  <c r="U94" i="28"/>
  <c r="T94" i="28"/>
  <c r="S94" i="28"/>
  <c r="M94" i="28"/>
  <c r="L94" i="28"/>
  <c r="K94" i="28"/>
  <c r="AD93" i="28"/>
  <c r="AE93" i="28" s="1"/>
  <c r="AF93" i="28" s="1"/>
  <c r="U93" i="28"/>
  <c r="T93" i="28"/>
  <c r="S93" i="28"/>
  <c r="M93" i="28"/>
  <c r="L93" i="28"/>
  <c r="K93" i="28"/>
  <c r="AD92" i="28"/>
  <c r="AE92" i="28" s="1"/>
  <c r="AF92" i="28" s="1"/>
  <c r="U92" i="28"/>
  <c r="T92" i="28"/>
  <c r="S92" i="28"/>
  <c r="M92" i="28"/>
  <c r="L92" i="28"/>
  <c r="K92" i="28"/>
  <c r="AD91" i="28"/>
  <c r="AE91" i="28" s="1"/>
  <c r="AF91" i="28" s="1"/>
  <c r="U91" i="28"/>
  <c r="T91" i="28"/>
  <c r="S91" i="28"/>
  <c r="M91" i="28"/>
  <c r="L91" i="28"/>
  <c r="K91" i="28"/>
  <c r="AD90" i="28"/>
  <c r="AE90" i="28" s="1"/>
  <c r="AF90" i="28" s="1"/>
  <c r="U90" i="28"/>
  <c r="T90" i="28"/>
  <c r="S90" i="28"/>
  <c r="M90" i="28"/>
  <c r="L90" i="28"/>
  <c r="K90" i="28"/>
  <c r="AD89" i="28"/>
  <c r="AE89" i="28" s="1"/>
  <c r="AF89" i="28" s="1"/>
  <c r="U89" i="28"/>
  <c r="T89" i="28"/>
  <c r="S89" i="28"/>
  <c r="M89" i="28"/>
  <c r="L89" i="28"/>
  <c r="K89" i="28"/>
  <c r="AD88" i="28"/>
  <c r="AE88" i="28" s="1"/>
  <c r="AF88" i="28" s="1"/>
  <c r="U88" i="28"/>
  <c r="T88" i="28"/>
  <c r="S88" i="28"/>
  <c r="M88" i="28"/>
  <c r="L88" i="28"/>
  <c r="K88" i="28"/>
  <c r="AD87" i="28"/>
  <c r="AE87" i="28" s="1"/>
  <c r="AF87" i="28" s="1"/>
  <c r="U87" i="28"/>
  <c r="T87" i="28"/>
  <c r="S87" i="28"/>
  <c r="M87" i="28"/>
  <c r="L87" i="28"/>
  <c r="K87" i="28"/>
  <c r="AD86" i="28"/>
  <c r="AE86" i="28" s="1"/>
  <c r="AF86" i="28" s="1"/>
  <c r="U86" i="28"/>
  <c r="T86" i="28"/>
  <c r="S86" i="28"/>
  <c r="M86" i="28"/>
  <c r="L86" i="28"/>
  <c r="K86" i="28"/>
  <c r="AD85" i="28"/>
  <c r="AE85" i="28" s="1"/>
  <c r="U85" i="28"/>
  <c r="T85" i="28"/>
  <c r="S85" i="28"/>
  <c r="M85" i="28"/>
  <c r="L85" i="28"/>
  <c r="K85" i="28"/>
  <c r="Z83" i="28"/>
  <c r="Y83" i="28"/>
  <c r="X83" i="28"/>
  <c r="AD39" i="29" l="1"/>
  <c r="AE39" i="29" s="1"/>
  <c r="AF39" i="29" s="1"/>
  <c r="AC43" i="29"/>
  <c r="AC47" i="29" s="1"/>
  <c r="AC48" i="29" s="1"/>
  <c r="AB48" i="29"/>
  <c r="L146" i="29"/>
  <c r="U146" i="29"/>
  <c r="M146" i="29"/>
  <c r="S146" i="29"/>
  <c r="T146" i="29"/>
  <c r="AE18" i="28"/>
  <c r="AF18" i="28" s="1"/>
  <c r="AE17" i="28"/>
  <c r="AF17" i="28" s="1"/>
  <c r="AE106" i="28"/>
  <c r="AF85" i="28"/>
  <c r="AF104" i="28" s="1"/>
  <c r="AE104" i="28"/>
  <c r="AF77" i="28"/>
  <c r="AF80" i="28" s="1"/>
  <c r="AE80" i="28"/>
  <c r="AF74" i="28"/>
  <c r="AF76" i="28" s="1"/>
  <c r="AE76" i="28"/>
  <c r="AF67" i="28"/>
  <c r="AF73" i="28" s="1"/>
  <c r="AE73" i="28"/>
  <c r="AF61" i="28"/>
  <c r="AF66" i="28" s="1"/>
  <c r="AE66" i="28"/>
  <c r="AF49" i="28"/>
  <c r="AF59" i="28" s="1"/>
  <c r="AE59" i="28"/>
  <c r="AF44" i="28"/>
  <c r="AF47" i="28" s="1"/>
  <c r="AE47" i="28"/>
  <c r="AF43" i="28"/>
  <c r="AE43" i="28"/>
  <c r="AE32" i="28"/>
  <c r="AF33" i="28" s="1"/>
  <c r="AE33" i="28"/>
  <c r="AE36" i="28"/>
  <c r="AF36" i="28" s="1"/>
  <c r="AE34" i="28"/>
  <c r="AF34" i="28" s="1"/>
  <c r="AE35" i="28"/>
  <c r="AF35" i="28" s="1"/>
  <c r="AE37" i="28"/>
  <c r="AF37" i="28" s="1"/>
  <c r="AF29" i="28"/>
  <c r="AF32" i="28" s="1"/>
  <c r="AE26" i="28"/>
  <c r="AF26" i="28" s="1"/>
  <c r="AE27" i="28"/>
  <c r="AF27" i="28" s="1"/>
  <c r="S66" i="28"/>
  <c r="N24" i="28"/>
  <c r="T66" i="28"/>
  <c r="M66" i="28"/>
  <c r="V60" i="28"/>
  <c r="S76" i="28"/>
  <c r="Z131" i="28"/>
  <c r="Z135" i="28" s="1"/>
  <c r="Z147" i="28" s="1"/>
  <c r="L38" i="28"/>
  <c r="S80" i="28"/>
  <c r="T23" i="28"/>
  <c r="T32" i="28"/>
  <c r="U47" i="28"/>
  <c r="P129" i="28"/>
  <c r="M13" i="28"/>
  <c r="M38" i="28"/>
  <c r="T38" i="28"/>
  <c r="D48" i="28"/>
  <c r="U80" i="28"/>
  <c r="E48" i="28"/>
  <c r="U32" i="28"/>
  <c r="L76" i="28"/>
  <c r="O24" i="28"/>
  <c r="V39" i="28"/>
  <c r="M80" i="28"/>
  <c r="M73" i="28"/>
  <c r="U13" i="28"/>
  <c r="U38" i="28"/>
  <c r="S47" i="28"/>
  <c r="R48" i="28"/>
  <c r="S73" i="28"/>
  <c r="S11" i="28"/>
  <c r="M119" i="28"/>
  <c r="S106" i="28"/>
  <c r="S145" i="28"/>
  <c r="M47" i="28"/>
  <c r="T28" i="28"/>
  <c r="J48" i="28"/>
  <c r="M43" i="28"/>
  <c r="T76" i="28"/>
  <c r="S59" i="28"/>
  <c r="I48" i="28"/>
  <c r="K23" i="28"/>
  <c r="K73" i="28"/>
  <c r="S13" i="28"/>
  <c r="K32" i="28"/>
  <c r="U59" i="28"/>
  <c r="L73" i="28"/>
  <c r="K28" i="28"/>
  <c r="N129" i="28"/>
  <c r="L119" i="28"/>
  <c r="U145" i="28"/>
  <c r="L28" i="28"/>
  <c r="L66" i="28"/>
  <c r="T73" i="28"/>
  <c r="U119" i="28"/>
  <c r="P39" i="28"/>
  <c r="F81" i="28"/>
  <c r="G129" i="28"/>
  <c r="AC129" i="28"/>
  <c r="U76" i="28"/>
  <c r="U23" i="28"/>
  <c r="S32" i="28"/>
  <c r="H48" i="28"/>
  <c r="V48" i="28"/>
  <c r="E81" i="28"/>
  <c r="U73" i="28"/>
  <c r="T80" i="28"/>
  <c r="X131" i="28"/>
  <c r="X135" i="28" s="1"/>
  <c r="X147" i="28" s="1"/>
  <c r="U28" i="28"/>
  <c r="L80" i="28"/>
  <c r="T47" i="28"/>
  <c r="T119" i="28"/>
  <c r="M76" i="28"/>
  <c r="AD145" i="28"/>
  <c r="G24" i="28"/>
  <c r="D39" i="28"/>
  <c r="Q48" i="28"/>
  <c r="N81" i="28"/>
  <c r="C129" i="28"/>
  <c r="S23" i="28"/>
  <c r="S43" i="28"/>
  <c r="F24" i="28"/>
  <c r="M28" i="28"/>
  <c r="K38" i="28"/>
  <c r="P48" i="28"/>
  <c r="W81" i="28"/>
  <c r="L106" i="28"/>
  <c r="T43" i="28"/>
  <c r="F129" i="28"/>
  <c r="D129" i="28"/>
  <c r="M23" i="28"/>
  <c r="H39" i="28"/>
  <c r="D81" i="28"/>
  <c r="V81" i="28"/>
  <c r="K76" i="28"/>
  <c r="L104" i="28"/>
  <c r="R129" i="28"/>
  <c r="W48" i="28"/>
  <c r="L145" i="28"/>
  <c r="S38" i="28"/>
  <c r="J24" i="28"/>
  <c r="R24" i="28"/>
  <c r="T13" i="28"/>
  <c r="G39" i="28"/>
  <c r="O39" i="28"/>
  <c r="M32" i="28"/>
  <c r="I81" i="28"/>
  <c r="T104" i="28"/>
  <c r="J129" i="28"/>
  <c r="V129" i="28"/>
  <c r="K145" i="28"/>
  <c r="L13" i="28"/>
  <c r="I24" i="28"/>
  <c r="Q24" i="28"/>
  <c r="W129" i="28"/>
  <c r="T145" i="28"/>
  <c r="G48" i="28"/>
  <c r="O48" i="28"/>
  <c r="K80" i="28"/>
  <c r="E24" i="28"/>
  <c r="W24" i="28"/>
  <c r="J39" i="28"/>
  <c r="R39" i="28"/>
  <c r="AB129" i="28"/>
  <c r="S28" i="28"/>
  <c r="U43" i="28"/>
  <c r="D24" i="28"/>
  <c r="V24" i="28"/>
  <c r="I39" i="28"/>
  <c r="Q39" i="28"/>
  <c r="F48" i="28"/>
  <c r="N48" i="28"/>
  <c r="C81" i="28"/>
  <c r="AD119" i="28"/>
  <c r="AE119" i="28" s="1"/>
  <c r="AF119" i="28" s="1"/>
  <c r="O129" i="28"/>
  <c r="L47" i="28"/>
  <c r="C24" i="28"/>
  <c r="J81" i="28"/>
  <c r="R81" i="28"/>
  <c r="Q81" i="28"/>
  <c r="K119" i="28"/>
  <c r="H129" i="28"/>
  <c r="T106" i="28"/>
  <c r="AE143" i="28"/>
  <c r="AF143" i="28" s="1"/>
  <c r="L32" i="28"/>
  <c r="U66" i="28"/>
  <c r="F39" i="28"/>
  <c r="N39" i="28"/>
  <c r="C48" i="28"/>
  <c r="H81" i="28"/>
  <c r="P81" i="28"/>
  <c r="Y131" i="28"/>
  <c r="Y135" i="28" s="1"/>
  <c r="Y147" i="28" s="1"/>
  <c r="K104" i="28"/>
  <c r="I129" i="28"/>
  <c r="S119" i="28"/>
  <c r="L43" i="28"/>
  <c r="H24" i="28"/>
  <c r="P24" i="28"/>
  <c r="E39" i="28"/>
  <c r="W39" i="28"/>
  <c r="G81" i="28"/>
  <c r="O81" i="28"/>
  <c r="AF139" i="28"/>
  <c r="K60" i="28"/>
  <c r="AF107" i="28"/>
  <c r="AF106" i="28" s="1"/>
  <c r="S60" i="28"/>
  <c r="M104" i="28"/>
  <c r="U104" i="28"/>
  <c r="AD104" i="28"/>
  <c r="Q129" i="28"/>
  <c r="K11" i="28"/>
  <c r="K13" i="28"/>
  <c r="K43" i="28"/>
  <c r="K47" i="28"/>
  <c r="K59" i="28"/>
  <c r="K66" i="28"/>
  <c r="C39" i="28"/>
  <c r="L11" i="28"/>
  <c r="L23" i="28"/>
  <c r="L59" i="28"/>
  <c r="AD106" i="28"/>
  <c r="M11" i="28"/>
  <c r="M59" i="28"/>
  <c r="E129" i="28"/>
  <c r="T11" i="28"/>
  <c r="T59" i="28"/>
  <c r="N60" i="28"/>
  <c r="T60" i="28" s="1"/>
  <c r="M106" i="28"/>
  <c r="U106" i="28"/>
  <c r="M145" i="28"/>
  <c r="U11" i="28"/>
  <c r="S104" i="28"/>
  <c r="AB13" i="28"/>
  <c r="AC13" i="28"/>
  <c r="AC23" i="28" s="1"/>
  <c r="AC132" i="25"/>
  <c r="AD118" i="25"/>
  <c r="AC117" i="25"/>
  <c r="AC59" i="29" l="1"/>
  <c r="AC60" i="29" s="1"/>
  <c r="AC66" i="29" s="1"/>
  <c r="AC73" i="29" s="1"/>
  <c r="AC76" i="29" s="1"/>
  <c r="AD48" i="29"/>
  <c r="AE48" i="29" s="1"/>
  <c r="AF48" i="29" s="1"/>
  <c r="AB59" i="29"/>
  <c r="AF38" i="28"/>
  <c r="AE38" i="28"/>
  <c r="AF28" i="28"/>
  <c r="AE28" i="28"/>
  <c r="S24" i="28"/>
  <c r="L24" i="28"/>
  <c r="U24" i="28"/>
  <c r="U39" i="28"/>
  <c r="I83" i="28"/>
  <c r="I131" i="28" s="1"/>
  <c r="I135" i="28" s="1"/>
  <c r="I147" i="28" s="1"/>
  <c r="D83" i="28"/>
  <c r="D131" i="28" s="1"/>
  <c r="D135" i="28" s="1"/>
  <c r="D147" i="28" s="1"/>
  <c r="U81" i="28"/>
  <c r="T48" i="28"/>
  <c r="T24" i="28"/>
  <c r="AE145" i="28"/>
  <c r="AF145" i="28"/>
  <c r="T81" i="28"/>
  <c r="U48" i="28"/>
  <c r="U129" i="28"/>
  <c r="V83" i="28"/>
  <c r="V131" i="28" s="1"/>
  <c r="V135" i="28" s="1"/>
  <c r="V147" i="28" s="1"/>
  <c r="L48" i="28"/>
  <c r="S48" i="28"/>
  <c r="M48" i="28"/>
  <c r="AB23" i="28"/>
  <c r="AB24" i="28" s="1"/>
  <c r="M81" i="28"/>
  <c r="K81" i="28"/>
  <c r="L129" i="28"/>
  <c r="M129" i="28"/>
  <c r="J83" i="28"/>
  <c r="J131" i="28" s="1"/>
  <c r="J135" i="28" s="1"/>
  <c r="J147" i="28" s="1"/>
  <c r="K129" i="28"/>
  <c r="H83" i="28"/>
  <c r="H131" i="28" s="1"/>
  <c r="H135" i="28" s="1"/>
  <c r="H147" i="28" s="1"/>
  <c r="AD129" i="28"/>
  <c r="L81" i="28"/>
  <c r="K48" i="28"/>
  <c r="Q83" i="28"/>
  <c r="O83" i="28"/>
  <c r="O131" i="28" s="1"/>
  <c r="O135" i="28" s="1"/>
  <c r="O147" i="28" s="1"/>
  <c r="S81" i="28"/>
  <c r="F83" i="28"/>
  <c r="F131" i="28" s="1"/>
  <c r="F135" i="28" s="1"/>
  <c r="F147" i="28" s="1"/>
  <c r="G83" i="28"/>
  <c r="G131" i="28" s="1"/>
  <c r="G135" i="28" s="1"/>
  <c r="G147" i="28" s="1"/>
  <c r="M39" i="28"/>
  <c r="C83" i="28"/>
  <c r="C131" i="28" s="1"/>
  <c r="C135" i="28" s="1"/>
  <c r="C147" i="28" s="1"/>
  <c r="R83" i="28"/>
  <c r="R131" i="28" s="1"/>
  <c r="AC24" i="28"/>
  <c r="K39" i="28"/>
  <c r="E83" i="28"/>
  <c r="E131" i="28" s="1"/>
  <c r="L39" i="28"/>
  <c r="W83" i="28"/>
  <c r="W131" i="28" s="1"/>
  <c r="W135" i="28" s="1"/>
  <c r="W147" i="28" s="1"/>
  <c r="S39" i="28"/>
  <c r="M24" i="28"/>
  <c r="N83" i="28"/>
  <c r="T39" i="28"/>
  <c r="K24" i="28"/>
  <c r="P83" i="28"/>
  <c r="P131" i="28" s="1"/>
  <c r="P135" i="28" s="1"/>
  <c r="P147" i="28" s="1"/>
  <c r="T129" i="28"/>
  <c r="S129" i="28"/>
  <c r="AF129" i="28"/>
  <c r="U60" i="28"/>
  <c r="M60" i="28"/>
  <c r="L60" i="28"/>
  <c r="AE129" i="28"/>
  <c r="AK110" i="25"/>
  <c r="C15" i="26"/>
  <c r="B15" i="26"/>
  <c r="N112" i="25"/>
  <c r="M112" i="25" s="1"/>
  <c r="N54" i="25"/>
  <c r="M54" i="25" s="1"/>
  <c r="V144" i="25"/>
  <c r="V117" i="25"/>
  <c r="V104" i="25"/>
  <c r="V102" i="25"/>
  <c r="V78" i="25"/>
  <c r="V72" i="25"/>
  <c r="V65" i="25"/>
  <c r="V58" i="25"/>
  <c r="V59" i="25" s="1"/>
  <c r="V46" i="25"/>
  <c r="V42" i="25"/>
  <c r="V37" i="25"/>
  <c r="V32" i="25"/>
  <c r="V29" i="25"/>
  <c r="V23" i="25"/>
  <c r="V12" i="25"/>
  <c r="V9" i="25"/>
  <c r="N132" i="25"/>
  <c r="T132" i="25" s="1"/>
  <c r="D132" i="25"/>
  <c r="C132" i="25"/>
  <c r="AI175" i="25"/>
  <c r="AD173" i="25"/>
  <c r="AD140" i="25"/>
  <c r="AE140" i="25" s="1"/>
  <c r="AF140" i="25" s="1"/>
  <c r="AD141" i="25"/>
  <c r="AE141" i="25" s="1"/>
  <c r="AF141" i="25" s="1"/>
  <c r="AD142" i="25"/>
  <c r="AE142" i="25" s="1"/>
  <c r="AF142" i="25" s="1"/>
  <c r="AA104" i="25"/>
  <c r="AB104" i="25"/>
  <c r="AC104" i="25"/>
  <c r="W104" i="25"/>
  <c r="X104" i="25"/>
  <c r="X128" i="25" s="1"/>
  <c r="Y104" i="25"/>
  <c r="Y128" i="25" s="1"/>
  <c r="Z104" i="25"/>
  <c r="Z128" i="25" s="1"/>
  <c r="P104" i="25"/>
  <c r="Q104" i="25"/>
  <c r="R104" i="25"/>
  <c r="O104" i="25"/>
  <c r="D104" i="25"/>
  <c r="E104" i="25"/>
  <c r="F104" i="25"/>
  <c r="G104" i="25"/>
  <c r="H104" i="25"/>
  <c r="I104" i="25"/>
  <c r="J104" i="25"/>
  <c r="C104" i="25"/>
  <c r="AD139" i="25"/>
  <c r="AE139" i="25" s="1"/>
  <c r="AF139" i="25" s="1"/>
  <c r="U139" i="25"/>
  <c r="T139" i="25"/>
  <c r="S139" i="25"/>
  <c r="M139" i="25"/>
  <c r="L139" i="25"/>
  <c r="K139" i="25"/>
  <c r="AC156" i="25"/>
  <c r="AC144" i="25"/>
  <c r="AB144" i="25"/>
  <c r="AB117" i="25"/>
  <c r="AC102" i="25"/>
  <c r="AB102" i="25"/>
  <c r="AC78" i="25"/>
  <c r="AB78" i="25"/>
  <c r="AC72" i="25"/>
  <c r="AB72" i="25"/>
  <c r="AC65" i="25"/>
  <c r="AB62" i="25"/>
  <c r="AB65" i="25" s="1"/>
  <c r="AC58" i="25"/>
  <c r="AC59" i="25" s="1"/>
  <c r="AB58" i="25"/>
  <c r="AB59" i="25" s="1"/>
  <c r="AC46" i="25"/>
  <c r="AB46" i="25"/>
  <c r="AC42" i="25"/>
  <c r="AB42" i="25"/>
  <c r="AC37" i="25"/>
  <c r="AB37" i="25"/>
  <c r="AB32" i="25"/>
  <c r="AC29" i="25"/>
  <c r="AB29" i="25"/>
  <c r="AC23" i="25"/>
  <c r="AB20" i="25"/>
  <c r="AC12" i="25"/>
  <c r="AB12" i="25"/>
  <c r="AC9" i="25"/>
  <c r="AB9" i="25"/>
  <c r="K138" i="25"/>
  <c r="L138" i="25"/>
  <c r="M138" i="25"/>
  <c r="S138" i="25"/>
  <c r="T138" i="25"/>
  <c r="U138" i="25"/>
  <c r="AD138" i="25"/>
  <c r="AE138" i="25" s="1"/>
  <c r="AF138" i="25" s="1"/>
  <c r="K140" i="25"/>
  <c r="L140" i="25"/>
  <c r="M140" i="25"/>
  <c r="S140" i="25"/>
  <c r="T140" i="25"/>
  <c r="U140" i="25"/>
  <c r="K141" i="25"/>
  <c r="L141" i="25"/>
  <c r="M141" i="25"/>
  <c r="S141" i="25"/>
  <c r="T141" i="25"/>
  <c r="U141" i="25"/>
  <c r="K119" i="25"/>
  <c r="L119" i="25"/>
  <c r="M119" i="25"/>
  <c r="S119" i="25"/>
  <c r="T119" i="25"/>
  <c r="U119" i="25"/>
  <c r="AD119" i="25"/>
  <c r="AE119" i="25" s="1"/>
  <c r="AF119" i="25" s="1"/>
  <c r="K120" i="25"/>
  <c r="L120" i="25"/>
  <c r="M120" i="25"/>
  <c r="S120" i="25"/>
  <c r="T120" i="25"/>
  <c r="U120" i="25"/>
  <c r="AD120" i="25"/>
  <c r="AE120" i="25" s="1"/>
  <c r="AF120" i="25" s="1"/>
  <c r="K121" i="25"/>
  <c r="L121" i="25"/>
  <c r="M121" i="25"/>
  <c r="S121" i="25"/>
  <c r="T121" i="25"/>
  <c r="U121" i="25"/>
  <c r="AD121" i="25"/>
  <c r="AE121" i="25" s="1"/>
  <c r="AF121" i="25" s="1"/>
  <c r="K122" i="25"/>
  <c r="L122" i="25"/>
  <c r="M122" i="25"/>
  <c r="S122" i="25"/>
  <c r="T122" i="25"/>
  <c r="U122" i="25"/>
  <c r="AD122" i="25"/>
  <c r="AE122" i="25" s="1"/>
  <c r="AF122" i="25" s="1"/>
  <c r="K123" i="25"/>
  <c r="L123" i="25"/>
  <c r="M123" i="25"/>
  <c r="S123" i="25"/>
  <c r="T123" i="25"/>
  <c r="U123" i="25"/>
  <c r="AD123" i="25"/>
  <c r="AE123" i="25" s="1"/>
  <c r="AF123" i="25" s="1"/>
  <c r="K124" i="25"/>
  <c r="L124" i="25"/>
  <c r="M124" i="25"/>
  <c r="S124" i="25"/>
  <c r="T124" i="25"/>
  <c r="U124" i="25"/>
  <c r="AD124" i="25"/>
  <c r="AE124" i="25" s="1"/>
  <c r="AF124" i="25" s="1"/>
  <c r="K125" i="25"/>
  <c r="L125" i="25"/>
  <c r="M125" i="25"/>
  <c r="S125" i="25"/>
  <c r="T125" i="25"/>
  <c r="U125" i="25"/>
  <c r="AD125" i="25"/>
  <c r="AE125" i="25" s="1"/>
  <c r="AF125" i="25" s="1"/>
  <c r="U118" i="25"/>
  <c r="T118" i="25"/>
  <c r="S118" i="25"/>
  <c r="M118" i="25"/>
  <c r="L118" i="25"/>
  <c r="K118" i="25"/>
  <c r="K106" i="25"/>
  <c r="L106" i="25"/>
  <c r="M106" i="25"/>
  <c r="S106" i="25"/>
  <c r="T106" i="25"/>
  <c r="U106" i="25"/>
  <c r="AD106" i="25"/>
  <c r="AE106" i="25" s="1"/>
  <c r="AF106" i="25" s="1"/>
  <c r="K107" i="25"/>
  <c r="L107" i="25"/>
  <c r="M107" i="25"/>
  <c r="S107" i="25"/>
  <c r="T107" i="25"/>
  <c r="U107" i="25"/>
  <c r="AD107" i="25"/>
  <c r="AE107" i="25" s="1"/>
  <c r="AF107" i="25" s="1"/>
  <c r="K108" i="25"/>
  <c r="L108" i="25"/>
  <c r="M108" i="25"/>
  <c r="S108" i="25"/>
  <c r="T108" i="25"/>
  <c r="U108" i="25"/>
  <c r="AD108" i="25"/>
  <c r="AE108" i="25" s="1"/>
  <c r="AF108" i="25" s="1"/>
  <c r="K109" i="25"/>
  <c r="L109" i="25"/>
  <c r="M109" i="25"/>
  <c r="S109" i="25"/>
  <c r="T109" i="25"/>
  <c r="U109" i="25"/>
  <c r="AD109" i="25"/>
  <c r="AE109" i="25" s="1"/>
  <c r="AF109" i="25" s="1"/>
  <c r="K110" i="25"/>
  <c r="L110" i="25"/>
  <c r="M110" i="25"/>
  <c r="S110" i="25"/>
  <c r="T110" i="25"/>
  <c r="U110" i="25"/>
  <c r="AD110" i="25"/>
  <c r="AE110" i="25" s="1"/>
  <c r="AF110" i="25" s="1"/>
  <c r="K111" i="25"/>
  <c r="L111" i="25"/>
  <c r="M111" i="25"/>
  <c r="S111" i="25"/>
  <c r="T111" i="25"/>
  <c r="U111" i="25"/>
  <c r="AD111" i="25"/>
  <c r="AE111" i="25" s="1"/>
  <c r="AF111" i="25" s="1"/>
  <c r="K112" i="25"/>
  <c r="S112" i="25"/>
  <c r="AD112" i="25"/>
  <c r="AE112" i="25" s="1"/>
  <c r="K113" i="25"/>
  <c r="L113" i="25"/>
  <c r="M113" i="25"/>
  <c r="S113" i="25"/>
  <c r="T113" i="25"/>
  <c r="U113" i="25"/>
  <c r="AD113" i="25"/>
  <c r="AE113" i="25" s="1"/>
  <c r="AF113" i="25" s="1"/>
  <c r="AD105" i="25"/>
  <c r="AE105" i="25" s="1"/>
  <c r="AF105" i="25" s="1"/>
  <c r="U105" i="25"/>
  <c r="T105" i="25"/>
  <c r="S105" i="25"/>
  <c r="M105" i="25"/>
  <c r="L105" i="25"/>
  <c r="K105" i="25"/>
  <c r="W78" i="25"/>
  <c r="N78" i="25"/>
  <c r="O78" i="25"/>
  <c r="P78" i="25"/>
  <c r="Q78" i="25"/>
  <c r="R78" i="25"/>
  <c r="C78" i="25"/>
  <c r="D78" i="25"/>
  <c r="E78" i="25"/>
  <c r="F78" i="25"/>
  <c r="G78" i="25"/>
  <c r="H78" i="25"/>
  <c r="I78" i="25"/>
  <c r="J78" i="25"/>
  <c r="W72" i="25"/>
  <c r="N72" i="25"/>
  <c r="O72" i="25"/>
  <c r="P72" i="25"/>
  <c r="Q72" i="25"/>
  <c r="R72" i="25"/>
  <c r="C72" i="25"/>
  <c r="D72" i="25"/>
  <c r="E72" i="25"/>
  <c r="F72" i="25"/>
  <c r="G72" i="25"/>
  <c r="H72" i="25"/>
  <c r="I72" i="25"/>
  <c r="J72" i="25"/>
  <c r="W65" i="25"/>
  <c r="N65" i="25"/>
  <c r="O65" i="25"/>
  <c r="P65" i="25"/>
  <c r="Q65" i="25"/>
  <c r="R65" i="25"/>
  <c r="C65" i="25"/>
  <c r="D65" i="25"/>
  <c r="E65" i="25"/>
  <c r="F65" i="25"/>
  <c r="G65" i="25"/>
  <c r="H65" i="25"/>
  <c r="I65" i="25"/>
  <c r="J65" i="25"/>
  <c r="W58" i="25"/>
  <c r="W59" i="25" s="1"/>
  <c r="O58" i="25"/>
  <c r="O59" i="25" s="1"/>
  <c r="P58" i="25"/>
  <c r="P59" i="25" s="1"/>
  <c r="Q58" i="25"/>
  <c r="R58" i="25"/>
  <c r="R59" i="25" s="1"/>
  <c r="C58" i="25"/>
  <c r="C59" i="25" s="1"/>
  <c r="D58" i="25"/>
  <c r="D59" i="25" s="1"/>
  <c r="E58" i="25"/>
  <c r="E59" i="25" s="1"/>
  <c r="F58" i="25"/>
  <c r="F59" i="25" s="1"/>
  <c r="G58" i="25"/>
  <c r="G59" i="25" s="1"/>
  <c r="H58" i="25"/>
  <c r="H59" i="25" s="1"/>
  <c r="I58" i="25"/>
  <c r="I59" i="25" s="1"/>
  <c r="J58" i="25"/>
  <c r="J59" i="25" s="1"/>
  <c r="W46" i="25"/>
  <c r="N46" i="25"/>
  <c r="O46" i="25"/>
  <c r="P46" i="25"/>
  <c r="Q46" i="25"/>
  <c r="R46" i="25"/>
  <c r="C46" i="25"/>
  <c r="D46" i="25"/>
  <c r="E46" i="25"/>
  <c r="F46" i="25"/>
  <c r="G46" i="25"/>
  <c r="H46" i="25"/>
  <c r="I46" i="25"/>
  <c r="J46" i="25"/>
  <c r="W42" i="25"/>
  <c r="N42" i="25"/>
  <c r="O42" i="25"/>
  <c r="P42" i="25"/>
  <c r="Q42" i="25"/>
  <c r="R42" i="25"/>
  <c r="C42" i="25"/>
  <c r="D42" i="25"/>
  <c r="E42" i="25"/>
  <c r="F42" i="25"/>
  <c r="G42" i="25"/>
  <c r="H42" i="25"/>
  <c r="I42" i="25"/>
  <c r="J42" i="25"/>
  <c r="W37" i="25"/>
  <c r="N37" i="25"/>
  <c r="O37" i="25"/>
  <c r="P37" i="25"/>
  <c r="Q37" i="25"/>
  <c r="R37" i="25"/>
  <c r="C37" i="25"/>
  <c r="D37" i="25"/>
  <c r="E37" i="25"/>
  <c r="F37" i="25"/>
  <c r="G37" i="25"/>
  <c r="H37" i="25"/>
  <c r="I37" i="25"/>
  <c r="J37" i="25"/>
  <c r="W32" i="25"/>
  <c r="N32" i="25"/>
  <c r="O32" i="25"/>
  <c r="P32" i="25"/>
  <c r="Q32" i="25"/>
  <c r="R32" i="25"/>
  <c r="C32" i="25"/>
  <c r="D32" i="25"/>
  <c r="E32" i="25"/>
  <c r="F32" i="25"/>
  <c r="G32" i="25"/>
  <c r="H32" i="25"/>
  <c r="I32" i="25"/>
  <c r="J32" i="25"/>
  <c r="W29" i="25"/>
  <c r="N29" i="25"/>
  <c r="O29" i="25"/>
  <c r="P29" i="25"/>
  <c r="Q29" i="25"/>
  <c r="R29" i="25"/>
  <c r="C29" i="25"/>
  <c r="D29" i="25"/>
  <c r="E29" i="25"/>
  <c r="F29" i="25"/>
  <c r="G29" i="25"/>
  <c r="H29" i="25"/>
  <c r="I29" i="25"/>
  <c r="J29" i="25"/>
  <c r="W23" i="25"/>
  <c r="N23" i="25"/>
  <c r="O23" i="25"/>
  <c r="P23" i="25"/>
  <c r="Q23" i="25"/>
  <c r="R23" i="25"/>
  <c r="C23" i="25"/>
  <c r="D23" i="25"/>
  <c r="E23" i="25"/>
  <c r="F23" i="25"/>
  <c r="G23" i="25"/>
  <c r="H23" i="25"/>
  <c r="I23" i="25"/>
  <c r="J23" i="25"/>
  <c r="W12" i="25"/>
  <c r="N12" i="25"/>
  <c r="O12" i="25"/>
  <c r="P12" i="25"/>
  <c r="Q12" i="25"/>
  <c r="R12" i="25"/>
  <c r="C12" i="25"/>
  <c r="D12" i="25"/>
  <c r="E12" i="25"/>
  <c r="F12" i="25"/>
  <c r="G12" i="25"/>
  <c r="H12" i="25"/>
  <c r="I12" i="25"/>
  <c r="J12" i="25"/>
  <c r="W9" i="25"/>
  <c r="N9" i="25"/>
  <c r="O9" i="25"/>
  <c r="P9" i="25"/>
  <c r="Q9" i="25"/>
  <c r="R9" i="25"/>
  <c r="C9" i="25"/>
  <c r="D9" i="25"/>
  <c r="E9" i="25"/>
  <c r="F9" i="25"/>
  <c r="G9" i="25"/>
  <c r="H9" i="25"/>
  <c r="I9" i="25"/>
  <c r="J9" i="25"/>
  <c r="K5" i="25"/>
  <c r="L5" i="25"/>
  <c r="M5" i="25"/>
  <c r="S5" i="25"/>
  <c r="T5" i="25"/>
  <c r="U5" i="25"/>
  <c r="AD5" i="25"/>
  <c r="AE5" i="25" s="1"/>
  <c r="AF5" i="25" s="1"/>
  <c r="K6" i="25"/>
  <c r="L6" i="25"/>
  <c r="M6" i="25"/>
  <c r="S6" i="25"/>
  <c r="T6" i="25"/>
  <c r="U6" i="25"/>
  <c r="AD6" i="25"/>
  <c r="AE6" i="25" s="1"/>
  <c r="AF6" i="25" s="1"/>
  <c r="K7" i="25"/>
  <c r="L7" i="25"/>
  <c r="M7" i="25"/>
  <c r="S7" i="25"/>
  <c r="T7" i="25"/>
  <c r="U7" i="25"/>
  <c r="AD7" i="25"/>
  <c r="AE7" i="25" s="1"/>
  <c r="AF7" i="25" s="1"/>
  <c r="K8" i="25"/>
  <c r="L8" i="25"/>
  <c r="M8" i="25"/>
  <c r="S8" i="25"/>
  <c r="T8" i="25"/>
  <c r="U8" i="25"/>
  <c r="AD8" i="25"/>
  <c r="AE8" i="25" s="1"/>
  <c r="AF8" i="25" s="1"/>
  <c r="K10" i="25"/>
  <c r="L10" i="25"/>
  <c r="M10" i="25"/>
  <c r="S10" i="25"/>
  <c r="T10" i="25"/>
  <c r="U10" i="25"/>
  <c r="AD10" i="25"/>
  <c r="AE10" i="25" s="1"/>
  <c r="AF10" i="25" s="1"/>
  <c r="K11" i="25"/>
  <c r="L11" i="25"/>
  <c r="M11" i="25"/>
  <c r="S11" i="25"/>
  <c r="T11" i="25"/>
  <c r="U11" i="25"/>
  <c r="AD11" i="25"/>
  <c r="AE11" i="25" s="1"/>
  <c r="AF11" i="25" s="1"/>
  <c r="K13" i="25"/>
  <c r="L13" i="25"/>
  <c r="M13" i="25"/>
  <c r="S13" i="25"/>
  <c r="T13" i="25"/>
  <c r="U13" i="25"/>
  <c r="AD13" i="25"/>
  <c r="AE13" i="25" s="1"/>
  <c r="AF13" i="25" s="1"/>
  <c r="K14" i="25"/>
  <c r="L14" i="25"/>
  <c r="M14" i="25"/>
  <c r="S14" i="25"/>
  <c r="T14" i="25"/>
  <c r="U14" i="25"/>
  <c r="AD14" i="25"/>
  <c r="AE14" i="25" s="1"/>
  <c r="AF14" i="25" s="1"/>
  <c r="K15" i="25"/>
  <c r="L15" i="25"/>
  <c r="M15" i="25"/>
  <c r="S15" i="25"/>
  <c r="T15" i="25"/>
  <c r="U15" i="25"/>
  <c r="AD15" i="25"/>
  <c r="AE15" i="25" s="1"/>
  <c r="AF15" i="25" s="1"/>
  <c r="K16" i="25"/>
  <c r="L16" i="25"/>
  <c r="M16" i="25"/>
  <c r="S16" i="25"/>
  <c r="T16" i="25"/>
  <c r="U16" i="25"/>
  <c r="AD16" i="25"/>
  <c r="AE16" i="25" s="1"/>
  <c r="AF16" i="25" s="1"/>
  <c r="K17" i="25"/>
  <c r="L17" i="25"/>
  <c r="M17" i="25"/>
  <c r="S17" i="25"/>
  <c r="T17" i="25"/>
  <c r="U17" i="25"/>
  <c r="AD17" i="25"/>
  <c r="AE17" i="25" s="1"/>
  <c r="AF17" i="25" s="1"/>
  <c r="K18" i="25"/>
  <c r="L18" i="25"/>
  <c r="M18" i="25"/>
  <c r="S18" i="25"/>
  <c r="T18" i="25"/>
  <c r="U18" i="25"/>
  <c r="AD18" i="25"/>
  <c r="AE18" i="25" s="1"/>
  <c r="AF18" i="25" s="1"/>
  <c r="K19" i="25"/>
  <c r="L19" i="25"/>
  <c r="M19" i="25"/>
  <c r="S19" i="25"/>
  <c r="T19" i="25"/>
  <c r="U19" i="25"/>
  <c r="AD19" i="25"/>
  <c r="AE19" i="25" s="1"/>
  <c r="AF19" i="25" s="1"/>
  <c r="K20" i="25"/>
  <c r="L20" i="25"/>
  <c r="M20" i="25"/>
  <c r="S20" i="25"/>
  <c r="T20" i="25"/>
  <c r="U20" i="25"/>
  <c r="K21" i="25"/>
  <c r="L21" i="25"/>
  <c r="M21" i="25"/>
  <c r="S21" i="25"/>
  <c r="T21" i="25"/>
  <c r="U21" i="25"/>
  <c r="AD21" i="25"/>
  <c r="AE21" i="25" s="1"/>
  <c r="AF21" i="25" s="1"/>
  <c r="K22" i="25"/>
  <c r="L22" i="25"/>
  <c r="M22" i="25"/>
  <c r="S22" i="25"/>
  <c r="T22" i="25"/>
  <c r="U22" i="25"/>
  <c r="AD22" i="25"/>
  <c r="AE22" i="25" s="1"/>
  <c r="AF22" i="25" s="1"/>
  <c r="K25" i="25"/>
  <c r="L25" i="25"/>
  <c r="M25" i="25"/>
  <c r="S25" i="25"/>
  <c r="T25" i="25"/>
  <c r="U25" i="25"/>
  <c r="AD25" i="25"/>
  <c r="AE25" i="25" s="1"/>
  <c r="AF25" i="25" s="1"/>
  <c r="K26" i="25"/>
  <c r="L26" i="25"/>
  <c r="M26" i="25"/>
  <c r="S26" i="25"/>
  <c r="T26" i="25"/>
  <c r="U26" i="25"/>
  <c r="AD26" i="25"/>
  <c r="AE26" i="25" s="1"/>
  <c r="AF26" i="25" s="1"/>
  <c r="K27" i="25"/>
  <c r="L27" i="25"/>
  <c r="M27" i="25"/>
  <c r="S27" i="25"/>
  <c r="T27" i="25"/>
  <c r="U27" i="25"/>
  <c r="AD27" i="25"/>
  <c r="AE27" i="25" s="1"/>
  <c r="AF27" i="25" s="1"/>
  <c r="K28" i="25"/>
  <c r="L28" i="25"/>
  <c r="M28" i="25"/>
  <c r="S28" i="25"/>
  <c r="T28" i="25"/>
  <c r="U28" i="25"/>
  <c r="AD28" i="25"/>
  <c r="AE28" i="25" s="1"/>
  <c r="AF28" i="25" s="1"/>
  <c r="K30" i="25"/>
  <c r="L30" i="25"/>
  <c r="M30" i="25"/>
  <c r="S30" i="25"/>
  <c r="T30" i="25"/>
  <c r="U30" i="25"/>
  <c r="AD30" i="25"/>
  <c r="AE30" i="25" s="1"/>
  <c r="AF30" i="25" s="1"/>
  <c r="K31" i="25"/>
  <c r="L31" i="25"/>
  <c r="M31" i="25"/>
  <c r="S31" i="25"/>
  <c r="T31" i="25"/>
  <c r="U31" i="25"/>
  <c r="AD31" i="25"/>
  <c r="AE31" i="25" s="1"/>
  <c r="AF31" i="25" s="1"/>
  <c r="K33" i="25"/>
  <c r="L33" i="25"/>
  <c r="M33" i="25"/>
  <c r="S33" i="25"/>
  <c r="T33" i="25"/>
  <c r="U33" i="25"/>
  <c r="AD33" i="25"/>
  <c r="AE33" i="25" s="1"/>
  <c r="AF33" i="25" s="1"/>
  <c r="K34" i="25"/>
  <c r="L34" i="25"/>
  <c r="M34" i="25"/>
  <c r="S34" i="25"/>
  <c r="T34" i="25"/>
  <c r="U34" i="25"/>
  <c r="AD34" i="25"/>
  <c r="AE34" i="25" s="1"/>
  <c r="AF34" i="25" s="1"/>
  <c r="K35" i="25"/>
  <c r="L35" i="25"/>
  <c r="M35" i="25"/>
  <c r="S35" i="25"/>
  <c r="T35" i="25"/>
  <c r="U35" i="25"/>
  <c r="AD35" i="25"/>
  <c r="AE35" i="25" s="1"/>
  <c r="AF35" i="25" s="1"/>
  <c r="K36" i="25"/>
  <c r="L36" i="25"/>
  <c r="M36" i="25"/>
  <c r="S36" i="25"/>
  <c r="T36" i="25"/>
  <c r="U36" i="25"/>
  <c r="AD36" i="25"/>
  <c r="AE36" i="25" s="1"/>
  <c r="AF36" i="25" s="1"/>
  <c r="K39" i="25"/>
  <c r="L39" i="25"/>
  <c r="M39" i="25"/>
  <c r="S39" i="25"/>
  <c r="T39" i="25"/>
  <c r="U39" i="25"/>
  <c r="AD39" i="25"/>
  <c r="AE39" i="25" s="1"/>
  <c r="AF39" i="25" s="1"/>
  <c r="K40" i="25"/>
  <c r="L40" i="25"/>
  <c r="M40" i="25"/>
  <c r="S40" i="25"/>
  <c r="T40" i="25"/>
  <c r="U40" i="25"/>
  <c r="AD40" i="25"/>
  <c r="AE40" i="25" s="1"/>
  <c r="AF40" i="25" s="1"/>
  <c r="K41" i="25"/>
  <c r="L41" i="25"/>
  <c r="M41" i="25"/>
  <c r="S41" i="25"/>
  <c r="T41" i="25"/>
  <c r="U41" i="25"/>
  <c r="AD41" i="25"/>
  <c r="AE41" i="25" s="1"/>
  <c r="AF41" i="25" s="1"/>
  <c r="K43" i="25"/>
  <c r="L43" i="25"/>
  <c r="M43" i="25"/>
  <c r="S43" i="25"/>
  <c r="T43" i="25"/>
  <c r="U43" i="25"/>
  <c r="AD43" i="25"/>
  <c r="AE43" i="25" s="1"/>
  <c r="AF43" i="25" s="1"/>
  <c r="K44" i="25"/>
  <c r="L44" i="25"/>
  <c r="M44" i="25"/>
  <c r="S44" i="25"/>
  <c r="T44" i="25"/>
  <c r="U44" i="25"/>
  <c r="AD44" i="25"/>
  <c r="AE44" i="25" s="1"/>
  <c r="AF44" i="25" s="1"/>
  <c r="K45" i="25"/>
  <c r="L45" i="25"/>
  <c r="M45" i="25"/>
  <c r="S45" i="25"/>
  <c r="T45" i="25"/>
  <c r="U45" i="25"/>
  <c r="AD45" i="25"/>
  <c r="AE45" i="25" s="1"/>
  <c r="AF45" i="25" s="1"/>
  <c r="K48" i="25"/>
  <c r="L48" i="25"/>
  <c r="M48" i="25"/>
  <c r="S48" i="25"/>
  <c r="T48" i="25"/>
  <c r="U48" i="25"/>
  <c r="AD48" i="25"/>
  <c r="AE48" i="25" s="1"/>
  <c r="AF48" i="25" s="1"/>
  <c r="AH48" i="25" s="1"/>
  <c r="K49" i="25"/>
  <c r="L49" i="25"/>
  <c r="M49" i="25"/>
  <c r="S49" i="25"/>
  <c r="T49" i="25"/>
  <c r="U49" i="25"/>
  <c r="AD49" i="25"/>
  <c r="AE49" i="25" s="1"/>
  <c r="AF49" i="25" s="1"/>
  <c r="AH49" i="25" s="1"/>
  <c r="K50" i="25"/>
  <c r="L50" i="25"/>
  <c r="M50" i="25"/>
  <c r="S50" i="25"/>
  <c r="T50" i="25"/>
  <c r="U50" i="25"/>
  <c r="AD50" i="25"/>
  <c r="AE50" i="25" s="1"/>
  <c r="AF50" i="25" s="1"/>
  <c r="AH50" i="25" s="1"/>
  <c r="K51" i="25"/>
  <c r="L51" i="25"/>
  <c r="M51" i="25"/>
  <c r="S51" i="25"/>
  <c r="T51" i="25"/>
  <c r="U51" i="25"/>
  <c r="AD51" i="25"/>
  <c r="AE51" i="25" s="1"/>
  <c r="AF51" i="25" s="1"/>
  <c r="AH51" i="25" s="1"/>
  <c r="K52" i="25"/>
  <c r="L52" i="25"/>
  <c r="M52" i="25"/>
  <c r="S52" i="25"/>
  <c r="T52" i="25"/>
  <c r="U52" i="25"/>
  <c r="AD52" i="25"/>
  <c r="AE52" i="25" s="1"/>
  <c r="AF52" i="25" s="1"/>
  <c r="AH52" i="25" s="1"/>
  <c r="K53" i="25"/>
  <c r="L53" i="25"/>
  <c r="M53" i="25"/>
  <c r="S53" i="25"/>
  <c r="T53" i="25"/>
  <c r="U53" i="25"/>
  <c r="AD53" i="25"/>
  <c r="AE53" i="25" s="1"/>
  <c r="AF53" i="25" s="1"/>
  <c r="AH53" i="25" s="1"/>
  <c r="K54" i="25"/>
  <c r="S54" i="25"/>
  <c r="AD54" i="25"/>
  <c r="AE54" i="25" s="1"/>
  <c r="K55" i="25"/>
  <c r="L55" i="25"/>
  <c r="M55" i="25"/>
  <c r="S55" i="25"/>
  <c r="T55" i="25"/>
  <c r="U55" i="25"/>
  <c r="AD55" i="25"/>
  <c r="AE55" i="25" s="1"/>
  <c r="AF55" i="25" s="1"/>
  <c r="AH55" i="25" s="1"/>
  <c r="K56" i="25"/>
  <c r="L56" i="25"/>
  <c r="M56" i="25"/>
  <c r="S56" i="25"/>
  <c r="T56" i="25"/>
  <c r="U56" i="25"/>
  <c r="AD56" i="25"/>
  <c r="AE56" i="25" s="1"/>
  <c r="AF56" i="25" s="1"/>
  <c r="AH56" i="25" s="1"/>
  <c r="K57" i="25"/>
  <c r="L57" i="25"/>
  <c r="M57" i="25"/>
  <c r="S57" i="25"/>
  <c r="T57" i="25"/>
  <c r="U57" i="25"/>
  <c r="AD57" i="25"/>
  <c r="AE57" i="25" s="1"/>
  <c r="AF57" i="25" s="1"/>
  <c r="AH57" i="25" s="1"/>
  <c r="K60" i="25"/>
  <c r="L60" i="25"/>
  <c r="M60" i="25"/>
  <c r="S60" i="25"/>
  <c r="T60" i="25"/>
  <c r="U60" i="25"/>
  <c r="AD60" i="25"/>
  <c r="AE60" i="25" s="1"/>
  <c r="AF60" i="25" s="1"/>
  <c r="K61" i="25"/>
  <c r="L61" i="25"/>
  <c r="M61" i="25"/>
  <c r="S61" i="25"/>
  <c r="T61" i="25"/>
  <c r="U61" i="25"/>
  <c r="AD61" i="25"/>
  <c r="AE61" i="25" s="1"/>
  <c r="AF61" i="25" s="1"/>
  <c r="K62" i="25"/>
  <c r="L62" i="25"/>
  <c r="M62" i="25"/>
  <c r="S62" i="25"/>
  <c r="T62" i="25"/>
  <c r="U62" i="25"/>
  <c r="K63" i="25"/>
  <c r="L63" i="25"/>
  <c r="M63" i="25"/>
  <c r="S63" i="25"/>
  <c r="T63" i="25"/>
  <c r="U63" i="25"/>
  <c r="AD63" i="25"/>
  <c r="AE63" i="25" s="1"/>
  <c r="AF63" i="25" s="1"/>
  <c r="K64" i="25"/>
  <c r="L64" i="25"/>
  <c r="M64" i="25"/>
  <c r="S64" i="25"/>
  <c r="T64" i="25"/>
  <c r="U64" i="25"/>
  <c r="AD64" i="25"/>
  <c r="AE64" i="25" s="1"/>
  <c r="AF64" i="25" s="1"/>
  <c r="K66" i="25"/>
  <c r="L66" i="25"/>
  <c r="M66" i="25"/>
  <c r="S66" i="25"/>
  <c r="T66" i="25"/>
  <c r="U66" i="25"/>
  <c r="AD66" i="25"/>
  <c r="AE66" i="25" s="1"/>
  <c r="AF66" i="25" s="1"/>
  <c r="K67" i="25"/>
  <c r="L67" i="25"/>
  <c r="M67" i="25"/>
  <c r="S67" i="25"/>
  <c r="T67" i="25"/>
  <c r="U67" i="25"/>
  <c r="AD67" i="25"/>
  <c r="AE67" i="25" s="1"/>
  <c r="AF67" i="25" s="1"/>
  <c r="K68" i="25"/>
  <c r="L68" i="25"/>
  <c r="M68" i="25"/>
  <c r="S68" i="25"/>
  <c r="T68" i="25"/>
  <c r="U68" i="25"/>
  <c r="AD68" i="25"/>
  <c r="AE68" i="25" s="1"/>
  <c r="AF68" i="25" s="1"/>
  <c r="K69" i="25"/>
  <c r="L69" i="25"/>
  <c r="M69" i="25"/>
  <c r="S69" i="25"/>
  <c r="T69" i="25"/>
  <c r="U69" i="25"/>
  <c r="AD69" i="25"/>
  <c r="AE69" i="25" s="1"/>
  <c r="AF69" i="25" s="1"/>
  <c r="K70" i="25"/>
  <c r="L70" i="25"/>
  <c r="M70" i="25"/>
  <c r="S70" i="25"/>
  <c r="T70" i="25"/>
  <c r="U70" i="25"/>
  <c r="AD70" i="25"/>
  <c r="AE70" i="25" s="1"/>
  <c r="AF70" i="25" s="1"/>
  <c r="K71" i="25"/>
  <c r="L71" i="25"/>
  <c r="M71" i="25"/>
  <c r="S71" i="25"/>
  <c r="T71" i="25"/>
  <c r="U71" i="25"/>
  <c r="AD71" i="25"/>
  <c r="AE71" i="25" s="1"/>
  <c r="AF71" i="25" s="1"/>
  <c r="K73" i="25"/>
  <c r="L73" i="25"/>
  <c r="M73" i="25"/>
  <c r="S73" i="25"/>
  <c r="T73" i="25"/>
  <c r="U73" i="25"/>
  <c r="AD73" i="25"/>
  <c r="AE73" i="25" s="1"/>
  <c r="AF73" i="25" s="1"/>
  <c r="K74" i="25"/>
  <c r="L74" i="25"/>
  <c r="M74" i="25"/>
  <c r="S74" i="25"/>
  <c r="T74" i="25"/>
  <c r="U74" i="25"/>
  <c r="AD74" i="25"/>
  <c r="AE74" i="25" s="1"/>
  <c r="AF74" i="25" s="1"/>
  <c r="K75" i="25"/>
  <c r="L75" i="25"/>
  <c r="M75" i="25"/>
  <c r="S75" i="25"/>
  <c r="T75" i="25"/>
  <c r="U75" i="25"/>
  <c r="AD75" i="25"/>
  <c r="AE75" i="25" s="1"/>
  <c r="AF75" i="25" s="1"/>
  <c r="K76" i="25"/>
  <c r="L76" i="25"/>
  <c r="M76" i="25"/>
  <c r="S76" i="25"/>
  <c r="T76" i="25"/>
  <c r="U76" i="25"/>
  <c r="AD76" i="25"/>
  <c r="AE76" i="25" s="1"/>
  <c r="AF76" i="25" s="1"/>
  <c r="K77" i="25"/>
  <c r="L77" i="25"/>
  <c r="M77" i="25"/>
  <c r="S77" i="25"/>
  <c r="T77" i="25"/>
  <c r="U77" i="25"/>
  <c r="AD77" i="25"/>
  <c r="AE77" i="25" s="1"/>
  <c r="AF77" i="25" s="1"/>
  <c r="Z144" i="25"/>
  <c r="Y144" i="25"/>
  <c r="X144" i="25"/>
  <c r="W144" i="25"/>
  <c r="R144" i="25"/>
  <c r="Q144" i="25"/>
  <c r="P144" i="25"/>
  <c r="O144" i="25"/>
  <c r="N144" i="25"/>
  <c r="J144" i="25"/>
  <c r="I144" i="25"/>
  <c r="H144" i="25"/>
  <c r="G144" i="25"/>
  <c r="F144" i="25"/>
  <c r="E144" i="25"/>
  <c r="D144" i="25"/>
  <c r="C144" i="25"/>
  <c r="U142" i="25"/>
  <c r="T142" i="25"/>
  <c r="S142" i="25"/>
  <c r="M142" i="25"/>
  <c r="L142" i="25"/>
  <c r="K142" i="25"/>
  <c r="AD132" i="25"/>
  <c r="AE132" i="25" s="1"/>
  <c r="S132" i="25"/>
  <c r="K132" i="25"/>
  <c r="AD126" i="25"/>
  <c r="AE126" i="25" s="1"/>
  <c r="AF126" i="25" s="1"/>
  <c r="U126" i="25"/>
  <c r="T126" i="25"/>
  <c r="S126" i="25"/>
  <c r="M126" i="25"/>
  <c r="L126" i="25"/>
  <c r="K126" i="25"/>
  <c r="W117" i="25"/>
  <c r="R117" i="25"/>
  <c r="Q117" i="25"/>
  <c r="P117" i="25"/>
  <c r="O117" i="25"/>
  <c r="N117" i="25"/>
  <c r="J117" i="25"/>
  <c r="I117" i="25"/>
  <c r="H117" i="25"/>
  <c r="G117" i="25"/>
  <c r="F117" i="25"/>
  <c r="E117" i="25"/>
  <c r="D117" i="25"/>
  <c r="C117" i="25"/>
  <c r="AD114" i="25"/>
  <c r="AE114" i="25" s="1"/>
  <c r="AF114" i="25" s="1"/>
  <c r="U114" i="25"/>
  <c r="T114" i="25"/>
  <c r="S114" i="25"/>
  <c r="M114" i="25"/>
  <c r="L114" i="25"/>
  <c r="K114" i="25"/>
  <c r="Z102" i="25"/>
  <c r="Y102" i="25"/>
  <c r="X102" i="25"/>
  <c r="W102" i="25"/>
  <c r="R102" i="25"/>
  <c r="Q102" i="25"/>
  <c r="P102" i="25"/>
  <c r="O102" i="25"/>
  <c r="N102" i="25"/>
  <c r="J102" i="25"/>
  <c r="I102" i="25"/>
  <c r="H102" i="25"/>
  <c r="G102" i="25"/>
  <c r="F102" i="25"/>
  <c r="E102" i="25"/>
  <c r="D102" i="25"/>
  <c r="C102" i="25"/>
  <c r="AD100" i="25"/>
  <c r="AE100" i="25" s="1"/>
  <c r="AF100" i="25" s="1"/>
  <c r="U100" i="25"/>
  <c r="T100" i="25"/>
  <c r="S100" i="25"/>
  <c r="M100" i="25"/>
  <c r="L100" i="25"/>
  <c r="K100" i="25"/>
  <c r="AD99" i="25"/>
  <c r="AE99" i="25" s="1"/>
  <c r="AF99" i="25" s="1"/>
  <c r="U99" i="25"/>
  <c r="T99" i="25"/>
  <c r="S99" i="25"/>
  <c r="M99" i="25"/>
  <c r="L99" i="25"/>
  <c r="K99" i="25"/>
  <c r="AD98" i="25"/>
  <c r="AE98" i="25" s="1"/>
  <c r="AF98" i="25" s="1"/>
  <c r="U98" i="25"/>
  <c r="T98" i="25"/>
  <c r="S98" i="25"/>
  <c r="M98" i="25"/>
  <c r="L98" i="25"/>
  <c r="K98" i="25"/>
  <c r="AD97" i="25"/>
  <c r="AE97" i="25" s="1"/>
  <c r="AF97" i="25" s="1"/>
  <c r="U97" i="25"/>
  <c r="T97" i="25"/>
  <c r="S97" i="25"/>
  <c r="M97" i="25"/>
  <c r="L97" i="25"/>
  <c r="K97" i="25"/>
  <c r="AD96" i="25"/>
  <c r="AE96" i="25" s="1"/>
  <c r="AF96" i="25" s="1"/>
  <c r="U96" i="25"/>
  <c r="T96" i="25"/>
  <c r="S96" i="25"/>
  <c r="M96" i="25"/>
  <c r="L96" i="25"/>
  <c r="K96" i="25"/>
  <c r="AD95" i="25"/>
  <c r="AE95" i="25" s="1"/>
  <c r="AF95" i="25" s="1"/>
  <c r="U95" i="25"/>
  <c r="T95" i="25"/>
  <c r="S95" i="25"/>
  <c r="M95" i="25"/>
  <c r="L95" i="25"/>
  <c r="K95" i="25"/>
  <c r="AD94" i="25"/>
  <c r="AE94" i="25" s="1"/>
  <c r="AF94" i="25" s="1"/>
  <c r="U94" i="25"/>
  <c r="T94" i="25"/>
  <c r="S94" i="25"/>
  <c r="M94" i="25"/>
  <c r="L94" i="25"/>
  <c r="K94" i="25"/>
  <c r="AD93" i="25"/>
  <c r="AE93" i="25" s="1"/>
  <c r="AF93" i="25" s="1"/>
  <c r="U93" i="25"/>
  <c r="T93" i="25"/>
  <c r="S93" i="25"/>
  <c r="M93" i="25"/>
  <c r="L93" i="25"/>
  <c r="K93" i="25"/>
  <c r="AD92" i="25"/>
  <c r="AE92" i="25" s="1"/>
  <c r="AF92" i="25" s="1"/>
  <c r="U92" i="25"/>
  <c r="T92" i="25"/>
  <c r="S92" i="25"/>
  <c r="M92" i="25"/>
  <c r="L92" i="25"/>
  <c r="K92" i="25"/>
  <c r="AD91" i="25"/>
  <c r="AE91" i="25" s="1"/>
  <c r="AF91" i="25" s="1"/>
  <c r="U91" i="25"/>
  <c r="T91" i="25"/>
  <c r="S91" i="25"/>
  <c r="M91" i="25"/>
  <c r="L91" i="25"/>
  <c r="K91" i="25"/>
  <c r="AD90" i="25"/>
  <c r="AE90" i="25" s="1"/>
  <c r="AF90" i="25" s="1"/>
  <c r="U90" i="25"/>
  <c r="T90" i="25"/>
  <c r="S90" i="25"/>
  <c r="M90" i="25"/>
  <c r="L90" i="25"/>
  <c r="K90" i="25"/>
  <c r="AD89" i="25"/>
  <c r="AE89" i="25" s="1"/>
  <c r="AF89" i="25" s="1"/>
  <c r="U89" i="25"/>
  <c r="T89" i="25"/>
  <c r="S89" i="25"/>
  <c r="M89" i="25"/>
  <c r="L89" i="25"/>
  <c r="K89" i="25"/>
  <c r="AD88" i="25"/>
  <c r="AE88" i="25" s="1"/>
  <c r="AF88" i="25" s="1"/>
  <c r="U88" i="25"/>
  <c r="T88" i="25"/>
  <c r="S88" i="25"/>
  <c r="M88" i="25"/>
  <c r="L88" i="25"/>
  <c r="K88" i="25"/>
  <c r="AD87" i="25"/>
  <c r="AE87" i="25" s="1"/>
  <c r="AF87" i="25" s="1"/>
  <c r="U87" i="25"/>
  <c r="T87" i="25"/>
  <c r="S87" i="25"/>
  <c r="M87" i="25"/>
  <c r="L87" i="25"/>
  <c r="K87" i="25"/>
  <c r="AD86" i="25"/>
  <c r="AE86" i="25" s="1"/>
  <c r="AF86" i="25" s="1"/>
  <c r="U86" i="25"/>
  <c r="T86" i="25"/>
  <c r="S86" i="25"/>
  <c r="M86" i="25"/>
  <c r="L86" i="25"/>
  <c r="K86" i="25"/>
  <c r="AD85" i="25"/>
  <c r="AE85" i="25" s="1"/>
  <c r="AF85" i="25" s="1"/>
  <c r="U85" i="25"/>
  <c r="T85" i="25"/>
  <c r="S85" i="25"/>
  <c r="M85" i="25"/>
  <c r="L85" i="25"/>
  <c r="K85" i="25"/>
  <c r="AD84" i="25"/>
  <c r="U84" i="25"/>
  <c r="T84" i="25"/>
  <c r="S84" i="25"/>
  <c r="M84" i="25"/>
  <c r="L84" i="25"/>
  <c r="K84" i="25"/>
  <c r="AD83" i="25"/>
  <c r="AE83" i="25" s="1"/>
  <c r="U83" i="25"/>
  <c r="T83" i="25"/>
  <c r="S83" i="25"/>
  <c r="M83" i="25"/>
  <c r="L83" i="25"/>
  <c r="K83" i="25"/>
  <c r="Z81" i="25"/>
  <c r="Y81" i="25"/>
  <c r="X81" i="25"/>
  <c r="AC80" i="29" l="1"/>
  <c r="AC81" i="29" s="1"/>
  <c r="AB60" i="29"/>
  <c r="AD60" i="29" s="1"/>
  <c r="AE60" i="29" s="1"/>
  <c r="AF60" i="29" s="1"/>
  <c r="R135" i="28"/>
  <c r="R147" i="28" s="1"/>
  <c r="Q131" i="28"/>
  <c r="S131" i="28" s="1"/>
  <c r="T83" i="28"/>
  <c r="K83" i="28"/>
  <c r="AD24" i="28"/>
  <c r="AE24" i="28" s="1"/>
  <c r="AF24" i="28" s="1"/>
  <c r="U83" i="28"/>
  <c r="M83" i="28"/>
  <c r="S83" i="28"/>
  <c r="L83" i="28"/>
  <c r="N131" i="28"/>
  <c r="E135" i="28"/>
  <c r="K131" i="28"/>
  <c r="AF112" i="25"/>
  <c r="AF104" i="25" s="1"/>
  <c r="U112" i="25"/>
  <c r="AD62" i="25"/>
  <c r="AE62" i="25" s="1"/>
  <c r="AF62" i="25" s="1"/>
  <c r="U72" i="25"/>
  <c r="L54" i="25"/>
  <c r="N58" i="25"/>
  <c r="N59" i="25" s="1"/>
  <c r="M59" i="25" s="1"/>
  <c r="AF54" i="25"/>
  <c r="AH54" i="25" s="1"/>
  <c r="U54" i="25"/>
  <c r="V79" i="25"/>
  <c r="T54" i="25"/>
  <c r="N104" i="25"/>
  <c r="M104" i="25" s="1"/>
  <c r="U144" i="25"/>
  <c r="L78" i="25"/>
  <c r="T65" i="25"/>
  <c r="M32" i="25"/>
  <c r="W128" i="25"/>
  <c r="V47" i="25"/>
  <c r="L72" i="25"/>
  <c r="T12" i="25"/>
  <c r="L32" i="25"/>
  <c r="T37" i="25"/>
  <c r="U42" i="25"/>
  <c r="M144" i="25"/>
  <c r="K46" i="25"/>
  <c r="F128" i="25"/>
  <c r="M78" i="25"/>
  <c r="AB47" i="25"/>
  <c r="M29" i="25"/>
  <c r="L23" i="25"/>
  <c r="M12" i="25"/>
  <c r="U9" i="25"/>
  <c r="L12" i="25"/>
  <c r="D79" i="25"/>
  <c r="AC24" i="25"/>
  <c r="AC32" i="25" s="1"/>
  <c r="AC38" i="25" s="1"/>
  <c r="V24" i="25"/>
  <c r="E24" i="25"/>
  <c r="W24" i="25"/>
  <c r="M65" i="25"/>
  <c r="S12" i="25"/>
  <c r="T117" i="25"/>
  <c r="I128" i="25"/>
  <c r="G128" i="25"/>
  <c r="T9" i="25"/>
  <c r="M132" i="25"/>
  <c r="B16" i="26"/>
  <c r="U117" i="25"/>
  <c r="L9" i="25"/>
  <c r="T23" i="25"/>
  <c r="AH58" i="25"/>
  <c r="M9" i="25"/>
  <c r="H47" i="25"/>
  <c r="P47" i="25"/>
  <c r="T46" i="25"/>
  <c r="AC47" i="25"/>
  <c r="V38" i="25"/>
  <c r="G47" i="25"/>
  <c r="O47" i="25"/>
  <c r="AC128" i="25"/>
  <c r="S32" i="25"/>
  <c r="J38" i="25"/>
  <c r="R38" i="25"/>
  <c r="AB38" i="25"/>
  <c r="M23" i="25"/>
  <c r="M72" i="25"/>
  <c r="AB128" i="25"/>
  <c r="O128" i="25"/>
  <c r="V128" i="25"/>
  <c r="T112" i="25"/>
  <c r="L112" i="25"/>
  <c r="U23" i="25"/>
  <c r="U132" i="25"/>
  <c r="AF132" i="25"/>
  <c r="L132" i="25"/>
  <c r="L117" i="25"/>
  <c r="K32" i="25"/>
  <c r="K37" i="25"/>
  <c r="E47" i="25"/>
  <c r="W47" i="25"/>
  <c r="U46" i="25"/>
  <c r="J79" i="25"/>
  <c r="R79" i="25"/>
  <c r="K72" i="25"/>
  <c r="Q79" i="25"/>
  <c r="K78" i="25"/>
  <c r="AB23" i="25"/>
  <c r="AB24" i="25" s="1"/>
  <c r="R128" i="25"/>
  <c r="D128" i="25"/>
  <c r="I79" i="25"/>
  <c r="K104" i="25"/>
  <c r="AE104" i="25"/>
  <c r="AD20" i="25"/>
  <c r="AE20" i="25" s="1"/>
  <c r="AF20" i="25" s="1"/>
  <c r="K23" i="25"/>
  <c r="M42" i="25"/>
  <c r="AD104" i="25"/>
  <c r="S117" i="25"/>
  <c r="L42" i="25"/>
  <c r="AC79" i="25"/>
  <c r="T42" i="25"/>
  <c r="D38" i="25"/>
  <c r="M117" i="25"/>
  <c r="J128" i="25"/>
  <c r="Z130" i="25"/>
  <c r="Z134" i="25" s="1"/>
  <c r="Z146" i="25" s="1"/>
  <c r="H128" i="25"/>
  <c r="T144" i="25"/>
  <c r="K144" i="25"/>
  <c r="AB79" i="25"/>
  <c r="X130" i="25"/>
  <c r="X134" i="25" s="1"/>
  <c r="X146" i="25" s="1"/>
  <c r="AD102" i="25"/>
  <c r="S102" i="25"/>
  <c r="K58" i="25"/>
  <c r="S65" i="25"/>
  <c r="D24" i="25"/>
  <c r="C24" i="25"/>
  <c r="I38" i="25"/>
  <c r="Q38" i="25"/>
  <c r="H38" i="25"/>
  <c r="P38" i="25"/>
  <c r="G38" i="25"/>
  <c r="O38" i="25"/>
  <c r="F47" i="25"/>
  <c r="N47" i="25"/>
  <c r="C79" i="25"/>
  <c r="S72" i="25"/>
  <c r="S78" i="25"/>
  <c r="T32" i="25"/>
  <c r="J24" i="25"/>
  <c r="R24" i="25"/>
  <c r="D47" i="25"/>
  <c r="F38" i="25"/>
  <c r="U37" i="25"/>
  <c r="H79" i="25"/>
  <c r="P79" i="25"/>
  <c r="P128" i="25"/>
  <c r="K29" i="25"/>
  <c r="L37" i="25"/>
  <c r="L46" i="25"/>
  <c r="H24" i="25"/>
  <c r="P24" i="25"/>
  <c r="K12" i="25"/>
  <c r="E38" i="25"/>
  <c r="W38" i="25"/>
  <c r="U32" i="25"/>
  <c r="J47" i="25"/>
  <c r="R47" i="25"/>
  <c r="S46" i="25"/>
  <c r="K59" i="25"/>
  <c r="G79" i="25"/>
  <c r="O79" i="25"/>
  <c r="AD117" i="25"/>
  <c r="M102" i="25"/>
  <c r="S104" i="25"/>
  <c r="L144" i="25"/>
  <c r="L29" i="25"/>
  <c r="M37" i="25"/>
  <c r="M46" i="25"/>
  <c r="K65" i="25"/>
  <c r="T72" i="25"/>
  <c r="U12" i="25"/>
  <c r="C38" i="25"/>
  <c r="S37" i="25"/>
  <c r="I47" i="25"/>
  <c r="S42" i="25"/>
  <c r="F79" i="25"/>
  <c r="U65" i="25"/>
  <c r="E79" i="25"/>
  <c r="W79" i="25"/>
  <c r="AF144" i="25"/>
  <c r="K117" i="25"/>
  <c r="T29" i="25"/>
  <c r="L65" i="25"/>
  <c r="F24" i="25"/>
  <c r="N24" i="25"/>
  <c r="K42" i="25"/>
  <c r="K102" i="25"/>
  <c r="C128" i="25"/>
  <c r="K9" i="25"/>
  <c r="AF83" i="25"/>
  <c r="E128" i="25"/>
  <c r="S144" i="25"/>
  <c r="C47" i="25"/>
  <c r="AE84" i="25"/>
  <c r="AF84" i="25" s="1"/>
  <c r="Y130" i="25"/>
  <c r="Y134" i="25" s="1"/>
  <c r="Y146" i="25" s="1"/>
  <c r="Q128" i="25"/>
  <c r="I24" i="25"/>
  <c r="Q24" i="25"/>
  <c r="S9" i="25"/>
  <c r="U29" i="25"/>
  <c r="N38" i="25"/>
  <c r="Q59" i="25"/>
  <c r="S58" i="25"/>
  <c r="U78" i="25"/>
  <c r="T78" i="25"/>
  <c r="G24" i="25"/>
  <c r="O24" i="25"/>
  <c r="L102" i="25"/>
  <c r="U102" i="25"/>
  <c r="T102" i="25"/>
  <c r="Q47" i="25"/>
  <c r="S23" i="25"/>
  <c r="S29" i="25"/>
  <c r="N79" i="25"/>
  <c r="AD144" i="25"/>
  <c r="AE118" i="25"/>
  <c r="AE144" i="25"/>
  <c r="AD172" i="22"/>
  <c r="D132" i="22"/>
  <c r="AB66" i="29" l="1"/>
  <c r="AB73" i="29" s="1"/>
  <c r="AB76" i="29" s="1"/>
  <c r="AB80" i="29" s="1"/>
  <c r="AB81" i="29" s="1"/>
  <c r="AD81" i="29" s="1"/>
  <c r="AE81" i="29" s="1"/>
  <c r="AF81" i="29" s="1"/>
  <c r="AC83" i="29"/>
  <c r="AC131" i="29" s="1"/>
  <c r="AC135" i="29" s="1"/>
  <c r="AC146" i="29" s="1"/>
  <c r="T131" i="28"/>
  <c r="Q135" i="28"/>
  <c r="S135" i="28" s="1"/>
  <c r="U131" i="28"/>
  <c r="L131" i="28"/>
  <c r="N135" i="28"/>
  <c r="M131" i="28"/>
  <c r="K135" i="28"/>
  <c r="K106" i="28" s="1"/>
  <c r="E147" i="28"/>
  <c r="K147" i="28" s="1"/>
  <c r="U104" i="25"/>
  <c r="L104" i="25"/>
  <c r="N128" i="25"/>
  <c r="M128" i="25" s="1"/>
  <c r="T104" i="25"/>
  <c r="L58" i="25"/>
  <c r="M58" i="25"/>
  <c r="T58" i="25"/>
  <c r="L59" i="25"/>
  <c r="U59" i="25"/>
  <c r="U58" i="25"/>
  <c r="S79" i="25"/>
  <c r="U24" i="25"/>
  <c r="S38" i="25"/>
  <c r="R81" i="25"/>
  <c r="R130" i="25" s="1"/>
  <c r="R134" i="25" s="1"/>
  <c r="R146" i="25" s="1"/>
  <c r="L47" i="25"/>
  <c r="U47" i="25"/>
  <c r="V81" i="25"/>
  <c r="V130" i="25" s="1"/>
  <c r="V134" i="25" s="1"/>
  <c r="V146" i="25" s="1"/>
  <c r="P81" i="25"/>
  <c r="P130" i="25" s="1"/>
  <c r="P134" i="25" s="1"/>
  <c r="P146" i="25" s="1"/>
  <c r="J81" i="25"/>
  <c r="J130" i="25" s="1"/>
  <c r="J134" i="25" s="1"/>
  <c r="J146" i="25" s="1"/>
  <c r="C81" i="25"/>
  <c r="C130" i="25" s="1"/>
  <c r="C134" i="25" s="1"/>
  <c r="C146" i="25" s="1"/>
  <c r="AB81" i="25"/>
  <c r="AB130" i="25" s="1"/>
  <c r="AB134" i="25" s="1"/>
  <c r="AB146" i="25" s="1"/>
  <c r="K38" i="25"/>
  <c r="K128" i="25"/>
  <c r="N81" i="25"/>
  <c r="E81" i="25"/>
  <c r="E130" i="25" s="1"/>
  <c r="AC81" i="25"/>
  <c r="AC130" i="25" s="1"/>
  <c r="AC134" i="25" s="1"/>
  <c r="AC146" i="25" s="1"/>
  <c r="K47" i="25"/>
  <c r="I81" i="25"/>
  <c r="I130" i="25" s="1"/>
  <c r="I134" i="25" s="1"/>
  <c r="I146" i="25" s="1"/>
  <c r="F81" i="25"/>
  <c r="F130" i="25" s="1"/>
  <c r="F134" i="25" s="1"/>
  <c r="F146" i="25" s="1"/>
  <c r="K79" i="25"/>
  <c r="AD128" i="25"/>
  <c r="H81" i="25"/>
  <c r="H130" i="25" s="1"/>
  <c r="H134" i="25" s="1"/>
  <c r="H146" i="25" s="1"/>
  <c r="L24" i="25"/>
  <c r="D81" i="25"/>
  <c r="D130" i="25" s="1"/>
  <c r="D134" i="25" s="1"/>
  <c r="D146" i="25" s="1"/>
  <c r="O81" i="25"/>
  <c r="O130" i="25" s="1"/>
  <c r="O134" i="25" s="1"/>
  <c r="O146" i="25" s="1"/>
  <c r="K24" i="25"/>
  <c r="W81" i="25"/>
  <c r="W130" i="25" s="1"/>
  <c r="W134" i="25" s="1"/>
  <c r="W146" i="25" s="1"/>
  <c r="M24" i="25"/>
  <c r="M38" i="25"/>
  <c r="L38" i="25"/>
  <c r="U38" i="25"/>
  <c r="AF118" i="25"/>
  <c r="AF117" i="25" s="1"/>
  <c r="AF128" i="25" s="1"/>
  <c r="AE117" i="25"/>
  <c r="AE128" i="25" s="1"/>
  <c r="T47" i="25"/>
  <c r="S47" i="25"/>
  <c r="T24" i="25"/>
  <c r="S24" i="25"/>
  <c r="M79" i="25"/>
  <c r="L79" i="25"/>
  <c r="U79" i="25"/>
  <c r="T79" i="25"/>
  <c r="Q81" i="25"/>
  <c r="M47" i="25"/>
  <c r="G81" i="25"/>
  <c r="G130" i="25" s="1"/>
  <c r="G134" i="25" s="1"/>
  <c r="G146" i="25" s="1"/>
  <c r="T38" i="25"/>
  <c r="AF102" i="25"/>
  <c r="T59" i="25"/>
  <c r="S59" i="25"/>
  <c r="S128" i="25"/>
  <c r="AE102" i="25"/>
  <c r="AI174" i="22"/>
  <c r="W78" i="22"/>
  <c r="X78" i="22"/>
  <c r="Y78" i="22"/>
  <c r="Z78" i="22"/>
  <c r="AA78" i="22"/>
  <c r="AB78" i="22"/>
  <c r="AC78" i="22"/>
  <c r="AG78" i="22"/>
  <c r="AG79" i="22" s="1"/>
  <c r="W72" i="22"/>
  <c r="X72" i="22"/>
  <c r="Y72" i="22"/>
  <c r="Z72" i="22"/>
  <c r="AA72" i="22"/>
  <c r="AB72" i="22"/>
  <c r="AC72" i="22"/>
  <c r="W65" i="22"/>
  <c r="X65" i="22"/>
  <c r="Y65" i="22"/>
  <c r="Z65" i="22"/>
  <c r="AA65" i="22"/>
  <c r="AC65" i="22"/>
  <c r="W58" i="22"/>
  <c r="W59" i="22" s="1"/>
  <c r="X58" i="22"/>
  <c r="X59" i="22" s="1"/>
  <c r="Y58" i="22"/>
  <c r="Y59" i="22" s="1"/>
  <c r="Z58" i="22"/>
  <c r="Z59" i="22" s="1"/>
  <c r="AA58" i="22"/>
  <c r="AA59" i="22" s="1"/>
  <c r="AB58" i="22"/>
  <c r="AB59" i="22" s="1"/>
  <c r="AC58" i="22"/>
  <c r="AC59" i="22" s="1"/>
  <c r="W46" i="22"/>
  <c r="X46" i="22"/>
  <c r="Y46" i="22"/>
  <c r="Z46" i="22"/>
  <c r="AA46" i="22"/>
  <c r="AB46" i="22"/>
  <c r="AC46" i="22"/>
  <c r="W42" i="22"/>
  <c r="X42" i="22"/>
  <c r="Y42" i="22"/>
  <c r="Z42" i="22"/>
  <c r="AA42" i="22"/>
  <c r="AB42" i="22"/>
  <c r="AC42" i="22"/>
  <c r="W37" i="22"/>
  <c r="X37" i="22"/>
  <c r="Y37" i="22"/>
  <c r="Z37" i="22"/>
  <c r="AA37" i="22"/>
  <c r="AB37" i="22"/>
  <c r="AC37" i="22"/>
  <c r="W29" i="22"/>
  <c r="X29" i="22"/>
  <c r="Y29" i="22"/>
  <c r="Z29" i="22"/>
  <c r="AA29" i="22"/>
  <c r="AB29" i="22"/>
  <c r="AC29" i="22"/>
  <c r="W12" i="22"/>
  <c r="X12" i="22"/>
  <c r="Y12" i="22"/>
  <c r="Z12" i="22"/>
  <c r="AA12" i="22"/>
  <c r="AB12" i="22"/>
  <c r="AC12" i="22"/>
  <c r="W9" i="22"/>
  <c r="X9" i="22"/>
  <c r="Y9" i="22"/>
  <c r="Z9" i="22"/>
  <c r="AA9" i="22"/>
  <c r="AB9" i="22"/>
  <c r="AC9" i="22"/>
  <c r="AC23" i="22"/>
  <c r="AC104" i="22"/>
  <c r="AG104" i="22"/>
  <c r="AB104" i="22"/>
  <c r="P104" i="22"/>
  <c r="Q104" i="22"/>
  <c r="E104" i="22"/>
  <c r="F104" i="22"/>
  <c r="G104" i="22"/>
  <c r="H104" i="22"/>
  <c r="I104" i="22"/>
  <c r="J104" i="22"/>
  <c r="D104" i="22"/>
  <c r="C104" i="22"/>
  <c r="AB83" i="29" l="1"/>
  <c r="AD83" i="29" s="1"/>
  <c r="T135" i="28"/>
  <c r="Q147" i="28"/>
  <c r="S147" i="28" s="1"/>
  <c r="N147" i="28"/>
  <c r="L135" i="28"/>
  <c r="M135" i="28"/>
  <c r="U135" i="28"/>
  <c r="T128" i="25"/>
  <c r="U128" i="25"/>
  <c r="L128" i="25"/>
  <c r="AC47" i="22"/>
  <c r="X79" i="22"/>
  <c r="X24" i="22"/>
  <c r="Z38" i="22"/>
  <c r="X47" i="22"/>
  <c r="Y47" i="22"/>
  <c r="W79" i="22"/>
  <c r="AA24" i="22"/>
  <c r="W47" i="22"/>
  <c r="X38" i="22"/>
  <c r="Y24" i="22"/>
  <c r="Y38" i="22"/>
  <c r="AB47" i="22"/>
  <c r="U81" i="25"/>
  <c r="M81" i="25"/>
  <c r="N130" i="25"/>
  <c r="M130" i="25" s="1"/>
  <c r="L81" i="25"/>
  <c r="K81" i="25"/>
  <c r="E134" i="25"/>
  <c r="K130" i="25"/>
  <c r="Q130" i="25"/>
  <c r="T81" i="25"/>
  <c r="S81" i="25"/>
  <c r="AA79" i="22"/>
  <c r="Z79" i="22"/>
  <c r="Y79" i="22"/>
  <c r="AC24" i="22"/>
  <c r="AA38" i="22"/>
  <c r="Z24" i="22"/>
  <c r="AA47" i="22"/>
  <c r="Z47" i="22"/>
  <c r="AC79" i="22"/>
  <c r="N132" i="22"/>
  <c r="C132" i="22"/>
  <c r="AB131" i="29" l="1"/>
  <c r="AB135" i="29" s="1"/>
  <c r="AB146" i="29" s="1"/>
  <c r="AD131" i="29"/>
  <c r="AD135" i="29" s="1"/>
  <c r="AD146" i="29" s="1"/>
  <c r="AE83" i="29"/>
  <c r="AD39" i="28"/>
  <c r="AE39" i="28" s="1"/>
  <c r="AF39" i="28" s="1"/>
  <c r="T147" i="28"/>
  <c r="L147" i="28"/>
  <c r="U147" i="28"/>
  <c r="M147" i="28"/>
  <c r="AC59" i="28"/>
  <c r="AC60" i="28" s="1"/>
  <c r="AD48" i="28"/>
  <c r="L130" i="25"/>
  <c r="U130" i="25"/>
  <c r="N134" i="25"/>
  <c r="L134" i="25" s="1"/>
  <c r="S130" i="25"/>
  <c r="T130" i="25"/>
  <c r="Q134" i="25"/>
  <c r="AD24" i="25"/>
  <c r="AE24" i="25" s="1"/>
  <c r="AF24" i="25" s="1"/>
  <c r="AH24" i="25" s="1"/>
  <c r="K134" i="25"/>
  <c r="E146" i="25"/>
  <c r="K146" i="25" s="1"/>
  <c r="AF83" i="29" l="1"/>
  <c r="AF131" i="29" s="1"/>
  <c r="AF135" i="29" s="1"/>
  <c r="AF146" i="29" s="1"/>
  <c r="AE131" i="29"/>
  <c r="AE135" i="29" s="1"/>
  <c r="AE146" i="29" s="1"/>
  <c r="AE48" i="28"/>
  <c r="AF48" i="28" s="1"/>
  <c r="AB59" i="28"/>
  <c r="AB60" i="28" s="1"/>
  <c r="U134" i="25"/>
  <c r="N146" i="25"/>
  <c r="U146" i="25" s="1"/>
  <c r="M134" i="25"/>
  <c r="Q146" i="25"/>
  <c r="T134" i="25"/>
  <c r="S134" i="25"/>
  <c r="AD60" i="28" l="1"/>
  <c r="AE60" i="28" s="1"/>
  <c r="AF60" i="28" s="1"/>
  <c r="M146" i="25"/>
  <c r="L146" i="25"/>
  <c r="AC76" i="28"/>
  <c r="AC81" i="28" s="1"/>
  <c r="AB76" i="28"/>
  <c r="AB81" i="28" s="1"/>
  <c r="S146" i="25"/>
  <c r="T146" i="25"/>
  <c r="AD38" i="25"/>
  <c r="AE38" i="25" s="1"/>
  <c r="AF38" i="25" s="1"/>
  <c r="AH38" i="25" s="1"/>
  <c r="AD81" i="28" l="1"/>
  <c r="AB83" i="28"/>
  <c r="AB131" i="28" s="1"/>
  <c r="AB135" i="28" s="1"/>
  <c r="AB147" i="28" s="1"/>
  <c r="AD47" i="25"/>
  <c r="AE47" i="25" s="1"/>
  <c r="AF47" i="25" s="1"/>
  <c r="AH47" i="25" s="1"/>
  <c r="AC83" i="28" l="1"/>
  <c r="AC131" i="28" s="1"/>
  <c r="AC135" i="28" s="1"/>
  <c r="AC147" i="28" s="1"/>
  <c r="AE81" i="28"/>
  <c r="AF81" i="28" s="1"/>
  <c r="AD59" i="25"/>
  <c r="AE59" i="25" s="1"/>
  <c r="AF59" i="25" s="1"/>
  <c r="AH59" i="25" s="1"/>
  <c r="AD83" i="28" l="1"/>
  <c r="AE83" i="28" s="1"/>
  <c r="AF83" i="28" s="1"/>
  <c r="AF131" i="28" s="1"/>
  <c r="AF135" i="28" s="1"/>
  <c r="AF147" i="28" s="1"/>
  <c r="AD79" i="25"/>
  <c r="AE79" i="25" s="1"/>
  <c r="AF79" i="25" s="1"/>
  <c r="AH79" i="25" s="1"/>
  <c r="AD131" i="28" l="1"/>
  <c r="AD135" i="28" s="1"/>
  <c r="AD147" i="28" s="1"/>
  <c r="AE131" i="28"/>
  <c r="AE135" i="28" s="1"/>
  <c r="AE147" i="28" s="1"/>
  <c r="AD81" i="25"/>
  <c r="AD130" i="25" l="1"/>
  <c r="AD134" i="25" s="1"/>
  <c r="AD146" i="25" s="1"/>
  <c r="AE81" i="25"/>
  <c r="AE130" i="25" l="1"/>
  <c r="AE134" i="25" s="1"/>
  <c r="AE146" i="25" s="1"/>
  <c r="AF81" i="25"/>
  <c r="AH81" i="25" s="1"/>
  <c r="AF130" i="25" l="1"/>
  <c r="AF134" i="25" s="1"/>
  <c r="AF146" i="25" s="1"/>
  <c r="AC156" i="22" l="1"/>
  <c r="AB62" i="22" l="1"/>
  <c r="AB65" i="22" s="1"/>
  <c r="AB79" i="22" s="1"/>
  <c r="AB20" i="22"/>
  <c r="E217" i="24" l="1"/>
  <c r="D217" i="24"/>
  <c r="C217" i="24"/>
  <c r="E208" i="24"/>
  <c r="D208" i="24"/>
  <c r="C208" i="24"/>
  <c r="E203" i="24"/>
  <c r="D203" i="24"/>
  <c r="C203" i="24"/>
  <c r="E189" i="24"/>
  <c r="D189" i="24"/>
  <c r="C189" i="24"/>
  <c r="E177" i="24"/>
  <c r="D177" i="24"/>
  <c r="C177" i="24"/>
  <c r="E166" i="24"/>
  <c r="D166" i="24"/>
  <c r="C166" i="24"/>
  <c r="E162" i="24"/>
  <c r="D162" i="24"/>
  <c r="C162" i="24"/>
  <c r="E157" i="24"/>
  <c r="D157" i="24"/>
  <c r="C157" i="24"/>
  <c r="E155" i="24"/>
  <c r="D155" i="24"/>
  <c r="C155" i="24"/>
  <c r="E151" i="24"/>
  <c r="D151" i="24"/>
  <c r="C151" i="24"/>
  <c r="E144" i="24"/>
  <c r="D144" i="24"/>
  <c r="C144" i="24"/>
  <c r="E138" i="24"/>
  <c r="D138" i="24"/>
  <c r="C138" i="24"/>
  <c r="E129" i="24"/>
  <c r="D129" i="24"/>
  <c r="C129" i="24"/>
  <c r="E121" i="24"/>
  <c r="D121" i="24"/>
  <c r="C121" i="24"/>
  <c r="E112" i="24"/>
  <c r="D112" i="24"/>
  <c r="C112" i="24"/>
  <c r="E104" i="24"/>
  <c r="D104" i="24"/>
  <c r="C104" i="24"/>
  <c r="E102" i="24"/>
  <c r="D102" i="24"/>
  <c r="C102" i="24"/>
  <c r="E95" i="24"/>
  <c r="D95" i="24"/>
  <c r="C95" i="24"/>
  <c r="E82" i="24"/>
  <c r="D82" i="24"/>
  <c r="C82" i="24"/>
  <c r="E70" i="24"/>
  <c r="D70" i="24"/>
  <c r="C70" i="24"/>
  <c r="E67" i="24"/>
  <c r="D67" i="24"/>
  <c r="C67" i="24"/>
  <c r="E55" i="24"/>
  <c r="D55" i="24"/>
  <c r="C55" i="24"/>
  <c r="E49" i="24"/>
  <c r="D49" i="24"/>
  <c r="C49" i="24"/>
  <c r="E46" i="24"/>
  <c r="D46" i="24"/>
  <c r="C46" i="24"/>
  <c r="E43" i="24"/>
  <c r="D43" i="24"/>
  <c r="C43" i="24"/>
  <c r="E39" i="24"/>
  <c r="D39" i="24"/>
  <c r="C39" i="24"/>
  <c r="E36" i="24"/>
  <c r="D36" i="24"/>
  <c r="C36" i="24"/>
  <c r="E29" i="24"/>
  <c r="D29" i="24"/>
  <c r="C29" i="24"/>
  <c r="E5" i="24"/>
  <c r="D5" i="24"/>
  <c r="C5" i="24"/>
  <c r="C218" i="24" l="1"/>
  <c r="C219" i="24" s="1"/>
  <c r="D218" i="24"/>
  <c r="D219" i="24" s="1"/>
  <c r="E218" i="24"/>
  <c r="E219" i="24" s="1"/>
  <c r="N112" i="22"/>
  <c r="N104" i="22" s="1"/>
  <c r="N54" i="22"/>
  <c r="R54" i="22"/>
  <c r="R112" i="22"/>
  <c r="K63" i="23" l="1"/>
  <c r="K56" i="23"/>
  <c r="K44" i="23"/>
  <c r="K42" i="23"/>
  <c r="K17" i="23"/>
  <c r="P17" i="23" s="1"/>
  <c r="K6" i="23"/>
  <c r="K64" i="23" l="1"/>
  <c r="K67" i="23"/>
  <c r="K65" i="23"/>
  <c r="AB144" i="22" l="1"/>
  <c r="AB117" i="22"/>
  <c r="AB102" i="22"/>
  <c r="AB32" i="22"/>
  <c r="AB38" i="22" s="1"/>
  <c r="AB23" i="22"/>
  <c r="AB24" i="22" s="1"/>
  <c r="K138" i="22"/>
  <c r="L138" i="22"/>
  <c r="M138" i="22"/>
  <c r="S138" i="22"/>
  <c r="T138" i="22"/>
  <c r="U138" i="22"/>
  <c r="AD138" i="22"/>
  <c r="K140" i="22"/>
  <c r="L140" i="22"/>
  <c r="M140" i="22"/>
  <c r="S140" i="22"/>
  <c r="T140" i="22"/>
  <c r="U140" i="22"/>
  <c r="AD140" i="22"/>
  <c r="AE140" i="22" s="1"/>
  <c r="AF140" i="22" s="1"/>
  <c r="K141" i="22"/>
  <c r="L141" i="22"/>
  <c r="M141" i="22"/>
  <c r="S141" i="22"/>
  <c r="T141" i="22"/>
  <c r="U141" i="22"/>
  <c r="AD141" i="22"/>
  <c r="AE141" i="22" s="1"/>
  <c r="AF141" i="22" s="1"/>
  <c r="K119" i="22"/>
  <c r="L119" i="22"/>
  <c r="M119" i="22"/>
  <c r="S119" i="22"/>
  <c r="T119" i="22"/>
  <c r="U119" i="22"/>
  <c r="AD119" i="22"/>
  <c r="AE119" i="22" s="1"/>
  <c r="AF119" i="22" s="1"/>
  <c r="K120" i="22"/>
  <c r="L120" i="22"/>
  <c r="M120" i="22"/>
  <c r="S120" i="22"/>
  <c r="T120" i="22"/>
  <c r="U120" i="22"/>
  <c r="AD120" i="22"/>
  <c r="AE120" i="22" s="1"/>
  <c r="AF120" i="22" s="1"/>
  <c r="K121" i="22"/>
  <c r="L121" i="22"/>
  <c r="M121" i="22"/>
  <c r="S121" i="22"/>
  <c r="T121" i="22"/>
  <c r="U121" i="22"/>
  <c r="AD121" i="22"/>
  <c r="AE121" i="22" s="1"/>
  <c r="AF121" i="22" s="1"/>
  <c r="K122" i="22"/>
  <c r="L122" i="22"/>
  <c r="M122" i="22"/>
  <c r="S122" i="22"/>
  <c r="T122" i="22"/>
  <c r="U122" i="22"/>
  <c r="AD122" i="22"/>
  <c r="AE122" i="22" s="1"/>
  <c r="AF122" i="22" s="1"/>
  <c r="K123" i="22"/>
  <c r="L123" i="22"/>
  <c r="M123" i="22"/>
  <c r="S123" i="22"/>
  <c r="T123" i="22"/>
  <c r="U123" i="22"/>
  <c r="AD123" i="22"/>
  <c r="AE123" i="22" s="1"/>
  <c r="AF123" i="22" s="1"/>
  <c r="K124" i="22"/>
  <c r="L124" i="22"/>
  <c r="M124" i="22"/>
  <c r="S124" i="22"/>
  <c r="T124" i="22"/>
  <c r="U124" i="22"/>
  <c r="AD124" i="22"/>
  <c r="AE124" i="22" s="1"/>
  <c r="AF124" i="22" s="1"/>
  <c r="K125" i="22"/>
  <c r="L125" i="22"/>
  <c r="M125" i="22"/>
  <c r="S125" i="22"/>
  <c r="T125" i="22"/>
  <c r="U125" i="22"/>
  <c r="AD125" i="22"/>
  <c r="AE125" i="22" s="1"/>
  <c r="AF125" i="22" s="1"/>
  <c r="AD118" i="22"/>
  <c r="U118" i="22"/>
  <c r="T118" i="22"/>
  <c r="S118" i="22"/>
  <c r="M118" i="22"/>
  <c r="L118" i="22"/>
  <c r="K118" i="22"/>
  <c r="K106" i="22"/>
  <c r="L106" i="22"/>
  <c r="M106" i="22"/>
  <c r="S106" i="22"/>
  <c r="T106" i="22"/>
  <c r="U106" i="22"/>
  <c r="AD106" i="22"/>
  <c r="AE106" i="22" s="1"/>
  <c r="AF106" i="22" s="1"/>
  <c r="K107" i="22"/>
  <c r="L107" i="22"/>
  <c r="M107" i="22"/>
  <c r="S107" i="22"/>
  <c r="T107" i="22"/>
  <c r="U107" i="22"/>
  <c r="AD107" i="22"/>
  <c r="AE107" i="22" s="1"/>
  <c r="AF107" i="22" s="1"/>
  <c r="K108" i="22"/>
  <c r="L108" i="22"/>
  <c r="M108" i="22"/>
  <c r="S108" i="22"/>
  <c r="T108" i="22"/>
  <c r="U108" i="22"/>
  <c r="AD108" i="22"/>
  <c r="AE108" i="22" s="1"/>
  <c r="AF108" i="22" s="1"/>
  <c r="K109" i="22"/>
  <c r="L109" i="22"/>
  <c r="M109" i="22"/>
  <c r="S109" i="22"/>
  <c r="T109" i="22"/>
  <c r="U109" i="22"/>
  <c r="AD109" i="22"/>
  <c r="AE109" i="22" s="1"/>
  <c r="AF109" i="22" s="1"/>
  <c r="K110" i="22"/>
  <c r="L110" i="22"/>
  <c r="M110" i="22"/>
  <c r="S110" i="22"/>
  <c r="T110" i="22"/>
  <c r="U110" i="22"/>
  <c r="AD110" i="22"/>
  <c r="AE110" i="22" s="1"/>
  <c r="K111" i="22"/>
  <c r="L111" i="22"/>
  <c r="M111" i="22"/>
  <c r="S111" i="22"/>
  <c r="T111" i="22"/>
  <c r="U111" i="22"/>
  <c r="AD111" i="22"/>
  <c r="AE111" i="22" s="1"/>
  <c r="AF111" i="22" s="1"/>
  <c r="K112" i="22"/>
  <c r="L112" i="22"/>
  <c r="M112" i="22"/>
  <c r="S112" i="22"/>
  <c r="T112" i="22"/>
  <c r="U112" i="22"/>
  <c r="AD112" i="22"/>
  <c r="AE112" i="22" s="1"/>
  <c r="AF112" i="22" s="1"/>
  <c r="K113" i="22"/>
  <c r="L113" i="22"/>
  <c r="M113" i="22"/>
  <c r="S113" i="22"/>
  <c r="T113" i="22"/>
  <c r="U113" i="22"/>
  <c r="AD113" i="22"/>
  <c r="AE113" i="22" s="1"/>
  <c r="AF113" i="22" s="1"/>
  <c r="AD105" i="22"/>
  <c r="U105" i="22"/>
  <c r="T105" i="22"/>
  <c r="S105" i="22"/>
  <c r="M105" i="22"/>
  <c r="L105" i="22"/>
  <c r="K105" i="22"/>
  <c r="V78" i="22"/>
  <c r="N78" i="22"/>
  <c r="O78" i="22"/>
  <c r="P78" i="22"/>
  <c r="Q78" i="22"/>
  <c r="R78" i="22"/>
  <c r="C78" i="22"/>
  <c r="D78" i="22"/>
  <c r="E78" i="22"/>
  <c r="F78" i="22"/>
  <c r="G78" i="22"/>
  <c r="H78" i="22"/>
  <c r="I78" i="22"/>
  <c r="J78" i="22"/>
  <c r="V72" i="22"/>
  <c r="N72" i="22"/>
  <c r="O72" i="22"/>
  <c r="P72" i="22"/>
  <c r="Q72" i="22"/>
  <c r="R72" i="22"/>
  <c r="C72" i="22"/>
  <c r="D72" i="22"/>
  <c r="E72" i="22"/>
  <c r="F72" i="22"/>
  <c r="G72" i="22"/>
  <c r="H72" i="22"/>
  <c r="I72" i="22"/>
  <c r="J72" i="22"/>
  <c r="V65" i="22"/>
  <c r="N65" i="22"/>
  <c r="O65" i="22"/>
  <c r="P65" i="22"/>
  <c r="Q65" i="22"/>
  <c r="R65" i="22"/>
  <c r="C65" i="22"/>
  <c r="D65" i="22"/>
  <c r="E65" i="22"/>
  <c r="F65" i="22"/>
  <c r="G65" i="22"/>
  <c r="H65" i="22"/>
  <c r="I65" i="22"/>
  <c r="J65" i="22"/>
  <c r="V58" i="22"/>
  <c r="V59" i="22" s="1"/>
  <c r="N58" i="22"/>
  <c r="O58" i="22"/>
  <c r="O59" i="22" s="1"/>
  <c r="P58" i="22"/>
  <c r="P59" i="22" s="1"/>
  <c r="Q58" i="22"/>
  <c r="Q59" i="22" s="1"/>
  <c r="R58" i="22"/>
  <c r="R59" i="22" s="1"/>
  <c r="C58" i="22"/>
  <c r="C59" i="22" s="1"/>
  <c r="D58" i="22"/>
  <c r="D59" i="22" s="1"/>
  <c r="E58" i="22"/>
  <c r="E59" i="22" s="1"/>
  <c r="F58" i="22"/>
  <c r="F59" i="22" s="1"/>
  <c r="G58" i="22"/>
  <c r="G59" i="22" s="1"/>
  <c r="H58" i="22"/>
  <c r="H59" i="22" s="1"/>
  <c r="I58" i="22"/>
  <c r="I59" i="22" s="1"/>
  <c r="J58" i="22"/>
  <c r="J59" i="22" s="1"/>
  <c r="V46" i="22"/>
  <c r="N46" i="22"/>
  <c r="O46" i="22"/>
  <c r="P46" i="22"/>
  <c r="Q46" i="22"/>
  <c r="R46" i="22"/>
  <c r="C46" i="22"/>
  <c r="D46" i="22"/>
  <c r="E46" i="22"/>
  <c r="F46" i="22"/>
  <c r="G46" i="22"/>
  <c r="H46" i="22"/>
  <c r="I46" i="22"/>
  <c r="J46" i="22"/>
  <c r="V42" i="22"/>
  <c r="N42" i="22"/>
  <c r="O42" i="22"/>
  <c r="P42" i="22"/>
  <c r="Q42" i="22"/>
  <c r="R42" i="22"/>
  <c r="C42" i="22"/>
  <c r="D42" i="22"/>
  <c r="E42" i="22"/>
  <c r="F42" i="22"/>
  <c r="G42" i="22"/>
  <c r="H42" i="22"/>
  <c r="I42" i="22"/>
  <c r="J42" i="22"/>
  <c r="V37" i="22"/>
  <c r="N37" i="22"/>
  <c r="O37" i="22"/>
  <c r="P37" i="22"/>
  <c r="Q37" i="22"/>
  <c r="R37" i="22"/>
  <c r="C37" i="22"/>
  <c r="D37" i="22"/>
  <c r="E37" i="22"/>
  <c r="F37" i="22"/>
  <c r="G37" i="22"/>
  <c r="H37" i="22"/>
  <c r="I37" i="22"/>
  <c r="J37" i="22"/>
  <c r="V32" i="22"/>
  <c r="W32" i="22"/>
  <c r="W38" i="22" s="1"/>
  <c r="N32" i="22"/>
  <c r="O32" i="22"/>
  <c r="P32" i="22"/>
  <c r="Q32" i="22"/>
  <c r="R32" i="22"/>
  <c r="C32" i="22"/>
  <c r="D32" i="22"/>
  <c r="E32" i="22"/>
  <c r="F32" i="22"/>
  <c r="G32" i="22"/>
  <c r="H32" i="22"/>
  <c r="I32" i="22"/>
  <c r="J32" i="22"/>
  <c r="V29" i="22"/>
  <c r="N29" i="22"/>
  <c r="O29" i="22"/>
  <c r="P29" i="22"/>
  <c r="Q29" i="22"/>
  <c r="R29" i="22"/>
  <c r="C29" i="22"/>
  <c r="D29" i="22"/>
  <c r="E29" i="22"/>
  <c r="F29" i="22"/>
  <c r="G29" i="22"/>
  <c r="H29" i="22"/>
  <c r="I29" i="22"/>
  <c r="J29" i="22"/>
  <c r="V23" i="22"/>
  <c r="W23" i="22"/>
  <c r="W24" i="22" s="1"/>
  <c r="N23" i="22"/>
  <c r="O23" i="22"/>
  <c r="P23" i="22"/>
  <c r="Q23" i="22"/>
  <c r="R23" i="22"/>
  <c r="C23" i="22"/>
  <c r="D23" i="22"/>
  <c r="E23" i="22"/>
  <c r="F23" i="22"/>
  <c r="G23" i="22"/>
  <c r="H23" i="22"/>
  <c r="I23" i="22"/>
  <c r="J23" i="22"/>
  <c r="V12" i="22"/>
  <c r="N12" i="22"/>
  <c r="O12" i="22"/>
  <c r="P12" i="22"/>
  <c r="Q12" i="22"/>
  <c r="R12" i="22"/>
  <c r="C12" i="22"/>
  <c r="D12" i="22"/>
  <c r="E12" i="22"/>
  <c r="F12" i="22"/>
  <c r="G12" i="22"/>
  <c r="H12" i="22"/>
  <c r="I12" i="22"/>
  <c r="J12" i="22"/>
  <c r="V9" i="22"/>
  <c r="N9" i="22"/>
  <c r="O9" i="22"/>
  <c r="P9" i="22"/>
  <c r="Q9" i="22"/>
  <c r="R9" i="22"/>
  <c r="C9" i="22"/>
  <c r="D9" i="22"/>
  <c r="E9" i="22"/>
  <c r="F9" i="22"/>
  <c r="G9" i="22"/>
  <c r="H9" i="22"/>
  <c r="I9" i="22"/>
  <c r="J9" i="22"/>
  <c r="K5" i="22"/>
  <c r="L5" i="22"/>
  <c r="M5" i="22"/>
  <c r="S5" i="22"/>
  <c r="T5" i="22"/>
  <c r="U5" i="22"/>
  <c r="AD5" i="22"/>
  <c r="K6" i="22"/>
  <c r="L6" i="22"/>
  <c r="M6" i="22"/>
  <c r="S6" i="22"/>
  <c r="T6" i="22"/>
  <c r="U6" i="22"/>
  <c r="AD6" i="22"/>
  <c r="AE6" i="22" s="1"/>
  <c r="AF6" i="22" s="1"/>
  <c r="K7" i="22"/>
  <c r="L7" i="22"/>
  <c r="M7" i="22"/>
  <c r="S7" i="22"/>
  <c r="T7" i="22"/>
  <c r="U7" i="22"/>
  <c r="AD7" i="22"/>
  <c r="AE7" i="22" s="1"/>
  <c r="AF7" i="22" s="1"/>
  <c r="K8" i="22"/>
  <c r="L8" i="22"/>
  <c r="M8" i="22"/>
  <c r="S8" i="22"/>
  <c r="T8" i="22"/>
  <c r="U8" i="22"/>
  <c r="AD8" i="22"/>
  <c r="AE8" i="22" s="1"/>
  <c r="AF8" i="22" s="1"/>
  <c r="K10" i="22"/>
  <c r="L10" i="22"/>
  <c r="M10" i="22"/>
  <c r="S10" i="22"/>
  <c r="T10" i="22"/>
  <c r="U10" i="22"/>
  <c r="AD10" i="22"/>
  <c r="K11" i="22"/>
  <c r="L11" i="22"/>
  <c r="M11" i="22"/>
  <c r="S11" i="22"/>
  <c r="T11" i="22"/>
  <c r="U11" i="22"/>
  <c r="AD11" i="22"/>
  <c r="AE11" i="22" s="1"/>
  <c r="AF11" i="22" s="1"/>
  <c r="K13" i="22"/>
  <c r="L13" i="22"/>
  <c r="M13" i="22"/>
  <c r="S13" i="22"/>
  <c r="T13" i="22"/>
  <c r="U13" i="22"/>
  <c r="AD13" i="22"/>
  <c r="K14" i="22"/>
  <c r="L14" i="22"/>
  <c r="M14" i="22"/>
  <c r="S14" i="22"/>
  <c r="T14" i="22"/>
  <c r="U14" i="22"/>
  <c r="AD14" i="22"/>
  <c r="AE14" i="22" s="1"/>
  <c r="AF14" i="22" s="1"/>
  <c r="K15" i="22"/>
  <c r="L15" i="22"/>
  <c r="M15" i="22"/>
  <c r="S15" i="22"/>
  <c r="T15" i="22"/>
  <c r="U15" i="22"/>
  <c r="AD15" i="22"/>
  <c r="AE15" i="22" s="1"/>
  <c r="AF15" i="22" s="1"/>
  <c r="K16" i="22"/>
  <c r="L16" i="22"/>
  <c r="M16" i="22"/>
  <c r="S16" i="22"/>
  <c r="T16" i="22"/>
  <c r="U16" i="22"/>
  <c r="AD16" i="22"/>
  <c r="AE16" i="22" s="1"/>
  <c r="AF16" i="22" s="1"/>
  <c r="K17" i="22"/>
  <c r="L17" i="22"/>
  <c r="M17" i="22"/>
  <c r="S17" i="22"/>
  <c r="T17" i="22"/>
  <c r="U17" i="22"/>
  <c r="AD17" i="22"/>
  <c r="AE17" i="22" s="1"/>
  <c r="AF17" i="22" s="1"/>
  <c r="K18" i="22"/>
  <c r="L18" i="22"/>
  <c r="M18" i="22"/>
  <c r="S18" i="22"/>
  <c r="T18" i="22"/>
  <c r="U18" i="22"/>
  <c r="AD18" i="22"/>
  <c r="AE18" i="22" s="1"/>
  <c r="AF18" i="22" s="1"/>
  <c r="K19" i="22"/>
  <c r="L19" i="22"/>
  <c r="M19" i="22"/>
  <c r="S19" i="22"/>
  <c r="T19" i="22"/>
  <c r="U19" i="22"/>
  <c r="AD19" i="22"/>
  <c r="AE19" i="22" s="1"/>
  <c r="AF19" i="22" s="1"/>
  <c r="K20" i="22"/>
  <c r="L20" i="22"/>
  <c r="M20" i="22"/>
  <c r="S20" i="22"/>
  <c r="T20" i="22"/>
  <c r="U20" i="22"/>
  <c r="AD20" i="22"/>
  <c r="AE20" i="22" s="1"/>
  <c r="AF20" i="22" s="1"/>
  <c r="K21" i="22"/>
  <c r="L21" i="22"/>
  <c r="M21" i="22"/>
  <c r="S21" i="22"/>
  <c r="T21" i="22"/>
  <c r="U21" i="22"/>
  <c r="AD21" i="22"/>
  <c r="AE21" i="22" s="1"/>
  <c r="AF21" i="22" s="1"/>
  <c r="K22" i="22"/>
  <c r="L22" i="22"/>
  <c r="M22" i="22"/>
  <c r="S22" i="22"/>
  <c r="T22" i="22"/>
  <c r="U22" i="22"/>
  <c r="AD22" i="22"/>
  <c r="AE22" i="22" s="1"/>
  <c r="AF22" i="22" s="1"/>
  <c r="K25" i="22"/>
  <c r="L25" i="22"/>
  <c r="M25" i="22"/>
  <c r="S25" i="22"/>
  <c r="T25" i="22"/>
  <c r="U25" i="22"/>
  <c r="AD25" i="22"/>
  <c r="K26" i="22"/>
  <c r="L26" i="22"/>
  <c r="M26" i="22"/>
  <c r="S26" i="22"/>
  <c r="T26" i="22"/>
  <c r="U26" i="22"/>
  <c r="AD26" i="22"/>
  <c r="AE26" i="22" s="1"/>
  <c r="AF26" i="22" s="1"/>
  <c r="K27" i="22"/>
  <c r="L27" i="22"/>
  <c r="M27" i="22"/>
  <c r="S27" i="22"/>
  <c r="T27" i="22"/>
  <c r="U27" i="22"/>
  <c r="AD27" i="22"/>
  <c r="AE27" i="22" s="1"/>
  <c r="AF27" i="22" s="1"/>
  <c r="K28" i="22"/>
  <c r="L28" i="22"/>
  <c r="M28" i="22"/>
  <c r="S28" i="22"/>
  <c r="T28" i="22"/>
  <c r="U28" i="22"/>
  <c r="AD28" i="22"/>
  <c r="AE28" i="22" s="1"/>
  <c r="AF28" i="22" s="1"/>
  <c r="K30" i="22"/>
  <c r="L30" i="22"/>
  <c r="M30" i="22"/>
  <c r="S30" i="22"/>
  <c r="T30" i="22"/>
  <c r="U30" i="22"/>
  <c r="AD30" i="22"/>
  <c r="AE30" i="22" s="1"/>
  <c r="AF30" i="22" s="1"/>
  <c r="K31" i="22"/>
  <c r="L31" i="22"/>
  <c r="M31" i="22"/>
  <c r="S31" i="22"/>
  <c r="T31" i="22"/>
  <c r="U31" i="22"/>
  <c r="AD31" i="22"/>
  <c r="AE31" i="22" s="1"/>
  <c r="AF31" i="22" s="1"/>
  <c r="K33" i="22"/>
  <c r="L33" i="22"/>
  <c r="M33" i="22"/>
  <c r="S33" i="22"/>
  <c r="T33" i="22"/>
  <c r="U33" i="22"/>
  <c r="AD33" i="22"/>
  <c r="K34" i="22"/>
  <c r="L34" i="22"/>
  <c r="M34" i="22"/>
  <c r="S34" i="22"/>
  <c r="T34" i="22"/>
  <c r="U34" i="22"/>
  <c r="AD34" i="22"/>
  <c r="AE34" i="22" s="1"/>
  <c r="AF34" i="22" s="1"/>
  <c r="K35" i="22"/>
  <c r="L35" i="22"/>
  <c r="M35" i="22"/>
  <c r="S35" i="22"/>
  <c r="T35" i="22"/>
  <c r="U35" i="22"/>
  <c r="AD35" i="22"/>
  <c r="AE35" i="22" s="1"/>
  <c r="AF35" i="22" s="1"/>
  <c r="K36" i="22"/>
  <c r="L36" i="22"/>
  <c r="M36" i="22"/>
  <c r="S36" i="22"/>
  <c r="T36" i="22"/>
  <c r="U36" i="22"/>
  <c r="AD36" i="22"/>
  <c r="AE36" i="22" s="1"/>
  <c r="AF36" i="22" s="1"/>
  <c r="K39" i="22"/>
  <c r="L39" i="22"/>
  <c r="M39" i="22"/>
  <c r="S39" i="22"/>
  <c r="T39" i="22"/>
  <c r="U39" i="22"/>
  <c r="AD39" i="22"/>
  <c r="K40" i="22"/>
  <c r="L40" i="22"/>
  <c r="M40" i="22"/>
  <c r="S40" i="22"/>
  <c r="T40" i="22"/>
  <c r="U40" i="22"/>
  <c r="AD40" i="22"/>
  <c r="AE40" i="22" s="1"/>
  <c r="AF40" i="22" s="1"/>
  <c r="K41" i="22"/>
  <c r="L41" i="22"/>
  <c r="M41" i="22"/>
  <c r="S41" i="22"/>
  <c r="T41" i="22"/>
  <c r="U41" i="22"/>
  <c r="AD41" i="22"/>
  <c r="AE41" i="22" s="1"/>
  <c r="AF41" i="22" s="1"/>
  <c r="K43" i="22"/>
  <c r="L43" i="22"/>
  <c r="M43" i="22"/>
  <c r="S43" i="22"/>
  <c r="T43" i="22"/>
  <c r="U43" i="22"/>
  <c r="AD43" i="22"/>
  <c r="K44" i="22"/>
  <c r="L44" i="22"/>
  <c r="M44" i="22"/>
  <c r="S44" i="22"/>
  <c r="T44" i="22"/>
  <c r="U44" i="22"/>
  <c r="AD44" i="22"/>
  <c r="AE44" i="22" s="1"/>
  <c r="AF44" i="22" s="1"/>
  <c r="K45" i="22"/>
  <c r="L45" i="22"/>
  <c r="M45" i="22"/>
  <c r="S45" i="22"/>
  <c r="T45" i="22"/>
  <c r="U45" i="22"/>
  <c r="AD45" i="22"/>
  <c r="AE45" i="22" s="1"/>
  <c r="AF45" i="22" s="1"/>
  <c r="K48" i="22"/>
  <c r="L48" i="22"/>
  <c r="M48" i="22"/>
  <c r="S48" i="22"/>
  <c r="T48" i="22"/>
  <c r="U48" i="22"/>
  <c r="AD48" i="22"/>
  <c r="K49" i="22"/>
  <c r="L49" i="22"/>
  <c r="M49" i="22"/>
  <c r="S49" i="22"/>
  <c r="T49" i="22"/>
  <c r="U49" i="22"/>
  <c r="AD49" i="22"/>
  <c r="AE49" i="22" s="1"/>
  <c r="AF49" i="22" s="1"/>
  <c r="AH49" i="22" s="1"/>
  <c r="K50" i="22"/>
  <c r="L50" i="22"/>
  <c r="M50" i="22"/>
  <c r="S50" i="22"/>
  <c r="T50" i="22"/>
  <c r="U50" i="22"/>
  <c r="AD50" i="22"/>
  <c r="AE50" i="22" s="1"/>
  <c r="AF50" i="22" s="1"/>
  <c r="AH50" i="22" s="1"/>
  <c r="K51" i="22"/>
  <c r="L51" i="22"/>
  <c r="M51" i="22"/>
  <c r="S51" i="22"/>
  <c r="T51" i="22"/>
  <c r="U51" i="22"/>
  <c r="AD51" i="22"/>
  <c r="AE51" i="22" s="1"/>
  <c r="AF51" i="22" s="1"/>
  <c r="AH51" i="22" s="1"/>
  <c r="K52" i="22"/>
  <c r="L52" i="22"/>
  <c r="M52" i="22"/>
  <c r="S52" i="22"/>
  <c r="T52" i="22"/>
  <c r="U52" i="22"/>
  <c r="AD52" i="22"/>
  <c r="AE52" i="22" s="1"/>
  <c r="AF52" i="22" s="1"/>
  <c r="AH52" i="22" s="1"/>
  <c r="K53" i="22"/>
  <c r="L53" i="22"/>
  <c r="M53" i="22"/>
  <c r="S53" i="22"/>
  <c r="T53" i="22"/>
  <c r="U53" i="22"/>
  <c r="AD53" i="22"/>
  <c r="AE53" i="22" s="1"/>
  <c r="AF53" i="22" s="1"/>
  <c r="AH53" i="22" s="1"/>
  <c r="K54" i="22"/>
  <c r="L54" i="22"/>
  <c r="M54" i="22"/>
  <c r="S54" i="22"/>
  <c r="T54" i="22"/>
  <c r="U54" i="22"/>
  <c r="AD54" i="22"/>
  <c r="AE54" i="22" s="1"/>
  <c r="AF54" i="22" s="1"/>
  <c r="AH54" i="22" s="1"/>
  <c r="K55" i="22"/>
  <c r="L55" i="22"/>
  <c r="M55" i="22"/>
  <c r="S55" i="22"/>
  <c r="T55" i="22"/>
  <c r="U55" i="22"/>
  <c r="AD55" i="22"/>
  <c r="AE55" i="22" s="1"/>
  <c r="AF55" i="22" s="1"/>
  <c r="AH55" i="22" s="1"/>
  <c r="K56" i="22"/>
  <c r="L56" i="22"/>
  <c r="M56" i="22"/>
  <c r="S56" i="22"/>
  <c r="T56" i="22"/>
  <c r="U56" i="22"/>
  <c r="AD56" i="22"/>
  <c r="AE56" i="22" s="1"/>
  <c r="AF56" i="22" s="1"/>
  <c r="AH56" i="22" s="1"/>
  <c r="K57" i="22"/>
  <c r="L57" i="22"/>
  <c r="M57" i="22"/>
  <c r="S57" i="22"/>
  <c r="T57" i="22"/>
  <c r="U57" i="22"/>
  <c r="AD57" i="22"/>
  <c r="AE57" i="22" s="1"/>
  <c r="AF57" i="22" s="1"/>
  <c r="AH57" i="22" s="1"/>
  <c r="K60" i="22"/>
  <c r="L60" i="22"/>
  <c r="M60" i="22"/>
  <c r="S60" i="22"/>
  <c r="T60" i="22"/>
  <c r="U60" i="22"/>
  <c r="AD60" i="22"/>
  <c r="K61" i="22"/>
  <c r="L61" i="22"/>
  <c r="M61" i="22"/>
  <c r="S61" i="22"/>
  <c r="T61" i="22"/>
  <c r="U61" i="22"/>
  <c r="AD61" i="22"/>
  <c r="AE61" i="22" s="1"/>
  <c r="AF61" i="22" s="1"/>
  <c r="K62" i="22"/>
  <c r="L62" i="22"/>
  <c r="M62" i="22"/>
  <c r="S62" i="22"/>
  <c r="T62" i="22"/>
  <c r="U62" i="22"/>
  <c r="AD62" i="22"/>
  <c r="AE62" i="22" s="1"/>
  <c r="AF62" i="22" s="1"/>
  <c r="K63" i="22"/>
  <c r="L63" i="22"/>
  <c r="M63" i="22"/>
  <c r="S63" i="22"/>
  <c r="T63" i="22"/>
  <c r="U63" i="22"/>
  <c r="AD63" i="22"/>
  <c r="AE63" i="22" s="1"/>
  <c r="AF63" i="22" s="1"/>
  <c r="K64" i="22"/>
  <c r="L64" i="22"/>
  <c r="M64" i="22"/>
  <c r="S64" i="22"/>
  <c r="T64" i="22"/>
  <c r="U64" i="22"/>
  <c r="AD64" i="22"/>
  <c r="AE64" i="22" s="1"/>
  <c r="AF64" i="22" s="1"/>
  <c r="K66" i="22"/>
  <c r="L66" i="22"/>
  <c r="M66" i="22"/>
  <c r="S66" i="22"/>
  <c r="T66" i="22"/>
  <c r="U66" i="22"/>
  <c r="AD66" i="22"/>
  <c r="K67" i="22"/>
  <c r="L67" i="22"/>
  <c r="M67" i="22"/>
  <c r="S67" i="22"/>
  <c r="T67" i="22"/>
  <c r="U67" i="22"/>
  <c r="AD67" i="22"/>
  <c r="AE67" i="22" s="1"/>
  <c r="AF67" i="22" s="1"/>
  <c r="K68" i="22"/>
  <c r="L68" i="22"/>
  <c r="M68" i="22"/>
  <c r="S68" i="22"/>
  <c r="T68" i="22"/>
  <c r="U68" i="22"/>
  <c r="AD68" i="22"/>
  <c r="AE68" i="22" s="1"/>
  <c r="AF68" i="22" s="1"/>
  <c r="K69" i="22"/>
  <c r="L69" i="22"/>
  <c r="M69" i="22"/>
  <c r="S69" i="22"/>
  <c r="T69" i="22"/>
  <c r="U69" i="22"/>
  <c r="AD69" i="22"/>
  <c r="AE69" i="22" s="1"/>
  <c r="AF69" i="22" s="1"/>
  <c r="K70" i="22"/>
  <c r="L70" i="22"/>
  <c r="M70" i="22"/>
  <c r="S70" i="22"/>
  <c r="T70" i="22"/>
  <c r="U70" i="22"/>
  <c r="AD70" i="22"/>
  <c r="AE70" i="22" s="1"/>
  <c r="AF70" i="22" s="1"/>
  <c r="K71" i="22"/>
  <c r="L71" i="22"/>
  <c r="M71" i="22"/>
  <c r="S71" i="22"/>
  <c r="T71" i="22"/>
  <c r="U71" i="22"/>
  <c r="AD71" i="22"/>
  <c r="AE71" i="22" s="1"/>
  <c r="AF71" i="22" s="1"/>
  <c r="K73" i="22"/>
  <c r="L73" i="22"/>
  <c r="M73" i="22"/>
  <c r="S73" i="22"/>
  <c r="T73" i="22"/>
  <c r="U73" i="22"/>
  <c r="AD73" i="22"/>
  <c r="K74" i="22"/>
  <c r="L74" i="22"/>
  <c r="M74" i="22"/>
  <c r="S74" i="22"/>
  <c r="T74" i="22"/>
  <c r="U74" i="22"/>
  <c r="AD74" i="22"/>
  <c r="AE74" i="22" s="1"/>
  <c r="AF74" i="22" s="1"/>
  <c r="K75" i="22"/>
  <c r="L75" i="22"/>
  <c r="M75" i="22"/>
  <c r="S75" i="22"/>
  <c r="T75" i="22"/>
  <c r="U75" i="22"/>
  <c r="AD75" i="22"/>
  <c r="AE75" i="22" s="1"/>
  <c r="AF75" i="22" s="1"/>
  <c r="K76" i="22"/>
  <c r="L76" i="22"/>
  <c r="M76" i="22"/>
  <c r="S76" i="22"/>
  <c r="T76" i="22"/>
  <c r="U76" i="22"/>
  <c r="AD76" i="22"/>
  <c r="AE76" i="22" s="1"/>
  <c r="AF76" i="22" s="1"/>
  <c r="K77" i="22"/>
  <c r="L77" i="22"/>
  <c r="M77" i="22"/>
  <c r="S77" i="22"/>
  <c r="T77" i="22"/>
  <c r="U77" i="22"/>
  <c r="AD77" i="22"/>
  <c r="AE77" i="22" s="1"/>
  <c r="AF77" i="22" s="1"/>
  <c r="AC144" i="22"/>
  <c r="Z144" i="22"/>
  <c r="Y144" i="22"/>
  <c r="X144" i="22"/>
  <c r="W144" i="22"/>
  <c r="V144" i="22"/>
  <c r="R144" i="22"/>
  <c r="Q144" i="22"/>
  <c r="P144" i="22"/>
  <c r="O144" i="22"/>
  <c r="N144" i="22"/>
  <c r="J144" i="22"/>
  <c r="I144" i="22"/>
  <c r="H144" i="22"/>
  <c r="G144" i="22"/>
  <c r="F144" i="22"/>
  <c r="E144" i="22"/>
  <c r="D144" i="22"/>
  <c r="C144" i="22"/>
  <c r="AD142" i="22"/>
  <c r="AE142" i="22" s="1"/>
  <c r="AF142" i="22" s="1"/>
  <c r="U142" i="22"/>
  <c r="T142" i="22"/>
  <c r="S142" i="22"/>
  <c r="M142" i="22"/>
  <c r="L142" i="22"/>
  <c r="K142" i="22"/>
  <c r="AD132" i="22"/>
  <c r="AE132" i="22" s="1"/>
  <c r="AF132" i="22" s="1"/>
  <c r="U132" i="22"/>
  <c r="T132" i="22"/>
  <c r="S132" i="22"/>
  <c r="M132" i="22"/>
  <c r="L132" i="22"/>
  <c r="K132" i="22"/>
  <c r="Z128" i="22"/>
  <c r="Y128" i="22"/>
  <c r="X128" i="22"/>
  <c r="AD126" i="22"/>
  <c r="AE126" i="22" s="1"/>
  <c r="AF126" i="22" s="1"/>
  <c r="U126" i="22"/>
  <c r="T126" i="22"/>
  <c r="S126" i="22"/>
  <c r="M126" i="22"/>
  <c r="L126" i="22"/>
  <c r="K126" i="22"/>
  <c r="AC117" i="22"/>
  <c r="W117" i="22"/>
  <c r="V117" i="22"/>
  <c r="R117" i="22"/>
  <c r="Q117" i="22"/>
  <c r="P117" i="22"/>
  <c r="O117" i="22"/>
  <c r="N117" i="22"/>
  <c r="J117" i="22"/>
  <c r="I117" i="22"/>
  <c r="H117" i="22"/>
  <c r="G117" i="22"/>
  <c r="F117" i="22"/>
  <c r="E117" i="22"/>
  <c r="D117" i="22"/>
  <c r="C117" i="22"/>
  <c r="AD139" i="22"/>
  <c r="AE139" i="22" s="1"/>
  <c r="AF139" i="22" s="1"/>
  <c r="U139" i="22"/>
  <c r="T139" i="22"/>
  <c r="S139" i="22"/>
  <c r="M139" i="22"/>
  <c r="L139" i="22"/>
  <c r="K139" i="22"/>
  <c r="AD114" i="22"/>
  <c r="AE114" i="22" s="1"/>
  <c r="AF114" i="22" s="1"/>
  <c r="U114" i="22"/>
  <c r="T114" i="22"/>
  <c r="S114" i="22"/>
  <c r="M114" i="22"/>
  <c r="L114" i="22"/>
  <c r="K114" i="22"/>
  <c r="W104" i="22"/>
  <c r="V104" i="22"/>
  <c r="R104" i="22"/>
  <c r="O104" i="22"/>
  <c r="AC102" i="22"/>
  <c r="Z102" i="22"/>
  <c r="Y102" i="22"/>
  <c r="X102" i="22"/>
  <c r="W102" i="22"/>
  <c r="V102" i="22"/>
  <c r="R102" i="22"/>
  <c r="Q102" i="22"/>
  <c r="P102" i="22"/>
  <c r="O102" i="22"/>
  <c r="N102" i="22"/>
  <c r="J102" i="22"/>
  <c r="I102" i="22"/>
  <c r="H102" i="22"/>
  <c r="G102" i="22"/>
  <c r="F102" i="22"/>
  <c r="E102" i="22"/>
  <c r="D102" i="22"/>
  <c r="C102" i="22"/>
  <c r="AD100" i="22"/>
  <c r="AE100" i="22" s="1"/>
  <c r="AF100" i="22" s="1"/>
  <c r="U100" i="22"/>
  <c r="T100" i="22"/>
  <c r="S100" i="22"/>
  <c r="M100" i="22"/>
  <c r="L100" i="22"/>
  <c r="K100" i="22"/>
  <c r="AD99" i="22"/>
  <c r="AE99" i="22" s="1"/>
  <c r="AF99" i="22" s="1"/>
  <c r="U99" i="22"/>
  <c r="T99" i="22"/>
  <c r="S99" i="22"/>
  <c r="M99" i="22"/>
  <c r="L99" i="22"/>
  <c r="K99" i="22"/>
  <c r="AD98" i="22"/>
  <c r="AE98" i="22" s="1"/>
  <c r="AF98" i="22" s="1"/>
  <c r="U98" i="22"/>
  <c r="T98" i="22"/>
  <c r="S98" i="22"/>
  <c r="M98" i="22"/>
  <c r="L98" i="22"/>
  <c r="K98" i="22"/>
  <c r="AD97" i="22"/>
  <c r="AE97" i="22" s="1"/>
  <c r="AF97" i="22" s="1"/>
  <c r="U97" i="22"/>
  <c r="T97" i="22"/>
  <c r="S97" i="22"/>
  <c r="M97" i="22"/>
  <c r="L97" i="22"/>
  <c r="K97" i="22"/>
  <c r="AD96" i="22"/>
  <c r="AE96" i="22" s="1"/>
  <c r="AF96" i="22" s="1"/>
  <c r="U96" i="22"/>
  <c r="T96" i="22"/>
  <c r="S96" i="22"/>
  <c r="M96" i="22"/>
  <c r="L96" i="22"/>
  <c r="K96" i="22"/>
  <c r="AD95" i="22"/>
  <c r="AE95" i="22" s="1"/>
  <c r="AF95" i="22" s="1"/>
  <c r="U95" i="22"/>
  <c r="T95" i="22"/>
  <c r="S95" i="22"/>
  <c r="M95" i="22"/>
  <c r="L95" i="22"/>
  <c r="K95" i="22"/>
  <c r="AD94" i="22"/>
  <c r="AE94" i="22" s="1"/>
  <c r="AF94" i="22" s="1"/>
  <c r="U94" i="22"/>
  <c r="T94" i="22"/>
  <c r="S94" i="22"/>
  <c r="M94" i="22"/>
  <c r="L94" i="22"/>
  <c r="K94" i="22"/>
  <c r="AD93" i="22"/>
  <c r="AE93" i="22" s="1"/>
  <c r="AF93" i="22" s="1"/>
  <c r="U93" i="22"/>
  <c r="T93" i="22"/>
  <c r="S93" i="22"/>
  <c r="M93" i="22"/>
  <c r="L93" i="22"/>
  <c r="K93" i="22"/>
  <c r="AD92" i="22"/>
  <c r="AE92" i="22" s="1"/>
  <c r="AF92" i="22" s="1"/>
  <c r="U92" i="22"/>
  <c r="T92" i="22"/>
  <c r="S92" i="22"/>
  <c r="M92" i="22"/>
  <c r="L92" i="22"/>
  <c r="K92" i="22"/>
  <c r="AD91" i="22"/>
  <c r="AE91" i="22" s="1"/>
  <c r="AF91" i="22" s="1"/>
  <c r="U91" i="22"/>
  <c r="T91" i="22"/>
  <c r="S91" i="22"/>
  <c r="M91" i="22"/>
  <c r="L91" i="22"/>
  <c r="K91" i="22"/>
  <c r="AD90" i="22"/>
  <c r="AE90" i="22" s="1"/>
  <c r="AF90" i="22" s="1"/>
  <c r="U90" i="22"/>
  <c r="T90" i="22"/>
  <c r="S90" i="22"/>
  <c r="M90" i="22"/>
  <c r="L90" i="22"/>
  <c r="K90" i="22"/>
  <c r="AD89" i="22"/>
  <c r="AE89" i="22" s="1"/>
  <c r="AF89" i="22" s="1"/>
  <c r="U89" i="22"/>
  <c r="T89" i="22"/>
  <c r="S89" i="22"/>
  <c r="M89" i="22"/>
  <c r="L89" i="22"/>
  <c r="K89" i="22"/>
  <c r="AD88" i="22"/>
  <c r="AE88" i="22" s="1"/>
  <c r="AF88" i="22" s="1"/>
  <c r="U88" i="22"/>
  <c r="T88" i="22"/>
  <c r="S88" i="22"/>
  <c r="M88" i="22"/>
  <c r="L88" i="22"/>
  <c r="K88" i="22"/>
  <c r="AD87" i="22"/>
  <c r="AE87" i="22" s="1"/>
  <c r="AF87" i="22" s="1"/>
  <c r="U87" i="22"/>
  <c r="T87" i="22"/>
  <c r="S87" i="22"/>
  <c r="M87" i="22"/>
  <c r="L87" i="22"/>
  <c r="K87" i="22"/>
  <c r="AD86" i="22"/>
  <c r="AE86" i="22" s="1"/>
  <c r="AF86" i="22" s="1"/>
  <c r="U86" i="22"/>
  <c r="T86" i="22"/>
  <c r="S86" i="22"/>
  <c r="M86" i="22"/>
  <c r="L86" i="22"/>
  <c r="K86" i="22"/>
  <c r="AD85" i="22"/>
  <c r="AE85" i="22" s="1"/>
  <c r="AF85" i="22" s="1"/>
  <c r="U85" i="22"/>
  <c r="T85" i="22"/>
  <c r="S85" i="22"/>
  <c r="M85" i="22"/>
  <c r="L85" i="22"/>
  <c r="K85" i="22"/>
  <c r="AD84" i="22"/>
  <c r="U84" i="22"/>
  <c r="T84" i="22"/>
  <c r="S84" i="22"/>
  <c r="M84" i="22"/>
  <c r="L84" i="22"/>
  <c r="K84" i="22"/>
  <c r="AD83" i="22"/>
  <c r="AE83" i="22" s="1"/>
  <c r="AF83" i="22" s="1"/>
  <c r="U83" i="22"/>
  <c r="T83" i="22"/>
  <c r="S83" i="22"/>
  <c r="M83" i="22"/>
  <c r="L83" i="22"/>
  <c r="K83" i="22"/>
  <c r="Z81" i="22"/>
  <c r="Y81" i="22"/>
  <c r="X81" i="22"/>
  <c r="M144" i="22" l="1"/>
  <c r="AE60" i="22"/>
  <c r="AD65" i="22"/>
  <c r="AE39" i="22"/>
  <c r="AD42" i="22"/>
  <c r="AE10" i="22"/>
  <c r="AD12" i="22"/>
  <c r="AE73" i="22"/>
  <c r="AD78" i="22"/>
  <c r="AE33" i="22"/>
  <c r="AD37" i="22"/>
  <c r="AE13" i="22"/>
  <c r="AD23" i="22"/>
  <c r="AE66" i="22"/>
  <c r="AD72" i="22"/>
  <c r="AE43" i="22"/>
  <c r="AD46" i="22"/>
  <c r="AE48" i="22"/>
  <c r="AD58" i="22"/>
  <c r="AD59" i="22" s="1"/>
  <c r="AE25" i="22"/>
  <c r="AD29" i="22"/>
  <c r="AE5" i="22"/>
  <c r="AD9" i="22"/>
  <c r="AE105" i="22"/>
  <c r="AD104" i="22"/>
  <c r="K104" i="22"/>
  <c r="S72" i="22"/>
  <c r="G128" i="22"/>
  <c r="R128" i="22"/>
  <c r="U42" i="22"/>
  <c r="AB128" i="22"/>
  <c r="Q128" i="22"/>
  <c r="L46" i="22"/>
  <c r="H24" i="22"/>
  <c r="J47" i="22"/>
  <c r="U29" i="22"/>
  <c r="F79" i="22"/>
  <c r="L78" i="22"/>
  <c r="U78" i="22"/>
  <c r="T58" i="22"/>
  <c r="M42" i="22"/>
  <c r="S23" i="22"/>
  <c r="AC128" i="22"/>
  <c r="L12" i="22"/>
  <c r="U65" i="22"/>
  <c r="S32" i="22"/>
  <c r="U72" i="22"/>
  <c r="U12" i="22"/>
  <c r="T9" i="22"/>
  <c r="K65" i="22"/>
  <c r="T117" i="22"/>
  <c r="J24" i="22"/>
  <c r="H38" i="22"/>
  <c r="L65" i="22"/>
  <c r="S12" i="22"/>
  <c r="L37" i="22"/>
  <c r="H79" i="22"/>
  <c r="Y130" i="22"/>
  <c r="Y134" i="22" s="1"/>
  <c r="Y146" i="22" s="1"/>
  <c r="S37" i="22"/>
  <c r="W128" i="22"/>
  <c r="D24" i="22"/>
  <c r="U9" i="22"/>
  <c r="I38" i="22"/>
  <c r="Q38" i="22"/>
  <c r="P38" i="22"/>
  <c r="G38" i="22"/>
  <c r="F47" i="22"/>
  <c r="L117" i="22"/>
  <c r="S102" i="22"/>
  <c r="U104" i="22"/>
  <c r="L58" i="22"/>
  <c r="T12" i="22"/>
  <c r="M32" i="22"/>
  <c r="C47" i="22"/>
  <c r="M23" i="22"/>
  <c r="D38" i="22"/>
  <c r="S42" i="22"/>
  <c r="L104" i="22"/>
  <c r="E128" i="22"/>
  <c r="U144" i="22"/>
  <c r="T29" i="22"/>
  <c r="P79" i="22"/>
  <c r="S117" i="22"/>
  <c r="P24" i="22"/>
  <c r="K12" i="22"/>
  <c r="K23" i="22"/>
  <c r="E38" i="22"/>
  <c r="U32" i="22"/>
  <c r="M37" i="22"/>
  <c r="T46" i="22"/>
  <c r="G79" i="22"/>
  <c r="O79" i="22"/>
  <c r="K72" i="22"/>
  <c r="M72" i="22"/>
  <c r="T42" i="22"/>
  <c r="T65" i="22"/>
  <c r="T144" i="22"/>
  <c r="K9" i="22"/>
  <c r="T37" i="22"/>
  <c r="U58" i="22"/>
  <c r="X130" i="22"/>
  <c r="X134" i="22" s="1"/>
  <c r="X146" i="22" s="1"/>
  <c r="I128" i="22"/>
  <c r="U37" i="22"/>
  <c r="O38" i="22"/>
  <c r="I79" i="22"/>
  <c r="Q79" i="22"/>
  <c r="S58" i="22"/>
  <c r="S59" i="22"/>
  <c r="K46" i="22"/>
  <c r="S144" i="22"/>
  <c r="R79" i="22"/>
  <c r="U102" i="22"/>
  <c r="P128" i="22"/>
  <c r="V128" i="22"/>
  <c r="K144" i="22"/>
  <c r="T72" i="22"/>
  <c r="I24" i="22"/>
  <c r="S9" i="22"/>
  <c r="F38" i="22"/>
  <c r="L29" i="22"/>
  <c r="M78" i="22"/>
  <c r="D128" i="22"/>
  <c r="I47" i="22"/>
  <c r="T104" i="22"/>
  <c r="U23" i="22"/>
  <c r="S46" i="22"/>
  <c r="S65" i="22"/>
  <c r="S78" i="22"/>
  <c r="H47" i="22"/>
  <c r="P47" i="22"/>
  <c r="M58" i="22"/>
  <c r="E79" i="22"/>
  <c r="H128" i="22"/>
  <c r="K78" i="22"/>
  <c r="S104" i="22"/>
  <c r="K37" i="22"/>
  <c r="Q47" i="22"/>
  <c r="Z130" i="22"/>
  <c r="Z134" i="22" s="1"/>
  <c r="Z146" i="22" s="1"/>
  <c r="AD102" i="22"/>
  <c r="J128" i="22"/>
  <c r="F128" i="22"/>
  <c r="L144" i="22"/>
  <c r="AE84" i="22"/>
  <c r="AF84" i="22" s="1"/>
  <c r="AF102" i="22" s="1"/>
  <c r="T102" i="22"/>
  <c r="M104" i="22"/>
  <c r="K117" i="22"/>
  <c r="K29" i="22"/>
  <c r="T78" i="22"/>
  <c r="E24" i="22"/>
  <c r="J38" i="22"/>
  <c r="R38" i="22"/>
  <c r="T32" i="22"/>
  <c r="G47" i="22"/>
  <c r="O47" i="22"/>
  <c r="M46" i="22"/>
  <c r="D79" i="22"/>
  <c r="V79" i="22"/>
  <c r="O128" i="22"/>
  <c r="E47" i="22"/>
  <c r="J79" i="22"/>
  <c r="L32" i="22"/>
  <c r="K42" i="22"/>
  <c r="D47" i="22"/>
  <c r="V47" i="22"/>
  <c r="AF110" i="22"/>
  <c r="K59" i="22"/>
  <c r="M102" i="22"/>
  <c r="K32" i="22"/>
  <c r="L72" i="22"/>
  <c r="F24" i="22"/>
  <c r="N24" i="22"/>
  <c r="M9" i="22"/>
  <c r="R47" i="22"/>
  <c r="K102" i="22"/>
  <c r="C128" i="22"/>
  <c r="T23" i="22"/>
  <c r="V24" i="22"/>
  <c r="AD144" i="22"/>
  <c r="AE138" i="22"/>
  <c r="C24" i="22"/>
  <c r="M12" i="22"/>
  <c r="C79" i="22"/>
  <c r="M65" i="22"/>
  <c r="V38" i="22"/>
  <c r="L9" i="22"/>
  <c r="N47" i="22"/>
  <c r="N79" i="22"/>
  <c r="N128" i="22"/>
  <c r="U117" i="22"/>
  <c r="M117" i="22"/>
  <c r="L42" i="22"/>
  <c r="U46" i="22"/>
  <c r="N59" i="22"/>
  <c r="S29" i="22"/>
  <c r="K58" i="22"/>
  <c r="N38" i="22"/>
  <c r="M29" i="22"/>
  <c r="R24" i="22"/>
  <c r="AD117" i="22"/>
  <c r="Q24" i="22"/>
  <c r="C38" i="22"/>
  <c r="L102" i="22"/>
  <c r="L23" i="22"/>
  <c r="G24" i="22"/>
  <c r="O24" i="22"/>
  <c r="AE118" i="22"/>
  <c r="AK81" i="21"/>
  <c r="X78" i="21"/>
  <c r="Y78" i="21"/>
  <c r="Z78" i="21"/>
  <c r="AA78" i="21"/>
  <c r="AB78" i="21"/>
  <c r="AC78" i="21"/>
  <c r="X72" i="21"/>
  <c r="Y72" i="21"/>
  <c r="Z72" i="21"/>
  <c r="AA72" i="21"/>
  <c r="AB72" i="21"/>
  <c r="AC72" i="21"/>
  <c r="X65" i="21"/>
  <c r="Y65" i="21"/>
  <c r="Z65" i="21"/>
  <c r="AA65" i="21"/>
  <c r="AB65" i="21"/>
  <c r="AC65" i="21"/>
  <c r="X58" i="21"/>
  <c r="X59" i="21" s="1"/>
  <c r="Y58" i="21"/>
  <c r="Y59" i="21" s="1"/>
  <c r="Z58" i="21"/>
  <c r="Z59" i="21" s="1"/>
  <c r="AA58" i="21"/>
  <c r="AA59" i="21" s="1"/>
  <c r="AB58" i="21"/>
  <c r="AB59" i="21" s="1"/>
  <c r="AC58" i="21"/>
  <c r="AC59" i="21" s="1"/>
  <c r="X46" i="21"/>
  <c r="Y46" i="21"/>
  <c r="Z46" i="21"/>
  <c r="AA46" i="21"/>
  <c r="AB46" i="21"/>
  <c r="AC46" i="21"/>
  <c r="X42" i="21"/>
  <c r="Y42" i="21"/>
  <c r="Z42" i="21"/>
  <c r="AA42" i="21"/>
  <c r="AB42" i="21"/>
  <c r="AC42" i="21"/>
  <c r="X37" i="21"/>
  <c r="Y37" i="21"/>
  <c r="Z37" i="21"/>
  <c r="AA37" i="21"/>
  <c r="AB37" i="21"/>
  <c r="AC37" i="21"/>
  <c r="X29" i="21"/>
  <c r="Y29" i="21"/>
  <c r="Z29" i="21"/>
  <c r="AA29" i="21"/>
  <c r="AB29" i="21"/>
  <c r="AC29" i="21"/>
  <c r="X23" i="21"/>
  <c r="Y23" i="21"/>
  <c r="Z23" i="21"/>
  <c r="AA23" i="21"/>
  <c r="AB23" i="21"/>
  <c r="AC23" i="21"/>
  <c r="X12" i="21"/>
  <c r="Y12" i="21"/>
  <c r="Z12" i="21"/>
  <c r="AA12" i="21"/>
  <c r="AB12" i="21"/>
  <c r="AC12" i="21"/>
  <c r="X9" i="21"/>
  <c r="Y9" i="21"/>
  <c r="Z9" i="21"/>
  <c r="AA9" i="21"/>
  <c r="AB9" i="21"/>
  <c r="AC9" i="21"/>
  <c r="AD24" i="22" l="1"/>
  <c r="AD79" i="22"/>
  <c r="AF43" i="22"/>
  <c r="AF46" i="22" s="1"/>
  <c r="AE46" i="22"/>
  <c r="AF73" i="22"/>
  <c r="AF78" i="22" s="1"/>
  <c r="AE78" i="22"/>
  <c r="AF66" i="22"/>
  <c r="AF72" i="22" s="1"/>
  <c r="AE72" i="22"/>
  <c r="AF10" i="22"/>
  <c r="AF12" i="22" s="1"/>
  <c r="AE12" i="22"/>
  <c r="AF25" i="22"/>
  <c r="AE29" i="22"/>
  <c r="AF13" i="22"/>
  <c r="AF23" i="22" s="1"/>
  <c r="AE23" i="22"/>
  <c r="AF39" i="22"/>
  <c r="AE42" i="22"/>
  <c r="AF5" i="22"/>
  <c r="AE9" i="22"/>
  <c r="AD38" i="22"/>
  <c r="AF48" i="22"/>
  <c r="AH48" i="22" s="1"/>
  <c r="AE58" i="22"/>
  <c r="AE59" i="22" s="1"/>
  <c r="AF33" i="22"/>
  <c r="AF37" i="22" s="1"/>
  <c r="AE37" i="22"/>
  <c r="AD47" i="22"/>
  <c r="AF60" i="22"/>
  <c r="AE65" i="22"/>
  <c r="AF105" i="22"/>
  <c r="AF104" i="22" s="1"/>
  <c r="AE104" i="22"/>
  <c r="S128" i="22"/>
  <c r="T38" i="22"/>
  <c r="S38" i="22"/>
  <c r="H81" i="22"/>
  <c r="H130" i="22" s="1"/>
  <c r="H134" i="22" s="1"/>
  <c r="H146" i="22" s="1"/>
  <c r="AC24" i="21"/>
  <c r="S79" i="22"/>
  <c r="AC47" i="21"/>
  <c r="D81" i="22"/>
  <c r="D130" i="22" s="1"/>
  <c r="D134" i="22" s="1"/>
  <c r="D146" i="22" s="1"/>
  <c r="I81" i="22"/>
  <c r="I130" i="22" s="1"/>
  <c r="I134" i="22" s="1"/>
  <c r="I146" i="22" s="1"/>
  <c r="X38" i="21"/>
  <c r="O81" i="22"/>
  <c r="O130" i="22" s="1"/>
  <c r="O134" i="22" s="1"/>
  <c r="O146" i="22" s="1"/>
  <c r="T47" i="22"/>
  <c r="AB81" i="22"/>
  <c r="AB130" i="22" s="1"/>
  <c r="AB134" i="22" s="1"/>
  <c r="AB146" i="22" s="1"/>
  <c r="P81" i="22"/>
  <c r="P130" i="22" s="1"/>
  <c r="P134" i="22" s="1"/>
  <c r="P146" i="22" s="1"/>
  <c r="Z47" i="21"/>
  <c r="K47" i="22"/>
  <c r="K128" i="22"/>
  <c r="AB24" i="21"/>
  <c r="Y24" i="21"/>
  <c r="F81" i="22"/>
  <c r="F130" i="22" s="1"/>
  <c r="F134" i="22" s="1"/>
  <c r="F146" i="22" s="1"/>
  <c r="Y38" i="21"/>
  <c r="AD128" i="22"/>
  <c r="AA38" i="21"/>
  <c r="X47" i="21"/>
  <c r="R81" i="22"/>
  <c r="R130" i="22" s="1"/>
  <c r="R134" i="22" s="1"/>
  <c r="R146" i="22" s="1"/>
  <c r="Z24" i="21"/>
  <c r="Y47" i="21"/>
  <c r="AB79" i="21"/>
  <c r="X79" i="21"/>
  <c r="AC79" i="21"/>
  <c r="Z79" i="21"/>
  <c r="AA24" i="21"/>
  <c r="AB47" i="21"/>
  <c r="AA79" i="21"/>
  <c r="Y79" i="21"/>
  <c r="S47" i="22"/>
  <c r="K79" i="22"/>
  <c r="Z38" i="21"/>
  <c r="AA47" i="21"/>
  <c r="X24" i="21"/>
  <c r="J81" i="22"/>
  <c r="J130" i="22" s="1"/>
  <c r="J134" i="22" s="1"/>
  <c r="J146" i="22" s="1"/>
  <c r="E81" i="22"/>
  <c r="E130" i="22" s="1"/>
  <c r="G81" i="22"/>
  <c r="G130" i="22" s="1"/>
  <c r="G134" i="22" s="1"/>
  <c r="G146" i="22" s="1"/>
  <c r="K38" i="22"/>
  <c r="AE102" i="22"/>
  <c r="V81" i="22"/>
  <c r="V130" i="22" s="1"/>
  <c r="V134" i="22" s="1"/>
  <c r="V146" i="22" s="1"/>
  <c r="W81" i="22"/>
  <c r="W130" i="22" s="1"/>
  <c r="W134" i="22" s="1"/>
  <c r="W146" i="22" s="1"/>
  <c r="L128" i="22"/>
  <c r="U128" i="22"/>
  <c r="M128" i="22"/>
  <c r="M79" i="22"/>
  <c r="L79" i="22"/>
  <c r="U79" i="22"/>
  <c r="U59" i="22"/>
  <c r="L59" i="22"/>
  <c r="M59" i="22"/>
  <c r="T59" i="22"/>
  <c r="L47" i="22"/>
  <c r="U47" i="22"/>
  <c r="M47" i="22"/>
  <c r="T24" i="22"/>
  <c r="S24" i="22"/>
  <c r="AF118" i="22"/>
  <c r="AE117" i="22"/>
  <c r="C81" i="22"/>
  <c r="C130" i="22" s="1"/>
  <c r="C134" i="22" s="1"/>
  <c r="C146" i="22" s="1"/>
  <c r="K24" i="22"/>
  <c r="AE144" i="22"/>
  <c r="AF138" i="22"/>
  <c r="AF144" i="22" s="1"/>
  <c r="M24" i="22"/>
  <c r="U24" i="22"/>
  <c r="L24" i="22"/>
  <c r="N81" i="22"/>
  <c r="T79" i="22"/>
  <c r="U38" i="22"/>
  <c r="M38" i="22"/>
  <c r="L38" i="22"/>
  <c r="Q81" i="22"/>
  <c r="T128" i="22"/>
  <c r="AE47" i="22" l="1"/>
  <c r="AE128" i="22"/>
  <c r="AE38" i="22"/>
  <c r="AE79" i="22"/>
  <c r="AE24" i="22"/>
  <c r="AF42" i="22"/>
  <c r="AF47" i="22" s="1"/>
  <c r="AH47" i="22" s="1"/>
  <c r="AF9" i="22"/>
  <c r="AF24" i="22" s="1"/>
  <c r="AH24" i="22" s="1"/>
  <c r="AF58" i="22"/>
  <c r="AF65" i="22"/>
  <c r="AF79" i="22" s="1"/>
  <c r="AH79" i="22" s="1"/>
  <c r="AF29" i="22"/>
  <c r="AF38" i="22" s="1"/>
  <c r="AH38" i="22" s="1"/>
  <c r="K81" i="22"/>
  <c r="AF117" i="22"/>
  <c r="AF128" i="22" s="1"/>
  <c r="AE149" i="22"/>
  <c r="AC32" i="22"/>
  <c r="AC38" i="22" s="1"/>
  <c r="Q130" i="22"/>
  <c r="T81" i="22"/>
  <c r="S81" i="22"/>
  <c r="K130" i="22"/>
  <c r="E134" i="22"/>
  <c r="M81" i="22"/>
  <c r="L81" i="22"/>
  <c r="U81" i="22"/>
  <c r="N130" i="22"/>
  <c r="AF59" i="22" l="1"/>
  <c r="AH59" i="22" s="1"/>
  <c r="AH58" i="22"/>
  <c r="T130" i="22"/>
  <c r="S130" i="22"/>
  <c r="Q134" i="22"/>
  <c r="K134" i="22"/>
  <c r="E146" i="22"/>
  <c r="K146" i="22" s="1"/>
  <c r="U130" i="22"/>
  <c r="M130" i="22"/>
  <c r="L130" i="22"/>
  <c r="N134" i="22"/>
  <c r="Q146" i="22" l="1"/>
  <c r="T134" i="22"/>
  <c r="S134" i="22"/>
  <c r="L134" i="22"/>
  <c r="M134" i="22"/>
  <c r="N146" i="22"/>
  <c r="U134" i="22"/>
  <c r="L146" i="22" l="1"/>
  <c r="M146" i="22"/>
  <c r="U146" i="22"/>
  <c r="T146" i="22"/>
  <c r="S146" i="22"/>
  <c r="AC81" i="22" l="1"/>
  <c r="AC130" i="22" s="1"/>
  <c r="AC134" i="22" s="1"/>
  <c r="AC146" i="22" s="1"/>
  <c r="AD81" i="22" l="1"/>
  <c r="AD130" i="22" l="1"/>
  <c r="AD134" i="22" s="1"/>
  <c r="AD146" i="22" s="1"/>
  <c r="AE81" i="22"/>
  <c r="AE130" i="22" l="1"/>
  <c r="AE134" i="22" s="1"/>
  <c r="AE146" i="22" s="1"/>
  <c r="AE151" i="22" s="1"/>
  <c r="AF81" i="22"/>
  <c r="AF130" i="22" l="1"/>
  <c r="AF134" i="22" s="1"/>
  <c r="AF146" i="22" s="1"/>
  <c r="AH81" i="22"/>
  <c r="AB117" i="21"/>
  <c r="AB104" i="21"/>
  <c r="AB143" i="21"/>
  <c r="AB102" i="21"/>
  <c r="AB32" i="21"/>
  <c r="AB38" i="21" s="1"/>
  <c r="K138" i="21"/>
  <c r="L138" i="21"/>
  <c r="M138" i="21"/>
  <c r="S138" i="21"/>
  <c r="T138" i="21"/>
  <c r="U138" i="21"/>
  <c r="AD138" i="21"/>
  <c r="K139" i="21"/>
  <c r="L139" i="21"/>
  <c r="M139" i="21"/>
  <c r="S139" i="21"/>
  <c r="T139" i="21"/>
  <c r="U139" i="21"/>
  <c r="AD139" i="21"/>
  <c r="AE139" i="21" s="1"/>
  <c r="AF139" i="21" s="1"/>
  <c r="K140" i="21"/>
  <c r="L140" i="21"/>
  <c r="M140" i="21"/>
  <c r="S140" i="21"/>
  <c r="T140" i="21"/>
  <c r="U140" i="21"/>
  <c r="AD140" i="21"/>
  <c r="AE140" i="21" s="1"/>
  <c r="AF140" i="21" s="1"/>
  <c r="K119" i="21"/>
  <c r="L119" i="21"/>
  <c r="M119" i="21"/>
  <c r="S119" i="21"/>
  <c r="T119" i="21"/>
  <c r="U119" i="21"/>
  <c r="AD119" i="21"/>
  <c r="AE119" i="21" s="1"/>
  <c r="AF119" i="21" s="1"/>
  <c r="K120" i="21"/>
  <c r="L120" i="21"/>
  <c r="M120" i="21"/>
  <c r="S120" i="21"/>
  <c r="T120" i="21"/>
  <c r="U120" i="21"/>
  <c r="AD120" i="21"/>
  <c r="AE120" i="21" s="1"/>
  <c r="AF120" i="21" s="1"/>
  <c r="K121" i="21"/>
  <c r="L121" i="21"/>
  <c r="M121" i="21"/>
  <c r="S121" i="21"/>
  <c r="T121" i="21"/>
  <c r="U121" i="21"/>
  <c r="AD121" i="21"/>
  <c r="AE121" i="21" s="1"/>
  <c r="AF121" i="21" s="1"/>
  <c r="K122" i="21"/>
  <c r="L122" i="21"/>
  <c r="M122" i="21"/>
  <c r="S122" i="21"/>
  <c r="T122" i="21"/>
  <c r="U122" i="21"/>
  <c r="AD122" i="21"/>
  <c r="AE122" i="21" s="1"/>
  <c r="AF122" i="21" s="1"/>
  <c r="K123" i="21"/>
  <c r="L123" i="21"/>
  <c r="M123" i="21"/>
  <c r="S123" i="21"/>
  <c r="T123" i="21"/>
  <c r="U123" i="21"/>
  <c r="AD123" i="21"/>
  <c r="AE123" i="21" s="1"/>
  <c r="AF123" i="21" s="1"/>
  <c r="K124" i="21"/>
  <c r="L124" i="21"/>
  <c r="M124" i="21"/>
  <c r="S124" i="21"/>
  <c r="T124" i="21"/>
  <c r="U124" i="21"/>
  <c r="AD124" i="21"/>
  <c r="AE124" i="21" s="1"/>
  <c r="AF124" i="21" s="1"/>
  <c r="K125" i="21"/>
  <c r="L125" i="21"/>
  <c r="M125" i="21"/>
  <c r="S125" i="21"/>
  <c r="T125" i="21"/>
  <c r="U125" i="21"/>
  <c r="AD125" i="21"/>
  <c r="AE125" i="21" s="1"/>
  <c r="AF125" i="21" s="1"/>
  <c r="AD118" i="21"/>
  <c r="AE118" i="21" s="1"/>
  <c r="AF118" i="21" s="1"/>
  <c r="U118" i="21"/>
  <c r="T118" i="21"/>
  <c r="S118" i="21"/>
  <c r="M118" i="21"/>
  <c r="L118" i="21"/>
  <c r="K118" i="21"/>
  <c r="K106" i="21"/>
  <c r="L106" i="21"/>
  <c r="M106" i="21"/>
  <c r="S106" i="21"/>
  <c r="T106" i="21"/>
  <c r="U106" i="21"/>
  <c r="AD106" i="21"/>
  <c r="AE106" i="21" s="1"/>
  <c r="AF106" i="21" s="1"/>
  <c r="K107" i="21"/>
  <c r="L107" i="21"/>
  <c r="M107" i="21"/>
  <c r="S107" i="21"/>
  <c r="T107" i="21"/>
  <c r="U107" i="21"/>
  <c r="AD107" i="21"/>
  <c r="AE107" i="21" s="1"/>
  <c r="AF107" i="21" s="1"/>
  <c r="K108" i="21"/>
  <c r="L108" i="21"/>
  <c r="M108" i="21"/>
  <c r="S108" i="21"/>
  <c r="T108" i="21"/>
  <c r="U108" i="21"/>
  <c r="AD108" i="21"/>
  <c r="AE108" i="21" s="1"/>
  <c r="AF108" i="21" s="1"/>
  <c r="K109" i="21"/>
  <c r="L109" i="21"/>
  <c r="M109" i="21"/>
  <c r="S109" i="21"/>
  <c r="T109" i="21"/>
  <c r="U109" i="21"/>
  <c r="AD109" i="21"/>
  <c r="AE109" i="21" s="1"/>
  <c r="AF109" i="21" s="1"/>
  <c r="K110" i="21"/>
  <c r="L110" i="21"/>
  <c r="M110" i="21"/>
  <c r="S110" i="21"/>
  <c r="T110" i="21"/>
  <c r="U110" i="21"/>
  <c r="AD110" i="21"/>
  <c r="AE110" i="21" s="1"/>
  <c r="AF110" i="21" s="1"/>
  <c r="K111" i="21"/>
  <c r="L111" i="21"/>
  <c r="M111" i="21"/>
  <c r="S111" i="21"/>
  <c r="T111" i="21"/>
  <c r="U111" i="21"/>
  <c r="AD111" i="21"/>
  <c r="AE111" i="21" s="1"/>
  <c r="AF111" i="21" s="1"/>
  <c r="K112" i="21"/>
  <c r="L112" i="21"/>
  <c r="M112" i="21"/>
  <c r="S112" i="21"/>
  <c r="T112" i="21"/>
  <c r="U112" i="21"/>
  <c r="AD112" i="21"/>
  <c r="AE112" i="21" s="1"/>
  <c r="AF112" i="21" s="1"/>
  <c r="K113" i="21"/>
  <c r="L113" i="21"/>
  <c r="M113" i="21"/>
  <c r="S113" i="21"/>
  <c r="T113" i="21"/>
  <c r="U113" i="21"/>
  <c r="AD113" i="21"/>
  <c r="AE113" i="21" s="1"/>
  <c r="AF113" i="21" s="1"/>
  <c r="AD105" i="21"/>
  <c r="AE105" i="21" s="1"/>
  <c r="AF105" i="21" s="1"/>
  <c r="U105" i="21"/>
  <c r="T105" i="21"/>
  <c r="S105" i="21"/>
  <c r="M105" i="21"/>
  <c r="L105" i="21"/>
  <c r="K105" i="21"/>
  <c r="V78" i="21"/>
  <c r="W78" i="21"/>
  <c r="N78" i="21"/>
  <c r="O78" i="21"/>
  <c r="P78" i="21"/>
  <c r="Q78" i="21"/>
  <c r="R78" i="21"/>
  <c r="C78" i="21"/>
  <c r="D78" i="21"/>
  <c r="E78" i="21"/>
  <c r="F78" i="21"/>
  <c r="G78" i="21"/>
  <c r="H78" i="21"/>
  <c r="I78" i="21"/>
  <c r="J78" i="21"/>
  <c r="V72" i="21"/>
  <c r="W72" i="21"/>
  <c r="N72" i="21"/>
  <c r="O72" i="21"/>
  <c r="P72" i="21"/>
  <c r="Q72" i="21"/>
  <c r="R72" i="21"/>
  <c r="C72" i="21"/>
  <c r="D72" i="21"/>
  <c r="E72" i="21"/>
  <c r="F72" i="21"/>
  <c r="G72" i="21"/>
  <c r="H72" i="21"/>
  <c r="I72" i="21"/>
  <c r="J72" i="21"/>
  <c r="V65" i="21"/>
  <c r="W65" i="21"/>
  <c r="N65" i="21"/>
  <c r="O65" i="21"/>
  <c r="P65" i="21"/>
  <c r="Q65" i="21"/>
  <c r="R65" i="21"/>
  <c r="C65" i="21"/>
  <c r="D65" i="21"/>
  <c r="E65" i="21"/>
  <c r="F65" i="21"/>
  <c r="G65" i="21"/>
  <c r="H65" i="21"/>
  <c r="I65" i="21"/>
  <c r="J65" i="21"/>
  <c r="V58" i="21"/>
  <c r="V59" i="21" s="1"/>
  <c r="W58" i="21"/>
  <c r="W59" i="21" s="1"/>
  <c r="N58" i="21"/>
  <c r="N59" i="21" s="1"/>
  <c r="O58" i="21"/>
  <c r="O59" i="21" s="1"/>
  <c r="P58" i="21"/>
  <c r="P59" i="21" s="1"/>
  <c r="Q58" i="21"/>
  <c r="Q59" i="21" s="1"/>
  <c r="R58" i="21"/>
  <c r="R59" i="21" s="1"/>
  <c r="C58" i="21"/>
  <c r="C59" i="21" s="1"/>
  <c r="D58" i="21"/>
  <c r="D59" i="21" s="1"/>
  <c r="E58" i="21"/>
  <c r="E59" i="21" s="1"/>
  <c r="F58" i="21"/>
  <c r="F59" i="21" s="1"/>
  <c r="G58" i="21"/>
  <c r="G59" i="21" s="1"/>
  <c r="H58" i="21"/>
  <c r="H59" i="21" s="1"/>
  <c r="I58" i="21"/>
  <c r="I59" i="21" s="1"/>
  <c r="J58" i="21"/>
  <c r="J59" i="21" s="1"/>
  <c r="V46" i="21"/>
  <c r="W46" i="21"/>
  <c r="N46" i="21"/>
  <c r="O46" i="21"/>
  <c r="P46" i="21"/>
  <c r="Q46" i="21"/>
  <c r="R46" i="21"/>
  <c r="C46" i="21"/>
  <c r="D46" i="21"/>
  <c r="E46" i="21"/>
  <c r="F46" i="21"/>
  <c r="G46" i="21"/>
  <c r="H46" i="21"/>
  <c r="I46" i="21"/>
  <c r="J46" i="21"/>
  <c r="V42" i="21"/>
  <c r="W42" i="21"/>
  <c r="N42" i="21"/>
  <c r="O42" i="21"/>
  <c r="P42" i="21"/>
  <c r="Q42" i="21"/>
  <c r="R42" i="21"/>
  <c r="C42" i="21"/>
  <c r="D42" i="21"/>
  <c r="E42" i="21"/>
  <c r="F42" i="21"/>
  <c r="G42" i="21"/>
  <c r="H42" i="21"/>
  <c r="I42" i="21"/>
  <c r="J42" i="21"/>
  <c r="V37" i="21"/>
  <c r="W37" i="21"/>
  <c r="N37" i="21"/>
  <c r="O37" i="21"/>
  <c r="P37" i="21"/>
  <c r="Q37" i="21"/>
  <c r="R37" i="21"/>
  <c r="C37" i="21"/>
  <c r="D37" i="21"/>
  <c r="E37" i="21"/>
  <c r="F37" i="21"/>
  <c r="G37" i="21"/>
  <c r="H37" i="21"/>
  <c r="I37" i="21"/>
  <c r="J37" i="21"/>
  <c r="V32" i="21"/>
  <c r="W32" i="21"/>
  <c r="AH32" i="21" s="1"/>
  <c r="N32" i="21"/>
  <c r="O32" i="21"/>
  <c r="P32" i="21"/>
  <c r="Q32" i="21"/>
  <c r="R32" i="21"/>
  <c r="C32" i="21"/>
  <c r="D32" i="21"/>
  <c r="E32" i="21"/>
  <c r="F32" i="21"/>
  <c r="G32" i="21"/>
  <c r="H32" i="21"/>
  <c r="I32" i="21"/>
  <c r="J32" i="21"/>
  <c r="V29" i="21"/>
  <c r="W29" i="21"/>
  <c r="N29" i="21"/>
  <c r="O29" i="21"/>
  <c r="P29" i="21"/>
  <c r="Q29" i="21"/>
  <c r="R29" i="21"/>
  <c r="C29" i="21"/>
  <c r="D29" i="21"/>
  <c r="E29" i="21"/>
  <c r="F29" i="21"/>
  <c r="G29" i="21"/>
  <c r="H29" i="21"/>
  <c r="I29" i="21"/>
  <c r="J29" i="21"/>
  <c r="V23" i="21"/>
  <c r="W23" i="21"/>
  <c r="N23" i="21"/>
  <c r="O23" i="21"/>
  <c r="P23" i="21"/>
  <c r="Q23" i="21"/>
  <c r="R23" i="21"/>
  <c r="C23" i="21"/>
  <c r="D23" i="21"/>
  <c r="E23" i="21"/>
  <c r="F23" i="21"/>
  <c r="G23" i="21"/>
  <c r="H23" i="21"/>
  <c r="I23" i="21"/>
  <c r="J23" i="21"/>
  <c r="V12" i="21"/>
  <c r="W12" i="21"/>
  <c r="N12" i="21"/>
  <c r="O12" i="21"/>
  <c r="P12" i="21"/>
  <c r="Q12" i="21"/>
  <c r="R12" i="21"/>
  <c r="C12" i="21"/>
  <c r="D12" i="21"/>
  <c r="E12" i="21"/>
  <c r="F12" i="21"/>
  <c r="G12" i="21"/>
  <c r="H12" i="21"/>
  <c r="I12" i="21"/>
  <c r="J12" i="21"/>
  <c r="V9" i="21"/>
  <c r="W9" i="21"/>
  <c r="N9" i="21"/>
  <c r="O9" i="21"/>
  <c r="P9" i="21"/>
  <c r="Q9" i="21"/>
  <c r="R9" i="21"/>
  <c r="C9" i="21"/>
  <c r="D9" i="21"/>
  <c r="E9" i="21"/>
  <c r="F9" i="21"/>
  <c r="G9" i="21"/>
  <c r="H9" i="21"/>
  <c r="I9" i="21"/>
  <c r="J9" i="21"/>
  <c r="K5" i="21"/>
  <c r="L5" i="21"/>
  <c r="M5" i="21"/>
  <c r="S5" i="21"/>
  <c r="T5" i="21"/>
  <c r="U5" i="21"/>
  <c r="AD5" i="21"/>
  <c r="K6" i="21"/>
  <c r="L6" i="21"/>
  <c r="M6" i="21"/>
  <c r="S6" i="21"/>
  <c r="T6" i="21"/>
  <c r="U6" i="21"/>
  <c r="AD6" i="21"/>
  <c r="AE6" i="21" s="1"/>
  <c r="AF6" i="21" s="1"/>
  <c r="K7" i="21"/>
  <c r="L7" i="21"/>
  <c r="M7" i="21"/>
  <c r="S7" i="21"/>
  <c r="T7" i="21"/>
  <c r="U7" i="21"/>
  <c r="AD7" i="21"/>
  <c r="AE7" i="21" s="1"/>
  <c r="AF7" i="21" s="1"/>
  <c r="K8" i="21"/>
  <c r="L8" i="21"/>
  <c r="M8" i="21"/>
  <c r="S8" i="21"/>
  <c r="T8" i="21"/>
  <c r="U8" i="21"/>
  <c r="AD8" i="21"/>
  <c r="AE8" i="21" s="1"/>
  <c r="AF8" i="21" s="1"/>
  <c r="K10" i="21"/>
  <c r="L10" i="21"/>
  <c r="M10" i="21"/>
  <c r="S10" i="21"/>
  <c r="T10" i="21"/>
  <c r="U10" i="21"/>
  <c r="AD10" i="21"/>
  <c r="K11" i="21"/>
  <c r="L11" i="21"/>
  <c r="M11" i="21"/>
  <c r="S11" i="21"/>
  <c r="T11" i="21"/>
  <c r="U11" i="21"/>
  <c r="AD11" i="21"/>
  <c r="AE11" i="21" s="1"/>
  <c r="AF11" i="21" s="1"/>
  <c r="K13" i="21"/>
  <c r="L13" i="21"/>
  <c r="M13" i="21"/>
  <c r="S13" i="21"/>
  <c r="T13" i="21"/>
  <c r="U13" i="21"/>
  <c r="AD13" i="21"/>
  <c r="K14" i="21"/>
  <c r="L14" i="21"/>
  <c r="M14" i="21"/>
  <c r="S14" i="21"/>
  <c r="T14" i="21"/>
  <c r="U14" i="21"/>
  <c r="AD14" i="21"/>
  <c r="AE14" i="21" s="1"/>
  <c r="AF14" i="21" s="1"/>
  <c r="K15" i="21"/>
  <c r="L15" i="21"/>
  <c r="M15" i="21"/>
  <c r="S15" i="21"/>
  <c r="T15" i="21"/>
  <c r="U15" i="21"/>
  <c r="AD15" i="21"/>
  <c r="AE15" i="21" s="1"/>
  <c r="AF15" i="21" s="1"/>
  <c r="K16" i="21"/>
  <c r="L16" i="21"/>
  <c r="M16" i="21"/>
  <c r="S16" i="21"/>
  <c r="T16" i="21"/>
  <c r="U16" i="21"/>
  <c r="AD16" i="21"/>
  <c r="AE16" i="21" s="1"/>
  <c r="AF16" i="21" s="1"/>
  <c r="K17" i="21"/>
  <c r="L17" i="21"/>
  <c r="M17" i="21"/>
  <c r="S17" i="21"/>
  <c r="T17" i="21"/>
  <c r="U17" i="21"/>
  <c r="AD17" i="21"/>
  <c r="AE17" i="21" s="1"/>
  <c r="AF17" i="21" s="1"/>
  <c r="K18" i="21"/>
  <c r="L18" i="21"/>
  <c r="M18" i="21"/>
  <c r="S18" i="21"/>
  <c r="T18" i="21"/>
  <c r="U18" i="21"/>
  <c r="AD18" i="21"/>
  <c r="AE18" i="21" s="1"/>
  <c r="AF18" i="21" s="1"/>
  <c r="K19" i="21"/>
  <c r="L19" i="21"/>
  <c r="M19" i="21"/>
  <c r="S19" i="21"/>
  <c r="T19" i="21"/>
  <c r="U19" i="21"/>
  <c r="AD19" i="21"/>
  <c r="AE19" i="21" s="1"/>
  <c r="AF19" i="21" s="1"/>
  <c r="K20" i="21"/>
  <c r="L20" i="21"/>
  <c r="M20" i="21"/>
  <c r="S20" i="21"/>
  <c r="T20" i="21"/>
  <c r="U20" i="21"/>
  <c r="AD20" i="21"/>
  <c r="AE20" i="21" s="1"/>
  <c r="AF20" i="21" s="1"/>
  <c r="K21" i="21"/>
  <c r="L21" i="21"/>
  <c r="M21" i="21"/>
  <c r="S21" i="21"/>
  <c r="T21" i="21"/>
  <c r="U21" i="21"/>
  <c r="AD21" i="21"/>
  <c r="AE21" i="21" s="1"/>
  <c r="AF21" i="21" s="1"/>
  <c r="K22" i="21"/>
  <c r="L22" i="21"/>
  <c r="M22" i="21"/>
  <c r="S22" i="21"/>
  <c r="T22" i="21"/>
  <c r="U22" i="21"/>
  <c r="AD22" i="21"/>
  <c r="AE22" i="21" s="1"/>
  <c r="AF22" i="21" s="1"/>
  <c r="K25" i="21"/>
  <c r="L25" i="21"/>
  <c r="M25" i="21"/>
  <c r="S25" i="21"/>
  <c r="T25" i="21"/>
  <c r="U25" i="21"/>
  <c r="AD25" i="21"/>
  <c r="AE25" i="21" s="1"/>
  <c r="K26" i="21"/>
  <c r="L26" i="21"/>
  <c r="M26" i="21"/>
  <c r="S26" i="21"/>
  <c r="T26" i="21"/>
  <c r="U26" i="21"/>
  <c r="AD26" i="21"/>
  <c r="AE26" i="21" s="1"/>
  <c r="AF26" i="21" s="1"/>
  <c r="K27" i="21"/>
  <c r="L27" i="21"/>
  <c r="M27" i="21"/>
  <c r="S27" i="21"/>
  <c r="T27" i="21"/>
  <c r="U27" i="21"/>
  <c r="AD27" i="21"/>
  <c r="AE27" i="21" s="1"/>
  <c r="AF27" i="21" s="1"/>
  <c r="K28" i="21"/>
  <c r="L28" i="21"/>
  <c r="M28" i="21"/>
  <c r="S28" i="21"/>
  <c r="T28" i="21"/>
  <c r="U28" i="21"/>
  <c r="AD28" i="21"/>
  <c r="AE28" i="21" s="1"/>
  <c r="AF28" i="21" s="1"/>
  <c r="K30" i="21"/>
  <c r="L30" i="21"/>
  <c r="M30" i="21"/>
  <c r="S30" i="21"/>
  <c r="T30" i="21"/>
  <c r="U30" i="21"/>
  <c r="AD30" i="21"/>
  <c r="AE30" i="21" s="1"/>
  <c r="AF30" i="21" s="1"/>
  <c r="K31" i="21"/>
  <c r="L31" i="21"/>
  <c r="M31" i="21"/>
  <c r="S31" i="21"/>
  <c r="T31" i="21"/>
  <c r="U31" i="21"/>
  <c r="AD31" i="21"/>
  <c r="AE31" i="21" s="1"/>
  <c r="AF31" i="21" s="1"/>
  <c r="K33" i="21"/>
  <c r="L33" i="21"/>
  <c r="M33" i="21"/>
  <c r="S33" i="21"/>
  <c r="T33" i="21"/>
  <c r="U33" i="21"/>
  <c r="AD33" i="21"/>
  <c r="K34" i="21"/>
  <c r="L34" i="21"/>
  <c r="M34" i="21"/>
  <c r="S34" i="21"/>
  <c r="T34" i="21"/>
  <c r="U34" i="21"/>
  <c r="AD34" i="21"/>
  <c r="AE34" i="21" s="1"/>
  <c r="AF34" i="21" s="1"/>
  <c r="K35" i="21"/>
  <c r="L35" i="21"/>
  <c r="M35" i="21"/>
  <c r="S35" i="21"/>
  <c r="T35" i="21"/>
  <c r="U35" i="21"/>
  <c r="AD35" i="21"/>
  <c r="AE35" i="21" s="1"/>
  <c r="AF35" i="21" s="1"/>
  <c r="K36" i="21"/>
  <c r="L36" i="21"/>
  <c r="M36" i="21"/>
  <c r="S36" i="21"/>
  <c r="T36" i="21"/>
  <c r="U36" i="21"/>
  <c r="AD36" i="21"/>
  <c r="AE36" i="21" s="1"/>
  <c r="AF36" i="21" s="1"/>
  <c r="K39" i="21"/>
  <c r="L39" i="21"/>
  <c r="M39" i="21"/>
  <c r="S39" i="21"/>
  <c r="T39" i="21"/>
  <c r="U39" i="21"/>
  <c r="AD39" i="21"/>
  <c r="K40" i="21"/>
  <c r="L40" i="21"/>
  <c r="M40" i="21"/>
  <c r="S40" i="21"/>
  <c r="T40" i="21"/>
  <c r="U40" i="21"/>
  <c r="AD40" i="21"/>
  <c r="AE40" i="21" s="1"/>
  <c r="AF40" i="21" s="1"/>
  <c r="K41" i="21"/>
  <c r="L41" i="21"/>
  <c r="M41" i="21"/>
  <c r="S41" i="21"/>
  <c r="T41" i="21"/>
  <c r="U41" i="21"/>
  <c r="AD41" i="21"/>
  <c r="AE41" i="21" s="1"/>
  <c r="AF41" i="21" s="1"/>
  <c r="K43" i="21"/>
  <c r="L43" i="21"/>
  <c r="M43" i="21"/>
  <c r="S43" i="21"/>
  <c r="T43" i="21"/>
  <c r="U43" i="21"/>
  <c r="AD43" i="21"/>
  <c r="K44" i="21"/>
  <c r="L44" i="21"/>
  <c r="M44" i="21"/>
  <c r="S44" i="21"/>
  <c r="T44" i="21"/>
  <c r="U44" i="21"/>
  <c r="AD44" i="21"/>
  <c r="AE44" i="21" s="1"/>
  <c r="AF44" i="21" s="1"/>
  <c r="K45" i="21"/>
  <c r="L45" i="21"/>
  <c r="M45" i="21"/>
  <c r="S45" i="21"/>
  <c r="T45" i="21"/>
  <c r="U45" i="21"/>
  <c r="AD45" i="21"/>
  <c r="AE45" i="21" s="1"/>
  <c r="AF45" i="21" s="1"/>
  <c r="K48" i="21"/>
  <c r="L48" i="21"/>
  <c r="M48" i="21"/>
  <c r="S48" i="21"/>
  <c r="T48" i="21"/>
  <c r="U48" i="21"/>
  <c r="AD48" i="21"/>
  <c r="K49" i="21"/>
  <c r="L49" i="21"/>
  <c r="M49" i="21"/>
  <c r="S49" i="21"/>
  <c r="T49" i="21"/>
  <c r="U49" i="21"/>
  <c r="AD49" i="21"/>
  <c r="AE49" i="21" s="1"/>
  <c r="AF49" i="21" s="1"/>
  <c r="K50" i="21"/>
  <c r="L50" i="21"/>
  <c r="M50" i="21"/>
  <c r="S50" i="21"/>
  <c r="T50" i="21"/>
  <c r="U50" i="21"/>
  <c r="AD50" i="21"/>
  <c r="AE50" i="21" s="1"/>
  <c r="AF50" i="21" s="1"/>
  <c r="K51" i="21"/>
  <c r="L51" i="21"/>
  <c r="M51" i="21"/>
  <c r="S51" i="21"/>
  <c r="T51" i="21"/>
  <c r="U51" i="21"/>
  <c r="AD51" i="21"/>
  <c r="AE51" i="21" s="1"/>
  <c r="AF51" i="21" s="1"/>
  <c r="K52" i="21"/>
  <c r="L52" i="21"/>
  <c r="M52" i="21"/>
  <c r="S52" i="21"/>
  <c r="T52" i="21"/>
  <c r="U52" i="21"/>
  <c r="AD52" i="21"/>
  <c r="AE52" i="21" s="1"/>
  <c r="AF52" i="21" s="1"/>
  <c r="K53" i="21"/>
  <c r="L53" i="21"/>
  <c r="M53" i="21"/>
  <c r="S53" i="21"/>
  <c r="T53" i="21"/>
  <c r="U53" i="21"/>
  <c r="AD53" i="21"/>
  <c r="AE53" i="21" s="1"/>
  <c r="AF53" i="21" s="1"/>
  <c r="K54" i="21"/>
  <c r="L54" i="21"/>
  <c r="M54" i="21"/>
  <c r="S54" i="21"/>
  <c r="T54" i="21"/>
  <c r="U54" i="21"/>
  <c r="AD54" i="21"/>
  <c r="AE54" i="21" s="1"/>
  <c r="AF54" i="21" s="1"/>
  <c r="K55" i="21"/>
  <c r="L55" i="21"/>
  <c r="M55" i="21"/>
  <c r="S55" i="21"/>
  <c r="T55" i="21"/>
  <c r="U55" i="21"/>
  <c r="AD55" i="21"/>
  <c r="AE55" i="21" s="1"/>
  <c r="AF55" i="21" s="1"/>
  <c r="K56" i="21"/>
  <c r="L56" i="21"/>
  <c r="M56" i="21"/>
  <c r="S56" i="21"/>
  <c r="T56" i="21"/>
  <c r="U56" i="21"/>
  <c r="AD56" i="21"/>
  <c r="AE56" i="21" s="1"/>
  <c r="AF56" i="21" s="1"/>
  <c r="K57" i="21"/>
  <c r="L57" i="21"/>
  <c r="M57" i="21"/>
  <c r="S57" i="21"/>
  <c r="T57" i="21"/>
  <c r="U57" i="21"/>
  <c r="AD57" i="21"/>
  <c r="AE57" i="21" s="1"/>
  <c r="AF57" i="21" s="1"/>
  <c r="K60" i="21"/>
  <c r="L60" i="21"/>
  <c r="M60" i="21"/>
  <c r="S60" i="21"/>
  <c r="T60" i="21"/>
  <c r="U60" i="21"/>
  <c r="AD60" i="21"/>
  <c r="K61" i="21"/>
  <c r="L61" i="21"/>
  <c r="M61" i="21"/>
  <c r="S61" i="21"/>
  <c r="T61" i="21"/>
  <c r="U61" i="21"/>
  <c r="AD61" i="21"/>
  <c r="AE61" i="21" s="1"/>
  <c r="AF61" i="21" s="1"/>
  <c r="K62" i="21"/>
  <c r="L62" i="21"/>
  <c r="M62" i="21"/>
  <c r="S62" i="21"/>
  <c r="T62" i="21"/>
  <c r="U62" i="21"/>
  <c r="AD62" i="21"/>
  <c r="AE62" i="21" s="1"/>
  <c r="AF62" i="21" s="1"/>
  <c r="K63" i="21"/>
  <c r="L63" i="21"/>
  <c r="M63" i="21"/>
  <c r="S63" i="21"/>
  <c r="T63" i="21"/>
  <c r="U63" i="21"/>
  <c r="AD63" i="21"/>
  <c r="AE63" i="21" s="1"/>
  <c r="AF63" i="21" s="1"/>
  <c r="K64" i="21"/>
  <c r="L64" i="21"/>
  <c r="M64" i="21"/>
  <c r="S64" i="21"/>
  <c r="T64" i="21"/>
  <c r="U64" i="21"/>
  <c r="AD64" i="21"/>
  <c r="AE64" i="21" s="1"/>
  <c r="AF64" i="21" s="1"/>
  <c r="K66" i="21"/>
  <c r="L66" i="21"/>
  <c r="M66" i="21"/>
  <c r="S66" i="21"/>
  <c r="T66" i="21"/>
  <c r="U66" i="21"/>
  <c r="AD66" i="21"/>
  <c r="K67" i="21"/>
  <c r="L67" i="21"/>
  <c r="M67" i="21"/>
  <c r="S67" i="21"/>
  <c r="T67" i="21"/>
  <c r="U67" i="21"/>
  <c r="AD67" i="21"/>
  <c r="AE67" i="21" s="1"/>
  <c r="AF67" i="21" s="1"/>
  <c r="K68" i="21"/>
  <c r="L68" i="21"/>
  <c r="M68" i="21"/>
  <c r="S68" i="21"/>
  <c r="T68" i="21"/>
  <c r="U68" i="21"/>
  <c r="AD68" i="21"/>
  <c r="AE68" i="21" s="1"/>
  <c r="AF68" i="21" s="1"/>
  <c r="K69" i="21"/>
  <c r="L69" i="21"/>
  <c r="M69" i="21"/>
  <c r="S69" i="21"/>
  <c r="T69" i="21"/>
  <c r="U69" i="21"/>
  <c r="AD69" i="21"/>
  <c r="AE69" i="21" s="1"/>
  <c r="AF69" i="21" s="1"/>
  <c r="K70" i="21"/>
  <c r="L70" i="21"/>
  <c r="M70" i="21"/>
  <c r="S70" i="21"/>
  <c r="T70" i="21"/>
  <c r="U70" i="21"/>
  <c r="AD70" i="21"/>
  <c r="AE70" i="21" s="1"/>
  <c r="AF70" i="21" s="1"/>
  <c r="K71" i="21"/>
  <c r="L71" i="21"/>
  <c r="M71" i="21"/>
  <c r="S71" i="21"/>
  <c r="T71" i="21"/>
  <c r="U71" i="21"/>
  <c r="AD71" i="21"/>
  <c r="AE71" i="21" s="1"/>
  <c r="AF71" i="21" s="1"/>
  <c r="K73" i="21"/>
  <c r="L73" i="21"/>
  <c r="M73" i="21"/>
  <c r="S73" i="21"/>
  <c r="T73" i="21"/>
  <c r="U73" i="21"/>
  <c r="AD73" i="21"/>
  <c r="K74" i="21"/>
  <c r="L74" i="21"/>
  <c r="M74" i="21"/>
  <c r="S74" i="21"/>
  <c r="T74" i="21"/>
  <c r="U74" i="21"/>
  <c r="AD74" i="21"/>
  <c r="AE74" i="21" s="1"/>
  <c r="AF74" i="21" s="1"/>
  <c r="K75" i="21"/>
  <c r="L75" i="21"/>
  <c r="M75" i="21"/>
  <c r="S75" i="21"/>
  <c r="T75" i="21"/>
  <c r="U75" i="21"/>
  <c r="AD75" i="21"/>
  <c r="AE75" i="21" s="1"/>
  <c r="AF75" i="21" s="1"/>
  <c r="K76" i="21"/>
  <c r="L76" i="21"/>
  <c r="M76" i="21"/>
  <c r="S76" i="21"/>
  <c r="T76" i="21"/>
  <c r="U76" i="21"/>
  <c r="AD76" i="21"/>
  <c r="AE76" i="21" s="1"/>
  <c r="AF76" i="21" s="1"/>
  <c r="K77" i="21"/>
  <c r="L77" i="21"/>
  <c r="M77" i="21"/>
  <c r="S77" i="21"/>
  <c r="T77" i="21"/>
  <c r="U77" i="21"/>
  <c r="AD77" i="21"/>
  <c r="AE77" i="21" s="1"/>
  <c r="AF77" i="21" s="1"/>
  <c r="AC143" i="21"/>
  <c r="Z143" i="21"/>
  <c r="Y143" i="21"/>
  <c r="X143" i="21"/>
  <c r="W143" i="21"/>
  <c r="V143" i="21"/>
  <c r="R143" i="21"/>
  <c r="Q143" i="21"/>
  <c r="P143" i="21"/>
  <c r="O143" i="21"/>
  <c r="N143" i="21"/>
  <c r="J143" i="21"/>
  <c r="I143" i="21"/>
  <c r="H143" i="21"/>
  <c r="G143" i="21"/>
  <c r="F143" i="21"/>
  <c r="E143" i="21"/>
  <c r="D143" i="21"/>
  <c r="C143" i="21"/>
  <c r="AD141" i="21"/>
  <c r="AE141" i="21" s="1"/>
  <c r="AF141" i="21" s="1"/>
  <c r="U141" i="21"/>
  <c r="T141" i="21"/>
  <c r="S141" i="21"/>
  <c r="M141" i="21"/>
  <c r="L141" i="21"/>
  <c r="K141" i="21"/>
  <c r="AD132" i="21"/>
  <c r="AE132" i="21" s="1"/>
  <c r="AF132" i="21" s="1"/>
  <c r="U132" i="21"/>
  <c r="T132" i="21"/>
  <c r="S132" i="21"/>
  <c r="M132" i="21"/>
  <c r="L132" i="21"/>
  <c r="K132" i="21"/>
  <c r="Z128" i="21"/>
  <c r="Y128" i="21"/>
  <c r="X128" i="21"/>
  <c r="AD126" i="21"/>
  <c r="AE126" i="21" s="1"/>
  <c r="U126" i="21"/>
  <c r="T126" i="21"/>
  <c r="S126" i="21"/>
  <c r="M126" i="21"/>
  <c r="L126" i="21"/>
  <c r="K126" i="21"/>
  <c r="AC117" i="21"/>
  <c r="W117" i="21"/>
  <c r="V117" i="21"/>
  <c r="R117" i="21"/>
  <c r="Q117" i="21"/>
  <c r="P117" i="21"/>
  <c r="O117" i="21"/>
  <c r="N117" i="21"/>
  <c r="J117" i="21"/>
  <c r="I117" i="21"/>
  <c r="H117" i="21"/>
  <c r="G117" i="21"/>
  <c r="F117" i="21"/>
  <c r="E117" i="21"/>
  <c r="D117" i="21"/>
  <c r="C117" i="21"/>
  <c r="AD115" i="21"/>
  <c r="AE115" i="21" s="1"/>
  <c r="AF115" i="21" s="1"/>
  <c r="U115" i="21"/>
  <c r="T115" i="21"/>
  <c r="S115" i="21"/>
  <c r="M115" i="21"/>
  <c r="L115" i="21"/>
  <c r="K115" i="21"/>
  <c r="AD114" i="21"/>
  <c r="AE114" i="21" s="1"/>
  <c r="AF114" i="21" s="1"/>
  <c r="U114" i="21"/>
  <c r="T114" i="21"/>
  <c r="S114" i="21"/>
  <c r="M114" i="21"/>
  <c r="L114" i="21"/>
  <c r="K114" i="21"/>
  <c r="AC104" i="21"/>
  <c r="W104" i="21"/>
  <c r="V104" i="21"/>
  <c r="R104" i="21"/>
  <c r="Q104" i="21"/>
  <c r="P104" i="21"/>
  <c r="O104" i="21"/>
  <c r="N104" i="21"/>
  <c r="J104" i="21"/>
  <c r="I104" i="21"/>
  <c r="H104" i="21"/>
  <c r="G104" i="21"/>
  <c r="F104" i="21"/>
  <c r="E104" i="21"/>
  <c r="D104" i="21"/>
  <c r="C104" i="21"/>
  <c r="AC102" i="21"/>
  <c r="Z102" i="21"/>
  <c r="Y102" i="21"/>
  <c r="X102" i="21"/>
  <c r="W102" i="21"/>
  <c r="V102" i="21"/>
  <c r="R102" i="21"/>
  <c r="Q102" i="21"/>
  <c r="P102" i="21"/>
  <c r="O102" i="21"/>
  <c r="N102" i="21"/>
  <c r="J102" i="21"/>
  <c r="I102" i="21"/>
  <c r="H102" i="21"/>
  <c r="G102" i="21"/>
  <c r="F102" i="21"/>
  <c r="E102" i="21"/>
  <c r="D102" i="21"/>
  <c r="C102" i="21"/>
  <c r="AD100" i="21"/>
  <c r="AE100" i="21" s="1"/>
  <c r="AF100" i="21" s="1"/>
  <c r="U100" i="21"/>
  <c r="T100" i="21"/>
  <c r="S100" i="21"/>
  <c r="M100" i="21"/>
  <c r="L100" i="21"/>
  <c r="K100" i="21"/>
  <c r="AD99" i="21"/>
  <c r="AE99" i="21" s="1"/>
  <c r="AF99" i="21" s="1"/>
  <c r="U99" i="21"/>
  <c r="T99" i="21"/>
  <c r="S99" i="21"/>
  <c r="M99" i="21"/>
  <c r="L99" i="21"/>
  <c r="K99" i="21"/>
  <c r="AD98" i="21"/>
  <c r="AE98" i="21" s="1"/>
  <c r="AF98" i="21" s="1"/>
  <c r="U98" i="21"/>
  <c r="T98" i="21"/>
  <c r="S98" i="21"/>
  <c r="M98" i="21"/>
  <c r="L98" i="21"/>
  <c r="K98" i="21"/>
  <c r="AD97" i="21"/>
  <c r="AE97" i="21" s="1"/>
  <c r="AF97" i="21" s="1"/>
  <c r="U97" i="21"/>
  <c r="T97" i="21"/>
  <c r="S97" i="21"/>
  <c r="M97" i="21"/>
  <c r="L97" i="21"/>
  <c r="K97" i="21"/>
  <c r="AD96" i="21"/>
  <c r="AE96" i="21" s="1"/>
  <c r="AF96" i="21" s="1"/>
  <c r="U96" i="21"/>
  <c r="T96" i="21"/>
  <c r="S96" i="21"/>
  <c r="M96" i="21"/>
  <c r="L96" i="21"/>
  <c r="K96" i="21"/>
  <c r="AD95" i="21"/>
  <c r="AE95" i="21" s="1"/>
  <c r="AF95" i="21" s="1"/>
  <c r="U95" i="21"/>
  <c r="T95" i="21"/>
  <c r="S95" i="21"/>
  <c r="M95" i="21"/>
  <c r="L95" i="21"/>
  <c r="K95" i="21"/>
  <c r="AD94" i="21"/>
  <c r="AE94" i="21" s="1"/>
  <c r="AF94" i="21" s="1"/>
  <c r="U94" i="21"/>
  <c r="T94" i="21"/>
  <c r="S94" i="21"/>
  <c r="M94" i="21"/>
  <c r="L94" i="21"/>
  <c r="K94" i="21"/>
  <c r="AD93" i="21"/>
  <c r="AE93" i="21" s="1"/>
  <c r="AF93" i="21" s="1"/>
  <c r="U93" i="21"/>
  <c r="T93" i="21"/>
  <c r="S93" i="21"/>
  <c r="M93" i="21"/>
  <c r="L93" i="21"/>
  <c r="K93" i="21"/>
  <c r="AD92" i="21"/>
  <c r="AE92" i="21" s="1"/>
  <c r="AF92" i="21" s="1"/>
  <c r="U92" i="21"/>
  <c r="T92" i="21"/>
  <c r="S92" i="21"/>
  <c r="M92" i="21"/>
  <c r="L92" i="21"/>
  <c r="K92" i="21"/>
  <c r="AD91" i="21"/>
  <c r="AE91" i="21" s="1"/>
  <c r="AF91" i="21" s="1"/>
  <c r="U91" i="21"/>
  <c r="T91" i="21"/>
  <c r="S91" i="21"/>
  <c r="M91" i="21"/>
  <c r="L91" i="21"/>
  <c r="K91" i="21"/>
  <c r="AD90" i="21"/>
  <c r="AE90" i="21" s="1"/>
  <c r="AF90" i="21" s="1"/>
  <c r="U90" i="21"/>
  <c r="T90" i="21"/>
  <c r="S90" i="21"/>
  <c r="M90" i="21"/>
  <c r="L90" i="21"/>
  <c r="K90" i="21"/>
  <c r="AD89" i="21"/>
  <c r="AE89" i="21" s="1"/>
  <c r="AF89" i="21" s="1"/>
  <c r="U89" i="21"/>
  <c r="T89" i="21"/>
  <c r="S89" i="21"/>
  <c r="M89" i="21"/>
  <c r="L89" i="21"/>
  <c r="K89" i="21"/>
  <c r="AD88" i="21"/>
  <c r="AE88" i="21" s="1"/>
  <c r="AF88" i="21" s="1"/>
  <c r="U88" i="21"/>
  <c r="T88" i="21"/>
  <c r="S88" i="21"/>
  <c r="M88" i="21"/>
  <c r="L88" i="21"/>
  <c r="K88" i="21"/>
  <c r="AD87" i="21"/>
  <c r="AE87" i="21" s="1"/>
  <c r="AF87" i="21" s="1"/>
  <c r="U87" i="21"/>
  <c r="T87" i="21"/>
  <c r="S87" i="21"/>
  <c r="M87" i="21"/>
  <c r="L87" i="21"/>
  <c r="K87" i="21"/>
  <c r="AD86" i="21"/>
  <c r="AE86" i="21" s="1"/>
  <c r="AF86" i="21" s="1"/>
  <c r="U86" i="21"/>
  <c r="T86" i="21"/>
  <c r="S86" i="21"/>
  <c r="M86" i="21"/>
  <c r="L86" i="21"/>
  <c r="K86" i="21"/>
  <c r="AD85" i="21"/>
  <c r="AE85" i="21" s="1"/>
  <c r="AF85" i="21" s="1"/>
  <c r="U85" i="21"/>
  <c r="T85" i="21"/>
  <c r="S85" i="21"/>
  <c r="M85" i="21"/>
  <c r="L85" i="21"/>
  <c r="K85" i="21"/>
  <c r="AD84" i="21"/>
  <c r="AE84" i="21" s="1"/>
  <c r="AF84" i="21" s="1"/>
  <c r="U84" i="21"/>
  <c r="T84" i="21"/>
  <c r="S84" i="21"/>
  <c r="M84" i="21"/>
  <c r="L84" i="21"/>
  <c r="K84" i="21"/>
  <c r="AD83" i="21"/>
  <c r="AE83" i="21" s="1"/>
  <c r="U83" i="21"/>
  <c r="T83" i="21"/>
  <c r="S83" i="21"/>
  <c r="M83" i="21"/>
  <c r="L83" i="21"/>
  <c r="K83" i="21"/>
  <c r="Z81" i="21"/>
  <c r="Y81" i="21"/>
  <c r="X81" i="21"/>
  <c r="AB128" i="21" l="1"/>
  <c r="S32" i="21"/>
  <c r="Z130" i="21"/>
  <c r="Z134" i="21" s="1"/>
  <c r="Z145" i="21" s="1"/>
  <c r="J128" i="21"/>
  <c r="T9" i="21"/>
  <c r="AC128" i="21"/>
  <c r="S59" i="21"/>
  <c r="I128" i="21"/>
  <c r="E128" i="21"/>
  <c r="P128" i="21"/>
  <c r="F47" i="21"/>
  <c r="N47" i="21"/>
  <c r="T32" i="21"/>
  <c r="M23" i="21"/>
  <c r="T46" i="21"/>
  <c r="M72" i="21"/>
  <c r="R79" i="21"/>
  <c r="V47" i="21"/>
  <c r="M37" i="21"/>
  <c r="S72" i="21"/>
  <c r="W128" i="21"/>
  <c r="T42" i="21"/>
  <c r="O128" i="21"/>
  <c r="T37" i="21"/>
  <c r="S23" i="21"/>
  <c r="J79" i="21"/>
  <c r="T102" i="21"/>
  <c r="AF25" i="21"/>
  <c r="AE29" i="21"/>
  <c r="M102" i="21"/>
  <c r="AD12" i="21"/>
  <c r="T58" i="21"/>
  <c r="S12" i="21"/>
  <c r="K32" i="21"/>
  <c r="K37" i="21"/>
  <c r="AE13" i="21"/>
  <c r="AD23" i="21"/>
  <c r="AE66" i="21"/>
  <c r="AD72" i="21"/>
  <c r="H24" i="21"/>
  <c r="P24" i="21"/>
  <c r="E38" i="21"/>
  <c r="W38" i="21"/>
  <c r="J47" i="21"/>
  <c r="R47" i="21"/>
  <c r="G79" i="21"/>
  <c r="O79" i="21"/>
  <c r="F79" i="21"/>
  <c r="K78" i="21"/>
  <c r="AE39" i="21"/>
  <c r="AD42" i="21"/>
  <c r="AE43" i="21"/>
  <c r="AD46" i="21"/>
  <c r="AE5" i="21"/>
  <c r="AD9" i="21"/>
  <c r="T12" i="21"/>
  <c r="W24" i="21"/>
  <c r="S37" i="21"/>
  <c r="AD29" i="21"/>
  <c r="F128" i="21"/>
  <c r="Q128" i="21"/>
  <c r="AE60" i="21"/>
  <c r="AD65" i="21"/>
  <c r="AE33" i="21"/>
  <c r="AD37" i="21"/>
  <c r="G47" i="21"/>
  <c r="O47" i="21"/>
  <c r="AE73" i="21"/>
  <c r="AD78" i="21"/>
  <c r="G128" i="21"/>
  <c r="R128" i="21"/>
  <c r="AE48" i="21"/>
  <c r="AD58" i="21"/>
  <c r="AD59" i="21" s="1"/>
  <c r="AE10" i="21"/>
  <c r="S58" i="21"/>
  <c r="D24" i="21"/>
  <c r="V24" i="21"/>
  <c r="T29" i="21"/>
  <c r="C79" i="21"/>
  <c r="S143" i="21"/>
  <c r="D47" i="21"/>
  <c r="I79" i="21"/>
  <c r="Q79" i="21"/>
  <c r="K42" i="21"/>
  <c r="L102" i="21"/>
  <c r="K102" i="21"/>
  <c r="H128" i="21"/>
  <c r="V128" i="21"/>
  <c r="K58" i="21"/>
  <c r="C47" i="21"/>
  <c r="D38" i="21"/>
  <c r="N79" i="21"/>
  <c r="C128" i="21"/>
  <c r="S65" i="21"/>
  <c r="F24" i="21"/>
  <c r="U102" i="21"/>
  <c r="D128" i="21"/>
  <c r="K117" i="21"/>
  <c r="T65" i="21"/>
  <c r="E24" i="21"/>
  <c r="V38" i="21"/>
  <c r="K65" i="21"/>
  <c r="K72" i="21"/>
  <c r="T72" i="21"/>
  <c r="M12" i="21"/>
  <c r="K46" i="21"/>
  <c r="T78" i="21"/>
  <c r="AB81" i="21"/>
  <c r="AD104" i="21"/>
  <c r="AD117" i="21"/>
  <c r="K104" i="21"/>
  <c r="S117" i="21"/>
  <c r="T23" i="21"/>
  <c r="G24" i="21"/>
  <c r="I47" i="21"/>
  <c r="Q47" i="21"/>
  <c r="S102" i="21"/>
  <c r="K143" i="21"/>
  <c r="K9" i="21"/>
  <c r="S29" i="21"/>
  <c r="S78" i="21"/>
  <c r="K12" i="21"/>
  <c r="L23" i="21"/>
  <c r="U23" i="21"/>
  <c r="C38" i="21"/>
  <c r="H47" i="21"/>
  <c r="P47" i="21"/>
  <c r="E79" i="21"/>
  <c r="W79" i="21"/>
  <c r="L72" i="21"/>
  <c r="U72" i="21"/>
  <c r="O24" i="21"/>
  <c r="S42" i="21"/>
  <c r="L12" i="21"/>
  <c r="U12" i="21"/>
  <c r="I38" i="21"/>
  <c r="Q38" i="21"/>
  <c r="H38" i="21"/>
  <c r="P38" i="21"/>
  <c r="N24" i="21"/>
  <c r="T117" i="21"/>
  <c r="C24" i="21"/>
  <c r="E47" i="21"/>
  <c r="W47" i="21"/>
  <c r="Y130" i="21"/>
  <c r="Y134" i="21" s="1"/>
  <c r="Y145" i="21" s="1"/>
  <c r="L117" i="21"/>
  <c r="S46" i="21"/>
  <c r="J24" i="21"/>
  <c r="R24" i="21"/>
  <c r="K23" i="21"/>
  <c r="G38" i="21"/>
  <c r="O38" i="21"/>
  <c r="L42" i="21"/>
  <c r="U42" i="21"/>
  <c r="T104" i="21"/>
  <c r="I24" i="21"/>
  <c r="L37" i="21"/>
  <c r="U37" i="21"/>
  <c r="U59" i="21"/>
  <c r="L59" i="21"/>
  <c r="M59" i="21"/>
  <c r="AE102" i="21"/>
  <c r="AF83" i="21"/>
  <c r="AF102" i="21" s="1"/>
  <c r="AF126" i="21"/>
  <c r="AF117" i="21" s="1"/>
  <c r="AE117" i="21"/>
  <c r="AF104" i="21"/>
  <c r="AD102" i="21"/>
  <c r="AE104" i="21"/>
  <c r="S104" i="21"/>
  <c r="S9" i="21"/>
  <c r="J38" i="21"/>
  <c r="R38" i="21"/>
  <c r="L46" i="21"/>
  <c r="U46" i="21"/>
  <c r="M46" i="21"/>
  <c r="K59" i="21"/>
  <c r="L65" i="21"/>
  <c r="D79" i="21"/>
  <c r="V79" i="21"/>
  <c r="U65" i="21"/>
  <c r="N128" i="21"/>
  <c r="U104" i="21"/>
  <c r="M104" i="21"/>
  <c r="U143" i="21"/>
  <c r="M143" i="21"/>
  <c r="T143" i="21"/>
  <c r="L143" i="21"/>
  <c r="L32" i="21"/>
  <c r="U32" i="21"/>
  <c r="M32" i="21"/>
  <c r="L104" i="21"/>
  <c r="AD143" i="21"/>
  <c r="AE138" i="21"/>
  <c r="U117" i="21"/>
  <c r="M117" i="21"/>
  <c r="X130" i="21"/>
  <c r="X134" i="21" s="1"/>
  <c r="X145" i="21" s="1"/>
  <c r="K29" i="21"/>
  <c r="F38" i="21"/>
  <c r="L29" i="21"/>
  <c r="N38" i="21"/>
  <c r="U29" i="21"/>
  <c r="M29" i="21"/>
  <c r="T59" i="21"/>
  <c r="H79" i="21"/>
  <c r="P79" i="21"/>
  <c r="L78" i="21"/>
  <c r="U78" i="21"/>
  <c r="M78" i="21"/>
  <c r="Q24" i="21"/>
  <c r="L9" i="21"/>
  <c r="U9" i="21"/>
  <c r="M9" i="21"/>
  <c r="L58" i="21"/>
  <c r="U58" i="21"/>
  <c r="M58" i="21"/>
  <c r="M42" i="21"/>
  <c r="M65" i="21"/>
  <c r="L24" i="21" l="1"/>
  <c r="T38" i="21"/>
  <c r="S47" i="21"/>
  <c r="L47" i="21"/>
  <c r="M47" i="21"/>
  <c r="S79" i="21"/>
  <c r="AD38" i="21"/>
  <c r="U47" i="21"/>
  <c r="K128" i="21"/>
  <c r="M79" i="21"/>
  <c r="R81" i="21"/>
  <c r="R130" i="21" s="1"/>
  <c r="R134" i="21" s="1"/>
  <c r="R145" i="21" s="1"/>
  <c r="E81" i="21"/>
  <c r="E130" i="21" s="1"/>
  <c r="AD47" i="21"/>
  <c r="K79" i="21"/>
  <c r="S38" i="21"/>
  <c r="AD24" i="21"/>
  <c r="M24" i="21"/>
  <c r="U24" i="21"/>
  <c r="V81" i="21"/>
  <c r="V130" i="21" s="1"/>
  <c r="V134" i="21" s="1"/>
  <c r="V145" i="21" s="1"/>
  <c r="J81" i="21"/>
  <c r="J130" i="21" s="1"/>
  <c r="J134" i="21" s="1"/>
  <c r="J145" i="21" s="1"/>
  <c r="O81" i="21"/>
  <c r="O130" i="21" s="1"/>
  <c r="O134" i="21" s="1"/>
  <c r="O145" i="21" s="1"/>
  <c r="W81" i="21"/>
  <c r="W130" i="21" s="1"/>
  <c r="W134" i="21" s="1"/>
  <c r="W145" i="21" s="1"/>
  <c r="D81" i="21"/>
  <c r="D130" i="21" s="1"/>
  <c r="D134" i="21" s="1"/>
  <c r="D145" i="21" s="1"/>
  <c r="AD79" i="21"/>
  <c r="AF39" i="21"/>
  <c r="AE42" i="21"/>
  <c r="AF73" i="21"/>
  <c r="AF78" i="21" s="1"/>
  <c r="AH78" i="21" s="1"/>
  <c r="AE78" i="21"/>
  <c r="AF60" i="21"/>
  <c r="AE65" i="21"/>
  <c r="I81" i="21"/>
  <c r="I130" i="21" s="1"/>
  <c r="I134" i="21" s="1"/>
  <c r="I145" i="21" s="1"/>
  <c r="T79" i="21"/>
  <c r="S128" i="21"/>
  <c r="K24" i="21"/>
  <c r="AF10" i="21"/>
  <c r="AF12" i="21" s="1"/>
  <c r="AE12" i="21"/>
  <c r="AF5" i="21"/>
  <c r="AF9" i="21" s="1"/>
  <c r="AH9" i="21" s="1"/>
  <c r="AE9" i="21"/>
  <c r="AF66" i="21"/>
  <c r="AF72" i="21" s="1"/>
  <c r="AH72" i="21" s="1"/>
  <c r="AE72" i="21"/>
  <c r="K47" i="21"/>
  <c r="AF48" i="21"/>
  <c r="AE58" i="21"/>
  <c r="AE59" i="21" s="1"/>
  <c r="AF43" i="21"/>
  <c r="AF46" i="21" s="1"/>
  <c r="AH46" i="21" s="1"/>
  <c r="AE46" i="21"/>
  <c r="AF33" i="21"/>
  <c r="AF37" i="21" s="1"/>
  <c r="AH37" i="21" s="1"/>
  <c r="AE37" i="21"/>
  <c r="AE38" i="21" s="1"/>
  <c r="AF13" i="21"/>
  <c r="AF23" i="21" s="1"/>
  <c r="AE23" i="21"/>
  <c r="AF29" i="21"/>
  <c r="AH29" i="21" s="1"/>
  <c r="AB130" i="21"/>
  <c r="AB134" i="21" s="1"/>
  <c r="AB145" i="21" s="1"/>
  <c r="L79" i="21"/>
  <c r="H81" i="21"/>
  <c r="H130" i="21" s="1"/>
  <c r="H134" i="21" s="1"/>
  <c r="H145" i="21" s="1"/>
  <c r="T47" i="21"/>
  <c r="C81" i="21"/>
  <c r="C130" i="21" s="1"/>
  <c r="C134" i="21" s="1"/>
  <c r="C145" i="21" s="1"/>
  <c r="AE128" i="21"/>
  <c r="Q81" i="21"/>
  <c r="Q130" i="21" s="1"/>
  <c r="AD128" i="21"/>
  <c r="K38" i="21"/>
  <c r="P81" i="21"/>
  <c r="P130" i="21" s="1"/>
  <c r="P134" i="21" s="1"/>
  <c r="P145" i="21" s="1"/>
  <c r="G81" i="21"/>
  <c r="G130" i="21" s="1"/>
  <c r="G134" i="21" s="1"/>
  <c r="G145" i="21" s="1"/>
  <c r="U79" i="21"/>
  <c r="M38" i="21"/>
  <c r="L38" i="21"/>
  <c r="U38" i="21"/>
  <c r="AF128" i="21"/>
  <c r="N81" i="21"/>
  <c r="F81" i="21"/>
  <c r="F130" i="21" s="1"/>
  <c r="F134" i="21" s="1"/>
  <c r="F145" i="21" s="1"/>
  <c r="AF138" i="21"/>
  <c r="AF143" i="21" s="1"/>
  <c r="AE143" i="21"/>
  <c r="L128" i="21"/>
  <c r="M128" i="21"/>
  <c r="U128" i="21"/>
  <c r="T128" i="21"/>
  <c r="T24" i="21"/>
  <c r="S24" i="21"/>
  <c r="N133" i="2"/>
  <c r="R133" i="2"/>
  <c r="X9" i="2"/>
  <c r="Y9" i="2"/>
  <c r="Z9" i="2"/>
  <c r="AA9" i="2"/>
  <c r="AB9" i="2"/>
  <c r="AC9" i="2"/>
  <c r="AG9" i="2"/>
  <c r="AE47" i="21" l="1"/>
  <c r="AE24" i="21"/>
  <c r="S81" i="21"/>
  <c r="AF42" i="21"/>
  <c r="AH42" i="21" s="1"/>
  <c r="AF65" i="21"/>
  <c r="AH65" i="21" s="1"/>
  <c r="AF38" i="21"/>
  <c r="AF58" i="21"/>
  <c r="AH58" i="21" s="1"/>
  <c r="AE79" i="21"/>
  <c r="AF24" i="21"/>
  <c r="AH24" i="21" s="1"/>
  <c r="AH23" i="21"/>
  <c r="U81" i="21"/>
  <c r="M81" i="21"/>
  <c r="N130" i="21"/>
  <c r="T130" i="21" s="1"/>
  <c r="L81" i="21"/>
  <c r="K81" i="21"/>
  <c r="AC32" i="21"/>
  <c r="AC38" i="21" s="1"/>
  <c r="E134" i="21"/>
  <c r="K130" i="21"/>
  <c r="T81" i="21"/>
  <c r="Q134" i="21"/>
  <c r="S130" i="21"/>
  <c r="AB102" i="2"/>
  <c r="W78" i="2"/>
  <c r="X78" i="2"/>
  <c r="Y78" i="2"/>
  <c r="Z78" i="2"/>
  <c r="AA78" i="2"/>
  <c r="AB78" i="2"/>
  <c r="AC78" i="2"/>
  <c r="W72" i="2"/>
  <c r="X72" i="2"/>
  <c r="Y72" i="2"/>
  <c r="Z72" i="2"/>
  <c r="AA72" i="2"/>
  <c r="AB72" i="2"/>
  <c r="AC72" i="2"/>
  <c r="W65" i="2"/>
  <c r="X65" i="2"/>
  <c r="Y65" i="2"/>
  <c r="Z65" i="2"/>
  <c r="AA65" i="2"/>
  <c r="AB65" i="2"/>
  <c r="AC65" i="2"/>
  <c r="W58" i="2"/>
  <c r="W59" i="2" s="1"/>
  <c r="X58" i="2"/>
  <c r="X59" i="2" s="1"/>
  <c r="Y58" i="2"/>
  <c r="Y59" i="2" s="1"/>
  <c r="Z58" i="2"/>
  <c r="Z59" i="2" s="1"/>
  <c r="AA58" i="2"/>
  <c r="AA59" i="2" s="1"/>
  <c r="AB58" i="2"/>
  <c r="AB59" i="2" s="1"/>
  <c r="AC58" i="2"/>
  <c r="AC59" i="2" s="1"/>
  <c r="W46" i="2"/>
  <c r="X46" i="2"/>
  <c r="Y46" i="2"/>
  <c r="Z46" i="2"/>
  <c r="AA46" i="2"/>
  <c r="AB46" i="2"/>
  <c r="AC46" i="2"/>
  <c r="W42" i="2"/>
  <c r="X42" i="2"/>
  <c r="Y42" i="2"/>
  <c r="Z42" i="2"/>
  <c r="AA42" i="2"/>
  <c r="AB42" i="2"/>
  <c r="AC42" i="2"/>
  <c r="W37" i="2"/>
  <c r="X37" i="2"/>
  <c r="Y37" i="2"/>
  <c r="Z37" i="2"/>
  <c r="AA37" i="2"/>
  <c r="AB37" i="2"/>
  <c r="AC37" i="2"/>
  <c r="W32" i="2"/>
  <c r="X32" i="2"/>
  <c r="Y32" i="2"/>
  <c r="Z32" i="2"/>
  <c r="AA32" i="2"/>
  <c r="AB32" i="2"/>
  <c r="AC32" i="2"/>
  <c r="W29" i="2"/>
  <c r="X29" i="2"/>
  <c r="Y29" i="2"/>
  <c r="Z29" i="2"/>
  <c r="AA29" i="2"/>
  <c r="AB29" i="2"/>
  <c r="AC29" i="2"/>
  <c r="W23" i="2"/>
  <c r="X23" i="2"/>
  <c r="Y23" i="2"/>
  <c r="Z23" i="2"/>
  <c r="AA23" i="2"/>
  <c r="AB23" i="2"/>
  <c r="AC23" i="2"/>
  <c r="W12" i="2"/>
  <c r="X12" i="2"/>
  <c r="Y12" i="2"/>
  <c r="Z12" i="2"/>
  <c r="AA12" i="2"/>
  <c r="AB12" i="2"/>
  <c r="AC12" i="2"/>
  <c r="V29" i="2"/>
  <c r="W47" i="2" l="1"/>
  <c r="Y24" i="2"/>
  <c r="AB47" i="2"/>
  <c r="Y47" i="2"/>
  <c r="AA47" i="2"/>
  <c r="X47" i="2"/>
  <c r="AF47" i="21"/>
  <c r="Y38" i="2"/>
  <c r="X79" i="2"/>
  <c r="AB79" i="2"/>
  <c r="AA79" i="2"/>
  <c r="W38" i="2"/>
  <c r="AF59" i="21"/>
  <c r="X24" i="2"/>
  <c r="AF79" i="21"/>
  <c r="AB38" i="2"/>
  <c r="S134" i="21"/>
  <c r="Q145" i="21"/>
  <c r="U130" i="21"/>
  <c r="M130" i="21"/>
  <c r="N134" i="21"/>
  <c r="T134" i="21" s="1"/>
  <c r="L130" i="21"/>
  <c r="K134" i="21"/>
  <c r="E145" i="21"/>
  <c r="K145" i="21" s="1"/>
  <c r="AA24" i="2"/>
  <c r="Z79" i="2"/>
  <c r="Y79" i="2"/>
  <c r="X38" i="2"/>
  <c r="AC47" i="2"/>
  <c r="W79" i="2"/>
  <c r="Z24" i="2"/>
  <c r="AA38" i="2"/>
  <c r="Z47" i="2"/>
  <c r="AC38" i="2"/>
  <c r="AC79" i="2"/>
  <c r="Z38" i="2"/>
  <c r="N145" i="21" l="1"/>
  <c r="T145" i="21" s="1"/>
  <c r="M134" i="21"/>
  <c r="L134" i="21"/>
  <c r="U134" i="21"/>
  <c r="S145" i="21"/>
  <c r="AC144" i="6"/>
  <c r="AB144" i="6"/>
  <c r="Z144" i="6"/>
  <c r="Y144" i="6"/>
  <c r="X144" i="6"/>
  <c r="W144" i="6"/>
  <c r="V144" i="6"/>
  <c r="R144" i="6"/>
  <c r="Q144" i="6"/>
  <c r="P144" i="6"/>
  <c r="O144" i="6"/>
  <c r="N144" i="6"/>
  <c r="J144" i="6"/>
  <c r="I144" i="6"/>
  <c r="H144" i="6"/>
  <c r="G144" i="6"/>
  <c r="F144" i="6"/>
  <c r="E144" i="6"/>
  <c r="D144" i="6"/>
  <c r="C144" i="6"/>
  <c r="AD142" i="6"/>
  <c r="AE142" i="6" s="1"/>
  <c r="AF142" i="6" s="1"/>
  <c r="U142" i="6"/>
  <c r="T142" i="6"/>
  <c r="S142" i="6"/>
  <c r="M142" i="6"/>
  <c r="L142" i="6"/>
  <c r="K142" i="6"/>
  <c r="AD141" i="6"/>
  <c r="AE141" i="6" s="1"/>
  <c r="AF141" i="6" s="1"/>
  <c r="U141" i="6"/>
  <c r="T141" i="6"/>
  <c r="S141" i="6"/>
  <c r="M141" i="6"/>
  <c r="L141" i="6"/>
  <c r="K141" i="6"/>
  <c r="AD140" i="6"/>
  <c r="AE140" i="6" s="1"/>
  <c r="AF140" i="6" s="1"/>
  <c r="U140" i="6"/>
  <c r="T140" i="6"/>
  <c r="S140" i="6"/>
  <c r="M140" i="6"/>
  <c r="L140" i="6"/>
  <c r="K140" i="6"/>
  <c r="AD139" i="6"/>
  <c r="AE139" i="6" s="1"/>
  <c r="U139" i="6"/>
  <c r="T139" i="6"/>
  <c r="S139" i="6"/>
  <c r="M139" i="6"/>
  <c r="L139" i="6"/>
  <c r="K139" i="6"/>
  <c r="AD133" i="6"/>
  <c r="AE133" i="6" s="1"/>
  <c r="AF133" i="6" s="1"/>
  <c r="U133" i="6"/>
  <c r="T133" i="6"/>
  <c r="S133" i="6"/>
  <c r="M133" i="6"/>
  <c r="L133" i="6"/>
  <c r="K133" i="6"/>
  <c r="Z129" i="6"/>
  <c r="Y129" i="6"/>
  <c r="X129" i="6"/>
  <c r="AD127" i="6"/>
  <c r="AE127" i="6" s="1"/>
  <c r="AF127" i="6" s="1"/>
  <c r="U127" i="6"/>
  <c r="T127" i="6"/>
  <c r="S127" i="6"/>
  <c r="M127" i="6"/>
  <c r="L127" i="6"/>
  <c r="K127" i="6"/>
  <c r="AD126" i="6"/>
  <c r="AE126" i="6" s="1"/>
  <c r="AF126" i="6" s="1"/>
  <c r="U126" i="6"/>
  <c r="T126" i="6"/>
  <c r="S126" i="6"/>
  <c r="M126" i="6"/>
  <c r="L126" i="6"/>
  <c r="K126" i="6"/>
  <c r="AD125" i="6"/>
  <c r="AE125" i="6" s="1"/>
  <c r="AF125" i="6" s="1"/>
  <c r="U125" i="6"/>
  <c r="T125" i="6"/>
  <c r="S125" i="6"/>
  <c r="M125" i="6"/>
  <c r="L125" i="6"/>
  <c r="K125" i="6"/>
  <c r="AD124" i="6"/>
  <c r="AE124" i="6" s="1"/>
  <c r="AF124" i="6" s="1"/>
  <c r="U124" i="6"/>
  <c r="T124" i="6"/>
  <c r="S124" i="6"/>
  <c r="M124" i="6"/>
  <c r="L124" i="6"/>
  <c r="K124" i="6"/>
  <c r="AD123" i="6"/>
  <c r="AE123" i="6" s="1"/>
  <c r="AF123" i="6" s="1"/>
  <c r="U123" i="6"/>
  <c r="T123" i="6"/>
  <c r="S123" i="6"/>
  <c r="M123" i="6"/>
  <c r="L123" i="6"/>
  <c r="K123" i="6"/>
  <c r="AD122" i="6"/>
  <c r="AE122" i="6" s="1"/>
  <c r="AF122" i="6" s="1"/>
  <c r="U122" i="6"/>
  <c r="T122" i="6"/>
  <c r="S122" i="6"/>
  <c r="M122" i="6"/>
  <c r="L122" i="6"/>
  <c r="K122" i="6"/>
  <c r="AD121" i="6"/>
  <c r="AE121" i="6" s="1"/>
  <c r="AF121" i="6" s="1"/>
  <c r="U121" i="6"/>
  <c r="T121" i="6"/>
  <c r="S121" i="6"/>
  <c r="M121" i="6"/>
  <c r="L121" i="6"/>
  <c r="K121" i="6"/>
  <c r="AD120" i="6"/>
  <c r="AE120" i="6" s="1"/>
  <c r="AF120" i="6" s="1"/>
  <c r="U120" i="6"/>
  <c r="T120" i="6"/>
  <c r="S120" i="6"/>
  <c r="M120" i="6"/>
  <c r="L120" i="6"/>
  <c r="K120" i="6"/>
  <c r="AD119" i="6"/>
  <c r="AE119" i="6" s="1"/>
  <c r="AF119" i="6" s="1"/>
  <c r="U119" i="6"/>
  <c r="T119" i="6"/>
  <c r="S119" i="6"/>
  <c r="M119" i="6"/>
  <c r="L119" i="6"/>
  <c r="K119" i="6"/>
  <c r="AC118" i="6"/>
  <c r="AB118" i="6"/>
  <c r="W118" i="6"/>
  <c r="V118" i="6"/>
  <c r="R118" i="6"/>
  <c r="Q118" i="6"/>
  <c r="P118" i="6"/>
  <c r="O118" i="6"/>
  <c r="N118" i="6"/>
  <c r="J118" i="6"/>
  <c r="I118" i="6"/>
  <c r="H118" i="6"/>
  <c r="G118" i="6"/>
  <c r="F118" i="6"/>
  <c r="E118" i="6"/>
  <c r="D118" i="6"/>
  <c r="C118" i="6"/>
  <c r="AD116" i="6"/>
  <c r="AE116" i="6" s="1"/>
  <c r="AF116" i="6" s="1"/>
  <c r="U116" i="6"/>
  <c r="T116" i="6"/>
  <c r="S116" i="6"/>
  <c r="M116" i="6"/>
  <c r="L116" i="6"/>
  <c r="K116" i="6"/>
  <c r="AD115" i="6"/>
  <c r="AE115" i="6" s="1"/>
  <c r="AF115" i="6" s="1"/>
  <c r="U115" i="6"/>
  <c r="T115" i="6"/>
  <c r="S115" i="6"/>
  <c r="M115" i="6"/>
  <c r="L115" i="6"/>
  <c r="K115" i="6"/>
  <c r="AD114" i="6"/>
  <c r="AE114" i="6" s="1"/>
  <c r="AF114" i="6" s="1"/>
  <c r="U114" i="6"/>
  <c r="T114" i="6"/>
  <c r="S114" i="6"/>
  <c r="M114" i="6"/>
  <c r="L114" i="6"/>
  <c r="K114" i="6"/>
  <c r="AD113" i="6"/>
  <c r="AE113" i="6" s="1"/>
  <c r="AF113" i="6" s="1"/>
  <c r="U113" i="6"/>
  <c r="T113" i="6"/>
  <c r="S113" i="6"/>
  <c r="M113" i="6"/>
  <c r="L113" i="6"/>
  <c r="K113" i="6"/>
  <c r="AD112" i="6"/>
  <c r="AE112" i="6" s="1"/>
  <c r="AF112" i="6" s="1"/>
  <c r="U112" i="6"/>
  <c r="T112" i="6"/>
  <c r="S112" i="6"/>
  <c r="M112" i="6"/>
  <c r="L112" i="6"/>
  <c r="K112" i="6"/>
  <c r="AD111" i="6"/>
  <c r="AE111" i="6" s="1"/>
  <c r="AF111" i="6" s="1"/>
  <c r="U111" i="6"/>
  <c r="T111" i="6"/>
  <c r="S111" i="6"/>
  <c r="M111" i="6"/>
  <c r="L111" i="6"/>
  <c r="K111" i="6"/>
  <c r="AD110" i="6"/>
  <c r="AE110" i="6" s="1"/>
  <c r="AF110" i="6" s="1"/>
  <c r="U110" i="6"/>
  <c r="T110" i="6"/>
  <c r="S110" i="6"/>
  <c r="M110" i="6"/>
  <c r="L110" i="6"/>
  <c r="K110" i="6"/>
  <c r="AD109" i="6"/>
  <c r="AE109" i="6" s="1"/>
  <c r="AF109" i="6" s="1"/>
  <c r="U109" i="6"/>
  <c r="T109" i="6"/>
  <c r="S109" i="6"/>
  <c r="M109" i="6"/>
  <c r="L109" i="6"/>
  <c r="K109" i="6"/>
  <c r="AD108" i="6"/>
  <c r="AE108" i="6" s="1"/>
  <c r="AF108" i="6" s="1"/>
  <c r="U108" i="6"/>
  <c r="T108" i="6"/>
  <c r="S108" i="6"/>
  <c r="M108" i="6"/>
  <c r="L108" i="6"/>
  <c r="K108" i="6"/>
  <c r="AD107" i="6"/>
  <c r="AE107" i="6" s="1"/>
  <c r="AF107" i="6" s="1"/>
  <c r="U107" i="6"/>
  <c r="T107" i="6"/>
  <c r="S107" i="6"/>
  <c r="M107" i="6"/>
  <c r="L107" i="6"/>
  <c r="K107" i="6"/>
  <c r="AD106" i="6"/>
  <c r="AE106" i="6" s="1"/>
  <c r="AF106" i="6" s="1"/>
  <c r="U106" i="6"/>
  <c r="T106" i="6"/>
  <c r="S106" i="6"/>
  <c r="M106" i="6"/>
  <c r="L106" i="6"/>
  <c r="K106" i="6"/>
  <c r="AD105" i="6"/>
  <c r="AE105" i="6" s="1"/>
  <c r="U105" i="6"/>
  <c r="T105" i="6"/>
  <c r="S105" i="6"/>
  <c r="M105" i="6"/>
  <c r="L105" i="6"/>
  <c r="K105" i="6"/>
  <c r="AC104" i="6"/>
  <c r="AB104" i="6"/>
  <c r="W104" i="6"/>
  <c r="V104" i="6"/>
  <c r="R104" i="6"/>
  <c r="Q104" i="6"/>
  <c r="P104" i="6"/>
  <c r="O104" i="6"/>
  <c r="N104" i="6"/>
  <c r="J104" i="6"/>
  <c r="I104" i="6"/>
  <c r="H104" i="6"/>
  <c r="G104" i="6"/>
  <c r="F104" i="6"/>
  <c r="E104" i="6"/>
  <c r="D104" i="6"/>
  <c r="C104" i="6"/>
  <c r="AC102" i="6"/>
  <c r="AB102" i="6"/>
  <c r="Z102" i="6"/>
  <c r="Y102" i="6"/>
  <c r="X102" i="6"/>
  <c r="W102" i="6"/>
  <c r="V102" i="6"/>
  <c r="R102" i="6"/>
  <c r="Q102" i="6"/>
  <c r="P102" i="6"/>
  <c r="O102" i="6"/>
  <c r="N102" i="6"/>
  <c r="J102" i="6"/>
  <c r="I102" i="6"/>
  <c r="H102" i="6"/>
  <c r="G102" i="6"/>
  <c r="F102" i="6"/>
  <c r="E102" i="6"/>
  <c r="D102" i="6"/>
  <c r="C102" i="6"/>
  <c r="AD100" i="6"/>
  <c r="AE100" i="6" s="1"/>
  <c r="AF100" i="6" s="1"/>
  <c r="U100" i="6"/>
  <c r="T100" i="6"/>
  <c r="S100" i="6"/>
  <c r="M100" i="6"/>
  <c r="L100" i="6"/>
  <c r="K100" i="6"/>
  <c r="AD99" i="6"/>
  <c r="AE99" i="6" s="1"/>
  <c r="AF99" i="6" s="1"/>
  <c r="U99" i="6"/>
  <c r="T99" i="6"/>
  <c r="S99" i="6"/>
  <c r="M99" i="6"/>
  <c r="L99" i="6"/>
  <c r="K99" i="6"/>
  <c r="AD98" i="6"/>
  <c r="AE98" i="6" s="1"/>
  <c r="AF98" i="6" s="1"/>
  <c r="U98" i="6"/>
  <c r="T98" i="6"/>
  <c r="S98" i="6"/>
  <c r="M98" i="6"/>
  <c r="L98" i="6"/>
  <c r="K98" i="6"/>
  <c r="AD97" i="6"/>
  <c r="AE97" i="6" s="1"/>
  <c r="AF97" i="6" s="1"/>
  <c r="U97" i="6"/>
  <c r="T97" i="6"/>
  <c r="S97" i="6"/>
  <c r="M97" i="6"/>
  <c r="L97" i="6"/>
  <c r="K97" i="6"/>
  <c r="AD96" i="6"/>
  <c r="AE96" i="6" s="1"/>
  <c r="AF96" i="6" s="1"/>
  <c r="U96" i="6"/>
  <c r="T96" i="6"/>
  <c r="S96" i="6"/>
  <c r="M96" i="6"/>
  <c r="L96" i="6"/>
  <c r="K96" i="6"/>
  <c r="AD95" i="6"/>
  <c r="AE95" i="6" s="1"/>
  <c r="AF95" i="6" s="1"/>
  <c r="U95" i="6"/>
  <c r="T95" i="6"/>
  <c r="S95" i="6"/>
  <c r="M95" i="6"/>
  <c r="L95" i="6"/>
  <c r="K95" i="6"/>
  <c r="AD94" i="6"/>
  <c r="AE94" i="6" s="1"/>
  <c r="AF94" i="6" s="1"/>
  <c r="U94" i="6"/>
  <c r="T94" i="6"/>
  <c r="S94" i="6"/>
  <c r="M94" i="6"/>
  <c r="L94" i="6"/>
  <c r="K94" i="6"/>
  <c r="AD93" i="6"/>
  <c r="AE93" i="6" s="1"/>
  <c r="AF93" i="6" s="1"/>
  <c r="U93" i="6"/>
  <c r="T93" i="6"/>
  <c r="S93" i="6"/>
  <c r="M93" i="6"/>
  <c r="L93" i="6"/>
  <c r="K93" i="6"/>
  <c r="AD92" i="6"/>
  <c r="AE92" i="6" s="1"/>
  <c r="AF92" i="6" s="1"/>
  <c r="U92" i="6"/>
  <c r="T92" i="6"/>
  <c r="S92" i="6"/>
  <c r="M92" i="6"/>
  <c r="L92" i="6"/>
  <c r="K92" i="6"/>
  <c r="AD91" i="6"/>
  <c r="AE91" i="6" s="1"/>
  <c r="AF91" i="6" s="1"/>
  <c r="U91" i="6"/>
  <c r="T91" i="6"/>
  <c r="S91" i="6"/>
  <c r="M91" i="6"/>
  <c r="L91" i="6"/>
  <c r="K91" i="6"/>
  <c r="AD90" i="6"/>
  <c r="AE90" i="6" s="1"/>
  <c r="AF90" i="6" s="1"/>
  <c r="U90" i="6"/>
  <c r="T90" i="6"/>
  <c r="S90" i="6"/>
  <c r="M90" i="6"/>
  <c r="L90" i="6"/>
  <c r="K90" i="6"/>
  <c r="AD89" i="6"/>
  <c r="AE89" i="6" s="1"/>
  <c r="AF89" i="6" s="1"/>
  <c r="U89" i="6"/>
  <c r="T89" i="6"/>
  <c r="S89" i="6"/>
  <c r="M89" i="6"/>
  <c r="L89" i="6"/>
  <c r="K89" i="6"/>
  <c r="AD88" i="6"/>
  <c r="AE88" i="6" s="1"/>
  <c r="AF88" i="6" s="1"/>
  <c r="U88" i="6"/>
  <c r="T88" i="6"/>
  <c r="S88" i="6"/>
  <c r="M88" i="6"/>
  <c r="L88" i="6"/>
  <c r="K88" i="6"/>
  <c r="AD87" i="6"/>
  <c r="AE87" i="6" s="1"/>
  <c r="AF87" i="6" s="1"/>
  <c r="U87" i="6"/>
  <c r="T87" i="6"/>
  <c r="S87" i="6"/>
  <c r="M87" i="6"/>
  <c r="L87" i="6"/>
  <c r="K87" i="6"/>
  <c r="AD86" i="6"/>
  <c r="AE86" i="6" s="1"/>
  <c r="AF86" i="6" s="1"/>
  <c r="U86" i="6"/>
  <c r="T86" i="6"/>
  <c r="S86" i="6"/>
  <c r="M86" i="6"/>
  <c r="L86" i="6"/>
  <c r="K86" i="6"/>
  <c r="AD85" i="6"/>
  <c r="AE85" i="6" s="1"/>
  <c r="AF85" i="6" s="1"/>
  <c r="U85" i="6"/>
  <c r="T85" i="6"/>
  <c r="S85" i="6"/>
  <c r="M85" i="6"/>
  <c r="L85" i="6"/>
  <c r="K85" i="6"/>
  <c r="AD84" i="6"/>
  <c r="AE84" i="6" s="1"/>
  <c r="AF84" i="6" s="1"/>
  <c r="U84" i="6"/>
  <c r="T84" i="6"/>
  <c r="S84" i="6"/>
  <c r="M84" i="6"/>
  <c r="L84" i="6"/>
  <c r="K84" i="6"/>
  <c r="AD83" i="6"/>
  <c r="U83" i="6"/>
  <c r="T83" i="6"/>
  <c r="S83" i="6"/>
  <c r="M83" i="6"/>
  <c r="L83" i="6"/>
  <c r="K83" i="6"/>
  <c r="Z81" i="6"/>
  <c r="Y81" i="6"/>
  <c r="X81" i="6"/>
  <c r="W78" i="6"/>
  <c r="V78" i="6"/>
  <c r="R78" i="6"/>
  <c r="Q78" i="6"/>
  <c r="P78" i="6"/>
  <c r="O78" i="6"/>
  <c r="N78" i="6"/>
  <c r="J78" i="6"/>
  <c r="I78" i="6"/>
  <c r="H78" i="6"/>
  <c r="G78" i="6"/>
  <c r="F78" i="6"/>
  <c r="E78" i="6"/>
  <c r="D78" i="6"/>
  <c r="C78" i="6"/>
  <c r="AD77" i="6"/>
  <c r="AE77" i="6" s="1"/>
  <c r="AF77" i="6" s="1"/>
  <c r="U77" i="6"/>
  <c r="T77" i="6"/>
  <c r="S77" i="6"/>
  <c r="M77" i="6"/>
  <c r="L77" i="6"/>
  <c r="K77" i="6"/>
  <c r="AD76" i="6"/>
  <c r="AE76" i="6" s="1"/>
  <c r="AF76" i="6" s="1"/>
  <c r="U76" i="6"/>
  <c r="T76" i="6"/>
  <c r="S76" i="6"/>
  <c r="M76" i="6"/>
  <c r="L76" i="6"/>
  <c r="K76" i="6"/>
  <c r="AD75" i="6"/>
  <c r="AE75" i="6" s="1"/>
  <c r="AF75" i="6" s="1"/>
  <c r="U75" i="6"/>
  <c r="T75" i="6"/>
  <c r="S75" i="6"/>
  <c r="M75" i="6"/>
  <c r="L75" i="6"/>
  <c r="K75" i="6"/>
  <c r="AD74" i="6"/>
  <c r="AE74" i="6" s="1"/>
  <c r="AF74" i="6" s="1"/>
  <c r="U74" i="6"/>
  <c r="T74" i="6"/>
  <c r="S74" i="6"/>
  <c r="M74" i="6"/>
  <c r="L74" i="6"/>
  <c r="K74" i="6"/>
  <c r="AD73" i="6"/>
  <c r="AE73" i="6" s="1"/>
  <c r="AF73" i="6" s="1"/>
  <c r="U73" i="6"/>
  <c r="T73" i="6"/>
  <c r="S73" i="6"/>
  <c r="M73" i="6"/>
  <c r="L73" i="6"/>
  <c r="K73" i="6"/>
  <c r="W72" i="6"/>
  <c r="V72" i="6"/>
  <c r="R72" i="6"/>
  <c r="Q72" i="6"/>
  <c r="P72" i="6"/>
  <c r="O72" i="6"/>
  <c r="N72" i="6"/>
  <c r="J72" i="6"/>
  <c r="I72" i="6"/>
  <c r="H72" i="6"/>
  <c r="G72" i="6"/>
  <c r="F72" i="6"/>
  <c r="E72" i="6"/>
  <c r="D72" i="6"/>
  <c r="C72" i="6"/>
  <c r="AD71" i="6"/>
  <c r="AE71" i="6" s="1"/>
  <c r="AF71" i="6" s="1"/>
  <c r="U71" i="6"/>
  <c r="T71" i="6"/>
  <c r="S71" i="6"/>
  <c r="M71" i="6"/>
  <c r="L71" i="6"/>
  <c r="K71" i="6"/>
  <c r="AD70" i="6"/>
  <c r="AE70" i="6" s="1"/>
  <c r="AF70" i="6" s="1"/>
  <c r="U70" i="6"/>
  <c r="T70" i="6"/>
  <c r="S70" i="6"/>
  <c r="M70" i="6"/>
  <c r="L70" i="6"/>
  <c r="K70" i="6"/>
  <c r="AD69" i="6"/>
  <c r="AE69" i="6" s="1"/>
  <c r="AF69" i="6" s="1"/>
  <c r="U69" i="6"/>
  <c r="T69" i="6"/>
  <c r="S69" i="6"/>
  <c r="M69" i="6"/>
  <c r="L69" i="6"/>
  <c r="K69" i="6"/>
  <c r="AD68" i="6"/>
  <c r="AE68" i="6" s="1"/>
  <c r="AF68" i="6" s="1"/>
  <c r="U68" i="6"/>
  <c r="T68" i="6"/>
  <c r="S68" i="6"/>
  <c r="M68" i="6"/>
  <c r="L68" i="6"/>
  <c r="K68" i="6"/>
  <c r="AD67" i="6"/>
  <c r="AE67" i="6" s="1"/>
  <c r="AF67" i="6" s="1"/>
  <c r="U67" i="6"/>
  <c r="T67" i="6"/>
  <c r="S67" i="6"/>
  <c r="M67" i="6"/>
  <c r="L67" i="6"/>
  <c r="K67" i="6"/>
  <c r="AD66" i="6"/>
  <c r="AE66" i="6" s="1"/>
  <c r="AF66" i="6" s="1"/>
  <c r="U66" i="6"/>
  <c r="T66" i="6"/>
  <c r="S66" i="6"/>
  <c r="M66" i="6"/>
  <c r="L66" i="6"/>
  <c r="K66" i="6"/>
  <c r="W65" i="6"/>
  <c r="V65" i="6"/>
  <c r="R65" i="6"/>
  <c r="Q65" i="6"/>
  <c r="P65" i="6"/>
  <c r="O65" i="6"/>
  <c r="N65" i="6"/>
  <c r="J65" i="6"/>
  <c r="I65" i="6"/>
  <c r="H65" i="6"/>
  <c r="G65" i="6"/>
  <c r="F65" i="6"/>
  <c r="E65" i="6"/>
  <c r="D65" i="6"/>
  <c r="C65" i="6"/>
  <c r="AD64" i="6"/>
  <c r="AE64" i="6" s="1"/>
  <c r="AF64" i="6" s="1"/>
  <c r="U64" i="6"/>
  <c r="T64" i="6"/>
  <c r="S64" i="6"/>
  <c r="M64" i="6"/>
  <c r="L64" i="6"/>
  <c r="K64" i="6"/>
  <c r="AD63" i="6"/>
  <c r="AE63" i="6" s="1"/>
  <c r="AF63" i="6" s="1"/>
  <c r="U63" i="6"/>
  <c r="T63" i="6"/>
  <c r="S63" i="6"/>
  <c r="M63" i="6"/>
  <c r="L63" i="6"/>
  <c r="K63" i="6"/>
  <c r="AD62" i="6"/>
  <c r="AE62" i="6" s="1"/>
  <c r="AF62" i="6" s="1"/>
  <c r="U62" i="6"/>
  <c r="T62" i="6"/>
  <c r="S62" i="6"/>
  <c r="M62" i="6"/>
  <c r="L62" i="6"/>
  <c r="K62" i="6"/>
  <c r="AD61" i="6"/>
  <c r="AE61" i="6" s="1"/>
  <c r="AF61" i="6" s="1"/>
  <c r="U61" i="6"/>
  <c r="T61" i="6"/>
  <c r="S61" i="6"/>
  <c r="M61" i="6"/>
  <c r="L61" i="6"/>
  <c r="K61" i="6"/>
  <c r="AD60" i="6"/>
  <c r="AE60" i="6" s="1"/>
  <c r="AF60" i="6" s="1"/>
  <c r="U60" i="6"/>
  <c r="T60" i="6"/>
  <c r="S60" i="6"/>
  <c r="M60" i="6"/>
  <c r="L60" i="6"/>
  <c r="K60" i="6"/>
  <c r="W58" i="6"/>
  <c r="W59" i="6" s="1"/>
  <c r="V58" i="6"/>
  <c r="V59" i="6" s="1"/>
  <c r="R58" i="6"/>
  <c r="R59" i="6" s="1"/>
  <c r="Q58" i="6"/>
  <c r="Q59" i="6" s="1"/>
  <c r="P58" i="6"/>
  <c r="P59" i="6" s="1"/>
  <c r="O58" i="6"/>
  <c r="O59" i="6" s="1"/>
  <c r="N58" i="6"/>
  <c r="N59" i="6" s="1"/>
  <c r="J58" i="6"/>
  <c r="J59" i="6" s="1"/>
  <c r="I58" i="6"/>
  <c r="I59" i="6" s="1"/>
  <c r="H58" i="6"/>
  <c r="H59" i="6" s="1"/>
  <c r="G58" i="6"/>
  <c r="G59" i="6" s="1"/>
  <c r="F58" i="6"/>
  <c r="F59" i="6" s="1"/>
  <c r="E58" i="6"/>
  <c r="E59" i="6" s="1"/>
  <c r="D58" i="6"/>
  <c r="D59" i="6" s="1"/>
  <c r="C58" i="6"/>
  <c r="C59" i="6" s="1"/>
  <c r="AD57" i="6"/>
  <c r="AE57" i="6" s="1"/>
  <c r="AF57" i="6" s="1"/>
  <c r="U57" i="6"/>
  <c r="T57" i="6"/>
  <c r="S57" i="6"/>
  <c r="M57" i="6"/>
  <c r="L57" i="6"/>
  <c r="K57" i="6"/>
  <c r="AD56" i="6"/>
  <c r="AE56" i="6" s="1"/>
  <c r="AF56" i="6" s="1"/>
  <c r="U56" i="6"/>
  <c r="T56" i="6"/>
  <c r="S56" i="6"/>
  <c r="M56" i="6"/>
  <c r="L56" i="6"/>
  <c r="K56" i="6"/>
  <c r="AD55" i="6"/>
  <c r="AE55" i="6" s="1"/>
  <c r="AF55" i="6" s="1"/>
  <c r="U55" i="6"/>
  <c r="T55" i="6"/>
  <c r="S55" i="6"/>
  <c r="M55" i="6"/>
  <c r="L55" i="6"/>
  <c r="K55" i="6"/>
  <c r="AD54" i="6"/>
  <c r="AE54" i="6" s="1"/>
  <c r="AF54" i="6" s="1"/>
  <c r="U54" i="6"/>
  <c r="T54" i="6"/>
  <c r="S54" i="6"/>
  <c r="M54" i="6"/>
  <c r="L54" i="6"/>
  <c r="K54" i="6"/>
  <c r="AD53" i="6"/>
  <c r="AE53" i="6" s="1"/>
  <c r="AF53" i="6" s="1"/>
  <c r="U53" i="6"/>
  <c r="T53" i="6"/>
  <c r="S53" i="6"/>
  <c r="M53" i="6"/>
  <c r="L53" i="6"/>
  <c r="K53" i="6"/>
  <c r="AD52" i="6"/>
  <c r="AE52" i="6" s="1"/>
  <c r="AF52" i="6" s="1"/>
  <c r="U52" i="6"/>
  <c r="T52" i="6"/>
  <c r="S52" i="6"/>
  <c r="M52" i="6"/>
  <c r="L52" i="6"/>
  <c r="K52" i="6"/>
  <c r="AD51" i="6"/>
  <c r="AE51" i="6" s="1"/>
  <c r="AF51" i="6" s="1"/>
  <c r="U51" i="6"/>
  <c r="T51" i="6"/>
  <c r="S51" i="6"/>
  <c r="M51" i="6"/>
  <c r="L51" i="6"/>
  <c r="K51" i="6"/>
  <c r="AD50" i="6"/>
  <c r="AE50" i="6" s="1"/>
  <c r="AF50" i="6" s="1"/>
  <c r="U50" i="6"/>
  <c r="T50" i="6"/>
  <c r="S50" i="6"/>
  <c r="M50" i="6"/>
  <c r="L50" i="6"/>
  <c r="K50" i="6"/>
  <c r="AD49" i="6"/>
  <c r="AE49" i="6" s="1"/>
  <c r="AF49" i="6" s="1"/>
  <c r="U49" i="6"/>
  <c r="T49" i="6"/>
  <c r="S49" i="6"/>
  <c r="M49" i="6"/>
  <c r="L49" i="6"/>
  <c r="K49" i="6"/>
  <c r="AD48" i="6"/>
  <c r="AE48" i="6" s="1"/>
  <c r="AF48" i="6" s="1"/>
  <c r="U48" i="6"/>
  <c r="T48" i="6"/>
  <c r="S48" i="6"/>
  <c r="M48" i="6"/>
  <c r="L48" i="6"/>
  <c r="K48" i="6"/>
  <c r="W46" i="6"/>
  <c r="V46" i="6"/>
  <c r="R46" i="6"/>
  <c r="Q46" i="6"/>
  <c r="P46" i="6"/>
  <c r="O46" i="6"/>
  <c r="N46" i="6"/>
  <c r="J46" i="6"/>
  <c r="I46" i="6"/>
  <c r="H46" i="6"/>
  <c r="G46" i="6"/>
  <c r="F46" i="6"/>
  <c r="E46" i="6"/>
  <c r="D46" i="6"/>
  <c r="C46" i="6"/>
  <c r="AD45" i="6"/>
  <c r="AE45" i="6" s="1"/>
  <c r="AF45" i="6" s="1"/>
  <c r="U45" i="6"/>
  <c r="T45" i="6"/>
  <c r="S45" i="6"/>
  <c r="M45" i="6"/>
  <c r="L45" i="6"/>
  <c r="K45" i="6"/>
  <c r="AD44" i="6"/>
  <c r="AE44" i="6" s="1"/>
  <c r="AF44" i="6" s="1"/>
  <c r="U44" i="6"/>
  <c r="T44" i="6"/>
  <c r="S44" i="6"/>
  <c r="M44" i="6"/>
  <c r="L44" i="6"/>
  <c r="K44" i="6"/>
  <c r="AD43" i="6"/>
  <c r="AE43" i="6" s="1"/>
  <c r="AF43" i="6" s="1"/>
  <c r="U43" i="6"/>
  <c r="T43" i="6"/>
  <c r="S43" i="6"/>
  <c r="M43" i="6"/>
  <c r="L43" i="6"/>
  <c r="K43" i="6"/>
  <c r="W42" i="6"/>
  <c r="V42" i="6"/>
  <c r="R42" i="6"/>
  <c r="Q42" i="6"/>
  <c r="P42" i="6"/>
  <c r="O42" i="6"/>
  <c r="N42" i="6"/>
  <c r="J42" i="6"/>
  <c r="I42" i="6"/>
  <c r="H42" i="6"/>
  <c r="G42" i="6"/>
  <c r="F42" i="6"/>
  <c r="E42" i="6"/>
  <c r="D42" i="6"/>
  <c r="C42" i="6"/>
  <c r="AD41" i="6"/>
  <c r="AE41" i="6" s="1"/>
  <c r="AF41" i="6" s="1"/>
  <c r="U41" i="6"/>
  <c r="T41" i="6"/>
  <c r="S41" i="6"/>
  <c r="M41" i="6"/>
  <c r="L41" i="6"/>
  <c r="K41" i="6"/>
  <c r="AD40" i="6"/>
  <c r="AE40" i="6" s="1"/>
  <c r="AF40" i="6" s="1"/>
  <c r="U40" i="6"/>
  <c r="T40" i="6"/>
  <c r="S40" i="6"/>
  <c r="M40" i="6"/>
  <c r="L40" i="6"/>
  <c r="K40" i="6"/>
  <c r="AD39" i="6"/>
  <c r="AE39" i="6" s="1"/>
  <c r="AF39" i="6" s="1"/>
  <c r="U39" i="6"/>
  <c r="T39" i="6"/>
  <c r="S39" i="6"/>
  <c r="M39" i="6"/>
  <c r="L39" i="6"/>
  <c r="K39" i="6"/>
  <c r="W37" i="6"/>
  <c r="V37" i="6"/>
  <c r="R37" i="6"/>
  <c r="Q37" i="6"/>
  <c r="P37" i="6"/>
  <c r="O37" i="6"/>
  <c r="N37" i="6"/>
  <c r="J37" i="6"/>
  <c r="I37" i="6"/>
  <c r="H37" i="6"/>
  <c r="G37" i="6"/>
  <c r="F37" i="6"/>
  <c r="E37" i="6"/>
  <c r="D37" i="6"/>
  <c r="C37" i="6"/>
  <c r="AD36" i="6"/>
  <c r="AE36" i="6" s="1"/>
  <c r="AF36" i="6" s="1"/>
  <c r="U36" i="6"/>
  <c r="T36" i="6"/>
  <c r="S36" i="6"/>
  <c r="M36" i="6"/>
  <c r="L36" i="6"/>
  <c r="K36" i="6"/>
  <c r="AD35" i="6"/>
  <c r="AE35" i="6" s="1"/>
  <c r="AF35" i="6" s="1"/>
  <c r="U35" i="6"/>
  <c r="T35" i="6"/>
  <c r="S35" i="6"/>
  <c r="M35" i="6"/>
  <c r="L35" i="6"/>
  <c r="K35" i="6"/>
  <c r="AD34" i="6"/>
  <c r="AE34" i="6" s="1"/>
  <c r="AF34" i="6" s="1"/>
  <c r="U34" i="6"/>
  <c r="T34" i="6"/>
  <c r="S34" i="6"/>
  <c r="M34" i="6"/>
  <c r="L34" i="6"/>
  <c r="K34" i="6"/>
  <c r="AD33" i="6"/>
  <c r="AE33" i="6" s="1"/>
  <c r="AF33" i="6" s="1"/>
  <c r="U33" i="6"/>
  <c r="T33" i="6"/>
  <c r="S33" i="6"/>
  <c r="M33" i="6"/>
  <c r="L33" i="6"/>
  <c r="K33" i="6"/>
  <c r="W32" i="6"/>
  <c r="V32" i="6"/>
  <c r="R32" i="6"/>
  <c r="Q32" i="6"/>
  <c r="P32" i="6"/>
  <c r="O32" i="6"/>
  <c r="N32" i="6"/>
  <c r="J32" i="6"/>
  <c r="I32" i="6"/>
  <c r="H32" i="6"/>
  <c r="G32" i="6"/>
  <c r="F32" i="6"/>
  <c r="E32" i="6"/>
  <c r="D32" i="6"/>
  <c r="C32" i="6"/>
  <c r="AD31" i="6"/>
  <c r="AE31" i="6" s="1"/>
  <c r="AF31" i="6" s="1"/>
  <c r="U31" i="6"/>
  <c r="T31" i="6"/>
  <c r="S31" i="6"/>
  <c r="M31" i="6"/>
  <c r="L31" i="6"/>
  <c r="K31" i="6"/>
  <c r="AD30" i="6"/>
  <c r="AE30" i="6" s="1"/>
  <c r="AF30" i="6" s="1"/>
  <c r="U30" i="6"/>
  <c r="T30" i="6"/>
  <c r="S30" i="6"/>
  <c r="M30" i="6"/>
  <c r="L30" i="6"/>
  <c r="K30" i="6"/>
  <c r="W29" i="6"/>
  <c r="V29" i="6"/>
  <c r="R29" i="6"/>
  <c r="Q29" i="6"/>
  <c r="P29" i="6"/>
  <c r="O29" i="6"/>
  <c r="N29" i="6"/>
  <c r="J29" i="6"/>
  <c r="I29" i="6"/>
  <c r="H29" i="6"/>
  <c r="G29" i="6"/>
  <c r="F29" i="6"/>
  <c r="E29" i="6"/>
  <c r="D29" i="6"/>
  <c r="C29" i="6"/>
  <c r="AD28" i="6"/>
  <c r="AE28" i="6" s="1"/>
  <c r="AF28" i="6" s="1"/>
  <c r="U28" i="6"/>
  <c r="T28" i="6"/>
  <c r="S28" i="6"/>
  <c r="M28" i="6"/>
  <c r="L28" i="6"/>
  <c r="K28" i="6"/>
  <c r="AD27" i="6"/>
  <c r="AE27" i="6" s="1"/>
  <c r="AF27" i="6" s="1"/>
  <c r="U27" i="6"/>
  <c r="T27" i="6"/>
  <c r="S27" i="6"/>
  <c r="M27" i="6"/>
  <c r="L27" i="6"/>
  <c r="K27" i="6"/>
  <c r="AD26" i="6"/>
  <c r="AE26" i="6" s="1"/>
  <c r="AF26" i="6" s="1"/>
  <c r="U26" i="6"/>
  <c r="T26" i="6"/>
  <c r="S26" i="6"/>
  <c r="M26" i="6"/>
  <c r="L26" i="6"/>
  <c r="K26" i="6"/>
  <c r="AD25" i="6"/>
  <c r="AE25" i="6" s="1"/>
  <c r="AF25" i="6" s="1"/>
  <c r="U25" i="6"/>
  <c r="T25" i="6"/>
  <c r="S25" i="6"/>
  <c r="M25" i="6"/>
  <c r="L25" i="6"/>
  <c r="K25" i="6"/>
  <c r="W23" i="6"/>
  <c r="V23" i="6"/>
  <c r="R23" i="6"/>
  <c r="Q23" i="6"/>
  <c r="P23" i="6"/>
  <c r="O23" i="6"/>
  <c r="N23" i="6"/>
  <c r="J23" i="6"/>
  <c r="I23" i="6"/>
  <c r="H23" i="6"/>
  <c r="G23" i="6"/>
  <c r="F23" i="6"/>
  <c r="E23" i="6"/>
  <c r="D23" i="6"/>
  <c r="C23" i="6"/>
  <c r="AD22" i="6"/>
  <c r="AE22" i="6" s="1"/>
  <c r="AF22" i="6" s="1"/>
  <c r="U22" i="6"/>
  <c r="T22" i="6"/>
  <c r="S22" i="6"/>
  <c r="M22" i="6"/>
  <c r="L22" i="6"/>
  <c r="K22" i="6"/>
  <c r="AD21" i="6"/>
  <c r="AE21" i="6" s="1"/>
  <c r="AF21" i="6" s="1"/>
  <c r="U21" i="6"/>
  <c r="T21" i="6"/>
  <c r="S21" i="6"/>
  <c r="M21" i="6"/>
  <c r="L21" i="6"/>
  <c r="K21" i="6"/>
  <c r="AD20" i="6"/>
  <c r="AE20" i="6" s="1"/>
  <c r="AF20" i="6" s="1"/>
  <c r="U20" i="6"/>
  <c r="T20" i="6"/>
  <c r="S20" i="6"/>
  <c r="M20" i="6"/>
  <c r="L20" i="6"/>
  <c r="K20" i="6"/>
  <c r="AD19" i="6"/>
  <c r="AE19" i="6" s="1"/>
  <c r="AF19" i="6" s="1"/>
  <c r="U19" i="6"/>
  <c r="T19" i="6"/>
  <c r="S19" i="6"/>
  <c r="M19" i="6"/>
  <c r="L19" i="6"/>
  <c r="K19" i="6"/>
  <c r="AD18" i="6"/>
  <c r="AE18" i="6" s="1"/>
  <c r="AF18" i="6" s="1"/>
  <c r="U18" i="6"/>
  <c r="T18" i="6"/>
  <c r="S18" i="6"/>
  <c r="M18" i="6"/>
  <c r="L18" i="6"/>
  <c r="K18" i="6"/>
  <c r="AD17" i="6"/>
  <c r="AE17" i="6" s="1"/>
  <c r="AF17" i="6" s="1"/>
  <c r="U17" i="6"/>
  <c r="T17" i="6"/>
  <c r="S17" i="6"/>
  <c r="M17" i="6"/>
  <c r="L17" i="6"/>
  <c r="K17" i="6"/>
  <c r="AD16" i="6"/>
  <c r="AE16" i="6" s="1"/>
  <c r="AF16" i="6" s="1"/>
  <c r="U16" i="6"/>
  <c r="T16" i="6"/>
  <c r="S16" i="6"/>
  <c r="M16" i="6"/>
  <c r="L16" i="6"/>
  <c r="K16" i="6"/>
  <c r="AD15" i="6"/>
  <c r="AE15" i="6" s="1"/>
  <c r="AF15" i="6" s="1"/>
  <c r="U15" i="6"/>
  <c r="T15" i="6"/>
  <c r="S15" i="6"/>
  <c r="M15" i="6"/>
  <c r="L15" i="6"/>
  <c r="K15" i="6"/>
  <c r="AD14" i="6"/>
  <c r="AE14" i="6" s="1"/>
  <c r="AF14" i="6" s="1"/>
  <c r="U14" i="6"/>
  <c r="T14" i="6"/>
  <c r="S14" i="6"/>
  <c r="M14" i="6"/>
  <c r="L14" i="6"/>
  <c r="K14" i="6"/>
  <c r="AD13" i="6"/>
  <c r="AE13" i="6" s="1"/>
  <c r="AF13" i="6" s="1"/>
  <c r="U13" i="6"/>
  <c r="T13" i="6"/>
  <c r="S13" i="6"/>
  <c r="M13" i="6"/>
  <c r="L13" i="6"/>
  <c r="K13" i="6"/>
  <c r="W12" i="6"/>
  <c r="V12" i="6"/>
  <c r="R12" i="6"/>
  <c r="Q12" i="6"/>
  <c r="P12" i="6"/>
  <c r="O12" i="6"/>
  <c r="N12" i="6"/>
  <c r="J12" i="6"/>
  <c r="I12" i="6"/>
  <c r="H12" i="6"/>
  <c r="G12" i="6"/>
  <c r="F12" i="6"/>
  <c r="E12" i="6"/>
  <c r="D12" i="6"/>
  <c r="C12" i="6"/>
  <c r="AD11" i="6"/>
  <c r="AE11" i="6" s="1"/>
  <c r="AF11" i="6" s="1"/>
  <c r="U11" i="6"/>
  <c r="T11" i="6"/>
  <c r="S11" i="6"/>
  <c r="M11" i="6"/>
  <c r="L11" i="6"/>
  <c r="K11" i="6"/>
  <c r="AD10" i="6"/>
  <c r="AE10" i="6" s="1"/>
  <c r="AF10" i="6" s="1"/>
  <c r="U10" i="6"/>
  <c r="T10" i="6"/>
  <c r="S10" i="6"/>
  <c r="M10" i="6"/>
  <c r="L10" i="6"/>
  <c r="K10" i="6"/>
  <c r="AC9" i="6"/>
  <c r="AC12" i="6" s="1"/>
  <c r="AB9" i="6"/>
  <c r="W9" i="6"/>
  <c r="V9" i="6"/>
  <c r="R9" i="6"/>
  <c r="Q9" i="6"/>
  <c r="P9" i="6"/>
  <c r="O9" i="6"/>
  <c r="N9" i="6"/>
  <c r="J9" i="6"/>
  <c r="I9" i="6"/>
  <c r="H9" i="6"/>
  <c r="G9" i="6"/>
  <c r="F9" i="6"/>
  <c r="E9" i="6"/>
  <c r="D9" i="6"/>
  <c r="C9" i="6"/>
  <c r="AD8" i="6"/>
  <c r="AE8" i="6" s="1"/>
  <c r="AF8" i="6" s="1"/>
  <c r="U8" i="6"/>
  <c r="T8" i="6"/>
  <c r="S8" i="6"/>
  <c r="M8" i="6"/>
  <c r="L8" i="6"/>
  <c r="K8" i="6"/>
  <c r="AD7" i="6"/>
  <c r="AE7" i="6" s="1"/>
  <c r="AF7" i="6" s="1"/>
  <c r="U7" i="6"/>
  <c r="T7" i="6"/>
  <c r="S7" i="6"/>
  <c r="M7" i="6"/>
  <c r="L7" i="6"/>
  <c r="K7" i="6"/>
  <c r="AD6" i="6"/>
  <c r="AE6" i="6" s="1"/>
  <c r="AF6" i="6" s="1"/>
  <c r="U6" i="6"/>
  <c r="T6" i="6"/>
  <c r="S6" i="6"/>
  <c r="M6" i="6"/>
  <c r="L6" i="6"/>
  <c r="K6" i="6"/>
  <c r="AD5" i="6"/>
  <c r="AE5" i="6" s="1"/>
  <c r="AF5" i="6" s="1"/>
  <c r="U5" i="6"/>
  <c r="T5" i="6"/>
  <c r="S5" i="6"/>
  <c r="M5" i="6"/>
  <c r="L5" i="6"/>
  <c r="K5" i="6"/>
  <c r="K139" i="2"/>
  <c r="L139" i="2"/>
  <c r="M139" i="2"/>
  <c r="S139" i="2"/>
  <c r="T139" i="2"/>
  <c r="U139" i="2"/>
  <c r="AD139" i="2"/>
  <c r="K140" i="2"/>
  <c r="L140" i="2"/>
  <c r="M140" i="2"/>
  <c r="S140" i="2"/>
  <c r="T140" i="2"/>
  <c r="U140" i="2"/>
  <c r="AD140" i="2"/>
  <c r="AE140" i="2" s="1"/>
  <c r="AF140" i="2" s="1"/>
  <c r="K141" i="2"/>
  <c r="L141" i="2"/>
  <c r="M141" i="2"/>
  <c r="S141" i="2"/>
  <c r="T141" i="2"/>
  <c r="U141" i="2"/>
  <c r="AD141" i="2"/>
  <c r="AE141" i="2" s="1"/>
  <c r="AF141" i="2" s="1"/>
  <c r="K120" i="2"/>
  <c r="L120" i="2"/>
  <c r="M120" i="2"/>
  <c r="S120" i="2"/>
  <c r="T120" i="2"/>
  <c r="U120" i="2"/>
  <c r="AD120" i="2"/>
  <c r="AE120" i="2" s="1"/>
  <c r="AF120" i="2" s="1"/>
  <c r="K121" i="2"/>
  <c r="L121" i="2"/>
  <c r="M121" i="2"/>
  <c r="S121" i="2"/>
  <c r="T121" i="2"/>
  <c r="U121" i="2"/>
  <c r="AD121" i="2"/>
  <c r="AE121" i="2" s="1"/>
  <c r="AF121" i="2" s="1"/>
  <c r="K122" i="2"/>
  <c r="L122" i="2"/>
  <c r="M122" i="2"/>
  <c r="S122" i="2"/>
  <c r="T122" i="2"/>
  <c r="U122" i="2"/>
  <c r="AD122" i="2"/>
  <c r="AE122" i="2" s="1"/>
  <c r="AF122" i="2" s="1"/>
  <c r="K123" i="2"/>
  <c r="L123" i="2"/>
  <c r="M123" i="2"/>
  <c r="S123" i="2"/>
  <c r="T123" i="2"/>
  <c r="U123" i="2"/>
  <c r="AD123" i="2"/>
  <c r="AE123" i="2" s="1"/>
  <c r="AF123" i="2" s="1"/>
  <c r="K124" i="2"/>
  <c r="L124" i="2"/>
  <c r="M124" i="2"/>
  <c r="S124" i="2"/>
  <c r="T124" i="2"/>
  <c r="U124" i="2"/>
  <c r="AD124" i="2"/>
  <c r="AE124" i="2" s="1"/>
  <c r="AF124" i="2" s="1"/>
  <c r="K125" i="2"/>
  <c r="L125" i="2"/>
  <c r="M125" i="2"/>
  <c r="S125" i="2"/>
  <c r="T125" i="2"/>
  <c r="U125" i="2"/>
  <c r="AD125" i="2"/>
  <c r="AE125" i="2" s="1"/>
  <c r="AF125" i="2" s="1"/>
  <c r="K126" i="2"/>
  <c r="L126" i="2"/>
  <c r="M126" i="2"/>
  <c r="S126" i="2"/>
  <c r="T126" i="2"/>
  <c r="U126" i="2"/>
  <c r="AD126" i="2"/>
  <c r="AE126" i="2" s="1"/>
  <c r="AF126" i="2" s="1"/>
  <c r="AD119" i="2"/>
  <c r="AE119" i="2" s="1"/>
  <c r="AF119" i="2" s="1"/>
  <c r="U119" i="2"/>
  <c r="T119" i="2"/>
  <c r="S119" i="2"/>
  <c r="M119" i="2"/>
  <c r="L119" i="2"/>
  <c r="K119" i="2"/>
  <c r="K106" i="2"/>
  <c r="L106" i="2"/>
  <c r="M106" i="2"/>
  <c r="S106" i="2"/>
  <c r="T106" i="2"/>
  <c r="U106" i="2"/>
  <c r="AD106" i="2"/>
  <c r="AE106" i="2" s="1"/>
  <c r="AF106" i="2" s="1"/>
  <c r="K107" i="2"/>
  <c r="L107" i="2"/>
  <c r="M107" i="2"/>
  <c r="S107" i="2"/>
  <c r="T107" i="2"/>
  <c r="U107" i="2"/>
  <c r="AD107" i="2"/>
  <c r="AE107" i="2" s="1"/>
  <c r="AF107" i="2" s="1"/>
  <c r="K108" i="2"/>
  <c r="L108" i="2"/>
  <c r="M108" i="2"/>
  <c r="S108" i="2"/>
  <c r="T108" i="2"/>
  <c r="U108" i="2"/>
  <c r="AD108" i="2"/>
  <c r="AE108" i="2" s="1"/>
  <c r="AF108" i="2" s="1"/>
  <c r="K109" i="2"/>
  <c r="L109" i="2"/>
  <c r="M109" i="2"/>
  <c r="S109" i="2"/>
  <c r="T109" i="2"/>
  <c r="U109" i="2"/>
  <c r="AD109" i="2"/>
  <c r="AE109" i="2" s="1"/>
  <c r="AF109" i="2" s="1"/>
  <c r="K110" i="2"/>
  <c r="L110" i="2"/>
  <c r="M110" i="2"/>
  <c r="S110" i="2"/>
  <c r="T110" i="2"/>
  <c r="U110" i="2"/>
  <c r="AD110" i="2"/>
  <c r="AE110" i="2" s="1"/>
  <c r="AF110" i="2" s="1"/>
  <c r="K111" i="2"/>
  <c r="L111" i="2"/>
  <c r="M111" i="2"/>
  <c r="S111" i="2"/>
  <c r="T111" i="2"/>
  <c r="U111" i="2"/>
  <c r="AD111" i="2"/>
  <c r="AE111" i="2" s="1"/>
  <c r="AF111" i="2" s="1"/>
  <c r="K112" i="2"/>
  <c r="L112" i="2"/>
  <c r="M112" i="2"/>
  <c r="S112" i="2"/>
  <c r="T112" i="2"/>
  <c r="U112" i="2"/>
  <c r="AD112" i="2"/>
  <c r="AE112" i="2" s="1"/>
  <c r="AF112" i="2" s="1"/>
  <c r="K113" i="2"/>
  <c r="L113" i="2"/>
  <c r="M113" i="2"/>
  <c r="S113" i="2"/>
  <c r="T113" i="2"/>
  <c r="U113" i="2"/>
  <c r="AD113" i="2"/>
  <c r="AE113" i="2" s="1"/>
  <c r="AF113" i="2" s="1"/>
  <c r="K114" i="2"/>
  <c r="L114" i="2"/>
  <c r="M114" i="2"/>
  <c r="S114" i="2"/>
  <c r="T114" i="2"/>
  <c r="U114" i="2"/>
  <c r="AD114" i="2"/>
  <c r="AE114" i="2" s="1"/>
  <c r="AF114" i="2" s="1"/>
  <c r="AD105" i="2"/>
  <c r="U105" i="2"/>
  <c r="T105" i="2"/>
  <c r="S105" i="2"/>
  <c r="M105" i="2"/>
  <c r="L105" i="2"/>
  <c r="K105" i="2"/>
  <c r="V78" i="2"/>
  <c r="N78" i="2"/>
  <c r="O78" i="2"/>
  <c r="P78" i="2"/>
  <c r="Q78" i="2"/>
  <c r="R78" i="2"/>
  <c r="C78" i="2"/>
  <c r="D78" i="2"/>
  <c r="E78" i="2"/>
  <c r="F78" i="2"/>
  <c r="G78" i="2"/>
  <c r="H78" i="2"/>
  <c r="I78" i="2"/>
  <c r="J78" i="2"/>
  <c r="V72" i="2"/>
  <c r="N72" i="2"/>
  <c r="O72" i="2"/>
  <c r="P72" i="2"/>
  <c r="Q72" i="2"/>
  <c r="R72" i="2"/>
  <c r="C72" i="2"/>
  <c r="D72" i="2"/>
  <c r="E72" i="2"/>
  <c r="F72" i="2"/>
  <c r="G72" i="2"/>
  <c r="H72" i="2"/>
  <c r="I72" i="2"/>
  <c r="J72" i="2"/>
  <c r="V65" i="2"/>
  <c r="N65" i="2"/>
  <c r="O65" i="2"/>
  <c r="P65" i="2"/>
  <c r="Q65" i="2"/>
  <c r="R65" i="2"/>
  <c r="C65" i="2"/>
  <c r="D65" i="2"/>
  <c r="E65" i="2"/>
  <c r="F65" i="2"/>
  <c r="G65" i="2"/>
  <c r="H65" i="2"/>
  <c r="I65" i="2"/>
  <c r="J65" i="2"/>
  <c r="V58" i="2"/>
  <c r="V59" i="2" s="1"/>
  <c r="N58" i="2"/>
  <c r="N59" i="2" s="1"/>
  <c r="O58" i="2"/>
  <c r="O59" i="2" s="1"/>
  <c r="P58" i="2"/>
  <c r="P59" i="2" s="1"/>
  <c r="Q58" i="2"/>
  <c r="R58" i="2"/>
  <c r="R59" i="2" s="1"/>
  <c r="C58" i="2"/>
  <c r="C59" i="2" s="1"/>
  <c r="D58" i="2"/>
  <c r="D59" i="2" s="1"/>
  <c r="E58" i="2"/>
  <c r="E59" i="2" s="1"/>
  <c r="F58" i="2"/>
  <c r="F59" i="2" s="1"/>
  <c r="G58" i="2"/>
  <c r="G59" i="2" s="1"/>
  <c r="H58" i="2"/>
  <c r="H59" i="2" s="1"/>
  <c r="I58" i="2"/>
  <c r="I59" i="2" s="1"/>
  <c r="J58" i="2"/>
  <c r="J59" i="2" s="1"/>
  <c r="V46" i="2"/>
  <c r="N46" i="2"/>
  <c r="O46" i="2"/>
  <c r="P46" i="2"/>
  <c r="Q46" i="2"/>
  <c r="R46" i="2"/>
  <c r="C46" i="2"/>
  <c r="D46" i="2"/>
  <c r="E46" i="2"/>
  <c r="F46" i="2"/>
  <c r="G46" i="2"/>
  <c r="H46" i="2"/>
  <c r="I46" i="2"/>
  <c r="J46" i="2"/>
  <c r="V42" i="2"/>
  <c r="N42" i="2"/>
  <c r="O42" i="2"/>
  <c r="P42" i="2"/>
  <c r="Q42" i="2"/>
  <c r="R42" i="2"/>
  <c r="C42" i="2"/>
  <c r="D42" i="2"/>
  <c r="E42" i="2"/>
  <c r="F42" i="2"/>
  <c r="G42" i="2"/>
  <c r="H42" i="2"/>
  <c r="I42" i="2"/>
  <c r="J42" i="2"/>
  <c r="V37" i="2"/>
  <c r="N37" i="2"/>
  <c r="O37" i="2"/>
  <c r="P37" i="2"/>
  <c r="Q37" i="2"/>
  <c r="R37" i="2"/>
  <c r="C37" i="2"/>
  <c r="D37" i="2"/>
  <c r="E37" i="2"/>
  <c r="F37" i="2"/>
  <c r="G37" i="2"/>
  <c r="H37" i="2"/>
  <c r="I37" i="2"/>
  <c r="J37" i="2"/>
  <c r="V32" i="2"/>
  <c r="N32" i="2"/>
  <c r="O32" i="2"/>
  <c r="P32" i="2"/>
  <c r="Q32" i="2"/>
  <c r="R32" i="2"/>
  <c r="C32" i="2"/>
  <c r="D32" i="2"/>
  <c r="E32" i="2"/>
  <c r="F32" i="2"/>
  <c r="G32" i="2"/>
  <c r="H32" i="2"/>
  <c r="I32" i="2"/>
  <c r="J32" i="2"/>
  <c r="N29" i="2"/>
  <c r="O29" i="2"/>
  <c r="P29" i="2"/>
  <c r="Q29" i="2"/>
  <c r="R29" i="2"/>
  <c r="C29" i="2"/>
  <c r="D29" i="2"/>
  <c r="E29" i="2"/>
  <c r="F29" i="2"/>
  <c r="G29" i="2"/>
  <c r="H29" i="2"/>
  <c r="I29" i="2"/>
  <c r="J29" i="2"/>
  <c r="V23" i="2"/>
  <c r="N23" i="2"/>
  <c r="O23" i="2"/>
  <c r="P23" i="2"/>
  <c r="Q23" i="2"/>
  <c r="R23" i="2"/>
  <c r="C23" i="2"/>
  <c r="D23" i="2"/>
  <c r="E23" i="2"/>
  <c r="F23" i="2"/>
  <c r="G23" i="2"/>
  <c r="H23" i="2"/>
  <c r="I23" i="2"/>
  <c r="J23" i="2"/>
  <c r="V12" i="2"/>
  <c r="N12" i="2"/>
  <c r="O12" i="2"/>
  <c r="P12" i="2"/>
  <c r="Q12" i="2"/>
  <c r="R12" i="2"/>
  <c r="C12" i="2"/>
  <c r="D12" i="2"/>
  <c r="E12" i="2"/>
  <c r="F12" i="2"/>
  <c r="G12" i="2"/>
  <c r="H12" i="2"/>
  <c r="I12" i="2"/>
  <c r="J12" i="2"/>
  <c r="V9" i="2"/>
  <c r="W9" i="2"/>
  <c r="W24" i="2" s="1"/>
  <c r="N9" i="2"/>
  <c r="O9" i="2"/>
  <c r="P9" i="2"/>
  <c r="Q9" i="2"/>
  <c r="R9" i="2"/>
  <c r="C9" i="2"/>
  <c r="D9" i="2"/>
  <c r="E9" i="2"/>
  <c r="F9" i="2"/>
  <c r="G9" i="2"/>
  <c r="H9" i="2"/>
  <c r="I9" i="2"/>
  <c r="J9" i="2"/>
  <c r="AC24" i="2"/>
  <c r="AB24" i="2"/>
  <c r="K5" i="2"/>
  <c r="L5" i="2"/>
  <c r="M5" i="2"/>
  <c r="S5" i="2"/>
  <c r="T5" i="2"/>
  <c r="U5" i="2"/>
  <c r="AD5" i="2"/>
  <c r="K6" i="2"/>
  <c r="L6" i="2"/>
  <c r="M6" i="2"/>
  <c r="S6" i="2"/>
  <c r="T6" i="2"/>
  <c r="U6" i="2"/>
  <c r="AD6" i="2"/>
  <c r="AE6" i="2" s="1"/>
  <c r="AF6" i="2" s="1"/>
  <c r="K7" i="2"/>
  <c r="L7" i="2"/>
  <c r="M7" i="2"/>
  <c r="S7" i="2"/>
  <c r="T7" i="2"/>
  <c r="U7" i="2"/>
  <c r="AD7" i="2"/>
  <c r="AE7" i="2" s="1"/>
  <c r="AF7" i="2" s="1"/>
  <c r="K8" i="2"/>
  <c r="L8" i="2"/>
  <c r="M8" i="2"/>
  <c r="S8" i="2"/>
  <c r="T8" i="2"/>
  <c r="U8" i="2"/>
  <c r="AD8" i="2"/>
  <c r="AE8" i="2" s="1"/>
  <c r="AF8" i="2" s="1"/>
  <c r="K10" i="2"/>
  <c r="L10" i="2"/>
  <c r="M10" i="2"/>
  <c r="S10" i="2"/>
  <c r="T10" i="2"/>
  <c r="U10" i="2"/>
  <c r="AD10" i="2"/>
  <c r="K11" i="2"/>
  <c r="L11" i="2"/>
  <c r="M11" i="2"/>
  <c r="S11" i="2"/>
  <c r="T11" i="2"/>
  <c r="U11" i="2"/>
  <c r="AD11" i="2"/>
  <c r="AE11" i="2" s="1"/>
  <c r="AF11" i="2" s="1"/>
  <c r="K13" i="2"/>
  <c r="L13" i="2"/>
  <c r="M13" i="2"/>
  <c r="S13" i="2"/>
  <c r="T13" i="2"/>
  <c r="U13" i="2"/>
  <c r="AD13" i="2"/>
  <c r="K14" i="2"/>
  <c r="L14" i="2"/>
  <c r="M14" i="2"/>
  <c r="S14" i="2"/>
  <c r="T14" i="2"/>
  <c r="U14" i="2"/>
  <c r="AD14" i="2"/>
  <c r="AE14" i="2" s="1"/>
  <c r="AF14" i="2" s="1"/>
  <c r="K15" i="2"/>
  <c r="L15" i="2"/>
  <c r="M15" i="2"/>
  <c r="S15" i="2"/>
  <c r="T15" i="2"/>
  <c r="U15" i="2"/>
  <c r="AD15" i="2"/>
  <c r="AE15" i="2" s="1"/>
  <c r="AF15" i="2" s="1"/>
  <c r="K16" i="2"/>
  <c r="L16" i="2"/>
  <c r="M16" i="2"/>
  <c r="S16" i="2"/>
  <c r="T16" i="2"/>
  <c r="U16" i="2"/>
  <c r="AD16" i="2"/>
  <c r="AE16" i="2" s="1"/>
  <c r="AF16" i="2" s="1"/>
  <c r="K17" i="2"/>
  <c r="L17" i="2"/>
  <c r="M17" i="2"/>
  <c r="S17" i="2"/>
  <c r="T17" i="2"/>
  <c r="U17" i="2"/>
  <c r="AD17" i="2"/>
  <c r="AE17" i="2" s="1"/>
  <c r="AF17" i="2" s="1"/>
  <c r="K18" i="2"/>
  <c r="L18" i="2"/>
  <c r="M18" i="2"/>
  <c r="S18" i="2"/>
  <c r="T18" i="2"/>
  <c r="U18" i="2"/>
  <c r="AD18" i="2"/>
  <c r="AE18" i="2" s="1"/>
  <c r="AF18" i="2" s="1"/>
  <c r="K19" i="2"/>
  <c r="L19" i="2"/>
  <c r="M19" i="2"/>
  <c r="S19" i="2"/>
  <c r="T19" i="2"/>
  <c r="U19" i="2"/>
  <c r="AD19" i="2"/>
  <c r="AE19" i="2" s="1"/>
  <c r="AF19" i="2" s="1"/>
  <c r="K20" i="2"/>
  <c r="L20" i="2"/>
  <c r="M20" i="2"/>
  <c r="S20" i="2"/>
  <c r="T20" i="2"/>
  <c r="U20" i="2"/>
  <c r="AD20" i="2"/>
  <c r="AE20" i="2" s="1"/>
  <c r="AF20" i="2" s="1"/>
  <c r="K21" i="2"/>
  <c r="L21" i="2"/>
  <c r="M21" i="2"/>
  <c r="S21" i="2"/>
  <c r="T21" i="2"/>
  <c r="U21" i="2"/>
  <c r="AD21" i="2"/>
  <c r="AE21" i="2" s="1"/>
  <c r="AF21" i="2" s="1"/>
  <c r="K22" i="2"/>
  <c r="L22" i="2"/>
  <c r="M22" i="2"/>
  <c r="S22" i="2"/>
  <c r="T22" i="2"/>
  <c r="U22" i="2"/>
  <c r="AD22" i="2"/>
  <c r="AE22" i="2" s="1"/>
  <c r="AF22" i="2" s="1"/>
  <c r="K25" i="2"/>
  <c r="L25" i="2"/>
  <c r="M25" i="2"/>
  <c r="S25" i="2"/>
  <c r="T25" i="2"/>
  <c r="U25" i="2"/>
  <c r="AD25" i="2"/>
  <c r="AE25" i="2" s="1"/>
  <c r="K26" i="2"/>
  <c r="L26" i="2"/>
  <c r="M26" i="2"/>
  <c r="S26" i="2"/>
  <c r="T26" i="2"/>
  <c r="U26" i="2"/>
  <c r="AD26" i="2"/>
  <c r="AE26" i="2" s="1"/>
  <c r="AF26" i="2" s="1"/>
  <c r="K27" i="2"/>
  <c r="L27" i="2"/>
  <c r="M27" i="2"/>
  <c r="S27" i="2"/>
  <c r="T27" i="2"/>
  <c r="U27" i="2"/>
  <c r="AD27" i="2"/>
  <c r="AE27" i="2" s="1"/>
  <c r="AF27" i="2" s="1"/>
  <c r="K28" i="2"/>
  <c r="L28" i="2"/>
  <c r="M28" i="2"/>
  <c r="S28" i="2"/>
  <c r="T28" i="2"/>
  <c r="U28" i="2"/>
  <c r="AD28" i="2"/>
  <c r="AE28" i="2" s="1"/>
  <c r="AF28" i="2" s="1"/>
  <c r="K30" i="2"/>
  <c r="L30" i="2"/>
  <c r="M30" i="2"/>
  <c r="S30" i="2"/>
  <c r="T30" i="2"/>
  <c r="U30" i="2"/>
  <c r="AD30" i="2"/>
  <c r="K31" i="2"/>
  <c r="L31" i="2"/>
  <c r="M31" i="2"/>
  <c r="S31" i="2"/>
  <c r="T31" i="2"/>
  <c r="U31" i="2"/>
  <c r="AD31" i="2"/>
  <c r="AE31" i="2" s="1"/>
  <c r="AF31" i="2" s="1"/>
  <c r="K33" i="2"/>
  <c r="L33" i="2"/>
  <c r="M33" i="2"/>
  <c r="S33" i="2"/>
  <c r="T33" i="2"/>
  <c r="U33" i="2"/>
  <c r="AD33" i="2"/>
  <c r="AE33" i="2" s="1"/>
  <c r="K34" i="2"/>
  <c r="L34" i="2"/>
  <c r="M34" i="2"/>
  <c r="S34" i="2"/>
  <c r="T34" i="2"/>
  <c r="U34" i="2"/>
  <c r="AD34" i="2"/>
  <c r="AE34" i="2" s="1"/>
  <c r="AF34" i="2" s="1"/>
  <c r="K35" i="2"/>
  <c r="L35" i="2"/>
  <c r="M35" i="2"/>
  <c r="S35" i="2"/>
  <c r="T35" i="2"/>
  <c r="U35" i="2"/>
  <c r="AD35" i="2"/>
  <c r="AE35" i="2" s="1"/>
  <c r="AF35" i="2" s="1"/>
  <c r="K36" i="2"/>
  <c r="L36" i="2"/>
  <c r="M36" i="2"/>
  <c r="S36" i="2"/>
  <c r="T36" i="2"/>
  <c r="U36" i="2"/>
  <c r="AD36" i="2"/>
  <c r="AE36" i="2" s="1"/>
  <c r="AF36" i="2" s="1"/>
  <c r="K39" i="2"/>
  <c r="L39" i="2"/>
  <c r="M39" i="2"/>
  <c r="S39" i="2"/>
  <c r="T39" i="2"/>
  <c r="U39" i="2"/>
  <c r="AD39" i="2"/>
  <c r="AE39" i="2" s="1"/>
  <c r="K40" i="2"/>
  <c r="L40" i="2"/>
  <c r="M40" i="2"/>
  <c r="S40" i="2"/>
  <c r="T40" i="2"/>
  <c r="U40" i="2"/>
  <c r="AD40" i="2"/>
  <c r="AE40" i="2" s="1"/>
  <c r="AF40" i="2" s="1"/>
  <c r="K41" i="2"/>
  <c r="L41" i="2"/>
  <c r="M41" i="2"/>
  <c r="S41" i="2"/>
  <c r="T41" i="2"/>
  <c r="U41" i="2"/>
  <c r="AD41" i="2"/>
  <c r="AE41" i="2" s="1"/>
  <c r="AF41" i="2" s="1"/>
  <c r="K43" i="2"/>
  <c r="L43" i="2"/>
  <c r="M43" i="2"/>
  <c r="S43" i="2"/>
  <c r="T43" i="2"/>
  <c r="U43" i="2"/>
  <c r="AD43" i="2"/>
  <c r="K44" i="2"/>
  <c r="L44" i="2"/>
  <c r="M44" i="2"/>
  <c r="S44" i="2"/>
  <c r="T44" i="2"/>
  <c r="U44" i="2"/>
  <c r="AD44" i="2"/>
  <c r="AE44" i="2" s="1"/>
  <c r="AF44" i="2" s="1"/>
  <c r="K45" i="2"/>
  <c r="L45" i="2"/>
  <c r="M45" i="2"/>
  <c r="S45" i="2"/>
  <c r="T45" i="2"/>
  <c r="U45" i="2"/>
  <c r="AD45" i="2"/>
  <c r="AE45" i="2" s="1"/>
  <c r="AF45" i="2" s="1"/>
  <c r="K48" i="2"/>
  <c r="L48" i="2"/>
  <c r="M48" i="2"/>
  <c r="S48" i="2"/>
  <c r="T48" i="2"/>
  <c r="U48" i="2"/>
  <c r="AD48" i="2"/>
  <c r="K49" i="2"/>
  <c r="L49" i="2"/>
  <c r="M49" i="2"/>
  <c r="S49" i="2"/>
  <c r="T49" i="2"/>
  <c r="U49" i="2"/>
  <c r="AD49" i="2"/>
  <c r="AE49" i="2" s="1"/>
  <c r="AF49" i="2" s="1"/>
  <c r="K50" i="2"/>
  <c r="L50" i="2"/>
  <c r="M50" i="2"/>
  <c r="S50" i="2"/>
  <c r="T50" i="2"/>
  <c r="U50" i="2"/>
  <c r="AD50" i="2"/>
  <c r="AE50" i="2" s="1"/>
  <c r="AF50" i="2" s="1"/>
  <c r="K51" i="2"/>
  <c r="L51" i="2"/>
  <c r="M51" i="2"/>
  <c r="S51" i="2"/>
  <c r="T51" i="2"/>
  <c r="U51" i="2"/>
  <c r="AD51" i="2"/>
  <c r="AE51" i="2" s="1"/>
  <c r="AF51" i="2" s="1"/>
  <c r="K52" i="2"/>
  <c r="L52" i="2"/>
  <c r="M52" i="2"/>
  <c r="S52" i="2"/>
  <c r="T52" i="2"/>
  <c r="U52" i="2"/>
  <c r="AD52" i="2"/>
  <c r="AE52" i="2" s="1"/>
  <c r="AF52" i="2" s="1"/>
  <c r="K53" i="2"/>
  <c r="L53" i="2"/>
  <c r="M53" i="2"/>
  <c r="S53" i="2"/>
  <c r="T53" i="2"/>
  <c r="U53" i="2"/>
  <c r="AD53" i="2"/>
  <c r="AE53" i="2" s="1"/>
  <c r="AF53" i="2" s="1"/>
  <c r="K54" i="2"/>
  <c r="L54" i="2"/>
  <c r="M54" i="2"/>
  <c r="S54" i="2"/>
  <c r="T54" i="2"/>
  <c r="U54" i="2"/>
  <c r="AD54" i="2"/>
  <c r="AE54" i="2" s="1"/>
  <c r="AF54" i="2" s="1"/>
  <c r="K55" i="2"/>
  <c r="L55" i="2"/>
  <c r="M55" i="2"/>
  <c r="S55" i="2"/>
  <c r="T55" i="2"/>
  <c r="U55" i="2"/>
  <c r="AD55" i="2"/>
  <c r="AE55" i="2" s="1"/>
  <c r="AF55" i="2" s="1"/>
  <c r="K56" i="2"/>
  <c r="L56" i="2"/>
  <c r="M56" i="2"/>
  <c r="S56" i="2"/>
  <c r="T56" i="2"/>
  <c r="U56" i="2"/>
  <c r="AD56" i="2"/>
  <c r="AE56" i="2" s="1"/>
  <c r="AF56" i="2" s="1"/>
  <c r="K57" i="2"/>
  <c r="L57" i="2"/>
  <c r="M57" i="2"/>
  <c r="S57" i="2"/>
  <c r="T57" i="2"/>
  <c r="U57" i="2"/>
  <c r="AD57" i="2"/>
  <c r="AE57" i="2" s="1"/>
  <c r="AF57" i="2" s="1"/>
  <c r="K60" i="2"/>
  <c r="L60" i="2"/>
  <c r="M60" i="2"/>
  <c r="S60" i="2"/>
  <c r="T60" i="2"/>
  <c r="U60" i="2"/>
  <c r="AD60" i="2"/>
  <c r="AE60" i="2" s="1"/>
  <c r="AF60" i="2" s="1"/>
  <c r="K61" i="2"/>
  <c r="L61" i="2"/>
  <c r="M61" i="2"/>
  <c r="S61" i="2"/>
  <c r="T61" i="2"/>
  <c r="U61" i="2"/>
  <c r="AD61" i="2"/>
  <c r="AE61" i="2" s="1"/>
  <c r="AF61" i="2" s="1"/>
  <c r="K62" i="2"/>
  <c r="L62" i="2"/>
  <c r="M62" i="2"/>
  <c r="S62" i="2"/>
  <c r="T62" i="2"/>
  <c r="U62" i="2"/>
  <c r="AD62" i="2"/>
  <c r="K63" i="2"/>
  <c r="L63" i="2"/>
  <c r="M63" i="2"/>
  <c r="S63" i="2"/>
  <c r="T63" i="2"/>
  <c r="U63" i="2"/>
  <c r="AD63" i="2"/>
  <c r="AE63" i="2" s="1"/>
  <c r="AF63" i="2" s="1"/>
  <c r="K64" i="2"/>
  <c r="L64" i="2"/>
  <c r="M64" i="2"/>
  <c r="S64" i="2"/>
  <c r="T64" i="2"/>
  <c r="U64" i="2"/>
  <c r="AD64" i="2"/>
  <c r="AE64" i="2" s="1"/>
  <c r="AF64" i="2" s="1"/>
  <c r="K66" i="2"/>
  <c r="L66" i="2"/>
  <c r="M66" i="2"/>
  <c r="S66" i="2"/>
  <c r="T66" i="2"/>
  <c r="U66" i="2"/>
  <c r="AD66" i="2"/>
  <c r="AE66" i="2" s="1"/>
  <c r="AF66" i="2" s="1"/>
  <c r="K67" i="2"/>
  <c r="L67" i="2"/>
  <c r="M67" i="2"/>
  <c r="S67" i="2"/>
  <c r="T67" i="2"/>
  <c r="U67" i="2"/>
  <c r="AD67" i="2"/>
  <c r="AE67" i="2" s="1"/>
  <c r="AF67" i="2" s="1"/>
  <c r="K68" i="2"/>
  <c r="L68" i="2"/>
  <c r="M68" i="2"/>
  <c r="S68" i="2"/>
  <c r="T68" i="2"/>
  <c r="U68" i="2"/>
  <c r="AD68" i="2"/>
  <c r="K69" i="2"/>
  <c r="L69" i="2"/>
  <c r="M69" i="2"/>
  <c r="S69" i="2"/>
  <c r="T69" i="2"/>
  <c r="U69" i="2"/>
  <c r="AD69" i="2"/>
  <c r="AE69" i="2" s="1"/>
  <c r="AF69" i="2" s="1"/>
  <c r="K70" i="2"/>
  <c r="L70" i="2"/>
  <c r="M70" i="2"/>
  <c r="S70" i="2"/>
  <c r="T70" i="2"/>
  <c r="U70" i="2"/>
  <c r="AD70" i="2"/>
  <c r="AE70" i="2" s="1"/>
  <c r="AF70" i="2" s="1"/>
  <c r="K71" i="2"/>
  <c r="L71" i="2"/>
  <c r="M71" i="2"/>
  <c r="S71" i="2"/>
  <c r="T71" i="2"/>
  <c r="U71" i="2"/>
  <c r="AD71" i="2"/>
  <c r="AE71" i="2" s="1"/>
  <c r="AF71" i="2" s="1"/>
  <c r="K73" i="2"/>
  <c r="L73" i="2"/>
  <c r="M73" i="2"/>
  <c r="S73" i="2"/>
  <c r="T73" i="2"/>
  <c r="U73" i="2"/>
  <c r="AD73" i="2"/>
  <c r="K74" i="2"/>
  <c r="L74" i="2"/>
  <c r="M74" i="2"/>
  <c r="S74" i="2"/>
  <c r="T74" i="2"/>
  <c r="U74" i="2"/>
  <c r="AD74" i="2"/>
  <c r="AE74" i="2" s="1"/>
  <c r="AF74" i="2" s="1"/>
  <c r="K75" i="2"/>
  <c r="L75" i="2"/>
  <c r="M75" i="2"/>
  <c r="S75" i="2"/>
  <c r="T75" i="2"/>
  <c r="U75" i="2"/>
  <c r="AD75" i="2"/>
  <c r="AE75" i="2" s="1"/>
  <c r="AF75" i="2" s="1"/>
  <c r="K76" i="2"/>
  <c r="L76" i="2"/>
  <c r="M76" i="2"/>
  <c r="S76" i="2"/>
  <c r="T76" i="2"/>
  <c r="U76" i="2"/>
  <c r="AD76" i="2"/>
  <c r="AE76" i="2" s="1"/>
  <c r="AF76" i="2" s="1"/>
  <c r="K77" i="2"/>
  <c r="L77" i="2"/>
  <c r="M77" i="2"/>
  <c r="S77" i="2"/>
  <c r="T77" i="2"/>
  <c r="U77" i="2"/>
  <c r="AD77" i="2"/>
  <c r="AE77" i="2" s="1"/>
  <c r="AF77" i="2" s="1"/>
  <c r="AC144" i="2"/>
  <c r="AB144" i="2"/>
  <c r="Z144" i="2"/>
  <c r="Y144" i="2"/>
  <c r="X144" i="2"/>
  <c r="W144" i="2"/>
  <c r="V144" i="2"/>
  <c r="R144" i="2"/>
  <c r="Q144" i="2"/>
  <c r="P144" i="2"/>
  <c r="O144" i="2"/>
  <c r="N144" i="2"/>
  <c r="J144" i="2"/>
  <c r="I144" i="2"/>
  <c r="H144" i="2"/>
  <c r="G144" i="2"/>
  <c r="F144" i="2"/>
  <c r="E144" i="2"/>
  <c r="D144" i="2"/>
  <c r="C144" i="2"/>
  <c r="AD142" i="2"/>
  <c r="AE142" i="2" s="1"/>
  <c r="AF142" i="2" s="1"/>
  <c r="U142" i="2"/>
  <c r="T142" i="2"/>
  <c r="S142" i="2"/>
  <c r="M142" i="2"/>
  <c r="L142" i="2"/>
  <c r="K142" i="2"/>
  <c r="AD133" i="2"/>
  <c r="AE133" i="2" s="1"/>
  <c r="AF133" i="2" s="1"/>
  <c r="U133" i="2"/>
  <c r="T133" i="2"/>
  <c r="S133" i="2"/>
  <c r="M133" i="2"/>
  <c r="L133" i="2"/>
  <c r="K133" i="2"/>
  <c r="Z129" i="2"/>
  <c r="Y129" i="2"/>
  <c r="X129" i="2"/>
  <c r="AD127" i="2"/>
  <c r="AE127" i="2" s="1"/>
  <c r="U127" i="2"/>
  <c r="T127" i="2"/>
  <c r="S127" i="2"/>
  <c r="M127" i="2"/>
  <c r="L127" i="2"/>
  <c r="K127" i="2"/>
  <c r="AC118" i="2"/>
  <c r="AB118" i="2"/>
  <c r="W118" i="2"/>
  <c r="V118" i="2"/>
  <c r="R118" i="2"/>
  <c r="Q118" i="2"/>
  <c r="P118" i="2"/>
  <c r="O118" i="2"/>
  <c r="N118" i="2"/>
  <c r="J118" i="2"/>
  <c r="I118" i="2"/>
  <c r="H118" i="2"/>
  <c r="G118" i="2"/>
  <c r="F118" i="2"/>
  <c r="E118" i="2"/>
  <c r="D118" i="2"/>
  <c r="C118" i="2"/>
  <c r="AD116" i="2"/>
  <c r="AE116" i="2" s="1"/>
  <c r="AF116" i="2" s="1"/>
  <c r="U116" i="2"/>
  <c r="T116" i="2"/>
  <c r="S116" i="2"/>
  <c r="M116" i="2"/>
  <c r="L116" i="2"/>
  <c r="K116" i="2"/>
  <c r="AD115" i="2"/>
  <c r="AE115" i="2" s="1"/>
  <c r="AF115" i="2" s="1"/>
  <c r="U115" i="2"/>
  <c r="T115" i="2"/>
  <c r="S115" i="2"/>
  <c r="M115" i="2"/>
  <c r="L115" i="2"/>
  <c r="K115" i="2"/>
  <c r="AC104" i="2"/>
  <c r="AB104" i="2"/>
  <c r="W104" i="2"/>
  <c r="V104" i="2"/>
  <c r="R104" i="2"/>
  <c r="Q104" i="2"/>
  <c r="P104" i="2"/>
  <c r="O104" i="2"/>
  <c r="N104" i="2"/>
  <c r="J104" i="2"/>
  <c r="I104" i="2"/>
  <c r="H104" i="2"/>
  <c r="G104" i="2"/>
  <c r="F104" i="2"/>
  <c r="E104" i="2"/>
  <c r="D104" i="2"/>
  <c r="C104" i="2"/>
  <c r="AC102" i="2"/>
  <c r="Z102" i="2"/>
  <c r="Y102" i="2"/>
  <c r="X102" i="2"/>
  <c r="W102" i="2"/>
  <c r="V102" i="2"/>
  <c r="R102" i="2"/>
  <c r="Q102" i="2"/>
  <c r="P102" i="2"/>
  <c r="O102" i="2"/>
  <c r="N102" i="2"/>
  <c r="J102" i="2"/>
  <c r="I102" i="2"/>
  <c r="H102" i="2"/>
  <c r="G102" i="2"/>
  <c r="F102" i="2"/>
  <c r="E102" i="2"/>
  <c r="D102" i="2"/>
  <c r="C102" i="2"/>
  <c r="AD100" i="2"/>
  <c r="AE100" i="2" s="1"/>
  <c r="AF100" i="2" s="1"/>
  <c r="U100" i="2"/>
  <c r="T100" i="2"/>
  <c r="S100" i="2"/>
  <c r="M100" i="2"/>
  <c r="L100" i="2"/>
  <c r="K100" i="2"/>
  <c r="AD99" i="2"/>
  <c r="AE99" i="2" s="1"/>
  <c r="AF99" i="2" s="1"/>
  <c r="U99" i="2"/>
  <c r="T99" i="2"/>
  <c r="S99" i="2"/>
  <c r="M99" i="2"/>
  <c r="L99" i="2"/>
  <c r="K99" i="2"/>
  <c r="AD98" i="2"/>
  <c r="AE98" i="2" s="1"/>
  <c r="AF98" i="2" s="1"/>
  <c r="U98" i="2"/>
  <c r="T98" i="2"/>
  <c r="S98" i="2"/>
  <c r="M98" i="2"/>
  <c r="L98" i="2"/>
  <c r="K98" i="2"/>
  <c r="AD97" i="2"/>
  <c r="AE97" i="2" s="1"/>
  <c r="AF97" i="2" s="1"/>
  <c r="U97" i="2"/>
  <c r="T97" i="2"/>
  <c r="S97" i="2"/>
  <c r="M97" i="2"/>
  <c r="L97" i="2"/>
  <c r="K97" i="2"/>
  <c r="AD96" i="2"/>
  <c r="AE96" i="2" s="1"/>
  <c r="AF96" i="2" s="1"/>
  <c r="U96" i="2"/>
  <c r="T96" i="2"/>
  <c r="S96" i="2"/>
  <c r="M96" i="2"/>
  <c r="L96" i="2"/>
  <c r="K96" i="2"/>
  <c r="AD95" i="2"/>
  <c r="AE95" i="2" s="1"/>
  <c r="AF95" i="2" s="1"/>
  <c r="U95" i="2"/>
  <c r="T95" i="2"/>
  <c r="S95" i="2"/>
  <c r="M95" i="2"/>
  <c r="L95" i="2"/>
  <c r="K95" i="2"/>
  <c r="AD94" i="2"/>
  <c r="AE94" i="2" s="1"/>
  <c r="AF94" i="2" s="1"/>
  <c r="U94" i="2"/>
  <c r="T94" i="2"/>
  <c r="S94" i="2"/>
  <c r="M94" i="2"/>
  <c r="L94" i="2"/>
  <c r="K94" i="2"/>
  <c r="AD93" i="2"/>
  <c r="AE93" i="2" s="1"/>
  <c r="AF93" i="2" s="1"/>
  <c r="U93" i="2"/>
  <c r="T93" i="2"/>
  <c r="S93" i="2"/>
  <c r="M93" i="2"/>
  <c r="L93" i="2"/>
  <c r="K93" i="2"/>
  <c r="AD92" i="2"/>
  <c r="AE92" i="2" s="1"/>
  <c r="AF92" i="2" s="1"/>
  <c r="U92" i="2"/>
  <c r="T92" i="2"/>
  <c r="S92" i="2"/>
  <c r="M92" i="2"/>
  <c r="L92" i="2"/>
  <c r="K92" i="2"/>
  <c r="AD91" i="2"/>
  <c r="AE91" i="2" s="1"/>
  <c r="AF91" i="2" s="1"/>
  <c r="U91" i="2"/>
  <c r="T91" i="2"/>
  <c r="S91" i="2"/>
  <c r="M91" i="2"/>
  <c r="L91" i="2"/>
  <c r="K91" i="2"/>
  <c r="AD90" i="2"/>
  <c r="AE90" i="2" s="1"/>
  <c r="AF90" i="2" s="1"/>
  <c r="U90" i="2"/>
  <c r="T90" i="2"/>
  <c r="S90" i="2"/>
  <c r="M90" i="2"/>
  <c r="L90" i="2"/>
  <c r="K90" i="2"/>
  <c r="AD89" i="2"/>
  <c r="AE89" i="2" s="1"/>
  <c r="AF89" i="2" s="1"/>
  <c r="U89" i="2"/>
  <c r="T89" i="2"/>
  <c r="S89" i="2"/>
  <c r="M89" i="2"/>
  <c r="L89" i="2"/>
  <c r="K89" i="2"/>
  <c r="AD88" i="2"/>
  <c r="AE88" i="2" s="1"/>
  <c r="AF88" i="2" s="1"/>
  <c r="U88" i="2"/>
  <c r="T88" i="2"/>
  <c r="S88" i="2"/>
  <c r="M88" i="2"/>
  <c r="L88" i="2"/>
  <c r="K88" i="2"/>
  <c r="AD87" i="2"/>
  <c r="AE87" i="2" s="1"/>
  <c r="AF87" i="2" s="1"/>
  <c r="U87" i="2"/>
  <c r="T87" i="2"/>
  <c r="S87" i="2"/>
  <c r="M87" i="2"/>
  <c r="L87" i="2"/>
  <c r="K87" i="2"/>
  <c r="AD86" i="2"/>
  <c r="AE86" i="2" s="1"/>
  <c r="AF86" i="2" s="1"/>
  <c r="U86" i="2"/>
  <c r="T86" i="2"/>
  <c r="S86" i="2"/>
  <c r="M86" i="2"/>
  <c r="L86" i="2"/>
  <c r="K86" i="2"/>
  <c r="AD85" i="2"/>
  <c r="AE85" i="2" s="1"/>
  <c r="AF85" i="2" s="1"/>
  <c r="U85" i="2"/>
  <c r="T85" i="2"/>
  <c r="S85" i="2"/>
  <c r="M85" i="2"/>
  <c r="L85" i="2"/>
  <c r="K85" i="2"/>
  <c r="AD84" i="2"/>
  <c r="U84" i="2"/>
  <c r="T84" i="2"/>
  <c r="S84" i="2"/>
  <c r="M84" i="2"/>
  <c r="L84" i="2"/>
  <c r="K84" i="2"/>
  <c r="AD83" i="2"/>
  <c r="AE83" i="2" s="1"/>
  <c r="U83" i="2"/>
  <c r="T83" i="2"/>
  <c r="S83" i="2"/>
  <c r="M83" i="2"/>
  <c r="L83" i="2"/>
  <c r="K83" i="2"/>
  <c r="Z81" i="2"/>
  <c r="Y81" i="2"/>
  <c r="X81" i="2"/>
  <c r="M102" i="2" l="1"/>
  <c r="J129" i="6"/>
  <c r="M102" i="6"/>
  <c r="M12" i="6"/>
  <c r="M37" i="6"/>
  <c r="O47" i="6"/>
  <c r="M144" i="2"/>
  <c r="Z131" i="2"/>
  <c r="Z135" i="2" s="1"/>
  <c r="Z146" i="2" s="1"/>
  <c r="N47" i="6"/>
  <c r="M118" i="2"/>
  <c r="E47" i="6"/>
  <c r="P47" i="6"/>
  <c r="P129" i="6"/>
  <c r="H24" i="6"/>
  <c r="O129" i="6"/>
  <c r="H47" i="6"/>
  <c r="L144" i="6"/>
  <c r="L65" i="2"/>
  <c r="R79" i="6"/>
  <c r="S72" i="6"/>
  <c r="L102" i="6"/>
  <c r="I47" i="6"/>
  <c r="L104" i="6"/>
  <c r="L12" i="6"/>
  <c r="F129" i="6"/>
  <c r="Q129" i="6"/>
  <c r="G129" i="6"/>
  <c r="F47" i="6"/>
  <c r="Q47" i="6"/>
  <c r="K9" i="6"/>
  <c r="T23" i="6"/>
  <c r="U29" i="6"/>
  <c r="T32" i="6"/>
  <c r="U37" i="6"/>
  <c r="U46" i="6"/>
  <c r="C129" i="6"/>
  <c r="U144" i="2"/>
  <c r="T9" i="6"/>
  <c r="V47" i="6"/>
  <c r="J79" i="6"/>
  <c r="L78" i="6"/>
  <c r="R47" i="6"/>
  <c r="H129" i="6"/>
  <c r="R129" i="6"/>
  <c r="I129" i="6"/>
  <c r="F129" i="2"/>
  <c r="E38" i="6"/>
  <c r="V129" i="6"/>
  <c r="M32" i="2"/>
  <c r="F38" i="6"/>
  <c r="L72" i="2"/>
  <c r="L78" i="2"/>
  <c r="I24" i="6"/>
  <c r="J47" i="6"/>
  <c r="N129" i="6"/>
  <c r="W38" i="6"/>
  <c r="L32" i="6"/>
  <c r="L72" i="6"/>
  <c r="T144" i="6"/>
  <c r="AC81" i="21"/>
  <c r="AC130" i="21" s="1"/>
  <c r="AC134" i="21" s="1"/>
  <c r="AC145" i="21" s="1"/>
  <c r="AH38" i="21"/>
  <c r="L145" i="21"/>
  <c r="M145" i="21"/>
  <c r="U145" i="21"/>
  <c r="P38" i="6"/>
  <c r="G24" i="6"/>
  <c r="C38" i="6"/>
  <c r="O79" i="6"/>
  <c r="O38" i="6"/>
  <c r="P79" i="6"/>
  <c r="U72" i="6"/>
  <c r="T104" i="6"/>
  <c r="S42" i="6"/>
  <c r="G38" i="6"/>
  <c r="R38" i="6"/>
  <c r="H79" i="6"/>
  <c r="V79" i="6"/>
  <c r="M78" i="6"/>
  <c r="AB129" i="6"/>
  <c r="H38" i="6"/>
  <c r="V38" i="6"/>
  <c r="W47" i="6"/>
  <c r="I79" i="6"/>
  <c r="W79" i="6"/>
  <c r="AC129" i="6"/>
  <c r="M42" i="6"/>
  <c r="L42" i="6"/>
  <c r="D129" i="2"/>
  <c r="T118" i="2"/>
  <c r="AI109" i="2"/>
  <c r="S144" i="2"/>
  <c r="Q129" i="2"/>
  <c r="U118" i="2"/>
  <c r="AE5" i="2"/>
  <c r="AE9" i="2" s="1"/>
  <c r="AD9" i="2"/>
  <c r="U9" i="2"/>
  <c r="T12" i="2"/>
  <c r="M12" i="2"/>
  <c r="S12" i="2"/>
  <c r="K42" i="2"/>
  <c r="J129" i="2"/>
  <c r="T144" i="2"/>
  <c r="AE42" i="2"/>
  <c r="AE43" i="2"/>
  <c r="AD46" i="2"/>
  <c r="AD42" i="2"/>
  <c r="T65" i="2"/>
  <c r="T104" i="2"/>
  <c r="AF25" i="2"/>
  <c r="AF29" i="2" s="1"/>
  <c r="AH29" i="2" s="1"/>
  <c r="AE29" i="2"/>
  <c r="AE10" i="2"/>
  <c r="AD12" i="2"/>
  <c r="S72" i="2"/>
  <c r="AE48" i="2"/>
  <c r="AD58" i="2"/>
  <c r="AD59" i="2" s="1"/>
  <c r="AE30" i="2"/>
  <c r="AD32" i="2"/>
  <c r="AD29" i="2"/>
  <c r="K23" i="2"/>
  <c r="AE73" i="2"/>
  <c r="AD78" i="2"/>
  <c r="AE13" i="2"/>
  <c r="AD23" i="2"/>
  <c r="H129" i="2"/>
  <c r="V129" i="2"/>
  <c r="AF39" i="2"/>
  <c r="AD37" i="2"/>
  <c r="AF33" i="2"/>
  <c r="AE37" i="2"/>
  <c r="AE68" i="2"/>
  <c r="AD72" i="2"/>
  <c r="AE62" i="2"/>
  <c r="AD65" i="2"/>
  <c r="U32" i="6"/>
  <c r="G47" i="6"/>
  <c r="F79" i="6"/>
  <c r="T65" i="6"/>
  <c r="T72" i="6"/>
  <c r="S118" i="6"/>
  <c r="T12" i="6"/>
  <c r="Z131" i="6"/>
  <c r="Z135" i="6" s="1"/>
  <c r="Z146" i="6" s="1"/>
  <c r="K104" i="6"/>
  <c r="M46" i="6"/>
  <c r="N24" i="6"/>
  <c r="W24" i="6"/>
  <c r="K23" i="6"/>
  <c r="N38" i="6"/>
  <c r="T46" i="6"/>
  <c r="G79" i="6"/>
  <c r="M72" i="6"/>
  <c r="S104" i="6"/>
  <c r="AD144" i="6"/>
  <c r="F24" i="6"/>
  <c r="U42" i="6"/>
  <c r="AE144" i="6"/>
  <c r="S29" i="6"/>
  <c r="K72" i="6"/>
  <c r="X131" i="6"/>
  <c r="X135" i="6" s="1"/>
  <c r="X146" i="6" s="1"/>
  <c r="U102" i="6"/>
  <c r="AF139" i="6"/>
  <c r="AF144" i="6" s="1"/>
  <c r="E24" i="6"/>
  <c r="S32" i="6"/>
  <c r="C47" i="6"/>
  <c r="K46" i="6"/>
  <c r="S58" i="6"/>
  <c r="K78" i="6"/>
  <c r="D129" i="6"/>
  <c r="W129" i="6"/>
  <c r="AD118" i="6"/>
  <c r="C79" i="6"/>
  <c r="K144" i="6"/>
  <c r="N79" i="6"/>
  <c r="J38" i="6"/>
  <c r="D47" i="6"/>
  <c r="D79" i="6"/>
  <c r="U12" i="6"/>
  <c r="O24" i="6"/>
  <c r="L37" i="6"/>
  <c r="L46" i="6"/>
  <c r="U78" i="6"/>
  <c r="U102" i="2"/>
  <c r="G129" i="2"/>
  <c r="R129" i="2"/>
  <c r="L144" i="2"/>
  <c r="T9" i="2"/>
  <c r="K32" i="2"/>
  <c r="K37" i="2"/>
  <c r="T37" i="2"/>
  <c r="U46" i="2"/>
  <c r="S65" i="2"/>
  <c r="I129" i="2"/>
  <c r="S102" i="2"/>
  <c r="K9" i="2"/>
  <c r="L23" i="2"/>
  <c r="D38" i="2"/>
  <c r="V38" i="2"/>
  <c r="M72" i="2"/>
  <c r="AC129" i="2"/>
  <c r="K144" i="2"/>
  <c r="L12" i="2"/>
  <c r="S37" i="2"/>
  <c r="E129" i="2"/>
  <c r="P129" i="2"/>
  <c r="S118" i="2"/>
  <c r="G47" i="2"/>
  <c r="M9" i="2"/>
  <c r="D24" i="2"/>
  <c r="I38" i="2"/>
  <c r="H38" i="2"/>
  <c r="P38" i="2"/>
  <c r="G38" i="2"/>
  <c r="O38" i="2"/>
  <c r="F47" i="2"/>
  <c r="N47" i="2"/>
  <c r="I79" i="2"/>
  <c r="S78" i="2"/>
  <c r="K104" i="2"/>
  <c r="Q24" i="6"/>
  <c r="Q38" i="6"/>
  <c r="U59" i="6"/>
  <c r="M59" i="6"/>
  <c r="L59" i="6"/>
  <c r="E79" i="6"/>
  <c r="T78" i="6"/>
  <c r="S78" i="6"/>
  <c r="AD104" i="6"/>
  <c r="AF118" i="6"/>
  <c r="T59" i="6"/>
  <c r="S59" i="6"/>
  <c r="U118" i="6"/>
  <c r="M118" i="6"/>
  <c r="T118" i="6"/>
  <c r="L118" i="6"/>
  <c r="R24" i="6"/>
  <c r="K12" i="6"/>
  <c r="I38" i="6"/>
  <c r="K37" i="6"/>
  <c r="K42" i="6"/>
  <c r="K59" i="6"/>
  <c r="AF105" i="6"/>
  <c r="AF104" i="6" s="1"/>
  <c r="AE104" i="6"/>
  <c r="K118" i="6"/>
  <c r="AB12" i="6"/>
  <c r="AB23" i="6" s="1"/>
  <c r="P24" i="6"/>
  <c r="S12" i="6"/>
  <c r="AE118" i="6"/>
  <c r="J24" i="6"/>
  <c r="S9" i="6"/>
  <c r="S46" i="6"/>
  <c r="K58" i="6"/>
  <c r="T102" i="6"/>
  <c r="S102" i="6"/>
  <c r="AC23" i="6"/>
  <c r="AC24" i="6" s="1"/>
  <c r="U23" i="6"/>
  <c r="M23" i="6"/>
  <c r="L23" i="6"/>
  <c r="C24" i="6"/>
  <c r="K29" i="6"/>
  <c r="K32" i="6"/>
  <c r="T37" i="6"/>
  <c r="S37" i="6"/>
  <c r="D24" i="6"/>
  <c r="L9" i="6"/>
  <c r="V24" i="6"/>
  <c r="D38" i="6"/>
  <c r="M29" i="6"/>
  <c r="Y131" i="6"/>
  <c r="Y135" i="6" s="1"/>
  <c r="Y146" i="6" s="1"/>
  <c r="AD102" i="6"/>
  <c r="K102" i="6"/>
  <c r="M144" i="6"/>
  <c r="U144" i="6"/>
  <c r="L29" i="6"/>
  <c r="T29" i="6"/>
  <c r="T42" i="6"/>
  <c r="Q79" i="6"/>
  <c r="AE83" i="6"/>
  <c r="M9" i="6"/>
  <c r="U9" i="6"/>
  <c r="S23" i="6"/>
  <c r="M32" i="6"/>
  <c r="K65" i="6"/>
  <c r="S65" i="6"/>
  <c r="M104" i="6"/>
  <c r="U104" i="6"/>
  <c r="L65" i="6"/>
  <c r="E129" i="6"/>
  <c r="M65" i="6"/>
  <c r="U65" i="6"/>
  <c r="L58" i="6"/>
  <c r="T58" i="6"/>
  <c r="S144" i="6"/>
  <c r="M58" i="6"/>
  <c r="U58" i="6"/>
  <c r="U58" i="2"/>
  <c r="K72" i="2"/>
  <c r="L104" i="2"/>
  <c r="U104" i="2"/>
  <c r="U37" i="2"/>
  <c r="U12" i="2"/>
  <c r="J38" i="2"/>
  <c r="R38" i="2"/>
  <c r="S32" i="2"/>
  <c r="O47" i="2"/>
  <c r="M46" i="2"/>
  <c r="K59" i="2"/>
  <c r="D79" i="2"/>
  <c r="V79" i="2"/>
  <c r="U42" i="2"/>
  <c r="AB129" i="2"/>
  <c r="N129" i="2"/>
  <c r="D47" i="2"/>
  <c r="V47" i="2"/>
  <c r="L102" i="2"/>
  <c r="X131" i="2"/>
  <c r="X135" i="2" s="1"/>
  <c r="X146" i="2" s="1"/>
  <c r="K102" i="2"/>
  <c r="Y131" i="2"/>
  <c r="Y135" i="2" s="1"/>
  <c r="Y146" i="2" s="1"/>
  <c r="AD102" i="2"/>
  <c r="L118" i="2"/>
  <c r="L32" i="2"/>
  <c r="M58" i="2"/>
  <c r="F38" i="2"/>
  <c r="L37" i="2"/>
  <c r="C47" i="2"/>
  <c r="T58" i="2"/>
  <c r="H79" i="2"/>
  <c r="P79" i="2"/>
  <c r="M78" i="2"/>
  <c r="K46" i="2"/>
  <c r="K78" i="2"/>
  <c r="S104" i="2"/>
  <c r="K118" i="2"/>
  <c r="H47" i="2"/>
  <c r="P47" i="2"/>
  <c r="AF127" i="2"/>
  <c r="AF118" i="2" s="1"/>
  <c r="AE118" i="2"/>
  <c r="P24" i="2"/>
  <c r="K58" i="2"/>
  <c r="T78" i="2"/>
  <c r="M23" i="2"/>
  <c r="E38" i="2"/>
  <c r="M37" i="2"/>
  <c r="C38" i="2"/>
  <c r="J47" i="2"/>
  <c r="R47" i="2"/>
  <c r="S46" i="2"/>
  <c r="G79" i="2"/>
  <c r="O79" i="2"/>
  <c r="L59" i="2"/>
  <c r="U59" i="2"/>
  <c r="M59" i="2"/>
  <c r="AD118" i="2"/>
  <c r="O129" i="2"/>
  <c r="W129" i="2"/>
  <c r="T23" i="2"/>
  <c r="L42" i="2"/>
  <c r="L58" i="2"/>
  <c r="U65" i="2"/>
  <c r="U78" i="2"/>
  <c r="G24" i="2"/>
  <c r="O24" i="2"/>
  <c r="I47" i="2"/>
  <c r="Q47" i="2"/>
  <c r="F79" i="2"/>
  <c r="N79" i="2"/>
  <c r="AD144" i="2"/>
  <c r="AE139" i="2"/>
  <c r="U23" i="2"/>
  <c r="T32" i="2"/>
  <c r="T42" i="2"/>
  <c r="F24" i="2"/>
  <c r="N24" i="2"/>
  <c r="I24" i="2"/>
  <c r="E79" i="2"/>
  <c r="K12" i="2"/>
  <c r="K29" i="2"/>
  <c r="U32" i="2"/>
  <c r="H24" i="2"/>
  <c r="Q79" i="2"/>
  <c r="AE105" i="2"/>
  <c r="AD104" i="2"/>
  <c r="Q38" i="2"/>
  <c r="S29" i="2"/>
  <c r="M42" i="2"/>
  <c r="M65" i="2"/>
  <c r="C79" i="2"/>
  <c r="E24" i="2"/>
  <c r="S9" i="2"/>
  <c r="M29" i="2"/>
  <c r="N38" i="2"/>
  <c r="S58" i="2"/>
  <c r="Q59" i="2"/>
  <c r="AF83" i="2"/>
  <c r="AE84" i="2"/>
  <c r="AF84" i="2" s="1"/>
  <c r="T102" i="2"/>
  <c r="L29" i="2"/>
  <c r="T72" i="2"/>
  <c r="V24" i="2"/>
  <c r="L9" i="2"/>
  <c r="T29" i="2"/>
  <c r="L46" i="2"/>
  <c r="K65" i="2"/>
  <c r="U72" i="2"/>
  <c r="C24" i="2"/>
  <c r="S23" i="2"/>
  <c r="E47" i="2"/>
  <c r="J79" i="2"/>
  <c r="R79" i="2"/>
  <c r="M104" i="2"/>
  <c r="C129" i="2"/>
  <c r="U29" i="2"/>
  <c r="T46" i="2"/>
  <c r="J24" i="2"/>
  <c r="R24" i="2"/>
  <c r="Q24" i="2"/>
  <c r="S42" i="2"/>
  <c r="U129" i="6" l="1"/>
  <c r="M47" i="6"/>
  <c r="T47" i="6"/>
  <c r="L47" i="6"/>
  <c r="U79" i="6"/>
  <c r="U47" i="6"/>
  <c r="L129" i="6"/>
  <c r="J81" i="6"/>
  <c r="J131" i="6" s="1"/>
  <c r="J135" i="6" s="1"/>
  <c r="J146" i="6" s="1"/>
  <c r="S47" i="6"/>
  <c r="M47" i="2"/>
  <c r="U47" i="2"/>
  <c r="T129" i="6"/>
  <c r="S129" i="6"/>
  <c r="P81" i="6"/>
  <c r="P131" i="6" s="1"/>
  <c r="P135" i="6" s="1"/>
  <c r="P146" i="6" s="1"/>
  <c r="V81" i="6"/>
  <c r="V131" i="6" s="1"/>
  <c r="V135" i="6" s="1"/>
  <c r="V146" i="6" s="1"/>
  <c r="U38" i="6"/>
  <c r="L38" i="6"/>
  <c r="S129" i="2"/>
  <c r="H81" i="6"/>
  <c r="H131" i="6" s="1"/>
  <c r="H135" i="6" s="1"/>
  <c r="H146" i="6" s="1"/>
  <c r="U129" i="2"/>
  <c r="K129" i="6"/>
  <c r="R81" i="6"/>
  <c r="R131" i="6" s="1"/>
  <c r="R135" i="6" s="1"/>
  <c r="R146" i="6" s="1"/>
  <c r="M38" i="6"/>
  <c r="M129" i="6"/>
  <c r="K47" i="6"/>
  <c r="O81" i="6"/>
  <c r="O131" i="6" s="1"/>
  <c r="O135" i="6" s="1"/>
  <c r="O146" i="6" s="1"/>
  <c r="I81" i="6"/>
  <c r="I131" i="6" s="1"/>
  <c r="I135" i="6" s="1"/>
  <c r="I146" i="6" s="1"/>
  <c r="L24" i="6"/>
  <c r="F81" i="6"/>
  <c r="F131" i="6" s="1"/>
  <c r="F135" i="6" s="1"/>
  <c r="F146" i="6" s="1"/>
  <c r="G81" i="6"/>
  <c r="G131" i="6" s="1"/>
  <c r="G135" i="6" s="1"/>
  <c r="G146" i="6" s="1"/>
  <c r="U24" i="6"/>
  <c r="C81" i="6"/>
  <c r="C131" i="6" s="1"/>
  <c r="C135" i="6" s="1"/>
  <c r="C146" i="6" s="1"/>
  <c r="AD79" i="2"/>
  <c r="AF5" i="2"/>
  <c r="AF9" i="2" s="1"/>
  <c r="AH9" i="2" s="1"/>
  <c r="K24" i="6"/>
  <c r="K79" i="6"/>
  <c r="W81" i="6"/>
  <c r="W131" i="6" s="1"/>
  <c r="W135" i="6" s="1"/>
  <c r="W146" i="6" s="1"/>
  <c r="AF129" i="6"/>
  <c r="AD47" i="2"/>
  <c r="F81" i="2"/>
  <c r="F131" i="2" s="1"/>
  <c r="F135" i="2" s="1"/>
  <c r="F146" i="2" s="1"/>
  <c r="N81" i="6"/>
  <c r="AB24" i="6"/>
  <c r="AB29" i="6" s="1"/>
  <c r="AD129" i="6"/>
  <c r="K129" i="2"/>
  <c r="L79" i="6"/>
  <c r="V81" i="2"/>
  <c r="V131" i="2" s="1"/>
  <c r="V135" i="2" s="1"/>
  <c r="V146" i="2" s="1"/>
  <c r="AD38" i="2"/>
  <c r="R81" i="2"/>
  <c r="R131" i="2" s="1"/>
  <c r="R135" i="2" s="1"/>
  <c r="R146" i="2" s="1"/>
  <c r="M129" i="2"/>
  <c r="L47" i="2"/>
  <c r="AF73" i="2"/>
  <c r="AF78" i="2" s="1"/>
  <c r="AH78" i="2" s="1"/>
  <c r="AE78" i="2"/>
  <c r="P81" i="2"/>
  <c r="P131" i="2" s="1"/>
  <c r="P135" i="2" s="1"/>
  <c r="P146" i="2" s="1"/>
  <c r="AF42" i="2"/>
  <c r="AF43" i="2"/>
  <c r="AF46" i="2" s="1"/>
  <c r="AH46" i="2" s="1"/>
  <c r="AE46" i="2"/>
  <c r="AE47" i="2" s="1"/>
  <c r="AF30" i="2"/>
  <c r="AF32" i="2" s="1"/>
  <c r="AH32" i="2" s="1"/>
  <c r="AE32" i="2"/>
  <c r="AE38" i="2" s="1"/>
  <c r="AF10" i="2"/>
  <c r="AF12" i="2" s="1"/>
  <c r="AE12" i="2"/>
  <c r="AD24" i="2"/>
  <c r="I81" i="2"/>
  <c r="I131" i="2" s="1"/>
  <c r="I135" i="2" s="1"/>
  <c r="I146" i="2" s="1"/>
  <c r="AF13" i="2"/>
  <c r="AF23" i="2" s="1"/>
  <c r="AH23" i="2" s="1"/>
  <c r="AE23" i="2"/>
  <c r="AF48" i="2"/>
  <c r="AF58" i="2" s="1"/>
  <c r="AE58" i="2"/>
  <c r="AE59" i="2" s="1"/>
  <c r="D81" i="2"/>
  <c r="D131" i="2" s="1"/>
  <c r="D135" i="2" s="1"/>
  <c r="D146" i="2" s="1"/>
  <c r="AF37" i="2"/>
  <c r="AF68" i="2"/>
  <c r="AF72" i="2" s="1"/>
  <c r="AH72" i="2" s="1"/>
  <c r="AE72" i="2"/>
  <c r="AF62" i="2"/>
  <c r="AE65" i="2"/>
  <c r="M79" i="6"/>
  <c r="Q81" i="6"/>
  <c r="Q131" i="6" s="1"/>
  <c r="K38" i="6"/>
  <c r="T129" i="2"/>
  <c r="K38" i="2"/>
  <c r="H81" i="2"/>
  <c r="H131" i="2" s="1"/>
  <c r="H135" i="2" s="1"/>
  <c r="H146" i="2" s="1"/>
  <c r="T79" i="6"/>
  <c r="S79" i="6"/>
  <c r="M24" i="6"/>
  <c r="D81" i="6"/>
  <c r="D131" i="6" s="1"/>
  <c r="D135" i="6" s="1"/>
  <c r="D146" i="6" s="1"/>
  <c r="E81" i="6"/>
  <c r="AE129" i="6"/>
  <c r="AE102" i="6"/>
  <c r="AF83" i="6"/>
  <c r="AF102" i="6" s="1"/>
  <c r="T38" i="6"/>
  <c r="S38" i="6"/>
  <c r="AC29" i="6"/>
  <c r="T24" i="6"/>
  <c r="S24" i="6"/>
  <c r="W81" i="2"/>
  <c r="W131" i="2" s="1"/>
  <c r="W135" i="2" s="1"/>
  <c r="W146" i="2" s="1"/>
  <c r="AE102" i="2"/>
  <c r="AF102" i="2"/>
  <c r="J81" i="2"/>
  <c r="J131" i="2" s="1"/>
  <c r="J135" i="2" s="1"/>
  <c r="J146" i="2" s="1"/>
  <c r="O81" i="2"/>
  <c r="O131" i="2" s="1"/>
  <c r="O135" i="2" s="1"/>
  <c r="O146" i="2" s="1"/>
  <c r="K47" i="2"/>
  <c r="G81" i="2"/>
  <c r="G131" i="2" s="1"/>
  <c r="G135" i="2" s="1"/>
  <c r="G146" i="2" s="1"/>
  <c r="L129" i="2"/>
  <c r="K24" i="2"/>
  <c r="AF105" i="2"/>
  <c r="AF104" i="2" s="1"/>
  <c r="AF129" i="2" s="1"/>
  <c r="AE104" i="2"/>
  <c r="AE129" i="2" s="1"/>
  <c r="S79" i="2"/>
  <c r="T79" i="2"/>
  <c r="M24" i="2"/>
  <c r="U24" i="2"/>
  <c r="L24" i="2"/>
  <c r="C81" i="2"/>
  <c r="C131" i="2" s="1"/>
  <c r="C135" i="2" s="1"/>
  <c r="C146" i="2" s="1"/>
  <c r="T47" i="2"/>
  <c r="S47" i="2"/>
  <c r="U38" i="2"/>
  <c r="M38" i="2"/>
  <c r="L38" i="2"/>
  <c r="T38" i="2"/>
  <c r="S38" i="2"/>
  <c r="N81" i="2"/>
  <c r="E81" i="2"/>
  <c r="S24" i="2"/>
  <c r="T24" i="2"/>
  <c r="M79" i="2"/>
  <c r="U79" i="2"/>
  <c r="L79" i="2"/>
  <c r="T59" i="2"/>
  <c r="S59" i="2"/>
  <c r="Q81" i="2"/>
  <c r="AD129" i="2"/>
  <c r="K79" i="2"/>
  <c r="AF139" i="2"/>
  <c r="AF144" i="2" s="1"/>
  <c r="AE144" i="2"/>
  <c r="U81" i="6" l="1"/>
  <c r="N131" i="6"/>
  <c r="L131" i="6" s="1"/>
  <c r="M81" i="6"/>
  <c r="AD24" i="6"/>
  <c r="AE24" i="6" s="1"/>
  <c r="AF24" i="6" s="1"/>
  <c r="AB32" i="6"/>
  <c r="AB37" i="6" s="1"/>
  <c r="L81" i="6"/>
  <c r="AE79" i="2"/>
  <c r="AH47" i="21"/>
  <c r="S81" i="6"/>
  <c r="T81" i="6"/>
  <c r="AF47" i="2"/>
  <c r="AH47" i="2" s="1"/>
  <c r="AH42" i="2"/>
  <c r="AF38" i="2"/>
  <c r="AH38" i="2" s="1"/>
  <c r="AH37" i="2"/>
  <c r="AE24" i="2"/>
  <c r="AF59" i="2"/>
  <c r="AH59" i="2" s="1"/>
  <c r="AH58" i="2"/>
  <c r="AF24" i="2"/>
  <c r="AH24" i="2" s="1"/>
  <c r="AF65" i="2"/>
  <c r="K81" i="6"/>
  <c r="E131" i="6"/>
  <c r="AC32" i="6"/>
  <c r="S131" i="6"/>
  <c r="Q135" i="6"/>
  <c r="Q131" i="2"/>
  <c r="T81" i="2"/>
  <c r="S81" i="2"/>
  <c r="E131" i="2"/>
  <c r="K81" i="2"/>
  <c r="U81" i="2"/>
  <c r="N131" i="2"/>
  <c r="M81" i="2"/>
  <c r="L81" i="2"/>
  <c r="M131" i="6" l="1"/>
  <c r="N135" i="6"/>
  <c r="U135" i="6" s="1"/>
  <c r="U131" i="6"/>
  <c r="T131" i="6"/>
  <c r="AB38" i="6"/>
  <c r="AB42" i="6" s="1"/>
  <c r="AH59" i="21"/>
  <c r="AF79" i="2"/>
  <c r="AH79" i="2" s="1"/>
  <c r="AH65" i="2"/>
  <c r="E135" i="6"/>
  <c r="K131" i="6"/>
  <c r="AC37" i="6"/>
  <c r="S135" i="6"/>
  <c r="Q146" i="6"/>
  <c r="U131" i="2"/>
  <c r="M131" i="2"/>
  <c r="N135" i="2"/>
  <c r="L131" i="2"/>
  <c r="Q135" i="2"/>
  <c r="T131" i="2"/>
  <c r="S131" i="2"/>
  <c r="K131" i="2"/>
  <c r="E135" i="2"/>
  <c r="T135" i="6" l="1"/>
  <c r="L135" i="6"/>
  <c r="N146" i="6"/>
  <c r="T146" i="6" s="1"/>
  <c r="M135" i="6"/>
  <c r="AH79" i="21"/>
  <c r="AC38" i="6"/>
  <c r="AC42" i="6" s="1"/>
  <c r="AC46" i="6" s="1"/>
  <c r="AB46" i="6"/>
  <c r="S146" i="6"/>
  <c r="E146" i="6"/>
  <c r="K146" i="6" s="1"/>
  <c r="K135" i="6"/>
  <c r="Q146" i="2"/>
  <c r="T135" i="2"/>
  <c r="S135" i="2"/>
  <c r="K135" i="2"/>
  <c r="E146" i="2"/>
  <c r="K146" i="2" s="1"/>
  <c r="L135" i="2"/>
  <c r="N146" i="2"/>
  <c r="M135" i="2"/>
  <c r="U135" i="2"/>
  <c r="L146" i="6" l="1"/>
  <c r="U146" i="6"/>
  <c r="M146" i="6"/>
  <c r="AD81" i="21"/>
  <c r="AC47" i="6"/>
  <c r="AC58" i="6" s="1"/>
  <c r="AD38" i="6"/>
  <c r="AE38" i="6" s="1"/>
  <c r="AF38" i="6" s="1"/>
  <c r="AB47" i="6"/>
  <c r="L146" i="2"/>
  <c r="U146" i="2"/>
  <c r="M146" i="2"/>
  <c r="T146" i="2"/>
  <c r="S146" i="2"/>
  <c r="AD130" i="21" l="1"/>
  <c r="AD134" i="21" s="1"/>
  <c r="AD145" i="21" s="1"/>
  <c r="AE81" i="21"/>
  <c r="AC59" i="6"/>
  <c r="AC65" i="6" s="1"/>
  <c r="AC72" i="6" s="1"/>
  <c r="AD47" i="6"/>
  <c r="AE47" i="6" s="1"/>
  <c r="AF47" i="6" s="1"/>
  <c r="AB58" i="6"/>
  <c r="AC81" i="2"/>
  <c r="AC131" i="2" s="1"/>
  <c r="AC135" i="2" s="1"/>
  <c r="AC146" i="2" s="1"/>
  <c r="AE130" i="21" l="1"/>
  <c r="AE134" i="21" s="1"/>
  <c r="AE145" i="21" s="1"/>
  <c r="AF81" i="21"/>
  <c r="AF130" i="21" s="1"/>
  <c r="AF134" i="21" s="1"/>
  <c r="AF145" i="21" s="1"/>
  <c r="AB59" i="6"/>
  <c r="AC78" i="6"/>
  <c r="AC79" i="6" s="1"/>
  <c r="AC81" i="6" s="1"/>
  <c r="AC131" i="6" s="1"/>
  <c r="AC135" i="6" s="1"/>
  <c r="AC146" i="6" s="1"/>
  <c r="AB81" i="2"/>
  <c r="AD59" i="6" l="1"/>
  <c r="AE59" i="6" s="1"/>
  <c r="AF59" i="6" s="1"/>
  <c r="AB65" i="6"/>
  <c r="AB72" i="6" s="1"/>
  <c r="AB78" i="6" s="1"/>
  <c r="AB79" i="6" s="1"/>
  <c r="AD81" i="2"/>
  <c r="AB131" i="2"/>
  <c r="AB135" i="2" s="1"/>
  <c r="AB146" i="2" s="1"/>
  <c r="AD79" i="6" l="1"/>
  <c r="AE79" i="6" s="1"/>
  <c r="AF79" i="6" s="1"/>
  <c r="AB81" i="6"/>
  <c r="AD131" i="2"/>
  <c r="AD135" i="2" s="1"/>
  <c r="AD146" i="2" s="1"/>
  <c r="AE81" i="2"/>
  <c r="AB131" i="6" l="1"/>
  <c r="AB135" i="6" s="1"/>
  <c r="AB146" i="6" s="1"/>
  <c r="AD81" i="6"/>
  <c r="AE131" i="2"/>
  <c r="AE135" i="2" s="1"/>
  <c r="AE146" i="2" s="1"/>
  <c r="AF81" i="2"/>
  <c r="AF131" i="2" s="1"/>
  <c r="AF135" i="2" s="1"/>
  <c r="AF146" i="2" s="1"/>
  <c r="AD131" i="6" l="1"/>
  <c r="AD135" i="6" s="1"/>
  <c r="AD146" i="6" s="1"/>
  <c r="AE81" i="6"/>
  <c r="AE131" i="6" l="1"/>
  <c r="AE135" i="6" s="1"/>
  <c r="AE146" i="6" s="1"/>
  <c r="AF81" i="6"/>
  <c r="AF131" i="6" s="1"/>
  <c r="AF135" i="6" s="1"/>
  <c r="AF146" i="6" s="1"/>
  <c r="H77" i="5" l="1"/>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E77" i="5"/>
  <c r="F77" i="5"/>
  <c r="G77" i="5"/>
  <c r="S52" i="5" l="1"/>
  <c r="T52" i="5"/>
  <c r="U52" i="5"/>
  <c r="V52" i="5"/>
  <c r="W52" i="5"/>
  <c r="W64" i="5" s="1"/>
  <c r="X52" i="5"/>
  <c r="X64" i="5" s="1"/>
  <c r="Y52" i="5"/>
  <c r="Y64" i="5" s="1"/>
  <c r="Z52" i="5"/>
  <c r="Z64" i="5" s="1"/>
  <c r="AA52" i="5"/>
  <c r="AA64" i="5" s="1"/>
  <c r="AB52" i="5"/>
  <c r="AB64" i="5" s="1"/>
  <c r="AC52" i="5"/>
  <c r="AC64" i="5" s="1"/>
  <c r="AD52" i="5"/>
  <c r="AD64" i="5" s="1"/>
  <c r="AE52" i="5"/>
  <c r="AE64" i="5" s="1"/>
  <c r="AF52" i="5"/>
  <c r="AF64" i="5" s="1"/>
  <c r="AG52" i="5"/>
  <c r="AG64" i="5" s="1"/>
  <c r="AH52" i="5"/>
  <c r="AH64" i="5" s="1"/>
  <c r="AI52" i="5"/>
  <c r="AI64" i="5" s="1"/>
  <c r="AJ52" i="5"/>
  <c r="AJ64" i="5" s="1"/>
  <c r="AK52" i="5"/>
  <c r="AK64" i="5" s="1"/>
  <c r="AL52" i="5"/>
  <c r="AL64" i="5" s="1"/>
  <c r="AM52" i="5"/>
  <c r="AM64" i="5" s="1"/>
  <c r="AN52" i="5"/>
  <c r="AN64" i="5" s="1"/>
  <c r="AO52" i="5"/>
  <c r="AO64" i="5" s="1"/>
  <c r="AP52" i="5"/>
  <c r="AP64" i="5" s="1"/>
  <c r="AQ52" i="5"/>
  <c r="AQ64" i="5" s="1"/>
  <c r="AR52" i="5"/>
  <c r="AR64" i="5" s="1"/>
  <c r="AS52" i="5"/>
  <c r="AS64" i="5" s="1"/>
  <c r="AT52" i="5"/>
  <c r="AT64" i="5" s="1"/>
  <c r="AU52" i="5"/>
  <c r="AU64" i="5" s="1"/>
  <c r="AV52" i="5"/>
  <c r="AV64" i="5" s="1"/>
  <c r="AW52" i="5"/>
  <c r="AW64" i="5" s="1"/>
  <c r="AX52" i="5"/>
  <c r="AX64" i="5" s="1"/>
  <c r="AY52" i="5"/>
  <c r="AY64" i="5" s="1"/>
  <c r="AZ52" i="5"/>
  <c r="AZ64" i="5" s="1"/>
  <c r="BA52" i="5"/>
  <c r="BA64" i="5" s="1"/>
  <c r="BB52" i="5"/>
  <c r="BB64" i="5" s="1"/>
  <c r="BC52" i="5"/>
  <c r="BC64" i="5" s="1"/>
  <c r="BD52" i="5"/>
  <c r="BD64" i="5" s="1"/>
  <c r="BE52" i="5"/>
  <c r="BE64" i="5" s="1"/>
  <c r="BF52" i="5"/>
  <c r="BF64" i="5" s="1"/>
  <c r="BG52" i="5"/>
  <c r="BG64" i="5" s="1"/>
  <c r="BH52" i="5"/>
  <c r="BH64" i="5" s="1"/>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V9" i="5"/>
  <c r="AP34" i="5"/>
  <c r="AQ34" i="5"/>
  <c r="AR34" i="5"/>
  <c r="AS34" i="5"/>
  <c r="AT34" i="5"/>
  <c r="AU34" i="5"/>
  <c r="AV34" i="5"/>
  <c r="AW34" i="5"/>
  <c r="AX34" i="5"/>
  <c r="AY34" i="5"/>
  <c r="AZ34" i="5"/>
  <c r="BA34" i="5"/>
  <c r="BB34" i="5"/>
  <c r="BC34" i="5"/>
  <c r="BD34" i="5"/>
  <c r="BE34" i="5"/>
  <c r="BF34" i="5"/>
  <c r="BG34" i="5"/>
  <c r="BH34" i="5"/>
  <c r="P71" i="5"/>
  <c r="Q71" i="5"/>
  <c r="R71" i="5"/>
  <c r="S71" i="5"/>
  <c r="T71" i="5"/>
  <c r="U71" i="5"/>
  <c r="V71" i="5"/>
  <c r="W71" i="5"/>
  <c r="W78" i="5" s="1"/>
  <c r="X71" i="5"/>
  <c r="X78" i="5" s="1"/>
  <c r="Y71" i="5"/>
  <c r="Y78" i="5" s="1"/>
  <c r="Z71" i="5"/>
  <c r="Z78" i="5" s="1"/>
  <c r="AA71" i="5"/>
  <c r="AA78" i="5" s="1"/>
  <c r="AB71" i="5"/>
  <c r="AB78" i="5" s="1"/>
  <c r="AC71" i="5"/>
  <c r="AC78" i="5" s="1"/>
  <c r="AD71" i="5"/>
  <c r="AD78" i="5" s="1"/>
  <c r="AE71" i="5"/>
  <c r="AE78" i="5" s="1"/>
  <c r="AF71" i="5"/>
  <c r="AF78" i="5" s="1"/>
  <c r="AG71" i="5"/>
  <c r="AG78" i="5" s="1"/>
  <c r="AH71" i="5"/>
  <c r="AH78" i="5" s="1"/>
  <c r="AI71" i="5"/>
  <c r="AI78" i="5" s="1"/>
  <c r="AJ71" i="5"/>
  <c r="AJ78" i="5" s="1"/>
  <c r="AK71" i="5"/>
  <c r="AK78" i="5" s="1"/>
  <c r="AL71" i="5"/>
  <c r="AL78" i="5" s="1"/>
  <c r="AM71" i="5"/>
  <c r="AM78" i="5" s="1"/>
  <c r="AN71" i="5"/>
  <c r="AN78" i="5" s="1"/>
  <c r="AO71" i="5"/>
  <c r="AO78" i="5" s="1"/>
  <c r="AP71" i="5"/>
  <c r="AP78" i="5" s="1"/>
  <c r="AQ71" i="5"/>
  <c r="AQ78" i="5" s="1"/>
  <c r="AR71" i="5"/>
  <c r="AR78" i="5" s="1"/>
  <c r="AS71" i="5"/>
  <c r="AS78" i="5" s="1"/>
  <c r="AT71" i="5"/>
  <c r="AT78" i="5" s="1"/>
  <c r="AU71" i="5"/>
  <c r="AU78" i="5" s="1"/>
  <c r="AV71" i="5"/>
  <c r="AV78" i="5" s="1"/>
  <c r="AW71" i="5"/>
  <c r="AW78" i="5" s="1"/>
  <c r="AX71" i="5"/>
  <c r="AX78" i="5" s="1"/>
  <c r="AY71" i="5"/>
  <c r="AY78" i="5" s="1"/>
  <c r="AZ71" i="5"/>
  <c r="AZ78" i="5" s="1"/>
  <c r="BA71" i="5"/>
  <c r="BA78" i="5" s="1"/>
  <c r="BB71" i="5"/>
  <c r="BB78" i="5" s="1"/>
  <c r="BC71" i="5"/>
  <c r="BC78" i="5" s="1"/>
  <c r="BD71" i="5"/>
  <c r="BD78" i="5" s="1"/>
  <c r="BE71" i="5"/>
  <c r="BE78" i="5" s="1"/>
  <c r="BF71" i="5"/>
  <c r="BF78" i="5" s="1"/>
  <c r="BG71" i="5"/>
  <c r="BG78" i="5" s="1"/>
  <c r="BH71" i="5"/>
  <c r="BH78" i="5" s="1"/>
  <c r="BI71" i="5"/>
  <c r="AN44" i="5"/>
  <c r="AN48" i="5" s="1"/>
  <c r="AO44" i="5"/>
  <c r="AO48" i="5" s="1"/>
  <c r="AP44" i="5"/>
  <c r="AP48" i="5" s="1"/>
  <c r="AQ44" i="5"/>
  <c r="AQ48" i="5" s="1"/>
  <c r="AR44" i="5"/>
  <c r="AR48" i="5" s="1"/>
  <c r="AS44" i="5"/>
  <c r="AS48" i="5" s="1"/>
  <c r="AT44" i="5"/>
  <c r="AT48" i="5" s="1"/>
  <c r="AU44" i="5"/>
  <c r="AU48" i="5" s="1"/>
  <c r="AV44" i="5"/>
  <c r="AV48" i="5" s="1"/>
  <c r="AW44" i="5"/>
  <c r="AW48" i="5" s="1"/>
  <c r="AX44" i="5"/>
  <c r="AX48" i="5" s="1"/>
  <c r="AY44" i="5"/>
  <c r="AY48" i="5" s="1"/>
  <c r="AZ44" i="5"/>
  <c r="AZ48" i="5" s="1"/>
  <c r="BA44" i="5"/>
  <c r="BA48" i="5" s="1"/>
  <c r="BB44" i="5"/>
  <c r="BB48" i="5" s="1"/>
  <c r="BC44" i="5"/>
  <c r="BC48" i="5" s="1"/>
  <c r="BD44" i="5"/>
  <c r="BD48" i="5" s="1"/>
  <c r="BE44" i="5"/>
  <c r="BE48" i="5" s="1"/>
  <c r="BF44" i="5"/>
  <c r="BF48" i="5" s="1"/>
  <c r="BG44" i="5"/>
  <c r="BG48" i="5" s="1"/>
  <c r="BH44" i="5"/>
  <c r="BH48" i="5" s="1"/>
  <c r="BI44" i="5"/>
  <c r="BI48" i="5" s="1"/>
  <c r="BI82" i="5" s="1"/>
  <c r="BI90" i="5" s="1"/>
  <c r="V44" i="5"/>
  <c r="W44" i="5"/>
  <c r="X44" i="5"/>
  <c r="Y44" i="5"/>
  <c r="Z44" i="5"/>
  <c r="AA44" i="5"/>
  <c r="AA48" i="5" s="1"/>
  <c r="AB44" i="5"/>
  <c r="AB48" i="5" s="1"/>
  <c r="AC44" i="5"/>
  <c r="AC48" i="5" s="1"/>
  <c r="AD44" i="5"/>
  <c r="AD48" i="5" s="1"/>
  <c r="AE44" i="5"/>
  <c r="AE48" i="5" s="1"/>
  <c r="AF44" i="5"/>
  <c r="AF48" i="5" s="1"/>
  <c r="AG44" i="5"/>
  <c r="AG48" i="5" s="1"/>
  <c r="AH44" i="5"/>
  <c r="AH48" i="5" s="1"/>
  <c r="AI44" i="5"/>
  <c r="AI48" i="5" s="1"/>
  <c r="AJ44" i="5"/>
  <c r="AJ48" i="5" s="1"/>
  <c r="AK44" i="5"/>
  <c r="AK48" i="5" s="1"/>
  <c r="AL44" i="5"/>
  <c r="AL48" i="5" s="1"/>
  <c r="AM44" i="5"/>
  <c r="AM48" i="5" s="1"/>
  <c r="AN39" i="5"/>
  <c r="O38" i="5"/>
  <c r="O39" i="5" s="1"/>
  <c r="P38" i="5"/>
  <c r="P39" i="5" s="1"/>
  <c r="Q38" i="5"/>
  <c r="Q39" i="5" s="1"/>
  <c r="R38" i="5"/>
  <c r="R39" i="5" s="1"/>
  <c r="S38" i="5"/>
  <c r="S39" i="5" s="1"/>
  <c r="T38" i="5"/>
  <c r="T39" i="5" s="1"/>
  <c r="U38" i="5"/>
  <c r="U39" i="5" s="1"/>
  <c r="V38" i="5"/>
  <c r="V39" i="5" s="1"/>
  <c r="W38" i="5"/>
  <c r="W39" i="5" s="1"/>
  <c r="X38" i="5"/>
  <c r="X39" i="5" s="1"/>
  <c r="Y38" i="5"/>
  <c r="Y39" i="5" s="1"/>
  <c r="Z38" i="5"/>
  <c r="Z39" i="5" s="1"/>
  <c r="AA38" i="5"/>
  <c r="AA39" i="5" s="1"/>
  <c r="AB38" i="5"/>
  <c r="AB39" i="5" s="1"/>
  <c r="AC38" i="5"/>
  <c r="AC39" i="5" s="1"/>
  <c r="AD38" i="5"/>
  <c r="AD39" i="5" s="1"/>
  <c r="AE38" i="5"/>
  <c r="AE39" i="5" s="1"/>
  <c r="AF38" i="5"/>
  <c r="AF39" i="5" s="1"/>
  <c r="AG38" i="5"/>
  <c r="AG39" i="5" s="1"/>
  <c r="AH38" i="5"/>
  <c r="AH39" i="5" s="1"/>
  <c r="AI38" i="5"/>
  <c r="AI39" i="5" s="1"/>
  <c r="AJ38" i="5"/>
  <c r="AJ39" i="5" s="1"/>
  <c r="AK38" i="5"/>
  <c r="AK39" i="5" s="1"/>
  <c r="AL38" i="5"/>
  <c r="AL39" i="5" s="1"/>
  <c r="AM38" i="5"/>
  <c r="AM39" i="5" s="1"/>
  <c r="Z33" i="5"/>
  <c r="AA33" i="5"/>
  <c r="AB33" i="5"/>
  <c r="AC33" i="5"/>
  <c r="AD33" i="5"/>
  <c r="AE33" i="5"/>
  <c r="AF33" i="5"/>
  <c r="AG33" i="5"/>
  <c r="AH33" i="5"/>
  <c r="AI33" i="5"/>
  <c r="AJ33" i="5"/>
  <c r="AK33" i="5"/>
  <c r="AL33" i="5"/>
  <c r="AM33" i="5"/>
  <c r="AN33" i="5"/>
  <c r="U28" i="5"/>
  <c r="V28" i="5"/>
  <c r="W28" i="5"/>
  <c r="X28" i="5"/>
  <c r="Y28" i="5"/>
  <c r="Z28" i="5"/>
  <c r="AA28" i="5"/>
  <c r="AB28" i="5"/>
  <c r="AC28" i="5"/>
  <c r="AD28" i="5"/>
  <c r="AE28" i="5"/>
  <c r="AF28" i="5"/>
  <c r="AG28" i="5"/>
  <c r="AH28" i="5"/>
  <c r="AI28" i="5"/>
  <c r="AJ28" i="5"/>
  <c r="AK28" i="5"/>
  <c r="AL28" i="5"/>
  <c r="AM28" i="5"/>
  <c r="AN28" i="5"/>
  <c r="AO28" i="5"/>
  <c r="AO34" i="5" s="1"/>
  <c r="U25" i="5"/>
  <c r="V25" i="5"/>
  <c r="W25" i="5"/>
  <c r="X25" i="5"/>
  <c r="Y25" i="5"/>
  <c r="Z25" i="5"/>
  <c r="AA25" i="5"/>
  <c r="AB25" i="5"/>
  <c r="AC25" i="5"/>
  <c r="AD25" i="5"/>
  <c r="AE25" i="5"/>
  <c r="AF25" i="5"/>
  <c r="AG25" i="5"/>
  <c r="AH25" i="5"/>
  <c r="AI25" i="5"/>
  <c r="AJ25" i="5"/>
  <c r="AK25" i="5"/>
  <c r="AL25" i="5"/>
  <c r="AM25" i="5"/>
  <c r="AF20" i="5"/>
  <c r="AA19" i="5"/>
  <c r="AB19" i="5"/>
  <c r="AC19" i="5"/>
  <c r="AD19" i="5"/>
  <c r="AE19" i="5"/>
  <c r="AA20" i="5" l="1"/>
  <c r="AE34" i="5"/>
  <c r="AJ34" i="5"/>
  <c r="AJ82" i="5" s="1"/>
  <c r="AJ90" i="5" s="1"/>
  <c r="AB34" i="5"/>
  <c r="AO82" i="5"/>
  <c r="AO90" i="5" s="1"/>
  <c r="AE20" i="5"/>
  <c r="AL34" i="5"/>
  <c r="AL82" i="5" s="1"/>
  <c r="AL90" i="5" s="1"/>
  <c r="AD34" i="5"/>
  <c r="AG34" i="5"/>
  <c r="AG82" i="5" s="1"/>
  <c r="AG90" i="5" s="1"/>
  <c r="AC34" i="5"/>
  <c r="AK34" i="5"/>
  <c r="AK82" i="5" s="1"/>
  <c r="AK90" i="5" s="1"/>
  <c r="AA34" i="5"/>
  <c r="Z34" i="5"/>
  <c r="AF34" i="5"/>
  <c r="AF82" i="5" s="1"/>
  <c r="AF90" i="5" s="1"/>
  <c r="AM34" i="5"/>
  <c r="AM82" i="5" s="1"/>
  <c r="AM90" i="5" s="1"/>
  <c r="AN34" i="5"/>
  <c r="AN82" i="5" s="1"/>
  <c r="AN90" i="5" s="1"/>
  <c r="AZ82" i="5"/>
  <c r="AZ90" i="5" s="1"/>
  <c r="AW82" i="5"/>
  <c r="AW90" i="5" s="1"/>
  <c r="AR82" i="5"/>
  <c r="AR90" i="5" s="1"/>
  <c r="AV82" i="5"/>
  <c r="AV90" i="5" s="1"/>
  <c r="AC20" i="5"/>
  <c r="AQ82" i="5"/>
  <c r="AQ90" i="5" s="1"/>
  <c r="AB20" i="5"/>
  <c r="AY82" i="5"/>
  <c r="AY90" i="5" s="1"/>
  <c r="AI34" i="5"/>
  <c r="AI82" i="5" s="1"/>
  <c r="AI90" i="5" s="1"/>
  <c r="AP82" i="5"/>
  <c r="AP90" i="5" s="1"/>
  <c r="BB82" i="5"/>
  <c r="BB90" i="5" s="1"/>
  <c r="AT82" i="5"/>
  <c r="AT90" i="5" s="1"/>
  <c r="AH34" i="5"/>
  <c r="AH82" i="5" s="1"/>
  <c r="AH90" i="5" s="1"/>
  <c r="BH82" i="5"/>
  <c r="BH90" i="5" s="1"/>
  <c r="BF82" i="5"/>
  <c r="BF90" i="5" s="1"/>
  <c r="BG82" i="5"/>
  <c r="BG90" i="5" s="1"/>
  <c r="BE82" i="5"/>
  <c r="BE90" i="5" s="1"/>
  <c r="BC82" i="5"/>
  <c r="BC90" i="5" s="1"/>
  <c r="AU82" i="5"/>
  <c r="AU90" i="5" s="1"/>
  <c r="BD82" i="5"/>
  <c r="BD90" i="5" s="1"/>
  <c r="BA82" i="5"/>
  <c r="BA90" i="5" s="1"/>
  <c r="AS82" i="5"/>
  <c r="AS90" i="5" s="1"/>
  <c r="AX82" i="5"/>
  <c r="AX90" i="5" s="1"/>
  <c r="AD20" i="5"/>
  <c r="AA82" i="5" l="1"/>
  <c r="AA90" i="5" s="1"/>
  <c r="AE82" i="5"/>
  <c r="AE90" i="5" s="1"/>
  <c r="AB82" i="5"/>
  <c r="AB90" i="5" s="1"/>
  <c r="AD82" i="5"/>
  <c r="AD90" i="5" s="1"/>
  <c r="AC82" i="5"/>
  <c r="AC90" i="5" s="1"/>
  <c r="N95" i="7" l="1"/>
  <c r="N92" i="7"/>
  <c r="F86" i="7"/>
  <c r="Q62" i="7"/>
  <c r="P62" i="7"/>
  <c r="O62" i="7"/>
  <c r="N53" i="7"/>
  <c r="N52" i="7"/>
  <c r="M51" i="7"/>
  <c r="N51" i="7" s="1"/>
  <c r="N50" i="7"/>
  <c r="N48" i="7"/>
  <c r="R43" i="7"/>
  <c r="Q43" i="7"/>
  <c r="P43" i="7"/>
  <c r="O43" i="7"/>
  <c r="N43" i="7"/>
  <c r="R37" i="7"/>
  <c r="Q37" i="7"/>
  <c r="P37" i="7"/>
  <c r="E35" i="7"/>
  <c r="E34" i="7"/>
  <c r="E33" i="7"/>
  <c r="A33" i="7"/>
  <c r="E32" i="7"/>
  <c r="D31" i="7"/>
  <c r="E31" i="7" s="1"/>
  <c r="N30" i="7"/>
  <c r="E30" i="7"/>
  <c r="Y29" i="7"/>
  <c r="Q29" i="7"/>
  <c r="P29" i="7"/>
  <c r="N29" i="7"/>
  <c r="E29" i="7"/>
  <c r="Y28" i="7"/>
  <c r="E28" i="7"/>
  <c r="Z27" i="7"/>
  <c r="E27" i="7"/>
  <c r="Z26" i="7"/>
  <c r="D26" i="7"/>
  <c r="C30" i="7" s="1"/>
  <c r="Z25" i="7"/>
  <c r="E25" i="7"/>
  <c r="Q24" i="7"/>
  <c r="P24" i="7"/>
  <c r="N24" i="7"/>
  <c r="E24" i="7"/>
  <c r="Z22" i="7"/>
  <c r="L22" i="7"/>
  <c r="L37" i="7" s="1"/>
  <c r="N21" i="7"/>
  <c r="N20" i="7"/>
  <c r="Z18" i="7"/>
  <c r="N18" i="7"/>
  <c r="E18" i="7"/>
  <c r="C18" i="7"/>
  <c r="B18" i="7"/>
  <c r="A18" i="7"/>
  <c r="N17" i="7"/>
  <c r="D17" i="7"/>
  <c r="E17" i="7" s="1"/>
  <c r="C16" i="7"/>
  <c r="A16" i="7"/>
  <c r="N15" i="7"/>
  <c r="C15" i="7"/>
  <c r="B15" i="7"/>
  <c r="A15" i="7"/>
  <c r="N14" i="7"/>
  <c r="M14" i="7"/>
  <c r="E14" i="7"/>
  <c r="O13" i="7"/>
  <c r="O37" i="7" s="1"/>
  <c r="M13" i="7"/>
  <c r="M37" i="7" s="1"/>
  <c r="R12" i="7"/>
  <c r="R38" i="7" s="1"/>
  <c r="Q12" i="7"/>
  <c r="P12" i="7"/>
  <c r="O12" i="7"/>
  <c r="M12" i="7"/>
  <c r="L12" i="7"/>
  <c r="L38" i="7" s="1"/>
  <c r="D12" i="7"/>
  <c r="E12" i="7" s="1"/>
  <c r="O11" i="7"/>
  <c r="E11" i="7"/>
  <c r="C10" i="7"/>
  <c r="A10" i="7"/>
  <c r="N8" i="7"/>
  <c r="N7" i="7"/>
  <c r="N62" i="7" l="1"/>
  <c r="F79" i="7"/>
  <c r="Q35" i="7"/>
  <c r="R39" i="7"/>
  <c r="R64" i="7" s="1"/>
  <c r="M62" i="7"/>
  <c r="O38" i="7"/>
  <c r="O39" i="7" s="1"/>
  <c r="N22" i="7"/>
  <c r="F81" i="7" s="1"/>
  <c r="F85" i="7"/>
  <c r="Z30" i="7"/>
  <c r="A14" i="7"/>
  <c r="P11" i="7"/>
  <c r="P38" i="7" s="1"/>
  <c r="P39" i="7" s="1"/>
  <c r="P64" i="7" s="1"/>
  <c r="N12" i="7"/>
  <c r="F83" i="7" s="1"/>
  <c r="Y30" i="7"/>
  <c r="F84" i="7"/>
  <c r="L69" i="7"/>
  <c r="L71" i="7" s="1"/>
  <c r="L39" i="7"/>
  <c r="L64" i="7" s="1"/>
  <c r="L66" i="7"/>
  <c r="Q38" i="7"/>
  <c r="Q39" i="7" s="1"/>
  <c r="Q65" i="7" s="1"/>
  <c r="R35" i="7"/>
  <c r="L73" i="7"/>
  <c r="L74" i="7" s="1"/>
  <c r="E26" i="7"/>
  <c r="A30" i="7" s="1"/>
  <c r="L35" i="7"/>
  <c r="M35" i="7"/>
  <c r="M38" i="7"/>
  <c r="O35" i="7"/>
  <c r="D37" i="7"/>
  <c r="R65" i="7" l="1"/>
  <c r="F88" i="7"/>
  <c r="G84" i="7" s="1"/>
  <c r="N38" i="7"/>
  <c r="N69" i="7" s="1"/>
  <c r="P35" i="7"/>
  <c r="N35" i="7"/>
  <c r="P65" i="7"/>
  <c r="N37" i="7"/>
  <c r="M69" i="7"/>
  <c r="M39" i="7"/>
  <c r="M64" i="7" s="1"/>
  <c r="D41" i="7"/>
  <c r="D39" i="7"/>
  <c r="E37" i="7"/>
  <c r="Q64" i="7"/>
  <c r="O65" i="7"/>
  <c r="O64" i="7"/>
  <c r="G85" i="7" l="1"/>
  <c r="G81" i="7"/>
  <c r="N39" i="7"/>
  <c r="N65" i="7" s="1"/>
  <c r="G82" i="7"/>
  <c r="G80" i="7"/>
  <c r="G86" i="7"/>
  <c r="G87" i="7"/>
  <c r="G88" i="7"/>
  <c r="G83" i="7"/>
  <c r="G79" i="7"/>
  <c r="N66" i="7"/>
  <c r="E41" i="7"/>
  <c r="E39" i="7"/>
  <c r="N64" i="7" l="1"/>
  <c r="N93" i="7" s="1"/>
  <c r="N97" i="7" s="1"/>
  <c r="S39" i="7"/>
  <c r="I40" i="7"/>
  <c r="F25" i="5" l="1"/>
  <c r="G25" i="5"/>
  <c r="H25" i="5"/>
  <c r="I25" i="5"/>
  <c r="J25" i="5"/>
  <c r="K25" i="5"/>
  <c r="L25" i="5"/>
  <c r="M25" i="5"/>
  <c r="N25" i="5"/>
  <c r="O25" i="5"/>
  <c r="P25" i="5"/>
  <c r="Q25" i="5"/>
  <c r="R25" i="5"/>
  <c r="S25" i="5"/>
  <c r="T25" i="5"/>
  <c r="E110" i="4"/>
  <c r="D110" i="4"/>
  <c r="C110" i="4"/>
  <c r="E25" i="5" l="1"/>
  <c r="O105" i="9" l="1"/>
  <c r="O130" i="9"/>
  <c r="N53" i="10" l="1"/>
  <c r="O124" i="9"/>
  <c r="C124" i="9"/>
  <c r="N117" i="9"/>
  <c r="N72" i="9"/>
  <c r="N73" i="9"/>
  <c r="N74" i="9"/>
  <c r="N71" i="9"/>
  <c r="N65" i="9"/>
  <c r="N66" i="9"/>
  <c r="N67" i="9"/>
  <c r="N68" i="9"/>
  <c r="N69" i="9"/>
  <c r="N64" i="9"/>
  <c r="N53" i="9"/>
  <c r="N54" i="9"/>
  <c r="N55" i="9"/>
  <c r="N56" i="9"/>
  <c r="N57" i="9"/>
  <c r="N58" i="9"/>
  <c r="N59" i="9"/>
  <c r="N60" i="9"/>
  <c r="N61" i="9"/>
  <c r="N52" i="9"/>
  <c r="N49" i="9"/>
  <c r="N50" i="9"/>
  <c r="N48" i="9"/>
  <c r="N45" i="9"/>
  <c r="N44" i="9"/>
  <c r="N40" i="9"/>
  <c r="N41" i="9"/>
  <c r="N42" i="9"/>
  <c r="N39" i="9"/>
  <c r="N35" i="9"/>
  <c r="N36" i="9"/>
  <c r="N34" i="9"/>
  <c r="N29" i="9"/>
  <c r="N30" i="9"/>
  <c r="N31" i="9"/>
  <c r="N28" i="9"/>
  <c r="N23" i="9"/>
  <c r="N24" i="9"/>
  <c r="N25" i="9"/>
  <c r="N26" i="9"/>
  <c r="N22" i="9"/>
  <c r="N6" i="9"/>
  <c r="N7" i="9"/>
  <c r="N8" i="9"/>
  <c r="N9" i="9"/>
  <c r="N11" i="9"/>
  <c r="N12" i="9"/>
  <c r="N13" i="9"/>
  <c r="N14" i="9"/>
  <c r="N15" i="9"/>
  <c r="N16" i="9"/>
  <c r="N17" i="9"/>
  <c r="N18" i="9"/>
  <c r="N19" i="9"/>
  <c r="N5" i="9"/>
  <c r="M135" i="9"/>
  <c r="M113" i="9"/>
  <c r="M101" i="9"/>
  <c r="M99" i="9"/>
  <c r="M75" i="9"/>
  <c r="M70" i="9"/>
  <c r="M62" i="9"/>
  <c r="M51" i="9"/>
  <c r="M46" i="9"/>
  <c r="M43" i="9"/>
  <c r="M37" i="9"/>
  <c r="M38" i="9" s="1"/>
  <c r="M32" i="9"/>
  <c r="M27" i="9"/>
  <c r="M20" i="9"/>
  <c r="M10" i="9"/>
  <c r="AA107" i="9"/>
  <c r="AA108" i="9"/>
  <c r="AA109" i="9"/>
  <c r="AA110" i="9"/>
  <c r="AA111" i="9"/>
  <c r="AA102" i="9"/>
  <c r="AA103" i="9"/>
  <c r="AA104" i="9"/>
  <c r="AA105" i="9"/>
  <c r="Y101" i="9"/>
  <c r="Z101" i="9"/>
  <c r="AA106" i="9"/>
  <c r="X75" i="9"/>
  <c r="Z75" i="9"/>
  <c r="AA65" i="9"/>
  <c r="AA66" i="9"/>
  <c r="AA67" i="9"/>
  <c r="AA68" i="9"/>
  <c r="AA69" i="9"/>
  <c r="AA71" i="9"/>
  <c r="AA72" i="9"/>
  <c r="AA73" i="9"/>
  <c r="AA74" i="9"/>
  <c r="AA64" i="9"/>
  <c r="AA49" i="9"/>
  <c r="AA50" i="9"/>
  <c r="AA52" i="9"/>
  <c r="AA53" i="9"/>
  <c r="AA54" i="9"/>
  <c r="AA55" i="9"/>
  <c r="AA56" i="9"/>
  <c r="AA57" i="9"/>
  <c r="AA58" i="9"/>
  <c r="AA59" i="9"/>
  <c r="AA60" i="9"/>
  <c r="AA61" i="9"/>
  <c r="AA48" i="9"/>
  <c r="Z46" i="9"/>
  <c r="Z43" i="9"/>
  <c r="AA41" i="9"/>
  <c r="AA42" i="9"/>
  <c r="AA44" i="9"/>
  <c r="AA45" i="9"/>
  <c r="AA40" i="9"/>
  <c r="AA23" i="9"/>
  <c r="AA24" i="9"/>
  <c r="AA25" i="9"/>
  <c r="AA26" i="9"/>
  <c r="AA29" i="9"/>
  <c r="AA30" i="9"/>
  <c r="AA31" i="9"/>
  <c r="AA22" i="9"/>
  <c r="Z10" i="9"/>
  <c r="AA6" i="9"/>
  <c r="AA7" i="9"/>
  <c r="AA8" i="9"/>
  <c r="AA9" i="9"/>
  <c r="AA11" i="9"/>
  <c r="AA12" i="9"/>
  <c r="AA13" i="9"/>
  <c r="AA14" i="9"/>
  <c r="AA15" i="9"/>
  <c r="AA16" i="9"/>
  <c r="AA17" i="9"/>
  <c r="AA18" i="9"/>
  <c r="AA19" i="9"/>
  <c r="AA5" i="9"/>
  <c r="Z70" i="9"/>
  <c r="Y65" i="9"/>
  <c r="Y66" i="9"/>
  <c r="Y67" i="9"/>
  <c r="Y68" i="9"/>
  <c r="Y69" i="9"/>
  <c r="Y71" i="9"/>
  <c r="Y72" i="9"/>
  <c r="Y73" i="9"/>
  <c r="Y74" i="9"/>
  <c r="Y64" i="9"/>
  <c r="Z51" i="9"/>
  <c r="Z62" i="9"/>
  <c r="Y49" i="9"/>
  <c r="Y50" i="9"/>
  <c r="Y52" i="9"/>
  <c r="Y53" i="9"/>
  <c r="Y54" i="9"/>
  <c r="Y55" i="9"/>
  <c r="Y56" i="9"/>
  <c r="Y57" i="9"/>
  <c r="Y58" i="9"/>
  <c r="Y59" i="9"/>
  <c r="Y60" i="9"/>
  <c r="Y61" i="9"/>
  <c r="Y48" i="9"/>
  <c r="Y41" i="9"/>
  <c r="Y42" i="9"/>
  <c r="Y44" i="9"/>
  <c r="Y45" i="9"/>
  <c r="Y40" i="9"/>
  <c r="Y35" i="9"/>
  <c r="Y36" i="9"/>
  <c r="Z38" i="9"/>
  <c r="AA38" i="9"/>
  <c r="Y34" i="9"/>
  <c r="Z32" i="9"/>
  <c r="Z27" i="9"/>
  <c r="Y24" i="9"/>
  <c r="Y25" i="9"/>
  <c r="Y26" i="9"/>
  <c r="Y29" i="9"/>
  <c r="Y30" i="9"/>
  <c r="Y31" i="9"/>
  <c r="Y23" i="9"/>
  <c r="Y12" i="9"/>
  <c r="Y13" i="9"/>
  <c r="Y14" i="9"/>
  <c r="Y15" i="9"/>
  <c r="Y16" i="9"/>
  <c r="Y17" i="9"/>
  <c r="Y18" i="9"/>
  <c r="Y19" i="9"/>
  <c r="Y11" i="9"/>
  <c r="Z20" i="9"/>
  <c r="Y8" i="9"/>
  <c r="Y9" i="9"/>
  <c r="Y7" i="9"/>
  <c r="N124" i="9" l="1"/>
  <c r="N32" i="9"/>
  <c r="N46" i="9"/>
  <c r="N10" i="9"/>
  <c r="M120" i="9"/>
  <c r="M63" i="9"/>
  <c r="M76" i="9"/>
  <c r="M47" i="9"/>
  <c r="M33" i="9"/>
  <c r="M21" i="9"/>
  <c r="AA101" i="9"/>
  <c r="Z76" i="9"/>
  <c r="AA70" i="9"/>
  <c r="Y75" i="9"/>
  <c r="AA75" i="9"/>
  <c r="Z47" i="9"/>
  <c r="AA62" i="9"/>
  <c r="AA51" i="9"/>
  <c r="AA46" i="9"/>
  <c r="AA43" i="9"/>
  <c r="AA27" i="9"/>
  <c r="AA20" i="9"/>
  <c r="AA10" i="9"/>
  <c r="Y70" i="9"/>
  <c r="Z63" i="9"/>
  <c r="Y51" i="9"/>
  <c r="Y62" i="9"/>
  <c r="Y43" i="9"/>
  <c r="Y46" i="9"/>
  <c r="Z33" i="9"/>
  <c r="Y27" i="9"/>
  <c r="Y20" i="9"/>
  <c r="Z21" i="9"/>
  <c r="Y10" i="9"/>
  <c r="M78" i="9" l="1"/>
  <c r="M122" i="9" s="1"/>
  <c r="M126" i="9" s="1"/>
  <c r="M137" i="9" s="1"/>
  <c r="AA63" i="9"/>
  <c r="AA47" i="9"/>
  <c r="Z78" i="9"/>
  <c r="Y21" i="9"/>
  <c r="AD135" i="9" l="1"/>
  <c r="AC135" i="9"/>
  <c r="Z135" i="9"/>
  <c r="Y135" i="9"/>
  <c r="X135" i="9"/>
  <c r="S135" i="9"/>
  <c r="R135" i="9"/>
  <c r="Q135" i="9"/>
  <c r="P135" i="9"/>
  <c r="O135" i="9"/>
  <c r="J135" i="9"/>
  <c r="I135" i="9"/>
  <c r="H135" i="9"/>
  <c r="G135" i="9"/>
  <c r="F135" i="9"/>
  <c r="E135" i="9"/>
  <c r="D135" i="9"/>
  <c r="C135" i="9"/>
  <c r="AE133" i="9"/>
  <c r="AF133" i="9" s="1"/>
  <c r="AG133" i="9" s="1"/>
  <c r="V133" i="9"/>
  <c r="U133" i="9"/>
  <c r="T133" i="9"/>
  <c r="N133" i="9"/>
  <c r="L133" i="9"/>
  <c r="K133" i="9"/>
  <c r="AE131" i="9"/>
  <c r="AF131" i="9" s="1"/>
  <c r="AG131" i="9" s="1"/>
  <c r="V131" i="9"/>
  <c r="U131" i="9"/>
  <c r="T131" i="9"/>
  <c r="N131" i="9"/>
  <c r="L131" i="9"/>
  <c r="K131" i="9"/>
  <c r="AE130" i="9"/>
  <c r="V130" i="9"/>
  <c r="U130" i="9"/>
  <c r="T130" i="9"/>
  <c r="N130" i="9"/>
  <c r="L130" i="9"/>
  <c r="K130" i="9"/>
  <c r="AE124" i="9"/>
  <c r="AF124" i="9" s="1"/>
  <c r="AG124" i="9" s="1"/>
  <c r="V124" i="9"/>
  <c r="U124" i="9"/>
  <c r="T124" i="9"/>
  <c r="L124" i="9"/>
  <c r="K124" i="9"/>
  <c r="AA120" i="9"/>
  <c r="Z120" i="9"/>
  <c r="Y120" i="9"/>
  <c r="AE118" i="9"/>
  <c r="AF118" i="9" s="1"/>
  <c r="AG118" i="9" s="1"/>
  <c r="V118" i="9"/>
  <c r="U118" i="9"/>
  <c r="T118" i="9"/>
  <c r="N118" i="9"/>
  <c r="L118" i="9"/>
  <c r="K118" i="9"/>
  <c r="AE117" i="9"/>
  <c r="AF117" i="9" s="1"/>
  <c r="AG117" i="9" s="1"/>
  <c r="V117" i="9"/>
  <c r="U117" i="9"/>
  <c r="T117" i="9"/>
  <c r="L117" i="9"/>
  <c r="K117" i="9"/>
  <c r="AE116" i="9"/>
  <c r="AF116" i="9" s="1"/>
  <c r="AG116" i="9" s="1"/>
  <c r="V116" i="9"/>
  <c r="U116" i="9"/>
  <c r="T116" i="9"/>
  <c r="N116" i="9"/>
  <c r="L116" i="9"/>
  <c r="K116" i="9"/>
  <c r="AE115" i="9"/>
  <c r="AF115" i="9" s="1"/>
  <c r="AG115" i="9" s="1"/>
  <c r="V115" i="9"/>
  <c r="U115" i="9"/>
  <c r="T115" i="9"/>
  <c r="N115" i="9"/>
  <c r="L115" i="9"/>
  <c r="K115" i="9"/>
  <c r="AE114" i="9"/>
  <c r="AF114" i="9" s="1"/>
  <c r="V114" i="9"/>
  <c r="U114" i="9"/>
  <c r="T114" i="9"/>
  <c r="N114" i="9"/>
  <c r="L114" i="9"/>
  <c r="K114" i="9"/>
  <c r="AD113" i="9"/>
  <c r="AC113" i="9"/>
  <c r="X113" i="9"/>
  <c r="S113" i="9"/>
  <c r="R113" i="9"/>
  <c r="Q113" i="9"/>
  <c r="P113" i="9"/>
  <c r="O113" i="9"/>
  <c r="J113" i="9"/>
  <c r="I113" i="9"/>
  <c r="H113" i="9"/>
  <c r="G113" i="9"/>
  <c r="F113" i="9"/>
  <c r="E113" i="9"/>
  <c r="D113" i="9"/>
  <c r="C113" i="9"/>
  <c r="AE111" i="9"/>
  <c r="AF111" i="9" s="1"/>
  <c r="AG111" i="9" s="1"/>
  <c r="V111" i="9"/>
  <c r="U111" i="9"/>
  <c r="T111" i="9"/>
  <c r="N111" i="9"/>
  <c r="L111" i="9"/>
  <c r="K111" i="9"/>
  <c r="AE110" i="9"/>
  <c r="AF110" i="9" s="1"/>
  <c r="AG110" i="9" s="1"/>
  <c r="V110" i="9"/>
  <c r="U110" i="9"/>
  <c r="T110" i="9"/>
  <c r="N110" i="9"/>
  <c r="L110" i="9"/>
  <c r="K110" i="9"/>
  <c r="AE109" i="9"/>
  <c r="AF109" i="9" s="1"/>
  <c r="AG109" i="9" s="1"/>
  <c r="V109" i="9"/>
  <c r="U109" i="9"/>
  <c r="T109" i="9"/>
  <c r="N109" i="9"/>
  <c r="L109" i="9"/>
  <c r="K109" i="9"/>
  <c r="AE108" i="9"/>
  <c r="AF108" i="9" s="1"/>
  <c r="AG108" i="9" s="1"/>
  <c r="V108" i="9"/>
  <c r="U108" i="9"/>
  <c r="T108" i="9"/>
  <c r="N108" i="9"/>
  <c r="L108" i="9"/>
  <c r="K108" i="9"/>
  <c r="AE107" i="9"/>
  <c r="AF107" i="9" s="1"/>
  <c r="AG107" i="9" s="1"/>
  <c r="V107" i="9"/>
  <c r="U107" i="9"/>
  <c r="T107" i="9"/>
  <c r="N107" i="9"/>
  <c r="L107" i="9"/>
  <c r="K107" i="9"/>
  <c r="AE106" i="9"/>
  <c r="AF106" i="9" s="1"/>
  <c r="AG106" i="9" s="1"/>
  <c r="V106" i="9"/>
  <c r="U106" i="9"/>
  <c r="T106" i="9"/>
  <c r="N106" i="9"/>
  <c r="L106" i="9"/>
  <c r="K106" i="9"/>
  <c r="AE105" i="9"/>
  <c r="AF105" i="9" s="1"/>
  <c r="AG105" i="9" s="1"/>
  <c r="V105" i="9"/>
  <c r="U105" i="9"/>
  <c r="T105" i="9"/>
  <c r="N105" i="9"/>
  <c r="L105" i="9"/>
  <c r="K105" i="9"/>
  <c r="AE104" i="9"/>
  <c r="AF104" i="9" s="1"/>
  <c r="AG104" i="9" s="1"/>
  <c r="V104" i="9"/>
  <c r="U104" i="9"/>
  <c r="T104" i="9"/>
  <c r="N104" i="9"/>
  <c r="L104" i="9"/>
  <c r="K104" i="9"/>
  <c r="AE103" i="9"/>
  <c r="AF103" i="9" s="1"/>
  <c r="AG103" i="9" s="1"/>
  <c r="V103" i="9"/>
  <c r="U103" i="9"/>
  <c r="T103" i="9"/>
  <c r="N103" i="9"/>
  <c r="L103" i="9"/>
  <c r="K103" i="9"/>
  <c r="AE102" i="9"/>
  <c r="V102" i="9"/>
  <c r="U102" i="9"/>
  <c r="T102" i="9"/>
  <c r="N102" i="9"/>
  <c r="L102" i="9"/>
  <c r="K102" i="9"/>
  <c r="AD101" i="9"/>
  <c r="AC101" i="9"/>
  <c r="X101" i="9"/>
  <c r="W101" i="9"/>
  <c r="S101" i="9"/>
  <c r="R101" i="9"/>
  <c r="Q101" i="9"/>
  <c r="P101" i="9"/>
  <c r="O101" i="9"/>
  <c r="J101" i="9"/>
  <c r="I101" i="9"/>
  <c r="H101" i="9"/>
  <c r="G101" i="9"/>
  <c r="F101" i="9"/>
  <c r="E101" i="9"/>
  <c r="D101" i="9"/>
  <c r="C101" i="9"/>
  <c r="AD99" i="9"/>
  <c r="AC99" i="9"/>
  <c r="AA99" i="9"/>
  <c r="Z99" i="9"/>
  <c r="Y99" i="9"/>
  <c r="X99" i="9"/>
  <c r="W99" i="9"/>
  <c r="S99" i="9"/>
  <c r="R99" i="9"/>
  <c r="Q99" i="9"/>
  <c r="P99" i="9"/>
  <c r="O99" i="9"/>
  <c r="J99" i="9"/>
  <c r="I99" i="9"/>
  <c r="H99" i="9"/>
  <c r="G99" i="9"/>
  <c r="F99" i="9"/>
  <c r="E99" i="9"/>
  <c r="D99" i="9"/>
  <c r="C99" i="9"/>
  <c r="AE97" i="9"/>
  <c r="AF97" i="9" s="1"/>
  <c r="AG97" i="9" s="1"/>
  <c r="V97" i="9"/>
  <c r="U97" i="9"/>
  <c r="T97" i="9"/>
  <c r="N97" i="9"/>
  <c r="L97" i="9"/>
  <c r="K97" i="9"/>
  <c r="AE96" i="9"/>
  <c r="AF96" i="9" s="1"/>
  <c r="AG96" i="9" s="1"/>
  <c r="V96" i="9"/>
  <c r="U96" i="9"/>
  <c r="T96" i="9"/>
  <c r="N96" i="9"/>
  <c r="L96" i="9"/>
  <c r="K96" i="9"/>
  <c r="AE95" i="9"/>
  <c r="AF95" i="9" s="1"/>
  <c r="AG95" i="9" s="1"/>
  <c r="V95" i="9"/>
  <c r="U95" i="9"/>
  <c r="T95" i="9"/>
  <c r="N95" i="9"/>
  <c r="L95" i="9"/>
  <c r="K95" i="9"/>
  <c r="AE94" i="9"/>
  <c r="AF94" i="9" s="1"/>
  <c r="AG94" i="9" s="1"/>
  <c r="V94" i="9"/>
  <c r="U94" i="9"/>
  <c r="T94" i="9"/>
  <c r="N94" i="9"/>
  <c r="L94" i="9"/>
  <c r="K94" i="9"/>
  <c r="AE93" i="9"/>
  <c r="AF93" i="9" s="1"/>
  <c r="AG93" i="9" s="1"/>
  <c r="V93" i="9"/>
  <c r="U93" i="9"/>
  <c r="T93" i="9"/>
  <c r="N93" i="9"/>
  <c r="L93" i="9"/>
  <c r="K93" i="9"/>
  <c r="AE92" i="9"/>
  <c r="AF92" i="9" s="1"/>
  <c r="AG92" i="9" s="1"/>
  <c r="V92" i="9"/>
  <c r="U92" i="9"/>
  <c r="T92" i="9"/>
  <c r="N92" i="9"/>
  <c r="L92" i="9"/>
  <c r="K92" i="9"/>
  <c r="AE91" i="9"/>
  <c r="AF91" i="9" s="1"/>
  <c r="AG91" i="9" s="1"/>
  <c r="V91" i="9"/>
  <c r="U91" i="9"/>
  <c r="T91" i="9"/>
  <c r="N91" i="9"/>
  <c r="L91" i="9"/>
  <c r="K91" i="9"/>
  <c r="AE90" i="9"/>
  <c r="AF90" i="9" s="1"/>
  <c r="AG90" i="9" s="1"/>
  <c r="V90" i="9"/>
  <c r="U90" i="9"/>
  <c r="T90" i="9"/>
  <c r="N90" i="9"/>
  <c r="L90" i="9"/>
  <c r="K90" i="9"/>
  <c r="AE89" i="9"/>
  <c r="AF89" i="9" s="1"/>
  <c r="AG89" i="9" s="1"/>
  <c r="V89" i="9"/>
  <c r="U89" i="9"/>
  <c r="T89" i="9"/>
  <c r="N89" i="9"/>
  <c r="L89" i="9"/>
  <c r="K89" i="9"/>
  <c r="AE88" i="9"/>
  <c r="AF88" i="9" s="1"/>
  <c r="AG88" i="9" s="1"/>
  <c r="V88" i="9"/>
  <c r="U88" i="9"/>
  <c r="T88" i="9"/>
  <c r="N88" i="9"/>
  <c r="L88" i="9"/>
  <c r="K88" i="9"/>
  <c r="AE87" i="9"/>
  <c r="AF87" i="9" s="1"/>
  <c r="AG87" i="9" s="1"/>
  <c r="V87" i="9"/>
  <c r="U87" i="9"/>
  <c r="T87" i="9"/>
  <c r="N87" i="9"/>
  <c r="L87" i="9"/>
  <c r="K87" i="9"/>
  <c r="AE86" i="9"/>
  <c r="AF86" i="9" s="1"/>
  <c r="AG86" i="9" s="1"/>
  <c r="V86" i="9"/>
  <c r="U86" i="9"/>
  <c r="T86" i="9"/>
  <c r="N86" i="9"/>
  <c r="L86" i="9"/>
  <c r="K86" i="9"/>
  <c r="AE85" i="9"/>
  <c r="AF85" i="9" s="1"/>
  <c r="AG85" i="9" s="1"/>
  <c r="V85" i="9"/>
  <c r="U85" i="9"/>
  <c r="T85" i="9"/>
  <c r="N85" i="9"/>
  <c r="L85" i="9"/>
  <c r="K85" i="9"/>
  <c r="AE84" i="9"/>
  <c r="AF84" i="9" s="1"/>
  <c r="AG84" i="9" s="1"/>
  <c r="V84" i="9"/>
  <c r="U84" i="9"/>
  <c r="T84" i="9"/>
  <c r="N84" i="9"/>
  <c r="L84" i="9"/>
  <c r="K84" i="9"/>
  <c r="AE83" i="9"/>
  <c r="AF83" i="9" s="1"/>
  <c r="AG83" i="9" s="1"/>
  <c r="V83" i="9"/>
  <c r="U83" i="9"/>
  <c r="T83" i="9"/>
  <c r="N83" i="9"/>
  <c r="L83" i="9"/>
  <c r="K83" i="9"/>
  <c r="AE82" i="9"/>
  <c r="AF82" i="9" s="1"/>
  <c r="AG82" i="9" s="1"/>
  <c r="V82" i="9"/>
  <c r="U82" i="9"/>
  <c r="T82" i="9"/>
  <c r="N82" i="9"/>
  <c r="L82" i="9"/>
  <c r="K82" i="9"/>
  <c r="AE81" i="9"/>
  <c r="AF81" i="9" s="1"/>
  <c r="AG81" i="9" s="1"/>
  <c r="V81" i="9"/>
  <c r="U81" i="9"/>
  <c r="T81" i="9"/>
  <c r="N81" i="9"/>
  <c r="L81" i="9"/>
  <c r="K81" i="9"/>
  <c r="AE80" i="9"/>
  <c r="AF80" i="9" s="1"/>
  <c r="V80" i="9"/>
  <c r="U80" i="9"/>
  <c r="T80" i="9"/>
  <c r="N80" i="9"/>
  <c r="L80" i="9"/>
  <c r="K80" i="9"/>
  <c r="W75" i="9"/>
  <c r="S75" i="9"/>
  <c r="R75" i="9"/>
  <c r="Q75" i="9"/>
  <c r="P75" i="9"/>
  <c r="O75" i="9"/>
  <c r="J75" i="9"/>
  <c r="I75" i="9"/>
  <c r="H75" i="9"/>
  <c r="G75" i="9"/>
  <c r="F75" i="9"/>
  <c r="E75" i="9"/>
  <c r="D75" i="9"/>
  <c r="C75" i="9"/>
  <c r="AE74" i="9"/>
  <c r="AF74" i="9" s="1"/>
  <c r="AG74" i="9" s="1"/>
  <c r="V74" i="9"/>
  <c r="U74" i="9"/>
  <c r="T74" i="9"/>
  <c r="L74" i="9"/>
  <c r="K74" i="9"/>
  <c r="AE73" i="9"/>
  <c r="AF73" i="9" s="1"/>
  <c r="AG73" i="9" s="1"/>
  <c r="V73" i="9"/>
  <c r="U73" i="9"/>
  <c r="T73" i="9"/>
  <c r="L73" i="9"/>
  <c r="K73" i="9"/>
  <c r="AE72" i="9"/>
  <c r="AF72" i="9" s="1"/>
  <c r="AG72" i="9" s="1"/>
  <c r="V72" i="9"/>
  <c r="U72" i="9"/>
  <c r="T72" i="9"/>
  <c r="L72" i="9"/>
  <c r="K72" i="9"/>
  <c r="AE71" i="9"/>
  <c r="AF71" i="9" s="1"/>
  <c r="AG71" i="9" s="1"/>
  <c r="V71" i="9"/>
  <c r="U71" i="9"/>
  <c r="T71" i="9"/>
  <c r="L71" i="9"/>
  <c r="K71" i="9"/>
  <c r="X70" i="9"/>
  <c r="W70" i="9"/>
  <c r="AA76" i="9" s="1"/>
  <c r="S70" i="9"/>
  <c r="R70" i="9"/>
  <c r="Q70" i="9"/>
  <c r="P70" i="9"/>
  <c r="O70" i="9"/>
  <c r="J70" i="9"/>
  <c r="I70" i="9"/>
  <c r="H70" i="9"/>
  <c r="G70" i="9"/>
  <c r="F70" i="9"/>
  <c r="E70" i="9"/>
  <c r="D70" i="9"/>
  <c r="C70" i="9"/>
  <c r="AE69" i="9"/>
  <c r="AF69" i="9" s="1"/>
  <c r="AG69" i="9" s="1"/>
  <c r="V69" i="9"/>
  <c r="U69" i="9"/>
  <c r="T69" i="9"/>
  <c r="L69" i="9"/>
  <c r="K69" i="9"/>
  <c r="AE68" i="9"/>
  <c r="AF68" i="9" s="1"/>
  <c r="AG68" i="9" s="1"/>
  <c r="V68" i="9"/>
  <c r="U68" i="9"/>
  <c r="T68" i="9"/>
  <c r="L68" i="9"/>
  <c r="K68" i="9"/>
  <c r="AE67" i="9"/>
  <c r="AF67" i="9" s="1"/>
  <c r="AG67" i="9" s="1"/>
  <c r="V67" i="9"/>
  <c r="U67" i="9"/>
  <c r="T67" i="9"/>
  <c r="L67" i="9"/>
  <c r="K67" i="9"/>
  <c r="AE66" i="9"/>
  <c r="AF66" i="9" s="1"/>
  <c r="AG66" i="9" s="1"/>
  <c r="V66" i="9"/>
  <c r="U66" i="9"/>
  <c r="T66" i="9"/>
  <c r="L66" i="9"/>
  <c r="K66" i="9"/>
  <c r="AE65" i="9"/>
  <c r="AF65" i="9" s="1"/>
  <c r="AG65" i="9" s="1"/>
  <c r="V65" i="9"/>
  <c r="U65" i="9"/>
  <c r="T65" i="9"/>
  <c r="L65" i="9"/>
  <c r="K65" i="9"/>
  <c r="AE64" i="9"/>
  <c r="AF64" i="9" s="1"/>
  <c r="AG64" i="9" s="1"/>
  <c r="V64" i="9"/>
  <c r="U64" i="9"/>
  <c r="T64" i="9"/>
  <c r="L64" i="9"/>
  <c r="K64" i="9"/>
  <c r="X62" i="9"/>
  <c r="W62" i="9"/>
  <c r="S62" i="9"/>
  <c r="R62" i="9"/>
  <c r="Q62" i="9"/>
  <c r="P62" i="9"/>
  <c r="O62" i="9"/>
  <c r="J62" i="9"/>
  <c r="I62" i="9"/>
  <c r="H62" i="9"/>
  <c r="G62" i="9"/>
  <c r="F62" i="9"/>
  <c r="E62" i="9"/>
  <c r="D62" i="9"/>
  <c r="C62" i="9"/>
  <c r="AE61" i="9"/>
  <c r="AF61" i="9" s="1"/>
  <c r="AG61" i="9" s="1"/>
  <c r="V61" i="9"/>
  <c r="U61" i="9"/>
  <c r="T61" i="9"/>
  <c r="L61" i="9"/>
  <c r="K61" i="9"/>
  <c r="AE60" i="9"/>
  <c r="AF60" i="9" s="1"/>
  <c r="AG60" i="9" s="1"/>
  <c r="V60" i="9"/>
  <c r="U60" i="9"/>
  <c r="T60" i="9"/>
  <c r="L60" i="9"/>
  <c r="K60" i="9"/>
  <c r="AE59" i="9"/>
  <c r="AF59" i="9" s="1"/>
  <c r="AG59" i="9" s="1"/>
  <c r="V59" i="9"/>
  <c r="U59" i="9"/>
  <c r="T59" i="9"/>
  <c r="L59" i="9"/>
  <c r="K59" i="9"/>
  <c r="AE58" i="9"/>
  <c r="AF58" i="9" s="1"/>
  <c r="AG58" i="9" s="1"/>
  <c r="V58" i="9"/>
  <c r="U58" i="9"/>
  <c r="T58" i="9"/>
  <c r="L58" i="9"/>
  <c r="K58" i="9"/>
  <c r="AE57" i="9"/>
  <c r="AF57" i="9" s="1"/>
  <c r="AG57" i="9" s="1"/>
  <c r="V57" i="9"/>
  <c r="U57" i="9"/>
  <c r="T57" i="9"/>
  <c r="L57" i="9"/>
  <c r="K57" i="9"/>
  <c r="AE56" i="9"/>
  <c r="AF56" i="9" s="1"/>
  <c r="AG56" i="9" s="1"/>
  <c r="V56" i="9"/>
  <c r="U56" i="9"/>
  <c r="T56" i="9"/>
  <c r="L56" i="9"/>
  <c r="K56" i="9"/>
  <c r="AE55" i="9"/>
  <c r="AF55" i="9" s="1"/>
  <c r="AG55" i="9" s="1"/>
  <c r="V55" i="9"/>
  <c r="U55" i="9"/>
  <c r="T55" i="9"/>
  <c r="L55" i="9"/>
  <c r="K55" i="9"/>
  <c r="AE54" i="9"/>
  <c r="AF54" i="9" s="1"/>
  <c r="AG54" i="9" s="1"/>
  <c r="V54" i="9"/>
  <c r="U54" i="9"/>
  <c r="T54" i="9"/>
  <c r="L54" i="9"/>
  <c r="K54" i="9"/>
  <c r="AE53" i="9"/>
  <c r="AF53" i="9" s="1"/>
  <c r="AG53" i="9" s="1"/>
  <c r="V53" i="9"/>
  <c r="U53" i="9"/>
  <c r="T53" i="9"/>
  <c r="L53" i="9"/>
  <c r="K53" i="9"/>
  <c r="AE52" i="9"/>
  <c r="AF52" i="9" s="1"/>
  <c r="AG52" i="9" s="1"/>
  <c r="V52" i="9"/>
  <c r="U52" i="9"/>
  <c r="T52" i="9"/>
  <c r="L52" i="9"/>
  <c r="K52" i="9"/>
  <c r="X51" i="9"/>
  <c r="W51" i="9"/>
  <c r="S51" i="9"/>
  <c r="R51" i="9"/>
  <c r="Q51" i="9"/>
  <c r="P51" i="9"/>
  <c r="O51" i="9"/>
  <c r="J51" i="9"/>
  <c r="I51" i="9"/>
  <c r="H51" i="9"/>
  <c r="G51" i="9"/>
  <c r="F51" i="9"/>
  <c r="E51" i="9"/>
  <c r="D51" i="9"/>
  <c r="C51" i="9"/>
  <c r="AE50" i="9"/>
  <c r="AF50" i="9" s="1"/>
  <c r="AG50" i="9" s="1"/>
  <c r="V50" i="9"/>
  <c r="U50" i="9"/>
  <c r="T50" i="9"/>
  <c r="L50" i="9"/>
  <c r="K50" i="9"/>
  <c r="AE49" i="9"/>
  <c r="AF49" i="9" s="1"/>
  <c r="AG49" i="9" s="1"/>
  <c r="V49" i="9"/>
  <c r="U49" i="9"/>
  <c r="T49" i="9"/>
  <c r="L49" i="9"/>
  <c r="K49" i="9"/>
  <c r="AE48" i="9"/>
  <c r="AF48" i="9" s="1"/>
  <c r="AG48" i="9" s="1"/>
  <c r="V48" i="9"/>
  <c r="U48" i="9"/>
  <c r="T48" i="9"/>
  <c r="L48" i="9"/>
  <c r="K48" i="9"/>
  <c r="X46" i="9"/>
  <c r="W46" i="9"/>
  <c r="S46" i="9"/>
  <c r="R46" i="9"/>
  <c r="Q46" i="9"/>
  <c r="P46" i="9"/>
  <c r="O46" i="9"/>
  <c r="J46" i="9"/>
  <c r="I46" i="9"/>
  <c r="H46" i="9"/>
  <c r="G46" i="9"/>
  <c r="F46" i="9"/>
  <c r="E46" i="9"/>
  <c r="D46" i="9"/>
  <c r="C46" i="9"/>
  <c r="AE45" i="9"/>
  <c r="AF45" i="9" s="1"/>
  <c r="AG45" i="9" s="1"/>
  <c r="V45" i="9"/>
  <c r="U45" i="9"/>
  <c r="T45" i="9"/>
  <c r="L45" i="9"/>
  <c r="K45" i="9"/>
  <c r="AE44" i="9"/>
  <c r="AF44" i="9" s="1"/>
  <c r="AG44" i="9" s="1"/>
  <c r="V44" i="9"/>
  <c r="U44" i="9"/>
  <c r="T44" i="9"/>
  <c r="L44" i="9"/>
  <c r="K44" i="9"/>
  <c r="X43" i="9"/>
  <c r="W43" i="9"/>
  <c r="S43" i="9"/>
  <c r="R43" i="9"/>
  <c r="P43" i="9"/>
  <c r="O43" i="9"/>
  <c r="J43" i="9"/>
  <c r="I43" i="9"/>
  <c r="H43" i="9"/>
  <c r="G43" i="9"/>
  <c r="F43" i="9"/>
  <c r="E43" i="9"/>
  <c r="D43" i="9"/>
  <c r="C43" i="9"/>
  <c r="AE42" i="9"/>
  <c r="AF42" i="9" s="1"/>
  <c r="AG42" i="9" s="1"/>
  <c r="V42" i="9"/>
  <c r="U42" i="9"/>
  <c r="T42" i="9"/>
  <c r="L42" i="9"/>
  <c r="K42" i="9"/>
  <c r="AE41" i="9"/>
  <c r="AF41" i="9" s="1"/>
  <c r="AG41" i="9" s="1"/>
  <c r="V41" i="9"/>
  <c r="U41" i="9"/>
  <c r="T41" i="9"/>
  <c r="L41" i="9"/>
  <c r="K41" i="9"/>
  <c r="AE40" i="9"/>
  <c r="AF40" i="9" s="1"/>
  <c r="AG40" i="9" s="1"/>
  <c r="V40" i="9"/>
  <c r="U40" i="9"/>
  <c r="T40" i="9"/>
  <c r="Q40" i="9"/>
  <c r="Q43" i="9" s="1"/>
  <c r="L40" i="9"/>
  <c r="K40" i="9"/>
  <c r="AE39" i="9"/>
  <c r="AF39" i="9" s="1"/>
  <c r="AG39" i="9" s="1"/>
  <c r="V39" i="9"/>
  <c r="U39" i="9"/>
  <c r="T39" i="9"/>
  <c r="L39" i="9"/>
  <c r="K39" i="9"/>
  <c r="X37" i="9"/>
  <c r="W37" i="9"/>
  <c r="W38" i="9" s="1"/>
  <c r="S37" i="9"/>
  <c r="R37" i="9"/>
  <c r="R38" i="9" s="1"/>
  <c r="Q37" i="9"/>
  <c r="Q38" i="9" s="1"/>
  <c r="P37" i="9"/>
  <c r="P38" i="9" s="1"/>
  <c r="O37" i="9"/>
  <c r="J37" i="9"/>
  <c r="J38" i="9" s="1"/>
  <c r="I37" i="9"/>
  <c r="I38" i="9" s="1"/>
  <c r="H37" i="9"/>
  <c r="H38" i="9" s="1"/>
  <c r="G37" i="9"/>
  <c r="G38" i="9" s="1"/>
  <c r="F37" i="9"/>
  <c r="F38" i="9" s="1"/>
  <c r="E37" i="9"/>
  <c r="D37" i="9"/>
  <c r="D38" i="9" s="1"/>
  <c r="C37" i="9"/>
  <c r="C38" i="9" s="1"/>
  <c r="AE36" i="9"/>
  <c r="AF36" i="9" s="1"/>
  <c r="AG36" i="9" s="1"/>
  <c r="V36" i="9"/>
  <c r="U36" i="9"/>
  <c r="T36" i="9"/>
  <c r="L36" i="9"/>
  <c r="K36" i="9"/>
  <c r="AE35" i="9"/>
  <c r="AF35" i="9" s="1"/>
  <c r="AG35" i="9" s="1"/>
  <c r="V35" i="9"/>
  <c r="U35" i="9"/>
  <c r="T35" i="9"/>
  <c r="L35" i="9"/>
  <c r="K35" i="9"/>
  <c r="AE34" i="9"/>
  <c r="AF34" i="9" s="1"/>
  <c r="AG34" i="9" s="1"/>
  <c r="V34" i="9"/>
  <c r="U34" i="9"/>
  <c r="T34" i="9"/>
  <c r="L34" i="9"/>
  <c r="K34" i="9"/>
  <c r="X32" i="9"/>
  <c r="S32" i="9"/>
  <c r="R32" i="9"/>
  <c r="Q32" i="9"/>
  <c r="P32" i="9"/>
  <c r="O32" i="9"/>
  <c r="J32" i="9"/>
  <c r="I32" i="9"/>
  <c r="H32" i="9"/>
  <c r="G32" i="9"/>
  <c r="F32" i="9"/>
  <c r="E32" i="9"/>
  <c r="D32" i="9"/>
  <c r="C32" i="9"/>
  <c r="AE31" i="9"/>
  <c r="AF31" i="9" s="1"/>
  <c r="AG31" i="9" s="1"/>
  <c r="V31" i="9"/>
  <c r="U31" i="9"/>
  <c r="T31" i="9"/>
  <c r="L31" i="9"/>
  <c r="K31" i="9"/>
  <c r="AE30" i="9"/>
  <c r="AF30" i="9" s="1"/>
  <c r="AG30" i="9" s="1"/>
  <c r="V30" i="9"/>
  <c r="U30" i="9"/>
  <c r="T30" i="9"/>
  <c r="L30" i="9"/>
  <c r="K30" i="9"/>
  <c r="AE29" i="9"/>
  <c r="AF29" i="9" s="1"/>
  <c r="AG29" i="9" s="1"/>
  <c r="V29" i="9"/>
  <c r="U29" i="9"/>
  <c r="T29" i="9"/>
  <c r="L29" i="9"/>
  <c r="K29" i="9"/>
  <c r="AE28" i="9"/>
  <c r="AF28" i="9" s="1"/>
  <c r="AG28" i="9" s="1"/>
  <c r="W28" i="9"/>
  <c r="AA28" i="9" s="1"/>
  <c r="AA32" i="9" s="1"/>
  <c r="U28" i="9"/>
  <c r="T28" i="9"/>
  <c r="L28" i="9"/>
  <c r="K28" i="9"/>
  <c r="X27" i="9"/>
  <c r="W27" i="9"/>
  <c r="S27" i="9"/>
  <c r="R27" i="9"/>
  <c r="Q27" i="9"/>
  <c r="P27" i="9"/>
  <c r="O27" i="9"/>
  <c r="J27" i="9"/>
  <c r="I27" i="9"/>
  <c r="H27" i="9"/>
  <c r="G27" i="9"/>
  <c r="F27" i="9"/>
  <c r="E27" i="9"/>
  <c r="D27" i="9"/>
  <c r="C27" i="9"/>
  <c r="AE26" i="9"/>
  <c r="AF26" i="9" s="1"/>
  <c r="AG26" i="9" s="1"/>
  <c r="V26" i="9"/>
  <c r="U26" i="9"/>
  <c r="T26" i="9"/>
  <c r="L26" i="9"/>
  <c r="K26" i="9"/>
  <c r="AE25" i="9"/>
  <c r="AF25" i="9" s="1"/>
  <c r="AG25" i="9" s="1"/>
  <c r="V25" i="9"/>
  <c r="U25" i="9"/>
  <c r="T25" i="9"/>
  <c r="L25" i="9"/>
  <c r="K25" i="9"/>
  <c r="AE24" i="9"/>
  <c r="AF24" i="9" s="1"/>
  <c r="AG24" i="9" s="1"/>
  <c r="V24" i="9"/>
  <c r="U24" i="9"/>
  <c r="T24" i="9"/>
  <c r="L24" i="9"/>
  <c r="K24" i="9"/>
  <c r="AE23" i="9"/>
  <c r="AF23" i="9" s="1"/>
  <c r="AG23" i="9" s="1"/>
  <c r="V23" i="9"/>
  <c r="U23" i="9"/>
  <c r="T23" i="9"/>
  <c r="L23" i="9"/>
  <c r="K23" i="9"/>
  <c r="AE22" i="9"/>
  <c r="AF22" i="9" s="1"/>
  <c r="AG22" i="9" s="1"/>
  <c r="V22" i="9"/>
  <c r="U22" i="9"/>
  <c r="T22" i="9"/>
  <c r="L22" i="9"/>
  <c r="K22" i="9"/>
  <c r="X20" i="9"/>
  <c r="W20" i="9"/>
  <c r="S20" i="9"/>
  <c r="R20" i="9"/>
  <c r="Q20" i="9"/>
  <c r="P20" i="9"/>
  <c r="O20" i="9"/>
  <c r="J20" i="9"/>
  <c r="I20" i="9"/>
  <c r="H20" i="9"/>
  <c r="G20" i="9"/>
  <c r="F20" i="9"/>
  <c r="E20" i="9"/>
  <c r="D20" i="9"/>
  <c r="C20" i="9"/>
  <c r="AE19" i="9"/>
  <c r="AF19" i="9" s="1"/>
  <c r="AG19" i="9" s="1"/>
  <c r="V19" i="9"/>
  <c r="U19" i="9"/>
  <c r="T19" i="9"/>
  <c r="L19" i="9"/>
  <c r="K19" i="9"/>
  <c r="AE18" i="9"/>
  <c r="AF18" i="9" s="1"/>
  <c r="AG18" i="9" s="1"/>
  <c r="V18" i="9"/>
  <c r="U18" i="9"/>
  <c r="T18" i="9"/>
  <c r="L18" i="9"/>
  <c r="K18" i="9"/>
  <c r="AE17" i="9"/>
  <c r="AF17" i="9" s="1"/>
  <c r="AG17" i="9" s="1"/>
  <c r="V17" i="9"/>
  <c r="U17" i="9"/>
  <c r="T17" i="9"/>
  <c r="L17" i="9"/>
  <c r="K17" i="9"/>
  <c r="AE16" i="9"/>
  <c r="AF16" i="9" s="1"/>
  <c r="AG16" i="9" s="1"/>
  <c r="V16" i="9"/>
  <c r="U16" i="9"/>
  <c r="T16" i="9"/>
  <c r="L16" i="9"/>
  <c r="K16" i="9"/>
  <c r="AE15" i="9"/>
  <c r="AF15" i="9" s="1"/>
  <c r="AG15" i="9" s="1"/>
  <c r="V15" i="9"/>
  <c r="U15" i="9"/>
  <c r="T15" i="9"/>
  <c r="L15" i="9"/>
  <c r="K15" i="9"/>
  <c r="AE14" i="9"/>
  <c r="AF14" i="9" s="1"/>
  <c r="AG14" i="9" s="1"/>
  <c r="V14" i="9"/>
  <c r="U14" i="9"/>
  <c r="T14" i="9"/>
  <c r="L14" i="9"/>
  <c r="K14" i="9"/>
  <c r="AE13" i="9"/>
  <c r="AF13" i="9" s="1"/>
  <c r="AG13" i="9" s="1"/>
  <c r="V13" i="9"/>
  <c r="U13" i="9"/>
  <c r="T13" i="9"/>
  <c r="L13" i="9"/>
  <c r="K13" i="9"/>
  <c r="AE12" i="9"/>
  <c r="AF12" i="9" s="1"/>
  <c r="AG12" i="9" s="1"/>
  <c r="V12" i="9"/>
  <c r="U12" i="9"/>
  <c r="T12" i="9"/>
  <c r="L12" i="9"/>
  <c r="K12" i="9"/>
  <c r="AE11" i="9"/>
  <c r="AF11" i="9" s="1"/>
  <c r="AG11" i="9" s="1"/>
  <c r="V11" i="9"/>
  <c r="U11" i="9"/>
  <c r="T11" i="9"/>
  <c r="L11" i="9"/>
  <c r="K11" i="9"/>
  <c r="AD10" i="9"/>
  <c r="AC10" i="9"/>
  <c r="AC20" i="9" s="1"/>
  <c r="X10" i="9"/>
  <c r="W10" i="9"/>
  <c r="S10" i="9"/>
  <c r="R10" i="9"/>
  <c r="Q10" i="9"/>
  <c r="P10" i="9"/>
  <c r="O10" i="9"/>
  <c r="J10" i="9"/>
  <c r="I10" i="9"/>
  <c r="H10" i="9"/>
  <c r="G10" i="9"/>
  <c r="F10" i="9"/>
  <c r="E10" i="9"/>
  <c r="D10" i="9"/>
  <c r="C10" i="9"/>
  <c r="AE9" i="9"/>
  <c r="AF9" i="9" s="1"/>
  <c r="AG9" i="9" s="1"/>
  <c r="V9" i="9"/>
  <c r="U9" i="9"/>
  <c r="T9" i="9"/>
  <c r="L9" i="9"/>
  <c r="K9" i="9"/>
  <c r="AE8" i="9"/>
  <c r="AF8" i="9" s="1"/>
  <c r="AG8" i="9" s="1"/>
  <c r="V8" i="9"/>
  <c r="U8" i="9"/>
  <c r="T8" i="9"/>
  <c r="L8" i="9"/>
  <c r="K8" i="9"/>
  <c r="AE7" i="9"/>
  <c r="AF7" i="9" s="1"/>
  <c r="AG7" i="9" s="1"/>
  <c r="V7" i="9"/>
  <c r="U7" i="9"/>
  <c r="T7" i="9"/>
  <c r="L7" i="9"/>
  <c r="K7" i="9"/>
  <c r="AE6" i="9"/>
  <c r="AF6" i="9" s="1"/>
  <c r="AG6" i="9" s="1"/>
  <c r="V6" i="9"/>
  <c r="U6" i="9"/>
  <c r="T6" i="9"/>
  <c r="L6" i="9"/>
  <c r="K6" i="9"/>
  <c r="AE5" i="9"/>
  <c r="AF5" i="9" s="1"/>
  <c r="AG5" i="9" s="1"/>
  <c r="V5" i="9"/>
  <c r="U5" i="9"/>
  <c r="T5" i="9"/>
  <c r="L5" i="9"/>
  <c r="K5" i="9"/>
  <c r="O139" i="9" l="1"/>
  <c r="Z122" i="9"/>
  <c r="Z126" i="9" s="1"/>
  <c r="Z137" i="9" s="1"/>
  <c r="N135" i="9"/>
  <c r="X21" i="9"/>
  <c r="J21" i="9"/>
  <c r="P21" i="9"/>
  <c r="N113" i="9"/>
  <c r="N101" i="9"/>
  <c r="N99" i="9"/>
  <c r="N70" i="9"/>
  <c r="N75" i="9"/>
  <c r="N62" i="9"/>
  <c r="N51" i="9"/>
  <c r="N43" i="9"/>
  <c r="N37" i="9"/>
  <c r="N38" i="9" s="1"/>
  <c r="N27" i="9"/>
  <c r="N20" i="9"/>
  <c r="O21" i="9"/>
  <c r="L10" i="9"/>
  <c r="L20" i="9"/>
  <c r="AA33" i="9"/>
  <c r="G120" i="9"/>
  <c r="AA21" i="9"/>
  <c r="S120" i="9"/>
  <c r="X120" i="9"/>
  <c r="Y76" i="9"/>
  <c r="E63" i="9"/>
  <c r="Q63" i="9"/>
  <c r="Y63" i="9"/>
  <c r="H76" i="9"/>
  <c r="Y47" i="9"/>
  <c r="X38" i="9"/>
  <c r="Y37" i="9"/>
  <c r="Y38" i="9" s="1"/>
  <c r="G47" i="9"/>
  <c r="E47" i="9"/>
  <c r="W32" i="9"/>
  <c r="Y28" i="9"/>
  <c r="V37" i="9"/>
  <c r="W47" i="9"/>
  <c r="S47" i="9"/>
  <c r="D120" i="9"/>
  <c r="F47" i="9"/>
  <c r="H47" i="9"/>
  <c r="U51" i="9"/>
  <c r="J33" i="9"/>
  <c r="F33" i="9"/>
  <c r="E76" i="9"/>
  <c r="T43" i="9"/>
  <c r="P33" i="9"/>
  <c r="T46" i="9"/>
  <c r="R33" i="9"/>
  <c r="R76" i="9"/>
  <c r="C120" i="9"/>
  <c r="O120" i="9"/>
  <c r="L113" i="9"/>
  <c r="T70" i="9"/>
  <c r="U20" i="9"/>
  <c r="E33" i="9"/>
  <c r="Q33" i="9"/>
  <c r="I63" i="9"/>
  <c r="X63" i="9"/>
  <c r="I76" i="9"/>
  <c r="W76" i="9"/>
  <c r="G33" i="9"/>
  <c r="S33" i="9"/>
  <c r="V51" i="9"/>
  <c r="L99" i="9"/>
  <c r="H120" i="9"/>
  <c r="W120" i="9"/>
  <c r="AE135" i="9"/>
  <c r="AF130" i="9"/>
  <c r="AG130" i="9" s="1"/>
  <c r="AG135" i="9" s="1"/>
  <c r="K51" i="9"/>
  <c r="T20" i="9"/>
  <c r="H33" i="9"/>
  <c r="X47" i="9"/>
  <c r="H63" i="9"/>
  <c r="W63" i="9"/>
  <c r="O76" i="9"/>
  <c r="F76" i="9"/>
  <c r="U75" i="9"/>
  <c r="U99" i="9"/>
  <c r="J120" i="9"/>
  <c r="AC120" i="9"/>
  <c r="K135" i="9"/>
  <c r="I33" i="9"/>
  <c r="X33" i="9"/>
  <c r="K62" i="9"/>
  <c r="T62" i="9"/>
  <c r="D76" i="9"/>
  <c r="S21" i="9"/>
  <c r="E120" i="9"/>
  <c r="Q120" i="9"/>
  <c r="E21" i="9"/>
  <c r="R21" i="9"/>
  <c r="J47" i="9"/>
  <c r="J63" i="9"/>
  <c r="G21" i="9"/>
  <c r="O47" i="9"/>
  <c r="W21" i="9"/>
  <c r="L43" i="9"/>
  <c r="P63" i="9"/>
  <c r="G76" i="9"/>
  <c r="U101" i="9"/>
  <c r="V20" i="9"/>
  <c r="L32" i="9"/>
  <c r="L37" i="9"/>
  <c r="Q47" i="9"/>
  <c r="T51" i="9"/>
  <c r="U70" i="9"/>
  <c r="T101" i="9"/>
  <c r="K113" i="9"/>
  <c r="L135" i="9"/>
  <c r="U43" i="9"/>
  <c r="K70" i="9"/>
  <c r="V70" i="9"/>
  <c r="K32" i="9"/>
  <c r="U32" i="9"/>
  <c r="V43" i="9"/>
  <c r="K46" i="9"/>
  <c r="V99" i="9"/>
  <c r="V101" i="9"/>
  <c r="I120" i="9"/>
  <c r="K20" i="9"/>
  <c r="C63" i="9"/>
  <c r="P76" i="9"/>
  <c r="X76" i="9"/>
  <c r="K101" i="9"/>
  <c r="U135" i="9"/>
  <c r="T27" i="9"/>
  <c r="V28" i="9"/>
  <c r="L62" i="9"/>
  <c r="L75" i="9"/>
  <c r="V75" i="9"/>
  <c r="V113" i="9"/>
  <c r="AD120" i="9"/>
  <c r="K10" i="9"/>
  <c r="F120" i="9"/>
  <c r="C33" i="9"/>
  <c r="F63" i="9"/>
  <c r="R63" i="9"/>
  <c r="AE99" i="9"/>
  <c r="I21" i="9"/>
  <c r="V27" i="9"/>
  <c r="T37" i="9"/>
  <c r="S38" i="9"/>
  <c r="T38" i="9" s="1"/>
  <c r="S63" i="9"/>
  <c r="G63" i="9"/>
  <c r="AG114" i="9"/>
  <c r="AG113" i="9" s="1"/>
  <c r="AF113" i="9"/>
  <c r="V46" i="9"/>
  <c r="L46" i="9"/>
  <c r="T99" i="9"/>
  <c r="AE101" i="9"/>
  <c r="AF102" i="9"/>
  <c r="D33" i="9"/>
  <c r="I47" i="9"/>
  <c r="D47" i="9"/>
  <c r="Q76" i="9"/>
  <c r="U10" i="9"/>
  <c r="AD20" i="9"/>
  <c r="L27" i="9"/>
  <c r="O33" i="9"/>
  <c r="O38" i="9"/>
  <c r="D63" i="9"/>
  <c r="U62" i="9"/>
  <c r="C21" i="9"/>
  <c r="T10" i="9"/>
  <c r="V10" i="9"/>
  <c r="D21" i="9"/>
  <c r="K27" i="9"/>
  <c r="T32" i="9"/>
  <c r="C47" i="9"/>
  <c r="U46" i="9"/>
  <c r="O63" i="9"/>
  <c r="S76" i="9"/>
  <c r="K75" i="9"/>
  <c r="U113" i="9"/>
  <c r="T113" i="9"/>
  <c r="R120" i="9"/>
  <c r="E38" i="9"/>
  <c r="K38" i="9" s="1"/>
  <c r="K37" i="9"/>
  <c r="J76" i="9"/>
  <c r="F21" i="9"/>
  <c r="V62" i="9"/>
  <c r="C76" i="9"/>
  <c r="H21" i="9"/>
  <c r="Q21" i="9"/>
  <c r="AC21" i="9"/>
  <c r="U37" i="9"/>
  <c r="P47" i="9"/>
  <c r="T75" i="9"/>
  <c r="AF99" i="9"/>
  <c r="AG80" i="9"/>
  <c r="AG99" i="9" s="1"/>
  <c r="K99" i="9"/>
  <c r="P120" i="9"/>
  <c r="R47" i="9"/>
  <c r="L51" i="9"/>
  <c r="L70" i="9"/>
  <c r="L101" i="9"/>
  <c r="K43" i="9"/>
  <c r="AE113" i="9"/>
  <c r="U27" i="9"/>
  <c r="T135" i="9"/>
  <c r="N120" i="9" l="1"/>
  <c r="N63" i="9"/>
  <c r="N47" i="9"/>
  <c r="N33" i="9"/>
  <c r="N76" i="9"/>
  <c r="V21" i="9"/>
  <c r="L21" i="9"/>
  <c r="N21" i="9"/>
  <c r="U21" i="9"/>
  <c r="V47" i="9"/>
  <c r="V32" i="9"/>
  <c r="AA78" i="9"/>
  <c r="AA122" i="9" s="1"/>
  <c r="AA126" i="9" s="1"/>
  <c r="W33" i="9"/>
  <c r="W78" i="9" s="1"/>
  <c r="W122" i="9" s="1"/>
  <c r="W126" i="9" s="1"/>
  <c r="Y32" i="9"/>
  <c r="Y33" i="9" s="1"/>
  <c r="V120" i="9"/>
  <c r="U33" i="9"/>
  <c r="T33" i="9"/>
  <c r="L76" i="9"/>
  <c r="K33" i="9"/>
  <c r="T76" i="9"/>
  <c r="AF135" i="9"/>
  <c r="U76" i="9"/>
  <c r="V76" i="9"/>
  <c r="L47" i="9"/>
  <c r="T21" i="9"/>
  <c r="H78" i="9"/>
  <c r="H122" i="9" s="1"/>
  <c r="H126" i="9" s="1"/>
  <c r="H137" i="9" s="1"/>
  <c r="L120" i="9"/>
  <c r="X78" i="9"/>
  <c r="X122" i="9" s="1"/>
  <c r="X126" i="9" s="1"/>
  <c r="X137" i="9" s="1"/>
  <c r="J78" i="9"/>
  <c r="J122" i="9" s="1"/>
  <c r="J126" i="9" s="1"/>
  <c r="J137" i="9" s="1"/>
  <c r="P78" i="9"/>
  <c r="P122" i="9" s="1"/>
  <c r="P126" i="9" s="1"/>
  <c r="P137" i="9" s="1"/>
  <c r="K47" i="9"/>
  <c r="K76" i="9"/>
  <c r="C78" i="9"/>
  <c r="C122" i="9" s="1"/>
  <c r="C126" i="9" s="1"/>
  <c r="C137" i="9" s="1"/>
  <c r="K63" i="9"/>
  <c r="K120" i="9"/>
  <c r="K21" i="9"/>
  <c r="I78" i="9"/>
  <c r="I122" i="9" s="1"/>
  <c r="I126" i="9" s="1"/>
  <c r="I137" i="9" s="1"/>
  <c r="T63" i="9"/>
  <c r="Q78" i="9"/>
  <c r="Q122" i="9" s="1"/>
  <c r="Q126" i="9" s="1"/>
  <c r="Q137" i="9" s="1"/>
  <c r="F78" i="9"/>
  <c r="F122" i="9" s="1"/>
  <c r="F126" i="9" s="1"/>
  <c r="F137" i="9" s="1"/>
  <c r="AE120" i="9"/>
  <c r="G78" i="9"/>
  <c r="G122" i="9" s="1"/>
  <c r="G126" i="9" s="1"/>
  <c r="G137" i="9" s="1"/>
  <c r="V38" i="9"/>
  <c r="L38" i="9"/>
  <c r="D78" i="9"/>
  <c r="D122" i="9" s="1"/>
  <c r="D126" i="9" s="1"/>
  <c r="D137" i="9" s="1"/>
  <c r="L63" i="9"/>
  <c r="V63" i="9"/>
  <c r="AG102" i="9"/>
  <c r="AG101" i="9" s="1"/>
  <c r="AG120" i="9" s="1"/>
  <c r="AF101" i="9"/>
  <c r="AF120" i="9" s="1"/>
  <c r="U63" i="9"/>
  <c r="O78" i="9"/>
  <c r="E78" i="9"/>
  <c r="L33" i="9"/>
  <c r="T47" i="9"/>
  <c r="U47" i="9"/>
  <c r="U120" i="9"/>
  <c r="T120" i="9"/>
  <c r="S78" i="9"/>
  <c r="S122" i="9" s="1"/>
  <c r="S126" i="9" s="1"/>
  <c r="S137" i="9" s="1"/>
  <c r="R78" i="9"/>
  <c r="U38" i="9"/>
  <c r="AC27" i="9"/>
  <c r="AC32" i="9" s="1"/>
  <c r="AD21" i="9"/>
  <c r="N78" i="9" l="1"/>
  <c r="N122" i="9" s="1"/>
  <c r="N126" i="9" s="1"/>
  <c r="N137" i="9" s="1"/>
  <c r="V33" i="9"/>
  <c r="Y78" i="9"/>
  <c r="Y122" i="9" s="1"/>
  <c r="Y126" i="9" s="1"/>
  <c r="Y137" i="9" s="1"/>
  <c r="AD27" i="9"/>
  <c r="AD32" i="9" s="1"/>
  <c r="V78" i="9"/>
  <c r="L78" i="9"/>
  <c r="O122" i="9"/>
  <c r="R122" i="9"/>
  <c r="U78" i="9"/>
  <c r="T78" i="9"/>
  <c r="AC33" i="9"/>
  <c r="AE21" i="9"/>
  <c r="AF21" i="9" s="1"/>
  <c r="AG21" i="9" s="1"/>
  <c r="E122" i="9"/>
  <c r="K78" i="9"/>
  <c r="AC37" i="9" l="1"/>
  <c r="AC38" i="9" s="1"/>
  <c r="AC43" i="9" s="1"/>
  <c r="R126" i="9"/>
  <c r="U122" i="9"/>
  <c r="T122" i="9"/>
  <c r="V122" i="9"/>
  <c r="O126" i="9"/>
  <c r="L122" i="9"/>
  <c r="E126" i="9"/>
  <c r="K122" i="9"/>
  <c r="AD33" i="9"/>
  <c r="N94" i="10"/>
  <c r="N91" i="10"/>
  <c r="F85" i="10"/>
  <c r="Q61" i="10"/>
  <c r="P61" i="10"/>
  <c r="O61" i="10"/>
  <c r="N52" i="10"/>
  <c r="M51" i="10"/>
  <c r="M61" i="10" s="1"/>
  <c r="N50" i="10"/>
  <c r="N48" i="10"/>
  <c r="R43" i="10"/>
  <c r="Q43" i="10"/>
  <c r="P43" i="10"/>
  <c r="O43" i="10"/>
  <c r="N43" i="10"/>
  <c r="R37" i="10"/>
  <c r="Q37" i="10"/>
  <c r="P37" i="10"/>
  <c r="E35" i="10"/>
  <c r="E34" i="10"/>
  <c r="E33" i="10"/>
  <c r="A33" i="10"/>
  <c r="E32" i="10"/>
  <c r="D31" i="10"/>
  <c r="E31" i="10" s="1"/>
  <c r="N30" i="10"/>
  <c r="E30" i="10"/>
  <c r="Y29" i="10"/>
  <c r="Q29" i="10"/>
  <c r="P29" i="10"/>
  <c r="N29" i="10"/>
  <c r="E29" i="10"/>
  <c r="Y28" i="10"/>
  <c r="E28" i="10"/>
  <c r="Z27" i="10"/>
  <c r="E27" i="10"/>
  <c r="Z26" i="10"/>
  <c r="D26" i="10"/>
  <c r="E26" i="10" s="1"/>
  <c r="Z25" i="10"/>
  <c r="E25" i="10"/>
  <c r="Q24" i="10"/>
  <c r="P24" i="10"/>
  <c r="N24" i="10"/>
  <c r="E24" i="10"/>
  <c r="Z22" i="10"/>
  <c r="L22" i="10"/>
  <c r="L37" i="10" s="1"/>
  <c r="N21" i="10"/>
  <c r="N20" i="10"/>
  <c r="Z18" i="10"/>
  <c r="N18" i="10"/>
  <c r="E18" i="10"/>
  <c r="C18" i="10"/>
  <c r="B18" i="10"/>
  <c r="A18" i="10"/>
  <c r="N17" i="10"/>
  <c r="D17" i="10"/>
  <c r="E17" i="10" s="1"/>
  <c r="C16" i="10"/>
  <c r="A16" i="10"/>
  <c r="N15" i="10"/>
  <c r="C15" i="10"/>
  <c r="B15" i="10"/>
  <c r="A15" i="10"/>
  <c r="N14" i="10"/>
  <c r="M14" i="10"/>
  <c r="E14" i="10"/>
  <c r="O13" i="10"/>
  <c r="O37" i="10" s="1"/>
  <c r="M13" i="10"/>
  <c r="M37" i="10" s="1"/>
  <c r="R12" i="10"/>
  <c r="R38" i="10" s="1"/>
  <c r="Q12" i="10"/>
  <c r="P12" i="10"/>
  <c r="O12" i="10"/>
  <c r="M12" i="10"/>
  <c r="L12" i="10"/>
  <c r="L38" i="10" s="1"/>
  <c r="D12" i="10"/>
  <c r="O11" i="10"/>
  <c r="E11" i="10"/>
  <c r="C10" i="10"/>
  <c r="A10" i="10"/>
  <c r="N8" i="10"/>
  <c r="N7" i="10"/>
  <c r="L126" i="9" l="1"/>
  <c r="O137" i="9"/>
  <c r="V126" i="9"/>
  <c r="K126" i="9"/>
  <c r="E137" i="9"/>
  <c r="K137" i="9" s="1"/>
  <c r="AD37" i="9"/>
  <c r="AD38" i="9" s="1"/>
  <c r="AE38" i="9" s="1"/>
  <c r="AF38" i="9" s="1"/>
  <c r="AG38" i="9" s="1"/>
  <c r="U126" i="9"/>
  <c r="T126" i="9"/>
  <c r="R137" i="9"/>
  <c r="AE33" i="9"/>
  <c r="AF33" i="9" s="1"/>
  <c r="AG33" i="9" s="1"/>
  <c r="AC46" i="9"/>
  <c r="F83" i="10"/>
  <c r="R39" i="10"/>
  <c r="R64" i="10" s="1"/>
  <c r="A30" i="10"/>
  <c r="F84" i="10"/>
  <c r="C30" i="10"/>
  <c r="D37" i="10"/>
  <c r="D41" i="10" s="1"/>
  <c r="O38" i="10"/>
  <c r="O39" i="10" s="1"/>
  <c r="O64" i="10" s="1"/>
  <c r="N12" i="10"/>
  <c r="F82" i="10" s="1"/>
  <c r="F78" i="10"/>
  <c r="Z30" i="10"/>
  <c r="Y30" i="10"/>
  <c r="L72" i="10"/>
  <c r="L73" i="10" s="1"/>
  <c r="Q35" i="10"/>
  <c r="N51" i="10"/>
  <c r="N61" i="10" s="1"/>
  <c r="W132" i="9" s="1"/>
  <c r="L68" i="10"/>
  <c r="L70" i="10" s="1"/>
  <c r="L39" i="10"/>
  <c r="L63" i="10" s="1"/>
  <c r="L65" i="10"/>
  <c r="Q38" i="10"/>
  <c r="Q39" i="10" s="1"/>
  <c r="E12" i="10"/>
  <c r="A14" i="10" s="1"/>
  <c r="N22" i="10"/>
  <c r="F80" i="10" s="1"/>
  <c r="R35" i="10"/>
  <c r="L35" i="10"/>
  <c r="P11" i="10"/>
  <c r="M35" i="10"/>
  <c r="M38" i="10"/>
  <c r="O35" i="10"/>
  <c r="AA132" i="9" l="1"/>
  <c r="AA135" i="9" s="1"/>
  <c r="AA137" i="9" s="1"/>
  <c r="W135" i="9"/>
  <c r="R63" i="10"/>
  <c r="AD43" i="9"/>
  <c r="AD46" i="9" s="1"/>
  <c r="T137" i="9"/>
  <c r="L137" i="9"/>
  <c r="AC47" i="9"/>
  <c r="N38" i="10"/>
  <c r="N68" i="10" s="1"/>
  <c r="D39" i="10"/>
  <c r="F87" i="10"/>
  <c r="G78" i="10" s="1"/>
  <c r="N37" i="10"/>
  <c r="N35" i="10"/>
  <c r="O63" i="10"/>
  <c r="Q63" i="10"/>
  <c r="Q64" i="10"/>
  <c r="M68" i="10"/>
  <c r="M39" i="10"/>
  <c r="M63" i="10" s="1"/>
  <c r="P38" i="10"/>
  <c r="P39" i="10" s="1"/>
  <c r="P35" i="10"/>
  <c r="E37" i="10"/>
  <c r="V135" i="9" l="1"/>
  <c r="W137" i="9"/>
  <c r="V137" i="9" s="1"/>
  <c r="AD47" i="9"/>
  <c r="AD51" i="9" s="1"/>
  <c r="AD62" i="9" s="1"/>
  <c r="AD63" i="9" s="1"/>
  <c r="AD70" i="9" s="1"/>
  <c r="AD75" i="9" s="1"/>
  <c r="AD76" i="9" s="1"/>
  <c r="AD78" i="9" s="1"/>
  <c r="AD122" i="9" s="1"/>
  <c r="AD126" i="9" s="1"/>
  <c r="AD137" i="9" s="1"/>
  <c r="AC51" i="9"/>
  <c r="AC62" i="9" s="1"/>
  <c r="AC63" i="9" s="1"/>
  <c r="N39" i="10"/>
  <c r="N63" i="10" s="1"/>
  <c r="N92" i="10" s="1"/>
  <c r="N96" i="10" s="1"/>
  <c r="N65" i="10"/>
  <c r="G83" i="10"/>
  <c r="G82" i="10"/>
  <c r="G85" i="10"/>
  <c r="G86" i="10"/>
  <c r="G81" i="10"/>
  <c r="G87" i="10"/>
  <c r="G80" i="10"/>
  <c r="G79" i="10"/>
  <c r="G84" i="10"/>
  <c r="P64" i="10"/>
  <c r="P63" i="10"/>
  <c r="E41" i="10"/>
  <c r="E39" i="10"/>
  <c r="AE47" i="9" l="1"/>
  <c r="AF47" i="9" s="1"/>
  <c r="AG47" i="9" s="1"/>
  <c r="AE63" i="9"/>
  <c r="AF63" i="9" s="1"/>
  <c r="AG63" i="9" s="1"/>
  <c r="AC70" i="9"/>
  <c r="AC75" i="9" s="1"/>
  <c r="AC76" i="9" s="1"/>
  <c r="S39" i="10"/>
  <c r="N64" i="10"/>
  <c r="I40" i="10"/>
  <c r="AE76" i="9" l="1"/>
  <c r="AF76" i="9" s="1"/>
  <c r="AG76" i="9" s="1"/>
  <c r="AC78" i="9"/>
  <c r="AE78" i="9" l="1"/>
  <c r="AC122" i="9"/>
  <c r="AC126" i="9" s="1"/>
  <c r="AC137" i="9" s="1"/>
  <c r="AE122" i="9" l="1"/>
  <c r="AE126" i="9" s="1"/>
  <c r="AE137" i="9" s="1"/>
  <c r="AF78" i="9"/>
  <c r="AF122" i="9" l="1"/>
  <c r="AF126" i="9" s="1"/>
  <c r="AF137" i="9" s="1"/>
  <c r="AG78" i="9"/>
  <c r="AG122" i="9" s="1"/>
  <c r="AG126" i="9" s="1"/>
  <c r="AG137" i="9" s="1"/>
  <c r="N89" i="19" l="1"/>
  <c r="N86" i="19"/>
  <c r="F80" i="19"/>
  <c r="Q56" i="19"/>
  <c r="P56" i="19"/>
  <c r="O56" i="19"/>
  <c r="N55" i="19"/>
  <c r="N52" i="19"/>
  <c r="M51" i="19"/>
  <c r="M56" i="19" s="1"/>
  <c r="N50" i="19"/>
  <c r="N48" i="19"/>
  <c r="R43" i="19"/>
  <c r="Q43" i="19"/>
  <c r="P43" i="19"/>
  <c r="O43" i="19"/>
  <c r="N43" i="19"/>
  <c r="R37" i="19"/>
  <c r="Q37" i="19"/>
  <c r="P37" i="19"/>
  <c r="E35" i="19"/>
  <c r="E34" i="19"/>
  <c r="E33" i="19"/>
  <c r="A33" i="19"/>
  <c r="E32" i="19"/>
  <c r="D31" i="19"/>
  <c r="E31" i="19" s="1"/>
  <c r="N30" i="19"/>
  <c r="E30" i="19"/>
  <c r="Y29" i="19"/>
  <c r="Q29" i="19"/>
  <c r="P29" i="19"/>
  <c r="N29" i="19"/>
  <c r="E29" i="19"/>
  <c r="Y28" i="19"/>
  <c r="E28" i="19"/>
  <c r="Z27" i="19"/>
  <c r="E27" i="19"/>
  <c r="Z26" i="19"/>
  <c r="D26" i="19"/>
  <c r="C30" i="19" s="1"/>
  <c r="Z25" i="19"/>
  <c r="E25" i="19"/>
  <c r="Q24" i="19"/>
  <c r="P24" i="19"/>
  <c r="N24" i="19"/>
  <c r="E24" i="19"/>
  <c r="Z22" i="19"/>
  <c r="L22" i="19"/>
  <c r="N22" i="19" s="1"/>
  <c r="F75" i="19" s="1"/>
  <c r="N21" i="19"/>
  <c r="N20" i="19"/>
  <c r="Z18" i="19"/>
  <c r="N18" i="19"/>
  <c r="E18" i="19"/>
  <c r="C18" i="19"/>
  <c r="B18" i="19"/>
  <c r="A18" i="19"/>
  <c r="N17" i="19"/>
  <c r="D17" i="19"/>
  <c r="E17" i="19" s="1"/>
  <c r="C16" i="19"/>
  <c r="A16" i="19"/>
  <c r="N15" i="19"/>
  <c r="C15" i="19"/>
  <c r="B15" i="19"/>
  <c r="A15" i="19"/>
  <c r="N14" i="19"/>
  <c r="M14" i="19"/>
  <c r="E14" i="19"/>
  <c r="O13" i="19"/>
  <c r="O37" i="19" s="1"/>
  <c r="M13" i="19"/>
  <c r="M37" i="19" s="1"/>
  <c r="R12" i="19"/>
  <c r="R38" i="19" s="1"/>
  <c r="Q12" i="19"/>
  <c r="P12" i="19"/>
  <c r="O12" i="19"/>
  <c r="M12" i="19"/>
  <c r="L12" i="19"/>
  <c r="L38" i="19" s="1"/>
  <c r="D12" i="19"/>
  <c r="O11" i="19"/>
  <c r="P11" i="19" s="1"/>
  <c r="E11" i="19"/>
  <c r="C10" i="19"/>
  <c r="A10" i="19"/>
  <c r="N8" i="19"/>
  <c r="N7" i="19"/>
  <c r="M38" i="19" l="1"/>
  <c r="M39" i="19" s="1"/>
  <c r="M58" i="19" s="1"/>
  <c r="Z30" i="19"/>
  <c r="Y30" i="19"/>
  <c r="L37" i="19"/>
  <c r="L39" i="19" s="1"/>
  <c r="L58" i="19" s="1"/>
  <c r="F73" i="19"/>
  <c r="R39" i="19"/>
  <c r="R58" i="19" s="1"/>
  <c r="N37" i="19"/>
  <c r="F79" i="19"/>
  <c r="D37" i="19"/>
  <c r="D39" i="19" s="1"/>
  <c r="F78" i="19"/>
  <c r="O38" i="19"/>
  <c r="O39" i="19" s="1"/>
  <c r="O59" i="19" s="1"/>
  <c r="Q38" i="19"/>
  <c r="Q39" i="19" s="1"/>
  <c r="Q59" i="19" s="1"/>
  <c r="E26" i="19"/>
  <c r="A30" i="19" s="1"/>
  <c r="P38" i="19"/>
  <c r="P39" i="19" s="1"/>
  <c r="P59" i="19" s="1"/>
  <c r="P35" i="19"/>
  <c r="L60" i="19"/>
  <c r="L63" i="19"/>
  <c r="L65" i="19" s="1"/>
  <c r="N12" i="19"/>
  <c r="F77" i="19" s="1"/>
  <c r="O35" i="19"/>
  <c r="N51" i="19"/>
  <c r="N56" i="19" s="1"/>
  <c r="Q35" i="19"/>
  <c r="R35" i="19"/>
  <c r="L67" i="19"/>
  <c r="L68" i="19" s="1"/>
  <c r="M35" i="19"/>
  <c r="E12" i="19"/>
  <c r="L35" i="19"/>
  <c r="M63" i="19" l="1"/>
  <c r="R59" i="19"/>
  <c r="F82" i="19"/>
  <c r="G78" i="19" s="1"/>
  <c r="D41" i="19"/>
  <c r="N38" i="19"/>
  <c r="N39" i="19" s="1"/>
  <c r="Q58" i="19"/>
  <c r="N35" i="19"/>
  <c r="P58" i="19"/>
  <c r="O58" i="19"/>
  <c r="A14" i="19"/>
  <c r="E37" i="19"/>
  <c r="F44" i="5"/>
  <c r="G44" i="5"/>
  <c r="H44" i="5"/>
  <c r="I44" i="5"/>
  <c r="J44" i="5"/>
  <c r="K44" i="5"/>
  <c r="L44" i="5"/>
  <c r="M44" i="5"/>
  <c r="N44" i="5"/>
  <c r="O44" i="5"/>
  <c r="P44" i="5"/>
  <c r="Q44" i="5"/>
  <c r="R44" i="5"/>
  <c r="S44" i="5"/>
  <c r="T44" i="5"/>
  <c r="U44" i="5"/>
  <c r="E44" i="5"/>
  <c r="G80" i="19" l="1"/>
  <c r="G75" i="19"/>
  <c r="G79" i="19"/>
  <c r="G74" i="19"/>
  <c r="G76" i="19"/>
  <c r="G81" i="19"/>
  <c r="G77" i="19"/>
  <c r="G82" i="19"/>
  <c r="G73" i="19"/>
  <c r="N63" i="19"/>
  <c r="N60" i="19"/>
  <c r="I40" i="19"/>
  <c r="S39" i="19"/>
  <c r="N59" i="19"/>
  <c r="E39" i="19"/>
  <c r="E41" i="19"/>
  <c r="N58" i="19"/>
  <c r="N87" i="19" s="1"/>
  <c r="N91" i="19" s="1"/>
  <c r="N88" i="20" l="1"/>
  <c r="N85" i="20"/>
  <c r="F79" i="20"/>
  <c r="Q55" i="20"/>
  <c r="P55" i="20"/>
  <c r="O55" i="20"/>
  <c r="N54" i="20"/>
  <c r="M51" i="20"/>
  <c r="N51" i="20" s="1"/>
  <c r="N50" i="20"/>
  <c r="N48" i="20"/>
  <c r="R43" i="20"/>
  <c r="Q43" i="20"/>
  <c r="P43" i="20"/>
  <c r="O43" i="20"/>
  <c r="N43" i="20"/>
  <c r="R37" i="20"/>
  <c r="Q37" i="20"/>
  <c r="P37" i="20"/>
  <c r="E35" i="20"/>
  <c r="E34" i="20"/>
  <c r="E33" i="20"/>
  <c r="A33" i="20"/>
  <c r="E32" i="20"/>
  <c r="D31" i="20"/>
  <c r="E31" i="20" s="1"/>
  <c r="N30" i="20"/>
  <c r="E30" i="20"/>
  <c r="Y29" i="20"/>
  <c r="Q29" i="20"/>
  <c r="P29" i="20"/>
  <c r="N29" i="20"/>
  <c r="E29" i="20"/>
  <c r="Y28" i="20"/>
  <c r="E28" i="20"/>
  <c r="Z27" i="20"/>
  <c r="E27" i="20"/>
  <c r="Z26" i="20"/>
  <c r="D26" i="20"/>
  <c r="E26" i="20" s="1"/>
  <c r="Z25" i="20"/>
  <c r="E25" i="20"/>
  <c r="Q24" i="20"/>
  <c r="P24" i="20"/>
  <c r="N24" i="20"/>
  <c r="E24" i="20"/>
  <c r="Z22" i="20"/>
  <c r="L22" i="20"/>
  <c r="L37" i="20" s="1"/>
  <c r="N21" i="20"/>
  <c r="N20" i="20"/>
  <c r="Z18" i="20"/>
  <c r="N18" i="20"/>
  <c r="E18" i="20"/>
  <c r="C18" i="20"/>
  <c r="B18" i="20"/>
  <c r="A18" i="20"/>
  <c r="N17" i="20"/>
  <c r="D17" i="20"/>
  <c r="E17" i="20" s="1"/>
  <c r="C16" i="20"/>
  <c r="A16" i="20"/>
  <c r="N15" i="20"/>
  <c r="C15" i="20"/>
  <c r="B15" i="20"/>
  <c r="A15" i="20"/>
  <c r="N14" i="20"/>
  <c r="M14" i="20"/>
  <c r="E14" i="20"/>
  <c r="O13" i="20"/>
  <c r="O37" i="20" s="1"/>
  <c r="M13" i="20"/>
  <c r="M37" i="20" s="1"/>
  <c r="R12" i="20"/>
  <c r="R38" i="20" s="1"/>
  <c r="Q12" i="20"/>
  <c r="P12" i="20"/>
  <c r="O12" i="20"/>
  <c r="M12" i="20"/>
  <c r="L12" i="20"/>
  <c r="L38" i="20" s="1"/>
  <c r="D12" i="20"/>
  <c r="O11" i="20"/>
  <c r="E11" i="20"/>
  <c r="C10" i="20"/>
  <c r="A10" i="20"/>
  <c r="N8" i="20"/>
  <c r="N7" i="20"/>
  <c r="M55" i="20" l="1"/>
  <c r="Y30" i="20"/>
  <c r="O38" i="20"/>
  <c r="O39" i="20" s="1"/>
  <c r="F72" i="20"/>
  <c r="Q38" i="20"/>
  <c r="Q39" i="20" s="1"/>
  <c r="Q57" i="20" s="1"/>
  <c r="Z30" i="20"/>
  <c r="N12" i="20"/>
  <c r="F76" i="20" s="1"/>
  <c r="N55" i="20"/>
  <c r="P11" i="20"/>
  <c r="P35" i="20" s="1"/>
  <c r="F77" i="20"/>
  <c r="D37" i="20"/>
  <c r="D41" i="20" s="1"/>
  <c r="F78" i="20"/>
  <c r="R39" i="20"/>
  <c r="R58" i="20" s="1"/>
  <c r="L62" i="20"/>
  <c r="L64" i="20" s="1"/>
  <c r="L39" i="20"/>
  <c r="L57" i="20" s="1"/>
  <c r="L59" i="20"/>
  <c r="A30" i="20"/>
  <c r="C30" i="20"/>
  <c r="R35" i="20"/>
  <c r="Q35" i="20"/>
  <c r="L66" i="20"/>
  <c r="L67" i="20" s="1"/>
  <c r="N22" i="20"/>
  <c r="F74" i="20" s="1"/>
  <c r="L35" i="20"/>
  <c r="M35" i="20"/>
  <c r="M38" i="20"/>
  <c r="E12" i="20"/>
  <c r="O35" i="20"/>
  <c r="Q58" i="20" l="1"/>
  <c r="N38" i="20"/>
  <c r="R57" i="20"/>
  <c r="D39" i="20"/>
  <c r="P38" i="20"/>
  <c r="P39" i="20" s="1"/>
  <c r="N37" i="20"/>
  <c r="E37" i="20"/>
  <c r="A14" i="20"/>
  <c r="O58" i="20"/>
  <c r="O57" i="20"/>
  <c r="N35" i="20"/>
  <c r="F81" i="20"/>
  <c r="M62" i="20"/>
  <c r="M39" i="20"/>
  <c r="M57" i="20" s="1"/>
  <c r="N39" i="20" l="1"/>
  <c r="N58" i="20" s="1"/>
  <c r="N62" i="20"/>
  <c r="N59" i="20"/>
  <c r="P58" i="20"/>
  <c r="P57" i="20"/>
  <c r="G73" i="20"/>
  <c r="G81" i="20"/>
  <c r="G80" i="20"/>
  <c r="G79" i="20"/>
  <c r="G75" i="20"/>
  <c r="G76" i="20"/>
  <c r="G78" i="20"/>
  <c r="G72" i="20"/>
  <c r="G77" i="20"/>
  <c r="G74" i="20"/>
  <c r="E41" i="20"/>
  <c r="E39" i="20"/>
  <c r="N57" i="20" l="1"/>
  <c r="N86" i="20" s="1"/>
  <c r="N90" i="20" s="1"/>
  <c r="S39" i="20"/>
  <c r="I40" i="20"/>
  <c r="N88" i="18"/>
  <c r="N14" i="18" l="1"/>
  <c r="Q55" i="18" l="1"/>
  <c r="P55" i="18"/>
  <c r="O55" i="18"/>
  <c r="N54" i="18"/>
  <c r="M51" i="18"/>
  <c r="M55" i="18" s="1"/>
  <c r="N50" i="18"/>
  <c r="N48" i="18"/>
  <c r="R43" i="18"/>
  <c r="Q43" i="18"/>
  <c r="P43" i="18"/>
  <c r="O43" i="18"/>
  <c r="N43" i="18"/>
  <c r="R37" i="18"/>
  <c r="Q37" i="18"/>
  <c r="P37" i="18"/>
  <c r="E35" i="18"/>
  <c r="E34" i="18"/>
  <c r="E33" i="18"/>
  <c r="A33" i="18"/>
  <c r="E32" i="18"/>
  <c r="F79" i="18"/>
  <c r="N30" i="18"/>
  <c r="E30" i="18"/>
  <c r="Y29" i="18"/>
  <c r="Q29" i="18"/>
  <c r="P29" i="18"/>
  <c r="N29" i="18"/>
  <c r="E29" i="18"/>
  <c r="Y28" i="18"/>
  <c r="E28" i="18"/>
  <c r="Z27" i="18"/>
  <c r="E27" i="18"/>
  <c r="Z26" i="18"/>
  <c r="D26" i="18"/>
  <c r="Z25" i="18"/>
  <c r="E25" i="18"/>
  <c r="Q24" i="18"/>
  <c r="P24" i="18"/>
  <c r="N24" i="18"/>
  <c r="E24" i="18"/>
  <c r="Z22" i="18"/>
  <c r="L22" i="18"/>
  <c r="N22" i="18" s="1"/>
  <c r="F74" i="18" s="1"/>
  <c r="N21" i="18"/>
  <c r="N20" i="18"/>
  <c r="Z18" i="18"/>
  <c r="N18" i="18"/>
  <c r="E18" i="18"/>
  <c r="C18" i="18"/>
  <c r="B18" i="18"/>
  <c r="A18" i="18"/>
  <c r="N17" i="18"/>
  <c r="D17" i="18"/>
  <c r="E17" i="18" s="1"/>
  <c r="C16" i="18"/>
  <c r="A16" i="18"/>
  <c r="N15" i="18"/>
  <c r="C15" i="18"/>
  <c r="B15" i="18"/>
  <c r="A15" i="18"/>
  <c r="M14" i="18"/>
  <c r="E14" i="18"/>
  <c r="O13" i="18"/>
  <c r="O37" i="18" s="1"/>
  <c r="M13" i="18"/>
  <c r="M37" i="18" s="1"/>
  <c r="R12" i="18"/>
  <c r="R38" i="18" s="1"/>
  <c r="Q12" i="18"/>
  <c r="P12" i="18"/>
  <c r="O12" i="18"/>
  <c r="M12" i="18"/>
  <c r="L12" i="18"/>
  <c r="L66" i="18" s="1"/>
  <c r="L67" i="18" s="1"/>
  <c r="D12" i="18"/>
  <c r="E12" i="18" s="1"/>
  <c r="E11" i="18"/>
  <c r="C10" i="18"/>
  <c r="A10" i="18"/>
  <c r="N8" i="18"/>
  <c r="N7" i="18"/>
  <c r="Y30" i="18" l="1"/>
  <c r="L38" i="18"/>
  <c r="L59" i="18" s="1"/>
  <c r="N12" i="18"/>
  <c r="N38" i="18" s="1"/>
  <c r="R39" i="18"/>
  <c r="R58" i="18" s="1"/>
  <c r="Z30" i="18"/>
  <c r="L35" i="18"/>
  <c r="R35" i="18"/>
  <c r="Q38" i="18"/>
  <c r="Q39" i="18" s="1"/>
  <c r="N37" i="18"/>
  <c r="A14" i="18"/>
  <c r="C30" i="18"/>
  <c r="E26" i="18"/>
  <c r="A30" i="18" s="1"/>
  <c r="F72" i="18"/>
  <c r="F77" i="18"/>
  <c r="F78" i="18"/>
  <c r="D31" i="18"/>
  <c r="E31" i="18" s="1"/>
  <c r="O11" i="18"/>
  <c r="M35" i="18"/>
  <c r="L37" i="18"/>
  <c r="M38" i="18"/>
  <c r="N51" i="18"/>
  <c r="N55" i="18" s="1"/>
  <c r="Q35" i="18"/>
  <c r="L62" i="18" l="1"/>
  <c r="L64" i="18" s="1"/>
  <c r="L39" i="18"/>
  <c r="L57" i="18" s="1"/>
  <c r="F76" i="18"/>
  <c r="F81" i="18" s="1"/>
  <c r="G72" i="18" s="1"/>
  <c r="R57" i="18"/>
  <c r="N35" i="18"/>
  <c r="Q58" i="18"/>
  <c r="Q57" i="18"/>
  <c r="E37" i="18"/>
  <c r="E39" i="18" s="1"/>
  <c r="D37" i="18"/>
  <c r="D41" i="18" s="1"/>
  <c r="M39" i="18"/>
  <c r="M57" i="18" s="1"/>
  <c r="M62" i="18"/>
  <c r="O38" i="18"/>
  <c r="O39" i="18" s="1"/>
  <c r="O35" i="18"/>
  <c r="P11" i="18"/>
  <c r="N39" i="18"/>
  <c r="N57" i="18" s="1"/>
  <c r="N62" i="18"/>
  <c r="N59" i="18"/>
  <c r="E41" i="18" l="1"/>
  <c r="D39" i="18"/>
  <c r="G76" i="18"/>
  <c r="G77" i="18"/>
  <c r="G79" i="18"/>
  <c r="G78" i="18"/>
  <c r="I40" i="18"/>
  <c r="G74" i="18"/>
  <c r="G80" i="18"/>
  <c r="G81" i="18"/>
  <c r="G73" i="18"/>
  <c r="G75" i="18"/>
  <c r="P35" i="18"/>
  <c r="P38" i="18"/>
  <c r="P39" i="18" s="1"/>
  <c r="S39" i="18" s="1"/>
  <c r="N58" i="18"/>
  <c r="O58" i="18"/>
  <c r="O57" i="18"/>
  <c r="P58" i="18" l="1"/>
  <c r="P57" i="18"/>
  <c r="X19" i="5" l="1"/>
  <c r="X20" i="5" s="1"/>
  <c r="Y19" i="5"/>
  <c r="Y20" i="5" s="1"/>
  <c r="Z19" i="5"/>
  <c r="Z20" i="5" s="1"/>
  <c r="M33" i="5"/>
  <c r="N33" i="5"/>
  <c r="O33" i="5"/>
  <c r="P33" i="5"/>
  <c r="Q33" i="5"/>
  <c r="R33" i="5"/>
  <c r="S33" i="5"/>
  <c r="T33" i="5"/>
  <c r="U33" i="5"/>
  <c r="U34" i="5" s="1"/>
  <c r="V33" i="5"/>
  <c r="V34" i="5" s="1"/>
  <c r="W33" i="5"/>
  <c r="W34" i="5" s="1"/>
  <c r="X33" i="5"/>
  <c r="X34" i="5" s="1"/>
  <c r="Y33" i="5"/>
  <c r="Y34" i="5" s="1"/>
  <c r="M28" i="5"/>
  <c r="N28" i="5"/>
  <c r="O28" i="5"/>
  <c r="P28" i="5"/>
  <c r="Q28" i="5"/>
  <c r="R28" i="5"/>
  <c r="S28" i="5"/>
  <c r="T28" i="5"/>
  <c r="P47" i="5"/>
  <c r="P48" i="5" s="1"/>
  <c r="Q47" i="5"/>
  <c r="Q48" i="5" s="1"/>
  <c r="R47" i="5"/>
  <c r="R48" i="5" s="1"/>
  <c r="S47" i="5"/>
  <c r="S48" i="5" s="1"/>
  <c r="T47" i="5"/>
  <c r="T48" i="5" s="1"/>
  <c r="U47" i="5"/>
  <c r="U48" i="5" s="1"/>
  <c r="V47" i="5"/>
  <c r="V48" i="5" s="1"/>
  <c r="W47" i="5"/>
  <c r="W48" i="5" s="1"/>
  <c r="X47" i="5"/>
  <c r="X48" i="5" s="1"/>
  <c r="Y47" i="5"/>
  <c r="Y48" i="5" s="1"/>
  <c r="Z47" i="5"/>
  <c r="Z48" i="5" s="1"/>
  <c r="Z82" i="5" l="1"/>
  <c r="Z90" i="5" s="1"/>
  <c r="M34" i="5"/>
  <c r="Q34" i="5"/>
  <c r="P34" i="5"/>
  <c r="O34" i="5"/>
  <c r="N34" i="5"/>
  <c r="T34" i="5"/>
  <c r="Y82" i="5"/>
  <c r="Y90" i="5" s="1"/>
  <c r="S34" i="5"/>
  <c r="X82" i="5"/>
  <c r="X90" i="5" s="1"/>
  <c r="R34" i="5"/>
  <c r="I19" i="5"/>
  <c r="J19" i="5"/>
  <c r="K19" i="5"/>
  <c r="L19" i="5"/>
  <c r="M19" i="5"/>
  <c r="N19" i="5"/>
  <c r="O19" i="5"/>
  <c r="P19" i="5"/>
  <c r="Q19" i="5"/>
  <c r="R19" i="5"/>
  <c r="S19" i="5"/>
  <c r="T19" i="5"/>
  <c r="U19" i="5"/>
  <c r="V19" i="5"/>
  <c r="V20" i="5" s="1"/>
  <c r="W19" i="5"/>
  <c r="W20" i="5" s="1"/>
  <c r="W82" i="5" s="1"/>
  <c r="W90" i="5" s="1"/>
  <c r="G9" i="5" l="1"/>
  <c r="H9" i="5"/>
  <c r="I9" i="5"/>
  <c r="I20" i="5" s="1"/>
  <c r="J9" i="5"/>
  <c r="J20" i="5" s="1"/>
  <c r="K9" i="5"/>
  <c r="K20" i="5" s="1"/>
  <c r="L9" i="5"/>
  <c r="L20" i="5" s="1"/>
  <c r="M9" i="5"/>
  <c r="M20" i="5" s="1"/>
  <c r="N9" i="5"/>
  <c r="N20" i="5" s="1"/>
  <c r="O9" i="5"/>
  <c r="O20" i="5" s="1"/>
  <c r="P9" i="5"/>
  <c r="P20" i="5" s="1"/>
  <c r="Q9" i="5"/>
  <c r="Q20" i="5" s="1"/>
  <c r="R9" i="5"/>
  <c r="R20" i="5" s="1"/>
  <c r="S9" i="5"/>
  <c r="S20" i="5" s="1"/>
  <c r="T9" i="5"/>
  <c r="T20" i="5" s="1"/>
  <c r="U9" i="5"/>
  <c r="U20" i="5" s="1"/>
  <c r="N85" i="18" l="1"/>
  <c r="N86" i="18" s="1"/>
  <c r="N90" i="18" s="1"/>
  <c r="V78" i="5"/>
  <c r="T63" i="5"/>
  <c r="T64" i="5" s="1"/>
  <c r="U63" i="5"/>
  <c r="V63" i="5"/>
  <c r="F71" i="5"/>
  <c r="G71" i="5"/>
  <c r="H71" i="5"/>
  <c r="I71" i="5"/>
  <c r="J71" i="5"/>
  <c r="K71" i="5"/>
  <c r="L71" i="5"/>
  <c r="M71" i="5"/>
  <c r="N71" i="5"/>
  <c r="O71" i="5"/>
  <c r="P78" i="5"/>
  <c r="Q78" i="5"/>
  <c r="R78" i="5"/>
  <c r="S78" i="5"/>
  <c r="T78" i="5"/>
  <c r="U78" i="5"/>
  <c r="F63" i="5"/>
  <c r="G63" i="5"/>
  <c r="H63" i="5"/>
  <c r="I63" i="5"/>
  <c r="J63" i="5"/>
  <c r="K63" i="5"/>
  <c r="L63" i="5"/>
  <c r="M63" i="5"/>
  <c r="N63" i="5"/>
  <c r="O63" i="5"/>
  <c r="P63" i="5"/>
  <c r="Q63" i="5"/>
  <c r="R63" i="5"/>
  <c r="S63" i="5"/>
  <c r="E63" i="5"/>
  <c r="P52" i="5"/>
  <c r="Q52" i="5"/>
  <c r="R52" i="5"/>
  <c r="O78" i="5" l="1"/>
  <c r="N78" i="5"/>
  <c r="M78" i="5"/>
  <c r="L78" i="5"/>
  <c r="U64" i="5"/>
  <c r="U82" i="5" s="1"/>
  <c r="U90" i="5" s="1"/>
  <c r="K78" i="5"/>
  <c r="V64" i="5"/>
  <c r="V82" i="5" s="1"/>
  <c r="V90" i="5" s="1"/>
  <c r="T82" i="5"/>
  <c r="T90" i="5" s="1"/>
  <c r="S64" i="5"/>
  <c r="R64" i="5"/>
  <c r="R82" i="5" s="1"/>
  <c r="R90" i="5" s="1"/>
  <c r="Q64" i="5"/>
  <c r="Q82" i="5" s="1"/>
  <c r="Q90" i="5" s="1"/>
  <c r="P64" i="5"/>
  <c r="P82" i="5" s="1"/>
  <c r="P90" i="5" s="1"/>
  <c r="F78" i="5"/>
  <c r="G78" i="5"/>
  <c r="H78" i="5"/>
  <c r="I78" i="5"/>
  <c r="J78" i="5"/>
  <c r="S82" i="5" l="1"/>
  <c r="S90" i="5" s="1"/>
  <c r="F47" i="5"/>
  <c r="F48" i="5" s="1"/>
  <c r="G47" i="5"/>
  <c r="G48" i="5" s="1"/>
  <c r="H47" i="5"/>
  <c r="H48" i="5" s="1"/>
  <c r="I47" i="5"/>
  <c r="I48" i="5" s="1"/>
  <c r="J47" i="5"/>
  <c r="J48" i="5" s="1"/>
  <c r="K47" i="5"/>
  <c r="K48" i="5" s="1"/>
  <c r="L47" i="5"/>
  <c r="L48" i="5" s="1"/>
  <c r="M47" i="5"/>
  <c r="M48" i="5" s="1"/>
  <c r="N47" i="5"/>
  <c r="N48" i="5" s="1"/>
  <c r="O47" i="5"/>
  <c r="O48" i="5" s="1"/>
  <c r="E47" i="5"/>
  <c r="E48" i="5" s="1"/>
  <c r="C327" i="4" l="1"/>
  <c r="D327" i="4"/>
  <c r="E327" i="4"/>
  <c r="C165" i="4"/>
  <c r="C194" i="4" s="1"/>
  <c r="C236" i="4" s="1"/>
  <c r="C264" i="4" s="1"/>
  <c r="C341" i="4" s="1"/>
  <c r="C369" i="4" s="1"/>
  <c r="C439" i="4" s="1"/>
  <c r="C508" i="4" s="1"/>
  <c r="D165" i="4"/>
  <c r="D194" i="4" s="1"/>
  <c r="D236" i="4" s="1"/>
  <c r="D264" i="4" s="1"/>
  <c r="D341" i="4" s="1"/>
  <c r="D369" i="4" s="1"/>
  <c r="D439" i="4" s="1"/>
  <c r="D508" i="4" s="1"/>
  <c r="E165" i="4"/>
  <c r="E194" i="4" s="1"/>
  <c r="E236" i="4" s="1"/>
  <c r="E264" i="4" s="1"/>
  <c r="E341" i="4" s="1"/>
  <c r="E369" i="4" s="1"/>
  <c r="E439" i="4" s="1"/>
  <c r="E508" i="4" s="1"/>
  <c r="C47" i="4"/>
  <c r="D47" i="4"/>
  <c r="E47" i="4"/>
  <c r="E71" i="5" l="1"/>
  <c r="E19" i="5" l="1"/>
  <c r="E78" i="5" l="1"/>
  <c r="E9" i="5"/>
  <c r="E20" i="5" s="1"/>
  <c r="F9" i="5"/>
  <c r="O52" i="5" l="1"/>
  <c r="O64" i="5" s="1"/>
  <c r="O82" i="5" s="1"/>
  <c r="O90" i="5" s="1"/>
  <c r="N52" i="5"/>
  <c r="N64" i="5" s="1"/>
  <c r="M52" i="5"/>
  <c r="M64" i="5" s="1"/>
  <c r="L52" i="5"/>
  <c r="L64" i="5" s="1"/>
  <c r="K52" i="5"/>
  <c r="K64" i="5" s="1"/>
  <c r="J52" i="5"/>
  <c r="J64" i="5" s="1"/>
  <c r="I52" i="5"/>
  <c r="I64" i="5" s="1"/>
  <c r="H52" i="5"/>
  <c r="H64" i="5" s="1"/>
  <c r="G52" i="5"/>
  <c r="G64" i="5" s="1"/>
  <c r="F52" i="5"/>
  <c r="F64" i="5" s="1"/>
  <c r="E52" i="5"/>
  <c r="E64" i="5" s="1"/>
  <c r="N38" i="5"/>
  <c r="N39" i="5" s="1"/>
  <c r="M38" i="5"/>
  <c r="M39" i="5" s="1"/>
  <c r="L38" i="5"/>
  <c r="L39" i="5" s="1"/>
  <c r="K38" i="5"/>
  <c r="K39" i="5" s="1"/>
  <c r="J38" i="5"/>
  <c r="J39" i="5" s="1"/>
  <c r="I38" i="5"/>
  <c r="I39" i="5" s="1"/>
  <c r="H38" i="5"/>
  <c r="H39" i="5" s="1"/>
  <c r="G38" i="5"/>
  <c r="G39" i="5" s="1"/>
  <c r="F38" i="5"/>
  <c r="F39" i="5" s="1"/>
  <c r="E38" i="5"/>
  <c r="E39" i="5" s="1"/>
  <c r="L33" i="5"/>
  <c r="K33" i="5"/>
  <c r="J33" i="5"/>
  <c r="I33" i="5"/>
  <c r="H33" i="5"/>
  <c r="G33" i="5"/>
  <c r="F33" i="5"/>
  <c r="E33" i="5"/>
  <c r="L28" i="5"/>
  <c r="K28" i="5"/>
  <c r="J28" i="5"/>
  <c r="I28" i="5"/>
  <c r="H28" i="5"/>
  <c r="G28" i="5"/>
  <c r="F28" i="5"/>
  <c r="E28" i="5"/>
  <c r="H19" i="5"/>
  <c r="H20" i="5" s="1"/>
  <c r="G19" i="5"/>
  <c r="G20" i="5" s="1"/>
  <c r="F19" i="5"/>
  <c r="F20" i="5" s="1"/>
  <c r="G34" i="5" l="1"/>
  <c r="G82" i="5" s="1"/>
  <c r="L34" i="5"/>
  <c r="L82" i="5" s="1"/>
  <c r="L90" i="5" s="1"/>
  <c r="F34" i="5"/>
  <c r="F82" i="5" s="1"/>
  <c r="F90" i="5" s="1"/>
  <c r="H34" i="5"/>
  <c r="H82" i="5" s="1"/>
  <c r="H90" i="5" s="1"/>
  <c r="J34" i="5"/>
  <c r="J82" i="5" s="1"/>
  <c r="J90" i="5" s="1"/>
  <c r="N82" i="5"/>
  <c r="N90" i="5" s="1"/>
  <c r="I34" i="5"/>
  <c r="I82" i="5" s="1"/>
  <c r="I90" i="5" s="1"/>
  <c r="M82" i="5"/>
  <c r="M90" i="5" s="1"/>
  <c r="K34" i="5"/>
  <c r="K82" i="5" s="1"/>
  <c r="K90" i="5" s="1"/>
  <c r="E34" i="5"/>
  <c r="E82" i="5" l="1"/>
  <c r="E90" i="5" s="1"/>
  <c r="G90" i="5"/>
  <c r="Q53" i="13" l="1"/>
  <c r="P53" i="13"/>
  <c r="O53" i="13"/>
  <c r="N52" i="13"/>
  <c r="N51" i="13"/>
  <c r="M50" i="13"/>
  <c r="N50" i="13" s="1"/>
  <c r="N49" i="13"/>
  <c r="N47" i="13"/>
  <c r="R42" i="13"/>
  <c r="Q42" i="13"/>
  <c r="P42" i="13"/>
  <c r="O42" i="13"/>
  <c r="N42" i="13"/>
  <c r="R36" i="13"/>
  <c r="Q36" i="13"/>
  <c r="P36" i="13"/>
  <c r="E34" i="13"/>
  <c r="E33" i="13"/>
  <c r="E32" i="13"/>
  <c r="A32" i="13"/>
  <c r="E31" i="13"/>
  <c r="N30" i="13"/>
  <c r="F77" i="13" s="1"/>
  <c r="N29" i="13"/>
  <c r="E29" i="13"/>
  <c r="Y28" i="13"/>
  <c r="Q28" i="13"/>
  <c r="P28" i="13"/>
  <c r="N28" i="13"/>
  <c r="E28" i="13"/>
  <c r="Y27" i="13"/>
  <c r="N27" i="13"/>
  <c r="E27" i="13"/>
  <c r="Z26" i="13"/>
  <c r="N26" i="13"/>
  <c r="E26" i="13"/>
  <c r="Z25" i="13"/>
  <c r="N25" i="13"/>
  <c r="D25" i="13" s="1"/>
  <c r="Z24" i="13"/>
  <c r="N24" i="13"/>
  <c r="E24" i="13"/>
  <c r="Q23" i="13"/>
  <c r="P23" i="13"/>
  <c r="N23" i="13"/>
  <c r="E23" i="13"/>
  <c r="Z22" i="13"/>
  <c r="L22" i="13"/>
  <c r="N22" i="13" s="1"/>
  <c r="F72" i="13" s="1"/>
  <c r="N21" i="13"/>
  <c r="N20" i="13"/>
  <c r="N19" i="13"/>
  <c r="Z18" i="13"/>
  <c r="N18" i="13"/>
  <c r="E18" i="13"/>
  <c r="C18" i="13"/>
  <c r="B18" i="13"/>
  <c r="A18" i="13"/>
  <c r="N17" i="13"/>
  <c r="D17" i="13"/>
  <c r="E17" i="13" s="1"/>
  <c r="N16" i="13"/>
  <c r="C16" i="13"/>
  <c r="A16" i="13"/>
  <c r="N15" i="13"/>
  <c r="C15" i="13"/>
  <c r="B15" i="13"/>
  <c r="A15" i="13"/>
  <c r="P14" i="13"/>
  <c r="M14" i="13"/>
  <c r="N14" i="13" s="1"/>
  <c r="E14" i="13"/>
  <c r="O13" i="13"/>
  <c r="O36" i="13" s="1"/>
  <c r="M13" i="13"/>
  <c r="M36" i="13" s="1"/>
  <c r="R12" i="13"/>
  <c r="R37" i="13" s="1"/>
  <c r="Q12" i="13"/>
  <c r="P12" i="13"/>
  <c r="O12" i="13"/>
  <c r="M12" i="13"/>
  <c r="L12" i="13"/>
  <c r="L37" i="13" s="1"/>
  <c r="L57" i="13" s="1"/>
  <c r="D12" i="13"/>
  <c r="N11" i="13"/>
  <c r="E11" i="13"/>
  <c r="N10" i="13"/>
  <c r="C10" i="13"/>
  <c r="A10" i="13"/>
  <c r="N9" i="13"/>
  <c r="N8" i="13"/>
  <c r="N7" i="13"/>
  <c r="R38" i="13" l="1"/>
  <c r="R55" i="13" s="1"/>
  <c r="M37" i="13"/>
  <c r="M38" i="13" s="1"/>
  <c r="F70" i="13"/>
  <c r="F75" i="13"/>
  <c r="Q34" i="13"/>
  <c r="Y29" i="13"/>
  <c r="D30" i="13"/>
  <c r="E30" i="13" s="1"/>
  <c r="L64" i="13"/>
  <c r="L65" i="13" s="1"/>
  <c r="L34" i="13"/>
  <c r="O11" i="13"/>
  <c r="P11" i="13" s="1"/>
  <c r="P37" i="13" s="1"/>
  <c r="P38" i="13" s="1"/>
  <c r="P55" i="13" s="1"/>
  <c r="M53" i="13"/>
  <c r="N53" i="13" s="1"/>
  <c r="F76" i="13"/>
  <c r="Z29" i="13"/>
  <c r="Q37" i="13"/>
  <c r="Q38" i="13" s="1"/>
  <c r="Q55" i="13" s="1"/>
  <c r="E25" i="13"/>
  <c r="A29" i="13" s="1"/>
  <c r="C29" i="13"/>
  <c r="L60" i="13"/>
  <c r="L62" i="13" s="1"/>
  <c r="E12" i="13"/>
  <c r="A14" i="13" s="1"/>
  <c r="R34" i="13"/>
  <c r="N13" i="13"/>
  <c r="N36" i="13" s="1"/>
  <c r="N12" i="13"/>
  <c r="M34" i="13"/>
  <c r="L36" i="13"/>
  <c r="L38" i="13" s="1"/>
  <c r="L55" i="13" s="1"/>
  <c r="M60" i="13" l="1"/>
  <c r="O34" i="13"/>
  <c r="D36" i="13"/>
  <c r="D38" i="13" s="1"/>
  <c r="P34" i="13"/>
  <c r="O37" i="13"/>
  <c r="O38" i="13" s="1"/>
  <c r="O55" i="13" s="1"/>
  <c r="N34" i="13"/>
  <c r="N37" i="13"/>
  <c r="N60" i="13" s="1"/>
  <c r="M55" i="13"/>
  <c r="F74" i="13"/>
  <c r="E36" i="13"/>
  <c r="D40" i="13" l="1"/>
  <c r="N38" i="13"/>
  <c r="S38" i="13" s="1"/>
  <c r="N57" i="13"/>
  <c r="F79" i="13"/>
  <c r="E40" i="13"/>
  <c r="E38" i="13"/>
  <c r="N55" i="13" l="1"/>
  <c r="G79" i="13"/>
  <c r="G78" i="13"/>
  <c r="G73" i="13"/>
  <c r="G71" i="13"/>
  <c r="G75" i="13"/>
  <c r="G72" i="13"/>
  <c r="G77" i="13"/>
  <c r="G70" i="13"/>
  <c r="G76" i="13"/>
  <c r="G74" i="13"/>
  <c r="M3" i="16" l="1"/>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 i="16"/>
  <c r="H14" i="17"/>
  <c r="L8965" i="14"/>
  <c r="AE4034" i="12" l="1"/>
  <c r="AD3324" i="12" l="1"/>
  <c r="AC3324" i="12"/>
  <c r="AA3324" i="12"/>
  <c r="Z3324" i="12"/>
  <c r="Y3324" i="12"/>
  <c r="X3324" i="12"/>
  <c r="W3324" i="12"/>
  <c r="S3324" i="12"/>
  <c r="R3324" i="12"/>
  <c r="Q3324" i="12"/>
  <c r="P3324" i="12"/>
  <c r="O3324" i="12"/>
  <c r="K3324" i="12"/>
  <c r="J3324" i="12"/>
  <c r="I3324" i="12"/>
  <c r="H3324" i="12"/>
  <c r="G3324" i="12"/>
  <c r="F3324" i="12"/>
  <c r="E3324" i="12"/>
  <c r="D3324" i="12"/>
  <c r="AE1582" i="12" l="1"/>
  <c r="AF1582" i="12" s="1"/>
  <c r="AG1582" i="12" s="1"/>
  <c r="V1582" i="12"/>
  <c r="U1582" i="12"/>
  <c r="T1582" i="12"/>
  <c r="N1582" i="12"/>
  <c r="M1582" i="12"/>
  <c r="L1582" i="12"/>
  <c r="A1573" i="12"/>
  <c r="A1572" i="12"/>
  <c r="A1571" i="12"/>
  <c r="A1570" i="12"/>
  <c r="A1569" i="12"/>
  <c r="A1568" i="12"/>
  <c r="A1567" i="12"/>
  <c r="A1519" i="12"/>
  <c r="A1503" i="12"/>
  <c r="A1488" i="12"/>
  <c r="A1473" i="12"/>
  <c r="A1454" i="12"/>
  <c r="A1436" i="12"/>
  <c r="AE1408" i="12"/>
  <c r="AF1408" i="12" s="1"/>
  <c r="AG1408" i="12" s="1"/>
  <c r="V1408" i="12"/>
  <c r="U1408" i="12"/>
  <c r="T1408" i="12"/>
  <c r="N1408" i="12"/>
  <c r="M1408" i="12"/>
  <c r="L1408" i="12"/>
  <c r="A1399" i="12"/>
  <c r="A1398" i="12"/>
  <c r="A1397" i="12"/>
  <c r="A1396" i="12"/>
  <c r="A1395" i="12"/>
  <c r="A1394" i="12"/>
  <c r="A1393" i="12"/>
  <c r="A1345" i="12"/>
  <c r="A1329" i="12"/>
  <c r="A1314" i="12"/>
  <c r="A1299" i="12"/>
  <c r="A1280" i="12"/>
  <c r="A1262" i="12"/>
  <c r="AD3851" i="12" l="1"/>
  <c r="AC3851" i="12"/>
  <c r="AD3499" i="12"/>
  <c r="AC3499" i="12"/>
  <c r="AE1060" i="12" l="1"/>
  <c r="AF1060" i="12" s="1"/>
  <c r="AG1060" i="12" s="1"/>
  <c r="V1060" i="12"/>
  <c r="U1060" i="12"/>
  <c r="T1060" i="12"/>
  <c r="N1060" i="12"/>
  <c r="M1060" i="12"/>
  <c r="L1060" i="12"/>
  <c r="A1051" i="12"/>
  <c r="A1050" i="12"/>
  <c r="A1049" i="12"/>
  <c r="A1048" i="12"/>
  <c r="A1047" i="12"/>
  <c r="A1046" i="12"/>
  <c r="A1045" i="12"/>
  <c r="A997" i="12"/>
  <c r="A981" i="12"/>
  <c r="A966" i="12"/>
  <c r="A951" i="12"/>
  <c r="A932" i="12"/>
  <c r="A914" i="12"/>
  <c r="AE1234" i="12"/>
  <c r="AF1234" i="12" s="1"/>
  <c r="V1234" i="12"/>
  <c r="U1234" i="12"/>
  <c r="T1234" i="12"/>
  <c r="N1234" i="12"/>
  <c r="M1234" i="12"/>
  <c r="L1234" i="12"/>
  <c r="A1225" i="12"/>
  <c r="A1224" i="12"/>
  <c r="A1223" i="12"/>
  <c r="A1222" i="12"/>
  <c r="A1221" i="12"/>
  <c r="A1220" i="12"/>
  <c r="A1219" i="12"/>
  <c r="A1171" i="12"/>
  <c r="A1155" i="12"/>
  <c r="A1140" i="12"/>
  <c r="A1125" i="12"/>
  <c r="A1106" i="12"/>
  <c r="A1088" i="12"/>
  <c r="AD4217" i="12"/>
  <c r="AC4217" i="12"/>
  <c r="AA4217" i="12"/>
  <c r="Z4217" i="12"/>
  <c r="Y4217" i="12"/>
  <c r="AE4214" i="12"/>
  <c r="AF4214" i="12" s="1"/>
  <c r="AG4214" i="12" s="1"/>
  <c r="AG4217" i="12" s="1"/>
  <c r="AF4034" i="12"/>
  <c r="AG4034" i="12" s="1"/>
  <c r="AD3856" i="12"/>
  <c r="AC3856" i="12"/>
  <c r="AA3856" i="12"/>
  <c r="Z3856" i="12"/>
  <c r="Y3856" i="12"/>
  <c r="AE3853" i="12"/>
  <c r="AE3851" i="12" s="1"/>
  <c r="AE3676" i="12"/>
  <c r="AF3676" i="12" s="1"/>
  <c r="AG3676" i="12" s="1"/>
  <c r="AE3501" i="12"/>
  <c r="AD186" i="12"/>
  <c r="AD187" i="12" s="1"/>
  <c r="AC186" i="12"/>
  <c r="AE3322" i="12"/>
  <c r="AF3322" i="12" s="1"/>
  <c r="AG3322" i="12" s="1"/>
  <c r="AE3148" i="12"/>
  <c r="AF3148" i="12" s="1"/>
  <c r="AG3148" i="12" s="1"/>
  <c r="AE2974" i="12"/>
  <c r="AF2974" i="12" s="1"/>
  <c r="AG2974" i="12" s="1"/>
  <c r="AE2800" i="12"/>
  <c r="AF2800" i="12" s="1"/>
  <c r="AG2800" i="12" s="1"/>
  <c r="AE2626" i="12"/>
  <c r="AF2626" i="12" s="1"/>
  <c r="AG2626" i="12" s="1"/>
  <c r="AE2452" i="12"/>
  <c r="AF2452" i="12" s="1"/>
  <c r="AG2452" i="12" s="1"/>
  <c r="AE2278" i="12"/>
  <c r="AF2278" i="12" s="1"/>
  <c r="AG2278" i="12" s="1"/>
  <c r="AE2104" i="12"/>
  <c r="AF2104" i="12" s="1"/>
  <c r="AG2104" i="12" s="1"/>
  <c r="AE1930" i="12"/>
  <c r="AF1930" i="12" s="1"/>
  <c r="AG1930" i="12" s="1"/>
  <c r="AE1756" i="12"/>
  <c r="AF1756" i="12" s="1"/>
  <c r="AG1756" i="12" s="1"/>
  <c r="AE886" i="12"/>
  <c r="AF886" i="12" s="1"/>
  <c r="AG886" i="12" s="1"/>
  <c r="AE712" i="12"/>
  <c r="AF712" i="12" s="1"/>
  <c r="AG712" i="12" s="1"/>
  <c r="AE538" i="12"/>
  <c r="AF538" i="12" s="1"/>
  <c r="AG538" i="12" s="1"/>
  <c r="AE364" i="12"/>
  <c r="AE185" i="12"/>
  <c r="AF185" i="12" s="1"/>
  <c r="AG185" i="12" s="1"/>
  <c r="V185" i="12"/>
  <c r="AA189" i="12"/>
  <c r="Z189" i="12"/>
  <c r="Y189" i="12"/>
  <c r="AE3324" i="12" l="1"/>
  <c r="AF3853" i="12"/>
  <c r="AF3501" i="12"/>
  <c r="AE3499" i="12"/>
  <c r="AE3856" i="12" s="1"/>
  <c r="Z3858" i="12"/>
  <c r="Z4036" i="12" s="1"/>
  <c r="Z4219" i="12" s="1"/>
  <c r="AE4217" i="12"/>
  <c r="AF364" i="12"/>
  <c r="Y3858" i="12"/>
  <c r="Y4036" i="12" s="1"/>
  <c r="Y4219" i="12" s="1"/>
  <c r="AA3858" i="12"/>
  <c r="AA4036" i="12" s="1"/>
  <c r="AA4219" i="12" s="1"/>
  <c r="AF4217" i="12"/>
  <c r="AG1234" i="12"/>
  <c r="AD189" i="12"/>
  <c r="AD3858" i="12" s="1"/>
  <c r="AD4036" i="12" s="1"/>
  <c r="AD4219" i="12" s="1"/>
  <c r="AG364" i="12" l="1"/>
  <c r="AG3324" i="12" s="1"/>
  <c r="AF3324" i="12"/>
  <c r="AG3501" i="12"/>
  <c r="AG3499" i="12" s="1"/>
  <c r="AF3499" i="12"/>
  <c r="AG3853" i="12"/>
  <c r="AG3851" i="12" s="1"/>
  <c r="AF3851" i="12"/>
  <c r="AF3856" i="12" l="1"/>
  <c r="AG3856" i="12"/>
  <c r="X3499" i="12" l="1"/>
  <c r="W3499" i="12"/>
  <c r="S3499" i="12"/>
  <c r="R3499" i="12"/>
  <c r="Q3499" i="12"/>
  <c r="P3499" i="12"/>
  <c r="O3499" i="12"/>
  <c r="K3499" i="12"/>
  <c r="J3499" i="12"/>
  <c r="I3499" i="12"/>
  <c r="H3499" i="12"/>
  <c r="G3499" i="12"/>
  <c r="F3499" i="12"/>
  <c r="E3499" i="12"/>
  <c r="D3499" i="12"/>
  <c r="V3676" i="12"/>
  <c r="U3676" i="12"/>
  <c r="T3676" i="12"/>
  <c r="N3676" i="12"/>
  <c r="M3676" i="12"/>
  <c r="L3676" i="12"/>
  <c r="A3666" i="12"/>
  <c r="A3665" i="12"/>
  <c r="A3664" i="12"/>
  <c r="A3663" i="12"/>
  <c r="A3662" i="12"/>
  <c r="A3661" i="12"/>
  <c r="A3660" i="12"/>
  <c r="A3612" i="12"/>
  <c r="A3596" i="12"/>
  <c r="A3581" i="12"/>
  <c r="A3566" i="12"/>
  <c r="A3547" i="12"/>
  <c r="A3529" i="12"/>
  <c r="X4217" i="12" l="1"/>
  <c r="W4217" i="12"/>
  <c r="S4217" i="12"/>
  <c r="R4217" i="12"/>
  <c r="Q4217" i="12"/>
  <c r="P4217" i="12"/>
  <c r="O4217" i="12"/>
  <c r="K4217" i="12"/>
  <c r="J4217" i="12"/>
  <c r="I4217" i="12"/>
  <c r="H4217" i="12"/>
  <c r="G4217" i="12"/>
  <c r="F4217" i="12"/>
  <c r="E4217" i="12"/>
  <c r="D4217" i="12"/>
  <c r="V4214" i="12"/>
  <c r="U4214" i="12"/>
  <c r="T4214" i="12"/>
  <c r="N4214" i="12"/>
  <c r="M4214" i="12"/>
  <c r="L4214" i="12"/>
  <c r="A4202" i="12"/>
  <c r="A4201" i="12"/>
  <c r="A4200" i="12"/>
  <c r="A4199" i="12"/>
  <c r="A4198" i="12"/>
  <c r="A4197" i="12"/>
  <c r="A4196" i="12"/>
  <c r="A4148" i="12"/>
  <c r="A4132" i="12"/>
  <c r="A4117" i="12"/>
  <c r="A4102" i="12"/>
  <c r="A4083" i="12"/>
  <c r="A4065" i="12"/>
  <c r="V2452" i="12"/>
  <c r="U2452" i="12"/>
  <c r="T2452" i="12"/>
  <c r="N2452" i="12"/>
  <c r="M2452" i="12"/>
  <c r="L2452" i="12"/>
  <c r="A2443" i="12"/>
  <c r="A2442" i="12"/>
  <c r="A2441" i="12"/>
  <c r="A2440" i="12"/>
  <c r="A2439" i="12"/>
  <c r="A2438" i="12"/>
  <c r="A2437" i="12"/>
  <c r="A2389" i="12"/>
  <c r="A2373" i="12"/>
  <c r="A2358" i="12"/>
  <c r="A2343" i="12"/>
  <c r="A2324" i="12"/>
  <c r="A2306" i="12"/>
  <c r="V4217" i="12" l="1"/>
  <c r="N4217" i="12"/>
  <c r="M4217" i="12"/>
  <c r="L4217" i="12"/>
  <c r="U4217" i="12"/>
  <c r="T4217" i="12"/>
  <c r="X189" i="12" l="1"/>
  <c r="W189" i="12"/>
  <c r="S189" i="12"/>
  <c r="R189" i="12"/>
  <c r="Q189" i="12"/>
  <c r="P189" i="12"/>
  <c r="O189" i="12"/>
  <c r="K189" i="12"/>
  <c r="J189" i="12"/>
  <c r="I189" i="12"/>
  <c r="H189" i="12"/>
  <c r="G189" i="12"/>
  <c r="F189" i="12"/>
  <c r="E189" i="12"/>
  <c r="D189" i="12"/>
  <c r="V4034" i="12"/>
  <c r="U4034" i="12"/>
  <c r="T4034" i="12"/>
  <c r="N4034" i="12"/>
  <c r="M4034" i="12"/>
  <c r="L4034" i="12"/>
  <c r="A4024" i="12"/>
  <c r="A4023" i="12"/>
  <c r="A4022" i="12"/>
  <c r="A4021" i="12"/>
  <c r="A4020" i="12"/>
  <c r="A4019" i="12"/>
  <c r="A4018" i="12"/>
  <c r="A3970" i="12"/>
  <c r="A3954" i="12"/>
  <c r="A3939" i="12"/>
  <c r="A3924" i="12"/>
  <c r="A3905" i="12"/>
  <c r="A3887" i="12"/>
  <c r="X3851" i="12"/>
  <c r="W3851" i="12"/>
  <c r="S3851" i="12"/>
  <c r="R3851" i="12"/>
  <c r="Q3851" i="12"/>
  <c r="P3851" i="12"/>
  <c r="O3851" i="12"/>
  <c r="K3851" i="12"/>
  <c r="J3851" i="12"/>
  <c r="I3851" i="12"/>
  <c r="H3851" i="12"/>
  <c r="G3851" i="12"/>
  <c r="F3851" i="12"/>
  <c r="E3851" i="12"/>
  <c r="D3851" i="12"/>
  <c r="A165" i="12"/>
  <c r="A3841" i="12"/>
  <c r="A3490" i="12"/>
  <c r="A3313" i="12"/>
  <c r="A3139" i="12"/>
  <c r="A2965" i="12"/>
  <c r="A2791" i="12"/>
  <c r="A2617" i="12"/>
  <c r="A2269" i="12"/>
  <c r="A2095" i="12"/>
  <c r="A1921" i="12"/>
  <c r="A1747" i="12"/>
  <c r="A877" i="12"/>
  <c r="A703" i="12"/>
  <c r="A529" i="12"/>
  <c r="A355" i="12"/>
  <c r="S3856" i="12" l="1"/>
  <c r="Q3856" i="12"/>
  <c r="J3856" i="12"/>
  <c r="X3856" i="12"/>
  <c r="X3858" i="12" s="1"/>
  <c r="X4036" i="12" s="1"/>
  <c r="X4219" i="12" s="1"/>
  <c r="O3856" i="12"/>
  <c r="W3856" i="12"/>
  <c r="G3856" i="12"/>
  <c r="R3856" i="12"/>
  <c r="K3856" i="12"/>
  <c r="E3856" i="12"/>
  <c r="P3856" i="12"/>
  <c r="D3856" i="12"/>
  <c r="D3858" i="12" s="1"/>
  <c r="D4036" i="12" s="1"/>
  <c r="D4219" i="12" s="1"/>
  <c r="F3856" i="12"/>
  <c r="H3856" i="12"/>
  <c r="I3856" i="12"/>
  <c r="A3704" i="12"/>
  <c r="A3722" i="12"/>
  <c r="A3741" i="12"/>
  <c r="A3756" i="12"/>
  <c r="A3771" i="12"/>
  <c r="A3787" i="12"/>
  <c r="A3835" i="12"/>
  <c r="A3836" i="12"/>
  <c r="A3837" i="12"/>
  <c r="A3838" i="12"/>
  <c r="A3839" i="12"/>
  <c r="A3840" i="12"/>
  <c r="L3853" i="12"/>
  <c r="M3853" i="12"/>
  <c r="N3853" i="12"/>
  <c r="T3853" i="12"/>
  <c r="U3853" i="12"/>
  <c r="V3853" i="12"/>
  <c r="H3858" i="12" l="1"/>
  <c r="H4036" i="12" s="1"/>
  <c r="H4219" i="12" s="1"/>
  <c r="O3858" i="12"/>
  <c r="R3858" i="12"/>
  <c r="E3858" i="12"/>
  <c r="E4036" i="12" s="1"/>
  <c r="E4219" i="12" s="1"/>
  <c r="S3858" i="12"/>
  <c r="P3858" i="12"/>
  <c r="P4036" i="12" s="1"/>
  <c r="P4219" i="12" s="1"/>
  <c r="Q3858" i="12"/>
  <c r="Q4036" i="12" s="1"/>
  <c r="Q4219" i="12" s="1"/>
  <c r="J3858" i="12"/>
  <c r="J4036" i="12" s="1"/>
  <c r="J4219" i="12" s="1"/>
  <c r="I3858" i="12"/>
  <c r="I4036" i="12" s="1"/>
  <c r="I4219" i="12" s="1"/>
  <c r="W3858" i="12"/>
  <c r="G3858" i="12"/>
  <c r="G4036" i="12" s="1"/>
  <c r="G4219" i="12" s="1"/>
  <c r="K3858" i="12"/>
  <c r="K4036" i="12" s="1"/>
  <c r="K4219" i="12" s="1"/>
  <c r="F3858" i="12"/>
  <c r="F4036" i="12" s="1"/>
  <c r="F4219" i="12" s="1"/>
  <c r="N3856" i="12"/>
  <c r="M3856" i="12"/>
  <c r="U3856" i="12"/>
  <c r="L3856" i="12"/>
  <c r="V3856" i="12"/>
  <c r="T3856" i="12"/>
  <c r="N3851" i="12"/>
  <c r="V3851" i="12"/>
  <c r="U3851" i="12"/>
  <c r="M3851" i="12"/>
  <c r="T3499" i="12"/>
  <c r="T3851" i="12"/>
  <c r="L3851" i="12"/>
  <c r="T3324" i="12"/>
  <c r="U3499" i="12"/>
  <c r="V3499" i="12"/>
  <c r="M3499" i="12"/>
  <c r="N3499" i="12"/>
  <c r="L3324" i="12"/>
  <c r="U3324" i="12"/>
  <c r="N3324" i="12"/>
  <c r="M3324" i="12"/>
  <c r="V3324" i="12"/>
  <c r="L4219" i="12" l="1"/>
  <c r="M3858" i="12"/>
  <c r="V3858" i="12"/>
  <c r="W4036" i="12"/>
  <c r="W4219" i="12" s="1"/>
  <c r="L4036" i="12"/>
  <c r="T3858" i="12"/>
  <c r="S4036" i="12"/>
  <c r="S4219" i="12" s="1"/>
  <c r="U3858" i="12"/>
  <c r="R4036" i="12"/>
  <c r="R4219" i="12" s="1"/>
  <c r="N3858" i="12"/>
  <c r="O4036" i="12"/>
  <c r="O4219" i="12" s="1"/>
  <c r="L3858" i="12"/>
  <c r="V4219" i="12" l="1"/>
  <c r="M4219" i="12"/>
  <c r="N4219" i="12"/>
  <c r="U4219" i="12"/>
  <c r="T4219" i="12"/>
  <c r="V4036" i="12"/>
  <c r="U4036" i="12"/>
  <c r="T4036" i="12"/>
  <c r="M4036" i="12"/>
  <c r="N4036" i="12"/>
  <c r="V3501" i="12" l="1"/>
  <c r="U3501" i="12"/>
  <c r="T3501" i="12"/>
  <c r="N3501" i="12"/>
  <c r="M3501" i="12"/>
  <c r="L3501" i="12"/>
  <c r="L3499" i="12" s="1"/>
  <c r="A3489" i="12"/>
  <c r="A3488" i="12"/>
  <c r="A3487" i="12"/>
  <c r="A3486" i="12"/>
  <c r="A3485" i="12"/>
  <c r="A3484" i="12"/>
  <c r="A3436" i="12"/>
  <c r="A3420" i="12"/>
  <c r="A3405" i="12"/>
  <c r="A3390" i="12"/>
  <c r="A3371" i="12"/>
  <c r="A3353" i="12"/>
  <c r="V3322" i="12"/>
  <c r="U3322" i="12"/>
  <c r="T3322" i="12"/>
  <c r="N3322" i="12"/>
  <c r="M3322" i="12"/>
  <c r="L3322" i="12"/>
  <c r="A3312" i="12"/>
  <c r="A3311" i="12"/>
  <c r="A3310" i="12"/>
  <c r="A3309" i="12"/>
  <c r="A3308" i="12"/>
  <c r="A3307" i="12"/>
  <c r="A3259" i="12"/>
  <c r="A3243" i="12"/>
  <c r="A3228" i="12"/>
  <c r="A3213" i="12"/>
  <c r="A3194" i="12"/>
  <c r="A3176" i="12"/>
  <c r="V3148" i="12"/>
  <c r="U3148" i="12"/>
  <c r="T3148" i="12"/>
  <c r="N3148" i="12"/>
  <c r="M3148" i="12"/>
  <c r="L3148" i="12"/>
  <c r="A3138" i="12"/>
  <c r="A3137" i="12"/>
  <c r="A3136" i="12"/>
  <c r="A3135" i="12"/>
  <c r="A3134" i="12"/>
  <c r="A3133" i="12"/>
  <c r="A3085" i="12"/>
  <c r="A3069" i="12"/>
  <c r="A3054" i="12"/>
  <c r="A3039" i="12"/>
  <c r="A3020" i="12"/>
  <c r="A3002" i="12"/>
  <c r="V2974" i="12"/>
  <c r="U2974" i="12"/>
  <c r="T2974" i="12"/>
  <c r="N2974" i="12"/>
  <c r="M2974" i="12"/>
  <c r="L2974" i="12"/>
  <c r="A2964" i="12"/>
  <c r="A2963" i="12"/>
  <c r="A2962" i="12"/>
  <c r="A2961" i="12"/>
  <c r="A2960" i="12"/>
  <c r="A2959" i="12"/>
  <c r="A2911" i="12"/>
  <c r="A2895" i="12"/>
  <c r="A2880" i="12"/>
  <c r="A2865" i="12"/>
  <c r="B2846" i="12"/>
  <c r="B2828" i="12"/>
  <c r="V2800" i="12" l="1"/>
  <c r="U2800" i="12"/>
  <c r="T2800" i="12"/>
  <c r="N2800" i="12"/>
  <c r="M2800" i="12"/>
  <c r="L2800" i="12"/>
  <c r="A2790" i="12"/>
  <c r="A2789" i="12"/>
  <c r="A2788" i="12"/>
  <c r="A2787" i="12"/>
  <c r="A2786" i="12"/>
  <c r="A2785" i="12"/>
  <c r="A2737" i="12"/>
  <c r="A2721" i="12"/>
  <c r="A2706" i="12"/>
  <c r="A2691" i="12"/>
  <c r="A2672" i="12"/>
  <c r="A2654" i="12"/>
  <c r="V2626" i="12"/>
  <c r="U2626" i="12"/>
  <c r="T2626" i="12"/>
  <c r="N2626" i="12"/>
  <c r="M2626" i="12"/>
  <c r="L2626" i="12"/>
  <c r="A2616" i="12"/>
  <c r="A2615" i="12"/>
  <c r="A2614" i="12"/>
  <c r="A2613" i="12"/>
  <c r="A2612" i="12"/>
  <c r="A2611" i="12"/>
  <c r="A2563" i="12"/>
  <c r="A2547" i="12"/>
  <c r="A2532" i="12"/>
  <c r="A2517" i="12"/>
  <c r="A2498" i="12"/>
  <c r="A2480" i="12"/>
  <c r="V2278" i="12"/>
  <c r="U2278" i="12"/>
  <c r="T2278" i="12"/>
  <c r="N2278" i="12"/>
  <c r="M2278" i="12"/>
  <c r="L2278" i="12"/>
  <c r="A2268" i="12"/>
  <c r="A2267" i="12"/>
  <c r="A2266" i="12"/>
  <c r="A2265" i="12"/>
  <c r="A2264" i="12"/>
  <c r="A2263" i="12"/>
  <c r="A2215" i="12"/>
  <c r="A2199" i="12"/>
  <c r="A2184" i="12"/>
  <c r="A2169" i="12"/>
  <c r="A2150" i="12"/>
  <c r="A2132" i="12"/>
  <c r="V2104" i="12"/>
  <c r="U2104" i="12"/>
  <c r="T2104" i="12"/>
  <c r="N2104" i="12"/>
  <c r="M2104" i="12"/>
  <c r="L2104" i="12"/>
  <c r="A2094" i="12"/>
  <c r="A2093" i="12"/>
  <c r="A2092" i="12"/>
  <c r="A2091" i="12"/>
  <c r="A2090" i="12"/>
  <c r="A2089" i="12"/>
  <c r="A2041" i="12"/>
  <c r="A2025" i="12"/>
  <c r="A2010" i="12"/>
  <c r="A1995" i="12"/>
  <c r="A1976" i="12"/>
  <c r="A1958" i="12"/>
  <c r="V1930" i="12" l="1"/>
  <c r="U1930" i="12"/>
  <c r="T1930" i="12"/>
  <c r="N1930" i="12"/>
  <c r="M1930" i="12"/>
  <c r="L1930" i="12"/>
  <c r="A1920" i="12"/>
  <c r="A1919" i="12"/>
  <c r="A1918" i="12"/>
  <c r="A1917" i="12"/>
  <c r="A1916" i="12"/>
  <c r="A1915" i="12"/>
  <c r="A1867" i="12"/>
  <c r="A1851" i="12"/>
  <c r="A1836" i="12"/>
  <c r="A1821" i="12"/>
  <c r="A1802" i="12"/>
  <c r="A1784" i="12"/>
  <c r="V1756" i="12"/>
  <c r="U1756" i="12"/>
  <c r="T1756" i="12"/>
  <c r="N1756" i="12"/>
  <c r="M1756" i="12"/>
  <c r="L1756" i="12"/>
  <c r="A1746" i="12"/>
  <c r="A1745" i="12"/>
  <c r="A1744" i="12"/>
  <c r="A1743" i="12"/>
  <c r="A1742" i="12"/>
  <c r="A1741" i="12"/>
  <c r="A1693" i="12"/>
  <c r="A1677" i="12"/>
  <c r="A1662" i="12"/>
  <c r="A1647" i="12"/>
  <c r="A1628" i="12"/>
  <c r="A1610" i="12"/>
  <c r="V886" i="12"/>
  <c r="U886" i="12"/>
  <c r="T886" i="12"/>
  <c r="N886" i="12"/>
  <c r="M886" i="12"/>
  <c r="L886" i="12"/>
  <c r="A876" i="12"/>
  <c r="A875" i="12"/>
  <c r="A874" i="12"/>
  <c r="A873" i="12"/>
  <c r="A872" i="12"/>
  <c r="A871" i="12"/>
  <c r="A823" i="12"/>
  <c r="A807" i="12"/>
  <c r="A792" i="12"/>
  <c r="A777" i="12"/>
  <c r="A758" i="12"/>
  <c r="A740" i="12"/>
  <c r="V712" i="12"/>
  <c r="U712" i="12"/>
  <c r="T712" i="12"/>
  <c r="N712" i="12"/>
  <c r="M712" i="12"/>
  <c r="L712" i="12"/>
  <c r="A702" i="12"/>
  <c r="A701" i="12"/>
  <c r="A700" i="12"/>
  <c r="A699" i="12"/>
  <c r="A698" i="12"/>
  <c r="A697" i="12"/>
  <c r="A649" i="12"/>
  <c r="A633" i="12"/>
  <c r="A618" i="12"/>
  <c r="A603" i="12"/>
  <c r="A584" i="12"/>
  <c r="A566" i="12"/>
  <c r="V538" i="12"/>
  <c r="U538" i="12"/>
  <c r="T538" i="12"/>
  <c r="N538" i="12"/>
  <c r="M538" i="12"/>
  <c r="L538" i="12"/>
  <c r="A528" i="12"/>
  <c r="A527" i="12"/>
  <c r="A526" i="12"/>
  <c r="A525" i="12"/>
  <c r="A524" i="12"/>
  <c r="A523" i="12"/>
  <c r="A475" i="12"/>
  <c r="A459" i="12"/>
  <c r="A444" i="12"/>
  <c r="A429" i="12"/>
  <c r="A410" i="12"/>
  <c r="A392" i="12"/>
  <c r="A354" i="12"/>
  <c r="A353" i="12"/>
  <c r="A352" i="12"/>
  <c r="A351" i="12"/>
  <c r="A350" i="12"/>
  <c r="A349" i="12"/>
  <c r="A164" i="12"/>
  <c r="A163" i="12"/>
  <c r="A162" i="12"/>
  <c r="A161" i="12"/>
  <c r="A160" i="12"/>
  <c r="A159" i="12"/>
  <c r="V364" i="12"/>
  <c r="U364" i="12"/>
  <c r="T364" i="12"/>
  <c r="N364" i="12"/>
  <c r="M364" i="12"/>
  <c r="L364" i="12"/>
  <c r="A301" i="12"/>
  <c r="A285" i="12"/>
  <c r="A270" i="12"/>
  <c r="A255" i="12"/>
  <c r="A236" i="12"/>
  <c r="A218" i="12"/>
  <c r="H3" i="3" l="1"/>
  <c r="D174" i="12"/>
  <c r="D173" i="12"/>
  <c r="D172" i="12"/>
  <c r="D171" i="12"/>
  <c r="D170" i="12"/>
  <c r="H2" i="3"/>
  <c r="A3449" i="12" l="1"/>
  <c r="A2054" i="12"/>
  <c r="A662" i="12"/>
  <c r="A124" i="12"/>
  <c r="A3272" i="12"/>
  <c r="A1880" i="12"/>
  <c r="A488" i="12"/>
  <c r="A2228" i="12"/>
  <c r="A3098" i="12"/>
  <c r="A1706" i="12"/>
  <c r="A314" i="12"/>
  <c r="A1532" i="12"/>
  <c r="A3625" i="12"/>
  <c r="A2924" i="12"/>
  <c r="A4161" i="12"/>
  <c r="A2750" i="12"/>
  <c r="A1358" i="12"/>
  <c r="A836" i="12"/>
  <c r="A3983" i="12"/>
  <c r="A2576" i="12"/>
  <c r="A1184" i="12"/>
  <c r="A3800" i="12"/>
  <c r="A2402" i="12"/>
  <c r="A1010" i="12"/>
  <c r="A4192" i="12"/>
  <c r="A3480" i="12"/>
  <c r="A2781" i="12"/>
  <c r="A2085" i="12"/>
  <c r="A1389" i="12"/>
  <c r="A693" i="12"/>
  <c r="A4176" i="12"/>
  <c r="A2765" i="12"/>
  <c r="A1373" i="12"/>
  <c r="A1033" i="12"/>
  <c r="A1895" i="12"/>
  <c r="A1555" i="12"/>
  <c r="A4184" i="12"/>
  <c r="A3472" i="12"/>
  <c r="A2773" i="12"/>
  <c r="A2077" i="12"/>
  <c r="A1381" i="12"/>
  <c r="A685" i="12"/>
  <c r="A3998" i="12"/>
  <c r="A2591" i="12"/>
  <c r="A1199" i="12"/>
  <c r="A1729" i="12"/>
  <c r="A3287" i="12"/>
  <c r="A2939" i="12"/>
  <c r="A4014" i="12"/>
  <c r="A3303" i="12"/>
  <c r="A2607" i="12"/>
  <c r="A1911" i="12"/>
  <c r="A1215" i="12"/>
  <c r="A519" i="12"/>
  <c r="A3815" i="12"/>
  <c r="A2417" i="12"/>
  <c r="A1025" i="12"/>
  <c r="A3823" i="12"/>
  <c r="A337" i="12"/>
  <c r="A859" i="12"/>
  <c r="A4006" i="12"/>
  <c r="A3295" i="12"/>
  <c r="A2599" i="12"/>
  <c r="A1903" i="12"/>
  <c r="A1207" i="12"/>
  <c r="A511" i="12"/>
  <c r="A3640" i="12"/>
  <c r="A2243" i="12"/>
  <c r="A851" i="12"/>
  <c r="A3121" i="12"/>
  <c r="A2251" i="12"/>
  <c r="A139" i="12"/>
  <c r="A3831" i="12"/>
  <c r="A3129" i="12"/>
  <c r="A2433" i="12"/>
  <c r="A1737" i="12"/>
  <c r="A1041" i="12"/>
  <c r="A345" i="12"/>
  <c r="A3464" i="12"/>
  <c r="A2069" i="12"/>
  <c r="A677" i="12"/>
  <c r="A2425" i="12"/>
  <c r="A503" i="12"/>
  <c r="A147" i="12"/>
  <c r="A3656" i="12"/>
  <c r="A2955" i="12"/>
  <c r="A2259" i="12"/>
  <c r="A1563" i="12"/>
  <c r="A867" i="12"/>
  <c r="A155" i="12"/>
  <c r="A3113" i="12"/>
  <c r="A1721" i="12"/>
  <c r="A329" i="12"/>
  <c r="A3648" i="12"/>
  <c r="A2947" i="12"/>
  <c r="A1547" i="12"/>
  <c r="A3940" i="12"/>
  <c r="A2533" i="12"/>
  <c r="A1141" i="12"/>
  <c r="A3935" i="12"/>
  <c r="A2528" i="12"/>
  <c r="A1136" i="12"/>
  <c r="A3909" i="12"/>
  <c r="A2502" i="12"/>
  <c r="A1110" i="12"/>
  <c r="A4084" i="12"/>
  <c r="A3372" i="12"/>
  <c r="A2673" i="12"/>
  <c r="A1977" i="12"/>
  <c r="A1281" i="12"/>
  <c r="A585" i="12"/>
  <c r="A4078" i="12"/>
  <c r="A3366" i="12"/>
  <c r="A2667" i="12"/>
  <c r="A1971" i="12"/>
  <c r="A1275" i="12"/>
  <c r="A579" i="12"/>
  <c r="A3707" i="12"/>
  <c r="A2309" i="12"/>
  <c r="A917" i="12"/>
  <c r="A4066" i="12"/>
  <c r="A3567" i="12"/>
  <c r="A3070" i="12"/>
  <c r="A2655" i="12"/>
  <c r="A2170" i="12"/>
  <c r="A1678" i="12"/>
  <c r="A1263" i="12"/>
  <c r="A778" i="12"/>
  <c r="A286" i="12"/>
  <c r="A4061" i="12"/>
  <c r="A3562" i="12"/>
  <c r="A3065" i="12"/>
  <c r="A2650" i="12"/>
  <c r="A2165" i="12"/>
  <c r="A1673" i="12"/>
  <c r="A1258" i="12"/>
  <c r="A773" i="12"/>
  <c r="A281" i="12"/>
  <c r="A3876" i="12"/>
  <c r="A3165" i="12"/>
  <c r="A2469" i="12"/>
  <c r="A1773" i="12"/>
  <c r="A1077" i="12"/>
  <c r="A381" i="12"/>
  <c r="A4087" i="12"/>
  <c r="A2036" i="12"/>
  <c r="A3597" i="12"/>
  <c r="A393" i="12"/>
  <c r="A1295" i="12"/>
  <c r="A3757" i="12"/>
  <c r="A2359" i="12"/>
  <c r="A967" i="12"/>
  <c r="A3752" i="12"/>
  <c r="A2354" i="12"/>
  <c r="A962" i="12"/>
  <c r="A3726" i="12"/>
  <c r="A2328" i="12"/>
  <c r="A936" i="12"/>
  <c r="A3971" i="12"/>
  <c r="A3260" i="12"/>
  <c r="A2564" i="12"/>
  <c r="A1868" i="12"/>
  <c r="A1172" i="12"/>
  <c r="A476" i="12"/>
  <c r="A3965" i="12"/>
  <c r="A3254" i="12"/>
  <c r="A2558" i="12"/>
  <c r="A1862" i="12"/>
  <c r="A1166" i="12"/>
  <c r="A470" i="12"/>
  <c r="A3532" i="12"/>
  <c r="A2135" i="12"/>
  <c r="A743" i="12"/>
  <c r="A3955" i="12"/>
  <c r="A3530" i="12"/>
  <c r="A3040" i="12"/>
  <c r="A2548" i="12"/>
  <c r="A2133" i="12"/>
  <c r="A1648" i="12"/>
  <c r="A1156" i="12"/>
  <c r="A741" i="12"/>
  <c r="A256" i="12"/>
  <c r="A3950" i="12"/>
  <c r="A3525" i="12"/>
  <c r="A3035" i="12"/>
  <c r="A2543" i="12"/>
  <c r="A2128" i="12"/>
  <c r="A1643" i="12"/>
  <c r="A1151" i="12"/>
  <c r="A736" i="12"/>
  <c r="A251" i="12"/>
  <c r="A2702" i="12"/>
  <c r="A3437" i="12"/>
  <c r="A3431" i="12"/>
  <c r="A1091" i="12"/>
  <c r="A1300" i="12"/>
  <c r="A3172" i="12"/>
  <c r="A3582" i="12"/>
  <c r="A2185" i="12"/>
  <c r="A793" i="12"/>
  <c r="A3577" i="12"/>
  <c r="A2180" i="12"/>
  <c r="A788" i="12"/>
  <c r="A3551" i="12"/>
  <c r="A2154" i="12"/>
  <c r="A762" i="12"/>
  <c r="A3906" i="12"/>
  <c r="A3195" i="12"/>
  <c r="A2499" i="12"/>
  <c r="A1803" i="12"/>
  <c r="A1107" i="12"/>
  <c r="A411" i="12"/>
  <c r="A3900" i="12"/>
  <c r="A3189" i="12"/>
  <c r="A2493" i="12"/>
  <c r="A1797" i="12"/>
  <c r="A1101" i="12"/>
  <c r="A405" i="12"/>
  <c r="A3356" i="12"/>
  <c r="A1961" i="12"/>
  <c r="A569" i="12"/>
  <c r="A3925" i="12"/>
  <c r="A3421" i="12"/>
  <c r="A3003" i="12"/>
  <c r="A2518" i="12"/>
  <c r="A2026" i="12"/>
  <c r="A1611" i="12"/>
  <c r="A1126" i="12"/>
  <c r="A634" i="12"/>
  <c r="A219" i="12"/>
  <c r="A3920" i="12"/>
  <c r="A3416" i="12"/>
  <c r="A2998" i="12"/>
  <c r="A2513" i="12"/>
  <c r="A2021" i="12"/>
  <c r="A1606" i="12"/>
  <c r="A1121" i="12"/>
  <c r="A629" i="12"/>
  <c r="A214" i="12"/>
  <c r="A3693" i="12"/>
  <c r="A2991" i="12"/>
  <c r="A2295" i="12"/>
  <c r="A1599" i="12"/>
  <c r="A903" i="12"/>
  <c r="A207" i="12"/>
  <c r="A2707" i="12"/>
  <c r="A2676" i="12"/>
  <c r="A2042" i="12"/>
  <c r="A1340" i="12"/>
  <c r="A2200" i="12"/>
  <c r="A2687" i="12"/>
  <c r="A3406" i="12"/>
  <c r="A2011" i="12"/>
  <c r="A619" i="12"/>
  <c r="A3401" i="12"/>
  <c r="A2006" i="12"/>
  <c r="A614" i="12"/>
  <c r="A3375" i="12"/>
  <c r="A1980" i="12"/>
  <c r="A588" i="12"/>
  <c r="A3788" i="12"/>
  <c r="A3086" i="12"/>
  <c r="A2390" i="12"/>
  <c r="A1694" i="12"/>
  <c r="A998" i="12"/>
  <c r="A302" i="12"/>
  <c r="A3782" i="12"/>
  <c r="A3080" i="12"/>
  <c r="A2384" i="12"/>
  <c r="A1688" i="12"/>
  <c r="A992" i="12"/>
  <c r="A296" i="12"/>
  <c r="A3179" i="12"/>
  <c r="A1787" i="12"/>
  <c r="A395" i="12"/>
  <c r="A3888" i="12"/>
  <c r="A3391" i="12"/>
  <c r="A2896" i="12"/>
  <c r="A2481" i="12"/>
  <c r="A1996" i="12"/>
  <c r="A1504" i="12"/>
  <c r="A1089" i="12"/>
  <c r="A604" i="12"/>
  <c r="A96" i="12"/>
  <c r="A3883" i="12"/>
  <c r="A3386" i="12"/>
  <c r="A2891" i="12"/>
  <c r="A2476" i="12"/>
  <c r="A1991" i="12"/>
  <c r="A1499" i="12"/>
  <c r="A1084" i="12"/>
  <c r="A599" i="12"/>
  <c r="A91" i="12"/>
  <c r="A4113" i="12"/>
  <c r="A4149" i="12"/>
  <c r="A4143" i="12"/>
  <c r="A2483" i="12"/>
  <c r="A1785" i="12"/>
  <c r="A3592" i="12"/>
  <c r="A388" i="12"/>
  <c r="A41" i="12"/>
  <c r="A3229" i="12"/>
  <c r="A1837" i="12"/>
  <c r="A445" i="12"/>
  <c r="A3224" i="12"/>
  <c r="A1832" i="12"/>
  <c r="A440" i="12"/>
  <c r="A3198" i="12"/>
  <c r="A1806" i="12"/>
  <c r="A414" i="12"/>
  <c r="A3723" i="12"/>
  <c r="A3021" i="12"/>
  <c r="A2325" i="12"/>
  <c r="A1629" i="12"/>
  <c r="A933" i="12"/>
  <c r="A237" i="12"/>
  <c r="A3717" i="12"/>
  <c r="A3015" i="12"/>
  <c r="A2319" i="12"/>
  <c r="A1623" i="12"/>
  <c r="A927" i="12"/>
  <c r="A231" i="12"/>
  <c r="A3005" i="12"/>
  <c r="A1613" i="12"/>
  <c r="A221" i="12"/>
  <c r="A3772" i="12"/>
  <c r="A3354" i="12"/>
  <c r="A2866" i="12"/>
  <c r="A2374" i="12"/>
  <c r="A1959" i="12"/>
  <c r="A1474" i="12"/>
  <c r="A982" i="12"/>
  <c r="A567" i="12"/>
  <c r="A66" i="12"/>
  <c r="A3767" i="12"/>
  <c r="A3349" i="12"/>
  <c r="A2861" i="12"/>
  <c r="A2369" i="12"/>
  <c r="A1954" i="12"/>
  <c r="A1469" i="12"/>
  <c r="A977" i="12"/>
  <c r="A562" i="12"/>
  <c r="A61" i="12"/>
  <c r="A3518" i="12"/>
  <c r="A2817" i="12"/>
  <c r="A2121" i="12"/>
  <c r="A1425" i="12"/>
  <c r="A729" i="12"/>
  <c r="A4118" i="12"/>
  <c r="A2738" i="12"/>
  <c r="A650" i="12"/>
  <c r="A3890" i="12"/>
  <c r="A3177" i="12"/>
  <c r="A4098" i="12"/>
  <c r="A803" i="12"/>
  <c r="A24" i="12"/>
  <c r="A3055" i="12"/>
  <c r="A1663" i="12"/>
  <c r="A271" i="12"/>
  <c r="A3050" i="12"/>
  <c r="A1658" i="12"/>
  <c r="A266" i="12"/>
  <c r="A3024" i="12"/>
  <c r="A1632" i="12"/>
  <c r="A240" i="12"/>
  <c r="A3613" i="12"/>
  <c r="A2912" i="12"/>
  <c r="A2216" i="12"/>
  <c r="A1520" i="12"/>
  <c r="A824" i="12"/>
  <c r="A112" i="12"/>
  <c r="A3607" i="12"/>
  <c r="A2906" i="12"/>
  <c r="A2210" i="12"/>
  <c r="A1514" i="12"/>
  <c r="A818" i="12"/>
  <c r="A106" i="12"/>
  <c r="B2831" i="12"/>
  <c r="A1439" i="12"/>
  <c r="A31" i="12"/>
  <c r="A3742" i="12"/>
  <c r="A3244" i="12"/>
  <c r="B2829" i="12"/>
  <c r="A2344" i="12"/>
  <c r="A1852" i="12"/>
  <c r="A1437" i="12"/>
  <c r="A952" i="12"/>
  <c r="A460" i="12"/>
  <c r="A29" i="12"/>
  <c r="A3737" i="12"/>
  <c r="A3239" i="12"/>
  <c r="B2824" i="12"/>
  <c r="A2339" i="12"/>
  <c r="A1847" i="12"/>
  <c r="A1432" i="12"/>
  <c r="A947" i="12"/>
  <c r="A455" i="12"/>
  <c r="A1315" i="12"/>
  <c r="A1284" i="12"/>
  <c r="A1346" i="12"/>
  <c r="A644" i="12"/>
  <c r="A2692" i="12"/>
  <c r="A2195" i="12"/>
  <c r="A17" i="12"/>
  <c r="A2881" i="12"/>
  <c r="A1489" i="12"/>
  <c r="A81" i="12"/>
  <c r="A2876" i="12"/>
  <c r="A1484" i="12"/>
  <c r="A76" i="12"/>
  <c r="B2850" i="12"/>
  <c r="A1458" i="12"/>
  <c r="A50" i="12"/>
  <c r="A3548" i="12"/>
  <c r="B2847" i="12"/>
  <c r="A2151" i="12"/>
  <c r="A1455" i="12"/>
  <c r="A759" i="12"/>
  <c r="A47" i="12"/>
  <c r="A3542" i="12"/>
  <c r="B2841" i="12"/>
  <c r="A2145" i="12"/>
  <c r="A1449" i="12"/>
  <c r="A753" i="12"/>
  <c r="A4068" i="12"/>
  <c r="A2657" i="12"/>
  <c r="A1265" i="12"/>
  <c r="A4133" i="12"/>
  <c r="A3705" i="12"/>
  <c r="A3214" i="12"/>
  <c r="A2722" i="12"/>
  <c r="A2307" i="12"/>
  <c r="A1822" i="12"/>
  <c r="A1330" i="12"/>
  <c r="A915" i="12"/>
  <c r="A430" i="12"/>
  <c r="A4128" i="12"/>
  <c r="A3700" i="12"/>
  <c r="A3209" i="12"/>
  <c r="A2717" i="12"/>
  <c r="A2302" i="12"/>
  <c r="A1817" i="12"/>
  <c r="A1325" i="12"/>
  <c r="A910" i="12"/>
  <c r="A425" i="12"/>
  <c r="A4054" i="12"/>
  <c r="A3342" i="12"/>
  <c r="A2643" i="12"/>
  <c r="A1947" i="12"/>
  <c r="A1251" i="12"/>
  <c r="A555" i="12"/>
  <c r="A1310" i="12"/>
  <c r="A2732" i="12"/>
  <c r="A4103" i="12"/>
  <c r="A808" i="12"/>
  <c r="A1780" i="12"/>
  <c r="A5" i="4"/>
  <c r="A110" i="4" s="1"/>
  <c r="B5" i="4"/>
  <c r="B110" i="4" s="1"/>
  <c r="A1" i="4"/>
  <c r="S147" i="12"/>
  <c r="A1417" i="12"/>
  <c r="A1539" i="12"/>
  <c r="A1243" i="12"/>
  <c r="A1365" i="12"/>
  <c r="A4168" i="12"/>
  <c r="A2757" i="12"/>
  <c r="A1017" i="12"/>
  <c r="A3990" i="12"/>
  <c r="A2583" i="12"/>
  <c r="A843" i="12"/>
  <c r="A3807" i="12"/>
  <c r="A2409" i="12"/>
  <c r="A669" i="12"/>
  <c r="A3632" i="12"/>
  <c r="A2235" i="12"/>
  <c r="A495" i="12"/>
  <c r="A3456" i="12"/>
  <c r="A2061" i="12"/>
  <c r="A321" i="12"/>
  <c r="A3279" i="12"/>
  <c r="A1887" i="12"/>
  <c r="A131" i="12"/>
  <c r="A3105" i="12"/>
  <c r="A1713" i="12"/>
  <c r="A2931" i="12"/>
  <c r="A1191" i="12"/>
  <c r="A895" i="12"/>
  <c r="A1069" i="12"/>
  <c r="A3510" i="12"/>
  <c r="A4046" i="12"/>
  <c r="A2287" i="12"/>
  <c r="A3868" i="12"/>
  <c r="A3685" i="12"/>
  <c r="A3157" i="12"/>
  <c r="A3334" i="12"/>
  <c r="A2983" i="12"/>
  <c r="A2809" i="12"/>
  <c r="A2635" i="12"/>
  <c r="A2113" i="12"/>
  <c r="A2461" i="12"/>
  <c r="A1939" i="12"/>
  <c r="A1591" i="12"/>
  <c r="A1765" i="12"/>
  <c r="A373" i="12"/>
  <c r="A721" i="12"/>
  <c r="A547" i="12"/>
  <c r="A199" i="12"/>
  <c r="V189" i="12"/>
  <c r="U189" i="12"/>
  <c r="T189" i="12"/>
  <c r="N189" i="12"/>
  <c r="M189" i="12"/>
  <c r="L189" i="12"/>
  <c r="V187" i="12"/>
  <c r="U187" i="12"/>
  <c r="T187" i="12"/>
  <c r="N187" i="12"/>
  <c r="M187" i="12"/>
  <c r="L187" i="12"/>
  <c r="V186" i="12"/>
  <c r="U186" i="12"/>
  <c r="T186" i="12"/>
  <c r="N186" i="12"/>
  <c r="M186" i="12"/>
  <c r="L186" i="12"/>
  <c r="U185" i="12"/>
  <c r="T185" i="12"/>
  <c r="N185" i="12"/>
  <c r="M185" i="12"/>
  <c r="L185" i="12"/>
  <c r="E172" i="12"/>
  <c r="E171" i="12"/>
  <c r="E170" i="12"/>
  <c r="A111" i="12"/>
  <c r="A95" i="12"/>
  <c r="A80" i="12"/>
  <c r="A65" i="12"/>
  <c r="A46" i="12"/>
  <c r="A28" i="12"/>
  <c r="A9" i="12"/>
  <c r="A1" i="12"/>
  <c r="B47" i="4" l="1"/>
  <c r="B165" i="4"/>
  <c r="B194" i="4" s="1"/>
  <c r="B236" i="4" s="1"/>
  <c r="B264" i="4" s="1"/>
  <c r="B341" i="4" s="1"/>
  <c r="B369" i="4" s="1"/>
  <c r="B439" i="4" s="1"/>
  <c r="B508" i="4" s="1"/>
  <c r="B327" i="4"/>
  <c r="A165" i="4"/>
  <c r="A194" i="4" s="1"/>
  <c r="A236" i="4" s="1"/>
  <c r="A264" i="4" s="1"/>
  <c r="A341" i="4" s="1"/>
  <c r="A369" i="4" s="1"/>
  <c r="A439" i="4" s="1"/>
  <c r="A47" i="4"/>
  <c r="A327" i="4"/>
  <c r="F9" i="3"/>
  <c r="B3" i="56" l="1"/>
  <c r="C177" i="55"/>
  <c r="A486" i="4"/>
  <c r="D487" i="4"/>
  <c r="B490" i="4"/>
  <c r="E491" i="4"/>
  <c r="C493" i="4"/>
  <c r="A495" i="4"/>
  <c r="D496" i="4"/>
  <c r="B498" i="4"/>
  <c r="E499" i="4"/>
  <c r="C501" i="4"/>
  <c r="A503" i="4"/>
  <c r="D504" i="4"/>
  <c r="C182" i="4"/>
  <c r="A310" i="4"/>
  <c r="A304" i="4"/>
  <c r="C224" i="4"/>
  <c r="E222" i="4"/>
  <c r="B221" i="4"/>
  <c r="C504" i="4"/>
  <c r="B310" i="4"/>
  <c r="B486" i="4"/>
  <c r="E487" i="4"/>
  <c r="C490" i="4"/>
  <c r="A492" i="4"/>
  <c r="D493" i="4"/>
  <c r="B495" i="4"/>
  <c r="E496" i="4"/>
  <c r="C498" i="4"/>
  <c r="A500" i="4"/>
  <c r="D501" i="4"/>
  <c r="B503" i="4"/>
  <c r="E504" i="4"/>
  <c r="A181" i="4"/>
  <c r="B303" i="4"/>
  <c r="B298" i="4"/>
  <c r="B309" i="4"/>
  <c r="E225" i="4"/>
  <c r="B224" i="4"/>
  <c r="D222" i="4"/>
  <c r="A221" i="4"/>
  <c r="D491" i="4"/>
  <c r="C486" i="4"/>
  <c r="A489" i="4"/>
  <c r="D490" i="4"/>
  <c r="B492" i="4"/>
  <c r="E493" i="4"/>
  <c r="C495" i="4"/>
  <c r="A497" i="4"/>
  <c r="D498" i="4"/>
  <c r="E501" i="4"/>
  <c r="C503" i="4"/>
  <c r="A178" i="4"/>
  <c r="B181" i="4"/>
  <c r="A303" i="4"/>
  <c r="A298" i="4"/>
  <c r="A309" i="4"/>
  <c r="D225" i="4"/>
  <c r="A224" i="4"/>
  <c r="C222" i="4"/>
  <c r="E218" i="4"/>
  <c r="C487" i="4"/>
  <c r="E494" i="4"/>
  <c r="A498" i="4"/>
  <c r="B182" i="4"/>
  <c r="B304" i="4"/>
  <c r="A223" i="4"/>
  <c r="D486" i="4"/>
  <c r="B489" i="4"/>
  <c r="E490" i="4"/>
  <c r="C492" i="4"/>
  <c r="A494" i="4"/>
  <c r="D495" i="4"/>
  <c r="B497" i="4"/>
  <c r="E498" i="4"/>
  <c r="C500" i="4"/>
  <c r="A502" i="4"/>
  <c r="D503" i="4"/>
  <c r="B178" i="4"/>
  <c r="A183" i="4"/>
  <c r="B297" i="4"/>
  <c r="C225" i="4"/>
  <c r="E223" i="4"/>
  <c r="B222" i="4"/>
  <c r="D218" i="4"/>
  <c r="A490" i="4"/>
  <c r="B493" i="4"/>
  <c r="D499" i="4"/>
  <c r="E183" i="4"/>
  <c r="D224" i="4"/>
  <c r="C221" i="4"/>
  <c r="E486" i="4"/>
  <c r="C489" i="4"/>
  <c r="A491" i="4"/>
  <c r="D492" i="4"/>
  <c r="B494" i="4"/>
  <c r="E495" i="4"/>
  <c r="C497" i="4"/>
  <c r="A499" i="4"/>
  <c r="D500" i="4"/>
  <c r="B502" i="4"/>
  <c r="E503" i="4"/>
  <c r="C178" i="4"/>
  <c r="A180" i="4"/>
  <c r="B183" i="4"/>
  <c r="A297" i="4"/>
  <c r="A306" i="4"/>
  <c r="B225" i="4"/>
  <c r="D223" i="4"/>
  <c r="A222" i="4"/>
  <c r="C218" i="4"/>
  <c r="C496" i="4"/>
  <c r="A487" i="4"/>
  <c r="D489" i="4"/>
  <c r="B491" i="4"/>
  <c r="E492" i="4"/>
  <c r="C494" i="4"/>
  <c r="A496" i="4"/>
  <c r="D497" i="4"/>
  <c r="B499" i="4"/>
  <c r="E500" i="4"/>
  <c r="C502" i="4"/>
  <c r="A504" i="4"/>
  <c r="D178" i="4"/>
  <c r="C183" i="4"/>
  <c r="B311" i="4"/>
  <c r="B305" i="4"/>
  <c r="A225" i="4"/>
  <c r="C223" i="4"/>
  <c r="E221" i="4"/>
  <c r="B218" i="4"/>
  <c r="B501" i="4"/>
  <c r="E489" i="4"/>
  <c r="C491" i="4"/>
  <c r="A493" i="4"/>
  <c r="D494" i="4"/>
  <c r="B496" i="4"/>
  <c r="E497" i="4"/>
  <c r="C499" i="4"/>
  <c r="A501" i="4"/>
  <c r="D502" i="4"/>
  <c r="B504" i="4"/>
  <c r="E178" i="4"/>
  <c r="A182" i="4"/>
  <c r="D183" i="4"/>
  <c r="A311" i="4"/>
  <c r="A305" i="4"/>
  <c r="E224" i="4"/>
  <c r="D221" i="4"/>
  <c r="A218" i="4"/>
  <c r="E502" i="4"/>
  <c r="B88" i="5"/>
  <c r="B73" i="5"/>
  <c r="B65" i="5"/>
  <c r="B56" i="5"/>
  <c r="B47" i="5"/>
  <c r="B38" i="5"/>
  <c r="B30" i="5"/>
  <c r="B22" i="5"/>
  <c r="B13" i="5"/>
  <c r="B5" i="5"/>
  <c r="D543" i="4"/>
  <c r="A542" i="4"/>
  <c r="C540" i="4"/>
  <c r="E538" i="4"/>
  <c r="B537" i="4"/>
  <c r="A534" i="4"/>
  <c r="E530" i="4"/>
  <c r="B529" i="4"/>
  <c r="D527" i="4"/>
  <c r="A526" i="4"/>
  <c r="C524" i="4"/>
  <c r="E522" i="4"/>
  <c r="B521" i="4"/>
  <c r="D519" i="4"/>
  <c r="A518" i="4"/>
  <c r="C516" i="4"/>
  <c r="E514" i="4"/>
  <c r="B513" i="4"/>
  <c r="D511" i="4"/>
  <c r="A510" i="4"/>
  <c r="C481" i="4"/>
  <c r="A475" i="4"/>
  <c r="C473" i="4"/>
  <c r="E471" i="4"/>
  <c r="B470" i="4"/>
  <c r="D468" i="4"/>
  <c r="A467" i="4"/>
  <c r="C465" i="4"/>
  <c r="E463" i="4"/>
  <c r="B462" i="4"/>
  <c r="D460" i="4"/>
  <c r="A459" i="4"/>
  <c r="C457" i="4"/>
  <c r="E455" i="4"/>
  <c r="B454" i="4"/>
  <c r="D452" i="4"/>
  <c r="A451" i="4"/>
  <c r="C449" i="4"/>
  <c r="E447" i="4"/>
  <c r="B446" i="4"/>
  <c r="D444" i="4"/>
  <c r="A443" i="4"/>
  <c r="C441" i="4"/>
  <c r="E435" i="4"/>
  <c r="B87" i="5"/>
  <c r="B72" i="5"/>
  <c r="B63" i="5"/>
  <c r="B55" i="5"/>
  <c r="B46" i="5"/>
  <c r="B37" i="5"/>
  <c r="B29" i="5"/>
  <c r="B21" i="5"/>
  <c r="B12" i="5"/>
  <c r="B4" i="5"/>
  <c r="C543" i="4"/>
  <c r="E541" i="4"/>
  <c r="D538" i="4"/>
  <c r="A537" i="4"/>
  <c r="C535" i="4"/>
  <c r="B532" i="4"/>
  <c r="D530" i="4"/>
  <c r="A529" i="4"/>
  <c r="C527" i="4"/>
  <c r="E525" i="4"/>
  <c r="B524" i="4"/>
  <c r="D522" i="4"/>
  <c r="A521" i="4"/>
  <c r="C519" i="4"/>
  <c r="E517" i="4"/>
  <c r="B516" i="4"/>
  <c r="D514" i="4"/>
  <c r="A513" i="4"/>
  <c r="C511" i="4"/>
  <c r="E509" i="4"/>
  <c r="B481" i="4"/>
  <c r="A478" i="4"/>
  <c r="E474" i="4"/>
  <c r="B473" i="4"/>
  <c r="D471" i="4"/>
  <c r="A470" i="4"/>
  <c r="E466" i="4"/>
  <c r="B465" i="4"/>
  <c r="D463" i="4"/>
  <c r="A462" i="4"/>
  <c r="C460" i="4"/>
  <c r="E458" i="4"/>
  <c r="B457" i="4"/>
  <c r="D455" i="4"/>
  <c r="A454" i="4"/>
  <c r="C452" i="4"/>
  <c r="E450" i="4"/>
  <c r="B449" i="4"/>
  <c r="D447" i="4"/>
  <c r="A446" i="4"/>
  <c r="C444" i="4"/>
  <c r="E442" i="4"/>
  <c r="B441" i="4"/>
  <c r="D435" i="4"/>
  <c r="A434" i="4"/>
  <c r="B86" i="5"/>
  <c r="B71" i="5"/>
  <c r="B62" i="5"/>
  <c r="B54" i="5"/>
  <c r="B45" i="5"/>
  <c r="B36" i="5"/>
  <c r="B28" i="5"/>
  <c r="B19" i="5"/>
  <c r="B11" i="5"/>
  <c r="E544" i="4"/>
  <c r="B543" i="4"/>
  <c r="D541" i="4"/>
  <c r="A540" i="4"/>
  <c r="C538" i="4"/>
  <c r="E536" i="4"/>
  <c r="B535" i="4"/>
  <c r="C530" i="4"/>
  <c r="E528" i="4"/>
  <c r="B527" i="4"/>
  <c r="D525" i="4"/>
  <c r="A524" i="4"/>
  <c r="C522" i="4"/>
  <c r="E520" i="4"/>
  <c r="B519" i="4"/>
  <c r="D517" i="4"/>
  <c r="A516" i="4"/>
  <c r="C514" i="4"/>
  <c r="E512" i="4"/>
  <c r="D509" i="4"/>
  <c r="A481" i="4"/>
  <c r="C479" i="4"/>
  <c r="D474" i="4"/>
  <c r="A473" i="4"/>
  <c r="C471" i="4"/>
  <c r="B468" i="4"/>
  <c r="D466" i="4"/>
  <c r="A465" i="4"/>
  <c r="C463" i="4"/>
  <c r="E461" i="4"/>
  <c r="B460" i="4"/>
  <c r="D458" i="4"/>
  <c r="A457" i="4"/>
  <c r="C455" i="4"/>
  <c r="E453" i="4"/>
  <c r="B452" i="4"/>
  <c r="D450" i="4"/>
  <c r="A449" i="4"/>
  <c r="C447" i="4"/>
  <c r="E445" i="4"/>
  <c r="B444" i="4"/>
  <c r="D442" i="4"/>
  <c r="A441" i="4"/>
  <c r="C435" i="4"/>
  <c r="E433" i="4"/>
  <c r="B432" i="4"/>
  <c r="D430" i="4"/>
  <c r="A429" i="4"/>
  <c r="C427" i="4"/>
  <c r="E425" i="4"/>
  <c r="B424" i="4"/>
  <c r="D422" i="4"/>
  <c r="B85" i="5"/>
  <c r="B70" i="5"/>
  <c r="B61" i="5"/>
  <c r="B53" i="5"/>
  <c r="B44" i="5"/>
  <c r="B35" i="5"/>
  <c r="B27" i="5"/>
  <c r="B18" i="5"/>
  <c r="B10" i="5"/>
  <c r="D544" i="4"/>
  <c r="A543" i="4"/>
  <c r="E539" i="4"/>
  <c r="B538" i="4"/>
  <c r="D536" i="4"/>
  <c r="A535" i="4"/>
  <c r="C533" i="4"/>
  <c r="E531" i="4"/>
  <c r="B530" i="4"/>
  <c r="D528" i="4"/>
  <c r="A527" i="4"/>
  <c r="C525" i="4"/>
  <c r="E523" i="4"/>
  <c r="B522" i="4"/>
  <c r="D520" i="4"/>
  <c r="A519" i="4"/>
  <c r="C517" i="4"/>
  <c r="E515" i="4"/>
  <c r="B514" i="4"/>
  <c r="D512" i="4"/>
  <c r="A511" i="4"/>
  <c r="C509" i="4"/>
  <c r="E480" i="4"/>
  <c r="B479" i="4"/>
  <c r="A476" i="4"/>
  <c r="C474" i="4"/>
  <c r="E472" i="4"/>
  <c r="B471" i="4"/>
  <c r="A468" i="4"/>
  <c r="C466" i="4"/>
  <c r="E464" i="4"/>
  <c r="B463" i="4"/>
  <c r="D461" i="4"/>
  <c r="A460" i="4"/>
  <c r="C458" i="4"/>
  <c r="E456" i="4"/>
  <c r="B455" i="4"/>
  <c r="D453" i="4"/>
  <c r="A452" i="4"/>
  <c r="C450" i="4"/>
  <c r="E448" i="4"/>
  <c r="B447" i="4"/>
  <c r="D445" i="4"/>
  <c r="A444" i="4"/>
  <c r="C442" i="4"/>
  <c r="E440" i="4"/>
  <c r="B435" i="4"/>
  <c r="D433" i="4"/>
  <c r="A432" i="4"/>
  <c r="C430" i="4"/>
  <c r="E428" i="4"/>
  <c r="B427" i="4"/>
  <c r="D425" i="4"/>
  <c r="A424" i="4"/>
  <c r="C422" i="4"/>
  <c r="E420" i="4"/>
  <c r="B419" i="4"/>
  <c r="D417" i="4"/>
  <c r="D485" i="4" s="1"/>
  <c r="A416" i="4"/>
  <c r="C414" i="4"/>
  <c r="E412" i="4"/>
  <c r="B411" i="4"/>
  <c r="D409" i="4"/>
  <c r="A408" i="4"/>
  <c r="C406" i="4"/>
  <c r="A403" i="4"/>
  <c r="D399" i="4"/>
  <c r="A398" i="4"/>
  <c r="C396" i="4"/>
  <c r="E394" i="4"/>
  <c r="B393" i="4"/>
  <c r="D391" i="4"/>
  <c r="A390" i="4"/>
  <c r="C388" i="4"/>
  <c r="E386" i="4"/>
  <c r="B385" i="4"/>
  <c r="B77" i="5"/>
  <c r="B69" i="5"/>
  <c r="B60" i="5"/>
  <c r="B52" i="5"/>
  <c r="B43" i="5"/>
  <c r="B34" i="5"/>
  <c r="B26" i="5"/>
  <c r="B17" i="5"/>
  <c r="B9" i="5"/>
  <c r="C544" i="4"/>
  <c r="B541" i="4"/>
  <c r="D539" i="4"/>
  <c r="A538" i="4"/>
  <c r="C536" i="4"/>
  <c r="E534" i="4"/>
  <c r="D531" i="4"/>
  <c r="A530" i="4"/>
  <c r="C528" i="4"/>
  <c r="E526" i="4"/>
  <c r="B525" i="4"/>
  <c r="D523" i="4"/>
  <c r="A522" i="4"/>
  <c r="C520" i="4"/>
  <c r="E518" i="4"/>
  <c r="D515" i="4"/>
  <c r="A514" i="4"/>
  <c r="C512" i="4"/>
  <c r="E510" i="4"/>
  <c r="B509" i="4"/>
  <c r="D480" i="4"/>
  <c r="A479" i="4"/>
  <c r="E475" i="4"/>
  <c r="B474" i="4"/>
  <c r="D472" i="4"/>
  <c r="A471" i="4"/>
  <c r="C469" i="4"/>
  <c r="E467" i="4"/>
  <c r="B466" i="4"/>
  <c r="D464" i="4"/>
  <c r="A463" i="4"/>
  <c r="C461" i="4"/>
  <c r="E459" i="4"/>
  <c r="B458" i="4"/>
  <c r="D456" i="4"/>
  <c r="A455" i="4"/>
  <c r="C453" i="4"/>
  <c r="E451" i="4"/>
  <c r="B450" i="4"/>
  <c r="D448" i="4"/>
  <c r="A447" i="4"/>
  <c r="C445" i="4"/>
  <c r="E443" i="4"/>
  <c r="B442" i="4"/>
  <c r="D440" i="4"/>
  <c r="B76" i="5"/>
  <c r="B68" i="5"/>
  <c r="B59" i="5"/>
  <c r="B51" i="5"/>
  <c r="B42" i="5"/>
  <c r="B33" i="5"/>
  <c r="B25" i="5"/>
  <c r="B16" i="5"/>
  <c r="B8" i="5"/>
  <c r="B544" i="4"/>
  <c r="A541" i="4"/>
  <c r="E537" i="4"/>
  <c r="B536" i="4"/>
  <c r="D534" i="4"/>
  <c r="A533" i="4"/>
  <c r="C531" i="4"/>
  <c r="E529" i="4"/>
  <c r="B528" i="4"/>
  <c r="D526" i="4"/>
  <c r="A525" i="4"/>
  <c r="C523" i="4"/>
  <c r="E521" i="4"/>
  <c r="B520" i="4"/>
  <c r="D518" i="4"/>
  <c r="A517" i="4"/>
  <c r="C515" i="4"/>
  <c r="E513" i="4"/>
  <c r="B512" i="4"/>
  <c r="D510" i="4"/>
  <c r="A509" i="4"/>
  <c r="C480" i="4"/>
  <c r="D475" i="4"/>
  <c r="A474" i="4"/>
  <c r="C472" i="4"/>
  <c r="E470" i="4"/>
  <c r="B469" i="4"/>
  <c r="D467" i="4"/>
  <c r="C464" i="4"/>
  <c r="E462" i="4"/>
  <c r="B461" i="4"/>
  <c r="D459" i="4"/>
  <c r="A458" i="4"/>
  <c r="C456" i="4"/>
  <c r="E454" i="4"/>
  <c r="B453" i="4"/>
  <c r="D451" i="4"/>
  <c r="A450" i="4"/>
  <c r="C448" i="4"/>
  <c r="E446" i="4"/>
  <c r="B445" i="4"/>
  <c r="D443" i="4"/>
  <c r="A442" i="4"/>
  <c r="C440" i="4"/>
  <c r="E434" i="4"/>
  <c r="B75" i="5"/>
  <c r="B67" i="5"/>
  <c r="B58" i="5"/>
  <c r="B50" i="5"/>
  <c r="B41" i="5"/>
  <c r="B32" i="5"/>
  <c r="B24" i="5"/>
  <c r="B15" i="5"/>
  <c r="B7" i="5"/>
  <c r="A544" i="4"/>
  <c r="C542" i="4"/>
  <c r="B539" i="4"/>
  <c r="D537" i="4"/>
  <c r="A536" i="4"/>
  <c r="E532" i="4"/>
  <c r="B531" i="4"/>
  <c r="D529" i="4"/>
  <c r="A528" i="4"/>
  <c r="C526" i="4"/>
  <c r="E524" i="4"/>
  <c r="D521" i="4"/>
  <c r="A520" i="4"/>
  <c r="C518" i="4"/>
  <c r="E516" i="4"/>
  <c r="B515" i="4"/>
  <c r="D513" i="4"/>
  <c r="A512" i="4"/>
  <c r="C510" i="4"/>
  <c r="E481" i="4"/>
  <c r="B480" i="4"/>
  <c r="A477" i="4"/>
  <c r="C475" i="4"/>
  <c r="E473" i="4"/>
  <c r="D470" i="4"/>
  <c r="A469" i="4"/>
  <c r="C467" i="4"/>
  <c r="E465" i="4"/>
  <c r="B464" i="4"/>
  <c r="D462" i="4"/>
  <c r="A461" i="4"/>
  <c r="C459" i="4"/>
  <c r="E457" i="4"/>
  <c r="B456" i="4"/>
  <c r="D454" i="4"/>
  <c r="A453" i="4"/>
  <c r="C451" i="4"/>
  <c r="E449" i="4"/>
  <c r="B448" i="4"/>
  <c r="D446" i="4"/>
  <c r="A445" i="4"/>
  <c r="C443" i="4"/>
  <c r="E441" i="4"/>
  <c r="B440" i="4"/>
  <c r="D434" i="4"/>
  <c r="A433" i="4"/>
  <c r="C431" i="4"/>
  <c r="E429" i="4"/>
  <c r="B428" i="4"/>
  <c r="D426" i="4"/>
  <c r="A425" i="4"/>
  <c r="B74" i="5"/>
  <c r="B66" i="5"/>
  <c r="B57" i="5"/>
  <c r="B49" i="5"/>
  <c r="B40" i="5"/>
  <c r="B31" i="5"/>
  <c r="B23" i="5"/>
  <c r="B14" i="5"/>
  <c r="B6" i="5"/>
  <c r="E543" i="4"/>
  <c r="B542" i="4"/>
  <c r="A539" i="4"/>
  <c r="C537" i="4"/>
  <c r="B534" i="4"/>
  <c r="D532" i="4"/>
  <c r="C529" i="4"/>
  <c r="E527" i="4"/>
  <c r="B526" i="4"/>
  <c r="D524" i="4"/>
  <c r="A523" i="4"/>
  <c r="C521" i="4"/>
  <c r="E519" i="4"/>
  <c r="B518" i="4"/>
  <c r="D516" i="4"/>
  <c r="A515" i="4"/>
  <c r="C513" i="4"/>
  <c r="E511" i="4"/>
  <c r="B510" i="4"/>
  <c r="D481" i="4"/>
  <c r="A480" i="4"/>
  <c r="B475" i="4"/>
  <c r="D473" i="4"/>
  <c r="A472" i="4"/>
  <c r="C470" i="4"/>
  <c r="E468" i="4"/>
  <c r="D465" i="4"/>
  <c r="A464" i="4"/>
  <c r="C462" i="4"/>
  <c r="E460" i="4"/>
  <c r="B459" i="4"/>
  <c r="D457" i="4"/>
  <c r="A456" i="4"/>
  <c r="C454" i="4"/>
  <c r="E452" i="4"/>
  <c r="B451" i="4"/>
  <c r="D449" i="4"/>
  <c r="A448" i="4"/>
  <c r="C446" i="4"/>
  <c r="E444" i="4"/>
  <c r="B443" i="4"/>
  <c r="D441" i="4"/>
  <c r="A440" i="4"/>
  <c r="C434" i="4"/>
  <c r="E432" i="4"/>
  <c r="B431" i="4"/>
  <c r="D429" i="4"/>
  <c r="A428" i="4"/>
  <c r="C426" i="4"/>
  <c r="E424" i="4"/>
  <c r="B423" i="4"/>
  <c r="D421" i="4"/>
  <c r="A420" i="4"/>
  <c r="C418" i="4"/>
  <c r="E416" i="4"/>
  <c r="B415" i="4"/>
  <c r="D413" i="4"/>
  <c r="A412" i="4"/>
  <c r="C410" i="4"/>
  <c r="E408" i="4"/>
  <c r="B407" i="4"/>
  <c r="A405" i="4"/>
  <c r="A401" i="4"/>
  <c r="E398" i="4"/>
  <c r="B397" i="4"/>
  <c r="D395" i="4"/>
  <c r="A394" i="4"/>
  <c r="C392" i="4"/>
  <c r="E390" i="4"/>
  <c r="B389" i="4"/>
  <c r="D387" i="4"/>
  <c r="A386" i="4"/>
  <c r="E431" i="4"/>
  <c r="D428" i="4"/>
  <c r="C425" i="4"/>
  <c r="E422" i="4"/>
  <c r="C420" i="4"/>
  <c r="B418" i="4"/>
  <c r="B416" i="4"/>
  <c r="A414" i="4"/>
  <c r="E411" i="4"/>
  <c r="E409" i="4"/>
  <c r="D407" i="4"/>
  <c r="B404" i="4"/>
  <c r="E399" i="4"/>
  <c r="D397" i="4"/>
  <c r="C395" i="4"/>
  <c r="C393" i="4"/>
  <c r="B391" i="4"/>
  <c r="A389" i="4"/>
  <c r="A387" i="4"/>
  <c r="E384" i="4"/>
  <c r="B383" i="4"/>
  <c r="D381" i="4"/>
  <c r="A380" i="4"/>
  <c r="C378" i="4"/>
  <c r="E376" i="4"/>
  <c r="B375" i="4"/>
  <c r="D373" i="4"/>
  <c r="A372" i="4"/>
  <c r="C370" i="4"/>
  <c r="E364" i="4"/>
  <c r="B363" i="4"/>
  <c r="A360" i="4"/>
  <c r="C358" i="4"/>
  <c r="E356" i="4"/>
  <c r="B355" i="4"/>
  <c r="D353" i="4"/>
  <c r="A352" i="4"/>
  <c r="C350" i="4"/>
  <c r="E348" i="4"/>
  <c r="B347" i="4"/>
  <c r="D345" i="4"/>
  <c r="A344" i="4"/>
  <c r="C342" i="4"/>
  <c r="E336" i="4"/>
  <c r="B335" i="4"/>
  <c r="D333" i="4"/>
  <c r="A332" i="4"/>
  <c r="B323" i="4"/>
  <c r="D321" i="4"/>
  <c r="A320" i="4"/>
  <c r="C318" i="4"/>
  <c r="A315" i="4"/>
  <c r="D296" i="4"/>
  <c r="A295" i="4"/>
  <c r="C293" i="4"/>
  <c r="E291" i="4"/>
  <c r="B290" i="4"/>
  <c r="D288" i="4"/>
  <c r="A287" i="4"/>
  <c r="C281" i="4"/>
  <c r="E275" i="4"/>
  <c r="B272" i="4"/>
  <c r="D266" i="4"/>
  <c r="A265" i="4"/>
  <c r="D431" i="4"/>
  <c r="C428" i="4"/>
  <c r="B425" i="4"/>
  <c r="B422" i="4"/>
  <c r="B420" i="4"/>
  <c r="A418" i="4"/>
  <c r="E415" i="4"/>
  <c r="E413" i="4"/>
  <c r="D411" i="4"/>
  <c r="C409" i="4"/>
  <c r="C407" i="4"/>
  <c r="A404" i="4"/>
  <c r="C399" i="4"/>
  <c r="C397" i="4"/>
  <c r="B395" i="4"/>
  <c r="A393" i="4"/>
  <c r="A391" i="4"/>
  <c r="E388" i="4"/>
  <c r="D386" i="4"/>
  <c r="D384" i="4"/>
  <c r="A383" i="4"/>
  <c r="C381" i="4"/>
  <c r="E379" i="4"/>
  <c r="B378" i="4"/>
  <c r="D376" i="4"/>
  <c r="A375" i="4"/>
  <c r="C373" i="4"/>
  <c r="E371" i="4"/>
  <c r="B370" i="4"/>
  <c r="D364" i="4"/>
  <c r="A363" i="4"/>
  <c r="C361" i="4"/>
  <c r="E359" i="4"/>
  <c r="B358" i="4"/>
  <c r="D356" i="4"/>
  <c r="A355" i="4"/>
  <c r="C353" i="4"/>
  <c r="E351" i="4"/>
  <c r="B350" i="4"/>
  <c r="D348" i="4"/>
  <c r="A347" i="4"/>
  <c r="C345" i="4"/>
  <c r="E343" i="4"/>
  <c r="B342" i="4"/>
  <c r="D336" i="4"/>
  <c r="A335" i="4"/>
  <c r="C333" i="4"/>
  <c r="B330" i="4"/>
  <c r="A323" i="4"/>
  <c r="C321" i="4"/>
  <c r="E319" i="4"/>
  <c r="B318" i="4"/>
  <c r="B314" i="4"/>
  <c r="C296" i="4"/>
  <c r="E294" i="4"/>
  <c r="B293" i="4"/>
  <c r="D291" i="4"/>
  <c r="A290" i="4"/>
  <c r="C288" i="4"/>
  <c r="E283" i="4"/>
  <c r="B281" i="4"/>
  <c r="D275" i="4"/>
  <c r="A272" i="4"/>
  <c r="C266" i="4"/>
  <c r="E260" i="4"/>
  <c r="B259" i="4"/>
  <c r="D257" i="4"/>
  <c r="A256" i="4"/>
  <c r="E252" i="4"/>
  <c r="B251" i="4"/>
  <c r="A248" i="4"/>
  <c r="C246" i="4"/>
  <c r="A435" i="4"/>
  <c r="A431" i="4"/>
  <c r="E427" i="4"/>
  <c r="D424" i="4"/>
  <c r="A422" i="4"/>
  <c r="E419" i="4"/>
  <c r="E417" i="4"/>
  <c r="E485" i="4" s="1"/>
  <c r="D415" i="4"/>
  <c r="C413" i="4"/>
  <c r="C411" i="4"/>
  <c r="B409" i="4"/>
  <c r="A407" i="4"/>
  <c r="B403" i="4"/>
  <c r="B399" i="4"/>
  <c r="A397" i="4"/>
  <c r="A395" i="4"/>
  <c r="E392" i="4"/>
  <c r="D390" i="4"/>
  <c r="D388" i="4"/>
  <c r="C386" i="4"/>
  <c r="C384" i="4"/>
  <c r="E382" i="4"/>
  <c r="B381" i="4"/>
  <c r="D379" i="4"/>
  <c r="A378" i="4"/>
  <c r="C376" i="4"/>
  <c r="E374" i="4"/>
  <c r="B373" i="4"/>
  <c r="D371" i="4"/>
  <c r="A370" i="4"/>
  <c r="C364" i="4"/>
  <c r="E362" i="4"/>
  <c r="B361" i="4"/>
  <c r="D359" i="4"/>
  <c r="C356" i="4"/>
  <c r="E354" i="4"/>
  <c r="B353" i="4"/>
  <c r="D351" i="4"/>
  <c r="A350" i="4"/>
  <c r="C348" i="4"/>
  <c r="E346" i="4"/>
  <c r="B345" i="4"/>
  <c r="D343" i="4"/>
  <c r="A342" i="4"/>
  <c r="C336" i="4"/>
  <c r="E334" i="4"/>
  <c r="B333" i="4"/>
  <c r="A330" i="4"/>
  <c r="E322" i="4"/>
  <c r="B321" i="4"/>
  <c r="D319" i="4"/>
  <c r="A318" i="4"/>
  <c r="A314" i="4"/>
  <c r="D294" i="4"/>
  <c r="A293" i="4"/>
  <c r="C291" i="4"/>
  <c r="E289" i="4"/>
  <c r="B434" i="4"/>
  <c r="E430" i="4"/>
  <c r="D427" i="4"/>
  <c r="C424" i="4"/>
  <c r="E421" i="4"/>
  <c r="D419" i="4"/>
  <c r="C417" i="4"/>
  <c r="C485" i="4" s="1"/>
  <c r="C415" i="4"/>
  <c r="B413" i="4"/>
  <c r="A411" i="4"/>
  <c r="A409" i="4"/>
  <c r="E406" i="4"/>
  <c r="B402" i="4"/>
  <c r="A399" i="4"/>
  <c r="E396" i="4"/>
  <c r="D394" i="4"/>
  <c r="D392" i="4"/>
  <c r="C390" i="4"/>
  <c r="B388" i="4"/>
  <c r="B386" i="4"/>
  <c r="B384" i="4"/>
  <c r="D382" i="4"/>
  <c r="A381" i="4"/>
  <c r="C379" i="4"/>
  <c r="E377" i="4"/>
  <c r="B376" i="4"/>
  <c r="D374" i="4"/>
  <c r="A373" i="4"/>
  <c r="C371" i="4"/>
  <c r="E365" i="4"/>
  <c r="B364" i="4"/>
  <c r="D362" i="4"/>
  <c r="A361" i="4"/>
  <c r="C359" i="4"/>
  <c r="E357" i="4"/>
  <c r="B356" i="4"/>
  <c r="D354" i="4"/>
  <c r="A353" i="4"/>
  <c r="C351" i="4"/>
  <c r="E349" i="4"/>
  <c r="B348" i="4"/>
  <c r="D346" i="4"/>
  <c r="A345" i="4"/>
  <c r="C343" i="4"/>
  <c r="E337" i="4"/>
  <c r="B336" i="4"/>
  <c r="D334" i="4"/>
  <c r="A333" i="4"/>
  <c r="C331" i="4"/>
  <c r="D322" i="4"/>
  <c r="A321" i="4"/>
  <c r="C319" i="4"/>
  <c r="B317" i="4"/>
  <c r="B313" i="4"/>
  <c r="A296" i="4"/>
  <c r="C294" i="4"/>
  <c r="E292" i="4"/>
  <c r="B291" i="4"/>
  <c r="D289" i="4"/>
  <c r="A288" i="4"/>
  <c r="C283" i="4"/>
  <c r="E280" i="4"/>
  <c r="B275" i="4"/>
  <c r="D267" i="4"/>
  <c r="C433" i="4"/>
  <c r="B430" i="4"/>
  <c r="A427" i="4"/>
  <c r="E423" i="4"/>
  <c r="C421" i="4"/>
  <c r="C419" i="4"/>
  <c r="B417" i="4"/>
  <c r="B485" i="4" s="1"/>
  <c r="A415" i="4"/>
  <c r="A413" i="4"/>
  <c r="E410" i="4"/>
  <c r="D408" i="4"/>
  <c r="D406" i="4"/>
  <c r="A402" i="4"/>
  <c r="D398" i="4"/>
  <c r="D396" i="4"/>
  <c r="C394" i="4"/>
  <c r="B392" i="4"/>
  <c r="B390" i="4"/>
  <c r="A388" i="4"/>
  <c r="E385" i="4"/>
  <c r="A384" i="4"/>
  <c r="C382" i="4"/>
  <c r="E380" i="4"/>
  <c r="B379" i="4"/>
  <c r="D377" i="4"/>
  <c r="A376" i="4"/>
  <c r="C374" i="4"/>
  <c r="E372" i="4"/>
  <c r="D365" i="4"/>
  <c r="A364" i="4"/>
  <c r="C362" i="4"/>
  <c r="E360" i="4"/>
  <c r="D357" i="4"/>
  <c r="A356" i="4"/>
  <c r="C354" i="4"/>
  <c r="E352" i="4"/>
  <c r="B351" i="4"/>
  <c r="D349" i="4"/>
  <c r="A348" i="4"/>
  <c r="C346" i="4"/>
  <c r="E344" i="4"/>
  <c r="B343" i="4"/>
  <c r="D337" i="4"/>
  <c r="A336" i="4"/>
  <c r="C334" i="4"/>
  <c r="E332" i="4"/>
  <c r="B331" i="4"/>
  <c r="C322" i="4"/>
  <c r="E320" i="4"/>
  <c r="B319" i="4"/>
  <c r="A317" i="4"/>
  <c r="A313" i="4"/>
  <c r="E295" i="4"/>
  <c r="B294" i="4"/>
  <c r="D292" i="4"/>
  <c r="A291" i="4"/>
  <c r="D432" i="4"/>
  <c r="C429" i="4"/>
  <c r="B426" i="4"/>
  <c r="C423" i="4"/>
  <c r="A421" i="4"/>
  <c r="E418" i="4"/>
  <c r="D416" i="4"/>
  <c r="D414" i="4"/>
  <c r="C412" i="4"/>
  <c r="B410" i="4"/>
  <c r="B408" i="4"/>
  <c r="A406" i="4"/>
  <c r="B400" i="4"/>
  <c r="B398" i="4"/>
  <c r="A396" i="4"/>
  <c r="E393" i="4"/>
  <c r="E391" i="4"/>
  <c r="D389" i="4"/>
  <c r="C387" i="4"/>
  <c r="C385" i="4"/>
  <c r="D383" i="4"/>
  <c r="A382" i="4"/>
  <c r="C380" i="4"/>
  <c r="E378" i="4"/>
  <c r="D375" i="4"/>
  <c r="A374" i="4"/>
  <c r="C372" i="4"/>
  <c r="E370" i="4"/>
  <c r="B365" i="4"/>
  <c r="D363" i="4"/>
  <c r="A362" i="4"/>
  <c r="E358" i="4"/>
  <c r="B357" i="4"/>
  <c r="D355" i="4"/>
  <c r="A354" i="4"/>
  <c r="C352" i="4"/>
  <c r="E350" i="4"/>
  <c r="B349" i="4"/>
  <c r="D347" i="4"/>
  <c r="A346" i="4"/>
  <c r="C344" i="4"/>
  <c r="E342" i="4"/>
  <c r="B337" i="4"/>
  <c r="D335" i="4"/>
  <c r="A334" i="4"/>
  <c r="C332" i="4"/>
  <c r="D323" i="4"/>
  <c r="A322" i="4"/>
  <c r="C320" i="4"/>
  <c r="E318" i="4"/>
  <c r="A316" i="4"/>
  <c r="A312" i="4"/>
  <c r="C295" i="4"/>
  <c r="E293" i="4"/>
  <c r="B292" i="4"/>
  <c r="D290" i="4"/>
  <c r="A289" i="4"/>
  <c r="C287" i="4"/>
  <c r="E281" i="4"/>
  <c r="B280" i="4"/>
  <c r="D272" i="4"/>
  <c r="A267" i="4"/>
  <c r="C265" i="4"/>
  <c r="E259" i="4"/>
  <c r="B258" i="4"/>
  <c r="D256" i="4"/>
  <c r="A255" i="4"/>
  <c r="C253" i="4"/>
  <c r="E251" i="4"/>
  <c r="B250" i="4"/>
  <c r="D248" i="4"/>
  <c r="A247" i="4"/>
  <c r="C245" i="4"/>
  <c r="E243" i="4"/>
  <c r="B242" i="4"/>
  <c r="D240" i="4"/>
  <c r="A239" i="4"/>
  <c r="C237" i="4"/>
  <c r="E231" i="4"/>
  <c r="B230" i="4"/>
  <c r="D228" i="4"/>
  <c r="A227" i="4"/>
  <c r="C217" i="4"/>
  <c r="E215" i="4"/>
  <c r="C432" i="4"/>
  <c r="B429" i="4"/>
  <c r="A426" i="4"/>
  <c r="A423" i="4"/>
  <c r="D420" i="4"/>
  <c r="D418" i="4"/>
  <c r="C416" i="4"/>
  <c r="B414" i="4"/>
  <c r="B412" i="4"/>
  <c r="A410" i="4"/>
  <c r="E407" i="4"/>
  <c r="B405" i="4"/>
  <c r="A400" i="4"/>
  <c r="E397" i="4"/>
  <c r="E395" i="4"/>
  <c r="D393" i="4"/>
  <c r="C391" i="4"/>
  <c r="C389" i="4"/>
  <c r="B387" i="4"/>
  <c r="A385" i="4"/>
  <c r="C383" i="4"/>
  <c r="E381" i="4"/>
  <c r="B380" i="4"/>
  <c r="D378" i="4"/>
  <c r="A377" i="4"/>
  <c r="C375" i="4"/>
  <c r="E373" i="4"/>
  <c r="B372" i="4"/>
  <c r="D370" i="4"/>
  <c r="A365" i="4"/>
  <c r="C363" i="4"/>
  <c r="B360" i="4"/>
  <c r="D358" i="4"/>
  <c r="A357" i="4"/>
  <c r="C355" i="4"/>
  <c r="E353" i="4"/>
  <c r="B352" i="4"/>
  <c r="D350" i="4"/>
  <c r="A349" i="4"/>
  <c r="C347" i="4"/>
  <c r="E345" i="4"/>
  <c r="B344" i="4"/>
  <c r="D342" i="4"/>
  <c r="A337" i="4"/>
  <c r="C335" i="4"/>
  <c r="E333" i="4"/>
  <c r="B332" i="4"/>
  <c r="A329" i="4"/>
  <c r="C323" i="4"/>
  <c r="E321" i="4"/>
  <c r="D318" i="4"/>
  <c r="B315" i="4"/>
  <c r="E296" i="4"/>
  <c r="B295" i="4"/>
  <c r="D293" i="4"/>
  <c r="C290" i="4"/>
  <c r="E288" i="4"/>
  <c r="D281" i="4"/>
  <c r="A280" i="4"/>
  <c r="C272" i="4"/>
  <c r="E266" i="4"/>
  <c r="B265" i="4"/>
  <c r="D259" i="4"/>
  <c r="A258" i="4"/>
  <c r="C256" i="4"/>
  <c r="E254" i="4"/>
  <c r="D251" i="4"/>
  <c r="A250" i="4"/>
  <c r="E246" i="4"/>
  <c r="B245" i="4"/>
  <c r="D243" i="4"/>
  <c r="A242" i="4"/>
  <c r="C240" i="4"/>
  <c r="E238" i="4"/>
  <c r="B237" i="4"/>
  <c r="D231" i="4"/>
  <c r="A230" i="4"/>
  <c r="C228" i="4"/>
  <c r="E226" i="4"/>
  <c r="B217" i="4"/>
  <c r="D215" i="4"/>
  <c r="A417" i="4"/>
  <c r="B396" i="4"/>
  <c r="D380" i="4"/>
  <c r="E363" i="4"/>
  <c r="B346" i="4"/>
  <c r="D320" i="4"/>
  <c r="C289" i="4"/>
  <c r="A281" i="4"/>
  <c r="C259" i="4"/>
  <c r="A257" i="4"/>
  <c r="C252" i="4"/>
  <c r="E247" i="4"/>
  <c r="D245" i="4"/>
  <c r="B243" i="4"/>
  <c r="B241" i="4"/>
  <c r="B239" i="4"/>
  <c r="E232" i="4"/>
  <c r="E230" i="4"/>
  <c r="E228" i="4"/>
  <c r="C226" i="4"/>
  <c r="C216" i="4"/>
  <c r="C214" i="4"/>
  <c r="E212" i="4"/>
  <c r="B211" i="4"/>
  <c r="D209" i="4"/>
  <c r="A208" i="4"/>
  <c r="C206" i="4"/>
  <c r="E204" i="4"/>
  <c r="B203" i="4"/>
  <c r="D201" i="4"/>
  <c r="A200" i="4"/>
  <c r="C198" i="4"/>
  <c r="E196" i="4"/>
  <c r="D189" i="4"/>
  <c r="A188" i="4"/>
  <c r="E184" i="4"/>
  <c r="B177" i="4"/>
  <c r="A174" i="4"/>
  <c r="C172" i="4"/>
  <c r="E169" i="4"/>
  <c r="D166" i="4"/>
  <c r="A161" i="4"/>
  <c r="C159" i="4"/>
  <c r="D154" i="4"/>
  <c r="A153" i="4"/>
  <c r="C151" i="4"/>
  <c r="E137" i="4"/>
  <c r="B136" i="4"/>
  <c r="D134" i="4"/>
  <c r="A133" i="4"/>
  <c r="C131" i="4"/>
  <c r="E123" i="4"/>
  <c r="A119" i="4"/>
  <c r="E112" i="4"/>
  <c r="C105" i="4"/>
  <c r="E103" i="4"/>
  <c r="B102" i="4"/>
  <c r="D100" i="4"/>
  <c r="A99" i="4"/>
  <c r="C97" i="4"/>
  <c r="E95" i="4"/>
  <c r="B94" i="4"/>
  <c r="D92" i="4"/>
  <c r="A91" i="4"/>
  <c r="C89" i="4"/>
  <c r="E87" i="4"/>
  <c r="B86" i="4"/>
  <c r="D84" i="4"/>
  <c r="A83" i="4"/>
  <c r="C81" i="4"/>
  <c r="E79" i="4"/>
  <c r="B78" i="4"/>
  <c r="D76" i="4"/>
  <c r="A75" i="4"/>
  <c r="E414" i="4"/>
  <c r="B394" i="4"/>
  <c r="A379" i="4"/>
  <c r="B362" i="4"/>
  <c r="C357" i="4"/>
  <c r="D344" i="4"/>
  <c r="A331" i="4"/>
  <c r="A319" i="4"/>
  <c r="B289" i="4"/>
  <c r="D280" i="4"/>
  <c r="B266" i="4"/>
  <c r="A259" i="4"/>
  <c r="E256" i="4"/>
  <c r="B254" i="4"/>
  <c r="B252" i="4"/>
  <c r="D247" i="4"/>
  <c r="A245" i="4"/>
  <c r="A243" i="4"/>
  <c r="A241" i="4"/>
  <c r="D238" i="4"/>
  <c r="D232" i="4"/>
  <c r="D230" i="4"/>
  <c r="B228" i="4"/>
  <c r="B226" i="4"/>
  <c r="B216" i="4"/>
  <c r="D212" i="4"/>
  <c r="A211" i="4"/>
  <c r="C209" i="4"/>
  <c r="E207" i="4"/>
  <c r="B206" i="4"/>
  <c r="D204" i="4"/>
  <c r="A203" i="4"/>
  <c r="C201" i="4"/>
  <c r="E199" i="4"/>
  <c r="B198" i="4"/>
  <c r="D196" i="4"/>
  <c r="A195" i="4"/>
  <c r="C189" i="4"/>
  <c r="D184" i="4"/>
  <c r="A177" i="4"/>
  <c r="B172" i="4"/>
  <c r="D169" i="4"/>
  <c r="A168" i="4"/>
  <c r="C166" i="4"/>
  <c r="E160" i="4"/>
  <c r="B159" i="4"/>
  <c r="C154" i="4"/>
  <c r="E152" i="4"/>
  <c r="B151" i="4"/>
  <c r="D137" i="4"/>
  <c r="A136" i="4"/>
  <c r="C134" i="4"/>
  <c r="E132" i="4"/>
  <c r="B131" i="4"/>
  <c r="D123" i="4"/>
  <c r="A122" i="4"/>
  <c r="C120" i="4"/>
  <c r="D112" i="4"/>
  <c r="E106" i="4"/>
  <c r="B105" i="4"/>
  <c r="D103" i="4"/>
  <c r="A102" i="4"/>
  <c r="C100" i="4"/>
  <c r="E98" i="4"/>
  <c r="B97" i="4"/>
  <c r="D95" i="4"/>
  <c r="A94" i="4"/>
  <c r="C92" i="4"/>
  <c r="E90" i="4"/>
  <c r="B89" i="4"/>
  <c r="D87" i="4"/>
  <c r="C84" i="4"/>
  <c r="E82" i="4"/>
  <c r="B81" i="4"/>
  <c r="D79" i="4"/>
  <c r="A78" i="4"/>
  <c r="C76" i="4"/>
  <c r="B433" i="4"/>
  <c r="D412" i="4"/>
  <c r="A392" i="4"/>
  <c r="C377" i="4"/>
  <c r="E355" i="4"/>
  <c r="A343" i="4"/>
  <c r="B316" i="4"/>
  <c r="B288" i="4"/>
  <c r="C280" i="4"/>
  <c r="E265" i="4"/>
  <c r="E258" i="4"/>
  <c r="B256" i="4"/>
  <c r="A254" i="4"/>
  <c r="C249" i="4"/>
  <c r="C247" i="4"/>
  <c r="E244" i="4"/>
  <c r="E242" i="4"/>
  <c r="E240" i="4"/>
  <c r="C238" i="4"/>
  <c r="C232" i="4"/>
  <c r="C230" i="4"/>
  <c r="A228" i="4"/>
  <c r="A226" i="4"/>
  <c r="A216" i="4"/>
  <c r="A214" i="4"/>
  <c r="C212" i="4"/>
  <c r="E210" i="4"/>
  <c r="B209" i="4"/>
  <c r="D207" i="4"/>
  <c r="A206" i="4"/>
  <c r="C204" i="4"/>
  <c r="E202" i="4"/>
  <c r="D199" i="4"/>
  <c r="A198" i="4"/>
  <c r="C196" i="4"/>
  <c r="E190" i="4"/>
  <c r="B189" i="4"/>
  <c r="A186" i="4"/>
  <c r="C184" i="4"/>
  <c r="A172" i="4"/>
  <c r="C169" i="4"/>
  <c r="E167" i="4"/>
  <c r="B166" i="4"/>
  <c r="D160" i="4"/>
  <c r="A159" i="4"/>
  <c r="E155" i="4"/>
  <c r="B154" i="4"/>
  <c r="D152" i="4"/>
  <c r="A151" i="4"/>
  <c r="C137" i="4"/>
  <c r="E135" i="4"/>
  <c r="D132" i="4"/>
  <c r="A131" i="4"/>
  <c r="C123" i="4"/>
  <c r="E121" i="4"/>
  <c r="B120" i="4"/>
  <c r="C112" i="4"/>
  <c r="D106" i="4"/>
  <c r="A105" i="4"/>
  <c r="C103" i="4"/>
  <c r="E101" i="4"/>
  <c r="B100" i="4"/>
  <c r="D98" i="4"/>
  <c r="A97" i="4"/>
  <c r="C95" i="4"/>
  <c r="E93" i="4"/>
  <c r="B92" i="4"/>
  <c r="D90" i="4"/>
  <c r="A89" i="4"/>
  <c r="A430" i="4"/>
  <c r="D410" i="4"/>
  <c r="E389" i="4"/>
  <c r="E375" i="4"/>
  <c r="B354" i="4"/>
  <c r="C337" i="4"/>
  <c r="B312" i="4"/>
  <c r="E287" i="4"/>
  <c r="C275" i="4"/>
  <c r="D265" i="4"/>
  <c r="D258" i="4"/>
  <c r="E253" i="4"/>
  <c r="C251" i="4"/>
  <c r="B249" i="4"/>
  <c r="B247" i="4"/>
  <c r="D244" i="4"/>
  <c r="D242" i="4"/>
  <c r="B240" i="4"/>
  <c r="B238" i="4"/>
  <c r="B232" i="4"/>
  <c r="E229" i="4"/>
  <c r="E227" i="4"/>
  <c r="E217" i="4"/>
  <c r="C215" i="4"/>
  <c r="E213" i="4"/>
  <c r="B212" i="4"/>
  <c r="D210" i="4"/>
  <c r="A209" i="4"/>
  <c r="C207" i="4"/>
  <c r="E205" i="4"/>
  <c r="B204" i="4"/>
  <c r="D202" i="4"/>
  <c r="A201" i="4"/>
  <c r="C199" i="4"/>
  <c r="E197" i="4"/>
  <c r="D190" i="4"/>
  <c r="A189" i="4"/>
  <c r="B184" i="4"/>
  <c r="A175" i="4"/>
  <c r="E171" i="4"/>
  <c r="B169" i="4"/>
  <c r="D167" i="4"/>
  <c r="A166" i="4"/>
  <c r="C160" i="4"/>
  <c r="D155" i="4"/>
  <c r="A154" i="4"/>
  <c r="C152" i="4"/>
  <c r="E150" i="4"/>
  <c r="B137" i="4"/>
  <c r="D135" i="4"/>
  <c r="A134" i="4"/>
  <c r="C132" i="4"/>
  <c r="E129" i="4"/>
  <c r="B123" i="4"/>
  <c r="D121" i="4"/>
  <c r="A120" i="4"/>
  <c r="A112" i="4"/>
  <c r="C106" i="4"/>
  <c r="E104" i="4"/>
  <c r="B103" i="4"/>
  <c r="D101" i="4"/>
  <c r="A100" i="4"/>
  <c r="C98" i="4"/>
  <c r="E96" i="4"/>
  <c r="B95" i="4"/>
  <c r="D93" i="4"/>
  <c r="A92" i="4"/>
  <c r="C90" i="4"/>
  <c r="E88" i="4"/>
  <c r="D85" i="4"/>
  <c r="A84" i="4"/>
  <c r="C82" i="4"/>
  <c r="E80" i="4"/>
  <c r="B79" i="4"/>
  <c r="D77" i="4"/>
  <c r="A76" i="4"/>
  <c r="C74" i="4"/>
  <c r="E72" i="4"/>
  <c r="B71" i="4"/>
  <c r="D69" i="4"/>
  <c r="A68" i="4"/>
  <c r="C66" i="4"/>
  <c r="E64" i="4"/>
  <c r="B63" i="4"/>
  <c r="D61" i="4"/>
  <c r="A60" i="4"/>
  <c r="C58" i="4"/>
  <c r="E56" i="4"/>
  <c r="B55" i="4"/>
  <c r="D53" i="4"/>
  <c r="A52" i="4"/>
  <c r="C50" i="4"/>
  <c r="E48" i="4"/>
  <c r="B42" i="4"/>
  <c r="D40" i="4"/>
  <c r="A39" i="4"/>
  <c r="C37" i="4"/>
  <c r="E35" i="4"/>
  <c r="D32" i="4"/>
  <c r="A31" i="4"/>
  <c r="C29" i="4"/>
  <c r="D24" i="4"/>
  <c r="A21" i="4"/>
  <c r="C19" i="4"/>
  <c r="E17" i="4"/>
  <c r="B16" i="4"/>
  <c r="D14" i="4"/>
  <c r="A13" i="4"/>
  <c r="C11" i="4"/>
  <c r="E9" i="4"/>
  <c r="E426" i="4"/>
  <c r="C408" i="4"/>
  <c r="E387" i="4"/>
  <c r="B374" i="4"/>
  <c r="D360" i="4"/>
  <c r="D352" i="4"/>
  <c r="E335" i="4"/>
  <c r="D295" i="4"/>
  <c r="D287" i="4"/>
  <c r="A275" i="4"/>
  <c r="D260" i="4"/>
  <c r="C258" i="4"/>
  <c r="D253" i="4"/>
  <c r="A251" i="4"/>
  <c r="A249" i="4"/>
  <c r="D246" i="4"/>
  <c r="C244" i="4"/>
  <c r="C242" i="4"/>
  <c r="A240" i="4"/>
  <c r="A238" i="4"/>
  <c r="A232" i="4"/>
  <c r="D229" i="4"/>
  <c r="D227" i="4"/>
  <c r="D217" i="4"/>
  <c r="D213" i="4"/>
  <c r="A212" i="4"/>
  <c r="C210" i="4"/>
  <c r="E208" i="4"/>
  <c r="B207" i="4"/>
  <c r="D205" i="4"/>
  <c r="A204" i="4"/>
  <c r="C202" i="4"/>
  <c r="E200" i="4"/>
  <c r="B199" i="4"/>
  <c r="D197" i="4"/>
  <c r="A196" i="4"/>
  <c r="C190" i="4"/>
  <c r="A184" i="4"/>
  <c r="C176" i="4"/>
  <c r="D171" i="4"/>
  <c r="A169" i="4"/>
  <c r="C167" i="4"/>
  <c r="E161" i="4"/>
  <c r="B160" i="4"/>
  <c r="A157" i="4"/>
  <c r="C155" i="4"/>
  <c r="E153" i="4"/>
  <c r="B152" i="4"/>
  <c r="D150" i="4"/>
  <c r="A137" i="4"/>
  <c r="C135" i="4"/>
  <c r="E133" i="4"/>
  <c r="B132" i="4"/>
  <c r="D129" i="4"/>
  <c r="A123" i="4"/>
  <c r="C121" i="4"/>
  <c r="E119" i="4"/>
  <c r="E111" i="4"/>
  <c r="B106" i="4"/>
  <c r="D104" i="4"/>
  <c r="A103" i="4"/>
  <c r="C101" i="4"/>
  <c r="E99" i="4"/>
  <c r="B98" i="4"/>
  <c r="D96" i="4"/>
  <c r="A95" i="4"/>
  <c r="C93" i="4"/>
  <c r="E91" i="4"/>
  <c r="B90" i="4"/>
  <c r="B421" i="4"/>
  <c r="B401" i="4"/>
  <c r="E383" i="4"/>
  <c r="A371" i="4"/>
  <c r="C349" i="4"/>
  <c r="D332" i="4"/>
  <c r="E323" i="4"/>
  <c r="C292" i="4"/>
  <c r="B283" i="4"/>
  <c r="E267" i="4"/>
  <c r="B260" i="4"/>
  <c r="C257" i="4"/>
  <c r="B255" i="4"/>
  <c r="A253" i="4"/>
  <c r="D250" i="4"/>
  <c r="A246" i="4"/>
  <c r="A244" i="4"/>
  <c r="D241" i="4"/>
  <c r="D239" i="4"/>
  <c r="D237" i="4"/>
  <c r="B231" i="4"/>
  <c r="B227" i="4"/>
  <c r="E216" i="4"/>
  <c r="E214" i="4"/>
  <c r="B213" i="4"/>
  <c r="D211" i="4"/>
  <c r="A210" i="4"/>
  <c r="C208" i="4"/>
  <c r="E206" i="4"/>
  <c r="B205" i="4"/>
  <c r="D203" i="4"/>
  <c r="A202" i="4"/>
  <c r="C200" i="4"/>
  <c r="E198" i="4"/>
  <c r="B197" i="4"/>
  <c r="D195" i="4"/>
  <c r="A190" i="4"/>
  <c r="C188" i="4"/>
  <c r="D177" i="4"/>
  <c r="A176" i="4"/>
  <c r="E172" i="4"/>
  <c r="B171" i="4"/>
  <c r="D168" i="4"/>
  <c r="A167" i="4"/>
  <c r="C161" i="4"/>
  <c r="A155" i="4"/>
  <c r="C153" i="4"/>
  <c r="E151" i="4"/>
  <c r="B150" i="4"/>
  <c r="D136" i="4"/>
  <c r="A135" i="4"/>
  <c r="C133" i="4"/>
  <c r="E131" i="4"/>
  <c r="B129" i="4"/>
  <c r="D122" i="4"/>
  <c r="A121" i="4"/>
  <c r="C111" i="4"/>
  <c r="E105" i="4"/>
  <c r="B104" i="4"/>
  <c r="D102" i="4"/>
  <c r="A101" i="4"/>
  <c r="C99" i="4"/>
  <c r="E97" i="4"/>
  <c r="B96" i="4"/>
  <c r="D94" i="4"/>
  <c r="A93" i="4"/>
  <c r="C91" i="4"/>
  <c r="B88" i="4"/>
  <c r="D86" i="4"/>
  <c r="A85" i="4"/>
  <c r="C83" i="4"/>
  <c r="E81" i="4"/>
  <c r="B80" i="4"/>
  <c r="D78" i="4"/>
  <c r="A77" i="4"/>
  <c r="C75" i="4"/>
  <c r="E73" i="4"/>
  <c r="B72" i="4"/>
  <c r="A69" i="4"/>
  <c r="C67" i="4"/>
  <c r="E65" i="4"/>
  <c r="B64" i="4"/>
  <c r="D62" i="4"/>
  <c r="A61" i="4"/>
  <c r="C59" i="4"/>
  <c r="E57" i="4"/>
  <c r="B56" i="4"/>
  <c r="A53" i="4"/>
  <c r="C51" i="4"/>
  <c r="E49" i="4"/>
  <c r="B48" i="4"/>
  <c r="D41" i="4"/>
  <c r="A40" i="4"/>
  <c r="C38" i="4"/>
  <c r="E36" i="4"/>
  <c r="D33" i="4"/>
  <c r="A32" i="4"/>
  <c r="C30" i="4"/>
  <c r="E28" i="4"/>
  <c r="D25" i="4"/>
  <c r="C20" i="4"/>
  <c r="E18" i="4"/>
  <c r="B17" i="4"/>
  <c r="D15" i="4"/>
  <c r="A14" i="4"/>
  <c r="C12" i="4"/>
  <c r="E10" i="4"/>
  <c r="B9" i="4"/>
  <c r="A419" i="4"/>
  <c r="C398" i="4"/>
  <c r="B382" i="4"/>
  <c r="C365" i="4"/>
  <c r="A359" i="4"/>
  <c r="E347" i="4"/>
  <c r="B322" i="4"/>
  <c r="E290" i="4"/>
  <c r="A283" i="4"/>
  <c r="C267" i="4"/>
  <c r="A260" i="4"/>
  <c r="B257" i="4"/>
  <c r="D254" i="4"/>
  <c r="D252" i="4"/>
  <c r="C250" i="4"/>
  <c r="B248" i="4"/>
  <c r="E245" i="4"/>
  <c r="C243" i="4"/>
  <c r="C241" i="4"/>
  <c r="C239" i="4"/>
  <c r="A237" i="4"/>
  <c r="A231" i="4"/>
  <c r="D226" i="4"/>
  <c r="D216" i="4"/>
  <c r="D214" i="4"/>
  <c r="A213" i="4"/>
  <c r="C211" i="4"/>
  <c r="E209" i="4"/>
  <c r="D206" i="4"/>
  <c r="A205" i="4"/>
  <c r="C203" i="4"/>
  <c r="E201" i="4"/>
  <c r="B200" i="4"/>
  <c r="D198" i="4"/>
  <c r="A197" i="4"/>
  <c r="C195" i="4"/>
  <c r="E189" i="4"/>
  <c r="B188" i="4"/>
  <c r="C177" i="4"/>
  <c r="D172" i="4"/>
  <c r="A171" i="4"/>
  <c r="C168" i="4"/>
  <c r="E166" i="4"/>
  <c r="B161" i="4"/>
  <c r="A158" i="4"/>
  <c r="E154" i="4"/>
  <c r="B153" i="4"/>
  <c r="D151" i="4"/>
  <c r="A150" i="4"/>
  <c r="C136" i="4"/>
  <c r="E134" i="4"/>
  <c r="B133" i="4"/>
  <c r="D131" i="4"/>
  <c r="A129" i="4"/>
  <c r="C122" i="4"/>
  <c r="B119" i="4"/>
  <c r="B111" i="4"/>
  <c r="D105" i="4"/>
  <c r="A104" i="4"/>
  <c r="C102" i="4"/>
  <c r="E100" i="4"/>
  <c r="B99" i="4"/>
  <c r="D97" i="4"/>
  <c r="A96" i="4"/>
  <c r="C94" i="4"/>
  <c r="E92" i="4"/>
  <c r="B91" i="4"/>
  <c r="A88" i="4"/>
  <c r="C86" i="4"/>
  <c r="E84" i="4"/>
  <c r="B83" i="4"/>
  <c r="D81" i="4"/>
  <c r="A80" i="4"/>
  <c r="C78" i="4"/>
  <c r="E76" i="4"/>
  <c r="B75" i="4"/>
  <c r="D73" i="4"/>
  <c r="A72" i="4"/>
  <c r="C70" i="4"/>
  <c r="E68" i="4"/>
  <c r="B67" i="4"/>
  <c r="C231" i="4"/>
  <c r="D208" i="4"/>
  <c r="E195" i="4"/>
  <c r="E136" i="4"/>
  <c r="A106" i="4"/>
  <c r="B93" i="4"/>
  <c r="E83" i="4"/>
  <c r="C79" i="4"/>
  <c r="D75" i="4"/>
  <c r="D72" i="4"/>
  <c r="B70" i="4"/>
  <c r="E67" i="4"/>
  <c r="C65" i="4"/>
  <c r="C63" i="4"/>
  <c r="B61" i="4"/>
  <c r="A59" i="4"/>
  <c r="A57" i="4"/>
  <c r="E52" i="4"/>
  <c r="E50" i="4"/>
  <c r="D48" i="4"/>
  <c r="C41" i="4"/>
  <c r="C39" i="4"/>
  <c r="B37" i="4"/>
  <c r="A35" i="4"/>
  <c r="A33" i="4"/>
  <c r="E30" i="4"/>
  <c r="D28" i="4"/>
  <c r="E26" i="4"/>
  <c r="E24" i="4"/>
  <c r="E20" i="4"/>
  <c r="D18" i="4"/>
  <c r="D16" i="4"/>
  <c r="C14" i="4"/>
  <c r="B12" i="4"/>
  <c r="B10" i="4"/>
  <c r="A7" i="4"/>
  <c r="D88" i="4"/>
  <c r="B15" i="4"/>
  <c r="E248" i="4"/>
  <c r="C229" i="4"/>
  <c r="A207" i="4"/>
  <c r="B190" i="4"/>
  <c r="E177" i="4"/>
  <c r="C171" i="4"/>
  <c r="B135" i="4"/>
  <c r="D119" i="4"/>
  <c r="C104" i="4"/>
  <c r="D91" i="4"/>
  <c r="A87" i="4"/>
  <c r="D83" i="4"/>
  <c r="A79" i="4"/>
  <c r="E74" i="4"/>
  <c r="C72" i="4"/>
  <c r="A70" i="4"/>
  <c r="D67" i="4"/>
  <c r="B65" i="4"/>
  <c r="A63" i="4"/>
  <c r="E60" i="4"/>
  <c r="E58" i="4"/>
  <c r="D56" i="4"/>
  <c r="D52" i="4"/>
  <c r="D50" i="4"/>
  <c r="C48" i="4"/>
  <c r="B41" i="4"/>
  <c r="B39" i="4"/>
  <c r="A37" i="4"/>
  <c r="E34" i="4"/>
  <c r="E32" i="4"/>
  <c r="D30" i="4"/>
  <c r="C28" i="4"/>
  <c r="D26" i="4"/>
  <c r="C24" i="4"/>
  <c r="D20" i="4"/>
  <c r="C18" i="4"/>
  <c r="A12" i="4"/>
  <c r="E122" i="4"/>
  <c r="D31" i="4"/>
  <c r="D423" i="4"/>
  <c r="C255" i="4"/>
  <c r="C227" i="4"/>
  <c r="C205" i="4"/>
  <c r="E168" i="4"/>
  <c r="D133" i="4"/>
  <c r="E102" i="4"/>
  <c r="A90" i="4"/>
  <c r="E86" i="4"/>
  <c r="D82" i="4"/>
  <c r="E78" i="4"/>
  <c r="D74" i="4"/>
  <c r="E71" i="4"/>
  <c r="E69" i="4"/>
  <c r="A65" i="4"/>
  <c r="E62" i="4"/>
  <c r="D60" i="4"/>
  <c r="D58" i="4"/>
  <c r="C56" i="4"/>
  <c r="C54" i="4"/>
  <c r="C52" i="4"/>
  <c r="B50" i="4"/>
  <c r="A48" i="4"/>
  <c r="A41" i="4"/>
  <c r="E38" i="4"/>
  <c r="D36" i="4"/>
  <c r="D34" i="4"/>
  <c r="C32" i="4"/>
  <c r="B18" i="4"/>
  <c r="A16" i="4"/>
  <c r="E13" i="4"/>
  <c r="E11" i="4"/>
  <c r="D9" i="4"/>
  <c r="C85" i="4"/>
  <c r="A64" i="4"/>
  <c r="D51" i="4"/>
  <c r="A36" i="4"/>
  <c r="C17" i="4"/>
  <c r="B406" i="4"/>
  <c r="A351" i="4"/>
  <c r="A294" i="4"/>
  <c r="B246" i="4"/>
  <c r="A217" i="4"/>
  <c r="E203" i="4"/>
  <c r="B167" i="4"/>
  <c r="A132" i="4"/>
  <c r="B101" i="4"/>
  <c r="B82" i="4"/>
  <c r="E77" i="4"/>
  <c r="B74" i="4"/>
  <c r="D71" i="4"/>
  <c r="E66" i="4"/>
  <c r="D64" i="4"/>
  <c r="C62" i="4"/>
  <c r="C60" i="4"/>
  <c r="B58" i="4"/>
  <c r="A56" i="4"/>
  <c r="B54" i="4"/>
  <c r="A50" i="4"/>
  <c r="E42" i="4"/>
  <c r="E40" i="4"/>
  <c r="D38" i="4"/>
  <c r="C36" i="4"/>
  <c r="C34" i="4"/>
  <c r="A30" i="4"/>
  <c r="A28" i="4"/>
  <c r="A26" i="4"/>
  <c r="A20" i="4"/>
  <c r="A18" i="4"/>
  <c r="E15" i="4"/>
  <c r="D13" i="4"/>
  <c r="D11" i="4"/>
  <c r="C9" i="4"/>
  <c r="E19" i="4"/>
  <c r="C15" i="4"/>
  <c r="C13" i="4"/>
  <c r="A9" i="4"/>
  <c r="D372" i="4"/>
  <c r="E272" i="4"/>
  <c r="E241" i="4"/>
  <c r="C213" i="4"/>
  <c r="D200" i="4"/>
  <c r="A160" i="4"/>
  <c r="D153" i="4"/>
  <c r="A98" i="4"/>
  <c r="A81" i="4"/>
  <c r="A71" i="4"/>
  <c r="D68" i="4"/>
  <c r="E59" i="4"/>
  <c r="E53" i="4"/>
  <c r="A38" i="4"/>
  <c r="C25" i="4"/>
  <c r="D19" i="4"/>
  <c r="E7" i="4"/>
  <c r="D385" i="4"/>
  <c r="B334" i="4"/>
  <c r="D283" i="4"/>
  <c r="B244" i="4"/>
  <c r="A215" i="4"/>
  <c r="B202" i="4"/>
  <c r="B176" i="4"/>
  <c r="D161" i="4"/>
  <c r="B155" i="4"/>
  <c r="C129" i="4"/>
  <c r="D99" i="4"/>
  <c r="E85" i="4"/>
  <c r="A82" i="4"/>
  <c r="C77" i="4"/>
  <c r="A74" i="4"/>
  <c r="C71" i="4"/>
  <c r="B69" i="4"/>
  <c r="D66" i="4"/>
  <c r="C64" i="4"/>
  <c r="B62" i="4"/>
  <c r="B60" i="4"/>
  <c r="A58" i="4"/>
  <c r="E55" i="4"/>
  <c r="A54" i="4"/>
  <c r="E51" i="4"/>
  <c r="D49" i="4"/>
  <c r="D42" i="4"/>
  <c r="C40" i="4"/>
  <c r="B38" i="4"/>
  <c r="B36" i="4"/>
  <c r="A34" i="4"/>
  <c r="E31" i="4"/>
  <c r="E29" i="4"/>
  <c r="E25" i="4"/>
  <c r="E21" i="4"/>
  <c r="D17" i="4"/>
  <c r="B11" i="4"/>
  <c r="B77" i="4"/>
  <c r="A62" i="4"/>
  <c r="C42" i="4"/>
  <c r="D29" i="4"/>
  <c r="A11" i="4"/>
  <c r="C260" i="4"/>
  <c r="E250" i="4"/>
  <c r="E239" i="4"/>
  <c r="E211" i="4"/>
  <c r="A199" i="4"/>
  <c r="A152" i="4"/>
  <c r="B121" i="4"/>
  <c r="C96" i="4"/>
  <c r="B85" i="4"/>
  <c r="D80" i="4"/>
  <c r="B76" i="4"/>
  <c r="B73" i="4"/>
  <c r="C68" i="4"/>
  <c r="A66" i="4"/>
  <c r="E63" i="4"/>
  <c r="E61" i="4"/>
  <c r="D59" i="4"/>
  <c r="C57" i="4"/>
  <c r="C55" i="4"/>
  <c r="B51" i="4"/>
  <c r="B49" i="4"/>
  <c r="A42" i="4"/>
  <c r="E39" i="4"/>
  <c r="E37" i="4"/>
  <c r="D35" i="4"/>
  <c r="C33" i="4"/>
  <c r="C31" i="4"/>
  <c r="C27" i="4"/>
  <c r="C21" i="4"/>
  <c r="B19" i="4"/>
  <c r="A17" i="4"/>
  <c r="A15" i="4"/>
  <c r="E12" i="4"/>
  <c r="D10" i="4"/>
  <c r="D7" i="4"/>
  <c r="D12" i="4"/>
  <c r="C16" i="4"/>
  <c r="A10" i="4"/>
  <c r="A6" i="4"/>
  <c r="C73" i="4"/>
  <c r="B66" i="4"/>
  <c r="D57" i="4"/>
  <c r="D55" i="4"/>
  <c r="E33" i="4"/>
  <c r="D21" i="4"/>
  <c r="B13" i="4"/>
  <c r="E257" i="4"/>
  <c r="E237" i="4"/>
  <c r="B210" i="4"/>
  <c r="C197" i="4"/>
  <c r="A187" i="4"/>
  <c r="C150" i="4"/>
  <c r="D111" i="4"/>
  <c r="E94" i="4"/>
  <c r="C87" i="4"/>
  <c r="B84" i="4"/>
  <c r="C80" i="4"/>
  <c r="E75" i="4"/>
  <c r="A73" i="4"/>
  <c r="D65" i="4"/>
  <c r="D63" i="4"/>
  <c r="C61" i="4"/>
  <c r="B59" i="4"/>
  <c r="B57" i="4"/>
  <c r="A55" i="4"/>
  <c r="B53" i="4"/>
  <c r="A49" i="4"/>
  <c r="E41" i="4"/>
  <c r="D39" i="4"/>
  <c r="D37" i="4"/>
  <c r="C35" i="4"/>
  <c r="A29" i="4"/>
  <c r="A27" i="4"/>
  <c r="A25" i="4"/>
  <c r="A19" i="4"/>
  <c r="E16" i="4"/>
  <c r="E14" i="4"/>
  <c r="C10" i="4"/>
  <c r="C7" i="4"/>
  <c r="C49" i="4"/>
  <c r="B2" i="33"/>
  <c r="B2" i="37"/>
  <c r="B2" i="32"/>
  <c r="B2" i="29"/>
  <c r="A508" i="4"/>
  <c r="A485" i="4"/>
  <c r="B2" i="28"/>
  <c r="B2" i="25"/>
  <c r="B2" i="22"/>
  <c r="B2" i="21"/>
  <c r="B2" i="6"/>
  <c r="B2" i="2"/>
  <c r="B2" i="9"/>
  <c r="C176" i="12"/>
  <c r="AC187" i="12"/>
  <c r="AE187" i="12" s="1"/>
  <c r="A219" i="4" l="1"/>
  <c r="A229" i="4" s="1"/>
  <c r="A86" i="4"/>
  <c r="C53" i="4"/>
  <c r="E70" i="4"/>
  <c r="B52" i="4"/>
  <c r="E361" i="4"/>
  <c r="D361" i="4"/>
  <c r="C69" i="4"/>
  <c r="C360" i="4"/>
  <c r="E89" i="4"/>
  <c r="B68" i="4"/>
  <c r="B359" i="4"/>
  <c r="D89" i="4"/>
  <c r="A67" i="4"/>
  <c r="A358" i="4"/>
  <c r="C88" i="4"/>
  <c r="E54" i="4"/>
  <c r="A51" i="4"/>
  <c r="B87" i="4"/>
  <c r="D54" i="4"/>
  <c r="D70" i="4"/>
  <c r="C59" i="5"/>
  <c r="C54" i="5"/>
  <c r="C53" i="5"/>
  <c r="C51" i="5"/>
  <c r="C11" i="5"/>
  <c r="C27" i="5"/>
  <c r="C70" i="5"/>
  <c r="C36" i="5"/>
  <c r="C35" i="5"/>
  <c r="C23" i="5"/>
  <c r="C66" i="5"/>
  <c r="C50" i="5"/>
  <c r="C21" i="5"/>
  <c r="C60" i="5"/>
  <c r="C56" i="5"/>
  <c r="C76" i="5"/>
  <c r="C58" i="5"/>
  <c r="C46" i="5"/>
  <c r="C37" i="5"/>
  <c r="C74" i="5"/>
  <c r="C13" i="5"/>
  <c r="C61" i="5"/>
  <c r="C30" i="5"/>
  <c r="C85" i="5"/>
  <c r="C73" i="5"/>
  <c r="C43" i="5"/>
  <c r="C6" i="5"/>
  <c r="C42" i="5"/>
  <c r="C55" i="5"/>
  <c r="C15" i="5"/>
  <c r="C4" i="5"/>
  <c r="C40" i="5"/>
  <c r="C32" i="5"/>
  <c r="C72" i="5"/>
  <c r="C8" i="5"/>
  <c r="C57" i="5"/>
  <c r="C45" i="5"/>
  <c r="C69" i="5"/>
  <c r="C67" i="5"/>
  <c r="C88" i="5"/>
  <c r="C22" i="5"/>
  <c r="C65" i="5"/>
  <c r="C29" i="5"/>
  <c r="C17" i="5"/>
  <c r="C16" i="5"/>
  <c r="C5" i="5"/>
  <c r="C10" i="5"/>
  <c r="C49" i="5"/>
  <c r="C18" i="5"/>
  <c r="C26" i="5"/>
  <c r="C14" i="5"/>
  <c r="C62" i="5"/>
  <c r="C31" i="5"/>
  <c r="C12" i="5"/>
  <c r="C7" i="5"/>
  <c r="C86" i="5"/>
  <c r="C68" i="5"/>
  <c r="C41" i="5"/>
  <c r="C75" i="5"/>
  <c r="C87" i="5"/>
  <c r="B39" i="5"/>
  <c r="AF187" i="12"/>
  <c r="AC189" i="12"/>
  <c r="B48" i="5" l="1"/>
  <c r="B20" i="5"/>
  <c r="B64" i="5"/>
  <c r="B78" i="5"/>
  <c r="C77" i="5"/>
  <c r="C25" i="5"/>
  <c r="C38" i="5"/>
  <c r="C39" i="5" s="1"/>
  <c r="C71" i="5"/>
  <c r="C28" i="5"/>
  <c r="C44" i="5"/>
  <c r="C33" i="5"/>
  <c r="C52" i="5"/>
  <c r="C9" i="5"/>
  <c r="C19" i="5"/>
  <c r="C63" i="5"/>
  <c r="C47" i="5"/>
  <c r="AC3858" i="12"/>
  <c r="AC4036" i="12" s="1"/>
  <c r="AC4219" i="12" s="1"/>
  <c r="AE189" i="12"/>
  <c r="AG187" i="12"/>
  <c r="B82" i="5" l="1"/>
  <c r="B90" i="5" s="1"/>
  <c r="C34" i="5"/>
  <c r="C64" i="5"/>
  <c r="C78" i="5"/>
  <c r="C20" i="5"/>
  <c r="C48" i="5"/>
  <c r="AE3858" i="12"/>
  <c r="AE4036" i="12" s="1"/>
  <c r="AE4219" i="12" s="1"/>
  <c r="AF189" i="12"/>
  <c r="C82" i="5" l="1"/>
  <c r="AG189" i="12"/>
  <c r="AG3858" i="12" s="1"/>
  <c r="AG4036" i="12" s="1"/>
  <c r="AG4219" i="12" s="1"/>
  <c r="AF3858" i="12"/>
  <c r="AF4036" i="12" s="1"/>
  <c r="AF4219" i="12" s="1"/>
  <c r="C9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tc={16FB7B73-EA4A-4E4F-ADAC-13725BDDDFF4}</author>
  </authors>
  <commentList>
    <comment ref="B114" authorId="0" shapeId="0" xr:uid="{00000000-0006-0000-1C00-000001000000}">
      <text>
        <t>[Threaded comment]
Your version of Excel allows you to read this threaded comment; however, any edits to it will get removed if the file is opened in a newer version of Excel. Learn more: https://go.microsoft.com/fwlink/?linkid=870924
Comment:
    Not changing</t>
      </text>
    </comment>
  </commentList>
</comments>
</file>

<file path=xl/sharedStrings.xml><?xml version="1.0" encoding="utf-8"?>
<sst xmlns="http://schemas.openxmlformats.org/spreadsheetml/2006/main" count="105519" uniqueCount="5746">
  <si>
    <t>Oxford City Council</t>
  </si>
  <si>
    <t>General Fund Outturn Report 23/24 @ 31 March 2024</t>
  </si>
  <si>
    <t>Approved Budget (per Budget book)</t>
  </si>
  <si>
    <t>Previous Months Budget</t>
  </si>
  <si>
    <t>Cumulative Reserve Transfers (Previous Months)</t>
  </si>
  <si>
    <t>Current Month Reserve Transfers</t>
  </si>
  <si>
    <t>Cumulative Corporate A/C Transfers (Previous Months)</t>
  </si>
  <si>
    <t>Current Month Corporate A/C Transfers</t>
  </si>
  <si>
    <t>Cumulative Virements (Previous Months)</t>
  </si>
  <si>
    <t>Current Virements</t>
  </si>
  <si>
    <t>Total Movements to Date</t>
  </si>
  <si>
    <t>Current Month Virements &amp; Ear Marked Reserve Transfers</t>
  </si>
  <si>
    <t>Total Virements &amp; Ear Marked Reserve Transfers year to date</t>
  </si>
  <si>
    <t>Latest Budget</t>
  </si>
  <si>
    <t>Expenditure</t>
  </si>
  <si>
    <t>Income</t>
  </si>
  <si>
    <t>Actual YTD</t>
  </si>
  <si>
    <t>Budget YTD</t>
  </si>
  <si>
    <t>Variance YTD</t>
  </si>
  <si>
    <t>% Budget Spent to date</t>
  </si>
  <si>
    <t>Projected Outturn against Latest Budget</t>
  </si>
  <si>
    <t>P12 forecast to actual YTD.</t>
  </si>
  <si>
    <t xml:space="preserve">Comments </t>
  </si>
  <si>
    <t xml:space="preserve">NR Comments </t>
  </si>
  <si>
    <t>PO Variance</t>
  </si>
  <si>
    <t>PO Variance (Prev Month)</t>
  </si>
  <si>
    <t>PO Variance Mvt from Previous Month</t>
  </si>
  <si>
    <t>PO Variance (Prev Quarter)</t>
  </si>
  <si>
    <t>PO Variance Mvt from Previous Quarter</t>
  </si>
  <si>
    <t>Carry Forward Requests</t>
  </si>
  <si>
    <t>Other Adjustments</t>
  </si>
  <si>
    <t>Total Adjustments</t>
  </si>
  <si>
    <t>Revised Outturn</t>
  </si>
  <si>
    <t>Final Variance</t>
  </si>
  <si>
    <t>£000's</t>
  </si>
  <si>
    <t>%</t>
  </si>
  <si>
    <t>S13D - Strategy &amp; Service Development</t>
  </si>
  <si>
    <t>S13L - Garages (Landlord Services)</t>
  </si>
  <si>
    <t>S13S - Homelessness Prevention</t>
  </si>
  <si>
    <t>S13T - Rapid Re-Housing</t>
  </si>
  <si>
    <t>S13U - Rough Sleeping &amp; Single Homelessness</t>
  </si>
  <si>
    <t>S13X - S13 cost centres closed or with past period to</t>
  </si>
  <si>
    <t>∞</t>
  </si>
  <si>
    <t>S13 - Housing Services</t>
  </si>
  <si>
    <t>S15C - Community Safety</t>
  </si>
  <si>
    <t>S15 - Community Safety</t>
  </si>
  <si>
    <t>S22A - Leisure Management</t>
  </si>
  <si>
    <t>S22C - Sport and Physical Activity</t>
  </si>
  <si>
    <t>S22G - Parks Development</t>
  </si>
  <si>
    <t>S22I - Community Centres</t>
  </si>
  <si>
    <t>S22J - Youth Ambition</t>
  </si>
  <si>
    <t>S22K - Town Hall &amp; Facilities</t>
  </si>
  <si>
    <t>S22L - Culture</t>
  </si>
  <si>
    <t>S22P - Localities Team</t>
  </si>
  <si>
    <t>S22Q - Community Response</t>
  </si>
  <si>
    <t>S22 - Community Services</t>
  </si>
  <si>
    <t>Communities &amp; People</t>
  </si>
  <si>
    <t>S09A - Property Services</t>
  </si>
  <si>
    <t>S09B - Asset Management</t>
  </si>
  <si>
    <t>S09C - Transactions &amp; Special Projects</t>
  </si>
  <si>
    <t>S09X - S09 Cost centres closed or with past period to</t>
  </si>
  <si>
    <t>S09 - Corporate Property</t>
  </si>
  <si>
    <t>S10A - Economic Development</t>
  </si>
  <si>
    <t>S10D - Development Team &amp; PMO</t>
  </si>
  <si>
    <t>S10F - Housing Supply</t>
  </si>
  <si>
    <t>S10 - Regeneration &amp; Economy</t>
  </si>
  <si>
    <t>S16A - Development</t>
  </si>
  <si>
    <t>S16B - Support Services</t>
  </si>
  <si>
    <t>S16C - Information Services</t>
  </si>
  <si>
    <t>S16D - Spatial Development</t>
  </si>
  <si>
    <t>S16E - Regulatory Services</t>
  </si>
  <si>
    <t>S16 - Planning Services</t>
  </si>
  <si>
    <t>Development</t>
  </si>
  <si>
    <t>S01A - Corporate Strategy</t>
  </si>
  <si>
    <t>S01B - Communications</t>
  </si>
  <si>
    <t>S01D - Policy &amp; Partnerships</t>
  </si>
  <si>
    <t>S01 - Corporate Strategy</t>
  </si>
  <si>
    <t>S20A - Environmental Quality</t>
  </si>
  <si>
    <t>S20B - Energy &amp; Natural Resources</t>
  </si>
  <si>
    <t>S20C - Smart, Sustainable Cities</t>
  </si>
  <si>
    <t>S20 - Environmental Sustainability</t>
  </si>
  <si>
    <t>Chief Executive</t>
  </si>
  <si>
    <t>S26A - Parking Management</t>
  </si>
  <si>
    <t>S26B - Domestic Waste</t>
  </si>
  <si>
    <t>S26C - Street Cleansing</t>
  </si>
  <si>
    <t>S26D - Parks &amp; Open Spaces</t>
  </si>
  <si>
    <t>S26E - Pest Control</t>
  </si>
  <si>
    <t>S26F - Engineering</t>
  </si>
  <si>
    <t>S26G - Motor Transport</t>
  </si>
  <si>
    <t>S26H - Overheads and Profit Share</t>
  </si>
  <si>
    <t>S26I - Local Overhead Cost in OX</t>
  </si>
  <si>
    <t>S26X - Closed Cost Centres</t>
  </si>
  <si>
    <t>S26 - Oxford Direct Services Client</t>
  </si>
  <si>
    <t>ODS Development Director</t>
  </si>
  <si>
    <t>S03C - Transformation Projects</t>
  </si>
  <si>
    <t>S03E - Business Support</t>
  </si>
  <si>
    <t>S03F - ICT</t>
  </si>
  <si>
    <t>S03G - Customer Services</t>
  </si>
  <si>
    <t>S03H - Human Resources &amp; Organisational Development</t>
  </si>
  <si>
    <t xml:space="preserve">CD05 - Staff Offers £30k Underspend consisting of £2k NI, 26k Travel Scheme Discount &amp; £4.5k Consultants Fees
CD34 - Payroll £117k pressure consisting of £91k Salary, £9k NI, £13k pension Contributions, £63k Apprentice Levy.
DC20 - Unison £14k underspend consisting of £13k salaries, £4k pensions, slightly offset by overtime pressure of £4k.
DP03 Human Resources - Total Pressure of £139k comprising of £16k Salaries, £17k other allowances, £13k Temp Staff, £38k pensions, £30k Severance payments, £12k consultants fees, partially offset by £18k saving in software maintenance costs.
DP05 Occupational Health - Savings of £25k in consultants fees
DP07 Organisational Learning and Development - Total Saving of £88k comprising of </t>
  </si>
  <si>
    <t>S03 - Business Improvement</t>
  </si>
  <si>
    <t>S32A - Accountancy</t>
  </si>
  <si>
    <t>S32D - Corporate Finance</t>
  </si>
  <si>
    <t>S32E - Investigations</t>
  </si>
  <si>
    <t>S32F - Procurement &amp; Payments</t>
  </si>
  <si>
    <t>S32G - Revenues &amp; Benefits</t>
  </si>
  <si>
    <t>S32H - Incomes</t>
  </si>
  <si>
    <t>S32 - Financial Services</t>
  </si>
  <si>
    <t>S33A - CEO &amp; Directors</t>
  </si>
  <si>
    <t>S33B - Executive Assistants</t>
  </si>
  <si>
    <t>S33 - Chief Executive</t>
  </si>
  <si>
    <t>S34A - Committees &amp; Members Services</t>
  </si>
  <si>
    <t>S34B - Election Services</t>
  </si>
  <si>
    <t>S34C - Legal Services</t>
  </si>
  <si>
    <t>S34 - Law and Governance</t>
  </si>
  <si>
    <t>Corporate Resources</t>
  </si>
  <si>
    <t>Directorate Total Excl SLA's &amp; Capital Charges</t>
  </si>
  <si>
    <t>Depreciation Charge</t>
  </si>
  <si>
    <t>Depreciation Reversal</t>
  </si>
  <si>
    <t>Impairment Charge</t>
  </si>
  <si>
    <t>Impairment Reversal</t>
  </si>
  <si>
    <t>Sale of Assets</t>
  </si>
  <si>
    <t>Sale of Assets Reversals</t>
  </si>
  <si>
    <t>Rent to Mortgage</t>
  </si>
  <si>
    <t>Rent to Mortgage Reversal</t>
  </si>
  <si>
    <t>Accrued Leave Charge</t>
  </si>
  <si>
    <t>Accrued Leave Reversal</t>
  </si>
  <si>
    <t>IAS 19 Charge</t>
  </si>
  <si>
    <t>IAS19 Reversal</t>
  </si>
  <si>
    <t>IAS19 Early retirement charge</t>
  </si>
  <si>
    <t>REFCUS Charge</t>
  </si>
  <si>
    <t>REFCUS Reversal</t>
  </si>
  <si>
    <t>SLA Charge</t>
  </si>
  <si>
    <t>SLA Income</t>
  </si>
  <si>
    <t>SLA ODS Income</t>
  </si>
  <si>
    <t>SLA's &amp; Capital Charges</t>
  </si>
  <si>
    <t>Corporate Accounts</t>
  </si>
  <si>
    <t>S25A - Local Cost Of Benefits</t>
  </si>
  <si>
    <t>S44A - Corporate Management</t>
  </si>
  <si>
    <t>S44C - Non-Distributed Costs</t>
  </si>
  <si>
    <t>S44D - Service Related Grant Funding</t>
  </si>
  <si>
    <t>S46A - Interest Payable</t>
  </si>
  <si>
    <t>S46B - Investment Income</t>
  </si>
  <si>
    <t>S46C - Item 8 interest receivable</t>
  </si>
  <si>
    <t>S46D - Vehicle Finance Lease interest</t>
  </si>
  <si>
    <t>S48B - Direct Revenue Funding</t>
  </si>
  <si>
    <t>S48C - Minimum Revenue Provision</t>
  </si>
  <si>
    <t>S48E - Self Balancing Items</t>
  </si>
  <si>
    <t>S47E - New Homes Bonus</t>
  </si>
  <si>
    <t>Contingencies</t>
  </si>
  <si>
    <t>J9001 - Utilities Inflation</t>
  </si>
  <si>
    <t>J9003 - Pension Actuarial Review</t>
  </si>
  <si>
    <t>J9004 - Pay Inflation</t>
  </si>
  <si>
    <t>J9006 - Provision for High Risk Savings</t>
  </si>
  <si>
    <t>J9007 - NNDR Inflation</t>
  </si>
  <si>
    <t>Total Corporate Accounts &amp; Contingencies</t>
  </si>
  <si>
    <t>Net Expenditure Budget</t>
  </si>
  <si>
    <t>S48D - Transfers To/From Earmarked Reserves</t>
  </si>
  <si>
    <t>Net Budget Required</t>
  </si>
  <si>
    <t>Funding</t>
  </si>
  <si>
    <t>S47A - External Funding</t>
  </si>
  <si>
    <t>S47B - Council Tax Funding</t>
  </si>
  <si>
    <t>S47C - Parish Precept</t>
  </si>
  <si>
    <t>S47D - NDR Funding</t>
  </si>
  <si>
    <t>Total Funding Available</t>
  </si>
  <si>
    <t>(Surplus) / Deficit for the year</t>
  </si>
  <si>
    <t>Comments</t>
  </si>
  <si>
    <t>S13D - Community Housing &amp; Strategy</t>
  </si>
  <si>
    <t>S13K - Housing Needs</t>
  </si>
  <si>
    <t>S13L - Property Services (Garages)</t>
  </si>
  <si>
    <t>S13R - Welfare Reform</t>
  </si>
  <si>
    <t>S15A - Regulatory Services</t>
  </si>
  <si>
    <t>S15 - Regulatory Services &amp; Community Safety</t>
  </si>
  <si>
    <t>S22B - Oxford Sport &amp; Physical Activity</t>
  </si>
  <si>
    <t>£2m incorrect income budget</t>
  </si>
  <si>
    <t>no profit and single depot charged here</t>
  </si>
  <si>
    <t>is this court costs?</t>
  </si>
  <si>
    <t>S34F - Senior Management Team</t>
  </si>
  <si>
    <t>S34G - Information Governance &amp; Business Support</t>
  </si>
  <si>
    <t>not reversed? What is this for?</t>
  </si>
  <si>
    <t>net with Corp mgmt</t>
  </si>
  <si>
    <t>any further entries?</t>
  </si>
  <si>
    <t>HB subsidy journl £1.6m</t>
  </si>
  <si>
    <t>net with SLA's</t>
  </si>
  <si>
    <t>}</t>
  </si>
  <si>
    <t>Why large favourable variance</t>
  </si>
  <si>
    <t>Use or not?</t>
  </si>
  <si>
    <t>T</t>
  </si>
  <si>
    <t>TT</t>
  </si>
  <si>
    <t>TransNo</t>
  </si>
  <si>
    <t>#</t>
  </si>
  <si>
    <t>Trans.date</t>
  </si>
  <si>
    <t>Period</t>
  </si>
  <si>
    <t>Account</t>
  </si>
  <si>
    <t>Costc</t>
  </si>
  <si>
    <t>Text</t>
  </si>
  <si>
    <t>Amount</t>
  </si>
  <si>
    <t>User</t>
  </si>
  <si>
    <t>User (T)</t>
  </si>
  <si>
    <t>S48X - S48 cost centres closed or with past period to</t>
  </si>
  <si>
    <t>GF17 J8999</t>
  </si>
  <si>
    <t>reverse pooling payment through MIRS</t>
  </si>
  <si>
    <t>B</t>
  </si>
  <si>
    <t>JL</t>
  </si>
  <si>
    <t>W0020</t>
  </si>
  <si>
    <t>ZA12</t>
  </si>
  <si>
    <t>Remove pooling from UCR Holding Account to Revenue</t>
  </si>
  <si>
    <t>BLEWIS</t>
  </si>
  <si>
    <t>Bill Lewis</t>
  </si>
  <si>
    <t>S46A</t>
  </si>
  <si>
    <t>J8980</t>
  </si>
  <si>
    <t>GF14</t>
  </si>
  <si>
    <t>S46X</t>
  </si>
  <si>
    <t>J8999</t>
  </si>
  <si>
    <t>GF17</t>
  </si>
  <si>
    <t>Reverse Pooling payment through MiRS to UCR account</t>
  </si>
  <si>
    <t>Z730301</t>
  </si>
  <si>
    <t>L0</t>
  </si>
  <si>
    <t>net with Charges to ODS - release from reserves</t>
  </si>
  <si>
    <t>J9011 - NCIL Drawdown</t>
  </si>
  <si>
    <t>NCIL from reserves</t>
  </si>
  <si>
    <t>J9012 - COVID Loss Grant (SFC)</t>
  </si>
  <si>
    <t>K6664 - Charges to Oxford Direct Services</t>
  </si>
  <si>
    <t>net with pension</t>
  </si>
  <si>
    <t>K9140 - External Grants</t>
  </si>
  <si>
    <t>Council Tax grant</t>
  </si>
  <si>
    <t>GQ*</t>
  </si>
  <si>
    <t>Look at this ?</t>
  </si>
  <si>
    <t>General Fund Outturn Report 24/25 @ 30 September 2024</t>
  </si>
  <si>
    <t>S09D - Town Hall and Facilities</t>
  </si>
  <si>
    <t>S09E - Parks Development</t>
  </si>
  <si>
    <t>S16 - Planning &amp; Regulatory Services</t>
  </si>
  <si>
    <t>*</t>
  </si>
  <si>
    <t>Sheet Name</t>
  </si>
  <si>
    <t>Template Name</t>
  </si>
  <si>
    <t>Local Parameters</t>
  </si>
  <si>
    <t>sheet</t>
  </si>
  <si>
    <t>Appendix A</t>
  </si>
  <si>
    <t>Template</t>
  </si>
  <si>
    <t>Period from</t>
  </si>
  <si>
    <t>01</t>
  </si>
  <si>
    <t>01 April</t>
  </si>
  <si>
    <t>30 April</t>
  </si>
  <si>
    <t>Period to</t>
  </si>
  <si>
    <t>02</t>
  </si>
  <si>
    <t>01 May</t>
  </si>
  <si>
    <t>31 May</t>
  </si>
  <si>
    <t>Client</t>
  </si>
  <si>
    <t>OX</t>
  </si>
  <si>
    <t>OCC</t>
  </si>
  <si>
    <t>03</t>
  </si>
  <si>
    <t>01 June</t>
  </si>
  <si>
    <t>30 June</t>
  </si>
  <si>
    <t>Prior Period Close Date</t>
  </si>
  <si>
    <t>04</t>
  </si>
  <si>
    <t>01 July</t>
  </si>
  <si>
    <t>31 July</t>
  </si>
  <si>
    <t>This Period Close Date</t>
  </si>
  <si>
    <t>05</t>
  </si>
  <si>
    <t>01 August</t>
  </si>
  <si>
    <t>31 August</t>
  </si>
  <si>
    <t>06</t>
  </si>
  <si>
    <t>01 September</t>
  </si>
  <si>
    <t>30 September</t>
  </si>
  <si>
    <t>07</t>
  </si>
  <si>
    <t>01 October</t>
  </si>
  <si>
    <t>31 October</t>
  </si>
  <si>
    <t>08</t>
  </si>
  <si>
    <t>01 November</t>
  </si>
  <si>
    <t>30 November</t>
  </si>
  <si>
    <t>09</t>
  </si>
  <si>
    <t>01 December</t>
  </si>
  <si>
    <t>31 December</t>
  </si>
  <si>
    <t>10</t>
  </si>
  <si>
    <t>01 January</t>
  </si>
  <si>
    <t>31 January</t>
  </si>
  <si>
    <t>Notes</t>
  </si>
  <si>
    <t>11</t>
  </si>
  <si>
    <t>01 February</t>
  </si>
  <si>
    <t>28 February</t>
  </si>
  <si>
    <t>Running all tabs (via Unit4 Excelerator) will produce a new tab called Appendix A</t>
  </si>
  <si>
    <t>12</t>
  </si>
  <si>
    <t>01 March</t>
  </si>
  <si>
    <t>31 March</t>
  </si>
  <si>
    <t>If the original Appendix A needs to be kept, the tab should be renamed, with all tabs then being run</t>
  </si>
  <si>
    <t>13</t>
  </si>
  <si>
    <t>A new Appendix A will then be produced</t>
  </si>
  <si>
    <t>14</t>
  </si>
  <si>
    <t>15</t>
  </si>
  <si>
    <t>Business Improvement</t>
  </si>
  <si>
    <t>Variance to last month's Probable Outturn   £'000</t>
  </si>
  <si>
    <t>Outturn Variance @previous quarter  £'000</t>
  </si>
  <si>
    <t>Outturn Variance from previous quarter £'000</t>
  </si>
  <si>
    <t>£13k consultancy fees Q4 23/24 not accrued at 31.03.2024. Will be moved to S03F ICT.</t>
  </si>
  <si>
    <t>£50k currently unrealised credit against D3401 General Contracted Services</t>
  </si>
  <si>
    <t xml:space="preserve">£45k over A0101 general salaries budget for CB64 (Transformation Programme). A0101 £200k base budget 24/25 + £29k virement for 24/25 pay increase. 6x establishment posts: 2x posts upgraded in May-24 without corresponding budget increase; 1 post initally charged to DP15 (People Strategy Implementation), Salary budget for role not held in DP15, costs moved to CB64 without any accompanying budget. </t>
  </si>
  <si>
    <t xml:space="preserve">Currently anticipating nil adverse outturn, on the assumption that A0101 salary budget funding for the establishment post previously recognised in DP15 is identifed, additionally part-mitigated by some capitalisation of staff time during Q3 &amp; Q4. </t>
  </si>
  <si>
    <t>0</t>
  </si>
  <si>
    <t>Currently no outturn variance is anticipated</t>
  </si>
  <si>
    <t>Pressure from SCC server hosting costs &amp; costs of migrating individual systems to Azure cloud based platform</t>
  </si>
  <si>
    <t>IT absorbing unbudgeted costs against introduction of new systems. Rocco Labellate maintaining listing of cost over-runs, which is provided to Nigel Kennedy.</t>
  </si>
  <si>
    <t>Currently anticipating use of reserves to fund one-off 2024/25 costs &amp; £50k ongoing adverse pressure</t>
  </si>
  <si>
    <t>Salaries underspend by £95k mainly due to pensions (underspend £87k YTD); to be recalculated and reforecast budget set too high. Salaries recharged £42k more than budgeted as 2.5 wte recharged; partially offset by £30k spend on temporary staff.  Overspend £75k YTD on postage as POs created against KT11, budget now decentralised so costs to be moved.  To be reforecast once agreed where POs will be recoded to.</t>
  </si>
  <si>
    <t>Overspend forecast is mainly due to postage (£53k), will be reforecast once actual costs to be moved has been verified; salaries underspent, pensions to be reforecast.</t>
  </si>
  <si>
    <t>Havent the costs on postage been moved?</t>
  </si>
  <si>
    <t>£46k saving in apprentices, and £31k saving in HR business partners (Went from 2 to 1)</t>
  </si>
  <si>
    <t xml:space="preserve">Currently anticipating outturn saving from HR Business Partner salaries budget </t>
  </si>
  <si>
    <t>Net adverse variance currently anticipated against PSL external printing contract, &amp; Transformation Programme salaries. Potential for further adverse variance from increase in IT 'business as usual' spend.</t>
  </si>
  <si>
    <t>Community Services</t>
  </si>
  <si>
    <r>
      <rPr>
        <b/>
        <sz val="10"/>
        <rFont val="Arial"/>
        <family val="2"/>
      </rPr>
      <t>Pressures</t>
    </r>
    <r>
      <rPr>
        <sz val="10"/>
        <rFont val="Arial"/>
        <family val="2"/>
      </rPr>
      <t xml:space="preserve">: £27k in Leisure Central Management (£18k saving in salaries, offset with £45k pressure in supplies and services). </t>
    </r>
    <r>
      <rPr>
        <b/>
        <sz val="10"/>
        <rFont val="Arial"/>
        <family val="2"/>
      </rPr>
      <t>Savings</t>
    </r>
    <r>
      <rPr>
        <sz val="10"/>
        <rFont val="Arial"/>
        <family val="2"/>
      </rPr>
      <t>: £108k in Serco Client Management and £15k in Fusion Client Management.</t>
    </r>
  </si>
  <si>
    <t>Pressure in Leisure Central Management (AB01) around Leisure tender process (of which ca. £100k relates to technical building surveyor, if he continues to be employed by agency, i.e. £54k budget added as per App3 is sufficient for ca. 4 months at current cost). Pressure relating to Fusion outstanding debt is unclear at the moment, but could be ca. £1m (£0.78m outstanding debt as per payment plan + £0.48m utilities adj 23-24, mitigated with £0.28m witheld payments due to Fusion).</t>
  </si>
  <si>
    <r>
      <rPr>
        <b/>
        <sz val="10"/>
        <rFont val="Arial"/>
        <family val="2"/>
      </rPr>
      <t>Pressures</t>
    </r>
    <r>
      <rPr>
        <sz val="10"/>
        <rFont val="Arial"/>
        <family val="2"/>
      </rPr>
      <t xml:space="preserve">: £6k Primary School Premium (income shortfall). </t>
    </r>
    <r>
      <rPr>
        <b/>
        <sz val="10"/>
        <rFont val="Arial"/>
        <family val="2"/>
      </rPr>
      <t>Savings</t>
    </r>
    <r>
      <rPr>
        <sz val="10"/>
        <rFont val="Arial"/>
        <family val="2"/>
      </rPr>
      <t>: £95k Service Sport Development (temp £42k saving in salaries re district co-ordinator post and £30k in premises re Barton Park grounds maintenance, coupled with £30k temp underspend in supplies and services funded fromgrant income)  and £48k saving in Go Active OCC (grant income surplus, to eb spent before y/e).</t>
    </r>
  </si>
  <si>
    <t>No variance flagged at this stage - waiting on managers' advice.</t>
  </si>
  <si>
    <r>
      <rPr>
        <b/>
        <sz val="10"/>
        <rFont val="Arial"/>
        <family val="2"/>
      </rPr>
      <t>Savings</t>
    </r>
    <r>
      <rPr>
        <sz val="10"/>
        <rFont val="Arial"/>
        <family val="2"/>
      </rPr>
      <t xml:space="preserve">: £58k salaries (RHCC and EOCC), £15k in premises' costs (mainly in utilities + waste bilsl missing) and £13k income surplus. </t>
    </r>
    <r>
      <rPr>
        <b/>
        <sz val="10"/>
        <rFont val="Arial"/>
        <family val="2"/>
      </rPr>
      <t>Pressures</t>
    </r>
    <r>
      <rPr>
        <sz val="10"/>
        <rFont val="Arial"/>
        <family val="2"/>
      </rPr>
      <t>: £18k in supplies and services (relating to storage costs and security cost @ Florence Park).</t>
    </r>
  </si>
  <si>
    <t>In an absence of any advice from managers, BS only flagged £33k saving in salaries and £15k income surplus (Jubilee Hall room hire). There should be some savings in utilities as 2 centres are closed.</t>
  </si>
  <si>
    <t xml:space="preserve"> £26k saving in Youth Ambition Programme (salaries + HRA income RIA)), coupled with £8k saving in YA Resources.  Leys Youth Hub spend is externally funded and shows no variance as grant income accrued for.</t>
  </si>
  <si>
    <t>Saving in salaries.</t>
  </si>
  <si>
    <r>
      <rPr>
        <b/>
        <sz val="10"/>
        <rFont val="Arial"/>
        <family val="2"/>
      </rPr>
      <t>Pressures</t>
    </r>
    <r>
      <rPr>
        <sz val="10"/>
        <rFont val="Arial"/>
        <family val="2"/>
      </rPr>
      <t xml:space="preserve">: £59k Museum of Oxford (pressure in supplies and services + income shortfall),  £39k in May Morning, £20k temp pressure in Christmas Light Festival and £4k St. Giles (income shortfall). </t>
    </r>
    <r>
      <rPr>
        <b/>
        <sz val="10"/>
        <rFont val="Arial"/>
        <family val="2"/>
      </rPr>
      <t>Savings</t>
    </r>
    <r>
      <rPr>
        <sz val="10"/>
        <rFont val="Arial"/>
        <family val="2"/>
      </rPr>
      <t>: £32k in Arts Development (grant RIA) and £24k Events (£18k income surplus + saving in supplies and services).</t>
    </r>
  </si>
  <si>
    <t xml:space="preserve"> Pressure in May Morning can be mitigated by release from carry forward reserve, but had no confirmation from Paula yet.</t>
  </si>
  <si>
    <r>
      <rPr>
        <b/>
        <sz val="10"/>
        <rFont val="Arial"/>
        <family val="2"/>
      </rPr>
      <t>Pressures</t>
    </r>
    <r>
      <rPr>
        <sz val="10"/>
        <rFont val="Arial"/>
        <family val="2"/>
      </rPr>
      <t xml:space="preserve">:: £109k temp pressure in Community Grants. </t>
    </r>
    <r>
      <rPr>
        <b/>
        <sz val="10"/>
        <rFont val="Arial"/>
        <family val="2"/>
      </rPr>
      <t>Savings</t>
    </r>
    <r>
      <rPr>
        <sz val="10"/>
        <rFont val="Arial"/>
        <family val="2"/>
      </rPr>
      <t xml:space="preserve">: £70k in Localities Team ( £76k salary saving offset with </t>
    </r>
    <r>
      <rPr>
        <sz val="10"/>
        <color rgb="FFFF0000"/>
        <rFont val="Arial"/>
        <family val="2"/>
      </rPr>
      <t>£9k pressure relating to 21-22 fleet charges</t>
    </r>
    <r>
      <rPr>
        <sz val="10"/>
        <rFont val="Arial"/>
        <family val="2"/>
      </rPr>
      <t>) and  £30k in Ward Members Budgets.</t>
    </r>
  </si>
  <si>
    <t>Ca. £57k saving in salaries in Localities Team</t>
  </si>
  <si>
    <t>HSF4 Apr23-Mar 24 @ £143k accrued for as still outstanding. HSF5  Apr - Sep 24 received and nearly fully spent.</t>
  </si>
  <si>
    <t>No variance expected.</t>
  </si>
  <si>
    <t>Comm</t>
  </si>
  <si>
    <t>As explained in sub-levels above - ca. £100k saving in salaries, £15k income surplus and offset with £165k pressure in Leisure Management.</t>
  </si>
  <si>
    <t>Corporate Property</t>
  </si>
  <si>
    <t>In BN43 Employee Costs budget has been exceeded by £158k, primarily driven by the use of temporary staff (£340k) hired at rates higher than those allocated for permanent positions.</t>
  </si>
  <si>
    <t>There is an overspend of £4k in Supplies &amp; Services in BN43, due to a prepayment (IHS (Global) Ltd £4’290).</t>
  </si>
  <si>
    <t>There is a £261k shortfall in expected Construction-Related Services income (£178k) and recharges to Capital (£84k), which have not yet happened.</t>
  </si>
  <si>
    <t>How do you get to £779k forcast overspend?</t>
  </si>
  <si>
    <r>
      <t>Assuming, that the current actual amount will double by the end of the year (£1’265k</t>
    </r>
    <r>
      <rPr>
        <sz val="10"/>
        <rFont val="Arial"/>
        <family val="2"/>
      </rPr>
      <t xml:space="preserve"> x 2 =£2’530k – budgeted (£1’751) = </t>
    </r>
    <r>
      <rPr>
        <b/>
        <sz val="10"/>
        <color rgb="FF0070C0"/>
        <rFont val="Arial"/>
        <family val="2"/>
        <charset val="1"/>
      </rPr>
      <t>£779k</t>
    </r>
    <r>
      <rPr>
        <sz val="10"/>
        <color rgb="FF000000"/>
        <rFont val="Arial"/>
        <family val="2"/>
        <charset val="1"/>
      </rPr>
      <t>), if we keep using A0108-Temporary Bureau Staffing.</t>
    </r>
  </si>
  <si>
    <t xml:space="preserve">However, the total overspending should go down by 30-40% once the Clockify recharges have been posted.  </t>
  </si>
  <si>
    <t xml:space="preserve">The Premises budget is currently showing an overspend of £301k, largely due to a £258k payment in BG11 for business rates, with 40% allocated to Jamie’s Italian at 24-26 George Street. </t>
  </si>
  <si>
    <t>Additionally, an unplanned £61k rental payment for the Town Hall (The Store Hotel - Jones Lang LaSalle Ltd) in BG11, along with late electricity payments in BG12 for the 2023-24 financial year, have further impacted the budget.</t>
  </si>
  <si>
    <t>Employee costs in BN22 have been exceeded by £58k, primarily driven by temporary staff costs of £78k, hired at higher rates than budgeted for permanent roles.</t>
  </si>
  <si>
    <t>In BG26, we received a £29k payment from BOSSOMS BOATYARD LTD for 2023 mooring fees, though this was offset by £6k in unbudgeted expenses for Port Meadow moorings.</t>
  </si>
  <si>
    <t>Additionally, unplanned income of £120k was received from OxWed LLP in BG07 50% of which is going to BN22 (as per the budget holder instructions), along with an £11k purchase order for OxWed Restructure project management.</t>
  </si>
  <si>
    <t>Furtheremore, there is a shortfall in Charges to ODS (£328k-YTD) which is taking place at the end of the year.</t>
  </si>
  <si>
    <t>Finally, the Transport costs budget has been exceeded by £48k in BL17 due to Pooled Transport Recharges Accruals, which require review by the requisitioners.</t>
  </si>
  <si>
    <t>How do you get to £1.3 million forecast overspend?</t>
  </si>
  <si>
    <r>
      <t>Assuming, that the current underspend actual amount will double by the end of the year (</t>
    </r>
    <r>
      <rPr>
        <sz val="10"/>
        <color rgb="FFFF0000"/>
        <rFont val="Arial"/>
        <family val="2"/>
      </rPr>
      <t>-£4’519k</t>
    </r>
    <r>
      <rPr>
        <sz val="12"/>
        <color rgb="FF000000"/>
        <rFont val="Arial"/>
        <family val="2"/>
      </rPr>
      <t xml:space="preserve"> </t>
    </r>
    <r>
      <rPr>
        <sz val="10"/>
        <color rgb="FF000000"/>
        <rFont val="Arial"/>
        <family val="2"/>
      </rPr>
      <t>x 2 =</t>
    </r>
    <r>
      <rPr>
        <sz val="10"/>
        <color rgb="FFFF0000"/>
        <rFont val="Arial"/>
        <family val="2"/>
      </rPr>
      <t xml:space="preserve">-£9’038k </t>
    </r>
    <r>
      <rPr>
        <sz val="10"/>
        <color rgb="FF000000"/>
        <rFont val="Arial"/>
        <family val="2"/>
      </rPr>
      <t>– budgeted (</t>
    </r>
    <r>
      <rPr>
        <sz val="10"/>
        <color rgb="FFFF0000"/>
        <rFont val="Arial"/>
        <family val="2"/>
      </rPr>
      <t>-£10’430</t>
    </r>
    <r>
      <rPr>
        <sz val="10"/>
        <color rgb="FF000000"/>
        <rFont val="Arial"/>
        <family val="2"/>
      </rPr>
      <t xml:space="preserve">) = </t>
    </r>
    <r>
      <rPr>
        <sz val="10"/>
        <color rgb="FFFF0000"/>
        <rFont val="Arial"/>
        <family val="2"/>
      </rPr>
      <t>-£1’392</t>
    </r>
    <r>
      <rPr>
        <sz val="10"/>
        <color rgb="FF000000"/>
        <rFont val="Arial"/>
        <family val="2"/>
      </rPr>
      <t xml:space="preserve">). </t>
    </r>
  </si>
  <si>
    <r>
      <rPr>
        <sz val="11"/>
        <color rgb="FF000000"/>
        <rFont val="Calibri"/>
        <family val="2"/>
      </rPr>
      <t xml:space="preserve">However, the total underspending amount should go down by £656k once the ODS recharge takes place and £60k moved to BN22. Hence, the underspent amount should be less than </t>
    </r>
    <r>
      <rPr>
        <sz val="11"/>
        <color rgb="FFFF0000"/>
        <rFont val="Calibri"/>
        <family val="2"/>
      </rPr>
      <t>-£700k</t>
    </r>
    <r>
      <rPr>
        <sz val="11"/>
        <color rgb="FF000000"/>
        <rFont val="Calibri"/>
        <family val="2"/>
      </rPr>
      <t>.</t>
    </r>
  </si>
  <si>
    <t xml:space="preserve">There is an underspend of £25k in BN25 under Supplies &amp; Services, attributed to lower-than-expected costs. </t>
  </si>
  <si>
    <t>Additionally, BN26 reflects an underspend of £50k, primarily driven by £57k in the Employees section due to unfilled positions.</t>
  </si>
  <si>
    <t>There is an underspend of ££105k in Premises, offset by a £50k overspend in the Transport section (Pooled Transport Recharges) and £12k shortfall in Property Income in BR12 which has yet to be received.</t>
  </si>
  <si>
    <t>Additionally, income in BL10 has exceeded expectations by £23k, primarily driven by £55k of exceeding income from room hire.</t>
  </si>
  <si>
    <t>Is this a forecast underspend or overspend? If the latter how do you derive from the above?</t>
  </si>
  <si>
    <r>
      <rPr>
        <sz val="11"/>
        <color rgb="FF000000"/>
        <rFont val="Calibri"/>
        <family val="2"/>
      </rPr>
      <t>It is an overspent, if the actual amount of £328k doubles by the end of the year then we probably exceed the budget which is £622k (328*2=656-622=</t>
    </r>
    <r>
      <rPr>
        <sz val="11"/>
        <color rgb="FF0070C0"/>
        <rFont val="Calibri"/>
        <family val="2"/>
      </rPr>
      <t>£34k</t>
    </r>
    <r>
      <rPr>
        <sz val="11"/>
        <color rgb="FF000000"/>
        <rFont val="Calibri"/>
        <family val="2"/>
      </rPr>
      <t>).</t>
    </r>
  </si>
  <si>
    <t>The favourable variance is primarily driven by an underspend of £19k under Supplies &amp; Services, along with a £56k underspend in Premises, attributed to lower-than-expected costs and Parks DLO recharges, which are yet to occur.</t>
  </si>
  <si>
    <t>How do you get to £156k underspend</t>
  </si>
  <si>
    <r>
      <t xml:space="preserve">Currently we are spending £73k less than we planned, hence if we continue in this way we might end up with the underspend amount of </t>
    </r>
    <r>
      <rPr>
        <sz val="11"/>
        <color rgb="FFFF0000"/>
        <rFont val="Calibri"/>
        <family val="2"/>
        <charset val="1"/>
      </rPr>
      <t>£145k</t>
    </r>
    <r>
      <rPr>
        <sz val="11"/>
        <rFont val="Calibri"/>
        <family val="2"/>
        <charset val="1"/>
      </rPr>
      <t>. (£107k*2=214k-360k=</t>
    </r>
    <r>
      <rPr>
        <sz val="11"/>
        <color rgb="FFFF0000"/>
        <rFont val="Calibri"/>
        <family val="2"/>
        <charset val="1"/>
      </rPr>
      <t>£146k</t>
    </r>
    <r>
      <rPr>
        <sz val="11"/>
        <rFont val="Calibri"/>
        <family val="2"/>
        <charset val="1"/>
      </rPr>
      <t>)</t>
    </r>
  </si>
  <si>
    <t>We just havent paid the bills yet. You should know this!!!</t>
  </si>
  <si>
    <t>Regeneration &amp; Economy</t>
  </si>
  <si>
    <t xml:space="preserve">The adverse variance of £121k in the Employee section is primarily due to the use of temporary staff in HT32 (£37k), hired at rates higher than budgeted for permanent positions. </t>
  </si>
  <si>
    <t>Additionally, there is a £65k underspend in HT19 [UK Shared Prosperity Fund (UKSPF) DLUHC funded], driven by delayed recharges for UKSPF-funded staff and the incorrect allocation of a temporary worker from Hays Specialist Recruitment (currently being addressed with the AP team).</t>
  </si>
  <si>
    <t xml:space="preserve">There is an expense of £49k in HT14, fully funded by South Oxfordshire Science Village. </t>
  </si>
  <si>
    <t>Furthermore, £217k remains in the HT19 Cost Centre, yet to be spent. Lastly, a £7k accrual in HT18 is impacting the overall budget performance.</t>
  </si>
  <si>
    <t xml:space="preserve">The Employee section shows an underspend of £182k due to vacancies to be filled in, however, this is offset by unplanned costs of £44k under Supplies and Services. </t>
  </si>
  <si>
    <t>These unexpected expenses reduce the overall benefit of the underspend, affecting the budget’s overall performance.</t>
  </si>
  <si>
    <t xml:space="preserve">The adverse variance is primarily driven by an overspend of £33k in the Employee section. </t>
  </si>
  <si>
    <t>This overspend likely stems from unbudgeted costs that have arisen since the initial budget was established. We are currently working with the budget holder to understand the reasons behind this variance and to review the original budget allocation for clarity.</t>
  </si>
  <si>
    <r>
      <t>We are currently working with the budget holder to understand the reasons behind this variance and to review the original budget allocation for clarity</t>
    </r>
    <r>
      <rPr>
        <b/>
        <sz val="10"/>
        <rFont val="Arial"/>
        <family val="2"/>
      </rPr>
      <t>. Why hasn’t this been done by now?</t>
    </r>
  </si>
  <si>
    <t>Planning Regulatory Services</t>
  </si>
  <si>
    <t>??????</t>
  </si>
  <si>
    <t>Currently a shortfall on income of £250k, an overspend on Supplies and Services of £24k and vacant post savings of £138k</t>
  </si>
  <si>
    <t>?????</t>
  </si>
  <si>
    <t>Currently underspent against profiled budget</t>
  </si>
  <si>
    <t>????</t>
  </si>
  <si>
    <t>Land charges income</t>
  </si>
  <si>
    <t xml:space="preserve"> </t>
  </si>
  <si>
    <t>Currently income on Design &amp; Review Panel exceeds expenditure by £25k, also £54k vacant post savings</t>
  </si>
  <si>
    <r>
      <t>Planning Service -</t>
    </r>
    <r>
      <rPr>
        <sz val="10"/>
        <rFont val="Arial"/>
        <family val="2"/>
      </rPr>
      <t>(Please note that the Service is managed  / forecasts across RAS exopenditure types rather than within each cost centres.  I,e Income andemployee budgets are forecast across the Service Area). Planning - No Year End Forecast Variance -   Estimates at Q2 suggested a year end variance of £(260)k forecast underspend on Salaries across the Service offsetting the forecast year end pressure on Income of £361k, this suggested a net year end variance of £101K, however having looked at income received in October, there was a large major application which led us to modify our year end forecast, hence the position of no year end variance .</t>
    </r>
  </si>
  <si>
    <r>
      <rPr>
        <b/>
        <sz val="10"/>
        <rFont val="Arial"/>
        <family val="2"/>
      </rPr>
      <t>Pressures</t>
    </r>
    <r>
      <rPr>
        <sz val="10"/>
        <rFont val="Arial"/>
        <family val="2"/>
      </rPr>
      <t xml:space="preserve">: £59k Building Control ( £39k income shortfall and £20k pressure in supplies and services re contractor), £45k Public Health (SIP saving vs. HoS salaries), £8k HMO Licensing (pressure in salaries, to be funded from reserve) and £5k HMO Enforcement (penalty income shortfall) . </t>
    </r>
    <r>
      <rPr>
        <b/>
        <sz val="10"/>
        <rFont val="Arial"/>
        <family val="2"/>
      </rPr>
      <t>Savings</t>
    </r>
    <r>
      <rPr>
        <sz val="10"/>
        <rFont val="Arial"/>
        <family val="2"/>
      </rPr>
      <t>: £69k Business Regulations (saving in salaries due to vacancies + £25k income surplus + £12k H4U grant), £52k HIA City (DFG recharge income surplus), £33k temp saving in HIA S&amp;V, £26k PSST (£7k vacancy + £16k unbudgeted penalty income + £6K H4U grant) and £17k Warm at Home Grant.  Selective Licensing no variance (income RIA  is £2.060m + £0.12m in reserve)</t>
    </r>
  </si>
  <si>
    <r>
      <rPr>
        <b/>
        <sz val="10"/>
        <rFont val="Arial"/>
        <family val="2"/>
      </rPr>
      <t>PRESSURES:</t>
    </r>
    <r>
      <rPr>
        <sz val="10"/>
        <rFont val="Arial"/>
        <family val="2"/>
      </rPr>
      <t xml:space="preserve"> £120k in Building Control -  likely income shortfall @ £70k and salary pressure £50k  (salary pressure will reduce as BS just found out that 1FTE perm staff going to private sector in Sep 24, so there will be 3 contractors and 2 perm staff (incl trainee)left in the team, which may further impact on income.///  £20k in  Business Regulations  - likely income shortfall @ £20k. /// £180k in HMO Licensing- possible £140k income shortfall and £40k pressure in salaries (due to increased Apps Team recharges) - this pressure will be funded from HMO reserve. ///£38k in Public Health (ex HoS cost centre) - this is a result of SIP and vacancy factor savings allocation. </t>
    </r>
    <r>
      <rPr>
        <b/>
        <sz val="10"/>
        <rFont val="Arial"/>
        <family val="2"/>
      </rPr>
      <t>SAVINGS</t>
    </r>
    <r>
      <rPr>
        <sz val="10"/>
        <rFont val="Arial"/>
        <family val="2"/>
      </rPr>
      <t>: £28k incoem surplus in HIA city.</t>
    </r>
  </si>
  <si>
    <t>Overall Service Position</t>
  </si>
  <si>
    <t>Assistant Chief Executive</t>
  </si>
  <si>
    <t>Pensions calculated incorrectly for budget (£5k over); needs reforecasting.</t>
  </si>
  <si>
    <t>No adverse outturn currently forecast</t>
  </si>
  <si>
    <t>Underspend largely because a postholder has been on unpaid sick leave for whole of YTD £32k underspend (only pension paid). Postholder recruited October.  Underspend on pensions £13k to be reforecast</t>
  </si>
  <si>
    <t>Showing YTD underspend for salaries; pensions also need reforecasting</t>
  </si>
  <si>
    <t>Underspend due to slippage in start dates (£4k) and pensions underspend (£4k).  Non pay showing an overspend where donations and contributions have not yet been received (£12k).</t>
  </si>
  <si>
    <t>Favourable variance currently forecast from salaries underspend (unpaid sick leave)</t>
  </si>
  <si>
    <t>Housing Services</t>
  </si>
  <si>
    <t>The favourable variance of £387k is primarily attributable to several factors:</t>
  </si>
  <si>
    <r>
      <t>-</t>
    </r>
    <r>
      <rPr>
        <sz val="7"/>
        <color rgb="FF000000"/>
        <rFont val="Times New Roman"/>
        <family val="1"/>
      </rPr>
      <t xml:space="preserve">        </t>
    </r>
    <r>
      <rPr>
        <sz val="11"/>
        <color rgb="FF000000"/>
        <rFont val="Calibri"/>
        <family val="2"/>
      </rPr>
      <t>Unbudgeted Income: £7k in EK05 related to Housing Company start-up costs.</t>
    </r>
  </si>
  <si>
    <r>
      <t>-</t>
    </r>
    <r>
      <rPr>
        <sz val="7"/>
        <color rgb="FF000000"/>
        <rFont val="Times New Roman"/>
        <family val="1"/>
      </rPr>
      <t xml:space="preserve">        </t>
    </r>
    <r>
      <rPr>
        <sz val="11"/>
        <color rgb="FF000000"/>
        <rFont val="Calibri"/>
        <family val="2"/>
      </rPr>
      <t>Employee Costs: £28k in EK15 and £6k in EK09 due to unfilled vacancies.</t>
    </r>
  </si>
  <si>
    <r>
      <t>-</t>
    </r>
    <r>
      <rPr>
        <sz val="7"/>
        <color rgb="FF000000"/>
        <rFont val="Times New Roman"/>
        <family val="1"/>
      </rPr>
      <t xml:space="preserve">        </t>
    </r>
    <r>
      <rPr>
        <sz val="11"/>
        <color rgb="FF000000"/>
        <rFont val="Calibri"/>
        <family val="2"/>
      </rPr>
      <t>Supplies &amp; Services: £56k underspend from lower-than-expected costs.</t>
    </r>
  </si>
  <si>
    <r>
      <t>-</t>
    </r>
    <r>
      <rPr>
        <sz val="7"/>
        <color rgb="FF000000"/>
        <rFont val="Times New Roman"/>
        <family val="1"/>
      </rPr>
      <t xml:space="preserve">        </t>
    </r>
    <r>
      <rPr>
        <sz val="11"/>
        <color rgb="FF000000"/>
        <rFont val="Calibri"/>
        <family val="2"/>
      </rPr>
      <t>Premises: £61k underspend following the 23/24 rent review uplift.</t>
    </r>
  </si>
  <si>
    <r>
      <t>-</t>
    </r>
    <r>
      <rPr>
        <sz val="7"/>
        <color rgb="FF000000"/>
        <rFont val="Times New Roman"/>
        <family val="1"/>
      </rPr>
      <t xml:space="preserve">        </t>
    </r>
    <r>
      <rPr>
        <sz val="11"/>
        <color rgb="FF000000"/>
        <rFont val="Calibri"/>
        <family val="2"/>
      </rPr>
      <t>EK29: £229k underspend, fully funded by the DHSC.</t>
    </r>
  </si>
  <si>
    <t>What is DHSC? What is the underspend</t>
  </si>
  <si>
    <t>DHSC stands for Dept of Health and Social Care. As the CC is fully funded by DHSC there shouldn’t be any budgeted items.</t>
  </si>
  <si>
    <t>The amount of £229k is the budgeted one which is giving us the favourable variance.</t>
  </si>
  <si>
    <t>Why have we jumped from £557k underspend from £387k underspend</t>
  </si>
  <si>
    <r>
      <t>It was a result of calculation: actual £255*2=510-budget1’067=-</t>
    </r>
    <r>
      <rPr>
        <sz val="10"/>
        <color rgb="FFFF0000"/>
        <rFont val="Arial"/>
        <family val="2"/>
        <charset val="1"/>
      </rPr>
      <t>£557k</t>
    </r>
  </si>
  <si>
    <t>As it was mentioned above, it is a result of fully funded CC (EK29).</t>
  </si>
  <si>
    <r>
      <rPr>
        <sz val="10"/>
        <color rgb="FF000000"/>
        <rFont val="Arial"/>
        <family val="2"/>
      </rPr>
      <t xml:space="preserve">When we receive the funds and EK29 budget is corrected, the underspend amount will go down to </t>
    </r>
    <r>
      <rPr>
        <sz val="10"/>
        <color rgb="FFFF0000"/>
        <rFont val="Arial"/>
        <family val="2"/>
      </rPr>
      <t>£328k</t>
    </r>
    <r>
      <rPr>
        <sz val="10"/>
        <color rgb="FF000000"/>
        <rFont val="Arial"/>
        <family val="2"/>
      </rPr>
      <t>.</t>
    </r>
  </si>
  <si>
    <r>
      <rPr>
        <sz val="10"/>
        <color rgb="FF000000"/>
        <rFont val="Arial"/>
        <family val="2"/>
      </rPr>
      <t>Please note that the forecast amount has been adjusted now (</t>
    </r>
    <r>
      <rPr>
        <sz val="10"/>
        <color rgb="FFFF0000"/>
        <rFont val="Arial"/>
        <family val="2"/>
      </rPr>
      <t>-£557k</t>
    </r>
    <r>
      <rPr>
        <sz val="10"/>
        <color rgb="FF000000"/>
        <rFont val="Arial"/>
        <family val="2"/>
      </rPr>
      <t>+£229=</t>
    </r>
    <r>
      <rPr>
        <sz val="10"/>
        <color rgb="FFFF0000"/>
        <rFont val="Arial"/>
        <family val="2"/>
      </rPr>
      <t>-£328k</t>
    </r>
    <r>
      <rPr>
        <sz val="10"/>
        <color rgb="FF000000"/>
        <rFont val="Arial"/>
        <family val="2"/>
      </rPr>
      <t>)</t>
    </r>
  </si>
  <si>
    <t>The adverse variance is primarily attributed to an overspend of £337k in EK10 - Housing Options related to employee costs. Why ?</t>
  </si>
  <si>
    <t>This overspend is partially mitigated by an underspend of £45k in Supplies &amp; Services and a shortfall of £155k in anticipated income.</t>
  </si>
  <si>
    <t xml:space="preserve">Additionally, there are overspends of £176k in EK35 and £48k in EK39, also due to employee costs, which are partially offset by income of £12k and £97k from the HPG grant distribution, respectively. </t>
  </si>
  <si>
    <t>Furthermore, an outstanding income of £16k is expected in CD67.</t>
  </si>
  <si>
    <r>
      <t>The budget holder is aware of this situation, some budget movements are expected to be done (</t>
    </r>
    <r>
      <rPr>
        <sz val="11"/>
        <color rgb="FF000000"/>
        <rFont val="Calibri"/>
        <family val="2"/>
        <charset val="1"/>
      </rPr>
      <t>waiting for instructions from the budget holder).</t>
    </r>
  </si>
  <si>
    <t>Underspend on Salaries due to unfilled vacancies.</t>
  </si>
  <si>
    <t xml:space="preserve">The £723k adverse variance is primarily driven by an overspend of £959k in Emergency Temporary Accommodation (GF) and unbudgeted costs of £188k in EK36 - Placement and Procurement. </t>
  </si>
  <si>
    <t>This overspend has been partially offset by an underspend of £383k in the Private Lease and Home Choice Schemes, along with income of £41k received in EK37 from the HPG grant distribution.</t>
  </si>
  <si>
    <t>How do we jump to £1.8 million?</t>
  </si>
  <si>
    <r>
      <t>Unfortunately, we expect an overspending of circa £500k on Temporary Accommodation, hence, budget£1’900k-((actual1’648k*2)+overspending500k)=</t>
    </r>
    <r>
      <rPr>
        <sz val="11"/>
        <color rgb="FF0070C0"/>
        <rFont val="Calibri"/>
        <family val="2"/>
        <charset val="1"/>
      </rPr>
      <t>£1’896k</t>
    </r>
    <r>
      <rPr>
        <sz val="11"/>
        <rFont val="Calibri"/>
        <family val="2"/>
        <charset val="1"/>
      </rPr>
      <t>.</t>
    </r>
  </si>
  <si>
    <t>The £297k overspend in this section is primarily attributable to an overspend of £345k in EK13, driven by a planned payment of £969k scheduled for later in the financial year.</t>
  </si>
  <si>
    <t xml:space="preserve">Additionally, there is an underspend of £231k in EK25, part of the £876k Rough Sleeping Initiative Grant that has yet to be utilized. </t>
  </si>
  <si>
    <t xml:space="preserve">Furthermore, EK27 - Rapid Re-Housing Pathways Project shows an overspend of £182k, as anticipated income of £1,295k has not yet been received. </t>
  </si>
  <si>
    <t>This overspend is partially offset by lower-than-expected costs in Supplies &amp; Services and Premises.</t>
  </si>
  <si>
    <t xml:space="preserve">The PO of £1k has been closed. </t>
  </si>
  <si>
    <t xml:space="preserve"> Community Safety</t>
  </si>
  <si>
    <r>
      <rPr>
        <b/>
        <sz val="10"/>
        <rFont val="Arial"/>
        <family val="2"/>
      </rPr>
      <t>Temporary pressures</t>
    </r>
    <r>
      <rPr>
        <sz val="10"/>
        <rFont val="Arial"/>
        <family val="2"/>
      </rPr>
      <t xml:space="preserve">: £9k Emergency Planning and £7k CCTV. </t>
    </r>
    <r>
      <rPr>
        <b/>
        <sz val="10"/>
        <rFont val="Arial"/>
        <family val="2"/>
      </rPr>
      <t>Savings</t>
    </r>
    <r>
      <rPr>
        <sz val="10"/>
        <rFont val="Arial"/>
        <family val="2"/>
      </rPr>
      <t>: £96k Taxi Licensing (income surplus), £28k ASBIT (vacancy), £31k General Licensing (income surplus) and £10k CRT (saving in operational budget, offset with £9k licensing income shortfall).</t>
    </r>
  </si>
  <si>
    <t>YE projected pressure is £10k in CRT due to to the problem with getting payment for FPNs, and the lack of demand for DFPM licences. Other pressures will be managed by either re-working the budgets in ring fenced cost centres (general licensimg and taxi licensing) and/or funded from reserves. Also, some saving possible in CCTV if OCC moves to Oxfordshire hub this year. Brilliant</t>
  </si>
  <si>
    <t>Environmental Services</t>
  </si>
  <si>
    <t>Temporary pressures in operational budget ( salary pressure due to budget shortfall re Business Lead to be funded from reserve, coupled with £8k AQ income shortfall)</t>
  </si>
  <si>
    <t>£140k saving re ZEZ bid (as it was in 23-24) Brilliant</t>
  </si>
  <si>
    <t>£63k saving in Carbon Mgt ('£132k green gas budget in supplies and services), offset with £42k temporary pressure in SALIX (unclear on ex-Fusion SALIX loan repayments re Leisure)</t>
  </si>
  <si>
    <t>Any saving in £132k green gas budget will be transferred to ear-marked reserve.  Possible £40k  pressure re SALIX loan re-payments income (as not clear if Serco will want to re-pay)- tbc.</t>
  </si>
  <si>
    <t>Pressures: £86k ES Innovation Team (relates to DPS delayed by 2 yrs (reduced salary spend + no income) and to EVI - income still to be received). Savings: £36k Sustainable City (supplies and services) and £6k Oxford Waterways.</t>
  </si>
  <si>
    <t>Re DPS - delays due to changes in OZEV's guidance. Likley outcome this year: £30k income (£190k budgeted) vs. £38k cost (£101k budgeted) = net pressure £97k</t>
  </si>
  <si>
    <t xml:space="preserve">£140k saving re ZEZ bid (as it was in 23-24) , offset with £97k pressure in DPS </t>
  </si>
  <si>
    <t>Oxford Direct Services</t>
  </si>
  <si>
    <t>Increased parking income in city centre car paks. Estimated £800K surplus at year end.</t>
  </si>
  <si>
    <t>Increased Garden Waste income.  Estimated £500K surplus at year end.</t>
  </si>
  <si>
    <t>Financial Services</t>
  </si>
  <si>
    <t>Pressues from consultancy &amp; Temp Staff, and budgeted income not yet being received.</t>
  </si>
  <si>
    <t>£131k currently projected adverse outturn. £120k Consultancy Fees, consisting largely of property valuation services, and £11k from Deloitte corporation tax returns for ODST &amp; ODSTL.</t>
  </si>
  <si>
    <t>BDO internal audit service quarterly invoices for ODS are paid by OCC and were not accounted for in the budget. Covered by SLA.</t>
  </si>
  <si>
    <t>Projecting £50k pressure in bank charges and £25k in Internal Audit Consultancy Costs</t>
  </si>
  <si>
    <t>Income under budget by £61k. Invoices to be raised for fee income earned at Q2.</t>
  </si>
  <si>
    <t>Why are we now saying nil. Could it be that the income will be acheved by year end and this is just down to reprofiling or underbilling</t>
  </si>
  <si>
    <t>Currently projecting nil adverse outturn on basis fee income earned at end Q2 not yet invoiced.</t>
  </si>
  <si>
    <t>Payments - Salary/overtime pressues of £70k; 1 post over-establishment budget &amp; unbudgeted overtime payments, to deal with invoice processing backlog. Partially offset by £14k in unbudgeted salary recharges from ES22.</t>
  </si>
  <si>
    <t>Projected £100k pressure in Payments Salaries, and £20k in overtime, assuming establishment maintained at 1 post over base budget to deal with invoice processsing backlog.</t>
  </si>
  <si>
    <t>Revenue pressues of £332k comprising of £289k of income budgeted, not received and £105k pressures in printing and general contracted services partially offset by £33k saving in postage. 
Benefits - overall savings of £127k comprising of £54k in employee costs, £23k in postage, and addional grants of £42k.</t>
  </si>
  <si>
    <t>Revenues - Projected varience of £35k comprising of £55k pressure in printing, £55k in general contracted services partially offset by projected savings of £65k in postage and £10k in software purchase.</t>
  </si>
  <si>
    <t>Benefits - forecasted savings of £80k in salaries and £45k in postage.</t>
  </si>
  <si>
    <t>£35.5k employee costs pressure from number of posts exceeding establishment budget. £2.5k unbudgeted software &amp; hardware expenditure.  £2k unrealised income at Q2.</t>
  </si>
  <si>
    <t>Employee costs pressure projected at £70k, assuming continuing to run over establishment budget.</t>
  </si>
  <si>
    <t>As above Sub Services</t>
  </si>
  <si>
    <t>£24k net adverse salary costs from agency rates vs establishment base budget for ED Communites &amp; People</t>
  </si>
  <si>
    <t>£47.4k adverse variance capitalisation of Director time to capital projects (£6.5k salary recharge realised against £54k profile budget target at 30-Sep 24); potential recharge to HRA at end 24/25.</t>
  </si>
  <si>
    <t>£22.3k adverse variance subscription payments; annual budget £15.2k covers LGA &amp; South East Council's annual subs, but not £10k Oxford-Cambridge ARC &amp; £4.5k District Council's Network memberships.</t>
  </si>
  <si>
    <t>Currently anticipating £60k adverse outturn; £48k ED salary cost &amp; £22k unfunded subscrptions. Adverse outturn could increase if unable to capitalise ED time (potential for increased adverse variance if Director time not capitalised).</t>
  </si>
  <si>
    <t>Adverse outturn projected from ED salary costs &amp; unfunded subscription costs</t>
  </si>
  <si>
    <t>Law &amp; Governance</t>
  </si>
  <si>
    <t>£21k Savings in Employee costs in Democratic services - vacant posts. £6.5k savings in Lord Mayors Hospitality Costs.</t>
  </si>
  <si>
    <t>£10k forecast savings in Democratic services employee costs. In Members Allowances, forecast £9k saving in salaries, and £15k pressure in Members Basic Allowances.</t>
  </si>
  <si>
    <t>General election staff and premises hire.</t>
  </si>
  <si>
    <t>City Council Elections - Forecast Pressures of £190k in election staff costs and 160k in printing costs. £180k unbudgeted grant income.</t>
  </si>
  <si>
    <t>Electoral Register - £20k forecast pressure in postage, and forcast savings of £28k in other salaries, £13k in printing,£8k in general contracted services, and £75k unbudgeted income.</t>
  </si>
  <si>
    <t>Savings on £21k in Info Gov Salary Costs. In Legal Services Pressures of £76k in temp staff (High number of locums), £15k under budget for Legal Capital Recharges, £15k severance pay pressure, and £22k unbudgeted software pressure. Partially offset by salary saving of £36k.</t>
  </si>
  <si>
    <t>Forecast savings in salary costs - £13k in Info Gov, and £35k in Legal. Forecast pressures of £75k in temp staff, £15k in severance pay and £20k in software. Brilliant</t>
  </si>
  <si>
    <t>Virement Movements</t>
  </si>
  <si>
    <t>Virements Summary</t>
  </si>
  <si>
    <t>Total</t>
  </si>
  <si>
    <t>Diff</t>
  </si>
  <si>
    <t>S22C - Sports Development</t>
  </si>
  <si>
    <t>Communities &amp; Customers</t>
  </si>
  <si>
    <t>Corporate Strategy</t>
  </si>
  <si>
    <t>Housing</t>
  </si>
  <si>
    <t>Corporate Services</t>
  </si>
  <si>
    <t>Total Monthly virement movement</t>
  </si>
  <si>
    <t>Transfer to / (from) Ear Marked Reserves</t>
  </si>
  <si>
    <t>Net Virement Movement (Check)</t>
  </si>
  <si>
    <t>COVID Related Variations to Budget</t>
  </si>
  <si>
    <t>Delta form 15-5-2020</t>
  </si>
  <si>
    <t>APPENDIX A</t>
  </si>
  <si>
    <t>3months</t>
  </si>
  <si>
    <t>9 months</t>
  </si>
  <si>
    <t>Assume 75% of loss</t>
  </si>
  <si>
    <t>Assumed 50% of original loss</t>
  </si>
  <si>
    <t>Back to normal</t>
  </si>
  <si>
    <t>Income loss/additional expenditure</t>
  </si>
  <si>
    <t>2020/21</t>
  </si>
  <si>
    <t>2020-21</t>
  </si>
  <si>
    <t>2021/22</t>
  </si>
  <si>
    <t>2022/23</t>
  </si>
  <si>
    <t>2023/24</t>
  </si>
  <si>
    <t>2024/25</t>
  </si>
  <si>
    <t>%Var Apr</t>
  </si>
  <si>
    <t>%var May</t>
  </si>
  <si>
    <t>%var total</t>
  </si>
  <si>
    <t>Annual Budget</t>
  </si>
  <si>
    <t>Budget income Per month</t>
  </si>
  <si>
    <t>Service</t>
  </si>
  <si>
    <t>RAG Rating</t>
  </si>
  <si>
    <t>DELTA REPORTING CATEGORY</t>
  </si>
  <si>
    <t>Type of Cost</t>
  </si>
  <si>
    <t>Reporting Category</t>
  </si>
  <si>
    <t>3 month lockdown impact</t>
  </si>
  <si>
    <t>9 months after</t>
  </si>
  <si>
    <t>Full Year</t>
  </si>
  <si>
    <t>Full year impact</t>
  </si>
  <si>
    <t>Assumptions</t>
  </si>
  <si>
    <t>£'000</t>
  </si>
  <si>
    <t>Reduced dividend ODS</t>
  </si>
  <si>
    <t>Red</t>
  </si>
  <si>
    <t>Commercial</t>
  </si>
  <si>
    <t>Loss of income</t>
  </si>
  <si>
    <t>Commercial Income</t>
  </si>
  <si>
    <t>£1.758 million dividend due in 2020-21. Missed target in 2019-20 by £200k. Assume this loss carried forward plus another for first 3 months. Take dividend down to £1m. 2021-22 divided is £2.1 m Assume £1million loss, 2022-23 dividend is £2.6 m and 2024-25 dividend is £3 million Awaiting update from ODSD</t>
  </si>
  <si>
    <t>Loss of return OCHL</t>
  </si>
  <si>
    <t>Income expected in 2020-21 is £1.416 m. Some delays on schemes but 2% margin equates to £15m slippage in programme based on 6-9months, which continues</t>
  </si>
  <si>
    <t>Property related</t>
  </si>
  <si>
    <t>Finance/corporate services</t>
  </si>
  <si>
    <t>Don’t do income strip- positive impact on year 1. Loss in folllowing years</t>
  </si>
  <si>
    <t>Commerical rent income</t>
  </si>
  <si>
    <t>Commerical</t>
  </si>
  <si>
    <t>Total Commercial rental income is £12 million including £1m coverd market income. Already given holiday on 1ST quarter covered market income cost of £250k. March quarter arrears currenlty total £1.2million but if lockdown finshes after 3 months and businesses access all support available then it could be positive, if COVID period lasts longer than 3 months then much worse</t>
  </si>
  <si>
    <t>confirmed by Jane hold</t>
  </si>
  <si>
    <t>Community centres</t>
  </si>
  <si>
    <t>Cultural</t>
  </si>
  <si>
    <t>Housing (including homelessness services)</t>
  </si>
  <si>
    <t>100% Loss of rents from tenant £35k per month. Gross rental income £477k pa</t>
  </si>
  <si>
    <t>Agreed by Ian</t>
  </si>
  <si>
    <t>Leisure</t>
  </si>
  <si>
    <t>Cultural services</t>
  </si>
  <si>
    <t xml:space="preserve">1st quarter ending 31-3-2020 mgt fee 166k, plus utilities for 2019-20 - £150k, £47k per month loss of managemnet fee that we wont get back </t>
  </si>
  <si>
    <t>Increased spend in keeping centres open</t>
  </si>
  <si>
    <t>Town Hall &amp; Events Income</t>
  </si>
  <si>
    <t>Culture</t>
  </si>
  <si>
    <t>£80k per month loss for first 3 months, excelrated for next 9months. £1million per annum gross income</t>
  </si>
  <si>
    <t>Benefits staff</t>
  </si>
  <si>
    <t>Amber</t>
  </si>
  <si>
    <t>Finance and corp</t>
  </si>
  <si>
    <t>Increase demand costs</t>
  </si>
  <si>
    <t>Use of resilance contract</t>
  </si>
  <si>
    <t>ICT</t>
  </si>
  <si>
    <t>New exceptional costs</t>
  </si>
  <si>
    <t>Initial licenses costs and software then additonal going forward as might want to keep ability to work from home for all</t>
  </si>
  <si>
    <t>ICT Cost Item</t>
  </si>
  <si>
    <t>Capital (One-off)</t>
  </si>
  <si>
    <t>Annual Revenue</t>
  </si>
  <si>
    <t>Garden Waste</t>
  </si>
  <si>
    <t>Highways</t>
  </si>
  <si>
    <t>Sales, fees and charges</t>
  </si>
  <si>
    <t>One months income. Back to normal from 5-5-2020</t>
  </si>
  <si>
    <t>Additional bandwidth</t>
  </si>
  <si>
    <t>Car parking</t>
  </si>
  <si>
    <t>Highways and Transport</t>
  </si>
  <si>
    <t>Around £7.5 m of income per annum. Assume £466k of the £600k per month initially then £155k per month for 9 months then return to normal</t>
  </si>
  <si>
    <t>Agreed by Jason</t>
  </si>
  <si>
    <t>Zoom and Teams licensing costs (assumes 50 full licenses plus 12 webinar licenses)</t>
  </si>
  <si>
    <t>Communities - Locality Hubs</t>
  </si>
  <si>
    <t>Public health</t>
  </si>
  <si>
    <t>£10k allocated to each hub as an initial budget for exceptional costs and incidentals</t>
  </si>
  <si>
    <t>Additional laptops (assume 50)</t>
  </si>
  <si>
    <t>Communities - food bank</t>
  </si>
  <si>
    <t>payment to food bank to replenish stocks</t>
  </si>
  <si>
    <t>Additional printers for home use (assume 30)</t>
  </si>
  <si>
    <t>Communities - resilience fund</t>
  </si>
  <si>
    <t>One off resiliance fund</t>
  </si>
  <si>
    <t>Second monitors where required (assume 80)</t>
  </si>
  <si>
    <t>Homelessness and rough sleeping</t>
  </si>
  <si>
    <t>Additonal cost for housing and feeding rough sleepers some of which might continue. No major change in service delivery</t>
  </si>
  <si>
    <t>Simons paper says furlough grant £750k plus possibly some 2019-20 div</t>
  </si>
  <si>
    <t>Multi-connectors for peripherals (assume) 200</t>
  </si>
  <si>
    <t>Property services H&amp;S work where reserves no longer available</t>
  </si>
  <si>
    <t>Business rates bad debt (city share)</t>
  </si>
  <si>
    <t>Other</t>
  </si>
  <si>
    <t>Retained Business Rates</t>
  </si>
  <si>
    <t>around 2.5% of collectabkle rates. Recently had section 44a applications which could increase thse figures. Hits the revenue account in folloiwng year in collection fund losses</t>
  </si>
  <si>
    <t>Reasonable based on 6-9mths slippage</t>
  </si>
  <si>
    <t>Additional smartphones (assume 500)</t>
  </si>
  <si>
    <t>Fraud Team</t>
  </si>
  <si>
    <t>Partially Covid related. Loss of investigation service income from New Homes Bonus work and other local authority contracts which is diffiuclt to recover in current lockdown scenario</t>
  </si>
  <si>
    <t>Desk booking software (assume 500 users)</t>
  </si>
  <si>
    <t>Street trading</t>
  </si>
  <si>
    <t>Environmental and regulatory services (including excess death management) </t>
  </si>
  <si>
    <t>45% reduction in 2020-21</t>
  </si>
  <si>
    <t>Additional email storage</t>
  </si>
  <si>
    <t>Licensing income e.g. alcohol and taxis</t>
  </si>
  <si>
    <t xml:space="preserve">Licencing income accounts for around £600k per annum. </t>
  </si>
  <si>
    <t>Out of hours / weekend support</t>
  </si>
  <si>
    <t>Private sector landlords penalities</t>
  </si>
  <si>
    <t>Financial penalties help fund the HMO licensing Scheme where income is around £700k per annum</t>
  </si>
  <si>
    <t>VDI Solution (full remote desktop)</t>
  </si>
  <si>
    <t>Council tax income bad debt (city share)</t>
  </si>
  <si>
    <t>Council Tax</t>
  </si>
  <si>
    <t>Around 3% of collection fund precept. Hits the revenue accoiunt in the following year through collection fund losses</t>
  </si>
  <si>
    <t>Headsets (assume 250)</t>
  </si>
  <si>
    <t xml:space="preserve">Investments </t>
  </si>
  <si>
    <t>interest rates will be slower to increase</t>
  </si>
  <si>
    <t>Agrreed by Nerys</t>
  </si>
  <si>
    <t>TOTALS</t>
  </si>
  <si>
    <t>Building control</t>
  </si>
  <si>
    <t>Planning</t>
  </si>
  <si>
    <t>20% loss of income in 2020-21</t>
  </si>
  <si>
    <t>Licensing income - Delay of introduction of Selective Licensing</t>
  </si>
  <si>
    <t>Bid for Selective Licensing to Government delayed due to inability to consult. Scheme was due to commence in 21/22 year but will be delayed to 22/23 year.</t>
  </si>
  <si>
    <t>Licensing income- Delay of renewal of HMO Licensing Scheme Selective Licensing</t>
  </si>
  <si>
    <t xml:space="preserve">Planning </t>
  </si>
  <si>
    <t>HMO Scheme renewal delayed due to inability to consult. Income lost as scheme will lapse from January 2021 to May 2021</t>
  </si>
  <si>
    <t xml:space="preserve">Increased cost </t>
  </si>
  <si>
    <t>Income losses</t>
  </si>
  <si>
    <t>Other Changes</t>
  </si>
  <si>
    <t>Tax base reduction due to CTRS</t>
  </si>
  <si>
    <t>Reduction in tax base from increased CTRS take up resulting in less council tax income</t>
  </si>
  <si>
    <t>Grant Funding</t>
  </si>
  <si>
    <t>in services</t>
  </si>
  <si>
    <t>corporate</t>
  </si>
  <si>
    <t>Retail discount relief</t>
  </si>
  <si>
    <t>Rough sleepers fund</t>
  </si>
  <si>
    <t>pub relief</t>
  </si>
  <si>
    <t>Emergency fund first tranche</t>
  </si>
  <si>
    <t>Emergency fund second tranche</t>
  </si>
  <si>
    <t>Emergency fund third tranche</t>
  </si>
  <si>
    <t>Emergency fund fourth tranche</t>
  </si>
  <si>
    <t>Council furlough grant</t>
  </si>
  <si>
    <t>Homelessness funding from County</t>
  </si>
  <si>
    <t>ODS Furlough grant</t>
  </si>
  <si>
    <t>Food</t>
  </si>
  <si>
    <t>Sales fees and charges</t>
  </si>
  <si>
    <t>Total including grant</t>
  </si>
  <si>
    <t>commericla</t>
  </si>
  <si>
    <t>Income net of comerical</t>
  </si>
  <si>
    <t>monthkly</t>
  </si>
  <si>
    <t>Irrecoverable</t>
  </si>
  <si>
    <t>%age oirecoverable</t>
  </si>
  <si>
    <t>Enviornment and regulatory</t>
  </si>
  <si>
    <t>Hsg</t>
  </si>
  <si>
    <t>Finance  and corprate orther</t>
  </si>
  <si>
    <t>Difference</t>
  </si>
  <si>
    <t>bank charges</t>
  </si>
  <si>
    <t>shortfall on income</t>
  </si>
  <si>
    <t>HB Subsidy see email from Bill for comments</t>
  </si>
  <si>
    <t>Don’t use</t>
  </si>
  <si>
    <t xml:space="preserve">forecasting £470k in year </t>
  </si>
  <si>
    <t>TH income £165k favourable and £90k saving on supplies and services budgets</t>
  </si>
  <si>
    <t>£825k charged for removing finance lease from service to balance sheet</t>
  </si>
  <si>
    <t>Parking income up on budget for all car parks except P&amp;R plus NDr refund</t>
  </si>
  <si>
    <t>Offset the DRF budget</t>
  </si>
  <si>
    <t>mainly relating to telephone charges (we were forecasting the variance)</t>
  </si>
  <si>
    <t>Why ?</t>
  </si>
  <si>
    <t>shortfall on income as forecast during year - small savings on transport and employees too</t>
  </si>
  <si>
    <t xml:space="preserve"> court costs</t>
  </si>
  <si>
    <t>Why ?&gt;</t>
  </si>
  <si>
    <t>Overspend on transition</t>
  </si>
  <si>
    <t>Transfer to covid reserve</t>
  </si>
  <si>
    <t>Lower Tier and COVID 19 general grant</t>
  </si>
  <si>
    <t>Doesn’t look right</t>
  </si>
  <si>
    <t>Sent to Andrew - Payments need to be prepaid</t>
  </si>
  <si>
    <t>Transfer to COVID reserve</t>
  </si>
  <si>
    <t>changes</t>
  </si>
  <si>
    <t>Net surplus</t>
  </si>
  <si>
    <t>NK position</t>
  </si>
  <si>
    <t>parishes</t>
  </si>
  <si>
    <t>cfwds</t>
  </si>
  <si>
    <t>Forecst position</t>
  </si>
  <si>
    <t>Lower tier and Covid gramt</t>
  </si>
  <si>
    <t>CT Grant</t>
  </si>
  <si>
    <t xml:space="preserve">SLA's </t>
  </si>
  <si>
    <t>service area swing</t>
  </si>
  <si>
    <t>Comm serv</t>
  </si>
  <si>
    <t>LCB's</t>
  </si>
  <si>
    <t>Regulatory</t>
  </si>
  <si>
    <t>Interest</t>
  </si>
  <si>
    <t xml:space="preserve">Corp Prop </t>
  </si>
  <si>
    <t xml:space="preserve">capitalisation (539) and Boswells (825) </t>
  </si>
  <si>
    <t>pension diff</t>
  </si>
  <si>
    <t>forecasting under but to cfwd</t>
  </si>
  <si>
    <t>CT funding diff</t>
  </si>
  <si>
    <t>ODS client</t>
  </si>
  <si>
    <t>no profit and depot charge</t>
  </si>
  <si>
    <t>BI</t>
  </si>
  <si>
    <t>ICT telephones and Transformation team</t>
  </si>
  <si>
    <t>FS</t>
  </si>
  <si>
    <t>court costs</t>
  </si>
  <si>
    <t>Cat2</t>
  </si>
  <si>
    <t>TC</t>
  </si>
  <si>
    <t>K9001</t>
  </si>
  <si>
    <t>GA01</t>
  </si>
  <si>
    <t>N</t>
  </si>
  <si>
    <t>ARG</t>
  </si>
  <si>
    <t>ARG 21-22</t>
  </si>
  <si>
    <t>ARG Total</t>
  </si>
  <si>
    <t>CA</t>
  </si>
  <si>
    <t>K9140</t>
  </si>
  <si>
    <t>OX05OX16 OCC comf initiatives</t>
  </si>
  <si>
    <t>COMF</t>
  </si>
  <si>
    <t>COMF grant re ZEZ Business Support to ED39 as agreed with Nigel K</t>
  </si>
  <si>
    <t>10352300 COMF grant re ZEZ Business Support to ED39 as agreed with Nigel K bal back to GA01</t>
  </si>
  <si>
    <t>COMF grant allocation</t>
  </si>
  <si>
    <t>OX05OX16 Third Round COMF Funding -Oxford City</t>
  </si>
  <si>
    <t>OX05OX16 Navigating local systems project</t>
  </si>
  <si>
    <t>COMF adj- Community Services AD20</t>
  </si>
  <si>
    <t>10354510 COMF adj- Community Services AD20</t>
  </si>
  <si>
    <t>Annex 2 Navigating Local Systems to AE18</t>
  </si>
  <si>
    <t>COMF Total</t>
  </si>
  <si>
    <t xml:space="preserve">Budget </t>
  </si>
  <si>
    <t>OX05OX16 COMF GRANT OCC</t>
  </si>
  <si>
    <t>contra</t>
  </si>
  <si>
    <t>AJ</t>
  </si>
  <si>
    <t>Reflect suspense allocation in 20/21 - COMF GRANT OCC</t>
  </si>
  <si>
    <t>OX05OX16 497649*COMF ADDIT*</t>
  </si>
  <si>
    <t>Additional COMF Funding Due</t>
  </si>
  <si>
    <t>OX05OX16 COMF PAYMENT MOVE TOGETHER</t>
  </si>
  <si>
    <t>Tr. 10351940 COMF funding Move Together</t>
  </si>
  <si>
    <t>Reversal of transaction number 10354510</t>
  </si>
  <si>
    <t>Reverse Release COMF from reserve</t>
  </si>
  <si>
    <t>BRR &amp; RSG 21-22 Feb</t>
  </si>
  <si>
    <t>OMICRON HOSPITALITY &amp; LEISURE GRANT</t>
  </si>
  <si>
    <t>Reversal of transaction number 10354573</t>
  </si>
  <si>
    <t>OX05OX16 OCC Bank Credit</t>
  </si>
  <si>
    <t>OX05OX16 Arts partnership match funding</t>
  </si>
  <si>
    <t>10351241 CWSG to AD14</t>
  </si>
  <si>
    <t>10351403 CWSG to AD14</t>
  </si>
  <si>
    <t>c/fwd COMF to reserve</t>
  </si>
  <si>
    <t>OHLG 21-22</t>
  </si>
  <si>
    <t>OX05OX16 RSG200287</t>
  </si>
  <si>
    <t>contra Total</t>
  </si>
  <si>
    <t>OX05OX16 mhclg grant re covid-19 support</t>
  </si>
  <si>
    <t>General grant</t>
  </si>
  <si>
    <t>General grant Total</t>
  </si>
  <si>
    <t>OX05OX16 Lower Tier Services Grant 21/22.</t>
  </si>
  <si>
    <t>LTSG</t>
  </si>
  <si>
    <t>Lower Tier Services Grant 21/22</t>
  </si>
  <si>
    <t>OX05OX16 LOWER TIER SERVICES GRANT</t>
  </si>
  <si>
    <t>OX05OX16 Lower Tier Services Grant 21/22</t>
  </si>
  <si>
    <t>LTSG Total</t>
  </si>
  <si>
    <t>OX05OX16 SALES FEES &amp; CHARGES SUPPORT GRANT 20-21</t>
  </si>
  <si>
    <t>sfc</t>
  </si>
  <si>
    <t>OX05OX16 DCLG</t>
  </si>
  <si>
    <t>SALES FEES &amp; CHARGES GRANT</t>
  </si>
  <si>
    <t>SFC Grant 21-22</t>
  </si>
  <si>
    <t>SFC Qtr 4 claim</t>
  </si>
  <si>
    <t>20/21 Cash Posted in 21/22</t>
  </si>
  <si>
    <t>sfc Total</t>
  </si>
  <si>
    <t>Grand Total</t>
  </si>
  <si>
    <t>Total Grant</t>
  </si>
  <si>
    <t>Account(T)</t>
  </si>
  <si>
    <t>Approved Budget</t>
  </si>
  <si>
    <t>Var</t>
  </si>
  <si>
    <t>B1702</t>
  </si>
  <si>
    <t>Business Rates/Council Tax</t>
  </si>
  <si>
    <t>D3433</t>
  </si>
  <si>
    <t>Bank Charges/Commission</t>
  </si>
  <si>
    <t>D6664</t>
  </si>
  <si>
    <t>Charges from Oxford Direct Services</t>
  </si>
  <si>
    <t>DS30</t>
  </si>
  <si>
    <t>Car Parking</t>
  </si>
  <si>
    <t>bank charges budget no charges</t>
  </si>
  <si>
    <t>B1101</t>
  </si>
  <si>
    <t>Reactive Maintenance &amp; Minor Repairs</t>
  </si>
  <si>
    <t>B1302</t>
  </si>
  <si>
    <t>Engineering Internal Works</t>
  </si>
  <si>
    <t>B1501</t>
  </si>
  <si>
    <t>Electricity</t>
  </si>
  <si>
    <t>B1502</t>
  </si>
  <si>
    <t>Gas</t>
  </si>
  <si>
    <t>B1701</t>
  </si>
  <si>
    <t>Rent</t>
  </si>
  <si>
    <t>B1801</t>
  </si>
  <si>
    <t>Buildings Related Insurance</t>
  </si>
  <si>
    <t>B1830</t>
  </si>
  <si>
    <t>Water &amp; Sewerage Charges</t>
  </si>
  <si>
    <t>B7005</t>
  </si>
  <si>
    <t>Pest Control Work (DS)</t>
  </si>
  <si>
    <t>D3401</t>
  </si>
  <si>
    <t>General Contracted Services</t>
  </si>
  <si>
    <t>D3411</t>
  </si>
  <si>
    <t>Consultants Fees</t>
  </si>
  <si>
    <t>D3503</t>
  </si>
  <si>
    <t>External Telephone Charges</t>
  </si>
  <si>
    <t>D3513</t>
  </si>
  <si>
    <t>Software Maintenance/Running Costs</t>
  </si>
  <si>
    <t>D3520</t>
  </si>
  <si>
    <t>Hardware Purchase</t>
  </si>
  <si>
    <t>D3533</t>
  </si>
  <si>
    <t>Network Ad Hoc Maintenance/Running Costs</t>
  </si>
  <si>
    <t>D3801</t>
  </si>
  <si>
    <t>Other Insurances</t>
  </si>
  <si>
    <t>D3802</t>
  </si>
  <si>
    <t>Advertising &amp; Publicity</t>
  </si>
  <si>
    <t>D8007</t>
  </si>
  <si>
    <t>General Contracted Services (DS)</t>
  </si>
  <si>
    <t>K6664</t>
  </si>
  <si>
    <t>Charges to Oxford Direct Services</t>
  </si>
  <si>
    <t>K9467</t>
  </si>
  <si>
    <t>Parking Charges</t>
  </si>
  <si>
    <t>K9568</t>
  </si>
  <si>
    <t>Car Parking Excess Charges</t>
  </si>
  <si>
    <t>K9830</t>
  </si>
  <si>
    <t>Bad &amp; Doubtful Debts Provision</t>
  </si>
  <si>
    <t>FC01</t>
  </si>
  <si>
    <t>Car Parks Management</t>
  </si>
  <si>
    <t>bank charges and consultants fees</t>
  </si>
  <si>
    <t>FC02</t>
  </si>
  <si>
    <t>Oatlands Recreation Car Park</t>
  </si>
  <si>
    <t>income no budget</t>
  </si>
  <si>
    <t>FC03</t>
  </si>
  <si>
    <t>Cutteslowe - Harbord Road</t>
  </si>
  <si>
    <t>income over budget</t>
  </si>
  <si>
    <t>FC04</t>
  </si>
  <si>
    <t>Alexandra Courts - Woodstock Road</t>
  </si>
  <si>
    <t>FC05</t>
  </si>
  <si>
    <t>Cutteslowe - A40</t>
  </si>
  <si>
    <t>FC08</t>
  </si>
  <si>
    <t>Marsh Rec</t>
  </si>
  <si>
    <t>FC09</t>
  </si>
  <si>
    <t>Court Place Farm</t>
  </si>
  <si>
    <t>B1109</t>
  </si>
  <si>
    <t>Repairs &amp; Improvements</t>
  </si>
  <si>
    <t>K9486</t>
  </si>
  <si>
    <t>Contract Parking Income</t>
  </si>
  <si>
    <t>FC21</t>
  </si>
  <si>
    <t>City Centre- Oxpens Car Park</t>
  </si>
  <si>
    <t>NDR refund</t>
  </si>
  <si>
    <t>FC22</t>
  </si>
  <si>
    <t>City Centre-Oxpens Coach Prk</t>
  </si>
  <si>
    <t>B7008</t>
  </si>
  <si>
    <t>Building Services Works (DS)</t>
  </si>
  <si>
    <t>FC23</t>
  </si>
  <si>
    <t>City Centre-Worcester Street</t>
  </si>
  <si>
    <t>B7007</t>
  </si>
  <si>
    <t>Reactive &amp; Minor Repairs (DS)</t>
  </si>
  <si>
    <t>K9401</t>
  </si>
  <si>
    <t>Services - General Fees</t>
  </si>
  <si>
    <t>FC24</t>
  </si>
  <si>
    <t>City Centre-Gloucester Green</t>
  </si>
  <si>
    <t>K9550</t>
  </si>
  <si>
    <t>Property Rents/Income</t>
  </si>
  <si>
    <t>FC26</t>
  </si>
  <si>
    <t>City Centre - St Clements</t>
  </si>
  <si>
    <t>FC27</t>
  </si>
  <si>
    <t>Marston Road Car Park</t>
  </si>
  <si>
    <t>FC51</t>
  </si>
  <si>
    <t>Suburban - Summertown</t>
  </si>
  <si>
    <t>FC52</t>
  </si>
  <si>
    <t>Suburban- Headington High St</t>
  </si>
  <si>
    <t>FC53</t>
  </si>
  <si>
    <t>Suburban- Union St Cowley Rd</t>
  </si>
  <si>
    <t>FC54</t>
  </si>
  <si>
    <t>Suburban - Ferry Centre</t>
  </si>
  <si>
    <t>income down on budget</t>
  </si>
  <si>
    <t>FC55</t>
  </si>
  <si>
    <t>St Leonards Road</t>
  </si>
  <si>
    <t>FC57</t>
  </si>
  <si>
    <t>Suburban - Walton Well Road</t>
  </si>
  <si>
    <t>FC58</t>
  </si>
  <si>
    <t>Suburban - Hinksey Park</t>
  </si>
  <si>
    <t>FC66</t>
  </si>
  <si>
    <t>Blackbird Leys Pool Parking</t>
  </si>
  <si>
    <t>FC71</t>
  </si>
  <si>
    <t>Thornhill Park &amp; Ride</t>
  </si>
  <si>
    <t>FC72</t>
  </si>
  <si>
    <t>Water Eaton Park &amp; Ride</t>
  </si>
  <si>
    <t>K9155</t>
  </si>
  <si>
    <t>Reimbursements Oxford Bus Company</t>
  </si>
  <si>
    <t>FC73</t>
  </si>
  <si>
    <t>Peartree Pay &amp; Display</t>
  </si>
  <si>
    <t>FC74</t>
  </si>
  <si>
    <t>Seacourt Pay &amp; Display</t>
  </si>
  <si>
    <t>FC75</t>
  </si>
  <si>
    <t>Redbridge Pay &amp; Display</t>
  </si>
  <si>
    <t>FC76</t>
  </si>
  <si>
    <t>Redbridge Coach Park</t>
  </si>
  <si>
    <t>K9450</t>
  </si>
  <si>
    <t>FD24</t>
  </si>
  <si>
    <t>Gloucester Green Bus Station</t>
  </si>
  <si>
    <t>S26A</t>
  </si>
  <si>
    <t>Parking Management</t>
  </si>
  <si>
    <t/>
  </si>
  <si>
    <t>MRP</t>
  </si>
  <si>
    <t xml:space="preserve">Favourable </t>
  </si>
  <si>
    <t>Adverse</t>
  </si>
  <si>
    <t>Comment</t>
  </si>
  <si>
    <t>Grant to fund Canterbury House and YHA</t>
  </si>
  <si>
    <t>Regulatory services</t>
  </si>
  <si>
    <t>overspend on staffing and Building Control income shortfall</t>
  </si>
  <si>
    <t>Town Hall income higher than budget and savings in operational costs</t>
  </si>
  <si>
    <t>Agency staffing costs</t>
  </si>
  <si>
    <t>salary savings and higher income</t>
  </si>
  <si>
    <t>extenal income for our contribution to data services</t>
  </si>
  <si>
    <t>Transformation team and ICT costs</t>
  </si>
  <si>
    <t>Audit fees, bank charges, lower income on Investigation services</t>
  </si>
  <si>
    <t>overspend on staffing due to Locums</t>
  </si>
  <si>
    <t>Abortive costs of depot and favourable position on interest</t>
  </si>
  <si>
    <t>Servhead</t>
  </si>
  <si>
    <t>Servsub1</t>
  </si>
  <si>
    <t>Cost Centre</t>
  </si>
  <si>
    <t>Batch</t>
  </si>
  <si>
    <t>Transaction id</t>
  </si>
  <si>
    <t>Version</t>
  </si>
  <si>
    <t>Version(T)</t>
  </si>
  <si>
    <t>Attr.value 4</t>
  </si>
  <si>
    <t>Profile</t>
  </si>
  <si>
    <t>Profile(T)</t>
  </si>
  <si>
    <t>Note</t>
  </si>
  <si>
    <t>S01A</t>
  </si>
  <si>
    <t>S01B</t>
  </si>
  <si>
    <t>S01D</t>
  </si>
  <si>
    <t>S03E</t>
  </si>
  <si>
    <t>S03F</t>
  </si>
  <si>
    <t>S03G</t>
  </si>
  <si>
    <t>S03H</t>
  </si>
  <si>
    <t>S09A</t>
  </si>
  <si>
    <t>S09B</t>
  </si>
  <si>
    <t>S09C</t>
  </si>
  <si>
    <t>S10A</t>
  </si>
  <si>
    <t>S10D</t>
  </si>
  <si>
    <t>S13D</t>
  </si>
  <si>
    <t>S13K</t>
  </si>
  <si>
    <t>S13L</t>
  </si>
  <si>
    <t>S13R</t>
  </si>
  <si>
    <t>S15A</t>
  </si>
  <si>
    <t>S15C</t>
  </si>
  <si>
    <t>S16A</t>
  </si>
  <si>
    <t>S16B</t>
  </si>
  <si>
    <t>S16D</t>
  </si>
  <si>
    <t>S20A</t>
  </si>
  <si>
    <t>S20B</t>
  </si>
  <si>
    <t>S20C</t>
  </si>
  <si>
    <t>S22A</t>
  </si>
  <si>
    <t>S22C</t>
  </si>
  <si>
    <t>S22G</t>
  </si>
  <si>
    <t>S22I</t>
  </si>
  <si>
    <t>S22J</t>
  </si>
  <si>
    <t>S22K</t>
  </si>
  <si>
    <t>S22L</t>
  </si>
  <si>
    <t>S22P</t>
  </si>
  <si>
    <t>S32A</t>
  </si>
  <si>
    <t>S32E</t>
  </si>
  <si>
    <t>S32F</t>
  </si>
  <si>
    <t>S32G</t>
  </si>
  <si>
    <t>S32H</t>
  </si>
  <si>
    <t>S34A</t>
  </si>
  <si>
    <t>S34B</t>
  </si>
  <si>
    <t>S34C</t>
  </si>
  <si>
    <t>S34F</t>
  </si>
  <si>
    <t>S34G</t>
  </si>
  <si>
    <t>S45A</t>
  </si>
  <si>
    <t>Paused Bids</t>
  </si>
  <si>
    <t>S10B - Commercial Property</t>
  </si>
  <si>
    <t>S10C - Property Support Services</t>
  </si>
  <si>
    <t>S10E - Regen &amp; Major Projects</t>
  </si>
  <si>
    <t>S01A - Assistant Chief Exec</t>
  </si>
  <si>
    <t>S01 - Assistant Chief Executive</t>
  </si>
  <si>
    <t>S13L - Property Services</t>
  </si>
  <si>
    <t>Additional Government Funding</t>
  </si>
  <si>
    <t>* This sheet is manipulated by the 'Options...' dialog and should not be changed by hand</t>
  </si>
  <si>
    <t xml:space="preserve">sql select u.client, u.account, u.dim_1, t.dim_b as servhead, t.dim_c as servsub1, t.dim_a as fund, t.dim_e as execdir, s.dim_c as controla, v.dim_b as incexp, CONCAT(t.dim_c,' - ',d.description) as servsub1_text, CONCAT(t.dim_b,' - ',e.description) as servhead_text, f.description as execdir_text, CONCAT(u.account,' - ',g.description) as account_text, </t>
  </si>
  <si>
    <t>**</t>
  </si>
  <si>
    <t>sql sum(u.bb_orig_bud) as bb_orig_bud, sum(u.last_month_appr_bud) as last_month_appr_bud, sum(u.prev_month_emr_vire) as prev_month_emr_vire, sum(u.curr_month_emr_vire) as curr_month_emr_vire, sum(u.prev_month_corp_vire) as prev_month_corp_vire, sum(u.curr_month_corp_vire) as curr_month_corp_vire, sum(u.prev_month_sa_vire) as prev_month_sa_vire, sum(u.curr_month_sa_vire) as curr_month_sa_vire, sum(u.curr_month_appr_bud) as curr_month_appr_bud, sum(u.ytd_amt) as ytd_amt, sum(u.ytd_app_bud) as ytd_app_bud, sum(u.curr_month_fcast_adj) as curr_month_fcast_adj, sum(u.last_month_fcast_adj) as last_month_fcast_adj</t>
  </si>
  <si>
    <t>sql from (</t>
  </si>
  <si>
    <t>* --Budget Book Approved Budget</t>
  </si>
  <si>
    <t>sql select a.client, a.account, a.dim_1, sum(a.amount) as bb_orig_bud, 0 as last_month_appr_bud, 0 as prev_month_emr_vire, 0 as curr_month_emr_vire, 0 as prev_month_corp_vire, 0 as curr_month_corp_vire, 0 as prev_month_sa_vire, 0 as curr_month_sa_vire, 0 as curr_month_appr_bud, 0 as ytd_amt, 0 as ytd_app_bud, 0 as curr_month_fcast_adj, 0 as last_month_fcast_adj</t>
  </si>
  <si>
    <t>sql from aplvitransact a</t>
  </si>
  <si>
    <t>sql left outer join aplbatch b on a.client = b.client and a.batch = b.batch</t>
  </si>
  <si>
    <t>sql group by a.client, a.account, a.dim_1</t>
  </si>
  <si>
    <t xml:space="preserve">sql having sum(a.amount) &lt;&gt; 0 </t>
  </si>
  <si>
    <t>sql UNION ALL</t>
  </si>
  <si>
    <t>* -- Last Month Full Year Budget</t>
  </si>
  <si>
    <t>sql select a.client, a.account, a.dim_1, 0 as bb_orig_bud, sum(a.amount) as last_month_appr_bud, 0 as prev_month_emr_vire, 0 as curr_month_emr_vire, 0 as prev_month_corp_vire, 0 as curr_month_corp_vire, 0 as prev_month_sa_vire, 0 as curr_month_sa_vire, 0 as curr_month_appr_bud, 0 as ytd_amt, 0 as ytd_app_bud, 0 as curr_month_fcast_adj, 0 as last_month_fcast_adj</t>
  </si>
  <si>
    <t>*-- YTD Prev Month EMR Virements</t>
  </si>
  <si>
    <t>sql select a.client, a.account, a.dim_1, 0 as bb_orig_bud, 0 as last_month_appr_bud, sum(a.amount) as prev_month_emr_vire, 0 as curr_month_emr_vire, 0 as prev_month_corp_vire, 0 as curr_month_corp_vire, 0 as prev_month_sa_vire, 0 as curr_month_sa_vire, 0 as curr_month_appr_bud, 0 as ytd_amt, 0 as ytd_app_bud, 0 as curr_month_fcast_adj, 0 as last_month_fcast_adj</t>
  </si>
  <si>
    <t>sql and a.batch in (</t>
  </si>
  <si>
    <t>sql select distinct x.batch</t>
  </si>
  <si>
    <t>sql from aplvitransact x</t>
  </si>
  <si>
    <t xml:space="preserve">sql and x.account like 'Z%' or </t>
  </si>
  <si>
    <t>sql and x.dim_1 = 'GF03'</t>
  </si>
  <si>
    <t>sql group by x.client, x.account, x.dim_1, x.batch</t>
  </si>
  <si>
    <t>sql having sum(x.amount) &lt;&gt; 0 )</t>
  </si>
  <si>
    <t>sql group by a.client, a.account, a.dim_1, a.batch</t>
  </si>
  <si>
    <t>*-- Current Month EMR Virements</t>
  </si>
  <si>
    <t>sql select a.client, a.account, a.dim_1, 0 as bb_orig_bud, 0 as last_month_appr_bud, 0 as prev_month_emr_vire, sum(a.amount) as curr_month_emr_vire, 0 as prev_month_corp_vire, 0 as curr_month_corp_vire, 0 as prev_month_sa_vire, 0 as curr_month_sa_vire, 0 as curr_month_appr_bud, 0 as ytd_amt, 0 as ytd_app_bud, 0 as curr_month_fcast_adj, 0 as last_month_fcast_adj</t>
  </si>
  <si>
    <t>sql and a.version not like '%CORP%' and a.version not like '%CAP%' and a.version not like '%FCAS%' and a.version not like '%ORIG%'</t>
  </si>
  <si>
    <t>sql and x.version not like '%CORP%' and x.version not like '%CAP%' and x.version not like '%FCAS%' and x.version not like '%ORIG%'</t>
  </si>
  <si>
    <t>*-- YTD Prev Month Corporate Virements</t>
  </si>
  <si>
    <t>sql select a.client, a.account, a.dim_1, 0 as bb_orig_bud, 0 as last_month_appr_bud, 0 as prev_month_emr_vire, 0 as curr_month_emr_vire, sum(a.amount) as prev_month_corp_vire, 0 as curr_month_corp_vire, 0 as prev_month_sa_vire, 0 as curr_month_sa_vire, 0 as curr_month_appr_bud, 0 as ytd_amt, 0 as ytd_app_bud, 0 as curr_month_fcast_adj, 0 as last_month_fcast_adj</t>
  </si>
  <si>
    <t>sql and x.dim_1 &lt;&gt; 'GF03' and t.dim_e = 'NDIR'</t>
  </si>
  <si>
    <t>*-- Current Month Corporate Virements</t>
  </si>
  <si>
    <t>sql select a.client, a.account, a.dim_1, 0 as bb_orig_bud, 0 as last_month_appr_bud, 0 as prev_month_emr_vire, 0 as curr_month_emr_vire, 0 as prev_month_corp_vire, sum(a.amount) as curr_month_corp_vire, 0 as prev_month_sa_vire, 0 as curr_month_sa_vire, 0 as curr_month_appr_bud, 0 as ytd_amt, 0 as ytd_app_bud, 0 as curr_month_fcast_adj, 0 as last_month_fcast_adj</t>
  </si>
  <si>
    <t>*-- YTD Prev Month Service Area Virements</t>
  </si>
  <si>
    <t>sql select a.client, a.account, a.dim_1, 0 as bb_orig_bud, 0 as last_month_appr_bud, 0 as prev_month_emr_vire, 0 as curr_month_emr_vire, 0 as prev_month_corp_vire, 0 as curr_month_corp_vire, sum(a.amount) as prev_month_sa_vire, 0 as curr_month_sa_vire, 0 as curr_month_appr_bud, 0 as ytd_amt, 0 as ytd_app_bud, 0 as curr_month_fcast_adj, 0 as last_month_fcast_adj</t>
  </si>
  <si>
    <t>sql and x.dim_1 &lt;&gt; 'GF03'  and t.dim_e &lt;&gt; 'NDIR'</t>
  </si>
  <si>
    <t>sql group by x.batch</t>
  </si>
  <si>
    <t>sql having sum(x.amount) = 0 )</t>
  </si>
  <si>
    <t>*-- Current Month Service Area Virements</t>
  </si>
  <si>
    <t>sql select a.client, a.account, a.dim_1, 0 as bb_orig_bud, 0 as last_month_appr_bud, 0 as prev_month_emr_vire, 0 as curr_month_emr_vire, 0 as prev_month_corp_vire, 0 as curr_month_corp_vire, 0 as prev_month_sa_vire, sum(a.amount) as curr_month_sa_vire, 0 as curr_month_appr_bud, 0 as ytd_amt, 0 as ytd_app_bud, 0 as curr_month_fcast_adj, 0 as last_month_fcast_adj</t>
  </si>
  <si>
    <t>* -- Current Month Full Year Budget</t>
  </si>
  <si>
    <t>sql select a.client, a.account, a.dim_1, 0 as bb_orig_bud, 0 as last_month_appr_bud, 0 as prev_month_emr_vire, 0 as curr_month_emr_vire, 0 as prev_month_corp_vire, 0 as curr_month_corp_vire, 0 as prev_month_sa_vire, 0 as curr_month_sa_vire, sum(a.amount) as curr_month_appr_bud, 0 as ytd_amt, 0 as ytd_app_bud, 0 as curr_month_fcast_adj, 0 as last_month_fcast_adj</t>
  </si>
  <si>
    <t>* -- YTD Amount</t>
  </si>
  <si>
    <t>sql select a.client, a.account, a.dim_1, 0 as bb_orig_bud, 0 as last_month_appr_bud, 0 as prev_month_emr_vire, 0 as curr_month_emr_vire, 0 as prev_month_corp_vire, 0 as curr_month_corp_vire, 0 as prev_month_sa_vire, 0 as curr_month_sa_vire, 0 as curr_month_appr_bud, sum(a.amount) as ytd_amt, 0 as ytd_app_bud, 0 as curr_month_fcast_adj, 0 as last_month_fcast_adj</t>
  </si>
  <si>
    <t>sql from agltransact a</t>
  </si>
  <si>
    <t>* -- YTD Approved Budget</t>
  </si>
  <si>
    <t>sql select a.client, a.account, a.dim_1, 0 as bb_orig_bud, 0 as last_month_appr_bud, 0 as prev_month_emr_vire, 0 as curr_month_emr_vire, 0 as prev_month_corp_vire, 0 as curr_month_corp_vire, 0 as prev_month_sa_vire, 0 as curr_month_sa_vire, 0 as curr_month_appr_bud, 0 as ytd_amt, sum(a.amount) as ytd_app_bud, 0 as curr_month_fcast_adj, 0 as last_month_fcast_adj</t>
  </si>
  <si>
    <t>* --Current Month Full Year Forecast Adjustments</t>
  </si>
  <si>
    <t>sql select a.client, a.account, a.dim_1, 0 as bb_orig_bud, 0 as last_month_appr_bud, 0 as prev_month_emr_vire, 0 as curr_month_emr_vire, 0 as prev_month_corp_vire, 0 as curr_month_corp_vire, 0 as prev_month_sa_vire, 0 as curr_month_sa_vire, 0 as curr_month_appr_bud, 0 as ytd_amt, 0 as ytd_app_bud, sum(a.amount) as curr_month_fcast_adj, 0 as last_month_fcast_adj</t>
  </si>
  <si>
    <t>* --Last Month Full Year Forecast Adjustments</t>
  </si>
  <si>
    <t>sql select a.client, a.account, a.dim_1, 0 as bb_orig_bud, 0 as last_month_appr_bud, 0 as prev_month_emr_vire, 0 as curr_month_emr_vire, 0 as prev_month_corp_vire, 0 as curr_month_corp_vire, 0 as prev_month_sa_vire, 0 as curr_month_sa_vire, 0 as curr_month_appr_bud, 0 as ytd_amt, 0 as ytd_app_bud, 0 as curr_month_fcast_adj, sum(a.amount) as last_month_fcast_adj</t>
  </si>
  <si>
    <t>sql ) u</t>
  </si>
  <si>
    <t>-- Structure Current Tree</t>
  </si>
  <si>
    <t>-- Business Plan Tree (controllable)</t>
  </si>
  <si>
    <t>-- RAS Tree (INC/EXP)</t>
  </si>
  <si>
    <t>-- Sub Service Area</t>
  </si>
  <si>
    <t>-- Service Area</t>
  </si>
  <si>
    <t>-- Excecutive Director</t>
  </si>
  <si>
    <t>A0</t>
  </si>
  <si>
    <t>-- Account</t>
  </si>
  <si>
    <t>sql where t.dim_a not like 'H%' and t.dim_e &lt;&gt; 'NDIR' and s.dim_c = '1'</t>
  </si>
  <si>
    <t>-- Fund not like H (not HRA), Execdir not like NDIR (Below the line), Controllable 1 (Controllable account codes)</t>
  </si>
  <si>
    <t>sql group by u.client, u.account, u.dim_1, t.dim_b , t.dim_c, t.dim_a, t.dim_e , s.dim_c, v.dim_b, d.description, e.description, f.description, g.description</t>
  </si>
  <si>
    <t>sql order by execdir, servhead, servsub1</t>
  </si>
  <si>
    <t>query</t>
  </si>
  <si>
    <t>parameter</t>
  </si>
  <si>
    <t>&lt;client_name&gt;</t>
  </si>
  <si>
    <t>*Service Stuff</t>
  </si>
  <si>
    <t>Directorates</t>
  </si>
  <si>
    <t>unit</t>
  </si>
  <si>
    <t>round</t>
  </si>
  <si>
    <t>crosstab incexp</t>
  </si>
  <si>
    <t>EXP</t>
  </si>
  <si>
    <t>INC</t>
  </si>
  <si>
    <t>columns</t>
  </si>
  <si>
    <t>servsub1_text</t>
  </si>
  <si>
    <t>bb_orig_bud</t>
  </si>
  <si>
    <t>last_month_appr_bud</t>
  </si>
  <si>
    <t>prev_month_emr_vire</t>
  </si>
  <si>
    <t>curr_month_emr_vire</t>
  </si>
  <si>
    <t>prev_month_corp_vire</t>
  </si>
  <si>
    <t>curr_month_corp_vire</t>
  </si>
  <si>
    <t>prev_month_sa_vire</t>
  </si>
  <si>
    <t>curr_month_sa_vire</t>
  </si>
  <si>
    <t>curr_month_appr_bud</t>
  </si>
  <si>
    <t>ytd_amt</t>
  </si>
  <si>
    <t>ytd_app_bud</t>
  </si>
  <si>
    <t>curr_month_fcast_adj</t>
  </si>
  <si>
    <t>last_month_fcast_adj</t>
  </si>
  <si>
    <t>subtotal ,outline4 execdir, servhead</t>
  </si>
  <si>
    <t>group servsub1</t>
  </si>
  <si>
    <t>footer servhead</t>
  </si>
  <si>
    <t>&lt;servhead_text&gt;</t>
  </si>
  <si>
    <t>footer execdir</t>
  </si>
  <si>
    <t>&lt;execdir_text&gt;</t>
  </si>
  <si>
    <t>* --Capital Charges</t>
  </si>
  <si>
    <t>sql where t.dim_a not like 'H%' and u.account like '%952' and u.account not in ('K9952')</t>
  </si>
  <si>
    <t>-- Fund not like H (not HRA), Account ending 952 (Above the line depreciation charges)</t>
  </si>
  <si>
    <t>group client</t>
  </si>
  <si>
    <t>sql where t.dim_a not like 'H%' and u.account like 'K9952'</t>
  </si>
  <si>
    <t>-- Fund not like H (not HRA), Account K9952 (Below the line depreciation reversals)</t>
  </si>
  <si>
    <t>sql where t.dim_a not like 'H%' and u.account like 'B1955'</t>
  </si>
  <si>
    <t>-- Fund not like H (not HRA), Account B1955 (Above the line impairment charges)</t>
  </si>
  <si>
    <t>sql where t.dim_a not like 'H%' and u.account like 'K9957'</t>
  </si>
  <si>
    <t>-- Fund not like H (not HRA), Account K9957 (Below the line impairment reversals)</t>
  </si>
  <si>
    <t>sql where t.dim_a not like 'H%' and u.account like 'J8980' and u.dim_1 like 'GF07'</t>
  </si>
  <si>
    <t>sql where t.dim_a not like 'H%' and u.account like 'J8999' and u.dim_1 like 'GF10'</t>
  </si>
  <si>
    <t>sql where t.dim_a not like 'H%' and u.account in ('J8980', 'K9938') and u.dim_1 like 'BG11'</t>
  </si>
  <si>
    <t>sql where t.dim_a not like 'H%' and u.account like 'J8999' and u.dim_1 like 'GF23'</t>
  </si>
  <si>
    <t>sql where t.dim_a not like 'H%' and u.account like 'A0990'</t>
  </si>
  <si>
    <t>-- Fund not like H (not HRA), Account A0990 (Above the line Accrued Leave Adjustments)</t>
  </si>
  <si>
    <t>sql where t.dim_a not like 'H%' and u.account like 'J8999' and u.dim_1 like 'GF19'</t>
  </si>
  <si>
    <t>-- Fund not like H (not HRA), Account J8999, Costc GF19 (Below the line Accrued Leave Adjustments)</t>
  </si>
  <si>
    <t>sql where t.dim_a not like 'H%' and u.account like 'A0995' and t.dim_e &lt;&gt; 'NDIR'</t>
  </si>
  <si>
    <t>-- Fund not like H (not HRA), Account A0995, Execdir not like NDIR (Below the line) (Above the line IAS19 charges)</t>
  </si>
  <si>
    <t>sql where t.dim_a not like 'H%' and u.account like 'A0995' and u.dim_1 &lt;&gt; 'KE11' and t.dim_e = 'NDIR'</t>
  </si>
  <si>
    <t>-- Fund not like H (not HRA), Account A0995, Costc not like KE11 (Below the line IAS19 reversals)</t>
  </si>
  <si>
    <t>sql where t.dim_a not like 'H%' and u.account like 'A0995' and u.dim_1 = 'KE11' and t.dim_e = 'NDIR'</t>
  </si>
  <si>
    <t>-- Fund not like H (not HRA), Account A0995, Costc KE11 (Early Retirement charges)</t>
  </si>
  <si>
    <t>sql where t.dim_a not like 'H%' and u.account like 'F5401'</t>
  </si>
  <si>
    <t>-- Fund not like H (not HRA), Account F5401 (Above the line REFCUS charges)</t>
  </si>
  <si>
    <t>sql where t.dim_a not like 'H%' and u.account like 'K9956'</t>
  </si>
  <si>
    <t>-- Fund not like H (not HRA), Account K9956 (Below the line REFCUS reversals)</t>
  </si>
  <si>
    <t>sql where t.dim_a not like 'H%' and  t.dim_e &lt;&gt; 'NDIR' and s.dim_c = 2 and v.dim_a = 'G'</t>
  </si>
  <si>
    <t>-- Fund not like H (not HRA), Execdir not like NDIR (Below the line), Controllable 2 (Uncontrollable account codes), RAS G (SLA Charges)</t>
  </si>
  <si>
    <t>sql where t.dim_a not like 'H%' and  t.dim_e &lt;&gt; 'NDIR' and s.dim_c = 2 and v.dim_a = 'L'</t>
  </si>
  <si>
    <t>-- Fund not like H (not HRA), Execdir not like NDIR (Below the line), Controllable 2 (Uncontrollable account codes), RAS L (SLA Income)</t>
  </si>
  <si>
    <t>sql where t.dim_a not like 'H%' and  t.dim_e &lt;&gt; 'NDIR' and s.dim_c = 2 and u.account like 'K9ODS'</t>
  </si>
  <si>
    <t>-- Fund not like H (not HRA), Execdir not like NDIR (Below the line), Controllable 2 (Uncontrollable account codes), Account K9ODS (SLA ODS Income)</t>
  </si>
  <si>
    <t>sql where t.dim_a like 'GF' and t.dim_e like 'NDIR' and u.dim_1 not in ('GF03', 'GF07', 'GF09', 'GF10', 'GF19','GF23') and u.account not in ('A0995')</t>
  </si>
  <si>
    <t>-- Fund not like H (not HRA), Execdir not like NDIR (Below the line), Costc not like GF03,GF07,GF09,GF10,GF19 (Depreciation, Sale of Assets(x2 codes), Impairment, Accrual Reversal), Account not like A0995 (IAS19 Reversal)</t>
  </si>
  <si>
    <t>sql where t.dim_c like 'S47E'</t>
  </si>
  <si>
    <t>-- Service Area S47E (New Homes Bonus)</t>
  </si>
  <si>
    <t>sql where t.dim_b like 'S45'</t>
  </si>
  <si>
    <t>-- Service Area S45 (Contingencies)</t>
  </si>
  <si>
    <t>account_text</t>
  </si>
  <si>
    <t>group account</t>
  </si>
  <si>
    <t>sql where u.dim_1 like 'GF03'</t>
  </si>
  <si>
    <t>-- Costc GF03 (EMR Adjustments)</t>
  </si>
  <si>
    <t>sql where t.dim_b like 'S47' and t.dim_c &lt;&gt; 'S47E'</t>
  </si>
  <si>
    <t>-- Service Area S47 (Funding) and not S47E (New Homes Bonus)</t>
  </si>
  <si>
    <t>INSERTED PARAMETER</t>
  </si>
  <si>
    <t>INSERTED GROUP</t>
  </si>
  <si>
    <t>INSERTED FOOTER</t>
  </si>
  <si>
    <t>Town Hall Income</t>
  </si>
  <si>
    <t>Controla</t>
  </si>
  <si>
    <t>Exp/inc</t>
  </si>
  <si>
    <t>S01</t>
  </si>
  <si>
    <t>1</t>
  </si>
  <si>
    <t>D3429</t>
  </si>
  <si>
    <t>KK02</t>
  </si>
  <si>
    <t>P12 P2P accruals 2019/20, 8036064, CANTIUM BUSINESS SOLUTIONS LTD</t>
  </si>
  <si>
    <t>SS</t>
  </si>
  <si>
    <t>A0110</t>
  </si>
  <si>
    <t>KP01</t>
  </si>
  <si>
    <t>Salaries 04/20</t>
  </si>
  <si>
    <t>V2</t>
  </si>
  <si>
    <t>Green Spaces Parks Biodiversity report</t>
  </si>
  <si>
    <t>A0111</t>
  </si>
  <si>
    <t>D3703</t>
  </si>
  <si>
    <t>Oxfordshire Safeguarding Adults Board (OSAB) financial contribution 2019-20</t>
  </si>
  <si>
    <t>D3804</t>
  </si>
  <si>
    <t>Renewal of Copyright Licence No.: prepay 1 Apr to 1 Dec 2020 - see trans 1066960 &amp; 1067045</t>
  </si>
  <si>
    <t>S6</t>
  </si>
  <si>
    <t>MAKE CORONAVIRUS BUS STOP POSTERS FOR DISTRIBUTIONMAKE CORONAVIRUS BUS STOP POSTERS FOR DISTRIBUTION JOB NUMBER:11238933 ADDRESS:CITY WIDE,OXFORD</t>
  </si>
  <si>
    <t>03/04/2020 Newsquest Digital Campaign</t>
  </si>
  <si>
    <t>KP06</t>
  </si>
  <si>
    <t>COVERED MARKET</t>
  </si>
  <si>
    <t>Secondment of Mental Health Worker May 2019</t>
  </si>
  <si>
    <t>STAY AT HOME BUS STOP POSTERSSTAY AT HOME BUS STOP POSTERS JOB NUMBER:11261681 ADDRESS:CITY WIDE,OXFORD</t>
  </si>
  <si>
    <t>A0121</t>
  </si>
  <si>
    <t>KK12</t>
  </si>
  <si>
    <t>P12 P2P accruals 2019/20, 8039385, MONCHU CREATIVE LTD</t>
  </si>
  <si>
    <t>A0101</t>
  </si>
  <si>
    <t>KW02</t>
  </si>
  <si>
    <t>KW01</t>
  </si>
  <si>
    <t>JC</t>
  </si>
  <si>
    <t>Correcting mispost of INV-1373. Trans 1068984. Connection Support. Secondment of mental health worker May 2019.</t>
  </si>
  <si>
    <t>P12 P2P accruals 2019/20, 8039397, MONCHU CREATIVE LTD</t>
  </si>
  <si>
    <t>P12 P2P accruals 2019/20, 8031782, DAVID FLEMING</t>
  </si>
  <si>
    <t>P12 P2P accruals 2019/20, 8039383, Jack Media Oxfordshire Ltd</t>
  </si>
  <si>
    <t>D3303</t>
  </si>
  <si>
    <t>P12 P2P accruals 2019/20, 8039243, CRITIQOM LTD</t>
  </si>
  <si>
    <t>P12 P2P accruals 2019/20, 8031401, ARIA PHOTOGRAPHY</t>
  </si>
  <si>
    <t>P12 P2P accruals 2019/20, 8030747, FOOL´S PARADISE LTD</t>
  </si>
  <si>
    <t>A0120</t>
  </si>
  <si>
    <t>HT33</t>
  </si>
  <si>
    <t>Reverse: P12 P2P accruals 2019/20, 8039396, NEWSQUEST MIDLANDS, WALES &amp; SOUTH WEST, trans 10347980</t>
  </si>
  <si>
    <t>K9141</t>
  </si>
  <si>
    <t>Correcting double charge to West Oxfordshire DC, see transactions 51362683 &amp; 51362846</t>
  </si>
  <si>
    <t>D3302</t>
  </si>
  <si>
    <t>W/E 07/03/20 14/03/20 21/03/20 28/03/20</t>
  </si>
  <si>
    <t>KK16</t>
  </si>
  <si>
    <t>NHS OXFORDSHIRE CCG: Additional funding for embedded mental health workers contract: May 19 to May 20 - defer 1 month</t>
  </si>
  <si>
    <t>D3501</t>
  </si>
  <si>
    <t>IQ Post Services</t>
  </si>
  <si>
    <t>Reverse 10347980 PO 8039353 not required</t>
  </si>
  <si>
    <t>Reverse 10347980 PO 8039244 not required</t>
  </si>
  <si>
    <t>KK17</t>
  </si>
  <si>
    <t>Reverse 10347980 PO 8036436 not required</t>
  </si>
  <si>
    <t>Reverse: P12 P2P accruals 2019/20, 8039397, MONCHU CREATIVE LTD, trans 10347980</t>
  </si>
  <si>
    <t>Reverse: P12 P2P accruals 2019/20, 8039383, Jack Media Oxfordshire Ltd, trans 10347980</t>
  </si>
  <si>
    <t>District contribution to Manager role 2018/19: Cherwell</t>
  </si>
  <si>
    <t>THE COPYRIGHT LICENSING AGENCY: prepayment Apr-Oct 2020, see trans 1067651</t>
  </si>
  <si>
    <t>Reverse: P12 P2P accruals 2019/20, 8039385, MONCHU CREATIVE LTD, trans 10347980</t>
  </si>
  <si>
    <t>D3602</t>
  </si>
  <si>
    <t>Lunch for Seminar, Kellogg College 28th October 2019</t>
  </si>
  <si>
    <t>MJ</t>
  </si>
  <si>
    <t>PCM_2&amp;4 WIP APRIL 2020</t>
  </si>
  <si>
    <t>P12 P2P accruals 2019/20, 8034316, ONE POINT OH LIMITED</t>
  </si>
  <si>
    <t>J9019</t>
  </si>
  <si>
    <t>COVID-19: P12 P2P accruals 2019/20, 8039396, NEWSQUEST MIDLANDS, WALES &amp; SOUTH WEST</t>
  </si>
  <si>
    <t>COVID-19: P12 P2P accruals 2019/20, 8039385, MONCHU CREATIVE LTD</t>
  </si>
  <si>
    <t>COVID-19: P12 P2P accruals 2019/20, 8039383, Jack Media Oxfordshire Ltd</t>
  </si>
  <si>
    <t>COVID-19: P12 P2P accruals 2019/20, 8039397, MONCHU CREATIVE LTD</t>
  </si>
  <si>
    <t>P12 P2P accruals 2019/20, 8039236, CHARLIE HENRY</t>
  </si>
  <si>
    <t>District contributions to District Data Analyst role 2019/20: South, Vale</t>
  </si>
  <si>
    <t>P12 P2P accruals 2019/20, 8039353, OXFORD DIRECT SERVICES TRADING LTD</t>
  </si>
  <si>
    <t>P12 P2P accruals 2019/20, 8039396, NEWSQUEST MIDLANDS, WALES &amp; SOUTH WEST</t>
  </si>
  <si>
    <t>P12 P2P accruals 2019/20, 8039244, OXFORD DIRECT SERVICES TRADING LTD</t>
  </si>
  <si>
    <t>Secondment of mental health worker May 2019. Originally posted in 2020-21. See trans 10348046.</t>
  </si>
  <si>
    <t>D3811</t>
  </si>
  <si>
    <t>P12 P2P accruals 2019/20, 8038986, SHOPKIT</t>
  </si>
  <si>
    <t>P12 P2P accruals 2019/20, 8035524, THE KING´S CENTRE</t>
  </si>
  <si>
    <t>District contributions to Manager role 2019/20: Cherwell, South, Vale, West</t>
  </si>
  <si>
    <t>P12 P2P accruals 2019/20, 8037353, CHARLIE HENRY</t>
  </si>
  <si>
    <t>B1102</t>
  </si>
  <si>
    <t>P12 P2P accruals 2019/20, 8038415, OXFORD DIRECT SERVICES TRADING LTD</t>
  </si>
  <si>
    <t>P12 P2P accruals 2019/20, 8039147, CARBON COLOUR COMPANY LTD</t>
  </si>
  <si>
    <t>Reverse 10347980 PO 8038415 not required</t>
  </si>
  <si>
    <t>Reverse 10347980 PO 8038011 not required</t>
  </si>
  <si>
    <t>P12 P2P accruals 2019/20, 8035875, EILIDH BRYAN</t>
  </si>
  <si>
    <t>KK04</t>
  </si>
  <si>
    <t>P12 P2P accruals 2019/20, 8030598, OXFORD FAIRTRADE COALITION</t>
  </si>
  <si>
    <t>P12 P2P accruals 2019/20, 8038011, OXFORD DIRECT SERVICES TRADING LTD</t>
  </si>
  <si>
    <t>P12 P2P accruals 2019/20, 8031039, CARBON COLOUR COMPANY LTD</t>
  </si>
  <si>
    <t>P12 P2P accruals 2019/20, 8036436, OXFORD DIRECT SERVICES TRADING LTD</t>
  </si>
  <si>
    <t>P12 P2P accruals 2019/20, 8037969, CARBON COLOUR COMPANY LTD</t>
  </si>
  <si>
    <t>P12 P2P accruals 2019/20, 8036574, MONCHU CREATIVE LTD</t>
  </si>
  <si>
    <t>D3001</t>
  </si>
  <si>
    <t>P12 P2P accruals 2019/20, 8036368, PAUL BIRTLES T/A THE GARDEN</t>
  </si>
  <si>
    <t>P12 P2P accruals 2019/20, 8029072, OXFORDSHIRE COUNTY COUNCIL</t>
  </si>
  <si>
    <t>S03</t>
  </si>
  <si>
    <t>KT11</t>
  </si>
  <si>
    <t>P12 P2P accruals 2019/20, 8035049, CRITIQOM LTD</t>
  </si>
  <si>
    <t>CA90</t>
  </si>
  <si>
    <t>P12 P2P accruals 2019/20, 8039136, BT BUSINESS DIRECT</t>
  </si>
  <si>
    <t>A0102</t>
  </si>
  <si>
    <t>CD41</t>
  </si>
  <si>
    <t>S03C</t>
  </si>
  <si>
    <t>CB62</t>
  </si>
  <si>
    <t>P12 P2P accruals 2019/20, 8029288, Kirona Solutions Ltd.</t>
  </si>
  <si>
    <t>CA70</t>
  </si>
  <si>
    <t>P12 P2P accruals 2019/20, 8037530, BT BUSINESS DIRECT</t>
  </si>
  <si>
    <t>DP11</t>
  </si>
  <si>
    <t>CB64</t>
  </si>
  <si>
    <t>CA80</t>
  </si>
  <si>
    <t>DC20</t>
  </si>
  <si>
    <t>D3301</t>
  </si>
  <si>
    <t>P12 P2P accruals 2019/20, 8032777, LYRECO UK LTD</t>
  </si>
  <si>
    <t>CD59</t>
  </si>
  <si>
    <t>P12 P2P accruals 2019/20, 8029311, Kirona Solutions Ltd.</t>
  </si>
  <si>
    <t>A0105</t>
  </si>
  <si>
    <t>P12 P2P accruals 2019/20, 8037928, DYNAMIC COACH LTD</t>
  </si>
  <si>
    <t>CD34</t>
  </si>
  <si>
    <t>P12 P2P accruals 2019/20, 8037677, CANTIUM BUSINESS SOLUTIONS LTD</t>
  </si>
  <si>
    <t>P12 P2P accruals 2019/20, 8035017, INTEGRA ASSOCIATES</t>
  </si>
  <si>
    <t>Information@Work Embedded Viewer</t>
  </si>
  <si>
    <t>A0108</t>
  </si>
  <si>
    <t>P1 Gore P (Reed)</t>
  </si>
  <si>
    <t>DP03</t>
  </si>
  <si>
    <t>P1 Freeman C (Reed)</t>
  </si>
  <si>
    <t>P12 Hopkins D (Reed)</t>
  </si>
  <si>
    <t>P12 Barker N (Reed)</t>
  </si>
  <si>
    <t>P12 Wigham K (Reed)</t>
  </si>
  <si>
    <t>P12 Wong R (Reed)</t>
  </si>
  <si>
    <t>PD</t>
  </si>
  <si>
    <t>Monthly Reed Invoice to the end of 3--pr--2020</t>
  </si>
  <si>
    <t>P12 Pearce M (Reed)</t>
  </si>
  <si>
    <t>P12 Gore P (Reed)</t>
  </si>
  <si>
    <t>P1 Wong R (Reed)</t>
  </si>
  <si>
    <t>P1 Barker N (Reed)</t>
  </si>
  <si>
    <t>P1 Hopkins D (Reed)</t>
  </si>
  <si>
    <t>P1 Pearce M (Reed)</t>
  </si>
  <si>
    <t>P1 Wigham K (Reed)</t>
  </si>
  <si>
    <t>P1 White I (Reed)</t>
  </si>
  <si>
    <t>M Woods standby Nov 19 - Mar 20</t>
  </si>
  <si>
    <t>DP12</t>
  </si>
  <si>
    <t>Application Support Services March 2020</t>
  </si>
  <si>
    <t>Kirst Graham, Shirley Xue</t>
  </si>
  <si>
    <t>P12 Jones M (Reed)</t>
  </si>
  <si>
    <t>P12 Griffin C (Reed)</t>
  </si>
  <si>
    <t>CB55</t>
  </si>
  <si>
    <t>P1 Jones M (Reed)</t>
  </si>
  <si>
    <t>P1 Griffin C (Reed)</t>
  </si>
  <si>
    <t>P12 White I (Reed)</t>
  </si>
  <si>
    <t>CD58</t>
  </si>
  <si>
    <t>P12 Tizo M (Reed)</t>
  </si>
  <si>
    <t>P1 Tizo M (Reed)</t>
  </si>
  <si>
    <t>Prepayment 20/21: Remote Hosting Provision, XN LEISURE SYSTEMS LTD</t>
  </si>
  <si>
    <t>Reverse duplicate prepayment 20/21: Support for Existing I@W in Revenues, NORTHGATE PUBLIC SERVICES (UK) LTD, 10348145, 10348054</t>
  </si>
  <si>
    <t>DP07</t>
  </si>
  <si>
    <t>P12 Freeman C (Reed)</t>
  </si>
  <si>
    <t>D3413</t>
  </si>
  <si>
    <t>Prepayment 20/21: CONSULTANCY, NG BAILEY IT SERVICES LTD</t>
  </si>
  <si>
    <t>P12 P2P accruals 2019/20, 8038535, MONCHU CREATIVE LTD</t>
  </si>
  <si>
    <t>P12 P2P accruals 2019/20, 8035618, ROYAL MAIL</t>
  </si>
  <si>
    <t>P12 P2P accruals 2019/20, 8038361, CRITIQOM LTD</t>
  </si>
  <si>
    <t>P12 P2P accruals 2019/20, 8030467, AGILE COLLECTIVE LTD</t>
  </si>
  <si>
    <t>P12 P2P accruals 2019/20, 8037822, WORKBOOKS ONLINE LTD</t>
  </si>
  <si>
    <t>P12 P2P accruals 2019/20, 8038632, HOUND ENVELOPES LTD</t>
  </si>
  <si>
    <t>P12 P2P accruals 2019/20, 8037953, MIDLAND HR</t>
  </si>
  <si>
    <t>P12 P2P accruals 2019/20, 8036438, SCC (SPECIALIST COMPUTER CENTRES PLC)</t>
  </si>
  <si>
    <t>P12 P2P accruals 2019/20, 8034054, CANTIUM BUSINESS SOLUTIONS LTD</t>
  </si>
  <si>
    <t>P12 P2P accruals 2019/20, 8038893, XN LEISURE SYSTEMS LTD</t>
  </si>
  <si>
    <t>P12 P2P accruals 2019/20, 8032349, BELMONT PRESS LTD</t>
  </si>
  <si>
    <t>OX05OX16 MCA DISTRIBUTION</t>
  </si>
  <si>
    <t>P12 P2P accruals 2019/20, 8037821, CAPITA BUSINESS SERVICES LTD</t>
  </si>
  <si>
    <t>CA01</t>
  </si>
  <si>
    <t>P12 P2P accruals 2019/20, 8039358, CANTIUM BUSINESS SOLUTIONS LTD</t>
  </si>
  <si>
    <t>A0123</t>
  </si>
  <si>
    <t>D3021</t>
  </si>
  <si>
    <t>Tables &amp; Remote</t>
  </si>
  <si>
    <t>V4</t>
  </si>
  <si>
    <t>D3531</t>
  </si>
  <si>
    <t>BQ11</t>
  </si>
  <si>
    <t>Acc 900365401 Broadband Charges Feb/March 2020</t>
  </si>
  <si>
    <t>Speak 710 UC USB/BT Speakerphone</t>
  </si>
  <si>
    <t>D3803</t>
  </si>
  <si>
    <t>KA11</t>
  </si>
  <si>
    <t>P12 P2P accruals 2019/20, 8034578, LAMB CATERING LTD</t>
  </si>
  <si>
    <t>P12 P2P accruals 2019/20, 8039279, MIDLAND HR</t>
  </si>
  <si>
    <t>P12 P2P accruals 2019/20, 8038995, ACTION ON HEARING LOSS</t>
  </si>
  <si>
    <t>P12 P2P accruals 2019/20, 8038495, BYTES SOFTWARE SERVICES LTD</t>
  </si>
  <si>
    <t>D3306</t>
  </si>
  <si>
    <t>P12 P2P accruals 2019/20, 8035439, ANTALIS LTD</t>
  </si>
  <si>
    <t>Copy Unit Recharge August</t>
  </si>
  <si>
    <t>Copy Unit Recharge Sept</t>
  </si>
  <si>
    <t>Copy Unit Recharge Nov</t>
  </si>
  <si>
    <t>Copy Unit Recharge Dec</t>
  </si>
  <si>
    <t>Post Room Recharge Dec</t>
  </si>
  <si>
    <t>Post Room Recharge June</t>
  </si>
  <si>
    <t>Copy Unit Recharge July</t>
  </si>
  <si>
    <t>C Whitehead March</t>
  </si>
  <si>
    <t>C Bell standby Nov 19 - Mar 20</t>
  </si>
  <si>
    <t>CA02</t>
  </si>
  <si>
    <t>Post Room Recharge Oct</t>
  </si>
  <si>
    <t>Copy Unit Recharge Oct</t>
  </si>
  <si>
    <t>K9159</t>
  </si>
  <si>
    <t>Unison Salary contribution Q1 20/21</t>
  </si>
  <si>
    <t>K9501</t>
  </si>
  <si>
    <t>ODS Admin Fees</t>
  </si>
  <si>
    <t>Post Room Recharge Nov</t>
  </si>
  <si>
    <t>Post Room Recharge Sept</t>
  </si>
  <si>
    <t>Post Room Recharges-ODS-Q4</t>
  </si>
  <si>
    <t>Post Room Recharge August</t>
  </si>
  <si>
    <t>Post Room Recharge July</t>
  </si>
  <si>
    <t>C2502</t>
  </si>
  <si>
    <t>CD05</t>
  </si>
  <si>
    <t>Staff Discount for order 23/02/2020-28/03/20</t>
  </si>
  <si>
    <t>Garage Marketing Poster</t>
  </si>
  <si>
    <t>Private Work Tickets (pads of 25 sets) - Option 2</t>
  </si>
  <si>
    <t>ODS Drivers Daily Check Report Pads</t>
  </si>
  <si>
    <t>Gas Safety Certificate Pads</t>
  </si>
  <si>
    <t>D3511</t>
  </si>
  <si>
    <t>DWP LA Data Sharing Programme: IT Costs for work completed 3103-090420</t>
  </si>
  <si>
    <t>OX05OX16 ROYAL MAIL WEST TE 74001010</t>
  </si>
  <si>
    <t>Rental, Mono &amp; Colour Copies</t>
  </si>
  <si>
    <t>ACC SM52264082 charges March 2020 01865 771383</t>
  </si>
  <si>
    <t>ACC  SM52290748 - 01865 251808 quarterly bull up to 31/03/2020</t>
  </si>
  <si>
    <t>ACC 50066724 Rental and calls March 2020</t>
  </si>
  <si>
    <t>internet and messaging charges up to 31/03/2020</t>
  </si>
  <si>
    <t>ACC 50057890 - Sim Usage Martch 2090</t>
  </si>
  <si>
    <t>ACC 76047620</t>
  </si>
  <si>
    <t>F2F interpreting (2 bookings)</t>
  </si>
  <si>
    <t>ACROBAT PRO SUBSCRPT DC ALL MLP License</t>
  </si>
  <si>
    <t>CH20944 - Electric Security - MS3 - Go Live</t>
  </si>
  <si>
    <t>CB60</t>
  </si>
  <si>
    <t>CH20944 - Electric Security - MS2 - Live Build</t>
  </si>
  <si>
    <t>P12 Simu A (Reed)</t>
  </si>
  <si>
    <t>P12 Hart A (Reed)</t>
  </si>
  <si>
    <t>P12 Hall J (Reed)</t>
  </si>
  <si>
    <t>P1 Simu A (Reed)</t>
  </si>
  <si>
    <t>P1 Hart A (Reed)</t>
  </si>
  <si>
    <t>P1 Hall J (Reed)</t>
  </si>
  <si>
    <t>K6661</t>
  </si>
  <si>
    <t>Ref HCo P2P AJ 44000488,44000489.Business Improvement (incl ICT):SLA from OCC for ICT&amp;BI for 2019/20</t>
  </si>
  <si>
    <t>Prepay March 20 - Support Charge For DATAstoc Classic Software</t>
  </si>
  <si>
    <t>Primpost unsorted recovery letters</t>
  </si>
  <si>
    <t>Expenses Megan Dale-Brown - Mileage</t>
  </si>
  <si>
    <t>CH20944 - Org Structure - MS1 - Workshop</t>
  </si>
  <si>
    <t>Technical Consultant: Craig Lockwood - 03/02/20 and 04/02/20</t>
  </si>
  <si>
    <t>F2F interpreting (2 bookings</t>
  </si>
  <si>
    <t>TELEPHONE CONSULTATION X 4</t>
  </si>
  <si>
    <t>ACC 601508518 / 00001 - 07887633472 cutteslowe</t>
  </si>
  <si>
    <t>CA71</t>
  </si>
  <si>
    <t>Outstanding Renue Recognised on Comple</t>
  </si>
  <si>
    <t>Increased internet inbound &amp; outbound</t>
  </si>
  <si>
    <t>Musculoskeletal (Treatment), Telephone/video Consultation</t>
  </si>
  <si>
    <t>w/c 30/3 x5 days &amp; w/c 6/4 x4days</t>
  </si>
  <si>
    <t>Prepay March 20 - Corvid Paygate Annual Licence</t>
  </si>
  <si>
    <t>Acc 899834101 Broadband charges March 2020</t>
  </si>
  <si>
    <t>899839301</t>
  </si>
  <si>
    <t>178622601</t>
  </si>
  <si>
    <t>178622701</t>
  </si>
  <si>
    <t>Business Improvement Stationary</t>
  </si>
  <si>
    <t>Business Improvement - Stationary</t>
  </si>
  <si>
    <t>CMS Support 11/05/2020-10/05/2021</t>
  </si>
  <si>
    <t>Case Reviews and Telephone/Video Consultations</t>
  </si>
  <si>
    <t>Monthy 1 user level 3 Licence</t>
  </si>
  <si>
    <t>POSTAGE 20 20/01/2020</t>
  </si>
  <si>
    <t>Post various</t>
  </si>
  <si>
    <t>C/Tax, benefits, recovery letters</t>
  </si>
  <si>
    <t>Prepay March 20 - Email Encryption</t>
  </si>
  <si>
    <t>Acc 899833901 Broadband charges March 2020</t>
  </si>
  <si>
    <t>Prepay March 20 - HBSMR User Group Meeting</t>
  </si>
  <si>
    <t>Prepay March 20 - Oracle Support &amp; Maintenance</t>
  </si>
  <si>
    <t>Prepay March 20 - Support &amp; Maintenance, Estates, Allocations, Rents, Service Charges</t>
  </si>
  <si>
    <t>Prepay March 20 - Maintenance &amp; Support Service Contract + Licence</t>
  </si>
  <si>
    <t>Prepay March 20 - Support &amp; Maintenance for Oxford Mobile app</t>
  </si>
  <si>
    <t>Prepay March 20 - InCase Intelligence &amp; iDIS Annual Licence &amp; Support</t>
  </si>
  <si>
    <t>Prepay March 20 - Production Support</t>
  </si>
  <si>
    <t>Prepay March 20 - Hosting With Cloudflare &amp; IDS</t>
  </si>
  <si>
    <t>Prepay March 20 - SolutionCare Annual Maintenance &amp; Support</t>
  </si>
  <si>
    <t>Prepay March 20 - CorVu Maintenance Coverage</t>
  </si>
  <si>
    <t>Prepay March 20 - Paris Multi Company Module</t>
  </si>
  <si>
    <t>Prepay March 20 - 1 Years Support - PSS - 8x5xNBD HWO</t>
  </si>
  <si>
    <t>Prepay March 20 - Support &amp; Maintenance for I@W Retention</t>
  </si>
  <si>
    <t>Prepay March 20 - Sophos Web, Network &amp; Premium Support</t>
  </si>
  <si>
    <t>Prepay March 20 - WMDesign Licence Renewal</t>
  </si>
  <si>
    <t>Prepay March 20 - Annual Support &amp; Maintenance - TomTom Terminals</t>
  </si>
  <si>
    <t>Prepay March 20 - XpertHR</t>
  </si>
  <si>
    <t>Prepay March 20 - HRO Hosting, Payroll Services, Itrent</t>
  </si>
  <si>
    <t>Prepay March 20 - Capita - Software Support &amp; Maintenance</t>
  </si>
  <si>
    <t>Prepay March 20 - Annual Veeam Backup Essentials 20/21</t>
  </si>
  <si>
    <t>Prepay March 20 - Business hours technical support</t>
  </si>
  <si>
    <t>Prepay March 20 - Unit4 Agresso Support and Maintenance</t>
  </si>
  <si>
    <t>Prepay March 20 - Licence Fee for Workbooks</t>
  </si>
  <si>
    <t>Prepay March 20 - Remote Hosting Hardware &amp; Software Support</t>
  </si>
  <si>
    <t>Prepay March 20 - Annual Maintenance Renewal - Veeam Backup Essentials - Enterprise 2 Socket Bundle for renewal until 12/04/2021 - 01773829</t>
  </si>
  <si>
    <t>Prepay March 20 - Licence Fee &amp; Maintenance</t>
  </si>
  <si>
    <t>Prepay March 20 - Proprint Academy</t>
  </si>
  <si>
    <t>Prepay March 20 - Argis Support &amp; Maintenance</t>
  </si>
  <si>
    <t>Prepay March 20 - Uniform Software &amp; Maintenance</t>
  </si>
  <si>
    <t>Prepay March 20 - HBSMR SQL Server Database Maintenance &amp; Technical Supprot</t>
  </si>
  <si>
    <t>Prepay March 20 - HBSMR Maplink ArcGIS Maintenance &amp; Technical Support</t>
  </si>
  <si>
    <t>Prepay March 20 - SOFTWARE UPDATE LICENCE &amp; SUPPORT 180220/170221</t>
  </si>
  <si>
    <t>Prepay March 20 - I@W Licences</t>
  </si>
  <si>
    <t>Prepay March 20 - ArcGIS License and Support 2020/21</t>
  </si>
  <si>
    <t>Prepay March 20 - HBSMR Database Maintenance &amp; Technical Support</t>
  </si>
  <si>
    <t>Prepay March 20 - HBSMR Server/Application Hosting</t>
  </si>
  <si>
    <t>Prepay March 20 - HBSMR Gateway Maintenance &amp; Technical Support</t>
  </si>
  <si>
    <t>Prepay March 20 - Planning Finder Software Maintenance</t>
  </si>
  <si>
    <t>Prepay March 20 - AEC Single User Annual Subs</t>
  </si>
  <si>
    <t>Prepay March 20 - Support &amp; Maintenance GUI (iWorld)</t>
  </si>
  <si>
    <t>Prepay March 20 - Support for Existing I@W Licences</t>
  </si>
  <si>
    <t>C2501</t>
  </si>
  <si>
    <t>C2505</t>
  </si>
  <si>
    <t>Stay at Home Posters</t>
  </si>
  <si>
    <t>B1306</t>
  </si>
  <si>
    <t>P12 P2P accruals 2019/20, 8036782, PAYNE &amp; SON (GOLDSMITHS) LTD</t>
  </si>
  <si>
    <t>L9729</t>
  </si>
  <si>
    <t>Bus Stop Posters</t>
  </si>
  <si>
    <t>Fixed Penalty Notice Book</t>
  </si>
  <si>
    <t>CH21509 - Web Style Sheets via Web Recruitment</t>
  </si>
  <si>
    <t>OX05OX16 ROYAL MAIL WEST TE 9060568282</t>
  </si>
  <si>
    <t>VGA MONITOR</t>
  </si>
  <si>
    <t>Benefit, recovery, c/tax letters</t>
  </si>
  <si>
    <t>Benefit, Recovery, C/Tax letters</t>
  </si>
  <si>
    <t>Analytics Pensions Data Service - 25/5/2020 - 24/8/2020</t>
  </si>
  <si>
    <t>GovMetric annual support for email channel 01/01/20-31/12/20, Tablet Survey 15/01/20-14/01/21</t>
  </si>
  <si>
    <t>Services to 24/04/2020</t>
  </si>
  <si>
    <t>Postage to 17/04/2020</t>
  </si>
  <si>
    <t>Postage to 24/04/2020</t>
  </si>
  <si>
    <t>Postage to 03.04.20</t>
  </si>
  <si>
    <t>Postage</t>
  </si>
  <si>
    <t>Services to 03.04.20</t>
  </si>
  <si>
    <t>Engineer visit(s) to IDEAL 5221 GUILLOTINE, SNo 2592917</t>
  </si>
  <si>
    <t>Subscription period 19th May 2020 - 18th May 2021</t>
  </si>
  <si>
    <t>PwrBIPro ShrdSvr ALNG SubsVL MVL PerUsr</t>
  </si>
  <si>
    <t>Consultations, Referrals and Treatment</t>
  </si>
  <si>
    <t>Reverse Q4 SCC Overconsumption as Invoiced</t>
  </si>
  <si>
    <t>Rocksure - Loneworker Devices Prepayment (April to Nov)</t>
  </si>
  <si>
    <t>Ill Health Retirement F2F OHP 1905223 24.03.20</t>
  </si>
  <si>
    <t>Oxford City Council - RACS October 19 - March 20</t>
  </si>
  <si>
    <t>Delegate: Miss R Chigagure</t>
  </si>
  <si>
    <t>Acc VP941817701 charges March 2020</t>
  </si>
  <si>
    <t>Acc 886634401 Broadband charges March 2020</t>
  </si>
  <si>
    <t>Acc 899833701 Broadband charges March 2020</t>
  </si>
  <si>
    <t>Acc 899833801, Broadband charges March 2020</t>
  </si>
  <si>
    <t>Tenants In Touch Newsletter Spring 20</t>
  </si>
  <si>
    <t>Quarterly Vodafone Accl 3264.17/3</t>
  </si>
  <si>
    <t>Prepay March 20 - Periodic Charge Dor</t>
  </si>
  <si>
    <t>Prepay March 20 - Policy Pak Group Policy Edition License</t>
  </si>
  <si>
    <t>Transformation Consultancy Resource - Laura Griffiths - 15 days</t>
  </si>
  <si>
    <t>Enhanced DBS Checks X 12</t>
  </si>
  <si>
    <t>Project: 70146-Z0002 MARCH 2020</t>
  </si>
  <si>
    <t>INOVEM Consult corporate licence renewal</t>
  </si>
  <si>
    <t>Indexation uplift for current year</t>
  </si>
  <si>
    <t>PRINT ROOM</t>
  </si>
  <si>
    <t>OX05OX16 ROYAL MAIL WEST TE 9060521125</t>
  </si>
  <si>
    <t>PrepPiad Support for Existing I@W in Revenues</t>
  </si>
  <si>
    <t>BT Accl External phone Usage Mar20</t>
  </si>
  <si>
    <t>BT Accl External Phone Rental Mar20</t>
  </si>
  <si>
    <t>SCC DCS Contract Excess Usage Accl Jan/Feb/Mar 20</t>
  </si>
  <si>
    <t>SCC DCS Contract (Mar) Accrual</t>
  </si>
  <si>
    <t>Monthly Vodafone Accl Mar 20</t>
  </si>
  <si>
    <t>P12 P2P accruals 2019/20, 8037216, CANTIUM BUSINESS SOLUTIONS LTD</t>
  </si>
  <si>
    <t>P12 P2P accruals 2019/20, 8035657, CANTIUM BUSINESS SOLUTIONS LTD</t>
  </si>
  <si>
    <t>One bill ref 03493270AC - March 2020</t>
  </si>
  <si>
    <t>ACC GB22911151 - Wifi for March 2020</t>
  </si>
  <si>
    <t>ACC MC001 00555823 - Mr Christian Lucy</t>
  </si>
  <si>
    <t>Service Charges March 2020</t>
  </si>
  <si>
    <t>Broadband Charges Acc 163148601</t>
  </si>
  <si>
    <t>Master App, Management Referral, Musculoskeletal, Telephone/Video Consultation</t>
  </si>
  <si>
    <t>PrepayeXpress Annual Fee 01/04/2020 to 31/03/2021</t>
  </si>
  <si>
    <t>A0116</t>
  </si>
  <si>
    <t>P12 APPS TEAM Recharge reversal</t>
  </si>
  <si>
    <t>A0631</t>
  </si>
  <si>
    <t>Actus Software Licences for the period 01.04.2020 to 31.03.2021 - 700 licences x £1.75 per licence per month x 12</t>
  </si>
  <si>
    <t>P12 P2P accruals 2019/20, 8035660, 8866</t>
  </si>
  <si>
    <t>A0630</t>
  </si>
  <si>
    <t>P12 P2P accruals 2019/20, 8037872, CONFLICT RESOLUTION LTD</t>
  </si>
  <si>
    <t>P12 P2P accruals 2019/20, 8038814, OXFORD SAID BUSINESS SCHOOL LTD</t>
  </si>
  <si>
    <t>DP14</t>
  </si>
  <si>
    <t>P12 P2P accruals 2019/20, 8037250, CHAMELEON COMMERCIAL SERVICES LTD</t>
  </si>
  <si>
    <t>P12 P2P accruals 2019/20, 8029312, Kirona Solutions Ltd.</t>
  </si>
  <si>
    <t>P12 P2P accruals 2019/20, 8031642, OXFORDSHIRE COUNTY COUNCIL</t>
  </si>
  <si>
    <t>A0622</t>
  </si>
  <si>
    <t>P12 P2P accruals 2019/20, 8035050, BYTES SOFTWARE SERVICES LTD</t>
  </si>
  <si>
    <t>A0638</t>
  </si>
  <si>
    <t>PREPAID - Learning Pool Subs 1.4.20 to 28.11.2020</t>
  </si>
  <si>
    <t>P12 APPS TEAM Recharge</t>
  </si>
  <si>
    <t>A0649</t>
  </si>
  <si>
    <t>ODS Apprenticeship Levy 1920</t>
  </si>
  <si>
    <t>OX App Levy March 20 (est.)</t>
  </si>
  <si>
    <t>A0953</t>
  </si>
  <si>
    <t>Prepay March 20 - Sophos UTM SW Fullguard 24x7</t>
  </si>
  <si>
    <t>Prepay March 20 - Northgate Public Services - Add 54 I@W Licences Housing</t>
  </si>
  <si>
    <t>Prepay March 20 - Maintenance &amp; Support Service Contract + Licence 05/05/2020 - 04/05/2021</t>
  </si>
  <si>
    <t>Prepay March 20 - Software Maintenance/Running Costs</t>
  </si>
  <si>
    <t>Prepay March 20 - HRO Hosting, Payroll Services, Itrent 14/02/20-30/06/2020</t>
  </si>
  <si>
    <t>Prepay March 20 - eXpress Annual Fee 01/04/2020 to 31/03/2021</t>
  </si>
  <si>
    <t>Prepay March 20 - BO x 1 named user licence - 01/04/2020 - 31/03/2021</t>
  </si>
  <si>
    <t>Prepay March 20 - vFire Core Basic Support &amp; Dedicated License Basic Support</t>
  </si>
  <si>
    <t>Prepay March 20 - Easit Oxford Membership</t>
  </si>
  <si>
    <t>P12 P2P accruals 2019/20, 8039186, BT BUSINESS DIRECT</t>
  </si>
  <si>
    <t>Prepay March 20 - BO &amp; 1 Named User Licence</t>
  </si>
  <si>
    <t>Prepay March 20 - Iken Annual Licence Fee</t>
  </si>
  <si>
    <t>Prepay March 20 - CMS Support</t>
  </si>
  <si>
    <t>Prepay March 20 - AutoCAD LT 2019 Comm Subscription</t>
  </si>
  <si>
    <t>Prepay March 20 - HBSMR Gateway GIS Module Maintenance &amp; Technical Support</t>
  </si>
  <si>
    <t>Prepay March 20 - Codeman 4 Annual Support</t>
  </si>
  <si>
    <t>Prepay March 20 - Housing Advice Support &amp; Maintenance</t>
  </si>
  <si>
    <t>Reverse BT Accl External Phone Rental Mar20</t>
  </si>
  <si>
    <t>Prepay March 20 - TrustID Desktop Solutions x 5</t>
  </si>
  <si>
    <t>Prepay March 20 - ezytreev Tree Management System Maintenance and Support</t>
  </si>
  <si>
    <t>Reverse Monthly Vodafone Accl Mar 20</t>
  </si>
  <si>
    <t>Estimated Sharp Rental &amp; Copies Q4 1920</t>
  </si>
  <si>
    <t>D3508</t>
  </si>
  <si>
    <t>Prepay PARIS multi-company April to Nov 20</t>
  </si>
  <si>
    <t>Prepay 20/21 Modern gov Annual Licences S&amp;M</t>
  </si>
  <si>
    <t>B1102 CA70 - PAUL OATES CALL NO: 928 BUILDING: TOWN HALL LOCB1102 CA70 - PAUL OATES CALL NO: 928 BUILDING: TOWN HALL LOC JOB NUMBER:11192378 ADDRESS:TOWN HALL,OXFORD</t>
  </si>
  <si>
    <t>Prepay Servitor License S&amp;M April to Nov 2020</t>
  </si>
  <si>
    <t>Prepay 20/21 Mosaic Annual Licence Renewal</t>
  </si>
  <si>
    <t>HR Consultancy</t>
  </si>
  <si>
    <t>S10</t>
  </si>
  <si>
    <t>S10B</t>
  </si>
  <si>
    <t>PS</t>
  </si>
  <si>
    <t>BJ12</t>
  </si>
  <si>
    <t>Covered Market Acc: KS86222R  Electricity 01/03/20 - 31/03/20</t>
  </si>
  <si>
    <t>BG11</t>
  </si>
  <si>
    <t>19/20 Electricity Accrual - Floyds Row Homeless Assessment Hub</t>
  </si>
  <si>
    <t>D3601</t>
  </si>
  <si>
    <t>HT36</t>
  </si>
  <si>
    <t>SI</t>
  </si>
  <si>
    <t>330500038</t>
  </si>
  <si>
    <t>S10C</t>
  </si>
  <si>
    <t>BN01</t>
  </si>
  <si>
    <t>330501319</t>
  </si>
  <si>
    <t>330500028</t>
  </si>
  <si>
    <t>19/20 Electricity Accrual - Covered Market Unit 026-027 &amp; 042-043</t>
  </si>
  <si>
    <t>HT20</t>
  </si>
  <si>
    <t>19/20 Electricity Accrual - Enterprise Centre Meeting Space (Unit 17) [RENT INC ELEC]</t>
  </si>
  <si>
    <t>George Street 01-03 [Bsmt &amp; Ground Flr] Acc: KS862238  Electricity 01/03/20 - 31/03/20</t>
  </si>
  <si>
    <t>19/20 Water Accrual - Covered Market Unit 021-023</t>
  </si>
  <si>
    <t>330501268</t>
  </si>
  <si>
    <t>HT32</t>
  </si>
  <si>
    <t>330501270</t>
  </si>
  <si>
    <t>B1605</t>
  </si>
  <si>
    <t>BG18</t>
  </si>
  <si>
    <t>Unpaid waste invoice 56012442</t>
  </si>
  <si>
    <t>Unpaid waste invoice 56011018</t>
  </si>
  <si>
    <t>D3415</t>
  </si>
  <si>
    <t>BN22</t>
  </si>
  <si>
    <t>330501280</t>
  </si>
  <si>
    <t>330501302</t>
  </si>
  <si>
    <t>330501332</t>
  </si>
  <si>
    <t>330501340</t>
  </si>
  <si>
    <t>LEP - ERDF Claims Q1-Q4 1920 (claim 8-11 incl)</t>
  </si>
  <si>
    <t>County Council - ISFB Smart Oxford 50% TH salary costs</t>
  </si>
  <si>
    <t>C2601</t>
  </si>
  <si>
    <t>HT14</t>
  </si>
  <si>
    <t>Phase 1 Partner Contributions</t>
  </si>
  <si>
    <t>Phase 2 Partner Contributions</t>
  </si>
  <si>
    <t>19/20 Electricity Accrual - George Street 01-03 [Third Flr]</t>
  </si>
  <si>
    <t>330500783</t>
  </si>
  <si>
    <t>Unpaid waste invoice 56012873</t>
  </si>
  <si>
    <t>BN10</t>
  </si>
  <si>
    <t>Unpaid waste invoice 56010263</t>
  </si>
  <si>
    <t>19/20 Electricity Accrual - Covered Market</t>
  </si>
  <si>
    <t>19/20 Water Accrual - Covered Market Male Traders Toilets</t>
  </si>
  <si>
    <t>Unpaid waste invoice 56008593</t>
  </si>
  <si>
    <t>19/20 Water Accrual - Covered Market Female Traders Toilets</t>
  </si>
  <si>
    <t>B1821</t>
  </si>
  <si>
    <t>Prepayment 20/21: SERVICE CHARGE ANGEL AND GREYHOUND MEADOW 2512/241220, MAGDALEN COLLEGE OXFORD</t>
  </si>
  <si>
    <t>330501203</t>
  </si>
  <si>
    <t>330501202</t>
  </si>
  <si>
    <t>19/20 Water Accrual - Former Blackbird Leys Swimming Pool</t>
  </si>
  <si>
    <t>OX09OX16 701955016 ADJ THE MARKET</t>
  </si>
  <si>
    <t>330501135</t>
  </si>
  <si>
    <t>330500856</t>
  </si>
  <si>
    <t>OX09OX16 600982254 42 GEORGE ST</t>
  </si>
  <si>
    <t>330501167</t>
  </si>
  <si>
    <t>OX09OX16 603890219 9 SHIP ST</t>
  </si>
  <si>
    <t>Unpaid waste invoice 56008815</t>
  </si>
  <si>
    <t>19/20 Electricity Accrual - Covered Market Female Traders Toilets</t>
  </si>
  <si>
    <t>Unpaid waste invoice 56013597</t>
  </si>
  <si>
    <t>19/20 Electricity Accrual - George Street 01-03 [Second Flr]</t>
  </si>
  <si>
    <t>19/20 Water Accrual - Ship Street 08 (Ground Floor Cafe)</t>
  </si>
  <si>
    <t>19/20 Water Accrual - Floyds Row Homeless Assessment Hub</t>
  </si>
  <si>
    <t>19/20 Water Accrual - Covered Market Porters Office</t>
  </si>
  <si>
    <t>19/20 Electricity Accrual - New Road 11B (Second Floor)</t>
  </si>
  <si>
    <t>Unpaid waste invoice 56017674</t>
  </si>
  <si>
    <t>330500316</t>
  </si>
  <si>
    <t>19/20 Water Accrual - Queen Street 45</t>
  </si>
  <si>
    <t>19/20 Electricity Accrual - Ship Street 08 (Ground Floor Cafe)</t>
  </si>
  <si>
    <t>330500264</t>
  </si>
  <si>
    <t>330500731</t>
  </si>
  <si>
    <t>Unpaid waste invoice 56017031</t>
  </si>
  <si>
    <t>Unpaid waste invoice 56015708</t>
  </si>
  <si>
    <t>19/20 Electricity Accrual - Covered Market Unit 046-048 &amp; Cellars 10-11</t>
  </si>
  <si>
    <t>330501168</t>
  </si>
  <si>
    <t>330500260</t>
  </si>
  <si>
    <t>19/20 Electricity Accrual - Enterprise Centre Unit 09 [RENT INC ELEC]</t>
  </si>
  <si>
    <t>OX09OX16 603495405 10 SHIP ST</t>
  </si>
  <si>
    <t>OX09OX16 701093612 FERRY HINKSEY ROAD</t>
  </si>
  <si>
    <t>Inner Circle - Q4 1920 expects costs (as per GC data)</t>
  </si>
  <si>
    <t>RP</t>
  </si>
  <si>
    <t>J8331</t>
  </si>
  <si>
    <t>Cancelled 200416 46307064</t>
  </si>
  <si>
    <t>OX05OX16 WLWORKMAN RE GG MARKET</t>
  </si>
  <si>
    <t>BASE RENT &amp; SERVICE CHARGE GLOUCESTER GREEN 25/3/2020-23/6/2020</t>
  </si>
  <si>
    <t>OX09OX16 701953810 THE COVERED MARKET</t>
  </si>
  <si>
    <t>OX09OX16 701954914 COVERED MARKET</t>
  </si>
  <si>
    <t>S10E</t>
  </si>
  <si>
    <t>D3417</t>
  </si>
  <si>
    <t>BN26</t>
  </si>
  <si>
    <t>Reports on Title - multiple properties 180220</t>
  </si>
  <si>
    <t>OX09OX16 700604210 UNIT 17 ENTERPRISE CENTRE</t>
  </si>
  <si>
    <t>OX09OX16 711918268 OCC CAR SPACES LEVEL 3 CASTLE CAR PARK</t>
  </si>
  <si>
    <t>OX05OX16 7265688 LAND REGISTRY</t>
  </si>
  <si>
    <t>D3701</t>
  </si>
  <si>
    <t>HT30</t>
  </si>
  <si>
    <t>Q1 Rent grant 2020/21 April to June 2020</t>
  </si>
  <si>
    <t>BG26</t>
  </si>
  <si>
    <t>Refasten Cleat &amp; Install Additional Bracing to the Walkway</t>
  </si>
  <si>
    <t>One Limited - Event Workshop series</t>
  </si>
  <si>
    <t>BG12</t>
  </si>
  <si>
    <t>Bury Knowle House Acc: 88888893485  Water 14/11/19 - 14/02/20</t>
  </si>
  <si>
    <t>HT11</t>
  </si>
  <si>
    <t>Covered Market Male Traders Toilets Acc: 88888893535  Water 14/11/19 - 14/02/20</t>
  </si>
  <si>
    <t>OxWED proposed development model and loan</t>
  </si>
  <si>
    <t>330500952</t>
  </si>
  <si>
    <t>C2101</t>
  </si>
  <si>
    <t>TJ11</t>
  </si>
  <si>
    <t>P12 Non-Contracted Repairs</t>
  </si>
  <si>
    <t>330501281</t>
  </si>
  <si>
    <t>330501309</t>
  </si>
  <si>
    <t>OX09OX16 704541911 PORT MEADOW MOORINGS</t>
  </si>
  <si>
    <t>OX09OX16 711956613 46A GEORGE ST</t>
  </si>
  <si>
    <t>OX09OX16 711944179 2ND FLR 1-3 GEORGE ST</t>
  </si>
  <si>
    <t>OX09OX16 71194416X PT 1ST FLR 1-3 GEORGE ST</t>
  </si>
  <si>
    <t>OX09OX16 711845296 3RD FLOOR 1-3 GEORGE ST</t>
  </si>
  <si>
    <t>OX09OX16 71192639X 1-3 GEORGE ST</t>
  </si>
  <si>
    <t>WASTE RE WEDNESDAY MARKET</t>
  </si>
  <si>
    <t>OX05OX16 LAND REGISTRY 7265688</t>
  </si>
  <si>
    <t>Enterprise Centre Acc: 3004980737  Gas 01/03/20 - 31/03/20</t>
  </si>
  <si>
    <t>P12 P2P accruals 2019/20, 8038922, CHRIS BRAIN ASSOCIATES</t>
  </si>
  <si>
    <t>Port Meadow Moorings – Board Refixing</t>
  </si>
  <si>
    <t>Reports on Title - multiple properties to 260220</t>
  </si>
  <si>
    <t>Unpaid waste invoice 56015385</t>
  </si>
  <si>
    <t>OX05OX16 576769*EXPERIENCE*</t>
  </si>
  <si>
    <t>9495 - Smart Oxford Event Assets - Completion of events</t>
  </si>
  <si>
    <t>Commercial EPC at 5 Kendall Crescent OX2 8NE</t>
  </si>
  <si>
    <t>30 Pembroke Street (Museum of Modern Art)</t>
  </si>
  <si>
    <t>Unpaid waste invoice 56014711</t>
  </si>
  <si>
    <t>B4 Platinum Membership &amp; Various</t>
  </si>
  <si>
    <t>Agreed lump sum of £1500.00 as per our email dated 07.08.19</t>
  </si>
  <si>
    <t>Arcadis Fees  - March</t>
  </si>
  <si>
    <t>D3420</t>
  </si>
  <si>
    <t>April waste collections</t>
  </si>
  <si>
    <t>Covered Market Unit 016A Acc: 531774798  Electricity 15/01/20 - 15/04/20</t>
  </si>
  <si>
    <t>Covered Market Unit 018-019 Acc: 691777759  Electricity 15/01/20 - 15/04/20</t>
  </si>
  <si>
    <t>Covered Market Unit 069-073 &amp; Cellar 03 Acc: 811775526  Electricity 15/01/20 - 15/04/20</t>
  </si>
  <si>
    <t>Covered Market Female Traders Toilets Acc: 88888893515  Water 14/11/19 - 14/02/20</t>
  </si>
  <si>
    <t>Ship Street 09 Acc: 251700831  Electricity 07/03/20 - 01/04/20</t>
  </si>
  <si>
    <t>Covered Market Cellar 13 Acc: 891794219  Electricity 31/12/19 - 01/04/20</t>
  </si>
  <si>
    <t>Covered Market Unit 016B &amp; 016C Acc: 111767831  Electricity 15/01/20 - 15/04/20</t>
  </si>
  <si>
    <t>Covered Market Unit 046-048 &amp; Cellars 10-11 Acc: 461773203  Electricity 15/01/20 - 15/04/20</t>
  </si>
  <si>
    <t>Covered Market Unit 026-027 &amp; 042-043 Acc: 971764676  Electricity 15/01/20 - 15/04/20</t>
  </si>
  <si>
    <t>Covered Market Unit 011-015 Acc: 661766317  Electricity 15/01/20 - 15/04/20</t>
  </si>
  <si>
    <t>Ship Street 10 Acc: 601716085  Electricity 15/01/20 - 15/04/20</t>
  </si>
  <si>
    <t>Queen Street 45 Acc: 551807168  Electricity 22/01/20 - 15/04/20</t>
  </si>
  <si>
    <t>Port Meadow Moorings May 2020</t>
  </si>
  <si>
    <t>Floyds Row Homeless Assessment Hub Acc: 601746658  Electricity 01/03/20 - 31/03/20</t>
  </si>
  <si>
    <t>Bury Knowle House Acc: 601526691  Electricity 28/12/19 - 30/03/20</t>
  </si>
  <si>
    <t>Bury Knowle House (First Floor Offices) [RENT INCLUDES UTILITIES] Acc: 941525983  Electricity 31/12/19 - 30/03/20</t>
  </si>
  <si>
    <t>Enterprise Centre Acc: 711644856  Electricity 02/03/20 - 01/04/20</t>
  </si>
  <si>
    <t>Queen Street 45 Acc: TW0000372022  Water 01/01/20 - 30/06/20</t>
  </si>
  <si>
    <t>Former Rose Hill &amp; Donnington Advice Centre Acc: 88888893486  Water 14/02/20 - 13/05/20</t>
  </si>
  <si>
    <t>OCC Share of Phase 2 Fees Incurred by Thames Water</t>
  </si>
  <si>
    <t>19/20 Electricity Accrual - George Street 01-03 [Bsmt &amp; Ground Flr]</t>
  </si>
  <si>
    <t>19/20 Electricity Accrual - Enterprise Centre Unit 10</t>
  </si>
  <si>
    <t>19/20 Water Accrual - Former Rose Hill Scout Hut</t>
  </si>
  <si>
    <t>19/20 Gas Accrual - Enterprise Centre</t>
  </si>
  <si>
    <t>19/20 Water Accrual - Kendall Crescent 5</t>
  </si>
  <si>
    <t>19/20 Electricity Accrual - Kendall Crescent 5</t>
  </si>
  <si>
    <t>19/20 Electricity Accrual - George Street 42 (Basement &amp; Upper Floors)</t>
  </si>
  <si>
    <t>19/20 Water Accrual - Covered Market Unit 016A</t>
  </si>
  <si>
    <t>19/20 Electricity Accrual - Enterprise Centre</t>
  </si>
  <si>
    <t>19/20 Water Accrual - Blackbird Leys Road 100 (Lloyds Pharmacy)</t>
  </si>
  <si>
    <t>19/20 Gas Accrual - Bury Knowle House (First Floor Offices) [RENT INCLUDES UTILITIES]</t>
  </si>
  <si>
    <t>19/20 Electricity Accrual - Bury Knowle House (First Floor Offices) [RENT INCLUDES UTILITIES]</t>
  </si>
  <si>
    <t>19/20 Electricity Accrual - Ship Street 10</t>
  </si>
  <si>
    <t>19/20 Electricity Accrual - Ship Street 09</t>
  </si>
  <si>
    <t>19/20 Gas Accrual - Ship Street 10</t>
  </si>
  <si>
    <t>19/20 Electricity Accrual - Bury Knowle House</t>
  </si>
  <si>
    <t>19/20 Water Accrual - Bury Knowle House</t>
  </si>
  <si>
    <t>19/20 Electricity Accrual - Turl Street 18-19</t>
  </si>
  <si>
    <t>19/20 Gas Accrual - Ship Street 16A</t>
  </si>
  <si>
    <t>19/20 Water Accrual - St Michael´s Street 10</t>
  </si>
  <si>
    <t>19/20 Electricity Accrual - Covered Market Unit 069-073 &amp; Cellar 03</t>
  </si>
  <si>
    <t>Phase 1 Contribution to Partners</t>
  </si>
  <si>
    <t>Queen Street 45 Acc: 1292224  Electricity 28/02/20 - 29/03/20</t>
  </si>
  <si>
    <t>Former Blackbird Leys Swimming Pool Acc: TW0154580024  Water 01/02/20 - 03/03/20</t>
  </si>
  <si>
    <t>March waste collections</t>
  </si>
  <si>
    <t>19/20 Electricity Accrual - Gloucester Green Outdoor Market Lighting</t>
  </si>
  <si>
    <t>19/20 Electricity Accrual - The Victoria Fountain</t>
  </si>
  <si>
    <t>BN06</t>
  </si>
  <si>
    <t>P12 P2P accruals 2019/20, 8019897, ARCADIS LLP</t>
  </si>
  <si>
    <t>30010499</t>
  </si>
  <si>
    <t>K9471</t>
  </si>
  <si>
    <t>330501155</t>
  </si>
  <si>
    <t>30013564</t>
  </si>
  <si>
    <t>19/20 Cash in 20/21</t>
  </si>
  <si>
    <t>C2201</t>
  </si>
  <si>
    <t>Bury Knowle House (First Floor Offices) [RENT INCLUDES UTILITIES] Acc: 971677895  Gas 28/12/19 - 30/03/20</t>
  </si>
  <si>
    <t>Broad Street 21 Acc: 3006187195  Gas 01/03/20 - 31/03/20</t>
  </si>
  <si>
    <t>OnAccount Service Charge 25/03/20-23/06/20</t>
  </si>
  <si>
    <t>XMA - BLINE 23.8LCD Monitors (102) reverse tn#10348438 (error)</t>
  </si>
  <si>
    <t>19/20 Electricity Accrual - Covered Market Cellar 13</t>
  </si>
  <si>
    <t>19/20 Electricity Accrual - George Street 33-35 Communal Landlords Supply</t>
  </si>
  <si>
    <t>19/20 Electricity Accrual - Covered Market Unit 016B &amp; 016C</t>
  </si>
  <si>
    <t>330400019</t>
  </si>
  <si>
    <t>19/20 Electricity Accrual - Covered Market Unit 011-015</t>
  </si>
  <si>
    <t>30011064</t>
  </si>
  <si>
    <t>19/20 Electricity Accrual - George Street 01-03 [First Flr]</t>
  </si>
  <si>
    <t>19/20 Water Accrual - George Street 01-03 [Bsmt &amp; Ground Flr]</t>
  </si>
  <si>
    <t>19/20 Electricity Accrual - Covered Market Unit 016A</t>
  </si>
  <si>
    <t>19/20 Gas Accrual - St Michael´s Street 10</t>
  </si>
  <si>
    <t>19/20 Electricity Accrual - Queen Street 45</t>
  </si>
  <si>
    <t>19/20 Water Accrual - George Street 01-03 [First Flr]</t>
  </si>
  <si>
    <t>19/20 Gas Accrual - Floyds Row Homeless Assessment Hub</t>
  </si>
  <si>
    <t>19/20 Electricity Accrual - Covered Market Unit 060-062</t>
  </si>
  <si>
    <t>19/20 Water Accrual - Covered Market Unit 060-062</t>
  </si>
  <si>
    <t>19/20 Water Accrual - Turl Street 18-19</t>
  </si>
  <si>
    <t>19/20 Electricity Accrual - Covered Market Unit 018-019</t>
  </si>
  <si>
    <t>19/20 Electricity Accrual - St Michael´s Street 10</t>
  </si>
  <si>
    <t>19/20 Water Accrual - Queen Street 06</t>
  </si>
  <si>
    <t>19/20 Gas Accrual - Ship Street 16B</t>
  </si>
  <si>
    <t>19/20 Electricity Accrual - Ship Street 16B</t>
  </si>
  <si>
    <t>19/20 Gas Accrual - New Road 11B (Second Floor)</t>
  </si>
  <si>
    <t>19/20 Gas Accrual - Former Rose Hill Scout Hut</t>
  </si>
  <si>
    <t>19/20 Water Accrual - Former Rose Hill &amp; Donnington Advice Centre</t>
  </si>
  <si>
    <t>19/20 Electricity Accrual - Queen Street 06</t>
  </si>
  <si>
    <t>19/20 Electricity Accrual - Former Rose Hill Scout Hut</t>
  </si>
  <si>
    <t>30008029</t>
  </si>
  <si>
    <t>30005287</t>
  </si>
  <si>
    <t>19/20 Water Accrual - Enterprise Centre</t>
  </si>
  <si>
    <t>30012941</t>
  </si>
  <si>
    <t>19/20 Electricity Accrual - Former Rose Hill &amp; Donnington Advice Centre</t>
  </si>
  <si>
    <t>30013489</t>
  </si>
  <si>
    <t>30010473</t>
  </si>
  <si>
    <t>30010233</t>
  </si>
  <si>
    <t>30003521</t>
  </si>
  <si>
    <t>19/20 Gas Accrual - Covered Market Unit 011-015</t>
  </si>
  <si>
    <t>30002876</t>
  </si>
  <si>
    <t>19/20 Electricity Accrual - Covered Market Cellars 01, 04 &amp; 05</t>
  </si>
  <si>
    <t>19/20 Gas Accrual - Broad Street 21</t>
  </si>
  <si>
    <t>OCC Share of Phase 2 Fees Incurred by Mag College</t>
  </si>
  <si>
    <t>Unpaid waste invoice 56010670</t>
  </si>
  <si>
    <t>Experience Ox - Q1 2021 TN#51363678 (330501185)</t>
  </si>
  <si>
    <t>K9534</t>
  </si>
  <si>
    <t>LSD Promotions - GG Market income (Feb20)</t>
  </si>
  <si>
    <t>LSD Promotions - GG Market income (Mar20)</t>
  </si>
  <si>
    <t>Ent Ctr - Q1 20/21 Subs Inv Cash Rec´d Mar20</t>
  </si>
  <si>
    <t>Cov Mkt - Q1 20/21 Subs Inv Cash Rec´d Mar20</t>
  </si>
  <si>
    <t>Comm Prop - Q1 20/21 Subs Inv Cash Rec´d Mar20</t>
  </si>
  <si>
    <t>K9546</t>
  </si>
  <si>
    <t>Bury Knowle - Q1 20/21 Subs Inv Raised in 19/20</t>
  </si>
  <si>
    <t>Comm Prop - Q1 20/21 Subs Inv Raised in 19/20</t>
  </si>
  <si>
    <t>Cov Mkt - Q1 20/21 Subs Inv Raised in 19/20</t>
  </si>
  <si>
    <t>Ent Ctr - Q1 20/21 Subs Inv Raised in 19/20</t>
  </si>
  <si>
    <t>Freshwater Habitats - 1st Floor Q1 2021 Rent SI#51363702</t>
  </si>
  <si>
    <t>SC</t>
  </si>
  <si>
    <t>30010291 50% Rebate 51359656</t>
  </si>
  <si>
    <t>330501334</t>
  </si>
  <si>
    <t>30005286</t>
  </si>
  <si>
    <t>30011107</t>
  </si>
  <si>
    <t>30012940</t>
  </si>
  <si>
    <t>Alexandra sharpe w/c 14/10/2019, hours + expenses</t>
  </si>
  <si>
    <t>Ox County Concil - Headington Library Q1 2021 Rent SI#51363634</t>
  </si>
  <si>
    <t>w/c 24/02/20 Alexandra Sharpe</t>
  </si>
  <si>
    <t>30013733</t>
  </si>
  <si>
    <t>ALEXANDRA SHARPE W/C 21/10/2019</t>
  </si>
  <si>
    <t>30013777</t>
  </si>
  <si>
    <t>30005674</t>
  </si>
  <si>
    <t>30002162</t>
  </si>
  <si>
    <t>Ref HCo P2P AJ 44000488,44000489. Regen &amp; Major Projects:SLA for Development team costs from OCC</t>
  </si>
  <si>
    <t>Ref HCo P2P AJ 44000488,44000489.Regeneration&amp;Mjr Projects:Recharge for Exec Director JW for 19/20</t>
  </si>
  <si>
    <t>AXA + Devonshire Golden Cross Service Charge 1920 Estimate</t>
  </si>
  <si>
    <t>County Council 1819 Service Charge</t>
  </si>
  <si>
    <t>50% of rent received paid to Head landlord for the period 25.12.19-24.3.20</t>
  </si>
  <si>
    <t>County Council 1920 Service Charge (estimated)</t>
  </si>
  <si>
    <t>30010291 25 March-23 June 20</t>
  </si>
  <si>
    <t>Ref HCo P2P AJ 44000488,44000489.Regen&amp;Mjr Projects:Recharge for Exec Director JW for 19/20 (correct text)</t>
  </si>
  <si>
    <t>P1 Ward P (Reed)</t>
  </si>
  <si>
    <t>XMA - BLINE 23.8LCD Monitors (102) text error</t>
  </si>
  <si>
    <t>XMA - BLINE 23.8LCD Monitors (102)</t>
  </si>
  <si>
    <t>330501333</t>
  </si>
  <si>
    <t>P12 Cumberland G (Reed)</t>
  </si>
  <si>
    <t>ALEXANDRA SHARPE W/C 060420</t>
  </si>
  <si>
    <t>Prepayment 20/21: 330501230, MR MOHAMMED ALI</t>
  </si>
  <si>
    <t>330501331</t>
  </si>
  <si>
    <t>K9571</t>
  </si>
  <si>
    <t>330500850</t>
  </si>
  <si>
    <t>P12 Ward P (Reed)</t>
  </si>
  <si>
    <t>P1 Cumberland G (Reed)</t>
  </si>
  <si>
    <t>Prepayment 20/21: 330501230 Reversal of 51363685, MR MOHAMMED ALI</t>
  </si>
  <si>
    <t>w/c 30/03/20 Alexandra Sharpe</t>
  </si>
  <si>
    <t>30003518</t>
  </si>
  <si>
    <t>w/c 23/03/20 Alexandra Sharpe</t>
  </si>
  <si>
    <t>30010291 Reversal of 51363375</t>
  </si>
  <si>
    <t>330500281</t>
  </si>
  <si>
    <t>P12 Kerrigan D (Reed)</t>
  </si>
  <si>
    <t>w/c 16/03/20 Alexandra Sharpe</t>
  </si>
  <si>
    <t>2019/20 rent due for 1st Floor, Brown´s Brothers Building</t>
  </si>
  <si>
    <t>Alexandra Sharpe W/E 090320</t>
  </si>
  <si>
    <t>w/c 02/03/20 Alexandra Sharpe</t>
  </si>
  <si>
    <t>330501107</t>
  </si>
  <si>
    <t>P12 Hodge D (Reed)</t>
  </si>
  <si>
    <t>30002727</t>
  </si>
  <si>
    <t>330500394</t>
  </si>
  <si>
    <t>330501091</t>
  </si>
  <si>
    <t>PO 50030</t>
  </si>
  <si>
    <t>AXA + Devonshire Golden Cross Service Charge 1718+1819</t>
  </si>
  <si>
    <t>330400428</t>
  </si>
  <si>
    <t>30010127</t>
  </si>
  <si>
    <t>P1 Hodge D (Reed)</t>
  </si>
  <si>
    <t>330501126</t>
  </si>
  <si>
    <t>S13</t>
  </si>
  <si>
    <t>BN44</t>
  </si>
  <si>
    <t>RISINGHURST COMMUNITY CENTRE</t>
  </si>
  <si>
    <t>EK04</t>
  </si>
  <si>
    <t>JUBILEE 77 COMMUNITY CENTRE</t>
  </si>
  <si>
    <t>GLOUCESTER GREEN BUS STATION</t>
  </si>
  <si>
    <t>B7012</t>
  </si>
  <si>
    <t>G1226 COMFREY ROAD</t>
  </si>
  <si>
    <t>EK21</t>
  </si>
  <si>
    <t>19/20 Water Accrual - Pennywell Drive 79 - TA [OCC]</t>
  </si>
  <si>
    <t>BARTON REC GROUND PAVILION</t>
  </si>
  <si>
    <t>19/20 Water Accrual - Shackleton Close 05 - TA [OCC]</t>
  </si>
  <si>
    <t>WEST OXFORD COMMUNITY CENTRE</t>
  </si>
  <si>
    <t>EK10</t>
  </si>
  <si>
    <t>19/20 Water Accrual - Greenwood Way 124 - TA [OCC]</t>
  </si>
  <si>
    <t>PSP 1-24 BANJO ROAD</t>
  </si>
  <si>
    <t>BARTON NEIGHBOURHOOD CENTRE</t>
  </si>
  <si>
    <t>G7 ALICE SMITH SQUARE</t>
  </si>
  <si>
    <t>G13 MINCHERY ROAD</t>
  </si>
  <si>
    <t>TOWN HALL</t>
  </si>
  <si>
    <t>19/20 Gas Accrual - Bryony Close 21 - TA [OCC]</t>
  </si>
  <si>
    <t>19/20 Water Accrual - Bryony Close 21 - TA [OCC]</t>
  </si>
  <si>
    <t>ROSE HILL COMMUNITY CENTRE</t>
  </si>
  <si>
    <t>FLORENCE PARK COMMUNITY CENTRE</t>
  </si>
  <si>
    <t>EK15</t>
  </si>
  <si>
    <t>EK03</t>
  </si>
  <si>
    <t>19/20 Gas Accrual - Kelburne Road 34 - TA [PRS]</t>
  </si>
  <si>
    <t>19/20 Electricity Accrual - Rivermead Road 07 - TA [OCC]</t>
  </si>
  <si>
    <t>EK13</t>
  </si>
  <si>
    <t>OX05OX16 HOLDAN BOOKS</t>
  </si>
  <si>
    <t>19/20 Electricity Accrual - Kelburne Road 34 - TA [PRS]</t>
  </si>
  <si>
    <t>K9585</t>
  </si>
  <si>
    <t>OX05OX16 18 WAVERLEY PREMIER CDA</t>
  </si>
  <si>
    <t>19/20 Electricity Accrual - Priory Road 107 - TA [OCC]</t>
  </si>
  <si>
    <t>19/20 Electricity Accrual - Gloucester Green External Lighting</t>
  </si>
  <si>
    <t>19/20 Electricity Accrual - Frideswide Square Lighting &amp; Event Supply</t>
  </si>
  <si>
    <t>19/20 Gas Accrual - Priory Road 047 - TA [OCC]</t>
  </si>
  <si>
    <t>OX05OX16 EK04HAM16028</t>
  </si>
  <si>
    <t>BN43</t>
  </si>
  <si>
    <t>19/20 Gas Accrual - Partridge Walk 18 - TA [OCC]</t>
  </si>
  <si>
    <t>19/20 Electricity Accrual - Partridge Walk 18 - TA [OCC]</t>
  </si>
  <si>
    <t>19/20 Electricity Accrual - Greenwood Way 112-130 Landlords - TA [OCC]</t>
  </si>
  <si>
    <t>OX05OX16 HARWOOD H</t>
  </si>
  <si>
    <t>19/20 Electricity Accrual - Oxford Road 132B - TA [OCC]</t>
  </si>
  <si>
    <t>19/20 Water Accrual - Oxford Road 132B - TA [OCC]</t>
  </si>
  <si>
    <t>7 days full occupancy @ £600 per day +vat</t>
  </si>
  <si>
    <t>19/20 Electricity Accrual - Columbine Gardens 41 - TA [OCC]</t>
  </si>
  <si>
    <t>19/20 Water Accrual - Columbine Gardens 41 - TA [OCC]</t>
  </si>
  <si>
    <t>19/20 Gas Accrual - Columbine Gardens 41 - TA [OCC]</t>
  </si>
  <si>
    <t>19/20 Gas Accrual - Field Avenue 183 - TA [PRS]</t>
  </si>
  <si>
    <t>19/20 Gas Accrual - Lancaster Close 20 - TA [OCC]</t>
  </si>
  <si>
    <t>19/20 Electricity Accrual - Greenwood Way 116 - TA [OCC]</t>
  </si>
  <si>
    <t>B7043</t>
  </si>
  <si>
    <t>9 SHIP STREET</t>
  </si>
  <si>
    <t>B7045</t>
  </si>
  <si>
    <t>SANDFIELD ROAD PLAY AREA</t>
  </si>
  <si>
    <t>BROAD OAK PLAY AREA</t>
  </si>
  <si>
    <t>B7044</t>
  </si>
  <si>
    <t>DONNINGTON COMMUNITY CENTRE</t>
  </si>
  <si>
    <t>B7016</t>
  </si>
  <si>
    <t>EK17</t>
  </si>
  <si>
    <t>19/20 Electricity Accrual - Bryony Close 21 - TA [OCC]</t>
  </si>
  <si>
    <t>19/20 Water Accrual - Greenwood Way 112 - TA [OCC]</t>
  </si>
  <si>
    <t>EK24</t>
  </si>
  <si>
    <t>EK25</t>
  </si>
  <si>
    <t>19/20 Water Accrual - Greenwood Way 116 - TA [OCC]</t>
  </si>
  <si>
    <t>BLINE 23.8 LCD MONITOR VGA DP HDMI</t>
  </si>
  <si>
    <t>OX05OX16 HAM15425 D HAMZI</t>
  </si>
  <si>
    <t>19/20 Electricity Accrual - Rowan Grove 10 - TA [OCC]</t>
  </si>
  <si>
    <t>19/20 Electricity Accrual - Unmetered Public Space Lighting</t>
  </si>
  <si>
    <t>G1364 JASMINE CLOSE</t>
  </si>
  <si>
    <t>G1 ALICE SMITH SQUARE</t>
  </si>
  <si>
    <t>19/20 Water Accrual - Roman Way 72 - TA [OCC]</t>
  </si>
  <si>
    <t>G8 DAWSON PLACE</t>
  </si>
  <si>
    <t>G330 LINNET CLOSE</t>
  </si>
  <si>
    <t>G1 HEADLEY WAY</t>
  </si>
  <si>
    <t>G30 LEIDEN ROAD</t>
  </si>
  <si>
    <t>ST ALDATES CHAMBERS</t>
  </si>
  <si>
    <t>ENTERPRISE CENTRE</t>
  </si>
  <si>
    <t>G10 CRESS HILL PLACE</t>
  </si>
  <si>
    <t>B7029</t>
  </si>
  <si>
    <t>1 MARSH ROAD</t>
  </si>
  <si>
    <t>G5 LEIDEN ROAD</t>
  </si>
  <si>
    <t>G949 MERCURY ROAD</t>
  </si>
  <si>
    <t>G101 KERSINGTON CRESCENT</t>
  </si>
  <si>
    <t>G407 KESTREL CRESCENT</t>
  </si>
  <si>
    <t>D8009</t>
  </si>
  <si>
    <t>EK01</t>
  </si>
  <si>
    <t>47 ST NICHOLAS ROAD</t>
  </si>
  <si>
    <t>G66 SAWPIT ROAD</t>
  </si>
  <si>
    <t>2-4 EVEN ALICE SMITH HOUSE</t>
  </si>
  <si>
    <t>BLACKBIRD LEYS COMMUNITY CTR</t>
  </si>
  <si>
    <t>G1033 STRAWBERRY PATH</t>
  </si>
  <si>
    <t>G914 FIELD AVENUE</t>
  </si>
  <si>
    <t>G20 BARNS COURT</t>
  </si>
  <si>
    <t>EK09</t>
  </si>
  <si>
    <t>G8 SLADE CLOSE</t>
  </si>
  <si>
    <t>G53 BLAY CLOSE</t>
  </si>
  <si>
    <t>G92 PENNYWELL DRIVE</t>
  </si>
  <si>
    <t>G4 PAULING ROAD</t>
  </si>
  <si>
    <t>G46 LEIDEN ROAD</t>
  </si>
  <si>
    <t>G1201 COMFREY ROAD</t>
  </si>
  <si>
    <t>P1 Kozlova V (Reed)</t>
  </si>
  <si>
    <t>w/c 10/02/20 Angela Shaw 36.5 hours</t>
  </si>
  <si>
    <t>G981 FIELD AVENUE</t>
  </si>
  <si>
    <t>EAST OXFORD COMMUNITY CENTRE</t>
  </si>
  <si>
    <t>CARFAX TOWER</t>
  </si>
  <si>
    <t>ST SEPULCHRES CEMETERY</t>
  </si>
  <si>
    <t>G79 KERSINGTON CRESCENT</t>
  </si>
  <si>
    <t>19/20 Electricity Accrual - Sorrel Road 049 - TA [OCC]</t>
  </si>
  <si>
    <t>19/20 Gas Accrual - Shackleton Close 05 - TA [OCC]</t>
  </si>
  <si>
    <t>1-3 GEORGE STREET</t>
  </si>
  <si>
    <t>G1014 STRAWBERRY PATH</t>
  </si>
  <si>
    <t>G559 PEGASUS ROAD</t>
  </si>
  <si>
    <t>GLOUCESTER GREEN CAR PARK</t>
  </si>
  <si>
    <t>A0107</t>
  </si>
  <si>
    <t>G4 GREEN ROAD</t>
  </si>
  <si>
    <t>G43 LEIDEN ROAD</t>
  </si>
  <si>
    <t>42 GEORGE STREET</t>
  </si>
  <si>
    <t>15 KEMPSON CRESCENT</t>
  </si>
  <si>
    <t>22 BRACEGIRDLE ROAD</t>
  </si>
  <si>
    <t>G33 BALFOUR ROAD</t>
  </si>
  <si>
    <t>BULLINGDON COMMUNITY CENTRE</t>
  </si>
  <si>
    <t>26 LERWICK CROFT</t>
  </si>
  <si>
    <t>19/20 Electricity Accrual - Plowman Tower Flat 36 - TA [OCC]</t>
  </si>
  <si>
    <t>REGAL COMMUNITY CENTRE</t>
  </si>
  <si>
    <t>G150 SANDY LANE</t>
  </si>
  <si>
    <t>G2 DONNINGTON LODGE</t>
  </si>
  <si>
    <t>BN24</t>
  </si>
  <si>
    <t>19/20 Electricity Accrual - Earl Street Pumping Station</t>
  </si>
  <si>
    <t>19/20 Electricity Accrual - Greenwood Way 126 - TA [OCC]</t>
  </si>
  <si>
    <t>19/20 Electricity Accrual - Pickett Avenue 29B - TA [OCC]</t>
  </si>
  <si>
    <t>19/20 Water Accrual - Greenwood Way 126 - TA [OCC]</t>
  </si>
  <si>
    <t>G51 KERSINGTON CRESCENT</t>
  </si>
  <si>
    <t>G37 BALFOUR ROAD</t>
  </si>
  <si>
    <t>25A BRASENOSE DRIFTWAY</t>
  </si>
  <si>
    <t>D3611</t>
  </si>
  <si>
    <t>Accrue reversal invoice processed in 2020/21</t>
  </si>
  <si>
    <t>F5033</t>
  </si>
  <si>
    <t>15a Herschel Crescent NTRNTINADV (HAM Payment 32309)</t>
  </si>
  <si>
    <t>15a Herschel Cresent, NTTENDEP (HAM Payment 32310)</t>
  </si>
  <si>
    <t>15a Herschel Crescent, NTHOLDFEE (HAM Payment 32312)</t>
  </si>
  <si>
    <t>D3426</t>
  </si>
  <si>
    <t>133 Green Ridges, TSTOPUPNAR (HAM Payment 32315)</t>
  </si>
  <si>
    <t>Loyalty fee 15a Herschel NTFINDFEE (HAM Payment 32313)</t>
  </si>
  <si>
    <t>EK27</t>
  </si>
  <si>
    <t>St Mungos - Floyds Row - Q3</t>
  </si>
  <si>
    <t>St Mungos - Floyds Row - Jan20</t>
  </si>
  <si>
    <t>St Mungos - Floyds Row - Feb20</t>
  </si>
  <si>
    <t>St Mungos - Floyds Row - Mar20</t>
  </si>
  <si>
    <t>D3015</t>
  </si>
  <si>
    <t>CIVICA - Disablement of CBL telephone bidding service 1/4-31/12/20</t>
  </si>
  <si>
    <t>D3600</t>
  </si>
  <si>
    <t>Dilapidation costs 183 Field Ave.</t>
  </si>
  <si>
    <t>D3606</t>
  </si>
  <si>
    <t>St Mungo´s - NHPF Year 4 cost</t>
  </si>
  <si>
    <t>Cowley St John - Richard Benson Hall Hire Nov19-Feb20</t>
  </si>
  <si>
    <t>EK23</t>
  </si>
  <si>
    <t>Rent Allowance Payments made in advance @ 31/3/20</t>
  </si>
  <si>
    <t>CIVICA - CBL Hosting &amp; Support Costs st 1Apr-31Dec20 (9mths PP)</t>
  </si>
  <si>
    <t>182 Leiden Road, TSTOPUPNAR (HAM Payment 32316)</t>
  </si>
  <si>
    <t>RSI Countywide Strategic Post - Contribution paid in advance</t>
  </si>
  <si>
    <t>ODS - 19/20 recharge for Water Treatment costs - Cutteslowe Depot</t>
  </si>
  <si>
    <t>ODS - 19/20 recharge for Water Treatment costs - Cowley Depot</t>
  </si>
  <si>
    <t>ODS - 19/20 recharge for Water Treatment costs - Horspath Depot</t>
  </si>
  <si>
    <t>ODS - 19/20 recharge for Fire Safety costs - Cutteslowe Depot</t>
  </si>
  <si>
    <t>ODS - 19/20 recharge for Fire Safety costs - Cowley Depot</t>
  </si>
  <si>
    <t>ODS - 19/20 recharge for Fire Safety costs - Horspath Depot</t>
  </si>
  <si>
    <t>ODS - 19/20 recharge for Lift Maintenance (horspatgh depot)</t>
  </si>
  <si>
    <t>MEALS 300320</t>
  </si>
  <si>
    <t>OX05OX16 J&amp;A THAKRAR TF</t>
  </si>
  <si>
    <t>OX05OX16 15A HC/DEP BALANCE</t>
  </si>
  <si>
    <t>B2003</t>
  </si>
  <si>
    <t>Hinksey Outdoor Pool, Oxford consulting fees</t>
  </si>
  <si>
    <t>8038885 - MG - COVERING ORDER FOR THE REMEDIAL WATER HYGIENE8038885 - MG - COVERING ORDER FOR THE REMEDIAL WATER HYGIENE JOB NUMBER:11201919 ADDRESS:BARTON REC GROUND PAVILION,OXFORD</t>
  </si>
  <si>
    <t>8038192 NS  - ALL WORKS AS DISCUSSED WITH PAUL OATES: CARRY8038192 NS  - ALL WORKS AS DISCUSSED WITH PAUL OATES: CARRY JOB NUMBER:11117522 ADDRESS:GLOUCESTER GREEN BUS STATION,OXFORD</t>
  </si>
  <si>
    <t>PO 8038147 NS - ALL WORKS AS DISCUSSED WITH TREVOR MERRICK TPO 8038147 NS - ALL WORKS AS DISCUSSED WITH TREVOR MERRICK T JOB NUMBER:11114758 ADDRESS:FLORENCE PARK COMMUNITY CENTRE,OXFORD</t>
  </si>
  <si>
    <t>2 Sermon Close, TSTOPUPNAR (HAM Payment 32317)</t>
  </si>
  <si>
    <t>8038771 - AS - CALL NO: 1034 - GROUND FLOOR CLEANING CUPBOAR8038771 - AS - CALL NO: 1034 - GROUND FLOOR CLEANING CUPBOAR JOB NUMBER:11191061 ADDRESS:ST ALDATES CHAMBERS,109-113 ST ALDATES</t>
  </si>
  <si>
    <t>27 High Street, Standlake, NTTOPUP (HAM Payment 32307)</t>
  </si>
  <si>
    <t>SAMARA WOODLEY - 060320</t>
  </si>
  <si>
    <t>JAKE SMITH 180320</t>
  </si>
  <si>
    <t>EK22</t>
  </si>
  <si>
    <t>Flat B Wilkins Road, SRTSNARRTU (HAM Payment 32301)</t>
  </si>
  <si>
    <t>11 Richens Drive 3/5-2/6/2020 Holding fee</t>
  </si>
  <si>
    <t>11 Richens Drive 3/5-2/6/2020  council tax</t>
  </si>
  <si>
    <t>English at home for Basmeh Soukal Jan-Feb 2020</t>
  </si>
  <si>
    <t>ODS - Credit due for overcharged Gl Green Car Park WIP 09287438</t>
  </si>
  <si>
    <t>P12 P2P accruals 2019/20, 8038971, NOWMEDICAL</t>
  </si>
  <si>
    <t>43 Conniston Avenue, 1 months Council Tax</t>
  </si>
  <si>
    <t>10j Cinnaminta Road NTTOPUP (HAM Payment 32300)</t>
  </si>
  <si>
    <t>delivery of one double and one single bed to 7b ladenham, Oxford 22/4/20</t>
  </si>
  <si>
    <t>35 Waterloo Drive, 1 months council tax (April 2020)</t>
  </si>
  <si>
    <t>Holding fee on 56 Albion Street 20/4-19/5/2020</t>
  </si>
  <si>
    <t>Holding fee on 35 Waterloo Drive 01/05/-31/05/2020</t>
  </si>
  <si>
    <t>11 Jourdain Road, TSTOPUPNAR (HAM Payment 32308)</t>
  </si>
  <si>
    <t>RGS Rent in advance 20/4-304/2020 plus 3 months 1st May-31 July 2020</t>
  </si>
  <si>
    <t>OX05OX16 WARRENT ALLEN  DECLAN NASH DEPOSIT</t>
  </si>
  <si>
    <t>Counselling service march 2020</t>
  </si>
  <si>
    <t>therapeutic group jan to march 2020</t>
  </si>
  <si>
    <t>OX05OX16 Deposit Protection 28584129</t>
  </si>
  <si>
    <t>23 Barrington Close, Oxford. SRTSNARRTU (HAM payment 32285)</t>
  </si>
  <si>
    <t>NTRNTINADV NADREIA SA VIEIRA SILVA 22B TRAFFORD ROAD 32228</t>
  </si>
  <si>
    <t>NTTENDEP ANDREIA SA VEIRA SILVA 22B TRAFFORD ROAD 32229</t>
  </si>
  <si>
    <t>9Florence Park Road, SRTSNARRTU (HAM Payment 32318)</t>
  </si>
  <si>
    <t>8038476 FORCE ENTRY TO LOCKED DOORS FOR ACCESS WITH NICK TWI8038476 FORCE ENTRY TO LOCKED DOORS FOR ACCESS WITH NICK TWI JOB NUMBER:11143804 ADDRESS:42 GEORGE STREET,OXFORD</t>
  </si>
  <si>
    <t>NEW BOILER SHOWING F28 FAULT CODE VOID PROPERTY KEY SAFE 867NEW BOILER SHOWING F28 FAULT CODE VOID PROPERTY KEY SAFE 867 JOB NUMBER:11232027 ADDRESS:26 LERWICK CROFT,BICESTER</t>
  </si>
  <si>
    <t>B112BN44/AS/8038705 B1102 BN44 48 HOURS PAUL OATES WEST WINGB112BN44/AS/8038705 B1102 BN44 48 HOURS PAUL OATES WEST WING JOB NUMBER:11182474 ADDRESS:BLACKBIRD LEYS COMMUNITY CTR,OXFORD</t>
  </si>
  <si>
    <t>NS/8038934 - BBL CC: B1102 BN44: ALL WORKS AS DISCUSSED WITHNS/8038934 - BBL CC: B1102 BN44: ALL WORKS AS DISCUSSED WITH JOB NUMBER:11204949 ADDRESS:BLACKBIRD LEYS COMMUNITY CTR,OXFORD</t>
  </si>
  <si>
    <t>TRACE AND REPAIR GAS ESCAPE DOWNSTREAM OF OUTLET VALVE REF BTRACE AND REPAIR GAS ESCAPE DOWNSTREAM OF OUTLET VALVE REF B JOB NUMBER:10984204 ADDRESS:EAST OXFORD GAMES HALL,5 COLLINS STREET</t>
  </si>
  <si>
    <t>DISMANTLE ARRAS FENCING READY FOR COLLECTION AS AGREED WITHPDISMANTLE ARRAS FENCING READY FOR COLLECTION AS AGREED WITHP JOB NUMBER:11182490 ADDRESS:BURY KNOWLE PARK,LONDON ROAD</t>
  </si>
  <si>
    <t>GARAGE DOOR DAMAGED (UNSECURED) - URGENT PLEASE ATTEND TO GAGARAGE DOOR DAMAGED (UNSECURED) - URGENT PLEASE ATTEND TO GA JOB NUMBER:11227751 ADDRESS:G1364 JASMINE CLOSE,BLACKBIRD LEYS</t>
  </si>
  <si>
    <t>FOLLOW ON FROM LEAKING RAD - DRAIN AND REFILL SYSTEM REF DEFOLLOW ON FROM LEAKING RAD - DRAIN AND REFILL SYSTEM REF DE JOB NUMBER:11146777 ADDRESS:WEST OXFORD COMMUNITY CENTRE,OXFORD</t>
  </si>
  <si>
    <t>NTCO FO LEAK IN GENTS TRADERS WCNTCO FO LEAK IN GENTS TRADERS WC JOB NUMBER:11234315 ADDRESS:COVERED MARKET,OXFORD</t>
  </si>
  <si>
    <t>Blackbird Leys Road 54 - TA [OCC] Acc: 791808453  Electricity 11/01/20 - 13/03/20</t>
  </si>
  <si>
    <t>Sorrel Road 049 - TA [OCC] Acc: 4613579418  Electricity 15/01/20 - 15/04/20</t>
  </si>
  <si>
    <t>2 page survey translation (English to Arabic)</t>
  </si>
  <si>
    <t>Electrical test on 35 Waterloo Drive</t>
  </si>
  <si>
    <t>15d Herschel Cresent, NTHOLDFEE (HAM Payment 32291)</t>
  </si>
  <si>
    <t>Lancaster Close 20 - TA [OCC] Acc: 8958865282  Water 07/10/19 - 25/03/20</t>
  </si>
  <si>
    <t>Banbury Road Garages Acc: 88888893495  Water 14/11/19 - 14/02/20</t>
  </si>
  <si>
    <t>K9544</t>
  </si>
  <si>
    <t>RENT WEEK 4</t>
  </si>
  <si>
    <t>Homelessness Oxfordshire - 1920 SWEP payment</t>
  </si>
  <si>
    <t>Crisis UK - 1) Multi-agency service hub Q4 1920</t>
  </si>
  <si>
    <t>Turning Point - 3) Temp Accom Q4 1920</t>
  </si>
  <si>
    <t>Homelessness Oxfordshire - Sit up expansion 10 beds 2 FTE Q4 1920</t>
  </si>
  <si>
    <t>Homelessness Oxfordshire - Pre-Recovery Commissioning Q4 1920</t>
  </si>
  <si>
    <t>Homelessness Oxfordshire - Womens Service 5 beds 1 FTE Q4 1920</t>
  </si>
  <si>
    <t>Connection Support - Supported Lettings Q4 1920</t>
  </si>
  <si>
    <t>OX09OX16 700420018 ADJ 110 BALCBIRD LEYS ROAD</t>
  </si>
  <si>
    <t>OX05OX16 MARTINE GREENWOOD 9 CARTER CLOSE</t>
  </si>
  <si>
    <t>OX05OX16 15D HERSCHEL CRESCENT</t>
  </si>
  <si>
    <t>AS/ 8038999  - LIGHT FAILING TO ILLUMINATE IN CLEANING CUOPBAS/ 8038999  - LIGHT FAILING TO ILLUMINATE IN CLEANING CUOPB JOB NUMBER:11215118 ADDRESS:ST ALDATES CHAMBERS,109-113 ST ALDATES</t>
  </si>
  <si>
    <t>PO 8036282 KR - EICR NO REMEDIALS. FAO NICKY HEWLETT,PO 8036282 KR - EICR NO REMEDIALS. FAO NICKY HEWLETT, JOB NUMBER:10920518 ADDRESS:1-3 GEORGE STREET,OXFORD</t>
  </si>
  <si>
    <t>Tower House Hotel Whole building 15th - 20th April 2020</t>
  </si>
  <si>
    <t>NS/ 8039177 - WORKS TO RE-SECURE BENCH BACK TO WALLIN LADIESNS/ 8039177 - WORKS TO RE-SECURE BENCH BACK TO WALLIN LADIES JOB NUMBER:11229784 ADDRESS:ROSE HILL COMMUNITY CENTRE,OXFORD</t>
  </si>
  <si>
    <t>8038727  - EJ - BLACKBIRD LEYS CC - FURTHER REPAIRS NEEDED F8038727  - EJ - BLACKBIRD LEYS CC - FURTHER REPAIRS NEEDED F JOB NUMBER:11183158 ADDRESS:BLACKBIRD LEYS COMMUNITY CTR,OXFORD</t>
  </si>
  <si>
    <t>PO 8036318 NS - ALL WORKS AS DISCUSSED WITH PAUL OATES CARRYPO 8036318 NS - ALL WORKS AS DISCUSSED WITH PAUL OATES CARRY JOB NUMBER:10922695 ADDRESS:BLACKBIRD LEYS COMMUNITY CTR,OXFORD</t>
  </si>
  <si>
    <t>B1102 BN44:8038533 -NS - ALL WORKS AS DISCUSSED WITH PAUL OAB1102 BN44:8038533 -NS - ALL WORKS AS DISCUSSED WITH PAUL OA JOB NUMBER:11154987 ADDRESS:FLORENCE PARK COMMUNITY CENTRE,OXFORD</t>
  </si>
  <si>
    <t>8038935 ALL WORKS AS DISCUSSED WITHPAUL OATES, CARRY OUT ALL8038935 ALL WORKS AS DISCUSSED WITHPAUL OATES, CARRY OUT ALL JOB NUMBER:11205087 ADDRESS:JUBILEE 77 COMMUNITY CENTRE,46 SORREL ROAD</t>
  </si>
  <si>
    <t>8038933 NS - EMERGENCY CALL OUT ALL WORKS AS DISCUSSED WITH8038933 NS - EMERGENCY CALL OUT ALL WORKS AS DISCUSSED WITH JOB NUMBER:11204994 ADDRESS:WESTHILL FARMHOUSE,OXFORD</t>
  </si>
  <si>
    <t>EMERGENCY BRIDGE MAINTENANCE - UPPER FISHER ROWEMERGENCY BRIDGE MAINTENANCE - UPPER FISHER ROW JOB NUMBER:11231596 ADDRESS:UPPER FISHER ROW,OXFORD</t>
  </si>
  <si>
    <t>NS/8039174 - CARRY OUTALL WORKS TO REPLACE DAMAGED TOP YALENS/8039174 - CARRY OUTALL WORKS TO REPLACE DAMAGED TOP YALE JOB NUMBER:11229742 ADDRESS:42 GEORGE STREET,OXFORD</t>
  </si>
  <si>
    <t>8038937 NS BLACKBIRD LEYS CC: B1102 BN44: COVERING ORDER FOR8038937 NS BLACKBIRD LEYS CC: B1102 BN44: COVERING ORDER FOR JOB NUMBER:11205285 ADDRESS:BLACKBIRD LEYS COMMUNITY CTR,OXFORD</t>
  </si>
  <si>
    <t>8038929 NS ALL WORKS CARRIED OUT TO INSPECT/INVESTIGATE DRAI8038929 NS ALL WORKS CARRIED OUT TO INSPECT/INVESTIGATE DRAI JOB NUMBER:11205157 ADDRESS:EAST OXFORD COMMUNITY CENTRE,OXFORD</t>
  </si>
  <si>
    <t>AS / 8038936 / B1102 BN44 PAUL OATES 2ND FLOOR DOOR CLOSER RAS / 8038936 / B1102 BN44 PAUL OATES 2ND FLOOR DOOR CLOSER R JOB NUMBER:11205090 ADDRESS:ST ALDATES CHAMBERS,109-113 ST ALDATES</t>
  </si>
  <si>
    <t>8038930 - NS  - ALL WORKS AS DISCUSSED WITH TREVOR MERRICK T8038930 - NS  - ALL WORKS AS DISCUSSED WITH TREVOR MERRICK T JOB NUMBER:11204879 ADDRESS:CUTTESLOWE COMMUNITY CENTRE,OXFORD</t>
  </si>
  <si>
    <t>8034835-AS-BASEMENT - WOMENS CHANGING ROOMS:- SEE JOB NOTES8034835-AS-BASEMENT - WOMENS CHANGING ROOMS:- SEE JOB NOTES JOB NUMBER:10772928 ADDRESS:ST ALDATES CHAMBERS,109-113 ST ALDATES</t>
  </si>
  <si>
    <t>PO 8034449 AS - PLEASE REPAIR WALL DAMP AND PAINT IS PEELINGPO 8034449 AS - PLEASE REPAIR WALL DAMP AND PAINT IS PEELING JOB NUMBER:10737893 ADDRESS:ST ALDATES CHAMBERS,109-113 ST ALDATES</t>
  </si>
  <si>
    <t>NS - THIS IS IN LAKE STREET - 9AM OR AFTER -  ONE OF THE TAPNS - THIS IS IN LAKE STREET - 9AM OR AFTER -  ONE OF THE TAP JOB NUMBER:11144997 ADDRESS:SOUTH OXFORD COMMUNITY CENTRE,OXFORD</t>
  </si>
  <si>
    <t>8038878 NS - CAFE - ALL WORKS AS DISCUSSED WITH TREVOR MERRI8038878 NS - CAFE - ALL WORKS AS DISCUSSED WITH TREVOR MERRI JOB NUMBER:11202284 ADDRESS:WEST OXFORD COMMUNITY CENTRE,OXFORD</t>
  </si>
  <si>
    <t>PO 8038880 - NS  - ALL WORKS AS DISCUSSED WITH PAUL OATES TOPO 8038880 - NS  - ALL WORKS AS DISCUSSED WITH PAUL OATES TO JOB NUMBER:11202268 ADDRESS:ST ALDATES CHAMBERS,109-113 ST ALDATES</t>
  </si>
  <si>
    <t>PO 8038874 - NS - CARRY OUT ALL WORKS TO EASE AND SDJUST SHOPO 8038874 - NS - CARRY OUT ALL WORKS TO EASE AND SDJUST SHO JOB NUMBER:11202198 ADDRESS:ROSE HILL COMMUNITY CENTRE,OXFORD</t>
  </si>
  <si>
    <t>PO 8036317 NS - ALL WORKS AS DISCUSSED WITH PAUL OATES TO CAPO 8036317 NS - ALL WORKS AS DISCUSSED WITH PAUL OATES TO CA JOB NUMBER:10922611 ADDRESS:JUBILEE 77 COMMUNITY CENTRE,46 SORREL ROAD</t>
  </si>
  <si>
    <t>8038347 - NS -CORDON OFF WITH HERAS FENCIN/PANELS/BOOTS/LOCK8038347 - NS -CORDON OFF WITH HERAS FENCIN/PANELS/BOOTS/LOCK JOB NUMBER:11135201 ADDRESS:ROSE HILL COMMUNITY CENTRE,OXFORD</t>
  </si>
  <si>
    <t>PO 8038879 - NS - ALL WORKS AS DISCUSSED WITH TREVOR MERRICKPO 8038879 - NS - ALL WORKS AS DISCUSSED WITH TREVOR MERRICK JOB NUMBER:11202312 ADDRESS:WEST OXFORD COMMUNITY CENTRE,OXFORD</t>
  </si>
  <si>
    <t>8038024 - NS- CARRY OUT ALL WORKS TO INSPECT AND REPAIR/REPL8038024 - NS- CARRY OUT ALL WORKS TO INSPECT AND REPAIR/REPL JOB NUMBER:11140407 ADDRESS:ROSE HILL COMMUNITY CENTRE,OXFORD</t>
  </si>
  <si>
    <t>NHPF Year 4 Grant Payment</t>
  </si>
  <si>
    <t>Tower House Hotel Stay 21st-27th March INcl whole building</t>
  </si>
  <si>
    <t>TEMPS MARCH-APRIL 2020</t>
  </si>
  <si>
    <t>RSI Countywide Strategic Post - Contribution paid in advance (correction)</t>
  </si>
  <si>
    <t>B1106</t>
  </si>
  <si>
    <t>Managment Surveys</t>
  </si>
  <si>
    <t>7 days full occupancy @ £600 per day 14 th 15 th 16 th 17 th 18 th 19 th 20thApril 2020</t>
  </si>
  <si>
    <t>AS/8038777/ GLOUCESTER GREEN BUS STATION TOILETS B1102 BN44AS/8038777/ GLOUCESTER GREEN BUS STATION TOILETS B1102 BN44 JOB NUMBER:11190981 ADDRESS:GLOUCESTER GREEN BUS STATION,OXFORD</t>
  </si>
  <si>
    <t>Councelling Sessions - Various</t>
  </si>
  <si>
    <t>Greenwood Way 120 - TA [OCC] Acc: 261723588  Electricity 13/12/19 - 24/03/20</t>
  </si>
  <si>
    <t>Pauling Road 60 - TA [OCC] Acc: 481748016  Electricity 02/11/19 - 01/02/20</t>
  </si>
  <si>
    <t>TSTOPUPNAR CHARMAINE ANDERSON 22 SCOTT ROAD 32297</t>
  </si>
  <si>
    <t>21/04/20 to 19/05/20</t>
  </si>
  <si>
    <t>Greenwood Way 112-130 Landlords - TA [OCC] Acc: 331736732  Electricity 02/12/19 - 01/03/20</t>
  </si>
  <si>
    <t>Priory Road 107 - TA [OCC] Acc: 811773614  Electricity 24/12/19 - 19/03/20</t>
  </si>
  <si>
    <t>St Nicholas Road 47 - TA [OCC] Acc: 351777780  Electricity 26/12/19 - 19/03/20</t>
  </si>
  <si>
    <t>Greenwood Way 116 - TA [OCC] Acc: 721724432  Electricity 13/12/19 - 24/03/20</t>
  </si>
  <si>
    <t>Greenwood Way 118 - TA [OCC] Acc: 211722429  Electricity 13/12/19 - 24/03/20</t>
  </si>
  <si>
    <t>Pauling Road 60 - TA [OCC] Acc: 481748016  Electricity 02/08/19 - 01/11/19</t>
  </si>
  <si>
    <t>Greenwood Way 122 - TA [OCC] Acc: 721724433  Electricity 13/12/19 - 24/03/20</t>
  </si>
  <si>
    <t>AZHAR KIWAN MARCH 2020 ENGLISH AT HOME</t>
  </si>
  <si>
    <t>2 Dynham Place, QTR1 charge April - June 2020</t>
  </si>
  <si>
    <t>OX05OX16 K EDDEHANI HAM14144</t>
  </si>
  <si>
    <t>16 Sparsey Place, QTR1 charge April - June 2020</t>
  </si>
  <si>
    <t>Greenwood Way 124 - TA [OCC] Acc: 161725678  Electricity 13/12/19 - 24/03/20</t>
  </si>
  <si>
    <t>Greenwood Way 126 - TA [OCC] Acc: 741725346  Electricity 13/12/19 - 24/03/20</t>
  </si>
  <si>
    <t>Sorrel Road 049 - TA [OCC] Acc: 4613579418  Electricity 09/11/19 - 14/01/20</t>
  </si>
  <si>
    <t>Banbury Road 336 Flat 1 - TA [PRS] Acc: 8073002069  Water 01/04/20 - 31/03/21</t>
  </si>
  <si>
    <t>Unmetered Public Space Lighting Acc: 371620092  Electricity 03/03/20 - 01/04/20</t>
  </si>
  <si>
    <t>Partridge Walk 18 - TA [OCC] Acc: 9161380518  Electricity 17/09/19 - 31/12/19</t>
  </si>
  <si>
    <t>Kersington Crescent 47 - TA [OCC] Acc: 391768174  Electricity 19/12/19 - 27/03/20</t>
  </si>
  <si>
    <t>19/20 Gas Accrual - Forsythia Close 26 - TA [OCC]</t>
  </si>
  <si>
    <t>19/20 Electricity Accrual - Pauling Road 60 - TA [OCC]</t>
  </si>
  <si>
    <t>19/20 Electricity Accrual - Lancaster Close 20 - TA [OCC]</t>
  </si>
  <si>
    <t>19/20 Electricity Accrual - Field Avenue 183 - TA [PRS]</t>
  </si>
  <si>
    <t>19/20 Water Accrual - Fettiplace Road 24 - TA [OCC]</t>
  </si>
  <si>
    <t>19/20 Water Accrual - Bryony Close 22 - TA [OCC]</t>
  </si>
  <si>
    <t>19/20 Gas Accrual - Kersington Crescent 47 - TA [OCC]</t>
  </si>
  <si>
    <t>19/20 Gas Accrual - Pauling Road 60 - TA [OCC]</t>
  </si>
  <si>
    <t>19/20 Electricity Accrual - Forsythia Close 26 - TA [OCC]</t>
  </si>
  <si>
    <t>19/20 Electricity Accrual - Foresters Tower Flat 60 - TA [OCC]</t>
  </si>
  <si>
    <t>19/20 Electricity Accrual - Kelburne Road 34A Flat 3 - TA [PRS]</t>
  </si>
  <si>
    <t>19/20 Electricity Accrual - Kelburne Road 34A Flat 2 - TA [PRS]</t>
  </si>
  <si>
    <t>19/20 Electricity Accrual - Kelburne Road 34A Flat 1 - TA [PRS]</t>
  </si>
  <si>
    <t>19/20 Electricity Accrual - Blackbird Leys Road 76 - TA [OCC]</t>
  </si>
  <si>
    <t>19/20 Gas Accrual - Blackbird Leys Road 76 - TA [OCC]</t>
  </si>
  <si>
    <t>B2000</t>
  </si>
  <si>
    <t>Reversal Inv 530849469 - 16 Ship Street</t>
  </si>
  <si>
    <t>YEACC03PS - Homelessness Oxfordshire 1920 SWEP - Reverse - Inv already paid</t>
  </si>
  <si>
    <t>Amory Close 02 - TA [OCC] Acc: 231774897  Electricity 19/12/19 - 17/03/20</t>
  </si>
  <si>
    <t>Rivermead Road 07 - TA [OCC] Acc: 681780849  Electricity 20/12/19 - 19/03/20</t>
  </si>
  <si>
    <t>Greenwood Way 112 - TA [OCC] Acc: 111723938  Electricity 13/12/19 - 24/03/20</t>
  </si>
  <si>
    <t>Greenwood Way 114 - TA [OCC] Acc: 611723814  Electricity 13/12/19 - 24/03/20</t>
  </si>
  <si>
    <t>Greenwood Way 128 - TA [OCC] Acc: 261723590  Electricity 13/12/19 - 24/03/20</t>
  </si>
  <si>
    <t>Greenwood Way 130 - TA [OCC] Acc: 301725539  Electricity 13/12/19 - 24/03/20</t>
  </si>
  <si>
    <t>Warburg Crescent 56 - TA [OCC] Acc: 4140579419  Electricity 01/01/20 - 27/03/20</t>
  </si>
  <si>
    <t>19/20 Gas Accrual - Pennywell Drive 79 - TA [OCC]</t>
  </si>
  <si>
    <t>B7034</t>
  </si>
  <si>
    <t>KENDALL CRESCENT SHOP FRONT INSPECTION - APRIL 2020KENDALL CRESCENT SHOP FRONT INSPECTION - APRIL 2020 JOB NUMBER:11272678 ADDRESS:KENDALL CRESCENT SHOPPING PARA,OXFORD</t>
  </si>
  <si>
    <t>reversing invoice 99000117/7</t>
  </si>
  <si>
    <t>reversing invoice 99000118/0</t>
  </si>
  <si>
    <t>Rough sleeping and homelessness prevention Booklet</t>
  </si>
  <si>
    <t>I.H.S. Global - CIS Core/SIMO Subs Jan20-Jan21 9mths PP</t>
  </si>
  <si>
    <t>SANDY LANE SHOP FRONT INSPECTION - APRIL 2020SANDY LANE SHOP FRONT INSPECTION - APRIL 2020 JOB NUMBER:11272636 ADDRESS:SANDY LANE,OXFORD</t>
  </si>
  <si>
    <t>PEGASUS ROAD SHOP FRONT INSPECTION - APRIL 2020PEGASUS ROAD SHOP FRONT INSPECTION - APRIL 2020 JOB NUMBER:11272649 ADDRESS:PEGASUS ROAD,OXFORD</t>
  </si>
  <si>
    <t>ST NICHOLAS ROAD SHOP FRONT INSPECTION - APRIL 2020ST NICHOLAS ROAD SHOP FRONT INSPECTION - APRIL 2020 JOB NUMBER:11272652 ADDRESS:ST. NICHOLAS ROAD,OXFORD</t>
  </si>
  <si>
    <t>BELLENGER WAY SHOP FRONT INSPECTION - APRIL 2020BELLENGER WAY SHOP FRONT INSPECTION - APRIL 2020 JOB NUMBER:11272665 ADDRESS:DWELLINGS BELLENGER WAY,HOUSE AREA</t>
  </si>
  <si>
    <t>reversing credit note 99000116/4</t>
  </si>
  <si>
    <t>ATKYNS ROAD SHOP FRONT INSPECTION - APRIL 2020ATKYNS ROAD SHOP FRONT INSPECTION - APRIL 2020 JOB NUMBER:11272607 ADDRESS:ATKYNS ROAD SHOPPING PARADE,OXFORD</t>
  </si>
  <si>
    <t>HORSPATH ROAD SHOP FRONT INSPECTION - APRIL 2020HORSPATH ROAD SHOP FRONT INSPECTION - APRIL 2020 JOB NUMBER:11272610 ADDRESS:HORSPATH ROAD SHOPS,OXFORD</t>
  </si>
  <si>
    <t>BALFOUR ROAD SHOP FRONT INSPECTION - APRIL 2020BALFOUR ROAD SHOP FRONT INSPECTION - APRIL 2020 JOB NUMBER:11272623 ADDRESS:BALFOUR ROAD SHOPPING PARADE,BLACKBIRD LEYS</t>
  </si>
  <si>
    <t>UNDERHILL CIRCUS SHOP FRONT INSPECTION - APRIL 2020UNDERHILL CIRCUS SHOP FRONT INSPECTION - APRIL 2020 JOB NUMBER:11272579 ADDRESS:UNDERHILL CIRCUS SHOPPING PARA,BARTON</t>
  </si>
  <si>
    <t>GLADSTONE ROAD SHOP FRONT INSPECTION - APRIL 2020GLADSTONE ROAD SHOP FRONT INSPECTION - APRIL 2020 JOB NUMBER:11272582 ADDRESS:GLADSTONE ROAD SHOPS,OXFORD</t>
  </si>
  <si>
    <t>LEAKING HEATERS IN THE MAIN HALL AT WEST OXFORD CC, IN MY PRLEAKING HEATERS IN THE MAIN HALL AT WEST OXFORD CC, IN MY PR JOB NUMBER:11081788 ADDRESS:WEST OXFORD COMMUNITY CENTRE,OXFORD</t>
  </si>
  <si>
    <t>BLACKBIRD LEYS ROAD SHOP FRONT INSPECTION - APRIL 2020BLACKBIRD LEYS ROAD SHOP FRONT INSPECTION - APRIL 2020 JOB NUMBER:11272540 ADDRESS:BLACKBIRD LEYS SHOPPING PARADE,OXFORD</t>
  </si>
  <si>
    <t>ROSE HILL SHOP FRONT INSPECTION - APRIL 2020ROSE HILL SHOP FRONT INSPECTION - APRIL 2020 JOB NUMBER:11272553 ADDRESS:ROSE HILL,OXFORD</t>
  </si>
  <si>
    <t>BARNS ROAD SHOP FRONT INSPECTION - APRIL 2020BARNS ROAD SHOP FRONT INSPECTION - APRIL 2020 JOB NUMBER:11272566 ADDRESS:BARNS ROAD,OXFORD</t>
  </si>
  <si>
    <t>Site Visit to monitor equipment 04/01/2020</t>
  </si>
  <si>
    <t>Richard Benson Hall Hire</t>
  </si>
  <si>
    <t>32 Tarragon Drive, Oxford. ETHCSETTLE (HAM payment 32321)</t>
  </si>
  <si>
    <t>F5044</t>
  </si>
  <si>
    <t>Flat 1, 307 Cowley Road, NTLMDGSRIA (HAM Payment 32319)</t>
  </si>
  <si>
    <t>Flat 1 307 Cowley Road, Oxford, NTLMDGS (HAM Payment 32320)</t>
  </si>
  <si>
    <t>reversing credit note 99000115/1</t>
  </si>
  <si>
    <t>Tower House Hotel Whole building 8th - 14th April</t>
  </si>
  <si>
    <t>OX05OX16 SMITH C M</t>
  </si>
  <si>
    <t>Banbury Road 336 Flat 6 - TA [PRS] Acc: 9933080140  Water 01/04/20 - 31/03/21</t>
  </si>
  <si>
    <t>Banbury Road 336 Flat 7 - TA [PRS] Acc: 9844164164  Water 01/04/20 - 31/03/21</t>
  </si>
  <si>
    <t>Banbury Road 336 Flat 2 - TA [PRS] Acc: 8280716250  Water 01/04/20 - 31/03/21</t>
  </si>
  <si>
    <t>Banbury Road 336 Flat 5 - TA [PRS] Acc: 4632932386  Water 01/04/20 - 31/03/21</t>
  </si>
  <si>
    <t>Unmetered Public Space Lighting Acc: 341619521  Electricity 03/03/20 - 01/04/20</t>
  </si>
  <si>
    <t>66 Sandy Lane credit note for 16/3-31/3 inv 99000088</t>
  </si>
  <si>
    <t>51 Weirs Lane invoice for January 2020</t>
  </si>
  <si>
    <t>9 Pauling Road credit note 27th January to 31st March 2020 inv 99000086</t>
  </si>
  <si>
    <t>RECHARGE - MR CAMPBELL, 22 PEPPERCORN AVENUE, OXFORD, OX3 8RRECHARGE - MR CAMPBELL, 22 PEPPERCORN AVENUE, OXFORD, OX3 8R JOB NUMBER:11227425 ADDRESS:G30 LEIDEN ROAD,SLADE PARK</t>
  </si>
  <si>
    <t>CLEARANCE OF REMAINING ITEMS. REQUESTED BY VICKIE SHERIDAN TCLEARANCE OF REMAINING ITEMS. REQUESTED BY VICKIE SHERIDAN T JOB NUMBER:11055493 ADDRESS:G66 SAWPIT ROAD,BLACKBIRD LEYS</t>
  </si>
  <si>
    <t>PLEASE CARRY OUT A CLEARANCE &amp;NDASH;   KEYS ARE WITH LIZZIEPLEASE CARRY OUT A CLEARANCE &amp;NDASH;   KEYS ARE WITH LIZZIE JOB NUMBER:11068778 ADDRESS:G8 DAWSON PLACE,JERICHO</t>
  </si>
  <si>
    <t>CLEAR GARAGE KEYS WILL BE AT NEXT VOIDS MEETING 26/02/2020 WCLEAR GARAGE KEYS WILL BE AT NEXT VOIDS MEETING 26/02/2020 W JOB NUMBER:11182768 ADDRESS:G5 LEIDEN ROAD,SLADE PARK</t>
  </si>
  <si>
    <t>RECHARGE - PLEASE CLEAR GARAGE, RETURN KEYS TO OXFORD CITY CRECHARGE - PLEASE CLEAR GARAGE, RETURN KEYS TO OXFORD CITY C JOB NUMBER:11183637 ADDRESS:G46 LEIDEN ROAD,SLADE PARK</t>
  </si>
  <si>
    <t>GARAGE CLEARANCE AS PER TMO J ALLSIONGARAGE CLEARANCE AS PER TMO J ALLSION JOB NUMBER:11137643 ADDRESS:G79 KERSINGTON CRESCENT,COWLEY AIRFIELD</t>
  </si>
  <si>
    <t>GARAGE CLEARANCE PLEASE.  REQUESTED BY JOSEPH ALLISON LANDLOGARAGE CLEARANCE PLEASE.  REQUESTED BY JOSEPH ALLISON LANDLO JOB NUMBER:11093181 ADDRESS:G1033 STRAWBERRY PATH,BLACKBIRD LEYS</t>
  </si>
  <si>
    <t>2020-2021 GARAGE INSPECTIONS2020-2021 GARAGE INSPECTIONS JOB NUMBER:11265551 ADDRESS:CITY WIDE,OXFORD</t>
  </si>
  <si>
    <t>25 Westlands Drive, QTR 1 charge April - June 2020</t>
  </si>
  <si>
    <t>23/03/20 to 19/5/20</t>
  </si>
  <si>
    <t>13/04/20 to 19/05/20</t>
  </si>
  <si>
    <t>21/4/20 to 19/5/20</t>
  </si>
  <si>
    <t>Jane Mutashubilwa march/april 2020</t>
  </si>
  <si>
    <t>PCM_5 WIP APRIL 2020</t>
  </si>
  <si>
    <t>32 Union Street QTR 1 charge April - June 2020</t>
  </si>
  <si>
    <t>26 Valentia Road, QTR 1 charge April - June 2020</t>
  </si>
  <si>
    <t>NTTOPUP MARIA STAPLETON 7 JACKMAN CLOSE 32295</t>
  </si>
  <si>
    <t>SRTSNARRTU SUHEER TOUBEIN 18 JOHN BUCHAN ROAD 32298</t>
  </si>
  <si>
    <t>74 Foxwell Drive, QTR 1 charge April - June 2020</t>
  </si>
  <si>
    <t>OX05OX16 14523 T SSANYU</t>
  </si>
  <si>
    <t>19/20 Gas Accrual - Bryony Close 22 - TA [OCC]</t>
  </si>
  <si>
    <t>19/20 Gas Accrual - Fettiplace Road 24 - TA [OCC]</t>
  </si>
  <si>
    <t>19/20 Electricity Accrual - Heather Road 13 - TA [OCC]</t>
  </si>
  <si>
    <t>19/20 Electricity Accrual - Greenwood Way 130 - TA [OCC]</t>
  </si>
  <si>
    <t>19/20 Gas Accrual - Little Bury 57 - TA [OCC]</t>
  </si>
  <si>
    <t>19/20 Water Accrual - Little Bury 57 - TA [OCC]</t>
  </si>
  <si>
    <t>19/20 Electricity Accrual - Lobelia Road 2 - TA [OCC]</t>
  </si>
  <si>
    <t>19/20 Electricity Accrual - Greenwood Way 112 - TA [OCC]</t>
  </si>
  <si>
    <t>19/20 Electricity Accrual - Banbury Road 336 - TA [PRS]</t>
  </si>
  <si>
    <t>19/20 Gas Accrual - Banbury Road 336 - TA [PRS]</t>
  </si>
  <si>
    <t>19/20 Water Accrual - Greenwood Way 130 - TA [OCC]</t>
  </si>
  <si>
    <t>19/20 Gas Accrual - Priory Road 023 - TA [OCC]</t>
  </si>
  <si>
    <t>19/20 Electricity Accrual - Priory Road 047 - TA [OCC]</t>
  </si>
  <si>
    <t>19/20 Water Accrual - Lerwick Croft 26 - TA [OCC]</t>
  </si>
  <si>
    <t>19/20 Water Accrual - Rivermead Road 07 - TA [OCC]</t>
  </si>
  <si>
    <t>19/20 Water Accrual - Blackbird Leys Road 54 - TA [OCC]</t>
  </si>
  <si>
    <t>P12 P2P accruals 2019/20, 8038493, OXFORD DIRECT SERVICES LTD</t>
  </si>
  <si>
    <t>OX09OX16 605514220 36 PLOWMAN TOWER</t>
  </si>
  <si>
    <t>B1802</t>
  </si>
  <si>
    <t>OX09OX16 60083785x 107PRIORY ROAD</t>
  </si>
  <si>
    <t>OX09OX16 605683481 7 rivermead road</t>
  </si>
  <si>
    <t>OX09OX16 605514220 36 plowman tower</t>
  </si>
  <si>
    <t>P12 P2P accruals 2019/20, 8039335, IAN WEBB ENGINEERING LTD</t>
  </si>
  <si>
    <t>P12 P2P accruals 2019/20, 8038784, TRUTH LTD T/A KJC FELT ROOFING</t>
  </si>
  <si>
    <t>P12 P2P accruals 2019/20, 8039122, CHRISTY LIGHTING LTD</t>
  </si>
  <si>
    <t>P12 P2P accruals 2019/20, 8036657, CROFT BUILDING &amp; CONSERVATION LTD</t>
  </si>
  <si>
    <t>P12 P2P accruals 2019/20, 8038377, OXFORD DIRECT SERVICES LTD</t>
  </si>
  <si>
    <t>P12 P2P accruals 2019/20, 8038352, D A MILES &amp; SONS</t>
  </si>
  <si>
    <t>P12 P2P accruals 2019/20, 8037818, SAFESITE LTD</t>
  </si>
  <si>
    <t>OX09OX16 605654959 22 BRYONY CLOSE</t>
  </si>
  <si>
    <t>EK05</t>
  </si>
  <si>
    <t>P12 P2P accruals 2019/20, 8038109, E W BEARD LTD</t>
  </si>
  <si>
    <t>P12 P2P accruals 2019/20, 8038824, EXECUTIVE FIRE PROTECTION LTD</t>
  </si>
  <si>
    <t>P12 P2P accruals 2019/20, 8039334, IAN WEBB ENGINEERING LTD</t>
  </si>
  <si>
    <t>P12 P2P accruals 2019/20, 8038161, GEORGE HENRY &amp; CO RELAY LTD</t>
  </si>
  <si>
    <t>P12 P2P accruals 2019/20, 8038528, OXFORD DIRECT SERVICES LTD</t>
  </si>
  <si>
    <t>P12 P2P accruals 2019/20, 8039204, OXFORD DIRECT SERVICES LTD</t>
  </si>
  <si>
    <t>B2002</t>
  </si>
  <si>
    <t>P12 P2P accruals 2019/20, 8038558, IAN WEBB ENGINEERING LTD</t>
  </si>
  <si>
    <t>P12 P2P accruals 2019/20, 8039275, ISIS SCAFFOLDING LTD</t>
  </si>
  <si>
    <t>P12 P2P accruals 2019/20, 8037923, PRICE &amp; MYERS LLP</t>
  </si>
  <si>
    <t>19/20 Gas Accrual - Lobelia Road 2 - TA [OCC]</t>
  </si>
  <si>
    <t>19/20 Water Accrual - St Nicholas Road 47 - TA [OCC]</t>
  </si>
  <si>
    <t>OX09OX16 9000866496</t>
  </si>
  <si>
    <t>OX09OX16 9001120403</t>
  </si>
  <si>
    <t>OX09OX16 9001123217</t>
  </si>
  <si>
    <t>OX09OX16 9000860944</t>
  </si>
  <si>
    <t>OX09OX16 9000852510</t>
  </si>
  <si>
    <t>OX09OX16 9000897801</t>
  </si>
  <si>
    <t>OX09OX16 9001052027</t>
  </si>
  <si>
    <t>OX09OX16 9000970218</t>
  </si>
  <si>
    <t>OX09OX16 9001169046</t>
  </si>
  <si>
    <t>OX09OX16 9001045001</t>
  </si>
  <si>
    <t>OX09OX16 9000905256</t>
  </si>
  <si>
    <t>OX09OX16 9000860896</t>
  </si>
  <si>
    <t>OX09OX16 n da Silva  9001039206</t>
  </si>
  <si>
    <t>OX09OX16 9001038816</t>
  </si>
  <si>
    <t>OX09OX16 9000948002</t>
  </si>
  <si>
    <t>OX09OX16 9001012807</t>
  </si>
  <si>
    <t>OX09OX16 9000971804</t>
  </si>
  <si>
    <t>OX09OX16 9001175430</t>
  </si>
  <si>
    <t>OX09OX16 9000999406</t>
  </si>
  <si>
    <t>OX05OX16 41 EAST AVENUE</t>
  </si>
  <si>
    <t>OX09OX16 9001166214</t>
  </si>
  <si>
    <t>OX09OX16 9001108401</t>
  </si>
  <si>
    <t>OX09OX16 9001071402</t>
  </si>
  <si>
    <t>OX09OX16 9001123468</t>
  </si>
  <si>
    <t>9 SHIP STREET OXFORD OX1 3DA</t>
  </si>
  <si>
    <t>10 SHIP STREET OXFORD OX1 3DA</t>
  </si>
  <si>
    <t>A0114</t>
  </si>
  <si>
    <t>RGSTSHPCP 9 CARTER CLOSE HAM 32324</t>
  </si>
  <si>
    <t>19/20 Gas Accrual - Rivermead Road 07 - TA [OCC]</t>
  </si>
  <si>
    <t>Move Q1 Rental Credits re OCC Leased Properties</t>
  </si>
  <si>
    <t>Reverse accrual of invoice processed in P1 - 10348137</t>
  </si>
  <si>
    <t>Accrual for income due from OCHIL</t>
  </si>
  <si>
    <t>19/20 Electricity Accrual - Beaufort Close 13 - TA [OCC]</t>
  </si>
  <si>
    <t>15-16 BROAD STREET</t>
  </si>
  <si>
    <t>OX05OX16  SHELDONCARTER 15 GIBSON CLO</t>
  </si>
  <si>
    <t>OX05OX16 FREEMIRE SM</t>
  </si>
  <si>
    <t>SOUTH OXFORD COMMUNITY CENTRE</t>
  </si>
  <si>
    <t>46A GEORGE STREET</t>
  </si>
  <si>
    <t>EAST OXFORD GAMES HALL</t>
  </si>
  <si>
    <t>ST ALDATE´S CHAMBERS</t>
  </si>
  <si>
    <t>BURY KNOWLE PARK</t>
  </si>
  <si>
    <t>SOCA - Contrib to DOJO works 1718</t>
  </si>
  <si>
    <t>7 days full occupancy 21 22 23 24 25 26 27th April 2020</t>
  </si>
  <si>
    <t>OX05OX16 TRAVELODGE</t>
  </si>
  <si>
    <t>24 &amp; 26 GEORGE STREET</t>
  </si>
  <si>
    <t>B1153</t>
  </si>
  <si>
    <t>INSPECTION AND TEST OCC REF 276351/000</t>
  </si>
  <si>
    <t>OXFORD ICE RINK</t>
  </si>
  <si>
    <t>ST CLEMENTS CAR PARK</t>
  </si>
  <si>
    <t>LITTLEMORE COMMUNITY CENTRE</t>
  </si>
  <si>
    <t>7 day full Occupancy 28th April -04th May 2020</t>
  </si>
  <si>
    <t>YHA - YOUTH HOSTEL - BOTLEY ROAD 0X2 0AB - PLEASE ATTEND TOYHA - YOUTH HOSTEL - BOTLEY ROAD 0X2 0AB - PLEASE ATTEND TO JOB NUMBER:11268482 ADDRESS:YHA OXFORD,BOTLEY ROAD</t>
  </si>
  <si>
    <t>Service submersible pumping station</t>
  </si>
  <si>
    <t>reverse 10347980 PO 8039204 not required</t>
  </si>
  <si>
    <t>reverse 10347980 PO 8038528 not required</t>
  </si>
  <si>
    <t>As per engineers report 16631</t>
  </si>
  <si>
    <t>B1203</t>
  </si>
  <si>
    <t>LIFT MAINT AND REPAIRS MARCH 2020</t>
  </si>
  <si>
    <t>OX05OX16 d duvnjak 22 MARRIOT CLOSE</t>
  </si>
  <si>
    <t>D3428</t>
  </si>
  <si>
    <t>SERVICE SUBMERSIBLE PUMP STATION</t>
  </si>
  <si>
    <t>K6663</t>
  </si>
  <si>
    <t>Reverse accrual 10348162 made: income entered separately</t>
  </si>
  <si>
    <t>Oxford Cheese Shop unit 17 Covered Market</t>
  </si>
  <si>
    <t>Bbleys Community Centre</t>
  </si>
  <si>
    <t>Accrual: Managment Surveys, Sept 19 -Mar 20, ASBESTOS CONSULTANTS EUROPE LTD</t>
  </si>
  <si>
    <t>Annual Maintenance Floodlighting Sunnymead Park 01/04/2020 to 31/03/2021</t>
  </si>
  <si>
    <t>OX05OX16 HAM13676 MORGAN K</t>
  </si>
  <si>
    <t>OX05OX16  62 COPSE LANE SCOTT FRASER LTD</t>
  </si>
  <si>
    <t>AS - 8038633 - B1102 BN44 BUILDING: TOWN HALL LOCATION: PLOWAS - 8038633 - B1102 BN44 BUILDING: TOWN HALL LOCATION: PLOW JOB NUMBER:11164584 ADDRESS:TOWN HALL,OXFORD</t>
  </si>
  <si>
    <t>AS/ 8037921 B1102 BN44 ENVIRONMENTAL TEAM TH BASEMENT PLEASEAS/ 8037921 B1102 BN44 ENVIRONMENTAL TEAM TH BASEMENT PLEASE JOB NUMBER:11176958 ADDRESS:TOWN HALL,OXFORD</t>
  </si>
  <si>
    <t>803877 NS INSPECT &amp; REPAIR/REPLACE FAULTY EMERGENCY LIGHT FI803877 NS INSPECT &amp; REPAIR/REPLACE FAULTY EMERGENCY LIGHT FI JOB NUMBER:11190840 ADDRESS:ENTERPRISE CENTRE,26 CAVE STREET</t>
  </si>
  <si>
    <t>8038776 AS ENTERPSIE - NEW LIGHT TO REAR EMERGENCY STAIRCASE8038776 AS ENTERPSIE - NEW LIGHT TO REAR EMERGENCY STAIRCASE JOB NUMBER:11190965 ADDRESS:ENTERPRISE CENTRE,26 CAVE STREET</t>
  </si>
  <si>
    <t>8038772 - AS - CALL NO: 1035 - BARRISTERS ROOM, BLEEPING FIR8038772 - AS - CALL NO: 1035 - BARRISTERS ROOM, BLEEPING FIR JOB NUMBER:11191131 ADDRESS:TOWN HALL,OXFORD</t>
  </si>
  <si>
    <t>AS/8039000 - SAC 1ST FLOOR CLEANING CUPBOARD IN KITCHEN; TAPAS/8039000 - SAC 1ST FLOOR CLEANING CUPBOARD IN KITCHEN; TAP JOB NUMBER:11215134 ADDRESS:ST ALDATES CHAMBERS,109-113 ST ALDATES</t>
  </si>
  <si>
    <t>AS DISCUSSED WITH TREVOR MERRICK TO REPLACE ALL BLOWN SPOTS/AS DISCUSSED WITH TREVOR MERRICK TO REPLACE ALL BLOWN SPOTS/ JOB NUMBER:11215147 ADDRESS:CARFAX TOWER,OXFORD</t>
  </si>
  <si>
    <t>B1241</t>
  </si>
  <si>
    <t>Service, call outs, repairs 01/03/20 - 31/03/20</t>
  </si>
  <si>
    <t>Refuge Alerter Fully Comprehensive Contract (5 years)</t>
  </si>
  <si>
    <t>Grandpoint Sports Pavillion</t>
  </si>
  <si>
    <t>19/20 Electricity Accrual - Roman Way 72 - TA [OCC]</t>
  </si>
  <si>
    <t>328 Oxford Road Kidlington 01/5/20 to 31/7/20</t>
  </si>
  <si>
    <t>St Mungo´s - Addiitonal staffing due to COVID-19</t>
  </si>
  <si>
    <t>140 Dene Road 01/5/20 to 31/7/20</t>
  </si>
  <si>
    <t>The Bungalow Sandy lane 1/5/20 to 31/7/20</t>
  </si>
  <si>
    <t>93d Green Rd 1/5/20 to 31/7/20</t>
  </si>
  <si>
    <t>40a Matthews Way 1/5/20 to 31/7/20</t>
  </si>
  <si>
    <t>19/20 Gas Accrual - Beaufort Close 13 - TA [OCC]</t>
  </si>
  <si>
    <t>Ref HCo P2P AJ 44000490,44000491.Prof&amp;Cons Fees:Re-lets-ChoiceBasedLettings Apr18-Mar19,22Properties</t>
  </si>
  <si>
    <t>54 Collingwood 1/05/2020 to 31/7/2020</t>
  </si>
  <si>
    <t>6 Costar Cl 1/5/2020 to 31/7/2020</t>
  </si>
  <si>
    <t>19/20 Water Accrual - Beaufort Close 13 - TA [OCC]</t>
  </si>
  <si>
    <t>19/20 Water Accrual - Forsythia Close 26 - TA [OCC]</t>
  </si>
  <si>
    <t>19/20 Water Accrual - Rowan Grove 10 - TA [OCC]</t>
  </si>
  <si>
    <t>6 Firs Meadow 1/5/20 to 31/7/2020</t>
  </si>
  <si>
    <t>7 Rowan Grove 1/05/2020 to 31/07/2020</t>
  </si>
  <si>
    <t>Accrual: connection with the defective ceilings at The Town Hall - Interim Fee, March works, IAN BRIDGE CONSULTANCY LIMITED</t>
  </si>
  <si>
    <t>19/20 Gas Accrual - Lerwick Croft 26 - TA [OCC]</t>
  </si>
  <si>
    <t>Tower House Hotel - 21st-31st Mar20. 10days@£542. 1 day@£250.</t>
  </si>
  <si>
    <t>Buttery Hotel - 24/3-31/320 -  8days @ £600 p/day</t>
  </si>
  <si>
    <t>Travelodge- 50% Deposit paid in advance less £1.5k p/day 27/3-31/3/20</t>
  </si>
  <si>
    <t>19/20 Electricity Accrual - Kelburne Road 34 Flat 1 - TA [PRS]</t>
  </si>
  <si>
    <t>Halo - Security staff used to supplement St Mungo´s staff on 31.03.2020</t>
  </si>
  <si>
    <t>LEON - Food provision 27.03.2020-31.03.2020</t>
  </si>
  <si>
    <t>35A Landy Lane1/05/2020 to 31/07/2020</t>
  </si>
  <si>
    <t>6 Green Ridges 1/05/2020 to 31/07/2020</t>
  </si>
  <si>
    <t>11 Atkinson Close1/05/2020 to 31/07/2020</t>
  </si>
  <si>
    <t>107 Hurst St 1/05/2020 to 31/07/2020</t>
  </si>
  <si>
    <t>K9511</t>
  </si>
  <si>
    <t>Catalyst - CBL Advert Re-Charge for 2018/19 due (awaiting PO number)</t>
  </si>
  <si>
    <t>1 Yarrow Close 1/05/2020 to 30/04/2020</t>
  </si>
  <si>
    <t>25 Bryony Cl 1/05/2020 to 31/07/2020</t>
  </si>
  <si>
    <t>14 Spruce Garden1/05/2020 to 31/07/2020</t>
  </si>
  <si>
    <t>7 Teal Close1/05/2020 to 31/07/2020</t>
  </si>
  <si>
    <t>19/20 Electricity Accrual - Lerwick Croft 26 - TA [OCC]</t>
  </si>
  <si>
    <t>2 LANTERNS NOT WORKING2 LANTERNS NOT WORKING JOB NUMBER:11213440 ADDRESS:COVERED MARKET,OXFORD</t>
  </si>
  <si>
    <t>D3903</t>
  </si>
  <si>
    <t>P12 Bell W (Reed)</t>
  </si>
  <si>
    <t>19/20 Electricity Accrual - Shackleton Close 05 - TA [OCC]</t>
  </si>
  <si>
    <t>19/20 Gas Accrual - Heather Road 13 - TA [OCC]</t>
  </si>
  <si>
    <t>19/20 Water Accrual - Heather Road 13 - TA [OCC]</t>
  </si>
  <si>
    <t>OX05OX16 68 ASQUITH ROAD</t>
  </si>
  <si>
    <t>19/20 Water Accrual - Banbury Road Garages</t>
  </si>
  <si>
    <t>DISCONNECT AND RECONNECT STANDARD ELECTRIC COOKER KEY SAFE 8DISCONNECT AND RECONNECT STANDARD ELECTRIC COOKER KEY SAFE 8 JOB NUMBER:11117564 ADDRESS:7 EVENLODE TOWER,BLACKBIRD LEYS ROAD</t>
  </si>
  <si>
    <t>19/20 Electricity Accrual - Amory Close 02 - TA [OCC]</t>
  </si>
  <si>
    <t>DISCONNECT ELECTRIC COOKER - NO RECONNECT REQ´D KEY SAFE 376DISCONNECT ELECTRIC COOKER - NO RECONNECT REQ´D KEY SAFE 376 JOB NUMBER:11118756 ADDRESS:9 PAULING ROAD,WOOD FARM</t>
  </si>
  <si>
    <t>19/20 Gas Accrual - Amory Close 02 - TA [OCC]</t>
  </si>
  <si>
    <t>THE ABOVE TWO PROPERTIES ARE GOING TO BE REDEVELOPED,  SO CATHE ABOVE TWO PROPERTIES ARE GOING TO BE REDEVELOPED,  SO CA JOB NUMBER:11122885 ADDRESS:51 WEIRS LANE,ABINGDON ROAD</t>
  </si>
  <si>
    <t>COV - FIRE DOOR TO PARKING AREA DAMAGED ALLOWING SQUATTERS TCOV - FIRE DOOR TO PARKING AREA DAMAGED ALLOWING SQUATTERS T JOB NUMBER:11227793 ADDRESS:PSP 1-24 BANJO ROAD,BLOCK</t>
  </si>
  <si>
    <t>RAISING MANHOLES FOR PEST CONTRIOL - REF: IAN THOMPSONRAISING MANHOLES FOR PEST CONTRIOL - REF: IAN THOMPSON JOB NUMBER:11265928 ADDRESS:COVERED MARKET,OXFORD</t>
  </si>
  <si>
    <t>19/20 Gas Accrual - St Nicholas Road 47 - TA [OCC]</t>
  </si>
  <si>
    <t>19/20 Water Accrual - Partridge Walk 18 - TA [OCC]</t>
  </si>
  <si>
    <t>19/20 Electricity Accrual - St Nicholas Road 47 - TA [OCC]</t>
  </si>
  <si>
    <t>19/20 Electricity Accrual - Quarry Hollow Pumping Station</t>
  </si>
  <si>
    <t>23a Mill Lane1/05/2020 to 31/07/2020</t>
  </si>
  <si>
    <t>19/20 Electricity Accrual - Greenwood Way 120 - TA [OCC]</t>
  </si>
  <si>
    <t>19/20 Electricity Accrual - Bryony Close 22 - TA [OCC]</t>
  </si>
  <si>
    <t>19/20 Water Accrual - Greenwood Way 118 - TA [OCC]</t>
  </si>
  <si>
    <t>19/20 Electricity Accrual - Greenwood Way 118 - TA [OCC]</t>
  </si>
  <si>
    <t>OX05OX16 R YATES 43 CONISTON AVE</t>
  </si>
  <si>
    <t>19/20 Gas Accrual - Southfield Park 137 - TA [OCC]</t>
  </si>
  <si>
    <t>connection with the defective ceilings at The Town Hall - Interim Fee</t>
  </si>
  <si>
    <t>19/20 Water Accrual - Southfield Park 137 - TA [OCC]</t>
  </si>
  <si>
    <t>fee account in connection with the works undertaken by Price &amp; Myers at the Oxford City Town Hall</t>
  </si>
  <si>
    <t>Priory Road 047 - TA [OCC] Acc: 321775823  Electricity 13/12/19 - 19/03/20</t>
  </si>
  <si>
    <t>19/20 Electricity Accrual - Evenlode Tower Flat 07 - TA [OCC]</t>
  </si>
  <si>
    <t>urgent beds for 32b Blay close and 27 Otter close</t>
  </si>
  <si>
    <t>20 WILCOTE ROAD</t>
  </si>
  <si>
    <t>P1 Shaw S (Reed)</t>
  </si>
  <si>
    <t>OX05OX16 HAM16675 CAMIEL FOTHERGILL</t>
  </si>
  <si>
    <t>Cancelled 200417 46307072</t>
  </si>
  <si>
    <t>MHCLG - 19/20 RRP 50% o/s awarded for Floyds Row</t>
  </si>
  <si>
    <t>CE</t>
  </si>
  <si>
    <t>OX05OX16 HUB COMMERCIAL  WHOLE HOTEL</t>
  </si>
  <si>
    <t>OX05OX16 LEON RESTAURANTS - MEALS</t>
  </si>
  <si>
    <t>OX09OX16 RE SERVICE PROVIDED TO PLANNING</t>
  </si>
  <si>
    <t>w/c 23/03/20 Angela Shaw</t>
  </si>
  <si>
    <t>KENNETH PARCHMENT W/E 060320</t>
  </si>
  <si>
    <t>19/20 Gas Accrual - Rowan Grove 10 - TA [OCC]</t>
  </si>
  <si>
    <t>OX05OX16 HOLDAN BOOKS LTD ROOMS FOR ROUGH SLEEPERS</t>
  </si>
  <si>
    <t>OX05OX16 HUB COMMERCIAL  ROOMS FOR ROUGH SLEEPERS</t>
  </si>
  <si>
    <t>19/20 Electricity Accrual - Evenlode Tower Flat 38 - TA [OCC]</t>
  </si>
  <si>
    <t>13/4/20 to 19/5/20</t>
  </si>
  <si>
    <t>23/3/20 to 19/5/20</t>
  </si>
  <si>
    <t>Cancelled 200417 46307071</t>
  </si>
  <si>
    <t>19/20 Gas Accrual - Warburg Crescent 56 - TA [OCC]</t>
  </si>
  <si>
    <t>19/20 Electricity Accrual - Fettiplace Road 24 - TA [OCC]</t>
  </si>
  <si>
    <t>19/20 Gas Accrual - Manston Close 35 - TA [OCC]</t>
  </si>
  <si>
    <t>HO RSI Q4 19 20 Sit up expansion 10 beds 2 x FTE</t>
  </si>
  <si>
    <t>19/20 Gas Accrual - Bracegirdle Road 22 - TA [OCC]</t>
  </si>
  <si>
    <t>Cris RSI Q4 2019 20 1) Multi-Agency service hub -PTE Arts Worker</t>
  </si>
  <si>
    <t>Schedule of Dilapidations at 61 Westlands and the Garage 22 Saxons Way Headington</t>
  </si>
  <si>
    <t>19/20 Electricity Accrual - Priory Road 023 - TA [OCC]</t>
  </si>
  <si>
    <t>19/20 Electricity Accrual - Bracegirdle Road 22 - TA [OCC]</t>
  </si>
  <si>
    <t>OX05OX16 L SCRIVENER</t>
  </si>
  <si>
    <t>19/20 Water Accrual - Manston Close 35 - TA [OCC]</t>
  </si>
  <si>
    <t>19/20 Electricity Accrual - Manston Close 35 - TA [OCC]</t>
  </si>
  <si>
    <t>19/20 Electricity Accrual - Greenwood Way 114 - TA [OCC]</t>
  </si>
  <si>
    <t>19/20 Water Accrual - Greenwood Way 114 - TA [OCC]</t>
  </si>
  <si>
    <t>19/20 Gas Accrual - Pickett Avenue 29B - TA [OCC]</t>
  </si>
  <si>
    <t>19/20 Water Accrual - Greenwood Way 112-130 Landlords - TA [OCC]</t>
  </si>
  <si>
    <t>19/20 Electricity Accrual - Blackbird Leys Road 54 - TA [OCC]</t>
  </si>
  <si>
    <t>47 KESTREL CRESCENT RENT 1/5/2020-31/7/2020</t>
  </si>
  <si>
    <t>19/20 Electricity Accrual - Warburg Crescent 56 - TA [OCC]</t>
  </si>
  <si>
    <t>19/20 Gas Accrual - Blackbird Leys Road 54 - TA [OCC]</t>
  </si>
  <si>
    <t>19/20 Water Accrual - Blackbird Leys Road 76 - TA [OCC]</t>
  </si>
  <si>
    <t>19/20 Water Accrual - Greenwood Way 120 - TA [OCC]</t>
  </si>
  <si>
    <t>Connection Support - Supported Lettings Q4 2019 20</t>
  </si>
  <si>
    <t>183 FIELD AVENUE WORKS AS DISCUSSED</t>
  </si>
  <si>
    <t>19/20 Electricity Accrual - Greenwood Way 128 - TA [OCC]</t>
  </si>
  <si>
    <t>19/20 Water Accrual - Greenwood Way 128 - TA [OCC]</t>
  </si>
  <si>
    <t>P12 Kozlova V (Reed)</t>
  </si>
  <si>
    <t>19/20 Water Accrual - Lancaster Close 20 - TA [OCC]</t>
  </si>
  <si>
    <t>19/20 Water Accrual - Greenwood Way 122 - TA [OCC]</t>
  </si>
  <si>
    <t>Turning Point RSI Workstream3)Temp Accom 4 201920</t>
  </si>
  <si>
    <t>WESTHILL FARMHOUSE</t>
  </si>
  <si>
    <t>P12 Hodges S (Reed)</t>
  </si>
  <si>
    <t>HO RSI Q4 19 20 Womens Service 5 beds 1 x FTE</t>
  </si>
  <si>
    <t>19/20 Electricity Accrual - Kersington Crescent 47 - TA [OCC]</t>
  </si>
  <si>
    <t>HO RSI Q4 19 20 PreRecovery Commissioning</t>
  </si>
  <si>
    <t>19/20 Electricity Accrual - Greenwood Way 124 - TA [OCC]</t>
  </si>
  <si>
    <t>19/20 Electricity Accrual - Greenwood Way 122 - TA [OCC]</t>
  </si>
  <si>
    <t>32 Lakefield Rd1/05/2020 to 30/07/2020</t>
  </si>
  <si>
    <t>18 Ablett Close1/05/2020 to 31/07/2020</t>
  </si>
  <si>
    <t>OX05OX16 NAQEE Y 21 DENE RD</t>
  </si>
  <si>
    <t>27 Green Hill 1/5/2020 to 31/7/2020</t>
  </si>
  <si>
    <t>32 Marlborough Close 1/5/20 to 31/7/20</t>
  </si>
  <si>
    <t>46A Mortimer Drive 1/05/2020 to 31/7/2020</t>
  </si>
  <si>
    <t>418 Abingdon Rd. 1/5/2019 to 31/7/2020</t>
  </si>
  <si>
    <t>OX05OX16 HAM14611 F RAPAJ</t>
  </si>
  <si>
    <t>1 Rowan Grove1/05/2020 to 31/07/2020</t>
  </si>
  <si>
    <t>31 Frys Hill1/05/2020 to 31/07/2020</t>
  </si>
  <si>
    <t>29 Bailey rd  1/5/2020 to 31/7/2020</t>
  </si>
  <si>
    <t>34 Sorrell Rd1/05/2020 to 31/07/2020</t>
  </si>
  <si>
    <t>352 Cowley Rd 1/05/2020 to 31/7/2020</t>
  </si>
  <si>
    <t>34 LakeField Rd 1/5/20 to 31/7/2020</t>
  </si>
  <si>
    <t>11 Pipley Furlong1/05/2020 to 30/07/2020</t>
  </si>
  <si>
    <t>CUTTESLOWE COMMUNITY CENTRE</t>
  </si>
  <si>
    <t>Tower House Hotel Whole building 28th April - 6th May Incl.</t>
  </si>
  <si>
    <t>CARRY OUT ALL WORKS TO SUPPLY AND ERECT HERES FENCEPANELS/BOCARRY OUT ALL WORKS TO SUPPLY AND ERECT HERES FENCEPANELS/BO JOB NUMBER:11191045 ADDRESS:ST SEPULCHRES CEMETERY,OXFORD</t>
  </si>
  <si>
    <t>Call out charge 10/02/20</t>
  </si>
  <si>
    <t>Rose Hill Community Centre</t>
  </si>
  <si>
    <t>Call out charge @ 120.00 Town Hall</t>
  </si>
  <si>
    <t>ODS Reversal of Inv#530849469 16 Ship St (TN 1065900)</t>
  </si>
  <si>
    <t>ODS Reversal of TN#3090943 - 14&amp;15 Ship St (Job#10296013)</t>
  </si>
  <si>
    <t>B1001</t>
  </si>
  <si>
    <t>CARRY OUT GROUND CLEARANCE OF WASTE FLY TIPPED BY NO. 11 VALCARRY OUT GROUND CLEARANCE OF WASTE FLY TIPPED BY NO. 11 VAL JOB NUMBER:10988400 ADDRESS:DWELLINGS VALENTIA ROAD,HOUSE AREA</t>
  </si>
  <si>
    <t>OX09OX16 705499628 R/O 1-1A CATHERINE ST</t>
  </si>
  <si>
    <t>LEVEL 2 AHU NUMBER 5LEVEL 2 AHU NUMBER 5 JOB NUMBER:11198622 ADDRESS:ST ALDATES CHAMBERS,109-113 ST ALDATES</t>
  </si>
  <si>
    <t>Amory Close 02 - TA [OCC] Acc: 401775253  Gas 28/09/19 - 18/12/19</t>
  </si>
  <si>
    <t>8039264/NS - TOILET URINALS ON GROUND FLOOR AND ROD/CLEAR AS8039264/NS - TOILET URINALS ON GROUND FLOOR AND ROD/CLEAR AS JOB NUMBER:11236702 ADDRESS:ROSE HILL COMMUNITY CENTRE,CAROLE´S WAY</t>
  </si>
  <si>
    <t>St Nicholas Road 47 - TA [OCC] Acc: 461773962  Gas 26/12/19 - 19/03/20</t>
  </si>
  <si>
    <t>Rivermead Road 07 - TA [OCC] Acc: 591780770  Gas 20/12/19 - 19/03/20</t>
  </si>
  <si>
    <t>Kersington Crescent 47 - TA [OCC] Acc: 271781756  Gas 19/12/19 - 27/03/20</t>
  </si>
  <si>
    <t>Amory Close 02 - TA [OCC] Acc: 401775253  Gas 26/03/19 - 24/06/19</t>
  </si>
  <si>
    <t>Amory Close 02 - TA [OCC] Acc: 401775253  Gas 25/06/19 - 27/09/19</t>
  </si>
  <si>
    <t>Partridge Walk 18 - TA [OCC] Acc: 9161380518  Electricity 01/01/20 - 07/04/20</t>
  </si>
  <si>
    <t>Warburg Crescent 56 - TA [OCC] Acc: 811811571  Gas 12/02/20 - 27/03/20</t>
  </si>
  <si>
    <t>19 Threefield Road, Rent @ £925 from 20/1-31/7/2020</t>
  </si>
  <si>
    <t>11 Darent Place, Didcot, NTTOPUP (HAM Payment 32290)</t>
  </si>
  <si>
    <t>Blackbird Leys Road 54 - TA [OCC] Acc: 541805622  Gas 11/01/20 - 13/03/20</t>
  </si>
  <si>
    <t>Amory Close 02 - TA [OCC] Acc: 401775253  Gas 19/12/19 - 17/03/20</t>
  </si>
  <si>
    <t>Priory Road 023 - TA [OCC] Acc: 591757117  Gas 14/12/19 - 19/03/20</t>
  </si>
  <si>
    <t>Priory Road 047 - TA [OCC] Acc: 971755943  Gas 13/12/19 - 19/03/20</t>
  </si>
  <si>
    <t>Holding fee on 21 Lupin Lane 9/4/20 -22/4/20</t>
  </si>
  <si>
    <t>Columbine Gardens 41 - TA [OCC] Acc: 131707964  Gas 01/01/20 - 07/04/20</t>
  </si>
  <si>
    <t>MicroGuard Subscription 36Mth Contract (Annual), SIM Roaming Charge 36Mth (Annual)</t>
  </si>
  <si>
    <t>Little Bury 57 - TA [OCC] Acc: 981727607  Gas 01/01/20 - 07/04/20</t>
  </si>
  <si>
    <t>Rowan Grove 10 - TA [OCC] Acc: 391742470  Gas 01/01/20 - 07/04/20</t>
  </si>
  <si>
    <t>Southfield Park 137 - TA [OCC] Acc: 931813112  Gas 31/01/20 - 07/04/20</t>
  </si>
  <si>
    <t>S15</t>
  </si>
  <si>
    <t>ED04</t>
  </si>
  <si>
    <t>Unpaid waste invoice 56015707</t>
  </si>
  <si>
    <t>IR</t>
  </si>
  <si>
    <t>L9726</t>
  </si>
  <si>
    <t>ED05</t>
  </si>
  <si>
    <t>12 westlands Drive   HIA fees Apr 20</t>
  </si>
  <si>
    <t>6 Pickett Avenue   HIA fees Apr 20</t>
  </si>
  <si>
    <t>6 Capel Close   HIA fees Apr 20</t>
  </si>
  <si>
    <t>35 St Martis Road   HIA fees Apr 20</t>
  </si>
  <si>
    <t>Flat 50 George Moore Close   HIA fees Apr 20</t>
  </si>
  <si>
    <t>Flat 10 North Place   HIA fees Apr 20</t>
  </si>
  <si>
    <t>6 Pickett Avenue   Key safe Apr 20</t>
  </si>
  <si>
    <t>25 Marshall Road   HIA fees Apr 20</t>
  </si>
  <si>
    <t>403 Marston Road   HIA fees Apr 20</t>
  </si>
  <si>
    <t>Flat 2 Littlehay Court   HIA fees Apr 20</t>
  </si>
  <si>
    <t>D3418</t>
  </si>
  <si>
    <t>ED19</t>
  </si>
  <si>
    <t>Oxford City Centre Ambassadors feb 2020</t>
  </si>
  <si>
    <t>ED22</t>
  </si>
  <si>
    <t>OX20OX27 2000564 6 Littlehay Road</t>
  </si>
  <si>
    <t>D3812</t>
  </si>
  <si>
    <t>BN64</t>
  </si>
  <si>
    <t>D3201</t>
  </si>
  <si>
    <t>ED17</t>
  </si>
  <si>
    <t>Arco Black ST550 S3 Safety Boot 8</t>
  </si>
  <si>
    <t>371 Pegasus Road   DFG Apr 20</t>
  </si>
  <si>
    <t>OX19OX27 2000557 17 Temple Street, Oxford, OxfordshireOX4 1</t>
  </si>
  <si>
    <t>7 Alma Place   DFG Apr 20</t>
  </si>
  <si>
    <t>OX19OX27 1903883 4 Bullingdon Road OxfordOX4 1QQ</t>
  </si>
  <si>
    <t>OX19OX27 2000802 102 Percy StreetOX4 3AD</t>
  </si>
  <si>
    <t>OX19OX27 2001299 8 Boulter StreetOX4 1AX</t>
  </si>
  <si>
    <t>OX19OX27 2001165 9 Boulter StreetOX4 1AX</t>
  </si>
  <si>
    <t>OX19OX27 2000700 Site Of 4 Pembroke Street And 94</t>
  </si>
  <si>
    <t>ED07</t>
  </si>
  <si>
    <t>OX05OX16 7257734 LAND REGISTRY</t>
  </si>
  <si>
    <t>23 Brake Hill   DFG Apr 20</t>
  </si>
  <si>
    <t>ED36</t>
  </si>
  <si>
    <t>Keylink orders for 23/02/20 ¿ 28/03/20</t>
  </si>
  <si>
    <t>17 LittleBury   DFG Apr 20</t>
  </si>
  <si>
    <t>OX19OX27 2001583 22 divinity Road OX4 1LJ</t>
  </si>
  <si>
    <t>ED18</t>
  </si>
  <si>
    <t>Translation - Interview by correspondence - Nepalese</t>
  </si>
  <si>
    <t>K9591</t>
  </si>
  <si>
    <t>ED24</t>
  </si>
  <si>
    <t>OX20OX16 212007</t>
  </si>
  <si>
    <t>OX19OX27 2000803 25 Wharton Road</t>
  </si>
  <si>
    <t>25 Alice &amp; Margaret House   DFG Apr 20</t>
  </si>
  <si>
    <t>OX20OX27 2001590 192 Howard Street</t>
  </si>
  <si>
    <t>OX20OX27 2000867 17 Boswell Road, OxfordOX4 3HW</t>
  </si>
  <si>
    <t>96 Stone Meadow   DFG Apr 20</t>
  </si>
  <si>
    <t>13 Longlands   DFG Apr 20</t>
  </si>
  <si>
    <t>OX20OX27 2000815 9, William Kimber Crescent,</t>
  </si>
  <si>
    <t>OX19OX27 2001085 15 Botley Road</t>
  </si>
  <si>
    <t>OX20OX27 2000864 101 Oxford Road</t>
  </si>
  <si>
    <t>OX20OX27 2001427 191 Howard Street</t>
  </si>
  <si>
    <t>105 Owens Way   DFG Apr 20</t>
  </si>
  <si>
    <t>K9592</t>
  </si>
  <si>
    <t>OX19OX16 213033</t>
  </si>
  <si>
    <t>Income relating to 2020-21 RIA</t>
  </si>
  <si>
    <t>K9508</t>
  </si>
  <si>
    <t>Penalty for HMO management regulations 222 Botley Road</t>
  </si>
  <si>
    <t>OX20OX17 20/00380/mulfp</t>
  </si>
  <si>
    <t>OX20OX16 203061</t>
  </si>
  <si>
    <t>3 Edmund Road</t>
  </si>
  <si>
    <t>5 Swallow Close   HIA fees Apr 20</t>
  </si>
  <si>
    <t>Winwards   HIA fees Apr 20</t>
  </si>
  <si>
    <t>102 Barns Road   Key safe Apr 20</t>
  </si>
  <si>
    <t>403 Marston Road   Key safe Apr 20</t>
  </si>
  <si>
    <t>Flat 10 North Place   Key safe Apr 20</t>
  </si>
  <si>
    <t>City Ambassadors Feb 20 5040076</t>
  </si>
  <si>
    <t>OX09OX12 K9571ED25 OCC Taxi Licences</t>
  </si>
  <si>
    <t>Flat 22 Alison Clay House   Key safe Apr 20</t>
  </si>
  <si>
    <t>5 Swallow Close   Key safe Apr 20</t>
  </si>
  <si>
    <t>ED33</t>
  </si>
  <si>
    <t>Annual Boiler Service x 7</t>
  </si>
  <si>
    <t>Penalty not licensing an HMO 222 Botley Road</t>
  </si>
  <si>
    <t>19 Sherrifs Drive   Key safe Apr 20</t>
  </si>
  <si>
    <t>Winwards   Key safe Apr 20</t>
  </si>
  <si>
    <t>6 Capel Close   Key safe Apr 20</t>
  </si>
  <si>
    <t>FA21</t>
  </si>
  <si>
    <t>Unmetered CCTV Cameras Acc: 791530426  Electricity 03/03/20 - 01/04/20</t>
  </si>
  <si>
    <t>OX19OX27 2001584 93 East AvenueOX4 1XR</t>
  </si>
  <si>
    <t>50 Bickerton Road   Handyman  Apr 20</t>
  </si>
  <si>
    <t>8 Mather Road   Handyman  Apr 20</t>
  </si>
  <si>
    <t>58 Tree Lane   Handyman  Apr 20</t>
  </si>
  <si>
    <t>35 St Martins Road   Handyman  Apr 20</t>
  </si>
  <si>
    <t>Flat 15 Jackson Cole House   DFG Apr 20</t>
  </si>
  <si>
    <t>OX19OX27 2001057 203 Cowley Road OxfordOX4 1XA</t>
  </si>
  <si>
    <t>10 Trinity Street   DFG Apr 20</t>
  </si>
  <si>
    <t>1 Quartermain Close   DFG Apr 20</t>
  </si>
  <si>
    <t>5 Constance Norman Way   DFG Apr 20</t>
  </si>
  <si>
    <t>58 Tree Lane   DFG Apr 20</t>
  </si>
  <si>
    <t>9 Paddox Close   DFG Apr 20</t>
  </si>
  <si>
    <t>OX20OX27 2000406 71 Hurst Street</t>
  </si>
  <si>
    <t>44 Western Road   DFG Apr 20</t>
  </si>
  <si>
    <t>Flat 34 John Kallie Court   Key safe Apr 20</t>
  </si>
  <si>
    <t>OX19OX27 2001118 39a new high street Headington Oxford OX3</t>
  </si>
  <si>
    <t>Flat 50 George Moore Close   Key safe Apr 20</t>
  </si>
  <si>
    <t>25 Marshall Road   Key safe Apr 20</t>
  </si>
  <si>
    <t>Flat 2 Littlehay Court   Key safe Apr 20</t>
  </si>
  <si>
    <t>OX20OX27 2000341 52 Headley WayOX3 0LU</t>
  </si>
  <si>
    <t>102 Barns Hay   HIA fees Apr 20</t>
  </si>
  <si>
    <t>OX20OX16 20/00402/HMOLIC</t>
  </si>
  <si>
    <t>OX20OX27 2000768 14 East av</t>
  </si>
  <si>
    <t>ED16</t>
  </si>
  <si>
    <t>135 Cornwallis Road   DFG Apr 20</t>
  </si>
  <si>
    <t>79 Copse Lane   HIA fees Apr 20</t>
  </si>
  <si>
    <t>OX20OX27 2000659 15 Gouldland Gardens</t>
  </si>
  <si>
    <t>OX20OX16 213013</t>
  </si>
  <si>
    <t>OX20OX16 213014</t>
  </si>
  <si>
    <t>OX20OX16 20/01421/HMOLIC</t>
  </si>
  <si>
    <t>D3202</t>
  </si>
  <si>
    <t>WORKWEAR S5641</t>
  </si>
  <si>
    <t>50 Bickerton Road   HIA fees Apr 20</t>
  </si>
  <si>
    <t>5 Haynes Road   HIA fees Apr 20</t>
  </si>
  <si>
    <t>K9593</t>
  </si>
  <si>
    <t>OX19OX16 214007</t>
  </si>
  <si>
    <t>Flat 34 John Kallie Court   HIA fees Apr 20</t>
  </si>
  <si>
    <t>OX20OX16 214002</t>
  </si>
  <si>
    <t>OX20OX27 2001373 25 James Street</t>
  </si>
  <si>
    <t>30 Lambourn Road   HIA fees Apr 20</t>
  </si>
  <si>
    <t>OX05OX16 2106960000 DBS DIRECT DEBITS</t>
  </si>
  <si>
    <t>23 Thompson Terrace   HIA fees Apr 20</t>
  </si>
  <si>
    <t>OX19OX27 2001279 North Oxford Overseas Centre</t>
  </si>
  <si>
    <t>OX19OX27 2001449 166 Howard street,OX4 3BG</t>
  </si>
  <si>
    <t>Unpaid waste invoice 56015384</t>
  </si>
  <si>
    <t>1 Barns Hay   HIA fees Apr 20</t>
  </si>
  <si>
    <t>58 Tree Lane   HIA fees Apr 20</t>
  </si>
  <si>
    <t>19 Sherrifs Drive   HIA fees Apr 20</t>
  </si>
  <si>
    <t>OX20OX27 2001423 123, Dene Road</t>
  </si>
  <si>
    <t>7 Rippington Drive   DFG Apr 20</t>
  </si>
  <si>
    <t>OX20OX27 2000708 42, Cardigan Street,Jericho, OxfordOX2 6BS</t>
  </si>
  <si>
    <t>OX20OX16 213011</t>
  </si>
  <si>
    <t>OX20OX16 213010</t>
  </si>
  <si>
    <t>OX20OX16 212006</t>
  </si>
  <si>
    <t>OX20OX27 2000080 21 Coniston Avenue Oxford OX3 0AN</t>
  </si>
  <si>
    <t>OX20OX17 20/00254/REVERT</t>
  </si>
  <si>
    <t>OX19OX27 2001237 9 Southfield RoadOX4 1NX</t>
  </si>
  <si>
    <t>OX19OX27 2000955 14 East field CloseOX3 7SH</t>
  </si>
  <si>
    <t>8 Mather Road   HIA fees Apr 20</t>
  </si>
  <si>
    <t>98 Godstow Road   HIA fees Apr 20</t>
  </si>
  <si>
    <t>OX19OX27 2001332 86 Botley Rd</t>
  </si>
  <si>
    <t>14 Frenchay Road   HIA fees Apr 20</t>
  </si>
  <si>
    <t>60 Normandy Crescent   HIA fees Apr 20</t>
  </si>
  <si>
    <t>3 Edmund Road   HIA fees Apr 20</t>
  </si>
  <si>
    <t>ED38</t>
  </si>
  <si>
    <t>Geldards - 1st invoice</t>
  </si>
  <si>
    <t>38 Clive Road   HIA fees Apr 20</t>
  </si>
  <si>
    <t>Geldards - 2nd invoice  (as per Anita Bradley)</t>
  </si>
  <si>
    <t>Subs Verso Online License App(23445) 1/4/20 - 31/3/21 (1061335)</t>
  </si>
  <si>
    <t>OX19OX27 2001300 4 Wilson PlaceOX4 1AR</t>
  </si>
  <si>
    <t>Flat 18 John Kallie Court   DFG Apr 20</t>
  </si>
  <si>
    <t>OX20OX16 213007</t>
  </si>
  <si>
    <t>OX09OX16 tesco 14/00850/prem</t>
  </si>
  <si>
    <t>OX20OX27 2000876 134, Bulan Road,</t>
  </si>
  <si>
    <t>OX20OX27 1905293 7 Norton Close</t>
  </si>
  <si>
    <t>OX19OX27 2001235 89a Kingston RdOX2 6RJ</t>
  </si>
  <si>
    <t>OX19OX27 2000811 125 M orrell AveOX4 1NG</t>
  </si>
  <si>
    <t>SIA Door Supervisors to patrol Emergency Homeless Shelters</t>
  </si>
  <si>
    <t>OX19OX27 2000262 10 HEATH CLOSE OXFORDOX3 7NJ</t>
  </si>
  <si>
    <t>OX20OX27 2001296 26 ESSEX STREET</t>
  </si>
  <si>
    <t>OX20OX27 2000629 61 Sandfield Road</t>
  </si>
  <si>
    <t>OX20OX27 2001141 9, Cumberland RoadOX4 2BZ</t>
  </si>
  <si>
    <t>OX20OX27 2001245 48 Bailey road</t>
  </si>
  <si>
    <t>OX20OX16 213008</t>
  </si>
  <si>
    <t>OX20OX27 2001135 12 Inott Furze</t>
  </si>
  <si>
    <t>OX19OX27 2001049 28 Silver RoadOX4 3AP</t>
  </si>
  <si>
    <t>OX20OX27 2001401 63-64 St Bernard´s Road</t>
  </si>
  <si>
    <t>Invoice for emergency boiler installation at 23 Thompson Terrace - Part 1</t>
  </si>
  <si>
    <t>OX19OX27 1905319 39 Venneit Close OxfordOX1 1HY</t>
  </si>
  <si>
    <t>OX20OX27 2001396 16 Shelley Road</t>
  </si>
  <si>
    <t>OX20OX27 2001383 82 Valentia Road</t>
  </si>
  <si>
    <t>ED20</t>
  </si>
  <si>
    <t>OX09OX16 OCC Transfers</t>
  </si>
  <si>
    <t>K9590</t>
  </si>
  <si>
    <t>OX20OX16 211003</t>
  </si>
  <si>
    <t>OX19OX27 1905072 58 Marston Street</t>
  </si>
  <si>
    <t>OX19OX27 2001080 103 Cardigan STOX2 6BW</t>
  </si>
  <si>
    <t>Reverse 10347980 PO 8038711 not required</t>
  </si>
  <si>
    <t>OX20OX27 2001253 6 Venneit Close</t>
  </si>
  <si>
    <t>OX20OX16 214004</t>
  </si>
  <si>
    <t>OX20OX27 2001250 Brindle Bank</t>
  </si>
  <si>
    <t>OX19OX27 2000673 173 B</t>
  </si>
  <si>
    <t>OX20OX16 213006</t>
  </si>
  <si>
    <t>OX20OX27 2000417 226 Cowley RoadOX4 1Uh</t>
  </si>
  <si>
    <t>for Boiler installation at 38 Clive Road, Cowley  part 2 invoice</t>
  </si>
  <si>
    <t>Worksheet Number: 1*03162020_69936_789</t>
  </si>
  <si>
    <t>Worksheet Number: 1*03122020_36358_789</t>
  </si>
  <si>
    <t>FOOD INSPECTIONS Worksheet Number: 1*02052020_62209_789</t>
  </si>
  <si>
    <t>OX05OX16 20/00230/HMOAD2</t>
  </si>
  <si>
    <t>OX05OX16 20/00894/HMOAD1</t>
  </si>
  <si>
    <t>VARIOUS PPE</t>
  </si>
  <si>
    <t>OX20OX27 2001403 59 Wytham Street</t>
  </si>
  <si>
    <t>ED15</t>
  </si>
  <si>
    <t>OX20OX27 2000182 11 Union st</t>
  </si>
  <si>
    <t>OX20OX16 213016</t>
  </si>
  <si>
    <t>OX05OX16 LAND REGISTRY 7257734</t>
  </si>
  <si>
    <t>OX20OX16 214016</t>
  </si>
  <si>
    <t>OX20OX27 2000697 150 Headley Way, Headington, OxfordOX3 7SZ</t>
  </si>
  <si>
    <t>OX20OX16 213020</t>
  </si>
  <si>
    <t>OX20OX27 2000538 31 Argyle StreetOX4 1ST</t>
  </si>
  <si>
    <t>OX20OX27 2001447 231 Cowley Road</t>
  </si>
  <si>
    <t>OX20OX16 20/00543/HMOLIC</t>
  </si>
  <si>
    <t>OX20OX27 2000759 21 Valentia Road</t>
  </si>
  <si>
    <t>OX20OX16 214019</t>
  </si>
  <si>
    <t>OX20OX27 2000880 15,  Salford Road, Marston, Oxford, OX3 0R</t>
  </si>
  <si>
    <t>OX19OX27 2000087 104 Cardigan Street OxfordOX2 6BW</t>
  </si>
  <si>
    <t>19-02-20 Transcript - 7 day turnaroundMr Gabriel Souza</t>
  </si>
  <si>
    <t>OX20OX16 212010</t>
  </si>
  <si>
    <t>OX20OX27 2000330 17 Gaisford Road</t>
  </si>
  <si>
    <t>OX20OX27 2000539 33 Argyle StreetOX4 1ST</t>
  </si>
  <si>
    <t>OX20OX27 2000772 7 Divinity RoadOX4 1LH</t>
  </si>
  <si>
    <t>OX19OX27 2001198 26 Mill StOX2 0AJ</t>
  </si>
  <si>
    <t>D3006</t>
  </si>
  <si>
    <t>QUARTERLY CHARGE FOR RADIO/COMMUNITY RESPONSE TEAM</t>
  </si>
  <si>
    <t>OX20OX27 2000540 5 Divinity RoadOX4 1LH</t>
  </si>
  <si>
    <t>OX20OX27 1905177 32 temple Road</t>
  </si>
  <si>
    <t>OX19OX27 1905321 3 Marston Road OxfordOX4 1FN</t>
  </si>
  <si>
    <t>OX19OX27 2000283 61 Headley Way</t>
  </si>
  <si>
    <t>OX20OX27 2001318 181 Divinity Road</t>
  </si>
  <si>
    <t>OX20OX16 213030</t>
  </si>
  <si>
    <t>OX20OX17 11 Stockmore Street</t>
  </si>
  <si>
    <t>OX20OX27 2000213 44 Divinitry Road</t>
  </si>
  <si>
    <t>OX20OX27 2000885 41 St Leonards Road, Oxford OX3 8AD</t>
  </si>
  <si>
    <t>OX19OX27 2000092 11 Leopold StOX4 1PS</t>
  </si>
  <si>
    <t>10346504 OX04OX16 18/04692/txhpd</t>
  </si>
  <si>
    <t>OX19OX27 2001149 22 Bulan Road</t>
  </si>
  <si>
    <t>OX19OX27 2000605 35 Grays Road</t>
  </si>
  <si>
    <t>Reversal of 51365984</t>
  </si>
  <si>
    <t>K9198</t>
  </si>
  <si>
    <t>VAWG 18/19 RIA</t>
  </si>
  <si>
    <t>KV05</t>
  </si>
  <si>
    <t>VAWG BAMER 18/19 RIA</t>
  </si>
  <si>
    <t>P12 P2P accruals 2019/20, 8026593, ASELFORD PLUMBING &amp; HEATING</t>
  </si>
  <si>
    <t>P12 P2P accruals 2019/20, 8027771, ASELFORD PLUMBING &amp; HEATING</t>
  </si>
  <si>
    <t>P12 P2P accruals 2019/20, 8030264, ASELFORD PLUMBING &amp; HEATING</t>
  </si>
  <si>
    <t>OX20OX16 212001</t>
  </si>
  <si>
    <t>OX20OX16 212003</t>
  </si>
  <si>
    <t>OX20OX16 20/01231/HMOLIC</t>
  </si>
  <si>
    <t>OX20OX16 213003</t>
  </si>
  <si>
    <t>OX20OX27 2001245 87 Oliver Road</t>
  </si>
  <si>
    <t>P12 P2P accruals 2019/20, 8038293, CRITIQOM LTD</t>
  </si>
  <si>
    <t>OX20OX27 2000313 34, Horwood Close,</t>
  </si>
  <si>
    <t>OX19OX27 2000673 173  B</t>
  </si>
  <si>
    <t>OX20OX16 CA-004183</t>
  </si>
  <si>
    <t>OX20OX27 2000954 6 Dene Road</t>
  </si>
  <si>
    <t>OX19OX27 2000668 54 Dene Road</t>
  </si>
  <si>
    <t>OX20OX17 15 Argyle Street</t>
  </si>
  <si>
    <t>OX19OX27 2001283 11 Mortimer Road</t>
  </si>
  <si>
    <t>OX19OX16 20/00042/HMOLIC</t>
  </si>
  <si>
    <t>OX20OX27 2000485 32, Horwood Close,</t>
  </si>
  <si>
    <t>ACROBAT PRO SUBSCRPT DC ALL MLP License Subscription x 6</t>
  </si>
  <si>
    <t>OX20OX27 2000022 24 minchery roadOX4 4lx</t>
  </si>
  <si>
    <t>OX20OX27 2000101  77 St Luke´s Road, Oxford</t>
  </si>
  <si>
    <t>OX19OX27 2001328 2 Brock Grove</t>
  </si>
  <si>
    <t>P12 P2P accruals 2019/20, 8030262, ASELFORD PLUMBING &amp; HEATING</t>
  </si>
  <si>
    <t>P12 P2P accruals 2019/20, 8036254, CORNWALL STREET BARRISTERS</t>
  </si>
  <si>
    <t>P12 P2P accruals 2019/20, 8039107, SOUTH OXFORDSHIRE DISTRICT COUNCIL</t>
  </si>
  <si>
    <t>P12 P2P accruals 2019/20, 8037966, OXFORD BUS COMPANY LTD</t>
  </si>
  <si>
    <t>OX19OX27 2000828 117 Dene Road OxfordOX3 7EQ</t>
  </si>
  <si>
    <t>P12 P2P accruals 2019/20, 8038330, OXFORD DIRECT SERVICES LTD</t>
  </si>
  <si>
    <t>OX20OX16 212002</t>
  </si>
  <si>
    <t>K9594</t>
  </si>
  <si>
    <t>OX09OX16 UNP CHQ RPRESENTED</t>
  </si>
  <si>
    <t>P12 P2P accruals 2019/20, 8029211, COMMUNITY ACTION DACORUM/DCVS</t>
  </si>
  <si>
    <t>P12 P2P accruals 2019/20, 8029970, ABLE LIVING SOLUTIONS</t>
  </si>
  <si>
    <t>OX20OX16 211002</t>
  </si>
  <si>
    <t>OX09OX16 unp chq represented</t>
  </si>
  <si>
    <t>P12 P2P accruals 2019/20, 8023237, ASELFORD PLUMBING &amp; HEATING</t>
  </si>
  <si>
    <t>OX20OX16 TRANSFER PREM LICENCE</t>
  </si>
  <si>
    <t>OX20OX17 20/00323/MULFP</t>
  </si>
  <si>
    <t>P12 P2P accruals 2019/20, 8026249, EXOVA  (UK) LTD</t>
  </si>
  <si>
    <t>OX20OX16 213002</t>
  </si>
  <si>
    <t>OX19OX27 2001157 The Old Rectory</t>
  </si>
  <si>
    <t>OX19OX17 20/00325/DALFP</t>
  </si>
  <si>
    <t>OX20OX27 2000441 16 Marjoram Close</t>
  </si>
  <si>
    <t>P12 P2P accruals 2019/20, 8032693, EPIQ EUROPE LTD</t>
  </si>
  <si>
    <t>P12 P2P accruals 2019/20, 8029282, KLIPSPRINGER LIMITED</t>
  </si>
  <si>
    <t>OX20OX27 2000044 10derwent avenueOx3 0ap</t>
  </si>
  <si>
    <t>OX19OX27 2000326 The Holly Bush PH</t>
  </si>
  <si>
    <t>OX20OX27 2001316 3 Bears Hedge</t>
  </si>
  <si>
    <t>OX20OX17 Debit Card</t>
  </si>
  <si>
    <t>OX20OX27 2001398 1 Lytton Road</t>
  </si>
  <si>
    <t>OX20OX27 1905212 31 Masons Road</t>
  </si>
  <si>
    <t>OX20OX16 215002</t>
  </si>
  <si>
    <t>OX20OX16 20/00799/HMOLIC</t>
  </si>
  <si>
    <t>OX20OX16 212004</t>
  </si>
  <si>
    <t>OX20OX27 2001353 54 Abingdon Road</t>
  </si>
  <si>
    <t>OX20OX16 213005</t>
  </si>
  <si>
    <t>n</t>
  </si>
  <si>
    <t>Q4 HIA Oxford City funding</t>
  </si>
  <si>
    <t>Charge for Improvement Notice</t>
  </si>
  <si>
    <t>OX20OX27 2001243 7 Lawrence Road, Oxford OX4 3ER</t>
  </si>
  <si>
    <t>OX20OX27 1904251 4 Fern Hill Road, Cowley OxfordOX4 2JN</t>
  </si>
  <si>
    <t>OX20OX27 2000654 427 Marston roadOx3ojp</t>
  </si>
  <si>
    <t>OX20OX27 2001175 63 Church Cowley road</t>
  </si>
  <si>
    <t>OX20OX16 20/00142/HMOLIC</t>
  </si>
  <si>
    <t>OX20OX27 2001306 139 Holloway, OX4 2NE , Oxfordox4 2ne</t>
  </si>
  <si>
    <t>OX20OX16 214001</t>
  </si>
  <si>
    <t>OX05OX16 BLDCTRL CHCH SIDLEYS OFFICE A/C</t>
  </si>
  <si>
    <t>Reverse 10347980 PO 8032927 not required</t>
  </si>
  <si>
    <t>OX20OX27 2001380 41 Horspath Road. Oxford OX4 2QN</t>
  </si>
  <si>
    <t>OX19OX27 2000397 46 Cricket RoadOX4 3DQ</t>
  </si>
  <si>
    <t>OX19OX27 2001197 5, 92 Botley RdOX2 6AD</t>
  </si>
  <si>
    <t>OX19OX27 2001200 17 Venneit CloseOX1 1HZ</t>
  </si>
  <si>
    <t>OX19OX27 2000401 17 Warneford Road</t>
  </si>
  <si>
    <t>OX19OX17 20/00330/MULFP</t>
  </si>
  <si>
    <t>OX20OX27 2000600 7 Ridgefield Road</t>
  </si>
  <si>
    <t>OX20OX16 214003</t>
  </si>
  <si>
    <t>OX20OX27 2001143 1 Clive Road</t>
  </si>
  <si>
    <t>OX19OX27 2001199 9 Hodges CourtOX1 4NY</t>
  </si>
  <si>
    <t>P12 P2P accruals 2019/20, 8037182, ASELFORD PLUMBING &amp; HEATING</t>
  </si>
  <si>
    <t>P12 P2P accruals 2019/20, 8039133, TREMARK ASSOCIATES LIMITED</t>
  </si>
  <si>
    <t>P12 P2P accruals 2019/20, 8034430, ASELFORD PLUMBING &amp; HEATING</t>
  </si>
  <si>
    <t>OX19OX27 1905465 8 Derwent Avenue</t>
  </si>
  <si>
    <t>OX20OX16 213004</t>
  </si>
  <si>
    <t>OX20OX27 2000143 40 Asquith road Oxford</t>
  </si>
  <si>
    <t>19/04889/HMOLIC - Kate Turnbull HOuse Morrel Crescent</t>
  </si>
  <si>
    <t>OX20OX27 2001111 7 Kenilworth Avenue</t>
  </si>
  <si>
    <t>P12 P2P accruals 2019/20, 8037409, SOUTH OXFORDSHIRE DISTRICT COUNCIL</t>
  </si>
  <si>
    <t>P12 P2P accruals 2019/20, 8032626, EPIQ EUROPE LTD</t>
  </si>
  <si>
    <t>OX19OX27 2001202 31 Randolph StOX4 1XZ</t>
  </si>
  <si>
    <t>P12 P2P accruals 2019/20, 8027904, WEST BAR VETERINARY HOSPITAL</t>
  </si>
  <si>
    <t>OX19OX27 2001268 25 Venneit CloseOX1 1HZ</t>
  </si>
  <si>
    <t>OX20OX27 2001554 313 Marston RoadOX3 0EP</t>
  </si>
  <si>
    <t>Oxford HIA Funding Agreement Jan-Mar 20</t>
  </si>
  <si>
    <t>K9908</t>
  </si>
  <si>
    <t>Gas Safe RIA</t>
  </si>
  <si>
    <t>BEIS Grant RIA</t>
  </si>
  <si>
    <t>Rouge Landlord Fund  - RIA</t>
  </si>
  <si>
    <t>OX19OX27 2000963 172 Botley Road, OxfordOX2 0HW</t>
  </si>
  <si>
    <t>OX19OX27 2000882 48 BARTLEMAS ROAD</t>
  </si>
  <si>
    <t>OX19OX17 20/00343/DEXBN</t>
  </si>
  <si>
    <t>OX19OX27 2000234 2 RANDOLPH STREET</t>
  </si>
  <si>
    <t>OX20OX27 1905453 68 Cricket Rd</t>
  </si>
  <si>
    <t>OX20OX17 61 Crotch Crescent</t>
  </si>
  <si>
    <t>OX20OX27 2001331 88 Islip Rd</t>
  </si>
  <si>
    <t>OX19OX27 2000646 9 Kenilworth Avenue, OxfordOX4 2AW</t>
  </si>
  <si>
    <t>OX20OX27 2000679 9</t>
  </si>
  <si>
    <t>OX20OX27 2000180 2 Cardigan Street, OxfordOX2 6BW</t>
  </si>
  <si>
    <t>OX20OX16 213029</t>
  </si>
  <si>
    <t>OX20OX27 2001454 190 Howard Street</t>
  </si>
  <si>
    <t>OX20OX16 20/01089/HMOLIC</t>
  </si>
  <si>
    <t>OX19OX27 2001303 11 Bartlemas Road</t>
  </si>
  <si>
    <t>OX19OX27 2001163 76 East Avenue OxfordOX4 1XP</t>
  </si>
  <si>
    <t>OX19OX27 2000808 14 Sheepway Court OxfordOX4 4JL</t>
  </si>
  <si>
    <t>OX19OX27 2000164 87 Venniet Cl OX1 1HY</t>
  </si>
  <si>
    <t>OX20OX17 20/00340/DALFP</t>
  </si>
  <si>
    <t>OX19OX16 211009</t>
  </si>
  <si>
    <t>OX20OX27 2000349 1   Napier Road</t>
  </si>
  <si>
    <t>OX20OX27 2000426 26 Magdalen Road</t>
  </si>
  <si>
    <t>OX20OX27 2000727 97 Gipsy LaneOX37UP</t>
  </si>
  <si>
    <t>OX20OX27 2001511 14 Warwick Street</t>
  </si>
  <si>
    <t>OX20OX16 213026</t>
  </si>
  <si>
    <t>OX19OX27 2000732 5 BOTLEY ROAD, OXFORDOX2 0AA</t>
  </si>
  <si>
    <t>OX19OX27 2001236 165a Kingston RoadOX2 6EG</t>
  </si>
  <si>
    <t>OX19OX27 2000233 1 MARSTON STREET</t>
  </si>
  <si>
    <t>OX19OX27 2001234 Lamar House</t>
  </si>
  <si>
    <t>OX19OX27 2001266 63 Venneit CloseOX1 1HY</t>
  </si>
  <si>
    <t>OX19OX17 64 Cardigan Street</t>
  </si>
  <si>
    <t>OX20OX16 213028</t>
  </si>
  <si>
    <t>OX20OX27 2000403 152 Dene Road</t>
  </si>
  <si>
    <t>OX20OX27 2000235 38 Bartlemas Road</t>
  </si>
  <si>
    <t>OX20OX16 213027</t>
  </si>
  <si>
    <t>OX20OX27 2000207 313 Meadow Lane</t>
  </si>
  <si>
    <t>OX19OX27 2000855 54a St Clements St</t>
  </si>
  <si>
    <t>OX20OX27 2001474 283 Iffley Road</t>
  </si>
  <si>
    <t>OX20OX27 2000542 250a Cowley Road</t>
  </si>
  <si>
    <t>OX20OX27 2000818 Wadenhoe, Middle Aston, Bicester, OxonOX25</t>
  </si>
  <si>
    <t>OX19OX27 1904655 37 Jeune Street OxfordOX4 1BN</t>
  </si>
  <si>
    <t>OX19OX27 2001420 69 Percy Street</t>
  </si>
  <si>
    <t>OX20OX27 2001504 187 Howard Street</t>
  </si>
  <si>
    <t>OX19OX27 2000033 17 Lake StreetOX1 4RN</t>
  </si>
  <si>
    <t>OX19OX27 2000181 25 Hart Street OxfordOX2 6BN</t>
  </si>
  <si>
    <t>OX20OX27 1904922 2 Park Town</t>
  </si>
  <si>
    <t>OX19OX27 2000695 157 Walton Street</t>
  </si>
  <si>
    <t>OX19OX27 2000173 11 Marston StreetOX4 1JU</t>
  </si>
  <si>
    <t>OX20OX16 211004</t>
  </si>
  <si>
    <t>OX20OX17 22 victoria road</t>
  </si>
  <si>
    <t>OX20OX16 214006</t>
  </si>
  <si>
    <t>OX19OX27 2000304 90 East AvenueOX4 1XR</t>
  </si>
  <si>
    <t>OX19OX27 2000602  3 Leander Way</t>
  </si>
  <si>
    <t>OX20OX27 2000810 230 Abingdon road</t>
  </si>
  <si>
    <t>OX19OX27 2001292 59 Littlemore Road</t>
  </si>
  <si>
    <t>OX19OX27 2000651 22 Meyseys Close</t>
  </si>
  <si>
    <t>OX19OX27 2001431 23 Marlborough Road,</t>
  </si>
  <si>
    <t>OX19OX27 1905066 Third Floor Flat A 47 - 48 St John Street</t>
  </si>
  <si>
    <t>OX19OX27 2001169 Address</t>
  </si>
  <si>
    <t>OX19OX27 2000163 69B St Mary´s RoadOX4 1QB</t>
  </si>
  <si>
    <t>OX19OX27 2000161 55 Trinity Street OxfordOX1 1TY</t>
  </si>
  <si>
    <t>OX19OX27 2001444 23 Cranham StOX2 6DD</t>
  </si>
  <si>
    <t>OX19OX27 2001082 41 Boulter StreetOX4 1AX</t>
  </si>
  <si>
    <t>OX19OX16 20/01429/SMLOTT</t>
  </si>
  <si>
    <t>OX19OX27 2001440 200 Cowley RdOX4 1UE</t>
  </si>
  <si>
    <t>OX19OX27 2001301 6 Wilson Place OX4 1AF</t>
  </si>
  <si>
    <t>OX19OX27 2001544 136 Howard StreetOX4 3BG</t>
  </si>
  <si>
    <t>OX20OX17 20/00342/dalfp</t>
  </si>
  <si>
    <t>OX05OX16 BLDCTRL 20/00306 Green Kristian</t>
  </si>
  <si>
    <t>OX19OX27 2001185 25 East StreetOX2 0AU</t>
  </si>
  <si>
    <t>OX20OX27 2001282 12 Crescent Close</t>
  </si>
  <si>
    <t>OX19OX27 2000063 58 Mortimer Drive</t>
  </si>
  <si>
    <t>OX20OX27 2001140 125 Reliance Way</t>
  </si>
  <si>
    <t>OX20OX27 2001499 88 Dene Rd</t>
  </si>
  <si>
    <t>OX19OX27 2001080 103 Cardigan StreetOX2 6BW</t>
  </si>
  <si>
    <t>OX19OX27 2000171 16 Hodges CourtOX1 4NY</t>
  </si>
  <si>
    <t>OX19OX27 2000418 28 Princes STOX4 1DD</t>
  </si>
  <si>
    <t>OX19OX27 2000422 15 Hodges Court OxfordOX1 4NY</t>
  </si>
  <si>
    <t>OX19OX16 213009</t>
  </si>
  <si>
    <t>OX20OX16 213031</t>
  </si>
  <si>
    <t>OX20OX27 2001347 187A Howard Street</t>
  </si>
  <si>
    <t>OX20OX27 2000280 65B St Mary´s Road</t>
  </si>
  <si>
    <t>OX20OX27 1904785 12 Sunningwell Rd OX1 4SX OX1 4SX</t>
  </si>
  <si>
    <t>P12 P2P accruals 2019/20, 8035955, MATCHTECH GROUP PLC</t>
  </si>
  <si>
    <t>14/01225/PREM</t>
  </si>
  <si>
    <t>15/01347/PREM</t>
  </si>
  <si>
    <t>12/01372/TRPREM</t>
  </si>
  <si>
    <t>05/00251/PREM</t>
  </si>
  <si>
    <t>05/00227/PREM</t>
  </si>
  <si>
    <t>OX19OX27 2001441 149 Morrell Avenue</t>
  </si>
  <si>
    <t>05/00231/PREM</t>
  </si>
  <si>
    <t>05/00235/PREM</t>
  </si>
  <si>
    <t>05/00238/PREM</t>
  </si>
  <si>
    <t>05/00239/PREM</t>
  </si>
  <si>
    <t>05/00247/PREM</t>
  </si>
  <si>
    <t>05/00249/PREM</t>
  </si>
  <si>
    <t>OX19OX27 2000183 3 James Street OxfordOX4 1ET</t>
  </si>
  <si>
    <t>05/00253/PREM</t>
  </si>
  <si>
    <t>05/00226/PREM</t>
  </si>
  <si>
    <t>19/02013/TRPREM</t>
  </si>
  <si>
    <t>16/02636/PREM</t>
  </si>
  <si>
    <t>OX19OX27 1905320 14 Girdlestone Road Oxford HeadingtonOX3 7</t>
  </si>
  <si>
    <t>OX19OX27 1905322 47 Gipsy LaneOX3 7PT</t>
  </si>
  <si>
    <t>OX19OX27 2000201 32 Canal StreetOX2 6BH</t>
  </si>
  <si>
    <t>OX20OX27 2001245 48 Bailey Road</t>
  </si>
  <si>
    <t>19/01458/PREM</t>
  </si>
  <si>
    <t>14/00866/PREM</t>
  </si>
  <si>
    <t>15/05353/PREM</t>
  </si>
  <si>
    <t>05/00404/PREM</t>
  </si>
  <si>
    <t>14/04130/TRPREM</t>
  </si>
  <si>
    <t>05/00406/PREM</t>
  </si>
  <si>
    <t>06/00650/TRPREM</t>
  </si>
  <si>
    <t>OX20OX27 1905403 17 Tilehouse Close, OxfordOX3 8AU</t>
  </si>
  <si>
    <t>OX20OX27 2000071 20 Windmill Road</t>
  </si>
  <si>
    <t>OX20OX27 2000456 12 Yeats Close</t>
  </si>
  <si>
    <t>OX20OX27 2001182 347 Cowley Road</t>
  </si>
  <si>
    <t>OX19OX27 2001171 47 Walton StOX2 6AD</t>
  </si>
  <si>
    <t>OX20OX27 2000430 80 Valentia Road</t>
  </si>
  <si>
    <t>OX20OX27 2000428 13 Minster Road</t>
  </si>
  <si>
    <t>OX20OX27 2000801 28 Palmer Road, Headington, OxfordOX3 8QE</t>
  </si>
  <si>
    <t>OX20OX27 1905397 138A Magdalen rd</t>
  </si>
  <si>
    <t>OX19OX27 2001106 61 Venneit CloseOX1 1HY</t>
  </si>
  <si>
    <t>OX20OX27 2000231 4 Outram road</t>
  </si>
  <si>
    <t>OX19OX17 08/00689/mulsp</t>
  </si>
  <si>
    <t>OX20OX27 1905080 34 Trafford Road, Headington, OxfordOX3 8B</t>
  </si>
  <si>
    <t>OX19OX27 1905077 26 Fairacres RdOX4 1TF</t>
  </si>
  <si>
    <t>16/01575/PREM</t>
  </si>
  <si>
    <t>OX19OX27 1905088 1a RoundwayOX3 8DH</t>
  </si>
  <si>
    <t>OX19OX27 2001477 12 Gwyneth Road</t>
  </si>
  <si>
    <t>OX20OX27 2001528 31 Middle Way</t>
  </si>
  <si>
    <t>OX20OX16 213021</t>
  </si>
  <si>
    <t>OX19OX27 2000649 10 Elton Close</t>
  </si>
  <si>
    <t>OX19OX27 2000650 14 Elton Close</t>
  </si>
  <si>
    <t>OX19OX27 1904124 80 Donnington Bridge RoadOX4 4AY</t>
  </si>
  <si>
    <t>OX19OX27 2000169 Second Floor Flat B 47 - 48 St John Street</t>
  </si>
  <si>
    <t>OX19OX27 2001475 2 Kelburne Road</t>
  </si>
  <si>
    <t>OX05OX16 DCLG LETTING AGENTS TRASNPARENCY &amp; REDRESS</t>
  </si>
  <si>
    <t>OX20OX27 2000877 34 st michaels street oxford OX1 2EBOX1 2E</t>
  </si>
  <si>
    <t>OX20OX27 2000883 2 Comfrey RoadOX4 6SP</t>
  </si>
  <si>
    <t>OX20OX16 Personal Licence</t>
  </si>
  <si>
    <t>OX20OX17 20/00356/DEXFP</t>
  </si>
  <si>
    <t>OX19OX27 2000755 Ground Floor Flat</t>
  </si>
  <si>
    <t>OX19OX27 2000237 156 Fernhill Road</t>
  </si>
  <si>
    <t>OX19OX27 2000592 5-8 Pembroke Street, Oxford, OX1 1BPOX1 1B</t>
  </si>
  <si>
    <t>OX19OX27 2001083 Flat 2 92 Botley Road OxfordOX2 0BW</t>
  </si>
  <si>
    <t>OX19OX27 2000655 11 Pembroke Street, Oxford, OX1 1BPOX1 1BP</t>
  </si>
  <si>
    <t>OX20OX16 20/01134/hmolic</t>
  </si>
  <si>
    <t>OX19OX27 2001103 1 Tyndale RoadOX4 1JL</t>
  </si>
  <si>
    <t>OX19OX27 2001105 46 James Street OxfordOX4 1ET</t>
  </si>
  <si>
    <t>OX19OX27 2001104 28 Boulter Street Oxford OX4 1AX</t>
  </si>
  <si>
    <t>10/00381/PREM</t>
  </si>
  <si>
    <t>10/00348/PREM</t>
  </si>
  <si>
    <t>OX19OX27 2000214 17 Ablett CloseOX4 1XH</t>
  </si>
  <si>
    <t>14/01173/PREM</t>
  </si>
  <si>
    <t>07/00480/PREM</t>
  </si>
  <si>
    <t>OX19OX16 213018</t>
  </si>
  <si>
    <t>18/01396/PREM</t>
  </si>
  <si>
    <t>19/01689/PREM</t>
  </si>
  <si>
    <t>17/01628/PREM</t>
  </si>
  <si>
    <t>15/01094/PREM</t>
  </si>
  <si>
    <t>19/01163/PREM</t>
  </si>
  <si>
    <t>OX19OX16 213020</t>
  </si>
  <si>
    <t>16/01648/PREM</t>
  </si>
  <si>
    <t>17/01535/PREM</t>
  </si>
  <si>
    <t>05/00299/PREM</t>
  </si>
  <si>
    <t>13/00927/PREM</t>
  </si>
  <si>
    <t>15/00102/TRPREM</t>
  </si>
  <si>
    <t>16/00894/PREM</t>
  </si>
  <si>
    <t>05/00420/PREM</t>
  </si>
  <si>
    <t>OX20OX16 20/01421/hmolic</t>
  </si>
  <si>
    <t>reverse 10347980 PO 8038330 not required</t>
  </si>
  <si>
    <t>OX20OX16 212005</t>
  </si>
  <si>
    <t>07/00355/PREM</t>
  </si>
  <si>
    <t>17/00064/TRPREM</t>
  </si>
  <si>
    <t>14/00850/PREM</t>
  </si>
  <si>
    <t>OX20OX27 2000702 4 Cricket Road</t>
  </si>
  <si>
    <t>P12 P2P accruals 2019/20, 8031988, TAMESIDE MBC</t>
  </si>
  <si>
    <t>20/00866/MVPREM</t>
  </si>
  <si>
    <t>OX20OX17 20/00350/DEXFP</t>
  </si>
  <si>
    <t>OX19OX27 2001166 9 Marlborough Road OxfordOX1 4LW</t>
  </si>
  <si>
    <t>OX19OX27 2000061 36 Regent Street OxfordOX4 1QX</t>
  </si>
  <si>
    <t>OX19OX27 2000351 104 Cricket Road OxfordOX4 3DJ</t>
  </si>
  <si>
    <t>11/00646/TRPREM</t>
  </si>
  <si>
    <t>15/05050/PREM</t>
  </si>
  <si>
    <t>12/01478/PREM</t>
  </si>
  <si>
    <t>17/02094/PREM</t>
  </si>
  <si>
    <t>06/01235/TRPREM</t>
  </si>
  <si>
    <t>08/00289/PREM</t>
  </si>
  <si>
    <t>D3416</t>
  </si>
  <si>
    <t>P12 P2P accruals 2019/20, 8028560, HM COURTS AND TRIBUNALS</t>
  </si>
  <si>
    <t>17/01623/GAMPMT</t>
  </si>
  <si>
    <t>17/01162/PREM</t>
  </si>
  <si>
    <t>16/01583/MVPREM</t>
  </si>
  <si>
    <t>05/00337/CLUB</t>
  </si>
  <si>
    <t>OX19OX27 2000420 5 Wilson Place Cave Street OxfordOX4 1AF</t>
  </si>
  <si>
    <t>OX19OX27 2001437 35 Bartlemas Road, OxfordOX4 1XU</t>
  </si>
  <si>
    <t>OX19OX27 2001455 217g Cowley Road</t>
  </si>
  <si>
    <t>05/00350/PREM</t>
  </si>
  <si>
    <t>16/05938/MVPREM</t>
  </si>
  <si>
    <t>14/02382/MVPREM</t>
  </si>
  <si>
    <t>17/01230/PREM</t>
  </si>
  <si>
    <t>10/00244/PREM</t>
  </si>
  <si>
    <t>07/00393/PREM</t>
  </si>
  <si>
    <t>OX19OX27 2000059 20 Belvedere Road OxfordOX4 2AZ</t>
  </si>
  <si>
    <t>OX20OX16 2000863</t>
  </si>
  <si>
    <t>OX20OX27 2001446 60 LIME WALK HEADINGTON OXFORD OX3 7AEOX3</t>
  </si>
  <si>
    <t>13/02626/TRPREM</t>
  </si>
  <si>
    <t>OX19OX27 2000751 473 Marston Road</t>
  </si>
  <si>
    <t>10/00120/GAMPRM</t>
  </si>
  <si>
    <t>OX20OX27 2000413 60 Cherwell Drive, Oxford OX3 0LZ.OX3 0LZ</t>
  </si>
  <si>
    <t>P12 P2P accruals 2019/20, 8033495, INSTITUTE OF LICENSING (EVENTS) LTD</t>
  </si>
  <si>
    <t>11/00657/TRPREM</t>
  </si>
  <si>
    <t>17/00926/PREM</t>
  </si>
  <si>
    <t>05/00260/CLUB</t>
  </si>
  <si>
    <t>18/01025/PREM</t>
  </si>
  <si>
    <t>P12 P2P accruals 2019/20, 8030263, ASELFORD PLUMBING &amp; HEATING</t>
  </si>
  <si>
    <t>P12 P2P accruals 2019/20, 8031845, OXFORD BUS COMPANY LTD</t>
  </si>
  <si>
    <t>17/00160/GAMPRM</t>
  </si>
  <si>
    <t>P12 P2P accruals 2019/20, 8027514, ASELFORD PLUMBING &amp; HEATING</t>
  </si>
  <si>
    <t>P12 P2P accruals 2019/20, 8039226, TREMARK ASSOCIATES LIMITED</t>
  </si>
  <si>
    <t>P12 P2P accruals 2019/20, 8027797, ASELFORD PLUMBING &amp; HEATING</t>
  </si>
  <si>
    <t>13/00666/PREM</t>
  </si>
  <si>
    <t>P12 P2P accruals 2019/20, 8038711, OXFORD DIRECT SERVICES TRADING LTD</t>
  </si>
  <si>
    <t>18/01088/PREM</t>
  </si>
  <si>
    <t>17/00822/PREM</t>
  </si>
  <si>
    <t>P12 P2P accruals 2019/20, 8033746, OSBORNE RICHARDSON LTD</t>
  </si>
  <si>
    <t>OX20OX27 1905400 49 Dene rd</t>
  </si>
  <si>
    <t>OX20OX16 214014</t>
  </si>
  <si>
    <t>OX20OX16 212008</t>
  </si>
  <si>
    <t>OX20OX27 2000499 331 Marston Road, OxfordOX3 0EP</t>
  </si>
  <si>
    <t>OX20OX27 2000375 6 JUNIPER DRIVE</t>
  </si>
  <si>
    <t>OX05OX16 20/00341/REVERT BLDCTRL 22PARKER ST</t>
  </si>
  <si>
    <t>OX20OX17 44 Van Diemans Lane</t>
  </si>
  <si>
    <t>OX20OX16 214010</t>
  </si>
  <si>
    <t>13/00878/GAMPMT</t>
  </si>
  <si>
    <t>OX20OX16 214013</t>
  </si>
  <si>
    <t>ED06</t>
  </si>
  <si>
    <t>P12 P2P accruals 2019/20, 8038975, SANDRA HOMEWOOD FUNERALS LTD</t>
  </si>
  <si>
    <t>07/00309/PREM</t>
  </si>
  <si>
    <t>06/00128/TRPREM</t>
  </si>
  <si>
    <t>P12 P2P accruals 2019/20, 8026428, ASELFORD PLUMBING &amp; HEATING</t>
  </si>
  <si>
    <t>13/00956/MVPREM</t>
  </si>
  <si>
    <t>P12 P2P accruals 2019/20, 8036612, ARCO LTD</t>
  </si>
  <si>
    <t>13/00821/PREM</t>
  </si>
  <si>
    <t>OX05OX16 17/01623/GAMPMT - Prince of Wales</t>
  </si>
  <si>
    <t>OX20OX27 2000536 10 Valentia RoadOX3 7PL</t>
  </si>
  <si>
    <t>OX20OX27 2000565 58 Abbey Road</t>
  </si>
  <si>
    <t>OX19OX16 211005</t>
  </si>
  <si>
    <t>OX20OX27 2001378 4 Cardwell Crescent</t>
  </si>
  <si>
    <t>OX20OX27 2000544 Fernhill Hall</t>
  </si>
  <si>
    <t>OX20OX27 2000895 66 Valentia RoadOX3 7PW</t>
  </si>
  <si>
    <t>OX20OX16 213015</t>
  </si>
  <si>
    <t>OX19OX27 2000204 12 Oliver RoadOX4 2JE</t>
  </si>
  <si>
    <t>OX20OX27 2001346 31 Horspath Road, OxfordOX4 2QL</t>
  </si>
  <si>
    <t>OX20OX27 2001290 3 Chapel Street</t>
  </si>
  <si>
    <t>OX19OX27 2001439 41C New High Street</t>
  </si>
  <si>
    <t>OX19OX27 2000731 72 Swinburne Road</t>
  </si>
  <si>
    <t>OX20OX27 2000803 25 Wharton Road</t>
  </si>
  <si>
    <t>OX20OX16 211006</t>
  </si>
  <si>
    <t>OX20OX27 2001324 420 Cowley Road</t>
  </si>
  <si>
    <t>OX20OX27 2000486 27 Hendred StreetOX4 2EE</t>
  </si>
  <si>
    <t>OX05OX16 GA NEW APP - Our Ref: EGH/LIC/36222 - WIG &amp; PEN</t>
  </si>
  <si>
    <t>OX20OX27 1905399 109 fern hill rd oxfordOx42jr</t>
  </si>
  <si>
    <t>OX20OX27 2000571 6 Kenilworth AvenueOX4 2AN</t>
  </si>
  <si>
    <t>OX20OX27 2000975 24 hurst StreetOx4 1HB</t>
  </si>
  <si>
    <t>OX20OX16 214011</t>
  </si>
  <si>
    <t>OX20OX16 213012</t>
  </si>
  <si>
    <t>OX20OX27 2000472 25 Cleveland DriveOX4 3HA</t>
  </si>
  <si>
    <t>OX19OX17 20/00335/DEXFP</t>
  </si>
  <si>
    <t>OX19OX17 20/00339/OTHFPC</t>
  </si>
  <si>
    <t>Reversal of 51335301 Duplicated Charges</t>
  </si>
  <si>
    <t>14/01485/GAMPMT</t>
  </si>
  <si>
    <t>17/01410/PREM</t>
  </si>
  <si>
    <t>REG. SERVICES &amp; COMMUNITY SAFETY</t>
  </si>
  <si>
    <t>OX20OX16 214009</t>
  </si>
  <si>
    <t>OX19OX27 2000607 27 Fern Hill Road</t>
  </si>
  <si>
    <t>OX19OX27 2000652 7 Troy Close</t>
  </si>
  <si>
    <t>OX20OX27 2001436 11 Masons Road OX3 8QL</t>
  </si>
  <si>
    <t>OX20OX27 2001425 30 Cricket RoadOX4 3DG</t>
  </si>
  <si>
    <t>Keysafe  Stock as at 31/03/2020</t>
  </si>
  <si>
    <t>OX20OX16 PER AMENDMENT</t>
  </si>
  <si>
    <t>P12 P2P accruals 2019/20, 8028559, HM COURTS AND TRIBUNALS</t>
  </si>
  <si>
    <t>12/01695/PREM</t>
  </si>
  <si>
    <t>06/00463/PREM</t>
  </si>
  <si>
    <t>OX19OX27 2000416 24 Hart Street</t>
  </si>
  <si>
    <t>Flat 22 Alison Clay House   HIA fees Apr 20</t>
  </si>
  <si>
    <t>OX19OX27 2001164 83 James Street OxfordOX4 1EX</t>
  </si>
  <si>
    <t>OX19OX27 2001168 Flat 3 Jean Marguerite Court 6 Brook Stree</t>
  </si>
  <si>
    <t>OX19OX27 2001167 92C Cowley Road OxfordOX4 1JB</t>
  </si>
  <si>
    <t>Reversal of 51334039</t>
  </si>
  <si>
    <t>10 Thistle Drive HA04 Financial Penalty</t>
  </si>
  <si>
    <t>OX19OX27 2001105 46 James StOX4 1ET</t>
  </si>
  <si>
    <t>OX19OX27 2001167 92c Cowley RoadOX4 1JE</t>
  </si>
  <si>
    <t>OX20OX16 214008</t>
  </si>
  <si>
    <t>OX19OX27 2001168 3 Jean Margurite Court</t>
  </si>
  <si>
    <t>07/00391/PREM</t>
  </si>
  <si>
    <t>OX19OX27 2001272 41 WARWICK STREET</t>
  </si>
  <si>
    <t>OX19OX27 2000648 6 Troy Close</t>
  </si>
  <si>
    <t>OX19OX17 20/00287/DEXFP</t>
  </si>
  <si>
    <t>OX19OX27 2000664 17 Charles Street</t>
  </si>
  <si>
    <t>OX20OX27 2000346 1,Horwood Close,</t>
  </si>
  <si>
    <t>OX20OX16 214012</t>
  </si>
  <si>
    <t>OX20OX27 2000879 428 Cowley RoadOX4 2BX</t>
  </si>
  <si>
    <t>OX20OX27 2000775 87 Ridgefield RoadOX4 3BY</t>
  </si>
  <si>
    <t>OX20OX27 2000671 47 St Leonards RoadOX3 8AD</t>
  </si>
  <si>
    <t>OX20OX27 2001289 128 Hurst Street,</t>
  </si>
  <si>
    <t>OX20OX27 2001222 16 Ridgefield RoadOX4 3BT</t>
  </si>
  <si>
    <t>OX20OX27 2001223 43 Ridgefield RoadOX4 3BU</t>
  </si>
  <si>
    <t>OX20OX27 2001360 327 Cowley RoadOx4 2AQ</t>
  </si>
  <si>
    <t>OX20OX27 2001361 291b Iffley RoadOX4 4AQ</t>
  </si>
  <si>
    <t>OX20OX27 2000964 47 Swinburne Roadox4 4BE</t>
  </si>
  <si>
    <t>OX20OX27 2001407 83 St Marys RoadOX4 1QD</t>
  </si>
  <si>
    <t>OX20OX27 2001424 42 Littlemore RoadOX4 3SU</t>
  </si>
  <si>
    <t>19/01842/PREM</t>
  </si>
  <si>
    <t>KN13</t>
  </si>
  <si>
    <t>P12 P2P accruals 2019/20, 8036206, CLEAR CHANNEL UK LTD</t>
  </si>
  <si>
    <t>OX19OX27 2000211 40A Lake Street</t>
  </si>
  <si>
    <t>OX19OX27 2001181 74 Venneit Close</t>
  </si>
  <si>
    <t>P12 P2P accruals 2019/20, 8026758, COMMUNITY ACTION DACORUM/DCVS</t>
  </si>
  <si>
    <t>OX19OX27 2000774 49 Napier Road</t>
  </si>
  <si>
    <t>OX20OX27 2001257 5 BELVEDERE ROAD OXFORDOX42AZ</t>
  </si>
  <si>
    <t>OX20OX27 2000572 6b Rectory Road</t>
  </si>
  <si>
    <t>OX20OX27 2000663 17 Haynes roadox30se</t>
  </si>
  <si>
    <t>OX19OX27 2000745 7 Oxford Rd</t>
  </si>
  <si>
    <t>OX20OX27 1904944 11 Regent Street</t>
  </si>
  <si>
    <t>OX20OX27 2000282 135 Windmill Road</t>
  </si>
  <si>
    <t>OX19OX27 2000074 57 Rectory Road Oxford Oxfordshire OX4 1BW</t>
  </si>
  <si>
    <t>OX19OX27 2001321 98 East Avenue</t>
  </si>
  <si>
    <t>OX19OX27 2001187 47 Venneit CloseOX2 6AD</t>
  </si>
  <si>
    <t>OX19OX27 2001174 22 Venneit CloseOX1 1HZ</t>
  </si>
  <si>
    <t>OX20OX27 2001294 37 Thames View Road</t>
  </si>
  <si>
    <t>P12 P2P accruals 2019/20, 8031315, TAMESIDE MBC</t>
  </si>
  <si>
    <t>OX20OX27 2001129 5 edgeway road</t>
  </si>
  <si>
    <t>OX19OX27 2001327 184 Headley Way</t>
  </si>
  <si>
    <t>P12 P2P accruals 2019/20, 8036369, POSTURITE LTD</t>
  </si>
  <si>
    <t>OX19OX27 2000218 20 Jeune Street Oxford Oxfordshire OX4 1BN</t>
  </si>
  <si>
    <t>OX19OX27 1905315 85 Hurst Street Oxford Oxfordshire OX4 1HA</t>
  </si>
  <si>
    <t>P12 P2P accruals 2019/20, 8028583, HM COURTS AND TRIBUNALS</t>
  </si>
  <si>
    <t>P12 P2P accruals 2019/20, 8030106, ASELFORD PLUMBING &amp; HEATING</t>
  </si>
  <si>
    <t>P12 P2P accruals 2019/20, 8025335, ASELFORD PLUMBING &amp; HEATING</t>
  </si>
  <si>
    <t>OX19OX27 2001173 37 Venneit CloseOX1 1HY</t>
  </si>
  <si>
    <t>P12 P2P accruals 2019/20, 8030733, OXFORDSHIRE COUNTY COUNCIL</t>
  </si>
  <si>
    <t>OX19OX27 2001323 15 Cardwell Crescent</t>
  </si>
  <si>
    <t>P12 P2P accruals 2019/20, 8028836, ASELFORD PLUMBING &amp; HEATING</t>
  </si>
  <si>
    <t>P12 P2P accruals 2019/20, 8037817, ARCO LTD</t>
  </si>
  <si>
    <t>P12 P2P accruals 2019/20, 8028604, ASELFORD PLUMBING &amp; HEATING</t>
  </si>
  <si>
    <t>P12 P2P accruals 2019/20, 8030090, SOUTHERN ELECTRIC POWER DISTRIBUTION PLC</t>
  </si>
  <si>
    <t>OX20OX27 2001114 92 Morrell Avenue,</t>
  </si>
  <si>
    <t>P12 P2P accruals 2019/20, 8027046, CLOSOMAT LTD</t>
  </si>
  <si>
    <t>OX19OX27 2000680 120 Old Road</t>
  </si>
  <si>
    <t>OX20OX16 213023</t>
  </si>
  <si>
    <t>P12 P2P accruals 2019/20, 8028045, HM COURTS AND TRIBUNALS</t>
  </si>
  <si>
    <t>Reversal of Credit Errors</t>
  </si>
  <si>
    <t>OX20OX16 213001</t>
  </si>
  <si>
    <t>OX20OX27 2000696 159 Harefields, Oxford, OX2 8NR</t>
  </si>
  <si>
    <t>OX19OX27 1905063 4 Thames Street Oxford Oxfordshire OX1 1TS</t>
  </si>
  <si>
    <t>OX20OX16 2001310</t>
  </si>
  <si>
    <t>OX19OX27 2001507 16 Old High Street,</t>
  </si>
  <si>
    <t>OX19OX27 2001524 56 Magdalen RoadOX4 1RB</t>
  </si>
  <si>
    <t>OX19OX27 2001522 59 St ClementsOX4 1aH</t>
  </si>
  <si>
    <t>OX19OX27 2000753 76 Chilswell Road</t>
  </si>
  <si>
    <t>OX19OX27 2000729 147 Headley Way</t>
  </si>
  <si>
    <t>OX19OX27 2001517 57 Grays Road</t>
  </si>
  <si>
    <t>OX19OX27 2000032 158 Kingston Road OxfordOX2 6RP</t>
  </si>
  <si>
    <t>OX20OX16 211001</t>
  </si>
  <si>
    <t>OX19OX27 2000089 64 Abingdon Road OxfordOX1 4PE</t>
  </si>
  <si>
    <t>OX19OX27 1905323 Flat 6 92 Botley Road OxfordOX2 0BW</t>
  </si>
  <si>
    <t>OX19OX27 2001501 9 Barrington Close</t>
  </si>
  <si>
    <t>OX19OX27 2001505 14 York Road</t>
  </si>
  <si>
    <t>OX20OX16 214017</t>
  </si>
  <si>
    <t>OX19OX27 2001185 25 East StreetOX20AU</t>
  </si>
  <si>
    <t>OX20OX27 2000887 55 Collinwood rd</t>
  </si>
  <si>
    <t>OX20OX27 2001127 42 Arlington drive</t>
  </si>
  <si>
    <t>OX19OX27 1904655 37 Jeune Street Oxford Oxfordshire OX4 1BN</t>
  </si>
  <si>
    <t>OX20OX27 2000823 119a Botley Road</t>
  </si>
  <si>
    <t>OX20OX27 2000176 4 Reliance Way</t>
  </si>
  <si>
    <t>OX20OX27 1905327 44 Marston Street</t>
  </si>
  <si>
    <t>P12 P2P accruals 2019/20, 8035586, WEST BAR VETERINARY HOSPITAL</t>
  </si>
  <si>
    <t>P12 P2P accruals 2019/20, 8027772, ATHEY &amp; MASON PLUMBING &amp; HEATING LTD</t>
  </si>
  <si>
    <t>OX19OX27 1905460 167 Hollow Way Cowley Oxford OX4 2NE</t>
  </si>
  <si>
    <t>P12 P2P accruals 2019/20, 8030549, ASELFORD PLUMBING &amp; HEATING</t>
  </si>
  <si>
    <t>OX19OX27 2001180 52 Reliance WayOX4 2FG</t>
  </si>
  <si>
    <t>OX19OX16 20/00919/HMOAD2</t>
  </si>
  <si>
    <t>P12 P2P accruals 2019/20, 8029942, ASELFORD PLUMBING &amp; HEATING</t>
  </si>
  <si>
    <t>TAXI MARSHALL 1&amp;2 QUARTERLY CHARGE FOR RADIO</t>
  </si>
  <si>
    <t>OX20OX27 2001351 15 Horwood CloseOX3 7RF</t>
  </si>
  <si>
    <t>P12 P2P accruals 2019/20, 8031465, NEWAUTO LTD</t>
  </si>
  <si>
    <t>P12 P2P accruals 2019/20, 8028612, FERRET INFORMATION SYSTEMS LTD</t>
  </si>
  <si>
    <t>P12 P2P accruals 2019/20, 8030261, GAS SERVICES</t>
  </si>
  <si>
    <t>P12 P2P accruals 2019/20, 8032245, ASTRAL PS LTD., T/A FOUNDATIONS</t>
  </si>
  <si>
    <t>P12 P2P accruals 2019/20, 8026584, FREECHOICE GROUP</t>
  </si>
  <si>
    <t>OX20OX16 20/01534/STREET</t>
  </si>
  <si>
    <t>OX20OX17 20/00363/DEXBN</t>
  </si>
  <si>
    <t>OX20OX27 2000090 4 Fairlie Road</t>
  </si>
  <si>
    <t>P12 P2P accruals 2019/20, 8031536, ASELFORD PLUMBING &amp; HEATING</t>
  </si>
  <si>
    <t>P12 P2P accruals 2019/20, 8028584, HM COURTS AND TRIBUNALS</t>
  </si>
  <si>
    <t>P12 P2P accruals 2019/20, 8032927, OXFORD DIRECT SERVICES TRADING LTD</t>
  </si>
  <si>
    <t>P12 P2P accruals 2019/20, 8034015, TAMESIDE MBC</t>
  </si>
  <si>
    <t>OX20OX27 2001308 27 Grays RoadOX3 7PZ</t>
  </si>
  <si>
    <t>OX20OX16 213025</t>
  </si>
  <si>
    <t>OX19OX27 2001109 51 WALTON CRESCENT</t>
  </si>
  <si>
    <t>OX19OX27 2000804 17 Fletcher Road</t>
  </si>
  <si>
    <t>OX20OX27 2000756 45 Southfield Road</t>
  </si>
  <si>
    <t>OX20OX16 213024</t>
  </si>
  <si>
    <t>OX20OX27 2000331 19 Bartlemas Road</t>
  </si>
  <si>
    <t>OX19OX27 2001247 14 Fair View, OxfordOX3 7EZ</t>
  </si>
  <si>
    <t>OX19OX27 2000367 30 Masons´ Road</t>
  </si>
  <si>
    <t>OX19OX27 2001481 3 Morris Crescent</t>
  </si>
  <si>
    <t>ED08</t>
  </si>
  <si>
    <t>P12 P2P accruals 2019/20, 8032875, JNE MARKETING LTD</t>
  </si>
  <si>
    <t>OX20OX27 2000573 5 New Cross Road</t>
  </si>
  <si>
    <t>P12 P2P accruals 2019/20, 8031619, SOUTH OXFORDSHIRE DISTRICT COUNCIL</t>
  </si>
  <si>
    <t>OX20OX27 2001408 125 Fern Hill Road, OxfordOX4 2JR</t>
  </si>
  <si>
    <t>SAFE - grant pymt for Blueprint Project</t>
  </si>
  <si>
    <t>P12 P2P accruals 2019/20, 8036370, POSTURITE LTD</t>
  </si>
  <si>
    <t>OX20OX27 2000547 69 Headley Way, Oxford,Ox3 7sr</t>
  </si>
  <si>
    <t>OX20OX27 2000945 6 Newton Road, Grandpont, OxfordOX1 4PT</t>
  </si>
  <si>
    <t>Oxford City Centre Ambassadors March 2020</t>
  </si>
  <si>
    <t>P12 P2P accruals 2019/20, 8032432, ARCO LTD</t>
  </si>
  <si>
    <t>OX05OX16 20/01051/HMOLIC R J P Building</t>
  </si>
  <si>
    <t>P12 P2P accruals 2019/20, 8032929, M-R-S COMMUNICATIONS LTD</t>
  </si>
  <si>
    <t>P12 P2P accruals 2019/20, 8028476, TAMESIDE MBC</t>
  </si>
  <si>
    <t>14/01707/TRPREM</t>
  </si>
  <si>
    <t>OX20OX27 2001457 27 Cavendish RoadOX27TN</t>
  </si>
  <si>
    <t>OX20OX27 2001054 165 Marlborough RoadOX1 4LY</t>
  </si>
  <si>
    <t>P12 P2P accruals 2019/20, 8028083, HM COURTS AND TRIBUNALS</t>
  </si>
  <si>
    <t>P12 P2P accruals 2019/20, 8033797, CANON (UK) lTD</t>
  </si>
  <si>
    <t>P12 P2P accruals 2019/20, 8032914, ASELFORD PLUMBING &amp; HEATING</t>
  </si>
  <si>
    <t>P12 P2P accruals 2019/20, 8029959, NEWAUTO LTD</t>
  </si>
  <si>
    <t>P12 P2P accruals 2019/20, 8029841, COVERGOLD LTD</t>
  </si>
  <si>
    <t>OX20OX27 2001529 15 Binswood Avenue</t>
  </si>
  <si>
    <t>OX19OX27 2001162 53 Venneit Close OxfordOX1 1HY</t>
  </si>
  <si>
    <t>OX20OX27 2001195 114A Walton Street, Oxford.OX2 6AJ</t>
  </si>
  <si>
    <t>OX20OX27 2000174 62 Reliance way</t>
  </si>
  <si>
    <t>OX20OX16 213022</t>
  </si>
  <si>
    <t>P12 P2P accruals 2019/20, 8027630, TAMESIDE MBC</t>
  </si>
  <si>
    <t>P12 P2P accruals 2019/20, 8037801, OXFORDSHIRE COUNTY COUNCIL</t>
  </si>
  <si>
    <t>OX19OX27 2001161 27 Venneit Close OxfordOX1 1HZ</t>
  </si>
  <si>
    <t>OX19OX27 2001163 76 East AvenueOX4 1XP</t>
  </si>
  <si>
    <t>KN03</t>
  </si>
  <si>
    <t>P12 P2P accruals 2019/20, 8032785, OXFORDSHIRE COUNTY COUNCIL</t>
  </si>
  <si>
    <t>P12 P2P accruals 2019/20, 8036889, CLEAR CHANNEL UK LTD</t>
  </si>
  <si>
    <t>OX19OX27 2001088 103 gipsy laneOX3 7pu</t>
  </si>
  <si>
    <t>P12 P2P accruals 2019/20, 8026323, ARCO LTD</t>
  </si>
  <si>
    <t>P12 P2P accruals 2019/20, 8027686, FERRET INFORMATION SYSTEMS LTD</t>
  </si>
  <si>
    <t>OX20OX27 2001289 38 Southfield Road</t>
  </si>
  <si>
    <t>MR IAN STEEL SMITH</t>
  </si>
  <si>
    <t>OX20OX27 2000248 69 Howard StreetOX4 3AY</t>
  </si>
  <si>
    <t>A0646</t>
  </si>
  <si>
    <t>P12 P2P accruals 2019/20, 8029091, ROYAL SOCIETY FOR PUBLIC HEALTH</t>
  </si>
  <si>
    <t>P12 P2P accruals 2019/20, 8037320, ACTIVATE LEARNING</t>
  </si>
  <si>
    <t>P12 P2P accruals 2019/20, 8038899, ROYAL SOCIETY FOR PUBLIC HEALTH</t>
  </si>
  <si>
    <t>A0113</t>
  </si>
  <si>
    <t>A0634</t>
  </si>
  <si>
    <t>Quantity Description Unit Price Unit VAT Total - Lucy Longford 09/07/2020</t>
  </si>
  <si>
    <t>ED28</t>
  </si>
  <si>
    <t>P12 P2P accruals 2019/20, 8038329, REDUCING THE RISK OF DOMESTIC ABUSE</t>
  </si>
  <si>
    <t>A0702</t>
  </si>
  <si>
    <t>P12 P2P accruals 2019/20, 8033744, SYON MEDIA LTD</t>
  </si>
  <si>
    <t>P12 Broughton A (Reed)</t>
  </si>
  <si>
    <t>P12 Kane J (Reed)</t>
  </si>
  <si>
    <t>P1 Kane J (Reed)</t>
  </si>
  <si>
    <t>P1 Broughton A (Reed)</t>
  </si>
  <si>
    <t>P12 P2P accruals 2019/20, 8030661, CHARTERED INSTITUTE OF ENVIRONMENTAL HEALTH</t>
  </si>
  <si>
    <t>P1 Brewer P (Reed)</t>
  </si>
  <si>
    <t>P1 Sall L (Reed)</t>
  </si>
  <si>
    <t>P12 Brewer P (Reed)</t>
  </si>
  <si>
    <t>P12 Hume C (Reed)</t>
  </si>
  <si>
    <t>P12 Lateckova A (Reed)</t>
  </si>
  <si>
    <t>P12 Dietz M (Reed)</t>
  </si>
  <si>
    <t>P1 Lateckova A (Reed)</t>
  </si>
  <si>
    <t>P12 John D (Reed)</t>
  </si>
  <si>
    <t>P12 Sall L (Reed)</t>
  </si>
  <si>
    <t>P1 John D (Reed)</t>
  </si>
  <si>
    <t>S16</t>
  </si>
  <si>
    <t>HA04</t>
  </si>
  <si>
    <t>Oxfordshire Gypsy and Traveller Accommodation Assessment</t>
  </si>
  <si>
    <t>HK11</t>
  </si>
  <si>
    <t>1342257 Oxford Times , Legal/Public Notices , Display, SCC , 32 x 2 - planning notice</t>
  </si>
  <si>
    <t>HK12</t>
  </si>
  <si>
    <t>Oxford Times , Legal/Public Notices , Display, SCC , 19 x 2 ref 1341654</t>
  </si>
  <si>
    <t>TMP REF 1339324</t>
  </si>
  <si>
    <t>HA19</t>
  </si>
  <si>
    <t>HJ11</t>
  </si>
  <si>
    <t>OX05OX16 PP08611877</t>
  </si>
  <si>
    <t>RIA - MHCLG review, revision and republishing of the brownfield land register in accordance with the new data standards</t>
  </si>
  <si>
    <t>OX05OX16 PP08655734</t>
  </si>
  <si>
    <t>RIA - MHCLG – Custom Build Grant</t>
  </si>
  <si>
    <t>OX20OX16 20/00021/conver</t>
  </si>
  <si>
    <t>S16C</t>
  </si>
  <si>
    <t>HL11</t>
  </si>
  <si>
    <t>OX19OX19 Online reference:EOXF00003775-Cost:30.82-Submitted</t>
  </si>
  <si>
    <t>OX20OX16 17/00017/newBu1</t>
  </si>
  <si>
    <t>Planning Income - major works not completed</t>
  </si>
  <si>
    <t>JSSP Contribution 2019-20</t>
  </si>
  <si>
    <t>OX20OX19 Online reference:EOXF00003769-Cost:37.00-Submitted</t>
  </si>
  <si>
    <t>OX20OX19 Online reference:EOXF00003768-Cost:37.00-Submitted</t>
  </si>
  <si>
    <t>HJ12</t>
  </si>
  <si>
    <t>ODRP DR II Tinbergen</t>
  </si>
  <si>
    <t>West Oxon  - staff costs</t>
  </si>
  <si>
    <t>OX20OX19 Online reference:EOXF00003735-Cost:247.00-Submitte</t>
  </si>
  <si>
    <t>Boundary Review &amp; Stakeholder Workshop 14/2/19</t>
  </si>
  <si>
    <t>OX20OX16 20/00871/FUL</t>
  </si>
  <si>
    <t>OX05OX16 PP08599500</t>
  </si>
  <si>
    <t>OCC CIL Examination</t>
  </si>
  <si>
    <t>2019/20 Planning Inspectorate - Oxford Local Plan</t>
  </si>
  <si>
    <t>OX19OX19 Online reference:EOXF00003790-Cost:196.60-Submitte</t>
  </si>
  <si>
    <t>OX05OX16 HUB DAILY -06042020</t>
  </si>
  <si>
    <t>OX20OX19 Online reference:EOXF00003787-Cost:196.60-Submitte</t>
  </si>
  <si>
    <t>OX05OX16 PP08460264</t>
  </si>
  <si>
    <t>OX05OX16 K9511HL11-16042020</t>
  </si>
  <si>
    <t>OX05OX16 PP08657363</t>
  </si>
  <si>
    <t>OX05OX16 PP08667863</t>
  </si>
  <si>
    <t>OX05OX16 PP08657021</t>
  </si>
  <si>
    <t>OX19OX19 Online reference:EOXF00003772-Cost:7.00-Submitted</t>
  </si>
  <si>
    <t>OX05OX16 PP08637796</t>
  </si>
  <si>
    <t>OX05OX16 PP08634717</t>
  </si>
  <si>
    <t>OX20OX19 Online reference:EOXF00003771-Cost:37.00-Submitted</t>
  </si>
  <si>
    <t>OX20OX19 Online reference:EOXF00003788-Cost:460.30-Submitte</t>
  </si>
  <si>
    <t>HER Data Hertford College</t>
  </si>
  <si>
    <t>OX05OX16 PP08634029</t>
  </si>
  <si>
    <t>OX05OX16 PP08654947</t>
  </si>
  <si>
    <t>OX05OX16 PP08666545</t>
  </si>
  <si>
    <t>OX05OX16 PP08604197</t>
  </si>
  <si>
    <t>OX05OX16 PP08654419</t>
  </si>
  <si>
    <t>OX05OX16 PP08650360</t>
  </si>
  <si>
    <t>OX05OX16 PP08529273</t>
  </si>
  <si>
    <t>OX05OX16 PP08656287</t>
  </si>
  <si>
    <t>OX05OX16 PP08664521</t>
  </si>
  <si>
    <t>OX05OX16 PP08671444</t>
  </si>
  <si>
    <t>OX19OX19 Online reference:EOXF00003773-Cost:7.00-Submitted</t>
  </si>
  <si>
    <t>RIA - NEIGHBOURHOOD PLANNING FOR LPA</t>
  </si>
  <si>
    <t>OX19OX18 Site East Of The Jurys Inn</t>
  </si>
  <si>
    <t>OX05OX16 PP08649744</t>
  </si>
  <si>
    <t>OX20OX19 Online reference:EOXF00003751-Cost:247.00-Submitte</t>
  </si>
  <si>
    <t>OX19OX19 Online reference:EOXF00003785-Cost:7.00-Submitted</t>
  </si>
  <si>
    <t>P12 P2P accruals 2019/20, 8035711, POSTURITE LTD</t>
  </si>
  <si>
    <t>OX05OX16 19/00294/CND</t>
  </si>
  <si>
    <t>OX05OX16 PP08650702</t>
  </si>
  <si>
    <t>OX19OX19 Online reference:EOXF00003784-Cost:7.00-Submitted</t>
  </si>
  <si>
    <t>OX19OX19 Online reference:EOXF00003783-Cost:7.00-Submitted</t>
  </si>
  <si>
    <t>OX20OX19 Online reference:EOXF00003740-Cost:247.00-Submitte</t>
  </si>
  <si>
    <t>Room Hire Barton Neighbourhood Centre 110719</t>
  </si>
  <si>
    <t>OX20OX19 Online reference:EOXF00003742-Cost:247.00-Submitte</t>
  </si>
  <si>
    <t>OX20OX19 Online reference:EOXF00003739-Cost:247.00-Submitte</t>
  </si>
  <si>
    <t>P12 P2P accruals 2019/20, 8030655, WHITE LAND STRATEGIES LTD</t>
  </si>
  <si>
    <t>PP-08459345 Luxottica UK Retail LTD</t>
  </si>
  <si>
    <t>PP-08477502 Barclays Plc</t>
  </si>
  <si>
    <t>PP-08499218 Mr Guy Manners</t>
  </si>
  <si>
    <t>OX05OX16 PP08642754</t>
  </si>
  <si>
    <t>OX05OX16 PP08638200</t>
  </si>
  <si>
    <t>OX05OX16 PP08651967</t>
  </si>
  <si>
    <t>OX05OX16 PP08340853</t>
  </si>
  <si>
    <t>OX05OX16 PP08565003</t>
  </si>
  <si>
    <t>OX19OX16 20/00957/PAC</t>
  </si>
  <si>
    <t>OX19OX19 Online reference:EOXF00003782-Cost:298.00-Submitte</t>
  </si>
  <si>
    <t>OX05OX16 PP08650558</t>
  </si>
  <si>
    <t>OX05OX16 PP08618514</t>
  </si>
  <si>
    <t>OX05OX16 PP08642032</t>
  </si>
  <si>
    <t>OX05OX16 PP08653489</t>
  </si>
  <si>
    <t>HA01</t>
  </si>
  <si>
    <t>Reversal of 51357619</t>
  </si>
  <si>
    <t>OX05OX16 PP08633654</t>
  </si>
  <si>
    <t>OX05OX16 PP08584981</t>
  </si>
  <si>
    <t>ODRP Workshop Boswells 30/04</t>
  </si>
  <si>
    <t>OX05OX16 PP08654770</t>
  </si>
  <si>
    <t>OX05OX16 PP08656742</t>
  </si>
  <si>
    <t>OX05OX16 PP08632876</t>
  </si>
  <si>
    <t>OX05OX16 PP08622352</t>
  </si>
  <si>
    <t>OX05OX16 PP08593341</t>
  </si>
  <si>
    <t>OX05OX16 PP08653382</t>
  </si>
  <si>
    <t>OX05OX16 PP08659986</t>
  </si>
  <si>
    <t>OX05OX16 PP08661371</t>
  </si>
  <si>
    <t>OX05OX16 TPO - 96/00004/S - 42 Grandpont Place</t>
  </si>
  <si>
    <t>OX20OX18 20/00889/FUL</t>
  </si>
  <si>
    <t>OX19OX19 Online reference:EOXF00003730-Cost:7.00-Submitted</t>
  </si>
  <si>
    <t>OX05OX16 PP08652997</t>
  </si>
  <si>
    <t>OX05OX16 PP08652455</t>
  </si>
  <si>
    <t>OX05OX16 PP08646123</t>
  </si>
  <si>
    <t>OX05OX16 HUB DAILY -15042020</t>
  </si>
  <si>
    <t>OX09OX16 RE SERVICE PROVIDED BY HOUSING</t>
  </si>
  <si>
    <t>OX20OX16 20/00582/FUL</t>
  </si>
  <si>
    <t>Reversal of 51365092</t>
  </si>
  <si>
    <t>P12 P2P accruals 2019/20, 8036480, THE KING´S CENTRE</t>
  </si>
  <si>
    <t>OX19OX18 20/00876/H42</t>
  </si>
  <si>
    <t>K9151</t>
  </si>
  <si>
    <t>Growth Deal Funding - Oxpens / Osney Bridge</t>
  </si>
  <si>
    <t>P12 P2P accruals 2019/20, 8037611, ST ALDATES PCC</t>
  </si>
  <si>
    <t>OX19OX16 20/01025/PAC</t>
  </si>
  <si>
    <t>P12 P2P accruals 2019/20, 8034484, GVA Grimley Ltd., t/a Avison Young</t>
  </si>
  <si>
    <t>P12 P2P accruals 2019/20, 8039242, COMMUNITY FIRST OXFORDSHIRE</t>
  </si>
  <si>
    <t>P12 P2P accruals 2019/20, 8033472, TOWN &amp; COUNTRY PLANNING ASSOCI</t>
  </si>
  <si>
    <t>P12 P2P accruals 2019/20, 8035018, JEREMY BENN ASSOCIATES LTD t/a JBA CONSULTING</t>
  </si>
  <si>
    <t>P12 P2P accruals 2019/20, 8036479, CITY AUDIO VISUAL</t>
  </si>
  <si>
    <t>P12 P2P accruals 2019/20, 8038467, OXFORDSHIRE COUNTY COUNCIL</t>
  </si>
  <si>
    <t>P12 P2P accruals 2019/20, 8038680, Francis Taylor Building</t>
  </si>
  <si>
    <t>OX05OX16 PP08674712</t>
  </si>
  <si>
    <t>JEFF BETHRAY PP-08584720</t>
  </si>
  <si>
    <t>OX05OX16 PP08644390</t>
  </si>
  <si>
    <t>OX05OX16 PP08644116</t>
  </si>
  <si>
    <t>OX05OX16 PP08644835</t>
  </si>
  <si>
    <t>OX05OX16 PP08643121</t>
  </si>
  <si>
    <t>OX05OX16 PP08644690</t>
  </si>
  <si>
    <t>OX05OX16 PP08645929</t>
  </si>
  <si>
    <t>OX05OX16 PP08646040</t>
  </si>
  <si>
    <t>OX05OX16 PP08647508</t>
  </si>
  <si>
    <t>OX20OX19 Online reference:EOXF00003780-Cost:42.49-Submitted</t>
  </si>
  <si>
    <t>OX20OX19 Online reference:EOXF00003781-Cost:247.00-Submitte</t>
  </si>
  <si>
    <t>OX05OX16 PP08637867</t>
  </si>
  <si>
    <t>OX05OX16 PP08643681</t>
  </si>
  <si>
    <t>OX20OX19 Online reference:EOXF00003737-Cost:247.00-Submitte</t>
  </si>
  <si>
    <t>OX19OX19 Online reference:EOXF00003776-Cost:7.00-Submitted</t>
  </si>
  <si>
    <t>OX19OX19 Online reference:EOXF00003778-Cost:196.60-Submitte</t>
  </si>
  <si>
    <t>OX05OX16 LF/19/01456/FUL</t>
  </si>
  <si>
    <t>OX20OX19 Online reference:EOXF00003736-Cost:247.00-Submitte</t>
  </si>
  <si>
    <t>OX20OX19 Online reference:EOXF00003734-Cost:247.00-Submitte</t>
  </si>
  <si>
    <t>OX05OX16 PP08631586</t>
  </si>
  <si>
    <t>OX05OX16 PP08641502</t>
  </si>
  <si>
    <t>OX05OX16 PP08642112</t>
  </si>
  <si>
    <t>OX05OX16 PP08320839</t>
  </si>
  <si>
    <t>Grant Funding from MHCLG to pay for CLH research work</t>
  </si>
  <si>
    <t>OX05OX16 PP08664279</t>
  </si>
  <si>
    <t>OX05OX16 PP08651640</t>
  </si>
  <si>
    <t>OX19OX18 20/01046/FUL</t>
  </si>
  <si>
    <t>OX05OX16 PP08670733</t>
  </si>
  <si>
    <t>OX05OX16 PP08674342</t>
  </si>
  <si>
    <t>P12 P2P accruals 2019/20, 8038494, PUBLIC PRACTICE</t>
  </si>
  <si>
    <t>P12 P2P accruals 2019/20, 8037342, BT BUSINESS DIRECT</t>
  </si>
  <si>
    <t>OX20OX19 Online reference:EOXF00003731-Cost:257.20-Submitte</t>
  </si>
  <si>
    <t>OX05OX16 PP08620239</t>
  </si>
  <si>
    <t>OX19OX19 Online reference:EOXF00003723-Cost:5.87-Submitted</t>
  </si>
  <si>
    <t>OX20OX19 Online reference:EOXF00003732-Cost:247.00-Submitte</t>
  </si>
  <si>
    <t>OX20OX19 Online reference:EOXF00003741-Cost:247.00-Submitte</t>
  </si>
  <si>
    <t>OX05OX16 PP08606877</t>
  </si>
  <si>
    <t>OX05OX16 PP08619188</t>
  </si>
  <si>
    <t>OX05OX16 PP08614341</t>
  </si>
  <si>
    <t>OX05OX16 PP08596277</t>
  </si>
  <si>
    <t>OX05OX16 PP08568967</t>
  </si>
  <si>
    <t>OX20OX19 Online reference:EOXF00003753-Cost:247.00-Submitte</t>
  </si>
  <si>
    <t>OX20OX19 Online reference:EOXF00003754-Cost:247.00-Submitte</t>
  </si>
  <si>
    <t>P12 P2P accruals 2019/20, 8039200, ENVIRONMENT AGENCY</t>
  </si>
  <si>
    <t>OX05OX16 PP08622186</t>
  </si>
  <si>
    <t>OX05OX16 PP08602181</t>
  </si>
  <si>
    <t>OX05OX16 PP08619220</t>
  </si>
  <si>
    <t>OX20OX19 Online reference:EOXF00003752-Cost:247.00-Submitte</t>
  </si>
  <si>
    <t>OX05OX16 PP08663008</t>
  </si>
  <si>
    <t>OX19OX19 Online reference:EOXF00003725-Cost:5.87-Submitted</t>
  </si>
  <si>
    <t>OX19OX16 20/00719/PAC</t>
  </si>
  <si>
    <t>OX05OX16 PP08663145</t>
  </si>
  <si>
    <t>OX20OX16 20/00854/PAC</t>
  </si>
  <si>
    <t>OX20OX19 Online reference:EOXF00003755-Cost:247.00-Submitte</t>
  </si>
  <si>
    <t>OX20OX19 Online reference:EOXF00003743-Cost:247.00-Submitte</t>
  </si>
  <si>
    <t>OX20OX18 20/00786/PAC</t>
  </si>
  <si>
    <t>HK14</t>
  </si>
  <si>
    <t>P12 P2P accruals 2019/20, 8035611, JONES LANG LASALLE LTD</t>
  </si>
  <si>
    <t>OX19OX19 Online reference:EOXF00003722-Cost:5.87-Submitted</t>
  </si>
  <si>
    <t>OX19OX19 34 Kingston Road</t>
  </si>
  <si>
    <t>OX20OX18 20/00839/FUL</t>
  </si>
  <si>
    <t>BOUNDARY REVIEW AND STATKHOLDER WORKSHOP</t>
  </si>
  <si>
    <t>OX19OX19 Online reference:EOXF00003719-Cost:5.87-Submitted</t>
  </si>
  <si>
    <t>OX05OX16 PP08517082</t>
  </si>
  <si>
    <t>OX19OX16 20/00840/LBPAC</t>
  </si>
  <si>
    <t>OX20OX18 20/00992/h42</t>
  </si>
  <si>
    <t>OX05OX16 HUB DAILY -29032020</t>
  </si>
  <si>
    <t>OX20OX19 Online reference:EOXF00003744-Cost:247.00-Submitte</t>
  </si>
  <si>
    <t>OX20OX19 Online reference:EOXF00003733-Cost:247.00-Submitte</t>
  </si>
  <si>
    <t>OX20OX18 mr horwwod</t>
  </si>
  <si>
    <t>OX20OX19 Online reference:EOXF00003748-Cost:247.00-Submitte</t>
  </si>
  <si>
    <t>OX20OX18 WRONG FEE CHARGED</t>
  </si>
  <si>
    <t>D3101</t>
  </si>
  <si>
    <t>P12 P2P accruals 2019/20, 8039058, CRISIS</t>
  </si>
  <si>
    <t>OX20OX19 Online reference:EOXF00003749-Cost:247.00-Submitte</t>
  </si>
  <si>
    <t>OX19OX19 Online reference:EOXF00003721-Cost:5.87-Submitted</t>
  </si>
  <si>
    <t>OX05OX16 20/00819/PAC</t>
  </si>
  <si>
    <t>OX05OX16 PP08619195</t>
  </si>
  <si>
    <t>OX20OX19 Online reference:EOXF00003764-Cost:37.00-Submitted</t>
  </si>
  <si>
    <t>OX20OX19 Online reference:EOXF00003763-Cost:37.00-Submitted</t>
  </si>
  <si>
    <t>OX05OX16 PP08634294</t>
  </si>
  <si>
    <t>OX20OX19 Online reference:EOXF00003767-Cost:37.00-Submitted</t>
  </si>
  <si>
    <t>OX05OX16 PP08353215</t>
  </si>
  <si>
    <t>OX05OX16 PP08626363</t>
  </si>
  <si>
    <t>Public Practice Placement Fee, Senior Urban Design Officer (Rosa Appleby-Alis)</t>
  </si>
  <si>
    <t>OX20OX19 Online reference:EOXF00003770-Cost:267.40-Submitte</t>
  </si>
  <si>
    <t>OX05OX16 PP08634152</t>
  </si>
  <si>
    <t>OX05OX16 PP08632437</t>
  </si>
  <si>
    <t>OX19OX18 20/00565/FUL</t>
  </si>
  <si>
    <t>OX20OX19 Online reference:EOXF00003762-Cost:247.00-Submitte</t>
  </si>
  <si>
    <t>OX20OX19 Online reference:EOXF00003761-Cost:247.00-Submitte</t>
  </si>
  <si>
    <t>OX20OX19 Online reference:EOXF00003760-Cost:247.00-Submitte</t>
  </si>
  <si>
    <t>OX20OX19 Online reference:EOXF00003759-Cost:247.00-Submitte</t>
  </si>
  <si>
    <t>OX20OX19 Online reference:EOXF00003758-Cost:247.00-Submitte</t>
  </si>
  <si>
    <t>Growth Deal Funding - Cycle Schemes</t>
  </si>
  <si>
    <t>OX20OX19 Online reference:EOXF00003757-Cost:247.00-Submitte</t>
  </si>
  <si>
    <t>OX05OX16 PP08629919</t>
  </si>
  <si>
    <t>OX05OX16 PP08628165</t>
  </si>
  <si>
    <t>OX05OX16 PP08622318</t>
  </si>
  <si>
    <t>OX05OX16 PP08625945</t>
  </si>
  <si>
    <t>OX05OX16 PP08625835</t>
  </si>
  <si>
    <t>OX05OX16 PP08625647</t>
  </si>
  <si>
    <t>OX05OX16 20/00598/FUL-181CO</t>
  </si>
  <si>
    <t>OX05OX16 20/00308/DALBN</t>
  </si>
  <si>
    <t>OX20OX16 20/00893/LBPAC</t>
  </si>
  <si>
    <t>OX20OX19 Online reference:EOXF00003756-Cost:247.00-Submitte</t>
  </si>
  <si>
    <t>OX05OX16 PP08614265</t>
  </si>
  <si>
    <t>OX05OX16 PP08541621</t>
  </si>
  <si>
    <t>South Oxfordshire - Staff Costs to JSSP - 2018-19</t>
  </si>
  <si>
    <t>OX05OX16 PP08614693</t>
  </si>
  <si>
    <t>OX05OX16 PP08625103</t>
  </si>
  <si>
    <t>OX05OX16 PP08625778</t>
  </si>
  <si>
    <t>OX05OX16 PP08625340</t>
  </si>
  <si>
    <t>OX05OX16 PP08624235</t>
  </si>
  <si>
    <t>OX19OX19 Online reference:EOXF00003729-Cost:7.00-Submitted</t>
  </si>
  <si>
    <t>OX05OX16 PP08616492</t>
  </si>
  <si>
    <t>Growth Deal Finance Research Project Purchase</t>
  </si>
  <si>
    <t>A0151</t>
  </si>
  <si>
    <t>OX19OX19 Online reference:EOXF00003717-Cost:5.87-Submitted</t>
  </si>
  <si>
    <t>OX20OX18 48 Kingston Road</t>
  </si>
  <si>
    <t>OX05OX16 PP08586297</t>
  </si>
  <si>
    <t>OX05OX16 PP08615374</t>
  </si>
  <si>
    <t>OX20OX19 Online reference:EOXF00003716-Cost:222.81-Submitte</t>
  </si>
  <si>
    <t>OX05OX16 PP08586032</t>
  </si>
  <si>
    <t>OX05OX16 PP08612820</t>
  </si>
  <si>
    <t>OX20OX19 Online reference:EOXF00003726-Cost:5.87-Submitted</t>
  </si>
  <si>
    <t>OX05OX16 PP08624434</t>
  </si>
  <si>
    <t>OX20OX16 20/00600/PAC</t>
  </si>
  <si>
    <t>OX20OX16 20/00870/PAC</t>
  </si>
  <si>
    <t>OX20OX18 20/00599/FUL</t>
  </si>
  <si>
    <t>P12 P2P accruals 2019/20, 8038092, OXFORD BROOKES UNIVERSITY</t>
  </si>
  <si>
    <t>P12 P2P accruals 2019/20, 8035829, ASSERTIVE MEDIA SOLUTIONS LTD</t>
  </si>
  <si>
    <t>OX19OX19 Online reference:EOXF00003728-Cost:7.00-Submitted</t>
  </si>
  <si>
    <t>P12 P2P accruals 2019/20, 8036979, HAYMARKET MEDIA GROUP</t>
  </si>
  <si>
    <t>HA22</t>
  </si>
  <si>
    <t>BOB-MK Design Review Panel 111 -Eynsham 3.3.20 travel expenses</t>
  </si>
  <si>
    <t>BOB-MK Design Review Panel 111 -Eynsham 3.3.20</t>
  </si>
  <si>
    <t>OX20OX16 20/00855/PAC</t>
  </si>
  <si>
    <t>BOB-MK DESIGN REVIEW PANEL 111 Eynaham 3.3.20 Travel Expenses</t>
  </si>
  <si>
    <t>South Oxfordshire - Staff Costs to JSSP - 2019-20</t>
  </si>
  <si>
    <t>OX05OX16 HUB DAILY -07042020</t>
  </si>
  <si>
    <t>OX05OX16 PP08603984</t>
  </si>
  <si>
    <t>OX05OX16 PP08640170</t>
  </si>
  <si>
    <t>OX05OX16 PP08640193</t>
  </si>
  <si>
    <t>OX05OX16 PP08353062</t>
  </si>
  <si>
    <t>OX05OX16 PP08628710</t>
  </si>
  <si>
    <t>CIL. Prep 8.62 days</t>
  </si>
  <si>
    <t>P12 P2P accruals 2019/20, 8037252, JONES LANG LASALLE LTD</t>
  </si>
  <si>
    <t>OX20OX16 20/00937/PAC</t>
  </si>
  <si>
    <t>OX19OX19 Online reference:EOXF00003724-Cost:5.87-Submitted</t>
  </si>
  <si>
    <t>ACROBAT PRO SUBSCRPT DC ALL MLP License Subscription EUW Monthly 1 User Level 3</t>
  </si>
  <si>
    <t>P12 P2P accruals 2019/20, 8039057, PERSONAL STRENGTHS (UK) LTD</t>
  </si>
  <si>
    <t>OX19OX18 20/006808/T56</t>
  </si>
  <si>
    <t>OX20OX16 20/01005/pac</t>
  </si>
  <si>
    <t>OX19OX19 Online reference:EOXF00003727-Cost:35.69-Submitted</t>
  </si>
  <si>
    <t>Monthly 1 user level 3 Licence</t>
  </si>
  <si>
    <t>OX19OX16 20/00659/PAC</t>
  </si>
  <si>
    <t>BOB-MK DESIGN REVIEW PANEL 111 Eynaham 3.3.20</t>
  </si>
  <si>
    <t>OX19OX18 20/01011/FUL</t>
  </si>
  <si>
    <t>ONE YEAR membership to the Planning Jungle website from 22/05/2020 to 22/05/2021</t>
  </si>
  <si>
    <t>DMC ODC Con 29 March 2020</t>
  </si>
  <si>
    <t>S20</t>
  </si>
  <si>
    <t>ED13</t>
  </si>
  <si>
    <t>Energy Services - DEC Service (1000m) - Cowley Marsh</t>
  </si>
  <si>
    <t>B1165</t>
  </si>
  <si>
    <t>Installation - Ferry Leisure Centre</t>
  </si>
  <si>
    <t>B1002</t>
  </si>
  <si>
    <t>reverse 10347980 PO 8038997 not required</t>
  </si>
  <si>
    <t>ED11</t>
  </si>
  <si>
    <t>P12 P2P accruals 2019/20, 8038997, OXFORD DIRECT SERVICES LTD</t>
  </si>
  <si>
    <t>Maintenance Contract for the period 1st April 2020 - 30 June 2020</t>
  </si>
  <si>
    <t>ED14</t>
  </si>
  <si>
    <t>P12 Anagor U (Reed)</t>
  </si>
  <si>
    <t>P12 Colledge-price K (Reed)</t>
  </si>
  <si>
    <t>OX05OX16 INNOVATE UK</t>
  </si>
  <si>
    <t>OX05OX16 RAMBOLL UK LTD 2000030</t>
  </si>
  <si>
    <t>ES20</t>
  </si>
  <si>
    <t>ED12</t>
  </si>
  <si>
    <t>ES99</t>
  </si>
  <si>
    <t>B7009</t>
  </si>
  <si>
    <t>D8008</t>
  </si>
  <si>
    <t>ED35</t>
  </si>
  <si>
    <t>1 x Oxpops Closedown</t>
  </si>
  <si>
    <t>P12 P2P accruals 2019/20, 8039063, OXFORD DIRECT SERVICES LTD</t>
  </si>
  <si>
    <t>P12 P2P accruals 2019/20, 8033651, DAILY INFORMATION LTD</t>
  </si>
  <si>
    <t>P12 P2P accruals 2019/20, 8039305, OXFORD DIRECT SERVICES LTD</t>
  </si>
  <si>
    <t>P12 P2P accruals 2019/20, 8035996, TEAM (ENERGY AUDITING AGENCY LTD)</t>
  </si>
  <si>
    <t>P12 P2P accruals 2019/20, 8039390, KAPACITI LIMITED</t>
  </si>
  <si>
    <t>EV Taxi Project Support (ESO) Mar</t>
  </si>
  <si>
    <t>P12 P2P accruals 2019/20, 8039386, PURPOSE BUILT CONSULTING LTD</t>
  </si>
  <si>
    <t>Consultancy - Energy Superhub Oxford</t>
  </si>
  <si>
    <t>OXAIR PROJECT</t>
  </si>
  <si>
    <t>ORIGINAL PAYMENT FAILED</t>
  </si>
  <si>
    <t>2019/20 P12 accruals, 8039322, OXFORD DIRECT SERVICES LTD - (SERVITOR ONLY), Project management services - Leys Pools Solar Car port - payment 2, accrue as per P Spencer</t>
  </si>
  <si>
    <t>Date Acollection/Aggregation, Meter Operation, Web analyser x 9</t>
  </si>
  <si>
    <t>P12 P2P accruals 2019/20, 8035698, KAPACITI LIMITED</t>
  </si>
  <si>
    <t>EV Taxi Project Support (ESO) 2 March – 31 March 2020</t>
  </si>
  <si>
    <t>OX09OX16 711952792 ROSE HILL CC</t>
  </si>
  <si>
    <t>WORKS</t>
  </si>
  <si>
    <t>LEO claim Q4</t>
  </si>
  <si>
    <t>OxPops claim Q7</t>
  </si>
  <si>
    <t>Canal &amp; River Trust contribution  RIA</t>
  </si>
  <si>
    <t>SUPPLY 6 X METAL A-FRAME SIGNS FOR DEPLOYMENT TO RESIDENTIALSUPPLY 6 X METAL A-FRAME SIGNS FOR DEPLOYMENT TO RESIDENTIAL JOB NUMBER:11238470 ADDRESS:CITY WIDE,OXFORD</t>
  </si>
  <si>
    <t>ES21</t>
  </si>
  <si>
    <t>INNOVATE ESO Q4 claim</t>
  </si>
  <si>
    <t>RD</t>
  </si>
  <si>
    <t>returned payment 46306970 13/1</t>
  </si>
  <si>
    <t>OX09OX16 711952836 LEYS POOL &amp; LEISURE CENTRE</t>
  </si>
  <si>
    <t>OX09OX16 711952827 MARSH ROAD</t>
  </si>
  <si>
    <t>OX09OX16 711952818 HORSPATH ROAD</t>
  </si>
  <si>
    <t>S22</t>
  </si>
  <si>
    <t>AC18</t>
  </si>
  <si>
    <t>Reverse 10347980 PO 8039025 not required</t>
  </si>
  <si>
    <t>B1601</t>
  </si>
  <si>
    <t>BL16</t>
  </si>
  <si>
    <t>Gojo Purell Hand Rub Pump Bottle 300ML</t>
  </si>
  <si>
    <t>BR12</t>
  </si>
  <si>
    <t>St Aldate´s Chambers Acc: KS862226  Electricity 01/03/20 - 31/03/20</t>
  </si>
  <si>
    <t>AC20</t>
  </si>
  <si>
    <t>Unpaid waste invoice 56009023</t>
  </si>
  <si>
    <t>AB03</t>
  </si>
  <si>
    <t>Accrual: Hinksey Outdoor Pool &amp; Splash Feature Acc: 3004980770  Gas 01/03/20 - 31/03/20, TOTAL GAS &amp; POWER LTD</t>
  </si>
  <si>
    <t>HT60</t>
  </si>
  <si>
    <t>TOWN HALL SUPPLIES</t>
  </si>
  <si>
    <t>Unpaid waste invoice 56012874</t>
  </si>
  <si>
    <t>Unpaid waste invoice 56010402</t>
  </si>
  <si>
    <t>AC19</t>
  </si>
  <si>
    <t>TOWN HALL ITEMS</t>
  </si>
  <si>
    <t>AC14</t>
  </si>
  <si>
    <t>Reverse 10347980 PO 8039024 not required</t>
  </si>
  <si>
    <t>B1606</t>
  </si>
  <si>
    <t>Reverse 10347980 PO 8036376 not required</t>
  </si>
  <si>
    <t>Unpaid waste invoice 56010813</t>
  </si>
  <si>
    <t>Reverse 10347980 PO 8039028 not required</t>
  </si>
  <si>
    <t>Reverse 10347980 PO 8038917 not required</t>
  </si>
  <si>
    <t>Unpaid waste invoice 56008830</t>
  </si>
  <si>
    <t>goods supplied on advice note dated: 27/3/2020</t>
  </si>
  <si>
    <t>Barton Neighbourhood Centre Oxford City Council</t>
  </si>
  <si>
    <t>Reverse 10347980 PO 8039026 not required</t>
  </si>
  <si>
    <t>AB05</t>
  </si>
  <si>
    <t>HINKSEY POOLS</t>
  </si>
  <si>
    <t>Oxford City Council - Rose Hill Community Centre</t>
  </si>
  <si>
    <t>B7006</t>
  </si>
  <si>
    <t>AG13</t>
  </si>
  <si>
    <t>reverse 10347970 PO 8039034 not required</t>
  </si>
  <si>
    <t>BR11</t>
  </si>
  <si>
    <t>Oxford Town Hall Acc: KS862228  Electricity 01/03/20 - 31/03/20</t>
  </si>
  <si>
    <t>Barton Neighbourhood Centre Acc: KS86222Q  Electricity 01/03/20 - 31/03/20</t>
  </si>
  <si>
    <t>B1610</t>
  </si>
  <si>
    <t>BJ13</t>
  </si>
  <si>
    <t>Reverse 10347980 PO 8035293 not required</t>
  </si>
  <si>
    <t>Leys Pools &amp; Leisure Centre Acc: KS862227  Electricity 01/03/20 - 31/03/20</t>
  </si>
  <si>
    <t>Barton Leisure Centre Acc: KS86222W  Electricity 01/03/20 - 31/03/20</t>
  </si>
  <si>
    <t>Ferry Leisure Centre Acc: KS862229  Electricity 01/03/20 - 31/03/20</t>
  </si>
  <si>
    <t>Oxford Ice Rink Acc: KS86222H  Electricity 01/03/20 - 31/03/20</t>
  </si>
  <si>
    <t>Hinksey Outdoor Pool &amp; Splash Feature Acc: KS86222X  Electricity 01/03/20 - 31/03/20</t>
  </si>
  <si>
    <t>Rose Hill Community Centre Acc: KS86222D  Electricity 01/03/20 - 31/03/20</t>
  </si>
  <si>
    <t>Reverse 10347980 PO 8039027 not required</t>
  </si>
  <si>
    <t>20 x Key cust to code</t>
  </si>
  <si>
    <t>P12 P2P accruals 2019/20, 8036052, OXFORD DIRECT SERVICES LTD</t>
  </si>
  <si>
    <t>P12 P2P accruals 2019/20, 8038960, ALLIANCE DISPOSABLES LTD</t>
  </si>
  <si>
    <t>P12 P2P accruals 2019/20, 8034439, ALLIANCE DISPOSABLES LTD</t>
  </si>
  <si>
    <t>P12 P2P accruals 2019/20, 8039323, ALLIANCE DISPOSABLES LTD</t>
  </si>
  <si>
    <t>P12 P2P accruals 2019/20, 8033500, ALLIANCE DISPOSABLES LTD</t>
  </si>
  <si>
    <t>D3410</t>
  </si>
  <si>
    <t>NAF02 Replacing a broken bench - contribution to AG13</t>
  </si>
  <si>
    <t>D3702</t>
  </si>
  <si>
    <t>KK14</t>
  </si>
  <si>
    <t>P12 P2P accruals 2019/20, 8035419, ALLIANCE DISPOSABLES LTD</t>
  </si>
  <si>
    <t>Morrell Ave zebra crossing double charged - refund due</t>
  </si>
  <si>
    <t>P12 P2P accruals 2019/20, 8039146, LYRECO UK LTD</t>
  </si>
  <si>
    <t>B7003</t>
  </si>
  <si>
    <t>SAC waste Mar 20</t>
  </si>
  <si>
    <t>SAC Water Dec 19 - Mar 20</t>
  </si>
  <si>
    <t>SAC Gas Mar  20</t>
  </si>
  <si>
    <t>TH Gas Mar 20</t>
  </si>
  <si>
    <t>P12 P2P accruals 2019/20, 8031622, ALLIANCE DISPOSABLES LTD</t>
  </si>
  <si>
    <t>Water  Dec  19 - Mar 20</t>
  </si>
  <si>
    <t>SAC Electricity Mar 20</t>
  </si>
  <si>
    <t>TH Electricity Mar  20</t>
  </si>
  <si>
    <t>B1103</t>
  </si>
  <si>
    <t>P12 P2P accruals 2019/20, 8036385, ACTIVE SERVICINGUK LTD T/A ACTIVE WASHROOMS</t>
  </si>
  <si>
    <t>Attended Site 02/12/2019 Acfess Hire Eqiuipment</t>
  </si>
  <si>
    <t>reverse transaction 10348274</t>
  </si>
  <si>
    <t>Croft Rd pram crossings double charged - refund due</t>
  </si>
  <si>
    <t>AE18</t>
  </si>
  <si>
    <t>Culture fund grant payment round 1 - 2020/21</t>
  </si>
  <si>
    <t>P12 P2P accruals 2019/20, 8036376, OXFORD DIRECT SERVICES TRADING LTD</t>
  </si>
  <si>
    <t>10348066 New table tennis base South Park REV</t>
  </si>
  <si>
    <t>AG10</t>
  </si>
  <si>
    <t>10348066 install selection of balance beam trails croft rd  ERV</t>
  </si>
  <si>
    <t>10348066 replace rotten bench Aristotle REV</t>
  </si>
  <si>
    <t>P12 P2P accruals 2019/20, 8030099, ALLIANCE DISPOSABLES LTD</t>
  </si>
  <si>
    <t>P12 P2P accruals 2019/20, 8036053, OXFORD DIRECT SERVICES LTD</t>
  </si>
  <si>
    <t>10348066 PLAY AREA MAINTENANCE REV</t>
  </si>
  <si>
    <t>P12 P2P accruals 2019/20, 8031902, ALLIANCE DISPOSABLES LTD</t>
  </si>
  <si>
    <t>P12 P2P accruals 2019/20, 8038507, ARCO LTD</t>
  </si>
  <si>
    <t>P12 P2P accruals 2019/20, 8039021, ALLIANCE DISPOSABLES LTD</t>
  </si>
  <si>
    <t>P12 P2P accruals 2019/20, 8039306, ALLIANCE DISPOSABLES LTD</t>
  </si>
  <si>
    <t>reverse 10348493 as duplicated</t>
  </si>
  <si>
    <t>P12 P2P accruals 2019/20, 8036167, GEZE UK LTD</t>
  </si>
  <si>
    <t>P12 P2P accruals 2019/20, 8035343, DULUX DECORATOR CENTRE 360</t>
  </si>
  <si>
    <t>P12 P2P accruals 2019/20, 8035184, ACTIVE SERVICINGUK LTD T/A ACTIVE WASHROOMS</t>
  </si>
  <si>
    <t>BL10</t>
  </si>
  <si>
    <t>March 2020 catering from the Café</t>
  </si>
  <si>
    <t>P12 P2P accruals 2019/20, 8035185, ACTIVE SERVICINGUK LTD T/A ACTIVE WASHROOMS</t>
  </si>
  <si>
    <t>P12 P2P accruals 2019/20, 8036134, OXFORD DIRECT SERVICES LTD</t>
  </si>
  <si>
    <t>2019/20 P12 accruals, 8039034, OXFORD DIRECT SERVICES LTD - (SERVITOR ONLY), remove and log pin the climber at BBL Park as agreed with Matt Beckley, accrue as per M Woods</t>
  </si>
  <si>
    <t>KK06</t>
  </si>
  <si>
    <t>SEAF08 (07) TEACHERS TRIP TO WROCLAW</t>
  </si>
  <si>
    <t>NAF03(02) Cllr Fry - Ferry creche 20-21</t>
  </si>
  <si>
    <t>SEAF01(07) TEACHERS TRIP TO WROCLAW 20-21</t>
  </si>
  <si>
    <t>NAF04(02) Cllr Gotch - Ferry creche 20-21</t>
  </si>
  <si>
    <t>PLAY AREA MAINTENANCE</t>
  </si>
  <si>
    <t>Blackbird Leys Community Centre Acc: 421685839  Electricity 02/12/19 - 01/03/20</t>
  </si>
  <si>
    <t>replace rotten bench Aristotle</t>
  </si>
  <si>
    <t>install selection of balance beam trails croft rd</t>
  </si>
  <si>
    <t>New table tennis base South Park</t>
  </si>
  <si>
    <t>A/C No: 4910408 Oxford City Council St. Aldates Chambers</t>
  </si>
  <si>
    <t>D3104</t>
  </si>
  <si>
    <t>Recharge for March 2020 account sales in the Café:</t>
  </si>
  <si>
    <t>BLC Elec Mar 2020</t>
  </si>
  <si>
    <t>OIR Elec Mar 2020</t>
  </si>
  <si>
    <t>OIR Gas Mar 2020</t>
  </si>
  <si>
    <t>19-20 LPLC Woodchip recharge to Fusion</t>
  </si>
  <si>
    <t>BLC Gas Mar 2020</t>
  </si>
  <si>
    <t>LPLC Gas Mar 2020</t>
  </si>
  <si>
    <t>HNK Gas Mar 2020</t>
  </si>
  <si>
    <t>FLC Gas Mar 2020</t>
  </si>
  <si>
    <t>LPLC Elec Mar 2020</t>
  </si>
  <si>
    <t>HNK Elec Mar 2020</t>
  </si>
  <si>
    <t>FLC Elec Mar 2020</t>
  </si>
  <si>
    <t>DISPOSAL 0104/300420</t>
  </si>
  <si>
    <t>Toilet Rolls, Gloves</t>
  </si>
  <si>
    <t>NEAF11 Healthy school fun run, July 5th 2020</t>
  </si>
  <si>
    <t>P12 P2P 19/20, 8033532, ARCO LTD</t>
  </si>
  <si>
    <t>D3011</t>
  </si>
  <si>
    <t>AJ02</t>
  </si>
  <si>
    <t>x 1 copy outh Wales to Oxford</t>
  </si>
  <si>
    <t>x 1 copy Our Working Lives</t>
  </si>
  <si>
    <t>x7 opies Amazing Women</t>
  </si>
  <si>
    <t>x 4 copies Imagine</t>
  </si>
  <si>
    <t>8 oz Natural Mystik Jamaican Blue Mountain Coffee</t>
  </si>
  <si>
    <t>P12 P2P  19/20, 8035657, CANTIUM BUSINESS SOLUTIONS LTD</t>
  </si>
  <si>
    <t>KF03</t>
  </si>
  <si>
    <t>OCC Room Hire February 2020</t>
  </si>
  <si>
    <t>Refreshments for Youth Partnership &amp; Bicep</t>
  </si>
  <si>
    <t>Prep, finish and re-adjust design work Barton Neighbourhood Centre Mural</t>
  </si>
  <si>
    <t>Weekly Scaffolding checks 1/1/20 - 31/3/20</t>
  </si>
  <si>
    <t>KV06</t>
  </si>
  <si>
    <t>Youth Anmbition Grants 2020/21</t>
  </si>
  <si>
    <t>AE07</t>
  </si>
  <si>
    <t>Dual Gas Spring Monitor Arm 1.5-7kg with Desk Mount - White</t>
  </si>
  <si>
    <t>Electric Height Adjustable Desk Frame</t>
  </si>
  <si>
    <t>Culture Fund Grant payment: R1 2020-21</t>
  </si>
  <si>
    <t>Culture fund grant payment: R1 2020-21</t>
  </si>
  <si>
    <t>Culture fund grant payment R1: 2020-21</t>
  </si>
  <si>
    <t>EL01</t>
  </si>
  <si>
    <t>1st payment of grant to OSARCC 20-21</t>
  </si>
  <si>
    <t>HT60 LEISURE, CULTURE &amp; COMMUNITIES</t>
  </si>
  <si>
    <t>AE19</t>
  </si>
  <si>
    <t>DO20 EALRY YEARS PROJECT FACILITATION PAYMENT # 2</t>
  </si>
  <si>
    <t>B1003</t>
  </si>
  <si>
    <t>2019/20 P12 accruals, 8038894, PLAYGROUND WORKS LTD, DDA pathway at Sandfield Road Park 33m x 1.5m, accrue as per M Woods</t>
  </si>
  <si>
    <t>2019/20 P12 accruals, 8038236, OXFORD DIRECT SERVICES LTD - (SERVITOR ONLY), NC_REPAIRS &amp; MAINTENANCE: PLAY AREA MAINTENANCE, accrue as per M Woods</t>
  </si>
  <si>
    <t>AB01</t>
  </si>
  <si>
    <t>Leisure Parks &amp; Communities</t>
  </si>
  <si>
    <t>P12 P2P accruals 2019/20, 8034138, ALLIANCE DISPOSABLES LTD</t>
  </si>
  <si>
    <t>NAF08(01) Cllr Landell Mills  - Ferry creche 20-21</t>
  </si>
  <si>
    <t>NC Training professional - Expenses</t>
  </si>
  <si>
    <t>P12 P2P accruals 2019/20, 8035861, DULUX DECORATOR CENTRE 360</t>
  </si>
  <si>
    <t>Purchase of PA System and cables for festival projects</t>
  </si>
  <si>
    <t>P12 P2P accruals 2019/20, 8035577, ACTIVE SERVICINGUK LTD T/A ACTIVE WASHROOMS</t>
  </si>
  <si>
    <t>P12 P2P accruals 2019/20, 8039019, LYRECO UK LTD</t>
  </si>
  <si>
    <t>P12 P2P accruals 2019/20, 8035293, OXFORD DIRECT SERVICES TRADING LTD</t>
  </si>
  <si>
    <t>AM19</t>
  </si>
  <si>
    <t>1st payment of grant to DFC 20-21</t>
  </si>
  <si>
    <t>P12 P2P accruals 2019/20, 8039103, ALLIANCE DISPOSABLES LTD</t>
  </si>
  <si>
    <t>AJ01</t>
  </si>
  <si>
    <t>Museum Shop stock balance @ 31st March 2020</t>
  </si>
  <si>
    <t>P12 P2P accruals 2019/20, 8032773, ALLIANCE DISPOSABLES LTD</t>
  </si>
  <si>
    <t>P12 P2P accruals 2019/20, 8035181, ACTIVE SERVICINGUK LTD T/A ACTIVE WASHROOMS</t>
  </si>
  <si>
    <t>P12 P2P accruals 2019/20, 8032817, ALLIANCE DISPOSABLES LTD</t>
  </si>
  <si>
    <t>P12 P2P accruals 2019/20, 8035183, ACTIVE SERVICINGUK LTD T/A ACTIVE WASHROOMS</t>
  </si>
  <si>
    <t>D3807</t>
  </si>
  <si>
    <t>KA20</t>
  </si>
  <si>
    <t>2019/20 BCOS DEPOSIT PAID FOR FLIGHTS TO RAMALLAH</t>
  </si>
  <si>
    <t>P12 P2P accruals 19/20, 8033508, OX COUNTY COUNCIL</t>
  </si>
  <si>
    <t>AE15</t>
  </si>
  <si>
    <t>Venue guide (incl photography)</t>
  </si>
  <si>
    <t>Gloves S,M,L</t>
  </si>
  <si>
    <t>Apeel Citrus Multi-Purpose Cleaner &amp; Degreaser</t>
  </si>
  <si>
    <t>Stationary - Rose Hill Community Centre</t>
  </si>
  <si>
    <t>5% to Green Spaces Team for events in parks</t>
  </si>
  <si>
    <t>5% to ODS Parks Team for events in parks</t>
  </si>
  <si>
    <t>P12 P2P accruals 2019/20, 8038994, ALLIANCE DISPOSABLES LTD</t>
  </si>
  <si>
    <t>P12 P2P accruals 2019/20, 8034140, DULUX DECORATOR CENTRE 360</t>
  </si>
  <si>
    <t>P12 P2P accruals 2019/20, 8039020, ALLIANCE DISPOSABLES LTD</t>
  </si>
  <si>
    <t>P12 P2P accruals 2019/20, 8035783, OXFORD DIRECT SERVICES LTD</t>
  </si>
  <si>
    <t>AE22</t>
  </si>
  <si>
    <t>10348428 Event Mgt fee May Morning 20 instalment 1, SYGMA SAFETY &amp; EVENTS LTD</t>
  </si>
  <si>
    <t>reverse 10347980 PO 8035783 not required</t>
  </si>
  <si>
    <t>reverse 10347980 PO 8036052 not required</t>
  </si>
  <si>
    <t>reverse 10347980 PO 8036053 not required</t>
  </si>
  <si>
    <t>reverse 10347980 PO 8036050 not required</t>
  </si>
  <si>
    <t>reverse 10347980 PO 8036051 not required</t>
  </si>
  <si>
    <t>reverse 10347980 PO 8036134 not required</t>
  </si>
  <si>
    <t>P12 P2P accruals 2019/20, 8038917, OXFORD DIRECT SERVICES TRADING LTD</t>
  </si>
  <si>
    <t>TOWN HALL ORDER</t>
  </si>
  <si>
    <t>P12 P2P accruals 2019/20, 8039024, OXFORD DIRECT SERVICES TRADING LTD</t>
  </si>
  <si>
    <t>P12 P2P accruals 2019/20, 8034174, BARTON COMMUNITY ASSOCIATION</t>
  </si>
  <si>
    <t>P12 P2P accruals 2019/20, 8035187, ACTIVE SERVICINGUK LTD T/A ACTIVE WASHROOMS</t>
  </si>
  <si>
    <t>P12 P2P accruals 2019/20, 8036518, ALLIANCE DISPOSABLES LTD</t>
  </si>
  <si>
    <t>EAF06 Cowley Road Carnival, July 2020</t>
  </si>
  <si>
    <t>Black Bird Leys community ALARM CALL 090220</t>
  </si>
  <si>
    <t>P12 P2P accruals 2019/20, 8031908, ALLIANCE DISPOSABLES LTD</t>
  </si>
  <si>
    <t>P12 P2P accruals 2019/20, 8036051, OXFORD DIRECT SERVICES LTD</t>
  </si>
  <si>
    <t>P12 P2P accruals 2019/20, 8032697, ALLIANCE DISPOSABLES LTD</t>
  </si>
  <si>
    <t>P12 P2P accruals 2019/20, 8039027, OXFORD DIRECT SERVICES TRADING LTD</t>
  </si>
  <si>
    <t>P12 P2P accruals 2019/20, 8038906, EXECUTIVE SECURITY LOCKSMITHS LTD</t>
  </si>
  <si>
    <t>P12 P2P accruals 2019/20, 8031018, ALLIANCE DISPOSABLES LTD</t>
  </si>
  <si>
    <t>P12 P2P accruals 2019/20, 8039025, OXFORD DIRECT SERVICES TRADING LTD</t>
  </si>
  <si>
    <t>P12 P2P accruals 2019/20, 8031021, GET SUPPORT IT SERVICES LIMITED</t>
  </si>
  <si>
    <t>P12 P2P accruals 2019/20, 8039026, OXFORD DIRECT SERVICES TRADING LTD</t>
  </si>
  <si>
    <t>P12 P2P accruals 2019/20, 8037834, BARKER &amp; EVANS LTD</t>
  </si>
  <si>
    <t>2019/20 BCOS -Ramallah - deposit for 13th person</t>
  </si>
  <si>
    <t>P12 P2P accruals 2019/20, 8039028, OXFORD DIRECT SERVICES TRADING LTD</t>
  </si>
  <si>
    <t>P12 P2P accruals 2019/20, 8036050, OXFORD DIRECT SERVICES LTD</t>
  </si>
  <si>
    <t>P12 P2P accruals 2019/20, 8038503, BUNZL CLEANING &amp; HYGIENE SUPPLIES</t>
  </si>
  <si>
    <t>P12 P2P accruals 2019/20, 8038274, ALLIANCE DISPOSABLES LTD</t>
  </si>
  <si>
    <t>P12 P2P accruals 2019/20, 8039132, EXECUTIVE SECURITY LOCKSMITHS LTD</t>
  </si>
  <si>
    <t>P12 P2P accruals 2019/20, 8037248, ALLIANCE DISPOSABLES LTD</t>
  </si>
  <si>
    <t>P12 P2P accruals 2019/20, 8035182, ACTIVE SERVICINGUK LTD T/A ACTIVE WASHROOMS</t>
  </si>
  <si>
    <t>P12 P2P accruals 2019/20, 8037932, PRICE &amp; MYERS LLP</t>
  </si>
  <si>
    <t>P12 P2P accruals 2019/20, 8028221, ALLIANCE DISPOSABLES LTD</t>
  </si>
  <si>
    <t>P12 P2P accruals 2019/20, 8039329, OXFORD SPORTING FACILITIES TRUST</t>
  </si>
  <si>
    <t>P12 P2P accruals 2019/20, 8039315, ACTIVE SERVICINGUK LTD T/A ACTIVE WASHROOMS</t>
  </si>
  <si>
    <t>OXFORDSHIRE COMMUNITY WORK AGENCY LTD 25/3-23/6/20</t>
  </si>
  <si>
    <t>Jan18-Mar20 Rent Hedena Health</t>
  </si>
  <si>
    <t>OXFORD COMMUNITY WORK AGENCY L 25/3-23/6/20</t>
  </si>
  <si>
    <t>K9540</t>
  </si>
  <si>
    <t>Reversal of Duplicated Credit 51361929</t>
  </si>
  <si>
    <t>OUH NHS FOUNDATION TRUST 25/3-23/6/20</t>
  </si>
  <si>
    <t>ROSE HILL COMMUNITY ASSOCIATION SOCIAL CLUB April</t>
  </si>
  <si>
    <t>P12 Newall C (Reed)</t>
  </si>
  <si>
    <t>K9208</t>
  </si>
  <si>
    <t>65442 12/12/2019 - OCC</t>
  </si>
  <si>
    <t>66444 09/09/2020 - SBS Students Party</t>
  </si>
  <si>
    <t>K9473</t>
  </si>
  <si>
    <t>62206 09/02/2020 - FUNomusica</t>
  </si>
  <si>
    <t>66165 13/02/2021 - Hunt Ball</t>
  </si>
  <si>
    <t>Euton expenses Oct19 - Mar</t>
  </si>
  <si>
    <t>K9411</t>
  </si>
  <si>
    <t>KR02</t>
  </si>
  <si>
    <t>Management fee for Carfax Tower</t>
  </si>
  <si>
    <t>AJ03</t>
  </si>
  <si>
    <t>Q4 201920 ACe expenses recharges</t>
  </si>
  <si>
    <t>AJ12</t>
  </si>
  <si>
    <t>1st payment of grant to OIL20-21</t>
  </si>
  <si>
    <t>1st payment of Commissionng Grant to Ark T 20-21</t>
  </si>
  <si>
    <t>1st payment of grant for Thrive Barton 20-21</t>
  </si>
  <si>
    <t>1st payment of grant to AFIUK 20-21</t>
  </si>
  <si>
    <t>1st payment of grant to Archway 20-21</t>
  </si>
  <si>
    <t>1st payment of grant to Ark T Singing Project) 20-21</t>
  </si>
  <si>
    <t>1st payment of grant to Asylum Welcome 20-21</t>
  </si>
  <si>
    <t>1st payment of grant to BLAP 20-21</t>
  </si>
  <si>
    <t>1st payment of grant to CRW 20-21</t>
  </si>
  <si>
    <t>1st payment of grant to Dovecote 20-21</t>
  </si>
  <si>
    <t>1st payment of grant to Experience Oxfordshire 20-21</t>
  </si>
  <si>
    <t>1st payment of Commissioning Grant to Film Oxford 20-21</t>
  </si>
  <si>
    <t>1st payment of grant to Home Start 20-21</t>
  </si>
  <si>
    <t>1st payment of grant to Justice in Motion 20-21</t>
  </si>
  <si>
    <t>1st payment of grant to Fusion Arts 20-21</t>
  </si>
  <si>
    <t>1st payment of grant for Clockhouse Project 20-21</t>
  </si>
  <si>
    <t>1st payment of grant to Leys News 20-21</t>
  </si>
  <si>
    <t>1st payment of grant to Modern Art Oxford 20-21</t>
  </si>
  <si>
    <t>1st payment of grant to Mandala Theatre 20-21</t>
  </si>
  <si>
    <t>1st payment of grant to OAB 20-21</t>
  </si>
  <si>
    <t>1st paymentof grant to OAC 20/21</t>
  </si>
  <si>
    <t>1st payment of grant to OCM 20-21</t>
  </si>
  <si>
    <t>Jubilee Hall ALARM CALL</t>
  </si>
  <si>
    <t>1st payment of grant to Open Door 20-21</t>
  </si>
  <si>
    <t>1st payment of grant to Pegasus Theatre 20+-21</t>
  </si>
  <si>
    <t>1st payment of grant to Oxford Playhouse 20-21</t>
  </si>
  <si>
    <t>1st payment of grant to Sanctuary Hosting 20-21</t>
  </si>
  <si>
    <t>1st payment of grant to OPO 20-21</t>
  </si>
  <si>
    <t>1st payment of grant to OVADA 20-21</t>
  </si>
  <si>
    <t>1st paymentof Grant to WFYC 20-21</t>
  </si>
  <si>
    <t>1st payment of grant to SOAP 20-21</t>
  </si>
  <si>
    <t>Accrued income 19/20: 30002088, FUSION OXFORDS COMMUNITY ARTS AGENCY LTD</t>
  </si>
  <si>
    <t>Accrued income 19/20: Rent Barton Neighbourhood Centre, HEADENA HEALTH LTD</t>
  </si>
  <si>
    <t>AM05</t>
  </si>
  <si>
    <t>Go Active Get Healthy funding</t>
  </si>
  <si>
    <t>K9404</t>
  </si>
  <si>
    <t>66243 28/05/2021 - Wedding</t>
  </si>
  <si>
    <t>66530 28/08/2020 - Wedding</t>
  </si>
  <si>
    <t>66529 17/07/2021 - Wedding</t>
  </si>
  <si>
    <t>66389 21/08/2021 - Wedding</t>
  </si>
  <si>
    <t>66443 08/03/2021 - Oxford International Womens</t>
  </si>
  <si>
    <t>66320 01/02/2021 - OICCU</t>
  </si>
  <si>
    <t>66143 09/06/2021 - St Luke´s United</t>
  </si>
  <si>
    <t>1st payment of grant to AOFS 20-21</t>
  </si>
  <si>
    <t>65800 20/02/2021 - Oxford Orpheus Concert</t>
  </si>
  <si>
    <t>Utilities adj 19-20</t>
  </si>
  <si>
    <t>19-20 Lake Street Nursery HNK utility recharge</t>
  </si>
  <si>
    <t>19-20 FLC JUA recharge from County Council</t>
  </si>
  <si>
    <t>FLC Squash lease recharges (OSFT) Jan to Mar 2020</t>
  </si>
  <si>
    <t>19-20 BSAC HNK utility recharge</t>
  </si>
  <si>
    <t>Squash Court Reimbursement Jan - Dec 19</t>
  </si>
  <si>
    <t>Reversal of 51363920</t>
  </si>
  <si>
    <t>58888 - 06/07/202019 WEDDING CEREMONY</t>
  </si>
  <si>
    <t>63434 30/08/2020 - Ceremony</t>
  </si>
  <si>
    <t>65595 22/10/2020 - DipSi Students</t>
  </si>
  <si>
    <t>14/11/2020 Reversal of 51361448</t>
  </si>
  <si>
    <t>66114 30/04/2020 - Global Justice</t>
  </si>
  <si>
    <t>61715 31/08/2020 - Wedding Ceremony</t>
  </si>
  <si>
    <t>62584 22/08/2020 - Ceremony</t>
  </si>
  <si>
    <t>62556 04/07/2020 -Ceremony</t>
  </si>
  <si>
    <t>62180 11/07/2020 - Ceremony</t>
  </si>
  <si>
    <t>62922 13/06/2020 - Ceremony</t>
  </si>
  <si>
    <t>65174 07/04/2020 - Oxford Cowley Congregation</t>
  </si>
  <si>
    <t>P12 Howlett V (Reed)</t>
  </si>
  <si>
    <t>Early Years project - materials costs</t>
  </si>
  <si>
    <t>reverse 10347970 PO 8039373 not required</t>
  </si>
  <si>
    <t>16/05/2020 Refund of 51320774</t>
  </si>
  <si>
    <t>reverse 10347970 PO 8039044 not required</t>
  </si>
  <si>
    <t>62454 16/04/2020 - BASK Coference</t>
  </si>
  <si>
    <t>reverse 10347970 PO 8038313 not required</t>
  </si>
  <si>
    <t>63838 18/04/2020 - ThamesCon</t>
  </si>
  <si>
    <t>22/08/2020 Reverse 51338782</t>
  </si>
  <si>
    <t>64601 14/03/2021 - Oxford Bach Shoir Concert</t>
  </si>
  <si>
    <t>65938 16/11/2020 - Started in Oxford</t>
  </si>
  <si>
    <t>Early Years project - artist fee for five weeks</t>
  </si>
  <si>
    <t>reverse 10347980 PO 8027190 not required</t>
  </si>
  <si>
    <t>OCC C&amp;N 14 &amp; Keycard number 633597014073457622</t>
  </si>
  <si>
    <t>OCC C&amp;N 10 &amp; Keycard number - .633597014073458679</t>
  </si>
  <si>
    <t>OCC C&amp;N 15 &amp; Keycard number 633597014065037820</t>
  </si>
  <si>
    <t>S22Q</t>
  </si>
  <si>
    <t>KF20</t>
  </si>
  <si>
    <t>OX05OX16 CENTRAL OXFORD</t>
  </si>
  <si>
    <t>65988 12/06/2020 - Oxfordshire Reuses</t>
  </si>
  <si>
    <t>65782 01/04/2020 - Mercy Corps Meeting</t>
  </si>
  <si>
    <t>14/05/2021Reversal of 51361761</t>
  </si>
  <si>
    <t>reverse 10347980 PO 8038441 not required</t>
  </si>
  <si>
    <t>Hand Sanitiser - 5 Litre Bottle</t>
  </si>
  <si>
    <t>Graphic Design: Amendments to individual Twin City logos</t>
  </si>
  <si>
    <t>Graphic Design: To redesign Town hall sign to include all 8 twin cities new logos</t>
  </si>
  <si>
    <t>Graphic Design: Redesign of Bonn logo</t>
  </si>
  <si>
    <t>AE16</t>
  </si>
  <si>
    <t>Contracts</t>
  </si>
  <si>
    <t>1st payment of grant to The Story Museum 20-21</t>
  </si>
  <si>
    <t>Balance of Commisioning Grant to DDFC 19-20</t>
  </si>
  <si>
    <t>1st payment of grant to Tandem 20-21</t>
  </si>
  <si>
    <t>Reversal of 51361928 Duplicated Credit</t>
  </si>
  <si>
    <t>K9403</t>
  </si>
  <si>
    <t>Fridge clearance 11/05/2019</t>
  </si>
  <si>
    <t>Reversal of 51357162</t>
  </si>
  <si>
    <t>rej bacs 1069158 1032</t>
  </si>
  <si>
    <t>Training Expenses Euton Daley</t>
  </si>
  <si>
    <t>Rose Hill Community Centre ALARM CALL X 2</t>
  </si>
  <si>
    <t>P12 P2P accruals 2019/20, 8037117, CHAMPION EMPLOYMENT LTD</t>
  </si>
  <si>
    <t>10347980 EAF03 P12 P2P accruals 2019/20, 8027702, OXFORD DIRECT SERVICES LTD</t>
  </si>
  <si>
    <t>46304448 NAF01 Shelly Road - Dropped kerb - dupl</t>
  </si>
  <si>
    <t>10348170 EAF02 MORRELL AVENUE ZEBRA CROSSING WORK JOB NUMBER:11166603 dupl</t>
  </si>
  <si>
    <t>10348169 NEAF03 CONSTRUCT 3 PAIRS OF PRAM CROSSINGS ON CROFT ROAD dupl</t>
  </si>
  <si>
    <t>10347980 P12 P2P accruals 2019/20, 8027454, OXFORD DIRECT SERVICES LTD dupl</t>
  </si>
  <si>
    <t>3094711 MORRELL AVENUE ZEBRA CROSSING WORK - CIL REF: EAF02 dupl</t>
  </si>
  <si>
    <t>ST ALDATES WASTE TO 310320</t>
  </si>
  <si>
    <t>EOCC WASTE TO 310320</t>
  </si>
  <si>
    <t>Charges to 31 Mar 2020 BB LEYS CC WASTE</t>
  </si>
  <si>
    <t>P1 Newall C (Reed)</t>
  </si>
  <si>
    <t>Refund of 51351199</t>
  </si>
  <si>
    <t>Rent Barton Neighbourhood Centre</t>
  </si>
  <si>
    <t>Refund £189 deposit Room hire</t>
  </si>
  <si>
    <t>Location:Rose Hill community Centre CALL OUT CHARGE X 2</t>
  </si>
  <si>
    <t>reverse 10347980 PO 8039311 not required</t>
  </si>
  <si>
    <t>P12 P2P accruals 2019/20, 8027702, OXFORD DIRECT SERVICES LTD</t>
  </si>
  <si>
    <t>P12 P2P accruals 2019/20, 8033592, SHOWSEC INTERNATIONAL LTD</t>
  </si>
  <si>
    <t>P12 P2P accruals 2019/20, 8039325, SHOWSEC INTERNATIONAL LTD</t>
  </si>
  <si>
    <t>P12 P2P accruals 2019/20, 8031026, LYRECO UK LTD</t>
  </si>
  <si>
    <t>P12 P2P accruals 2019/20, 8039152, HORIZON FOODSERVICE EQUIPMENT LTD</t>
  </si>
  <si>
    <t>P12 P2P accruals 2019/20, 8037871, LYRECO UK LTD</t>
  </si>
  <si>
    <t>EL15</t>
  </si>
  <si>
    <t>P12 P2P accruals 2019/20, 8032063, RESTORE LTD</t>
  </si>
  <si>
    <t>P12 P2P accruals 2019/20, 8029122, ANGELA CONLAN</t>
  </si>
  <si>
    <t>P12 P2P accruals 2019/20, 8039003, LIFE FITNESS UK LTD</t>
  </si>
  <si>
    <t>Health &amp; Safety Audit Rose Hill - 27 November 2019</t>
  </si>
  <si>
    <t>Health &amp; Safety Audit East Oxford CC - 20 November 2019</t>
  </si>
  <si>
    <t>Health &amp; Safety Audit Blackbird Leys CC - 20 November 2019</t>
  </si>
  <si>
    <t>Community Impact Zone Jan-March 2020</t>
  </si>
  <si>
    <t>Stationary Rose Hill Community Centre</t>
  </si>
  <si>
    <t>Health &amp; Safety Audit Barton Neighbourhood Centre - 28 November 2019</t>
  </si>
  <si>
    <t>First aid at work requalification - Natalie Oakley</t>
  </si>
  <si>
    <t>First aid at work; Start Date: 05/02/2020 - Mandy Law</t>
  </si>
  <si>
    <t>OXFORD CITY</t>
  </si>
  <si>
    <t>Acc 261548 Charges February 2020</t>
  </si>
  <si>
    <t>P12 P2P accruals 2019/20, 8039088, OXFORD SECURITY SERVICES LTD</t>
  </si>
  <si>
    <t>P12 P2P accruals 2019/20, 8038065, OXFORD DIRECT SERVICES TRADING LTD</t>
  </si>
  <si>
    <t>P12 P2P accruals 2019/20, 8036329, CITY AUDIO VISUAL</t>
  </si>
  <si>
    <t>P12 P2P accruals 2019/20, 8033532, ARCO LTD</t>
  </si>
  <si>
    <t>P12 P2P accruals 2019/20, 8028650, LITTLEMORE COMMUNITY ASSOCIATION</t>
  </si>
  <si>
    <t>P12 P2P accruals 2019/20, 8038763, LYRECO UK LTD</t>
  </si>
  <si>
    <t>P12 P2P accruals 2019/20, 8038589, ARCO LTD</t>
  </si>
  <si>
    <t>P12 P2P accruals 2019/20, 8035719, ENRICHED 4 LIFE</t>
  </si>
  <si>
    <t>P12 P2P accruals 2019/20, 8034173, RICOH UK LTD</t>
  </si>
  <si>
    <t>P12 P2P accruals 2019/20, 8038694, RHODAWN LTD T/AS BOOKSPEED</t>
  </si>
  <si>
    <t>P12 P2P accruals 2019/20, 8038913, LYRECO UK LTD</t>
  </si>
  <si>
    <t>P12 P2P accruals 2019/20, 8039233, PETE RUSSELL</t>
  </si>
  <si>
    <t>P12 P2P accruals 2019/20, 8038842, OXFORD OFFICE FURNITURE LIMITED</t>
  </si>
  <si>
    <t>P12 P2P accruals 2019/20, 8037976, SHOWSEC INTERNATIONAL LTD</t>
  </si>
  <si>
    <t>P12 P2P accruals 2019/20, 8035003, RESTORE DATASHRED LTD</t>
  </si>
  <si>
    <t>P12 P2P accruals 2019/20, 8038445, ROLAND CARLINE</t>
  </si>
  <si>
    <t>P12 P2P accruals 2019/20, 8036289, COMPLETE IT LTD</t>
  </si>
  <si>
    <t>P12 P2P accruals 2019/20, 8036055, RIGHT DIRECTIONS (MANAGEMENT) LTD</t>
  </si>
  <si>
    <t>P12 P2P accruals 2019/20, 8039089, OXFORD SECURITY SERVICES LTD</t>
  </si>
  <si>
    <t>P12 P2P accruals 2019/20, 8038664, WARRIOR DOORS LTD</t>
  </si>
  <si>
    <t>P12 P2P accruals 2019/20, 8038441, OXFORD DIRECT SERVICES LTD</t>
  </si>
  <si>
    <t>P12 P2P accruals 2019/20, 8038113, OXFORD BUS COMPANY LTD</t>
  </si>
  <si>
    <t>reverse 10347980 PO 8027183 not required</t>
  </si>
  <si>
    <t>Reverse 10347980 PO 8038065 not required</t>
  </si>
  <si>
    <t>61240 20/11/2019 - Ceroc</t>
  </si>
  <si>
    <t>61240 09/10/2019 - Ceroc</t>
  </si>
  <si>
    <t>Ceroc Class</t>
  </si>
  <si>
    <t>Hire of Hall 08/03/2020 1.15pm - 4.15pm</t>
  </si>
  <si>
    <t>5 x Door Licences Council Offices - March</t>
  </si>
  <si>
    <t>5 x Door Licences Council Offices march 2020</t>
  </si>
  <si>
    <t>Town Hall Event Wedding Reception Cancelled 2 x 1700-2300</t>
  </si>
  <si>
    <t>Dancin´ Oxford Social Media Contract</t>
  </si>
  <si>
    <t>Mural Painting Rose Hill Gym</t>
  </si>
  <si>
    <t>Move South East Membership fees</t>
  </si>
  <si>
    <t>PAYware Ocius POS Client MONTHLY SERVICE FEES from 15/04/20 to 14/05/20</t>
  </si>
  <si>
    <t>B7038</t>
  </si>
  <si>
    <t>Reversal of 51366162</t>
  </si>
  <si>
    <t>Reverse 10347980 PO 8038316 not required</t>
  </si>
  <si>
    <t>Reverse 10347980 PO 8038064 not required</t>
  </si>
  <si>
    <t>Reverse 10347980 PO 8031904 not required</t>
  </si>
  <si>
    <t>Reverse 10347980 PO 8038066 not required</t>
  </si>
  <si>
    <t>61240 18/12/2019 - Ceroc</t>
  </si>
  <si>
    <t>Reverse 10347980 PO 8038063 not required</t>
  </si>
  <si>
    <t>Reverse 10347980 PO 8037173 not required</t>
  </si>
  <si>
    <t>Reverse 10347980 PO 8037169 not required</t>
  </si>
  <si>
    <t>Reverse 10347980 PO 8037172 not required</t>
  </si>
  <si>
    <t>Unpaid waste invoice 56017253</t>
  </si>
  <si>
    <t>Reverse 10347980 PO 8038242 not required</t>
  </si>
  <si>
    <t>Prepayment: Event Management fee for May Morning 2020 instalment 1, SYGMA SAFETY &amp; EVENTS LTD</t>
  </si>
  <si>
    <t>Refund of 51334882</t>
  </si>
  <si>
    <t>Reverse 10347980 PO 8038201 not required</t>
  </si>
  <si>
    <t>Reverse 10347980 PO 8032977 not required</t>
  </si>
  <si>
    <t>Reverse 10347980 PO 8037167 not required</t>
  </si>
  <si>
    <t>Reverse 10347980 PO 8036835 not required</t>
  </si>
  <si>
    <t>Event Contributions, End of Year Gloria Groos</t>
  </si>
  <si>
    <t>A0705</t>
  </si>
  <si>
    <t>EL16</t>
  </si>
  <si>
    <t>OX05OX16 OXFORDLOTTERY</t>
  </si>
  <si>
    <t>Carfax Tower March 2020</t>
  </si>
  <si>
    <t>30013776</t>
  </si>
  <si>
    <t>Q4 19-20  Profit &amp; Share Oxford Innovation Ltd rev</t>
  </si>
  <si>
    <t>30006963</t>
  </si>
  <si>
    <t>30006750</t>
  </si>
  <si>
    <t>Bar Commission</t>
  </si>
  <si>
    <t>Food &amp; Beverage Commission</t>
  </si>
  <si>
    <t>Commission October 2019</t>
  </si>
  <si>
    <t>65533 19/02/2020 - Ceroc</t>
  </si>
  <si>
    <t>Q4 January - March</t>
  </si>
  <si>
    <t>1st payment of grant for Festival of the ARts 20-21</t>
  </si>
  <si>
    <t>330501305</t>
  </si>
  <si>
    <t>330501306</t>
  </si>
  <si>
    <t>65097 01/08/2020 - Wedding</t>
  </si>
  <si>
    <t>65246 01/08/2020 - Wedding</t>
  </si>
  <si>
    <t>65839 03/04/2020 - Oxford Brookes Real Estate Ball</t>
  </si>
  <si>
    <t>63601 19/06/202019 DILIGENCE GLOBAL</t>
  </si>
  <si>
    <t>64341 29/05/2020 - Party</t>
  </si>
  <si>
    <t>18/04/2020 Reversal of 51364035</t>
  </si>
  <si>
    <t>20/12/202019 SHARED CHRISTMAS PARTY</t>
  </si>
  <si>
    <t>65878 11/12/2020 - Christmas Party</t>
  </si>
  <si>
    <t>65843 09/04/2020 - CTS Reisen Classrooms</t>
  </si>
  <si>
    <t>65677 01/11/2020 - Johnsons Coaches</t>
  </si>
  <si>
    <t>60799 20/06/2020 - Oxford Symphony Orchestra</t>
  </si>
  <si>
    <t>330501228</t>
  </si>
  <si>
    <t>66535 07/08/2021 - Wedding</t>
  </si>
  <si>
    <t>OX05OX16 106396</t>
  </si>
  <si>
    <t>62201 13/03/2021 - Oxford Symphony Orchestra</t>
  </si>
  <si>
    <t>Reversal of 51363919</t>
  </si>
  <si>
    <t>62829 07/08/2020 - The Job Fair</t>
  </si>
  <si>
    <t>62828 06/05/2020 - The Job Fair</t>
  </si>
  <si>
    <t>65919 28/10/2020 - Crank Start at Oxford</t>
  </si>
  <si>
    <t>65630 05/09/2020 - Wedding Reception</t>
  </si>
  <si>
    <t>64022 24/10/2020 - Ceremony</t>
  </si>
  <si>
    <t>63534 23/05/2020 - Ceremony</t>
  </si>
  <si>
    <t>24/10/2020 Reversal of 51361441</t>
  </si>
  <si>
    <t>65965 06/11/2020 - Wedding</t>
  </si>
  <si>
    <t>66145 28/08/2021 - Wedding</t>
  </si>
  <si>
    <t>65030 15/05/2020 - The Bacchus Ball</t>
  </si>
  <si>
    <t>64633 30/06/2020 - St Gregory the Great</t>
  </si>
  <si>
    <t>62173 01/07/2020 - Oxford Philharmonic Orchestra</t>
  </si>
  <si>
    <t>25/11/2020 Reverse 51339009</t>
  </si>
  <si>
    <t>63465 - 07/06/202019 DRIVING FORCE OFFICE</t>
  </si>
  <si>
    <t>K9430</t>
  </si>
  <si>
    <t>66104 02/04/2020 - Mercy Corps</t>
  </si>
  <si>
    <t>66097 20/06/2020 - Ceremony</t>
  </si>
  <si>
    <t>66304 10/10/2020 - Wedding</t>
  </si>
  <si>
    <t>66400 24/07/2020 - Wedding</t>
  </si>
  <si>
    <t>66019 02/10/2020 - Wedding</t>
  </si>
  <si>
    <t>64971 04/09/2021 - Ceremony</t>
  </si>
  <si>
    <t>65173 10/10/2020 - Ceremony</t>
  </si>
  <si>
    <t>64381 31/07/2021 - Ceremony</t>
  </si>
  <si>
    <t>60392 - 04/10/202019 GIN FESTIVAL</t>
  </si>
  <si>
    <t>61079 - 29/11/202019 BIG COUNTRY CONCERT</t>
  </si>
  <si>
    <t>63291 - 11/04/2020 TANGO FESTIVAL</t>
  </si>
  <si>
    <t>01/05/2020 Reversal of 51362524</t>
  </si>
  <si>
    <t>15/05/2020 Refund of 51362511</t>
  </si>
  <si>
    <t>59160 16/05/2020 - OURFC - Dinner</t>
  </si>
  <si>
    <t>65919 28/10/2020 - Crank Start in Oxford</t>
  </si>
  <si>
    <t>64881 06/07/2020 - 14/08/2020 - Classrooms</t>
  </si>
  <si>
    <t>12/05/2020 - APSE</t>
  </si>
  <si>
    <t>63280 24/04/2020 - E F Graduation</t>
  </si>
  <si>
    <t>17/06/2020 Reversal of 51363779</t>
  </si>
  <si>
    <t>63465 11/06/202019 NASA CATERING</t>
  </si>
  <si>
    <t>63491 10/06/202019 OXFORD UK EXCELLENCE</t>
  </si>
  <si>
    <t>Refund of 51348127 10/05/2020</t>
  </si>
  <si>
    <t>Reversal of 51356830 64563 22/08/2020</t>
  </si>
  <si>
    <t>64617 30/07/2020 - Civil Ceremony</t>
  </si>
  <si>
    <t>64347 18/07/2020 - Ceremony / Reception</t>
  </si>
  <si>
    <t>65621 01/05/2020 - Engagement Party</t>
  </si>
  <si>
    <t>65919 28/10/2020 - Crank Start</t>
  </si>
  <si>
    <t>65754 08/11/2020 - Vegan Market</t>
  </si>
  <si>
    <t>07/04/2020 Refund of 51361597</t>
  </si>
  <si>
    <t>07/04/2020 Reversal of 51364038</t>
  </si>
  <si>
    <t>K9245</t>
  </si>
  <si>
    <t>OX09OX16 106397</t>
  </si>
  <si>
    <t>OX09OX16 106398</t>
  </si>
  <si>
    <t>65810 24/06/2020 - Oxford Spires Academy</t>
  </si>
  <si>
    <t>65385 20/11/2020 - MCS Concert</t>
  </si>
  <si>
    <t>330501294</t>
  </si>
  <si>
    <t>66164 27/11/2020 - Oxford Hindu</t>
  </si>
  <si>
    <t>10/10/2020 Reversal of 51359336</t>
  </si>
  <si>
    <t>04/09/2021 Reversal 51359335</t>
  </si>
  <si>
    <t>63102 - 26/06/202019 CO-OPERATIVES FORTNIGHT CELEBRATION</t>
  </si>
  <si>
    <t>63151 - 01/08/202019 OASIS BROTHERS CEREMONY</t>
  </si>
  <si>
    <t>65782 01/04/2020 - Mercy  Corps</t>
  </si>
  <si>
    <t>01/04/2020Reversal of 51362479</t>
  </si>
  <si>
    <t>65382 12/09/2020 - Ceremony</t>
  </si>
  <si>
    <t>14/08/2020 Reversal of 51361092</t>
  </si>
  <si>
    <t>27/06/2020 Refund od 51326360</t>
  </si>
  <si>
    <t>28/10/2020 Reversal of 51364300</t>
  </si>
  <si>
    <t>63371 - 13/06/202020 WEDDING CEREMONY</t>
  </si>
  <si>
    <t>63111 - 18/09/2020 WEDDING CEREMONY</t>
  </si>
  <si>
    <t>62108 17/07/2020 - Ceremony</t>
  </si>
  <si>
    <t>61899 25/04/2020 - Ceremony</t>
  </si>
  <si>
    <t>63541 18/07/2020 - Ceremony</t>
  </si>
  <si>
    <t>63428 10/05/2020 - Ceremony</t>
  </si>
  <si>
    <t>66025 29/08/2020 - Private Dining</t>
  </si>
  <si>
    <t>63878 01/04/2020 - Soundshift</t>
  </si>
  <si>
    <t>27/06/2020 Refund of 51323318 Oxford Harmonic Choir</t>
  </si>
  <si>
    <t>65745 17/05/2020 - Vegan Market</t>
  </si>
  <si>
    <t>62454 16/04/2020 - BASK Conference Dinner</t>
  </si>
  <si>
    <t>63280 24/04/2020 - EF Graduation Ceremony</t>
  </si>
  <si>
    <t>63300 26/05/2020 - St Clares Graduation</t>
  </si>
  <si>
    <t>63350 - 21/11/202019 DIWALI BALL</t>
  </si>
  <si>
    <t>63680 06/06/2020 - Ceremony</t>
  </si>
  <si>
    <t>64203 31/07/2020 - Wedding</t>
  </si>
  <si>
    <t>63741 26/06/2020 - Reception</t>
  </si>
  <si>
    <t>65059 09/08/2020 - Wedding</t>
  </si>
  <si>
    <t>65611 08/08/2020 - Wedding</t>
  </si>
  <si>
    <t>65113 30/10/2020 - Oxford Brookes Caledonian Society</t>
  </si>
  <si>
    <t>65440 09/07/2020 - Nature Based Solution</t>
  </si>
  <si>
    <t>02/06/2020 Refund of 51360585</t>
  </si>
  <si>
    <t>63708 06/07/2020 Oxford Tradition Classrooms</t>
  </si>
  <si>
    <t>62003 03/10/2020 - Cancer Research UK</t>
  </si>
  <si>
    <t>63556 - 13/07/202019 VINTAGE KILO SALE</t>
  </si>
  <si>
    <t>60084 27/06/2020 - Oxford Harmonic Choir</t>
  </si>
  <si>
    <t>63151 - 05/08/202019 &amp; 22/08/202019 CEREMONY</t>
  </si>
  <si>
    <t>61060 08/07/202019 - 02/08/202019 OXBRIDGE TRADITION</t>
  </si>
  <si>
    <t>KV07</t>
  </si>
  <si>
    <t>TVP funding  RIA</t>
  </si>
  <si>
    <t>TVP Funding Contributions Quarter 2, 3 and 4</t>
  </si>
  <si>
    <t>Q4 19-20  Profit &amp; Share Oxford Innovation Ltd</t>
  </si>
  <si>
    <t>330501301  25/3/20  - 23/6/20</t>
  </si>
  <si>
    <t>330501320 rent 01/04/20- 30/06/20</t>
  </si>
  <si>
    <t>FUSION OXFORDS COM ARTS AGENCY LTD 2/4-1/5/20</t>
  </si>
  <si>
    <t>10348076 Jan18-Mar20 Rent Hedena Health REV</t>
  </si>
  <si>
    <t>CEP funds for the Early Years Project 2020/2021.</t>
  </si>
  <si>
    <t>Arts Council - Dancing Oxford 20-21</t>
  </si>
  <si>
    <t>Carfax tower Mgt Fee Feb 20</t>
  </si>
  <si>
    <t>Carfax tower Mgt Fee up to 23rd Mar</t>
  </si>
  <si>
    <t>The University Museums Q4</t>
  </si>
  <si>
    <t>AJ11</t>
  </si>
  <si>
    <t>ACE Grant RIA 2019-20</t>
  </si>
  <si>
    <t>CEP  funding 2020-21</t>
  </si>
  <si>
    <t>Older People ´s services - ring fenced</t>
  </si>
  <si>
    <t>ZG07</t>
  </si>
  <si>
    <t>Events deposits as at 31.03.20</t>
  </si>
  <si>
    <t>Arts Council funding 19-20</t>
  </si>
  <si>
    <t>San Remo contract</t>
  </si>
  <si>
    <t>GAGH &amp; NDPP Q1 funding 20-21 RIA</t>
  </si>
  <si>
    <t>Partial refund of 51358625</t>
  </si>
  <si>
    <t>Refund of 51342332</t>
  </si>
  <si>
    <t>Reversal of 51364305</t>
  </si>
  <si>
    <t>Reversal of 51364485</t>
  </si>
  <si>
    <t>330501341</t>
  </si>
  <si>
    <t>65635 03/10/2020 - Wedding</t>
  </si>
  <si>
    <t>62995 29/05/2020 - Wedding</t>
  </si>
  <si>
    <t>66339 19/09/2020 - Wedding</t>
  </si>
  <si>
    <t>62633 15/04/2020 - Wedding</t>
  </si>
  <si>
    <t>64961 11/04/2020 - Wedding</t>
  </si>
  <si>
    <t>K9424</t>
  </si>
  <si>
    <t>30013658</t>
  </si>
  <si>
    <t>CATCH 22 CHARITY LTD 25/3-23/6/20</t>
  </si>
  <si>
    <t>65940 09/10/2020 - Wedding</t>
  </si>
  <si>
    <t>64048 27/11/2021 - Oxford Harmonic Choir</t>
  </si>
  <si>
    <t>60728 05/06/2020 - Oxford Philharmonic Concert</t>
  </si>
  <si>
    <t>63396 18/06/202019 IVEY SECURITY INTERVIEWS</t>
  </si>
  <si>
    <t>63424 02/05/2020 - Schola Cantorum</t>
  </si>
  <si>
    <t>28/11/2020 Reverse 51345150</t>
  </si>
  <si>
    <t>63838 18/04/2020 - Thamescon</t>
  </si>
  <si>
    <t>63673 23/05/2020 - OUSS SALSA BALL</t>
  </si>
  <si>
    <t>66155 30/04/2020 - Iftar Dinner</t>
  </si>
  <si>
    <t>Reversal of 51366078</t>
  </si>
  <si>
    <t>63857 02/05/2020 - Ceremony</t>
  </si>
  <si>
    <t>Vertidrain contribution from ODS</t>
  </si>
  <si>
    <t>64100 19/09/2020 - Ceremony</t>
  </si>
  <si>
    <t>63978 22/08/2020 - Ceremony</t>
  </si>
  <si>
    <t>22/08/2020 - Ceremony</t>
  </si>
  <si>
    <t>65641 10/07/2020 - Wedding</t>
  </si>
  <si>
    <t>64022 24/10/2020 - wedding</t>
  </si>
  <si>
    <t>63135 04/04/2020 - Heritage Crafts Conference</t>
  </si>
  <si>
    <t>62646 27/03/2021 - Oxford Harmonic Choir</t>
  </si>
  <si>
    <t>64050 26/06/2021 - Oxford Harmonic Choir</t>
  </si>
  <si>
    <t>63230 16/10/2021 - Oxford Welsh Male Voice</t>
  </si>
  <si>
    <t>63044 22/12/2020 - G4 Christmas Concert</t>
  </si>
  <si>
    <t>Refund of 51348951 63143 28/11/2020</t>
  </si>
  <si>
    <t>Refund of 51334369 60799 20/06/2020</t>
  </si>
  <si>
    <t>Reversal of 51355081 29/05/2020</t>
  </si>
  <si>
    <t>64431 19/06/2020 - Caledonian Society</t>
  </si>
  <si>
    <t>64555 02/07/2020 - GWR Conference</t>
  </si>
  <si>
    <t>330501328</t>
  </si>
  <si>
    <t>30002088</t>
  </si>
  <si>
    <t>64858 06/07/2020 - The Brilliant Club</t>
  </si>
  <si>
    <t>30000370</t>
  </si>
  <si>
    <t>30000371</t>
  </si>
  <si>
    <t>30000088</t>
  </si>
  <si>
    <t>30000089</t>
  </si>
  <si>
    <t>64993 15/12/2020 - EBA Conference</t>
  </si>
  <si>
    <t>62717 05/03/2021 - Academy Conference</t>
  </si>
  <si>
    <t>30004843</t>
  </si>
  <si>
    <t>62830 25/11/2020 - The Job Fair</t>
  </si>
  <si>
    <t>30/04/2020 Reversal of 51364013</t>
  </si>
  <si>
    <t>30009056</t>
  </si>
  <si>
    <t>63143 28/11/2020 - Oxford Symphony Orchestra</t>
  </si>
  <si>
    <t>65618 16-18/06/2020 - Oxford University</t>
  </si>
  <si>
    <t>64183 25/07/2020 - Ceremony</t>
  </si>
  <si>
    <t>HOUSING NEEDS PROJECT OCT 2019 - MAR 2020</t>
  </si>
  <si>
    <t>65627 17/06/2020 - OUCS Summer Fair</t>
  </si>
  <si>
    <t>Annual Duty Of Care</t>
  </si>
  <si>
    <t>01/04/2020 Reversal of 51362479</t>
  </si>
  <si>
    <t>27/07/2020 Refund of 51361900</t>
  </si>
  <si>
    <t>63143 - 28/11/2020 OXFORD SYMPHONY ORCHESTRA CONCERT</t>
  </si>
  <si>
    <t>63484 - 05/06/202019 FIRST AID TRAINING</t>
  </si>
  <si>
    <t>63550 - 21/06/202019 OXFORD LINDY EXCHANGE</t>
  </si>
  <si>
    <t>56197 24/06/202019 - 12/08/202019 OSE CLASSROOMS</t>
  </si>
  <si>
    <t>61055 05/07/202019 - 09/08/202019 OXFORD SCHOLASTICA</t>
  </si>
  <si>
    <t>61176 20/10/2020 - The Church of Jesus Christ</t>
  </si>
  <si>
    <t>29/05/2020 Refund of 51316120</t>
  </si>
  <si>
    <t>63411 16/05/2020 - Ceremony</t>
  </si>
  <si>
    <t>66064 25/06/2020 - General Medical Council</t>
  </si>
  <si>
    <t>65723 01/04/2020 - Creation Theatre</t>
  </si>
  <si>
    <t>63796 20/04/2020 - BSOA Spring Scientific</t>
  </si>
  <si>
    <t>01/04/2020 Refund of 51363079</t>
  </si>
  <si>
    <t>61422 14/11/2020 - Oxfam One World Fair</t>
  </si>
  <si>
    <t>62203 19/06/2021 - Oxford Symphony Orchestra</t>
  </si>
  <si>
    <t>59160 20/06/2020 - Oxford University Rugby</t>
  </si>
  <si>
    <t>63623 17/06/202019 INASP MEETING</t>
  </si>
  <si>
    <t>16/04/2020 Reduction of 51364036</t>
  </si>
  <si>
    <t>63566 16/05/2020 - Ceremony</t>
  </si>
  <si>
    <t>59810 16/05/2020 - Wedding Ceremony</t>
  </si>
  <si>
    <t>61899 25/04/2020 - Wedding Ceremony</t>
  </si>
  <si>
    <t>62352 20/06/2020 - Ceremony</t>
  </si>
  <si>
    <t>62633 15/04/2020 - Ceremony</t>
  </si>
  <si>
    <t>62595 05/12/2020 - Oxfordshire Green Fair</t>
  </si>
  <si>
    <t>28/10/2020 Reversal of 51362525</t>
  </si>
  <si>
    <t>63655 12/05/2020 - Royal Philharmonic</t>
  </si>
  <si>
    <t>63619 13/11/2021 - Oxford Symphony Orchestra</t>
  </si>
  <si>
    <t>Housing Needs Project Oct 19 - Mar 20</t>
  </si>
  <si>
    <t>65984 04/05/2020 - Oxford Brookes Business Society</t>
  </si>
  <si>
    <t>11/12/2020 Reversal of 51364042</t>
  </si>
  <si>
    <t>63551 05/09/2020 - Ceremony</t>
  </si>
  <si>
    <t>64383 31/07/2021 - Ceremony</t>
  </si>
  <si>
    <t>64563 22/08/2020 - Wedding</t>
  </si>
  <si>
    <t>65016 10/04/2021 - Wedding Ceremony</t>
  </si>
  <si>
    <t>63986 29/08/2020 - Ceremony</t>
  </si>
  <si>
    <t>64735 04/07/2020 - Ceremony</t>
  </si>
  <si>
    <t>65592 07/07/2020 - Ceremony</t>
  </si>
  <si>
    <t>16/04/2020 Reversal of 51364036</t>
  </si>
  <si>
    <t>59449 30/09/2020 - Conference Dinner</t>
  </si>
  <si>
    <t>60085 21/11/2020 - Oxford Harmonic Choir</t>
  </si>
  <si>
    <t>60085 21/11/2020 - OXFORD HARMONIC CHOIR</t>
  </si>
  <si>
    <t>61424 06/06/2020 - Cothill House 150th Anniversary</t>
  </si>
  <si>
    <t>64346 23/06/2020 - Oxford BRC Open Event</t>
  </si>
  <si>
    <t>65048 03/07/2020 - Oxford Transplant Centre</t>
  </si>
  <si>
    <t>66057 12/03/2022 - Oxford Symphony Orchestra</t>
  </si>
  <si>
    <t>62414 13/11/2020 - Oxford Global Home Conference</t>
  </si>
  <si>
    <t>Reversal of 51359342 65048 03/07/2020</t>
  </si>
  <si>
    <t>63319 22/08/2020 - Ceremony</t>
  </si>
  <si>
    <t>66171 04/09/2020 - Wedding</t>
  </si>
  <si>
    <t>65605 01/05/2021 - Wedding</t>
  </si>
  <si>
    <t>64870 02/10/2021 - The Church of Jesus Christ of Latter Day</t>
  </si>
  <si>
    <t>65070 02/06/2020 - The Wine Society</t>
  </si>
  <si>
    <t>65616 15-17/01/2021 - Oxford Lindy Hoppers</t>
  </si>
  <si>
    <t>59119 12/10/2019 - PRS</t>
  </si>
  <si>
    <t>62010 08/11/2019 - PRS</t>
  </si>
  <si>
    <t>65749 29/04/2020 - APSE</t>
  </si>
  <si>
    <t>12/10/2019 &amp; 07/03/2020 - Bar Commission</t>
  </si>
  <si>
    <t>30009935</t>
  </si>
  <si>
    <t>64022 24/10/2020 - Wedding</t>
  </si>
  <si>
    <t>65789 27/07/2020 - CTS Reisen</t>
  </si>
  <si>
    <t>66418 14/08/2021 - Wedding</t>
  </si>
  <si>
    <t>66549 05/03/2022 - O.U. Amateur Boxing</t>
  </si>
  <si>
    <t>30010505</t>
  </si>
  <si>
    <t>30010506</t>
  </si>
  <si>
    <t>30013652</t>
  </si>
  <si>
    <t>30013653</t>
  </si>
  <si>
    <t>30013654</t>
  </si>
  <si>
    <t>30013655</t>
  </si>
  <si>
    <t>30013656</t>
  </si>
  <si>
    <t>64645 15/08/2020 - See World</t>
  </si>
  <si>
    <t>Reversal of 51357094 63878 01/04/2020</t>
  </si>
  <si>
    <t>330501216</t>
  </si>
  <si>
    <t>Reversal of 51354429 64355 27/11/2020</t>
  </si>
  <si>
    <t>64935 23/05/2020 - Wedding Ceremony</t>
  </si>
  <si>
    <t>65173 10/10/2020 - Wedding</t>
  </si>
  <si>
    <t>330501299</t>
  </si>
  <si>
    <t>330501300</t>
  </si>
  <si>
    <t>64937 30/10/2020 - Wedding</t>
  </si>
  <si>
    <t>330501219</t>
  </si>
  <si>
    <t>64971 04/09/2021 - Wedding</t>
  </si>
  <si>
    <t>330501323</t>
  </si>
  <si>
    <t>65236 13/10/2020 - Find A University</t>
  </si>
  <si>
    <t>65174 07/04/2020  - Oxford Cowley Congregation</t>
  </si>
  <si>
    <t>65294 15/06/2020 - Formal Dinner</t>
  </si>
  <si>
    <t>330501324</t>
  </si>
  <si>
    <t>330501325</t>
  </si>
  <si>
    <t>09/04/2020 Refund of 51362514</t>
  </si>
  <si>
    <t>ACE grant ´Young Voices´ RIA</t>
  </si>
  <si>
    <t>TORCH grant RIA</t>
  </si>
  <si>
    <t>ACE grant  ´Digital Makers Space´  RIA</t>
  </si>
  <si>
    <t>HLF claims Aug 29 - Mar 20</t>
  </si>
  <si>
    <t>HLF claims Aug 29 - Mar 20 RIA</t>
  </si>
  <si>
    <t>30011494</t>
  </si>
  <si>
    <t>63796 20/04/2020 - Conference</t>
  </si>
  <si>
    <t>63708 06/07/2020 - Oxford Tradition Classrooms</t>
  </si>
  <si>
    <t>64397 29/07/2020 - Oxbridge Academic</t>
  </si>
  <si>
    <t>63855 12/09/2020 - Rum &amp; Reggae Festival</t>
  </si>
  <si>
    <t>65467 12/07/2020 - Summer School Opening Night</t>
  </si>
  <si>
    <t>63939 14/05/2021 - Refugee Week Exhibition</t>
  </si>
  <si>
    <t>65638 15/07/2020 - St Joseph´s Catholic</t>
  </si>
  <si>
    <t>62787 31/10/2020 - Oxford Welsh Male Voice</t>
  </si>
  <si>
    <t>65704 17/04/2021 - Wedding</t>
  </si>
  <si>
    <t>64355 27/11/2020 - Prosecco Festival</t>
  </si>
  <si>
    <t>18/04/2020 Refund of 51349842</t>
  </si>
  <si>
    <t>05/06/2020 Refund of 51350672</t>
  </si>
  <si>
    <t>30013657</t>
  </si>
  <si>
    <t>D3002</t>
  </si>
  <si>
    <t>reverse 10347980 PO 8038171 not required</t>
  </si>
  <si>
    <t>P12 P2P accruals 2019/20, 8027667, PETE RUSSELL</t>
  </si>
  <si>
    <t>P12 P2P accruals 2019/20, 8034921, OCEAN MEDIA GROUP LTD</t>
  </si>
  <si>
    <t>P12 P2P accruals 2019/20, 8027888, BISHOP SPORTS &amp; LEISURE LTD</t>
  </si>
  <si>
    <t>D3023</t>
  </si>
  <si>
    <t>P12 P2P accruals 2019/20, 8036508, BMA VARSITY LTD</t>
  </si>
  <si>
    <t>P12 P2P accruals 2019/20, 8037542, WERNICK HIRE LTD</t>
  </si>
  <si>
    <t>P12 P2P accruals 2019/20, 8038662, PGL TRAVEL LTD</t>
  </si>
  <si>
    <t>St Aldate´s Chambers Acc: 3004980704  Gas 01/03/20 - 31/03/20</t>
  </si>
  <si>
    <t>P12 P2P accruals 2019/20, 8036835, OXFORD DIRECT SERVICES TRADING LTD</t>
  </si>
  <si>
    <t>Town Hall Acc: 3004980660  Gas 01/03/20 - 31/03/20</t>
  </si>
  <si>
    <t>P12 P2P accruals 2019/20, 8038857, ROLAND CARLINE</t>
  </si>
  <si>
    <t>P12 P2P accruals 2019/20, 8034412, ARTS AT THE OLD FIRE STATION</t>
  </si>
  <si>
    <t>P12 P2P accruals 2019/20, 8031661, OXFORDSHIRE COUNTY COUNCIL</t>
  </si>
  <si>
    <t>Leys Pools &amp; Leisure Centre Acc: 3004980682  Gas 01/03/20 - 31/03/20</t>
  </si>
  <si>
    <t>Ferry Leisure Centre Acc: 3004980671  Gas 01/03/20 - 31/03/20</t>
  </si>
  <si>
    <t>P12 P2P accruals 2019/20, 8032355, OXFORD SECURITY SERVICES LTD</t>
  </si>
  <si>
    <t>Leys Pools &amp; Leisure Centre Acc: 3004980825  Gas 01/03/20 - 31/03/20</t>
  </si>
  <si>
    <t>D3425</t>
  </si>
  <si>
    <t>P12 P2P accruals 2019/20, 8035416, CHARLES WOOD &amp; SONS</t>
  </si>
  <si>
    <t>P12 P2P accruals 2019/20, 8039170, BOUNCE DESIGN LTD</t>
  </si>
  <si>
    <t>P12 P2P accruals 2019/20, 8034453, REBOUND REVOLUTION (BICESTER) LTD</t>
  </si>
  <si>
    <t>Cabintet - Off Site - Paper Confidential x 2, Paper surcharge Fee</t>
  </si>
  <si>
    <t>P12 P2P accruals 2019/20, 8033061, FLORENCE PARK COMMUNITY ASSOCIATION</t>
  </si>
  <si>
    <t>P12 P2P accruals 2019/20, 8026976, OXFORD CITY FC (TRADING) LTD</t>
  </si>
  <si>
    <t>P12 P2P accruals 2019/20, 8037805, OXFORD SECURITY SERVICES LTD</t>
  </si>
  <si>
    <t>Barton Neighbourhood Centre Acc: 3004980638  Gas 01/03/20 - 31/03/20</t>
  </si>
  <si>
    <t>Jubilee 77 Community Centre Acc: KS86222K  Electricity 01/01/20 - 31/03/20</t>
  </si>
  <si>
    <t>Barton Park Grounds Maintenance 19-20  corr</t>
  </si>
  <si>
    <t>St Aldate´s Chambers Acc: 88888893497  Water 14/11/19 - 14/02/20</t>
  </si>
  <si>
    <t>Oxford Town Hall Acc: 88888893503  Water 10/11/19 - 10/02/20</t>
  </si>
  <si>
    <t>Ferry Leisure Centre Acc: 3005051731  Gas 01/03/20 - 31/03/20</t>
  </si>
  <si>
    <t>Blackbird Leys Community Centre Acc: 88888895170  Water 10/11/19 - 10/02/20</t>
  </si>
  <si>
    <t>P12 P2P accruals 2019/20, 8037544, FRAN MONKS</t>
  </si>
  <si>
    <t>P12 P2P accruals 2019/20, 8036062, EMC MEDICAL SERVICES LTD</t>
  </si>
  <si>
    <t>P12 P2P accruals 2019/20, 8037967, OXFORD BUS COMPANY LTD</t>
  </si>
  <si>
    <t>P12 P2P accruals 2019/20, 8027849, THE OXFORDSHIRE TAXI COMPANY LIMITED</t>
  </si>
  <si>
    <t>P12 P2P accruals 2019/20, 8037945, RUSH UK</t>
  </si>
  <si>
    <t>P12 P2P accruals 2019/20, 8037173, OXFORD DIRECT SERVICES TRADING LTD</t>
  </si>
  <si>
    <t>P12 P2P accruals 2019/20, 8032133, CARBON COLOUR COMPANY LTD</t>
  </si>
  <si>
    <t>LIFE FITNESS UK LTD 8039419</t>
  </si>
  <si>
    <t>P12 P2P accruals 2019/20, 8036272, THAT EVENT COMPANY LTD</t>
  </si>
  <si>
    <t>P12 P2P accruals 2019/20, 8026628, BHARAT PATEL</t>
  </si>
  <si>
    <t>P12 P2P accruals 2019/20, 8036338, OXFORD OFFICE FURNITURE LIMITED</t>
  </si>
  <si>
    <t>P12 P2P accruals 2019/20, 8038469, ADDACARD LTD</t>
  </si>
  <si>
    <t>P12 P2P accruals 2019/20, 8038759, ADDACARD LTD</t>
  </si>
  <si>
    <t>P12 P2P accruals 2019/20, 8037985, ST JOHN AMBULANCE</t>
  </si>
  <si>
    <t>P12 P2P accruals 2019/20, 8037169, OXFORD DIRECT SERVICES TRADING LTD</t>
  </si>
  <si>
    <t>P12 P2P accruals 2019/20, 8036660, OXFORDSHIRE COUNTY COUNCIL</t>
  </si>
  <si>
    <t>Cleaning / Caretaking Mar 20</t>
  </si>
  <si>
    <t>Hinksey Outdoor Pool &amp; Splash Feature Acc: 3004980770  Gas 01/03/20 - 31/03/20</t>
  </si>
  <si>
    <t>Barton Leisure Centre Acc: 3004980792  Gas 01/03/20 - 31/03/20</t>
  </si>
  <si>
    <t>Rose Hill Community Centre Acc: 3005148861  Gas 01/03/20 - 31/03/20</t>
  </si>
  <si>
    <t>P12 P2P accruals 2019/20, 8033042, ROSE HILL JUNIOR YOUTH CLUB</t>
  </si>
  <si>
    <t>P12 P2P accruals 2019/20, 8037567, ROSE HILL JUNIOR YOUTH CLUB</t>
  </si>
  <si>
    <t>P12 P2P accruals 2019/20, 8036788, GAP GROUP LTD</t>
  </si>
  <si>
    <t>P12 P2P accruals 2019/20, 8030388, OXFORD BUS COMPANY LTD</t>
  </si>
  <si>
    <t>P12 P2P accruals 2019/20, 8030161, ARGOS BUSINESS SOLUTIONS</t>
  </si>
  <si>
    <t>P12 P2P accruals 2019/20, 8038079, PGL TRAVEL LTD</t>
  </si>
  <si>
    <t>P12 P2P accruals 2019/20, 8034670, LYRECO UK LTD</t>
  </si>
  <si>
    <t>P12 P2P accruals 2019/20, 8039303, MERLIN PORTER</t>
  </si>
  <si>
    <t>P12 P2P accruals 2019/20, 8039324, SHOWSEC INTERNATIONAL LTD</t>
  </si>
  <si>
    <t>P12 P2P accruals 2019/20, 8035342, OXFORD OFFICE FURNITURE LIMITED</t>
  </si>
  <si>
    <t>Oxford Ice Rink Acc: 3004980760  Gas 01/03/20 - 31/03/20</t>
  </si>
  <si>
    <t>P12 P2P accruals 2019/20, 8039231, PETE RUSSELL</t>
  </si>
  <si>
    <t>OX09OX16 702678815 ST ALDATES CHAMBERS</t>
  </si>
  <si>
    <t>P12 P2P accruals 2019/20, 8039094, SIMON BOURNE  (RIGHT ANGLE DESIGN)</t>
  </si>
  <si>
    <t>P12 P2P accruals 2019/20, 8036000, ARTIFAX SOFTWARE LTD</t>
  </si>
  <si>
    <t>P12 P2P accruals 2019/20, 8039382, OXFORD HUB</t>
  </si>
  <si>
    <t>OX09OX16 702151112 NEW INN YARD SAC</t>
  </si>
  <si>
    <t>P12 P2P accruals 2019/20, 8039167, SIMON BOURNE  (RIGHT ANGLE DESIGN)</t>
  </si>
  <si>
    <t>P12 P2P accruals 2019/20, 8027454, OXFORD DIRECT SERVICES LTD</t>
  </si>
  <si>
    <t>OX09OX16 711953671 YOUTH IT HUB BBLCC</t>
  </si>
  <si>
    <t>OX09OX16 711953662 GND FLR OFFICE 2 BBLCC</t>
  </si>
  <si>
    <t>OX09OX16 711953653 GRN FLR OFFICE  1 BBLCC</t>
  </si>
  <si>
    <t>OX09OX16 711952783 BARTON POOL</t>
  </si>
  <si>
    <t>OX09OX16 705318218 CARFAX TOWER</t>
  </si>
  <si>
    <t>OX09OX16 711952809 FERRY SPORTS CEDNTRE</t>
  </si>
  <si>
    <t>12 months subscription for 5 users (Inv.1530)</t>
  </si>
  <si>
    <t>HPLA - ref J. Baughan</t>
  </si>
  <si>
    <t>64129 11/11/2020 - The Job Fair</t>
  </si>
  <si>
    <t>P12 P2P accruals 2019/20, 8038850, WARRIOR DOORS LTD</t>
  </si>
  <si>
    <t>P12 P2P accruals 2019/20, 8030814, LEISUREJOBS</t>
  </si>
  <si>
    <t>P12 P2P accruals 2019/20, 8036043, LITTLEMORE COMMUNITY ASSOCIATION</t>
  </si>
  <si>
    <t>P12 P2P accruals 2019/20, 8038449, EUTON DALEY</t>
  </si>
  <si>
    <t>A0636</t>
  </si>
  <si>
    <t>P12 P2P accruals 2019/20, 8039064, APSE</t>
  </si>
  <si>
    <t>P12 P2P accruals 2019/20, 8039375, BIOREGIONAL DEVELOPMENT GROUP</t>
  </si>
  <si>
    <t>P12 P2P accruals 2019/20, 8036057, RIGHT DIRECTIONS (MANAGEMENT) LTD</t>
  </si>
  <si>
    <t>P12 P2P accruals 2019/20, 8038443, ROLAND CARLINE</t>
  </si>
  <si>
    <t>P12 P2P accruals 2019/20, 8030526, PETE RUSSELL</t>
  </si>
  <si>
    <t>P12 P2P accruals 2019/20, 8038201, OXFORD DIRECT SERVICES TRADING LTD</t>
  </si>
  <si>
    <t>P12 P2P accruals 2019/20, 8037977, SHOWSEC INTERNATIONAL LTD</t>
  </si>
  <si>
    <t>P12 P2P accruals 2019/20, 8030694, WOOD FARM YOUTH CENTRE</t>
  </si>
  <si>
    <t>P12 P2P accruals 2019/20, 8025608, NEWSQUEST MIDLANDS, WALES &amp; SOUTH WEST</t>
  </si>
  <si>
    <t>P12 P2P accruals 2019/20, 8030889, BARTON COMMUNITY ASSOCIATION</t>
  </si>
  <si>
    <t>D3029</t>
  </si>
  <si>
    <t>P12 P2P accruals 2019/20, 8036336, AQA EDUCATION</t>
  </si>
  <si>
    <t>P12 P2P accruals 2019/20, 8033508, OXFORDSHIRE COUNTY COUNCIL</t>
  </si>
  <si>
    <t>P12 P2P accruals 2019/20, 8038170, TEI WILLIAMS PRESS &amp; ARTS MARKETING</t>
  </si>
  <si>
    <t>D3412</t>
  </si>
  <si>
    <t>2019-20 FLC JUA Agreement recharge to Fusion</t>
  </si>
  <si>
    <t>OX09OX16 711953733 STUDIO AT BBLCC</t>
  </si>
  <si>
    <t>OX09OX16 711953724 MAIN HALL BBLCC</t>
  </si>
  <si>
    <t>OX09OX16 711953715 BLACKBIRD LEYS CC</t>
  </si>
  <si>
    <t>OX09OX16 711953706 1ST FLR OFFICE 1 BBLCC</t>
  </si>
  <si>
    <t>Barton Park Grounds Maintenance 19-20</t>
  </si>
  <si>
    <t>OX09OX16 71195369X 1ST FLR OFFICE 2 BBLCC</t>
  </si>
  <si>
    <t>OX09OX16 711953680 1ST FLR OFFICE 3 BBLCC</t>
  </si>
  <si>
    <t>P12 P2P accruals 2019/20, 8038242, OXFORD DIRECT SERVICES TRADING LTD</t>
  </si>
  <si>
    <t>10348089 SAC waste Mar 20 rev</t>
  </si>
  <si>
    <t>P12 P2P accruals 2019/20, 8037978, VENUE FINDING EXPERT</t>
  </si>
  <si>
    <t>OX09OX16 711927143 CAROLES WAY ROSE HILL</t>
  </si>
  <si>
    <t>Town Hall - St Aldates</t>
  </si>
  <si>
    <t>OX09OX16 711926415 117A COWLEY ROAD</t>
  </si>
  <si>
    <t>P12 P2P accruals 2019/20, 8035489, REBOUND REVOLUTION (BICESTER) LTD</t>
  </si>
  <si>
    <t>OX09OX16 711919924 COMMUNITY CENTRE SORRELL ROAD</t>
  </si>
  <si>
    <t>P12 P2P accruals 2019/20, 8036519, FUSION-OXFORD´S COMMUNITY ARTS AGENCY LIMITED</t>
  </si>
  <si>
    <t>P12 P2P accruals 2019/20, 8036335, OFCOM</t>
  </si>
  <si>
    <t>P12 P2P accruals 2019/20, 8038066, OXFORD DIRECT SERVICES TRADING LTD</t>
  </si>
  <si>
    <t>P12 P2P accruals 2019/20, 8028894, THE OXFORDSHIRE TAXI COMPANY LIMITED</t>
  </si>
  <si>
    <t>P12 P2P accruals 2019/20, 8031016, NORTHWAY COMMUNITY ASSOC</t>
  </si>
  <si>
    <t>P12 P2P accruals 2019/20, 8037239, OXFORD HINDU TEMPLE &amp; COMMUNITY CENTRE</t>
  </si>
  <si>
    <t>P12 P2P accruals 2019/20, 8030525, PETE RUSSELL</t>
  </si>
  <si>
    <t>P12 P2P accruals 2019/20, 8037998, ST JOHN AMBULANCE</t>
  </si>
  <si>
    <t>P12 P2P accruals 2019/20, 8037838, NORTHWAY COMMUNITY ASSOC</t>
  </si>
  <si>
    <t>OX09OX16 708517918 NORTHWAY PLAY &amp; CHILDCARE CEDNTRE</t>
  </si>
  <si>
    <t>OX09OX16 700687019 OXFORD CORPORATION COLLINS ST</t>
  </si>
  <si>
    <t>P12 P2P accruals 2019/20, 8037172, OXFORD DIRECT SERVICES TRADING LTD</t>
  </si>
  <si>
    <t>P12 P2P accruals 2019/20, 8035743, ST JOHN AMBULANCE</t>
  </si>
  <si>
    <t>P12 P2P accruals 2019/20, 8038860, OXFORD BUS COMPANY LTD</t>
  </si>
  <si>
    <t>P12 P2P accruals 2019/20, 8031364, OXFORDSHIRE COUNTY COUNCIL</t>
  </si>
  <si>
    <t>P12 P2P accruals 2019/20, 8031221, NORTHWAY COMMUNITY ASSOC</t>
  </si>
  <si>
    <t>OX09OX16 711918580 TOWN HALL</t>
  </si>
  <si>
    <t>P12 P2P accruals 2019/20, 8033620, THE MADISON GROUP</t>
  </si>
  <si>
    <t>P12 P2P accruals 2019/20, 8038316, OXFORD DIRECT SERVICES TRADING LTD</t>
  </si>
  <si>
    <t>2019/20 P12 8038236, OXFORD DIRECT SERVICES LTD - (SERVITOR ONLY),</t>
  </si>
  <si>
    <t>ZEZ SIGNAGEZEZ SIGNAGE JOB NUMBER:11219624 ADDRESS:SIGN SHOP,COWLEY MARSH DEPOT</t>
  </si>
  <si>
    <t>Antibacterial Hand Sanitiser 70% Alcohol 5Ltr</t>
  </si>
  <si>
    <t>P12 P2P accruals 2019/20, 8036783, LYNSEY DOEL</t>
  </si>
  <si>
    <t>MORRELL AVENUE ZEBRA CROSSING WORK - 10K CIL FUNDING YET TOMORRELL AVENUE ZEBRA CROSSING WORK - 10K CIL FUNDING YET TO JOB NUMBER:10793369 ADDRESS:MORRELL AVENUE,OXFORD</t>
  </si>
  <si>
    <t>Cleaning Materials Stock as at 31/03/2020</t>
  </si>
  <si>
    <t>P12 P2P accruals 2019/20, 8027190, OXFORD DIRECT SERVICES LTD</t>
  </si>
  <si>
    <t>P12 P2P accruals 2019/20, 8037797, WOOD FARM YOUTH CENTRE</t>
  </si>
  <si>
    <t>P12 P2P accruals 2019/20, 8038440, NEWSQUEST MIDLANDS, WALES &amp; SOUTH WEST</t>
  </si>
  <si>
    <t>P12 P2P accruals 2019/20, 8029593, BARTON COMMUNITY ASSOCIATION</t>
  </si>
  <si>
    <t>MORRELL AVENUE ZEBRA CROSSING WORK - 10K CIL FUNDING YET TOMORRELL AVENUE ZEBRA CROSSING WORK - 10K CIL FUNDING YET TO JOB NUMBER:11209197 ADDRESS:MORRELL AVENUE,</t>
  </si>
  <si>
    <t>Barton Park Grounds Maintenance 19-20 REV</t>
  </si>
  <si>
    <t>P12 P2P accruals 2019/20, 8037655, EXPERIENCE OXFORDSHIRE</t>
  </si>
  <si>
    <t>P12 P2P accruals 2019/20, 8035858, KD MEDIA PUBLISHING</t>
  </si>
  <si>
    <t>P12 P2P accruals 2019/20, 8038856, RACHEL GILDEA</t>
  </si>
  <si>
    <t>P12 P2P accruals 2019/20, 8032977, OXFORD DIRECT SERVICES TRADING LTD</t>
  </si>
  <si>
    <t>P12 P2P accruals 2019/20, 8034233, REBOUND REVOLUTION (BICESTER) LTD</t>
  </si>
  <si>
    <t>supply and install new wheelchair swing Sanfield</t>
  </si>
  <si>
    <t>REntal Charges Acc 261548</t>
  </si>
  <si>
    <t>First year of PLI for InsightShare/Westhill Project</t>
  </si>
  <si>
    <t>Westhill Project - Establish path from car park to main site at Westhill Farm</t>
  </si>
  <si>
    <t>P12 P2P accruals 2019/20, 8027183, OXFORD DIRECT SERVICES LTD</t>
  </si>
  <si>
    <t>P12 P2P accruals 2019/20, 8038064, OXFORD DIRECT SERVICES TRADING LTD</t>
  </si>
  <si>
    <t>P12 P2P accruals 2019/20, 8036157, ARK T CENTRE</t>
  </si>
  <si>
    <t>Westhill Project - Poles and canvas for outroom classroom space</t>
  </si>
  <si>
    <t>AM20</t>
  </si>
  <si>
    <t>P12 P2P accruals 2019/20, 8027780, ASA AWARDING BODY</t>
  </si>
  <si>
    <t>P12 P2P accruals 2019/20, 8037625, OCC - WOOD FARM SCHOOL</t>
  </si>
  <si>
    <t>P12 P2P accruals 2019/20, 8038542, LYRECO UK LTD</t>
  </si>
  <si>
    <t>Westhill Project - Fire pit and Outdoor Kitchen</t>
  </si>
  <si>
    <t>Westhill Project - Entrance Sign to Site</t>
  </si>
  <si>
    <t>Barton Needs Assessment brochure</t>
  </si>
  <si>
    <t>Westhill Project - Compost Toilet</t>
  </si>
  <si>
    <t>P12 P2P accruals 2019/20, 8038747, OXFORD OFFICE FURNITURE LIMITED</t>
  </si>
  <si>
    <t>P12 P2P accruals 2019/20, 8033368, BISHOP SPORTS &amp; LEISURE LTD</t>
  </si>
  <si>
    <t>P12 P2P accruals 2019/20, 8039168, ROLAND CARLINE</t>
  </si>
  <si>
    <t>P12 P2P accruals 2019/20, 8037167, OXFORD DIRECT SERVICES TRADING LTD</t>
  </si>
  <si>
    <t>P12 P2P accruals 2019/20, 8038171, OXFORD DIRECT SERVICES LTD</t>
  </si>
  <si>
    <t>P12 P2P accruals 2019/20, 8036949, FUSION LIFESTYLE</t>
  </si>
  <si>
    <t>P12 P2P accruals 2019/20, 8027250, ALERTER GROUP PLC</t>
  </si>
  <si>
    <t>P12 P2P accruals 2019/20, 8029466, CONFERENCES UK LIMITED</t>
  </si>
  <si>
    <t>P12 P2P accruals 2019/20, 8036326, OXFORDSHIRE CHINESE COMMUNITY</t>
  </si>
  <si>
    <t>P12 P2P accruals 2019/20, 8033624, OXFORDSHIRE COUNTY COUNCIL</t>
  </si>
  <si>
    <t>P12 P2P accruals 2019/20, 8037051, OXFORD SECURITY SERVICES LTD</t>
  </si>
  <si>
    <t>P12 P2P accruals 2019/20, 8037050, OXFORD SECURITY SERVICES LTD</t>
  </si>
  <si>
    <t>P12 P2P accruals 2019/20, 8038970, FUSION LIFESTYLE</t>
  </si>
  <si>
    <t>P12 P2P accruals 2019/20, 8032354, OXFORD SECURITY SERVICES LTD</t>
  </si>
  <si>
    <t>P12 P2P accruals 2019/20, 8038622, SAFE! SUPPORTING YOUNG VICTIMS</t>
  </si>
  <si>
    <t>P12 P2P accruals 2019/20, 8032444, OXFORD SECURITY SERVICES LTD</t>
  </si>
  <si>
    <t>P12 P2P accruals 2019/20, 8028864, NORTHWAY COMMUNITY ASSOC</t>
  </si>
  <si>
    <t>P12 P2P accruals 2019/20, 8028643, CITY AUDIO VISUAL</t>
  </si>
  <si>
    <t>P12 P2P accruals 2019/20, 8035787, HEWICK EVENTS</t>
  </si>
  <si>
    <t>P12 P2P accruals 2019/20, 8039311, OXFORD DIRECT SERVICES LTD</t>
  </si>
  <si>
    <t>P12 P2P accruals 2019/20, 8039140, OXFORD HINDU TEMPLE &amp; COMMUNITY CENTRE</t>
  </si>
  <si>
    <t>Interpretation project (InsightShare)</t>
  </si>
  <si>
    <t>P12 P2P accruals 2019/20, 8034232, REBOUND REVOLUTION (BICESTER) LTD</t>
  </si>
  <si>
    <t>P12 P2P accruals 2019/20, 8031014, POSTURITE LTD</t>
  </si>
  <si>
    <t>P12 P2P accruals 2019/20, 8029903, GOVNET COMMUNICATIONS</t>
  </si>
  <si>
    <t>P12 P2P accruals 2019/20, 8038506, SIMON BOURNE  (RIGHT ANGLE DESIGN)</t>
  </si>
  <si>
    <t>PO 8039142 AS - PAUL OATES TO INSTALL A HAND-SANITISER UNIT/PO 8039142 AS - PAUL OATES TO INSTALL A HAND-SANITISER UNIT/ JOB NUMBER:11226994 ADDRESS:ST ALDATES CHAMBERS,109-113 ST ALDATES</t>
  </si>
  <si>
    <t>CLEARANCE OF THE BLOCKED DRAINAGE CHAMBER AT BULLINGDON COMMCLEARANCE OF THE BLOCKED DRAINAGE CHAMBER AT BULLINGDON COMM JOB NUMBER:11209098 ADDRESS:BULLINGDON COMMUNITY CENTRE,OXFORD</t>
  </si>
  <si>
    <t>P12 P2P accruals 2019/20, 8035856, LYRECO UK LTD</t>
  </si>
  <si>
    <t>P12 P2P accruals 2019/20, 8038063, OXFORD DIRECT SERVICES TRADING LTD</t>
  </si>
  <si>
    <t>P12 P2P accruals 2019/20, 8033059, BARTON COMMUNITY ASSOCIATION</t>
  </si>
  <si>
    <t>BNC  Elec Mar</t>
  </si>
  <si>
    <t>P12 P2P accruals 2019/20, 8026977, NORTHWAY COMMUNITY ASSOC</t>
  </si>
  <si>
    <t>BNC  Gas Mar</t>
  </si>
  <si>
    <t>BBL  Gas  Feb- Mar</t>
  </si>
  <si>
    <t>BBL  Gas  Mar</t>
  </si>
  <si>
    <t>P12 P2P accruals 2019/20, 8038957, OXFORD EVENT HIRE LTD</t>
  </si>
  <si>
    <t>BBL  Nov - Mar</t>
  </si>
  <si>
    <t>JCC  Nov - Mar</t>
  </si>
  <si>
    <t>P12 P2P accruals 2019/20, 8030242, THE KNOWLEDGE ACADEMY LTD.</t>
  </si>
  <si>
    <t>P12 P2P accruals 2019/20, 8038444, ROLAND CARLINE</t>
  </si>
  <si>
    <t>BNC  Nov - Mar</t>
  </si>
  <si>
    <t>BBL  Elec Dec - Mar</t>
  </si>
  <si>
    <t>JCC  Elec Jan - Mar</t>
  </si>
  <si>
    <t>EOCC  Elec Mar</t>
  </si>
  <si>
    <t>RHCC  Elec Mar</t>
  </si>
  <si>
    <t>EOGH Elec Mar</t>
  </si>
  <si>
    <t>P12 P2P accruals 2019/20, 8036056, RIGHT DIRECTIONS (MANAGEMENT) LTD</t>
  </si>
  <si>
    <t>P12 P2P accruals 2019/20, 8035978, RIGHT DIRECTIONS (MANAGEMENT) LTD</t>
  </si>
  <si>
    <t>EOCC  Nov 18 - Mar 20</t>
  </si>
  <si>
    <t>RHCC  Oct - Mar</t>
  </si>
  <si>
    <t>EOCC  Gas Mar</t>
  </si>
  <si>
    <t>P12 P2P accruals 2019/20, 8038955, CHOOSEYOUREVENT.COM LTD</t>
  </si>
  <si>
    <t>RHCC  Gas Mar</t>
  </si>
  <si>
    <t>EOGH  Gas Mar</t>
  </si>
  <si>
    <t>EOGH  Nov - Mar</t>
  </si>
  <si>
    <t>P12 P2P accruals 2019/20, 8032438, COWLEY ROAD WORKS (EAST OXFORD ACTION CHARITY)</t>
  </si>
  <si>
    <t>St Aldate´s Chambers Acc: 88888893501  Water 10/02/20 - 31/03/20</t>
  </si>
  <si>
    <t>P12 P2P accruals 2019/20, 8039336, COMMUNITY MATTERS YORKSHIRE</t>
  </si>
  <si>
    <t>P12 P2P accruals 2019/20, 8038450, OXFORDSHIRE COUNTY COUNCIL</t>
  </si>
  <si>
    <t>P12 P2P accruals 2019/20, 8032115, SYGMA SAFETY &amp; EVENTS LTD</t>
  </si>
  <si>
    <t>P12 P2P accruals 2019/20, 8035443, PETE RUSSELL</t>
  </si>
  <si>
    <t>P12 P2P accruals 2019/20, 8030796, TEI WILLIAMS PRESS &amp; ARTS MARKETING</t>
  </si>
  <si>
    <t>P12 P2P accruals 2019/20, 8032966, BARTON COMMUNITY ASSOCIATION ( EATWELLS CAFE)</t>
  </si>
  <si>
    <t>P12 P2P accruals 2019/20, 8039232, PETE RUSSELL</t>
  </si>
  <si>
    <t>P12 P2P accruals 2019/20, 8032600, THE MILL ARTS CENTRE TRUST</t>
  </si>
  <si>
    <t>P12 P2P accruals 2019/20, 8035903, OXFORD GRENOBLE ASSOCIATION</t>
  </si>
  <si>
    <t>P12 P2P accruals 2019/20, 8031904, OXFORD DIRECT SERVICES TRADING LTD</t>
  </si>
  <si>
    <t>P12 P2P accruals 2019/20, 8037840, OXFORD GRENOBLE ASSOCIATION</t>
  </si>
  <si>
    <t>P12 P2P accruals 2019/20, 8035004, RESTORE DATASHRED LTD</t>
  </si>
  <si>
    <t>EOCC  Elec Feb - Mar</t>
  </si>
  <si>
    <t>2019/20 P12 accruals, 8039044, OXFORD DIRECT SERVICES LTD - (SERVITOR ONLY), Hedges for Dunstan Park . Labour included by tbc if needed. as agreed with Julian Cooper, accrue as per M Woods</t>
  </si>
  <si>
    <t>1st payment of grant to Oxford CAB 20-21</t>
  </si>
  <si>
    <t>Jan to Mar 20 OSFT FLC Squash recharge to Fusion</t>
  </si>
  <si>
    <t>P12 P2P accruals 2019/20, 8036924, LIGHTHOUSE EVENTS LTD</t>
  </si>
  <si>
    <t>Souther Sports and Leisure Seminar 23/04/2020 London - Delgate Fee Hagan Lewisman</t>
  </si>
  <si>
    <t>1st payment of grant to Parasol 20-21</t>
  </si>
  <si>
    <t>2019-20 OLW adjustment to Fusion</t>
  </si>
  <si>
    <t>1.00 OCC: OPL workshops for community centres</t>
  </si>
  <si>
    <t>1st payment of grant to BBLNSS 202-21</t>
  </si>
  <si>
    <t>1st payment of grant to OCWA 20-21</t>
  </si>
  <si>
    <t>2019/20 P12 accruals, 8039373, OXFORD DIRECT SERVICES LTD - (SERVITOR ONLY), Prep work for Cutteslowe and Bury Knowle inc piping and soakaway, as agreed with Julian Cooper, accrue as per M Woods</t>
  </si>
  <si>
    <t>2019/20 P12 accruals, 8039060, MIW OFFICE SOLUTIONS LTD, CT_FEES: WATER FOUNTAINS, accrue as per M Woods</t>
  </si>
  <si>
    <t>P12 P2P accruals 2019/20, 8031433, ARCO LTD</t>
  </si>
  <si>
    <t>P12 P2P accruals 2019/20, 8038854, RACHEL GILDEA</t>
  </si>
  <si>
    <t>2019/20 P12 accruals, 8039061, MIW OFFICE SOLUTIONS LTD, CT_FEES: WATER FOUNTAINS, accrue as per M Woods</t>
  </si>
  <si>
    <t>2019/20 P12 accruals, 8039061, MIW OFFICE SOLUTIONS LTD, Delivery/Carriage for Bury Knowle and Cutteslowe units, accrue as per M Woods</t>
  </si>
  <si>
    <t>2019/20 P12 accruals, 8039373, OXFORD DIRECT SERVICES LTD - (SERVITOR ONLY), Slab work for Florence Park as agreed with Julian Cooper, accrue as per M Woods</t>
  </si>
  <si>
    <t>2019/20 P12 accruals, 8038313, OXFORD DIRECT SERVICES LTD - (SERVITOR ONLY), NC_GENERAL CONTRACTED SERVICES, accrue as per M Woods</t>
  </si>
  <si>
    <t>P12 P2P accruals 2019/20, 8035860, KD MEDIA PUBLISHING</t>
  </si>
  <si>
    <t>1st payment of grant to RH&amp;DAC 20-21</t>
  </si>
  <si>
    <t>BL17</t>
  </si>
  <si>
    <t>P10-12 Fuel Recharges</t>
  </si>
  <si>
    <t>P12 P2P accruals 2019/20, 8032233, OXFORD SECURITY SERVICES LTD</t>
  </si>
  <si>
    <t>P12 P2P accruals 2019/20, 8035915, ARCO LTD</t>
  </si>
  <si>
    <t>S26</t>
  </si>
  <si>
    <t>in regards to Car Parks revenue incentive agreed 2019/2020 Contract OCC &amp; ODS</t>
  </si>
  <si>
    <t>Gloucester Green Underground Car Park Acc: KS86222Z  Electricity 01/03/20 - 31/03/20</t>
  </si>
  <si>
    <t>S26X</t>
  </si>
  <si>
    <t>TP21</t>
  </si>
  <si>
    <t>OX09OX16 701270218 AFTER 187 GODSTOW ROAD</t>
  </si>
  <si>
    <t>Reverse 10348556</t>
  </si>
  <si>
    <t>S26I</t>
  </si>
  <si>
    <t>DS40</t>
  </si>
  <si>
    <t>Horspath Depot Main Building Acc: KS86222S  Electricity 01/03/20 - 31/03/20</t>
  </si>
  <si>
    <t>Cowley Marsh Depot Acc: KS86222B  Electricity 01/03/20 - 31/03/20</t>
  </si>
  <si>
    <t>OX05OX16 CREDIT CALL</t>
  </si>
  <si>
    <t>S26D</t>
  </si>
  <si>
    <t>DS33</t>
  </si>
  <si>
    <t>Horspath Athletics Pavilion Acc: KS86222C  Electricity 01/03/20 - 31/03/20</t>
  </si>
  <si>
    <t>Gloucester Green Underground Car Park Acc: KS86222J  Electricity 01/03/20 - 31/03/20</t>
  </si>
  <si>
    <t>OX09OX16 70203671X PUBLIC CONVENIENCE MARKET ST</t>
  </si>
  <si>
    <t>OX09OX16 701867717 BURY KNOWLE LONDON RD</t>
  </si>
  <si>
    <t>S26C</t>
  </si>
  <si>
    <t>DS32</t>
  </si>
  <si>
    <t>OX09OX16 711948214 ADJ MANZIL GARDENS COWLEY RD</t>
  </si>
  <si>
    <t>OX09OX16 705992918  cowley rd littlemore</t>
  </si>
  <si>
    <t>OX09OX16 700163717 r/o 220 banbury rd</t>
  </si>
  <si>
    <t>OX09OX16 711951115 ALICE HSE 25 ST CLEMENTS</t>
  </si>
  <si>
    <t>OX09OX16 702821613 AT ST GILES</t>
  </si>
  <si>
    <t>OX09OX16 702932817 AT SPEEDWELL ST</t>
  </si>
  <si>
    <t>DVLA Bureau Service Feb-March 2020</t>
  </si>
  <si>
    <t>294 Collections</t>
  </si>
  <si>
    <t>Oxwed share of parking charges</t>
  </si>
  <si>
    <t>Share of parking charges income due to Oxwed</t>
  </si>
  <si>
    <t>Reverse transaction 10347949</t>
  </si>
  <si>
    <t>Utilities to be invoiced to ODS - Barton Park Sports Pavilion Acc: 101777594  Electricity 01/01/20 - 31/01/20</t>
  </si>
  <si>
    <t>Utilities to be invoiced to ODS - Oxpens Car Park Acc: 88888895167  Water 10/08/19 - 09/11/19</t>
  </si>
  <si>
    <t>Cowley Road Public Toilets &amp; Sweepers Store Acc: 701542067  Electricity 02/09/19 - 01/01/20</t>
  </si>
  <si>
    <t>Quarry Sports Pavilion Acc: 441712803  Gas 01/11/19 - 31/01/20</t>
  </si>
  <si>
    <t>Cowley Marsh Sports Pavilion Acc: 88888893547  Water 10/08/19 - 09/11/19</t>
  </si>
  <si>
    <t>Cowley Marsh Sports Pavilion Acc: 061643899  Electricity 01/12/19 - 31/12/19</t>
  </si>
  <si>
    <t>Utilities to be invoiced to ODS - Headington Cemetery Chapel &amp; Public Toilets Acc: 831526022  Electricity 02/12/19 - 01/03/20</t>
  </si>
  <si>
    <t>Raleigh Park Cattle Trough Acc: 88888893508  Water 14/08/19 - 13/11/19</t>
  </si>
  <si>
    <t>Utilities to be invoiced to ODS - Five Mile Drive Sports Pavilion Acc: 88888893550  Water 14/08/19 - 13/11/19</t>
  </si>
  <si>
    <t>Utilities to be invoiced to ODS - Oxpens Car Park Offices Acc: 411622181  Electricity 10/10/19 - 01/01/20</t>
  </si>
  <si>
    <t>Utilities to be invoiced to ODS - Gloucester Green Public Toilets &amp; Pump Room Acc: 88888893518  Water 14/08/19 - 13/11/19</t>
  </si>
  <si>
    <t>Utilities to be invoiced to ODS - Hollow Way Games Area Floodlights Acc: 261526649  Electricity 02/12/19 - 01/03/20</t>
  </si>
  <si>
    <t>Utilities to be invoiced to ODS - Quarry Sports Pavilion Acc: 191696539  Electricity 02/11/19 - 01/02/20</t>
  </si>
  <si>
    <t>Utilities to be invoiced to ODS - Florence Park Public Toilets Acc: 931526453  Electricity 02/12/19 - 01/03/20</t>
  </si>
  <si>
    <t>Utilities to be invoiced to ODS - Pear Tree Park and Ride Acc: 801524283  Electricity 02/12/19 - 01/03/20</t>
  </si>
  <si>
    <t>Utilities to be invoiced to ODS - Gloucester Green Underground Car Park Acc: KS86222Z  Electricity 01/02/20 - 29/02/20</t>
  </si>
  <si>
    <t>Utilities to be invoiced to ODS - Quarry Sports Pavilion Acc: 441712803  Gas 01/11/19 - 31/01/20</t>
  </si>
  <si>
    <t>Utilities to be invoiced to ODS - Gloucester Green Underground Car Park Acc: KS86222Z  Electricity 01/01/20 - 31/01/20</t>
  </si>
  <si>
    <t>Utilities to be invoiced to ODS - Horspath Athletics Pavilion Acc: 88888893546  Water 14/02/19 - 14/05/19</t>
  </si>
  <si>
    <t>Utilities to be invoiced to ODS - Headington Cemetery Chapel &amp; Public Toilets Acc: 88888893512  Water 10/08/19 - 09/11/19</t>
  </si>
  <si>
    <t>Utilities to be invoiced to ODS - Godstow Road Public Toilets Acc: 571527961  Electricity 02/10/19 - 01/01/20</t>
  </si>
  <si>
    <t>Utilities to be invoiced to ODS - Five Mile Drive Sports Pavilion Acc: 421527637  Electricity 02/12/19 - 01/03/20</t>
  </si>
  <si>
    <t>Utilities to be invoiced to ODS - Godstow Road Public Toilets Acc: 88888893527  Water 14/08/19 - 13/11/19</t>
  </si>
  <si>
    <t>Utilities to be invoiced to ODS - Oxpens Car Park Offices Acc: 451677660  Gas 01/11/19 - 11/02/20</t>
  </si>
  <si>
    <t>B1108</t>
  </si>
  <si>
    <t>S26B</t>
  </si>
  <si>
    <t>K9921</t>
  </si>
  <si>
    <t>TR65</t>
  </si>
  <si>
    <t>OX20OX16 GW35013198</t>
  </si>
  <si>
    <t>OX20OX16 GW35011924 101002633403</t>
  </si>
  <si>
    <t>OX20OX16 GW35021501</t>
  </si>
  <si>
    <t>OX20OX16 GW35012267 101002633271</t>
  </si>
  <si>
    <t>CU</t>
  </si>
  <si>
    <t>OX19OX16 GW35015007 101002633175</t>
  </si>
  <si>
    <t>OX05OX16 HOZAH</t>
  </si>
  <si>
    <t>Utilities to be invoiced to ODS - Abingdon Road Public Toilets Acc: 88888893531  Water 14/08/19 - 13/11/19</t>
  </si>
  <si>
    <t>30007255</t>
  </si>
  <si>
    <t>OX19OX16 GW35034638</t>
  </si>
  <si>
    <t>S26G</t>
  </si>
  <si>
    <t>DS36</t>
  </si>
  <si>
    <t>PO 8030867 to be invoiced to ODS</t>
  </si>
  <si>
    <t>30007244</t>
  </si>
  <si>
    <t>30007245</t>
  </si>
  <si>
    <t>30007257</t>
  </si>
  <si>
    <t>30007256</t>
  </si>
  <si>
    <t>Utilities to be invoiced to ODS - Grandpont Sports Pavilion Acc: 88888893551  Water 10/07/19 - 09/11/19</t>
  </si>
  <si>
    <t>Utilities to be invoiced to ODS - Unmetered Car Park Lighting Acc: 931528944  Electricity 04/02/20 - 02/03/20</t>
  </si>
  <si>
    <t>Utilities to be invoiced to ODS - Unmetered Car Park Ticket Machines Acc: 361528966  Electricity 03/01/20 - 03/02/20</t>
  </si>
  <si>
    <t>Utilities to be invoiced to ODS - Wolvercote Cemetery Public Toilets Acc: 301571965  Electricity 02/12/19 - 01/03/20</t>
  </si>
  <si>
    <t>Utilities to be invoiced to ODS - Wolvercote Cemetery Chapel Acc: 051525045  Electricity 02/12/19 - 01/03/20</t>
  </si>
  <si>
    <t>Utilities to be invoiced to ODS - Grandpont Sports Pavilion Acc: 401575867  Electricity 02/11/19 - 01/03/20</t>
  </si>
  <si>
    <t>Utilities to be invoiced to ODS - Alexandra Courts Tennis Pavilion Acc: 161527387  Electricity 02/10/19 - 01/01/20</t>
  </si>
  <si>
    <t>Utilities to be invoiced to ODS - Aristotle Lane Surface Water Pumping Station Acc: 921525327  Electricity 02/12/19 - 01/03/20</t>
  </si>
  <si>
    <t>Horspath Athletics Pavilion Acc: KS86222C  Electricity 01/01/20 - 31/01/20</t>
  </si>
  <si>
    <t>Horspath Athletics Pavilion Acc: 88888893546  Water 14/02/19 - 14/05/19</t>
  </si>
  <si>
    <t>Horspath Depot Stores Building Acc: 88888893499  Water 14/08/19 - 13/11/19</t>
  </si>
  <si>
    <t>331211410</t>
  </si>
  <si>
    <t>331211356</t>
  </si>
  <si>
    <t>331211361</t>
  </si>
  <si>
    <t>331211363</t>
  </si>
  <si>
    <t>331211364</t>
  </si>
  <si>
    <t>331211365</t>
  </si>
  <si>
    <t>331211370</t>
  </si>
  <si>
    <t>331211371</t>
  </si>
  <si>
    <t>331211378</t>
  </si>
  <si>
    <t>331211381</t>
  </si>
  <si>
    <t>331211383</t>
  </si>
  <si>
    <t>331211386</t>
  </si>
  <si>
    <t>331211391</t>
  </si>
  <si>
    <t>331211395</t>
  </si>
  <si>
    <t>331211350</t>
  </si>
  <si>
    <t>331211411</t>
  </si>
  <si>
    <t>331211412</t>
  </si>
  <si>
    <t>331211413</t>
  </si>
  <si>
    <t>331211417</t>
  </si>
  <si>
    <t>331211422</t>
  </si>
  <si>
    <t>331211431</t>
  </si>
  <si>
    <t>331211434</t>
  </si>
  <si>
    <t>331211435</t>
  </si>
  <si>
    <t>331211436</t>
  </si>
  <si>
    <t>331211441</t>
  </si>
  <si>
    <t>331211444</t>
  </si>
  <si>
    <t>331211447</t>
  </si>
  <si>
    <t>331202294</t>
  </si>
  <si>
    <t>331211348</t>
  </si>
  <si>
    <t>Horspath Depot Stores Building Acc: 861749071  Electricity 11/12/19 - 10/01/20</t>
  </si>
  <si>
    <t>331211271</t>
  </si>
  <si>
    <t>30007279</t>
  </si>
  <si>
    <t>30007281</t>
  </si>
  <si>
    <t>30007283</t>
  </si>
  <si>
    <t>30007284</t>
  </si>
  <si>
    <t>30007285</t>
  </si>
  <si>
    <t>30007286</t>
  </si>
  <si>
    <t>30007289</t>
  </si>
  <si>
    <t>30007290</t>
  </si>
  <si>
    <t>30007292</t>
  </si>
  <si>
    <t>30007297</t>
  </si>
  <si>
    <t>30007972</t>
  </si>
  <si>
    <t>30009159</t>
  </si>
  <si>
    <t>30007277</t>
  </si>
  <si>
    <t>331211273</t>
  </si>
  <si>
    <t>331211278</t>
  </si>
  <si>
    <t>331211281</t>
  </si>
  <si>
    <t>331211292</t>
  </si>
  <si>
    <t>OX09OX16 07/04/2020</t>
  </si>
  <si>
    <t>331211299</t>
  </si>
  <si>
    <t>331211301</t>
  </si>
  <si>
    <t>331211302</t>
  </si>
  <si>
    <t>331211314</t>
  </si>
  <si>
    <t>331211329</t>
  </si>
  <si>
    <t>331211336</t>
  </si>
  <si>
    <t>331211337</t>
  </si>
  <si>
    <t>331211340</t>
  </si>
  <si>
    <t>331211346</t>
  </si>
  <si>
    <t>30007258</t>
  </si>
  <si>
    <t>Headington Cemetery Chapel &amp; Public Toilets Acc: 88888893512  Water 10/08/19 - 09/11/19</t>
  </si>
  <si>
    <t>Utilities to be invoiced to ODS - Blackbird Leys Bowls Pavilion &amp; Park Depot Acc: 88888893552  Water 10/08/19 - 09/11/19</t>
  </si>
  <si>
    <t>Horspath Athletics Pavilion Acc: 88888893546  Water 15/11/18 - 13/02/19</t>
  </si>
  <si>
    <t>Utilities to be invoiced to ODS - Cutteslowe Upper Sports Pavilion Acc: 591526061  Electricity 02/12/19 - 01/03/20</t>
  </si>
  <si>
    <t>Blackbird Leys Bowls Pavilion &amp; Park Depot Acc: 88888893552  Water 10/08/19 - 09/11/19</t>
  </si>
  <si>
    <t>Utilities to be invoiced to ODS - Botley Cemetery Chapel Acc: 161527262  Electricity 02/12/19 - 01/03/20</t>
  </si>
  <si>
    <t>Horspath Athletics Pavilion Acc: 88888893546  Water 15/05/19 - 13/08/19</t>
  </si>
  <si>
    <t>Utilities to be invoiced to ODS - Blackbird Leys Bowls Pavilion &amp; Park Depot Acc: 771525230  Electricity 02/12/19 - 01/03/20</t>
  </si>
  <si>
    <t>Utilities to be invoiced to ODS - Banbury Road North Sports Ground Acc: 211524908  Electricity 02/12/19 - 01/03/20</t>
  </si>
  <si>
    <t>Botley Cemetery Chapel Acc: 88888893505  Water 14/08/19 - 13/11/19</t>
  </si>
  <si>
    <t>Bury Knowle Tennis Pavilion Acc: 611525559  Electricity 02/10/19 - 01/01/20</t>
  </si>
  <si>
    <t>Cowley Marsh Depot Acc: 3004980726  Gas 01/01/20 - 31/01/20</t>
  </si>
  <si>
    <t>Union Street Sports Floodlights Acc: 721787592  Electricity 02/12/19 - 01/01/20</t>
  </si>
  <si>
    <t>Sandy Lane Sports Pavilion Acc: 88888893554  Water 14/08/19 - 13/11/19</t>
  </si>
  <si>
    <t>Cowley Marsh Depot Acc: 88888893496  Water 10/10/19 - 09/01/20</t>
  </si>
  <si>
    <t>Cowley Marsh Depot Acc: KS86222B  Electricity 01/01/20 - 31/01/20</t>
  </si>
  <si>
    <t>Cutteslowe Bowls Pavilion Acc: 88888893509  Water 14/08/19 - 13/11/19</t>
  </si>
  <si>
    <t>Rose Hill Cemetery Public Toilets Acc: 88888893533  Water 14/08/19 - 13/11/19</t>
  </si>
  <si>
    <t>Rose Hill Cemetery Chapel Acc: 88888893511  Water 14/11/19 - 13/02/20</t>
  </si>
  <si>
    <t>Cutteslowe Lower Sports Pavilion Acc: 371677927  Gas 26/10/19 - 28/01/20</t>
  </si>
  <si>
    <t>Barton Park Sports Pavilion Acc: 101777594  Electricity 01/12/19 - 31/12/19</t>
  </si>
  <si>
    <t>Cutteslowe Park Acc: 3005051720  Gas 01/01/20 - 31/01/20</t>
  </si>
  <si>
    <t>Alexandra Courts Tennis Pavilion Acc: 161527387  Electricity 02/10/19 - 01/01/20</t>
  </si>
  <si>
    <t>Cutteslowe Park Acc: 88888893506  Water 14/08/19 - 13/11/19</t>
  </si>
  <si>
    <t>Grandpont Sports Pavilion Acc: 88888893551  Water 10/07/19 - 09/11/19</t>
  </si>
  <si>
    <t>Utilities to be invoiced to ODS - Cutteslowe Park Acc: 88888893506  Water 14/08/19 - 13/11/19</t>
  </si>
  <si>
    <t>Hinksey Park Attendant´s Hut Acc: 761526268  Electricity 02/10/19 - 01/01/20</t>
  </si>
  <si>
    <t>Cowley Road Public Toilets &amp; Sweepers Store Acc: 88888893520  Water 14/08/19 - 13/11/19</t>
  </si>
  <si>
    <t>St Clements Public Toilets Acc: 88888893525  Water 14/08/19 - 13/11/19</t>
  </si>
  <si>
    <t>London Road Public Toilets Acc: 88888893536  Water 14/08/19 - 13/11/19</t>
  </si>
  <si>
    <t>Speedwell Street Public Toilets Acc: 88888893519  Water 14/08/19 - 13/11/19</t>
  </si>
  <si>
    <t>Magdalen Street Female Public Toilets Acc: 401526577  Electricity 11/10/19 - 01/11/19</t>
  </si>
  <si>
    <t>Speedwell Street Public Toilets Acc: 681525917  Electricity 12/02/19 - 08/05/19</t>
  </si>
  <si>
    <t>Magdalen Street Female Public Toilets Acc: 401526577  Electricity 12/04/19 - 10/10/19</t>
  </si>
  <si>
    <t>Magdalen Street Female Public Toilets Acc: 88888893521  Water 14/08/19 - 13/11/19</t>
  </si>
  <si>
    <t>Oxpens Car Park Acc: 88888895167  Water 10/08/19 - 09/11/19</t>
  </si>
  <si>
    <t>Godstow Road Public Toilets Acc: 88888893527  Water 14/08/19 - 13/11/19</t>
  </si>
  <si>
    <t>South Parade Female &amp; Disabled Public Toilets Acc: 88888893517  Water 10/08/19 - 09/11/19</t>
  </si>
  <si>
    <t>Speedwell Street Public Toilets Acc: 681525917  Electricity 13/12/19 - 01/01/20</t>
  </si>
  <si>
    <t>Speedwell Street Public Toilets Acc: 681525917  Electricity 09/05/19 - 08/08/19</t>
  </si>
  <si>
    <t>Market Street Public Toilets Acc: 88888893528  Water 14/08/19 - 13/11/19</t>
  </si>
  <si>
    <t>Market Street Public Toilets Acc: 491803540  Electricity 02/12/19 - 01/01/20</t>
  </si>
  <si>
    <t>Abingdon Road Public Toilets Acc: 88888893531  Water 14/08/19 - 13/11/19</t>
  </si>
  <si>
    <t>Redbridge Park and Ride Acc: 88888895161  Water 14/08/19 - 13/11/19</t>
  </si>
  <si>
    <t>Speedwell Street Public Toilets Acc: 681525917  Electricity 09/08/19 - 12/12/19</t>
  </si>
  <si>
    <t>Oxpens Car Park Acc: 291525711  Electricity 01/11/19 - 03/02/20</t>
  </si>
  <si>
    <t>Unmetered Car Park Lighting Acc: 931528944  Electricity 03/01/20 - 03/02/20</t>
  </si>
  <si>
    <t>Oxpens Car Park Offices Acc: 411622181  Electricity 10/10/19 - 01/01/20</t>
  </si>
  <si>
    <t>Utilities to be invoiced to ODS - Cutteslowe Park Acc: 3005051720  Gas 01/02/20 - 29/02/20</t>
  </si>
  <si>
    <t>Seacourt Park and Ride Acc: 21523999  Electricity 01/11/19 - 05/02/20</t>
  </si>
  <si>
    <t>Diamond Place Public Toilets Acc: 601806366  Electricity 02/12/19 - 01/01/20</t>
  </si>
  <si>
    <t>Horspath Depot Main Building Acc: 88888893500  Water 14/08/19 - 13/11/19</t>
  </si>
  <si>
    <t>Utilities to be invoiced to ODS - Between Towns Road Sweepers Store Acc: 081798790  Electricity 02/01/20 - 01/02/20</t>
  </si>
  <si>
    <t>Utilities to be invoiced to ODS - Cowley Marsh Depot Acc: KS86222B  Electricity 01/02/20 - 29/02/20</t>
  </si>
  <si>
    <t>Utilities to be invoiced to ODS - Horspath Depot Stores Building Acc: 3004980781  Gas 01/02/20 - 29/02/20</t>
  </si>
  <si>
    <t>Utilities to be invoiced to ODS - Horspath Depot Stores Building Acc: 3004980781  Gas 01/01/20 - 31/01/20</t>
  </si>
  <si>
    <t>Utilities to be invoiced to ODS - Horspath Depot Main Building Acc: 3004980627  Gas 01/02/20 - 29/02/20</t>
  </si>
  <si>
    <t>Utilities to be invoiced to ODS - Horspath Depot Main Building Acc: 3004980627  Gas 01/01/20 - 31/01/20</t>
  </si>
  <si>
    <t>Oxpens Car Park Offices Acc: 88888893502  Water 14/08/19 - 13/11/19</t>
  </si>
  <si>
    <t>Horspath Depot Main Building Acc: 3004980627  Gas 01/01/20 - 31/01/20</t>
  </si>
  <si>
    <t>Utilities to be invoiced to ODS - Cowley Marsh Depot Acc: 3004980726  Gas 01/02/20 - 29/02/20</t>
  </si>
  <si>
    <t>Gloucester Green Underground Car Park Acc: KS86222Z  Electricity 01/01/20 - 31/01/20</t>
  </si>
  <si>
    <t>Utilities to be invoiced to ODS - Diamond Place Public Toilets Acc: 88888893523  Water 14/08/19 - 13/11/19</t>
  </si>
  <si>
    <t>Utilities to be invoiced to ODS - Wolvercote Bathing Place Acc: 88888893514  Water 10/08/19 - 09/11/19</t>
  </si>
  <si>
    <t>Gloucester Green Underground Car Park Acc: KS86222J  Electricity 01/01/20 - 31/01/20</t>
  </si>
  <si>
    <t>Utilities to be invoiced to ODS - Cowley Marsh Depot Acc: 88888893496  Water 10/10/19 - 09/01/20</t>
  </si>
  <si>
    <t>Godstow Road Public Toilets Acc: 571527961  Electricity 02/10/19 - 01/01/20</t>
  </si>
  <si>
    <t>Utilities to be invoiced to ODS - Cowley Marsh Depot Acc: KS86222B  Electricity 01/01/20 - 31/01/20</t>
  </si>
  <si>
    <t>Utilities to be invoiced to ODS - Court Place Farm Sports Pavilion Acc: 051525190  Electricity 02/11/19 - 01/02/20</t>
  </si>
  <si>
    <t>Gloucester Green Public Toilets &amp; Pump Room Acc: 88888893518  Water 14/08/19 - 13/11/19</t>
  </si>
  <si>
    <t>Utilities to be invoiced to ODS - Bury Knowle Tennis Pavilion Acc: 611525559  Electricity 02/10/19 - 01/01/20</t>
  </si>
  <si>
    <t>Diamond Place Public Toilets Acc: 88888893523  Water 14/08/19 - 13/11/19</t>
  </si>
  <si>
    <t>Utilities to be invoiced to ODS - Ferry Leisure Centre Car Park Acc: 031526966  Electricity 02/12/19 - 01/03/20</t>
  </si>
  <si>
    <t>Utilities to be invoiced to ODS - Botley Park Games Area Floodlights Acc: 731527009  Electricity 02/12/19 - 01/03/20</t>
  </si>
  <si>
    <t>Horspath Depot Main Building Acc: KS86222S  Electricity 01/01/20 - 31/01/20</t>
  </si>
  <si>
    <t>Florence Park Tennis Courts Floodlights Acc: 201716262  Electricity 02/10/19 - 01/01/20</t>
  </si>
  <si>
    <t>Utilities to be invoiced to ODS - Barton Park Sports Pavilion Acc: 101777594  Electricity 01/12/19 - 31/12/19</t>
  </si>
  <si>
    <t>Utilities to be invoiced to ODS - Horspath Road Car Park CCTV Camera Acc: 921550688  Electricity 02/11/19 - 01/02/20</t>
  </si>
  <si>
    <t>Utilities to be invoiced to ODS - Worcester Street Car Park Acc: 88888893408  Water 01/08/18 - 31/03/19</t>
  </si>
  <si>
    <t>Utilities to be invoiced to ODS - Worcester Street Car Park Acc: 88888893408  Water 01/04/19 - 09/12/19</t>
  </si>
  <si>
    <t>Utilities to be invoiced to ODS - Botley Cemetery Chapel Acc: 88888893505  Water 14/08/19 - 13/11/19</t>
  </si>
  <si>
    <t>Utilities to be invoiced to ODS - Wolvercote Cemetery Public Toilets Acc: 88888893530  Water 14/08/19 - 13/11/19</t>
  </si>
  <si>
    <t>Utilities to be invoiced to ODS - Cowley Marsh Sports Pavilion Acc: 88888893547  Water 10/08/19 - 09/11/19</t>
  </si>
  <si>
    <t>Utilities to be invoiced to ODS - Horspath Depot Stores Building Acc: 88888893499  Water 14/08/19 - 13/11/19</t>
  </si>
  <si>
    <t>Utilities to be invoiced to ODS - Cutteslowe Park Acc: 3005051720  Gas 01/01/20 - 31/01/20</t>
  </si>
  <si>
    <t>Utilities to be invoiced to ODS - Horspath Depot Stores Building Garage Acc: 821526329  Electricity 16/10/19 - 14/01/20</t>
  </si>
  <si>
    <t>Utilities to be invoiced to ODS - Horspath Depot Storage Yard Acc: 711601077  Electricity 02/11/19 - 01/02/20</t>
  </si>
  <si>
    <t>Utilities to be invoiced to ODS - Horspath Depot Main Building Acc: KS86222S  Electricity 01/02/20 - 29/02/20</t>
  </si>
  <si>
    <t>Utilities to be invoiced to ODS - Horspath Depot Stores Building Acc: 861749071  Electricity 11/01/20 - 11/02/20</t>
  </si>
  <si>
    <t>Utilities to be invoiced to ODS - Cutteslowe Lower Sports Pavilion Acc: 791528072  Electricity 02/12/19 - 01/03/20</t>
  </si>
  <si>
    <t>Utilities to be invoiced to ODS - Cowley Road Public Toilets &amp; Sweepers Store Acc: 701542067  Electricity 02/09/19 - 01/01/20</t>
  </si>
  <si>
    <t>Florence Park Public Toilets Acc: 88888893538  Water 14/08/19 - 13/11/19</t>
  </si>
  <si>
    <t>Utilities to be invoiced to ODS - Cowley Marsh Sports Pavilion Acc: 061643899  Electricity 01/12/19 - 31/12/19</t>
  </si>
  <si>
    <t>Utilities to be invoiced to ODS - Cowley Marsh Sports Pavilion Acc: 061643899  Electricity 01/01/20 - 31/01/20</t>
  </si>
  <si>
    <t>Florence Park Depot Acc: 88888893532  Water 14/08/19 - 13/11/19</t>
  </si>
  <si>
    <t>Five Mile Drive Sports Pavilion Acc: 88888893550  Water 14/08/19 - 13/11/19</t>
  </si>
  <si>
    <t>Utilities to be invoiced to ODS - Oxpens Car Park Acc: 291525711  Electricity 01/11/19 - 03/02/20</t>
  </si>
  <si>
    <t>Utilities to be invoiced to ODS - Cutteslowe Upper Sports Pavilion Acc: 851678985  Gas 16/10/19 - 15/01/20</t>
  </si>
  <si>
    <t>Utilities to be invoiced to ODS - London Road Public Toilets Acc: 88888893536  Water 14/08/19 - 13/11/19</t>
  </si>
  <si>
    <t>Cutteslowe Upper Sports Pavilion Acc: 851678985  Gas 16/10/19 - 15/01/20</t>
  </si>
  <si>
    <t>Horspath Depot Stores Building Acc: 3004980781  Gas 01/01/20 - 31/01/20</t>
  </si>
  <si>
    <t>RingGo April 2020 - Court Place Farm</t>
  </si>
  <si>
    <t>P1 Credit Call Income</t>
  </si>
  <si>
    <t>RingGo April 2020 - Worcester Street car park</t>
  </si>
  <si>
    <t>RingGo April 2020 - Oxpens car park</t>
  </si>
  <si>
    <t>RingGo April 2020 - Union Street car park</t>
  </si>
  <si>
    <t>RingGo April 2020 - Headington car park</t>
  </si>
  <si>
    <t>RingGo April 2020 - Summertown car park</t>
  </si>
  <si>
    <t>RingGo April 2020 - St. Leonards Road car park</t>
  </si>
  <si>
    <t>RingGo April 2020 - Walton Well Road</t>
  </si>
  <si>
    <t>RingGo April 2020 - Hinksey Park</t>
  </si>
  <si>
    <t>RingGo April 2020 - Ferry Pool car park</t>
  </si>
  <si>
    <t>RingGo April 2020 - Cuttleslowe Park (A40)</t>
  </si>
  <si>
    <t>RingGo April 2020 - Gloucester Green car park</t>
  </si>
  <si>
    <t>RingGo April 2020 - Alexandra Court</t>
  </si>
  <si>
    <t>RingGo April 2020 - Cuttleslowe Park (Harboard Road)</t>
  </si>
  <si>
    <t>RingGo April 2020 - St. Clements car park</t>
  </si>
  <si>
    <t>10344779 OX04OX16 GW35032088</t>
  </si>
  <si>
    <t>Car Park Income Allocation</t>
  </si>
  <si>
    <t>RingGo April 2020 - Oatlands Road</t>
  </si>
  <si>
    <t>RingGo April 2020 - Seacourt Park and Ride</t>
  </si>
  <si>
    <t>RingGo April 2020 - Oxford Peartree Park and Ride</t>
  </si>
  <si>
    <t>RingGo April 2020 - Redbridge Park and Ride</t>
  </si>
  <si>
    <t>OX20OX16 GW35022503</t>
  </si>
  <si>
    <t>30010125</t>
  </si>
  <si>
    <t>OX20OX16 101002639403</t>
  </si>
  <si>
    <t>OX20OX16 GW35027933</t>
  </si>
  <si>
    <t>OX19OX16 GW35036501 101002639612</t>
  </si>
  <si>
    <t>OX19OX16 GW35025199 101002636301</t>
  </si>
  <si>
    <t>OX20OX16 GW35013513 101002635552</t>
  </si>
  <si>
    <t>OX20OX16 GW35032409 101002635889</t>
  </si>
  <si>
    <t>OX20OX16 GW35010032 101002635996</t>
  </si>
  <si>
    <t>Prepay March 20 - Worcester Street</t>
  </si>
  <si>
    <t>30010147</t>
  </si>
  <si>
    <t>30010145</t>
  </si>
  <si>
    <t>30010126</t>
  </si>
  <si>
    <t>Prepay March 20 - Peartree Rent</t>
  </si>
  <si>
    <t>30010118</t>
  </si>
  <si>
    <t>30010112</t>
  </si>
  <si>
    <t>30010111</t>
  </si>
  <si>
    <t>30010108</t>
  </si>
  <si>
    <t>30010107</t>
  </si>
  <si>
    <t>Cowley Road Public Toilets &amp; Sweepers Store Acc: 88888893520  Water 14/11/19 - 14/02/20</t>
  </si>
  <si>
    <t>30009989</t>
  </si>
  <si>
    <t>30009988</t>
  </si>
  <si>
    <t>30009985</t>
  </si>
  <si>
    <t>30007140</t>
  </si>
  <si>
    <t>30003734</t>
  </si>
  <si>
    <t>331222965</t>
  </si>
  <si>
    <t>331222964</t>
  </si>
  <si>
    <t>St Clements Public Toilets Acc: 88888893525  Water 14/11/19 - 14/02/20</t>
  </si>
  <si>
    <t>Horspath Depot Main Building Acc: 88888893500  Water 14/11/19 - 14/02/20</t>
  </si>
  <si>
    <t>OX20OX16 GW35039096 101002642089</t>
  </si>
  <si>
    <t>OX20OX16 GW35039098 101002642100</t>
  </si>
  <si>
    <t>TR63</t>
  </si>
  <si>
    <t>March 2020 Dry Recycling Credits</t>
  </si>
  <si>
    <t>OX20OX16 GW35027560 101002642278</t>
  </si>
  <si>
    <t>OX20OX16 GW35017956  101002641918</t>
  </si>
  <si>
    <t>OX20OX16 GW35021847</t>
  </si>
  <si>
    <t>OX20OX16 GW35039094</t>
  </si>
  <si>
    <t>OX19OX16 GW35017805 101002641766</t>
  </si>
  <si>
    <t>OX19OX16 GW35021532 101002641709</t>
  </si>
  <si>
    <t>OX19OX16 GW35016242 101002641585</t>
  </si>
  <si>
    <t>331215328</t>
  </si>
  <si>
    <t>OX20OX16 GW35034660 101002641739</t>
  </si>
  <si>
    <t>OX20OX16 GW35039077 101002641595</t>
  </si>
  <si>
    <t>OX20OX16 GW35027915</t>
  </si>
  <si>
    <t>OX20OX16 GW35034483 101002642279</t>
  </si>
  <si>
    <t>OX19OX16 GW35019510 101002634521</t>
  </si>
  <si>
    <t>OX20OX16 GW35014072</t>
  </si>
  <si>
    <t>OX20OX16 GW35024830 101002634507</t>
  </si>
  <si>
    <t>OX20OX16 GW35018821 101002634880</t>
  </si>
  <si>
    <t>OX20OX16 GW35011529</t>
  </si>
  <si>
    <t>OX20OX16 GW35013429 101002634945</t>
  </si>
  <si>
    <t>OX19OX16 GW35038995 101002634886</t>
  </si>
  <si>
    <t>OX19OX16 GW35015443 101002634681</t>
  </si>
  <si>
    <t>MD25</t>
  </si>
  <si>
    <t>P1 Rabson D (Reed)</t>
  </si>
  <si>
    <t>P12 Rabson D (Reed)</t>
  </si>
  <si>
    <t>331202297</t>
  </si>
  <si>
    <t>OX20OX16 GW35034590 101002634020</t>
  </si>
  <si>
    <t>OX19OX16 GW35010196 101002634301</t>
  </si>
  <si>
    <t>OX19OX16 GW35018907 101002634356</t>
  </si>
  <si>
    <t>OX19OX16 GW35019269</t>
  </si>
  <si>
    <t>OX09OX16 06/04/2020</t>
  </si>
  <si>
    <t>Job 10679481 included fuel tank invoiced separately</t>
  </si>
  <si>
    <t>PO 8034463 to be invoiced to ODS</t>
  </si>
  <si>
    <t>PO 8031691 to be invoiced to ODS</t>
  </si>
  <si>
    <t>K6665</t>
  </si>
  <si>
    <t>AG19</t>
  </si>
  <si>
    <t>GIS training course</t>
  </si>
  <si>
    <t>AG01</t>
  </si>
  <si>
    <t>cost incurred in Council</t>
  </si>
  <si>
    <t>St Barnabas grounds maintenance</t>
  </si>
  <si>
    <t>Water bills not previously recharged</t>
  </si>
  <si>
    <t>Virgin Media</t>
  </si>
  <si>
    <t>BA11</t>
  </si>
  <si>
    <t>rental costs paid by OCC</t>
  </si>
  <si>
    <t>AG12</t>
  </si>
  <si>
    <t>Credit note processed through OCC</t>
  </si>
  <si>
    <t>AS01</t>
  </si>
  <si>
    <t>wasps nest removal</t>
  </si>
  <si>
    <t>Reed - D Rabson P9-P12</t>
  </si>
  <si>
    <t>MD77</t>
  </si>
  <si>
    <t>11 garden scheme jobs charged to OCC</t>
  </si>
  <si>
    <t>Estimated March recycling credits</t>
  </si>
  <si>
    <t>TR60</t>
  </si>
  <si>
    <t>Q4 excess mileage claim</t>
  </si>
  <si>
    <t>transfer of grave space</t>
  </si>
  <si>
    <t>TU01</t>
  </si>
  <si>
    <t>Net position on MT in OCC</t>
  </si>
  <si>
    <t>rental income due to ODS</t>
  </si>
  <si>
    <t>AF11</t>
  </si>
  <si>
    <t>ODS income received in Council</t>
  </si>
  <si>
    <t>RPA income due to ODS</t>
  </si>
  <si>
    <t>Additonal Revenue Car Park Income</t>
  </si>
  <si>
    <t>OX20OX16 GW35039108</t>
  </si>
  <si>
    <t>30005567</t>
  </si>
  <si>
    <t>OX20OX16 GW35018935 101002635433</t>
  </si>
  <si>
    <t>OX20OX16 GW35034672 101002635492</t>
  </si>
  <si>
    <t>OX20OX16 GW35010567 101002635414</t>
  </si>
  <si>
    <t>OX19OX16 GW35015080 101002635405</t>
  </si>
  <si>
    <t>OX20OX16 GW35016621 101002635298</t>
  </si>
  <si>
    <t>OX20OX16 GW35038997 101002635370</t>
  </si>
  <si>
    <t>OX20OX16 GW35032557</t>
  </si>
  <si>
    <t>OX05OX16 HOZAH /PAYER ACC/A</t>
  </si>
  <si>
    <t>30007243</t>
  </si>
  <si>
    <t>30007242</t>
  </si>
  <si>
    <t>30007241</t>
  </si>
  <si>
    <t>30006834</t>
  </si>
  <si>
    <t>30004090</t>
  </si>
  <si>
    <t>30004089</t>
  </si>
  <si>
    <t>30004088</t>
  </si>
  <si>
    <t>30003966</t>
  </si>
  <si>
    <t>30003964</t>
  </si>
  <si>
    <t>30003962</t>
  </si>
  <si>
    <t>30003954</t>
  </si>
  <si>
    <t>30003952</t>
  </si>
  <si>
    <t>30003951</t>
  </si>
  <si>
    <t>30003949</t>
  </si>
  <si>
    <t>30003948</t>
  </si>
  <si>
    <t>30003947</t>
  </si>
  <si>
    <t>30003945</t>
  </si>
  <si>
    <t>30003944</t>
  </si>
  <si>
    <t>30003943</t>
  </si>
  <si>
    <t>30003942</t>
  </si>
  <si>
    <t>30003935</t>
  </si>
  <si>
    <t>30003932</t>
  </si>
  <si>
    <t>30003931</t>
  </si>
  <si>
    <t>30003930</t>
  </si>
  <si>
    <t>Utilities to be invoiced to ODS - South Parade Female &amp; Disabled Public Toilets Acc: 88888893517  Water 10/08/19 - 09/11/19</t>
  </si>
  <si>
    <t>OX20OX16 GW35015582 101002630698</t>
  </si>
  <si>
    <t>OX20OX16 GW35014291 101002630770</t>
  </si>
  <si>
    <t>OX20OX16 GW35030146 101002630197</t>
  </si>
  <si>
    <t>OX20OX16 GW35020508 101002630193</t>
  </si>
  <si>
    <t>OX20OX16 GW35020741</t>
  </si>
  <si>
    <t>OX20OX16 GW35022714 101002630865</t>
  </si>
  <si>
    <t>OX19OX16 GW35027889 101002630347</t>
  </si>
  <si>
    <t>OX19OX16 GW35014689</t>
  </si>
  <si>
    <t>Utilities to be invoiced to ODS - St Clements Public Toilets Acc: 88888893525  Water 14/08/19 - 13/11/19</t>
  </si>
  <si>
    <t>Utilities to be invoiced to ODS - Speedwell Street Public Toilets Acc: 681525917  Electricity 09/05/19 - 08/08/19</t>
  </si>
  <si>
    <t>Utilities to be invoiced to ODS - Horspath Depot Main Building Acc: KS86222S  Electricity 01/01/20 - 31/01/20</t>
  </si>
  <si>
    <t>Utilities to be invoiced to ODS - Union Street Car Park Acc: 351526657  Electricity 02/12/19 - 01/03/20</t>
  </si>
  <si>
    <t>Utilities to be invoiced to ODS - Summertown Car Park Acc: 311527536  Electricity 02/12/19 - 01/03/20</t>
  </si>
  <si>
    <t>Utilities to be invoiced to ODS - Unmetered Car Park Ticket Machines Acc: 361528966  Electricity 04/02/20 - 02/03/20</t>
  </si>
  <si>
    <t>Utilities to be invoiced to ODS - Horspath Athletics Pavilion Acc: 88888893546  Water 15/11/18 - 13/02/19</t>
  </si>
  <si>
    <t>Utilities to be invoiced to ODS - Worcester Street Car Park Acc: 431526074  Electricity 02/12/19 - 01/03/20</t>
  </si>
  <si>
    <t>Utilities to be invoiced to ODS - Union Street Sports Floodlights Acc: 721787592  Electricity 02/01/20 - 01/02/20</t>
  </si>
  <si>
    <t>Utilities to be invoiced to ODS - Wolvercote Cemetery Store Acc: 741527050  Electricity 02/12/19 - 01/03/20</t>
  </si>
  <si>
    <t>MARSH ROAD DEPOT</t>
  </si>
  <si>
    <t>P12 P2P accruals 2019/20, 8032081, OXFORDSHIRE COUNTY COUNCIL</t>
  </si>
  <si>
    <t>P12 P2P accruals 2019/20, 8024345, METRIC GROUP LIMITED</t>
  </si>
  <si>
    <t>Littlemore Public Toilets Acc: 431525888  Electricity 14/12/18 - 19/03/19</t>
  </si>
  <si>
    <t>Littlemore Public Toilets Acc: 431525888  Electricity 20/03/19 - 01/07/19</t>
  </si>
  <si>
    <t>Littlemore Public Toilets Acc: 431525888  Electricity 02/07/19 - 01/09/19</t>
  </si>
  <si>
    <t>Barton Park Sports Floodlights Acc: 961804916  Electricity 08/11/19 - 08/02/20</t>
  </si>
  <si>
    <t>Cowley Marsh Sports Pavilion Acc: 061643899  Electricity 01/02/20 - 29/02/20</t>
  </si>
  <si>
    <t>Barton Park Sports Pavilion Acc: 101777594  Electricity 01/02/20 - 29/02/20</t>
  </si>
  <si>
    <t>Between Towns Road Sweepers Store Acc: 081798790  Electricity 02/02/20 - 01/03/20</t>
  </si>
  <si>
    <t>Diamond Place Public Toilets Acc: 601806366  Electricity 02/02/20 - 01/03/20</t>
  </si>
  <si>
    <t>OX19OX16 GW35034685 101002639210</t>
  </si>
  <si>
    <t>OX19OX16 GW35011312</t>
  </si>
  <si>
    <t>30003925</t>
  </si>
  <si>
    <t>Utilities to be invoiced to ODS - Horspath Athletics Pavilion Acc: 88888893546  Water 15/05/19 - 13/08/19</t>
  </si>
  <si>
    <t>Deferred income: 330500970, 01/04/20 - 30/06/20, THAMES TRANSIT LTD</t>
  </si>
  <si>
    <t>Utilities to be invoiced to ODS - Cutteslowe Lower Sports Pavilion Acc: 371677927  Gas 26/10/19 - 28/01/20</t>
  </si>
  <si>
    <t>Utilities to be invoiced to ODS - Cowley Road Public Toilets &amp; Sweepers Store Acc: 88888893520  Water 14/08/19 - 13/11/19</t>
  </si>
  <si>
    <t>Utilities to be invoiced to ODS - Cutteslowe Bowls Pavilion Acc: 88888893509  Water 14/08/19 - 13/11/19</t>
  </si>
  <si>
    <t>Utilities to be invoiced to ODS - Redbridge Park and Ride Acc: 88888895161  Water 14/08/19 - 13/11/19</t>
  </si>
  <si>
    <t>Utilities to be invoiced to ODS - Cutteslowe Park Splash Feature Acc: 88888893504  Water 14/08/19 - 13/11/19</t>
  </si>
  <si>
    <t>Utilities to be invoiced to ODS - Rose Hill Cemetery Chapel Acc: 88888893511  Water 14/11/19 - 13/02/20</t>
  </si>
  <si>
    <t>OX20OX16 GW35039016</t>
  </si>
  <si>
    <t>OX20OX16 GW35039019</t>
  </si>
  <si>
    <t>OX19OX16 GW35013350</t>
  </si>
  <si>
    <t>OX19OX16 GW35019509</t>
  </si>
  <si>
    <t>OX19OX16 GW35011851</t>
  </si>
  <si>
    <t>Utilities to be invoiced to ODS - Rose Hill Cemetery Public Toilets Acc: 88888893533  Water 14/08/19 - 13/11/19</t>
  </si>
  <si>
    <t>Utilities to be invoiced to ODS - Cutteslowe Park Workshop &amp; Yard Acc: 691527524  Electricity 02/12/19 - 01/03/20</t>
  </si>
  <si>
    <t>Utilities to be invoiced to ODS - Rose Hill Cemetery Public Toilets Acc: 261526652  Electricity 01/10/19 - 20/12/19</t>
  </si>
  <si>
    <t>Utilities to be invoiced to ODS - Cutteslowe Park Offices Acc: 701526629  Electricity 02/12/19 - 01/03/20</t>
  </si>
  <si>
    <t>Deferred income: 330500931, 01/04/20 - 30/06/20, CITY OF OXFORD MOTOR SERVICE LTD</t>
  </si>
  <si>
    <t>Deferred income: 330500922, 01/04/20 - 30/06/20, NATIONAL EXPRESS LIMITED</t>
  </si>
  <si>
    <t>Utilities to be invoiced to ODS - Rose Hill Cemetery Public Toilets Acc: 261526652  Electricity 29/03/19 - 26/06/19</t>
  </si>
  <si>
    <t>Utilities to be invoiced to ODS - Sandy Lane Sports Pavilion Acc: 781525201  Electricity 02/12/19 - 01/03/20</t>
  </si>
  <si>
    <t>Utilities to be invoiced to ODS - Speedwell Street Public Toilets Acc: 681525917  Electricity 09/08/19 - 12/12/19</t>
  </si>
  <si>
    <t>Utilities to be invoiced to ODS - Speedwell Street Public Toilets Acc: 681525917  Electricity 12/02/19 - 08/05/19</t>
  </si>
  <si>
    <t>30010448</t>
  </si>
  <si>
    <t>Utilities to be invoiced to ODS - Cutteslowe Park Offices Acc: 021525194  Electricity 02/12/19 - 01/03/20</t>
  </si>
  <si>
    <t>30010447</t>
  </si>
  <si>
    <t>Gloucester Green Bus Station Acc: 251526430  Electricity 02/12/19 - 29/02/20</t>
  </si>
  <si>
    <t>30001462</t>
  </si>
  <si>
    <t>30000312</t>
  </si>
  <si>
    <t>30000311</t>
  </si>
  <si>
    <t>331222961</t>
  </si>
  <si>
    <t>331222702</t>
  </si>
  <si>
    <t>331214631</t>
  </si>
  <si>
    <t>30010149</t>
  </si>
  <si>
    <t>30010148</t>
  </si>
  <si>
    <t>Market Street Public Toilets Acc: 491803540  Electricity 02/02/20 - 01/03/20</t>
  </si>
  <si>
    <t>Redbridge Park and Ride Acc: 581525648  Electricity 02/12/19 - 01/03/20</t>
  </si>
  <si>
    <t>Horspath Depot Stores Building Acc: 861749071  Electricity 12/02/20 - 10/03/20</t>
  </si>
  <si>
    <t>Littlemore Public Toilets Acc: 431525888  Electricity 02/09/19 - 01/12/19</t>
  </si>
  <si>
    <t>Gloucester Green Security Office Acc: 041525736  Electricity 02/12/19 - 29/02/20</t>
  </si>
  <si>
    <t>London Road Public Toilets Acc: 181527170  Electricity 02/12/19 - 01/03/20</t>
  </si>
  <si>
    <t>Littlemore Public Toilets Acc: 431525888  Electricity 02/12/19 - 01/03/20</t>
  </si>
  <si>
    <t>Abingdon Road Public Toilets Acc: 041791527  Electricity 02/12/19 - 01/03/20</t>
  </si>
  <si>
    <t>Union Street Sports Floodlights Acc: 721787592  Electricity 02/02/20 - 01/03/20</t>
  </si>
  <si>
    <t>30003922</t>
  </si>
  <si>
    <t>Gloucester Green Public Toilets &amp; Pump Room Acc: 701794772  Electricity 01/12/19 - 02/03/20</t>
  </si>
  <si>
    <t>Rose Hill Cemetery Chapel Acc: 331526891  Electricity 19/12/19 - 28/03/20</t>
  </si>
  <si>
    <t>Rose Hill Cemetery Public Toilets Acc: 261526652  Electricity 21/12/19 - 28/03/20</t>
  </si>
  <si>
    <t>Barton Park Sports Floodlights Acc: 961804916  Electricity 09/02/20 - 30/03/20</t>
  </si>
  <si>
    <t>Unmetered Car Park Ticket Machines Acc: 361528966  Electricity 03/03/20 - 01/04/20</t>
  </si>
  <si>
    <t>Unmetered Car Park Lighting Acc: 931528944  Electricity 03/03/20 - 01/04/20</t>
  </si>
  <si>
    <t>Utilities to be invoiced to ODS - Diamond Place Public Toilets Acc: 601806366  Electricity 02/01/20 - 01/02/20</t>
  </si>
  <si>
    <t>Utilities to be invoiced to ODS - Diamond Place Public Toilets Acc: 601806366  Electricity 02/12/19 - 01/01/20</t>
  </si>
  <si>
    <t>Utilities to be invoiced to ODS - Florence Park Bowls Pavilion Acc: 221525571  Electricity 02/12/19 - 01/03/20</t>
  </si>
  <si>
    <t>Utilities to be invoiced to ODS - Florence Park Depot Acc: 971526793  Electricity 02/12/19 - 01/03/20</t>
  </si>
  <si>
    <t>Utilities to be invoiced to ODS - Florence Park Depot Acc: 88888893532  Water 14/08/19 - 13/11/19</t>
  </si>
  <si>
    <t>Utilities to be invoiced to ODS - Florence Park Public Toilets Acc: 88888893538  Water 14/08/19 - 13/11/19</t>
  </si>
  <si>
    <t>Utilities to be invoiced to ODS - Court Place Farm Sports Pavilion Acc: 931679389  Gas 06/07/19 - 27/09/19</t>
  </si>
  <si>
    <t>Utilities to be invoiced to ODS - Court Place Farm Sports Pavilion Acc: 931679389  Gas 28/09/19 - 08/01/20</t>
  </si>
  <si>
    <t>Utilities to be invoiced to ODS - Cowley Marsh Depot Acc: 3004980726  Gas 01/01/20 - 31/01/20</t>
  </si>
  <si>
    <t>Utilities to be invoiced to ODS - Oxpens Car Park Offices Acc: 88888893502  Water 14/08/19 - 13/11/19</t>
  </si>
  <si>
    <t>Utilities to be invoiced to ODS - Gloucester Green Underground Car Park Acc: KS86222J  Electricity 01/01/20 - 31/01/20</t>
  </si>
  <si>
    <t>Utilities to be invoiced to ODS - Gloucester Green Underground Car Park Acc: KS86222J  Electricity 01/02/20 - 29/02/20</t>
  </si>
  <si>
    <t>Utilities to be invoiced to ODS - Cowley Road Public Toilets &amp; Sweepers Store Acc: 761541423  Electricity 02/11/19 - 01/02/20</t>
  </si>
  <si>
    <t>30003923</t>
  </si>
  <si>
    <t>331215290</t>
  </si>
  <si>
    <t>Utilities to be invoiced to ODS - Rose Hill Cemetery Public Toilets Acc: 261526652  Electricity 27/06/19 - 30/09/19</t>
  </si>
  <si>
    <t>Utilities to be invoiced to ODS - Headington Car Park Acc: 071526508  Electricity 02/12/19 - 01/03/20</t>
  </si>
  <si>
    <t>Utilities to be invoiced to ODS - Florence Park Tennis Courts Floodlights Acc: 201716262  Electricity 02/10/19 - 01/01/20</t>
  </si>
  <si>
    <t>Utilities to be invoiced to ODS - Fry´s Hill Games Area Floodlights  Acc: 751586752  Electricity 02/12/19 - 01/03/20</t>
  </si>
  <si>
    <t>OX19OX16 GW35017780</t>
  </si>
  <si>
    <t>OX19OX16 GW35021778 101002637403</t>
  </si>
  <si>
    <t>QA99</t>
  </si>
  <si>
    <t>2019/20 Insurance Charges</t>
  </si>
  <si>
    <t>Utilities to be invoiced to ODS - Speedwell Street Public Toilets Acc: 88888893519  Water 14/08/19 - 13/11/19</t>
  </si>
  <si>
    <t>Utilities to be invoiced to ODS - Market Street Public Toilets Acc: 491803540  Electricity 02/12/19 - 01/01/20</t>
  </si>
  <si>
    <t>Utilities to be invoiced to ODS - Speedwell Street Public Toilets Acc: 681525917  Electricity 13/12/19 - 01/01/20</t>
  </si>
  <si>
    <t>Utilities to be invoiced to ODS - Market Street Public Toilets Acc: 88888893528  Water 14/08/19 - 13/11/19</t>
  </si>
  <si>
    <t>Utilities to be invoiced to ODS - St Clements Car Park Acc: 641587027  Electricity 02/12/19 - 01/03/20</t>
  </si>
  <si>
    <t>Utilities to be invoiced to ODS - Horspath Road Sports Pitches Acc: 88888893553  Water 10/08/19 - 09/11/19</t>
  </si>
  <si>
    <t>Utilities to be invoiced to ODS - Magdalen Street Female Public Toilets Acc: 88888893521  Water 14/08/19 - 13/11/19</t>
  </si>
  <si>
    <t>Utilities to be invoiced to ODS - Magdalen Street Female Public Toilets Acc: 401526577  Electricity 02/11/19 - 01/02/20</t>
  </si>
  <si>
    <t>Utilities to be invoiced to ODS - Magdalen Street Female Public Toilets Acc: 401526577  Electricity 11/10/19 - 01/11/19</t>
  </si>
  <si>
    <t>Utilities to be invoiced to ODS - Magdalen Street Female Public Toilets Acc: 401526577  Electricity 12/04/19 - 10/10/19</t>
  </si>
  <si>
    <t>Utilities to be invoiced to ODS - Market Street Public Toilets Acc: 491803540  Electricity 02/01/20 - 01/02/20</t>
  </si>
  <si>
    <t>Utilities to be invoiced to ODS - Horspath Athletics Pavilion Acc: KS86222C  Electricity 01/02/20 - 29/02/20</t>
  </si>
  <si>
    <t>Utilities to be invoiced to ODS - Union Street Sports Floodlights Acc: 721787592  Electricity 02/12/19 - 01/01/20</t>
  </si>
  <si>
    <t>Utilities to be invoiced to ODS - Unmetered Car Park Lighting Acc: 931528944  Electricity 03/01/20 - 03/02/20</t>
  </si>
  <si>
    <t>Utilities to be invoiced to ODS - South Parade Female &amp; Disabled Public Toilets Acc: 501527874  Electricity 03/10/19 - 01/02/20</t>
  </si>
  <si>
    <t>Utilities to be invoiced to ODS - Raleigh Park Cattle Trough Acc: 88888893508  Water 14/08/19 - 13/11/19</t>
  </si>
  <si>
    <t>Utilities to be invoiced to ODS - Sandy Lane Sports Pavilion Acc: 88888893554  Water 14/08/19 - 13/11/19</t>
  </si>
  <si>
    <t>Utilities to be invoiced to ODS - Oatlands Road Recreation Ground Car Park Acc: 951716435  Electricity 02/12/19 - 01/03/20</t>
  </si>
  <si>
    <t>Utilities to be invoiced to ODS - Horspath Athletics Pavilion Acc: KS86222C  Electricity 01/01/20 - 31/01/20</t>
  </si>
  <si>
    <t>OX05OX16 2019/20 INSURANCE CHARGES</t>
  </si>
  <si>
    <t>OX19OX16 GW35022041 101002637792</t>
  </si>
  <si>
    <t>OX19OX16 GW35020195 101002637867</t>
  </si>
  <si>
    <t>Utilities to be invoiced to ODS - Horspath Depot Stores Building Acc: 861749071  Electricity 11/12/19 - 10/01/20</t>
  </si>
  <si>
    <t>Utilities to be invoiced to ODS - Knights Road Public Toilets Acc: 88888893524  Water 14/08/19 - 13/11/19</t>
  </si>
  <si>
    <t>Utilities to be invoiced to ODS - Littlemore Public Toilets Acc: 88888893534  Water 10/08/19 - 09/11/19</t>
  </si>
  <si>
    <t>Gym Bus Parking for March 2020</t>
  </si>
  <si>
    <t>Utilities to be invoiced to ODS - Knights Road Public Toilets Acc: 461525486  Electricity 12/10/19 - 22/01/20</t>
  </si>
  <si>
    <t>OX20OX16 GW35010536</t>
  </si>
  <si>
    <t>Utilities to be invoiced to ODS - Hinksey Park Attendant´s Hut Acc: 761526268  Electricity 02/10/19 - 01/01/20</t>
  </si>
  <si>
    <t>Utilities to be invoiced to ODS - West Hill Farm Acc: 88888893482  Water 14/08/19 - 13/11/19</t>
  </si>
  <si>
    <t>OX20OX16 GW35018389 101002638805</t>
  </si>
  <si>
    <t>OX19OX16 GW35014748 101002638538</t>
  </si>
  <si>
    <t>OX20OX16 GW35036705 101002638289</t>
  </si>
  <si>
    <t>OX19OX16 GW35022482</t>
  </si>
  <si>
    <t>Utilities to be invoiced to ODS - St Clements Public Toilets Acc: 681588274  Electricity 02/11/19 - 01/02/20</t>
  </si>
  <si>
    <t>OX19OX16 GW35025134 101002642711</t>
  </si>
  <si>
    <t>OX19OX16 GW35039131</t>
  </si>
  <si>
    <t>OX19OX16 GW35039120 101002642661</t>
  </si>
  <si>
    <t>OX20OX16 GW35011492</t>
  </si>
  <si>
    <t>OX20OX16 GW35017332</t>
  </si>
  <si>
    <t>OX20OX16 GW35021036</t>
  </si>
  <si>
    <t>OX20OX16 GW35010180</t>
  </si>
  <si>
    <t>OX19OX16 GW35039132 101002643058</t>
  </si>
  <si>
    <t>P&amp;R THECN MARCH 2020</t>
  </si>
  <si>
    <t>P&amp;R WEEKCN MARCH 2020</t>
  </si>
  <si>
    <t>OX20OX16 cutt/park permit</t>
  </si>
  <si>
    <t>Utilities to be invoiced to ODS - Seacourt Park and Ride Acc: 21523999  Electricity 01/11/19 - 05/02/20</t>
  </si>
  <si>
    <t>Utilities to be invoiced to ODS - Horspath Depot Main Building Acc: 88888893500  Water 14/08/19 - 13/11/19</t>
  </si>
  <si>
    <t>331215172</t>
  </si>
  <si>
    <t>OX20OX16 GW35019080 101002642453</t>
  </si>
  <si>
    <t>331215310</t>
  </si>
  <si>
    <t>331216190</t>
  </si>
  <si>
    <t>331215871</t>
  </si>
  <si>
    <t>331215759</t>
  </si>
  <si>
    <t>331215746</t>
  </si>
  <si>
    <t>331215580</t>
  </si>
  <si>
    <t>331215480</t>
  </si>
  <si>
    <t>331215474</t>
  </si>
  <si>
    <t>331215469</t>
  </si>
  <si>
    <t>331215414</t>
  </si>
  <si>
    <t>331215398</t>
  </si>
  <si>
    <t>331215369</t>
  </si>
  <si>
    <t>331215362</t>
  </si>
  <si>
    <t>331215360</t>
  </si>
  <si>
    <t>331215354</t>
  </si>
  <si>
    <t>331215344</t>
  </si>
  <si>
    <t>331215343</t>
  </si>
  <si>
    <t>331215339</t>
  </si>
  <si>
    <t>331215336</t>
  </si>
  <si>
    <t>refund due to ODS</t>
  </si>
  <si>
    <t>331216956</t>
  </si>
  <si>
    <t>331215295</t>
  </si>
  <si>
    <t>331215277</t>
  </si>
  <si>
    <t>331215273</t>
  </si>
  <si>
    <t>331215271</t>
  </si>
  <si>
    <t>331215269</t>
  </si>
  <si>
    <t>331215223</t>
  </si>
  <si>
    <t>331202288</t>
  </si>
  <si>
    <t>331202283</t>
  </si>
  <si>
    <t>331202281</t>
  </si>
  <si>
    <t>331202280</t>
  </si>
  <si>
    <t>331202279</t>
  </si>
  <si>
    <t>331202274</t>
  </si>
  <si>
    <t>30013749</t>
  </si>
  <si>
    <t>30013089</t>
  </si>
  <si>
    <t>30011959</t>
  </si>
  <si>
    <t>30011940</t>
  </si>
  <si>
    <t>30011763</t>
  </si>
  <si>
    <t>30011700</t>
  </si>
  <si>
    <t>30011697</t>
  </si>
  <si>
    <t>331216977</t>
  </si>
  <si>
    <t>30011653</t>
  </si>
  <si>
    <t>331223416</t>
  </si>
  <si>
    <t>Wolvercote Cemetery Public Toilets Acc: 88888893530  Water 14/08/19 - 13/11/19</t>
  </si>
  <si>
    <t>Wolvercote Bathing Place Acc: 88888893514  Water 10/08/19 - 09/11/19</t>
  </si>
  <si>
    <t>West Hill Farm Acc: 88888893482  Water 14/08/19 - 13/11/19</t>
  </si>
  <si>
    <t>Unmetered Car Park Ticket Machines Acc: 361528966  Electricity 03/01/20 - 03/02/20</t>
  </si>
  <si>
    <t>30000310</t>
  </si>
  <si>
    <t>30000308</t>
  </si>
  <si>
    <t>30000307</t>
  </si>
  <si>
    <t>30000306</t>
  </si>
  <si>
    <t>30000303</t>
  </si>
  <si>
    <t>30000288</t>
  </si>
  <si>
    <t>30000284</t>
  </si>
  <si>
    <t>30000283</t>
  </si>
  <si>
    <t>331226832</t>
  </si>
  <si>
    <t>331226043</t>
  </si>
  <si>
    <t>OX19OX16 GW35017842 101002632614</t>
  </si>
  <si>
    <t>331223409</t>
  </si>
  <si>
    <t>331223247</t>
  </si>
  <si>
    <t>331223246</t>
  </si>
  <si>
    <t>331223200</t>
  </si>
  <si>
    <t>331223006</t>
  </si>
  <si>
    <t>331222923</t>
  </si>
  <si>
    <t>331222889</t>
  </si>
  <si>
    <t>331222853</t>
  </si>
  <si>
    <t>331222852</t>
  </si>
  <si>
    <t>331222832</t>
  </si>
  <si>
    <t>331222605</t>
  </si>
  <si>
    <t>331220478</t>
  </si>
  <si>
    <t>331217521</t>
  </si>
  <si>
    <t>331217514</t>
  </si>
  <si>
    <t>331217501</t>
  </si>
  <si>
    <t>331217393</t>
  </si>
  <si>
    <t>331217218</t>
  </si>
  <si>
    <t>331217217</t>
  </si>
  <si>
    <t>331217067</t>
  </si>
  <si>
    <t>331217027</t>
  </si>
  <si>
    <t>30010464</t>
  </si>
  <si>
    <t>OX19OX16 GW35036726 101002633037</t>
  </si>
  <si>
    <t>331211234</t>
  </si>
  <si>
    <t>331215164</t>
  </si>
  <si>
    <t>331215152</t>
  </si>
  <si>
    <t>331215151</t>
  </si>
  <si>
    <t>331215131</t>
  </si>
  <si>
    <t>331215122</t>
  </si>
  <si>
    <t>331215117</t>
  </si>
  <si>
    <t>331215111</t>
  </si>
  <si>
    <t>331215095</t>
  </si>
  <si>
    <t>331215017</t>
  </si>
  <si>
    <t>331211270</t>
  </si>
  <si>
    <t>331211269</t>
  </si>
  <si>
    <t>331211268</t>
  </si>
  <si>
    <t>331211266</t>
  </si>
  <si>
    <t>331211258</t>
  </si>
  <si>
    <t>331211256</t>
  </si>
  <si>
    <t>331211255</t>
  </si>
  <si>
    <t>331211248</t>
  </si>
  <si>
    <t>331211246</t>
  </si>
  <si>
    <t>331211244</t>
  </si>
  <si>
    <t>331215168</t>
  </si>
  <si>
    <t>331202560</t>
  </si>
  <si>
    <t>331202553</t>
  </si>
  <si>
    <t>331202380</t>
  </si>
  <si>
    <t>331202374</t>
  </si>
  <si>
    <t>331202372</t>
  </si>
  <si>
    <t>331202370</t>
  </si>
  <si>
    <t>331202369</t>
  </si>
  <si>
    <t>331202366</t>
  </si>
  <si>
    <t>331202364</t>
  </si>
  <si>
    <t>331202363</t>
  </si>
  <si>
    <t>331202361</t>
  </si>
  <si>
    <t>331202359</t>
  </si>
  <si>
    <t>331202358</t>
  </si>
  <si>
    <t>331202349</t>
  </si>
  <si>
    <t>331202348</t>
  </si>
  <si>
    <t>331202343</t>
  </si>
  <si>
    <t>331202336</t>
  </si>
  <si>
    <t>331202331</t>
  </si>
  <si>
    <t>331202327</t>
  </si>
  <si>
    <t>331215169</t>
  </si>
  <si>
    <t>331202324</t>
  </si>
  <si>
    <t>331214890</t>
  </si>
  <si>
    <t>30010460</t>
  </si>
  <si>
    <t>30010459</t>
  </si>
  <si>
    <t>30010452</t>
  </si>
  <si>
    <t>30010451</t>
  </si>
  <si>
    <t>30010036</t>
  </si>
  <si>
    <t>30010033</t>
  </si>
  <si>
    <t>30009999</t>
  </si>
  <si>
    <t>30009998</t>
  </si>
  <si>
    <t>30009997</t>
  </si>
  <si>
    <t>30009853</t>
  </si>
  <si>
    <t>30009638</t>
  </si>
  <si>
    <t>331214982</t>
  </si>
  <si>
    <t>331214981</t>
  </si>
  <si>
    <t>331214980</t>
  </si>
  <si>
    <t>331214979</t>
  </si>
  <si>
    <t>331214973</t>
  </si>
  <si>
    <t>331214961</t>
  </si>
  <si>
    <t>331214942</t>
  </si>
  <si>
    <t>30010461</t>
  </si>
  <si>
    <t>331212708</t>
  </si>
  <si>
    <t>331212704</t>
  </si>
  <si>
    <t>331212693</t>
  </si>
  <si>
    <t>331212680</t>
  </si>
  <si>
    <t>331212662</t>
  </si>
  <si>
    <t>331212634</t>
  </si>
  <si>
    <t>331212632</t>
  </si>
  <si>
    <t>331212626</t>
  </si>
  <si>
    <t>331212616</t>
  </si>
  <si>
    <t>331212583</t>
  </si>
  <si>
    <t>331212582</t>
  </si>
  <si>
    <t>331212073</t>
  </si>
  <si>
    <t>331211873</t>
  </si>
  <si>
    <t>331211458</t>
  </si>
  <si>
    <t>331211453</t>
  </si>
  <si>
    <t>331211451</t>
  </si>
  <si>
    <t>331215222</t>
  </si>
  <si>
    <t>331215220</t>
  </si>
  <si>
    <t>331215211</t>
  </si>
  <si>
    <t>331215174</t>
  </si>
  <si>
    <t>30010463</t>
  </si>
  <si>
    <t>OX20OX16 GW35038990 101002633040</t>
  </si>
  <si>
    <t>331202306</t>
  </si>
  <si>
    <t>OX19OX16 GW35025143 101002632223</t>
  </si>
  <si>
    <t>331215289</t>
  </si>
  <si>
    <t>331215283</t>
  </si>
  <si>
    <t>331212691</t>
  </si>
  <si>
    <t>331212589</t>
  </si>
  <si>
    <t>30010439</t>
  </si>
  <si>
    <t>30010006</t>
  </si>
  <si>
    <t>331222989</t>
  </si>
  <si>
    <t>331222987</t>
  </si>
  <si>
    <t>331222984</t>
  </si>
  <si>
    <t>331222983</t>
  </si>
  <si>
    <t>331222982</t>
  </si>
  <si>
    <t>331222978</t>
  </si>
  <si>
    <t>331223155</t>
  </si>
  <si>
    <t>OX09OX16 01/4/2020</t>
  </si>
  <si>
    <t>OX20OX16 GW35019388</t>
  </si>
  <si>
    <t>OX20OX16 GW35010946 101002631684</t>
  </si>
  <si>
    <t>331215291</t>
  </si>
  <si>
    <t>OX19OX16 GW35018062 101002632153</t>
  </si>
  <si>
    <t>OX19OX16 GW35028672 101002631665</t>
  </si>
  <si>
    <t>OX20OX16 GW35013142 101002632072</t>
  </si>
  <si>
    <t>Littlemore Public Toilets Acc: 88888893534  Water 10/08/19 - 09/11/19</t>
  </si>
  <si>
    <t>331215292</t>
  </si>
  <si>
    <t>OX05OX16 Hozah Parking</t>
  </si>
  <si>
    <t>331212615</t>
  </si>
  <si>
    <t>331212449</t>
  </si>
  <si>
    <t>OX20OX16 GW35018046 101002631104</t>
  </si>
  <si>
    <t>OX19OX16 GW35011886 101002631040</t>
  </si>
  <si>
    <t>OX20OX16 GW35013394 101002631464</t>
  </si>
  <si>
    <t>331212674</t>
  </si>
  <si>
    <t>OX20OX16 GW35012526 101002631351</t>
  </si>
  <si>
    <t>OX20OX16 GW35010538</t>
  </si>
  <si>
    <t>331222990</t>
  </si>
  <si>
    <t>30007195</t>
  </si>
  <si>
    <t>30007194</t>
  </si>
  <si>
    <t>30007193</t>
  </si>
  <si>
    <t>30006351</t>
  </si>
  <si>
    <t>30005559</t>
  </si>
  <si>
    <t>30003582</t>
  </si>
  <si>
    <t>331222977</t>
  </si>
  <si>
    <t>331222972</t>
  </si>
  <si>
    <t>331222807</t>
  </si>
  <si>
    <t>331215588</t>
  </si>
  <si>
    <t>331215302</t>
  </si>
  <si>
    <t>331215299</t>
  </si>
  <si>
    <t>331213086</t>
  </si>
  <si>
    <t>30010483</t>
  </si>
  <si>
    <t>30010449</t>
  </si>
  <si>
    <t>Cutteslowe Park Splash Feature Acc: 88888893504  Water 14/08/19 - 13/11/19</t>
  </si>
  <si>
    <t>Worcester Street Car Park Acc: 88888893408  Water 01/08/18 - 31/03/19</t>
  </si>
  <si>
    <t>Worcester Street Car Park Acc: 88888893408  Water 01/04/19 - 09/12/19</t>
  </si>
  <si>
    <t>OX19OX16 GW35012662 101002632500</t>
  </si>
  <si>
    <t>OX19OX16 GW35022634 101002632422</t>
  </si>
  <si>
    <t>OX19OX16 GW35013926 101002632364</t>
  </si>
  <si>
    <t>OX20OX16 GW35027954 101002632397</t>
  </si>
  <si>
    <t>30011835</t>
  </si>
  <si>
    <t>OX20OX16 GW35021629</t>
  </si>
  <si>
    <t>OX20OX16 GW35011301</t>
  </si>
  <si>
    <t>OX20OX16 GW35010192</t>
  </si>
  <si>
    <t>OX20OX16 101002632413</t>
  </si>
  <si>
    <t>30012659</t>
  </si>
  <si>
    <t>30003909</t>
  </si>
  <si>
    <t>Horspath Road Sports Pitches Acc: 88888893553  Water 10/08/19 - 09/11/19</t>
  </si>
  <si>
    <t>Horspath Depot Stores Building Garage Acc: 821526329  Electricity 16/10/19 - 14/01/20</t>
  </si>
  <si>
    <t>P12 Jade Accrual</t>
  </si>
  <si>
    <t>30003911</t>
  </si>
  <si>
    <t>Knights Road Public Toilets Acc: 461525486  Electricity 12/10/19 - 22/01/20</t>
  </si>
  <si>
    <t>30003908</t>
  </si>
  <si>
    <t>30003907</t>
  </si>
  <si>
    <t>30003905</t>
  </si>
  <si>
    <t>30003902</t>
  </si>
  <si>
    <t>30003900</t>
  </si>
  <si>
    <t>30010446</t>
  </si>
  <si>
    <t>30010444</t>
  </si>
  <si>
    <t>30010442</t>
  </si>
  <si>
    <t>30010022</t>
  </si>
  <si>
    <t>30007230</t>
  </si>
  <si>
    <t>30007229</t>
  </si>
  <si>
    <t>30007228</t>
  </si>
  <si>
    <t>30007227</t>
  </si>
  <si>
    <t>30007226</t>
  </si>
  <si>
    <t>30007225</t>
  </si>
  <si>
    <t>30007223</t>
  </si>
  <si>
    <t>331222999</t>
  </si>
  <si>
    <t>331217118</t>
  </si>
  <si>
    <t>331215479</t>
  </si>
  <si>
    <t>331202394</t>
  </si>
  <si>
    <t>Knights Road Public Toilets Acc: 88888893524  Water 14/08/19 - 13/11/19</t>
  </si>
  <si>
    <t>331215124</t>
  </si>
  <si>
    <t>331202303</t>
  </si>
  <si>
    <t>OX09OX16 702220915 R/O 35-37 OLD HIGH ST HEADINGTON</t>
  </si>
  <si>
    <t>OX09OX16 703670818 GLOUCESTER GREEN</t>
  </si>
  <si>
    <t>OX20OX16 GW35022970</t>
  </si>
  <si>
    <t>P1 Jade Accrual</t>
  </si>
  <si>
    <t>Rose Hill Cemetery Public Toilets Acc: 88888893533  Water 14/11/19 - 14/02/20</t>
  </si>
  <si>
    <t>London Road Public Toilets Acc: 88888893536  Water 14/11/19 - 14/02/20</t>
  </si>
  <si>
    <t>OX09OX16 711850554 108 TEMPLE ROAD</t>
  </si>
  <si>
    <t>Quarry Sports Pavilion Acc: 88888893548  Water 11/04/19 - 09/07/19</t>
  </si>
  <si>
    <t>Bury Knowle Park Acc: 88888893513  Water 15/04/19 - 14/01/20</t>
  </si>
  <si>
    <t>Oxpens Car Park Acc: 88888895167  Water 10/11/19 - 10/02/20</t>
  </si>
  <si>
    <t>OX09OX16 702833611 ST LEONARDS ROAD</t>
  </si>
  <si>
    <t>OX09OX16 70302331X UNION ST</t>
  </si>
  <si>
    <t>OX09OX16 702351710 SOUTH SIDE OXPENS ROAD</t>
  </si>
  <si>
    <t>OX09OX16 711936000 HINSKSEY PARK</t>
  </si>
  <si>
    <t>OX09OX16 711892741 ADJ EXCELSIOR MOTOR LODGE</t>
  </si>
  <si>
    <t>OX09OX16 711880458 NUFFIELD COLLEGE CAR PARK</t>
  </si>
  <si>
    <t>OX05OX16 6413099-HO ALLSTAR</t>
  </si>
  <si>
    <t>OX09OX16 707414616 ADVERTISING RIGHT STATION APPROACH</t>
  </si>
  <si>
    <t>OX09OX16 701106814 FERRY POOL ROAD</t>
  </si>
  <si>
    <t>OX09OX16 703331810 WORCESTER ST</t>
  </si>
  <si>
    <t>OX09OX16 70269621X ST CLEMENTS</t>
  </si>
  <si>
    <t>OX09OX16 711892714 REDBRIDGE P&amp;R</t>
  </si>
  <si>
    <t>OX09OX16 711892732 BOTLEY ROAD</t>
  </si>
  <si>
    <t>OX09OX16 711935981 ALEXANDRA COURTS</t>
  </si>
  <si>
    <t>Provision of Parking Management Service 0104-300420</t>
  </si>
  <si>
    <t>DS31</t>
  </si>
  <si>
    <t>Provision of Household Waste Collection and Management 0104-300420</t>
  </si>
  <si>
    <t>Horspath Depot Stores Building Acc: 3004980781  Gas 01/03/20 - 31/03/20</t>
  </si>
  <si>
    <t>S26E</t>
  </si>
  <si>
    <t>DS34</t>
  </si>
  <si>
    <t>Provision of Pest Control and Dog Warden Services</t>
  </si>
  <si>
    <t>Penalty Payments April 2020 - Alexandra Court Car Park</t>
  </si>
  <si>
    <t>Penalty Payments April 2020 - A40 Cutteslowe Car Park</t>
  </si>
  <si>
    <t>Penalty Payments April 2020 - Court Place Farm Car Park</t>
  </si>
  <si>
    <t>Penalty Payments April 2020 - Oxpens Car Park</t>
  </si>
  <si>
    <t>Penalty Payments April 2020 - Worcester Street Car Park</t>
  </si>
  <si>
    <t>Penalty Payments April 2020 - Gloucester Green Car Park</t>
  </si>
  <si>
    <t>Penalty Payments April 2020 - St Clements Car Park</t>
  </si>
  <si>
    <t>Penalty Payments April 2020 - Thornhill Park and Ride</t>
  </si>
  <si>
    <t>Penalty Payments April 2020 - Oxford Parkway Park and Ride</t>
  </si>
  <si>
    <t>Penalty Payments April 2020 - Peartree Park &amp; Ride Car Park</t>
  </si>
  <si>
    <t>Penalty Payments April 2020 - Seacourt Park &amp; Ride Car Park</t>
  </si>
  <si>
    <t>Penalty Payments April 2020 - Redbridge Park &amp; Ride Car Park</t>
  </si>
  <si>
    <t>Penalty Payments April 2020 - Summertown Car Park</t>
  </si>
  <si>
    <t>Penalty Payments April 2020 - Headington Car Park</t>
  </si>
  <si>
    <t>Penalty Payments April 2020 - Union Street Car Park</t>
  </si>
  <si>
    <t>Penalty Payments April 2020 - St Leonards Car Park</t>
  </si>
  <si>
    <t>Penalty Payments April 2020 - Walton Well Road Car Park</t>
  </si>
  <si>
    <t>Penalty Payments April 2020 - Hinksey Park Car Park</t>
  </si>
  <si>
    <t>Penalty Payments April 2020 - Blackbird Leys Leisure Centre Car Park</t>
  </si>
  <si>
    <t>Cowley Marsh Depot Acc: 3004980726  Gas 01/03/20 - 31/03/20</t>
  </si>
  <si>
    <t>OX09OX16 08/04/2020</t>
  </si>
  <si>
    <t>OX19OX16 GW35034558 101002636370</t>
  </si>
  <si>
    <t>OX20OX16 GW35032517 101002636330</t>
  </si>
  <si>
    <t>OX20OX16 GW35020958 101002636804</t>
  </si>
  <si>
    <t>OX19OX16 GW35019229 101002636710</t>
  </si>
  <si>
    <t>OX19OX16 GW35019144 101002636422</t>
  </si>
  <si>
    <t>Cutteslowe Park Acc: 3005051720  Gas 01/03/20 - 31/03/20</t>
  </si>
  <si>
    <t>Horspath Depot Main Building Acc: 3004980627  Gas 01/03/20 - 31/03/20</t>
  </si>
  <si>
    <t>Barton Park Sports Pavilion Acc: 221782363  Gas 08/01/20 - 30/03/20</t>
  </si>
  <si>
    <t>Court Place Farm Sports Pavilion Acc: 931679389  Gas 09/01/20 - 30/03/20</t>
  </si>
  <si>
    <t>Grandpont Sports Pavilion Acc: 701679269  Gas 01/05/19 - 23/08/19</t>
  </si>
  <si>
    <t>Between Towns Road Sweepers Store Acc: 081798790  Electricity 19/08/19 - 15/09/19</t>
  </si>
  <si>
    <t>OX09OX16 711948223 SWEEPRER DEPOT MANZIL GARDENS</t>
  </si>
  <si>
    <t>Provision of Parks and Open Spaces Services</t>
  </si>
  <si>
    <t>Wolvercote Cemetery Public Toilets Acc: 88888893530  Water 14/11/19 - 14/02/20</t>
  </si>
  <si>
    <t>Grandpont Sports Pavilion Acc: 701679269  Gas 26/11/19 - 26/02/20</t>
  </si>
  <si>
    <t>OX09OX16 700167011 R/O 222-224 BANBURY ROAD</t>
  </si>
  <si>
    <t>OX20OX16 GW35039030</t>
  </si>
  <si>
    <t>OX19OX16 GW35020976 101002630383</t>
  </si>
  <si>
    <t>OX20OX16 GW35019561 101002641569</t>
  </si>
  <si>
    <t>OX20OX16 GW35039060 101002641565</t>
  </si>
  <si>
    <t>OX20OX16 GW35039047 101002641422</t>
  </si>
  <si>
    <t>OX20OX16 GW35032493 101002641448</t>
  </si>
  <si>
    <t>P12 P2P accruals 2019/20, 8039228, JADE SECURITY SERVICES LTD</t>
  </si>
  <si>
    <t>OX20OX16 GW35020534 101002641521</t>
  </si>
  <si>
    <t>OX20OX16 GW35017776</t>
  </si>
  <si>
    <t>OX20OX16 GW35036499 101002641483</t>
  </si>
  <si>
    <t>P12 P2P accruals 2019/20, 8032252, OXFORD DIRECT SERVICES LTD</t>
  </si>
  <si>
    <t>P12 P2P accruals 2019/20, 8033249, IMPERIAL CIVIL ENFORCEMENT SOLUTIONS LTD</t>
  </si>
  <si>
    <t>Car Park Permit Refund</t>
  </si>
  <si>
    <t>Car Park Refund</t>
  </si>
  <si>
    <t>Car Park refund</t>
  </si>
  <si>
    <t>Quarry Sports Pavilion Acc: 88888893548  Water 10/01/19 - 10/04/19</t>
  </si>
  <si>
    <t>OX20OX16 GW35011207</t>
  </si>
  <si>
    <t>Quarry Sports Pavilion Acc: 88888893548  Water 18/01/18 - 09/01/19</t>
  </si>
  <si>
    <t>Five Mile Drive Sports Pavilion Acc: 88888893550  Water 14/11/19 - 14/02/20</t>
  </si>
  <si>
    <t>Botley Cemetery Chapel Acc: 88888893505  Water 14/11/19 - 14/02/20</t>
  </si>
  <si>
    <t>OX09OX16 711920299 THE COVEN OXPENS</t>
  </si>
  <si>
    <t>Cutteslowe Park Splash Feature Acc: 88888893504  Water 14/11/19 - 14/02/20</t>
  </si>
  <si>
    <t>Horspath Road Sports Pitches Acc: 88888893553  Water 10/11/19 - 10/02/20</t>
  </si>
  <si>
    <t>OX19OX16 GW35012958 101002641552</t>
  </si>
  <si>
    <t>OX19OX16 GW35039099 101002642106</t>
  </si>
  <si>
    <t>OX19OX16 GW35021368 101002642350</t>
  </si>
  <si>
    <t>OX19OX16 GW35018695 101002642617</t>
  </si>
  <si>
    <t>Blackbird Leys Bowls Pavilion &amp; Park Depot Acc: 88888893552  Water 10/11/19 - 10/02/20</t>
  </si>
  <si>
    <t>Grandpont Sports Pavilion Acc: 88888893551  Water 10/11/19 - 10/02/20</t>
  </si>
  <si>
    <t>Cowley Marsh Sports Pavilion Acc: 88888893547  Water 10/11/19 - 10/02/20</t>
  </si>
  <si>
    <t>Grandpont Sports Pavilion Acc: 701679269  Gas 24/08/19 - 25/11/19</t>
  </si>
  <si>
    <t>OX19OX16 GW35014229 101002641479</t>
  </si>
  <si>
    <t>OX20OX16 GW35039113</t>
  </si>
  <si>
    <t>OX09OX16 707671819 ADVERTISING BOARDS FRIARS ENTRY</t>
  </si>
  <si>
    <t>OX09OX16 708720611 BANBURY ROAD NORTH SPORTS GROUND</t>
  </si>
  <si>
    <t>OX09OX16 705935213 ROSE HILL CEMETERY</t>
  </si>
  <si>
    <t>OX09OX16 705933016 WOLVERCOTE CEMETERY</t>
  </si>
  <si>
    <t>OX09OX16 70593411X HEADINGTON CEMETERY</t>
  </si>
  <si>
    <t>OX09OX16 7711935990 WALTON WELL ROAD</t>
  </si>
  <si>
    <t>P1 ECN Accrual</t>
  </si>
  <si>
    <t>OX09OX16 707640212 ADVERTISING BOARD MARKET ST</t>
  </si>
  <si>
    <t>Rose Hill Cemetery Chapel Acc: 88888893511  Water 14/02/20 - 13/05/20</t>
  </si>
  <si>
    <t>P1 Bad Debt Accrual</t>
  </si>
  <si>
    <t>OX09OX16 707639214 ADVERTISING BOARDS ST EBBES</t>
  </si>
  <si>
    <t>OX19OX16 101002630260</t>
  </si>
  <si>
    <t>S32</t>
  </si>
  <si>
    <t>CD42</t>
  </si>
  <si>
    <t>Retail Hospitality Leisure Grant Fund</t>
  </si>
  <si>
    <t>Small Business Grant Fund</t>
  </si>
  <si>
    <t>CD43</t>
  </si>
  <si>
    <t>CD11</t>
  </si>
  <si>
    <t>CD22</t>
  </si>
  <si>
    <t>P12 P2P accruals 2019/20, 8036965, CARTER JONAS</t>
  </si>
  <si>
    <t>S32I</t>
  </si>
  <si>
    <t>CD61</t>
  </si>
  <si>
    <t>P12 P2P accruals 2019/20, 8039271, TAMESIDE MBC</t>
  </si>
  <si>
    <t>Financial Intelligence Toolkit Subscription 2020/21</t>
  </si>
  <si>
    <t>CD13</t>
  </si>
  <si>
    <t>P12 P2P accruals 2019/20, 8038807, THE LOTTERIES COUNCIL</t>
  </si>
  <si>
    <t>KT14</t>
  </si>
  <si>
    <t>Reverse SLA Income Accrual</t>
  </si>
  <si>
    <t>Love Accounting OX20194 March 2020</t>
  </si>
  <si>
    <t>NETT ONLY</t>
  </si>
  <si>
    <t>P12 P2P accruals 2019/20, 8029530, IRRV</t>
  </si>
  <si>
    <t>S32D</t>
  </si>
  <si>
    <t>CM12</t>
  </si>
  <si>
    <t>Fee for certification of HB grant claims yr ended 2019</t>
  </si>
  <si>
    <t>COVID-19 # Grant Funded Schemes</t>
  </si>
  <si>
    <t>P12 P2P accruals 2019/20, 8023149, EPIQ EUROPE LTD</t>
  </si>
  <si>
    <t>A0602</t>
  </si>
  <si>
    <t>OSINT Bootcamp Training - 24th January 2020</t>
  </si>
  <si>
    <t>Hooyu Investigate user licence 6 User Licenses with 3,000 Investigations</t>
  </si>
  <si>
    <t>Retail Leisure Hospitality Grant Fund</t>
  </si>
  <si>
    <t>P12 P2P accruals 2019/20, 8037698, BPP PROFESSIONAL EDUCATION LTD</t>
  </si>
  <si>
    <t>P12 P2P accruals 2019/20, 8036710, ERNST &amp; YOUNG LLP</t>
  </si>
  <si>
    <t>CM13</t>
  </si>
  <si>
    <t>OX05OX16 34023931 GLOBAL PAYMENTS</t>
  </si>
  <si>
    <t>OX05OX16 34023361 GLOBAL PAYMENTS</t>
  </si>
  <si>
    <t>OX05OX16 34025751 GLOBAL PAYMENTS</t>
  </si>
  <si>
    <t>OX05OX16 34024761 GLOBAL PAYMENTS</t>
  </si>
  <si>
    <t>OX05OX16 34024501 GLOBAL PAYMENTS</t>
  </si>
  <si>
    <t>OX05OX16 34025591 GLOBAL PAYMENTS</t>
  </si>
  <si>
    <t>OX05OX16 34025001 GLOBAL PAYMENTS</t>
  </si>
  <si>
    <t>CD10</t>
  </si>
  <si>
    <t>P12 P2P accruals 2019/20, 8033805, CIFAS</t>
  </si>
  <si>
    <t>Capita Revenues and Benefits Subsidy Seminar/Webinar</t>
  </si>
  <si>
    <t>P12 P2P accruals 2019/20, 8036986, BT BUSINESS DIRECT</t>
  </si>
  <si>
    <t>5.5 Days equivalent to 31 March 2020</t>
  </si>
  <si>
    <t>Prof Fees Ferry Pool Road, Oxford OX2 7DT car park &amp; premises</t>
  </si>
  <si>
    <t>P12 P2P accruals 2019/20, 8038988, INTEC FOR BUSINESS LTD</t>
  </si>
  <si>
    <t>CD66</t>
  </si>
  <si>
    <t>P12 P2P accruals 2019/20, 8035990, CLEAR AND CREATIVE COMMUNICATIONS</t>
  </si>
  <si>
    <t>P12 P2P accruals 2019/20, 8026166, JADE SECURITY SERVICES LTD</t>
  </si>
  <si>
    <t>P12 P2P accruals 2019/20, 8039256, BROWNE JACOBSON LLP</t>
  </si>
  <si>
    <t>P12 P2P accruals 2019/20, 8037104, ERNST &amp; YOUNG LLP</t>
  </si>
  <si>
    <t>P12 P2P accruals 2019/20, 8037512, BT BUSINESS DIRECT</t>
  </si>
  <si>
    <t>P12 P2P accruals 2019/20, 8036359, ALLPAY</t>
  </si>
  <si>
    <t>CD21</t>
  </si>
  <si>
    <t>P12 P2P accruals 2019/20, 8033792, BDO LLP</t>
  </si>
  <si>
    <t>P12 P2P accruals 2019/20, 8038647, HOOYU LIMITED</t>
  </si>
  <si>
    <t>P12 P2P accruals 2019/20, 8033791, BDO LLP</t>
  </si>
  <si>
    <t>P12 P2P accruals 2019/20, 8037041, NATIONAL CRIME AGENCY</t>
  </si>
  <si>
    <t>D3319</t>
  </si>
  <si>
    <t>P12 P2P accruals 2019/20, 8038463, ASHDALE ENGINEERING UK LTD</t>
  </si>
  <si>
    <t>P12 P2P accruals 2019/20, 8039035, TAMESIDE MBC</t>
  </si>
  <si>
    <t>P12 P2P accruals 2019/20, 8032433, TAMESIDE MBC</t>
  </si>
  <si>
    <t>CD67</t>
  </si>
  <si>
    <t>OX05OX16 MAIN GRANTS</t>
  </si>
  <si>
    <t>P12 Streeter W (Reed)</t>
  </si>
  <si>
    <t>P1 Streeter W (Reed)</t>
  </si>
  <si>
    <t>P12 Farrow R (Reed)</t>
  </si>
  <si>
    <t>P12 Budde G (Reed)</t>
  </si>
  <si>
    <t>P1 Budde G (Reed)</t>
  </si>
  <si>
    <t>P1 Elliott P (Reed)</t>
  </si>
  <si>
    <t>P12 Elliott P (Reed)</t>
  </si>
  <si>
    <t>P12 Anrude-chambers E (Reed)</t>
  </si>
  <si>
    <t>P1 Farrow R (Reed)</t>
  </si>
  <si>
    <t>LED MONITOR</t>
  </si>
  <si>
    <t>D3308</t>
  </si>
  <si>
    <t>GB Storage per month 25.69 GB to date £8.00per GB 205.5200 1 205.52</t>
  </si>
  <si>
    <t>OX05OX16 34023361</t>
  </si>
  <si>
    <t>OX05OX16 7263166 LAND REGISTRY</t>
  </si>
  <si>
    <t>Q2 2020 Advance for building better opportunities</t>
  </si>
  <si>
    <t>Q2 2020 payment for Building Better Opportunities Programme as agreed</t>
  </si>
  <si>
    <t>Building Better Opportunities Programme - Q2 2020 payment</t>
  </si>
  <si>
    <t>Investment Benchmarking</t>
  </si>
  <si>
    <t>P12 Hamilton H (Reed)</t>
  </si>
  <si>
    <t>P1 Anrude-chambers E (Reed)</t>
  </si>
  <si>
    <t>Northgate Resilience contract March</t>
  </si>
  <si>
    <t>For the provision of Engineering Inspections in April 2020</t>
  </si>
  <si>
    <t>Northgate Resilience contract February- invoice awaited as in dispute</t>
  </si>
  <si>
    <t>P12 P2P 8038463 not required</t>
  </si>
  <si>
    <t>CIPFA Stats Full Internet Access 01/04/20 - 31/03/21</t>
  </si>
  <si>
    <t>CIPFA Alternative Service Delivery 01/04/20 - 31/03/21</t>
  </si>
  <si>
    <t>TIS Online full subscription 31/03/20 - 31/03/21</t>
  </si>
  <si>
    <t>CIPFA Publications subscription 31/03/20 - 31/03/21</t>
  </si>
  <si>
    <t>National Anti-Fraud Network 01/04/20 - 31/03/21</t>
  </si>
  <si>
    <t>CIPFA Revenues &amp; Benefits Service 01/04/20 - 31/03/21</t>
  </si>
  <si>
    <t>Subscription Pro Contract 01/05/20 - 30/04/21</t>
  </si>
  <si>
    <t>Analyse LOCAL 20/21</t>
  </si>
  <si>
    <t>P12 P2P 8039271 not required</t>
  </si>
  <si>
    <t>Finance Advisory Network 01/04/20 - 31/03/21</t>
  </si>
  <si>
    <t>Finance Intelligence Toolkit subscription 01/04/20 - 31/03/21</t>
  </si>
  <si>
    <t>South Northants &amp; Cherwell 1April to 15 July 2020</t>
  </si>
  <si>
    <t>London Councils</t>
  </si>
  <si>
    <t>Wandle Housing Association (estimate)</t>
  </si>
  <si>
    <t>Warwick District Council (estimate)</t>
  </si>
  <si>
    <t>Riverside Housing Association (estimate)</t>
  </si>
  <si>
    <t>Ref Hco P2P AJ 44000488, 44000489). Financial Services: 19/20 SLA from OCC Financial Services.</t>
  </si>
  <si>
    <t>BR Reliefs Section 31 20/21</t>
  </si>
  <si>
    <t>OX05OX16 0001466226062014 PAYPOINT</t>
  </si>
  <si>
    <t>Subscription to hbinfo ltd until 31st March 2021 – ‘B’ rate</t>
  </si>
  <si>
    <t>P1 Hamilton H (Reed)</t>
  </si>
  <si>
    <t>SCHEDULE 25/04/2020</t>
  </si>
  <si>
    <t>2017 Rating Settlement Bt 66-68 Cricket Road, Oxford OX4 3DQ</t>
  </si>
  <si>
    <t>Quarterly Invoice for Internal Audit Services</t>
  </si>
  <si>
    <t>Fourth quarterly invoice year ending 31 March 2020</t>
  </si>
  <si>
    <t>Benefits Remote Processing March 2020</t>
  </si>
  <si>
    <t>S34</t>
  </si>
  <si>
    <t>KC11</t>
  </si>
  <si>
    <t>KS04</t>
  </si>
  <si>
    <t>OX05OX16 7264815 LAND REGISTRY</t>
  </si>
  <si>
    <t>KD02</t>
  </si>
  <si>
    <t>HP 455G6 R5-3500U 8GB/256GB W10P</t>
  </si>
  <si>
    <t>KD01</t>
  </si>
  <si>
    <t>A0302</t>
  </si>
  <si>
    <t>WESTLAW UK SERVICES/PRACTICAL LAW SERVICES Invoice covers Annual subscription period: 01/04/2020 to 31/03/2021</t>
  </si>
  <si>
    <t>A0303</t>
  </si>
  <si>
    <t>KS02</t>
  </si>
  <si>
    <t>P12 P2P accruals 2019/20, 8035800, MBL (SEMINARS) LIMITED</t>
  </si>
  <si>
    <t>A0701</t>
  </si>
  <si>
    <t>KK01</t>
  </si>
  <si>
    <t>KS08</t>
  </si>
  <si>
    <t>P12 P2P accruals 2019/20, 8033228, BOND DICKINSON LLP</t>
  </si>
  <si>
    <t>P12 P2P accruals 2019/20, 8038908, Q.LEARNING LTD</t>
  </si>
  <si>
    <t>P12 P2P accruals 2019/20, 8031076, THE MADISON GROUP</t>
  </si>
  <si>
    <t>KB11</t>
  </si>
  <si>
    <t>P12 P2P accruals 2019/20, 8019854, ELECTORAL REFORM SERVICES LTD</t>
  </si>
  <si>
    <t>P12 P2P accruals 2019/20, 8026469, ELECTORAL REFORM SERVICES LTD</t>
  </si>
  <si>
    <t>P12 P2P accruals 2019/20, 8028071, ROYAL CARS (OXFORD)</t>
  </si>
  <si>
    <t>P12 P2P accruals 2019/20, 8034319, CORNERSTONE BARRISTERS</t>
  </si>
  <si>
    <t>P12 P2P accruals 2019/20, 8028455, FINANCIAL DATA MANAGEMENT PLC</t>
  </si>
  <si>
    <t>K9481</t>
  </si>
  <si>
    <t>AA0014433 - Angela Bovell v Reading Borough Council</t>
  </si>
  <si>
    <t>P12 P2P accruals 2019/20, 8029105, MS JANE HODGSON</t>
  </si>
  <si>
    <t>P12 P2P accruals 2019/20, 8039098, KEMP HALL BINDERY LTD T/AS MALTBY´S THE BOOKBINDERS</t>
  </si>
  <si>
    <t>P12 P2P accruals 2019/20, 8033001, Francis Taylor Building</t>
  </si>
  <si>
    <t>TAXI FOR MARIE 19/09/2019</t>
  </si>
  <si>
    <t>P12 P2P accruals 2019/20, 8039352, BROWNE JACOBSON LLP</t>
  </si>
  <si>
    <t>P12 P2P accruals 2019/20, 8032586, BEVAN BRITTAN LLP</t>
  </si>
  <si>
    <t>Reimburement of 2019 Election costs for European and General elections</t>
  </si>
  <si>
    <t>K9507</t>
  </si>
  <si>
    <t>OX05OX16 28 BURDELL AVE OX38ED GPL POUDEL</t>
  </si>
  <si>
    <t>St Mungo´s State Aid Advice</t>
  </si>
  <si>
    <t>State Aid Advice JAN 2019</t>
  </si>
  <si>
    <t>LGA MEMBERSHIP SUBS 2020-21</t>
  </si>
  <si>
    <t>Annual Subscription 1/04/20 - 31/03/21, 1 Apr 2020 - 31 Mar 2021</t>
  </si>
  <si>
    <t>K9581</t>
  </si>
  <si>
    <t>SF/0015652- LONG FORD CLOSE, SIR GEOFFREY ARTHUR BUILDING</t>
  </si>
  <si>
    <t>Chameleon - Coaching for Anita Bradley with Manjeet Gill x 6 sessions</t>
  </si>
  <si>
    <t>POLL CARDS BY ELECTION HEADINGTON 2018</t>
  </si>
  <si>
    <t>Canvass 2019 - ITRs Run 6 (Students) - February 2020</t>
  </si>
  <si>
    <t>Turpin &amp; Miller - Ayez Award of Costs</t>
  </si>
  <si>
    <t>Paul Leo March Costs</t>
  </si>
  <si>
    <t>P12 Vickers P (Reed)</t>
  </si>
  <si>
    <t>Reduction in SLA for Lindsey Cane</t>
  </si>
  <si>
    <t>P12 Meek R (Reed)</t>
  </si>
  <si>
    <t>P12 P2P accruals 2019/20, 8037562, SELLICK PARTNERSHIP LTD</t>
  </si>
  <si>
    <t>Ref HCo P2P AJ 44000488, 44000489. Law and Governance: SLA for 2019-20 as agreed.</t>
  </si>
  <si>
    <t>P1 Vickers P (Reed)</t>
  </si>
  <si>
    <t>Response plus service</t>
  </si>
  <si>
    <t>P1 Meek R (Reed)</t>
  </si>
  <si>
    <t>Invoice: PFC: s. 204 Housing Act 1996</t>
  </si>
  <si>
    <t>P12 Winfield K (Reed)</t>
  </si>
  <si>
    <t>P1 Winfield K (Reed)</t>
  </si>
  <si>
    <t>P LEO X 11 DAYS MARCH 2020</t>
  </si>
  <si>
    <t>P12 P2P accruals 2019/20, 8034968, RUARDAIDH FITZPATRICK</t>
  </si>
  <si>
    <t>P12 P2P accruals 2019/20, 8034860, CHARLES STREETEN</t>
  </si>
  <si>
    <t>D8006</t>
  </si>
  <si>
    <t>February 2020 Hi-Mail Letters - See attached Breakdown</t>
  </si>
  <si>
    <t>P12 P2P accruals 2019/20, 8031327, CORNERSTONE BARRISTERS</t>
  </si>
  <si>
    <t>Coaching Session</t>
  </si>
  <si>
    <t>OX05OX16  BRIAB158 BOCONNOR CLIENTS</t>
  </si>
  <si>
    <t>P12 P2P accruals 2019/20, 8030721, JOSEPHINE HENDERSON</t>
  </si>
  <si>
    <t>OX05OX16 5B Thomas Terrace - RC0015915</t>
  </si>
  <si>
    <t>P12 P2P accruals 2019/20, 8037479, JOSEPHINE HENDERSON</t>
  </si>
  <si>
    <t>OX05OX16 52BARTONRD OX3 9JE - re notice &amp; charge fee</t>
  </si>
  <si>
    <t>Row Labels</t>
  </si>
  <si>
    <t>Sum of Amount /1000</t>
  </si>
  <si>
    <t>Amount /1000</t>
  </si>
  <si>
    <t>0n 5th Dec '23</t>
  </si>
  <si>
    <t>A0117 - Partnership Payments</t>
  </si>
  <si>
    <t>Surplus/ deficit 2021-22</t>
  </si>
  <si>
    <t>PO Variance (Prev quarter)</t>
  </si>
  <si>
    <t>Internal fees recharges to HRA significnatly down and hirer angency staff costs</t>
  </si>
  <si>
    <t>FORECAST</t>
  </si>
  <si>
    <t>???????????</t>
  </si>
  <si>
    <t>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</si>
</sst>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_ ;[Red]\-0\ "/>
    <numFmt numFmtId="165" formatCode="#,###;[Red]\(#,###\)"/>
    <numFmt numFmtId="166" formatCode="0%;[Red]\(0%\)"/>
    <numFmt numFmtId="167" formatCode="#0;[Red]\-#0"/>
    <numFmt numFmtId="168" formatCode="_-* #,##0_-;\-* #,##0_-;_-* &quot;-&quot;??_-;_-@_-"/>
    <numFmt numFmtId="169" formatCode="#,##0;[Red]\ \(#,##0\)"/>
    <numFmt numFmtId="170" formatCode="#,##0_ ;\-#,##0\ "/>
    <numFmt numFmtId="171" formatCode="#,##0.00_ ;\-#,##0.00\ "/>
    <numFmt numFmtId="172" formatCode="#,##0;[Red]\(#,##0\)"/>
    <numFmt numFmtId="173" formatCode="#,;[Red]\(#,\)"/>
    <numFmt numFmtId="174" formatCode="#,;\(#,\)"/>
    <numFmt numFmtId="175" formatCode="#,###,;[Red]\(#,###,\)"/>
    <numFmt numFmtId="176" formatCode="#,;[Red]\(\-#,\)"/>
    <numFmt numFmtId="177" formatCode="#,##0;[Red]#,##0"/>
  </numFmts>
  <fonts count="7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0"/>
      <color theme="8" tint="-0.249977111117893"/>
      <name val="Arial"/>
      <family val="2"/>
    </font>
    <font>
      <sz val="10"/>
      <color rgb="FFFF0000"/>
      <name val="Arial"/>
      <family val="2"/>
    </font>
    <font>
      <b/>
      <sz val="11"/>
      <name val="Calibri"/>
      <family val="2"/>
      <scheme val="minor"/>
    </font>
    <font>
      <b/>
      <u/>
      <sz val="14"/>
      <name val="Arial"/>
      <family val="2"/>
    </font>
    <font>
      <sz val="10"/>
      <color theme="0"/>
      <name val="Arial"/>
      <family val="2"/>
    </font>
    <font>
      <b/>
      <sz val="20"/>
      <name val="Calibri"/>
      <family val="2"/>
    </font>
    <font>
      <b/>
      <sz val="9"/>
      <name val="Calibri"/>
      <family val="2"/>
    </font>
    <font>
      <b/>
      <u/>
      <sz val="16"/>
      <name val="Calibri"/>
      <family val="2"/>
    </font>
    <font>
      <b/>
      <sz val="10"/>
      <name val="Calibri"/>
      <family val="2"/>
    </font>
    <font>
      <b/>
      <u/>
      <sz val="10"/>
      <name val="Calibri"/>
      <family val="2"/>
    </font>
    <font>
      <sz val="10"/>
      <name val="Calibri"/>
      <family val="2"/>
    </font>
    <font>
      <i/>
      <sz val="10"/>
      <name val="Calibri"/>
      <family val="2"/>
    </font>
    <font>
      <b/>
      <i/>
      <sz val="10"/>
      <name val="Calibri"/>
      <family val="2"/>
    </font>
    <font>
      <b/>
      <sz val="10"/>
      <color rgb="FF00B050"/>
      <name val="Arial"/>
      <family val="2"/>
    </font>
    <font>
      <b/>
      <sz val="10"/>
      <color theme="5" tint="-0.249977111117893"/>
      <name val="Arial"/>
      <family val="2"/>
    </font>
    <font>
      <sz val="10"/>
      <color rgb="FFC5D9F1"/>
      <name val="Calibri"/>
      <family val="2"/>
    </font>
    <font>
      <b/>
      <sz val="10"/>
      <color theme="8" tint="0.39997558519241921"/>
      <name val="Arial"/>
      <family val="2"/>
    </font>
    <font>
      <sz val="11"/>
      <name val="Calibri"/>
      <family val="2"/>
    </font>
    <font>
      <sz val="11"/>
      <name val="Calibri"/>
      <family val="2"/>
    </font>
    <font>
      <b/>
      <sz val="11"/>
      <name val="Calibri"/>
      <family val="2"/>
    </font>
    <font>
      <sz val="10"/>
      <color theme="1"/>
      <name val="Arial"/>
      <family val="2"/>
    </font>
    <font>
      <b/>
      <sz val="10"/>
      <color theme="1"/>
      <name val="Arial"/>
      <family val="2"/>
    </font>
    <font>
      <sz val="10"/>
      <name val="Arial"/>
      <family val="2"/>
    </font>
    <font>
      <b/>
      <sz val="10"/>
      <name val="Arial"/>
      <family val="2"/>
    </font>
    <font>
      <b/>
      <sz val="10"/>
      <color theme="0"/>
      <name val="Arial"/>
      <family val="2"/>
    </font>
    <font>
      <b/>
      <u/>
      <sz val="16"/>
      <name val="Arial"/>
      <family val="2"/>
    </font>
    <font>
      <b/>
      <sz val="12"/>
      <name val="Arial"/>
      <family val="2"/>
    </font>
    <font>
      <b/>
      <u/>
      <sz val="10"/>
      <name val="Arial"/>
      <family val="2"/>
    </font>
    <font>
      <i/>
      <sz val="10"/>
      <name val="Arial"/>
      <family val="2"/>
    </font>
    <font>
      <sz val="10"/>
      <color indexed="8"/>
      <name val="Arial"/>
      <family val="2"/>
    </font>
    <font>
      <b/>
      <sz val="14"/>
      <name val="Calibri"/>
      <family val="2"/>
    </font>
    <font>
      <sz val="10"/>
      <name val="Calibri"/>
      <family val="2"/>
      <scheme val="minor"/>
    </font>
    <font>
      <b/>
      <sz val="10"/>
      <name val="Calibri"/>
      <family val="2"/>
      <scheme val="minor"/>
    </font>
    <font>
      <sz val="10"/>
      <name val="Arial"/>
      <family val="2"/>
    </font>
    <font>
      <sz val="11"/>
      <name val="Calibri"/>
      <family val="2"/>
    </font>
    <font>
      <b/>
      <sz val="11"/>
      <color theme="1"/>
      <name val="Calibri"/>
      <family val="2"/>
      <scheme val="minor"/>
    </font>
    <font>
      <sz val="11"/>
      <color rgb="FF000000"/>
      <name val="Calibri"/>
      <family val="2"/>
    </font>
    <font>
      <sz val="7"/>
      <color rgb="FF000000"/>
      <name val="Times New Roman"/>
      <family val="1"/>
    </font>
    <font>
      <sz val="11"/>
      <color rgb="FF000000"/>
      <name val="Calibri"/>
      <family val="2"/>
      <charset val="1"/>
    </font>
    <font>
      <b/>
      <sz val="10"/>
      <color rgb="FF0070C0"/>
      <name val="Arial"/>
      <family val="2"/>
      <charset val="1"/>
    </font>
    <font>
      <sz val="10"/>
      <color rgb="FF000000"/>
      <name val="Arial"/>
      <family val="2"/>
      <charset val="1"/>
    </font>
    <font>
      <sz val="11"/>
      <color rgb="FFFF0000"/>
      <name val="Calibri"/>
      <family val="2"/>
      <charset val="1"/>
    </font>
    <font>
      <sz val="10"/>
      <color rgb="FF000000"/>
      <name val="Arial"/>
      <family val="2"/>
    </font>
    <font>
      <sz val="12"/>
      <color rgb="FF000000"/>
      <name val="Arial"/>
      <family val="2"/>
    </font>
    <font>
      <sz val="11"/>
      <color rgb="FF000000"/>
      <name val="Calibri"/>
      <family val="2"/>
    </font>
    <font>
      <sz val="11"/>
      <color rgb="FFFF0000"/>
      <name val="Calibri"/>
      <family val="2"/>
    </font>
    <font>
      <sz val="11"/>
      <name val="Calibri"/>
      <family val="2"/>
      <charset val="1"/>
    </font>
    <font>
      <sz val="11"/>
      <color rgb="FF0070C0"/>
      <name val="Calibri"/>
      <family val="2"/>
    </font>
    <font>
      <sz val="11"/>
      <name val="Calibri"/>
      <family val="2"/>
    </font>
    <font>
      <sz val="10"/>
      <name val="Arial"/>
      <family val="2"/>
    </font>
    <font>
      <sz val="10"/>
      <color rgb="FFFF0000"/>
      <name val="Arial"/>
      <family val="2"/>
      <charset val="1"/>
    </font>
    <font>
      <sz val="11"/>
      <color rgb="FF0070C0"/>
      <name val="Calibri"/>
      <family val="2"/>
      <charset val="1"/>
    </font>
    <font>
      <sz val="9"/>
      <name val="Arial"/>
      <family val="2"/>
    </font>
    <font>
      <sz val="11"/>
      <color rgb="FF242424"/>
      <name val="Aptos Narrow"/>
      <family val="2"/>
    </font>
    <font>
      <sz val="14"/>
      <name val="Arial"/>
      <family val="2"/>
    </font>
  </fonts>
  <fills count="24">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theme="3"/>
        <bgColor indexed="64"/>
      </patternFill>
    </fill>
    <fill>
      <patternFill patternType="solid">
        <fgColor rgb="FFFFFF00"/>
        <bgColor indexed="64"/>
      </patternFill>
    </fill>
    <fill>
      <patternFill patternType="solid">
        <fgColor rgb="FFC5D9F1"/>
        <bgColor indexed="64"/>
      </patternFill>
    </fill>
    <fill>
      <patternFill patternType="solid">
        <fgColor rgb="FFC0C0C0"/>
        <bgColor indexed="64"/>
      </patternFill>
    </fill>
    <fill>
      <patternFill patternType="solid">
        <fgColor rgb="FFC0C0C0"/>
      </patternFill>
    </fill>
    <fill>
      <patternFill patternType="solid">
        <fgColor theme="0" tint="-0.14999847407452621"/>
        <bgColor indexed="64"/>
      </patternFill>
    </fill>
    <fill>
      <patternFill patternType="solid">
        <fgColor rgb="FF00483A"/>
        <bgColor indexed="64"/>
      </patternFill>
    </fill>
    <fill>
      <patternFill patternType="solid">
        <fgColor rgb="FFFF0000"/>
        <bgColor indexed="64"/>
      </patternFill>
    </fill>
    <fill>
      <patternFill patternType="solid">
        <fgColor indexed="13"/>
        <bgColor indexed="64"/>
      </patternFill>
    </fill>
    <fill>
      <patternFill patternType="solid">
        <fgColor indexed="22"/>
        <bgColor indexed="64"/>
      </patternFill>
    </fill>
    <fill>
      <patternFill patternType="solid">
        <fgColor rgb="FF92D050"/>
        <bgColor indexed="64"/>
      </patternFill>
    </fill>
    <fill>
      <patternFill patternType="solid">
        <fgColor indexed="40"/>
        <bgColor indexed="64"/>
      </patternFill>
    </fill>
    <fill>
      <patternFill patternType="solid">
        <fgColor indexed="47"/>
        <bgColor indexed="64"/>
      </patternFill>
    </fill>
    <fill>
      <patternFill patternType="solid">
        <fgColor rgb="FF00B0F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C000"/>
        <bgColor indexed="64"/>
      </patternFill>
    </fill>
  </fills>
  <borders count="8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top style="thin">
        <color auto="1"/>
      </top>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dotted">
        <color indexed="64"/>
      </bottom>
      <diagonal/>
    </border>
    <border>
      <left/>
      <right/>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right style="thin">
        <color indexed="64"/>
      </right>
      <top style="medium">
        <color indexed="64"/>
      </top>
      <bottom/>
      <diagonal/>
    </border>
  </borders>
  <cellStyleXfs count="852">
    <xf numFmtId="0" fontId="0" fillId="0" borderId="0"/>
    <xf numFmtId="43" fontId="16" fillId="0" borderId="0" applyFont="0" applyFill="0" applyBorder="0" applyAlignment="0" applyProtection="0"/>
    <xf numFmtId="0" fontId="14" fillId="0" borderId="0"/>
    <xf numFmtId="0" fontId="14" fillId="0" borderId="0"/>
    <xf numFmtId="0" fontId="34" fillId="0" borderId="0"/>
    <xf numFmtId="0" fontId="35" fillId="0" borderId="0"/>
    <xf numFmtId="0" fontId="13" fillId="0" borderId="0"/>
    <xf numFmtId="43" fontId="13" fillId="0" borderId="0" applyFont="0" applyFill="0" applyBorder="0" applyAlignment="0" applyProtection="0"/>
    <xf numFmtId="0" fontId="39" fillId="0" borderId="0"/>
    <xf numFmtId="0" fontId="16" fillId="0" borderId="0"/>
    <xf numFmtId="0" fontId="12" fillId="0" borderId="0"/>
    <xf numFmtId="43" fontId="12" fillId="0" borderId="0" applyFont="0" applyFill="0" applyBorder="0" applyAlignment="0" applyProtection="0"/>
    <xf numFmtId="0" fontId="50" fillId="0" borderId="0"/>
    <xf numFmtId="43" fontId="16" fillId="0" borderId="0" applyFont="0" applyFill="0" applyBorder="0" applyAlignment="0" applyProtection="0"/>
    <xf numFmtId="0" fontId="11" fillId="0" borderId="0"/>
    <xf numFmtId="0" fontId="11" fillId="0" borderId="0"/>
    <xf numFmtId="0" fontId="34" fillId="0" borderId="0"/>
    <xf numFmtId="0" fontId="11" fillId="0" borderId="0"/>
    <xf numFmtId="43" fontId="11" fillId="0" borderId="0" applyFont="0" applyFill="0" applyBorder="0" applyAlignment="0" applyProtection="0"/>
    <xf numFmtId="0" fontId="16" fillId="0" borderId="0"/>
    <xf numFmtId="0" fontId="11" fillId="0" borderId="0"/>
    <xf numFmtId="43" fontId="11"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43" fontId="16"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6"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51" fillId="0" borderId="0"/>
  </cellStyleXfs>
  <cellXfs count="850">
    <xf numFmtId="0" fontId="0" fillId="0" borderId="0" xfId="0"/>
    <xf numFmtId="38" fontId="0" fillId="0" borderId="0" xfId="0" applyNumberFormat="1" applyAlignment="1">
      <alignment horizontal="center"/>
    </xf>
    <xf numFmtId="0" fontId="14" fillId="0" borderId="0" xfId="2"/>
    <xf numFmtId="49" fontId="0" fillId="0" borderId="0" xfId="3" applyNumberFormat="1" applyFont="1"/>
    <xf numFmtId="49" fontId="14" fillId="0" borderId="0" xfId="2" applyNumberFormat="1"/>
    <xf numFmtId="0" fontId="0" fillId="0" borderId="0" xfId="3" applyFont="1"/>
    <xf numFmtId="0" fontId="0" fillId="2" borderId="0" xfId="0" applyFill="1"/>
    <xf numFmtId="0" fontId="16" fillId="0" borderId="0" xfId="0" applyFont="1"/>
    <xf numFmtId="0" fontId="17" fillId="0" borderId="0" xfId="0" applyFont="1"/>
    <xf numFmtId="0" fontId="18" fillId="0" borderId="0" xfId="0" applyFont="1"/>
    <xf numFmtId="43" fontId="0" fillId="0" borderId="0" xfId="1" applyFont="1"/>
    <xf numFmtId="0" fontId="14" fillId="0" borderId="0" xfId="2" quotePrefix="1"/>
    <xf numFmtId="0" fontId="19" fillId="0" borderId="1" xfId="3" applyFont="1" applyBorder="1" applyAlignment="1">
      <alignment horizontal="right"/>
    </xf>
    <xf numFmtId="164" fontId="15" fillId="3" borderId="1" xfId="3" applyNumberFormat="1" applyFont="1" applyFill="1" applyBorder="1" applyAlignment="1" applyProtection="1">
      <alignment horizontal="center"/>
      <protection locked="0"/>
    </xf>
    <xf numFmtId="0" fontId="15" fillId="4" borderId="2" xfId="3" applyFont="1" applyFill="1" applyBorder="1" applyAlignment="1">
      <alignment horizontal="left"/>
    </xf>
    <xf numFmtId="0" fontId="15" fillId="4" borderId="3" xfId="3" applyFont="1" applyFill="1" applyBorder="1" applyAlignment="1">
      <alignment horizontal="left"/>
    </xf>
    <xf numFmtId="14" fontId="15" fillId="3" borderId="1" xfId="3" applyNumberFormat="1" applyFont="1" applyFill="1" applyBorder="1" applyAlignment="1" applyProtection="1">
      <alignment horizontal="center"/>
      <protection locked="0"/>
    </xf>
    <xf numFmtId="38" fontId="20" fillId="2" borderId="0" xfId="0" applyNumberFormat="1" applyFont="1" applyFill="1" applyAlignment="1">
      <alignment horizontal="left"/>
    </xf>
    <xf numFmtId="0" fontId="21" fillId="2" borderId="0" xfId="0" applyFont="1" applyFill="1"/>
    <xf numFmtId="165" fontId="0" fillId="0" borderId="0" xfId="0" applyNumberFormat="1"/>
    <xf numFmtId="0" fontId="30" fillId="0" borderId="0" xfId="0" applyFont="1"/>
    <xf numFmtId="0" fontId="31" fillId="0" borderId="0" xfId="0" applyFont="1"/>
    <xf numFmtId="0" fontId="27" fillId="6" borderId="5" xfId="0" applyFont="1" applyFill="1" applyBorder="1"/>
    <xf numFmtId="165" fontId="28" fillId="6" borderId="5" xfId="0" applyNumberFormat="1" applyFont="1" applyFill="1" applyBorder="1" applyAlignment="1">
      <alignment horizontal="right"/>
    </xf>
    <xf numFmtId="165" fontId="29" fillId="6" borderId="5" xfId="0" applyNumberFormat="1" applyFont="1" applyFill="1" applyBorder="1" applyAlignment="1">
      <alignment horizontal="right"/>
    </xf>
    <xf numFmtId="165" fontId="25" fillId="6" borderId="9" xfId="0" applyNumberFormat="1" applyFont="1" applyFill="1" applyBorder="1" applyAlignment="1">
      <alignment horizontal="right"/>
    </xf>
    <xf numFmtId="38" fontId="25" fillId="7" borderId="6" xfId="0" applyNumberFormat="1" applyFont="1" applyFill="1" applyBorder="1" applyAlignment="1">
      <alignment horizontal="center" vertical="top"/>
    </xf>
    <xf numFmtId="165" fontId="28" fillId="7" borderId="0" xfId="0" applyNumberFormat="1" applyFont="1" applyFill="1" applyAlignment="1">
      <alignment horizontal="right"/>
    </xf>
    <xf numFmtId="38" fontId="22" fillId="2" borderId="4" xfId="0" quotePrefix="1" applyNumberFormat="1" applyFont="1" applyFill="1" applyBorder="1" applyAlignment="1">
      <alignment horizontal="left" vertical="center" wrapText="1"/>
    </xf>
    <xf numFmtId="0" fontId="26" fillId="2" borderId="7" xfId="0" applyFont="1" applyFill="1" applyBorder="1" applyAlignment="1">
      <alignment vertical="top"/>
    </xf>
    <xf numFmtId="38" fontId="27" fillId="2" borderId="7" xfId="0" applyNumberFormat="1" applyFont="1" applyFill="1" applyBorder="1" applyAlignment="1">
      <alignment horizontal="center"/>
    </xf>
    <xf numFmtId="0" fontId="28" fillId="2" borderId="7" xfId="0" applyFont="1" applyFill="1" applyBorder="1" applyAlignment="1">
      <alignment horizontal="left" vertical="center"/>
    </xf>
    <xf numFmtId="0" fontId="25" fillId="2" borderId="7" xfId="0" applyFont="1" applyFill="1" applyBorder="1" applyAlignment="1">
      <alignment horizontal="left" vertical="center"/>
    </xf>
    <xf numFmtId="165" fontId="28" fillId="2" borderId="5" xfId="0" applyNumberFormat="1" applyFont="1" applyFill="1" applyBorder="1" applyAlignment="1">
      <alignment horizontal="right"/>
    </xf>
    <xf numFmtId="165" fontId="29" fillId="2" borderId="5" xfId="0" applyNumberFormat="1" applyFont="1" applyFill="1" applyBorder="1" applyAlignment="1">
      <alignment horizontal="right"/>
    </xf>
    <xf numFmtId="165" fontId="25" fillId="2" borderId="9" xfId="0" applyNumberFormat="1" applyFont="1" applyFill="1" applyBorder="1" applyAlignment="1">
      <alignment horizontal="right"/>
    </xf>
    <xf numFmtId="0" fontId="27" fillId="2" borderId="5" xfId="0" applyFont="1" applyFill="1" applyBorder="1"/>
    <xf numFmtId="165" fontId="28" fillId="2" borderId="0" xfId="0" applyNumberFormat="1" applyFont="1" applyFill="1" applyAlignment="1">
      <alignment horizontal="right"/>
    </xf>
    <xf numFmtId="166" fontId="28" fillId="2" borderId="5" xfId="0" applyNumberFormat="1" applyFont="1" applyFill="1" applyBorder="1" applyAlignment="1">
      <alignment horizontal="right"/>
    </xf>
    <xf numFmtId="166" fontId="25" fillId="2" borderId="9" xfId="0" applyNumberFormat="1" applyFont="1" applyFill="1" applyBorder="1" applyAlignment="1">
      <alignment horizontal="right"/>
    </xf>
    <xf numFmtId="0" fontId="27" fillId="2" borderId="6" xfId="0" applyFont="1" applyFill="1" applyBorder="1"/>
    <xf numFmtId="165" fontId="29" fillId="2" borderId="6" xfId="0" applyNumberFormat="1" applyFont="1" applyFill="1" applyBorder="1" applyAlignment="1">
      <alignment horizontal="right"/>
    </xf>
    <xf numFmtId="165" fontId="28" fillId="2" borderId="6" xfId="0" applyNumberFormat="1" applyFont="1" applyFill="1" applyBorder="1" applyAlignment="1">
      <alignment horizontal="right"/>
    </xf>
    <xf numFmtId="165" fontId="25" fillId="2" borderId="10" xfId="0" applyNumberFormat="1" applyFont="1" applyFill="1" applyBorder="1" applyAlignment="1">
      <alignment horizontal="right"/>
    </xf>
    <xf numFmtId="0" fontId="15" fillId="4" borderId="1" xfId="3" applyFont="1" applyFill="1" applyBorder="1" applyAlignment="1">
      <alignment horizontal="left"/>
    </xf>
    <xf numFmtId="0" fontId="28" fillId="2" borderId="0" xfId="0" applyFont="1" applyFill="1" applyAlignment="1">
      <alignment horizontal="left" vertical="center"/>
    </xf>
    <xf numFmtId="166" fontId="28" fillId="2" borderId="0" xfId="0" applyNumberFormat="1" applyFont="1" applyFill="1" applyAlignment="1">
      <alignment horizontal="right"/>
    </xf>
    <xf numFmtId="38" fontId="24" fillId="2" borderId="7" xfId="0" applyNumberFormat="1" applyFont="1" applyFill="1" applyBorder="1" applyAlignment="1">
      <alignment horizontal="center"/>
    </xf>
    <xf numFmtId="38" fontId="23" fillId="7" borderId="4" xfId="0" applyNumberFormat="1" applyFont="1" applyFill="1" applyBorder="1" applyAlignment="1">
      <alignment horizontal="center" vertical="center" wrapText="1"/>
    </xf>
    <xf numFmtId="38" fontId="23" fillId="6" borderId="4" xfId="0" applyNumberFormat="1" applyFont="1" applyFill="1" applyBorder="1" applyAlignment="1">
      <alignment horizontal="center" vertical="center" wrapText="1"/>
    </xf>
    <xf numFmtId="38" fontId="25" fillId="7" borderId="4" xfId="0" applyNumberFormat="1" applyFont="1" applyFill="1" applyBorder="1" applyAlignment="1">
      <alignment horizontal="left"/>
    </xf>
    <xf numFmtId="165" fontId="25" fillId="7" borderId="4" xfId="0" applyNumberFormat="1" applyFont="1" applyFill="1" applyBorder="1" applyAlignment="1">
      <alignment horizontal="right"/>
    </xf>
    <xf numFmtId="166" fontId="25" fillId="7" borderId="4" xfId="0" applyNumberFormat="1" applyFont="1" applyFill="1" applyBorder="1" applyAlignment="1">
      <alignment horizontal="right"/>
    </xf>
    <xf numFmtId="0" fontId="25" fillId="2" borderId="8" xfId="0" applyFont="1" applyFill="1" applyBorder="1" applyAlignment="1">
      <alignment horizontal="left" vertical="center"/>
    </xf>
    <xf numFmtId="165" fontId="25" fillId="7" borderId="9" xfId="0" applyNumberFormat="1" applyFont="1" applyFill="1" applyBorder="1" applyAlignment="1">
      <alignment horizontal="right"/>
    </xf>
    <xf numFmtId="38" fontId="25" fillId="7" borderId="11" xfId="0" applyNumberFormat="1" applyFont="1" applyFill="1" applyBorder="1" applyAlignment="1">
      <alignment horizontal="center" vertical="top"/>
    </xf>
    <xf numFmtId="38" fontId="25" fillId="6" borderId="11" xfId="0" applyNumberFormat="1" applyFont="1" applyFill="1" applyBorder="1" applyAlignment="1">
      <alignment horizontal="center" vertical="top"/>
    </xf>
    <xf numFmtId="0" fontId="32" fillId="6" borderId="5" xfId="0" applyFont="1" applyFill="1" applyBorder="1"/>
    <xf numFmtId="0" fontId="27" fillId="7" borderId="5" xfId="0" applyFont="1" applyFill="1" applyBorder="1"/>
    <xf numFmtId="165" fontId="28" fillId="7" borderId="5" xfId="0" applyNumberFormat="1" applyFont="1" applyFill="1" applyBorder="1" applyAlignment="1">
      <alignment horizontal="right"/>
    </xf>
    <xf numFmtId="0" fontId="0" fillId="0" borderId="7" xfId="0" applyBorder="1"/>
    <xf numFmtId="38" fontId="27" fillId="2" borderId="12" xfId="0" applyNumberFormat="1" applyFont="1" applyFill="1" applyBorder="1" applyAlignment="1">
      <alignment horizontal="center"/>
    </xf>
    <xf numFmtId="38" fontId="27" fillId="2" borderId="13" xfId="0" applyNumberFormat="1" applyFont="1" applyFill="1" applyBorder="1" applyAlignment="1">
      <alignment horizontal="center"/>
    </xf>
    <xf numFmtId="38" fontId="27" fillId="2" borderId="14" xfId="0" applyNumberFormat="1" applyFont="1" applyFill="1" applyBorder="1" applyAlignment="1">
      <alignment horizontal="center"/>
    </xf>
    <xf numFmtId="38" fontId="27" fillId="7" borderId="13" xfId="0" applyNumberFormat="1" applyFont="1" applyFill="1" applyBorder="1" applyAlignment="1">
      <alignment horizontal="center"/>
    </xf>
    <xf numFmtId="38" fontId="27" fillId="6" borderId="13" xfId="0" applyNumberFormat="1" applyFont="1" applyFill="1" applyBorder="1" applyAlignment="1">
      <alignment horizontal="center"/>
    </xf>
    <xf numFmtId="0" fontId="30" fillId="0" borderId="0" xfId="0" quotePrefix="1" applyFont="1"/>
    <xf numFmtId="0" fontId="33" fillId="0" borderId="0" xfId="0" applyFont="1"/>
    <xf numFmtId="38" fontId="25" fillId="2" borderId="8" xfId="0" applyNumberFormat="1" applyFont="1" applyFill="1" applyBorder="1" applyAlignment="1">
      <alignment horizontal="left" wrapText="1"/>
    </xf>
    <xf numFmtId="165" fontId="25" fillId="2" borderId="15" xfId="0" applyNumberFormat="1" applyFont="1" applyFill="1" applyBorder="1" applyAlignment="1">
      <alignment horizontal="right"/>
    </xf>
    <xf numFmtId="166" fontId="25" fillId="2" borderId="15" xfId="0" applyNumberFormat="1" applyFont="1" applyFill="1" applyBorder="1" applyAlignment="1">
      <alignment horizontal="right"/>
    </xf>
    <xf numFmtId="38" fontId="27" fillId="2" borderId="16" xfId="0" applyNumberFormat="1" applyFont="1" applyFill="1" applyBorder="1" applyAlignment="1">
      <alignment horizontal="center"/>
    </xf>
    <xf numFmtId="38" fontId="27" fillId="2" borderId="17" xfId="0" applyNumberFormat="1" applyFont="1" applyFill="1" applyBorder="1" applyAlignment="1">
      <alignment horizontal="center"/>
    </xf>
    <xf numFmtId="38" fontId="27" fillId="6" borderId="17" xfId="0" applyNumberFormat="1" applyFont="1" applyFill="1" applyBorder="1" applyAlignment="1">
      <alignment horizontal="center"/>
    </xf>
    <xf numFmtId="38" fontId="27" fillId="7" borderId="17" xfId="0" applyNumberFormat="1" applyFont="1" applyFill="1" applyBorder="1" applyAlignment="1">
      <alignment horizontal="center"/>
    </xf>
    <xf numFmtId="38" fontId="27" fillId="2" borderId="18" xfId="0" applyNumberFormat="1" applyFont="1" applyFill="1" applyBorder="1" applyAlignment="1">
      <alignment horizontal="center"/>
    </xf>
    <xf numFmtId="165" fontId="25" fillId="7" borderId="15" xfId="0" applyNumberFormat="1" applyFont="1" applyFill="1" applyBorder="1" applyAlignment="1">
      <alignment horizontal="right"/>
    </xf>
    <xf numFmtId="165" fontId="25" fillId="6" borderId="15" xfId="0" applyNumberFormat="1" applyFont="1" applyFill="1" applyBorder="1" applyAlignment="1">
      <alignment horizontal="right"/>
    </xf>
    <xf numFmtId="0" fontId="26" fillId="2" borderId="7" xfId="0" applyFont="1" applyFill="1" applyBorder="1" applyAlignment="1">
      <alignment horizontal="left" vertical="center"/>
    </xf>
    <xf numFmtId="0" fontId="27" fillId="2" borderId="7" xfId="0" applyFont="1" applyFill="1" applyBorder="1" applyAlignment="1">
      <alignment horizontal="left" vertical="center"/>
    </xf>
    <xf numFmtId="38" fontId="27" fillId="2" borderId="19" xfId="0" applyNumberFormat="1" applyFont="1" applyFill="1" applyBorder="1" applyAlignment="1">
      <alignment horizontal="center"/>
    </xf>
    <xf numFmtId="38" fontId="27" fillId="2" borderId="20" xfId="0" applyNumberFormat="1" applyFont="1" applyFill="1" applyBorder="1" applyAlignment="1">
      <alignment horizontal="center"/>
    </xf>
    <xf numFmtId="38" fontId="27" fillId="6" borderId="20" xfId="0" applyNumberFormat="1" applyFont="1" applyFill="1" applyBorder="1" applyAlignment="1">
      <alignment horizontal="center"/>
    </xf>
    <xf numFmtId="38" fontId="27" fillId="7" borderId="20" xfId="0" applyNumberFormat="1" applyFont="1" applyFill="1" applyBorder="1" applyAlignment="1">
      <alignment horizontal="center"/>
    </xf>
    <xf numFmtId="38" fontId="27" fillId="2" borderId="21" xfId="0" applyNumberFormat="1" applyFont="1" applyFill="1" applyBorder="1" applyAlignment="1">
      <alignment horizontal="center"/>
    </xf>
    <xf numFmtId="38" fontId="27" fillId="2" borderId="22" xfId="0" applyNumberFormat="1" applyFont="1" applyFill="1" applyBorder="1" applyAlignment="1">
      <alignment horizontal="center"/>
    </xf>
    <xf numFmtId="38" fontId="27" fillId="2" borderId="5" xfId="0" applyNumberFormat="1" applyFont="1" applyFill="1" applyBorder="1" applyAlignment="1">
      <alignment horizontal="center"/>
    </xf>
    <xf numFmtId="38" fontId="27" fillId="6" borderId="5" xfId="0" applyNumberFormat="1" applyFont="1" applyFill="1" applyBorder="1" applyAlignment="1">
      <alignment horizontal="center"/>
    </xf>
    <xf numFmtId="38" fontId="27" fillId="7" borderId="5" xfId="0" applyNumberFormat="1" applyFont="1" applyFill="1" applyBorder="1" applyAlignment="1">
      <alignment horizontal="center"/>
    </xf>
    <xf numFmtId="38" fontId="27" fillId="2" borderId="23" xfId="0" applyNumberFormat="1" applyFont="1" applyFill="1" applyBorder="1" applyAlignment="1">
      <alignment horizontal="center"/>
    </xf>
    <xf numFmtId="0" fontId="14" fillId="0" borderId="0" xfId="2" applyAlignment="1">
      <alignment horizontal="center"/>
    </xf>
    <xf numFmtId="38" fontId="25" fillId="7" borderId="8" xfId="0" applyNumberFormat="1" applyFont="1" applyFill="1" applyBorder="1" applyAlignment="1">
      <alignment horizontal="left" wrapText="1"/>
    </xf>
    <xf numFmtId="166" fontId="25" fillId="7" borderId="15" xfId="0" applyNumberFormat="1" applyFont="1" applyFill="1" applyBorder="1" applyAlignment="1">
      <alignment horizontal="right"/>
    </xf>
    <xf numFmtId="165" fontId="28" fillId="5" borderId="5" xfId="0" applyNumberFormat="1" applyFont="1" applyFill="1" applyBorder="1" applyAlignment="1">
      <alignment horizontal="right"/>
    </xf>
    <xf numFmtId="166" fontId="29" fillId="2" borderId="5" xfId="0" applyNumberFormat="1" applyFont="1" applyFill="1" applyBorder="1" applyAlignment="1">
      <alignment horizontal="right"/>
    </xf>
    <xf numFmtId="165" fontId="29" fillId="7" borderId="5" xfId="0" applyNumberFormat="1" applyFont="1" applyFill="1" applyBorder="1" applyAlignment="1">
      <alignment horizontal="right"/>
    </xf>
    <xf numFmtId="38" fontId="25" fillId="7" borderId="24" xfId="0" applyNumberFormat="1" applyFont="1" applyFill="1" applyBorder="1" applyAlignment="1">
      <alignment horizontal="center" vertical="top"/>
    </xf>
    <xf numFmtId="38" fontId="25" fillId="7" borderId="25" xfId="0" applyNumberFormat="1" applyFont="1" applyFill="1" applyBorder="1" applyAlignment="1">
      <alignment horizontal="center" vertical="top"/>
    </xf>
    <xf numFmtId="0" fontId="27" fillId="2" borderId="22" xfId="0" applyFont="1" applyFill="1" applyBorder="1"/>
    <xf numFmtId="0" fontId="27" fillId="2" borderId="23" xfId="0" applyFont="1" applyFill="1" applyBorder="1"/>
    <xf numFmtId="165" fontId="28" fillId="2" borderId="22" xfId="0" applyNumberFormat="1" applyFont="1" applyFill="1" applyBorder="1" applyAlignment="1">
      <alignment horizontal="right"/>
    </xf>
    <xf numFmtId="165" fontId="28" fillId="2" borderId="23" xfId="0" applyNumberFormat="1" applyFont="1" applyFill="1" applyBorder="1" applyAlignment="1">
      <alignment horizontal="right"/>
    </xf>
    <xf numFmtId="165" fontId="29" fillId="2" borderId="22" xfId="0" applyNumberFormat="1" applyFont="1" applyFill="1" applyBorder="1" applyAlignment="1">
      <alignment horizontal="right"/>
    </xf>
    <xf numFmtId="165" fontId="29" fillId="2" borderId="23" xfId="0" applyNumberFormat="1" applyFont="1" applyFill="1" applyBorder="1" applyAlignment="1">
      <alignment horizontal="right"/>
    </xf>
    <xf numFmtId="165" fontId="25" fillId="2" borderId="26" xfId="0" applyNumberFormat="1" applyFont="1" applyFill="1" applyBorder="1" applyAlignment="1">
      <alignment horizontal="right"/>
    </xf>
    <xf numFmtId="165" fontId="28" fillId="5" borderId="22" xfId="0" applyNumberFormat="1" applyFont="1" applyFill="1" applyBorder="1" applyAlignment="1">
      <alignment horizontal="right"/>
    </xf>
    <xf numFmtId="0" fontId="36" fillId="8" borderId="0" xfId="5" applyFont="1" applyFill="1" applyAlignment="1">
      <alignment horizontal="left"/>
    </xf>
    <xf numFmtId="167" fontId="36" fillId="8" borderId="0" xfId="5" applyNumberFormat="1" applyFont="1" applyFill="1" applyAlignment="1">
      <alignment horizontal="left"/>
    </xf>
    <xf numFmtId="167" fontId="36" fillId="8" borderId="0" xfId="5" applyNumberFormat="1" applyFont="1" applyFill="1" applyAlignment="1">
      <alignment horizontal="right"/>
    </xf>
    <xf numFmtId="14" fontId="36" fillId="8" borderId="0" xfId="5" applyNumberFormat="1" applyFont="1" applyFill="1" applyAlignment="1">
      <alignment horizontal="right"/>
    </xf>
    <xf numFmtId="40" fontId="36" fillId="8" borderId="0" xfId="5" applyNumberFormat="1" applyFont="1" applyFill="1" applyAlignment="1">
      <alignment horizontal="right"/>
    </xf>
    <xf numFmtId="0" fontId="35" fillId="0" borderId="0" xfId="5"/>
    <xf numFmtId="0" fontId="35" fillId="0" borderId="0" xfId="5" applyAlignment="1">
      <alignment horizontal="left"/>
    </xf>
    <xf numFmtId="167" fontId="35" fillId="0" borderId="0" xfId="5" applyNumberFormat="1" applyAlignment="1">
      <alignment horizontal="left"/>
    </xf>
    <xf numFmtId="167" fontId="35" fillId="0" borderId="0" xfId="5" applyNumberFormat="1" applyAlignment="1">
      <alignment horizontal="right"/>
    </xf>
    <xf numFmtId="14" fontId="35" fillId="0" borderId="0" xfId="5" applyNumberFormat="1" applyAlignment="1">
      <alignment horizontal="left"/>
    </xf>
    <xf numFmtId="40" fontId="35" fillId="0" borderId="0" xfId="5" applyNumberFormat="1" applyAlignment="1">
      <alignment horizontal="right"/>
    </xf>
    <xf numFmtId="0" fontId="35" fillId="8" borderId="0" xfId="5" applyFill="1"/>
    <xf numFmtId="167" fontId="35" fillId="8" borderId="0" xfId="5" applyNumberFormat="1" applyFill="1"/>
    <xf numFmtId="14" fontId="35" fillId="8" borderId="0" xfId="5" applyNumberFormat="1" applyFill="1"/>
    <xf numFmtId="40" fontId="35" fillId="8" borderId="0" xfId="5" applyNumberFormat="1" applyFill="1"/>
    <xf numFmtId="0" fontId="0" fillId="0" borderId="0" xfId="0" pivotButton="1"/>
    <xf numFmtId="0" fontId="0" fillId="0" borderId="0" xfId="0" applyAlignment="1">
      <alignment horizontal="left"/>
    </xf>
    <xf numFmtId="4" fontId="0" fillId="0" borderId="0" xfId="0" applyNumberFormat="1"/>
    <xf numFmtId="169" fontId="40" fillId="2" borderId="0" xfId="8" applyNumberFormat="1" applyFont="1" applyFill="1" applyAlignment="1">
      <alignment vertical="top"/>
    </xf>
    <xf numFmtId="169" fontId="40" fillId="2" borderId="30" xfId="8" applyNumberFormat="1" applyFont="1" applyFill="1" applyBorder="1" applyAlignment="1">
      <alignment vertical="top"/>
    </xf>
    <xf numFmtId="0" fontId="37" fillId="0" borderId="0" xfId="6" applyFont="1"/>
    <xf numFmtId="168" fontId="38" fillId="0" borderId="0" xfId="7" applyNumberFormat="1" applyFont="1"/>
    <xf numFmtId="0" fontId="37" fillId="0" borderId="0" xfId="6" applyFont="1" applyAlignment="1">
      <alignment horizontal="left" wrapText="1"/>
    </xf>
    <xf numFmtId="0" fontId="38" fillId="0" borderId="0" xfId="6" applyFont="1" applyAlignment="1">
      <alignment horizontal="center" wrapText="1"/>
    </xf>
    <xf numFmtId="0" fontId="38" fillId="0" borderId="0" xfId="6" applyFont="1" applyAlignment="1">
      <alignment wrapText="1"/>
    </xf>
    <xf numFmtId="168" fontId="37" fillId="0" borderId="0" xfId="7" applyNumberFormat="1" applyFont="1" applyAlignment="1">
      <alignment horizontal="center"/>
    </xf>
    <xf numFmtId="168" fontId="37" fillId="0" borderId="0" xfId="7" applyNumberFormat="1" applyFont="1" applyAlignment="1">
      <alignment horizontal="center" wrapText="1"/>
    </xf>
    <xf numFmtId="168" fontId="37" fillId="0" borderId="0" xfId="7" applyNumberFormat="1" applyFont="1"/>
    <xf numFmtId="168" fontId="41" fillId="10" borderId="0" xfId="7" applyNumberFormat="1" applyFont="1" applyFill="1" applyAlignment="1">
      <alignment horizontal="center"/>
    </xf>
    <xf numFmtId="168" fontId="41" fillId="10" borderId="0" xfId="7" quotePrefix="1" applyNumberFormat="1" applyFont="1" applyFill="1" applyAlignment="1">
      <alignment horizontal="center"/>
    </xf>
    <xf numFmtId="0" fontId="37" fillId="0" borderId="0" xfId="6" applyFont="1" applyAlignment="1">
      <alignment wrapText="1"/>
    </xf>
    <xf numFmtId="0" fontId="41" fillId="10" borderId="0" xfId="6" applyFont="1" applyFill="1" applyAlignment="1">
      <alignment wrapText="1"/>
    </xf>
    <xf numFmtId="0" fontId="41" fillId="10" borderId="0" xfId="6" applyFont="1" applyFill="1" applyAlignment="1">
      <alignment horizontal="center" wrapText="1"/>
    </xf>
    <xf numFmtId="0" fontId="41" fillId="10" borderId="0" xfId="6" applyFont="1" applyFill="1" applyAlignment="1">
      <alignment horizontal="left" wrapText="1"/>
    </xf>
    <xf numFmtId="168" fontId="41" fillId="10" borderId="0" xfId="7" applyNumberFormat="1" applyFont="1" applyFill="1" applyAlignment="1">
      <alignment horizontal="center" wrapText="1"/>
    </xf>
    <xf numFmtId="0" fontId="41" fillId="10" borderId="0" xfId="6" applyFont="1" applyFill="1" applyAlignment="1">
      <alignment horizontal="center"/>
    </xf>
    <xf numFmtId="0" fontId="37" fillId="0" borderId="5" xfId="6" applyFont="1" applyBorder="1" applyAlignment="1">
      <alignment wrapText="1"/>
    </xf>
    <xf numFmtId="168" fontId="37" fillId="0" borderId="5" xfId="7" applyNumberFormat="1" applyFont="1" applyFill="1" applyBorder="1" applyAlignment="1">
      <alignment vertical="top"/>
    </xf>
    <xf numFmtId="0" fontId="37" fillId="0" borderId="5" xfId="6" applyFont="1" applyBorder="1"/>
    <xf numFmtId="0" fontId="37" fillId="5" borderId="5" xfId="6" applyFont="1" applyFill="1" applyBorder="1" applyAlignment="1">
      <alignment horizontal="left" wrapText="1"/>
    </xf>
    <xf numFmtId="168" fontId="37" fillId="11" borderId="5" xfId="7" applyNumberFormat="1" applyFont="1" applyFill="1" applyBorder="1"/>
    <xf numFmtId="168" fontId="37" fillId="5" borderId="5" xfId="7" applyNumberFormat="1" applyFont="1" applyFill="1" applyBorder="1"/>
    <xf numFmtId="168" fontId="37" fillId="0" borderId="5" xfId="7" applyNumberFormat="1" applyFont="1" applyFill="1" applyBorder="1"/>
    <xf numFmtId="0" fontId="37" fillId="0" borderId="5" xfId="6" applyFont="1" applyBorder="1" applyAlignment="1">
      <alignment horizontal="left" wrapText="1"/>
    </xf>
    <xf numFmtId="168" fontId="37" fillId="0" borderId="5" xfId="7" applyNumberFormat="1" applyFont="1" applyBorder="1" applyAlignment="1">
      <alignment vertical="top"/>
    </xf>
    <xf numFmtId="168" fontId="37" fillId="0" borderId="5" xfId="7" applyNumberFormat="1" applyFont="1" applyBorder="1"/>
    <xf numFmtId="168" fontId="37" fillId="0" borderId="5" xfId="7" applyNumberFormat="1" applyFont="1" applyBorder="1" applyAlignment="1"/>
    <xf numFmtId="0" fontId="37" fillId="5" borderId="0" xfId="6" applyFont="1" applyFill="1"/>
    <xf numFmtId="0" fontId="37" fillId="0" borderId="1" xfId="6" applyFont="1" applyBorder="1" applyAlignment="1">
      <alignment wrapText="1"/>
    </xf>
    <xf numFmtId="0" fontId="37" fillId="0" borderId="1" xfId="6" applyFont="1" applyBorder="1" applyAlignment="1">
      <alignment horizontal="center" vertical="center" wrapText="1"/>
    </xf>
    <xf numFmtId="0" fontId="37" fillId="9" borderId="1" xfId="6" applyFont="1" applyFill="1" applyBorder="1" applyAlignment="1">
      <alignment wrapText="1"/>
    </xf>
    <xf numFmtId="168" fontId="37" fillId="9" borderId="1" xfId="1" applyNumberFormat="1" applyFont="1" applyFill="1" applyBorder="1" applyAlignment="1">
      <alignment horizontal="right" vertical="center" wrapText="1"/>
    </xf>
    <xf numFmtId="0" fontId="37" fillId="0" borderId="1" xfId="6" applyFont="1" applyBorder="1" applyAlignment="1">
      <alignment horizontal="left" wrapText="1"/>
    </xf>
    <xf numFmtId="168" fontId="37" fillId="0" borderId="1" xfId="1" applyNumberFormat="1" applyFont="1" applyBorder="1" applyAlignment="1">
      <alignment horizontal="right" vertical="center" wrapText="1"/>
    </xf>
    <xf numFmtId="43" fontId="37" fillId="0" borderId="5" xfId="7" applyFont="1" applyFill="1" applyBorder="1"/>
    <xf numFmtId="0" fontId="16" fillId="0" borderId="5" xfId="8" applyFont="1" applyBorder="1" applyAlignment="1">
      <alignment vertical="top" wrapText="1"/>
    </xf>
    <xf numFmtId="0" fontId="37" fillId="0" borderId="5" xfId="6" applyFont="1" applyBorder="1" applyAlignment="1">
      <alignment horizontal="left" vertical="top" wrapText="1"/>
    </xf>
    <xf numFmtId="0" fontId="38" fillId="0" borderId="1" xfId="6" applyFont="1" applyBorder="1" applyAlignment="1">
      <alignment wrapText="1"/>
    </xf>
    <xf numFmtId="168" fontId="38" fillId="0" borderId="1" xfId="6" applyNumberFormat="1" applyFont="1" applyBorder="1" applyAlignment="1">
      <alignment wrapText="1"/>
    </xf>
    <xf numFmtId="0" fontId="41" fillId="10" borderId="0" xfId="6" applyFont="1" applyFill="1"/>
    <xf numFmtId="168" fontId="41" fillId="10" borderId="0" xfId="7" applyNumberFormat="1" applyFont="1" applyFill="1"/>
    <xf numFmtId="168" fontId="37" fillId="5" borderId="27" xfId="7" applyNumberFormat="1" applyFont="1" applyFill="1" applyBorder="1"/>
    <xf numFmtId="168" fontId="37" fillId="0" borderId="0" xfId="6" applyNumberFormat="1" applyFont="1" applyAlignment="1">
      <alignment horizontal="left" wrapText="1"/>
    </xf>
    <xf numFmtId="168" fontId="37" fillId="0" borderId="28" xfId="7" applyNumberFormat="1" applyFont="1" applyBorder="1"/>
    <xf numFmtId="168" fontId="37" fillId="0" borderId="29" xfId="7" applyNumberFormat="1" applyFont="1" applyBorder="1"/>
    <xf numFmtId="0" fontId="41" fillId="0" borderId="0" xfId="6" applyFont="1" applyAlignment="1">
      <alignment wrapText="1"/>
    </xf>
    <xf numFmtId="0" fontId="41" fillId="0" borderId="0" xfId="6" applyFont="1"/>
    <xf numFmtId="0" fontId="41" fillId="0" borderId="0" xfId="6" applyFont="1" applyAlignment="1">
      <alignment horizontal="left" wrapText="1"/>
    </xf>
    <xf numFmtId="168" fontId="41" fillId="0" borderId="30" xfId="7" applyNumberFormat="1" applyFont="1" applyFill="1" applyBorder="1"/>
    <xf numFmtId="0" fontId="37" fillId="5" borderId="0" xfId="6" applyFont="1" applyFill="1" applyAlignment="1">
      <alignment horizontal="left" wrapText="1"/>
    </xf>
    <xf numFmtId="170" fontId="37" fillId="5" borderId="0" xfId="7" applyNumberFormat="1" applyFont="1" applyFill="1"/>
    <xf numFmtId="4" fontId="37" fillId="0" borderId="0" xfId="7" applyNumberFormat="1" applyFont="1"/>
    <xf numFmtId="171" fontId="37" fillId="0" borderId="0" xfId="7" applyNumberFormat="1" applyFont="1"/>
    <xf numFmtId="43" fontId="37" fillId="0" borderId="0" xfId="6" applyNumberFormat="1" applyFont="1"/>
    <xf numFmtId="168" fontId="37" fillId="0" borderId="0" xfId="6" applyNumberFormat="1" applyFont="1" applyAlignment="1">
      <alignment wrapText="1"/>
    </xf>
    <xf numFmtId="4" fontId="37" fillId="0" borderId="0" xfId="6" applyNumberFormat="1" applyFont="1"/>
    <xf numFmtId="0" fontId="39" fillId="0" borderId="0" xfId="8" applyAlignment="1">
      <alignment wrapText="1"/>
    </xf>
    <xf numFmtId="168" fontId="39" fillId="0" borderId="0" xfId="8" applyNumberFormat="1" applyAlignment="1">
      <alignment wrapText="1"/>
    </xf>
    <xf numFmtId="0" fontId="42" fillId="0" borderId="0" xfId="8" applyFont="1" applyAlignment="1">
      <alignment horizontal="center" wrapText="1"/>
    </xf>
    <xf numFmtId="0" fontId="42" fillId="0" borderId="6" xfId="8" applyFont="1" applyBorder="1" applyAlignment="1">
      <alignment horizontal="left" vertical="top" wrapText="1"/>
    </xf>
    <xf numFmtId="38" fontId="16" fillId="0" borderId="0" xfId="8" applyNumberFormat="1" applyFont="1" applyAlignment="1">
      <alignment horizontal="center" wrapText="1"/>
    </xf>
    <xf numFmtId="0" fontId="39" fillId="0" borderId="6" xfId="8" applyBorder="1" applyAlignment="1">
      <alignment horizontal="left" vertical="top" wrapText="1"/>
    </xf>
    <xf numFmtId="38" fontId="40" fillId="0" borderId="33" xfId="8" applyNumberFormat="1" applyFont="1" applyBorder="1" applyAlignment="1">
      <alignment horizontal="center" vertical="center" wrapText="1"/>
    </xf>
    <xf numFmtId="0" fontId="44" fillId="0" borderId="32" xfId="8" applyFont="1" applyBorder="1" applyAlignment="1" applyProtection="1">
      <alignment horizontal="left" vertical="top" wrapText="1"/>
      <protection locked="0"/>
    </xf>
    <xf numFmtId="173" fontId="16" fillId="0" borderId="32" xfId="8" applyNumberFormat="1" applyFont="1" applyBorder="1" applyAlignment="1" applyProtection="1">
      <alignment horizontal="center" vertical="center" wrapText="1"/>
      <protection locked="0"/>
    </xf>
    <xf numFmtId="38" fontId="16" fillId="0" borderId="32" xfId="8" applyNumberFormat="1" applyFont="1" applyBorder="1" applyAlignment="1" applyProtection="1">
      <alignment horizontal="center" vertical="center" wrapText="1"/>
      <protection locked="0"/>
    </xf>
    <xf numFmtId="0" fontId="39" fillId="0" borderId="0" xfId="8" applyAlignment="1">
      <alignment vertical="top" wrapText="1"/>
    </xf>
    <xf numFmtId="168" fontId="39" fillId="0" borderId="0" xfId="8" applyNumberFormat="1" applyAlignment="1">
      <alignment vertical="top" wrapText="1"/>
    </xf>
    <xf numFmtId="172" fontId="16" fillId="0" borderId="34" xfId="8" applyNumberFormat="1" applyFont="1" applyBorder="1" applyAlignment="1">
      <alignment horizontal="center" vertical="top" wrapText="1"/>
    </xf>
    <xf numFmtId="0" fontId="16" fillId="0" borderId="36" xfId="8" applyFont="1" applyBorder="1" applyAlignment="1" applyProtection="1">
      <alignment horizontal="left" vertical="top" wrapText="1"/>
      <protection locked="0"/>
    </xf>
    <xf numFmtId="0" fontId="16" fillId="0" borderId="34" xfId="8" applyFont="1" applyBorder="1" applyAlignment="1" applyProtection="1">
      <alignment horizontal="left" vertical="top" wrapText="1"/>
      <protection locked="0"/>
    </xf>
    <xf numFmtId="174" fontId="16" fillId="13" borderId="37" xfId="8" applyNumberFormat="1" applyFont="1" applyFill="1" applyBorder="1" applyAlignment="1" applyProtection="1">
      <alignment horizontal="center" vertical="top" wrapText="1"/>
      <protection locked="0"/>
    </xf>
    <xf numFmtId="0" fontId="45" fillId="13" borderId="37" xfId="8" applyFont="1" applyFill="1" applyBorder="1" applyAlignment="1">
      <alignment horizontal="right" vertical="top" wrapText="1"/>
    </xf>
    <xf numFmtId="173" fontId="16" fillId="2" borderId="6" xfId="8" applyNumberFormat="1" applyFont="1" applyFill="1" applyBorder="1" applyAlignment="1">
      <alignment horizontal="center" vertical="top" wrapText="1"/>
    </xf>
    <xf numFmtId="173" fontId="16" fillId="2" borderId="34" xfId="8" applyNumberFormat="1" applyFont="1" applyFill="1" applyBorder="1" applyAlignment="1">
      <alignment horizontal="center" vertical="top" wrapText="1"/>
    </xf>
    <xf numFmtId="173" fontId="16" fillId="2" borderId="7" xfId="8" applyNumberFormat="1" applyFont="1" applyFill="1" applyBorder="1" applyAlignment="1">
      <alignment horizontal="center" vertical="top" wrapText="1"/>
    </xf>
    <xf numFmtId="0" fontId="16" fillId="2" borderId="38" xfId="8" applyFont="1" applyFill="1" applyBorder="1" applyAlignment="1">
      <alignment horizontal="left" vertical="top" wrapText="1"/>
    </xf>
    <xf numFmtId="0" fontId="39" fillId="0" borderId="0" xfId="8" applyAlignment="1">
      <alignment horizontal="center" wrapText="1"/>
    </xf>
    <xf numFmtId="0" fontId="16" fillId="0" borderId="34" xfId="8" applyFont="1" applyBorder="1" applyAlignment="1">
      <alignment horizontal="left" vertical="top" wrapText="1"/>
    </xf>
    <xf numFmtId="0" fontId="45" fillId="13" borderId="40" xfId="8" applyFont="1" applyFill="1" applyBorder="1" applyAlignment="1">
      <alignment horizontal="right" vertical="top" wrapText="1"/>
    </xf>
    <xf numFmtId="0" fontId="42" fillId="0" borderId="41" xfId="8" applyFont="1" applyBorder="1" applyAlignment="1">
      <alignment horizontal="left" vertical="top" wrapText="1"/>
    </xf>
    <xf numFmtId="172" fontId="44" fillId="2" borderId="32" xfId="8" applyNumberFormat="1" applyFont="1" applyFill="1" applyBorder="1" applyAlignment="1">
      <alignment horizontal="left" vertical="top" wrapText="1"/>
    </xf>
    <xf numFmtId="0" fontId="16" fillId="0" borderId="0" xfId="8" applyFont="1" applyAlignment="1">
      <alignment vertical="top" wrapText="1"/>
    </xf>
    <xf numFmtId="0" fontId="44" fillId="0" borderId="32" xfId="8" applyFont="1" applyBorder="1" applyAlignment="1">
      <alignment horizontal="left" vertical="top" wrapText="1"/>
    </xf>
    <xf numFmtId="0" fontId="16" fillId="0" borderId="35" xfId="8" quotePrefix="1" applyFont="1" applyBorder="1" applyAlignment="1">
      <alignment horizontal="left" vertical="top" wrapText="1"/>
    </xf>
    <xf numFmtId="0" fontId="39" fillId="0" borderId="6" xfId="8" applyBorder="1" applyAlignment="1">
      <alignment wrapText="1"/>
    </xf>
    <xf numFmtId="172" fontId="42" fillId="0" borderId="4" xfId="8" applyNumberFormat="1" applyFont="1" applyBorder="1" applyAlignment="1">
      <alignment horizontal="center" vertical="center" wrapText="1"/>
    </xf>
    <xf numFmtId="172" fontId="16" fillId="0" borderId="0" xfId="8" applyNumberFormat="1" applyFont="1" applyAlignment="1">
      <alignment wrapText="1"/>
    </xf>
    <xf numFmtId="172" fontId="44" fillId="0" borderId="32" xfId="8" applyNumberFormat="1" applyFont="1" applyBorder="1" applyAlignment="1">
      <alignment horizontal="left" vertical="top" wrapText="1"/>
    </xf>
    <xf numFmtId="172" fontId="39" fillId="0" borderId="0" xfId="8" applyNumberFormat="1" applyAlignment="1">
      <alignment vertical="top" wrapText="1"/>
    </xf>
    <xf numFmtId="0" fontId="16" fillId="0" borderId="34" xfId="8" quotePrefix="1" applyFont="1" applyBorder="1" applyAlignment="1" applyProtection="1">
      <alignment horizontal="left" vertical="top" wrapText="1"/>
      <protection locked="0"/>
    </xf>
    <xf numFmtId="0" fontId="39" fillId="0" borderId="34" xfId="8" applyBorder="1" applyAlignment="1" applyProtection="1">
      <alignment horizontal="left" vertical="top" wrapText="1"/>
      <protection locked="0"/>
    </xf>
    <xf numFmtId="172" fontId="45" fillId="13" borderId="40" xfId="8" applyNumberFormat="1" applyFont="1" applyFill="1" applyBorder="1" applyAlignment="1">
      <alignment horizontal="right" vertical="top" wrapText="1"/>
    </xf>
    <xf numFmtId="0" fontId="46" fillId="0" borderId="44" xfId="8" quotePrefix="1" applyFont="1" applyBorder="1" applyAlignment="1">
      <alignment horizontal="left" vertical="top" wrapText="1"/>
    </xf>
    <xf numFmtId="172" fontId="39" fillId="0" borderId="46" xfId="8" quotePrefix="1" applyNumberFormat="1" applyBorder="1" applyAlignment="1">
      <alignment horizontal="left" vertical="top" wrapText="1"/>
    </xf>
    <xf numFmtId="172" fontId="16" fillId="0" borderId="0" xfId="8" applyNumberFormat="1" applyFont="1" applyAlignment="1">
      <alignment vertical="top" wrapText="1"/>
    </xf>
    <xf numFmtId="168" fontId="16" fillId="0" borderId="0" xfId="8" applyNumberFormat="1" applyFont="1" applyAlignment="1">
      <alignment vertical="top" wrapText="1"/>
    </xf>
    <xf numFmtId="0" fontId="16" fillId="0" borderId="44" xfId="8" quotePrefix="1" applyFont="1" applyBorder="1" applyAlignment="1">
      <alignment horizontal="left" vertical="top" wrapText="1"/>
    </xf>
    <xf numFmtId="172" fontId="39" fillId="0" borderId="0" xfId="8" applyNumberFormat="1" applyAlignment="1">
      <alignment wrapText="1"/>
    </xf>
    <xf numFmtId="172" fontId="45" fillId="13" borderId="43" xfId="8" applyNumberFormat="1" applyFont="1" applyFill="1" applyBorder="1" applyAlignment="1">
      <alignment horizontal="right" vertical="top" wrapText="1"/>
    </xf>
    <xf numFmtId="172" fontId="44" fillId="0" borderId="33" xfId="8" applyNumberFormat="1" applyFont="1" applyBorder="1" applyAlignment="1">
      <alignment horizontal="left" vertical="top" wrapText="1"/>
    </xf>
    <xf numFmtId="0" fontId="16" fillId="0" borderId="6" xfId="8" quotePrefix="1" applyFont="1" applyBorder="1" applyAlignment="1" applyProtection="1">
      <alignment horizontal="left" vertical="top" wrapText="1"/>
      <protection locked="0"/>
    </xf>
    <xf numFmtId="172" fontId="16" fillId="0" borderId="0" xfId="8" applyNumberFormat="1" applyFont="1" applyAlignment="1">
      <alignment horizontal="center" wrapText="1"/>
    </xf>
    <xf numFmtId="172" fontId="16" fillId="0" borderId="46" xfId="8" quotePrefix="1" applyNumberFormat="1" applyFont="1" applyBorder="1" applyAlignment="1">
      <alignment horizontal="left" vertical="top" wrapText="1"/>
    </xf>
    <xf numFmtId="0" fontId="39" fillId="0" borderId="35" xfId="8" quotePrefix="1" applyBorder="1" applyAlignment="1">
      <alignment horizontal="left" vertical="top" wrapText="1"/>
    </xf>
    <xf numFmtId="165" fontId="42" fillId="0" borderId="7" xfId="8" applyNumberFormat="1" applyFont="1" applyBorder="1" applyAlignment="1">
      <alignment horizontal="center" wrapText="1"/>
    </xf>
    <xf numFmtId="165" fontId="42" fillId="0" borderId="0" xfId="8" applyNumberFormat="1" applyFont="1" applyAlignment="1">
      <alignment horizontal="center" wrapText="1"/>
    </xf>
    <xf numFmtId="165" fontId="43" fillId="0" borderId="7" xfId="8" applyNumberFormat="1" applyFont="1" applyBorder="1" applyAlignment="1">
      <alignment horizontal="left" vertical="center"/>
    </xf>
    <xf numFmtId="165" fontId="39" fillId="0" borderId="0" xfId="8" applyNumberFormat="1" applyAlignment="1">
      <alignment horizontal="left" wrapText="1"/>
    </xf>
    <xf numFmtId="165" fontId="16" fillId="0" borderId="7" xfId="8" applyNumberFormat="1" applyFont="1" applyBorder="1" applyAlignment="1">
      <alignment horizontal="center" wrapText="1"/>
    </xf>
    <xf numFmtId="165" fontId="16" fillId="0" borderId="0" xfId="8" applyNumberFormat="1" applyFont="1" applyAlignment="1">
      <alignment horizontal="center" wrapText="1"/>
    </xf>
    <xf numFmtId="165" fontId="40" fillId="12" borderId="31" xfId="8" quotePrefix="1" applyNumberFormat="1" applyFont="1" applyFill="1" applyBorder="1" applyAlignment="1">
      <alignment horizontal="center" vertical="center" wrapText="1"/>
    </xf>
    <xf numFmtId="165" fontId="40" fillId="0" borderId="32" xfId="8" quotePrefix="1" applyNumberFormat="1" applyFont="1" applyBorder="1" applyAlignment="1">
      <alignment horizontal="center" vertical="center" wrapText="1"/>
    </xf>
    <xf numFmtId="165" fontId="16" fillId="0" borderId="34" xfId="8" applyNumberFormat="1" applyFont="1" applyBorder="1" applyAlignment="1">
      <alignment horizontal="center" vertical="top" wrapText="1"/>
    </xf>
    <xf numFmtId="165" fontId="16" fillId="13" borderId="37" xfId="8" applyNumberFormat="1" applyFont="1" applyFill="1" applyBorder="1" applyAlignment="1" applyProtection="1">
      <alignment horizontal="center" vertical="top" wrapText="1"/>
      <protection locked="0"/>
    </xf>
    <xf numFmtId="165" fontId="16" fillId="13" borderId="37" xfId="8" applyNumberFormat="1" applyFont="1" applyFill="1" applyBorder="1" applyAlignment="1">
      <alignment vertical="top" wrapText="1"/>
    </xf>
    <xf numFmtId="165" fontId="16" fillId="2" borderId="0" xfId="8" applyNumberFormat="1" applyFont="1" applyFill="1" applyAlignment="1">
      <alignment horizontal="center" vertical="top" wrapText="1"/>
    </xf>
    <xf numFmtId="165" fontId="43" fillId="0" borderId="0" xfId="8" applyNumberFormat="1" applyFont="1" applyAlignment="1">
      <alignment horizontal="left" vertical="center"/>
    </xf>
    <xf numFmtId="165" fontId="40" fillId="12" borderId="31" xfId="8" applyNumberFormat="1" applyFont="1" applyFill="1" applyBorder="1" applyAlignment="1">
      <alignment horizontal="center" vertical="center" wrapText="1"/>
    </xf>
    <xf numFmtId="165" fontId="40" fillId="0" borderId="4" xfId="8" applyNumberFormat="1" applyFont="1" applyBorder="1" applyAlignment="1">
      <alignment horizontal="center" vertical="center" wrapText="1"/>
    </xf>
    <xf numFmtId="165" fontId="40" fillId="0" borderId="32" xfId="8" applyNumberFormat="1" applyFont="1" applyBorder="1" applyAlignment="1">
      <alignment horizontal="center" vertical="center" wrapText="1"/>
    </xf>
    <xf numFmtId="38" fontId="0" fillId="0" borderId="24" xfId="0" applyNumberFormat="1" applyBorder="1" applyAlignment="1">
      <alignment horizontal="center" wrapText="1"/>
    </xf>
    <xf numFmtId="175" fontId="40" fillId="0" borderId="11" xfId="0" applyNumberFormat="1" applyFont="1" applyBorder="1" applyAlignment="1">
      <alignment horizontal="right" wrapText="1"/>
    </xf>
    <xf numFmtId="175" fontId="40" fillId="0" borderId="48" xfId="0" applyNumberFormat="1" applyFont="1" applyBorder="1" applyAlignment="1">
      <alignment horizontal="right" wrapText="1"/>
    </xf>
    <xf numFmtId="175" fontId="40" fillId="0" borderId="7" xfId="0" applyNumberFormat="1" applyFont="1" applyBorder="1" applyAlignment="1">
      <alignment horizontal="right" wrapText="1"/>
    </xf>
    <xf numFmtId="38" fontId="47" fillId="15" borderId="22" xfId="0" applyNumberFormat="1" applyFont="1" applyFill="1" applyBorder="1" applyAlignment="1">
      <alignment horizontal="left" vertical="top" wrapText="1"/>
    </xf>
    <xf numFmtId="175" fontId="25" fillId="0" borderId="49" xfId="0" applyNumberFormat="1" applyFont="1" applyBorder="1" applyAlignment="1">
      <alignment horizontal="center" vertical="center" wrapText="1"/>
    </xf>
    <xf numFmtId="175" fontId="25" fillId="0" borderId="50" xfId="0" applyNumberFormat="1" applyFont="1" applyBorder="1" applyAlignment="1">
      <alignment horizontal="center" vertical="center" wrapText="1"/>
    </xf>
    <xf numFmtId="175" fontId="25" fillId="0" borderId="7" xfId="0" applyNumberFormat="1" applyFont="1" applyBorder="1" applyAlignment="1">
      <alignment horizontal="center" vertical="center" wrapText="1"/>
    </xf>
    <xf numFmtId="175" fontId="23" fillId="14" borderId="4" xfId="0" quotePrefix="1" applyNumberFormat="1" applyFont="1" applyFill="1" applyBorder="1" applyAlignment="1">
      <alignment horizontal="center" vertical="center" wrapText="1"/>
    </xf>
    <xf numFmtId="38" fontId="0" fillId="0" borderId="7" xfId="0" applyNumberFormat="1" applyBorder="1" applyAlignment="1">
      <alignment horizontal="center" wrapText="1"/>
    </xf>
    <xf numFmtId="175" fontId="25" fillId="0" borderId="51" xfId="0" applyNumberFormat="1" applyFont="1" applyBorder="1" applyAlignment="1">
      <alignment horizontal="center" wrapText="1"/>
    </xf>
    <xf numFmtId="175" fontId="25" fillId="0" borderId="52" xfId="0" applyNumberFormat="1" applyFont="1" applyBorder="1" applyAlignment="1">
      <alignment horizontal="center" wrapText="1"/>
    </xf>
    <xf numFmtId="175" fontId="25" fillId="0" borderId="53" xfId="0" applyNumberFormat="1" applyFont="1" applyBorder="1" applyAlignment="1">
      <alignment horizontal="center" wrapText="1"/>
    </xf>
    <xf numFmtId="175" fontId="25" fillId="0" borderId="54" xfId="0" applyNumberFormat="1" applyFont="1" applyBorder="1" applyAlignment="1">
      <alignment horizontal="center" wrapText="1"/>
    </xf>
    <xf numFmtId="175" fontId="25" fillId="0" borderId="47" xfId="0" applyNumberFormat="1" applyFont="1" applyBorder="1" applyAlignment="1">
      <alignment horizontal="center" wrapText="1"/>
    </xf>
    <xf numFmtId="173" fontId="28" fillId="0" borderId="7" xfId="0" applyNumberFormat="1" applyFont="1" applyBorder="1" applyAlignment="1">
      <alignment horizontal="right" wrapText="1"/>
    </xf>
    <xf numFmtId="175" fontId="28" fillId="0" borderId="7" xfId="0" applyNumberFormat="1" applyFont="1" applyBorder="1" applyAlignment="1">
      <alignment horizontal="right" wrapText="1"/>
    </xf>
    <xf numFmtId="173" fontId="29" fillId="0" borderId="7" xfId="0" applyNumberFormat="1" applyFont="1" applyBorder="1" applyAlignment="1">
      <alignment horizontal="right" wrapText="1"/>
    </xf>
    <xf numFmtId="175" fontId="25" fillId="0" borderId="34" xfId="0" applyNumberFormat="1" applyFont="1" applyBorder="1" applyAlignment="1">
      <alignment horizontal="right" wrapText="1"/>
    </xf>
    <xf numFmtId="175" fontId="28" fillId="0" borderId="34" xfId="0" applyNumberFormat="1" applyFont="1" applyBorder="1" applyAlignment="1">
      <alignment horizontal="right" wrapText="1"/>
    </xf>
    <xf numFmtId="175" fontId="29" fillId="0" borderId="34" xfId="0" applyNumberFormat="1" applyFont="1" applyBorder="1" applyAlignment="1">
      <alignment horizontal="right" wrapText="1"/>
    </xf>
    <xf numFmtId="173" fontId="25" fillId="0" borderId="34" xfId="0" applyNumberFormat="1" applyFont="1" applyBorder="1" applyAlignment="1">
      <alignment horizontal="right" wrapText="1"/>
    </xf>
    <xf numFmtId="173" fontId="28" fillId="0" borderId="34" xfId="0" applyNumberFormat="1" applyFont="1" applyBorder="1" applyAlignment="1">
      <alignment horizontal="right" wrapText="1"/>
    </xf>
    <xf numFmtId="173" fontId="29" fillId="0" borderId="34" xfId="0" applyNumberFormat="1" applyFont="1" applyBorder="1" applyAlignment="1">
      <alignment horizontal="right" wrapText="1"/>
    </xf>
    <xf numFmtId="173" fontId="25" fillId="0" borderId="7" xfId="0" applyNumberFormat="1" applyFont="1" applyBorder="1" applyAlignment="1">
      <alignment horizontal="right" wrapText="1"/>
    </xf>
    <xf numFmtId="175" fontId="25" fillId="0" borderId="7" xfId="0" applyNumberFormat="1" applyFont="1" applyBorder="1" applyAlignment="1">
      <alignment horizontal="right" wrapText="1"/>
    </xf>
    <xf numFmtId="173" fontId="27" fillId="0" borderId="7" xfId="0" applyNumberFormat="1" applyFont="1" applyBorder="1" applyAlignment="1">
      <alignment horizontal="right" wrapText="1"/>
    </xf>
    <xf numFmtId="175" fontId="27" fillId="0" borderId="7" xfId="0" applyNumberFormat="1" applyFont="1" applyBorder="1" applyAlignment="1">
      <alignment horizontal="right" wrapText="1"/>
    </xf>
    <xf numFmtId="175" fontId="27" fillId="0" borderId="34" xfId="0" applyNumberFormat="1" applyFont="1" applyBorder="1" applyAlignment="1">
      <alignment horizontal="right" wrapText="1"/>
    </xf>
    <xf numFmtId="173" fontId="0" fillId="0" borderId="5" xfId="0" applyNumberFormat="1" applyBorder="1" applyAlignment="1">
      <alignment horizontal="right" wrapText="1"/>
    </xf>
    <xf numFmtId="173" fontId="0" fillId="0" borderId="55" xfId="0" applyNumberFormat="1" applyBorder="1" applyAlignment="1">
      <alignment horizontal="right" wrapText="1"/>
    </xf>
    <xf numFmtId="173" fontId="0" fillId="0" borderId="7" xfId="0" applyNumberFormat="1" applyBorder="1" applyAlignment="1">
      <alignment horizontal="right" wrapText="1"/>
    </xf>
    <xf numFmtId="175" fontId="0" fillId="0" borderId="34" xfId="0" applyNumberFormat="1" applyBorder="1" applyAlignment="1">
      <alignment horizontal="right" wrapText="1"/>
    </xf>
    <xf numFmtId="38" fontId="25" fillId="16" borderId="8" xfId="0" applyNumberFormat="1" applyFont="1" applyFill="1" applyBorder="1" applyAlignment="1">
      <alignment horizontal="left" wrapText="1"/>
    </xf>
    <xf numFmtId="176" fontId="48" fillId="0" borderId="5" xfId="0" applyNumberFormat="1" applyFont="1" applyBorder="1" applyAlignment="1">
      <alignment horizontal="right" wrapText="1"/>
    </xf>
    <xf numFmtId="173" fontId="48" fillId="0" borderId="55" xfId="0" applyNumberFormat="1" applyFont="1" applyBorder="1" applyAlignment="1">
      <alignment horizontal="right" wrapText="1"/>
    </xf>
    <xf numFmtId="173" fontId="48" fillId="0" borderId="7" xfId="0" applyNumberFormat="1" applyFont="1" applyBorder="1" applyAlignment="1">
      <alignment horizontal="right" wrapText="1"/>
    </xf>
    <xf numFmtId="175" fontId="48" fillId="0" borderId="7" xfId="0" applyNumberFormat="1" applyFont="1" applyBorder="1" applyAlignment="1">
      <alignment horizontal="right" wrapText="1"/>
    </xf>
    <xf numFmtId="175" fontId="48" fillId="0" borderId="34" xfId="0" applyNumberFormat="1" applyFont="1" applyBorder="1" applyAlignment="1">
      <alignment horizontal="right" wrapText="1"/>
    </xf>
    <xf numFmtId="173" fontId="27" fillId="0" borderId="55" xfId="0" applyNumberFormat="1" applyFont="1" applyBorder="1" applyAlignment="1">
      <alignment horizontal="right" wrapText="1"/>
    </xf>
    <xf numFmtId="38" fontId="27" fillId="0" borderId="7" xfId="0" applyNumberFormat="1" applyFont="1" applyBorder="1" applyAlignment="1">
      <alignment horizontal="left" wrapText="1"/>
    </xf>
    <xf numFmtId="38" fontId="40" fillId="5" borderId="8" xfId="0" applyNumberFormat="1" applyFont="1" applyFill="1" applyBorder="1" applyAlignment="1">
      <alignment horizontal="left" wrapText="1"/>
    </xf>
    <xf numFmtId="173" fontId="49" fillId="5" borderId="8" xfId="0" applyNumberFormat="1" applyFont="1" applyFill="1" applyBorder="1" applyAlignment="1">
      <alignment horizontal="right" wrapText="1"/>
    </xf>
    <xf numFmtId="165" fontId="28" fillId="0" borderId="5" xfId="0" applyNumberFormat="1" applyFont="1" applyBorder="1" applyAlignment="1">
      <alignment horizontal="right" wrapText="1"/>
    </xf>
    <xf numFmtId="165" fontId="29" fillId="0" borderId="5" xfId="0" applyNumberFormat="1" applyFont="1" applyBorder="1" applyAlignment="1">
      <alignment horizontal="right" wrapText="1"/>
    </xf>
    <xf numFmtId="175" fontId="27" fillId="0" borderId="39" xfId="0" applyNumberFormat="1" applyFont="1" applyBorder="1" applyAlignment="1">
      <alignment horizontal="right" wrapText="1"/>
    </xf>
    <xf numFmtId="173" fontId="29" fillId="0" borderId="32" xfId="0" applyNumberFormat="1" applyFont="1" applyBorder="1" applyAlignment="1">
      <alignment horizontal="right" wrapText="1"/>
    </xf>
    <xf numFmtId="0" fontId="0" fillId="0" borderId="36" xfId="8" applyFont="1" applyBorder="1" applyAlignment="1" applyProtection="1">
      <alignment horizontal="left" vertical="top" wrapText="1"/>
      <protection locked="0"/>
    </xf>
    <xf numFmtId="165" fontId="29" fillId="0" borderId="58" xfId="0" applyNumberFormat="1" applyFont="1" applyBorder="1" applyAlignment="1">
      <alignment horizontal="right" wrapText="1"/>
    </xf>
    <xf numFmtId="165" fontId="16" fillId="0" borderId="7" xfId="8" applyNumberFormat="1" applyFont="1" applyBorder="1" applyAlignment="1">
      <alignment horizontal="center" vertical="center" wrapText="1"/>
    </xf>
    <xf numFmtId="165" fontId="16" fillId="0" borderId="0" xfId="8" applyNumberFormat="1" applyFont="1" applyAlignment="1">
      <alignment wrapText="1"/>
    </xf>
    <xf numFmtId="173" fontId="16" fillId="0" borderId="0" xfId="8" applyNumberFormat="1" applyFont="1" applyAlignment="1">
      <alignment horizontal="center" vertical="center" wrapText="1"/>
    </xf>
    <xf numFmtId="38" fontId="16" fillId="0" borderId="0" xfId="8" applyNumberFormat="1" applyFont="1" applyAlignment="1">
      <alignment horizontal="center" vertical="center" wrapText="1"/>
    </xf>
    <xf numFmtId="0" fontId="45" fillId="0" borderId="6" xfId="8" applyFont="1" applyBorder="1" applyAlignment="1">
      <alignment horizontal="right" vertical="top" wrapText="1"/>
    </xf>
    <xf numFmtId="0" fontId="0" fillId="0" borderId="35" xfId="8" quotePrefix="1" applyFont="1" applyBorder="1" applyAlignment="1">
      <alignment horizontal="left" vertical="top" wrapText="1"/>
    </xf>
    <xf numFmtId="0" fontId="0" fillId="0" borderId="44" xfId="8" quotePrefix="1" applyFont="1" applyBorder="1" applyAlignment="1">
      <alignment horizontal="left" vertical="top" wrapText="1"/>
    </xf>
    <xf numFmtId="165" fontId="0" fillId="0" borderId="0" xfId="8" applyNumberFormat="1" applyFont="1" applyAlignment="1">
      <alignment horizontal="center" wrapText="1"/>
    </xf>
    <xf numFmtId="165" fontId="16" fillId="18" borderId="37" xfId="8" applyNumberFormat="1" applyFont="1" applyFill="1" applyBorder="1" applyAlignment="1">
      <alignment horizontal="center" vertical="top" wrapText="1"/>
    </xf>
    <xf numFmtId="172" fontId="16" fillId="18" borderId="37" xfId="8" applyNumberFormat="1" applyFont="1" applyFill="1" applyBorder="1" applyAlignment="1">
      <alignment horizontal="center" vertical="top" wrapText="1"/>
    </xf>
    <xf numFmtId="165" fontId="29" fillId="0" borderId="1" xfId="0" applyNumberFormat="1" applyFont="1" applyBorder="1" applyAlignment="1">
      <alignment horizontal="right" wrapText="1"/>
    </xf>
    <xf numFmtId="165" fontId="29" fillId="0" borderId="57" xfId="0" applyNumberFormat="1" applyFont="1" applyBorder="1" applyAlignment="1">
      <alignment horizontal="right" wrapText="1"/>
    </xf>
    <xf numFmtId="165" fontId="28" fillId="0" borderId="34" xfId="0" applyNumberFormat="1" applyFont="1" applyBorder="1" applyAlignment="1">
      <alignment horizontal="right" wrapText="1"/>
    </xf>
    <xf numFmtId="165" fontId="29" fillId="0" borderId="34" xfId="0" applyNumberFormat="1" applyFont="1" applyBorder="1" applyAlignment="1">
      <alignment horizontal="right" wrapText="1"/>
    </xf>
    <xf numFmtId="165" fontId="29" fillId="0" borderId="59" xfId="0" applyNumberFormat="1" applyFont="1" applyBorder="1" applyAlignment="1">
      <alignment horizontal="right" wrapText="1"/>
    </xf>
    <xf numFmtId="175" fontId="25" fillId="0" borderId="59" xfId="0" applyNumberFormat="1" applyFont="1" applyBorder="1" applyAlignment="1">
      <alignment horizontal="right" wrapText="1"/>
    </xf>
    <xf numFmtId="175" fontId="28" fillId="0" borderId="59" xfId="0" applyNumberFormat="1" applyFont="1" applyBorder="1" applyAlignment="1">
      <alignment horizontal="right" wrapText="1"/>
    </xf>
    <xf numFmtId="175" fontId="27" fillId="0" borderId="32" xfId="0" applyNumberFormat="1" applyFont="1" applyBorder="1" applyAlignment="1">
      <alignment horizontal="right" wrapText="1"/>
    </xf>
    <xf numFmtId="165" fontId="28" fillId="17" borderId="60" xfId="0" applyNumberFormat="1" applyFont="1" applyFill="1" applyBorder="1" applyAlignment="1">
      <alignment horizontal="right" wrapText="1"/>
    </xf>
    <xf numFmtId="175" fontId="48" fillId="0" borderId="59" xfId="0" applyNumberFormat="1" applyFont="1" applyBorder="1" applyAlignment="1">
      <alignment horizontal="right" wrapText="1"/>
    </xf>
    <xf numFmtId="0" fontId="0" fillId="0" borderId="34" xfId="8" applyFont="1" applyBorder="1" applyAlignment="1" applyProtection="1">
      <alignment horizontal="left" vertical="top" wrapText="1"/>
      <protection locked="0"/>
    </xf>
    <xf numFmtId="0" fontId="0" fillId="0" borderId="0" xfId="8" applyFont="1" applyAlignment="1">
      <alignment wrapText="1"/>
    </xf>
    <xf numFmtId="0" fontId="0" fillId="0" borderId="34" xfId="8" quotePrefix="1" applyFont="1" applyBorder="1" applyAlignment="1" applyProtection="1">
      <alignment horizontal="left" vertical="top" wrapText="1"/>
      <protection locked="0"/>
    </xf>
    <xf numFmtId="0" fontId="37" fillId="0" borderId="0" xfId="10" applyFont="1"/>
    <xf numFmtId="168" fontId="38" fillId="0" borderId="0" xfId="11" applyNumberFormat="1" applyFont="1"/>
    <xf numFmtId="0" fontId="37" fillId="0" borderId="0" xfId="10" applyFont="1" applyAlignment="1">
      <alignment horizontal="left" wrapText="1"/>
    </xf>
    <xf numFmtId="0" fontId="38" fillId="0" borderId="0" xfId="10" applyFont="1" applyAlignment="1">
      <alignment horizontal="center" wrapText="1"/>
    </xf>
    <xf numFmtId="0" fontId="38" fillId="0" borderId="0" xfId="10" applyFont="1" applyAlignment="1">
      <alignment wrapText="1"/>
    </xf>
    <xf numFmtId="168" fontId="37" fillId="0" borderId="0" xfId="11" applyNumberFormat="1" applyFont="1" applyAlignment="1">
      <alignment horizontal="center"/>
    </xf>
    <xf numFmtId="168" fontId="37" fillId="0" borderId="0" xfId="11" applyNumberFormat="1" applyFont="1" applyAlignment="1">
      <alignment horizontal="center" wrapText="1"/>
    </xf>
    <xf numFmtId="168" fontId="37" fillId="0" borderId="0" xfId="11" applyNumberFormat="1" applyFont="1"/>
    <xf numFmtId="168" fontId="41" fillId="10" borderId="0" xfId="11" applyNumberFormat="1" applyFont="1" applyFill="1" applyAlignment="1">
      <alignment horizontal="center"/>
    </xf>
    <xf numFmtId="168" fontId="41" fillId="10" borderId="0" xfId="11" quotePrefix="1" applyNumberFormat="1" applyFont="1" applyFill="1" applyAlignment="1">
      <alignment horizontal="center"/>
    </xf>
    <xf numFmtId="0" fontId="37" fillId="0" borderId="0" xfId="10" applyFont="1" applyAlignment="1">
      <alignment wrapText="1"/>
    </xf>
    <xf numFmtId="0" fontId="41" fillId="10" borderId="0" xfId="10" applyFont="1" applyFill="1" applyAlignment="1">
      <alignment wrapText="1"/>
    </xf>
    <xf numFmtId="0" fontId="41" fillId="10" borderId="0" xfId="10" applyFont="1" applyFill="1" applyAlignment="1">
      <alignment horizontal="center" wrapText="1"/>
    </xf>
    <xf numFmtId="0" fontId="41" fillId="10" borderId="0" xfId="10" applyFont="1" applyFill="1" applyAlignment="1">
      <alignment horizontal="left" wrapText="1"/>
    </xf>
    <xf numFmtId="168" fontId="41" fillId="10" borderId="0" xfId="11" applyNumberFormat="1" applyFont="1" applyFill="1" applyAlignment="1">
      <alignment horizontal="center" wrapText="1"/>
    </xf>
    <xf numFmtId="0" fontId="41" fillId="10" borderId="0" xfId="10" applyFont="1" applyFill="1" applyAlignment="1">
      <alignment horizontal="center"/>
    </xf>
    <xf numFmtId="0" fontId="37" fillId="0" borderId="5" xfId="10" applyFont="1" applyBorder="1" applyAlignment="1">
      <alignment wrapText="1"/>
    </xf>
    <xf numFmtId="168" fontId="37" fillId="0" borderId="5" xfId="11" applyNumberFormat="1" applyFont="1" applyFill="1" applyBorder="1" applyAlignment="1">
      <alignment vertical="top"/>
    </xf>
    <xf numFmtId="0" fontId="37" fillId="0" borderId="5" xfId="10" applyFont="1" applyBorder="1"/>
    <xf numFmtId="0" fontId="37" fillId="5" borderId="5" xfId="10" applyFont="1" applyFill="1" applyBorder="1" applyAlignment="1">
      <alignment horizontal="left" wrapText="1"/>
    </xf>
    <xf numFmtId="168" fontId="37" fillId="11" borderId="5" xfId="11" applyNumberFormat="1" applyFont="1" applyFill="1" applyBorder="1"/>
    <xf numFmtId="168" fontId="37" fillId="5" borderId="5" xfId="11" applyNumberFormat="1" applyFont="1" applyFill="1" applyBorder="1"/>
    <xf numFmtId="168" fontId="37" fillId="0" borderId="5" xfId="11" applyNumberFormat="1" applyFont="1" applyFill="1" applyBorder="1"/>
    <xf numFmtId="0" fontId="37" fillId="0" borderId="5" xfId="10" applyFont="1" applyBorder="1" applyAlignment="1">
      <alignment horizontal="left" wrapText="1"/>
    </xf>
    <xf numFmtId="168" fontId="37" fillId="0" borderId="5" xfId="11" applyNumberFormat="1" applyFont="1" applyBorder="1" applyAlignment="1">
      <alignment vertical="top"/>
    </xf>
    <xf numFmtId="168" fontId="37" fillId="0" borderId="5" xfId="11" applyNumberFormat="1" applyFont="1" applyBorder="1"/>
    <xf numFmtId="168" fontId="37" fillId="0" borderId="5" xfId="11" applyNumberFormat="1" applyFont="1" applyBorder="1" applyAlignment="1"/>
    <xf numFmtId="0" fontId="37" fillId="5" borderId="0" xfId="10" applyFont="1" applyFill="1"/>
    <xf numFmtId="0" fontId="37" fillId="0" borderId="1" xfId="10" applyFont="1" applyBorder="1" applyAlignment="1">
      <alignment wrapText="1"/>
    </xf>
    <xf numFmtId="0" fontId="37" fillId="0" borderId="1" xfId="10" applyFont="1" applyBorder="1" applyAlignment="1">
      <alignment horizontal="center" vertical="center" wrapText="1"/>
    </xf>
    <xf numFmtId="0" fontId="37" fillId="9" borderId="1" xfId="10" applyFont="1" applyFill="1" applyBorder="1" applyAlignment="1">
      <alignment wrapText="1"/>
    </xf>
    <xf numFmtId="0" fontId="37" fillId="0" borderId="1" xfId="10" applyFont="1" applyBorder="1" applyAlignment="1">
      <alignment horizontal="left" wrapText="1"/>
    </xf>
    <xf numFmtId="43" fontId="37" fillId="0" borderId="5" xfId="11" applyFont="1" applyFill="1" applyBorder="1"/>
    <xf numFmtId="0" fontId="16" fillId="0" borderId="5" xfId="12" applyFont="1" applyBorder="1" applyAlignment="1">
      <alignment vertical="top" wrapText="1"/>
    </xf>
    <xf numFmtId="0" fontId="37" fillId="0" borderId="5" xfId="10" applyFont="1" applyBorder="1" applyAlignment="1">
      <alignment horizontal="left" vertical="top" wrapText="1"/>
    </xf>
    <xf numFmtId="0" fontId="38" fillId="0" borderId="1" xfId="10" applyFont="1" applyBorder="1" applyAlignment="1">
      <alignment wrapText="1"/>
    </xf>
    <xf numFmtId="168" fontId="38" fillId="0" borderId="1" xfId="10" applyNumberFormat="1" applyFont="1" applyBorder="1" applyAlignment="1">
      <alignment wrapText="1"/>
    </xf>
    <xf numFmtId="0" fontId="41" fillId="10" borderId="0" xfId="10" applyFont="1" applyFill="1"/>
    <xf numFmtId="168" fontId="41" fillId="10" borderId="0" xfId="11" applyNumberFormat="1" applyFont="1" applyFill="1"/>
    <xf numFmtId="168" fontId="37" fillId="5" borderId="27" xfId="11" applyNumberFormat="1" applyFont="1" applyFill="1" applyBorder="1"/>
    <xf numFmtId="168" fontId="37" fillId="0" borderId="0" xfId="10" applyNumberFormat="1" applyFont="1" applyAlignment="1">
      <alignment horizontal="left" wrapText="1"/>
    </xf>
    <xf numFmtId="168" fontId="37" fillId="0" borderId="28" xfId="11" applyNumberFormat="1" applyFont="1" applyBorder="1"/>
    <xf numFmtId="168" fontId="37" fillId="0" borderId="29" xfId="11" applyNumberFormat="1" applyFont="1" applyBorder="1"/>
    <xf numFmtId="169" fontId="40" fillId="2" borderId="0" xfId="12" applyNumberFormat="1" applyFont="1" applyFill="1" applyAlignment="1">
      <alignment vertical="top"/>
    </xf>
    <xf numFmtId="0" fontId="41" fillId="0" borderId="0" xfId="10" applyFont="1" applyAlignment="1">
      <alignment wrapText="1"/>
    </xf>
    <xf numFmtId="0" fontId="41" fillId="0" borderId="0" xfId="10" applyFont="1"/>
    <xf numFmtId="0" fontId="41" fillId="0" borderId="0" xfId="10" applyFont="1" applyAlignment="1">
      <alignment horizontal="left" wrapText="1"/>
    </xf>
    <xf numFmtId="168" fontId="41" fillId="0" borderId="30" xfId="11" applyNumberFormat="1" applyFont="1" applyFill="1" applyBorder="1"/>
    <xf numFmtId="169" fontId="40" fillId="2" borderId="30" xfId="12" applyNumberFormat="1" applyFont="1" applyFill="1" applyBorder="1" applyAlignment="1">
      <alignment vertical="top"/>
    </xf>
    <xf numFmtId="0" fontId="37" fillId="5" borderId="0" xfId="10" applyFont="1" applyFill="1" applyAlignment="1">
      <alignment horizontal="left" wrapText="1"/>
    </xf>
    <xf numFmtId="170" fontId="37" fillId="5" borderId="0" xfId="11" applyNumberFormat="1" applyFont="1" applyFill="1"/>
    <xf numFmtId="4" fontId="37" fillId="0" borderId="0" xfId="11" applyNumberFormat="1" applyFont="1"/>
    <xf numFmtId="171" fontId="37" fillId="0" borderId="0" xfId="11" applyNumberFormat="1" applyFont="1"/>
    <xf numFmtId="43" fontId="37" fillId="0" borderId="0" xfId="10" applyNumberFormat="1" applyFont="1"/>
    <xf numFmtId="168" fontId="37" fillId="0" borderId="0" xfId="10" applyNumberFormat="1" applyFont="1" applyAlignment="1">
      <alignment wrapText="1"/>
    </xf>
    <xf numFmtId="4" fontId="37" fillId="0" borderId="0" xfId="10" applyNumberFormat="1" applyFont="1"/>
    <xf numFmtId="168" fontId="37" fillId="19" borderId="5" xfId="11" applyNumberFormat="1" applyFont="1" applyFill="1" applyBorder="1"/>
    <xf numFmtId="168" fontId="37" fillId="0" borderId="0" xfId="10" applyNumberFormat="1" applyFont="1"/>
    <xf numFmtId="175" fontId="23" fillId="14" borderId="31" xfId="0" quotePrefix="1" applyNumberFormat="1" applyFont="1" applyFill="1" applyBorder="1" applyAlignment="1">
      <alignment horizontal="center" vertical="center" wrapText="1"/>
    </xf>
    <xf numFmtId="165" fontId="28" fillId="0" borderId="7" xfId="0" applyNumberFormat="1" applyFont="1" applyBorder="1" applyAlignment="1">
      <alignment horizontal="right" wrapText="1"/>
    </xf>
    <xf numFmtId="165" fontId="29" fillId="0" borderId="7" xfId="0" applyNumberFormat="1" applyFont="1" applyBorder="1" applyAlignment="1">
      <alignment horizontal="right" wrapText="1"/>
    </xf>
    <xf numFmtId="165" fontId="29" fillId="0" borderId="61" xfId="0" applyNumberFormat="1" applyFont="1" applyBorder="1" applyAlignment="1">
      <alignment horizontal="right" wrapText="1"/>
    </xf>
    <xf numFmtId="175" fontId="25" fillId="0" borderId="61" xfId="0" applyNumberFormat="1" applyFont="1" applyBorder="1" applyAlignment="1">
      <alignment horizontal="right" wrapText="1"/>
    </xf>
    <xf numFmtId="175" fontId="28" fillId="0" borderId="61" xfId="0" applyNumberFormat="1" applyFont="1" applyBorder="1" applyAlignment="1">
      <alignment horizontal="right" wrapText="1"/>
    </xf>
    <xf numFmtId="173" fontId="29" fillId="0" borderId="39" xfId="0" applyNumberFormat="1" applyFont="1" applyBorder="1" applyAlignment="1">
      <alignment horizontal="right" wrapText="1"/>
    </xf>
    <xf numFmtId="175" fontId="0" fillId="0" borderId="7" xfId="0" applyNumberFormat="1" applyBorder="1" applyAlignment="1">
      <alignment horizontal="right" wrapText="1"/>
    </xf>
    <xf numFmtId="175" fontId="48" fillId="0" borderId="61" xfId="0" applyNumberFormat="1" applyFont="1" applyBorder="1" applyAlignment="1">
      <alignment horizontal="right" wrapText="1"/>
    </xf>
    <xf numFmtId="175" fontId="25" fillId="0" borderId="32" xfId="0" applyNumberFormat="1" applyFont="1" applyBorder="1" applyAlignment="1">
      <alignment horizontal="center" wrapText="1"/>
    </xf>
    <xf numFmtId="165" fontId="28" fillId="0" borderId="22" xfId="0" applyNumberFormat="1" applyFont="1" applyBorder="1" applyAlignment="1">
      <alignment horizontal="right" wrapText="1"/>
    </xf>
    <xf numFmtId="165" fontId="29" fillId="0" borderId="22" xfId="0" applyNumberFormat="1" applyFont="1" applyBorder="1" applyAlignment="1">
      <alignment horizontal="right" wrapText="1"/>
    </xf>
    <xf numFmtId="165" fontId="29" fillId="0" borderId="62" xfId="0" applyNumberFormat="1" applyFont="1" applyBorder="1" applyAlignment="1">
      <alignment horizontal="right" wrapText="1"/>
    </xf>
    <xf numFmtId="165" fontId="29" fillId="0" borderId="63" xfId="0" applyNumberFormat="1" applyFont="1" applyBorder="1" applyAlignment="1">
      <alignment horizontal="right" wrapText="1"/>
    </xf>
    <xf numFmtId="175" fontId="25" fillId="0" borderId="39" xfId="0" applyNumberFormat="1" applyFont="1" applyBorder="1" applyAlignment="1">
      <alignment horizontal="center" wrapText="1"/>
    </xf>
    <xf numFmtId="165" fontId="29" fillId="0" borderId="60" xfId="0" applyNumberFormat="1" applyFont="1" applyBorder="1" applyAlignment="1">
      <alignment horizontal="right" wrapText="1"/>
    </xf>
    <xf numFmtId="165" fontId="29" fillId="0" borderId="37" xfId="0" applyNumberFormat="1" applyFont="1" applyBorder="1" applyAlignment="1">
      <alignment horizontal="right" wrapText="1"/>
    </xf>
    <xf numFmtId="175" fontId="49" fillId="5" borderId="64" xfId="0" applyNumberFormat="1" applyFont="1" applyFill="1" applyBorder="1" applyAlignment="1">
      <alignment horizontal="right" wrapText="1"/>
    </xf>
    <xf numFmtId="0" fontId="0" fillId="0" borderId="36" xfId="22" applyFont="1" applyBorder="1" applyAlignment="1" applyProtection="1">
      <alignment horizontal="left" vertical="top" wrapText="1"/>
      <protection locked="0"/>
    </xf>
    <xf numFmtId="0" fontId="0" fillId="0" borderId="34" xfId="22" applyFont="1" applyBorder="1" applyAlignment="1">
      <alignment horizontal="justify" vertical="center"/>
    </xf>
    <xf numFmtId="0" fontId="0" fillId="2" borderId="35" xfId="22" quotePrefix="1" applyFont="1" applyFill="1" applyBorder="1" applyAlignment="1">
      <alignment horizontal="left" vertical="center" wrapText="1"/>
    </xf>
    <xf numFmtId="0" fontId="0" fillId="0" borderId="47" xfId="22" quotePrefix="1" applyFont="1" applyBorder="1" applyAlignment="1" applyProtection="1">
      <alignment horizontal="left" vertical="top" wrapText="1"/>
      <protection locked="0"/>
    </xf>
    <xf numFmtId="0" fontId="37" fillId="0" borderId="0" xfId="23" applyFont="1"/>
    <xf numFmtId="168" fontId="38" fillId="0" borderId="0" xfId="24" applyNumberFormat="1" applyFont="1"/>
    <xf numFmtId="0" fontId="37" fillId="0" borderId="0" xfId="23" applyFont="1" applyAlignment="1">
      <alignment horizontal="left" wrapText="1"/>
    </xf>
    <xf numFmtId="0" fontId="38" fillId="0" borderId="0" xfId="23" applyFont="1" applyAlignment="1">
      <alignment horizontal="center" wrapText="1"/>
    </xf>
    <xf numFmtId="0" fontId="38" fillId="0" borderId="0" xfId="23" applyFont="1" applyAlignment="1">
      <alignment wrapText="1"/>
    </xf>
    <xf numFmtId="168" fontId="37" fillId="0" borderId="0" xfId="24" applyNumberFormat="1" applyFont="1" applyAlignment="1">
      <alignment horizontal="center"/>
    </xf>
    <xf numFmtId="168" fontId="37" fillId="0" borderId="0" xfId="24" applyNumberFormat="1" applyFont="1" applyAlignment="1">
      <alignment horizontal="center" wrapText="1"/>
    </xf>
    <xf numFmtId="168" fontId="37" fillId="0" borderId="0" xfId="24" applyNumberFormat="1" applyFont="1"/>
    <xf numFmtId="168" fontId="41" fillId="10" borderId="0" xfId="24" applyNumberFormat="1" applyFont="1" applyFill="1" applyAlignment="1">
      <alignment horizontal="center"/>
    </xf>
    <xf numFmtId="168" fontId="41" fillId="10" borderId="0" xfId="24" quotePrefix="1" applyNumberFormat="1" applyFont="1" applyFill="1" applyAlignment="1">
      <alignment horizontal="center"/>
    </xf>
    <xf numFmtId="0" fontId="37" fillId="0" borderId="0" xfId="23" applyFont="1" applyAlignment="1">
      <alignment wrapText="1"/>
    </xf>
    <xf numFmtId="0" fontId="41" fillId="10" borderId="0" xfId="23" applyFont="1" applyFill="1" applyAlignment="1">
      <alignment wrapText="1"/>
    </xf>
    <xf numFmtId="0" fontId="41" fillId="10" borderId="0" xfId="23" applyFont="1" applyFill="1" applyAlignment="1">
      <alignment horizontal="center" wrapText="1"/>
    </xf>
    <xf numFmtId="0" fontId="41" fillId="10" borderId="0" xfId="23" applyFont="1" applyFill="1" applyAlignment="1">
      <alignment horizontal="left" wrapText="1"/>
    </xf>
    <xf numFmtId="168" fontId="41" fillId="10" borderId="0" xfId="24" applyNumberFormat="1" applyFont="1" applyFill="1" applyAlignment="1">
      <alignment horizontal="center" wrapText="1"/>
    </xf>
    <xf numFmtId="0" fontId="41" fillId="10" borderId="0" xfId="23" applyFont="1" applyFill="1" applyAlignment="1">
      <alignment horizontal="center"/>
    </xf>
    <xf numFmtId="0" fontId="37" fillId="0" borderId="5" xfId="23" applyFont="1" applyBorder="1" applyAlignment="1">
      <alignment wrapText="1"/>
    </xf>
    <xf numFmtId="168" fontId="37" fillId="0" borderId="5" xfId="24" applyNumberFormat="1" applyFont="1" applyFill="1" applyBorder="1" applyAlignment="1">
      <alignment vertical="top"/>
    </xf>
    <xf numFmtId="0" fontId="37" fillId="0" borderId="5" xfId="23" applyFont="1" applyBorder="1"/>
    <xf numFmtId="0" fontId="37" fillId="5" borderId="5" xfId="23" applyFont="1" applyFill="1" applyBorder="1" applyAlignment="1">
      <alignment horizontal="left" wrapText="1"/>
    </xf>
    <xf numFmtId="168" fontId="37" fillId="11" borderId="5" xfId="24" applyNumberFormat="1" applyFont="1" applyFill="1" applyBorder="1"/>
    <xf numFmtId="168" fontId="37" fillId="5" borderId="5" xfId="24" applyNumberFormat="1" applyFont="1" applyFill="1" applyBorder="1"/>
    <xf numFmtId="168" fontId="37" fillId="19" borderId="5" xfId="24" applyNumberFormat="1" applyFont="1" applyFill="1" applyBorder="1"/>
    <xf numFmtId="168" fontId="37" fillId="0" borderId="5" xfId="24" applyNumberFormat="1" applyFont="1" applyFill="1" applyBorder="1"/>
    <xf numFmtId="0" fontId="37" fillId="0" borderId="5" xfId="23" applyFont="1" applyBorder="1" applyAlignment="1">
      <alignment horizontal="left" wrapText="1"/>
    </xf>
    <xf numFmtId="168" fontId="37" fillId="0" borderId="5" xfId="24" applyNumberFormat="1" applyFont="1" applyBorder="1" applyAlignment="1">
      <alignment vertical="top"/>
    </xf>
    <xf numFmtId="168" fontId="37" fillId="0" borderId="5" xfId="24" applyNumberFormat="1" applyFont="1" applyBorder="1"/>
    <xf numFmtId="168" fontId="37" fillId="0" borderId="5" xfId="24" applyNumberFormat="1" applyFont="1" applyBorder="1" applyAlignment="1"/>
    <xf numFmtId="0" fontId="37" fillId="5" borderId="0" xfId="23" applyFont="1" applyFill="1"/>
    <xf numFmtId="0" fontId="37" fillId="0" borderId="1" xfId="23" applyFont="1" applyBorder="1" applyAlignment="1">
      <alignment wrapText="1"/>
    </xf>
    <xf numFmtId="0" fontId="37" fillId="0" borderId="1" xfId="23" applyFont="1" applyBorder="1" applyAlignment="1">
      <alignment horizontal="center" vertical="center" wrapText="1"/>
    </xf>
    <xf numFmtId="0" fontId="37" fillId="9" borderId="1" xfId="23" applyFont="1" applyFill="1" applyBorder="1" applyAlignment="1">
      <alignment wrapText="1"/>
    </xf>
    <xf numFmtId="0" fontId="37" fillId="0" borderId="1" xfId="23" applyFont="1" applyBorder="1" applyAlignment="1">
      <alignment horizontal="left" wrapText="1"/>
    </xf>
    <xf numFmtId="43" fontId="37" fillId="0" borderId="5" xfId="24" applyFont="1" applyFill="1" applyBorder="1"/>
    <xf numFmtId="0" fontId="16" fillId="0" borderId="5" xfId="22" applyBorder="1" applyAlignment="1">
      <alignment vertical="top" wrapText="1"/>
    </xf>
    <xf numFmtId="0" fontId="37" fillId="0" borderId="5" xfId="23" applyFont="1" applyBorder="1" applyAlignment="1">
      <alignment horizontal="left" vertical="top" wrapText="1"/>
    </xf>
    <xf numFmtId="0" fontId="38" fillId="0" borderId="1" xfId="23" applyFont="1" applyBorder="1" applyAlignment="1">
      <alignment wrapText="1"/>
    </xf>
    <xf numFmtId="168" fontId="38" fillId="0" borderId="1" xfId="23" applyNumberFormat="1" applyFont="1" applyBorder="1" applyAlignment="1">
      <alignment wrapText="1"/>
    </xf>
    <xf numFmtId="0" fontId="41" fillId="10" borderId="0" xfId="23" applyFont="1" applyFill="1"/>
    <xf numFmtId="168" fontId="41" fillId="10" borderId="0" xfId="24" applyNumberFormat="1" applyFont="1" applyFill="1"/>
    <xf numFmtId="168" fontId="37" fillId="5" borderId="27" xfId="24" applyNumberFormat="1" applyFont="1" applyFill="1" applyBorder="1"/>
    <xf numFmtId="168" fontId="37" fillId="0" borderId="0" xfId="23" applyNumberFormat="1" applyFont="1" applyAlignment="1">
      <alignment horizontal="left" wrapText="1"/>
    </xf>
    <xf numFmtId="168" fontId="37" fillId="0" borderId="0" xfId="23" applyNumberFormat="1" applyFont="1"/>
    <xf numFmtId="168" fontId="37" fillId="0" borderId="28" xfId="24" applyNumberFormat="1" applyFont="1" applyBorder="1"/>
    <xf numFmtId="168" fontId="37" fillId="0" borderId="29" xfId="24" applyNumberFormat="1" applyFont="1" applyBorder="1"/>
    <xf numFmtId="169" fontId="40" fillId="2" borderId="0" xfId="22" applyNumberFormat="1" applyFont="1" applyFill="1" applyAlignment="1">
      <alignment vertical="top"/>
    </xf>
    <xf numFmtId="0" fontId="41" fillId="0" borderId="0" xfId="23" applyFont="1" applyAlignment="1">
      <alignment wrapText="1"/>
    </xf>
    <xf numFmtId="0" fontId="41" fillId="0" borderId="0" xfId="23" applyFont="1"/>
    <xf numFmtId="0" fontId="41" fillId="0" borderId="0" xfId="23" applyFont="1" applyAlignment="1">
      <alignment horizontal="left" wrapText="1"/>
    </xf>
    <xf numFmtId="168" fontId="41" fillId="0" borderId="30" xfId="24" applyNumberFormat="1" applyFont="1" applyFill="1" applyBorder="1"/>
    <xf numFmtId="169" fontId="40" fillId="2" borderId="30" xfId="22" applyNumberFormat="1" applyFont="1" applyFill="1" applyBorder="1" applyAlignment="1">
      <alignment vertical="top"/>
    </xf>
    <xf numFmtId="0" fontId="37" fillId="5" borderId="0" xfId="23" applyFont="1" applyFill="1" applyAlignment="1">
      <alignment horizontal="left" wrapText="1"/>
    </xf>
    <xf numFmtId="170" fontId="37" fillId="5" borderId="0" xfId="24" applyNumberFormat="1" applyFont="1" applyFill="1"/>
    <xf numFmtId="4" fontId="37" fillId="0" borderId="0" xfId="24" applyNumberFormat="1" applyFont="1"/>
    <xf numFmtId="171" fontId="37" fillId="0" borderId="0" xfId="24" applyNumberFormat="1" applyFont="1"/>
    <xf numFmtId="43" fontId="37" fillId="0" borderId="0" xfId="23" applyNumberFormat="1" applyFont="1"/>
    <xf numFmtId="168" fontId="37" fillId="0" borderId="0" xfId="23" applyNumberFormat="1" applyFont="1" applyAlignment="1">
      <alignment wrapText="1"/>
    </xf>
    <xf numFmtId="4" fontId="37" fillId="0" borderId="0" xfId="23" applyNumberFormat="1" applyFont="1"/>
    <xf numFmtId="172" fontId="45" fillId="0" borderId="34" xfId="8" applyNumberFormat="1" applyFont="1" applyBorder="1" applyAlignment="1">
      <alignment horizontal="right" vertical="top" wrapText="1"/>
    </xf>
    <xf numFmtId="165" fontId="40" fillId="0" borderId="4" xfId="8" quotePrefix="1" applyNumberFormat="1" applyFont="1" applyBorder="1" applyAlignment="1">
      <alignment horizontal="center" vertical="center" wrapText="1"/>
    </xf>
    <xf numFmtId="0" fontId="0" fillId="0" borderId="35" xfId="22" applyFont="1" applyBorder="1" applyAlignment="1" applyProtection="1">
      <alignment vertical="top" wrapText="1"/>
      <protection locked="0"/>
    </xf>
    <xf numFmtId="0" fontId="0" fillId="0" borderId="35" xfId="22" quotePrefix="1" applyFont="1" applyBorder="1" applyAlignment="1">
      <alignment horizontal="left" vertical="top" wrapText="1"/>
    </xf>
    <xf numFmtId="0" fontId="0" fillId="0" borderId="44" xfId="19" quotePrefix="1" applyFont="1" applyBorder="1" applyAlignment="1">
      <alignment horizontal="left" vertical="top" wrapText="1"/>
    </xf>
    <xf numFmtId="172" fontId="16" fillId="0" borderId="34" xfId="8" applyNumberFormat="1" applyFont="1" applyBorder="1" applyAlignment="1">
      <alignment horizontal="left" vertical="top" wrapText="1"/>
    </xf>
    <xf numFmtId="0" fontId="37" fillId="0" borderId="0" xfId="41" applyFont="1"/>
    <xf numFmtId="168" fontId="38" fillId="0" borderId="0" xfId="42" applyNumberFormat="1" applyFont="1"/>
    <xf numFmtId="0" fontId="37" fillId="0" borderId="0" xfId="41" applyFont="1" applyAlignment="1">
      <alignment horizontal="left" wrapText="1"/>
    </xf>
    <xf numFmtId="0" fontId="38" fillId="0" borderId="0" xfId="41" applyFont="1" applyAlignment="1">
      <alignment horizontal="center" wrapText="1"/>
    </xf>
    <xf numFmtId="0" fontId="38" fillId="0" borderId="0" xfId="41" applyFont="1" applyAlignment="1">
      <alignment wrapText="1"/>
    </xf>
    <xf numFmtId="168" fontId="37" fillId="0" borderId="0" xfId="42" applyNumberFormat="1" applyFont="1" applyAlignment="1">
      <alignment horizontal="center"/>
    </xf>
    <xf numFmtId="168" fontId="37" fillId="0" borderId="0" xfId="42" applyNumberFormat="1" applyFont="1" applyAlignment="1">
      <alignment horizontal="center" wrapText="1"/>
    </xf>
    <xf numFmtId="168" fontId="37" fillId="0" borderId="0" xfId="42" applyNumberFormat="1" applyFont="1"/>
    <xf numFmtId="168" fontId="41" fillId="10" borderId="0" xfId="42" applyNumberFormat="1" applyFont="1" applyFill="1" applyAlignment="1">
      <alignment horizontal="center"/>
    </xf>
    <xf numFmtId="168" fontId="41" fillId="10" borderId="0" xfId="42" quotePrefix="1" applyNumberFormat="1" applyFont="1" applyFill="1" applyAlignment="1">
      <alignment horizontal="center"/>
    </xf>
    <xf numFmtId="0" fontId="37" fillId="0" borderId="0" xfId="41" applyFont="1" applyAlignment="1">
      <alignment wrapText="1"/>
    </xf>
    <xf numFmtId="0" fontId="41" fillId="10" borderId="0" xfId="41" applyFont="1" applyFill="1" applyAlignment="1">
      <alignment wrapText="1"/>
    </xf>
    <xf numFmtId="0" fontId="41" fillId="10" borderId="0" xfId="41" applyFont="1" applyFill="1" applyAlignment="1">
      <alignment horizontal="center" wrapText="1"/>
    </xf>
    <xf numFmtId="0" fontId="41" fillId="10" borderId="0" xfId="41" applyFont="1" applyFill="1" applyAlignment="1">
      <alignment horizontal="left" wrapText="1"/>
    </xf>
    <xf numFmtId="168" fontId="41" fillId="10" borderId="0" xfId="42" applyNumberFormat="1" applyFont="1" applyFill="1" applyAlignment="1">
      <alignment horizontal="center" wrapText="1"/>
    </xf>
    <xf numFmtId="0" fontId="41" fillId="10" borderId="0" xfId="41" applyFont="1" applyFill="1" applyAlignment="1">
      <alignment horizontal="center"/>
    </xf>
    <xf numFmtId="0" fontId="37" fillId="0" borderId="5" xfId="41" applyFont="1" applyBorder="1" applyAlignment="1">
      <alignment wrapText="1"/>
    </xf>
    <xf numFmtId="168" fontId="37" fillId="0" borderId="5" xfId="42" applyNumberFormat="1" applyFont="1" applyFill="1" applyBorder="1" applyAlignment="1">
      <alignment vertical="top"/>
    </xf>
    <xf numFmtId="0" fontId="37" fillId="0" borderId="5" xfId="41" applyFont="1" applyBorder="1"/>
    <xf numFmtId="0" fontId="37" fillId="5" borderId="5" xfId="41" applyFont="1" applyFill="1" applyBorder="1" applyAlignment="1">
      <alignment horizontal="left" wrapText="1"/>
    </xf>
    <xf numFmtId="168" fontId="37" fillId="11" borderId="5" xfId="42" applyNumberFormat="1" applyFont="1" applyFill="1" applyBorder="1"/>
    <xf numFmtId="168" fontId="37" fillId="5" borderId="5" xfId="42" applyNumberFormat="1" applyFont="1" applyFill="1" applyBorder="1"/>
    <xf numFmtId="168" fontId="37" fillId="19" borderId="5" xfId="42" applyNumberFormat="1" applyFont="1" applyFill="1" applyBorder="1"/>
    <xf numFmtId="168" fontId="37" fillId="0" borderId="5" xfId="42" applyNumberFormat="1" applyFont="1" applyFill="1" applyBorder="1"/>
    <xf numFmtId="0" fontId="37" fillId="0" borderId="5" xfId="41" applyFont="1" applyBorder="1" applyAlignment="1">
      <alignment horizontal="left" wrapText="1"/>
    </xf>
    <xf numFmtId="168" fontId="37" fillId="0" borderId="5" xfId="42" applyNumberFormat="1" applyFont="1" applyBorder="1" applyAlignment="1">
      <alignment vertical="top"/>
    </xf>
    <xf numFmtId="168" fontId="37" fillId="0" borderId="5" xfId="42" applyNumberFormat="1" applyFont="1" applyBorder="1"/>
    <xf numFmtId="168" fontId="37" fillId="0" borderId="5" xfId="42" applyNumberFormat="1" applyFont="1" applyBorder="1" applyAlignment="1"/>
    <xf numFmtId="0" fontId="37" fillId="5" borderId="0" xfId="41" applyFont="1" applyFill="1"/>
    <xf numFmtId="0" fontId="37" fillId="0" borderId="1" xfId="41" applyFont="1" applyBorder="1" applyAlignment="1">
      <alignment wrapText="1"/>
    </xf>
    <xf numFmtId="0" fontId="37" fillId="0" borderId="1" xfId="41" applyFont="1" applyBorder="1" applyAlignment="1">
      <alignment horizontal="center" vertical="center" wrapText="1"/>
    </xf>
    <xf numFmtId="0" fontId="37" fillId="9" borderId="1" xfId="41" applyFont="1" applyFill="1" applyBorder="1" applyAlignment="1">
      <alignment wrapText="1"/>
    </xf>
    <xf numFmtId="0" fontId="37" fillId="0" borderId="1" xfId="41" applyFont="1" applyBorder="1" applyAlignment="1">
      <alignment horizontal="left" wrapText="1"/>
    </xf>
    <xf numFmtId="43" fontId="37" fillId="0" borderId="5" xfId="42" applyFont="1" applyFill="1" applyBorder="1"/>
    <xf numFmtId="0" fontId="37" fillId="0" borderId="5" xfId="41" applyFont="1" applyBorder="1" applyAlignment="1">
      <alignment horizontal="left" vertical="top" wrapText="1"/>
    </xf>
    <xf numFmtId="0" fontId="38" fillId="0" borderId="1" xfId="41" applyFont="1" applyBorder="1" applyAlignment="1">
      <alignment wrapText="1"/>
    </xf>
    <xf numFmtId="168" fontId="38" fillId="0" borderId="1" xfId="41" applyNumberFormat="1" applyFont="1" applyBorder="1" applyAlignment="1">
      <alignment wrapText="1"/>
    </xf>
    <xf numFmtId="0" fontId="41" fillId="10" borderId="0" xfId="41" applyFont="1" applyFill="1"/>
    <xf numFmtId="168" fontId="41" fillId="10" borderId="0" xfId="42" applyNumberFormat="1" applyFont="1" applyFill="1"/>
    <xf numFmtId="168" fontId="37" fillId="5" borderId="27" xfId="42" applyNumberFormat="1" applyFont="1" applyFill="1" applyBorder="1"/>
    <xf numFmtId="168" fontId="37" fillId="0" borderId="0" xfId="41" applyNumberFormat="1" applyFont="1" applyAlignment="1">
      <alignment horizontal="left" wrapText="1"/>
    </xf>
    <xf numFmtId="168" fontId="37" fillId="0" borderId="0" xfId="41" applyNumberFormat="1" applyFont="1"/>
    <xf numFmtId="168" fontId="37" fillId="0" borderId="28" xfId="42" applyNumberFormat="1" applyFont="1" applyBorder="1"/>
    <xf numFmtId="168" fontId="37" fillId="0" borderId="29" xfId="42" applyNumberFormat="1" applyFont="1" applyBorder="1"/>
    <xf numFmtId="0" fontId="41" fillId="0" borderId="0" xfId="41" applyFont="1" applyAlignment="1">
      <alignment wrapText="1"/>
    </xf>
    <xf numFmtId="0" fontId="41" fillId="0" borderId="0" xfId="41" applyFont="1"/>
    <xf numFmtId="0" fontId="41" fillId="0" borderId="0" xfId="41" applyFont="1" applyAlignment="1">
      <alignment horizontal="left" wrapText="1"/>
    </xf>
    <xf numFmtId="168" fontId="41" fillId="0" borderId="30" xfId="42" applyNumberFormat="1" applyFont="1" applyFill="1" applyBorder="1"/>
    <xf numFmtId="0" fontId="37" fillId="5" borderId="0" xfId="41" applyFont="1" applyFill="1" applyAlignment="1">
      <alignment horizontal="left" wrapText="1"/>
    </xf>
    <xf numFmtId="170" fontId="37" fillId="5" borderId="0" xfId="42" applyNumberFormat="1" applyFont="1" applyFill="1"/>
    <xf numFmtId="4" fontId="37" fillId="0" borderId="0" xfId="42" applyNumberFormat="1" applyFont="1"/>
    <xf numFmtId="171" fontId="37" fillId="0" borderId="0" xfId="42" applyNumberFormat="1" applyFont="1"/>
    <xf numFmtId="43" fontId="37" fillId="0" borderId="0" xfId="41" applyNumberFormat="1" applyFont="1"/>
    <xf numFmtId="168" fontId="37" fillId="0" borderId="0" xfId="41" applyNumberFormat="1" applyFont="1" applyAlignment="1">
      <alignment wrapText="1"/>
    </xf>
    <xf numFmtId="4" fontId="37" fillId="0" borderId="0" xfId="41" applyNumberFormat="1" applyFont="1"/>
    <xf numFmtId="165" fontId="29" fillId="0" borderId="6" xfId="0" applyNumberFormat="1" applyFont="1" applyBorder="1" applyAlignment="1">
      <alignment horizontal="right" wrapText="1"/>
    </xf>
    <xf numFmtId="165" fontId="28" fillId="0" borderId="6" xfId="0" applyNumberFormat="1" applyFont="1" applyBorder="1" applyAlignment="1">
      <alignment horizontal="right" wrapText="1"/>
    </xf>
    <xf numFmtId="165" fontId="29" fillId="0" borderId="65" xfId="0" applyNumberFormat="1" applyFont="1" applyBorder="1" applyAlignment="1">
      <alignment horizontal="right" wrapText="1"/>
    </xf>
    <xf numFmtId="175" fontId="28" fillId="0" borderId="6" xfId="0" applyNumberFormat="1" applyFont="1" applyBorder="1" applyAlignment="1">
      <alignment horizontal="right" wrapText="1"/>
    </xf>
    <xf numFmtId="175" fontId="27" fillId="0" borderId="6" xfId="0" applyNumberFormat="1" applyFont="1" applyBorder="1" applyAlignment="1">
      <alignment horizontal="right" wrapText="1"/>
    </xf>
    <xf numFmtId="175" fontId="48" fillId="0" borderId="6" xfId="0" applyNumberFormat="1" applyFont="1" applyBorder="1" applyAlignment="1">
      <alignment horizontal="right" wrapText="1"/>
    </xf>
    <xf numFmtId="165" fontId="29" fillId="0" borderId="55" xfId="0" applyNumberFormat="1" applyFont="1" applyBorder="1" applyAlignment="1">
      <alignment horizontal="right" wrapText="1"/>
    </xf>
    <xf numFmtId="0" fontId="37" fillId="0" borderId="0" xfId="77" applyFont="1"/>
    <xf numFmtId="168" fontId="38" fillId="0" borderId="0" xfId="78" applyNumberFormat="1" applyFont="1"/>
    <xf numFmtId="0" fontId="37" fillId="0" borderId="0" xfId="77" applyFont="1" applyAlignment="1">
      <alignment horizontal="left" wrapText="1"/>
    </xf>
    <xf numFmtId="0" fontId="38" fillId="0" borderId="0" xfId="77" applyFont="1" applyAlignment="1">
      <alignment horizontal="center" wrapText="1"/>
    </xf>
    <xf numFmtId="0" fontId="38" fillId="0" borderId="0" xfId="77" applyFont="1" applyAlignment="1">
      <alignment wrapText="1"/>
    </xf>
    <xf numFmtId="168" fontId="37" fillId="0" borderId="0" xfId="78" applyNumberFormat="1" applyFont="1" applyAlignment="1">
      <alignment horizontal="center"/>
    </xf>
    <xf numFmtId="168" fontId="37" fillId="0" borderId="0" xfId="78" applyNumberFormat="1" applyFont="1" applyAlignment="1">
      <alignment horizontal="center" wrapText="1"/>
    </xf>
    <xf numFmtId="168" fontId="37" fillId="0" borderId="0" xfId="78" applyNumberFormat="1" applyFont="1"/>
    <xf numFmtId="168" fontId="41" fillId="10" borderId="0" xfId="78" applyNumberFormat="1" applyFont="1" applyFill="1" applyAlignment="1">
      <alignment horizontal="center"/>
    </xf>
    <xf numFmtId="168" fontId="41" fillId="10" borderId="0" xfId="78" quotePrefix="1" applyNumberFormat="1" applyFont="1" applyFill="1" applyAlignment="1">
      <alignment horizontal="center"/>
    </xf>
    <xf numFmtId="0" fontId="37" fillId="0" borderId="0" xfId="77" applyFont="1" applyAlignment="1">
      <alignment wrapText="1"/>
    </xf>
    <xf numFmtId="0" fontId="41" fillId="10" borderId="0" xfId="77" applyFont="1" applyFill="1" applyAlignment="1">
      <alignment wrapText="1"/>
    </xf>
    <xf numFmtId="0" fontId="41" fillId="10" borderId="0" xfId="77" applyFont="1" applyFill="1" applyAlignment="1">
      <alignment horizontal="center" wrapText="1"/>
    </xf>
    <xf numFmtId="0" fontId="41" fillId="10" borderId="0" xfId="77" applyFont="1" applyFill="1" applyAlignment="1">
      <alignment horizontal="left" wrapText="1"/>
    </xf>
    <xf numFmtId="168" fontId="41" fillId="10" borderId="0" xfId="78" applyNumberFormat="1" applyFont="1" applyFill="1" applyAlignment="1">
      <alignment horizontal="center" wrapText="1"/>
    </xf>
    <xf numFmtId="0" fontId="41" fillId="10" borderId="0" xfId="77" applyFont="1" applyFill="1" applyAlignment="1">
      <alignment horizontal="center"/>
    </xf>
    <xf numFmtId="0" fontId="37" fillId="0" borderId="5" xfId="77" applyFont="1" applyBorder="1" applyAlignment="1">
      <alignment wrapText="1"/>
    </xf>
    <xf numFmtId="168" fontId="37" fillId="0" borderId="5" xfId="78" applyNumberFormat="1" applyFont="1" applyFill="1" applyBorder="1" applyAlignment="1">
      <alignment vertical="top"/>
    </xf>
    <xf numFmtId="0" fontId="37" fillId="0" borderId="5" xfId="77" applyFont="1" applyBorder="1"/>
    <xf numFmtId="0" fontId="37" fillId="5" borderId="5" xfId="77" applyFont="1" applyFill="1" applyBorder="1" applyAlignment="1">
      <alignment horizontal="left" wrapText="1"/>
    </xf>
    <xf numFmtId="168" fontId="37" fillId="11" borderId="5" xfId="78" applyNumberFormat="1" applyFont="1" applyFill="1" applyBorder="1"/>
    <xf numFmtId="168" fontId="37" fillId="5" borderId="5" xfId="78" applyNumberFormat="1" applyFont="1" applyFill="1" applyBorder="1"/>
    <xf numFmtId="168" fontId="37" fillId="19" borderId="5" xfId="78" applyNumberFormat="1" applyFont="1" applyFill="1" applyBorder="1"/>
    <xf numFmtId="168" fontId="37" fillId="0" borderId="5" xfId="78" applyNumberFormat="1" applyFont="1" applyFill="1" applyBorder="1"/>
    <xf numFmtId="0" fontId="37" fillId="0" borderId="5" xfId="77" applyFont="1" applyBorder="1" applyAlignment="1">
      <alignment horizontal="left" wrapText="1"/>
    </xf>
    <xf numFmtId="168" fontId="37" fillId="0" borderId="5" xfId="78" applyNumberFormat="1" applyFont="1" applyBorder="1" applyAlignment="1">
      <alignment vertical="top"/>
    </xf>
    <xf numFmtId="168" fontId="37" fillId="0" borderId="5" xfId="78" applyNumberFormat="1" applyFont="1" applyBorder="1"/>
    <xf numFmtId="168" fontId="37" fillId="0" borderId="5" xfId="78" applyNumberFormat="1" applyFont="1" applyBorder="1" applyAlignment="1"/>
    <xf numFmtId="0" fontId="37" fillId="5" borderId="0" xfId="77" applyFont="1" applyFill="1"/>
    <xf numFmtId="0" fontId="37" fillId="0" borderId="1" xfId="77" applyFont="1" applyBorder="1" applyAlignment="1">
      <alignment wrapText="1"/>
    </xf>
    <xf numFmtId="0" fontId="37" fillId="0" borderId="1" xfId="77" applyFont="1" applyBorder="1" applyAlignment="1">
      <alignment horizontal="center" vertical="center" wrapText="1"/>
    </xf>
    <xf numFmtId="0" fontId="37" fillId="9" borderId="1" xfId="77" applyFont="1" applyFill="1" applyBorder="1" applyAlignment="1">
      <alignment wrapText="1"/>
    </xf>
    <xf numFmtId="0" fontId="37" fillId="0" borderId="1" xfId="77" applyFont="1" applyBorder="1" applyAlignment="1">
      <alignment horizontal="left" wrapText="1"/>
    </xf>
    <xf numFmtId="43" fontId="37" fillId="0" borderId="5" xfId="78" applyFont="1" applyFill="1" applyBorder="1"/>
    <xf numFmtId="0" fontId="37" fillId="0" borderId="5" xfId="77" applyFont="1" applyBorder="1" applyAlignment="1">
      <alignment horizontal="left" vertical="top" wrapText="1"/>
    </xf>
    <xf numFmtId="0" fontId="38" fillId="0" borderId="1" xfId="77" applyFont="1" applyBorder="1" applyAlignment="1">
      <alignment wrapText="1"/>
    </xf>
    <xf numFmtId="168" fontId="38" fillId="0" borderId="1" xfId="77" applyNumberFormat="1" applyFont="1" applyBorder="1" applyAlignment="1">
      <alignment wrapText="1"/>
    </xf>
    <xf numFmtId="0" fontId="41" fillId="10" borderId="0" xfId="77" applyFont="1" applyFill="1"/>
    <xf numFmtId="168" fontId="41" fillId="10" borderId="0" xfId="78" applyNumberFormat="1" applyFont="1" applyFill="1"/>
    <xf numFmtId="168" fontId="37" fillId="5" borderId="27" xfId="78" applyNumberFormat="1" applyFont="1" applyFill="1" applyBorder="1"/>
    <xf numFmtId="168" fontId="37" fillId="0" borderId="0" xfId="77" applyNumberFormat="1" applyFont="1" applyAlignment="1">
      <alignment horizontal="left" wrapText="1"/>
    </xf>
    <xf numFmtId="168" fontId="37" fillId="0" borderId="0" xfId="77" applyNumberFormat="1" applyFont="1"/>
    <xf numFmtId="168" fontId="37" fillId="0" borderId="28" xfId="78" applyNumberFormat="1" applyFont="1" applyBorder="1"/>
    <xf numFmtId="168" fontId="37" fillId="0" borderId="29" xfId="78" applyNumberFormat="1" applyFont="1" applyBorder="1"/>
    <xf numFmtId="0" fontId="41" fillId="0" borderId="0" xfId="77" applyFont="1" applyAlignment="1">
      <alignment wrapText="1"/>
    </xf>
    <xf numFmtId="0" fontId="41" fillId="0" borderId="0" xfId="77" applyFont="1"/>
    <xf numFmtId="0" fontId="41" fillId="0" borderId="0" xfId="77" applyFont="1" applyAlignment="1">
      <alignment horizontal="left" wrapText="1"/>
    </xf>
    <xf numFmtId="168" fontId="41" fillId="0" borderId="30" xfId="78" applyNumberFormat="1" applyFont="1" applyFill="1" applyBorder="1"/>
    <xf numFmtId="0" fontId="37" fillId="5" borderId="0" xfId="77" applyFont="1" applyFill="1" applyAlignment="1">
      <alignment horizontal="left" wrapText="1"/>
    </xf>
    <xf numFmtId="170" fontId="37" fillId="5" borderId="0" xfId="78" applyNumberFormat="1" applyFont="1" applyFill="1"/>
    <xf numFmtId="4" fontId="37" fillId="0" borderId="0" xfId="78" applyNumberFormat="1" applyFont="1"/>
    <xf numFmtId="171" fontId="37" fillId="0" borderId="0" xfId="78" applyNumberFormat="1" applyFont="1"/>
    <xf numFmtId="43" fontId="37" fillId="0" borderId="0" xfId="77" applyNumberFormat="1" applyFont="1"/>
    <xf numFmtId="168" fontId="37" fillId="0" borderId="0" xfId="77" applyNumberFormat="1" applyFont="1" applyAlignment="1">
      <alignment wrapText="1"/>
    </xf>
    <xf numFmtId="4" fontId="37" fillId="0" borderId="0" xfId="77" applyNumberFormat="1" applyFont="1"/>
    <xf numFmtId="165" fontId="28" fillId="0" borderId="5" xfId="0" applyNumberFormat="1" applyFont="1" applyBorder="1" applyAlignment="1">
      <alignment horizontal="right"/>
    </xf>
    <xf numFmtId="10" fontId="0" fillId="0" borderId="0" xfId="79" applyNumberFormat="1" applyFont="1" applyAlignment="1" applyProtection="1"/>
    <xf numFmtId="38" fontId="49" fillId="5" borderId="8" xfId="0" applyNumberFormat="1" applyFont="1" applyFill="1" applyBorder="1" applyAlignment="1">
      <alignment horizontal="right" wrapText="1"/>
    </xf>
    <xf numFmtId="0" fontId="0" fillId="0" borderId="34" xfId="22" quotePrefix="1" applyFont="1" applyBorder="1" applyAlignment="1" applyProtection="1">
      <alignment horizontal="left" vertical="top" wrapText="1"/>
      <protection locked="0"/>
    </xf>
    <xf numFmtId="165" fontId="29" fillId="0" borderId="47" xfId="0" applyNumberFormat="1" applyFont="1" applyBorder="1" applyAlignment="1">
      <alignment horizontal="right" wrapText="1"/>
    </xf>
    <xf numFmtId="165" fontId="16" fillId="0" borderId="7" xfId="8" applyNumberFormat="1" applyFont="1" applyBorder="1" applyAlignment="1">
      <alignment horizontal="center" vertical="top" wrapText="1"/>
    </xf>
    <xf numFmtId="165" fontId="16" fillId="0" borderId="0" xfId="8" applyNumberFormat="1" applyFont="1" applyAlignment="1">
      <alignment horizontal="center" vertical="top" wrapText="1"/>
    </xf>
    <xf numFmtId="172" fontId="16" fillId="0" borderId="0" xfId="8" applyNumberFormat="1" applyFont="1" applyAlignment="1">
      <alignment horizontal="center" vertical="top" wrapText="1"/>
    </xf>
    <xf numFmtId="172" fontId="45" fillId="0" borderId="6" xfId="8" applyNumberFormat="1" applyFont="1" applyBorder="1" applyAlignment="1">
      <alignment horizontal="right" vertical="top" wrapText="1"/>
    </xf>
    <xf numFmtId="165" fontId="29" fillId="0" borderId="56" xfId="0" applyNumberFormat="1" applyFont="1" applyBorder="1" applyAlignment="1">
      <alignment horizontal="right" wrapText="1"/>
    </xf>
    <xf numFmtId="0" fontId="0" fillId="0" borderId="6" xfId="22" applyFont="1" applyBorder="1" applyAlignment="1">
      <alignment vertical="center" wrapText="1"/>
    </xf>
    <xf numFmtId="0" fontId="0" fillId="2" borderId="34" xfId="22" applyFont="1" applyFill="1" applyBorder="1" applyAlignment="1">
      <alignment horizontal="left" vertical="top" wrapText="1"/>
    </xf>
    <xf numFmtId="172" fontId="16" fillId="0" borderId="7" xfId="8" applyNumberFormat="1" applyFont="1" applyBorder="1" applyAlignment="1">
      <alignment horizontal="center" vertical="top" wrapText="1"/>
    </xf>
    <xf numFmtId="0" fontId="16" fillId="0" borderId="34" xfId="22" quotePrefix="1" applyBorder="1" applyAlignment="1" applyProtection="1">
      <alignment horizontal="left" vertical="top" wrapText="1"/>
      <protection locked="0"/>
    </xf>
    <xf numFmtId="0" fontId="0" fillId="0" borderId="34" xfId="22" applyFont="1" applyBorder="1" applyAlignment="1" applyProtection="1">
      <alignment horizontal="left" vertical="top" wrapText="1"/>
      <protection locked="0"/>
    </xf>
    <xf numFmtId="0" fontId="46" fillId="0" borderId="44" xfId="22" quotePrefix="1" applyFont="1" applyBorder="1" applyAlignment="1">
      <alignment horizontal="left" vertical="top" wrapText="1"/>
    </xf>
    <xf numFmtId="172" fontId="0" fillId="0" borderId="34" xfId="8" applyNumberFormat="1" applyFont="1" applyBorder="1" applyAlignment="1">
      <alignment horizontal="left" vertical="top" wrapText="1"/>
    </xf>
    <xf numFmtId="0" fontId="46" fillId="0" borderId="44" xfId="0" quotePrefix="1" applyFont="1" applyBorder="1" applyAlignment="1">
      <alignment horizontal="left" vertical="top" wrapText="1"/>
    </xf>
    <xf numFmtId="0" fontId="46" fillId="0" borderId="44" xfId="9" quotePrefix="1" applyFont="1" applyBorder="1" applyAlignment="1">
      <alignment horizontal="left" vertical="top" wrapText="1"/>
    </xf>
    <xf numFmtId="0" fontId="0" fillId="0" borderId="44" xfId="22" quotePrefix="1" applyFont="1" applyBorder="1" applyAlignment="1">
      <alignment horizontal="left" vertical="top" wrapText="1"/>
    </xf>
    <xf numFmtId="0" fontId="0" fillId="2" borderId="35" xfId="8" quotePrefix="1" applyFont="1" applyFill="1" applyBorder="1" applyAlignment="1">
      <alignment horizontal="left" vertical="center" wrapText="1"/>
    </xf>
    <xf numFmtId="175" fontId="23" fillId="14" borderId="41" xfId="0" quotePrefix="1" applyNumberFormat="1" applyFont="1" applyFill="1" applyBorder="1" applyAlignment="1">
      <alignment horizontal="center" vertical="center" wrapText="1"/>
    </xf>
    <xf numFmtId="175" fontId="25" fillId="0" borderId="66" xfId="0" applyNumberFormat="1" applyFont="1" applyBorder="1" applyAlignment="1">
      <alignment horizontal="center" wrapText="1"/>
    </xf>
    <xf numFmtId="175" fontId="29" fillId="0" borderId="6" xfId="0" applyNumberFormat="1" applyFont="1" applyBorder="1" applyAlignment="1">
      <alignment horizontal="right" wrapText="1"/>
    </xf>
    <xf numFmtId="165" fontId="29" fillId="0" borderId="67" xfId="0" applyNumberFormat="1" applyFont="1" applyBorder="1" applyAlignment="1">
      <alignment horizontal="right" wrapText="1"/>
    </xf>
    <xf numFmtId="165" fontId="29" fillId="0" borderId="66" xfId="0" applyNumberFormat="1" applyFont="1" applyBorder="1" applyAlignment="1">
      <alignment horizontal="right" wrapText="1"/>
    </xf>
    <xf numFmtId="175" fontId="25" fillId="0" borderId="6" xfId="0" applyNumberFormat="1" applyFont="1" applyBorder="1" applyAlignment="1">
      <alignment horizontal="right" wrapText="1"/>
    </xf>
    <xf numFmtId="165" fontId="29" fillId="0" borderId="3" xfId="0" applyNumberFormat="1" applyFont="1" applyBorder="1" applyAlignment="1">
      <alignment horizontal="right" wrapText="1"/>
    </xf>
    <xf numFmtId="165" fontId="29" fillId="0" borderId="68" xfId="0" applyNumberFormat="1" applyFont="1" applyBorder="1" applyAlignment="1">
      <alignment horizontal="right" wrapText="1"/>
    </xf>
    <xf numFmtId="165" fontId="28" fillId="0" borderId="0" xfId="0" applyNumberFormat="1" applyFont="1" applyAlignment="1">
      <alignment horizontal="right" wrapText="1"/>
    </xf>
    <xf numFmtId="175" fontId="25" fillId="0" borderId="65" xfId="0" applyNumberFormat="1" applyFont="1" applyBorder="1" applyAlignment="1">
      <alignment horizontal="right" wrapText="1"/>
    </xf>
    <xf numFmtId="165" fontId="28" fillId="0" borderId="69" xfId="0" applyNumberFormat="1" applyFont="1" applyBorder="1" applyAlignment="1">
      <alignment horizontal="right" wrapText="1"/>
    </xf>
    <xf numFmtId="175" fontId="28" fillId="0" borderId="65" xfId="0" applyNumberFormat="1" applyFont="1" applyBorder="1" applyAlignment="1">
      <alignment horizontal="right" wrapText="1"/>
    </xf>
    <xf numFmtId="165" fontId="29" fillId="0" borderId="70" xfId="0" applyNumberFormat="1" applyFont="1" applyBorder="1" applyAlignment="1">
      <alignment horizontal="right" wrapText="1"/>
    </xf>
    <xf numFmtId="175" fontId="27" fillId="0" borderId="33" xfId="0" applyNumberFormat="1" applyFont="1" applyBorder="1" applyAlignment="1">
      <alignment horizontal="right" wrapText="1"/>
    </xf>
    <xf numFmtId="175" fontId="0" fillId="0" borderId="6" xfId="0" applyNumberFormat="1" applyBorder="1" applyAlignment="1">
      <alignment horizontal="right" wrapText="1"/>
    </xf>
    <xf numFmtId="165" fontId="28" fillId="17" borderId="67" xfId="0" applyNumberFormat="1" applyFont="1" applyFill="1" applyBorder="1" applyAlignment="1">
      <alignment horizontal="right" wrapText="1"/>
    </xf>
    <xf numFmtId="175" fontId="48" fillId="0" borderId="65" xfId="0" applyNumberFormat="1" applyFont="1" applyBorder="1" applyAlignment="1">
      <alignment horizontal="right" wrapText="1"/>
    </xf>
    <xf numFmtId="38" fontId="49" fillId="5" borderId="30" xfId="0" applyNumberFormat="1" applyFont="1" applyFill="1" applyBorder="1" applyAlignment="1">
      <alignment horizontal="right" wrapText="1"/>
    </xf>
    <xf numFmtId="165" fontId="29" fillId="0" borderId="71" xfId="0" applyNumberFormat="1" applyFont="1" applyBorder="1" applyAlignment="1">
      <alignment horizontal="right" wrapText="1"/>
    </xf>
    <xf numFmtId="38" fontId="49" fillId="5" borderId="64" xfId="0" applyNumberFormat="1" applyFont="1" applyFill="1" applyBorder="1" applyAlignment="1">
      <alignment horizontal="right" wrapText="1"/>
    </xf>
    <xf numFmtId="172" fontId="0" fillId="0" borderId="59" xfId="22" applyNumberFormat="1" applyFont="1" applyBorder="1" applyAlignment="1">
      <alignment horizontal="left" vertical="top" wrapText="1"/>
    </xf>
    <xf numFmtId="0" fontId="0" fillId="0" borderId="59" xfId="22" quotePrefix="1" applyFont="1" applyBorder="1" applyAlignment="1" applyProtection="1">
      <alignment horizontal="left" vertical="top" wrapText="1"/>
      <protection locked="0"/>
    </xf>
    <xf numFmtId="0" fontId="0" fillId="0" borderId="59" xfId="22" quotePrefix="1" applyFont="1" applyBorder="1" applyAlignment="1">
      <alignment horizontal="left" vertical="top" wrapText="1"/>
    </xf>
    <xf numFmtId="0" fontId="16" fillId="0" borderId="40" xfId="8" applyFont="1" applyBorder="1" applyAlignment="1" applyProtection="1">
      <alignment horizontal="left" vertical="top" wrapText="1"/>
      <protection locked="0"/>
    </xf>
    <xf numFmtId="0" fontId="0" fillId="0" borderId="0" xfId="8" quotePrefix="1" applyFont="1" applyAlignment="1">
      <alignment wrapText="1"/>
    </xf>
    <xf numFmtId="38" fontId="23" fillId="7" borderId="7" xfId="0" applyNumberFormat="1" applyFont="1" applyFill="1" applyBorder="1" applyAlignment="1">
      <alignment horizontal="center" vertical="center" wrapText="1"/>
    </xf>
    <xf numFmtId="38" fontId="23" fillId="20" borderId="4" xfId="0" applyNumberFormat="1" applyFont="1" applyFill="1" applyBorder="1" applyAlignment="1">
      <alignment horizontal="center" vertical="center" wrapText="1"/>
    </xf>
    <xf numFmtId="38" fontId="25" fillId="20" borderId="11" xfId="0" applyNumberFormat="1" applyFont="1" applyFill="1" applyBorder="1" applyAlignment="1">
      <alignment horizontal="center" vertical="top"/>
    </xf>
    <xf numFmtId="0" fontId="27" fillId="20" borderId="5" xfId="0" applyFont="1" applyFill="1" applyBorder="1"/>
    <xf numFmtId="165" fontId="28" fillId="20" borderId="5" xfId="0" applyNumberFormat="1" applyFont="1" applyFill="1" applyBorder="1" applyAlignment="1">
      <alignment horizontal="right"/>
    </xf>
    <xf numFmtId="165" fontId="29" fillId="20" borderId="5" xfId="0" applyNumberFormat="1" applyFont="1" applyFill="1" applyBorder="1" applyAlignment="1">
      <alignment horizontal="right"/>
    </xf>
    <xf numFmtId="165" fontId="25" fillId="20" borderId="9" xfId="0" applyNumberFormat="1" applyFont="1" applyFill="1" applyBorder="1" applyAlignment="1">
      <alignment horizontal="right"/>
    </xf>
    <xf numFmtId="38" fontId="27" fillId="20" borderId="13" xfId="0" applyNumberFormat="1" applyFont="1" applyFill="1" applyBorder="1" applyAlignment="1">
      <alignment horizontal="center"/>
    </xf>
    <xf numFmtId="165" fontId="25" fillId="20" borderId="4" xfId="0" applyNumberFormat="1" applyFont="1" applyFill="1" applyBorder="1" applyAlignment="1">
      <alignment horizontal="right"/>
    </xf>
    <xf numFmtId="38" fontId="27" fillId="20" borderId="17" xfId="0" applyNumberFormat="1" applyFont="1" applyFill="1" applyBorder="1" applyAlignment="1">
      <alignment horizontal="center"/>
    </xf>
    <xf numFmtId="38" fontId="27" fillId="20" borderId="20" xfId="0" applyNumberFormat="1" applyFont="1" applyFill="1" applyBorder="1" applyAlignment="1">
      <alignment horizontal="center"/>
    </xf>
    <xf numFmtId="165" fontId="25" fillId="20" borderId="15" xfId="0" applyNumberFormat="1" applyFont="1" applyFill="1" applyBorder="1" applyAlignment="1">
      <alignment horizontal="right"/>
    </xf>
    <xf numFmtId="38" fontId="27" fillId="20" borderId="5" xfId="0" applyNumberFormat="1" applyFont="1" applyFill="1" applyBorder="1" applyAlignment="1">
      <alignment horizontal="center"/>
    </xf>
    <xf numFmtId="14" fontId="0" fillId="0" borderId="0" xfId="0" applyNumberFormat="1"/>
    <xf numFmtId="4" fontId="0" fillId="2" borderId="0" xfId="0" applyNumberFormat="1" applyFill="1"/>
    <xf numFmtId="165" fontId="29" fillId="0" borderId="5" xfId="0" applyNumberFormat="1" applyFont="1" applyBorder="1" applyAlignment="1">
      <alignment horizontal="right"/>
    </xf>
    <xf numFmtId="4" fontId="40" fillId="0" borderId="0" xfId="0" applyNumberFormat="1" applyFont="1"/>
    <xf numFmtId="0" fontId="40" fillId="0" borderId="0" xfId="0" applyFont="1"/>
    <xf numFmtId="0" fontId="0" fillId="5" borderId="0" xfId="0" applyFill="1"/>
    <xf numFmtId="165" fontId="28" fillId="21" borderId="5" xfId="0" applyNumberFormat="1" applyFont="1" applyFill="1" applyBorder="1" applyAlignment="1">
      <alignment horizontal="right"/>
    </xf>
    <xf numFmtId="165" fontId="0" fillId="21" borderId="0" xfId="0" applyNumberFormat="1" applyFill="1"/>
    <xf numFmtId="0" fontId="51" fillId="0" borderId="0" xfId="851"/>
    <xf numFmtId="0" fontId="51" fillId="0" borderId="0" xfId="851" applyAlignment="1">
      <alignment horizontal="left"/>
    </xf>
    <xf numFmtId="40" fontId="51" fillId="0" borderId="0" xfId="851" applyNumberFormat="1" applyAlignment="1">
      <alignment horizontal="right"/>
    </xf>
    <xf numFmtId="40" fontId="51" fillId="22" borderId="0" xfId="851" applyNumberFormat="1" applyFill="1" applyAlignment="1">
      <alignment horizontal="right"/>
    </xf>
    <xf numFmtId="0" fontId="51" fillId="8" borderId="0" xfId="851" applyFill="1"/>
    <xf numFmtId="40" fontId="51" fillId="8" borderId="0" xfId="851" applyNumberFormat="1" applyFill="1"/>
    <xf numFmtId="0" fontId="34" fillId="0" borderId="0" xfId="851" applyFont="1"/>
    <xf numFmtId="0" fontId="0" fillId="0" borderId="52" xfId="0" applyBorder="1"/>
    <xf numFmtId="0" fontId="0" fillId="0" borderId="72" xfId="0" applyBorder="1"/>
    <xf numFmtId="0" fontId="0" fillId="0" borderId="55" xfId="0" applyBorder="1"/>
    <xf numFmtId="0" fontId="0" fillId="0" borderId="69" xfId="0" applyBorder="1"/>
    <xf numFmtId="0" fontId="0" fillId="0" borderId="50" xfId="0" applyBorder="1"/>
    <xf numFmtId="0" fontId="0" fillId="0" borderId="73" xfId="0" applyBorder="1"/>
    <xf numFmtId="0" fontId="0" fillId="0" borderId="27" xfId="0" applyBorder="1"/>
    <xf numFmtId="0" fontId="0" fillId="0" borderId="29" xfId="0" applyBorder="1"/>
    <xf numFmtId="165" fontId="28" fillId="0" borderId="22" xfId="0" applyNumberFormat="1" applyFont="1" applyBorder="1" applyAlignment="1">
      <alignment horizontal="right"/>
    </xf>
    <xf numFmtId="165" fontId="28" fillId="0" borderId="23" xfId="0" applyNumberFormat="1" applyFont="1" applyBorder="1" applyAlignment="1">
      <alignment horizontal="right"/>
    </xf>
    <xf numFmtId="165" fontId="25" fillId="0" borderId="9" xfId="0" applyNumberFormat="1" applyFont="1" applyBorder="1" applyAlignment="1">
      <alignment horizontal="right"/>
    </xf>
    <xf numFmtId="165" fontId="29" fillId="0" borderId="23" xfId="0" applyNumberFormat="1" applyFont="1" applyBorder="1" applyAlignment="1">
      <alignment horizontal="right"/>
    </xf>
    <xf numFmtId="38" fontId="27" fillId="0" borderId="12" xfId="0" applyNumberFormat="1" applyFont="1" applyBorder="1" applyAlignment="1">
      <alignment horizontal="center"/>
    </xf>
    <xf numFmtId="38" fontId="27" fillId="0" borderId="13" xfId="0" applyNumberFormat="1" applyFont="1" applyBorder="1" applyAlignment="1">
      <alignment horizontal="center"/>
    </xf>
    <xf numFmtId="38" fontId="27" fillId="0" borderId="14" xfId="0" applyNumberFormat="1" applyFont="1" applyBorder="1" applyAlignment="1">
      <alignment horizontal="center"/>
    </xf>
    <xf numFmtId="165" fontId="25" fillId="0" borderId="4" xfId="0" applyNumberFormat="1" applyFont="1" applyBorder="1" applyAlignment="1">
      <alignment horizontal="right"/>
    </xf>
    <xf numFmtId="38" fontId="27" fillId="0" borderId="16" xfId="0" applyNumberFormat="1" applyFont="1" applyBorder="1" applyAlignment="1">
      <alignment horizontal="center"/>
    </xf>
    <xf numFmtId="38" fontId="27" fillId="0" borderId="17" xfId="0" applyNumberFormat="1" applyFont="1" applyBorder="1" applyAlignment="1">
      <alignment horizontal="center"/>
    </xf>
    <xf numFmtId="38" fontId="27" fillId="0" borderId="18" xfId="0" applyNumberFormat="1" applyFont="1" applyBorder="1" applyAlignment="1">
      <alignment horizontal="center"/>
    </xf>
    <xf numFmtId="0" fontId="27" fillId="0" borderId="22" xfId="0" applyFont="1" applyBorder="1"/>
    <xf numFmtId="0" fontId="27" fillId="0" borderId="5" xfId="0" applyFont="1" applyBorder="1"/>
    <xf numFmtId="0" fontId="27" fillId="0" borderId="23" xfId="0" applyFont="1" applyBorder="1"/>
    <xf numFmtId="165" fontId="25" fillId="0" borderId="15" xfId="0" applyNumberFormat="1" applyFont="1" applyBorder="1" applyAlignment="1">
      <alignment horizontal="right"/>
    </xf>
    <xf numFmtId="0" fontId="40" fillId="0" borderId="69" xfId="0" applyFont="1" applyBorder="1"/>
    <xf numFmtId="0" fontId="40" fillId="0" borderId="52" xfId="0" applyFont="1" applyBorder="1"/>
    <xf numFmtId="0" fontId="40" fillId="0" borderId="27" xfId="0" applyFont="1" applyBorder="1"/>
    <xf numFmtId="0" fontId="40" fillId="0" borderId="72" xfId="0" applyFont="1" applyBorder="1"/>
    <xf numFmtId="0" fontId="0" fillId="0" borderId="0" xfId="0" applyAlignment="1">
      <alignment wrapText="1"/>
    </xf>
    <xf numFmtId="0" fontId="0" fillId="0" borderId="1" xfId="0" applyBorder="1"/>
    <xf numFmtId="0" fontId="0" fillId="0" borderId="1" xfId="0" applyBorder="1" applyAlignment="1">
      <alignment wrapText="1"/>
    </xf>
    <xf numFmtId="0" fontId="40" fillId="0" borderId="1" xfId="0" applyFont="1" applyBorder="1"/>
    <xf numFmtId="0" fontId="40" fillId="9" borderId="1" xfId="0" applyFont="1" applyFill="1" applyBorder="1"/>
    <xf numFmtId="0" fontId="40" fillId="9" borderId="1" xfId="0" applyFont="1" applyFill="1" applyBorder="1" applyAlignment="1">
      <alignment wrapText="1"/>
    </xf>
    <xf numFmtId="0" fontId="18" fillId="0" borderId="27" xfId="0" applyFont="1" applyBorder="1"/>
    <xf numFmtId="0" fontId="18" fillId="0" borderId="69" xfId="0" applyFont="1" applyBorder="1"/>
    <xf numFmtId="38" fontId="20" fillId="20" borderId="0" xfId="0" applyNumberFormat="1" applyFont="1" applyFill="1" applyAlignment="1">
      <alignment horizontal="left"/>
    </xf>
    <xf numFmtId="38" fontId="24" fillId="20" borderId="7" xfId="0" applyNumberFormat="1" applyFont="1" applyFill="1" applyBorder="1" applyAlignment="1">
      <alignment horizontal="center"/>
    </xf>
    <xf numFmtId="0" fontId="26" fillId="20" borderId="7" xfId="0" applyFont="1" applyFill="1" applyBorder="1" applyAlignment="1">
      <alignment vertical="top"/>
    </xf>
    <xf numFmtId="0" fontId="28" fillId="20" borderId="7" xfId="0" applyFont="1" applyFill="1" applyBorder="1" applyAlignment="1">
      <alignment horizontal="left" vertical="center"/>
    </xf>
    <xf numFmtId="0" fontId="25" fillId="20" borderId="7" xfId="0" applyFont="1" applyFill="1" applyBorder="1" applyAlignment="1">
      <alignment horizontal="left" vertical="center"/>
    </xf>
    <xf numFmtId="0" fontId="25" fillId="20" borderId="8" xfId="0" applyFont="1" applyFill="1" applyBorder="1" applyAlignment="1">
      <alignment horizontal="left" vertical="center"/>
    </xf>
    <xf numFmtId="38" fontId="27" fillId="20" borderId="16" xfId="0" applyNumberFormat="1" applyFont="1" applyFill="1" applyBorder="1" applyAlignment="1">
      <alignment horizontal="center"/>
    </xf>
    <xf numFmtId="38" fontId="27" fillId="20" borderId="19" xfId="0" applyNumberFormat="1" applyFont="1" applyFill="1" applyBorder="1" applyAlignment="1">
      <alignment horizontal="center"/>
    </xf>
    <xf numFmtId="38" fontId="25" fillId="20" borderId="8" xfId="0" applyNumberFormat="1" applyFont="1" applyFill="1" applyBorder="1" applyAlignment="1">
      <alignment horizontal="left" wrapText="1"/>
    </xf>
    <xf numFmtId="0" fontId="26" fillId="20" borderId="7" xfId="0" applyFont="1" applyFill="1" applyBorder="1" applyAlignment="1">
      <alignment horizontal="left" vertical="center"/>
    </xf>
    <xf numFmtId="0" fontId="27" fillId="20" borderId="7" xfId="0" applyFont="1" applyFill="1" applyBorder="1" applyAlignment="1">
      <alignment horizontal="left" vertical="center"/>
    </xf>
    <xf numFmtId="38" fontId="27" fillId="20" borderId="22" xfId="0" applyNumberFormat="1" applyFont="1" applyFill="1" applyBorder="1" applyAlignment="1">
      <alignment horizontal="center"/>
    </xf>
    <xf numFmtId="165" fontId="28" fillId="23" borderId="5" xfId="0" applyNumberFormat="1" applyFont="1" applyFill="1" applyBorder="1" applyAlignment="1">
      <alignment horizontal="right"/>
    </xf>
    <xf numFmtId="165" fontId="25" fillId="23" borderId="9" xfId="0" applyNumberFormat="1" applyFont="1" applyFill="1" applyBorder="1" applyAlignment="1">
      <alignment horizontal="right"/>
    </xf>
    <xf numFmtId="0" fontId="25" fillId="2" borderId="61" xfId="0" applyFont="1" applyFill="1" applyBorder="1" applyAlignment="1">
      <alignment horizontal="left" vertical="center"/>
    </xf>
    <xf numFmtId="165" fontId="29" fillId="2" borderId="49" xfId="0" applyNumberFormat="1" applyFont="1" applyFill="1" applyBorder="1" applyAlignment="1">
      <alignment horizontal="right"/>
    </xf>
    <xf numFmtId="165" fontId="29" fillId="6" borderId="49" xfId="0" applyNumberFormat="1" applyFont="1" applyFill="1" applyBorder="1" applyAlignment="1">
      <alignment horizontal="right"/>
    </xf>
    <xf numFmtId="166" fontId="28" fillId="2" borderId="49" xfId="0" applyNumberFormat="1" applyFont="1" applyFill="1" applyBorder="1" applyAlignment="1">
      <alignment horizontal="right"/>
    </xf>
    <xf numFmtId="165" fontId="28" fillId="7" borderId="49" xfId="0" applyNumberFormat="1" applyFont="1" applyFill="1" applyBorder="1" applyAlignment="1">
      <alignment horizontal="right"/>
    </xf>
    <xf numFmtId="165" fontId="29" fillId="2" borderId="65" xfId="0" applyNumberFormat="1" applyFont="1" applyFill="1" applyBorder="1" applyAlignment="1">
      <alignment horizontal="right"/>
    </xf>
    <xf numFmtId="0" fontId="0" fillId="0" borderId="61" xfId="0" applyBorder="1"/>
    <xf numFmtId="165" fontId="29" fillId="2" borderId="74" xfId="0" applyNumberFormat="1" applyFont="1" applyFill="1" applyBorder="1" applyAlignment="1">
      <alignment horizontal="right"/>
    </xf>
    <xf numFmtId="0" fontId="25" fillId="20" borderId="61" xfId="0" applyFont="1" applyFill="1" applyBorder="1" applyAlignment="1">
      <alignment horizontal="left" vertical="center"/>
    </xf>
    <xf numFmtId="165" fontId="28" fillId="2" borderId="49" xfId="0" applyNumberFormat="1" applyFont="1" applyFill="1" applyBorder="1" applyAlignment="1">
      <alignment horizontal="right"/>
    </xf>
    <xf numFmtId="0" fontId="25" fillId="2" borderId="75" xfId="0" applyFont="1" applyFill="1" applyBorder="1" applyAlignment="1">
      <alignment horizontal="left" vertical="center"/>
    </xf>
    <xf numFmtId="165" fontId="25" fillId="2" borderId="76" xfId="0" applyNumberFormat="1" applyFont="1" applyFill="1" applyBorder="1" applyAlignment="1">
      <alignment horizontal="right"/>
    </xf>
    <xf numFmtId="165" fontId="25" fillId="6" borderId="76" xfId="0" applyNumberFormat="1" applyFont="1" applyFill="1" applyBorder="1" applyAlignment="1">
      <alignment horizontal="right"/>
    </xf>
    <xf numFmtId="166" fontId="25" fillId="2" borderId="76" xfId="0" applyNumberFormat="1" applyFont="1" applyFill="1" applyBorder="1" applyAlignment="1">
      <alignment horizontal="right"/>
    </xf>
    <xf numFmtId="165" fontId="25" fillId="7" borderId="76" xfId="0" applyNumberFormat="1" applyFont="1" applyFill="1" applyBorder="1" applyAlignment="1">
      <alignment horizontal="right"/>
    </xf>
    <xf numFmtId="165" fontId="25" fillId="2" borderId="77" xfId="0" applyNumberFormat="1" applyFont="1" applyFill="1" applyBorder="1" applyAlignment="1">
      <alignment horizontal="right"/>
    </xf>
    <xf numFmtId="165" fontId="25" fillId="2" borderId="78" xfId="0" applyNumberFormat="1" applyFont="1" applyFill="1" applyBorder="1" applyAlignment="1">
      <alignment horizontal="right"/>
    </xf>
    <xf numFmtId="0" fontId="25" fillId="20" borderId="75" xfId="0" applyFont="1" applyFill="1" applyBorder="1" applyAlignment="1">
      <alignment horizontal="left" vertical="center"/>
    </xf>
    <xf numFmtId="165" fontId="25" fillId="23" borderId="15" xfId="0" applyNumberFormat="1" applyFont="1" applyFill="1" applyBorder="1" applyAlignment="1">
      <alignment horizontal="right"/>
    </xf>
    <xf numFmtId="38" fontId="25" fillId="7" borderId="64" xfId="0" applyNumberFormat="1" applyFont="1" applyFill="1" applyBorder="1" applyAlignment="1">
      <alignment horizontal="left"/>
    </xf>
    <xf numFmtId="165" fontId="25" fillId="7" borderId="64" xfId="0" applyNumberFormat="1" applyFont="1" applyFill="1" applyBorder="1" applyAlignment="1">
      <alignment horizontal="right"/>
    </xf>
    <xf numFmtId="166" fontId="25" fillId="7" borderId="64" xfId="0" applyNumberFormat="1" applyFont="1" applyFill="1" applyBorder="1" applyAlignment="1">
      <alignment horizontal="right"/>
    </xf>
    <xf numFmtId="0" fontId="0" fillId="0" borderId="8" xfId="0" applyBorder="1"/>
    <xf numFmtId="0" fontId="0" fillId="0" borderId="30" xfId="0" applyBorder="1"/>
    <xf numFmtId="38" fontId="25" fillId="20" borderId="64" xfId="0" applyNumberFormat="1" applyFont="1" applyFill="1" applyBorder="1" applyAlignment="1">
      <alignment horizontal="left"/>
    </xf>
    <xf numFmtId="165" fontId="28" fillId="2" borderId="9" xfId="0" applyNumberFormat="1" applyFont="1" applyFill="1" applyBorder="1" applyAlignment="1">
      <alignment horizontal="right"/>
    </xf>
    <xf numFmtId="0" fontId="28" fillId="23" borderId="7" xfId="0" applyFont="1" applyFill="1" applyBorder="1" applyAlignment="1">
      <alignment horizontal="left" vertical="center"/>
    </xf>
    <xf numFmtId="0" fontId="27" fillId="23" borderId="7" xfId="0" applyFont="1" applyFill="1" applyBorder="1" applyAlignment="1">
      <alignment horizontal="left" vertical="center"/>
    </xf>
    <xf numFmtId="49" fontId="1" fillId="0" borderId="0" xfId="2" applyNumberFormat="1" applyFont="1"/>
    <xf numFmtId="49" fontId="1" fillId="5" borderId="0" xfId="2" applyNumberFormat="1" applyFont="1" applyFill="1"/>
    <xf numFmtId="0" fontId="36" fillId="14" borderId="45" xfId="0" applyFont="1" applyFill="1" applyBorder="1" applyAlignment="1">
      <alignment vertical="center" wrapText="1"/>
    </xf>
    <xf numFmtId="0" fontId="36" fillId="8" borderId="0" xfId="851" applyFont="1" applyFill="1" applyAlignment="1">
      <alignment horizontal="left"/>
    </xf>
    <xf numFmtId="40" fontId="36" fillId="8" borderId="0" xfId="851" applyNumberFormat="1" applyFont="1" applyFill="1" applyAlignment="1">
      <alignment horizontal="right"/>
    </xf>
    <xf numFmtId="0" fontId="1" fillId="0" borderId="0" xfId="2" applyFont="1" applyAlignment="1">
      <alignment horizontal="center"/>
    </xf>
    <xf numFmtId="0" fontId="1" fillId="0" borderId="0" xfId="2" quotePrefix="1" applyFont="1"/>
    <xf numFmtId="172" fontId="0" fillId="0" borderId="0" xfId="8" applyNumberFormat="1" applyFont="1" applyAlignment="1">
      <alignment vertical="top" wrapText="1"/>
    </xf>
    <xf numFmtId="165" fontId="0" fillId="18" borderId="37" xfId="8" applyNumberFormat="1" applyFont="1" applyFill="1" applyBorder="1" applyAlignment="1">
      <alignment horizontal="center" vertical="top" wrapText="1"/>
    </xf>
    <xf numFmtId="172" fontId="0" fillId="18" borderId="37" xfId="8" applyNumberFormat="1" applyFont="1" applyFill="1" applyBorder="1" applyAlignment="1">
      <alignment horizontal="center" vertical="top" wrapText="1"/>
    </xf>
    <xf numFmtId="168" fontId="0" fillId="0" borderId="0" xfId="8" applyNumberFormat="1" applyFont="1" applyAlignment="1">
      <alignment vertical="top" wrapText="1"/>
    </xf>
    <xf numFmtId="165" fontId="0" fillId="0" borderId="34" xfId="8" applyNumberFormat="1" applyFont="1" applyBorder="1" applyAlignment="1">
      <alignment horizontal="center" vertical="top" wrapText="1"/>
    </xf>
    <xf numFmtId="172" fontId="0" fillId="0" borderId="34" xfId="8" applyNumberFormat="1" applyFont="1" applyBorder="1" applyAlignment="1">
      <alignment horizontal="center" vertical="top" wrapText="1"/>
    </xf>
    <xf numFmtId="0" fontId="0" fillId="0" borderId="44" xfId="8" applyFont="1" applyBorder="1" applyAlignment="1">
      <alignment horizontal="left" vertical="top" wrapText="1"/>
    </xf>
    <xf numFmtId="38" fontId="0" fillId="0" borderId="0" xfId="8" applyNumberFormat="1" applyFont="1" applyAlignment="1">
      <alignment horizontal="center" wrapText="1"/>
    </xf>
    <xf numFmtId="168" fontId="0" fillId="0" borderId="0" xfId="8" applyNumberFormat="1" applyFont="1" applyAlignment="1">
      <alignment wrapText="1"/>
    </xf>
    <xf numFmtId="165" fontId="0" fillId="0" borderId="7" xfId="8" applyNumberFormat="1" applyFont="1" applyBorder="1" applyAlignment="1">
      <alignment horizontal="center" wrapText="1"/>
    </xf>
    <xf numFmtId="0" fontId="0" fillId="0" borderId="6" xfId="8" applyFont="1" applyBorder="1" applyAlignment="1">
      <alignment wrapText="1"/>
    </xf>
    <xf numFmtId="0" fontId="0" fillId="0" borderId="35" xfId="22" applyFont="1" applyBorder="1" applyAlignment="1">
      <alignment horizontal="left" vertical="top" wrapText="1"/>
    </xf>
    <xf numFmtId="0" fontId="31" fillId="5" borderId="0" xfId="0" applyFont="1" applyFill="1"/>
    <xf numFmtId="164" fontId="0" fillId="0" borderId="0" xfId="0" applyNumberFormat="1"/>
    <xf numFmtId="38" fontId="23" fillId="5" borderId="4" xfId="0" applyNumberFormat="1" applyFont="1" applyFill="1" applyBorder="1" applyAlignment="1">
      <alignment horizontal="center" vertical="center" wrapText="1"/>
    </xf>
    <xf numFmtId="38" fontId="25" fillId="5" borderId="79" xfId="0" applyNumberFormat="1" applyFont="1" applyFill="1" applyBorder="1" applyAlignment="1">
      <alignment horizontal="center" vertical="top" wrapText="1"/>
    </xf>
    <xf numFmtId="0" fontId="0" fillId="5" borderId="5" xfId="0" applyFill="1" applyBorder="1"/>
    <xf numFmtId="172" fontId="0" fillId="5" borderId="5" xfId="0" applyNumberFormat="1" applyFill="1" applyBorder="1"/>
    <xf numFmtId="172" fontId="52" fillId="5" borderId="5" xfId="0" applyNumberFormat="1" applyFont="1" applyFill="1" applyBorder="1"/>
    <xf numFmtId="172" fontId="52" fillId="5" borderId="26" xfId="0" applyNumberFormat="1" applyFont="1" applyFill="1" applyBorder="1"/>
    <xf numFmtId="172" fontId="52" fillId="5" borderId="69" xfId="0" applyNumberFormat="1" applyFont="1" applyFill="1" applyBorder="1"/>
    <xf numFmtId="172" fontId="52" fillId="5" borderId="9" xfId="0" applyNumberFormat="1" applyFont="1" applyFill="1" applyBorder="1"/>
    <xf numFmtId="172" fontId="0" fillId="0" borderId="5" xfId="0" applyNumberFormat="1" applyBorder="1"/>
    <xf numFmtId="172" fontId="52" fillId="0" borderId="5" xfId="0" applyNumberFormat="1" applyFont="1" applyBorder="1"/>
    <xf numFmtId="0" fontId="0" fillId="0" borderId="5" xfId="0" applyBorder="1"/>
    <xf numFmtId="172" fontId="52" fillId="0" borderId="26" xfId="0" applyNumberFormat="1" applyFont="1" applyBorder="1"/>
    <xf numFmtId="172" fontId="52" fillId="0" borderId="69" xfId="0" applyNumberFormat="1" applyFont="1" applyBorder="1"/>
    <xf numFmtId="172" fontId="52" fillId="0" borderId="78" xfId="0" applyNumberFormat="1" applyFont="1" applyBorder="1"/>
    <xf numFmtId="0" fontId="0" fillId="5" borderId="0" xfId="0" applyFill="1" applyAlignment="1">
      <alignment wrapText="1"/>
    </xf>
    <xf numFmtId="172" fontId="39" fillId="0" borderId="34" xfId="8" quotePrefix="1" applyNumberFormat="1" applyBorder="1" applyAlignment="1">
      <alignment horizontal="left" vertical="top" wrapText="1"/>
    </xf>
    <xf numFmtId="0" fontId="0" fillId="0" borderId="59" xfId="0" applyBorder="1" applyAlignment="1">
      <alignment vertical="center" wrapText="1"/>
    </xf>
    <xf numFmtId="171" fontId="39" fillId="0" borderId="0" xfId="8" applyNumberFormat="1" applyAlignment="1">
      <alignment vertical="top" wrapText="1"/>
    </xf>
    <xf numFmtId="0" fontId="0" fillId="0" borderId="34" xfId="8" quotePrefix="1" applyFont="1" applyBorder="1" applyAlignment="1">
      <alignment horizontal="left" vertical="top" wrapText="1"/>
    </xf>
    <xf numFmtId="0" fontId="0" fillId="0" borderId="34" xfId="0" applyBorder="1" applyAlignment="1">
      <alignment wrapText="1"/>
    </xf>
    <xf numFmtId="0" fontId="19" fillId="0" borderId="0" xfId="3" applyFont="1" applyAlignment="1">
      <alignment horizontal="right"/>
    </xf>
    <xf numFmtId="14" fontId="15" fillId="3" borderId="0" xfId="3" applyNumberFormat="1" applyFont="1" applyFill="1" applyAlignment="1" applyProtection="1">
      <alignment horizontal="center"/>
      <protection locked="0"/>
    </xf>
    <xf numFmtId="0" fontId="15" fillId="4" borderId="0" xfId="3" applyFont="1" applyFill="1" applyAlignment="1">
      <alignment horizontal="left"/>
    </xf>
    <xf numFmtId="165" fontId="16" fillId="5" borderId="34" xfId="8" applyNumberFormat="1" applyFont="1" applyFill="1" applyBorder="1" applyAlignment="1">
      <alignment horizontal="center" vertical="top" wrapText="1"/>
    </xf>
    <xf numFmtId="165" fontId="16" fillId="18" borderId="34" xfId="8" applyNumberFormat="1" applyFont="1" applyFill="1" applyBorder="1" applyAlignment="1">
      <alignment horizontal="center" vertical="top" wrapText="1"/>
    </xf>
    <xf numFmtId="172" fontId="16" fillId="18" borderId="34" xfId="8" applyNumberFormat="1" applyFont="1" applyFill="1" applyBorder="1" applyAlignment="1">
      <alignment horizontal="center" vertical="top" wrapText="1"/>
    </xf>
    <xf numFmtId="172" fontId="45" fillId="13" borderId="34" xfId="8" applyNumberFormat="1" applyFont="1" applyFill="1" applyBorder="1" applyAlignment="1">
      <alignment horizontal="right" vertical="top" wrapText="1"/>
    </xf>
    <xf numFmtId="172" fontId="44" fillId="0" borderId="34" xfId="8" applyNumberFormat="1" applyFont="1" applyBorder="1" applyAlignment="1">
      <alignment horizontal="left" vertical="top" wrapText="1"/>
    </xf>
    <xf numFmtId="165" fontId="16" fillId="18" borderId="60" xfId="8" applyNumberFormat="1" applyFont="1" applyFill="1" applyBorder="1" applyAlignment="1">
      <alignment horizontal="center" vertical="top" wrapText="1"/>
    </xf>
    <xf numFmtId="172" fontId="16" fillId="18" borderId="60" xfId="8" applyNumberFormat="1" applyFont="1" applyFill="1" applyBorder="1" applyAlignment="1">
      <alignment horizontal="center" vertical="top" wrapText="1"/>
    </xf>
    <xf numFmtId="172" fontId="45" fillId="13" borderId="59" xfId="8" applyNumberFormat="1" applyFont="1" applyFill="1" applyBorder="1" applyAlignment="1">
      <alignment horizontal="right" vertical="top" wrapText="1"/>
    </xf>
    <xf numFmtId="177" fontId="16" fillId="0" borderId="34" xfId="8" applyNumberFormat="1" applyFont="1" applyBorder="1" applyAlignment="1">
      <alignment horizontal="center" vertical="top" wrapText="1"/>
    </xf>
    <xf numFmtId="165" fontId="29" fillId="2" borderId="9" xfId="0" applyNumberFormat="1" applyFont="1" applyFill="1" applyBorder="1" applyAlignment="1">
      <alignment horizontal="right"/>
    </xf>
    <xf numFmtId="165" fontId="29" fillId="6" borderId="9" xfId="0" applyNumberFormat="1" applyFont="1" applyFill="1" applyBorder="1" applyAlignment="1">
      <alignment horizontal="right"/>
    </xf>
    <xf numFmtId="166" fontId="28" fillId="2" borderId="9" xfId="0" applyNumberFormat="1" applyFont="1" applyFill="1" applyBorder="1" applyAlignment="1">
      <alignment horizontal="right"/>
    </xf>
    <xf numFmtId="165" fontId="28" fillId="7" borderId="9" xfId="0" applyNumberFormat="1" applyFont="1" applyFill="1" applyBorder="1" applyAlignment="1">
      <alignment horizontal="right"/>
    </xf>
    <xf numFmtId="0" fontId="28" fillId="2" borderId="8" xfId="0" applyFont="1" applyFill="1" applyBorder="1" applyAlignment="1">
      <alignment horizontal="left" vertical="center"/>
    </xf>
    <xf numFmtId="165" fontId="28" fillId="6" borderId="9" xfId="0" applyNumberFormat="1" applyFont="1" applyFill="1" applyBorder="1" applyAlignment="1">
      <alignment horizontal="right"/>
    </xf>
    <xf numFmtId="0" fontId="29" fillId="2" borderId="8" xfId="0" applyFont="1" applyFill="1" applyBorder="1" applyAlignment="1">
      <alignment horizontal="left" vertical="center"/>
    </xf>
    <xf numFmtId="0" fontId="40" fillId="0" borderId="7" xfId="0" applyFont="1" applyBorder="1"/>
    <xf numFmtId="165" fontId="29" fillId="5" borderId="22" xfId="0" applyNumberFormat="1" applyFont="1" applyFill="1" applyBorder="1" applyAlignment="1">
      <alignment horizontal="right"/>
    </xf>
    <xf numFmtId="165" fontId="29" fillId="5" borderId="5" xfId="0" applyNumberFormat="1" applyFont="1" applyFill="1" applyBorder="1" applyAlignment="1">
      <alignment horizontal="right"/>
    </xf>
    <xf numFmtId="166" fontId="29" fillId="2" borderId="9" xfId="0" applyNumberFormat="1" applyFont="1" applyFill="1" applyBorder="1" applyAlignment="1">
      <alignment horizontal="right"/>
    </xf>
    <xf numFmtId="165" fontId="29" fillId="7" borderId="9" xfId="0" applyNumberFormat="1" applyFont="1" applyFill="1" applyBorder="1" applyAlignment="1">
      <alignment horizontal="right"/>
    </xf>
    <xf numFmtId="0" fontId="0" fillId="5" borderId="36" xfId="22" applyFont="1" applyFill="1" applyBorder="1" applyAlignment="1" applyProtection="1">
      <alignment horizontal="left" vertical="top" wrapText="1"/>
      <protection locked="0"/>
    </xf>
    <xf numFmtId="0" fontId="0" fillId="5" borderId="34" xfId="0" quotePrefix="1" applyFill="1" applyBorder="1" applyAlignment="1">
      <alignment wrapText="1"/>
    </xf>
    <xf numFmtId="172" fontId="0" fillId="5" borderId="34" xfId="8" quotePrefix="1" applyNumberFormat="1" applyFont="1" applyFill="1" applyBorder="1" applyAlignment="1">
      <alignment horizontal="left" vertical="top" wrapText="1"/>
    </xf>
    <xf numFmtId="0" fontId="0" fillId="5" borderId="34" xfId="8" applyFont="1" applyFill="1" applyBorder="1" applyAlignment="1" applyProtection="1">
      <alignment horizontal="left" vertical="top" wrapText="1"/>
      <protection locked="0"/>
    </xf>
    <xf numFmtId="0" fontId="16" fillId="5" borderId="34" xfId="8" applyFont="1" applyFill="1" applyBorder="1" applyAlignment="1" applyProtection="1">
      <alignment horizontal="left" vertical="top" wrapText="1"/>
      <protection locked="0"/>
    </xf>
    <xf numFmtId="0" fontId="0" fillId="5" borderId="35" xfId="8" quotePrefix="1" applyFont="1" applyFill="1" applyBorder="1" applyAlignment="1">
      <alignment horizontal="left" vertical="top" wrapText="1"/>
    </xf>
    <xf numFmtId="0" fontId="0" fillId="5" borderId="36" xfId="22" applyFont="1" applyFill="1" applyBorder="1" applyAlignment="1">
      <alignment horizontal="left" vertical="top" wrapText="1"/>
    </xf>
    <xf numFmtId="0" fontId="0" fillId="5" borderId="34" xfId="22" applyFont="1" applyFill="1" applyBorder="1" applyAlignment="1" applyProtection="1">
      <alignment horizontal="left" vertical="top" wrapText="1"/>
      <protection locked="0"/>
    </xf>
    <xf numFmtId="0" fontId="16" fillId="5" borderId="34" xfId="8" quotePrefix="1" applyFont="1" applyFill="1" applyBorder="1" applyAlignment="1" applyProtection="1">
      <alignment horizontal="left" vertical="top" wrapText="1"/>
      <protection locked="0"/>
    </xf>
    <xf numFmtId="0" fontId="16" fillId="5" borderId="34" xfId="22" quotePrefix="1" applyFill="1" applyBorder="1" applyAlignment="1" applyProtection="1">
      <alignment horizontal="left" vertical="top" wrapText="1"/>
      <protection locked="0"/>
    </xf>
    <xf numFmtId="0" fontId="0" fillId="5" borderId="34" xfId="22" quotePrefix="1" applyFont="1" applyFill="1" applyBorder="1" applyAlignment="1" applyProtection="1">
      <alignment horizontal="left" vertical="top" wrapText="1"/>
      <protection locked="0"/>
    </xf>
    <xf numFmtId="165" fontId="0" fillId="0" borderId="34" xfId="8" quotePrefix="1" applyNumberFormat="1" applyFont="1" applyBorder="1" applyAlignment="1">
      <alignment horizontal="center" vertical="top" wrapText="1"/>
    </xf>
    <xf numFmtId="165" fontId="0" fillId="0" borderId="32" xfId="8" applyNumberFormat="1" applyFont="1" applyBorder="1" applyAlignment="1">
      <alignment horizontal="center" vertical="top" wrapText="1"/>
    </xf>
    <xf numFmtId="0" fontId="57" fillId="21" borderId="0" xfId="0" applyFont="1" applyFill="1"/>
    <xf numFmtId="0" fontId="55" fillId="21" borderId="0" xfId="0" applyFont="1" applyFill="1"/>
    <xf numFmtId="0" fontId="61" fillId="21" borderId="0" xfId="0" applyFont="1" applyFill="1"/>
    <xf numFmtId="0" fontId="63" fillId="0" borderId="0" xfId="0" applyFont="1"/>
    <xf numFmtId="0" fontId="65" fillId="21" borderId="0" xfId="0" applyFont="1" applyFill="1"/>
    <xf numFmtId="0" fontId="0" fillId="0" borderId="36" xfId="0" applyBorder="1" applyAlignment="1">
      <alignment wrapText="1"/>
    </xf>
    <xf numFmtId="0" fontId="66" fillId="0" borderId="36" xfId="0" applyFont="1" applyBorder="1" applyAlignment="1">
      <alignment wrapText="1"/>
    </xf>
    <xf numFmtId="0" fontId="59" fillId="21" borderId="0" xfId="0" applyFont="1" applyFill="1"/>
    <xf numFmtId="172" fontId="69" fillId="5" borderId="34" xfId="8" applyNumberFormat="1" applyFont="1" applyFill="1" applyBorder="1" applyAlignment="1">
      <alignment horizontal="left" vertical="top" wrapText="1"/>
    </xf>
    <xf numFmtId="0" fontId="70" fillId="0" borderId="0" xfId="0" applyFont="1"/>
    <xf numFmtId="166" fontId="28" fillId="0" borderId="5" xfId="0" applyNumberFormat="1" applyFont="1" applyBorder="1" applyAlignment="1">
      <alignment horizontal="right"/>
    </xf>
    <xf numFmtId="165" fontId="28" fillId="18" borderId="5" xfId="0" applyNumberFormat="1" applyFont="1" applyFill="1" applyBorder="1" applyAlignment="1">
      <alignment horizontal="right"/>
    </xf>
    <xf numFmtId="38" fontId="25" fillId="5" borderId="11" xfId="0" applyNumberFormat="1" applyFont="1" applyFill="1" applyBorder="1" applyAlignment="1">
      <alignment horizontal="center" vertical="top"/>
    </xf>
    <xf numFmtId="0" fontId="27" fillId="5" borderId="5" xfId="0" applyFont="1" applyFill="1" applyBorder="1"/>
    <xf numFmtId="165" fontId="25" fillId="5" borderId="9" xfId="0" applyNumberFormat="1" applyFont="1" applyFill="1" applyBorder="1" applyAlignment="1">
      <alignment horizontal="right"/>
    </xf>
    <xf numFmtId="38" fontId="27" fillId="5" borderId="13" xfId="0" applyNumberFormat="1" applyFont="1" applyFill="1" applyBorder="1" applyAlignment="1">
      <alignment horizontal="center"/>
    </xf>
    <xf numFmtId="165" fontId="25" fillId="5" borderId="4" xfId="0" applyNumberFormat="1" applyFont="1" applyFill="1" applyBorder="1" applyAlignment="1">
      <alignment horizontal="right"/>
    </xf>
    <xf numFmtId="38" fontId="27" fillId="5" borderId="17" xfId="0" applyNumberFormat="1" applyFont="1" applyFill="1" applyBorder="1" applyAlignment="1">
      <alignment horizontal="center"/>
    </xf>
    <xf numFmtId="38" fontId="27" fillId="5" borderId="20" xfId="0" applyNumberFormat="1" applyFont="1" applyFill="1" applyBorder="1" applyAlignment="1">
      <alignment horizontal="center"/>
    </xf>
    <xf numFmtId="165" fontId="25" fillId="5" borderId="15" xfId="0" applyNumberFormat="1" applyFont="1" applyFill="1" applyBorder="1" applyAlignment="1">
      <alignment horizontal="right"/>
    </xf>
    <xf numFmtId="38" fontId="27" fillId="5" borderId="5" xfId="0" applyNumberFormat="1" applyFont="1" applyFill="1" applyBorder="1" applyAlignment="1">
      <alignment horizontal="center"/>
    </xf>
    <xf numFmtId="0" fontId="44" fillId="0" borderId="34" xfId="8" applyFont="1" applyBorder="1" applyAlignment="1" applyProtection="1">
      <alignment horizontal="left" vertical="top" wrapText="1"/>
      <protection locked="0"/>
    </xf>
    <xf numFmtId="0" fontId="71" fillId="2" borderId="0" xfId="0" applyFont="1" applyFill="1"/>
    <xf numFmtId="38" fontId="43" fillId="0" borderId="7" xfId="8" applyNumberFormat="1" applyFont="1" applyBorder="1" applyAlignment="1">
      <alignment horizontal="left" vertical="center" wrapText="1"/>
    </xf>
    <xf numFmtId="38" fontId="43" fillId="0" borderId="0" xfId="8" applyNumberFormat="1" applyFont="1" applyAlignment="1">
      <alignment horizontal="left" vertical="center" wrapText="1"/>
    </xf>
    <xf numFmtId="38" fontId="43" fillId="0" borderId="6" xfId="8" applyNumberFormat="1" applyFont="1" applyBorder="1" applyAlignment="1">
      <alignment horizontal="left" vertical="center" wrapText="1"/>
    </xf>
    <xf numFmtId="0" fontId="42" fillId="0" borderId="0" xfId="8" quotePrefix="1" applyFont="1" applyAlignment="1">
      <alignment horizontal="center" wrapText="1"/>
    </xf>
    <xf numFmtId="0" fontId="39" fillId="0" borderId="0" xfId="8" applyAlignment="1">
      <alignment horizontal="center" wrapText="1"/>
    </xf>
    <xf numFmtId="165" fontId="16" fillId="5" borderId="32" xfId="8" applyNumberFormat="1" applyFont="1" applyFill="1" applyBorder="1" applyAlignment="1">
      <alignment horizontal="center" vertical="top" wrapText="1"/>
    </xf>
    <xf numFmtId="165" fontId="16" fillId="5" borderId="34" xfId="8" applyNumberFormat="1" applyFont="1" applyFill="1" applyBorder="1" applyAlignment="1">
      <alignment horizontal="center" vertical="top" wrapText="1"/>
    </xf>
    <xf numFmtId="0" fontId="36" fillId="14" borderId="42" xfId="0" applyFont="1" applyFill="1" applyBorder="1" applyAlignment="1">
      <alignment horizontal="center" vertical="center" wrapText="1"/>
    </xf>
    <xf numFmtId="0" fontId="36" fillId="14" borderId="45" xfId="0" applyFont="1" applyFill="1" applyBorder="1" applyAlignment="1">
      <alignment horizontal="center" vertical="center" wrapText="1"/>
    </xf>
    <xf numFmtId="168" fontId="41" fillId="10" borderId="0" xfId="78" applyNumberFormat="1" applyFont="1" applyFill="1" applyAlignment="1">
      <alignment horizontal="center"/>
    </xf>
    <xf numFmtId="0" fontId="15" fillId="4" borderId="2" xfId="3" applyFont="1" applyFill="1" applyBorder="1" applyAlignment="1">
      <alignment horizontal="left"/>
    </xf>
    <xf numFmtId="0" fontId="15" fillId="4" borderId="3" xfId="3" applyFont="1" applyFill="1" applyBorder="1" applyAlignment="1">
      <alignment horizontal="left"/>
    </xf>
    <xf numFmtId="168" fontId="41" fillId="10" borderId="0" xfId="7" applyNumberFormat="1" applyFont="1" applyFill="1" applyAlignment="1">
      <alignment horizontal="center"/>
    </xf>
    <xf numFmtId="168" fontId="41" fillId="10" borderId="0" xfId="11" applyNumberFormat="1" applyFont="1" applyFill="1" applyAlignment="1">
      <alignment horizontal="center"/>
    </xf>
    <xf numFmtId="168" fontId="41" fillId="10" borderId="0" xfId="42" applyNumberFormat="1" applyFont="1" applyFill="1" applyAlignment="1">
      <alignment horizontal="center"/>
    </xf>
    <xf numFmtId="168" fontId="41" fillId="10" borderId="0" xfId="24" applyNumberFormat="1" applyFont="1" applyFill="1" applyAlignment="1">
      <alignment horizontal="center"/>
    </xf>
    <xf numFmtId="38" fontId="0" fillId="18" borderId="6" xfId="0" applyNumberFormat="1" applyFill="1" applyBorder="1" applyAlignment="1">
      <alignment horizontal="center" vertical="center"/>
    </xf>
    <xf numFmtId="38" fontId="0" fillId="0" borderId="6" xfId="0" applyNumberFormat="1" applyBorder="1" applyAlignment="1">
      <alignment horizontal="center" vertical="center"/>
    </xf>
  </cellXfs>
  <cellStyles count="852">
    <cellStyle name="Comma" xfId="1" builtinId="3"/>
    <cellStyle name="Comma 2" xfId="13" xr:uid="{00000000-0005-0000-0000-000001000000}"/>
    <cellStyle name="Comma 2 2" xfId="32" xr:uid="{00000000-0005-0000-0000-000002000000}"/>
    <cellStyle name="Comma 2 2 2" xfId="66" xr:uid="{00000000-0005-0000-0000-000003000000}"/>
    <cellStyle name="Comma 2 2 2 2" xfId="137" xr:uid="{00000000-0005-0000-0000-000004000000}"/>
    <cellStyle name="Comma 2 2 2 2 2" xfId="347" xr:uid="{00000000-0005-0000-0000-000005000000}"/>
    <cellStyle name="Comma 2 2 2 2 2 2" xfId="767" xr:uid="{00000000-0005-0000-0000-000006000000}"/>
    <cellStyle name="Comma 2 2 2 2 3" xfId="557" xr:uid="{00000000-0005-0000-0000-000007000000}"/>
    <cellStyle name="Comma 2 2 2 3" xfId="207" xr:uid="{00000000-0005-0000-0000-000008000000}"/>
    <cellStyle name="Comma 2 2 2 3 2" xfId="417" xr:uid="{00000000-0005-0000-0000-000009000000}"/>
    <cellStyle name="Comma 2 2 2 3 2 2" xfId="837" xr:uid="{00000000-0005-0000-0000-00000A000000}"/>
    <cellStyle name="Comma 2 2 2 3 3" xfId="627" xr:uid="{00000000-0005-0000-0000-00000B000000}"/>
    <cellStyle name="Comma 2 2 2 4" xfId="277" xr:uid="{00000000-0005-0000-0000-00000C000000}"/>
    <cellStyle name="Comma 2 2 2 4 2" xfId="697" xr:uid="{00000000-0005-0000-0000-00000D000000}"/>
    <cellStyle name="Comma 2 2 2 5" xfId="487" xr:uid="{00000000-0005-0000-0000-00000E000000}"/>
    <cellStyle name="Comma 2 2 3" xfId="103" xr:uid="{00000000-0005-0000-0000-00000F000000}"/>
    <cellStyle name="Comma 2 2 3 2" xfId="313" xr:uid="{00000000-0005-0000-0000-000010000000}"/>
    <cellStyle name="Comma 2 2 3 2 2" xfId="733" xr:uid="{00000000-0005-0000-0000-000011000000}"/>
    <cellStyle name="Comma 2 2 3 3" xfId="523" xr:uid="{00000000-0005-0000-0000-000012000000}"/>
    <cellStyle name="Comma 2 2 4" xfId="173" xr:uid="{00000000-0005-0000-0000-000013000000}"/>
    <cellStyle name="Comma 2 2 4 2" xfId="383" xr:uid="{00000000-0005-0000-0000-000014000000}"/>
    <cellStyle name="Comma 2 2 4 2 2" xfId="803" xr:uid="{00000000-0005-0000-0000-000015000000}"/>
    <cellStyle name="Comma 2 2 4 3" xfId="593" xr:uid="{00000000-0005-0000-0000-000016000000}"/>
    <cellStyle name="Comma 2 2 5" xfId="243" xr:uid="{00000000-0005-0000-0000-000017000000}"/>
    <cellStyle name="Comma 2 2 5 2" xfId="663" xr:uid="{00000000-0005-0000-0000-000018000000}"/>
    <cellStyle name="Comma 2 2 6" xfId="453" xr:uid="{00000000-0005-0000-0000-000019000000}"/>
    <cellStyle name="Comma 2 3" xfId="50" xr:uid="{00000000-0005-0000-0000-00001A000000}"/>
    <cellStyle name="Comma 2 3 2" xfId="121" xr:uid="{00000000-0005-0000-0000-00001B000000}"/>
    <cellStyle name="Comma 2 3 2 2" xfId="331" xr:uid="{00000000-0005-0000-0000-00001C000000}"/>
    <cellStyle name="Comma 2 3 2 2 2" xfId="751" xr:uid="{00000000-0005-0000-0000-00001D000000}"/>
    <cellStyle name="Comma 2 3 2 3" xfId="541" xr:uid="{00000000-0005-0000-0000-00001E000000}"/>
    <cellStyle name="Comma 2 3 3" xfId="191" xr:uid="{00000000-0005-0000-0000-00001F000000}"/>
    <cellStyle name="Comma 2 3 3 2" xfId="401" xr:uid="{00000000-0005-0000-0000-000020000000}"/>
    <cellStyle name="Comma 2 3 3 2 2" xfId="821" xr:uid="{00000000-0005-0000-0000-000021000000}"/>
    <cellStyle name="Comma 2 3 3 3" xfId="611" xr:uid="{00000000-0005-0000-0000-000022000000}"/>
    <cellStyle name="Comma 2 3 4" xfId="261" xr:uid="{00000000-0005-0000-0000-000023000000}"/>
    <cellStyle name="Comma 2 3 4 2" xfId="681" xr:uid="{00000000-0005-0000-0000-000024000000}"/>
    <cellStyle name="Comma 2 3 5" xfId="471" xr:uid="{00000000-0005-0000-0000-000025000000}"/>
    <cellStyle name="Comma 2 4" xfId="87" xr:uid="{00000000-0005-0000-0000-000026000000}"/>
    <cellStyle name="Comma 2 4 2" xfId="297" xr:uid="{00000000-0005-0000-0000-000027000000}"/>
    <cellStyle name="Comma 2 4 2 2" xfId="717" xr:uid="{00000000-0005-0000-0000-000028000000}"/>
    <cellStyle name="Comma 2 4 3" xfId="507" xr:uid="{00000000-0005-0000-0000-000029000000}"/>
    <cellStyle name="Comma 2 5" xfId="157" xr:uid="{00000000-0005-0000-0000-00002A000000}"/>
    <cellStyle name="Comma 2 5 2" xfId="367" xr:uid="{00000000-0005-0000-0000-00002B000000}"/>
    <cellStyle name="Comma 2 5 2 2" xfId="787" xr:uid="{00000000-0005-0000-0000-00002C000000}"/>
    <cellStyle name="Comma 2 5 3" xfId="577" xr:uid="{00000000-0005-0000-0000-00002D000000}"/>
    <cellStyle name="Comma 2 6" xfId="227" xr:uid="{00000000-0005-0000-0000-00002E000000}"/>
    <cellStyle name="Comma 2 6 2" xfId="647" xr:uid="{00000000-0005-0000-0000-00002F000000}"/>
    <cellStyle name="Comma 2 7" xfId="437" xr:uid="{00000000-0005-0000-0000-000030000000}"/>
    <cellStyle name="Comma 26 2" xfId="7" xr:uid="{00000000-0005-0000-0000-000031000000}"/>
    <cellStyle name="Comma 26 2 2" xfId="11" xr:uid="{00000000-0005-0000-0000-000032000000}"/>
    <cellStyle name="Comma 26 2 2 2" xfId="21" xr:uid="{00000000-0005-0000-0000-000033000000}"/>
    <cellStyle name="Comma 26 2 2 2 2" xfId="38" xr:uid="{00000000-0005-0000-0000-000034000000}"/>
    <cellStyle name="Comma 26 2 2 2 2 2" xfId="72" xr:uid="{00000000-0005-0000-0000-000035000000}"/>
    <cellStyle name="Comma 26 2 2 2 2 2 2" xfId="143" xr:uid="{00000000-0005-0000-0000-000036000000}"/>
    <cellStyle name="Comma 26 2 2 2 2 2 2 2" xfId="353" xr:uid="{00000000-0005-0000-0000-000037000000}"/>
    <cellStyle name="Comma 26 2 2 2 2 2 2 2 2" xfId="773" xr:uid="{00000000-0005-0000-0000-000038000000}"/>
    <cellStyle name="Comma 26 2 2 2 2 2 2 3" xfId="563" xr:uid="{00000000-0005-0000-0000-000039000000}"/>
    <cellStyle name="Comma 26 2 2 2 2 2 3" xfId="213" xr:uid="{00000000-0005-0000-0000-00003A000000}"/>
    <cellStyle name="Comma 26 2 2 2 2 2 3 2" xfId="423" xr:uid="{00000000-0005-0000-0000-00003B000000}"/>
    <cellStyle name="Comma 26 2 2 2 2 2 3 2 2" xfId="843" xr:uid="{00000000-0005-0000-0000-00003C000000}"/>
    <cellStyle name="Comma 26 2 2 2 2 2 3 3" xfId="633" xr:uid="{00000000-0005-0000-0000-00003D000000}"/>
    <cellStyle name="Comma 26 2 2 2 2 2 4" xfId="283" xr:uid="{00000000-0005-0000-0000-00003E000000}"/>
    <cellStyle name="Comma 26 2 2 2 2 2 4 2" xfId="703" xr:uid="{00000000-0005-0000-0000-00003F000000}"/>
    <cellStyle name="Comma 26 2 2 2 2 2 5" xfId="493" xr:uid="{00000000-0005-0000-0000-000040000000}"/>
    <cellStyle name="Comma 26 2 2 2 2 3" xfId="109" xr:uid="{00000000-0005-0000-0000-000041000000}"/>
    <cellStyle name="Comma 26 2 2 2 2 3 2" xfId="319" xr:uid="{00000000-0005-0000-0000-000042000000}"/>
    <cellStyle name="Comma 26 2 2 2 2 3 2 2" xfId="739" xr:uid="{00000000-0005-0000-0000-000043000000}"/>
    <cellStyle name="Comma 26 2 2 2 2 3 3" xfId="529" xr:uid="{00000000-0005-0000-0000-000044000000}"/>
    <cellStyle name="Comma 26 2 2 2 2 4" xfId="179" xr:uid="{00000000-0005-0000-0000-000045000000}"/>
    <cellStyle name="Comma 26 2 2 2 2 4 2" xfId="389" xr:uid="{00000000-0005-0000-0000-000046000000}"/>
    <cellStyle name="Comma 26 2 2 2 2 4 2 2" xfId="809" xr:uid="{00000000-0005-0000-0000-000047000000}"/>
    <cellStyle name="Comma 26 2 2 2 2 4 3" xfId="599" xr:uid="{00000000-0005-0000-0000-000048000000}"/>
    <cellStyle name="Comma 26 2 2 2 2 5" xfId="249" xr:uid="{00000000-0005-0000-0000-000049000000}"/>
    <cellStyle name="Comma 26 2 2 2 2 5 2" xfId="669" xr:uid="{00000000-0005-0000-0000-00004A000000}"/>
    <cellStyle name="Comma 26 2 2 2 2 6" xfId="459" xr:uid="{00000000-0005-0000-0000-00004B000000}"/>
    <cellStyle name="Comma 26 2 2 2 3" xfId="56" xr:uid="{00000000-0005-0000-0000-00004C000000}"/>
    <cellStyle name="Comma 26 2 2 2 3 2" xfId="127" xr:uid="{00000000-0005-0000-0000-00004D000000}"/>
    <cellStyle name="Comma 26 2 2 2 3 2 2" xfId="337" xr:uid="{00000000-0005-0000-0000-00004E000000}"/>
    <cellStyle name="Comma 26 2 2 2 3 2 2 2" xfId="757" xr:uid="{00000000-0005-0000-0000-00004F000000}"/>
    <cellStyle name="Comma 26 2 2 2 3 2 3" xfId="547" xr:uid="{00000000-0005-0000-0000-000050000000}"/>
    <cellStyle name="Comma 26 2 2 2 3 3" xfId="197" xr:uid="{00000000-0005-0000-0000-000051000000}"/>
    <cellStyle name="Comma 26 2 2 2 3 3 2" xfId="407" xr:uid="{00000000-0005-0000-0000-000052000000}"/>
    <cellStyle name="Comma 26 2 2 2 3 3 2 2" xfId="827" xr:uid="{00000000-0005-0000-0000-000053000000}"/>
    <cellStyle name="Comma 26 2 2 2 3 3 3" xfId="617" xr:uid="{00000000-0005-0000-0000-000054000000}"/>
    <cellStyle name="Comma 26 2 2 2 3 4" xfId="267" xr:uid="{00000000-0005-0000-0000-000055000000}"/>
    <cellStyle name="Comma 26 2 2 2 3 4 2" xfId="687" xr:uid="{00000000-0005-0000-0000-000056000000}"/>
    <cellStyle name="Comma 26 2 2 2 3 5" xfId="477" xr:uid="{00000000-0005-0000-0000-000057000000}"/>
    <cellStyle name="Comma 26 2 2 2 4" xfId="93" xr:uid="{00000000-0005-0000-0000-000058000000}"/>
    <cellStyle name="Comma 26 2 2 2 4 2" xfId="303" xr:uid="{00000000-0005-0000-0000-000059000000}"/>
    <cellStyle name="Comma 26 2 2 2 4 2 2" xfId="723" xr:uid="{00000000-0005-0000-0000-00005A000000}"/>
    <cellStyle name="Comma 26 2 2 2 4 3" xfId="513" xr:uid="{00000000-0005-0000-0000-00005B000000}"/>
    <cellStyle name="Comma 26 2 2 2 5" xfId="163" xr:uid="{00000000-0005-0000-0000-00005C000000}"/>
    <cellStyle name="Comma 26 2 2 2 5 2" xfId="373" xr:uid="{00000000-0005-0000-0000-00005D000000}"/>
    <cellStyle name="Comma 26 2 2 2 5 2 2" xfId="793" xr:uid="{00000000-0005-0000-0000-00005E000000}"/>
    <cellStyle name="Comma 26 2 2 2 5 3" xfId="583" xr:uid="{00000000-0005-0000-0000-00005F000000}"/>
    <cellStyle name="Comma 26 2 2 2 6" xfId="233" xr:uid="{00000000-0005-0000-0000-000060000000}"/>
    <cellStyle name="Comma 26 2 2 2 6 2" xfId="653" xr:uid="{00000000-0005-0000-0000-000061000000}"/>
    <cellStyle name="Comma 26 2 2 2 7" xfId="443" xr:uid="{00000000-0005-0000-0000-000062000000}"/>
    <cellStyle name="Comma 26 2 2 3" xfId="24" xr:uid="{00000000-0005-0000-0000-000063000000}"/>
    <cellStyle name="Comma 26 2 2 3 2" xfId="40" xr:uid="{00000000-0005-0000-0000-000064000000}"/>
    <cellStyle name="Comma 26 2 2 3 2 2" xfId="74" xr:uid="{00000000-0005-0000-0000-000065000000}"/>
    <cellStyle name="Comma 26 2 2 3 2 2 2" xfId="145" xr:uid="{00000000-0005-0000-0000-000066000000}"/>
    <cellStyle name="Comma 26 2 2 3 2 2 2 2" xfId="355" xr:uid="{00000000-0005-0000-0000-000067000000}"/>
    <cellStyle name="Comma 26 2 2 3 2 2 2 2 2" xfId="775" xr:uid="{00000000-0005-0000-0000-000068000000}"/>
    <cellStyle name="Comma 26 2 2 3 2 2 2 3" xfId="565" xr:uid="{00000000-0005-0000-0000-000069000000}"/>
    <cellStyle name="Comma 26 2 2 3 2 2 3" xfId="215" xr:uid="{00000000-0005-0000-0000-00006A000000}"/>
    <cellStyle name="Comma 26 2 2 3 2 2 3 2" xfId="425" xr:uid="{00000000-0005-0000-0000-00006B000000}"/>
    <cellStyle name="Comma 26 2 2 3 2 2 3 2 2" xfId="845" xr:uid="{00000000-0005-0000-0000-00006C000000}"/>
    <cellStyle name="Comma 26 2 2 3 2 2 3 3" xfId="635" xr:uid="{00000000-0005-0000-0000-00006D000000}"/>
    <cellStyle name="Comma 26 2 2 3 2 2 4" xfId="285" xr:uid="{00000000-0005-0000-0000-00006E000000}"/>
    <cellStyle name="Comma 26 2 2 3 2 2 4 2" xfId="705" xr:uid="{00000000-0005-0000-0000-00006F000000}"/>
    <cellStyle name="Comma 26 2 2 3 2 2 5" xfId="495" xr:uid="{00000000-0005-0000-0000-000070000000}"/>
    <cellStyle name="Comma 26 2 2 3 2 3" xfId="111" xr:uid="{00000000-0005-0000-0000-000071000000}"/>
    <cellStyle name="Comma 26 2 2 3 2 3 2" xfId="321" xr:uid="{00000000-0005-0000-0000-000072000000}"/>
    <cellStyle name="Comma 26 2 2 3 2 3 2 2" xfId="741" xr:uid="{00000000-0005-0000-0000-000073000000}"/>
    <cellStyle name="Comma 26 2 2 3 2 3 3" xfId="531" xr:uid="{00000000-0005-0000-0000-000074000000}"/>
    <cellStyle name="Comma 26 2 2 3 2 4" xfId="181" xr:uid="{00000000-0005-0000-0000-000075000000}"/>
    <cellStyle name="Comma 26 2 2 3 2 4 2" xfId="391" xr:uid="{00000000-0005-0000-0000-000076000000}"/>
    <cellStyle name="Comma 26 2 2 3 2 4 2 2" xfId="811" xr:uid="{00000000-0005-0000-0000-000077000000}"/>
    <cellStyle name="Comma 26 2 2 3 2 4 3" xfId="601" xr:uid="{00000000-0005-0000-0000-000078000000}"/>
    <cellStyle name="Comma 26 2 2 3 2 5" xfId="251" xr:uid="{00000000-0005-0000-0000-000079000000}"/>
    <cellStyle name="Comma 26 2 2 3 2 5 2" xfId="671" xr:uid="{00000000-0005-0000-0000-00007A000000}"/>
    <cellStyle name="Comma 26 2 2 3 2 6" xfId="461" xr:uid="{00000000-0005-0000-0000-00007B000000}"/>
    <cellStyle name="Comma 26 2 2 3 3" xfId="42" xr:uid="{00000000-0005-0000-0000-00007C000000}"/>
    <cellStyle name="Comma 26 2 2 3 3 2" xfId="76" xr:uid="{00000000-0005-0000-0000-00007D000000}"/>
    <cellStyle name="Comma 26 2 2 3 3 2 2" xfId="147" xr:uid="{00000000-0005-0000-0000-00007E000000}"/>
    <cellStyle name="Comma 26 2 2 3 3 2 2 2" xfId="357" xr:uid="{00000000-0005-0000-0000-00007F000000}"/>
    <cellStyle name="Comma 26 2 2 3 3 2 2 2 2" xfId="777" xr:uid="{00000000-0005-0000-0000-000080000000}"/>
    <cellStyle name="Comma 26 2 2 3 3 2 2 3" xfId="567" xr:uid="{00000000-0005-0000-0000-000081000000}"/>
    <cellStyle name="Comma 26 2 2 3 3 2 3" xfId="217" xr:uid="{00000000-0005-0000-0000-000082000000}"/>
    <cellStyle name="Comma 26 2 2 3 3 2 3 2" xfId="427" xr:uid="{00000000-0005-0000-0000-000083000000}"/>
    <cellStyle name="Comma 26 2 2 3 3 2 3 2 2" xfId="847" xr:uid="{00000000-0005-0000-0000-000084000000}"/>
    <cellStyle name="Comma 26 2 2 3 3 2 3 3" xfId="637" xr:uid="{00000000-0005-0000-0000-000085000000}"/>
    <cellStyle name="Comma 26 2 2 3 3 2 4" xfId="287" xr:uid="{00000000-0005-0000-0000-000086000000}"/>
    <cellStyle name="Comma 26 2 2 3 3 2 4 2" xfId="707" xr:uid="{00000000-0005-0000-0000-000087000000}"/>
    <cellStyle name="Comma 26 2 2 3 3 2 5" xfId="497" xr:uid="{00000000-0005-0000-0000-000088000000}"/>
    <cellStyle name="Comma 26 2 2 3 3 3" xfId="78" xr:uid="{00000000-0005-0000-0000-000089000000}"/>
    <cellStyle name="Comma 26 2 2 3 3 3 2" xfId="149" xr:uid="{00000000-0005-0000-0000-00008A000000}"/>
    <cellStyle name="Comma 26 2 2 3 3 3 2 2" xfId="359" xr:uid="{00000000-0005-0000-0000-00008B000000}"/>
    <cellStyle name="Comma 26 2 2 3 3 3 2 2 2" xfId="779" xr:uid="{00000000-0005-0000-0000-00008C000000}"/>
    <cellStyle name="Comma 26 2 2 3 3 3 2 3" xfId="569" xr:uid="{00000000-0005-0000-0000-00008D000000}"/>
    <cellStyle name="Comma 26 2 2 3 3 3 3" xfId="219" xr:uid="{00000000-0005-0000-0000-00008E000000}"/>
    <cellStyle name="Comma 26 2 2 3 3 3 3 2" xfId="429" xr:uid="{00000000-0005-0000-0000-00008F000000}"/>
    <cellStyle name="Comma 26 2 2 3 3 3 3 2 2" xfId="849" xr:uid="{00000000-0005-0000-0000-000090000000}"/>
    <cellStyle name="Comma 26 2 2 3 3 3 3 3" xfId="639" xr:uid="{00000000-0005-0000-0000-000091000000}"/>
    <cellStyle name="Comma 26 2 2 3 3 3 4" xfId="289" xr:uid="{00000000-0005-0000-0000-000092000000}"/>
    <cellStyle name="Comma 26 2 2 3 3 3 4 2" xfId="709" xr:uid="{00000000-0005-0000-0000-000093000000}"/>
    <cellStyle name="Comma 26 2 2 3 3 3 5" xfId="499" xr:uid="{00000000-0005-0000-0000-000094000000}"/>
    <cellStyle name="Comma 26 2 2 3 3 4" xfId="113" xr:uid="{00000000-0005-0000-0000-000095000000}"/>
    <cellStyle name="Comma 26 2 2 3 3 4 2" xfId="323" xr:uid="{00000000-0005-0000-0000-000096000000}"/>
    <cellStyle name="Comma 26 2 2 3 3 4 2 2" xfId="743" xr:uid="{00000000-0005-0000-0000-000097000000}"/>
    <cellStyle name="Comma 26 2 2 3 3 4 3" xfId="533" xr:uid="{00000000-0005-0000-0000-000098000000}"/>
    <cellStyle name="Comma 26 2 2 3 3 5" xfId="183" xr:uid="{00000000-0005-0000-0000-000099000000}"/>
    <cellStyle name="Comma 26 2 2 3 3 5 2" xfId="393" xr:uid="{00000000-0005-0000-0000-00009A000000}"/>
    <cellStyle name="Comma 26 2 2 3 3 5 2 2" xfId="813" xr:uid="{00000000-0005-0000-0000-00009B000000}"/>
    <cellStyle name="Comma 26 2 2 3 3 5 3" xfId="603" xr:uid="{00000000-0005-0000-0000-00009C000000}"/>
    <cellStyle name="Comma 26 2 2 3 3 6" xfId="253" xr:uid="{00000000-0005-0000-0000-00009D000000}"/>
    <cellStyle name="Comma 26 2 2 3 3 6 2" xfId="673" xr:uid="{00000000-0005-0000-0000-00009E000000}"/>
    <cellStyle name="Comma 26 2 2 3 3 7" xfId="463" xr:uid="{00000000-0005-0000-0000-00009F000000}"/>
    <cellStyle name="Comma 26 2 2 3 4" xfId="58" xr:uid="{00000000-0005-0000-0000-0000A0000000}"/>
    <cellStyle name="Comma 26 2 2 3 4 2" xfId="129" xr:uid="{00000000-0005-0000-0000-0000A1000000}"/>
    <cellStyle name="Comma 26 2 2 3 4 2 2" xfId="339" xr:uid="{00000000-0005-0000-0000-0000A2000000}"/>
    <cellStyle name="Comma 26 2 2 3 4 2 2 2" xfId="759" xr:uid="{00000000-0005-0000-0000-0000A3000000}"/>
    <cellStyle name="Comma 26 2 2 3 4 2 3" xfId="549" xr:uid="{00000000-0005-0000-0000-0000A4000000}"/>
    <cellStyle name="Comma 26 2 2 3 4 3" xfId="199" xr:uid="{00000000-0005-0000-0000-0000A5000000}"/>
    <cellStyle name="Comma 26 2 2 3 4 3 2" xfId="409" xr:uid="{00000000-0005-0000-0000-0000A6000000}"/>
    <cellStyle name="Comma 26 2 2 3 4 3 2 2" xfId="829" xr:uid="{00000000-0005-0000-0000-0000A7000000}"/>
    <cellStyle name="Comma 26 2 2 3 4 3 3" xfId="619" xr:uid="{00000000-0005-0000-0000-0000A8000000}"/>
    <cellStyle name="Comma 26 2 2 3 4 4" xfId="269" xr:uid="{00000000-0005-0000-0000-0000A9000000}"/>
    <cellStyle name="Comma 26 2 2 3 4 4 2" xfId="689" xr:uid="{00000000-0005-0000-0000-0000AA000000}"/>
    <cellStyle name="Comma 26 2 2 3 4 5" xfId="479" xr:uid="{00000000-0005-0000-0000-0000AB000000}"/>
    <cellStyle name="Comma 26 2 2 3 5" xfId="95" xr:uid="{00000000-0005-0000-0000-0000AC000000}"/>
    <cellStyle name="Comma 26 2 2 3 5 2" xfId="305" xr:uid="{00000000-0005-0000-0000-0000AD000000}"/>
    <cellStyle name="Comma 26 2 2 3 5 2 2" xfId="725" xr:uid="{00000000-0005-0000-0000-0000AE000000}"/>
    <cellStyle name="Comma 26 2 2 3 5 3" xfId="515" xr:uid="{00000000-0005-0000-0000-0000AF000000}"/>
    <cellStyle name="Comma 26 2 2 3 6" xfId="165" xr:uid="{00000000-0005-0000-0000-0000B0000000}"/>
    <cellStyle name="Comma 26 2 2 3 6 2" xfId="375" xr:uid="{00000000-0005-0000-0000-0000B1000000}"/>
    <cellStyle name="Comma 26 2 2 3 6 2 2" xfId="795" xr:uid="{00000000-0005-0000-0000-0000B2000000}"/>
    <cellStyle name="Comma 26 2 2 3 6 3" xfId="585" xr:uid="{00000000-0005-0000-0000-0000B3000000}"/>
    <cellStyle name="Comma 26 2 2 3 7" xfId="235" xr:uid="{00000000-0005-0000-0000-0000B4000000}"/>
    <cellStyle name="Comma 26 2 2 3 7 2" xfId="655" xr:uid="{00000000-0005-0000-0000-0000B5000000}"/>
    <cellStyle name="Comma 26 2 2 3 8" xfId="445" xr:uid="{00000000-0005-0000-0000-0000B6000000}"/>
    <cellStyle name="Comma 26 2 2 4" xfId="31" xr:uid="{00000000-0005-0000-0000-0000B7000000}"/>
    <cellStyle name="Comma 26 2 2 4 2" xfId="65" xr:uid="{00000000-0005-0000-0000-0000B8000000}"/>
    <cellStyle name="Comma 26 2 2 4 2 2" xfId="136" xr:uid="{00000000-0005-0000-0000-0000B9000000}"/>
    <cellStyle name="Comma 26 2 2 4 2 2 2" xfId="346" xr:uid="{00000000-0005-0000-0000-0000BA000000}"/>
    <cellStyle name="Comma 26 2 2 4 2 2 2 2" xfId="766" xr:uid="{00000000-0005-0000-0000-0000BB000000}"/>
    <cellStyle name="Comma 26 2 2 4 2 2 3" xfId="556" xr:uid="{00000000-0005-0000-0000-0000BC000000}"/>
    <cellStyle name="Comma 26 2 2 4 2 3" xfId="206" xr:uid="{00000000-0005-0000-0000-0000BD000000}"/>
    <cellStyle name="Comma 26 2 2 4 2 3 2" xfId="416" xr:uid="{00000000-0005-0000-0000-0000BE000000}"/>
    <cellStyle name="Comma 26 2 2 4 2 3 2 2" xfId="836" xr:uid="{00000000-0005-0000-0000-0000BF000000}"/>
    <cellStyle name="Comma 26 2 2 4 2 3 3" xfId="626" xr:uid="{00000000-0005-0000-0000-0000C0000000}"/>
    <cellStyle name="Comma 26 2 2 4 2 4" xfId="276" xr:uid="{00000000-0005-0000-0000-0000C1000000}"/>
    <cellStyle name="Comma 26 2 2 4 2 4 2" xfId="696" xr:uid="{00000000-0005-0000-0000-0000C2000000}"/>
    <cellStyle name="Comma 26 2 2 4 2 5" xfId="486" xr:uid="{00000000-0005-0000-0000-0000C3000000}"/>
    <cellStyle name="Comma 26 2 2 4 3" xfId="102" xr:uid="{00000000-0005-0000-0000-0000C4000000}"/>
    <cellStyle name="Comma 26 2 2 4 3 2" xfId="312" xr:uid="{00000000-0005-0000-0000-0000C5000000}"/>
    <cellStyle name="Comma 26 2 2 4 3 2 2" xfId="732" xr:uid="{00000000-0005-0000-0000-0000C6000000}"/>
    <cellStyle name="Comma 26 2 2 4 3 3" xfId="522" xr:uid="{00000000-0005-0000-0000-0000C7000000}"/>
    <cellStyle name="Comma 26 2 2 4 4" xfId="172" xr:uid="{00000000-0005-0000-0000-0000C8000000}"/>
    <cellStyle name="Comma 26 2 2 4 4 2" xfId="382" xr:uid="{00000000-0005-0000-0000-0000C9000000}"/>
    <cellStyle name="Comma 26 2 2 4 4 2 2" xfId="802" xr:uid="{00000000-0005-0000-0000-0000CA000000}"/>
    <cellStyle name="Comma 26 2 2 4 4 3" xfId="592" xr:uid="{00000000-0005-0000-0000-0000CB000000}"/>
    <cellStyle name="Comma 26 2 2 4 5" xfId="242" xr:uid="{00000000-0005-0000-0000-0000CC000000}"/>
    <cellStyle name="Comma 26 2 2 4 5 2" xfId="662" xr:uid="{00000000-0005-0000-0000-0000CD000000}"/>
    <cellStyle name="Comma 26 2 2 4 6" xfId="452" xr:uid="{00000000-0005-0000-0000-0000CE000000}"/>
    <cellStyle name="Comma 26 2 2 5" xfId="49" xr:uid="{00000000-0005-0000-0000-0000CF000000}"/>
    <cellStyle name="Comma 26 2 2 5 2" xfId="120" xr:uid="{00000000-0005-0000-0000-0000D0000000}"/>
    <cellStyle name="Comma 26 2 2 5 2 2" xfId="330" xr:uid="{00000000-0005-0000-0000-0000D1000000}"/>
    <cellStyle name="Comma 26 2 2 5 2 2 2" xfId="750" xr:uid="{00000000-0005-0000-0000-0000D2000000}"/>
    <cellStyle name="Comma 26 2 2 5 2 3" xfId="540" xr:uid="{00000000-0005-0000-0000-0000D3000000}"/>
    <cellStyle name="Comma 26 2 2 5 3" xfId="190" xr:uid="{00000000-0005-0000-0000-0000D4000000}"/>
    <cellStyle name="Comma 26 2 2 5 3 2" xfId="400" xr:uid="{00000000-0005-0000-0000-0000D5000000}"/>
    <cellStyle name="Comma 26 2 2 5 3 2 2" xfId="820" xr:uid="{00000000-0005-0000-0000-0000D6000000}"/>
    <cellStyle name="Comma 26 2 2 5 3 3" xfId="610" xr:uid="{00000000-0005-0000-0000-0000D7000000}"/>
    <cellStyle name="Comma 26 2 2 5 4" xfId="260" xr:uid="{00000000-0005-0000-0000-0000D8000000}"/>
    <cellStyle name="Comma 26 2 2 5 4 2" xfId="680" xr:uid="{00000000-0005-0000-0000-0000D9000000}"/>
    <cellStyle name="Comma 26 2 2 5 5" xfId="470" xr:uid="{00000000-0005-0000-0000-0000DA000000}"/>
    <cellStyle name="Comma 26 2 2 6" xfId="86" xr:uid="{00000000-0005-0000-0000-0000DB000000}"/>
    <cellStyle name="Comma 26 2 2 6 2" xfId="296" xr:uid="{00000000-0005-0000-0000-0000DC000000}"/>
    <cellStyle name="Comma 26 2 2 6 2 2" xfId="716" xr:uid="{00000000-0005-0000-0000-0000DD000000}"/>
    <cellStyle name="Comma 26 2 2 6 3" xfId="506" xr:uid="{00000000-0005-0000-0000-0000DE000000}"/>
    <cellStyle name="Comma 26 2 2 7" xfId="156" xr:uid="{00000000-0005-0000-0000-0000DF000000}"/>
    <cellStyle name="Comma 26 2 2 7 2" xfId="366" xr:uid="{00000000-0005-0000-0000-0000E0000000}"/>
    <cellStyle name="Comma 26 2 2 7 2 2" xfId="786" xr:uid="{00000000-0005-0000-0000-0000E1000000}"/>
    <cellStyle name="Comma 26 2 2 7 3" xfId="576" xr:uid="{00000000-0005-0000-0000-0000E2000000}"/>
    <cellStyle name="Comma 26 2 2 8" xfId="226" xr:uid="{00000000-0005-0000-0000-0000E3000000}"/>
    <cellStyle name="Comma 26 2 2 8 2" xfId="646" xr:uid="{00000000-0005-0000-0000-0000E4000000}"/>
    <cellStyle name="Comma 26 2 2 9" xfId="436" xr:uid="{00000000-0005-0000-0000-0000E5000000}"/>
    <cellStyle name="Comma 26 2 3" xfId="18" xr:uid="{00000000-0005-0000-0000-0000E6000000}"/>
    <cellStyle name="Comma 26 2 3 2" xfId="36" xr:uid="{00000000-0005-0000-0000-0000E7000000}"/>
    <cellStyle name="Comma 26 2 3 2 2" xfId="70" xr:uid="{00000000-0005-0000-0000-0000E8000000}"/>
    <cellStyle name="Comma 26 2 3 2 2 2" xfId="141" xr:uid="{00000000-0005-0000-0000-0000E9000000}"/>
    <cellStyle name="Comma 26 2 3 2 2 2 2" xfId="351" xr:uid="{00000000-0005-0000-0000-0000EA000000}"/>
    <cellStyle name="Comma 26 2 3 2 2 2 2 2" xfId="771" xr:uid="{00000000-0005-0000-0000-0000EB000000}"/>
    <cellStyle name="Comma 26 2 3 2 2 2 3" xfId="561" xr:uid="{00000000-0005-0000-0000-0000EC000000}"/>
    <cellStyle name="Comma 26 2 3 2 2 3" xfId="211" xr:uid="{00000000-0005-0000-0000-0000ED000000}"/>
    <cellStyle name="Comma 26 2 3 2 2 3 2" xfId="421" xr:uid="{00000000-0005-0000-0000-0000EE000000}"/>
    <cellStyle name="Comma 26 2 3 2 2 3 2 2" xfId="841" xr:uid="{00000000-0005-0000-0000-0000EF000000}"/>
    <cellStyle name="Comma 26 2 3 2 2 3 3" xfId="631" xr:uid="{00000000-0005-0000-0000-0000F0000000}"/>
    <cellStyle name="Comma 26 2 3 2 2 4" xfId="281" xr:uid="{00000000-0005-0000-0000-0000F1000000}"/>
    <cellStyle name="Comma 26 2 3 2 2 4 2" xfId="701" xr:uid="{00000000-0005-0000-0000-0000F2000000}"/>
    <cellStyle name="Comma 26 2 3 2 2 5" xfId="491" xr:uid="{00000000-0005-0000-0000-0000F3000000}"/>
    <cellStyle name="Comma 26 2 3 2 3" xfId="107" xr:uid="{00000000-0005-0000-0000-0000F4000000}"/>
    <cellStyle name="Comma 26 2 3 2 3 2" xfId="317" xr:uid="{00000000-0005-0000-0000-0000F5000000}"/>
    <cellStyle name="Comma 26 2 3 2 3 2 2" xfId="737" xr:uid="{00000000-0005-0000-0000-0000F6000000}"/>
    <cellStyle name="Comma 26 2 3 2 3 3" xfId="527" xr:uid="{00000000-0005-0000-0000-0000F7000000}"/>
    <cellStyle name="Comma 26 2 3 2 4" xfId="177" xr:uid="{00000000-0005-0000-0000-0000F8000000}"/>
    <cellStyle name="Comma 26 2 3 2 4 2" xfId="387" xr:uid="{00000000-0005-0000-0000-0000F9000000}"/>
    <cellStyle name="Comma 26 2 3 2 4 2 2" xfId="807" xr:uid="{00000000-0005-0000-0000-0000FA000000}"/>
    <cellStyle name="Comma 26 2 3 2 4 3" xfId="597" xr:uid="{00000000-0005-0000-0000-0000FB000000}"/>
    <cellStyle name="Comma 26 2 3 2 5" xfId="247" xr:uid="{00000000-0005-0000-0000-0000FC000000}"/>
    <cellStyle name="Comma 26 2 3 2 5 2" xfId="667" xr:uid="{00000000-0005-0000-0000-0000FD000000}"/>
    <cellStyle name="Comma 26 2 3 2 6" xfId="457" xr:uid="{00000000-0005-0000-0000-0000FE000000}"/>
    <cellStyle name="Comma 26 2 3 3" xfId="54" xr:uid="{00000000-0005-0000-0000-0000FF000000}"/>
    <cellStyle name="Comma 26 2 3 3 2" xfId="125" xr:uid="{00000000-0005-0000-0000-000000010000}"/>
    <cellStyle name="Comma 26 2 3 3 2 2" xfId="335" xr:uid="{00000000-0005-0000-0000-000001010000}"/>
    <cellStyle name="Comma 26 2 3 3 2 2 2" xfId="755" xr:uid="{00000000-0005-0000-0000-000002010000}"/>
    <cellStyle name="Comma 26 2 3 3 2 3" xfId="545" xr:uid="{00000000-0005-0000-0000-000003010000}"/>
    <cellStyle name="Comma 26 2 3 3 3" xfId="195" xr:uid="{00000000-0005-0000-0000-000004010000}"/>
    <cellStyle name="Comma 26 2 3 3 3 2" xfId="405" xr:uid="{00000000-0005-0000-0000-000005010000}"/>
    <cellStyle name="Comma 26 2 3 3 3 2 2" xfId="825" xr:uid="{00000000-0005-0000-0000-000006010000}"/>
    <cellStyle name="Comma 26 2 3 3 3 3" xfId="615" xr:uid="{00000000-0005-0000-0000-000007010000}"/>
    <cellStyle name="Comma 26 2 3 3 4" xfId="265" xr:uid="{00000000-0005-0000-0000-000008010000}"/>
    <cellStyle name="Comma 26 2 3 3 4 2" xfId="685" xr:uid="{00000000-0005-0000-0000-000009010000}"/>
    <cellStyle name="Comma 26 2 3 3 5" xfId="475" xr:uid="{00000000-0005-0000-0000-00000A010000}"/>
    <cellStyle name="Comma 26 2 3 4" xfId="91" xr:uid="{00000000-0005-0000-0000-00000B010000}"/>
    <cellStyle name="Comma 26 2 3 4 2" xfId="301" xr:uid="{00000000-0005-0000-0000-00000C010000}"/>
    <cellStyle name="Comma 26 2 3 4 2 2" xfId="721" xr:uid="{00000000-0005-0000-0000-00000D010000}"/>
    <cellStyle name="Comma 26 2 3 4 3" xfId="511" xr:uid="{00000000-0005-0000-0000-00000E010000}"/>
    <cellStyle name="Comma 26 2 3 5" xfId="161" xr:uid="{00000000-0005-0000-0000-00000F010000}"/>
    <cellStyle name="Comma 26 2 3 5 2" xfId="371" xr:uid="{00000000-0005-0000-0000-000010010000}"/>
    <cellStyle name="Comma 26 2 3 5 2 2" xfId="791" xr:uid="{00000000-0005-0000-0000-000011010000}"/>
    <cellStyle name="Comma 26 2 3 5 3" xfId="581" xr:uid="{00000000-0005-0000-0000-000012010000}"/>
    <cellStyle name="Comma 26 2 3 6" xfId="231" xr:uid="{00000000-0005-0000-0000-000013010000}"/>
    <cellStyle name="Comma 26 2 3 6 2" xfId="651" xr:uid="{00000000-0005-0000-0000-000014010000}"/>
    <cellStyle name="Comma 26 2 3 7" xfId="441" xr:uid="{00000000-0005-0000-0000-000015010000}"/>
    <cellStyle name="Comma 26 2 4" xfId="29" xr:uid="{00000000-0005-0000-0000-000016010000}"/>
    <cellStyle name="Comma 26 2 4 2" xfId="63" xr:uid="{00000000-0005-0000-0000-000017010000}"/>
    <cellStyle name="Comma 26 2 4 2 2" xfId="134" xr:uid="{00000000-0005-0000-0000-000018010000}"/>
    <cellStyle name="Comma 26 2 4 2 2 2" xfId="344" xr:uid="{00000000-0005-0000-0000-000019010000}"/>
    <cellStyle name="Comma 26 2 4 2 2 2 2" xfId="764" xr:uid="{00000000-0005-0000-0000-00001A010000}"/>
    <cellStyle name="Comma 26 2 4 2 2 3" xfId="554" xr:uid="{00000000-0005-0000-0000-00001B010000}"/>
    <cellStyle name="Comma 26 2 4 2 3" xfId="204" xr:uid="{00000000-0005-0000-0000-00001C010000}"/>
    <cellStyle name="Comma 26 2 4 2 3 2" xfId="414" xr:uid="{00000000-0005-0000-0000-00001D010000}"/>
    <cellStyle name="Comma 26 2 4 2 3 2 2" xfId="834" xr:uid="{00000000-0005-0000-0000-00001E010000}"/>
    <cellStyle name="Comma 26 2 4 2 3 3" xfId="624" xr:uid="{00000000-0005-0000-0000-00001F010000}"/>
    <cellStyle name="Comma 26 2 4 2 4" xfId="274" xr:uid="{00000000-0005-0000-0000-000020010000}"/>
    <cellStyle name="Comma 26 2 4 2 4 2" xfId="694" xr:uid="{00000000-0005-0000-0000-000021010000}"/>
    <cellStyle name="Comma 26 2 4 2 5" xfId="484" xr:uid="{00000000-0005-0000-0000-000022010000}"/>
    <cellStyle name="Comma 26 2 4 3" xfId="100" xr:uid="{00000000-0005-0000-0000-000023010000}"/>
    <cellStyle name="Comma 26 2 4 3 2" xfId="310" xr:uid="{00000000-0005-0000-0000-000024010000}"/>
    <cellStyle name="Comma 26 2 4 3 2 2" xfId="730" xr:uid="{00000000-0005-0000-0000-000025010000}"/>
    <cellStyle name="Comma 26 2 4 3 3" xfId="520" xr:uid="{00000000-0005-0000-0000-000026010000}"/>
    <cellStyle name="Comma 26 2 4 4" xfId="170" xr:uid="{00000000-0005-0000-0000-000027010000}"/>
    <cellStyle name="Comma 26 2 4 4 2" xfId="380" xr:uid="{00000000-0005-0000-0000-000028010000}"/>
    <cellStyle name="Comma 26 2 4 4 2 2" xfId="800" xr:uid="{00000000-0005-0000-0000-000029010000}"/>
    <cellStyle name="Comma 26 2 4 4 3" xfId="590" xr:uid="{00000000-0005-0000-0000-00002A010000}"/>
    <cellStyle name="Comma 26 2 4 5" xfId="240" xr:uid="{00000000-0005-0000-0000-00002B010000}"/>
    <cellStyle name="Comma 26 2 4 5 2" xfId="660" xr:uid="{00000000-0005-0000-0000-00002C010000}"/>
    <cellStyle name="Comma 26 2 4 6" xfId="450" xr:uid="{00000000-0005-0000-0000-00002D010000}"/>
    <cellStyle name="Comma 26 2 5" xfId="47" xr:uid="{00000000-0005-0000-0000-00002E010000}"/>
    <cellStyle name="Comma 26 2 5 2" xfId="118" xr:uid="{00000000-0005-0000-0000-00002F010000}"/>
    <cellStyle name="Comma 26 2 5 2 2" xfId="328" xr:uid="{00000000-0005-0000-0000-000030010000}"/>
    <cellStyle name="Comma 26 2 5 2 2 2" xfId="748" xr:uid="{00000000-0005-0000-0000-000031010000}"/>
    <cellStyle name="Comma 26 2 5 2 3" xfId="538" xr:uid="{00000000-0005-0000-0000-000032010000}"/>
    <cellStyle name="Comma 26 2 5 3" xfId="188" xr:uid="{00000000-0005-0000-0000-000033010000}"/>
    <cellStyle name="Comma 26 2 5 3 2" xfId="398" xr:uid="{00000000-0005-0000-0000-000034010000}"/>
    <cellStyle name="Comma 26 2 5 3 2 2" xfId="818" xr:uid="{00000000-0005-0000-0000-000035010000}"/>
    <cellStyle name="Comma 26 2 5 3 3" xfId="608" xr:uid="{00000000-0005-0000-0000-000036010000}"/>
    <cellStyle name="Comma 26 2 5 4" xfId="258" xr:uid="{00000000-0005-0000-0000-000037010000}"/>
    <cellStyle name="Comma 26 2 5 4 2" xfId="678" xr:uid="{00000000-0005-0000-0000-000038010000}"/>
    <cellStyle name="Comma 26 2 5 5" xfId="468" xr:uid="{00000000-0005-0000-0000-000039010000}"/>
    <cellStyle name="Comma 26 2 6" xfId="84" xr:uid="{00000000-0005-0000-0000-00003A010000}"/>
    <cellStyle name="Comma 26 2 6 2" xfId="294" xr:uid="{00000000-0005-0000-0000-00003B010000}"/>
    <cellStyle name="Comma 26 2 6 2 2" xfId="714" xr:uid="{00000000-0005-0000-0000-00003C010000}"/>
    <cellStyle name="Comma 26 2 6 3" xfId="504" xr:uid="{00000000-0005-0000-0000-00003D010000}"/>
    <cellStyle name="Comma 26 2 7" xfId="154" xr:uid="{00000000-0005-0000-0000-00003E010000}"/>
    <cellStyle name="Comma 26 2 7 2" xfId="364" xr:uid="{00000000-0005-0000-0000-00003F010000}"/>
    <cellStyle name="Comma 26 2 7 2 2" xfId="784" xr:uid="{00000000-0005-0000-0000-000040010000}"/>
    <cellStyle name="Comma 26 2 7 3" xfId="574" xr:uid="{00000000-0005-0000-0000-000041010000}"/>
    <cellStyle name="Comma 26 2 8" xfId="224" xr:uid="{00000000-0005-0000-0000-000042010000}"/>
    <cellStyle name="Comma 26 2 8 2" xfId="644" xr:uid="{00000000-0005-0000-0000-000043010000}"/>
    <cellStyle name="Comma 26 2 9" xfId="434" xr:uid="{00000000-0005-0000-0000-000044010000}"/>
    <cellStyle name="Comma 3" xfId="25" xr:uid="{00000000-0005-0000-0000-000045010000}"/>
    <cellStyle name="Comma 3 2" xfId="59" xr:uid="{00000000-0005-0000-0000-000046010000}"/>
    <cellStyle name="Comma 3 2 2" xfId="130" xr:uid="{00000000-0005-0000-0000-000047010000}"/>
    <cellStyle name="Comma 3 2 2 2" xfId="340" xr:uid="{00000000-0005-0000-0000-000048010000}"/>
    <cellStyle name="Comma 3 2 2 2 2" xfId="760" xr:uid="{00000000-0005-0000-0000-000049010000}"/>
    <cellStyle name="Comma 3 2 2 3" xfId="550" xr:uid="{00000000-0005-0000-0000-00004A010000}"/>
    <cellStyle name="Comma 3 2 3" xfId="200" xr:uid="{00000000-0005-0000-0000-00004B010000}"/>
    <cellStyle name="Comma 3 2 3 2" xfId="410" xr:uid="{00000000-0005-0000-0000-00004C010000}"/>
    <cellStyle name="Comma 3 2 3 2 2" xfId="830" xr:uid="{00000000-0005-0000-0000-00004D010000}"/>
    <cellStyle name="Comma 3 2 3 3" xfId="620" xr:uid="{00000000-0005-0000-0000-00004E010000}"/>
    <cellStyle name="Comma 3 2 4" xfId="270" xr:uid="{00000000-0005-0000-0000-00004F010000}"/>
    <cellStyle name="Comma 3 2 4 2" xfId="690" xr:uid="{00000000-0005-0000-0000-000050010000}"/>
    <cellStyle name="Comma 3 2 5" xfId="480" xr:uid="{00000000-0005-0000-0000-000051010000}"/>
    <cellStyle name="Comma 3 3" xfId="96" xr:uid="{00000000-0005-0000-0000-000052010000}"/>
    <cellStyle name="Comma 3 3 2" xfId="306" xr:uid="{00000000-0005-0000-0000-000053010000}"/>
    <cellStyle name="Comma 3 3 2 2" xfId="726" xr:uid="{00000000-0005-0000-0000-000054010000}"/>
    <cellStyle name="Comma 3 3 3" xfId="516" xr:uid="{00000000-0005-0000-0000-000055010000}"/>
    <cellStyle name="Comma 3 4" xfId="166" xr:uid="{00000000-0005-0000-0000-000056010000}"/>
    <cellStyle name="Comma 3 4 2" xfId="376" xr:uid="{00000000-0005-0000-0000-000057010000}"/>
    <cellStyle name="Comma 3 4 2 2" xfId="796" xr:uid="{00000000-0005-0000-0000-000058010000}"/>
    <cellStyle name="Comma 3 4 3" xfId="586" xr:uid="{00000000-0005-0000-0000-000059010000}"/>
    <cellStyle name="Comma 3 5" xfId="236" xr:uid="{00000000-0005-0000-0000-00005A010000}"/>
    <cellStyle name="Comma 3 5 2" xfId="656" xr:uid="{00000000-0005-0000-0000-00005B010000}"/>
    <cellStyle name="Comma 3 6" xfId="446" xr:uid="{00000000-0005-0000-0000-00005C010000}"/>
    <cellStyle name="Comma 4" xfId="43" xr:uid="{00000000-0005-0000-0000-00005D010000}"/>
    <cellStyle name="Comma 4 2" xfId="114" xr:uid="{00000000-0005-0000-0000-00005E010000}"/>
    <cellStyle name="Comma 4 2 2" xfId="324" xr:uid="{00000000-0005-0000-0000-00005F010000}"/>
    <cellStyle name="Comma 4 2 2 2" xfId="744" xr:uid="{00000000-0005-0000-0000-000060010000}"/>
    <cellStyle name="Comma 4 2 3" xfId="534" xr:uid="{00000000-0005-0000-0000-000061010000}"/>
    <cellStyle name="Comma 4 3" xfId="184" xr:uid="{00000000-0005-0000-0000-000062010000}"/>
    <cellStyle name="Comma 4 3 2" xfId="394" xr:uid="{00000000-0005-0000-0000-000063010000}"/>
    <cellStyle name="Comma 4 3 2 2" xfId="814" xr:uid="{00000000-0005-0000-0000-000064010000}"/>
    <cellStyle name="Comma 4 3 3" xfId="604" xr:uid="{00000000-0005-0000-0000-000065010000}"/>
    <cellStyle name="Comma 4 4" xfId="254" xr:uid="{00000000-0005-0000-0000-000066010000}"/>
    <cellStyle name="Comma 4 4 2" xfId="674" xr:uid="{00000000-0005-0000-0000-000067010000}"/>
    <cellStyle name="Comma 4 5" xfId="464" xr:uid="{00000000-0005-0000-0000-000068010000}"/>
    <cellStyle name="Comma 5" xfId="80" xr:uid="{00000000-0005-0000-0000-000069010000}"/>
    <cellStyle name="Comma 5 2" xfId="290" xr:uid="{00000000-0005-0000-0000-00006A010000}"/>
    <cellStyle name="Comma 5 2 2" xfId="710" xr:uid="{00000000-0005-0000-0000-00006B010000}"/>
    <cellStyle name="Comma 5 3" xfId="500" xr:uid="{00000000-0005-0000-0000-00006C010000}"/>
    <cellStyle name="Comma 6" xfId="150" xr:uid="{00000000-0005-0000-0000-00006D010000}"/>
    <cellStyle name="Comma 6 2" xfId="360" xr:uid="{00000000-0005-0000-0000-00006E010000}"/>
    <cellStyle name="Comma 6 2 2" xfId="780" xr:uid="{00000000-0005-0000-0000-00006F010000}"/>
    <cellStyle name="Comma 6 3" xfId="570" xr:uid="{00000000-0005-0000-0000-000070010000}"/>
    <cellStyle name="Comma 7" xfId="220" xr:uid="{00000000-0005-0000-0000-000071010000}"/>
    <cellStyle name="Comma 7 2" xfId="640" xr:uid="{00000000-0005-0000-0000-000072010000}"/>
    <cellStyle name="Comma 8" xfId="430" xr:uid="{00000000-0005-0000-0000-000073010000}"/>
    <cellStyle name="Normal" xfId="0" builtinId="0"/>
    <cellStyle name="Normal 15" xfId="2" xr:uid="{00000000-0005-0000-0000-000075010000}"/>
    <cellStyle name="Normal 15 2" xfId="14" xr:uid="{00000000-0005-0000-0000-000076010000}"/>
    <cellStyle name="Normal 15 2 2" xfId="33" xr:uid="{00000000-0005-0000-0000-000077010000}"/>
    <cellStyle name="Normal 15 2 2 2" xfId="67" xr:uid="{00000000-0005-0000-0000-000078010000}"/>
    <cellStyle name="Normal 15 2 2 2 2" xfId="138" xr:uid="{00000000-0005-0000-0000-000079010000}"/>
    <cellStyle name="Normal 15 2 2 2 2 2" xfId="348" xr:uid="{00000000-0005-0000-0000-00007A010000}"/>
    <cellStyle name="Normal 15 2 2 2 2 2 2" xfId="768" xr:uid="{00000000-0005-0000-0000-00007B010000}"/>
    <cellStyle name="Normal 15 2 2 2 2 3" xfId="558" xr:uid="{00000000-0005-0000-0000-00007C010000}"/>
    <cellStyle name="Normal 15 2 2 2 3" xfId="208" xr:uid="{00000000-0005-0000-0000-00007D010000}"/>
    <cellStyle name="Normal 15 2 2 2 3 2" xfId="418" xr:uid="{00000000-0005-0000-0000-00007E010000}"/>
    <cellStyle name="Normal 15 2 2 2 3 2 2" xfId="838" xr:uid="{00000000-0005-0000-0000-00007F010000}"/>
    <cellStyle name="Normal 15 2 2 2 3 3" xfId="628" xr:uid="{00000000-0005-0000-0000-000080010000}"/>
    <cellStyle name="Normal 15 2 2 2 4" xfId="278" xr:uid="{00000000-0005-0000-0000-000081010000}"/>
    <cellStyle name="Normal 15 2 2 2 4 2" xfId="698" xr:uid="{00000000-0005-0000-0000-000082010000}"/>
    <cellStyle name="Normal 15 2 2 2 5" xfId="488" xr:uid="{00000000-0005-0000-0000-000083010000}"/>
    <cellStyle name="Normal 15 2 2 3" xfId="104" xr:uid="{00000000-0005-0000-0000-000084010000}"/>
    <cellStyle name="Normal 15 2 2 3 2" xfId="314" xr:uid="{00000000-0005-0000-0000-000085010000}"/>
    <cellStyle name="Normal 15 2 2 3 2 2" xfId="734" xr:uid="{00000000-0005-0000-0000-000086010000}"/>
    <cellStyle name="Normal 15 2 2 3 3" xfId="524" xr:uid="{00000000-0005-0000-0000-000087010000}"/>
    <cellStyle name="Normal 15 2 2 4" xfId="174" xr:uid="{00000000-0005-0000-0000-000088010000}"/>
    <cellStyle name="Normal 15 2 2 4 2" xfId="384" xr:uid="{00000000-0005-0000-0000-000089010000}"/>
    <cellStyle name="Normal 15 2 2 4 2 2" xfId="804" xr:uid="{00000000-0005-0000-0000-00008A010000}"/>
    <cellStyle name="Normal 15 2 2 4 3" xfId="594" xr:uid="{00000000-0005-0000-0000-00008B010000}"/>
    <cellStyle name="Normal 15 2 2 5" xfId="244" xr:uid="{00000000-0005-0000-0000-00008C010000}"/>
    <cellStyle name="Normal 15 2 2 5 2" xfId="664" xr:uid="{00000000-0005-0000-0000-00008D010000}"/>
    <cellStyle name="Normal 15 2 2 6" xfId="454" xr:uid="{00000000-0005-0000-0000-00008E010000}"/>
    <cellStyle name="Normal 15 2 3" xfId="51" xr:uid="{00000000-0005-0000-0000-00008F010000}"/>
    <cellStyle name="Normal 15 2 3 2" xfId="122" xr:uid="{00000000-0005-0000-0000-000090010000}"/>
    <cellStyle name="Normal 15 2 3 2 2" xfId="332" xr:uid="{00000000-0005-0000-0000-000091010000}"/>
    <cellStyle name="Normal 15 2 3 2 2 2" xfId="752" xr:uid="{00000000-0005-0000-0000-000092010000}"/>
    <cellStyle name="Normal 15 2 3 2 3" xfId="542" xr:uid="{00000000-0005-0000-0000-000093010000}"/>
    <cellStyle name="Normal 15 2 3 3" xfId="192" xr:uid="{00000000-0005-0000-0000-000094010000}"/>
    <cellStyle name="Normal 15 2 3 3 2" xfId="402" xr:uid="{00000000-0005-0000-0000-000095010000}"/>
    <cellStyle name="Normal 15 2 3 3 2 2" xfId="822" xr:uid="{00000000-0005-0000-0000-000096010000}"/>
    <cellStyle name="Normal 15 2 3 3 3" xfId="612" xr:uid="{00000000-0005-0000-0000-000097010000}"/>
    <cellStyle name="Normal 15 2 3 4" xfId="262" xr:uid="{00000000-0005-0000-0000-000098010000}"/>
    <cellStyle name="Normal 15 2 3 4 2" xfId="682" xr:uid="{00000000-0005-0000-0000-000099010000}"/>
    <cellStyle name="Normal 15 2 3 5" xfId="472" xr:uid="{00000000-0005-0000-0000-00009A010000}"/>
    <cellStyle name="Normal 15 2 4" xfId="88" xr:uid="{00000000-0005-0000-0000-00009B010000}"/>
    <cellStyle name="Normal 15 2 4 2" xfId="298" xr:uid="{00000000-0005-0000-0000-00009C010000}"/>
    <cellStyle name="Normal 15 2 4 2 2" xfId="718" xr:uid="{00000000-0005-0000-0000-00009D010000}"/>
    <cellStyle name="Normal 15 2 4 3" xfId="508" xr:uid="{00000000-0005-0000-0000-00009E010000}"/>
    <cellStyle name="Normal 15 2 5" xfId="158" xr:uid="{00000000-0005-0000-0000-00009F010000}"/>
    <cellStyle name="Normal 15 2 5 2" xfId="368" xr:uid="{00000000-0005-0000-0000-0000A0010000}"/>
    <cellStyle name="Normal 15 2 5 2 2" xfId="788" xr:uid="{00000000-0005-0000-0000-0000A1010000}"/>
    <cellStyle name="Normal 15 2 5 3" xfId="578" xr:uid="{00000000-0005-0000-0000-0000A2010000}"/>
    <cellStyle name="Normal 15 2 6" xfId="228" xr:uid="{00000000-0005-0000-0000-0000A3010000}"/>
    <cellStyle name="Normal 15 2 6 2" xfId="648" xr:uid="{00000000-0005-0000-0000-0000A4010000}"/>
    <cellStyle name="Normal 15 2 7" xfId="438" xr:uid="{00000000-0005-0000-0000-0000A5010000}"/>
    <cellStyle name="Normal 15 3" xfId="26" xr:uid="{00000000-0005-0000-0000-0000A6010000}"/>
    <cellStyle name="Normal 15 3 2" xfId="60" xr:uid="{00000000-0005-0000-0000-0000A7010000}"/>
    <cellStyle name="Normal 15 3 2 2" xfId="131" xr:uid="{00000000-0005-0000-0000-0000A8010000}"/>
    <cellStyle name="Normal 15 3 2 2 2" xfId="341" xr:uid="{00000000-0005-0000-0000-0000A9010000}"/>
    <cellStyle name="Normal 15 3 2 2 2 2" xfId="761" xr:uid="{00000000-0005-0000-0000-0000AA010000}"/>
    <cellStyle name="Normal 15 3 2 2 3" xfId="551" xr:uid="{00000000-0005-0000-0000-0000AB010000}"/>
    <cellStyle name="Normal 15 3 2 3" xfId="201" xr:uid="{00000000-0005-0000-0000-0000AC010000}"/>
    <cellStyle name="Normal 15 3 2 3 2" xfId="411" xr:uid="{00000000-0005-0000-0000-0000AD010000}"/>
    <cellStyle name="Normal 15 3 2 3 2 2" xfId="831" xr:uid="{00000000-0005-0000-0000-0000AE010000}"/>
    <cellStyle name="Normal 15 3 2 3 3" xfId="621" xr:uid="{00000000-0005-0000-0000-0000AF010000}"/>
    <cellStyle name="Normal 15 3 2 4" xfId="271" xr:uid="{00000000-0005-0000-0000-0000B0010000}"/>
    <cellStyle name="Normal 15 3 2 4 2" xfId="691" xr:uid="{00000000-0005-0000-0000-0000B1010000}"/>
    <cellStyle name="Normal 15 3 2 5" xfId="481" xr:uid="{00000000-0005-0000-0000-0000B2010000}"/>
    <cellStyle name="Normal 15 3 3" xfId="97" xr:uid="{00000000-0005-0000-0000-0000B3010000}"/>
    <cellStyle name="Normal 15 3 3 2" xfId="307" xr:uid="{00000000-0005-0000-0000-0000B4010000}"/>
    <cellStyle name="Normal 15 3 3 2 2" xfId="727" xr:uid="{00000000-0005-0000-0000-0000B5010000}"/>
    <cellStyle name="Normal 15 3 3 3" xfId="517" xr:uid="{00000000-0005-0000-0000-0000B6010000}"/>
    <cellStyle name="Normal 15 3 4" xfId="167" xr:uid="{00000000-0005-0000-0000-0000B7010000}"/>
    <cellStyle name="Normal 15 3 4 2" xfId="377" xr:uid="{00000000-0005-0000-0000-0000B8010000}"/>
    <cellStyle name="Normal 15 3 4 2 2" xfId="797" xr:uid="{00000000-0005-0000-0000-0000B9010000}"/>
    <cellStyle name="Normal 15 3 4 3" xfId="587" xr:uid="{00000000-0005-0000-0000-0000BA010000}"/>
    <cellStyle name="Normal 15 3 5" xfId="237" xr:uid="{00000000-0005-0000-0000-0000BB010000}"/>
    <cellStyle name="Normal 15 3 5 2" xfId="657" xr:uid="{00000000-0005-0000-0000-0000BC010000}"/>
    <cellStyle name="Normal 15 3 6" xfId="447" xr:uid="{00000000-0005-0000-0000-0000BD010000}"/>
    <cellStyle name="Normal 15 4" xfId="44" xr:uid="{00000000-0005-0000-0000-0000BE010000}"/>
    <cellStyle name="Normal 15 4 2" xfId="115" xr:uid="{00000000-0005-0000-0000-0000BF010000}"/>
    <cellStyle name="Normal 15 4 2 2" xfId="325" xr:uid="{00000000-0005-0000-0000-0000C0010000}"/>
    <cellStyle name="Normal 15 4 2 2 2" xfId="745" xr:uid="{00000000-0005-0000-0000-0000C1010000}"/>
    <cellStyle name="Normal 15 4 2 3" xfId="535" xr:uid="{00000000-0005-0000-0000-0000C2010000}"/>
    <cellStyle name="Normal 15 4 3" xfId="185" xr:uid="{00000000-0005-0000-0000-0000C3010000}"/>
    <cellStyle name="Normal 15 4 3 2" xfId="395" xr:uid="{00000000-0005-0000-0000-0000C4010000}"/>
    <cellStyle name="Normal 15 4 3 2 2" xfId="815" xr:uid="{00000000-0005-0000-0000-0000C5010000}"/>
    <cellStyle name="Normal 15 4 3 3" xfId="605" xr:uid="{00000000-0005-0000-0000-0000C6010000}"/>
    <cellStyle name="Normal 15 4 4" xfId="255" xr:uid="{00000000-0005-0000-0000-0000C7010000}"/>
    <cellStyle name="Normal 15 4 4 2" xfId="675" xr:uid="{00000000-0005-0000-0000-0000C8010000}"/>
    <cellStyle name="Normal 15 4 5" xfId="465" xr:uid="{00000000-0005-0000-0000-0000C9010000}"/>
    <cellStyle name="Normal 15 5" xfId="81" xr:uid="{00000000-0005-0000-0000-0000CA010000}"/>
    <cellStyle name="Normal 15 5 2" xfId="291" xr:uid="{00000000-0005-0000-0000-0000CB010000}"/>
    <cellStyle name="Normal 15 5 2 2" xfId="711" xr:uid="{00000000-0005-0000-0000-0000CC010000}"/>
    <cellStyle name="Normal 15 5 3" xfId="501" xr:uid="{00000000-0005-0000-0000-0000CD010000}"/>
    <cellStyle name="Normal 15 6" xfId="151" xr:uid="{00000000-0005-0000-0000-0000CE010000}"/>
    <cellStyle name="Normal 15 6 2" xfId="361" xr:uid="{00000000-0005-0000-0000-0000CF010000}"/>
    <cellStyle name="Normal 15 6 2 2" xfId="781" xr:uid="{00000000-0005-0000-0000-0000D0010000}"/>
    <cellStyle name="Normal 15 6 3" xfId="571" xr:uid="{00000000-0005-0000-0000-0000D1010000}"/>
    <cellStyle name="Normal 15 7" xfId="221" xr:uid="{00000000-0005-0000-0000-0000D2010000}"/>
    <cellStyle name="Normal 15 7 2" xfId="641" xr:uid="{00000000-0005-0000-0000-0000D3010000}"/>
    <cellStyle name="Normal 15 8" xfId="431" xr:uid="{00000000-0005-0000-0000-0000D4010000}"/>
    <cellStyle name="Normal 2" xfId="4" xr:uid="{00000000-0005-0000-0000-0000D5010000}"/>
    <cellStyle name="Normal 2 2" xfId="9" xr:uid="{00000000-0005-0000-0000-0000D6010000}"/>
    <cellStyle name="Normal 3" xfId="5" xr:uid="{00000000-0005-0000-0000-0000D7010000}"/>
    <cellStyle name="Normal 3 2" xfId="16" xr:uid="{00000000-0005-0000-0000-0000D8010000}"/>
    <cellStyle name="Normal 4" xfId="8" xr:uid="{00000000-0005-0000-0000-0000D9010000}"/>
    <cellStyle name="Normal 4 2" xfId="12" xr:uid="{00000000-0005-0000-0000-0000DA010000}"/>
    <cellStyle name="Normal 4 2 2" xfId="22" xr:uid="{00000000-0005-0000-0000-0000DB010000}"/>
    <cellStyle name="Normal 4 3" xfId="19" xr:uid="{00000000-0005-0000-0000-0000DC010000}"/>
    <cellStyle name="Normal 5" xfId="850" xr:uid="{00000000-0005-0000-0000-0000DD010000}"/>
    <cellStyle name="Normal 5 8" xfId="3" xr:uid="{00000000-0005-0000-0000-0000DE010000}"/>
    <cellStyle name="Normal 5 8 2" xfId="15" xr:uid="{00000000-0005-0000-0000-0000DF010000}"/>
    <cellStyle name="Normal 5 8 2 2" xfId="34" xr:uid="{00000000-0005-0000-0000-0000E0010000}"/>
    <cellStyle name="Normal 5 8 2 2 2" xfId="68" xr:uid="{00000000-0005-0000-0000-0000E1010000}"/>
    <cellStyle name="Normal 5 8 2 2 2 2" xfId="139" xr:uid="{00000000-0005-0000-0000-0000E2010000}"/>
    <cellStyle name="Normal 5 8 2 2 2 2 2" xfId="349" xr:uid="{00000000-0005-0000-0000-0000E3010000}"/>
    <cellStyle name="Normal 5 8 2 2 2 2 2 2" xfId="769" xr:uid="{00000000-0005-0000-0000-0000E4010000}"/>
    <cellStyle name="Normal 5 8 2 2 2 2 3" xfId="559" xr:uid="{00000000-0005-0000-0000-0000E5010000}"/>
    <cellStyle name="Normal 5 8 2 2 2 3" xfId="209" xr:uid="{00000000-0005-0000-0000-0000E6010000}"/>
    <cellStyle name="Normal 5 8 2 2 2 3 2" xfId="419" xr:uid="{00000000-0005-0000-0000-0000E7010000}"/>
    <cellStyle name="Normal 5 8 2 2 2 3 2 2" xfId="839" xr:uid="{00000000-0005-0000-0000-0000E8010000}"/>
    <cellStyle name="Normal 5 8 2 2 2 3 3" xfId="629" xr:uid="{00000000-0005-0000-0000-0000E9010000}"/>
    <cellStyle name="Normal 5 8 2 2 2 4" xfId="279" xr:uid="{00000000-0005-0000-0000-0000EA010000}"/>
    <cellStyle name="Normal 5 8 2 2 2 4 2" xfId="699" xr:uid="{00000000-0005-0000-0000-0000EB010000}"/>
    <cellStyle name="Normal 5 8 2 2 2 5" xfId="489" xr:uid="{00000000-0005-0000-0000-0000EC010000}"/>
    <cellStyle name="Normal 5 8 2 2 3" xfId="105" xr:uid="{00000000-0005-0000-0000-0000ED010000}"/>
    <cellStyle name="Normal 5 8 2 2 3 2" xfId="315" xr:uid="{00000000-0005-0000-0000-0000EE010000}"/>
    <cellStyle name="Normal 5 8 2 2 3 2 2" xfId="735" xr:uid="{00000000-0005-0000-0000-0000EF010000}"/>
    <cellStyle name="Normal 5 8 2 2 3 3" xfId="525" xr:uid="{00000000-0005-0000-0000-0000F0010000}"/>
    <cellStyle name="Normal 5 8 2 2 4" xfId="175" xr:uid="{00000000-0005-0000-0000-0000F1010000}"/>
    <cellStyle name="Normal 5 8 2 2 4 2" xfId="385" xr:uid="{00000000-0005-0000-0000-0000F2010000}"/>
    <cellStyle name="Normal 5 8 2 2 4 2 2" xfId="805" xr:uid="{00000000-0005-0000-0000-0000F3010000}"/>
    <cellStyle name="Normal 5 8 2 2 4 3" xfId="595" xr:uid="{00000000-0005-0000-0000-0000F4010000}"/>
    <cellStyle name="Normal 5 8 2 2 5" xfId="245" xr:uid="{00000000-0005-0000-0000-0000F5010000}"/>
    <cellStyle name="Normal 5 8 2 2 5 2" xfId="665" xr:uid="{00000000-0005-0000-0000-0000F6010000}"/>
    <cellStyle name="Normal 5 8 2 2 6" xfId="455" xr:uid="{00000000-0005-0000-0000-0000F7010000}"/>
    <cellStyle name="Normal 5 8 2 3" xfId="52" xr:uid="{00000000-0005-0000-0000-0000F8010000}"/>
    <cellStyle name="Normal 5 8 2 3 2" xfId="123" xr:uid="{00000000-0005-0000-0000-0000F9010000}"/>
    <cellStyle name="Normal 5 8 2 3 2 2" xfId="333" xr:uid="{00000000-0005-0000-0000-0000FA010000}"/>
    <cellStyle name="Normal 5 8 2 3 2 2 2" xfId="753" xr:uid="{00000000-0005-0000-0000-0000FB010000}"/>
    <cellStyle name="Normal 5 8 2 3 2 3" xfId="543" xr:uid="{00000000-0005-0000-0000-0000FC010000}"/>
    <cellStyle name="Normal 5 8 2 3 3" xfId="193" xr:uid="{00000000-0005-0000-0000-0000FD010000}"/>
    <cellStyle name="Normal 5 8 2 3 3 2" xfId="403" xr:uid="{00000000-0005-0000-0000-0000FE010000}"/>
    <cellStyle name="Normal 5 8 2 3 3 2 2" xfId="823" xr:uid="{00000000-0005-0000-0000-0000FF010000}"/>
    <cellStyle name="Normal 5 8 2 3 3 3" xfId="613" xr:uid="{00000000-0005-0000-0000-000000020000}"/>
    <cellStyle name="Normal 5 8 2 3 4" xfId="263" xr:uid="{00000000-0005-0000-0000-000001020000}"/>
    <cellStyle name="Normal 5 8 2 3 4 2" xfId="683" xr:uid="{00000000-0005-0000-0000-000002020000}"/>
    <cellStyle name="Normal 5 8 2 3 5" xfId="473" xr:uid="{00000000-0005-0000-0000-000003020000}"/>
    <cellStyle name="Normal 5 8 2 4" xfId="89" xr:uid="{00000000-0005-0000-0000-000004020000}"/>
    <cellStyle name="Normal 5 8 2 4 2" xfId="299" xr:uid="{00000000-0005-0000-0000-000005020000}"/>
    <cellStyle name="Normal 5 8 2 4 2 2" xfId="719" xr:uid="{00000000-0005-0000-0000-000006020000}"/>
    <cellStyle name="Normal 5 8 2 4 3" xfId="509" xr:uid="{00000000-0005-0000-0000-000007020000}"/>
    <cellStyle name="Normal 5 8 2 5" xfId="159" xr:uid="{00000000-0005-0000-0000-000008020000}"/>
    <cellStyle name="Normal 5 8 2 5 2" xfId="369" xr:uid="{00000000-0005-0000-0000-000009020000}"/>
    <cellStyle name="Normal 5 8 2 5 2 2" xfId="789" xr:uid="{00000000-0005-0000-0000-00000A020000}"/>
    <cellStyle name="Normal 5 8 2 5 3" xfId="579" xr:uid="{00000000-0005-0000-0000-00000B020000}"/>
    <cellStyle name="Normal 5 8 2 6" xfId="229" xr:uid="{00000000-0005-0000-0000-00000C020000}"/>
    <cellStyle name="Normal 5 8 2 6 2" xfId="649" xr:uid="{00000000-0005-0000-0000-00000D020000}"/>
    <cellStyle name="Normal 5 8 2 7" xfId="439" xr:uid="{00000000-0005-0000-0000-00000E020000}"/>
    <cellStyle name="Normal 5 8 3" xfId="27" xr:uid="{00000000-0005-0000-0000-00000F020000}"/>
    <cellStyle name="Normal 5 8 3 2" xfId="61" xr:uid="{00000000-0005-0000-0000-000010020000}"/>
    <cellStyle name="Normal 5 8 3 2 2" xfId="132" xr:uid="{00000000-0005-0000-0000-000011020000}"/>
    <cellStyle name="Normal 5 8 3 2 2 2" xfId="342" xr:uid="{00000000-0005-0000-0000-000012020000}"/>
    <cellStyle name="Normal 5 8 3 2 2 2 2" xfId="762" xr:uid="{00000000-0005-0000-0000-000013020000}"/>
    <cellStyle name="Normal 5 8 3 2 2 3" xfId="552" xr:uid="{00000000-0005-0000-0000-000014020000}"/>
    <cellStyle name="Normal 5 8 3 2 3" xfId="202" xr:uid="{00000000-0005-0000-0000-000015020000}"/>
    <cellStyle name="Normal 5 8 3 2 3 2" xfId="412" xr:uid="{00000000-0005-0000-0000-000016020000}"/>
    <cellStyle name="Normal 5 8 3 2 3 2 2" xfId="832" xr:uid="{00000000-0005-0000-0000-000017020000}"/>
    <cellStyle name="Normal 5 8 3 2 3 3" xfId="622" xr:uid="{00000000-0005-0000-0000-000018020000}"/>
    <cellStyle name="Normal 5 8 3 2 4" xfId="272" xr:uid="{00000000-0005-0000-0000-000019020000}"/>
    <cellStyle name="Normal 5 8 3 2 4 2" xfId="692" xr:uid="{00000000-0005-0000-0000-00001A020000}"/>
    <cellStyle name="Normal 5 8 3 2 5" xfId="482" xr:uid="{00000000-0005-0000-0000-00001B020000}"/>
    <cellStyle name="Normal 5 8 3 3" xfId="98" xr:uid="{00000000-0005-0000-0000-00001C020000}"/>
    <cellStyle name="Normal 5 8 3 3 2" xfId="308" xr:uid="{00000000-0005-0000-0000-00001D020000}"/>
    <cellStyle name="Normal 5 8 3 3 2 2" xfId="728" xr:uid="{00000000-0005-0000-0000-00001E020000}"/>
    <cellStyle name="Normal 5 8 3 3 3" xfId="518" xr:uid="{00000000-0005-0000-0000-00001F020000}"/>
    <cellStyle name="Normal 5 8 3 4" xfId="168" xr:uid="{00000000-0005-0000-0000-000020020000}"/>
    <cellStyle name="Normal 5 8 3 4 2" xfId="378" xr:uid="{00000000-0005-0000-0000-000021020000}"/>
    <cellStyle name="Normal 5 8 3 4 2 2" xfId="798" xr:uid="{00000000-0005-0000-0000-000022020000}"/>
    <cellStyle name="Normal 5 8 3 4 3" xfId="588" xr:uid="{00000000-0005-0000-0000-000023020000}"/>
    <cellStyle name="Normal 5 8 3 5" xfId="238" xr:uid="{00000000-0005-0000-0000-000024020000}"/>
    <cellStyle name="Normal 5 8 3 5 2" xfId="658" xr:uid="{00000000-0005-0000-0000-000025020000}"/>
    <cellStyle name="Normal 5 8 3 6" xfId="448" xr:uid="{00000000-0005-0000-0000-000026020000}"/>
    <cellStyle name="Normal 5 8 4" xfId="45" xr:uid="{00000000-0005-0000-0000-000027020000}"/>
    <cellStyle name="Normal 5 8 4 2" xfId="116" xr:uid="{00000000-0005-0000-0000-000028020000}"/>
    <cellStyle name="Normal 5 8 4 2 2" xfId="326" xr:uid="{00000000-0005-0000-0000-000029020000}"/>
    <cellStyle name="Normal 5 8 4 2 2 2" xfId="746" xr:uid="{00000000-0005-0000-0000-00002A020000}"/>
    <cellStyle name="Normal 5 8 4 2 3" xfId="536" xr:uid="{00000000-0005-0000-0000-00002B020000}"/>
    <cellStyle name="Normal 5 8 4 3" xfId="186" xr:uid="{00000000-0005-0000-0000-00002C020000}"/>
    <cellStyle name="Normal 5 8 4 3 2" xfId="396" xr:uid="{00000000-0005-0000-0000-00002D020000}"/>
    <cellStyle name="Normal 5 8 4 3 2 2" xfId="816" xr:uid="{00000000-0005-0000-0000-00002E020000}"/>
    <cellStyle name="Normal 5 8 4 3 3" xfId="606" xr:uid="{00000000-0005-0000-0000-00002F020000}"/>
    <cellStyle name="Normal 5 8 4 4" xfId="256" xr:uid="{00000000-0005-0000-0000-000030020000}"/>
    <cellStyle name="Normal 5 8 4 4 2" xfId="676" xr:uid="{00000000-0005-0000-0000-000031020000}"/>
    <cellStyle name="Normal 5 8 4 5" xfId="466" xr:uid="{00000000-0005-0000-0000-000032020000}"/>
    <cellStyle name="Normal 5 8 5" xfId="82" xr:uid="{00000000-0005-0000-0000-000033020000}"/>
    <cellStyle name="Normal 5 8 5 2" xfId="292" xr:uid="{00000000-0005-0000-0000-000034020000}"/>
    <cellStyle name="Normal 5 8 5 2 2" xfId="712" xr:uid="{00000000-0005-0000-0000-000035020000}"/>
    <cellStyle name="Normal 5 8 5 3" xfId="502" xr:uid="{00000000-0005-0000-0000-000036020000}"/>
    <cellStyle name="Normal 5 8 6" xfId="152" xr:uid="{00000000-0005-0000-0000-000037020000}"/>
    <cellStyle name="Normal 5 8 6 2" xfId="362" xr:uid="{00000000-0005-0000-0000-000038020000}"/>
    <cellStyle name="Normal 5 8 6 2 2" xfId="782" xr:uid="{00000000-0005-0000-0000-000039020000}"/>
    <cellStyle name="Normal 5 8 6 3" xfId="572" xr:uid="{00000000-0005-0000-0000-00003A020000}"/>
    <cellStyle name="Normal 5 8 7" xfId="222" xr:uid="{00000000-0005-0000-0000-00003B020000}"/>
    <cellStyle name="Normal 5 8 7 2" xfId="642" xr:uid="{00000000-0005-0000-0000-00003C020000}"/>
    <cellStyle name="Normal 5 8 8" xfId="432" xr:uid="{00000000-0005-0000-0000-00003D020000}"/>
    <cellStyle name="Normal 6" xfId="851" xr:uid="{00000000-0005-0000-0000-00003E020000}"/>
    <cellStyle name="Normal 72" xfId="6" xr:uid="{00000000-0005-0000-0000-00003F020000}"/>
    <cellStyle name="Normal 72 2" xfId="10" xr:uid="{00000000-0005-0000-0000-000040020000}"/>
    <cellStyle name="Normal 72 2 2" xfId="20" xr:uid="{00000000-0005-0000-0000-000041020000}"/>
    <cellStyle name="Normal 72 2 2 2" xfId="37" xr:uid="{00000000-0005-0000-0000-000042020000}"/>
    <cellStyle name="Normal 72 2 2 2 2" xfId="71" xr:uid="{00000000-0005-0000-0000-000043020000}"/>
    <cellStyle name="Normal 72 2 2 2 2 2" xfId="142" xr:uid="{00000000-0005-0000-0000-000044020000}"/>
    <cellStyle name="Normal 72 2 2 2 2 2 2" xfId="352" xr:uid="{00000000-0005-0000-0000-000045020000}"/>
    <cellStyle name="Normal 72 2 2 2 2 2 2 2" xfId="772" xr:uid="{00000000-0005-0000-0000-000046020000}"/>
    <cellStyle name="Normal 72 2 2 2 2 2 3" xfId="562" xr:uid="{00000000-0005-0000-0000-000047020000}"/>
    <cellStyle name="Normal 72 2 2 2 2 3" xfId="212" xr:uid="{00000000-0005-0000-0000-000048020000}"/>
    <cellStyle name="Normal 72 2 2 2 2 3 2" xfId="422" xr:uid="{00000000-0005-0000-0000-000049020000}"/>
    <cellStyle name="Normal 72 2 2 2 2 3 2 2" xfId="842" xr:uid="{00000000-0005-0000-0000-00004A020000}"/>
    <cellStyle name="Normal 72 2 2 2 2 3 3" xfId="632" xr:uid="{00000000-0005-0000-0000-00004B020000}"/>
    <cellStyle name="Normal 72 2 2 2 2 4" xfId="282" xr:uid="{00000000-0005-0000-0000-00004C020000}"/>
    <cellStyle name="Normal 72 2 2 2 2 4 2" xfId="702" xr:uid="{00000000-0005-0000-0000-00004D020000}"/>
    <cellStyle name="Normal 72 2 2 2 2 5" xfId="492" xr:uid="{00000000-0005-0000-0000-00004E020000}"/>
    <cellStyle name="Normal 72 2 2 2 3" xfId="108" xr:uid="{00000000-0005-0000-0000-00004F020000}"/>
    <cellStyle name="Normal 72 2 2 2 3 2" xfId="318" xr:uid="{00000000-0005-0000-0000-000050020000}"/>
    <cellStyle name="Normal 72 2 2 2 3 2 2" xfId="738" xr:uid="{00000000-0005-0000-0000-000051020000}"/>
    <cellStyle name="Normal 72 2 2 2 3 3" xfId="528" xr:uid="{00000000-0005-0000-0000-000052020000}"/>
    <cellStyle name="Normal 72 2 2 2 4" xfId="178" xr:uid="{00000000-0005-0000-0000-000053020000}"/>
    <cellStyle name="Normal 72 2 2 2 4 2" xfId="388" xr:uid="{00000000-0005-0000-0000-000054020000}"/>
    <cellStyle name="Normal 72 2 2 2 4 2 2" xfId="808" xr:uid="{00000000-0005-0000-0000-000055020000}"/>
    <cellStyle name="Normal 72 2 2 2 4 3" xfId="598" xr:uid="{00000000-0005-0000-0000-000056020000}"/>
    <cellStyle name="Normal 72 2 2 2 5" xfId="248" xr:uid="{00000000-0005-0000-0000-000057020000}"/>
    <cellStyle name="Normal 72 2 2 2 5 2" xfId="668" xr:uid="{00000000-0005-0000-0000-000058020000}"/>
    <cellStyle name="Normal 72 2 2 2 6" xfId="458" xr:uid="{00000000-0005-0000-0000-000059020000}"/>
    <cellStyle name="Normal 72 2 2 3" xfId="55" xr:uid="{00000000-0005-0000-0000-00005A020000}"/>
    <cellStyle name="Normal 72 2 2 3 2" xfId="126" xr:uid="{00000000-0005-0000-0000-00005B020000}"/>
    <cellStyle name="Normal 72 2 2 3 2 2" xfId="336" xr:uid="{00000000-0005-0000-0000-00005C020000}"/>
    <cellStyle name="Normal 72 2 2 3 2 2 2" xfId="756" xr:uid="{00000000-0005-0000-0000-00005D020000}"/>
    <cellStyle name="Normal 72 2 2 3 2 3" xfId="546" xr:uid="{00000000-0005-0000-0000-00005E020000}"/>
    <cellStyle name="Normal 72 2 2 3 3" xfId="196" xr:uid="{00000000-0005-0000-0000-00005F020000}"/>
    <cellStyle name="Normal 72 2 2 3 3 2" xfId="406" xr:uid="{00000000-0005-0000-0000-000060020000}"/>
    <cellStyle name="Normal 72 2 2 3 3 2 2" xfId="826" xr:uid="{00000000-0005-0000-0000-000061020000}"/>
    <cellStyle name="Normal 72 2 2 3 3 3" xfId="616" xr:uid="{00000000-0005-0000-0000-000062020000}"/>
    <cellStyle name="Normal 72 2 2 3 4" xfId="266" xr:uid="{00000000-0005-0000-0000-000063020000}"/>
    <cellStyle name="Normal 72 2 2 3 4 2" xfId="686" xr:uid="{00000000-0005-0000-0000-000064020000}"/>
    <cellStyle name="Normal 72 2 2 3 5" xfId="476" xr:uid="{00000000-0005-0000-0000-000065020000}"/>
    <cellStyle name="Normal 72 2 2 4" xfId="92" xr:uid="{00000000-0005-0000-0000-000066020000}"/>
    <cellStyle name="Normal 72 2 2 4 2" xfId="302" xr:uid="{00000000-0005-0000-0000-000067020000}"/>
    <cellStyle name="Normal 72 2 2 4 2 2" xfId="722" xr:uid="{00000000-0005-0000-0000-000068020000}"/>
    <cellStyle name="Normal 72 2 2 4 3" xfId="512" xr:uid="{00000000-0005-0000-0000-000069020000}"/>
    <cellStyle name="Normal 72 2 2 5" xfId="162" xr:uid="{00000000-0005-0000-0000-00006A020000}"/>
    <cellStyle name="Normal 72 2 2 5 2" xfId="372" xr:uid="{00000000-0005-0000-0000-00006B020000}"/>
    <cellStyle name="Normal 72 2 2 5 2 2" xfId="792" xr:uid="{00000000-0005-0000-0000-00006C020000}"/>
    <cellStyle name="Normal 72 2 2 5 3" xfId="582" xr:uid="{00000000-0005-0000-0000-00006D020000}"/>
    <cellStyle name="Normal 72 2 2 6" xfId="232" xr:uid="{00000000-0005-0000-0000-00006E020000}"/>
    <cellStyle name="Normal 72 2 2 6 2" xfId="652" xr:uid="{00000000-0005-0000-0000-00006F020000}"/>
    <cellStyle name="Normal 72 2 2 7" xfId="442" xr:uid="{00000000-0005-0000-0000-000070020000}"/>
    <cellStyle name="Normal 72 2 3" xfId="23" xr:uid="{00000000-0005-0000-0000-000071020000}"/>
    <cellStyle name="Normal 72 2 3 2" xfId="39" xr:uid="{00000000-0005-0000-0000-000072020000}"/>
    <cellStyle name="Normal 72 2 3 2 2" xfId="73" xr:uid="{00000000-0005-0000-0000-000073020000}"/>
    <cellStyle name="Normal 72 2 3 2 2 2" xfId="144" xr:uid="{00000000-0005-0000-0000-000074020000}"/>
    <cellStyle name="Normal 72 2 3 2 2 2 2" xfId="354" xr:uid="{00000000-0005-0000-0000-000075020000}"/>
    <cellStyle name="Normal 72 2 3 2 2 2 2 2" xfId="774" xr:uid="{00000000-0005-0000-0000-000076020000}"/>
    <cellStyle name="Normal 72 2 3 2 2 2 3" xfId="564" xr:uid="{00000000-0005-0000-0000-000077020000}"/>
    <cellStyle name="Normal 72 2 3 2 2 3" xfId="214" xr:uid="{00000000-0005-0000-0000-000078020000}"/>
    <cellStyle name="Normal 72 2 3 2 2 3 2" xfId="424" xr:uid="{00000000-0005-0000-0000-000079020000}"/>
    <cellStyle name="Normal 72 2 3 2 2 3 2 2" xfId="844" xr:uid="{00000000-0005-0000-0000-00007A020000}"/>
    <cellStyle name="Normal 72 2 3 2 2 3 3" xfId="634" xr:uid="{00000000-0005-0000-0000-00007B020000}"/>
    <cellStyle name="Normal 72 2 3 2 2 4" xfId="284" xr:uid="{00000000-0005-0000-0000-00007C020000}"/>
    <cellStyle name="Normal 72 2 3 2 2 4 2" xfId="704" xr:uid="{00000000-0005-0000-0000-00007D020000}"/>
    <cellStyle name="Normal 72 2 3 2 2 5" xfId="494" xr:uid="{00000000-0005-0000-0000-00007E020000}"/>
    <cellStyle name="Normal 72 2 3 2 3" xfId="110" xr:uid="{00000000-0005-0000-0000-00007F020000}"/>
    <cellStyle name="Normal 72 2 3 2 3 2" xfId="320" xr:uid="{00000000-0005-0000-0000-000080020000}"/>
    <cellStyle name="Normal 72 2 3 2 3 2 2" xfId="740" xr:uid="{00000000-0005-0000-0000-000081020000}"/>
    <cellStyle name="Normal 72 2 3 2 3 3" xfId="530" xr:uid="{00000000-0005-0000-0000-000082020000}"/>
    <cellStyle name="Normal 72 2 3 2 4" xfId="180" xr:uid="{00000000-0005-0000-0000-000083020000}"/>
    <cellStyle name="Normal 72 2 3 2 4 2" xfId="390" xr:uid="{00000000-0005-0000-0000-000084020000}"/>
    <cellStyle name="Normal 72 2 3 2 4 2 2" xfId="810" xr:uid="{00000000-0005-0000-0000-000085020000}"/>
    <cellStyle name="Normal 72 2 3 2 4 3" xfId="600" xr:uid="{00000000-0005-0000-0000-000086020000}"/>
    <cellStyle name="Normal 72 2 3 2 5" xfId="250" xr:uid="{00000000-0005-0000-0000-000087020000}"/>
    <cellStyle name="Normal 72 2 3 2 5 2" xfId="670" xr:uid="{00000000-0005-0000-0000-000088020000}"/>
    <cellStyle name="Normal 72 2 3 2 6" xfId="460" xr:uid="{00000000-0005-0000-0000-000089020000}"/>
    <cellStyle name="Normal 72 2 3 3" xfId="41" xr:uid="{00000000-0005-0000-0000-00008A020000}"/>
    <cellStyle name="Normal 72 2 3 3 2" xfId="75" xr:uid="{00000000-0005-0000-0000-00008B020000}"/>
    <cellStyle name="Normal 72 2 3 3 2 2" xfId="146" xr:uid="{00000000-0005-0000-0000-00008C020000}"/>
    <cellStyle name="Normal 72 2 3 3 2 2 2" xfId="356" xr:uid="{00000000-0005-0000-0000-00008D020000}"/>
    <cellStyle name="Normal 72 2 3 3 2 2 2 2" xfId="776" xr:uid="{00000000-0005-0000-0000-00008E020000}"/>
    <cellStyle name="Normal 72 2 3 3 2 2 3" xfId="566" xr:uid="{00000000-0005-0000-0000-00008F020000}"/>
    <cellStyle name="Normal 72 2 3 3 2 3" xfId="216" xr:uid="{00000000-0005-0000-0000-000090020000}"/>
    <cellStyle name="Normal 72 2 3 3 2 3 2" xfId="426" xr:uid="{00000000-0005-0000-0000-000091020000}"/>
    <cellStyle name="Normal 72 2 3 3 2 3 2 2" xfId="846" xr:uid="{00000000-0005-0000-0000-000092020000}"/>
    <cellStyle name="Normal 72 2 3 3 2 3 3" xfId="636" xr:uid="{00000000-0005-0000-0000-000093020000}"/>
    <cellStyle name="Normal 72 2 3 3 2 4" xfId="286" xr:uid="{00000000-0005-0000-0000-000094020000}"/>
    <cellStyle name="Normal 72 2 3 3 2 4 2" xfId="706" xr:uid="{00000000-0005-0000-0000-000095020000}"/>
    <cellStyle name="Normal 72 2 3 3 2 5" xfId="496" xr:uid="{00000000-0005-0000-0000-000096020000}"/>
    <cellStyle name="Normal 72 2 3 3 3" xfId="77" xr:uid="{00000000-0005-0000-0000-000097020000}"/>
    <cellStyle name="Normal 72 2 3 3 3 2" xfId="148" xr:uid="{00000000-0005-0000-0000-000098020000}"/>
    <cellStyle name="Normal 72 2 3 3 3 2 2" xfId="358" xr:uid="{00000000-0005-0000-0000-000099020000}"/>
    <cellStyle name="Normal 72 2 3 3 3 2 2 2" xfId="778" xr:uid="{00000000-0005-0000-0000-00009A020000}"/>
    <cellStyle name="Normal 72 2 3 3 3 2 3" xfId="568" xr:uid="{00000000-0005-0000-0000-00009B020000}"/>
    <cellStyle name="Normal 72 2 3 3 3 3" xfId="218" xr:uid="{00000000-0005-0000-0000-00009C020000}"/>
    <cellStyle name="Normal 72 2 3 3 3 3 2" xfId="428" xr:uid="{00000000-0005-0000-0000-00009D020000}"/>
    <cellStyle name="Normal 72 2 3 3 3 3 2 2" xfId="848" xr:uid="{00000000-0005-0000-0000-00009E020000}"/>
    <cellStyle name="Normal 72 2 3 3 3 3 3" xfId="638" xr:uid="{00000000-0005-0000-0000-00009F020000}"/>
    <cellStyle name="Normal 72 2 3 3 3 4" xfId="288" xr:uid="{00000000-0005-0000-0000-0000A0020000}"/>
    <cellStyle name="Normal 72 2 3 3 3 4 2" xfId="708" xr:uid="{00000000-0005-0000-0000-0000A1020000}"/>
    <cellStyle name="Normal 72 2 3 3 3 5" xfId="498" xr:uid="{00000000-0005-0000-0000-0000A2020000}"/>
    <cellStyle name="Normal 72 2 3 3 4" xfId="112" xr:uid="{00000000-0005-0000-0000-0000A3020000}"/>
    <cellStyle name="Normal 72 2 3 3 4 2" xfId="322" xr:uid="{00000000-0005-0000-0000-0000A4020000}"/>
    <cellStyle name="Normal 72 2 3 3 4 2 2" xfId="742" xr:uid="{00000000-0005-0000-0000-0000A5020000}"/>
    <cellStyle name="Normal 72 2 3 3 4 3" xfId="532" xr:uid="{00000000-0005-0000-0000-0000A6020000}"/>
    <cellStyle name="Normal 72 2 3 3 5" xfId="182" xr:uid="{00000000-0005-0000-0000-0000A7020000}"/>
    <cellStyle name="Normal 72 2 3 3 5 2" xfId="392" xr:uid="{00000000-0005-0000-0000-0000A8020000}"/>
    <cellStyle name="Normal 72 2 3 3 5 2 2" xfId="812" xr:uid="{00000000-0005-0000-0000-0000A9020000}"/>
    <cellStyle name="Normal 72 2 3 3 5 3" xfId="602" xr:uid="{00000000-0005-0000-0000-0000AA020000}"/>
    <cellStyle name="Normal 72 2 3 3 6" xfId="252" xr:uid="{00000000-0005-0000-0000-0000AB020000}"/>
    <cellStyle name="Normal 72 2 3 3 6 2" xfId="672" xr:uid="{00000000-0005-0000-0000-0000AC020000}"/>
    <cellStyle name="Normal 72 2 3 3 7" xfId="462" xr:uid="{00000000-0005-0000-0000-0000AD020000}"/>
    <cellStyle name="Normal 72 2 3 4" xfId="57" xr:uid="{00000000-0005-0000-0000-0000AE020000}"/>
    <cellStyle name="Normal 72 2 3 4 2" xfId="128" xr:uid="{00000000-0005-0000-0000-0000AF020000}"/>
    <cellStyle name="Normal 72 2 3 4 2 2" xfId="338" xr:uid="{00000000-0005-0000-0000-0000B0020000}"/>
    <cellStyle name="Normal 72 2 3 4 2 2 2" xfId="758" xr:uid="{00000000-0005-0000-0000-0000B1020000}"/>
    <cellStyle name="Normal 72 2 3 4 2 3" xfId="548" xr:uid="{00000000-0005-0000-0000-0000B2020000}"/>
    <cellStyle name="Normal 72 2 3 4 3" xfId="198" xr:uid="{00000000-0005-0000-0000-0000B3020000}"/>
    <cellStyle name="Normal 72 2 3 4 3 2" xfId="408" xr:uid="{00000000-0005-0000-0000-0000B4020000}"/>
    <cellStyle name="Normal 72 2 3 4 3 2 2" xfId="828" xr:uid="{00000000-0005-0000-0000-0000B5020000}"/>
    <cellStyle name="Normal 72 2 3 4 3 3" xfId="618" xr:uid="{00000000-0005-0000-0000-0000B6020000}"/>
    <cellStyle name="Normal 72 2 3 4 4" xfId="268" xr:uid="{00000000-0005-0000-0000-0000B7020000}"/>
    <cellStyle name="Normal 72 2 3 4 4 2" xfId="688" xr:uid="{00000000-0005-0000-0000-0000B8020000}"/>
    <cellStyle name="Normal 72 2 3 4 5" xfId="478" xr:uid="{00000000-0005-0000-0000-0000B9020000}"/>
    <cellStyle name="Normal 72 2 3 5" xfId="94" xr:uid="{00000000-0005-0000-0000-0000BA020000}"/>
    <cellStyle name="Normal 72 2 3 5 2" xfId="304" xr:uid="{00000000-0005-0000-0000-0000BB020000}"/>
    <cellStyle name="Normal 72 2 3 5 2 2" xfId="724" xr:uid="{00000000-0005-0000-0000-0000BC020000}"/>
    <cellStyle name="Normal 72 2 3 5 3" xfId="514" xr:uid="{00000000-0005-0000-0000-0000BD020000}"/>
    <cellStyle name="Normal 72 2 3 6" xfId="164" xr:uid="{00000000-0005-0000-0000-0000BE020000}"/>
    <cellStyle name="Normal 72 2 3 6 2" xfId="374" xr:uid="{00000000-0005-0000-0000-0000BF020000}"/>
    <cellStyle name="Normal 72 2 3 6 2 2" xfId="794" xr:uid="{00000000-0005-0000-0000-0000C0020000}"/>
    <cellStyle name="Normal 72 2 3 6 3" xfId="584" xr:uid="{00000000-0005-0000-0000-0000C1020000}"/>
    <cellStyle name="Normal 72 2 3 7" xfId="234" xr:uid="{00000000-0005-0000-0000-0000C2020000}"/>
    <cellStyle name="Normal 72 2 3 7 2" xfId="654" xr:uid="{00000000-0005-0000-0000-0000C3020000}"/>
    <cellStyle name="Normal 72 2 3 8" xfId="444" xr:uid="{00000000-0005-0000-0000-0000C4020000}"/>
    <cellStyle name="Normal 72 2 4" xfId="30" xr:uid="{00000000-0005-0000-0000-0000C5020000}"/>
    <cellStyle name="Normal 72 2 4 2" xfId="64" xr:uid="{00000000-0005-0000-0000-0000C6020000}"/>
    <cellStyle name="Normal 72 2 4 2 2" xfId="135" xr:uid="{00000000-0005-0000-0000-0000C7020000}"/>
    <cellStyle name="Normal 72 2 4 2 2 2" xfId="345" xr:uid="{00000000-0005-0000-0000-0000C8020000}"/>
    <cellStyle name="Normal 72 2 4 2 2 2 2" xfId="765" xr:uid="{00000000-0005-0000-0000-0000C9020000}"/>
    <cellStyle name="Normal 72 2 4 2 2 3" xfId="555" xr:uid="{00000000-0005-0000-0000-0000CA020000}"/>
    <cellStyle name="Normal 72 2 4 2 3" xfId="205" xr:uid="{00000000-0005-0000-0000-0000CB020000}"/>
    <cellStyle name="Normal 72 2 4 2 3 2" xfId="415" xr:uid="{00000000-0005-0000-0000-0000CC020000}"/>
    <cellStyle name="Normal 72 2 4 2 3 2 2" xfId="835" xr:uid="{00000000-0005-0000-0000-0000CD020000}"/>
    <cellStyle name="Normal 72 2 4 2 3 3" xfId="625" xr:uid="{00000000-0005-0000-0000-0000CE020000}"/>
    <cellStyle name="Normal 72 2 4 2 4" xfId="275" xr:uid="{00000000-0005-0000-0000-0000CF020000}"/>
    <cellStyle name="Normal 72 2 4 2 4 2" xfId="695" xr:uid="{00000000-0005-0000-0000-0000D0020000}"/>
    <cellStyle name="Normal 72 2 4 2 5" xfId="485" xr:uid="{00000000-0005-0000-0000-0000D1020000}"/>
    <cellStyle name="Normal 72 2 4 3" xfId="101" xr:uid="{00000000-0005-0000-0000-0000D2020000}"/>
    <cellStyle name="Normal 72 2 4 3 2" xfId="311" xr:uid="{00000000-0005-0000-0000-0000D3020000}"/>
    <cellStyle name="Normal 72 2 4 3 2 2" xfId="731" xr:uid="{00000000-0005-0000-0000-0000D4020000}"/>
    <cellStyle name="Normal 72 2 4 3 3" xfId="521" xr:uid="{00000000-0005-0000-0000-0000D5020000}"/>
    <cellStyle name="Normal 72 2 4 4" xfId="171" xr:uid="{00000000-0005-0000-0000-0000D6020000}"/>
    <cellStyle name="Normal 72 2 4 4 2" xfId="381" xr:uid="{00000000-0005-0000-0000-0000D7020000}"/>
    <cellStyle name="Normal 72 2 4 4 2 2" xfId="801" xr:uid="{00000000-0005-0000-0000-0000D8020000}"/>
    <cellStyle name="Normal 72 2 4 4 3" xfId="591" xr:uid="{00000000-0005-0000-0000-0000D9020000}"/>
    <cellStyle name="Normal 72 2 4 5" xfId="241" xr:uid="{00000000-0005-0000-0000-0000DA020000}"/>
    <cellStyle name="Normal 72 2 4 5 2" xfId="661" xr:uid="{00000000-0005-0000-0000-0000DB020000}"/>
    <cellStyle name="Normal 72 2 4 6" xfId="451" xr:uid="{00000000-0005-0000-0000-0000DC020000}"/>
    <cellStyle name="Normal 72 2 5" xfId="48" xr:uid="{00000000-0005-0000-0000-0000DD020000}"/>
    <cellStyle name="Normal 72 2 5 2" xfId="119" xr:uid="{00000000-0005-0000-0000-0000DE020000}"/>
    <cellStyle name="Normal 72 2 5 2 2" xfId="329" xr:uid="{00000000-0005-0000-0000-0000DF020000}"/>
    <cellStyle name="Normal 72 2 5 2 2 2" xfId="749" xr:uid="{00000000-0005-0000-0000-0000E0020000}"/>
    <cellStyle name="Normal 72 2 5 2 3" xfId="539" xr:uid="{00000000-0005-0000-0000-0000E1020000}"/>
    <cellStyle name="Normal 72 2 5 3" xfId="189" xr:uid="{00000000-0005-0000-0000-0000E2020000}"/>
    <cellStyle name="Normal 72 2 5 3 2" xfId="399" xr:uid="{00000000-0005-0000-0000-0000E3020000}"/>
    <cellStyle name="Normal 72 2 5 3 2 2" xfId="819" xr:uid="{00000000-0005-0000-0000-0000E4020000}"/>
    <cellStyle name="Normal 72 2 5 3 3" xfId="609" xr:uid="{00000000-0005-0000-0000-0000E5020000}"/>
    <cellStyle name="Normal 72 2 5 4" xfId="259" xr:uid="{00000000-0005-0000-0000-0000E6020000}"/>
    <cellStyle name="Normal 72 2 5 4 2" xfId="679" xr:uid="{00000000-0005-0000-0000-0000E7020000}"/>
    <cellStyle name="Normal 72 2 5 5" xfId="469" xr:uid="{00000000-0005-0000-0000-0000E8020000}"/>
    <cellStyle name="Normal 72 2 6" xfId="85" xr:uid="{00000000-0005-0000-0000-0000E9020000}"/>
    <cellStyle name="Normal 72 2 6 2" xfId="295" xr:uid="{00000000-0005-0000-0000-0000EA020000}"/>
    <cellStyle name="Normal 72 2 6 2 2" xfId="715" xr:uid="{00000000-0005-0000-0000-0000EB020000}"/>
    <cellStyle name="Normal 72 2 6 3" xfId="505" xr:uid="{00000000-0005-0000-0000-0000EC020000}"/>
    <cellStyle name="Normal 72 2 7" xfId="155" xr:uid="{00000000-0005-0000-0000-0000ED020000}"/>
    <cellStyle name="Normal 72 2 7 2" xfId="365" xr:uid="{00000000-0005-0000-0000-0000EE020000}"/>
    <cellStyle name="Normal 72 2 7 2 2" xfId="785" xr:uid="{00000000-0005-0000-0000-0000EF020000}"/>
    <cellStyle name="Normal 72 2 7 3" xfId="575" xr:uid="{00000000-0005-0000-0000-0000F0020000}"/>
    <cellStyle name="Normal 72 2 8" xfId="225" xr:uid="{00000000-0005-0000-0000-0000F1020000}"/>
    <cellStyle name="Normal 72 2 8 2" xfId="645" xr:uid="{00000000-0005-0000-0000-0000F2020000}"/>
    <cellStyle name="Normal 72 2 9" xfId="435" xr:uid="{00000000-0005-0000-0000-0000F3020000}"/>
    <cellStyle name="Normal 72 3" xfId="17" xr:uid="{00000000-0005-0000-0000-0000F4020000}"/>
    <cellStyle name="Normal 72 3 2" xfId="35" xr:uid="{00000000-0005-0000-0000-0000F5020000}"/>
    <cellStyle name="Normal 72 3 2 2" xfId="69" xr:uid="{00000000-0005-0000-0000-0000F6020000}"/>
    <cellStyle name="Normal 72 3 2 2 2" xfId="140" xr:uid="{00000000-0005-0000-0000-0000F7020000}"/>
    <cellStyle name="Normal 72 3 2 2 2 2" xfId="350" xr:uid="{00000000-0005-0000-0000-0000F8020000}"/>
    <cellStyle name="Normal 72 3 2 2 2 2 2" xfId="770" xr:uid="{00000000-0005-0000-0000-0000F9020000}"/>
    <cellStyle name="Normal 72 3 2 2 2 3" xfId="560" xr:uid="{00000000-0005-0000-0000-0000FA020000}"/>
    <cellStyle name="Normal 72 3 2 2 3" xfId="210" xr:uid="{00000000-0005-0000-0000-0000FB020000}"/>
    <cellStyle name="Normal 72 3 2 2 3 2" xfId="420" xr:uid="{00000000-0005-0000-0000-0000FC020000}"/>
    <cellStyle name="Normal 72 3 2 2 3 2 2" xfId="840" xr:uid="{00000000-0005-0000-0000-0000FD020000}"/>
    <cellStyle name="Normal 72 3 2 2 3 3" xfId="630" xr:uid="{00000000-0005-0000-0000-0000FE020000}"/>
    <cellStyle name="Normal 72 3 2 2 4" xfId="280" xr:uid="{00000000-0005-0000-0000-0000FF020000}"/>
    <cellStyle name="Normal 72 3 2 2 4 2" xfId="700" xr:uid="{00000000-0005-0000-0000-000000030000}"/>
    <cellStyle name="Normal 72 3 2 2 5" xfId="490" xr:uid="{00000000-0005-0000-0000-000001030000}"/>
    <cellStyle name="Normal 72 3 2 3" xfId="106" xr:uid="{00000000-0005-0000-0000-000002030000}"/>
    <cellStyle name="Normal 72 3 2 3 2" xfId="316" xr:uid="{00000000-0005-0000-0000-000003030000}"/>
    <cellStyle name="Normal 72 3 2 3 2 2" xfId="736" xr:uid="{00000000-0005-0000-0000-000004030000}"/>
    <cellStyle name="Normal 72 3 2 3 3" xfId="526" xr:uid="{00000000-0005-0000-0000-000005030000}"/>
    <cellStyle name="Normal 72 3 2 4" xfId="176" xr:uid="{00000000-0005-0000-0000-000006030000}"/>
    <cellStyle name="Normal 72 3 2 4 2" xfId="386" xr:uid="{00000000-0005-0000-0000-000007030000}"/>
    <cellStyle name="Normal 72 3 2 4 2 2" xfId="806" xr:uid="{00000000-0005-0000-0000-000008030000}"/>
    <cellStyle name="Normal 72 3 2 4 3" xfId="596" xr:uid="{00000000-0005-0000-0000-000009030000}"/>
    <cellStyle name="Normal 72 3 2 5" xfId="246" xr:uid="{00000000-0005-0000-0000-00000A030000}"/>
    <cellStyle name="Normal 72 3 2 5 2" xfId="666" xr:uid="{00000000-0005-0000-0000-00000B030000}"/>
    <cellStyle name="Normal 72 3 2 6" xfId="456" xr:uid="{00000000-0005-0000-0000-00000C030000}"/>
    <cellStyle name="Normal 72 3 3" xfId="53" xr:uid="{00000000-0005-0000-0000-00000D030000}"/>
    <cellStyle name="Normal 72 3 3 2" xfId="124" xr:uid="{00000000-0005-0000-0000-00000E030000}"/>
    <cellStyle name="Normal 72 3 3 2 2" xfId="334" xr:uid="{00000000-0005-0000-0000-00000F030000}"/>
    <cellStyle name="Normal 72 3 3 2 2 2" xfId="754" xr:uid="{00000000-0005-0000-0000-000010030000}"/>
    <cellStyle name="Normal 72 3 3 2 3" xfId="544" xr:uid="{00000000-0005-0000-0000-000011030000}"/>
    <cellStyle name="Normal 72 3 3 3" xfId="194" xr:uid="{00000000-0005-0000-0000-000012030000}"/>
    <cellStyle name="Normal 72 3 3 3 2" xfId="404" xr:uid="{00000000-0005-0000-0000-000013030000}"/>
    <cellStyle name="Normal 72 3 3 3 2 2" xfId="824" xr:uid="{00000000-0005-0000-0000-000014030000}"/>
    <cellStyle name="Normal 72 3 3 3 3" xfId="614" xr:uid="{00000000-0005-0000-0000-000015030000}"/>
    <cellStyle name="Normal 72 3 3 4" xfId="264" xr:uid="{00000000-0005-0000-0000-000016030000}"/>
    <cellStyle name="Normal 72 3 3 4 2" xfId="684" xr:uid="{00000000-0005-0000-0000-000017030000}"/>
    <cellStyle name="Normal 72 3 3 5" xfId="474" xr:uid="{00000000-0005-0000-0000-000018030000}"/>
    <cellStyle name="Normal 72 3 4" xfId="90" xr:uid="{00000000-0005-0000-0000-000019030000}"/>
    <cellStyle name="Normal 72 3 4 2" xfId="300" xr:uid="{00000000-0005-0000-0000-00001A030000}"/>
    <cellStyle name="Normal 72 3 4 2 2" xfId="720" xr:uid="{00000000-0005-0000-0000-00001B030000}"/>
    <cellStyle name="Normal 72 3 4 3" xfId="510" xr:uid="{00000000-0005-0000-0000-00001C030000}"/>
    <cellStyle name="Normal 72 3 5" xfId="160" xr:uid="{00000000-0005-0000-0000-00001D030000}"/>
    <cellStyle name="Normal 72 3 5 2" xfId="370" xr:uid="{00000000-0005-0000-0000-00001E030000}"/>
    <cellStyle name="Normal 72 3 5 2 2" xfId="790" xr:uid="{00000000-0005-0000-0000-00001F030000}"/>
    <cellStyle name="Normal 72 3 5 3" xfId="580" xr:uid="{00000000-0005-0000-0000-000020030000}"/>
    <cellStyle name="Normal 72 3 6" xfId="230" xr:uid="{00000000-0005-0000-0000-000021030000}"/>
    <cellStyle name="Normal 72 3 6 2" xfId="650" xr:uid="{00000000-0005-0000-0000-000022030000}"/>
    <cellStyle name="Normal 72 3 7" xfId="440" xr:uid="{00000000-0005-0000-0000-000023030000}"/>
    <cellStyle name="Normal 72 4" xfId="28" xr:uid="{00000000-0005-0000-0000-000024030000}"/>
    <cellStyle name="Normal 72 4 2" xfId="62" xr:uid="{00000000-0005-0000-0000-000025030000}"/>
    <cellStyle name="Normal 72 4 2 2" xfId="133" xr:uid="{00000000-0005-0000-0000-000026030000}"/>
    <cellStyle name="Normal 72 4 2 2 2" xfId="343" xr:uid="{00000000-0005-0000-0000-000027030000}"/>
    <cellStyle name="Normal 72 4 2 2 2 2" xfId="763" xr:uid="{00000000-0005-0000-0000-000028030000}"/>
    <cellStyle name="Normal 72 4 2 2 3" xfId="553" xr:uid="{00000000-0005-0000-0000-000029030000}"/>
    <cellStyle name="Normal 72 4 2 3" xfId="203" xr:uid="{00000000-0005-0000-0000-00002A030000}"/>
    <cellStyle name="Normal 72 4 2 3 2" xfId="413" xr:uid="{00000000-0005-0000-0000-00002B030000}"/>
    <cellStyle name="Normal 72 4 2 3 2 2" xfId="833" xr:uid="{00000000-0005-0000-0000-00002C030000}"/>
    <cellStyle name="Normal 72 4 2 3 3" xfId="623" xr:uid="{00000000-0005-0000-0000-00002D030000}"/>
    <cellStyle name="Normal 72 4 2 4" xfId="273" xr:uid="{00000000-0005-0000-0000-00002E030000}"/>
    <cellStyle name="Normal 72 4 2 4 2" xfId="693" xr:uid="{00000000-0005-0000-0000-00002F030000}"/>
    <cellStyle name="Normal 72 4 2 5" xfId="483" xr:uid="{00000000-0005-0000-0000-000030030000}"/>
    <cellStyle name="Normal 72 4 3" xfId="99" xr:uid="{00000000-0005-0000-0000-000031030000}"/>
    <cellStyle name="Normal 72 4 3 2" xfId="309" xr:uid="{00000000-0005-0000-0000-000032030000}"/>
    <cellStyle name="Normal 72 4 3 2 2" xfId="729" xr:uid="{00000000-0005-0000-0000-000033030000}"/>
    <cellStyle name="Normal 72 4 3 3" xfId="519" xr:uid="{00000000-0005-0000-0000-000034030000}"/>
    <cellStyle name="Normal 72 4 4" xfId="169" xr:uid="{00000000-0005-0000-0000-000035030000}"/>
    <cellStyle name="Normal 72 4 4 2" xfId="379" xr:uid="{00000000-0005-0000-0000-000036030000}"/>
    <cellStyle name="Normal 72 4 4 2 2" xfId="799" xr:uid="{00000000-0005-0000-0000-000037030000}"/>
    <cellStyle name="Normal 72 4 4 3" xfId="589" xr:uid="{00000000-0005-0000-0000-000038030000}"/>
    <cellStyle name="Normal 72 4 5" xfId="239" xr:uid="{00000000-0005-0000-0000-000039030000}"/>
    <cellStyle name="Normal 72 4 5 2" xfId="659" xr:uid="{00000000-0005-0000-0000-00003A030000}"/>
    <cellStyle name="Normal 72 4 6" xfId="449" xr:uid="{00000000-0005-0000-0000-00003B030000}"/>
    <cellStyle name="Normal 72 5" xfId="46" xr:uid="{00000000-0005-0000-0000-00003C030000}"/>
    <cellStyle name="Normal 72 5 2" xfId="117" xr:uid="{00000000-0005-0000-0000-00003D030000}"/>
    <cellStyle name="Normal 72 5 2 2" xfId="327" xr:uid="{00000000-0005-0000-0000-00003E030000}"/>
    <cellStyle name="Normal 72 5 2 2 2" xfId="747" xr:uid="{00000000-0005-0000-0000-00003F030000}"/>
    <cellStyle name="Normal 72 5 2 3" xfId="537" xr:uid="{00000000-0005-0000-0000-000040030000}"/>
    <cellStyle name="Normal 72 5 3" xfId="187" xr:uid="{00000000-0005-0000-0000-000041030000}"/>
    <cellStyle name="Normal 72 5 3 2" xfId="397" xr:uid="{00000000-0005-0000-0000-000042030000}"/>
    <cellStyle name="Normal 72 5 3 2 2" xfId="817" xr:uid="{00000000-0005-0000-0000-000043030000}"/>
    <cellStyle name="Normal 72 5 3 3" xfId="607" xr:uid="{00000000-0005-0000-0000-000044030000}"/>
    <cellStyle name="Normal 72 5 4" xfId="257" xr:uid="{00000000-0005-0000-0000-000045030000}"/>
    <cellStyle name="Normal 72 5 4 2" xfId="677" xr:uid="{00000000-0005-0000-0000-000046030000}"/>
    <cellStyle name="Normal 72 5 5" xfId="467" xr:uid="{00000000-0005-0000-0000-000047030000}"/>
    <cellStyle name="Normal 72 6" xfId="83" xr:uid="{00000000-0005-0000-0000-000048030000}"/>
    <cellStyle name="Normal 72 6 2" xfId="293" xr:uid="{00000000-0005-0000-0000-000049030000}"/>
    <cellStyle name="Normal 72 6 2 2" xfId="713" xr:uid="{00000000-0005-0000-0000-00004A030000}"/>
    <cellStyle name="Normal 72 6 3" xfId="503" xr:uid="{00000000-0005-0000-0000-00004B030000}"/>
    <cellStyle name="Normal 72 7" xfId="153" xr:uid="{00000000-0005-0000-0000-00004C030000}"/>
    <cellStyle name="Normal 72 7 2" xfId="363" xr:uid="{00000000-0005-0000-0000-00004D030000}"/>
    <cellStyle name="Normal 72 7 2 2" xfId="783" xr:uid="{00000000-0005-0000-0000-00004E030000}"/>
    <cellStyle name="Normal 72 7 3" xfId="573" xr:uid="{00000000-0005-0000-0000-00004F030000}"/>
    <cellStyle name="Normal 72 8" xfId="223" xr:uid="{00000000-0005-0000-0000-000050030000}"/>
    <cellStyle name="Normal 72 8 2" xfId="643" xr:uid="{00000000-0005-0000-0000-000051030000}"/>
    <cellStyle name="Normal 72 9" xfId="433" xr:uid="{00000000-0005-0000-0000-000052030000}"/>
    <cellStyle name="Per cent" xfId="79" builtinId="5"/>
  </cellStyles>
  <dxfs count="17">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numFmt numFmtId="4" formatCode="#,##0.00"/>
    </dxf>
    <dxf>
      <numFmt numFmtId="4" formatCode="#,##0.00"/>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C0C0C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pivotCacheDefinition" Target="pivotCache/pivotCacheDefinition1.xml"/><Relationship Id="rId6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[AppA GF September 2024 NK.xlsx]pivot!PivotTable3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pivot!$F$3</c:f>
              <c:strCache>
                <c:ptCount val="1"/>
                <c:pt idx="0">
                  <c:v>Total</c:v>
                </c:pt>
              </c:strCache>
            </c:strRef>
          </c:tx>
          <c:spPr>
            <a:solidFill>
              <a:schemeClr val="accent1"/>
            </a:solidFill>
            <a:ln>
              <a:noFill/>
            </a:ln>
            <a:effectLst/>
          </c:spPr>
          <c:invertIfNegative val="0"/>
          <c:cat>
            <c:strRef>
              <c:f>pivot!$E$4:$E$52</c:f>
              <c:strCache>
                <c:ptCount val="48"/>
                <c:pt idx="0">
                  <c:v>S01A</c:v>
                </c:pt>
                <c:pt idx="1">
                  <c:v>S01B</c:v>
                </c:pt>
                <c:pt idx="2">
                  <c:v>S01D</c:v>
                </c:pt>
                <c:pt idx="3">
                  <c:v>S03C</c:v>
                </c:pt>
                <c:pt idx="4">
                  <c:v>S03E</c:v>
                </c:pt>
                <c:pt idx="5">
                  <c:v>S03F</c:v>
                </c:pt>
                <c:pt idx="6">
                  <c:v>S03G</c:v>
                </c:pt>
                <c:pt idx="7">
                  <c:v>S03H</c:v>
                </c:pt>
                <c:pt idx="8">
                  <c:v>S10A</c:v>
                </c:pt>
                <c:pt idx="9">
                  <c:v>S10B</c:v>
                </c:pt>
                <c:pt idx="10">
                  <c:v>S10C</c:v>
                </c:pt>
                <c:pt idx="11">
                  <c:v>S10D</c:v>
                </c:pt>
                <c:pt idx="12">
                  <c:v>S13K</c:v>
                </c:pt>
                <c:pt idx="13">
                  <c:v>S13L</c:v>
                </c:pt>
                <c:pt idx="14">
                  <c:v>S15A</c:v>
                </c:pt>
                <c:pt idx="15">
                  <c:v>S15C</c:v>
                </c:pt>
                <c:pt idx="16">
                  <c:v>S16A</c:v>
                </c:pt>
                <c:pt idx="17">
                  <c:v>S16B</c:v>
                </c:pt>
                <c:pt idx="18">
                  <c:v>S16C</c:v>
                </c:pt>
                <c:pt idx="19">
                  <c:v>S16D</c:v>
                </c:pt>
                <c:pt idx="20">
                  <c:v>S20A</c:v>
                </c:pt>
                <c:pt idx="21">
                  <c:v>S20B</c:v>
                </c:pt>
                <c:pt idx="22">
                  <c:v>S20C</c:v>
                </c:pt>
                <c:pt idx="23">
                  <c:v>S22A</c:v>
                </c:pt>
                <c:pt idx="24">
                  <c:v>S22C</c:v>
                </c:pt>
                <c:pt idx="25">
                  <c:v>S22G</c:v>
                </c:pt>
                <c:pt idx="26">
                  <c:v>S22I</c:v>
                </c:pt>
                <c:pt idx="27">
                  <c:v>S22J</c:v>
                </c:pt>
                <c:pt idx="28">
                  <c:v>S22K</c:v>
                </c:pt>
                <c:pt idx="29">
                  <c:v>S22L</c:v>
                </c:pt>
                <c:pt idx="30">
                  <c:v>S22P</c:v>
                </c:pt>
                <c:pt idx="31">
                  <c:v>S26A</c:v>
                </c:pt>
                <c:pt idx="32">
                  <c:v>S26B</c:v>
                </c:pt>
                <c:pt idx="33">
                  <c:v>S26C</c:v>
                </c:pt>
                <c:pt idx="34">
                  <c:v>S26D</c:v>
                </c:pt>
                <c:pt idx="35">
                  <c:v>S26G</c:v>
                </c:pt>
                <c:pt idx="36">
                  <c:v>S26I</c:v>
                </c:pt>
                <c:pt idx="37">
                  <c:v>S26X</c:v>
                </c:pt>
                <c:pt idx="38">
                  <c:v>S32A</c:v>
                </c:pt>
                <c:pt idx="39">
                  <c:v>S32D</c:v>
                </c:pt>
                <c:pt idx="40">
                  <c:v>S32E</c:v>
                </c:pt>
                <c:pt idx="41">
                  <c:v>S32F</c:v>
                </c:pt>
                <c:pt idx="42">
                  <c:v>S32G</c:v>
                </c:pt>
                <c:pt idx="43">
                  <c:v>S32I</c:v>
                </c:pt>
                <c:pt idx="44">
                  <c:v>S34A</c:v>
                </c:pt>
                <c:pt idx="45">
                  <c:v>S34B</c:v>
                </c:pt>
                <c:pt idx="46">
                  <c:v>S34C</c:v>
                </c:pt>
                <c:pt idx="47">
                  <c:v>S34F</c:v>
                </c:pt>
              </c:strCache>
            </c:strRef>
          </c:cat>
          <c:val>
            <c:numRef>
              <c:f>pivot!$F$4:$F$52</c:f>
              <c:numCache>
                <c:formatCode>#,##0.00</c:formatCode>
                <c:ptCount val="48"/>
                <c:pt idx="0">
                  <c:v>0</c:v>
                </c:pt>
                <c:pt idx="1">
                  <c:v>-24.444019999999998</c:v>
                </c:pt>
                <c:pt idx="2">
                  <c:v>20.27563</c:v>
                </c:pt>
                <c:pt idx="3">
                  <c:v>-32.851009999999995</c:v>
                </c:pt>
                <c:pt idx="4">
                  <c:v>-3.9204599999999998</c:v>
                </c:pt>
                <c:pt idx="5">
                  <c:v>344.49955000000006</c:v>
                </c:pt>
                <c:pt idx="6">
                  <c:v>-7.9272199999999984</c:v>
                </c:pt>
                <c:pt idx="7">
                  <c:v>-143.09565999999998</c:v>
                </c:pt>
                <c:pt idx="8">
                  <c:v>-207.59406000000004</c:v>
                </c:pt>
                <c:pt idx="9">
                  <c:v>-2432.3348299999993</c:v>
                </c:pt>
                <c:pt idx="10">
                  <c:v>403.91446999999999</c:v>
                </c:pt>
                <c:pt idx="11">
                  <c:v>-56.918639999999996</c:v>
                </c:pt>
                <c:pt idx="12">
                  <c:v>-227.55707000000007</c:v>
                </c:pt>
                <c:pt idx="13">
                  <c:v>28.253990000000023</c:v>
                </c:pt>
                <c:pt idx="14">
                  <c:v>-156.99604999999997</c:v>
                </c:pt>
                <c:pt idx="15">
                  <c:v>-42.245409999999993</c:v>
                </c:pt>
                <c:pt idx="16">
                  <c:v>-54.008780000000002</c:v>
                </c:pt>
                <c:pt idx="17">
                  <c:v>1067.1801699999999</c:v>
                </c:pt>
                <c:pt idx="18">
                  <c:v>-1.4256</c:v>
                </c:pt>
                <c:pt idx="19">
                  <c:v>-199.86129000000003</c:v>
                </c:pt>
                <c:pt idx="20">
                  <c:v>-0.15</c:v>
                </c:pt>
                <c:pt idx="21">
                  <c:v>-24.137720000000002</c:v>
                </c:pt>
                <c:pt idx="22">
                  <c:v>25.96459999999999</c:v>
                </c:pt>
                <c:pt idx="23">
                  <c:v>63.344239999999971</c:v>
                </c:pt>
                <c:pt idx="24">
                  <c:v>-17.18937</c:v>
                </c:pt>
                <c:pt idx="25">
                  <c:v>-28.091450000000002</c:v>
                </c:pt>
                <c:pt idx="26">
                  <c:v>-41.547139999999992</c:v>
                </c:pt>
                <c:pt idx="27">
                  <c:v>-11.8058</c:v>
                </c:pt>
                <c:pt idx="28">
                  <c:v>-216.39837999999995</c:v>
                </c:pt>
                <c:pt idx="29">
                  <c:v>-134.35306999999995</c:v>
                </c:pt>
                <c:pt idx="30">
                  <c:v>3.5721399999999996</c:v>
                </c:pt>
                <c:pt idx="31">
                  <c:v>-262.12623999999994</c:v>
                </c:pt>
                <c:pt idx="32">
                  <c:v>101.608</c:v>
                </c:pt>
                <c:pt idx="33">
                  <c:v>8.6857099999999914</c:v>
                </c:pt>
                <c:pt idx="34">
                  <c:v>-1.6035499999999951</c:v>
                </c:pt>
                <c:pt idx="35">
                  <c:v>12.54983</c:v>
                </c:pt>
                <c:pt idx="36">
                  <c:v>47.691249999999989</c:v>
                </c:pt>
                <c:pt idx="37">
                  <c:v>362.29019999999997</c:v>
                </c:pt>
                <c:pt idx="38">
                  <c:v>-101.88952</c:v>
                </c:pt>
                <c:pt idx="39">
                  <c:v>-34.532749999999993</c:v>
                </c:pt>
                <c:pt idx="40">
                  <c:v>-32.117649999999998</c:v>
                </c:pt>
                <c:pt idx="41">
                  <c:v>2.3717600000000001</c:v>
                </c:pt>
                <c:pt idx="42">
                  <c:v>-6.1853400000000001</c:v>
                </c:pt>
                <c:pt idx="43">
                  <c:v>-0.41500000000000004</c:v>
                </c:pt>
                <c:pt idx="44">
                  <c:v>-1.40086</c:v>
                </c:pt>
                <c:pt idx="45">
                  <c:v>228.37369000000001</c:v>
                </c:pt>
                <c:pt idx="46">
                  <c:v>-29.502830000000003</c:v>
                </c:pt>
                <c:pt idx="47">
                  <c:v>-15.163320000000001</c:v>
                </c:pt>
              </c:numCache>
            </c:numRef>
          </c:val>
          <c:extLst>
            <c:ext xmlns:c16="http://schemas.microsoft.com/office/drawing/2014/chart" uri="{C3380CC4-5D6E-409C-BE32-E72D297353CC}">
              <c16:uniqueId val="{00000000-42DD-4E12-92DD-ED2A27A50C2E}"/>
            </c:ext>
          </c:extLst>
        </c:ser>
        <c:dLbls>
          <c:showLegendKey val="0"/>
          <c:showVal val="0"/>
          <c:showCatName val="0"/>
          <c:showSerName val="0"/>
          <c:showPercent val="0"/>
          <c:showBubbleSize val="0"/>
        </c:dLbls>
        <c:gapWidth val="219"/>
        <c:overlap val="-27"/>
        <c:axId val="1019635632"/>
        <c:axId val="1019633672"/>
      </c:barChart>
      <c:catAx>
        <c:axId val="101963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33672"/>
        <c:crosses val="autoZero"/>
        <c:auto val="1"/>
        <c:lblAlgn val="ctr"/>
        <c:lblOffset val="100"/>
        <c:noMultiLvlLbl val="0"/>
      </c:catAx>
      <c:valAx>
        <c:axId val="1019633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35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269875</xdr:colOff>
      <xdr:row>4</xdr:row>
      <xdr:rowOff>111125</xdr:rowOff>
    </xdr:from>
    <xdr:to>
      <xdr:col>15</xdr:col>
      <xdr:colOff>574675</xdr:colOff>
      <xdr:row>21</xdr:row>
      <xdr:rowOff>155575</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533400</xdr:colOff>
      <xdr:row>3</xdr:row>
      <xdr:rowOff>107950</xdr:rowOff>
    </xdr:to>
    <xdr:pic>
      <xdr:nvPicPr>
        <xdr:cNvPr id="2" name="Picture 1" descr="image005">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102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63500</xdr:colOff>
      <xdr:row>7</xdr:row>
      <xdr:rowOff>44450</xdr:rowOff>
    </xdr:from>
    <xdr:to>
      <xdr:col>7</xdr:col>
      <xdr:colOff>508000</xdr:colOff>
      <xdr:row>10</xdr:row>
      <xdr:rowOff>31750</xdr:rowOff>
    </xdr:to>
    <xdr:pic>
      <xdr:nvPicPr>
        <xdr:cNvPr id="3" name="Picture 2" descr="image006">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155700"/>
          <a:ext cx="47117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ial-Management-Capital-Strategy\1.M.A.T\Budget%20Setting%20Process\Budget%202016-17\Establishment\OCC%20Establishment%2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ancial-Management-Capital-Strategy\Accountancy\Budgets\Budget%202014-15\CE\CE%20Funding%20Switch%20-%20Oxpens%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Financial-Management-Capital-Strategy\1.M.A.T\Budget%20Setting%20Process\Budget%202016-17\Establishment\OCC%20Establishment%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Management-Capital-Strategy\Accountancy\Management%20Team\S23%20Direct%20Services\2013-14\Establishment\Salaries%202013-14%20Direct%20Services%20Budget%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Management-Capital-Strategy\Accountancy\Monitoring\2013-2014\Salaries\06%20Sept%202013\S14%20Property%20Sept%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nancial-Management-Capital-Strategy/1.M.A.T/Corporate%20Monitoring/2020-21/202103%20-%20June%202020/Appendices%20and%20Supporting%20Info/GF/AppA%20GF%20June%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My%20User%20Profile\awinship\Desktop\COVID%2019%20info\OTA%20COVID-19%20Cost%20Tracker%20V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ial-Management-Capital-Strategy/1.M.A.T/Corporate%20Monitoring/2022-23/202212%20-%20March%202023/Appendices%20&amp;%20Supporting%20Information/AppA%20GF%20March%202023%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groups\groups\Corporate\Barcode\ac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groups\groups\Financial-Management-Capital-Strategy\Accountancy\Treasury%20Management\Interest\0506\February\External%20Creditors%20-%20AMRA%20Inter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ancial-Management-Capital-Strategy\Accountancy\Budget%202015-16\Budget%20Documents%2015-16\04%20-%20Director%20Meetings\Capital%20Project%20Briefs\Capital%20Budget%20at%202609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16-v-fls-pl-89\Home_Folder_1\Abovo%20appraisals\Abovo%20Appraisal%20Work%20Aug%2019\OCHL%20appraisals%20-%20Sep%2019\OCHL%20Business%20Plan%20-%20Re-Fresh%20020920%20-%20Sept%20-%20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local\data\Abovo%20appraisals\Business%20Plan%20Appraisals%2017%20Oct%20AW\Business%20Plans\Copy%20of%20OCHL%20(Group)%20Business%20Plan%20v19_0500%20-%20dw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Adrian.Wood\AppData\Local\Microsoft\Windows\Temporary%20Internet%20Files\Content.Outlook\66YYQ9A6\Oxford%20-%20Westgate%20Development%20(Estimat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ial-Management-Capital-Strategy\1.M.A.T\Budget%20Setting%20Process\Budget%202016-17\Capital\Copy%20of%20Capital%20prioritisation%201617%20v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groups\groups\Financial-Management-Capital-Strategy\Accountancy\VAT\Control\Bal%20Sheet%20Rec%20Forms%2005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Summary"/>
      <sheetName val="Councillors"/>
      <sheetName val="Staff Details"/>
      <sheetName val="SCP"/>
      <sheetName val="Funds"/>
      <sheetName val="Bud Adj"/>
      <sheetName val="NI Calcs"/>
      <sheetName val="Snapshot Sept"/>
      <sheetName val="SCP 201617"/>
      <sheetName val="Sheet1"/>
    </sheetNames>
    <sheetDataSet>
      <sheetData sheetId="0"/>
      <sheetData sheetId="1"/>
      <sheetData sheetId="2"/>
      <sheetData sheetId="3"/>
      <sheetData sheetId="4">
        <row r="1">
          <cell r="A1" t="str">
            <v>APT&amp;C (NJC) Pay Rates wef 01/04/15</v>
          </cell>
        </row>
      </sheetData>
      <sheetData sheetId="5"/>
      <sheetData sheetId="6"/>
      <sheetData sheetId="7">
        <row r="11">
          <cell r="A11" t="str">
            <v>SCP</v>
          </cell>
          <cell r="B11">
            <v>17</v>
          </cell>
          <cell r="C11">
            <v>17.5</v>
          </cell>
          <cell r="D11">
            <v>18</v>
          </cell>
          <cell r="E11">
            <v>19</v>
          </cell>
          <cell r="F11">
            <v>20</v>
          </cell>
          <cell r="G11">
            <v>21</v>
          </cell>
          <cell r="H11">
            <v>22</v>
          </cell>
          <cell r="I11">
            <v>23</v>
          </cell>
          <cell r="J11">
            <v>24</v>
          </cell>
          <cell r="K11">
            <v>25</v>
          </cell>
          <cell r="L11">
            <v>26</v>
          </cell>
          <cell r="M11">
            <v>27</v>
          </cell>
          <cell r="N11">
            <v>28</v>
          </cell>
          <cell r="O11">
            <v>29</v>
          </cell>
          <cell r="P11">
            <v>30</v>
          </cell>
          <cell r="Q11">
            <v>31</v>
          </cell>
          <cell r="R11">
            <v>32</v>
          </cell>
          <cell r="S11">
            <v>33</v>
          </cell>
          <cell r="T11">
            <v>34</v>
          </cell>
          <cell r="U11">
            <v>35</v>
          </cell>
          <cell r="V11">
            <v>36</v>
          </cell>
          <cell r="W11">
            <v>37</v>
          </cell>
          <cell r="X11">
            <v>38</v>
          </cell>
          <cell r="Y11">
            <v>39</v>
          </cell>
          <cell r="Z11">
            <v>40</v>
          </cell>
          <cell r="AA11">
            <v>41</v>
          </cell>
          <cell r="AB11">
            <v>42</v>
          </cell>
          <cell r="AC11">
            <v>43</v>
          </cell>
          <cell r="AD11">
            <v>44</v>
          </cell>
          <cell r="AE11">
            <v>45</v>
          </cell>
          <cell r="AF11">
            <v>46</v>
          </cell>
          <cell r="AG11">
            <v>46.5</v>
          </cell>
          <cell r="AH11">
            <v>47</v>
          </cell>
          <cell r="AI11">
            <v>48</v>
          </cell>
          <cell r="AJ11">
            <v>49</v>
          </cell>
          <cell r="AK11">
            <v>50</v>
          </cell>
          <cell r="AL11">
            <v>50.5</v>
          </cell>
          <cell r="AM11">
            <v>51</v>
          </cell>
          <cell r="AN11">
            <v>52</v>
          </cell>
          <cell r="AO11">
            <v>53</v>
          </cell>
          <cell r="AP11">
            <v>54</v>
          </cell>
          <cell r="AQ11">
            <v>54.5</v>
          </cell>
          <cell r="AR11">
            <v>55</v>
          </cell>
          <cell r="AS11">
            <v>56</v>
          </cell>
          <cell r="AT11">
            <v>400</v>
          </cell>
          <cell r="AU11">
            <v>401</v>
          </cell>
          <cell r="AV11">
            <v>402</v>
          </cell>
          <cell r="AW11">
            <v>403</v>
          </cell>
          <cell r="AX11">
            <v>404</v>
          </cell>
          <cell r="AY11">
            <v>405</v>
          </cell>
          <cell r="AZ11">
            <v>406</v>
          </cell>
          <cell r="BA11">
            <v>407</v>
          </cell>
          <cell r="BB11">
            <v>408</v>
          </cell>
          <cell r="BC11">
            <v>409</v>
          </cell>
          <cell r="BD11">
            <v>410</v>
          </cell>
          <cell r="BE11">
            <v>411</v>
          </cell>
          <cell r="BF11">
            <v>412</v>
          </cell>
          <cell r="BG11">
            <v>413</v>
          </cell>
          <cell r="BH11">
            <v>414</v>
          </cell>
          <cell r="BI11">
            <v>415</v>
          </cell>
          <cell r="BJ11">
            <v>416</v>
          </cell>
          <cell r="BK11">
            <v>417</v>
          </cell>
          <cell r="BL11">
            <v>418</v>
          </cell>
          <cell r="BM11">
            <v>419</v>
          </cell>
          <cell r="BN11">
            <v>420</v>
          </cell>
          <cell r="BO11">
            <v>421</v>
          </cell>
          <cell r="BP11">
            <v>422</v>
          </cell>
          <cell r="BQ11">
            <v>423</v>
          </cell>
          <cell r="BR11">
            <v>424</v>
          </cell>
          <cell r="BS11">
            <v>425</v>
          </cell>
          <cell r="BT11">
            <v>426</v>
          </cell>
          <cell r="BU11">
            <v>427</v>
          </cell>
          <cell r="BV11">
            <v>428</v>
          </cell>
          <cell r="BW11">
            <v>429</v>
          </cell>
          <cell r="BX11">
            <v>430</v>
          </cell>
          <cell r="BY11">
            <v>431</v>
          </cell>
          <cell r="BZ11">
            <v>432</v>
          </cell>
          <cell r="CA11">
            <v>433</v>
          </cell>
          <cell r="CB11">
            <v>444</v>
          </cell>
          <cell r="CC11">
            <v>450</v>
          </cell>
          <cell r="CD11">
            <v>451</v>
          </cell>
          <cell r="CE11">
            <v>452</v>
          </cell>
          <cell r="CF11">
            <v>453</v>
          </cell>
          <cell r="CG11">
            <v>454</v>
          </cell>
          <cell r="CH11">
            <v>455</v>
          </cell>
          <cell r="CI11">
            <v>456</v>
          </cell>
          <cell r="CJ11">
            <v>457</v>
          </cell>
          <cell r="CK11">
            <v>460</v>
          </cell>
          <cell r="CL11">
            <v>490</v>
          </cell>
          <cell r="CM11">
            <v>491</v>
          </cell>
          <cell r="CN11">
            <v>492</v>
          </cell>
          <cell r="CO11">
            <v>493</v>
          </cell>
          <cell r="CP11">
            <v>494</v>
          </cell>
          <cell r="CQ11">
            <v>495</v>
          </cell>
          <cell r="CR11">
            <v>496</v>
          </cell>
          <cell r="CS11">
            <v>497</v>
          </cell>
          <cell r="CT11">
            <v>498</v>
          </cell>
          <cell r="CU11">
            <v>611</v>
          </cell>
          <cell r="CV11" t="str">
            <v>E75</v>
          </cell>
          <cell r="CW11" t="str">
            <v>E1</v>
          </cell>
          <cell r="CX11" t="str">
            <v>E2</v>
          </cell>
          <cell r="CY11" t="str">
            <v>E3</v>
          </cell>
          <cell r="CZ11" t="str">
            <v>E4</v>
          </cell>
          <cell r="DA11" t="str">
            <v>P1</v>
          </cell>
          <cell r="DB11" t="str">
            <v>P2</v>
          </cell>
          <cell r="DC11" t="str">
            <v>P3</v>
          </cell>
          <cell r="DD11" t="str">
            <v>P4</v>
          </cell>
          <cell r="DE11" t="str">
            <v>P75</v>
          </cell>
          <cell r="DF11" t="str">
            <v>P90</v>
          </cell>
          <cell r="DG11" t="str">
            <v>P95</v>
          </cell>
          <cell r="DH11" t="str">
            <v>GT1</v>
          </cell>
          <cell r="DI11" t="str">
            <v>GT2</v>
          </cell>
          <cell r="DJ11" t="str">
            <v>GT3</v>
          </cell>
          <cell r="DK11" t="str">
            <v>B</v>
          </cell>
          <cell r="DL11" t="str">
            <v>C</v>
          </cell>
          <cell r="DM11" t="str">
            <v>D</v>
          </cell>
          <cell r="DN11" t="str">
            <v>E</v>
          </cell>
          <cell r="DO11" t="str">
            <v>F</v>
          </cell>
          <cell r="DP11" t="str">
            <v>F95</v>
          </cell>
          <cell r="DQ11" t="str">
            <v>G</v>
          </cell>
          <cell r="DR11" t="str">
            <v>G1</v>
          </cell>
          <cell r="DS11" t="str">
            <v>G2</v>
          </cell>
          <cell r="DT11" t="str">
            <v>GT75</v>
          </cell>
          <cell r="DU11" t="str">
            <v>GMA</v>
          </cell>
          <cell r="DV11" t="str">
            <v>H</v>
          </cell>
          <cell r="DW11" t="str">
            <v>J90</v>
          </cell>
          <cell r="DX11" t="str">
            <v>BAA 1</v>
          </cell>
          <cell r="DY11" t="str">
            <v>BAA 2</v>
          </cell>
          <cell r="DZ11" t="str">
            <v>BL 2</v>
          </cell>
          <cell r="EA11" t="str">
            <v>BL 3</v>
          </cell>
          <cell r="EB11" t="str">
            <v>BL 4</v>
          </cell>
          <cell r="EC11" t="str">
            <v>BL 7</v>
          </cell>
          <cell r="ED11" t="str">
            <v>BL 8</v>
          </cell>
          <cell r="EE11" t="str">
            <v>CEX 1</v>
          </cell>
          <cell r="EF11" t="str">
            <v>CEX 2</v>
          </cell>
          <cell r="EG11" t="str">
            <v>D 3</v>
          </cell>
          <cell r="EH11" t="str">
            <v>DHOS</v>
          </cell>
          <cell r="EI11" t="str">
            <v>SH 1</v>
          </cell>
          <cell r="EJ11" t="str">
            <v>SH 3</v>
          </cell>
          <cell r="EK11" t="str">
            <v>SH 4</v>
          </cell>
          <cell r="EL11" t="str">
            <v>SH 5</v>
          </cell>
          <cell r="EM11" t="str">
            <v>SH 6</v>
          </cell>
          <cell r="EN11" t="str">
            <v>SME 1</v>
          </cell>
          <cell r="EO11" t="str">
            <v>SME 2</v>
          </cell>
          <cell r="EP11" t="str">
            <v>T1</v>
          </cell>
          <cell r="EQ11" t="str">
            <v>T2</v>
          </cell>
          <cell r="ER11" t="str">
            <v>T3</v>
          </cell>
          <cell r="ES11" t="str">
            <v>OLW</v>
          </cell>
          <cell r="ET11" t="str">
            <v>OLW2</v>
          </cell>
          <cell r="EU11" t="str">
            <v>CL1</v>
          </cell>
          <cell r="EV11" t="str">
            <v>CL2</v>
          </cell>
          <cell r="EW11" t="str">
            <v>CL3</v>
          </cell>
        </row>
        <row r="12">
          <cell r="A12" t="str">
            <v>SCP£</v>
          </cell>
          <cell r="B12">
            <v>17598</v>
          </cell>
          <cell r="C12">
            <v>17772</v>
          </cell>
          <cell r="D12">
            <v>17944</v>
          </cell>
          <cell r="E12">
            <v>18615</v>
          </cell>
          <cell r="F12">
            <v>19296</v>
          </cell>
          <cell r="G12">
            <v>20000</v>
          </cell>
          <cell r="H12">
            <v>20517</v>
          </cell>
          <cell r="I12">
            <v>21121</v>
          </cell>
          <cell r="J12">
            <v>21811</v>
          </cell>
          <cell r="K12">
            <v>22503</v>
          </cell>
          <cell r="L12">
            <v>23235</v>
          </cell>
          <cell r="M12">
            <v>24007</v>
          </cell>
          <cell r="N12">
            <v>24791</v>
          </cell>
          <cell r="O12">
            <v>25772</v>
          </cell>
          <cell r="P12">
            <v>26636</v>
          </cell>
          <cell r="Q12">
            <v>27476</v>
          </cell>
          <cell r="R12">
            <v>28288</v>
          </cell>
          <cell r="S12">
            <v>29121</v>
          </cell>
          <cell r="T12">
            <v>29945</v>
          </cell>
          <cell r="U12">
            <v>30572</v>
          </cell>
          <cell r="V12">
            <v>31382</v>
          </cell>
          <cell r="W12">
            <v>32261</v>
          </cell>
          <cell r="X12">
            <v>33204</v>
          </cell>
          <cell r="Y12">
            <v>34298</v>
          </cell>
          <cell r="Z12">
            <v>35198</v>
          </cell>
          <cell r="AA12">
            <v>36127</v>
          </cell>
          <cell r="AB12">
            <v>37048</v>
          </cell>
          <cell r="AC12">
            <v>37972</v>
          </cell>
          <cell r="AD12">
            <v>38905</v>
          </cell>
          <cell r="AE12">
            <v>39780</v>
          </cell>
          <cell r="AF12">
            <v>40740</v>
          </cell>
          <cell r="AG12">
            <v>41208</v>
          </cell>
          <cell r="AH12">
            <v>41676</v>
          </cell>
          <cell r="AI12">
            <v>42602</v>
          </cell>
          <cell r="AJ12">
            <v>43517</v>
          </cell>
          <cell r="AK12">
            <v>45280</v>
          </cell>
          <cell r="AL12">
            <v>46161</v>
          </cell>
          <cell r="AM12">
            <v>47041</v>
          </cell>
          <cell r="AN12">
            <v>48805</v>
          </cell>
          <cell r="AO12">
            <v>50743</v>
          </cell>
          <cell r="AP12">
            <v>52683</v>
          </cell>
          <cell r="AQ12">
            <v>53672</v>
          </cell>
          <cell r="AR12">
            <v>54663</v>
          </cell>
          <cell r="AS12">
            <v>56560</v>
          </cell>
          <cell r="AT12">
            <v>69705</v>
          </cell>
          <cell r="AU12">
            <v>47840</v>
          </cell>
          <cell r="AV12">
            <v>49048</v>
          </cell>
          <cell r="AW12">
            <v>50263</v>
          </cell>
          <cell r="AX12">
            <v>51470</v>
          </cell>
          <cell r="AY12">
            <v>52079</v>
          </cell>
          <cell r="AZ12">
            <v>53291</v>
          </cell>
          <cell r="BA12">
            <v>54497</v>
          </cell>
          <cell r="BB12">
            <v>55713</v>
          </cell>
          <cell r="BC12">
            <v>56314</v>
          </cell>
          <cell r="BD12">
            <v>57530</v>
          </cell>
          <cell r="BE12">
            <v>58737</v>
          </cell>
          <cell r="BF12">
            <v>59952</v>
          </cell>
          <cell r="BG12">
            <v>60554</v>
          </cell>
          <cell r="BH12">
            <v>61768</v>
          </cell>
          <cell r="BI12">
            <v>62976</v>
          </cell>
          <cell r="BJ12">
            <v>64192</v>
          </cell>
          <cell r="BK12">
            <v>64798</v>
          </cell>
          <cell r="BL12">
            <v>52807</v>
          </cell>
          <cell r="BM12">
            <v>67214</v>
          </cell>
          <cell r="BN12">
            <v>68430</v>
          </cell>
          <cell r="BO12">
            <v>70109</v>
          </cell>
          <cell r="BP12">
            <v>85626</v>
          </cell>
          <cell r="BQ12">
            <v>91161</v>
          </cell>
          <cell r="BR12">
            <v>86510</v>
          </cell>
          <cell r="BS12">
            <v>62837</v>
          </cell>
          <cell r="BT12">
            <v>50694</v>
          </cell>
          <cell r="BU12">
            <v>52807</v>
          </cell>
          <cell r="BV12">
            <v>63368</v>
          </cell>
          <cell r="BW12">
            <v>81323</v>
          </cell>
          <cell r="BX12">
            <v>73930</v>
          </cell>
          <cell r="BY12">
            <v>86603</v>
          </cell>
          <cell r="BZ12">
            <v>90827</v>
          </cell>
          <cell r="CA12">
            <v>114590</v>
          </cell>
          <cell r="CB12">
            <v>66307</v>
          </cell>
          <cell r="CC12">
            <v>74835.929999999993</v>
          </cell>
          <cell r="CD12">
            <v>82961</v>
          </cell>
          <cell r="CE12">
            <v>84777</v>
          </cell>
          <cell r="CF12">
            <v>86597</v>
          </cell>
          <cell r="CG12">
            <v>88410</v>
          </cell>
          <cell r="CH12">
            <v>90230</v>
          </cell>
          <cell r="CI12">
            <v>92047</v>
          </cell>
          <cell r="CJ12">
            <v>70761</v>
          </cell>
          <cell r="CK12">
            <v>82842</v>
          </cell>
          <cell r="CL12">
            <v>107874</v>
          </cell>
          <cell r="CM12">
            <v>146395</v>
          </cell>
          <cell r="CN12">
            <v>98967</v>
          </cell>
          <cell r="CO12">
            <v>89928</v>
          </cell>
          <cell r="CP12">
            <v>94524</v>
          </cell>
          <cell r="CQ12">
            <v>65668</v>
          </cell>
          <cell r="CR12">
            <v>114502</v>
          </cell>
          <cell r="CS12">
            <v>79471</v>
          </cell>
          <cell r="CT12">
            <v>77381</v>
          </cell>
          <cell r="CU12">
            <v>56560</v>
          </cell>
          <cell r="CV12">
            <v>25120</v>
          </cell>
          <cell r="CW12">
            <v>9108</v>
          </cell>
          <cell r="CX12">
            <v>10871</v>
          </cell>
          <cell r="CY12">
            <v>16746</v>
          </cell>
          <cell r="CZ12">
            <v>18804</v>
          </cell>
          <cell r="DA12">
            <v>8813</v>
          </cell>
          <cell r="DB12">
            <v>10576</v>
          </cell>
          <cell r="DC12">
            <v>16453</v>
          </cell>
          <cell r="DD12">
            <v>18214</v>
          </cell>
          <cell r="DE12">
            <v>25119</v>
          </cell>
          <cell r="DF12">
            <v>30142</v>
          </cell>
          <cell r="DG12">
            <v>31817</v>
          </cell>
          <cell r="DH12">
            <v>8228</v>
          </cell>
          <cell r="DI12">
            <v>9989</v>
          </cell>
          <cell r="DJ12">
            <v>16435</v>
          </cell>
          <cell r="DK12">
            <v>22917</v>
          </cell>
          <cell r="DL12">
            <v>24680</v>
          </cell>
          <cell r="DM12">
            <v>27324</v>
          </cell>
          <cell r="DN12">
            <v>31729</v>
          </cell>
          <cell r="DO12">
            <v>33492</v>
          </cell>
          <cell r="DP12">
            <v>31817.4</v>
          </cell>
          <cell r="DQ12">
            <v>35255</v>
          </cell>
          <cell r="DR12">
            <v>8684</v>
          </cell>
          <cell r="DS12">
            <v>9989</v>
          </cell>
          <cell r="DT12">
            <v>18511</v>
          </cell>
          <cell r="DU12">
            <v>8080.8</v>
          </cell>
          <cell r="DV12">
            <v>37899</v>
          </cell>
          <cell r="DW12">
            <v>22830</v>
          </cell>
          <cell r="DX12">
            <v>10398</v>
          </cell>
          <cell r="DY12">
            <v>12506</v>
          </cell>
          <cell r="DZ12">
            <v>63094</v>
          </cell>
          <cell r="EA12">
            <v>63368</v>
          </cell>
          <cell r="EB12">
            <v>64191</v>
          </cell>
          <cell r="EC12">
            <v>68430</v>
          </cell>
          <cell r="ED12">
            <v>69715</v>
          </cell>
          <cell r="EE12">
            <v>146394</v>
          </cell>
          <cell r="EF12">
            <v>151027</v>
          </cell>
          <cell r="EG12">
            <v>114591</v>
          </cell>
          <cell r="EH12">
            <v>69898</v>
          </cell>
          <cell r="EI12">
            <v>76125</v>
          </cell>
          <cell r="EJ12">
            <v>83224</v>
          </cell>
          <cell r="EK12">
            <v>86603</v>
          </cell>
          <cell r="EL12">
            <v>89983</v>
          </cell>
          <cell r="EM12">
            <v>98967</v>
          </cell>
          <cell r="EN12">
            <v>58723</v>
          </cell>
          <cell r="EO12">
            <v>60900</v>
          </cell>
          <cell r="EP12">
            <v>15853.76</v>
          </cell>
          <cell r="EQ12">
            <v>21798.92</v>
          </cell>
          <cell r="ER12">
            <v>29824.85</v>
          </cell>
          <cell r="ES12">
            <v>16158</v>
          </cell>
          <cell r="ET12">
            <v>10398</v>
          </cell>
          <cell r="EU12">
            <v>61435</v>
          </cell>
          <cell r="EV12">
            <v>63094</v>
          </cell>
          <cell r="EW12">
            <v>64721</v>
          </cell>
        </row>
        <row r="13">
          <cell r="A13" t="str">
            <v>% LOWER</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row>
        <row r="14">
          <cell r="A14" t="str">
            <v>NI</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row>
        <row r="15">
          <cell r="A15">
            <v>0</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row>
        <row r="16">
          <cell r="A16" t="str">
            <v>% ABOVE LOWER</v>
          </cell>
          <cell r="B16">
            <v>0.104</v>
          </cell>
          <cell r="C16">
            <v>0.104</v>
          </cell>
          <cell r="D16">
            <v>0.104</v>
          </cell>
          <cell r="E16">
            <v>0.104</v>
          </cell>
          <cell r="F16">
            <v>0.104</v>
          </cell>
          <cell r="G16">
            <v>0.104</v>
          </cell>
          <cell r="H16">
            <v>0.104</v>
          </cell>
          <cell r="I16">
            <v>0.104</v>
          </cell>
          <cell r="J16">
            <v>0.104</v>
          </cell>
          <cell r="K16">
            <v>0.104</v>
          </cell>
          <cell r="L16">
            <v>0.104</v>
          </cell>
          <cell r="M16">
            <v>0.104</v>
          </cell>
          <cell r="N16">
            <v>0.104</v>
          </cell>
          <cell r="O16">
            <v>0.104</v>
          </cell>
          <cell r="P16">
            <v>0.104</v>
          </cell>
          <cell r="Q16">
            <v>0.104</v>
          </cell>
          <cell r="R16">
            <v>0.104</v>
          </cell>
          <cell r="S16">
            <v>0.104</v>
          </cell>
          <cell r="T16">
            <v>0.104</v>
          </cell>
          <cell r="U16">
            <v>0.104</v>
          </cell>
          <cell r="V16">
            <v>0.104</v>
          </cell>
          <cell r="W16">
            <v>0.104</v>
          </cell>
          <cell r="X16">
            <v>0.104</v>
          </cell>
          <cell r="Y16">
            <v>0.104</v>
          </cell>
          <cell r="Z16">
            <v>0.104</v>
          </cell>
          <cell r="AA16">
            <v>0.104</v>
          </cell>
          <cell r="AB16">
            <v>0.104</v>
          </cell>
          <cell r="AC16">
            <v>0.104</v>
          </cell>
          <cell r="AD16">
            <v>0.104</v>
          </cell>
          <cell r="AE16">
            <v>0.104</v>
          </cell>
          <cell r="AF16">
            <v>0.104</v>
          </cell>
          <cell r="AG16">
            <v>0.104</v>
          </cell>
          <cell r="AH16">
            <v>0.104</v>
          </cell>
          <cell r="AI16">
            <v>0.104</v>
          </cell>
          <cell r="AJ16">
            <v>0.104</v>
          </cell>
          <cell r="AK16">
            <v>0.104</v>
          </cell>
          <cell r="AL16">
            <v>0.104</v>
          </cell>
          <cell r="AM16">
            <v>0.104</v>
          </cell>
          <cell r="AN16">
            <v>0.104</v>
          </cell>
          <cell r="AO16">
            <v>0.104</v>
          </cell>
          <cell r="AP16">
            <v>0.104</v>
          </cell>
          <cell r="AQ16">
            <v>0.104</v>
          </cell>
          <cell r="AR16">
            <v>0.104</v>
          </cell>
          <cell r="AS16">
            <v>0.104</v>
          </cell>
          <cell r="AT16">
            <v>0.104</v>
          </cell>
          <cell r="AU16">
            <v>0.104</v>
          </cell>
          <cell r="AV16">
            <v>0.104</v>
          </cell>
          <cell r="AW16">
            <v>0.104</v>
          </cell>
          <cell r="AX16">
            <v>0.104</v>
          </cell>
          <cell r="AY16">
            <v>0.104</v>
          </cell>
          <cell r="AZ16">
            <v>0.104</v>
          </cell>
          <cell r="BA16">
            <v>0.104</v>
          </cell>
          <cell r="BB16">
            <v>0.104</v>
          </cell>
          <cell r="BC16">
            <v>0.104</v>
          </cell>
          <cell r="BD16">
            <v>0.104</v>
          </cell>
          <cell r="BE16">
            <v>0.104</v>
          </cell>
          <cell r="BF16">
            <v>0.104</v>
          </cell>
          <cell r="BG16">
            <v>0.104</v>
          </cell>
          <cell r="BH16">
            <v>0.104</v>
          </cell>
          <cell r="BI16">
            <v>0.104</v>
          </cell>
          <cell r="BJ16">
            <v>0.104</v>
          </cell>
          <cell r="BK16">
            <v>0.104</v>
          </cell>
          <cell r="BL16">
            <v>0.104</v>
          </cell>
          <cell r="BM16">
            <v>0.104</v>
          </cell>
          <cell r="BN16">
            <v>0.104</v>
          </cell>
          <cell r="BO16">
            <v>0.104</v>
          </cell>
          <cell r="BP16">
            <v>0.104</v>
          </cell>
          <cell r="BQ16">
            <v>0.104</v>
          </cell>
          <cell r="BR16">
            <v>0.104</v>
          </cell>
          <cell r="BS16">
            <v>0.104</v>
          </cell>
          <cell r="BT16">
            <v>0.104</v>
          </cell>
          <cell r="BU16">
            <v>0.104</v>
          </cell>
          <cell r="BV16">
            <v>0.104</v>
          </cell>
          <cell r="BW16">
            <v>0.104</v>
          </cell>
          <cell r="BX16">
            <v>0.104</v>
          </cell>
          <cell r="BY16">
            <v>0.104</v>
          </cell>
          <cell r="BZ16">
            <v>0.104</v>
          </cell>
          <cell r="CA16">
            <v>0.104</v>
          </cell>
          <cell r="CB16">
            <v>0.104</v>
          </cell>
          <cell r="CC16">
            <v>0.104</v>
          </cell>
          <cell r="CD16">
            <v>0.104</v>
          </cell>
          <cell r="CE16">
            <v>0.104</v>
          </cell>
          <cell r="CF16">
            <v>0.104</v>
          </cell>
          <cell r="CG16">
            <v>0.104</v>
          </cell>
          <cell r="CH16">
            <v>0.104</v>
          </cell>
          <cell r="CI16">
            <v>0.104</v>
          </cell>
          <cell r="CJ16">
            <v>0.104</v>
          </cell>
          <cell r="CK16">
            <v>0.104</v>
          </cell>
          <cell r="CL16">
            <v>0.104</v>
          </cell>
          <cell r="CM16">
            <v>0.104</v>
          </cell>
          <cell r="CN16">
            <v>0.104</v>
          </cell>
          <cell r="CO16">
            <v>0.104</v>
          </cell>
          <cell r="CP16">
            <v>0.104</v>
          </cell>
          <cell r="CQ16">
            <v>0.104</v>
          </cell>
          <cell r="CR16">
            <v>0.104</v>
          </cell>
          <cell r="CS16">
            <v>0.104</v>
          </cell>
          <cell r="CT16">
            <v>0.104</v>
          </cell>
          <cell r="CU16">
            <v>0.104</v>
          </cell>
          <cell r="CV16">
            <v>0.104</v>
          </cell>
          <cell r="CW16">
            <v>0.104</v>
          </cell>
          <cell r="CX16">
            <v>0.104</v>
          </cell>
          <cell r="CY16">
            <v>0.104</v>
          </cell>
          <cell r="CZ16">
            <v>0.104</v>
          </cell>
          <cell r="DA16">
            <v>0.104</v>
          </cell>
          <cell r="DB16">
            <v>0.104</v>
          </cell>
          <cell r="DC16">
            <v>0.104</v>
          </cell>
          <cell r="DD16">
            <v>0.104</v>
          </cell>
          <cell r="DE16">
            <v>0.104</v>
          </cell>
          <cell r="DF16">
            <v>0.104</v>
          </cell>
          <cell r="DG16">
            <v>0.104</v>
          </cell>
          <cell r="DH16">
            <v>0.104</v>
          </cell>
          <cell r="DI16">
            <v>0.104</v>
          </cell>
          <cell r="DJ16">
            <v>0.104</v>
          </cell>
          <cell r="DK16">
            <v>0.104</v>
          </cell>
          <cell r="DL16">
            <v>0.104</v>
          </cell>
          <cell r="DM16">
            <v>0.104</v>
          </cell>
          <cell r="DN16">
            <v>0.104</v>
          </cell>
          <cell r="DO16">
            <v>0.104</v>
          </cell>
          <cell r="DP16">
            <v>0.104</v>
          </cell>
          <cell r="DQ16">
            <v>0.104</v>
          </cell>
          <cell r="DR16">
            <v>0.104</v>
          </cell>
          <cell r="DS16">
            <v>0.104</v>
          </cell>
          <cell r="DT16">
            <v>0.104</v>
          </cell>
          <cell r="DU16">
            <v>0.104</v>
          </cell>
          <cell r="DV16">
            <v>0.104</v>
          </cell>
          <cell r="DW16">
            <v>0.104</v>
          </cell>
          <cell r="DX16">
            <v>0.104</v>
          </cell>
          <cell r="DY16">
            <v>0.104</v>
          </cell>
          <cell r="DZ16">
            <v>0.104</v>
          </cell>
          <cell r="EA16">
            <v>0.104</v>
          </cell>
          <cell r="EB16">
            <v>0.104</v>
          </cell>
          <cell r="EC16">
            <v>0.104</v>
          </cell>
          <cell r="ED16">
            <v>0.104</v>
          </cell>
          <cell r="EE16">
            <v>0.104</v>
          </cell>
          <cell r="EF16">
            <v>0.104</v>
          </cell>
          <cell r="EG16">
            <v>0.104</v>
          </cell>
          <cell r="EH16">
            <v>0.104</v>
          </cell>
          <cell r="EI16">
            <v>0.104</v>
          </cell>
          <cell r="EJ16">
            <v>0.104</v>
          </cell>
          <cell r="EK16">
            <v>0.104</v>
          </cell>
          <cell r="EL16">
            <v>0.104</v>
          </cell>
          <cell r="EM16">
            <v>0.104</v>
          </cell>
          <cell r="EN16">
            <v>0.104</v>
          </cell>
          <cell r="EO16">
            <v>0.104</v>
          </cell>
          <cell r="EP16">
            <v>0.104</v>
          </cell>
          <cell r="EQ16">
            <v>0.104</v>
          </cell>
          <cell r="ER16">
            <v>0.104</v>
          </cell>
          <cell r="ES16">
            <v>0.104</v>
          </cell>
          <cell r="ET16">
            <v>0.104</v>
          </cell>
          <cell r="EU16">
            <v>0.104</v>
          </cell>
          <cell r="EV16">
            <v>0.104</v>
          </cell>
          <cell r="EW16">
            <v>0.104</v>
          </cell>
        </row>
        <row r="17">
          <cell r="A17" t="str">
            <v>NI</v>
          </cell>
          <cell r="B17">
            <v>1002.7679999999999</v>
          </cell>
          <cell r="C17">
            <v>1020.8639999999999</v>
          </cell>
          <cell r="D17">
            <v>1038.752</v>
          </cell>
          <cell r="E17">
            <v>1108.5360000000001</v>
          </cell>
          <cell r="F17">
            <v>1179.3599999999999</v>
          </cell>
          <cell r="G17">
            <v>1252.576</v>
          </cell>
          <cell r="H17">
            <v>1306.3440000000001</v>
          </cell>
          <cell r="I17">
            <v>1369.1599999999999</v>
          </cell>
          <cell r="J17">
            <v>1440.9199999999998</v>
          </cell>
          <cell r="K17">
            <v>1512.8879999999999</v>
          </cell>
          <cell r="L17">
            <v>1589.0159999999998</v>
          </cell>
          <cell r="M17">
            <v>1669.3039999999999</v>
          </cell>
          <cell r="N17">
            <v>1750.84</v>
          </cell>
          <cell r="O17">
            <v>1852.8639999999998</v>
          </cell>
          <cell r="P17">
            <v>1942.7199999999998</v>
          </cell>
          <cell r="Q17">
            <v>2030.08</v>
          </cell>
          <cell r="R17">
            <v>2114.5279999999998</v>
          </cell>
          <cell r="S17">
            <v>2201.16</v>
          </cell>
          <cell r="T17">
            <v>2286.8559999999998</v>
          </cell>
          <cell r="U17">
            <v>2352.0639999999999</v>
          </cell>
          <cell r="V17">
            <v>2436.3040000000001</v>
          </cell>
          <cell r="W17">
            <v>2527.7199999999998</v>
          </cell>
          <cell r="X17">
            <v>2625.7919999999999</v>
          </cell>
          <cell r="Y17">
            <v>2739.5679999999998</v>
          </cell>
          <cell r="Z17">
            <v>2833.1679999999997</v>
          </cell>
          <cell r="AA17">
            <v>2929.7839999999997</v>
          </cell>
          <cell r="AB17">
            <v>3025.5679999999998</v>
          </cell>
          <cell r="AC17">
            <v>3121.6639999999998</v>
          </cell>
          <cell r="AD17">
            <v>3218.6959999999999</v>
          </cell>
          <cell r="AE17">
            <v>3309.6959999999999</v>
          </cell>
          <cell r="AF17">
            <v>3336.7359999999999</v>
          </cell>
          <cell r="AG17">
            <v>3336.7359999999999</v>
          </cell>
          <cell r="AH17">
            <v>3336.7359999999999</v>
          </cell>
          <cell r="AI17">
            <v>3336.7359999999999</v>
          </cell>
          <cell r="AJ17">
            <v>3336.7359999999999</v>
          </cell>
          <cell r="AK17">
            <v>3336.7359999999999</v>
          </cell>
          <cell r="AL17">
            <v>3336.7359999999999</v>
          </cell>
          <cell r="AM17">
            <v>3336.7359999999999</v>
          </cell>
          <cell r="AN17">
            <v>3336.7359999999999</v>
          </cell>
          <cell r="AO17">
            <v>3336.7359999999999</v>
          </cell>
          <cell r="AP17">
            <v>3336.7359999999999</v>
          </cell>
          <cell r="AQ17">
            <v>3336.7359999999999</v>
          </cell>
          <cell r="AR17">
            <v>3336.7359999999999</v>
          </cell>
          <cell r="AS17">
            <v>3336.7359999999999</v>
          </cell>
          <cell r="AT17">
            <v>3336.7359999999999</v>
          </cell>
          <cell r="AU17">
            <v>3336.7359999999999</v>
          </cell>
          <cell r="AV17">
            <v>3336.7359999999999</v>
          </cell>
          <cell r="AW17">
            <v>3336.7359999999999</v>
          </cell>
          <cell r="AX17">
            <v>3336.7359999999999</v>
          </cell>
          <cell r="AY17">
            <v>3336.7359999999999</v>
          </cell>
          <cell r="AZ17">
            <v>3336.7359999999999</v>
          </cell>
          <cell r="BA17">
            <v>3336.7359999999999</v>
          </cell>
          <cell r="BB17">
            <v>3336.7359999999999</v>
          </cell>
          <cell r="BC17">
            <v>3336.7359999999999</v>
          </cell>
          <cell r="BD17">
            <v>3336.7359999999999</v>
          </cell>
          <cell r="BE17">
            <v>3336.7359999999999</v>
          </cell>
          <cell r="BF17">
            <v>3336.7359999999999</v>
          </cell>
          <cell r="BG17">
            <v>3336.7359999999999</v>
          </cell>
          <cell r="BH17">
            <v>3336.7359999999999</v>
          </cell>
          <cell r="BI17">
            <v>3336.7359999999999</v>
          </cell>
          <cell r="BJ17">
            <v>3336.7359999999999</v>
          </cell>
          <cell r="BK17">
            <v>3336.7359999999999</v>
          </cell>
          <cell r="BL17">
            <v>3336.7359999999999</v>
          </cell>
          <cell r="BM17">
            <v>3336.7359999999999</v>
          </cell>
          <cell r="BN17">
            <v>3336.7359999999999</v>
          </cell>
          <cell r="BO17">
            <v>3336.7359999999999</v>
          </cell>
          <cell r="BP17">
            <v>3336.7359999999999</v>
          </cell>
          <cell r="BQ17">
            <v>3336.7359999999999</v>
          </cell>
          <cell r="BR17">
            <v>3336.7359999999999</v>
          </cell>
          <cell r="BS17">
            <v>3336.7359999999999</v>
          </cell>
          <cell r="BT17">
            <v>3336.7359999999999</v>
          </cell>
          <cell r="BU17">
            <v>3336.7359999999999</v>
          </cell>
          <cell r="BV17">
            <v>3336.7359999999999</v>
          </cell>
          <cell r="BW17">
            <v>3336.7359999999999</v>
          </cell>
          <cell r="BX17">
            <v>3336.7359999999999</v>
          </cell>
          <cell r="BY17">
            <v>3336.7359999999999</v>
          </cell>
          <cell r="BZ17">
            <v>3336.7359999999999</v>
          </cell>
          <cell r="CA17">
            <v>3336.7359999999999</v>
          </cell>
          <cell r="CB17">
            <v>3336.7359999999999</v>
          </cell>
          <cell r="CC17">
            <v>3336.7359999999999</v>
          </cell>
          <cell r="CD17">
            <v>3336.7359999999999</v>
          </cell>
          <cell r="CE17">
            <v>3336.7359999999999</v>
          </cell>
          <cell r="CF17">
            <v>3336.7359999999999</v>
          </cell>
          <cell r="CG17">
            <v>3336.7359999999999</v>
          </cell>
          <cell r="CH17">
            <v>3336.7359999999999</v>
          </cell>
          <cell r="CI17">
            <v>3336.7359999999999</v>
          </cell>
          <cell r="CJ17">
            <v>3336.7359999999999</v>
          </cell>
          <cell r="CK17">
            <v>3336.7359999999999</v>
          </cell>
          <cell r="CL17">
            <v>3336.7359999999999</v>
          </cell>
          <cell r="CM17">
            <v>3336.7359999999999</v>
          </cell>
          <cell r="CN17">
            <v>3336.7359999999999</v>
          </cell>
          <cell r="CO17">
            <v>3336.7359999999999</v>
          </cell>
          <cell r="CP17">
            <v>3336.7359999999999</v>
          </cell>
          <cell r="CQ17">
            <v>3336.7359999999999</v>
          </cell>
          <cell r="CR17">
            <v>3336.7359999999999</v>
          </cell>
          <cell r="CS17">
            <v>3336.7359999999999</v>
          </cell>
          <cell r="CT17">
            <v>3336.7359999999999</v>
          </cell>
          <cell r="CU17">
            <v>3336.7359999999999</v>
          </cell>
          <cell r="CV17">
            <v>1785.0559999999998</v>
          </cell>
          <cell r="CW17">
            <v>119.80799999999999</v>
          </cell>
          <cell r="CX17">
            <v>303.15999999999997</v>
          </cell>
          <cell r="CY17">
            <v>914.16</v>
          </cell>
          <cell r="CZ17">
            <v>1128.192</v>
          </cell>
          <cell r="DA17">
            <v>89.128</v>
          </cell>
          <cell r="DB17">
            <v>272.47999999999996</v>
          </cell>
          <cell r="DC17">
            <v>883.68799999999999</v>
          </cell>
          <cell r="DD17">
            <v>1066.8319999999999</v>
          </cell>
          <cell r="DE17">
            <v>1784.952</v>
          </cell>
          <cell r="DF17">
            <v>2307.3440000000001</v>
          </cell>
          <cell r="DG17">
            <v>2481.5439999999999</v>
          </cell>
          <cell r="DH17">
            <v>28.288</v>
          </cell>
          <cell r="DI17">
            <v>211.43199999999999</v>
          </cell>
          <cell r="DJ17">
            <v>881.81599999999992</v>
          </cell>
          <cell r="DK17">
            <v>1555.944</v>
          </cell>
          <cell r="DL17">
            <v>1739.2959999999998</v>
          </cell>
          <cell r="DM17">
            <v>2014.2719999999999</v>
          </cell>
          <cell r="DN17">
            <v>2472.3919999999998</v>
          </cell>
          <cell r="DO17">
            <v>2655.7439999999997</v>
          </cell>
          <cell r="DP17">
            <v>2481.5855999999999</v>
          </cell>
          <cell r="DQ17">
            <v>2839.096</v>
          </cell>
          <cell r="DR17">
            <v>75.712000000000003</v>
          </cell>
          <cell r="DS17">
            <v>211.43199999999999</v>
          </cell>
          <cell r="DT17">
            <v>1097.72</v>
          </cell>
          <cell r="DU17">
            <v>12.979200000000018</v>
          </cell>
          <cell r="DV17">
            <v>3114.0719999999997</v>
          </cell>
          <cell r="DW17">
            <v>1546.896</v>
          </cell>
          <cell r="DX17">
            <v>253.96799999999999</v>
          </cell>
          <cell r="DY17">
            <v>473.2</v>
          </cell>
          <cell r="DZ17">
            <v>3336.7359999999999</v>
          </cell>
          <cell r="EA17">
            <v>3336.7359999999999</v>
          </cell>
          <cell r="EB17">
            <v>3336.7359999999999</v>
          </cell>
          <cell r="EC17">
            <v>3336.7359999999999</v>
          </cell>
          <cell r="ED17">
            <v>3336.7359999999999</v>
          </cell>
          <cell r="EE17">
            <v>3336.7359999999999</v>
          </cell>
          <cell r="EF17">
            <v>3336.7359999999999</v>
          </cell>
          <cell r="EG17">
            <v>3336.7359999999999</v>
          </cell>
          <cell r="EH17">
            <v>3336.7359999999999</v>
          </cell>
          <cell r="EI17">
            <v>3336.7359999999999</v>
          </cell>
          <cell r="EJ17">
            <v>3336.7359999999999</v>
          </cell>
          <cell r="EK17">
            <v>3336.7359999999999</v>
          </cell>
          <cell r="EL17">
            <v>3336.7359999999999</v>
          </cell>
          <cell r="EM17">
            <v>3336.7359999999999</v>
          </cell>
          <cell r="EN17">
            <v>3336.7359999999999</v>
          </cell>
          <cell r="EO17">
            <v>3336.7359999999999</v>
          </cell>
          <cell r="EP17">
            <v>821.36703999999997</v>
          </cell>
          <cell r="EQ17">
            <v>1439.6636799999997</v>
          </cell>
          <cell r="ER17">
            <v>2274.3603999999996</v>
          </cell>
          <cell r="ES17">
            <v>853.00799999999992</v>
          </cell>
          <cell r="ET17">
            <v>253.96799999999999</v>
          </cell>
          <cell r="EU17">
            <v>3336.7359999999999</v>
          </cell>
          <cell r="EV17">
            <v>3336.7359999999999</v>
          </cell>
          <cell r="EW17">
            <v>3336.7359999999999</v>
          </cell>
        </row>
        <row r="18">
          <cell r="A18">
            <v>0</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row>
        <row r="19">
          <cell r="A19" t="str">
            <v>40040 + %</v>
          </cell>
          <cell r="B19">
            <v>0.13800000000000001</v>
          </cell>
          <cell r="C19">
            <v>0.13800000000000001</v>
          </cell>
          <cell r="D19">
            <v>0.13800000000000001</v>
          </cell>
          <cell r="E19">
            <v>0.13800000000000001</v>
          </cell>
          <cell r="F19">
            <v>0.13800000000000001</v>
          </cell>
          <cell r="G19">
            <v>0.13800000000000001</v>
          </cell>
          <cell r="H19">
            <v>0.13800000000000001</v>
          </cell>
          <cell r="I19">
            <v>0.13800000000000001</v>
          </cell>
          <cell r="J19">
            <v>0.13800000000000001</v>
          </cell>
          <cell r="K19">
            <v>0.13800000000000001</v>
          </cell>
          <cell r="L19">
            <v>0.13800000000000001</v>
          </cell>
          <cell r="M19">
            <v>0.13800000000000001</v>
          </cell>
          <cell r="N19">
            <v>0.13800000000000001</v>
          </cell>
          <cell r="O19">
            <v>0.13800000000000001</v>
          </cell>
          <cell r="P19">
            <v>0.13800000000000001</v>
          </cell>
          <cell r="Q19">
            <v>0.13800000000000001</v>
          </cell>
          <cell r="R19">
            <v>0.13800000000000001</v>
          </cell>
          <cell r="S19">
            <v>0.13800000000000001</v>
          </cell>
          <cell r="T19">
            <v>0.13800000000000001</v>
          </cell>
          <cell r="U19">
            <v>0.13800000000000001</v>
          </cell>
          <cell r="V19">
            <v>0.13800000000000001</v>
          </cell>
          <cell r="W19">
            <v>0.13800000000000001</v>
          </cell>
          <cell r="X19">
            <v>0.13800000000000001</v>
          </cell>
          <cell r="Y19">
            <v>0.13800000000000001</v>
          </cell>
          <cell r="Z19">
            <v>0.13800000000000001</v>
          </cell>
          <cell r="AA19">
            <v>0.13800000000000001</v>
          </cell>
          <cell r="AB19">
            <v>0.13800000000000001</v>
          </cell>
          <cell r="AC19">
            <v>0.13800000000000001</v>
          </cell>
          <cell r="AD19">
            <v>0.13800000000000001</v>
          </cell>
          <cell r="AE19">
            <v>0.13800000000000001</v>
          </cell>
          <cell r="AF19">
            <v>0.13800000000000001</v>
          </cell>
          <cell r="AG19">
            <v>0.13800000000000001</v>
          </cell>
          <cell r="AH19">
            <v>0.13800000000000001</v>
          </cell>
          <cell r="AI19">
            <v>0.13800000000000001</v>
          </cell>
          <cell r="AJ19">
            <v>0.13800000000000001</v>
          </cell>
          <cell r="AK19">
            <v>0.13800000000000001</v>
          </cell>
          <cell r="AL19">
            <v>0.13800000000000001</v>
          </cell>
          <cell r="AM19">
            <v>0.13800000000000001</v>
          </cell>
          <cell r="AN19">
            <v>0.13800000000000001</v>
          </cell>
          <cell r="AO19">
            <v>0.13800000000000001</v>
          </cell>
          <cell r="AP19">
            <v>0.13800000000000001</v>
          </cell>
          <cell r="AQ19">
            <v>0.13800000000000001</v>
          </cell>
          <cell r="AR19">
            <v>0.13800000000000001</v>
          </cell>
          <cell r="AS19">
            <v>0.13800000000000001</v>
          </cell>
          <cell r="AT19">
            <v>0.13800000000000001</v>
          </cell>
          <cell r="AU19">
            <v>0.13800000000000001</v>
          </cell>
          <cell r="AV19">
            <v>0.13800000000000001</v>
          </cell>
          <cell r="AW19">
            <v>0.13800000000000001</v>
          </cell>
          <cell r="AX19">
            <v>0.13800000000000001</v>
          </cell>
          <cell r="AY19">
            <v>0.13800000000000001</v>
          </cell>
          <cell r="AZ19">
            <v>0.13800000000000001</v>
          </cell>
          <cell r="BA19">
            <v>0.13800000000000001</v>
          </cell>
          <cell r="BB19">
            <v>0.13800000000000001</v>
          </cell>
          <cell r="BC19">
            <v>0.13800000000000001</v>
          </cell>
          <cell r="BD19">
            <v>0.13800000000000001</v>
          </cell>
          <cell r="BE19">
            <v>0.13800000000000001</v>
          </cell>
          <cell r="BF19">
            <v>0.13800000000000001</v>
          </cell>
          <cell r="BG19">
            <v>0.13800000000000001</v>
          </cell>
          <cell r="BH19">
            <v>0.13800000000000001</v>
          </cell>
          <cell r="BI19">
            <v>0.13800000000000001</v>
          </cell>
          <cell r="BJ19">
            <v>0.13800000000000001</v>
          </cell>
          <cell r="BK19">
            <v>0.13800000000000001</v>
          </cell>
          <cell r="BL19">
            <v>0.13800000000000001</v>
          </cell>
          <cell r="BM19">
            <v>0.13800000000000001</v>
          </cell>
          <cell r="BN19">
            <v>0.13800000000000001</v>
          </cell>
          <cell r="BO19">
            <v>0.13800000000000001</v>
          </cell>
          <cell r="BP19">
            <v>0.13800000000000001</v>
          </cell>
          <cell r="BQ19">
            <v>0.13800000000000001</v>
          </cell>
          <cell r="BR19">
            <v>0.13800000000000001</v>
          </cell>
          <cell r="BS19">
            <v>0.13800000000000001</v>
          </cell>
          <cell r="BT19">
            <v>0.13800000000000001</v>
          </cell>
          <cell r="BU19">
            <v>0.13800000000000001</v>
          </cell>
          <cell r="BV19">
            <v>0.13800000000000001</v>
          </cell>
          <cell r="BW19">
            <v>0.13800000000000001</v>
          </cell>
          <cell r="BX19">
            <v>0.13800000000000001</v>
          </cell>
          <cell r="BY19">
            <v>0.13800000000000001</v>
          </cell>
          <cell r="BZ19">
            <v>0.13800000000000001</v>
          </cell>
          <cell r="CA19">
            <v>0.13800000000000001</v>
          </cell>
          <cell r="CB19">
            <v>0.13800000000000001</v>
          </cell>
          <cell r="CC19">
            <v>0.13800000000000001</v>
          </cell>
          <cell r="CD19">
            <v>0.13800000000000001</v>
          </cell>
          <cell r="CE19">
            <v>0.13800000000000001</v>
          </cell>
          <cell r="CF19">
            <v>0.13800000000000001</v>
          </cell>
          <cell r="CG19">
            <v>0.13800000000000001</v>
          </cell>
          <cell r="CH19">
            <v>0.13800000000000001</v>
          </cell>
          <cell r="CI19">
            <v>0.13800000000000001</v>
          </cell>
          <cell r="CJ19">
            <v>0.13800000000000001</v>
          </cell>
          <cell r="CK19">
            <v>0.13800000000000001</v>
          </cell>
          <cell r="CL19">
            <v>0.13800000000000001</v>
          </cell>
          <cell r="CM19">
            <v>0.13800000000000001</v>
          </cell>
          <cell r="CN19">
            <v>0.13800000000000001</v>
          </cell>
          <cell r="CO19">
            <v>0.13800000000000001</v>
          </cell>
          <cell r="CP19">
            <v>0.13800000000000001</v>
          </cell>
          <cell r="CQ19">
            <v>0.13800000000000001</v>
          </cell>
          <cell r="CR19">
            <v>0.13800000000000001</v>
          </cell>
          <cell r="CS19">
            <v>0.13800000000000001</v>
          </cell>
          <cell r="CT19">
            <v>0.13800000000000001</v>
          </cell>
          <cell r="CU19">
            <v>0.13800000000000001</v>
          </cell>
          <cell r="CV19">
            <v>0.13800000000000001</v>
          </cell>
          <cell r="CW19">
            <v>0.13800000000000001</v>
          </cell>
          <cell r="CX19">
            <v>0.13800000000000001</v>
          </cell>
          <cell r="CY19">
            <v>0.13800000000000001</v>
          </cell>
          <cell r="CZ19">
            <v>0.13800000000000001</v>
          </cell>
          <cell r="DA19">
            <v>0.13800000000000001</v>
          </cell>
          <cell r="DB19">
            <v>0.13800000000000001</v>
          </cell>
          <cell r="DC19">
            <v>0.13800000000000001</v>
          </cell>
          <cell r="DD19">
            <v>0.13800000000000001</v>
          </cell>
          <cell r="DE19">
            <v>0.13800000000000001</v>
          </cell>
          <cell r="DF19">
            <v>0.13800000000000001</v>
          </cell>
          <cell r="DG19">
            <v>0.13800000000000001</v>
          </cell>
          <cell r="DH19">
            <v>0.13800000000000001</v>
          </cell>
          <cell r="DI19">
            <v>0.13800000000000001</v>
          </cell>
          <cell r="DJ19">
            <v>0.13800000000000001</v>
          </cell>
          <cell r="DK19">
            <v>0.13800000000000001</v>
          </cell>
          <cell r="DL19">
            <v>0.13800000000000001</v>
          </cell>
          <cell r="DM19">
            <v>0.13800000000000001</v>
          </cell>
          <cell r="DN19">
            <v>0.13800000000000001</v>
          </cell>
          <cell r="DO19">
            <v>0.13800000000000001</v>
          </cell>
          <cell r="DP19">
            <v>0.13800000000000001</v>
          </cell>
          <cell r="DQ19">
            <v>0.13800000000000001</v>
          </cell>
          <cell r="DR19">
            <v>0.13800000000000001</v>
          </cell>
          <cell r="DS19">
            <v>0.13800000000000001</v>
          </cell>
          <cell r="DT19">
            <v>0.13800000000000001</v>
          </cell>
          <cell r="DU19">
            <v>0.13800000000000001</v>
          </cell>
          <cell r="DV19">
            <v>0.13800000000000001</v>
          </cell>
          <cell r="DW19">
            <v>0.13800000000000001</v>
          </cell>
          <cell r="DX19">
            <v>0.13800000000000001</v>
          </cell>
          <cell r="DY19">
            <v>0.13800000000000001</v>
          </cell>
          <cell r="DZ19">
            <v>0.13800000000000001</v>
          </cell>
          <cell r="EA19">
            <v>0.13800000000000001</v>
          </cell>
          <cell r="EB19">
            <v>0.13800000000000001</v>
          </cell>
          <cell r="EC19">
            <v>0.13800000000000001</v>
          </cell>
          <cell r="ED19">
            <v>0.13800000000000001</v>
          </cell>
          <cell r="EE19">
            <v>0.13800000000000001</v>
          </cell>
          <cell r="EF19">
            <v>0.13800000000000001</v>
          </cell>
          <cell r="EG19">
            <v>0.13800000000000001</v>
          </cell>
          <cell r="EH19">
            <v>0.13800000000000001</v>
          </cell>
          <cell r="EI19">
            <v>0.13800000000000001</v>
          </cell>
          <cell r="EJ19">
            <v>0.13800000000000001</v>
          </cell>
          <cell r="EK19">
            <v>0.13800000000000001</v>
          </cell>
          <cell r="EL19">
            <v>0.13800000000000001</v>
          </cell>
          <cell r="EM19">
            <v>0.13800000000000001</v>
          </cell>
          <cell r="EN19">
            <v>0.13800000000000001</v>
          </cell>
          <cell r="EO19">
            <v>0.13800000000000001</v>
          </cell>
          <cell r="EP19">
            <v>0.13800000000000001</v>
          </cell>
          <cell r="EQ19">
            <v>0.13800000000000001</v>
          </cell>
          <cell r="ER19">
            <v>0.13800000000000001</v>
          </cell>
          <cell r="ES19">
            <v>0.13800000000000001</v>
          </cell>
          <cell r="ET19">
            <v>0.13800000000000001</v>
          </cell>
          <cell r="EU19">
            <v>0.13800000000000001</v>
          </cell>
          <cell r="EV19">
            <v>0.13800000000000001</v>
          </cell>
          <cell r="EW19">
            <v>0.13800000000000001</v>
          </cell>
        </row>
        <row r="20">
          <cell r="A20" t="str">
            <v>NI</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96.600000000000009</v>
          </cell>
          <cell r="AG20">
            <v>161.18400000000003</v>
          </cell>
          <cell r="AH20">
            <v>225.76800000000003</v>
          </cell>
          <cell r="AI20">
            <v>353.55600000000004</v>
          </cell>
          <cell r="AJ20">
            <v>479.82600000000002</v>
          </cell>
          <cell r="AK20">
            <v>723.12</v>
          </cell>
          <cell r="AL20">
            <v>844.69800000000009</v>
          </cell>
          <cell r="AM20">
            <v>966.13800000000003</v>
          </cell>
          <cell r="AN20">
            <v>1209.5700000000002</v>
          </cell>
          <cell r="AO20">
            <v>1477.0140000000001</v>
          </cell>
          <cell r="AP20">
            <v>1744.7340000000002</v>
          </cell>
          <cell r="AQ20">
            <v>1881.2160000000001</v>
          </cell>
          <cell r="AR20">
            <v>2017.9740000000002</v>
          </cell>
          <cell r="AS20">
            <v>2279.7600000000002</v>
          </cell>
          <cell r="AT20">
            <v>4093.7700000000004</v>
          </cell>
          <cell r="AU20">
            <v>1076.4000000000001</v>
          </cell>
          <cell r="AV20">
            <v>1243.104</v>
          </cell>
          <cell r="AW20">
            <v>1410.7740000000001</v>
          </cell>
          <cell r="AX20">
            <v>1577.3400000000001</v>
          </cell>
          <cell r="AY20">
            <v>1661.3820000000001</v>
          </cell>
          <cell r="AZ20">
            <v>1828.6380000000001</v>
          </cell>
          <cell r="BA20">
            <v>1995.0660000000003</v>
          </cell>
          <cell r="BB20">
            <v>2162.8740000000003</v>
          </cell>
          <cell r="BC20">
            <v>2245.8120000000004</v>
          </cell>
          <cell r="BD20">
            <v>2413.6200000000003</v>
          </cell>
          <cell r="BE20">
            <v>2580.1860000000001</v>
          </cell>
          <cell r="BF20">
            <v>2747.8560000000002</v>
          </cell>
          <cell r="BG20">
            <v>2830.9320000000002</v>
          </cell>
          <cell r="BH20">
            <v>2998.4640000000004</v>
          </cell>
          <cell r="BI20">
            <v>3165.1680000000001</v>
          </cell>
          <cell r="BJ20">
            <v>3332.9760000000001</v>
          </cell>
          <cell r="BK20">
            <v>3416.6040000000003</v>
          </cell>
          <cell r="BL20">
            <v>1761.8460000000002</v>
          </cell>
          <cell r="BM20">
            <v>3750.0120000000002</v>
          </cell>
          <cell r="BN20">
            <v>3917.82</v>
          </cell>
          <cell r="BO20">
            <v>4149.5219999999999</v>
          </cell>
          <cell r="BP20">
            <v>6290.8680000000004</v>
          </cell>
          <cell r="BQ20">
            <v>7054.6980000000003</v>
          </cell>
          <cell r="BR20">
            <v>6412.8600000000006</v>
          </cell>
          <cell r="BS20">
            <v>3145.9860000000003</v>
          </cell>
          <cell r="BT20">
            <v>1470.2520000000002</v>
          </cell>
          <cell r="BU20">
            <v>1761.8460000000002</v>
          </cell>
          <cell r="BV20">
            <v>3219.2640000000001</v>
          </cell>
          <cell r="BW20">
            <v>5697.0540000000001</v>
          </cell>
          <cell r="BX20">
            <v>4676.8200000000006</v>
          </cell>
          <cell r="BY20">
            <v>6425.6940000000004</v>
          </cell>
          <cell r="BZ20">
            <v>7008.6060000000007</v>
          </cell>
          <cell r="CA20">
            <v>10287.900000000001</v>
          </cell>
          <cell r="CB20">
            <v>3624.8460000000005</v>
          </cell>
          <cell r="CC20">
            <v>4801.8383399999993</v>
          </cell>
          <cell r="CD20">
            <v>5923.0980000000009</v>
          </cell>
          <cell r="CE20">
            <v>6173.7060000000001</v>
          </cell>
          <cell r="CF20">
            <v>6424.8660000000009</v>
          </cell>
          <cell r="CG20">
            <v>6675.06</v>
          </cell>
          <cell r="CH20">
            <v>6926.22</v>
          </cell>
          <cell r="CI20">
            <v>7176.9660000000003</v>
          </cell>
          <cell r="CJ20">
            <v>4239.4980000000005</v>
          </cell>
          <cell r="CK20">
            <v>5906.6760000000004</v>
          </cell>
          <cell r="CL20">
            <v>9361.0920000000006</v>
          </cell>
          <cell r="CM20">
            <v>14676.990000000002</v>
          </cell>
          <cell r="CN20">
            <v>8131.9260000000004</v>
          </cell>
          <cell r="CO20">
            <v>6884.5440000000008</v>
          </cell>
          <cell r="CP20">
            <v>7518.7920000000004</v>
          </cell>
          <cell r="CQ20">
            <v>3536.6640000000002</v>
          </cell>
          <cell r="CR20">
            <v>10275.756000000001</v>
          </cell>
          <cell r="CS20">
            <v>5441.4780000000001</v>
          </cell>
          <cell r="CT20">
            <v>5153.058</v>
          </cell>
          <cell r="CU20">
            <v>2279.7600000000002</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3181.4520000000002</v>
          </cell>
          <cell r="EA20">
            <v>3219.2640000000001</v>
          </cell>
          <cell r="EB20">
            <v>3332.8380000000002</v>
          </cell>
          <cell r="EC20">
            <v>3917.82</v>
          </cell>
          <cell r="ED20">
            <v>4095.1500000000005</v>
          </cell>
          <cell r="EE20">
            <v>14676.852000000001</v>
          </cell>
          <cell r="EF20">
            <v>15316.206000000002</v>
          </cell>
          <cell r="EG20">
            <v>10288.038</v>
          </cell>
          <cell r="EH20">
            <v>4120.4040000000005</v>
          </cell>
          <cell r="EI20">
            <v>4979.7300000000005</v>
          </cell>
          <cell r="EJ20">
            <v>5959.3920000000007</v>
          </cell>
          <cell r="EK20">
            <v>6425.6940000000004</v>
          </cell>
          <cell r="EL20">
            <v>6892.1340000000009</v>
          </cell>
          <cell r="EM20">
            <v>8131.9260000000004</v>
          </cell>
          <cell r="EN20">
            <v>2578.2540000000004</v>
          </cell>
          <cell r="EO20">
            <v>2878.6800000000003</v>
          </cell>
          <cell r="EP20">
            <v>0</v>
          </cell>
          <cell r="EQ20">
            <v>0</v>
          </cell>
          <cell r="ER20">
            <v>0</v>
          </cell>
          <cell r="ES20">
            <v>0</v>
          </cell>
          <cell r="ET20">
            <v>0</v>
          </cell>
          <cell r="EU20">
            <v>2952.51</v>
          </cell>
          <cell r="EV20">
            <v>3181.4520000000002</v>
          </cell>
          <cell r="EW20">
            <v>3405.9780000000001</v>
          </cell>
        </row>
        <row r="21">
          <cell r="A21">
            <v>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row>
        <row r="22">
          <cell r="A22" t="str">
            <v>TOTAL NI: (37HRS)</v>
          </cell>
          <cell r="B22">
            <v>1002.7679999999999</v>
          </cell>
          <cell r="C22">
            <v>1020.8639999999999</v>
          </cell>
          <cell r="D22">
            <v>1038.752</v>
          </cell>
          <cell r="E22">
            <v>1108.5360000000001</v>
          </cell>
          <cell r="F22">
            <v>1179.3599999999999</v>
          </cell>
          <cell r="G22">
            <v>1252.576</v>
          </cell>
          <cell r="H22">
            <v>1306.3440000000001</v>
          </cell>
          <cell r="I22">
            <v>1369.1599999999999</v>
          </cell>
          <cell r="J22">
            <v>1440.9199999999998</v>
          </cell>
          <cell r="K22">
            <v>1512.8879999999999</v>
          </cell>
          <cell r="L22">
            <v>1589.0159999999998</v>
          </cell>
          <cell r="M22">
            <v>1669.3039999999999</v>
          </cell>
          <cell r="N22">
            <v>1750.84</v>
          </cell>
          <cell r="O22">
            <v>1852.8639999999998</v>
          </cell>
          <cell r="P22">
            <v>1942.7199999999998</v>
          </cell>
          <cell r="Q22">
            <v>2030.08</v>
          </cell>
          <cell r="R22">
            <v>2114.5279999999998</v>
          </cell>
          <cell r="S22">
            <v>2201.16</v>
          </cell>
          <cell r="T22">
            <v>2286.8559999999998</v>
          </cell>
          <cell r="U22">
            <v>2352.0639999999999</v>
          </cell>
          <cell r="V22">
            <v>2436.3040000000001</v>
          </cell>
          <cell r="W22">
            <v>2527.7199999999998</v>
          </cell>
          <cell r="X22">
            <v>2625.7919999999999</v>
          </cell>
          <cell r="Y22">
            <v>2739.5679999999998</v>
          </cell>
          <cell r="Z22">
            <v>2833.1679999999997</v>
          </cell>
          <cell r="AA22">
            <v>2929.7839999999997</v>
          </cell>
          <cell r="AB22">
            <v>3025.5679999999998</v>
          </cell>
          <cell r="AC22">
            <v>3121.6639999999998</v>
          </cell>
          <cell r="AD22">
            <v>3218.6959999999999</v>
          </cell>
          <cell r="AE22">
            <v>3309.6959999999999</v>
          </cell>
          <cell r="AF22">
            <v>3433.3359999999998</v>
          </cell>
          <cell r="AG22">
            <v>3497.92</v>
          </cell>
          <cell r="AH22">
            <v>3562.5039999999999</v>
          </cell>
          <cell r="AI22">
            <v>3690.2919999999999</v>
          </cell>
          <cell r="AJ22">
            <v>3816.5619999999999</v>
          </cell>
          <cell r="AK22">
            <v>4059.8559999999998</v>
          </cell>
          <cell r="AL22">
            <v>4181.4340000000002</v>
          </cell>
          <cell r="AM22">
            <v>4302.8739999999998</v>
          </cell>
          <cell r="AN22">
            <v>4546.3060000000005</v>
          </cell>
          <cell r="AO22">
            <v>4813.75</v>
          </cell>
          <cell r="AP22">
            <v>5081.47</v>
          </cell>
          <cell r="AQ22">
            <v>5217.9520000000002</v>
          </cell>
          <cell r="AR22">
            <v>5354.71</v>
          </cell>
          <cell r="AS22">
            <v>5616.4960000000001</v>
          </cell>
          <cell r="AT22">
            <v>7430.5060000000003</v>
          </cell>
          <cell r="AU22">
            <v>4413.1360000000004</v>
          </cell>
          <cell r="AV22">
            <v>4579.84</v>
          </cell>
          <cell r="AW22">
            <v>4747.51</v>
          </cell>
          <cell r="AX22">
            <v>4914.076</v>
          </cell>
          <cell r="AY22">
            <v>4998.1180000000004</v>
          </cell>
          <cell r="AZ22">
            <v>5165.3739999999998</v>
          </cell>
          <cell r="BA22">
            <v>5331.8019999999997</v>
          </cell>
          <cell r="BB22">
            <v>5499.6100000000006</v>
          </cell>
          <cell r="BC22">
            <v>5582.5480000000007</v>
          </cell>
          <cell r="BD22">
            <v>5750.3559999999998</v>
          </cell>
          <cell r="BE22">
            <v>5916.9220000000005</v>
          </cell>
          <cell r="BF22">
            <v>6084.5920000000006</v>
          </cell>
          <cell r="BG22">
            <v>6167.6679999999997</v>
          </cell>
          <cell r="BH22">
            <v>6335.2000000000007</v>
          </cell>
          <cell r="BI22">
            <v>6501.9040000000005</v>
          </cell>
          <cell r="BJ22">
            <v>6669.7119999999995</v>
          </cell>
          <cell r="BK22">
            <v>6753.34</v>
          </cell>
          <cell r="BL22">
            <v>5098.5820000000003</v>
          </cell>
          <cell r="BM22">
            <v>7086.7479999999996</v>
          </cell>
          <cell r="BN22">
            <v>7254.5560000000005</v>
          </cell>
          <cell r="BO22">
            <v>7486.2579999999998</v>
          </cell>
          <cell r="BP22">
            <v>9627.6039999999994</v>
          </cell>
          <cell r="BQ22">
            <v>10391.434000000001</v>
          </cell>
          <cell r="BR22">
            <v>9749.5960000000014</v>
          </cell>
          <cell r="BS22">
            <v>6482.7219999999998</v>
          </cell>
          <cell r="BT22">
            <v>4806.9880000000003</v>
          </cell>
          <cell r="BU22">
            <v>5098.5820000000003</v>
          </cell>
          <cell r="BV22">
            <v>6556</v>
          </cell>
          <cell r="BW22">
            <v>9033.7900000000009</v>
          </cell>
          <cell r="BX22">
            <v>8013.5560000000005</v>
          </cell>
          <cell r="BY22">
            <v>9762.43</v>
          </cell>
          <cell r="BZ22">
            <v>10345.342000000001</v>
          </cell>
          <cell r="CA22">
            <v>13624.636000000002</v>
          </cell>
          <cell r="CB22">
            <v>6961.5820000000003</v>
          </cell>
          <cell r="CC22">
            <v>8138.5743399999992</v>
          </cell>
          <cell r="CD22">
            <v>9259.8340000000007</v>
          </cell>
          <cell r="CE22">
            <v>9510.4419999999991</v>
          </cell>
          <cell r="CF22">
            <v>9761.6020000000008</v>
          </cell>
          <cell r="CG22">
            <v>10011.796</v>
          </cell>
          <cell r="CH22">
            <v>10262.956</v>
          </cell>
          <cell r="CI22">
            <v>10513.702000000001</v>
          </cell>
          <cell r="CJ22">
            <v>7576.2340000000004</v>
          </cell>
          <cell r="CK22">
            <v>9243.4120000000003</v>
          </cell>
          <cell r="CL22">
            <v>12697.828000000001</v>
          </cell>
          <cell r="CM22">
            <v>18013.726000000002</v>
          </cell>
          <cell r="CN22">
            <v>11468.662</v>
          </cell>
          <cell r="CO22">
            <v>10221.280000000001</v>
          </cell>
          <cell r="CP22">
            <v>10855.528</v>
          </cell>
          <cell r="CQ22">
            <v>6873.4</v>
          </cell>
          <cell r="CR22">
            <v>13612.492000000002</v>
          </cell>
          <cell r="CS22">
            <v>8778.2139999999999</v>
          </cell>
          <cell r="CT22">
            <v>8489.7939999999999</v>
          </cell>
          <cell r="CU22">
            <v>5616.4960000000001</v>
          </cell>
          <cell r="CV22">
            <v>1785.0559999999998</v>
          </cell>
          <cell r="CW22">
            <v>119.80799999999999</v>
          </cell>
          <cell r="CX22">
            <v>303.15999999999997</v>
          </cell>
          <cell r="CY22">
            <v>914.16</v>
          </cell>
          <cell r="CZ22">
            <v>1128.192</v>
          </cell>
          <cell r="DA22">
            <v>89.128</v>
          </cell>
          <cell r="DB22">
            <v>272.47999999999996</v>
          </cell>
          <cell r="DC22">
            <v>883.68799999999999</v>
          </cell>
          <cell r="DD22">
            <v>1066.8319999999999</v>
          </cell>
          <cell r="DE22">
            <v>1784.952</v>
          </cell>
          <cell r="DF22">
            <v>2307.3440000000001</v>
          </cell>
          <cell r="DG22">
            <v>2481.5439999999999</v>
          </cell>
          <cell r="DH22">
            <v>28.288</v>
          </cell>
          <cell r="DI22">
            <v>211.43199999999999</v>
          </cell>
          <cell r="DJ22">
            <v>881.81599999999992</v>
          </cell>
          <cell r="DK22">
            <v>1555.944</v>
          </cell>
          <cell r="DL22">
            <v>1739.2959999999998</v>
          </cell>
          <cell r="DM22">
            <v>2014.2719999999999</v>
          </cell>
          <cell r="DN22">
            <v>2472.3919999999998</v>
          </cell>
          <cell r="DO22">
            <v>2655.7439999999997</v>
          </cell>
          <cell r="DP22">
            <v>2481.5855999999999</v>
          </cell>
          <cell r="DQ22">
            <v>2839.096</v>
          </cell>
          <cell r="DR22">
            <v>75.712000000000003</v>
          </cell>
          <cell r="DS22">
            <v>211.43199999999999</v>
          </cell>
          <cell r="DT22">
            <v>1097.72</v>
          </cell>
          <cell r="DU22">
            <v>12.979200000000018</v>
          </cell>
          <cell r="DV22">
            <v>3114.0719999999997</v>
          </cell>
          <cell r="DW22">
            <v>1546.896</v>
          </cell>
          <cell r="DX22">
            <v>253.96799999999999</v>
          </cell>
          <cell r="DY22">
            <v>473.2</v>
          </cell>
          <cell r="DZ22">
            <v>6518.1880000000001</v>
          </cell>
          <cell r="EA22">
            <v>6556</v>
          </cell>
          <cell r="EB22">
            <v>6669.5740000000005</v>
          </cell>
          <cell r="EC22">
            <v>7254.5560000000005</v>
          </cell>
          <cell r="ED22">
            <v>7431.8860000000004</v>
          </cell>
          <cell r="EE22">
            <v>18013.588</v>
          </cell>
          <cell r="EF22">
            <v>18652.942000000003</v>
          </cell>
          <cell r="EG22">
            <v>13624.774000000001</v>
          </cell>
          <cell r="EH22">
            <v>7457.14</v>
          </cell>
          <cell r="EI22">
            <v>8316.4660000000003</v>
          </cell>
          <cell r="EJ22">
            <v>9296.1280000000006</v>
          </cell>
          <cell r="EK22">
            <v>9762.43</v>
          </cell>
          <cell r="EL22">
            <v>10228.870000000001</v>
          </cell>
          <cell r="EM22">
            <v>11468.662</v>
          </cell>
          <cell r="EN22">
            <v>5914.99</v>
          </cell>
          <cell r="EO22">
            <v>6215.4160000000002</v>
          </cell>
          <cell r="EP22">
            <v>821.36703999999997</v>
          </cell>
          <cell r="EQ22">
            <v>1439.6636799999997</v>
          </cell>
          <cell r="ER22">
            <v>2274.3603999999996</v>
          </cell>
          <cell r="ES22">
            <v>853.00799999999992</v>
          </cell>
          <cell r="ET22">
            <v>253.96799999999999</v>
          </cell>
          <cell r="EU22">
            <v>6289.2460000000001</v>
          </cell>
          <cell r="EV22">
            <v>6518.1880000000001</v>
          </cell>
          <cell r="EW22">
            <v>6742.7139999999999</v>
          </cell>
        </row>
      </sheetData>
      <sheetData sheetId="8">
        <row r="4">
          <cell r="I4" t="str">
            <v>Personal Reference</v>
          </cell>
        </row>
      </sheetData>
      <sheetData sheetId="9">
        <row r="1">
          <cell r="A1" t="str">
            <v>APT&amp;C (NJC) Pay Rates wef 01/04/15</v>
          </cell>
        </row>
      </sheetData>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s"/>
      <sheetName val="Header Sheet"/>
      <sheetName val="Input Sheet CE"/>
      <sheetName val="_DLBUD"/>
    </sheetNames>
    <sheetDataSet>
      <sheetData sheetId="0"/>
      <sheetData sheetId="1">
        <row r="16">
          <cell r="B16" t="str">
            <v>NGP Funding Switch</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Summary"/>
      <sheetName val="Councillors"/>
      <sheetName val="Staff Details"/>
      <sheetName val="SCP"/>
      <sheetName val="Funds"/>
      <sheetName val="NI Calcs"/>
      <sheetName val="Snapshot Sept"/>
      <sheetName val="SCP 201617"/>
      <sheetName val="Bud Adj"/>
      <sheetName val="Sheet1"/>
    </sheetNames>
    <sheetDataSet>
      <sheetData sheetId="0"/>
      <sheetData sheetId="1"/>
      <sheetData sheetId="2"/>
      <sheetData sheetId="3"/>
      <sheetData sheetId="4">
        <row r="1">
          <cell r="A1" t="str">
            <v>APT&amp;C (NJC) Pay Rates wef 01/04/15</v>
          </cell>
        </row>
      </sheetData>
      <sheetData sheetId="5"/>
      <sheetData sheetId="6">
        <row r="11">
          <cell r="A11" t="str">
            <v>SCP</v>
          </cell>
        </row>
      </sheetData>
      <sheetData sheetId="7">
        <row r="4">
          <cell r="I4" t="str">
            <v>Personal Reference</v>
          </cell>
        </row>
      </sheetData>
      <sheetData sheetId="8">
        <row r="1">
          <cell r="A1" t="str">
            <v>APT&amp;C (NJC) Pay Rates wef 01/04/15</v>
          </cell>
        </row>
      </sheetData>
      <sheetData sheetId="9"/>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Sheet1"/>
      <sheetName val="Budgets 21.08.13"/>
      <sheetName val="DS Summary % split"/>
      <sheetName val="DS Summary Check Current"/>
      <sheetName val="FA20"/>
      <sheetName val="FC01-Roy Summers"/>
      <sheetName val="TR01- Geoff Corps"/>
      <sheetName val="TR02 - Jeff Ridgley"/>
      <sheetName val="TR31-Geoff Corps"/>
      <sheetName val="TR51-Geoff Corps"/>
      <sheetName val="TR60-Geoff Corps"/>
      <sheetName val="TR61-Geoff Corps"/>
      <sheetName val="TR63-Geoff Corps"/>
      <sheetName val="TR65-Geoff Corps"/>
      <sheetName val="TR68-Geoff Corps"/>
      <sheetName val="TR70-Geoff Corps"/>
      <sheetName val="FB14-Geoff Corps"/>
      <sheetName val="MD77"/>
      <sheetName val="TP21-Geoff Corps"/>
      <sheetName val="TS01-Geoff Corps"/>
      <sheetName val="TS11-North Geoff Corps"/>
      <sheetName val="TS13-Geoff Corps Ground Mainten"/>
      <sheetName val="TS14-Market Management"/>
      <sheetName val="TS21-Geoff Corps"/>
      <sheetName val="TU01"/>
      <sheetName val="VB11"/>
      <sheetName val="VB12"/>
      <sheetName val="MD25"/>
      <sheetName val="MD26"/>
      <sheetName val="MD28"/>
      <sheetName val="MD62"/>
      <sheetName val="QA01"/>
      <sheetName val="QA02"/>
      <sheetName val="QA03"/>
      <sheetName val="QA04"/>
      <sheetName val="QA05"/>
      <sheetName val="QA07"/>
      <sheetName val="QA11"/>
      <sheetName val="QA20"/>
      <sheetName val="QA21"/>
      <sheetName val="QC40"/>
      <sheetName val="QC41"/>
      <sheetName val="QC42"/>
      <sheetName val="QC43"/>
      <sheetName val="QC44"/>
      <sheetName val="QC47"/>
      <sheetName val="QC49"/>
      <sheetName val="QC50"/>
      <sheetName val="QC55"/>
      <sheetName val="NI CALC's"/>
      <sheetName val="Narrations"/>
      <sheetName val="SCP's"/>
      <sheetName val="Lookup"/>
      <sheetName val="Budgets 13.05.13"/>
      <sheetName val="TR70-Phil Dunsd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74">
          <cell r="D174">
            <v>40400</v>
          </cell>
          <cell r="E174">
            <v>0.104</v>
          </cell>
        </row>
      </sheetData>
      <sheetData sheetId="53"/>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01"/>
      <sheetName val="BN22"/>
      <sheetName val="BN23"/>
      <sheetName val="BN26"/>
      <sheetName val="Summary"/>
      <sheetName val="NI CALC's"/>
      <sheetName val="SCP's"/>
      <sheetName val="Narrations"/>
      <sheetName val="Current SCP"/>
      <sheetName val="Protection"/>
      <sheetName val="First Aid"/>
      <sheetName val="Data"/>
    </sheetNames>
    <sheetDataSet>
      <sheetData sheetId="0" refreshError="1"/>
      <sheetData sheetId="1" refreshError="1"/>
      <sheetData sheetId="2" refreshError="1"/>
      <sheetData sheetId="3" refreshError="1"/>
      <sheetData sheetId="4" refreshError="1"/>
      <sheetData sheetId="5" refreshError="1"/>
      <sheetData sheetId="6">
        <row r="8">
          <cell r="A8" t="str">
            <v>SCP</v>
          </cell>
          <cell r="B8" t="str">
            <v>SALARY</v>
          </cell>
          <cell r="C8" t="str">
            <v xml:space="preserve"> </v>
          </cell>
          <cell r="D8" t="str">
            <v>NI-ERS</v>
          </cell>
          <cell r="F8" t="str">
            <v>SUPN</v>
          </cell>
          <cell r="H8" t="str">
            <v>TOTAL</v>
          </cell>
        </row>
        <row r="9">
          <cell r="A9" t="str">
            <v xml:space="preserve"> </v>
          </cell>
        </row>
        <row r="10">
          <cell r="A10">
            <v>10</v>
          </cell>
          <cell r="B10">
            <v>14082</v>
          </cell>
          <cell r="D10">
            <v>664.14400000000001</v>
          </cell>
          <cell r="F10">
            <v>2844.5640000000003</v>
          </cell>
          <cell r="H10">
            <v>17590.707999999999</v>
          </cell>
        </row>
        <row r="11">
          <cell r="A11">
            <v>11</v>
          </cell>
          <cell r="B11">
            <v>14954</v>
          </cell>
          <cell r="D11">
            <v>754.83199999999999</v>
          </cell>
          <cell r="F11">
            <v>3020.7080000000001</v>
          </cell>
          <cell r="H11">
            <v>18729.54</v>
          </cell>
        </row>
        <row r="12">
          <cell r="A12">
            <v>12</v>
          </cell>
          <cell r="B12">
            <v>15265</v>
          </cell>
          <cell r="D12">
            <v>787.17599999999993</v>
          </cell>
          <cell r="F12">
            <v>3083.53</v>
          </cell>
          <cell r="H12">
            <v>19135.705999999998</v>
          </cell>
        </row>
        <row r="13">
          <cell r="A13">
            <v>13</v>
          </cell>
          <cell r="B13">
            <v>15676</v>
          </cell>
          <cell r="D13">
            <v>829.92</v>
          </cell>
          <cell r="F13">
            <v>3166.5520000000001</v>
          </cell>
          <cell r="H13">
            <v>19672.471999999998</v>
          </cell>
        </row>
        <row r="14">
          <cell r="A14">
            <v>14</v>
          </cell>
          <cell r="B14">
            <v>15961</v>
          </cell>
          <cell r="D14">
            <v>859.56</v>
          </cell>
          <cell r="F14">
            <v>3224.1220000000003</v>
          </cell>
          <cell r="H14">
            <v>20044.682000000001</v>
          </cell>
        </row>
        <row r="15">
          <cell r="A15">
            <v>15</v>
          </cell>
          <cell r="B15">
            <v>16295</v>
          </cell>
          <cell r="D15">
            <v>894.29599999999994</v>
          </cell>
          <cell r="F15">
            <v>3291.59</v>
          </cell>
          <cell r="H15">
            <v>20480.885999999999</v>
          </cell>
        </row>
        <row r="16">
          <cell r="A16">
            <v>16</v>
          </cell>
          <cell r="B16">
            <v>16687</v>
          </cell>
          <cell r="D16">
            <v>935.06399999999996</v>
          </cell>
          <cell r="F16">
            <v>3370.7740000000003</v>
          </cell>
          <cell r="H16">
            <v>20992.838</v>
          </cell>
        </row>
        <row r="17">
          <cell r="A17">
            <v>17</v>
          </cell>
          <cell r="B17">
            <v>17082</v>
          </cell>
          <cell r="D17">
            <v>976.14400000000001</v>
          </cell>
          <cell r="F17">
            <v>3450.5640000000003</v>
          </cell>
          <cell r="H17">
            <v>21508.707999999999</v>
          </cell>
        </row>
        <row r="18">
          <cell r="A18">
            <v>18</v>
          </cell>
          <cell r="B18">
            <v>17418</v>
          </cell>
          <cell r="D18">
            <v>1011.088</v>
          </cell>
          <cell r="F18">
            <v>3518.4360000000001</v>
          </cell>
          <cell r="H18">
            <v>21947.524000000001</v>
          </cell>
        </row>
        <row r="19">
          <cell r="A19">
            <v>19</v>
          </cell>
          <cell r="B19">
            <v>18069</v>
          </cell>
          <cell r="D19">
            <v>1078.7919999999999</v>
          </cell>
          <cell r="F19">
            <v>3649.9380000000001</v>
          </cell>
          <cell r="H19">
            <v>22797.730000000003</v>
          </cell>
        </row>
        <row r="20">
          <cell r="A20">
            <v>20</v>
          </cell>
          <cell r="B20">
            <v>18730</v>
          </cell>
          <cell r="D20">
            <v>1147.5360000000001</v>
          </cell>
          <cell r="F20">
            <v>3783.46</v>
          </cell>
          <cell r="H20">
            <v>23660.995999999999</v>
          </cell>
        </row>
        <row r="21">
          <cell r="A21">
            <v>21</v>
          </cell>
          <cell r="B21">
            <v>19413</v>
          </cell>
          <cell r="D21">
            <v>1218.568</v>
          </cell>
          <cell r="F21">
            <v>3921.4260000000004</v>
          </cell>
          <cell r="H21">
            <v>24552.993999999999</v>
          </cell>
        </row>
        <row r="22">
          <cell r="A22">
            <v>22</v>
          </cell>
          <cell r="B22">
            <v>19915</v>
          </cell>
          <cell r="D22">
            <v>1270.7759999999998</v>
          </cell>
          <cell r="F22">
            <v>4022.8300000000004</v>
          </cell>
          <cell r="H22">
            <v>25208.606</v>
          </cell>
        </row>
        <row r="23">
          <cell r="A23">
            <v>23</v>
          </cell>
          <cell r="B23">
            <v>20501</v>
          </cell>
          <cell r="D23">
            <v>1331.72</v>
          </cell>
          <cell r="F23">
            <v>4141.2020000000002</v>
          </cell>
          <cell r="H23">
            <v>25973.922000000002</v>
          </cell>
        </row>
        <row r="24">
          <cell r="A24">
            <v>24</v>
          </cell>
          <cell r="B24">
            <v>21171</v>
          </cell>
          <cell r="D24">
            <v>1401.3999999999999</v>
          </cell>
          <cell r="F24">
            <v>4276.5420000000004</v>
          </cell>
          <cell r="H24">
            <v>26848.942000000003</v>
          </cell>
        </row>
        <row r="25">
          <cell r="A25">
            <v>25</v>
          </cell>
          <cell r="B25">
            <v>21842</v>
          </cell>
          <cell r="D25">
            <v>1471.184</v>
          </cell>
          <cell r="F25">
            <v>4412.0839999999998</v>
          </cell>
          <cell r="H25">
            <v>27725.268</v>
          </cell>
        </row>
        <row r="26">
          <cell r="A26">
            <v>26</v>
          </cell>
          <cell r="B26">
            <v>22554</v>
          </cell>
          <cell r="D26">
            <v>1545.232</v>
          </cell>
          <cell r="F26">
            <v>4555.9080000000004</v>
          </cell>
          <cell r="H26">
            <v>28655.14</v>
          </cell>
        </row>
        <row r="27">
          <cell r="A27">
            <v>27</v>
          </cell>
          <cell r="B27">
            <v>23302</v>
          </cell>
          <cell r="D27">
            <v>1623.0239999999999</v>
          </cell>
          <cell r="F27">
            <v>4707.0039999999999</v>
          </cell>
          <cell r="H27">
            <v>29632.028000000002</v>
          </cell>
        </row>
        <row r="28">
          <cell r="A28">
            <v>28</v>
          </cell>
          <cell r="B28">
            <v>24064</v>
          </cell>
          <cell r="D28">
            <v>1702.2719999999999</v>
          </cell>
          <cell r="F28">
            <v>4860.9279999999999</v>
          </cell>
          <cell r="H28">
            <v>30627.200000000001</v>
          </cell>
        </row>
        <row r="29">
          <cell r="A29">
            <v>29</v>
          </cell>
          <cell r="B29">
            <v>25016</v>
          </cell>
          <cell r="D29">
            <v>1801.28</v>
          </cell>
          <cell r="F29">
            <v>5053.232</v>
          </cell>
          <cell r="H29">
            <v>31870.511999999999</v>
          </cell>
        </row>
        <row r="30">
          <cell r="A30">
            <v>30</v>
          </cell>
          <cell r="B30">
            <v>25854</v>
          </cell>
          <cell r="D30">
            <v>1888.432</v>
          </cell>
          <cell r="F30">
            <v>5222.5080000000007</v>
          </cell>
          <cell r="H30">
            <v>32964.94</v>
          </cell>
        </row>
        <row r="31">
          <cell r="A31">
            <v>31</v>
          </cell>
          <cell r="B31">
            <v>26670</v>
          </cell>
          <cell r="D31">
            <v>1973.2959999999998</v>
          </cell>
          <cell r="F31">
            <v>5387.34</v>
          </cell>
          <cell r="H31">
            <v>34030.635999999999</v>
          </cell>
        </row>
        <row r="32">
          <cell r="A32">
            <v>32</v>
          </cell>
          <cell r="B32">
            <v>27458</v>
          </cell>
          <cell r="D32">
            <v>2055.248</v>
          </cell>
          <cell r="F32">
            <v>5546.5160000000005</v>
          </cell>
          <cell r="H32">
            <v>35059.764000000003</v>
          </cell>
        </row>
        <row r="33">
          <cell r="A33">
            <v>33</v>
          </cell>
          <cell r="B33">
            <v>28267</v>
          </cell>
          <cell r="D33">
            <v>2139.384</v>
          </cell>
          <cell r="F33">
            <v>5709.9340000000002</v>
          </cell>
          <cell r="H33">
            <v>36116.317999999999</v>
          </cell>
        </row>
        <row r="34">
          <cell r="A34">
            <v>34</v>
          </cell>
          <cell r="B34">
            <v>29066</v>
          </cell>
          <cell r="D34">
            <v>2222.48</v>
          </cell>
          <cell r="F34">
            <v>5871.3320000000003</v>
          </cell>
          <cell r="H34">
            <v>37159.811999999998</v>
          </cell>
        </row>
        <row r="35">
          <cell r="A35">
            <v>35</v>
          </cell>
          <cell r="B35">
            <v>29675</v>
          </cell>
          <cell r="D35">
            <v>2285.8159999999998</v>
          </cell>
          <cell r="F35">
            <v>5994.35</v>
          </cell>
          <cell r="H35">
            <v>37955.165999999997</v>
          </cell>
        </row>
        <row r="36">
          <cell r="A36">
            <v>36</v>
          </cell>
          <cell r="B36">
            <v>30461</v>
          </cell>
          <cell r="D36">
            <v>2367.56</v>
          </cell>
          <cell r="F36">
            <v>6153.1220000000003</v>
          </cell>
          <cell r="H36">
            <v>38981.682000000001</v>
          </cell>
        </row>
        <row r="37">
          <cell r="A37">
            <v>37</v>
          </cell>
          <cell r="B37">
            <v>31314</v>
          </cell>
          <cell r="D37">
            <v>2456.2719999999999</v>
          </cell>
          <cell r="F37">
            <v>6325.4280000000008</v>
          </cell>
          <cell r="H37">
            <v>40095.699999999997</v>
          </cell>
        </row>
        <row r="38">
          <cell r="A38">
            <v>38</v>
          </cell>
          <cell r="B38">
            <v>32230</v>
          </cell>
          <cell r="D38">
            <v>2551.5360000000001</v>
          </cell>
          <cell r="F38">
            <v>6510.46</v>
          </cell>
          <cell r="H38">
            <v>41291.995999999999</v>
          </cell>
        </row>
        <row r="39">
          <cell r="A39">
            <v>39</v>
          </cell>
          <cell r="B39">
            <v>33292</v>
          </cell>
          <cell r="D39">
            <v>2661.9839999999999</v>
          </cell>
          <cell r="F39">
            <v>6724.9840000000004</v>
          </cell>
          <cell r="H39">
            <v>42678.967999999993</v>
          </cell>
        </row>
        <row r="40">
          <cell r="A40">
            <v>40</v>
          </cell>
          <cell r="B40">
            <v>34166</v>
          </cell>
          <cell r="D40">
            <v>2752.8799999999997</v>
          </cell>
          <cell r="F40">
            <v>6901.5320000000002</v>
          </cell>
          <cell r="H40">
            <v>43820.411999999997</v>
          </cell>
        </row>
        <row r="41">
          <cell r="A41">
            <v>41</v>
          </cell>
          <cell r="B41">
            <v>35067</v>
          </cell>
          <cell r="D41">
            <v>2846.5839999999998</v>
          </cell>
          <cell r="F41">
            <v>7083.5340000000006</v>
          </cell>
          <cell r="H41">
            <v>44997.118000000002</v>
          </cell>
        </row>
        <row r="42">
          <cell r="A42">
            <v>42</v>
          </cell>
          <cell r="B42">
            <v>35961</v>
          </cell>
          <cell r="D42">
            <v>2939.56</v>
          </cell>
          <cell r="F42">
            <v>7264.1220000000003</v>
          </cell>
          <cell r="H42">
            <v>46164.682000000001</v>
          </cell>
        </row>
        <row r="43">
          <cell r="A43">
            <v>43</v>
          </cell>
          <cell r="B43">
            <v>36858</v>
          </cell>
          <cell r="D43">
            <v>3032.848</v>
          </cell>
          <cell r="F43">
            <v>7445.3160000000007</v>
          </cell>
          <cell r="H43">
            <v>47336.163999999997</v>
          </cell>
        </row>
        <row r="44">
          <cell r="A44">
            <v>44</v>
          </cell>
          <cell r="B44">
            <v>37764</v>
          </cell>
          <cell r="D44">
            <v>3127.0719999999997</v>
          </cell>
          <cell r="F44">
            <v>7628.3280000000004</v>
          </cell>
          <cell r="H44">
            <v>48519.4</v>
          </cell>
        </row>
        <row r="45">
          <cell r="A45">
            <v>45</v>
          </cell>
          <cell r="B45">
            <v>38613</v>
          </cell>
          <cell r="D45">
            <v>3215.3679999999999</v>
          </cell>
          <cell r="F45">
            <v>7799.8260000000009</v>
          </cell>
          <cell r="H45">
            <v>49628.194000000003</v>
          </cell>
        </row>
        <row r="46">
          <cell r="A46">
            <v>46</v>
          </cell>
          <cell r="B46">
            <v>39545</v>
          </cell>
          <cell r="D46">
            <v>3312.2959999999998</v>
          </cell>
          <cell r="F46">
            <v>7988.09</v>
          </cell>
          <cell r="H46">
            <v>50845.385999999999</v>
          </cell>
        </row>
        <row r="47">
          <cell r="A47">
            <v>47</v>
          </cell>
          <cell r="B47">
            <v>40453</v>
          </cell>
          <cell r="D47">
            <v>3420.77</v>
          </cell>
          <cell r="F47">
            <v>8171.5060000000003</v>
          </cell>
          <cell r="H47">
            <v>52045.275999999998</v>
          </cell>
        </row>
        <row r="48">
          <cell r="A48">
            <v>48</v>
          </cell>
          <cell r="B48">
            <v>41352</v>
          </cell>
          <cell r="D48">
            <v>3544.8319999999999</v>
          </cell>
          <cell r="F48">
            <v>8353.1040000000012</v>
          </cell>
          <cell r="H48">
            <v>53249.936000000002</v>
          </cell>
        </row>
        <row r="49">
          <cell r="A49">
            <v>49</v>
          </cell>
          <cell r="B49">
            <v>42240</v>
          </cell>
          <cell r="D49">
            <v>3667.3759999999997</v>
          </cell>
          <cell r="F49">
            <v>8532.4800000000014</v>
          </cell>
          <cell r="H49">
            <v>54439.856</v>
          </cell>
        </row>
        <row r="50">
          <cell r="A50">
            <v>50</v>
          </cell>
          <cell r="B50">
            <v>43952</v>
          </cell>
          <cell r="D50">
            <v>3903.6319999999996</v>
          </cell>
          <cell r="F50">
            <v>8878.3040000000001</v>
          </cell>
          <cell r="H50">
            <v>56733.936000000002</v>
          </cell>
        </row>
        <row r="51">
          <cell r="A51">
            <v>51</v>
          </cell>
          <cell r="B51">
            <v>45661</v>
          </cell>
          <cell r="D51">
            <v>4139.4740000000002</v>
          </cell>
          <cell r="F51">
            <v>9223.5220000000008</v>
          </cell>
          <cell r="H51">
            <v>59023.995999999999</v>
          </cell>
        </row>
        <row r="52">
          <cell r="A52">
            <v>52</v>
          </cell>
          <cell r="B52">
            <v>47373</v>
          </cell>
          <cell r="D52">
            <v>4375.7299999999996</v>
          </cell>
          <cell r="F52">
            <v>9569.3460000000014</v>
          </cell>
          <cell r="H52">
            <v>61318.076000000001</v>
          </cell>
        </row>
        <row r="53">
          <cell r="A53">
            <v>53</v>
          </cell>
          <cell r="B53">
            <v>49254</v>
          </cell>
          <cell r="D53">
            <v>4635.308</v>
          </cell>
          <cell r="F53">
            <v>9949.3080000000009</v>
          </cell>
          <cell r="H53">
            <v>63838.615999999995</v>
          </cell>
        </row>
        <row r="54">
          <cell r="A54">
            <v>54</v>
          </cell>
          <cell r="B54">
            <v>51137</v>
          </cell>
          <cell r="D54">
            <v>4895.1620000000003</v>
          </cell>
          <cell r="F54">
            <v>10329.674000000001</v>
          </cell>
          <cell r="H54">
            <v>66361.835999999996</v>
          </cell>
        </row>
        <row r="55">
          <cell r="A55">
            <v>55</v>
          </cell>
          <cell r="B55">
            <v>53059</v>
          </cell>
          <cell r="D55">
            <v>5160.3980000000001</v>
          </cell>
          <cell r="F55">
            <v>10717.918000000001</v>
          </cell>
          <cell r="H55">
            <v>68937.316000000006</v>
          </cell>
        </row>
        <row r="56">
          <cell r="A56">
            <v>56</v>
          </cell>
          <cell r="B56">
            <v>54900</v>
          </cell>
          <cell r="D56">
            <v>5414.4560000000001</v>
          </cell>
          <cell r="F56">
            <v>11089.800000000001</v>
          </cell>
          <cell r="H56">
            <v>71404.255999999994</v>
          </cell>
        </row>
        <row r="57">
          <cell r="A57">
            <v>400</v>
          </cell>
          <cell r="B57">
            <v>67660</v>
          </cell>
          <cell r="D57">
            <v>7175.3360000000002</v>
          </cell>
          <cell r="F57">
            <v>13667.320000000002</v>
          </cell>
          <cell r="H57">
            <v>88502.656000000003</v>
          </cell>
        </row>
        <row r="58">
          <cell r="A58">
            <v>401</v>
          </cell>
          <cell r="B58">
            <v>46436</v>
          </cell>
          <cell r="D58">
            <v>4246.424</v>
          </cell>
          <cell r="F58">
            <v>9380.0720000000001</v>
          </cell>
          <cell r="H58">
            <v>60062.495999999999</v>
          </cell>
        </row>
        <row r="59">
          <cell r="A59">
            <v>402</v>
          </cell>
          <cell r="B59">
            <v>47609</v>
          </cell>
          <cell r="D59">
            <v>4408.2979999999998</v>
          </cell>
          <cell r="F59">
            <v>9617.018</v>
          </cell>
          <cell r="H59">
            <v>61634.316000000006</v>
          </cell>
        </row>
        <row r="60">
          <cell r="A60">
            <v>403</v>
          </cell>
          <cell r="B60">
            <v>48788</v>
          </cell>
          <cell r="D60">
            <v>4571</v>
          </cell>
          <cell r="F60">
            <v>9855.1760000000013</v>
          </cell>
          <cell r="H60">
            <v>63214.175999999999</v>
          </cell>
        </row>
        <row r="61">
          <cell r="A61">
            <v>404</v>
          </cell>
          <cell r="B61">
            <v>49960</v>
          </cell>
          <cell r="D61">
            <v>4732.7359999999999</v>
          </cell>
          <cell r="F61">
            <v>10091.92</v>
          </cell>
          <cell r="H61">
            <v>64784.655999999995</v>
          </cell>
        </row>
        <row r="62">
          <cell r="A62">
            <v>405</v>
          </cell>
          <cell r="B62">
            <v>50551</v>
          </cell>
          <cell r="D62">
            <v>4814.2939999999999</v>
          </cell>
          <cell r="F62">
            <v>10211.302000000001</v>
          </cell>
          <cell r="H62">
            <v>65576.596000000005</v>
          </cell>
        </row>
        <row r="63">
          <cell r="A63">
            <v>406</v>
          </cell>
          <cell r="B63">
            <v>51727</v>
          </cell>
          <cell r="D63">
            <v>4976.5820000000003</v>
          </cell>
          <cell r="F63">
            <v>10448.854000000001</v>
          </cell>
          <cell r="H63">
            <v>67152.436000000002</v>
          </cell>
        </row>
        <row r="64">
          <cell r="A64">
            <v>407</v>
          </cell>
          <cell r="B64">
            <v>52899</v>
          </cell>
          <cell r="D64">
            <v>5138.3180000000002</v>
          </cell>
          <cell r="F64">
            <v>10685.598</v>
          </cell>
          <cell r="H64">
            <v>68722.915999999997</v>
          </cell>
        </row>
        <row r="65">
          <cell r="A65">
            <v>408</v>
          </cell>
          <cell r="B65">
            <v>54079</v>
          </cell>
          <cell r="D65">
            <v>5301.1579999999994</v>
          </cell>
          <cell r="F65">
            <v>10923.958000000001</v>
          </cell>
          <cell r="H65">
            <v>70304.115999999995</v>
          </cell>
        </row>
        <row r="66">
          <cell r="A66">
            <v>409</v>
          </cell>
          <cell r="B66">
            <v>54662</v>
          </cell>
          <cell r="D66">
            <v>5381.6120000000001</v>
          </cell>
          <cell r="F66">
            <v>11041.724</v>
          </cell>
          <cell r="H66">
            <v>71085.335999999996</v>
          </cell>
        </row>
        <row r="67">
          <cell r="A67">
            <v>410</v>
          </cell>
          <cell r="B67">
            <v>55842</v>
          </cell>
          <cell r="D67">
            <v>5544.4520000000002</v>
          </cell>
          <cell r="F67">
            <v>11280.084000000001</v>
          </cell>
          <cell r="H67">
            <v>72666.535999999993</v>
          </cell>
        </row>
        <row r="68">
          <cell r="A68">
            <v>411</v>
          </cell>
          <cell r="B68">
            <v>57014</v>
          </cell>
          <cell r="D68">
            <v>5706.1880000000001</v>
          </cell>
          <cell r="F68">
            <v>11516.828000000001</v>
          </cell>
          <cell r="H68">
            <v>74237.016000000003</v>
          </cell>
        </row>
        <row r="69">
          <cell r="A69">
            <v>412</v>
          </cell>
          <cell r="B69">
            <v>58193</v>
          </cell>
          <cell r="D69">
            <v>5868.8899999999994</v>
          </cell>
          <cell r="F69">
            <v>11754.986000000001</v>
          </cell>
          <cell r="H69">
            <v>75816.876000000004</v>
          </cell>
        </row>
        <row r="70">
          <cell r="A70">
            <v>413</v>
          </cell>
          <cell r="B70">
            <v>58777</v>
          </cell>
          <cell r="D70">
            <v>5949.482</v>
          </cell>
          <cell r="F70">
            <v>11872.954000000002</v>
          </cell>
          <cell r="H70">
            <v>76599.436000000002</v>
          </cell>
        </row>
        <row r="71">
          <cell r="A71">
            <v>414</v>
          </cell>
          <cell r="B71">
            <v>59956</v>
          </cell>
          <cell r="D71">
            <v>6112.1840000000002</v>
          </cell>
          <cell r="F71">
            <v>12111.112000000001</v>
          </cell>
          <cell r="H71">
            <v>78179.296000000002</v>
          </cell>
        </row>
        <row r="72">
          <cell r="A72">
            <v>415</v>
          </cell>
          <cell r="B72">
            <v>61128</v>
          </cell>
          <cell r="D72">
            <v>6273.92</v>
          </cell>
          <cell r="F72">
            <v>12347.856000000002</v>
          </cell>
          <cell r="H72">
            <v>79749.775999999998</v>
          </cell>
        </row>
        <row r="73">
          <cell r="A73">
            <v>416</v>
          </cell>
          <cell r="B73">
            <v>62308</v>
          </cell>
          <cell r="D73">
            <v>6436.76</v>
          </cell>
          <cell r="F73">
            <v>12586.216</v>
          </cell>
          <cell r="H73">
            <v>81330.975999999995</v>
          </cell>
        </row>
        <row r="74">
          <cell r="A74">
            <v>417</v>
          </cell>
          <cell r="B74">
            <v>62897</v>
          </cell>
          <cell r="D74">
            <v>6518.0419999999995</v>
          </cell>
          <cell r="F74">
            <v>12705.194000000001</v>
          </cell>
          <cell r="H74">
            <v>82120.236000000004</v>
          </cell>
        </row>
        <row r="75">
          <cell r="A75">
            <v>418</v>
          </cell>
          <cell r="B75">
            <v>64071</v>
          </cell>
          <cell r="D75">
            <v>6680.0540000000001</v>
          </cell>
          <cell r="F75">
            <v>12942.342000000001</v>
          </cell>
          <cell r="H75">
            <v>83693.396000000008</v>
          </cell>
        </row>
        <row r="76">
          <cell r="A76">
            <v>419</v>
          </cell>
          <cell r="B76">
            <v>65242</v>
          </cell>
          <cell r="D76">
            <v>6841.652</v>
          </cell>
          <cell r="F76">
            <v>13178.884</v>
          </cell>
          <cell r="H76">
            <v>85262.536000000007</v>
          </cell>
        </row>
        <row r="77">
          <cell r="A77">
            <v>420</v>
          </cell>
          <cell r="B77">
            <v>66423</v>
          </cell>
          <cell r="D77">
            <v>7004.63</v>
          </cell>
          <cell r="F77">
            <v>13417.446000000002</v>
          </cell>
          <cell r="H77">
            <v>86845.076000000001</v>
          </cell>
        </row>
        <row r="78">
          <cell r="A78">
            <v>421</v>
          </cell>
          <cell r="B78">
            <v>68052</v>
          </cell>
          <cell r="D78">
            <v>7229.4320000000007</v>
          </cell>
          <cell r="F78">
            <v>13746.504000000001</v>
          </cell>
          <cell r="H78">
            <v>89027.936000000002</v>
          </cell>
        </row>
        <row r="79">
          <cell r="A79">
            <v>422</v>
          </cell>
          <cell r="B79">
            <v>83114</v>
          </cell>
          <cell r="D79">
            <v>9307.9880000000012</v>
          </cell>
          <cell r="F79">
            <v>16789.028000000002</v>
          </cell>
          <cell r="H79">
            <v>109211.016</v>
          </cell>
        </row>
        <row r="80">
          <cell r="A80">
            <v>423</v>
          </cell>
          <cell r="B80">
            <v>88487</v>
          </cell>
          <cell r="D80">
            <v>10049.462</v>
          </cell>
          <cell r="F80">
            <v>17874.374</v>
          </cell>
          <cell r="H80">
            <v>116410.836</v>
          </cell>
        </row>
        <row r="81">
          <cell r="A81">
            <v>424</v>
          </cell>
          <cell r="B81">
            <v>83972</v>
          </cell>
          <cell r="D81">
            <v>9426.3919999999998</v>
          </cell>
          <cell r="F81">
            <v>16962.344000000001</v>
          </cell>
          <cell r="H81">
            <v>110360.73599999999</v>
          </cell>
        </row>
        <row r="82">
          <cell r="A82">
            <v>425</v>
          </cell>
          <cell r="B82">
            <v>60993</v>
          </cell>
          <cell r="D82">
            <v>6255.29</v>
          </cell>
          <cell r="F82">
            <v>12320.586000000001</v>
          </cell>
          <cell r="H82">
            <v>79568.875999999989</v>
          </cell>
        </row>
        <row r="83">
          <cell r="A83">
            <v>426</v>
          </cell>
          <cell r="B83">
            <v>49207</v>
          </cell>
          <cell r="D83">
            <v>4628.8220000000001</v>
          </cell>
          <cell r="F83">
            <v>9939.8140000000003</v>
          </cell>
          <cell r="H83">
            <v>63775.635999999999</v>
          </cell>
        </row>
        <row r="84">
          <cell r="A84">
            <v>427</v>
          </cell>
          <cell r="B84">
            <v>51258</v>
          </cell>
          <cell r="D84">
            <v>4911.8599999999997</v>
          </cell>
          <cell r="F84">
            <v>10354.116</v>
          </cell>
          <cell r="H84">
            <v>66523.975999999995</v>
          </cell>
        </row>
        <row r="85">
          <cell r="A85">
            <v>428</v>
          </cell>
          <cell r="B85">
            <v>61509</v>
          </cell>
          <cell r="D85">
            <v>6326.4979999999996</v>
          </cell>
          <cell r="F85">
            <v>12424.818000000001</v>
          </cell>
          <cell r="H85">
            <v>80260.315999999992</v>
          </cell>
        </row>
        <row r="86">
          <cell r="A86">
            <v>429</v>
          </cell>
          <cell r="B86">
            <v>78937</v>
          </cell>
          <cell r="D86">
            <v>8731.5619999999999</v>
          </cell>
          <cell r="F86">
            <v>15945.274000000001</v>
          </cell>
          <cell r="H86">
            <v>103613.83600000001</v>
          </cell>
        </row>
        <row r="87">
          <cell r="A87">
            <v>430</v>
          </cell>
          <cell r="B87">
            <v>71761</v>
          </cell>
          <cell r="D87">
            <v>7741.2740000000003</v>
          </cell>
          <cell r="F87">
            <v>14495.722000000002</v>
          </cell>
          <cell r="H87">
            <v>93997.996000000014</v>
          </cell>
        </row>
        <row r="88">
          <cell r="A88">
            <v>431</v>
          </cell>
          <cell r="B88">
            <v>84062</v>
          </cell>
          <cell r="D88">
            <v>9438.8119999999999</v>
          </cell>
          <cell r="F88">
            <v>16980.524000000001</v>
          </cell>
          <cell r="H88">
            <v>110481.33600000001</v>
          </cell>
        </row>
        <row r="89">
          <cell r="A89">
            <v>432</v>
          </cell>
          <cell r="B89">
            <v>88163</v>
          </cell>
          <cell r="D89">
            <v>10004.75</v>
          </cell>
          <cell r="F89">
            <v>17808.925999999999</v>
          </cell>
          <cell r="H89">
            <v>115976.67600000001</v>
          </cell>
        </row>
        <row r="90">
          <cell r="A90">
            <v>433</v>
          </cell>
          <cell r="B90">
            <v>111229</v>
          </cell>
          <cell r="D90">
            <v>13187.858</v>
          </cell>
          <cell r="F90">
            <v>22468.258000000002</v>
          </cell>
          <cell r="H90">
            <v>146885.11600000001</v>
          </cell>
        </row>
        <row r="91">
          <cell r="A91">
            <v>434</v>
          </cell>
          <cell r="B91">
            <v>111143</v>
          </cell>
          <cell r="D91">
            <v>13175.99</v>
          </cell>
          <cell r="F91">
            <v>22450.886000000002</v>
          </cell>
          <cell r="H91">
            <v>146769.87600000002</v>
          </cell>
        </row>
        <row r="92">
          <cell r="A92">
            <v>444</v>
          </cell>
          <cell r="B92">
            <v>64362</v>
          </cell>
          <cell r="D92">
            <v>6720.2119999999995</v>
          </cell>
          <cell r="F92">
            <v>13001.124000000002</v>
          </cell>
          <cell r="H92">
            <v>84083.335999999996</v>
          </cell>
        </row>
        <row r="93">
          <cell r="A93">
            <v>450</v>
          </cell>
          <cell r="B93">
            <v>67848</v>
          </cell>
          <cell r="D93">
            <v>7201.2800000000007</v>
          </cell>
          <cell r="F93">
            <v>13705.296</v>
          </cell>
          <cell r="H93">
            <v>88754.576000000001</v>
          </cell>
        </row>
        <row r="94">
          <cell r="A94">
            <v>451</v>
          </cell>
          <cell r="B94">
            <v>80527</v>
          </cell>
          <cell r="D94">
            <v>8950.982</v>
          </cell>
          <cell r="F94">
            <v>16266.454000000002</v>
          </cell>
          <cell r="H94">
            <v>105744.436</v>
          </cell>
        </row>
        <row r="95">
          <cell r="A95">
            <v>452</v>
          </cell>
          <cell r="B95">
            <v>82290</v>
          </cell>
          <cell r="D95">
            <v>9194.2760000000017</v>
          </cell>
          <cell r="F95">
            <v>16622.580000000002</v>
          </cell>
          <cell r="H95">
            <v>108106.856</v>
          </cell>
        </row>
        <row r="96">
          <cell r="A96">
            <v>453</v>
          </cell>
          <cell r="B96">
            <v>84056</v>
          </cell>
          <cell r="D96">
            <v>9437.9840000000004</v>
          </cell>
          <cell r="F96">
            <v>16979.312000000002</v>
          </cell>
          <cell r="H96">
            <v>110473.296</v>
          </cell>
        </row>
        <row r="97">
          <cell r="A97">
            <v>454</v>
          </cell>
          <cell r="B97">
            <v>85816</v>
          </cell>
          <cell r="D97">
            <v>9680.8640000000014</v>
          </cell>
          <cell r="F97">
            <v>17334.832000000002</v>
          </cell>
          <cell r="H97">
            <v>112831.696</v>
          </cell>
        </row>
        <row r="98">
          <cell r="A98">
            <v>455</v>
          </cell>
          <cell r="B98">
            <v>87583</v>
          </cell>
          <cell r="D98">
            <v>9924.7099999999991</v>
          </cell>
          <cell r="F98">
            <v>17691.766</v>
          </cell>
          <cell r="H98">
            <v>115199.476</v>
          </cell>
        </row>
        <row r="99">
          <cell r="A99">
            <v>456</v>
          </cell>
          <cell r="B99">
            <v>89347</v>
          </cell>
          <cell r="D99">
            <v>10168.142</v>
          </cell>
          <cell r="F99">
            <v>18048.094000000001</v>
          </cell>
          <cell r="H99">
            <v>117563.23599999999</v>
          </cell>
        </row>
        <row r="100">
          <cell r="A100">
            <v>457</v>
          </cell>
          <cell r="B100">
            <v>68685</v>
          </cell>
          <cell r="D100">
            <v>7316.7860000000001</v>
          </cell>
          <cell r="F100">
            <v>13874.37</v>
          </cell>
          <cell r="H100">
            <v>89876.155999999988</v>
          </cell>
        </row>
        <row r="101">
          <cell r="A101">
            <v>458</v>
          </cell>
          <cell r="B101">
            <v>35108</v>
          </cell>
          <cell r="D101">
            <v>2850.848</v>
          </cell>
          <cell r="F101">
            <v>7091.8160000000007</v>
          </cell>
          <cell r="H101">
            <v>45050.663999999997</v>
          </cell>
        </row>
        <row r="102">
          <cell r="A102">
            <v>459</v>
          </cell>
          <cell r="B102">
            <v>73588</v>
          </cell>
          <cell r="D102">
            <v>7993.4000000000005</v>
          </cell>
          <cell r="F102">
            <v>14864.776000000002</v>
          </cell>
          <cell r="H102">
            <v>96446.175999999992</v>
          </cell>
        </row>
        <row r="103">
          <cell r="A103">
            <v>460</v>
          </cell>
          <cell r="B103">
            <v>80412</v>
          </cell>
          <cell r="D103">
            <v>8935.112000000001</v>
          </cell>
          <cell r="F103">
            <v>16243.224</v>
          </cell>
          <cell r="H103">
            <v>105590.336</v>
          </cell>
        </row>
        <row r="104">
          <cell r="A104">
            <v>490</v>
          </cell>
          <cell r="B104">
            <v>104709</v>
          </cell>
          <cell r="D104">
            <v>12288.098</v>
          </cell>
          <cell r="F104">
            <v>21151.218000000001</v>
          </cell>
          <cell r="H104">
            <v>138148.31599999999</v>
          </cell>
        </row>
        <row r="105">
          <cell r="A105">
            <v>491</v>
          </cell>
          <cell r="B105">
            <v>142100</v>
          </cell>
          <cell r="D105">
            <v>17448.056</v>
          </cell>
          <cell r="F105">
            <v>28704.2</v>
          </cell>
          <cell r="H105">
            <v>188252.25600000002</v>
          </cell>
        </row>
        <row r="106">
          <cell r="A106">
            <v>492</v>
          </cell>
          <cell r="B106">
            <v>92513</v>
          </cell>
          <cell r="D106">
            <v>10605.05</v>
          </cell>
          <cell r="F106">
            <v>18687.626</v>
          </cell>
          <cell r="H106">
            <v>121805.67600000001</v>
          </cell>
        </row>
        <row r="107">
          <cell r="A107">
            <v>493</v>
          </cell>
          <cell r="B107">
            <v>87290</v>
          </cell>
          <cell r="D107">
            <v>9884.2760000000017</v>
          </cell>
          <cell r="F107">
            <v>17632.580000000002</v>
          </cell>
          <cell r="H107">
            <v>114806.856</v>
          </cell>
        </row>
        <row r="108">
          <cell r="A108">
            <v>494</v>
          </cell>
          <cell r="B108">
            <v>91751</v>
          </cell>
          <cell r="D108">
            <v>10499.894</v>
          </cell>
          <cell r="F108">
            <v>18533.702000000001</v>
          </cell>
          <cell r="H108">
            <v>120784.59600000001</v>
          </cell>
        </row>
        <row r="109">
          <cell r="A109">
            <v>495</v>
          </cell>
          <cell r="B109">
            <v>63742</v>
          </cell>
          <cell r="D109">
            <v>6634.652</v>
          </cell>
          <cell r="F109">
            <v>12875.884</v>
          </cell>
          <cell r="H109">
            <v>83252.536000000007</v>
          </cell>
        </row>
        <row r="110">
          <cell r="A110">
            <v>496</v>
          </cell>
          <cell r="B110">
            <v>111143</v>
          </cell>
          <cell r="D110">
            <v>13175.99</v>
          </cell>
          <cell r="F110">
            <v>22450.886000000002</v>
          </cell>
          <cell r="H110">
            <v>146769.87600000002</v>
          </cell>
        </row>
        <row r="111">
          <cell r="A111">
            <v>497</v>
          </cell>
          <cell r="B111">
            <v>77140</v>
          </cell>
          <cell r="D111">
            <v>8483.5760000000009</v>
          </cell>
          <cell r="F111">
            <v>15582.28</v>
          </cell>
          <cell r="H111">
            <v>101205.856</v>
          </cell>
        </row>
        <row r="112">
          <cell r="A112">
            <v>498</v>
          </cell>
          <cell r="B112">
            <v>75110</v>
          </cell>
          <cell r="D112">
            <v>8203.4360000000015</v>
          </cell>
          <cell r="F112">
            <v>15172.220000000001</v>
          </cell>
          <cell r="H112">
            <v>98485.656000000003</v>
          </cell>
        </row>
        <row r="113">
          <cell r="A113">
            <v>499</v>
          </cell>
          <cell r="B113">
            <v>57000</v>
          </cell>
          <cell r="D113">
            <v>5704.2559999999994</v>
          </cell>
          <cell r="F113">
            <v>11514</v>
          </cell>
          <cell r="H113">
            <v>74218.255999999994</v>
          </cell>
        </row>
        <row r="114">
          <cell r="A114">
            <v>500</v>
          </cell>
          <cell r="B114">
            <v>75110</v>
          </cell>
          <cell r="D114">
            <v>8203.4360000000015</v>
          </cell>
          <cell r="F114">
            <v>15172.220000000001</v>
          </cell>
          <cell r="H114">
            <v>98485.656000000003</v>
          </cell>
        </row>
        <row r="115">
          <cell r="A115">
            <v>501</v>
          </cell>
          <cell r="B115">
            <v>60000</v>
          </cell>
          <cell r="D115">
            <v>6118.2559999999994</v>
          </cell>
          <cell r="F115">
            <v>12120</v>
          </cell>
          <cell r="H115">
            <v>78238.255999999994</v>
          </cell>
        </row>
        <row r="116">
          <cell r="A116">
            <v>502</v>
          </cell>
          <cell r="B116">
            <v>67670</v>
          </cell>
          <cell r="D116">
            <v>7176.7160000000003</v>
          </cell>
          <cell r="F116">
            <v>13669.34</v>
          </cell>
          <cell r="H116">
            <v>88516.055999999997</v>
          </cell>
        </row>
        <row r="117">
          <cell r="A117">
            <v>503</v>
          </cell>
          <cell r="B117">
            <v>74000</v>
          </cell>
          <cell r="D117">
            <v>8050.2560000000003</v>
          </cell>
          <cell r="F117">
            <v>14948.000000000002</v>
          </cell>
          <cell r="H117">
            <v>96998.255999999994</v>
          </cell>
        </row>
        <row r="118">
          <cell r="A118">
            <v>504</v>
          </cell>
          <cell r="B118">
            <v>72500</v>
          </cell>
          <cell r="D118">
            <v>7843.2560000000003</v>
          </cell>
          <cell r="F118">
            <v>14645.000000000002</v>
          </cell>
          <cell r="H118">
            <v>94988.255999999994</v>
          </cell>
        </row>
        <row r="119">
          <cell r="A119">
            <v>611</v>
          </cell>
          <cell r="B119">
            <v>54900</v>
          </cell>
          <cell r="D119">
            <v>5414.4560000000001</v>
          </cell>
          <cell r="F119">
            <v>11089.800000000001</v>
          </cell>
          <cell r="H119">
            <v>71404.255999999994</v>
          </cell>
        </row>
        <row r="121">
          <cell r="A121" t="str">
            <v>Superannuation Rates</v>
          </cell>
        </row>
        <row r="124">
          <cell r="A124" t="str">
            <v>02/03</v>
          </cell>
          <cell r="B124">
            <v>2.17</v>
          </cell>
        </row>
        <row r="125">
          <cell r="A125" t="str">
            <v>03/04</v>
          </cell>
          <cell r="B125">
            <v>2.39</v>
          </cell>
        </row>
        <row r="126">
          <cell r="A126" t="str">
            <v>04/05</v>
          </cell>
          <cell r="B126">
            <v>2.6</v>
          </cell>
        </row>
        <row r="127">
          <cell r="A127" t="str">
            <v>05/06</v>
          </cell>
          <cell r="B127">
            <v>3.15</v>
          </cell>
        </row>
        <row r="128">
          <cell r="A128" t="str">
            <v>06/07</v>
          </cell>
          <cell r="B128">
            <v>3.15</v>
          </cell>
        </row>
        <row r="129">
          <cell r="A129" t="str">
            <v>07/08</v>
          </cell>
          <cell r="B129">
            <v>3.15</v>
          </cell>
        </row>
        <row r="130">
          <cell r="A130" t="str">
            <v>08/09</v>
          </cell>
          <cell r="B130" t="str">
            <v>20.2% of gross pensionable pay</v>
          </cell>
        </row>
        <row r="131">
          <cell r="A131" t="str">
            <v>09/10</v>
          </cell>
          <cell r="B131" t="str">
            <v>20.2% of gross pensionable pay</v>
          </cell>
        </row>
        <row r="132">
          <cell r="A132" t="str">
            <v>10/11</v>
          </cell>
          <cell r="B132" t="str">
            <v>20.2% of gross pensionable pay</v>
          </cell>
        </row>
        <row r="133">
          <cell r="A133" t="str">
            <v>11/12</v>
          </cell>
          <cell r="B133" t="str">
            <v>20.2% of gross pensionable pay</v>
          </cell>
        </row>
        <row r="138">
          <cell r="A138" t="str">
            <v>Grade 01</v>
          </cell>
          <cell r="B138">
            <v>10</v>
          </cell>
          <cell r="C138">
            <v>11</v>
          </cell>
        </row>
        <row r="139">
          <cell r="A139" t="str">
            <v>Grade 02</v>
          </cell>
          <cell r="B139">
            <v>12</v>
          </cell>
          <cell r="C139">
            <v>15</v>
          </cell>
        </row>
        <row r="140">
          <cell r="A140" t="str">
            <v>Grade 03</v>
          </cell>
          <cell r="B140">
            <v>16</v>
          </cell>
          <cell r="C140">
            <v>19</v>
          </cell>
        </row>
        <row r="141">
          <cell r="A141" t="str">
            <v>Grade 04</v>
          </cell>
          <cell r="B141">
            <v>20</v>
          </cell>
          <cell r="C141">
            <v>24</v>
          </cell>
        </row>
        <row r="142">
          <cell r="A142" t="str">
            <v>Grade 05</v>
          </cell>
          <cell r="B142">
            <v>25</v>
          </cell>
          <cell r="C142">
            <v>29</v>
          </cell>
        </row>
        <row r="143">
          <cell r="A143" t="str">
            <v>Grade 06</v>
          </cell>
          <cell r="B143">
            <v>30</v>
          </cell>
          <cell r="C143">
            <v>34</v>
          </cell>
        </row>
        <row r="144">
          <cell r="A144" t="str">
            <v>Grade 07</v>
          </cell>
          <cell r="B144">
            <v>35</v>
          </cell>
          <cell r="C144">
            <v>39</v>
          </cell>
        </row>
        <row r="145">
          <cell r="A145" t="str">
            <v>Grade 08</v>
          </cell>
          <cell r="B145">
            <v>40</v>
          </cell>
          <cell r="C145">
            <v>44</v>
          </cell>
        </row>
        <row r="146">
          <cell r="A146" t="str">
            <v>Grade 09</v>
          </cell>
          <cell r="B146">
            <v>45</v>
          </cell>
          <cell r="C146">
            <v>48</v>
          </cell>
        </row>
        <row r="147">
          <cell r="A147" t="str">
            <v>Grade 10</v>
          </cell>
          <cell r="B147">
            <v>49</v>
          </cell>
          <cell r="C147">
            <v>52</v>
          </cell>
        </row>
        <row r="148">
          <cell r="A148" t="str">
            <v>Grade 11</v>
          </cell>
          <cell r="B148">
            <v>53</v>
          </cell>
          <cell r="C148">
            <v>56</v>
          </cell>
        </row>
      </sheetData>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ntrol"/>
      <sheetName val="_options"/>
      <sheetName val="Template"/>
      <sheetName val="prevAppendix A"/>
      <sheetName val="COVID 19"/>
      <sheetName val="All transactions"/>
      <sheetName val="pivot"/>
      <sheetName val="AJ all trans"/>
      <sheetName val="planning"/>
      <sheetName val="Appendix A"/>
      <sheetName val="Comments"/>
      <sheetName val="COVID 19 "/>
      <sheetName val="Virements"/>
      <sheetName val="Jun Comments Feeder"/>
      <sheetName val="1Appendix A"/>
      <sheetName val="Comments Feeder"/>
    </sheetNames>
    <sheetDataSet>
      <sheetData sheetId="0"/>
      <sheetData sheetId="1"/>
      <sheetData sheetId="2"/>
      <sheetData sheetId="3"/>
      <sheetData sheetId="4"/>
      <sheetData sheetId="5"/>
      <sheetData sheetId="6"/>
      <sheetData sheetId="7"/>
      <sheetData sheetId="8"/>
      <sheetData sheetId="9">
        <row r="9">
          <cell r="V9">
            <v>-50</v>
          </cell>
        </row>
        <row r="12">
          <cell r="V12">
            <v>-14</v>
          </cell>
        </row>
        <row r="15">
          <cell r="V15">
            <v>-35</v>
          </cell>
        </row>
        <row r="47">
          <cell r="V47">
            <v>10</v>
          </cell>
        </row>
        <row r="140">
          <cell r="V140">
            <v>8990.6020000000008</v>
          </cell>
        </row>
      </sheetData>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unty"/>
      <sheetName val="Cherwell"/>
      <sheetName val="Oxford City"/>
      <sheetName val="WODC"/>
      <sheetName val="SODC"/>
      <sheetName val="VOWH"/>
      <sheetName val="Cockpit"/>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ntrol"/>
      <sheetName val="Utilities"/>
      <sheetName val="Comments"/>
      <sheetName val="v"/>
      <sheetName val="Virements"/>
      <sheetName val="A0117"/>
      <sheetName val="Comments Feeder"/>
      <sheetName val="Pension"/>
      <sheetName val="COVID"/>
      <sheetName val="Appendix A 1005"/>
      <sheetName val="Appendix A 3105"/>
      <sheetName val="Appendix A 0106"/>
      <sheetName val="Insurance"/>
      <sheetName val="Appendix A 1906"/>
      <sheetName val="Appendix A 3006"/>
      <sheetName val="OX-1002860 1002859"/>
      <sheetName val="september Appendix A for report"/>
      <sheetName val="COVID sept"/>
      <sheetName val="_options"/>
      <sheetName val="Template"/>
      <sheetName val="Appendix A 0407"/>
      <sheetName val="COVID 19"/>
      <sheetName val="All transactions"/>
      <sheetName val="pivot"/>
      <sheetName val="AJ all trans"/>
      <sheetName val="planning"/>
      <sheetName val="COVID 19 "/>
      <sheetName val="COVID 19)"/>
      <sheetName val="COVID 19  (2)"/>
      <sheetName val="Appendix A 0310"/>
      <sheetName val="Appendix A 0410"/>
      <sheetName val="Appendix A 3010"/>
      <sheetName val="Appendix A 512"/>
      <sheetName val="Appendix A 240205"/>
      <sheetName val="Appendix A 240227"/>
      <sheetName val="Appendix A 240327"/>
    </sheetNames>
    <sheetDataSet>
      <sheetData sheetId="0">
        <row r="9">
          <cell r="F9" t="str">
            <v>General Fund Outturn Report 22/23 @ 31 March 2023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options"/>
      <sheetName val="accounting structure"/>
      <sheetName val="acc"/>
    </sheetNames>
    <definedNames>
      <definedName name="acc" refersTo="='accounting structure'!$B$7:$H$2487"/>
    </definedNames>
    <sheetDataSet>
      <sheetData sheetId="0"/>
      <sheetData sheetId="1">
        <row r="7">
          <cell r="B7" t="str">
            <v>account</v>
          </cell>
          <cell r="C7" t="str">
            <v>period_from</v>
          </cell>
          <cell r="D7" t="str">
            <v>period_to</v>
          </cell>
          <cell r="E7" t="str">
            <v>status</v>
          </cell>
          <cell r="F7" t="str">
            <v>comment (status &amp; period_to)</v>
          </cell>
          <cell r="G7" t="str">
            <v>comment (period_from)</v>
          </cell>
          <cell r="H7" t="str">
            <v>type</v>
          </cell>
        </row>
        <row r="8">
          <cell r="B8" t="str">
            <v>text account</v>
          </cell>
          <cell r="C8" t="str">
            <v>period_from</v>
          </cell>
          <cell r="D8" t="str">
            <v>period_to</v>
          </cell>
          <cell r="E8" t="str">
            <v>status</v>
          </cell>
          <cell r="H8" t="str">
            <v>type</v>
          </cell>
        </row>
        <row r="9">
          <cell r="B9" t="str">
            <v>071</v>
          </cell>
          <cell r="C9">
            <v>200712</v>
          </cell>
          <cell r="D9">
            <v>200713</v>
          </cell>
          <cell r="E9" t="str">
            <v>C</v>
          </cell>
          <cell r="F9" t="str">
            <v>Account status = Closed</v>
          </cell>
          <cell r="G9" t="str">
            <v/>
          </cell>
          <cell r="H9" t="str">
            <v>R</v>
          </cell>
        </row>
        <row r="10">
          <cell r="B10" t="str">
            <v>072</v>
          </cell>
          <cell r="C10">
            <v>200712</v>
          </cell>
          <cell r="D10">
            <v>200713</v>
          </cell>
          <cell r="E10" t="str">
            <v>C</v>
          </cell>
          <cell r="F10" t="str">
            <v>Account status = Closed</v>
          </cell>
          <cell r="G10" t="str">
            <v/>
          </cell>
          <cell r="H10" t="str">
            <v>R</v>
          </cell>
        </row>
        <row r="11">
          <cell r="B11" t="str">
            <v>073</v>
          </cell>
          <cell r="C11">
            <v>200712</v>
          </cell>
          <cell r="D11">
            <v>200713</v>
          </cell>
          <cell r="E11" t="str">
            <v>C</v>
          </cell>
          <cell r="F11" t="str">
            <v>Account status = Closed</v>
          </cell>
          <cell r="G11" t="str">
            <v/>
          </cell>
          <cell r="H11" t="str">
            <v>R</v>
          </cell>
        </row>
        <row r="12">
          <cell r="B12" t="str">
            <v>074</v>
          </cell>
          <cell r="C12">
            <v>200712</v>
          </cell>
          <cell r="D12">
            <v>200713</v>
          </cell>
          <cell r="E12" t="str">
            <v>C</v>
          </cell>
          <cell r="F12" t="str">
            <v>Account status = Closed</v>
          </cell>
          <cell r="G12" t="str">
            <v/>
          </cell>
          <cell r="H12" t="str">
            <v>R</v>
          </cell>
        </row>
        <row r="13">
          <cell r="B13" t="str">
            <v>075</v>
          </cell>
          <cell r="C13">
            <v>200712</v>
          </cell>
          <cell r="D13">
            <v>200713</v>
          </cell>
          <cell r="E13" t="str">
            <v>C</v>
          </cell>
          <cell r="F13" t="str">
            <v>Account status = Closed</v>
          </cell>
          <cell r="G13" t="str">
            <v/>
          </cell>
          <cell r="H13" t="str">
            <v>R</v>
          </cell>
        </row>
        <row r="14">
          <cell r="B14" t="str">
            <v>081</v>
          </cell>
          <cell r="C14">
            <v>200801</v>
          </cell>
          <cell r="D14">
            <v>200813</v>
          </cell>
          <cell r="E14" t="str">
            <v>C</v>
          </cell>
          <cell r="F14" t="str">
            <v>Account status = Closed</v>
          </cell>
          <cell r="G14" t="str">
            <v/>
          </cell>
          <cell r="H14" t="str">
            <v>R</v>
          </cell>
        </row>
        <row r="15">
          <cell r="B15" t="str">
            <v>082</v>
          </cell>
          <cell r="C15">
            <v>200801</v>
          </cell>
          <cell r="D15">
            <v>200813</v>
          </cell>
          <cell r="E15" t="str">
            <v>C</v>
          </cell>
          <cell r="F15" t="str">
            <v>Account status = Closed</v>
          </cell>
          <cell r="G15" t="str">
            <v/>
          </cell>
          <cell r="H15" t="str">
            <v>R</v>
          </cell>
        </row>
        <row r="16">
          <cell r="B16" t="str">
            <v>083</v>
          </cell>
          <cell r="C16">
            <v>200801</v>
          </cell>
          <cell r="D16">
            <v>200813</v>
          </cell>
          <cell r="E16" t="str">
            <v>C</v>
          </cell>
          <cell r="F16" t="str">
            <v>Account status = Closed</v>
          </cell>
          <cell r="G16" t="str">
            <v/>
          </cell>
          <cell r="H16" t="str">
            <v>R</v>
          </cell>
        </row>
        <row r="17">
          <cell r="B17" t="str">
            <v>084</v>
          </cell>
          <cell r="C17">
            <v>200801</v>
          </cell>
          <cell r="D17">
            <v>200813</v>
          </cell>
          <cell r="E17" t="str">
            <v>C</v>
          </cell>
          <cell r="F17" t="str">
            <v>Account status = Closed</v>
          </cell>
          <cell r="G17" t="str">
            <v/>
          </cell>
          <cell r="H17" t="str">
            <v>R</v>
          </cell>
        </row>
        <row r="18">
          <cell r="B18" t="str">
            <v>085</v>
          </cell>
          <cell r="C18">
            <v>200801</v>
          </cell>
          <cell r="D18">
            <v>200813</v>
          </cell>
          <cell r="E18" t="str">
            <v>C</v>
          </cell>
          <cell r="F18" t="str">
            <v>Account status = Closed</v>
          </cell>
          <cell r="G18" t="str">
            <v/>
          </cell>
          <cell r="H18" t="str">
            <v>R</v>
          </cell>
        </row>
        <row r="19">
          <cell r="B19" t="str">
            <v>091</v>
          </cell>
          <cell r="C19">
            <v>200901</v>
          </cell>
          <cell r="D19">
            <v>200913</v>
          </cell>
          <cell r="E19" t="str">
            <v>C</v>
          </cell>
          <cell r="F19" t="str">
            <v>Account status = Closed</v>
          </cell>
          <cell r="G19" t="str">
            <v/>
          </cell>
          <cell r="H19" t="str">
            <v>R</v>
          </cell>
        </row>
        <row r="20">
          <cell r="B20" t="str">
            <v>092</v>
          </cell>
          <cell r="C20">
            <v>200901</v>
          </cell>
          <cell r="D20">
            <v>200913</v>
          </cell>
          <cell r="E20" t="str">
            <v>C</v>
          </cell>
          <cell r="F20" t="str">
            <v>Account status = Closed</v>
          </cell>
          <cell r="G20" t="str">
            <v/>
          </cell>
          <cell r="H20" t="str">
            <v>R</v>
          </cell>
        </row>
        <row r="21">
          <cell r="B21" t="str">
            <v>093</v>
          </cell>
          <cell r="C21">
            <v>200901</v>
          </cell>
          <cell r="D21">
            <v>200913</v>
          </cell>
          <cell r="E21" t="str">
            <v>C</v>
          </cell>
          <cell r="F21" t="str">
            <v>Account status = Closed</v>
          </cell>
          <cell r="G21" t="str">
            <v/>
          </cell>
          <cell r="H21" t="str">
            <v>R</v>
          </cell>
        </row>
        <row r="22">
          <cell r="B22" t="str">
            <v>094</v>
          </cell>
          <cell r="C22">
            <v>200901</v>
          </cell>
          <cell r="D22">
            <v>200913</v>
          </cell>
          <cell r="E22" t="str">
            <v>C</v>
          </cell>
          <cell r="F22" t="str">
            <v>Account status = Closed</v>
          </cell>
          <cell r="G22" t="str">
            <v/>
          </cell>
          <cell r="H22" t="str">
            <v>R</v>
          </cell>
        </row>
        <row r="23">
          <cell r="B23" t="str">
            <v>095</v>
          </cell>
          <cell r="C23">
            <v>200901</v>
          </cell>
          <cell r="D23">
            <v>200913</v>
          </cell>
          <cell r="E23" t="str">
            <v>C</v>
          </cell>
          <cell r="F23" t="str">
            <v>Account status = Closed</v>
          </cell>
          <cell r="G23" t="str">
            <v/>
          </cell>
          <cell r="H23" t="str">
            <v>R</v>
          </cell>
        </row>
        <row r="24">
          <cell r="B24" t="str">
            <v>101</v>
          </cell>
          <cell r="C24">
            <v>201001</v>
          </cell>
          <cell r="D24">
            <v>201013</v>
          </cell>
          <cell r="E24" t="str">
            <v>C</v>
          </cell>
          <cell r="F24" t="str">
            <v>Account status = Closed</v>
          </cell>
          <cell r="G24" t="str">
            <v/>
          </cell>
          <cell r="H24" t="str">
            <v>R</v>
          </cell>
        </row>
        <row r="25">
          <cell r="B25" t="str">
            <v>102</v>
          </cell>
          <cell r="C25">
            <v>201001</v>
          </cell>
          <cell r="D25">
            <v>201013</v>
          </cell>
          <cell r="E25" t="str">
            <v>C</v>
          </cell>
          <cell r="F25" t="str">
            <v>Account status = Closed</v>
          </cell>
          <cell r="G25" t="str">
            <v/>
          </cell>
          <cell r="H25" t="str">
            <v>R</v>
          </cell>
        </row>
        <row r="26">
          <cell r="B26" t="str">
            <v>103</v>
          </cell>
          <cell r="C26">
            <v>201001</v>
          </cell>
          <cell r="D26">
            <v>201013</v>
          </cell>
          <cell r="E26" t="str">
            <v>C</v>
          </cell>
          <cell r="F26" t="str">
            <v>Account status = Closed</v>
          </cell>
          <cell r="G26" t="str">
            <v/>
          </cell>
          <cell r="H26" t="str">
            <v>R</v>
          </cell>
        </row>
        <row r="27">
          <cell r="B27" t="str">
            <v>104</v>
          </cell>
          <cell r="C27">
            <v>201001</v>
          </cell>
          <cell r="D27">
            <v>201013</v>
          </cell>
          <cell r="E27" t="str">
            <v>C</v>
          </cell>
          <cell r="F27" t="str">
            <v>Account status = Closed</v>
          </cell>
          <cell r="G27" t="str">
            <v/>
          </cell>
          <cell r="H27" t="str">
            <v>R</v>
          </cell>
        </row>
        <row r="28">
          <cell r="B28" t="str">
            <v>105</v>
          </cell>
          <cell r="C28">
            <v>201001</v>
          </cell>
          <cell r="D28">
            <v>201013</v>
          </cell>
          <cell r="E28" t="str">
            <v>C</v>
          </cell>
          <cell r="F28" t="str">
            <v>Account status = Closed</v>
          </cell>
          <cell r="G28" t="str">
            <v/>
          </cell>
          <cell r="H28" t="str">
            <v>R</v>
          </cell>
        </row>
        <row r="29">
          <cell r="B29" t="str">
            <v>A0101</v>
          </cell>
          <cell r="C29">
            <v>200109</v>
          </cell>
          <cell r="D29">
            <v>209912</v>
          </cell>
          <cell r="E29" t="str">
            <v>N</v>
          </cell>
          <cell r="F29" t="str">
            <v/>
          </cell>
          <cell r="G29" t="str">
            <v/>
          </cell>
          <cell r="H29" t="str">
            <v>R</v>
          </cell>
        </row>
        <row r="30">
          <cell r="B30" t="str">
            <v>A0102</v>
          </cell>
          <cell r="C30">
            <v>200109</v>
          </cell>
          <cell r="D30">
            <v>209912</v>
          </cell>
          <cell r="E30" t="str">
            <v>N</v>
          </cell>
          <cell r="F30" t="str">
            <v/>
          </cell>
          <cell r="G30" t="str">
            <v/>
          </cell>
          <cell r="H30" t="str">
            <v>R</v>
          </cell>
        </row>
        <row r="31">
          <cell r="B31" t="str">
            <v>A0103</v>
          </cell>
          <cell r="C31">
            <v>200109</v>
          </cell>
          <cell r="D31">
            <v>209912</v>
          </cell>
          <cell r="E31" t="str">
            <v>N</v>
          </cell>
          <cell r="F31" t="str">
            <v/>
          </cell>
          <cell r="G31" t="str">
            <v/>
          </cell>
          <cell r="H31" t="str">
            <v>R</v>
          </cell>
        </row>
        <row r="32">
          <cell r="B32" t="str">
            <v>A0104</v>
          </cell>
          <cell r="C32">
            <v>200109</v>
          </cell>
          <cell r="D32">
            <v>209912</v>
          </cell>
          <cell r="E32" t="str">
            <v>N</v>
          </cell>
          <cell r="F32" t="str">
            <v/>
          </cell>
          <cell r="G32" t="str">
            <v/>
          </cell>
          <cell r="H32" t="str">
            <v>R</v>
          </cell>
        </row>
        <row r="33">
          <cell r="B33" t="str">
            <v>A0105</v>
          </cell>
          <cell r="C33">
            <v>200109</v>
          </cell>
          <cell r="D33">
            <v>209912</v>
          </cell>
          <cell r="E33" t="str">
            <v>N</v>
          </cell>
          <cell r="F33" t="str">
            <v/>
          </cell>
          <cell r="G33" t="str">
            <v/>
          </cell>
          <cell r="H33" t="str">
            <v>R</v>
          </cell>
        </row>
        <row r="34">
          <cell r="B34" t="str">
            <v>A0106</v>
          </cell>
          <cell r="C34">
            <v>200109</v>
          </cell>
          <cell r="D34">
            <v>209912</v>
          </cell>
          <cell r="E34" t="str">
            <v>N</v>
          </cell>
          <cell r="F34" t="str">
            <v/>
          </cell>
          <cell r="G34" t="str">
            <v/>
          </cell>
          <cell r="H34" t="str">
            <v>R</v>
          </cell>
        </row>
        <row r="35">
          <cell r="B35" t="str">
            <v>A0107</v>
          </cell>
          <cell r="C35">
            <v>200109</v>
          </cell>
          <cell r="D35">
            <v>209912</v>
          </cell>
          <cell r="E35" t="str">
            <v>N</v>
          </cell>
          <cell r="F35" t="str">
            <v/>
          </cell>
          <cell r="G35" t="str">
            <v/>
          </cell>
          <cell r="H35" t="str">
            <v>R</v>
          </cell>
        </row>
        <row r="36">
          <cell r="B36" t="str">
            <v>A0108</v>
          </cell>
          <cell r="C36">
            <v>200109</v>
          </cell>
          <cell r="D36">
            <v>209912</v>
          </cell>
          <cell r="E36" t="str">
            <v>N</v>
          </cell>
          <cell r="F36" t="str">
            <v/>
          </cell>
          <cell r="G36" t="str">
            <v/>
          </cell>
          <cell r="H36" t="str">
            <v>R</v>
          </cell>
        </row>
        <row r="37">
          <cell r="B37" t="str">
            <v>A0109</v>
          </cell>
          <cell r="C37">
            <v>200109</v>
          </cell>
          <cell r="D37">
            <v>209912</v>
          </cell>
          <cell r="E37" t="str">
            <v>N</v>
          </cell>
          <cell r="F37" t="str">
            <v/>
          </cell>
          <cell r="G37" t="str">
            <v/>
          </cell>
          <cell r="H37" t="str">
            <v>R</v>
          </cell>
        </row>
        <row r="38">
          <cell r="B38" t="str">
            <v>A0110</v>
          </cell>
          <cell r="C38">
            <v>200109</v>
          </cell>
          <cell r="D38">
            <v>209912</v>
          </cell>
          <cell r="E38" t="str">
            <v>N</v>
          </cell>
          <cell r="F38" t="str">
            <v/>
          </cell>
          <cell r="G38" t="str">
            <v/>
          </cell>
          <cell r="H38" t="str">
            <v>R</v>
          </cell>
        </row>
        <row r="39">
          <cell r="B39" t="str">
            <v>A0111</v>
          </cell>
          <cell r="C39">
            <v>200109</v>
          </cell>
          <cell r="D39">
            <v>209912</v>
          </cell>
          <cell r="E39" t="str">
            <v>N</v>
          </cell>
          <cell r="F39" t="str">
            <v/>
          </cell>
          <cell r="G39" t="str">
            <v/>
          </cell>
          <cell r="H39" t="str">
            <v>R</v>
          </cell>
        </row>
        <row r="40">
          <cell r="B40" t="str">
            <v>A0112</v>
          </cell>
          <cell r="C40">
            <v>200412</v>
          </cell>
          <cell r="D40">
            <v>200713</v>
          </cell>
          <cell r="E40" t="str">
            <v>C</v>
          </cell>
          <cell r="F40" t="str">
            <v>Account status = Closed</v>
          </cell>
          <cell r="G40" t="str">
            <v/>
          </cell>
          <cell r="H40" t="str">
            <v>R</v>
          </cell>
        </row>
        <row r="41">
          <cell r="B41" t="str">
            <v>A0113</v>
          </cell>
          <cell r="C41">
            <v>200804</v>
          </cell>
          <cell r="D41">
            <v>209912</v>
          </cell>
          <cell r="E41" t="str">
            <v>N</v>
          </cell>
          <cell r="F41" t="str">
            <v/>
          </cell>
          <cell r="G41" t="str">
            <v/>
          </cell>
          <cell r="H41" t="str">
            <v>R</v>
          </cell>
        </row>
        <row r="42">
          <cell r="B42" t="str">
            <v>A0114</v>
          </cell>
          <cell r="C42">
            <v>200109</v>
          </cell>
          <cell r="D42">
            <v>209912</v>
          </cell>
          <cell r="E42" t="str">
            <v>N</v>
          </cell>
          <cell r="F42" t="str">
            <v/>
          </cell>
          <cell r="G42" t="str">
            <v/>
          </cell>
          <cell r="H42" t="str">
            <v>R</v>
          </cell>
        </row>
        <row r="43">
          <cell r="B43" t="str">
            <v>A0116</v>
          </cell>
          <cell r="C43">
            <v>200109</v>
          </cell>
          <cell r="D43">
            <v>209912</v>
          </cell>
          <cell r="E43" t="str">
            <v>N</v>
          </cell>
          <cell r="F43" t="str">
            <v/>
          </cell>
          <cell r="G43" t="str">
            <v/>
          </cell>
          <cell r="H43" t="str">
            <v>R</v>
          </cell>
        </row>
        <row r="44">
          <cell r="B44" t="str">
            <v>A0117</v>
          </cell>
          <cell r="C44">
            <v>199900</v>
          </cell>
          <cell r="D44">
            <v>209912</v>
          </cell>
          <cell r="E44" t="str">
            <v>N</v>
          </cell>
          <cell r="F44" t="str">
            <v/>
          </cell>
          <cell r="G44" t="str">
            <v/>
          </cell>
          <cell r="H44" t="str">
            <v>R</v>
          </cell>
        </row>
        <row r="45">
          <cell r="B45" t="str">
            <v>A0119</v>
          </cell>
          <cell r="C45">
            <v>200513</v>
          </cell>
          <cell r="D45">
            <v>200513</v>
          </cell>
          <cell r="E45" t="str">
            <v>C</v>
          </cell>
          <cell r="F45" t="str">
            <v>Account status = Closed</v>
          </cell>
          <cell r="G45" t="str">
            <v/>
          </cell>
          <cell r="H45" t="str">
            <v>R</v>
          </cell>
        </row>
        <row r="46">
          <cell r="B46" t="str">
            <v>A0120</v>
          </cell>
          <cell r="C46">
            <v>199900</v>
          </cell>
          <cell r="D46">
            <v>209912</v>
          </cell>
          <cell r="E46" t="str">
            <v>N</v>
          </cell>
          <cell r="F46" t="str">
            <v/>
          </cell>
          <cell r="G46" t="str">
            <v/>
          </cell>
          <cell r="H46" t="str">
            <v>R</v>
          </cell>
        </row>
        <row r="47">
          <cell r="B47" t="str">
            <v>A0121</v>
          </cell>
          <cell r="C47">
            <v>199900</v>
          </cell>
          <cell r="D47">
            <v>209912</v>
          </cell>
          <cell r="E47" t="str">
            <v>N</v>
          </cell>
          <cell r="F47" t="str">
            <v/>
          </cell>
          <cell r="G47" t="str">
            <v/>
          </cell>
          <cell r="H47" t="str">
            <v>R</v>
          </cell>
        </row>
        <row r="48">
          <cell r="B48" t="str">
            <v>A0122</v>
          </cell>
          <cell r="C48">
            <v>199900</v>
          </cell>
          <cell r="D48">
            <v>209912</v>
          </cell>
          <cell r="E48" t="str">
            <v>N</v>
          </cell>
          <cell r="F48" t="str">
            <v/>
          </cell>
          <cell r="G48" t="str">
            <v/>
          </cell>
          <cell r="H48" t="str">
            <v>R</v>
          </cell>
        </row>
        <row r="49">
          <cell r="B49" t="str">
            <v>A0123</v>
          </cell>
          <cell r="C49">
            <v>199900</v>
          </cell>
          <cell r="D49">
            <v>209912</v>
          </cell>
          <cell r="E49" t="str">
            <v>N</v>
          </cell>
          <cell r="F49" t="str">
            <v/>
          </cell>
          <cell r="G49" t="str">
            <v/>
          </cell>
          <cell r="H49" t="str">
            <v>R</v>
          </cell>
        </row>
        <row r="50">
          <cell r="B50" t="str">
            <v>A0129</v>
          </cell>
          <cell r="C50">
            <v>200109</v>
          </cell>
          <cell r="D50">
            <v>200713</v>
          </cell>
          <cell r="E50" t="str">
            <v>C</v>
          </cell>
          <cell r="F50" t="str">
            <v>Account status = Closed</v>
          </cell>
          <cell r="G50" t="str">
            <v/>
          </cell>
          <cell r="H50" t="str">
            <v>R</v>
          </cell>
        </row>
        <row r="51">
          <cell r="B51" t="str">
            <v>A0144</v>
          </cell>
          <cell r="C51">
            <v>200109</v>
          </cell>
          <cell r="D51">
            <v>209913</v>
          </cell>
          <cell r="E51" t="str">
            <v>N</v>
          </cell>
          <cell r="F51" t="str">
            <v/>
          </cell>
          <cell r="G51" t="str">
            <v/>
          </cell>
          <cell r="H51" t="str">
            <v>R</v>
          </cell>
        </row>
        <row r="52">
          <cell r="B52" t="str">
            <v>A0150</v>
          </cell>
          <cell r="C52">
            <v>200109</v>
          </cell>
          <cell r="D52">
            <v>209912</v>
          </cell>
          <cell r="E52" t="str">
            <v>N</v>
          </cell>
          <cell r="F52" t="str">
            <v/>
          </cell>
          <cell r="G52" t="str">
            <v/>
          </cell>
          <cell r="H52" t="str">
            <v>R</v>
          </cell>
        </row>
        <row r="53">
          <cell r="B53" t="str">
            <v>A0151</v>
          </cell>
          <cell r="C53">
            <v>200604</v>
          </cell>
          <cell r="D53">
            <v>209912</v>
          </cell>
          <cell r="E53" t="str">
            <v>N</v>
          </cell>
          <cell r="F53" t="str">
            <v/>
          </cell>
          <cell r="G53" t="str">
            <v/>
          </cell>
          <cell r="H53" t="str">
            <v>R</v>
          </cell>
        </row>
        <row r="54">
          <cell r="B54" t="str">
            <v>A0201</v>
          </cell>
          <cell r="C54">
            <v>200109</v>
          </cell>
          <cell r="D54">
            <v>209912</v>
          </cell>
          <cell r="E54" t="str">
            <v>N</v>
          </cell>
          <cell r="F54" t="str">
            <v/>
          </cell>
          <cell r="G54" t="str">
            <v/>
          </cell>
          <cell r="H54" t="str">
            <v>R</v>
          </cell>
        </row>
        <row r="55">
          <cell r="B55" t="str">
            <v>A0202</v>
          </cell>
          <cell r="C55">
            <v>200109</v>
          </cell>
          <cell r="D55">
            <v>200713</v>
          </cell>
          <cell r="E55" t="str">
            <v>C</v>
          </cell>
          <cell r="F55" t="str">
            <v>Account status = Closed</v>
          </cell>
          <cell r="G55" t="str">
            <v/>
          </cell>
          <cell r="H55" t="str">
            <v>R</v>
          </cell>
        </row>
        <row r="56">
          <cell r="B56" t="str">
            <v>A0203</v>
          </cell>
          <cell r="C56">
            <v>200109</v>
          </cell>
          <cell r="D56">
            <v>200713</v>
          </cell>
          <cell r="E56" t="str">
            <v>C</v>
          </cell>
          <cell r="F56" t="str">
            <v>Account status = Closed</v>
          </cell>
          <cell r="G56" t="str">
            <v/>
          </cell>
          <cell r="H56" t="str">
            <v>R</v>
          </cell>
        </row>
        <row r="57">
          <cell r="B57" t="str">
            <v>A0205</v>
          </cell>
          <cell r="C57">
            <v>200109</v>
          </cell>
          <cell r="D57">
            <v>201300</v>
          </cell>
          <cell r="E57" t="str">
            <v>C</v>
          </cell>
          <cell r="F57" t="str">
            <v>Account status = Closed</v>
          </cell>
          <cell r="G57" t="str">
            <v/>
          </cell>
          <cell r="H57" t="str">
            <v>R</v>
          </cell>
        </row>
        <row r="58">
          <cell r="B58" t="str">
            <v>A0207</v>
          </cell>
          <cell r="C58">
            <v>200109</v>
          </cell>
          <cell r="D58">
            <v>201300</v>
          </cell>
          <cell r="E58" t="str">
            <v>C</v>
          </cell>
          <cell r="F58" t="str">
            <v>Account status = Closed</v>
          </cell>
          <cell r="G58" t="str">
            <v/>
          </cell>
          <cell r="H58" t="str">
            <v>R</v>
          </cell>
        </row>
        <row r="59">
          <cell r="B59" t="str">
            <v>A0208</v>
          </cell>
          <cell r="C59">
            <v>200109</v>
          </cell>
          <cell r="D59">
            <v>200713</v>
          </cell>
          <cell r="E59" t="str">
            <v>C</v>
          </cell>
          <cell r="F59" t="str">
            <v>Account status = Closed</v>
          </cell>
          <cell r="G59" t="str">
            <v/>
          </cell>
          <cell r="H59" t="str">
            <v>R</v>
          </cell>
        </row>
        <row r="60">
          <cell r="B60" t="str">
            <v>A0210</v>
          </cell>
          <cell r="C60">
            <v>200109</v>
          </cell>
          <cell r="D60">
            <v>201303</v>
          </cell>
          <cell r="E60" t="str">
            <v>C</v>
          </cell>
          <cell r="F60" t="str">
            <v>Account status = Closed</v>
          </cell>
          <cell r="G60" t="str">
            <v/>
          </cell>
          <cell r="H60" t="str">
            <v>R</v>
          </cell>
        </row>
        <row r="61">
          <cell r="B61" t="str">
            <v>A0211</v>
          </cell>
          <cell r="C61">
            <v>200109</v>
          </cell>
          <cell r="D61">
            <v>200713</v>
          </cell>
          <cell r="E61" t="str">
            <v>C</v>
          </cell>
          <cell r="F61" t="str">
            <v>Account status = Closed</v>
          </cell>
          <cell r="G61" t="str">
            <v/>
          </cell>
          <cell r="H61" t="str">
            <v>R</v>
          </cell>
        </row>
        <row r="62">
          <cell r="B62" t="str">
            <v>A0216</v>
          </cell>
          <cell r="C62">
            <v>200109</v>
          </cell>
          <cell r="D62">
            <v>200713</v>
          </cell>
          <cell r="E62" t="str">
            <v>C</v>
          </cell>
          <cell r="F62" t="str">
            <v>Account status = Closed</v>
          </cell>
          <cell r="G62" t="str">
            <v/>
          </cell>
          <cell r="H62" t="str">
            <v>R</v>
          </cell>
        </row>
        <row r="63">
          <cell r="B63" t="str">
            <v>A0217</v>
          </cell>
          <cell r="C63">
            <v>200109</v>
          </cell>
          <cell r="D63">
            <v>200713</v>
          </cell>
          <cell r="E63" t="str">
            <v>C</v>
          </cell>
          <cell r="F63" t="str">
            <v>Account status = Closed</v>
          </cell>
          <cell r="G63" t="str">
            <v/>
          </cell>
          <cell r="H63" t="str">
            <v>R</v>
          </cell>
        </row>
        <row r="64">
          <cell r="B64" t="str">
            <v>A0218</v>
          </cell>
          <cell r="C64">
            <v>200109</v>
          </cell>
          <cell r="D64">
            <v>209912</v>
          </cell>
          <cell r="E64" t="str">
            <v>N</v>
          </cell>
          <cell r="F64" t="str">
            <v/>
          </cell>
          <cell r="G64" t="str">
            <v/>
          </cell>
          <cell r="H64" t="str">
            <v>R</v>
          </cell>
        </row>
        <row r="65">
          <cell r="B65" t="str">
            <v>A0219</v>
          </cell>
          <cell r="C65">
            <v>200109</v>
          </cell>
          <cell r="D65">
            <v>209912</v>
          </cell>
          <cell r="E65" t="str">
            <v>N</v>
          </cell>
          <cell r="F65" t="str">
            <v/>
          </cell>
          <cell r="G65" t="str">
            <v/>
          </cell>
          <cell r="H65" t="str">
            <v>R</v>
          </cell>
        </row>
        <row r="66">
          <cell r="B66" t="str">
            <v>A0220</v>
          </cell>
          <cell r="C66">
            <v>200109</v>
          </cell>
          <cell r="D66">
            <v>209912</v>
          </cell>
          <cell r="E66" t="str">
            <v>N</v>
          </cell>
          <cell r="F66" t="str">
            <v/>
          </cell>
          <cell r="G66" t="str">
            <v/>
          </cell>
          <cell r="H66" t="str">
            <v>R</v>
          </cell>
        </row>
        <row r="67">
          <cell r="B67" t="str">
            <v>A0221</v>
          </cell>
          <cell r="C67">
            <v>200109</v>
          </cell>
          <cell r="D67">
            <v>209912</v>
          </cell>
          <cell r="E67" t="str">
            <v>N</v>
          </cell>
          <cell r="F67" t="str">
            <v/>
          </cell>
          <cell r="G67" t="str">
            <v/>
          </cell>
          <cell r="H67" t="str">
            <v>R</v>
          </cell>
        </row>
        <row r="68">
          <cell r="B68" t="str">
            <v>A0222</v>
          </cell>
          <cell r="C68">
            <v>200109</v>
          </cell>
          <cell r="D68">
            <v>200713</v>
          </cell>
          <cell r="E68" t="str">
            <v>C</v>
          </cell>
          <cell r="F68" t="str">
            <v>Account status = Closed</v>
          </cell>
          <cell r="G68" t="str">
            <v/>
          </cell>
          <cell r="H68" t="str">
            <v>R</v>
          </cell>
        </row>
        <row r="69">
          <cell r="B69" t="str">
            <v>A0224</v>
          </cell>
          <cell r="C69">
            <v>200109</v>
          </cell>
          <cell r="D69">
            <v>209912</v>
          </cell>
          <cell r="E69" t="str">
            <v>N</v>
          </cell>
          <cell r="F69" t="str">
            <v/>
          </cell>
          <cell r="G69" t="str">
            <v/>
          </cell>
          <cell r="H69" t="str">
            <v>R</v>
          </cell>
        </row>
        <row r="70">
          <cell r="B70" t="str">
            <v>A0227</v>
          </cell>
          <cell r="C70">
            <v>200109</v>
          </cell>
          <cell r="D70">
            <v>209912</v>
          </cell>
          <cell r="E70" t="str">
            <v>N</v>
          </cell>
          <cell r="F70" t="str">
            <v/>
          </cell>
          <cell r="G70" t="str">
            <v/>
          </cell>
          <cell r="H70" t="str">
            <v>R</v>
          </cell>
        </row>
        <row r="71">
          <cell r="B71" t="str">
            <v>A0228</v>
          </cell>
          <cell r="C71">
            <v>200701</v>
          </cell>
          <cell r="D71">
            <v>209912</v>
          </cell>
          <cell r="E71" t="str">
            <v>N</v>
          </cell>
          <cell r="F71" t="str">
            <v/>
          </cell>
          <cell r="G71" t="str">
            <v/>
          </cell>
          <cell r="H71" t="str">
            <v>R</v>
          </cell>
        </row>
        <row r="72">
          <cell r="B72" t="str">
            <v>A0229</v>
          </cell>
          <cell r="C72">
            <v>200109</v>
          </cell>
          <cell r="D72">
            <v>209912</v>
          </cell>
          <cell r="E72" t="str">
            <v>N</v>
          </cell>
          <cell r="F72" t="str">
            <v/>
          </cell>
          <cell r="G72" t="str">
            <v/>
          </cell>
          <cell r="H72" t="str">
            <v>R</v>
          </cell>
        </row>
        <row r="73">
          <cell r="B73" t="str">
            <v>A0230</v>
          </cell>
          <cell r="C73">
            <v>200109</v>
          </cell>
          <cell r="D73">
            <v>200713</v>
          </cell>
          <cell r="E73" t="str">
            <v>C</v>
          </cell>
          <cell r="F73" t="str">
            <v>Account status = Closed</v>
          </cell>
          <cell r="G73" t="str">
            <v/>
          </cell>
          <cell r="H73" t="str">
            <v>R</v>
          </cell>
        </row>
        <row r="74">
          <cell r="B74" t="str">
            <v>A0231</v>
          </cell>
          <cell r="C74">
            <v>200109</v>
          </cell>
          <cell r="D74">
            <v>209912</v>
          </cell>
          <cell r="E74" t="str">
            <v>N</v>
          </cell>
          <cell r="F74" t="str">
            <v/>
          </cell>
          <cell r="G74" t="str">
            <v/>
          </cell>
          <cell r="H74" t="str">
            <v>R</v>
          </cell>
        </row>
        <row r="75">
          <cell r="B75" t="str">
            <v>A0232</v>
          </cell>
          <cell r="C75">
            <v>200109</v>
          </cell>
          <cell r="D75">
            <v>200713</v>
          </cell>
          <cell r="E75" t="str">
            <v>C</v>
          </cell>
          <cell r="F75" t="str">
            <v>Account status = Closed</v>
          </cell>
          <cell r="G75" t="str">
            <v/>
          </cell>
          <cell r="H75" t="str">
            <v>R</v>
          </cell>
        </row>
        <row r="76">
          <cell r="B76" t="str">
            <v>A0234</v>
          </cell>
          <cell r="C76">
            <v>200109</v>
          </cell>
          <cell r="D76">
            <v>200713</v>
          </cell>
          <cell r="E76" t="str">
            <v>C</v>
          </cell>
          <cell r="F76" t="str">
            <v>Account status = Closed</v>
          </cell>
          <cell r="G76" t="str">
            <v/>
          </cell>
          <cell r="H76" t="str">
            <v>R</v>
          </cell>
        </row>
        <row r="77">
          <cell r="B77" t="str">
            <v>A0236</v>
          </cell>
          <cell r="C77">
            <v>200109</v>
          </cell>
          <cell r="D77">
            <v>200713</v>
          </cell>
          <cell r="E77" t="str">
            <v>C</v>
          </cell>
          <cell r="F77" t="str">
            <v>Account status = Closed</v>
          </cell>
          <cell r="G77" t="str">
            <v/>
          </cell>
          <cell r="H77" t="str">
            <v>R</v>
          </cell>
        </row>
        <row r="78">
          <cell r="B78" t="str">
            <v>A0237</v>
          </cell>
          <cell r="C78">
            <v>200109</v>
          </cell>
          <cell r="D78">
            <v>209912</v>
          </cell>
          <cell r="E78" t="str">
            <v>N</v>
          </cell>
          <cell r="F78" t="str">
            <v/>
          </cell>
          <cell r="G78" t="str">
            <v/>
          </cell>
          <cell r="H78" t="str">
            <v>R</v>
          </cell>
        </row>
        <row r="79">
          <cell r="B79" t="str">
            <v>A0238</v>
          </cell>
          <cell r="C79">
            <v>200109</v>
          </cell>
          <cell r="D79">
            <v>209912</v>
          </cell>
          <cell r="E79" t="str">
            <v>N</v>
          </cell>
          <cell r="F79" t="str">
            <v/>
          </cell>
          <cell r="G79" t="str">
            <v/>
          </cell>
          <cell r="H79" t="str">
            <v>R</v>
          </cell>
        </row>
        <row r="80">
          <cell r="B80" t="str">
            <v>A0239</v>
          </cell>
          <cell r="C80">
            <v>200109</v>
          </cell>
          <cell r="D80">
            <v>200713</v>
          </cell>
          <cell r="E80" t="str">
            <v>C</v>
          </cell>
          <cell r="F80" t="str">
            <v>Account status = Closed</v>
          </cell>
          <cell r="G80" t="str">
            <v/>
          </cell>
          <cell r="H80" t="str">
            <v>R</v>
          </cell>
        </row>
        <row r="81">
          <cell r="B81" t="str">
            <v>A0242</v>
          </cell>
          <cell r="C81">
            <v>200109</v>
          </cell>
          <cell r="D81">
            <v>200713</v>
          </cell>
          <cell r="E81" t="str">
            <v>C</v>
          </cell>
          <cell r="F81" t="str">
            <v>Account status = Closed</v>
          </cell>
          <cell r="G81" t="str">
            <v/>
          </cell>
          <cell r="H81" t="str">
            <v>R</v>
          </cell>
        </row>
        <row r="82">
          <cell r="B82" t="str">
            <v>A0250</v>
          </cell>
          <cell r="C82">
            <v>200109</v>
          </cell>
          <cell r="D82">
            <v>209913</v>
          </cell>
          <cell r="E82" t="str">
            <v>N</v>
          </cell>
          <cell r="F82" t="str">
            <v/>
          </cell>
          <cell r="G82" t="str">
            <v/>
          </cell>
          <cell r="H82" t="str">
            <v>R</v>
          </cell>
        </row>
        <row r="83">
          <cell r="B83" t="str">
            <v>A0253</v>
          </cell>
          <cell r="C83">
            <v>200109</v>
          </cell>
          <cell r="D83">
            <v>200713</v>
          </cell>
          <cell r="E83" t="str">
            <v>C</v>
          </cell>
          <cell r="F83" t="str">
            <v>Account status = Closed</v>
          </cell>
          <cell r="G83" t="str">
            <v/>
          </cell>
          <cell r="H83" t="str">
            <v>R</v>
          </cell>
        </row>
        <row r="84">
          <cell r="B84" t="str">
            <v>A0254</v>
          </cell>
          <cell r="C84">
            <v>200109</v>
          </cell>
          <cell r="D84">
            <v>200713</v>
          </cell>
          <cell r="E84" t="str">
            <v>C</v>
          </cell>
          <cell r="F84" t="str">
            <v>Account status = Closed</v>
          </cell>
          <cell r="G84" t="str">
            <v/>
          </cell>
          <cell r="H84" t="str">
            <v>R</v>
          </cell>
        </row>
        <row r="85">
          <cell r="B85" t="str">
            <v>A0255</v>
          </cell>
          <cell r="C85">
            <v>200109</v>
          </cell>
          <cell r="D85">
            <v>200713</v>
          </cell>
          <cell r="E85" t="str">
            <v>C</v>
          </cell>
          <cell r="F85" t="str">
            <v>Account status = Closed</v>
          </cell>
          <cell r="G85" t="str">
            <v/>
          </cell>
          <cell r="H85" t="str">
            <v>R</v>
          </cell>
        </row>
        <row r="86">
          <cell r="B86" t="str">
            <v>A0256</v>
          </cell>
          <cell r="C86">
            <v>200109</v>
          </cell>
          <cell r="D86">
            <v>200713</v>
          </cell>
          <cell r="E86" t="str">
            <v>C</v>
          </cell>
          <cell r="F86" t="str">
            <v>Account status = Closed</v>
          </cell>
          <cell r="G86" t="str">
            <v/>
          </cell>
          <cell r="H86" t="str">
            <v>R</v>
          </cell>
        </row>
        <row r="87">
          <cell r="B87" t="str">
            <v>A0262</v>
          </cell>
          <cell r="C87">
            <v>200701</v>
          </cell>
          <cell r="D87">
            <v>209912</v>
          </cell>
          <cell r="E87" t="str">
            <v>N</v>
          </cell>
          <cell r="F87" t="str">
            <v/>
          </cell>
          <cell r="G87" t="str">
            <v/>
          </cell>
          <cell r="H87" t="str">
            <v>R</v>
          </cell>
        </row>
        <row r="88">
          <cell r="B88" t="str">
            <v>A0263</v>
          </cell>
          <cell r="C88">
            <v>200801</v>
          </cell>
          <cell r="D88">
            <v>209912</v>
          </cell>
          <cell r="E88" t="str">
            <v>N</v>
          </cell>
          <cell r="F88" t="str">
            <v/>
          </cell>
          <cell r="G88" t="str">
            <v/>
          </cell>
          <cell r="H88" t="str">
            <v>R</v>
          </cell>
        </row>
        <row r="89">
          <cell r="B89" t="str">
            <v>A0264</v>
          </cell>
          <cell r="C89">
            <v>201001</v>
          </cell>
          <cell r="D89">
            <v>209912</v>
          </cell>
          <cell r="E89" t="str">
            <v>N</v>
          </cell>
          <cell r="F89" t="str">
            <v/>
          </cell>
          <cell r="G89" t="str">
            <v/>
          </cell>
          <cell r="H89" t="str">
            <v>R</v>
          </cell>
        </row>
        <row r="90">
          <cell r="B90" t="str">
            <v>A0265</v>
          </cell>
          <cell r="C90">
            <v>201001</v>
          </cell>
          <cell r="D90">
            <v>209912</v>
          </cell>
          <cell r="E90" t="str">
            <v>N</v>
          </cell>
          <cell r="F90" t="str">
            <v/>
          </cell>
          <cell r="G90" t="str">
            <v/>
          </cell>
          <cell r="H90" t="str">
            <v>R</v>
          </cell>
        </row>
        <row r="91">
          <cell r="B91" t="str">
            <v>A0266</v>
          </cell>
          <cell r="C91">
            <v>201001</v>
          </cell>
          <cell r="D91">
            <v>209912</v>
          </cell>
          <cell r="E91" t="str">
            <v>N</v>
          </cell>
          <cell r="F91" t="str">
            <v/>
          </cell>
          <cell r="G91" t="str">
            <v/>
          </cell>
          <cell r="H91" t="str">
            <v>R</v>
          </cell>
        </row>
        <row r="92">
          <cell r="B92" t="str">
            <v>A0267</v>
          </cell>
          <cell r="C92">
            <v>201001</v>
          </cell>
          <cell r="D92">
            <v>209912</v>
          </cell>
          <cell r="E92" t="str">
            <v>N</v>
          </cell>
          <cell r="F92" t="str">
            <v/>
          </cell>
          <cell r="G92" t="str">
            <v/>
          </cell>
          <cell r="H92" t="str">
            <v>R</v>
          </cell>
        </row>
        <row r="93">
          <cell r="B93" t="str">
            <v>A0268</v>
          </cell>
          <cell r="C93">
            <v>201001</v>
          </cell>
          <cell r="D93">
            <v>209912</v>
          </cell>
          <cell r="E93" t="str">
            <v>N</v>
          </cell>
          <cell r="F93" t="str">
            <v/>
          </cell>
          <cell r="G93" t="str">
            <v/>
          </cell>
          <cell r="H93" t="str">
            <v>R</v>
          </cell>
        </row>
        <row r="94">
          <cell r="B94" t="str">
            <v>A0301</v>
          </cell>
          <cell r="C94">
            <v>200109</v>
          </cell>
          <cell r="D94">
            <v>200713</v>
          </cell>
          <cell r="E94" t="str">
            <v>C</v>
          </cell>
          <cell r="F94" t="str">
            <v>Account status = Closed</v>
          </cell>
          <cell r="G94" t="str">
            <v/>
          </cell>
          <cell r="H94" t="str">
            <v>R</v>
          </cell>
        </row>
        <row r="95">
          <cell r="B95" t="str">
            <v>A0302</v>
          </cell>
          <cell r="C95">
            <v>200109</v>
          </cell>
          <cell r="D95">
            <v>209912</v>
          </cell>
          <cell r="E95" t="str">
            <v>N</v>
          </cell>
          <cell r="F95" t="str">
            <v/>
          </cell>
          <cell r="G95" t="str">
            <v/>
          </cell>
          <cell r="H95" t="str">
            <v>R</v>
          </cell>
        </row>
        <row r="96">
          <cell r="B96" t="str">
            <v>A0303</v>
          </cell>
          <cell r="C96">
            <v>200109</v>
          </cell>
          <cell r="D96">
            <v>209912</v>
          </cell>
          <cell r="E96" t="str">
            <v>N</v>
          </cell>
          <cell r="F96" t="str">
            <v/>
          </cell>
          <cell r="G96" t="str">
            <v/>
          </cell>
          <cell r="H96" t="str">
            <v>R</v>
          </cell>
        </row>
        <row r="97">
          <cell r="B97" t="str">
            <v>A0304</v>
          </cell>
          <cell r="C97">
            <v>200109</v>
          </cell>
          <cell r="D97">
            <v>200112</v>
          </cell>
          <cell r="E97" t="str">
            <v>C</v>
          </cell>
          <cell r="F97" t="str">
            <v>Account status = Closed</v>
          </cell>
          <cell r="G97" t="str">
            <v/>
          </cell>
          <cell r="H97" t="str">
            <v>R</v>
          </cell>
        </row>
        <row r="98">
          <cell r="B98" t="str">
            <v>A0305</v>
          </cell>
          <cell r="C98">
            <v>200109</v>
          </cell>
          <cell r="D98">
            <v>200112</v>
          </cell>
          <cell r="E98" t="str">
            <v>C</v>
          </cell>
          <cell r="F98" t="str">
            <v>Account status = Closed</v>
          </cell>
          <cell r="G98" t="str">
            <v/>
          </cell>
          <cell r="H98" t="str">
            <v>R</v>
          </cell>
        </row>
        <row r="99">
          <cell r="B99" t="str">
            <v>A0306</v>
          </cell>
          <cell r="C99">
            <v>200109</v>
          </cell>
          <cell r="D99">
            <v>209912</v>
          </cell>
          <cell r="E99" t="str">
            <v>N</v>
          </cell>
          <cell r="F99" t="str">
            <v/>
          </cell>
          <cell r="G99" t="str">
            <v/>
          </cell>
          <cell r="H99" t="str">
            <v>R</v>
          </cell>
        </row>
        <row r="100">
          <cell r="B100" t="str">
            <v>A0307</v>
          </cell>
          <cell r="C100">
            <v>200203</v>
          </cell>
          <cell r="D100">
            <v>200713</v>
          </cell>
          <cell r="E100" t="str">
            <v>C</v>
          </cell>
          <cell r="F100" t="str">
            <v>Account status = Closed</v>
          </cell>
          <cell r="G100" t="str">
            <v/>
          </cell>
          <cell r="H100" t="str">
            <v>R</v>
          </cell>
        </row>
        <row r="101">
          <cell r="B101" t="str">
            <v>A0308</v>
          </cell>
          <cell r="C101">
            <v>200503</v>
          </cell>
          <cell r="D101">
            <v>200713</v>
          </cell>
          <cell r="E101" t="str">
            <v>C</v>
          </cell>
          <cell r="F101" t="str">
            <v>Account status = Closed</v>
          </cell>
          <cell r="G101" t="str">
            <v/>
          </cell>
          <cell r="H101" t="str">
            <v>R</v>
          </cell>
        </row>
        <row r="102">
          <cell r="B102" t="str">
            <v>A0601</v>
          </cell>
          <cell r="C102">
            <v>200109</v>
          </cell>
          <cell r="D102">
            <v>209912</v>
          </cell>
          <cell r="E102" t="str">
            <v>N</v>
          </cell>
          <cell r="F102" t="str">
            <v/>
          </cell>
          <cell r="G102" t="str">
            <v/>
          </cell>
          <cell r="H102" t="str">
            <v>R</v>
          </cell>
        </row>
        <row r="103">
          <cell r="B103" t="str">
            <v>A0602</v>
          </cell>
          <cell r="C103">
            <v>200109</v>
          </cell>
          <cell r="D103">
            <v>209912</v>
          </cell>
          <cell r="E103" t="str">
            <v>N</v>
          </cell>
          <cell r="F103" t="str">
            <v/>
          </cell>
          <cell r="G103" t="str">
            <v/>
          </cell>
          <cell r="H103" t="str">
            <v>R</v>
          </cell>
        </row>
        <row r="104">
          <cell r="B104" t="str">
            <v>A0603</v>
          </cell>
          <cell r="C104">
            <v>200109</v>
          </cell>
          <cell r="D104">
            <v>200112</v>
          </cell>
          <cell r="E104" t="str">
            <v>C</v>
          </cell>
          <cell r="F104" t="str">
            <v>Account status = Closed</v>
          </cell>
          <cell r="G104" t="str">
            <v/>
          </cell>
          <cell r="H104" t="str">
            <v>R</v>
          </cell>
        </row>
        <row r="105">
          <cell r="B105" t="str">
            <v>A0604</v>
          </cell>
          <cell r="C105">
            <v>200109</v>
          </cell>
          <cell r="D105">
            <v>200713</v>
          </cell>
          <cell r="E105" t="str">
            <v>C</v>
          </cell>
          <cell r="F105" t="str">
            <v>Account status = Closed</v>
          </cell>
          <cell r="G105" t="str">
            <v/>
          </cell>
          <cell r="H105" t="str">
            <v>R</v>
          </cell>
        </row>
        <row r="106">
          <cell r="B106" t="str">
            <v>A0605</v>
          </cell>
          <cell r="C106">
            <v>200109</v>
          </cell>
          <cell r="D106">
            <v>200112</v>
          </cell>
          <cell r="E106" t="str">
            <v>C</v>
          </cell>
          <cell r="F106" t="str">
            <v>Account status = Closed</v>
          </cell>
          <cell r="G106" t="str">
            <v/>
          </cell>
          <cell r="H106" t="str">
            <v>R</v>
          </cell>
        </row>
        <row r="107">
          <cell r="B107" t="str">
            <v>A0606</v>
          </cell>
          <cell r="C107">
            <v>200109</v>
          </cell>
          <cell r="D107">
            <v>200112</v>
          </cell>
          <cell r="E107" t="str">
            <v>C</v>
          </cell>
          <cell r="F107" t="str">
            <v>Account status = Closed</v>
          </cell>
          <cell r="G107" t="str">
            <v/>
          </cell>
          <cell r="H107" t="str">
            <v>R</v>
          </cell>
        </row>
        <row r="108">
          <cell r="B108" t="str">
            <v>A0607</v>
          </cell>
          <cell r="C108">
            <v>200109</v>
          </cell>
          <cell r="D108">
            <v>200713</v>
          </cell>
          <cell r="E108" t="str">
            <v>C</v>
          </cell>
          <cell r="F108" t="str">
            <v>Account status = Closed</v>
          </cell>
          <cell r="G108" t="str">
            <v/>
          </cell>
          <cell r="H108" t="str">
            <v>R</v>
          </cell>
        </row>
        <row r="109">
          <cell r="B109" t="str">
            <v>A0608</v>
          </cell>
          <cell r="C109">
            <v>200109</v>
          </cell>
          <cell r="D109">
            <v>200112</v>
          </cell>
          <cell r="E109" t="str">
            <v>C</v>
          </cell>
          <cell r="F109" t="str">
            <v>Account status = Closed</v>
          </cell>
          <cell r="G109" t="str">
            <v/>
          </cell>
          <cell r="H109" t="str">
            <v>R</v>
          </cell>
        </row>
        <row r="110">
          <cell r="B110" t="str">
            <v>A0609</v>
          </cell>
          <cell r="C110">
            <v>200701</v>
          </cell>
          <cell r="D110">
            <v>209913</v>
          </cell>
          <cell r="E110" t="str">
            <v>N</v>
          </cell>
          <cell r="F110" t="str">
            <v/>
          </cell>
          <cell r="G110" t="str">
            <v/>
          </cell>
          <cell r="H110" t="str">
            <v>R</v>
          </cell>
        </row>
        <row r="111">
          <cell r="B111" t="str">
            <v>A0610</v>
          </cell>
          <cell r="C111">
            <v>200109</v>
          </cell>
          <cell r="D111">
            <v>200313</v>
          </cell>
          <cell r="E111" t="str">
            <v>C</v>
          </cell>
          <cell r="F111" t="str">
            <v>Account status = Closed</v>
          </cell>
          <cell r="G111" t="str">
            <v/>
          </cell>
          <cell r="H111" t="str">
            <v>R</v>
          </cell>
        </row>
        <row r="112">
          <cell r="B112" t="str">
            <v>A0611</v>
          </cell>
          <cell r="C112">
            <v>200109</v>
          </cell>
          <cell r="D112">
            <v>200313</v>
          </cell>
          <cell r="E112" t="str">
            <v>C</v>
          </cell>
          <cell r="F112" t="str">
            <v>Account status = Closed</v>
          </cell>
          <cell r="G112" t="str">
            <v/>
          </cell>
          <cell r="H112" t="str">
            <v>R</v>
          </cell>
        </row>
        <row r="113">
          <cell r="B113" t="str">
            <v>A0612</v>
          </cell>
          <cell r="C113">
            <v>200109</v>
          </cell>
          <cell r="D113">
            <v>200313</v>
          </cell>
          <cell r="E113" t="str">
            <v>C</v>
          </cell>
          <cell r="F113" t="str">
            <v>Account status = Closed</v>
          </cell>
          <cell r="G113" t="str">
            <v/>
          </cell>
          <cell r="H113" t="str">
            <v>R</v>
          </cell>
        </row>
        <row r="114">
          <cell r="B114" t="str">
            <v>A0621</v>
          </cell>
          <cell r="C114">
            <v>200503</v>
          </cell>
          <cell r="D114">
            <v>209912</v>
          </cell>
          <cell r="E114" t="str">
            <v>N</v>
          </cell>
          <cell r="F114" t="str">
            <v/>
          </cell>
          <cell r="G114" t="str">
            <v/>
          </cell>
          <cell r="H114" t="str">
            <v>R</v>
          </cell>
        </row>
        <row r="115">
          <cell r="B115" t="str">
            <v>A0622</v>
          </cell>
          <cell r="C115">
            <v>200501</v>
          </cell>
          <cell r="D115">
            <v>209912</v>
          </cell>
          <cell r="E115" t="str">
            <v>N</v>
          </cell>
          <cell r="F115" t="str">
            <v/>
          </cell>
          <cell r="G115" t="str">
            <v/>
          </cell>
          <cell r="H115" t="str">
            <v>R</v>
          </cell>
        </row>
        <row r="116">
          <cell r="B116" t="str">
            <v>A0623</v>
          </cell>
          <cell r="C116">
            <v>200503</v>
          </cell>
          <cell r="D116">
            <v>201300</v>
          </cell>
          <cell r="E116" t="str">
            <v>C</v>
          </cell>
          <cell r="F116" t="str">
            <v>Account status = Closed</v>
          </cell>
          <cell r="G116" t="str">
            <v/>
          </cell>
          <cell r="H116" t="str">
            <v>R</v>
          </cell>
        </row>
        <row r="117">
          <cell r="B117" t="str">
            <v>A0625</v>
          </cell>
          <cell r="C117">
            <v>200503</v>
          </cell>
          <cell r="D117">
            <v>200713</v>
          </cell>
          <cell r="E117" t="str">
            <v>C</v>
          </cell>
          <cell r="F117" t="str">
            <v>Account status = Closed</v>
          </cell>
          <cell r="G117" t="str">
            <v/>
          </cell>
          <cell r="H117" t="str">
            <v>R</v>
          </cell>
        </row>
        <row r="118">
          <cell r="B118" t="str">
            <v>A0628</v>
          </cell>
          <cell r="C118">
            <v>200503</v>
          </cell>
          <cell r="D118">
            <v>200713</v>
          </cell>
          <cell r="E118" t="str">
            <v>C</v>
          </cell>
          <cell r="F118" t="str">
            <v>Account status = Closed</v>
          </cell>
          <cell r="G118" t="str">
            <v/>
          </cell>
          <cell r="H118" t="str">
            <v>R</v>
          </cell>
        </row>
        <row r="119">
          <cell r="B119" t="str">
            <v>A0630</v>
          </cell>
          <cell r="C119">
            <v>200602</v>
          </cell>
          <cell r="D119">
            <v>209912</v>
          </cell>
          <cell r="E119" t="str">
            <v>N</v>
          </cell>
          <cell r="F119" t="str">
            <v/>
          </cell>
          <cell r="G119" t="str">
            <v/>
          </cell>
          <cell r="H119" t="str">
            <v>R</v>
          </cell>
        </row>
        <row r="120">
          <cell r="B120" t="str">
            <v>A0631</v>
          </cell>
          <cell r="C120">
            <v>200602</v>
          </cell>
          <cell r="D120">
            <v>209912</v>
          </cell>
          <cell r="E120" t="str">
            <v>N</v>
          </cell>
          <cell r="F120" t="str">
            <v/>
          </cell>
          <cell r="G120" t="str">
            <v/>
          </cell>
          <cell r="H120" t="str">
            <v>R</v>
          </cell>
        </row>
        <row r="121">
          <cell r="B121" t="str">
            <v>A0632</v>
          </cell>
          <cell r="C121">
            <v>200602</v>
          </cell>
          <cell r="D121">
            <v>209912</v>
          </cell>
          <cell r="E121" t="str">
            <v>N</v>
          </cell>
          <cell r="F121" t="str">
            <v/>
          </cell>
          <cell r="G121" t="str">
            <v/>
          </cell>
          <cell r="H121" t="str">
            <v>R</v>
          </cell>
        </row>
        <row r="122">
          <cell r="B122" t="str">
            <v>A0633</v>
          </cell>
          <cell r="C122">
            <v>200602</v>
          </cell>
          <cell r="D122">
            <v>209912</v>
          </cell>
          <cell r="E122" t="str">
            <v>N</v>
          </cell>
          <cell r="F122" t="str">
            <v/>
          </cell>
          <cell r="G122" t="str">
            <v/>
          </cell>
          <cell r="H122" t="str">
            <v>R</v>
          </cell>
        </row>
        <row r="123">
          <cell r="B123" t="str">
            <v>A0634</v>
          </cell>
          <cell r="C123">
            <v>200602</v>
          </cell>
          <cell r="D123">
            <v>209912</v>
          </cell>
          <cell r="E123" t="str">
            <v>N</v>
          </cell>
          <cell r="F123" t="str">
            <v/>
          </cell>
          <cell r="G123" t="str">
            <v/>
          </cell>
          <cell r="H123" t="str">
            <v>R</v>
          </cell>
        </row>
        <row r="124">
          <cell r="B124" t="str">
            <v>A0635</v>
          </cell>
          <cell r="C124">
            <v>200602</v>
          </cell>
          <cell r="D124">
            <v>209912</v>
          </cell>
          <cell r="E124" t="str">
            <v>N</v>
          </cell>
          <cell r="F124" t="str">
            <v/>
          </cell>
          <cell r="G124" t="str">
            <v/>
          </cell>
          <cell r="H124" t="str">
            <v>R</v>
          </cell>
        </row>
        <row r="125">
          <cell r="B125" t="str">
            <v>A0636</v>
          </cell>
          <cell r="C125">
            <v>200602</v>
          </cell>
          <cell r="D125">
            <v>209912</v>
          </cell>
          <cell r="E125" t="str">
            <v>N</v>
          </cell>
          <cell r="F125" t="str">
            <v/>
          </cell>
          <cell r="G125" t="str">
            <v/>
          </cell>
          <cell r="H125" t="str">
            <v>R</v>
          </cell>
        </row>
        <row r="126">
          <cell r="B126" t="str">
            <v>A0637</v>
          </cell>
          <cell r="C126">
            <v>200602</v>
          </cell>
          <cell r="D126">
            <v>209912</v>
          </cell>
          <cell r="E126" t="str">
            <v>N</v>
          </cell>
          <cell r="F126" t="str">
            <v/>
          </cell>
          <cell r="G126" t="str">
            <v/>
          </cell>
          <cell r="H126" t="str">
            <v>R</v>
          </cell>
        </row>
        <row r="127">
          <cell r="B127" t="str">
            <v>A0638</v>
          </cell>
          <cell r="C127">
            <v>200602</v>
          </cell>
          <cell r="D127">
            <v>209912</v>
          </cell>
          <cell r="E127" t="str">
            <v>N</v>
          </cell>
          <cell r="F127" t="str">
            <v/>
          </cell>
          <cell r="G127" t="str">
            <v/>
          </cell>
          <cell r="H127" t="str">
            <v>R</v>
          </cell>
        </row>
        <row r="128">
          <cell r="B128" t="str">
            <v>A0639</v>
          </cell>
          <cell r="C128">
            <v>200602</v>
          </cell>
          <cell r="D128">
            <v>209912</v>
          </cell>
          <cell r="E128" t="str">
            <v>N</v>
          </cell>
          <cell r="F128" t="str">
            <v/>
          </cell>
          <cell r="G128" t="str">
            <v/>
          </cell>
          <cell r="H128" t="str">
            <v>R</v>
          </cell>
        </row>
        <row r="129">
          <cell r="B129" t="str">
            <v>A0640</v>
          </cell>
          <cell r="C129">
            <v>200602</v>
          </cell>
          <cell r="D129">
            <v>209913</v>
          </cell>
          <cell r="E129" t="str">
            <v>N</v>
          </cell>
          <cell r="F129" t="str">
            <v/>
          </cell>
          <cell r="G129" t="str">
            <v/>
          </cell>
          <cell r="H129" t="str">
            <v>R</v>
          </cell>
        </row>
        <row r="130">
          <cell r="B130" t="str">
            <v>A0641</v>
          </cell>
          <cell r="C130">
            <v>200602</v>
          </cell>
          <cell r="D130">
            <v>209912</v>
          </cell>
          <cell r="E130" t="str">
            <v>N</v>
          </cell>
          <cell r="F130" t="str">
            <v/>
          </cell>
          <cell r="G130" t="str">
            <v/>
          </cell>
          <cell r="H130" t="str">
            <v>R</v>
          </cell>
        </row>
        <row r="131">
          <cell r="B131" t="str">
            <v>A0642</v>
          </cell>
          <cell r="C131">
            <v>200602</v>
          </cell>
          <cell r="D131">
            <v>200713</v>
          </cell>
          <cell r="E131" t="str">
            <v>C</v>
          </cell>
          <cell r="F131" t="str">
            <v>Account status = Closed</v>
          </cell>
          <cell r="G131" t="str">
            <v/>
          </cell>
          <cell r="H131" t="str">
            <v>R</v>
          </cell>
        </row>
        <row r="132">
          <cell r="B132" t="str">
            <v>A0643</v>
          </cell>
          <cell r="C132">
            <v>200602</v>
          </cell>
          <cell r="D132">
            <v>200713</v>
          </cell>
          <cell r="E132" t="str">
            <v>C</v>
          </cell>
          <cell r="F132" t="str">
            <v>Account status = Closed</v>
          </cell>
          <cell r="G132" t="str">
            <v/>
          </cell>
          <cell r="H132" t="str">
            <v>R</v>
          </cell>
        </row>
        <row r="133">
          <cell r="B133" t="str">
            <v>A0644</v>
          </cell>
          <cell r="C133">
            <v>200602</v>
          </cell>
          <cell r="D133">
            <v>209912</v>
          </cell>
          <cell r="E133" t="str">
            <v>N</v>
          </cell>
          <cell r="F133" t="str">
            <v/>
          </cell>
          <cell r="G133" t="str">
            <v/>
          </cell>
          <cell r="H133" t="str">
            <v>R</v>
          </cell>
        </row>
        <row r="134">
          <cell r="B134" t="str">
            <v>A0645</v>
          </cell>
          <cell r="C134">
            <v>199900</v>
          </cell>
          <cell r="D134">
            <v>209912</v>
          </cell>
          <cell r="E134" t="str">
            <v>N</v>
          </cell>
          <cell r="F134" t="str">
            <v/>
          </cell>
          <cell r="G134" t="str">
            <v/>
          </cell>
          <cell r="H134" t="str">
            <v>R</v>
          </cell>
        </row>
        <row r="135">
          <cell r="B135" t="str">
            <v>A0646</v>
          </cell>
          <cell r="C135">
            <v>199900</v>
          </cell>
          <cell r="D135">
            <v>209912</v>
          </cell>
          <cell r="E135" t="str">
            <v>N</v>
          </cell>
          <cell r="F135" t="str">
            <v/>
          </cell>
          <cell r="G135" t="str">
            <v/>
          </cell>
          <cell r="H135" t="str">
            <v>R</v>
          </cell>
        </row>
        <row r="136">
          <cell r="B136" t="str">
            <v>A0647</v>
          </cell>
          <cell r="C136">
            <v>199900</v>
          </cell>
          <cell r="D136">
            <v>209912</v>
          </cell>
          <cell r="E136" t="str">
            <v>N</v>
          </cell>
          <cell r="F136" t="str">
            <v/>
          </cell>
          <cell r="G136" t="str">
            <v/>
          </cell>
          <cell r="H136" t="str">
            <v>R</v>
          </cell>
        </row>
        <row r="137">
          <cell r="B137" t="str">
            <v>A0701</v>
          </cell>
          <cell r="C137">
            <v>200109</v>
          </cell>
          <cell r="D137">
            <v>209912</v>
          </cell>
          <cell r="E137" t="str">
            <v>N</v>
          </cell>
          <cell r="F137" t="str">
            <v/>
          </cell>
          <cell r="G137" t="str">
            <v/>
          </cell>
          <cell r="H137" t="str">
            <v>R</v>
          </cell>
        </row>
        <row r="138">
          <cell r="B138" t="str">
            <v>A0702</v>
          </cell>
          <cell r="C138">
            <v>200109</v>
          </cell>
          <cell r="D138">
            <v>209912</v>
          </cell>
          <cell r="E138" t="str">
            <v>N</v>
          </cell>
          <cell r="F138" t="str">
            <v/>
          </cell>
          <cell r="G138" t="str">
            <v/>
          </cell>
          <cell r="H138" t="str">
            <v>R</v>
          </cell>
        </row>
        <row r="139">
          <cell r="B139" t="str">
            <v>A0703</v>
          </cell>
          <cell r="C139">
            <v>200109</v>
          </cell>
          <cell r="D139">
            <v>209912</v>
          </cell>
          <cell r="E139" t="str">
            <v>N</v>
          </cell>
          <cell r="F139" t="str">
            <v/>
          </cell>
          <cell r="G139" t="str">
            <v/>
          </cell>
          <cell r="H139" t="str">
            <v>R</v>
          </cell>
        </row>
        <row r="140">
          <cell r="B140" t="str">
            <v>A0704</v>
          </cell>
          <cell r="C140">
            <v>200109</v>
          </cell>
          <cell r="D140">
            <v>209912</v>
          </cell>
          <cell r="E140" t="str">
            <v>N</v>
          </cell>
          <cell r="F140" t="str">
            <v/>
          </cell>
          <cell r="G140" t="str">
            <v/>
          </cell>
          <cell r="H140" t="str">
            <v>R</v>
          </cell>
        </row>
        <row r="141">
          <cell r="B141" t="str">
            <v>A0705</v>
          </cell>
          <cell r="C141">
            <v>200109</v>
          </cell>
          <cell r="D141">
            <v>209912</v>
          </cell>
          <cell r="E141" t="str">
            <v>N</v>
          </cell>
          <cell r="F141" t="str">
            <v/>
          </cell>
          <cell r="G141" t="str">
            <v/>
          </cell>
          <cell r="H141" t="str">
            <v>R</v>
          </cell>
        </row>
        <row r="142">
          <cell r="B142" t="str">
            <v>A0706</v>
          </cell>
          <cell r="C142">
            <v>200109</v>
          </cell>
          <cell r="D142">
            <v>209912</v>
          </cell>
          <cell r="E142" t="str">
            <v>N</v>
          </cell>
          <cell r="F142" t="str">
            <v/>
          </cell>
          <cell r="G142" t="str">
            <v/>
          </cell>
          <cell r="H142" t="str">
            <v>R</v>
          </cell>
        </row>
        <row r="143">
          <cell r="B143" t="str">
            <v>A0707</v>
          </cell>
          <cell r="C143">
            <v>200109</v>
          </cell>
          <cell r="D143">
            <v>209912</v>
          </cell>
          <cell r="E143" t="str">
            <v>N</v>
          </cell>
          <cell r="F143" t="str">
            <v/>
          </cell>
          <cell r="G143" t="str">
            <v/>
          </cell>
          <cell r="H143" t="str">
            <v>R</v>
          </cell>
        </row>
        <row r="144">
          <cell r="B144" t="str">
            <v>A0708</v>
          </cell>
          <cell r="C144">
            <v>200109</v>
          </cell>
          <cell r="D144">
            <v>201300</v>
          </cell>
          <cell r="E144" t="str">
            <v>C</v>
          </cell>
          <cell r="F144" t="str">
            <v>Account status = Closed</v>
          </cell>
          <cell r="G144" t="str">
            <v/>
          </cell>
          <cell r="H144" t="str">
            <v>R</v>
          </cell>
        </row>
        <row r="145">
          <cell r="B145" t="str">
            <v>A0709</v>
          </cell>
          <cell r="C145">
            <v>200109</v>
          </cell>
          <cell r="D145">
            <v>209912</v>
          </cell>
          <cell r="E145" t="str">
            <v>N</v>
          </cell>
          <cell r="F145" t="str">
            <v/>
          </cell>
          <cell r="G145" t="str">
            <v/>
          </cell>
          <cell r="H145" t="str">
            <v>R</v>
          </cell>
        </row>
        <row r="146">
          <cell r="B146" t="str">
            <v>A0710</v>
          </cell>
          <cell r="C146">
            <v>200109</v>
          </cell>
          <cell r="D146">
            <v>209913</v>
          </cell>
          <cell r="E146" t="str">
            <v>N</v>
          </cell>
          <cell r="F146" t="str">
            <v/>
          </cell>
          <cell r="G146" t="str">
            <v/>
          </cell>
          <cell r="H146" t="str">
            <v>R</v>
          </cell>
        </row>
        <row r="147">
          <cell r="B147" t="str">
            <v>A0711</v>
          </cell>
          <cell r="C147">
            <v>200301</v>
          </cell>
          <cell r="D147">
            <v>209913</v>
          </cell>
          <cell r="E147" t="str">
            <v>N</v>
          </cell>
          <cell r="F147" t="str">
            <v/>
          </cell>
          <cell r="G147" t="str">
            <v/>
          </cell>
          <cell r="H147" t="str">
            <v>R</v>
          </cell>
        </row>
        <row r="148">
          <cell r="B148" t="str">
            <v>A0712</v>
          </cell>
          <cell r="C148">
            <v>200109</v>
          </cell>
          <cell r="D148">
            <v>209912</v>
          </cell>
          <cell r="E148" t="str">
            <v>N</v>
          </cell>
          <cell r="F148" t="str">
            <v/>
          </cell>
          <cell r="G148" t="str">
            <v/>
          </cell>
          <cell r="H148" t="str">
            <v>R</v>
          </cell>
        </row>
        <row r="149">
          <cell r="B149" t="str">
            <v>A0721</v>
          </cell>
          <cell r="C149">
            <v>200901</v>
          </cell>
          <cell r="D149">
            <v>209913</v>
          </cell>
          <cell r="E149" t="str">
            <v>N</v>
          </cell>
          <cell r="F149" t="str">
            <v/>
          </cell>
          <cell r="G149" t="str">
            <v/>
          </cell>
          <cell r="H149" t="str">
            <v>R</v>
          </cell>
        </row>
        <row r="150">
          <cell r="B150" t="str">
            <v>A0801</v>
          </cell>
          <cell r="C150">
            <v>200109</v>
          </cell>
          <cell r="D150">
            <v>209912</v>
          </cell>
          <cell r="E150" t="str">
            <v>N</v>
          </cell>
          <cell r="F150" t="str">
            <v/>
          </cell>
          <cell r="G150" t="str">
            <v/>
          </cell>
          <cell r="H150" t="str">
            <v>R</v>
          </cell>
        </row>
        <row r="151">
          <cell r="B151" t="str">
            <v>A0821</v>
          </cell>
          <cell r="C151">
            <v>200109</v>
          </cell>
          <cell r="D151">
            <v>200307</v>
          </cell>
          <cell r="E151" t="str">
            <v>C</v>
          </cell>
          <cell r="F151" t="str">
            <v>Account status = Closed</v>
          </cell>
          <cell r="G151" t="str">
            <v/>
          </cell>
          <cell r="H151" t="str">
            <v>R</v>
          </cell>
        </row>
        <row r="152">
          <cell r="B152" t="str">
            <v>A0900</v>
          </cell>
          <cell r="C152">
            <v>200109</v>
          </cell>
          <cell r="D152">
            <v>209912</v>
          </cell>
          <cell r="E152" t="str">
            <v>N</v>
          </cell>
          <cell r="F152" t="str">
            <v/>
          </cell>
          <cell r="G152" t="str">
            <v/>
          </cell>
          <cell r="H152" t="str">
            <v>R</v>
          </cell>
        </row>
        <row r="153">
          <cell r="B153" t="str">
            <v>A0901</v>
          </cell>
          <cell r="C153">
            <v>200109</v>
          </cell>
          <cell r="D153">
            <v>209912</v>
          </cell>
          <cell r="E153" t="str">
            <v>N</v>
          </cell>
          <cell r="F153" t="str">
            <v/>
          </cell>
          <cell r="G153" t="str">
            <v/>
          </cell>
          <cell r="H153" t="str">
            <v>R</v>
          </cell>
        </row>
        <row r="154">
          <cell r="B154" t="str">
            <v>A0902</v>
          </cell>
          <cell r="C154">
            <v>200701</v>
          </cell>
          <cell r="D154">
            <v>201300</v>
          </cell>
          <cell r="E154" t="str">
            <v>C</v>
          </cell>
          <cell r="F154" t="str">
            <v>Account status = Closed</v>
          </cell>
          <cell r="G154" t="str">
            <v/>
          </cell>
          <cell r="H154" t="str">
            <v>R</v>
          </cell>
        </row>
        <row r="155">
          <cell r="B155" t="str">
            <v>A0916</v>
          </cell>
          <cell r="C155">
            <v>200109</v>
          </cell>
          <cell r="D155">
            <v>209912</v>
          </cell>
          <cell r="E155" t="str">
            <v>N</v>
          </cell>
          <cell r="F155" t="str">
            <v/>
          </cell>
          <cell r="G155" t="str">
            <v/>
          </cell>
          <cell r="H155" t="str">
            <v>R</v>
          </cell>
        </row>
        <row r="156">
          <cell r="B156" t="str">
            <v>A0917</v>
          </cell>
          <cell r="C156">
            <v>200109</v>
          </cell>
          <cell r="D156">
            <v>200713</v>
          </cell>
          <cell r="E156" t="str">
            <v>C</v>
          </cell>
          <cell r="F156" t="str">
            <v>Account status = Closed</v>
          </cell>
          <cell r="G156" t="str">
            <v/>
          </cell>
          <cell r="H156" t="str">
            <v>R</v>
          </cell>
        </row>
        <row r="157">
          <cell r="B157" t="str">
            <v>A0918</v>
          </cell>
          <cell r="C157">
            <v>200109</v>
          </cell>
          <cell r="D157">
            <v>209912</v>
          </cell>
          <cell r="E157" t="str">
            <v>N</v>
          </cell>
          <cell r="F157" t="str">
            <v/>
          </cell>
          <cell r="G157" t="str">
            <v/>
          </cell>
          <cell r="H157" t="str">
            <v>R</v>
          </cell>
        </row>
        <row r="158">
          <cell r="B158" t="str">
            <v>A0919</v>
          </cell>
          <cell r="C158">
            <v>200109</v>
          </cell>
          <cell r="D158">
            <v>200713</v>
          </cell>
          <cell r="E158" t="str">
            <v>C</v>
          </cell>
          <cell r="F158" t="str">
            <v>Account status = Closed</v>
          </cell>
          <cell r="G158" t="str">
            <v/>
          </cell>
          <cell r="H158" t="str">
            <v>R</v>
          </cell>
        </row>
        <row r="159">
          <cell r="B159" t="str">
            <v>A0920</v>
          </cell>
          <cell r="C159">
            <v>200109</v>
          </cell>
          <cell r="D159">
            <v>209912</v>
          </cell>
          <cell r="E159" t="str">
            <v>N</v>
          </cell>
          <cell r="F159" t="str">
            <v/>
          </cell>
          <cell r="G159" t="str">
            <v/>
          </cell>
          <cell r="H159" t="str">
            <v>R</v>
          </cell>
        </row>
        <row r="160">
          <cell r="B160" t="str">
            <v>A0921</v>
          </cell>
          <cell r="C160">
            <v>200109</v>
          </cell>
          <cell r="D160">
            <v>200713</v>
          </cell>
          <cell r="E160" t="str">
            <v>C</v>
          </cell>
          <cell r="F160" t="str">
            <v>Account status = Closed</v>
          </cell>
          <cell r="G160" t="str">
            <v/>
          </cell>
          <cell r="H160" t="str">
            <v>R</v>
          </cell>
        </row>
        <row r="161">
          <cell r="B161" t="str">
            <v>A0922</v>
          </cell>
          <cell r="C161">
            <v>200109</v>
          </cell>
          <cell r="D161">
            <v>201300</v>
          </cell>
          <cell r="E161" t="str">
            <v>C</v>
          </cell>
          <cell r="F161" t="str">
            <v>Account status = Closed</v>
          </cell>
          <cell r="G161" t="str">
            <v/>
          </cell>
          <cell r="H161" t="str">
            <v>R</v>
          </cell>
        </row>
        <row r="162">
          <cell r="B162" t="str">
            <v>A0924</v>
          </cell>
          <cell r="C162">
            <v>200109</v>
          </cell>
          <cell r="D162">
            <v>209912</v>
          </cell>
          <cell r="E162" t="str">
            <v>N</v>
          </cell>
          <cell r="F162" t="str">
            <v/>
          </cell>
          <cell r="G162" t="str">
            <v/>
          </cell>
          <cell r="H162" t="str">
            <v>R</v>
          </cell>
        </row>
        <row r="163">
          <cell r="B163" t="str">
            <v>A0925</v>
          </cell>
          <cell r="C163">
            <v>200109</v>
          </cell>
          <cell r="D163">
            <v>209912</v>
          </cell>
          <cell r="E163" t="str">
            <v>N</v>
          </cell>
          <cell r="F163" t="str">
            <v/>
          </cell>
          <cell r="G163" t="str">
            <v/>
          </cell>
          <cell r="H163" t="str">
            <v>R</v>
          </cell>
        </row>
        <row r="164">
          <cell r="B164" t="str">
            <v>A0927</v>
          </cell>
          <cell r="C164">
            <v>200603</v>
          </cell>
          <cell r="D164">
            <v>201300</v>
          </cell>
          <cell r="E164" t="str">
            <v>C</v>
          </cell>
          <cell r="F164" t="str">
            <v>Account status = Closed</v>
          </cell>
          <cell r="G164" t="str">
            <v/>
          </cell>
          <cell r="H164" t="str">
            <v>R</v>
          </cell>
        </row>
        <row r="165">
          <cell r="B165" t="str">
            <v>A0928</v>
          </cell>
          <cell r="C165">
            <v>200109</v>
          </cell>
          <cell r="D165">
            <v>209912</v>
          </cell>
          <cell r="E165" t="str">
            <v>N</v>
          </cell>
          <cell r="F165" t="str">
            <v/>
          </cell>
          <cell r="G165" t="str">
            <v/>
          </cell>
          <cell r="H165" t="str">
            <v>R</v>
          </cell>
        </row>
        <row r="166">
          <cell r="B166" t="str">
            <v>A0929</v>
          </cell>
          <cell r="C166">
            <v>200109</v>
          </cell>
          <cell r="D166">
            <v>209912</v>
          </cell>
          <cell r="E166" t="str">
            <v>N</v>
          </cell>
          <cell r="F166" t="str">
            <v/>
          </cell>
          <cell r="G166" t="str">
            <v/>
          </cell>
          <cell r="H166" t="str">
            <v>R</v>
          </cell>
        </row>
        <row r="167">
          <cell r="B167" t="str">
            <v>A0930</v>
          </cell>
          <cell r="C167">
            <v>200109</v>
          </cell>
          <cell r="D167">
            <v>201300</v>
          </cell>
          <cell r="E167" t="str">
            <v>C</v>
          </cell>
          <cell r="F167" t="str">
            <v>Account status = Closed</v>
          </cell>
          <cell r="G167" t="str">
            <v/>
          </cell>
          <cell r="H167" t="str">
            <v>R</v>
          </cell>
        </row>
        <row r="168">
          <cell r="B168" t="str">
            <v>A0934</v>
          </cell>
          <cell r="C168">
            <v>200109</v>
          </cell>
          <cell r="D168">
            <v>209912</v>
          </cell>
          <cell r="E168" t="str">
            <v>N</v>
          </cell>
          <cell r="F168" t="str">
            <v/>
          </cell>
          <cell r="G168" t="str">
            <v/>
          </cell>
          <cell r="H168" t="str">
            <v>R</v>
          </cell>
        </row>
        <row r="169">
          <cell r="B169" t="str">
            <v>A0936</v>
          </cell>
          <cell r="C169">
            <v>200109</v>
          </cell>
          <cell r="D169">
            <v>200112</v>
          </cell>
          <cell r="E169" t="str">
            <v>C</v>
          </cell>
          <cell r="F169" t="str">
            <v>Account status = Closed</v>
          </cell>
          <cell r="G169" t="str">
            <v/>
          </cell>
          <cell r="H169" t="str">
            <v>R</v>
          </cell>
        </row>
        <row r="170">
          <cell r="B170" t="str">
            <v>A0937</v>
          </cell>
          <cell r="C170">
            <v>200109</v>
          </cell>
          <cell r="D170">
            <v>209912</v>
          </cell>
          <cell r="E170" t="str">
            <v>N</v>
          </cell>
          <cell r="F170" t="str">
            <v/>
          </cell>
          <cell r="G170" t="str">
            <v/>
          </cell>
          <cell r="H170" t="str">
            <v>R</v>
          </cell>
        </row>
        <row r="171">
          <cell r="B171" t="str">
            <v>A0938</v>
          </cell>
          <cell r="C171">
            <v>200109</v>
          </cell>
          <cell r="D171">
            <v>209912</v>
          </cell>
          <cell r="E171" t="str">
            <v>N</v>
          </cell>
          <cell r="F171" t="str">
            <v/>
          </cell>
          <cell r="G171" t="str">
            <v/>
          </cell>
          <cell r="H171" t="str">
            <v>R</v>
          </cell>
        </row>
        <row r="172">
          <cell r="B172" t="str">
            <v>A0939</v>
          </cell>
          <cell r="C172">
            <v>200109</v>
          </cell>
          <cell r="D172">
            <v>209912</v>
          </cell>
          <cell r="E172" t="str">
            <v>N</v>
          </cell>
          <cell r="F172" t="str">
            <v/>
          </cell>
          <cell r="G172" t="str">
            <v/>
          </cell>
          <cell r="H172" t="str">
            <v>R</v>
          </cell>
        </row>
        <row r="173">
          <cell r="B173" t="str">
            <v>A0940</v>
          </cell>
          <cell r="C173">
            <v>200109</v>
          </cell>
          <cell r="D173">
            <v>200713</v>
          </cell>
          <cell r="E173" t="str">
            <v>C</v>
          </cell>
          <cell r="F173" t="str">
            <v>Account status = Closed</v>
          </cell>
          <cell r="G173" t="str">
            <v/>
          </cell>
          <cell r="H173" t="str">
            <v>R</v>
          </cell>
        </row>
        <row r="174">
          <cell r="B174" t="str">
            <v>A0941</v>
          </cell>
          <cell r="C174">
            <v>200109</v>
          </cell>
          <cell r="D174">
            <v>209912</v>
          </cell>
          <cell r="E174" t="str">
            <v>N</v>
          </cell>
          <cell r="F174" t="str">
            <v/>
          </cell>
          <cell r="G174" t="str">
            <v/>
          </cell>
          <cell r="H174" t="str">
            <v>R</v>
          </cell>
        </row>
        <row r="175">
          <cell r="B175" t="str">
            <v>A0942</v>
          </cell>
          <cell r="C175">
            <v>200109</v>
          </cell>
          <cell r="D175">
            <v>209912</v>
          </cell>
          <cell r="E175" t="str">
            <v>N</v>
          </cell>
          <cell r="F175" t="str">
            <v/>
          </cell>
          <cell r="G175" t="str">
            <v/>
          </cell>
          <cell r="H175" t="str">
            <v>R</v>
          </cell>
        </row>
        <row r="176">
          <cell r="B176" t="str">
            <v>A0943</v>
          </cell>
          <cell r="C176">
            <v>200109</v>
          </cell>
          <cell r="D176">
            <v>209912</v>
          </cell>
          <cell r="E176" t="str">
            <v>N</v>
          </cell>
          <cell r="F176" t="str">
            <v/>
          </cell>
          <cell r="G176" t="str">
            <v/>
          </cell>
          <cell r="H176" t="str">
            <v>R</v>
          </cell>
        </row>
        <row r="177">
          <cell r="B177" t="str">
            <v>A0944</v>
          </cell>
          <cell r="C177">
            <v>200109</v>
          </cell>
          <cell r="D177">
            <v>209912</v>
          </cell>
          <cell r="E177" t="str">
            <v>N</v>
          </cell>
          <cell r="F177" t="str">
            <v/>
          </cell>
          <cell r="G177" t="str">
            <v/>
          </cell>
          <cell r="H177" t="str">
            <v>R</v>
          </cell>
        </row>
        <row r="178">
          <cell r="B178" t="str">
            <v>A0945</v>
          </cell>
          <cell r="C178">
            <v>200109</v>
          </cell>
          <cell r="D178">
            <v>200213</v>
          </cell>
          <cell r="E178" t="str">
            <v>C</v>
          </cell>
          <cell r="F178" t="str">
            <v>Account status = Closed</v>
          </cell>
          <cell r="G178" t="str">
            <v/>
          </cell>
          <cell r="H178" t="str">
            <v>R</v>
          </cell>
        </row>
        <row r="179">
          <cell r="B179" t="str">
            <v>A0946</v>
          </cell>
          <cell r="C179">
            <v>200109</v>
          </cell>
          <cell r="D179">
            <v>209912</v>
          </cell>
          <cell r="E179" t="str">
            <v>N</v>
          </cell>
          <cell r="F179" t="str">
            <v/>
          </cell>
          <cell r="G179" t="str">
            <v/>
          </cell>
          <cell r="H179" t="str">
            <v>R</v>
          </cell>
        </row>
        <row r="180">
          <cell r="B180" t="str">
            <v>A0947</v>
          </cell>
          <cell r="C180">
            <v>200109</v>
          </cell>
          <cell r="D180">
            <v>200213</v>
          </cell>
          <cell r="E180" t="str">
            <v>C</v>
          </cell>
          <cell r="F180" t="str">
            <v>Account status = Closed</v>
          </cell>
          <cell r="G180" t="str">
            <v/>
          </cell>
          <cell r="H180" t="str">
            <v>R</v>
          </cell>
        </row>
        <row r="181">
          <cell r="B181" t="str">
            <v>A0949</v>
          </cell>
          <cell r="C181">
            <v>200109</v>
          </cell>
          <cell r="D181">
            <v>209912</v>
          </cell>
          <cell r="E181" t="str">
            <v>N</v>
          </cell>
          <cell r="F181" t="str">
            <v/>
          </cell>
          <cell r="G181" t="str">
            <v/>
          </cell>
          <cell r="H181" t="str">
            <v>R</v>
          </cell>
        </row>
        <row r="182">
          <cell r="B182" t="str">
            <v>A0950</v>
          </cell>
          <cell r="C182">
            <v>200109</v>
          </cell>
          <cell r="D182">
            <v>209912</v>
          </cell>
          <cell r="E182" t="str">
            <v>N</v>
          </cell>
          <cell r="F182" t="str">
            <v/>
          </cell>
          <cell r="G182" t="str">
            <v/>
          </cell>
          <cell r="H182" t="str">
            <v>R</v>
          </cell>
        </row>
        <row r="183">
          <cell r="B183" t="str">
            <v>A0951</v>
          </cell>
          <cell r="C183">
            <v>200109</v>
          </cell>
          <cell r="D183">
            <v>209912</v>
          </cell>
          <cell r="E183" t="str">
            <v>N</v>
          </cell>
          <cell r="F183" t="str">
            <v/>
          </cell>
          <cell r="G183" t="str">
            <v/>
          </cell>
          <cell r="H183" t="str">
            <v>R</v>
          </cell>
        </row>
        <row r="184">
          <cell r="B184" t="str">
            <v>A0953</v>
          </cell>
          <cell r="C184">
            <v>200109</v>
          </cell>
          <cell r="D184">
            <v>209912</v>
          </cell>
          <cell r="E184" t="str">
            <v>N</v>
          </cell>
          <cell r="F184" t="str">
            <v/>
          </cell>
          <cell r="G184" t="str">
            <v/>
          </cell>
          <cell r="H184" t="str">
            <v>R</v>
          </cell>
        </row>
        <row r="185">
          <cell r="B185" t="str">
            <v>A0954</v>
          </cell>
          <cell r="C185">
            <v>200109</v>
          </cell>
          <cell r="D185">
            <v>200713</v>
          </cell>
          <cell r="E185" t="str">
            <v>C</v>
          </cell>
          <cell r="F185" t="str">
            <v>Account status = Closed</v>
          </cell>
          <cell r="G185" t="str">
            <v/>
          </cell>
          <cell r="H185" t="str">
            <v>R</v>
          </cell>
        </row>
        <row r="186">
          <cell r="B186" t="str">
            <v>A0955</v>
          </cell>
          <cell r="C186">
            <v>200109</v>
          </cell>
          <cell r="D186">
            <v>200713</v>
          </cell>
          <cell r="E186" t="str">
            <v>C</v>
          </cell>
          <cell r="F186" t="str">
            <v>Account status = Closed</v>
          </cell>
          <cell r="G186" t="str">
            <v/>
          </cell>
          <cell r="H186" t="str">
            <v>R</v>
          </cell>
        </row>
        <row r="187">
          <cell r="B187" t="str">
            <v>A0959</v>
          </cell>
          <cell r="C187">
            <v>200109</v>
          </cell>
          <cell r="D187">
            <v>209912</v>
          </cell>
          <cell r="E187" t="str">
            <v>N</v>
          </cell>
          <cell r="F187" t="str">
            <v/>
          </cell>
          <cell r="G187" t="str">
            <v/>
          </cell>
          <cell r="H187" t="str">
            <v>R</v>
          </cell>
        </row>
        <row r="188">
          <cell r="B188" t="str">
            <v>A0960</v>
          </cell>
          <cell r="C188">
            <v>200109</v>
          </cell>
          <cell r="D188">
            <v>209912</v>
          </cell>
          <cell r="E188" t="str">
            <v>N</v>
          </cell>
          <cell r="F188" t="str">
            <v/>
          </cell>
          <cell r="G188" t="str">
            <v/>
          </cell>
          <cell r="H188" t="str">
            <v>R</v>
          </cell>
        </row>
        <row r="189">
          <cell r="B189" t="str">
            <v>A0961</v>
          </cell>
          <cell r="C189">
            <v>200508</v>
          </cell>
          <cell r="D189">
            <v>200913</v>
          </cell>
          <cell r="E189" t="str">
            <v>N</v>
          </cell>
          <cell r="F189" t="str">
            <v>Account closed from period 200913</v>
          </cell>
          <cell r="G189" t="str">
            <v/>
          </cell>
          <cell r="H189" t="str">
            <v>R</v>
          </cell>
        </row>
        <row r="190">
          <cell r="B190" t="str">
            <v>A0962</v>
          </cell>
          <cell r="C190">
            <v>199900</v>
          </cell>
          <cell r="D190">
            <v>200713</v>
          </cell>
          <cell r="E190" t="str">
            <v>C</v>
          </cell>
          <cell r="F190" t="str">
            <v>Account status = Closed</v>
          </cell>
          <cell r="G190" t="str">
            <v/>
          </cell>
          <cell r="H190" t="str">
            <v>R</v>
          </cell>
        </row>
        <row r="191">
          <cell r="B191" t="str">
            <v>A0963</v>
          </cell>
          <cell r="C191">
            <v>200708</v>
          </cell>
          <cell r="D191">
            <v>201300</v>
          </cell>
          <cell r="E191" t="str">
            <v>C</v>
          </cell>
          <cell r="F191" t="str">
            <v>Account status = Closed</v>
          </cell>
          <cell r="G191" t="str">
            <v/>
          </cell>
          <cell r="H191" t="str">
            <v>R</v>
          </cell>
        </row>
        <row r="192">
          <cell r="B192" t="str">
            <v>A0964</v>
          </cell>
          <cell r="C192">
            <v>200807</v>
          </cell>
          <cell r="D192">
            <v>209912</v>
          </cell>
          <cell r="E192" t="str">
            <v>N</v>
          </cell>
          <cell r="F192" t="str">
            <v/>
          </cell>
          <cell r="G192" t="str">
            <v/>
          </cell>
          <cell r="H192" t="str">
            <v>R</v>
          </cell>
        </row>
        <row r="193">
          <cell r="B193" t="str">
            <v>A0965</v>
          </cell>
          <cell r="C193">
            <v>200907</v>
          </cell>
          <cell r="D193">
            <v>209912</v>
          </cell>
          <cell r="E193" t="str">
            <v>N</v>
          </cell>
          <cell r="F193" t="str">
            <v/>
          </cell>
          <cell r="G193" t="str">
            <v/>
          </cell>
          <cell r="H193" t="str">
            <v>R</v>
          </cell>
        </row>
        <row r="194">
          <cell r="B194" t="str">
            <v>A0966</v>
          </cell>
          <cell r="C194">
            <v>199900</v>
          </cell>
          <cell r="D194">
            <v>209912</v>
          </cell>
          <cell r="E194" t="str">
            <v>N</v>
          </cell>
          <cell r="F194" t="str">
            <v/>
          </cell>
          <cell r="G194" t="str">
            <v/>
          </cell>
          <cell r="H194" t="str">
            <v>R</v>
          </cell>
        </row>
        <row r="195">
          <cell r="B195" t="str">
            <v>A0970</v>
          </cell>
          <cell r="C195">
            <v>200109</v>
          </cell>
          <cell r="D195">
            <v>200713</v>
          </cell>
          <cell r="E195" t="str">
            <v>C</v>
          </cell>
          <cell r="F195" t="str">
            <v>Account status = Closed</v>
          </cell>
          <cell r="G195" t="str">
            <v/>
          </cell>
          <cell r="H195" t="str">
            <v>R</v>
          </cell>
        </row>
        <row r="196">
          <cell r="B196" t="str">
            <v>A0971</v>
          </cell>
          <cell r="C196">
            <v>200109</v>
          </cell>
          <cell r="D196">
            <v>200713</v>
          </cell>
          <cell r="E196" t="str">
            <v>C</v>
          </cell>
          <cell r="F196" t="str">
            <v>Account status = Closed</v>
          </cell>
          <cell r="G196" t="str">
            <v/>
          </cell>
          <cell r="H196" t="str">
            <v>R</v>
          </cell>
        </row>
        <row r="197">
          <cell r="B197" t="str">
            <v>A0972</v>
          </cell>
          <cell r="C197">
            <v>200109</v>
          </cell>
          <cell r="D197">
            <v>209912</v>
          </cell>
          <cell r="E197" t="str">
            <v>N</v>
          </cell>
          <cell r="F197" t="str">
            <v/>
          </cell>
          <cell r="G197" t="str">
            <v/>
          </cell>
          <cell r="H197" t="str">
            <v>R</v>
          </cell>
        </row>
        <row r="198">
          <cell r="B198" t="str">
            <v>A0990</v>
          </cell>
          <cell r="C198">
            <v>201200</v>
          </cell>
          <cell r="D198">
            <v>209912</v>
          </cell>
          <cell r="E198" t="str">
            <v>N</v>
          </cell>
          <cell r="F198" t="str">
            <v/>
          </cell>
          <cell r="G198" t="str">
            <v/>
          </cell>
          <cell r="H198" t="str">
            <v>R</v>
          </cell>
        </row>
        <row r="199">
          <cell r="B199" t="str">
            <v>A0995</v>
          </cell>
          <cell r="C199">
            <v>200513</v>
          </cell>
          <cell r="D199">
            <v>209912</v>
          </cell>
          <cell r="E199" t="str">
            <v>N</v>
          </cell>
          <cell r="F199" t="str">
            <v/>
          </cell>
          <cell r="G199" t="str">
            <v/>
          </cell>
          <cell r="H199" t="str">
            <v>R</v>
          </cell>
        </row>
        <row r="200">
          <cell r="B200" t="str">
            <v>A0996</v>
          </cell>
          <cell r="C200">
            <v>200310</v>
          </cell>
          <cell r="D200">
            <v>209913</v>
          </cell>
          <cell r="E200" t="str">
            <v>N</v>
          </cell>
          <cell r="F200" t="str">
            <v/>
          </cell>
          <cell r="G200" t="str">
            <v/>
          </cell>
          <cell r="H200" t="str">
            <v>R</v>
          </cell>
        </row>
        <row r="201">
          <cell r="B201" t="str">
            <v>A0998</v>
          </cell>
          <cell r="C201">
            <v>200109</v>
          </cell>
          <cell r="D201">
            <v>200713</v>
          </cell>
          <cell r="E201" t="str">
            <v>C</v>
          </cell>
          <cell r="F201" t="str">
            <v>Account status = Closed</v>
          </cell>
          <cell r="G201" t="str">
            <v/>
          </cell>
          <cell r="H201" t="str">
            <v>R</v>
          </cell>
        </row>
        <row r="202">
          <cell r="B202" t="str">
            <v>A0999</v>
          </cell>
          <cell r="C202">
            <v>200109</v>
          </cell>
          <cell r="D202">
            <v>201300</v>
          </cell>
          <cell r="E202" t="str">
            <v>C</v>
          </cell>
          <cell r="F202" t="str">
            <v>Account status = Closed</v>
          </cell>
          <cell r="G202" t="str">
            <v/>
          </cell>
          <cell r="H202" t="str">
            <v>R</v>
          </cell>
        </row>
        <row r="203">
          <cell r="B203" t="str">
            <v>A3121</v>
          </cell>
          <cell r="C203">
            <v>200801</v>
          </cell>
          <cell r="D203">
            <v>209912</v>
          </cell>
          <cell r="E203" t="str">
            <v>C</v>
          </cell>
          <cell r="F203" t="str">
            <v>Account status = Closed</v>
          </cell>
          <cell r="G203" t="str">
            <v/>
          </cell>
          <cell r="H203" t="str">
            <v>C</v>
          </cell>
        </row>
        <row r="204">
          <cell r="B204" t="str">
            <v>A4825</v>
          </cell>
          <cell r="C204">
            <v>201300</v>
          </cell>
          <cell r="D204">
            <v>201313</v>
          </cell>
          <cell r="E204" t="str">
            <v>C</v>
          </cell>
          <cell r="F204" t="str">
            <v>Account status = Closed</v>
          </cell>
          <cell r="G204" t="str">
            <v/>
          </cell>
          <cell r="H204" t="str">
            <v>R</v>
          </cell>
        </row>
        <row r="205">
          <cell r="B205" t="str">
            <v>A4826</v>
          </cell>
          <cell r="C205">
            <v>201400</v>
          </cell>
          <cell r="D205">
            <v>201400</v>
          </cell>
          <cell r="E205" t="str">
            <v>C</v>
          </cell>
          <cell r="F205" t="str">
            <v>Account status = Closed</v>
          </cell>
          <cell r="G205" t="str">
            <v/>
          </cell>
          <cell r="H205" t="str">
            <v>R</v>
          </cell>
        </row>
        <row r="206">
          <cell r="B206" t="str">
            <v>A4827</v>
          </cell>
          <cell r="C206">
            <v>201400</v>
          </cell>
          <cell r="D206">
            <v>201400</v>
          </cell>
          <cell r="E206" t="str">
            <v>C</v>
          </cell>
          <cell r="F206" t="str">
            <v>Account status = Closed</v>
          </cell>
          <cell r="G206" t="str">
            <v/>
          </cell>
          <cell r="H206" t="str">
            <v>R</v>
          </cell>
        </row>
        <row r="207">
          <cell r="B207" t="str">
            <v>A4828</v>
          </cell>
          <cell r="C207">
            <v>201400</v>
          </cell>
          <cell r="D207">
            <v>201400</v>
          </cell>
          <cell r="E207" t="str">
            <v>C</v>
          </cell>
          <cell r="F207" t="str">
            <v>Account status = Closed</v>
          </cell>
          <cell r="G207" t="str">
            <v/>
          </cell>
          <cell r="H207" t="str">
            <v>R</v>
          </cell>
        </row>
        <row r="208">
          <cell r="B208" t="str">
            <v>A4829</v>
          </cell>
          <cell r="C208">
            <v>201400</v>
          </cell>
          <cell r="D208">
            <v>201400</v>
          </cell>
          <cell r="E208" t="str">
            <v>C</v>
          </cell>
          <cell r="F208" t="str">
            <v>Account status = Closed</v>
          </cell>
          <cell r="G208" t="str">
            <v/>
          </cell>
          <cell r="H208" t="str">
            <v>R</v>
          </cell>
        </row>
        <row r="209">
          <cell r="B209" t="str">
            <v>A4830</v>
          </cell>
          <cell r="C209">
            <v>201400</v>
          </cell>
          <cell r="D209">
            <v>201400</v>
          </cell>
          <cell r="E209" t="str">
            <v>C</v>
          </cell>
          <cell r="F209" t="str">
            <v>Account status = Closed</v>
          </cell>
          <cell r="G209" t="str">
            <v/>
          </cell>
          <cell r="H209" t="str">
            <v>R</v>
          </cell>
        </row>
        <row r="210">
          <cell r="B210" t="str">
            <v>B0072</v>
          </cell>
          <cell r="C210">
            <v>201400</v>
          </cell>
          <cell r="D210">
            <v>201400</v>
          </cell>
          <cell r="E210" t="str">
            <v>C</v>
          </cell>
          <cell r="F210" t="str">
            <v>Account status = Closed</v>
          </cell>
          <cell r="G210" t="str">
            <v/>
          </cell>
          <cell r="H210" t="str">
            <v>R</v>
          </cell>
        </row>
        <row r="211">
          <cell r="B211" t="str">
            <v>B0073</v>
          </cell>
          <cell r="C211">
            <v>201400</v>
          </cell>
          <cell r="D211">
            <v>201400</v>
          </cell>
          <cell r="E211" t="str">
            <v>C</v>
          </cell>
          <cell r="F211" t="str">
            <v>Account status = Closed</v>
          </cell>
          <cell r="G211" t="str">
            <v/>
          </cell>
          <cell r="H211" t="str">
            <v>R</v>
          </cell>
        </row>
        <row r="212">
          <cell r="B212" t="str">
            <v>B0074</v>
          </cell>
          <cell r="C212">
            <v>201400</v>
          </cell>
          <cell r="D212">
            <v>201400</v>
          </cell>
          <cell r="E212" t="str">
            <v>C</v>
          </cell>
          <cell r="F212" t="str">
            <v>Account status = Closed</v>
          </cell>
          <cell r="G212" t="str">
            <v/>
          </cell>
          <cell r="H212" t="str">
            <v>R</v>
          </cell>
        </row>
        <row r="213">
          <cell r="B213" t="str">
            <v>B0075</v>
          </cell>
          <cell r="C213">
            <v>201400</v>
          </cell>
          <cell r="D213">
            <v>201400</v>
          </cell>
          <cell r="E213" t="str">
            <v>C</v>
          </cell>
          <cell r="F213" t="str">
            <v>Account status = Closed</v>
          </cell>
          <cell r="G213" t="str">
            <v/>
          </cell>
          <cell r="H213" t="str">
            <v>R</v>
          </cell>
        </row>
        <row r="214">
          <cell r="B214" t="str">
            <v>B0076</v>
          </cell>
          <cell r="C214">
            <v>201400</v>
          </cell>
          <cell r="D214">
            <v>201400</v>
          </cell>
          <cell r="E214" t="str">
            <v>C</v>
          </cell>
          <cell r="F214" t="str">
            <v>Account status = Closed</v>
          </cell>
          <cell r="G214" t="str">
            <v/>
          </cell>
          <cell r="H214" t="str">
            <v>R</v>
          </cell>
        </row>
        <row r="215">
          <cell r="B215" t="str">
            <v>B0077</v>
          </cell>
          <cell r="C215">
            <v>201400</v>
          </cell>
          <cell r="D215">
            <v>201400</v>
          </cell>
          <cell r="E215" t="str">
            <v>C</v>
          </cell>
          <cell r="F215" t="str">
            <v>Account status = Closed</v>
          </cell>
          <cell r="G215" t="str">
            <v/>
          </cell>
          <cell r="H215" t="str">
            <v>R</v>
          </cell>
        </row>
        <row r="216">
          <cell r="B216" t="str">
            <v>B0078</v>
          </cell>
          <cell r="C216">
            <v>201400</v>
          </cell>
          <cell r="D216">
            <v>201400</v>
          </cell>
          <cell r="E216" t="str">
            <v>C</v>
          </cell>
          <cell r="F216" t="str">
            <v>Account status = Closed</v>
          </cell>
          <cell r="G216" t="str">
            <v/>
          </cell>
          <cell r="H216" t="str">
            <v>R</v>
          </cell>
        </row>
        <row r="217">
          <cell r="B217" t="str">
            <v>B0079</v>
          </cell>
          <cell r="C217">
            <v>201400</v>
          </cell>
          <cell r="D217">
            <v>201400</v>
          </cell>
          <cell r="E217" t="str">
            <v>C</v>
          </cell>
          <cell r="F217" t="str">
            <v>Account status = Closed</v>
          </cell>
          <cell r="G217" t="str">
            <v/>
          </cell>
          <cell r="H217" t="str">
            <v>R</v>
          </cell>
        </row>
        <row r="218">
          <cell r="B218" t="str">
            <v>B0080</v>
          </cell>
          <cell r="C218">
            <v>201400</v>
          </cell>
          <cell r="D218">
            <v>201400</v>
          </cell>
          <cell r="E218" t="str">
            <v>C</v>
          </cell>
          <cell r="F218" t="str">
            <v>Account status = Closed</v>
          </cell>
          <cell r="G218" t="str">
            <v/>
          </cell>
          <cell r="H218" t="str">
            <v>R</v>
          </cell>
        </row>
        <row r="219">
          <cell r="B219" t="str">
            <v>B1001</v>
          </cell>
          <cell r="C219">
            <v>200109</v>
          </cell>
          <cell r="D219">
            <v>209912</v>
          </cell>
          <cell r="E219" t="str">
            <v>N</v>
          </cell>
          <cell r="F219" t="str">
            <v/>
          </cell>
          <cell r="G219" t="str">
            <v/>
          </cell>
          <cell r="H219" t="str">
            <v>R</v>
          </cell>
        </row>
        <row r="220">
          <cell r="B220" t="str">
            <v>B1002</v>
          </cell>
          <cell r="C220">
            <v>200109</v>
          </cell>
          <cell r="D220">
            <v>209912</v>
          </cell>
          <cell r="E220" t="str">
            <v>N</v>
          </cell>
          <cell r="F220" t="str">
            <v/>
          </cell>
          <cell r="G220" t="str">
            <v/>
          </cell>
          <cell r="H220" t="str">
            <v>R</v>
          </cell>
        </row>
        <row r="221">
          <cell r="B221" t="str">
            <v>B1003</v>
          </cell>
          <cell r="C221">
            <v>200109</v>
          </cell>
          <cell r="D221">
            <v>209912</v>
          </cell>
          <cell r="E221" t="str">
            <v>N</v>
          </cell>
          <cell r="F221" t="str">
            <v/>
          </cell>
          <cell r="G221" t="str">
            <v/>
          </cell>
          <cell r="H221" t="str">
            <v>R</v>
          </cell>
        </row>
        <row r="222">
          <cell r="B222" t="str">
            <v>B1004</v>
          </cell>
          <cell r="C222">
            <v>200109</v>
          </cell>
          <cell r="D222">
            <v>200713</v>
          </cell>
          <cell r="E222" t="str">
            <v>C</v>
          </cell>
          <cell r="F222" t="str">
            <v>Account status = Closed</v>
          </cell>
          <cell r="G222" t="str">
            <v/>
          </cell>
          <cell r="H222" t="str">
            <v>R</v>
          </cell>
        </row>
        <row r="223">
          <cell r="B223" t="str">
            <v>B1005</v>
          </cell>
          <cell r="C223">
            <v>200109</v>
          </cell>
          <cell r="D223">
            <v>200713</v>
          </cell>
          <cell r="E223" t="str">
            <v>C</v>
          </cell>
          <cell r="F223" t="str">
            <v>Account status = Closed</v>
          </cell>
          <cell r="G223" t="str">
            <v/>
          </cell>
          <cell r="H223" t="str">
            <v>R</v>
          </cell>
        </row>
        <row r="224">
          <cell r="B224" t="str">
            <v>B1006</v>
          </cell>
          <cell r="C224">
            <v>200109</v>
          </cell>
          <cell r="D224">
            <v>200713</v>
          </cell>
          <cell r="E224" t="str">
            <v>C</v>
          </cell>
          <cell r="F224" t="str">
            <v>Account status = Closed</v>
          </cell>
          <cell r="G224" t="str">
            <v/>
          </cell>
          <cell r="H224" t="str">
            <v>R</v>
          </cell>
        </row>
        <row r="225">
          <cell r="B225" t="str">
            <v>B1007</v>
          </cell>
          <cell r="C225">
            <v>200109</v>
          </cell>
          <cell r="D225">
            <v>200713</v>
          </cell>
          <cell r="E225" t="str">
            <v>C</v>
          </cell>
          <cell r="F225" t="str">
            <v>Account status = Closed</v>
          </cell>
          <cell r="G225" t="str">
            <v/>
          </cell>
          <cell r="H225" t="str">
            <v>R</v>
          </cell>
        </row>
        <row r="226">
          <cell r="B226" t="str">
            <v>B1008</v>
          </cell>
          <cell r="C226">
            <v>200109</v>
          </cell>
          <cell r="D226">
            <v>209912</v>
          </cell>
          <cell r="E226" t="str">
            <v>N</v>
          </cell>
          <cell r="F226" t="str">
            <v/>
          </cell>
          <cell r="G226" t="str">
            <v/>
          </cell>
          <cell r="H226" t="str">
            <v>R</v>
          </cell>
        </row>
        <row r="227">
          <cell r="B227" t="str">
            <v>B1009</v>
          </cell>
          <cell r="C227">
            <v>200109</v>
          </cell>
          <cell r="D227">
            <v>200713</v>
          </cell>
          <cell r="E227" t="str">
            <v>C</v>
          </cell>
          <cell r="F227" t="str">
            <v>Account status = Closed</v>
          </cell>
          <cell r="G227" t="str">
            <v/>
          </cell>
          <cell r="H227" t="str">
            <v>R</v>
          </cell>
        </row>
        <row r="228">
          <cell r="B228" t="str">
            <v>B1010</v>
          </cell>
          <cell r="C228">
            <v>200109</v>
          </cell>
          <cell r="D228">
            <v>200713</v>
          </cell>
          <cell r="E228" t="str">
            <v>C</v>
          </cell>
          <cell r="F228" t="str">
            <v>Account status = Closed</v>
          </cell>
          <cell r="G228" t="str">
            <v/>
          </cell>
          <cell r="H228" t="str">
            <v>R</v>
          </cell>
        </row>
        <row r="229">
          <cell r="B229" t="str">
            <v>B1011</v>
          </cell>
          <cell r="C229">
            <v>200109</v>
          </cell>
          <cell r="D229">
            <v>209912</v>
          </cell>
          <cell r="E229" t="str">
            <v>N</v>
          </cell>
          <cell r="F229" t="str">
            <v/>
          </cell>
          <cell r="G229" t="str">
            <v/>
          </cell>
          <cell r="H229" t="str">
            <v>R</v>
          </cell>
        </row>
        <row r="230">
          <cell r="B230" t="str">
            <v>B1012</v>
          </cell>
          <cell r="C230">
            <v>200109</v>
          </cell>
          <cell r="D230">
            <v>209912</v>
          </cell>
          <cell r="E230" t="str">
            <v>N</v>
          </cell>
          <cell r="F230" t="str">
            <v/>
          </cell>
          <cell r="G230" t="str">
            <v/>
          </cell>
          <cell r="H230" t="str">
            <v>R</v>
          </cell>
        </row>
        <row r="231">
          <cell r="B231" t="str">
            <v>B1013</v>
          </cell>
          <cell r="C231">
            <v>200109</v>
          </cell>
          <cell r="D231">
            <v>200713</v>
          </cell>
          <cell r="E231" t="str">
            <v>C</v>
          </cell>
          <cell r="F231" t="str">
            <v>Account status = Closed</v>
          </cell>
          <cell r="G231" t="str">
            <v/>
          </cell>
          <cell r="H231" t="str">
            <v>R</v>
          </cell>
        </row>
        <row r="232">
          <cell r="B232" t="str">
            <v>B1014</v>
          </cell>
          <cell r="C232">
            <v>201101</v>
          </cell>
          <cell r="D232">
            <v>209912</v>
          </cell>
          <cell r="E232" t="str">
            <v>N</v>
          </cell>
          <cell r="F232" t="str">
            <v/>
          </cell>
          <cell r="G232" t="str">
            <v/>
          </cell>
          <cell r="H232" t="str">
            <v>R</v>
          </cell>
        </row>
        <row r="233">
          <cell r="B233" t="str">
            <v>B1015</v>
          </cell>
          <cell r="C233">
            <v>201101</v>
          </cell>
          <cell r="D233">
            <v>209912</v>
          </cell>
          <cell r="E233" t="str">
            <v>N</v>
          </cell>
          <cell r="F233" t="str">
            <v/>
          </cell>
          <cell r="G233" t="str">
            <v/>
          </cell>
          <cell r="H233" t="str">
            <v>R</v>
          </cell>
        </row>
        <row r="234">
          <cell r="B234" t="str">
            <v>B1030</v>
          </cell>
          <cell r="C234">
            <v>200109</v>
          </cell>
          <cell r="D234">
            <v>200713</v>
          </cell>
          <cell r="E234" t="str">
            <v>C</v>
          </cell>
          <cell r="F234" t="str">
            <v>Account status = Closed</v>
          </cell>
          <cell r="G234" t="str">
            <v/>
          </cell>
          <cell r="H234" t="str">
            <v>R</v>
          </cell>
        </row>
        <row r="235">
          <cell r="B235" t="str">
            <v>B1031</v>
          </cell>
          <cell r="C235">
            <v>200109</v>
          </cell>
          <cell r="D235">
            <v>209912</v>
          </cell>
          <cell r="E235" t="str">
            <v>N</v>
          </cell>
          <cell r="F235" t="str">
            <v/>
          </cell>
          <cell r="G235" t="str">
            <v/>
          </cell>
          <cell r="H235" t="str">
            <v>R</v>
          </cell>
        </row>
        <row r="236">
          <cell r="B236" t="str">
            <v>B1032</v>
          </cell>
          <cell r="C236">
            <v>200109</v>
          </cell>
          <cell r="D236">
            <v>209912</v>
          </cell>
          <cell r="E236" t="str">
            <v>N</v>
          </cell>
          <cell r="F236" t="str">
            <v/>
          </cell>
          <cell r="G236" t="str">
            <v/>
          </cell>
          <cell r="H236" t="str">
            <v>R</v>
          </cell>
        </row>
        <row r="237">
          <cell r="B237" t="str">
            <v>B1033</v>
          </cell>
          <cell r="C237">
            <v>200109</v>
          </cell>
          <cell r="D237">
            <v>209912</v>
          </cell>
          <cell r="E237" t="str">
            <v>N</v>
          </cell>
          <cell r="F237" t="str">
            <v/>
          </cell>
          <cell r="G237" t="str">
            <v/>
          </cell>
          <cell r="H237" t="str">
            <v>R</v>
          </cell>
        </row>
        <row r="238">
          <cell r="B238" t="str">
            <v>B1034</v>
          </cell>
          <cell r="C238">
            <v>200109</v>
          </cell>
          <cell r="D238">
            <v>209912</v>
          </cell>
          <cell r="E238" t="str">
            <v>N</v>
          </cell>
          <cell r="F238" t="str">
            <v/>
          </cell>
          <cell r="G238" t="str">
            <v/>
          </cell>
          <cell r="H238" t="str">
            <v>R</v>
          </cell>
        </row>
        <row r="239">
          <cell r="B239" t="str">
            <v>B1035</v>
          </cell>
          <cell r="C239">
            <v>200109</v>
          </cell>
          <cell r="D239">
            <v>200713</v>
          </cell>
          <cell r="E239" t="str">
            <v>C</v>
          </cell>
          <cell r="F239" t="str">
            <v>Account status = Closed</v>
          </cell>
          <cell r="G239" t="str">
            <v/>
          </cell>
          <cell r="H239" t="str">
            <v>R</v>
          </cell>
        </row>
        <row r="240">
          <cell r="B240" t="str">
            <v>B1036</v>
          </cell>
          <cell r="C240">
            <v>200109</v>
          </cell>
          <cell r="D240">
            <v>201300</v>
          </cell>
          <cell r="E240" t="str">
            <v>C</v>
          </cell>
          <cell r="F240" t="str">
            <v>Account status = Closed</v>
          </cell>
          <cell r="G240" t="str">
            <v/>
          </cell>
          <cell r="H240" t="str">
            <v>R</v>
          </cell>
        </row>
        <row r="241">
          <cell r="B241" t="str">
            <v>B1037</v>
          </cell>
          <cell r="C241">
            <v>200109</v>
          </cell>
          <cell r="D241">
            <v>200713</v>
          </cell>
          <cell r="E241" t="str">
            <v>C</v>
          </cell>
          <cell r="F241" t="str">
            <v>Account status = Closed</v>
          </cell>
          <cell r="G241" t="str">
            <v/>
          </cell>
          <cell r="H241" t="str">
            <v>R</v>
          </cell>
        </row>
        <row r="242">
          <cell r="B242" t="str">
            <v>B1060</v>
          </cell>
          <cell r="C242">
            <v>200109</v>
          </cell>
          <cell r="D242">
            <v>209912</v>
          </cell>
          <cell r="E242" t="str">
            <v>N</v>
          </cell>
          <cell r="F242" t="str">
            <v/>
          </cell>
          <cell r="G242" t="str">
            <v/>
          </cell>
          <cell r="H242" t="str">
            <v>R</v>
          </cell>
        </row>
        <row r="243">
          <cell r="B243" t="str">
            <v>B1061</v>
          </cell>
          <cell r="C243">
            <v>200109</v>
          </cell>
          <cell r="D243">
            <v>201300</v>
          </cell>
          <cell r="E243" t="str">
            <v>C</v>
          </cell>
          <cell r="F243" t="str">
            <v>Account status = Closed</v>
          </cell>
          <cell r="G243" t="str">
            <v/>
          </cell>
          <cell r="H243" t="str">
            <v>R</v>
          </cell>
        </row>
        <row r="244">
          <cell r="B244" t="str">
            <v>B1062</v>
          </cell>
          <cell r="C244">
            <v>200109</v>
          </cell>
          <cell r="D244">
            <v>200713</v>
          </cell>
          <cell r="E244" t="str">
            <v>C</v>
          </cell>
          <cell r="F244" t="str">
            <v>Account status = Closed</v>
          </cell>
          <cell r="G244" t="str">
            <v/>
          </cell>
          <cell r="H244" t="str">
            <v>R</v>
          </cell>
        </row>
        <row r="245">
          <cell r="B245" t="str">
            <v>B1063</v>
          </cell>
          <cell r="C245">
            <v>200109</v>
          </cell>
          <cell r="D245">
            <v>209912</v>
          </cell>
          <cell r="E245" t="str">
            <v>N</v>
          </cell>
          <cell r="F245" t="str">
            <v/>
          </cell>
          <cell r="G245" t="str">
            <v/>
          </cell>
          <cell r="H245" t="str">
            <v>R</v>
          </cell>
        </row>
        <row r="246">
          <cell r="B246" t="str">
            <v>B1064</v>
          </cell>
          <cell r="C246">
            <v>200109</v>
          </cell>
          <cell r="D246">
            <v>200713</v>
          </cell>
          <cell r="E246" t="str">
            <v>C</v>
          </cell>
          <cell r="F246" t="str">
            <v>Account status = Closed</v>
          </cell>
          <cell r="G246" t="str">
            <v/>
          </cell>
          <cell r="H246" t="str">
            <v>R</v>
          </cell>
        </row>
        <row r="247">
          <cell r="B247" t="str">
            <v>B1065</v>
          </cell>
          <cell r="C247">
            <v>200109</v>
          </cell>
          <cell r="D247">
            <v>200713</v>
          </cell>
          <cell r="E247" t="str">
            <v>C</v>
          </cell>
          <cell r="F247" t="str">
            <v>Account status = Closed</v>
          </cell>
          <cell r="G247" t="str">
            <v/>
          </cell>
          <cell r="H247" t="str">
            <v>R</v>
          </cell>
        </row>
        <row r="248">
          <cell r="B248" t="str">
            <v>B1066</v>
          </cell>
          <cell r="C248">
            <v>200109</v>
          </cell>
          <cell r="D248">
            <v>200713</v>
          </cell>
          <cell r="E248" t="str">
            <v>C</v>
          </cell>
          <cell r="F248" t="str">
            <v>Account status = Closed</v>
          </cell>
          <cell r="G248" t="str">
            <v/>
          </cell>
          <cell r="H248" t="str">
            <v>R</v>
          </cell>
        </row>
        <row r="249">
          <cell r="B249" t="str">
            <v>B1067</v>
          </cell>
          <cell r="C249">
            <v>200109</v>
          </cell>
          <cell r="D249">
            <v>200713</v>
          </cell>
          <cell r="E249" t="str">
            <v>C</v>
          </cell>
          <cell r="F249" t="str">
            <v>Account status = Closed</v>
          </cell>
          <cell r="G249" t="str">
            <v/>
          </cell>
          <cell r="H249" t="str">
            <v>R</v>
          </cell>
        </row>
        <row r="250">
          <cell r="B250" t="str">
            <v>B1101</v>
          </cell>
          <cell r="C250">
            <v>200109</v>
          </cell>
          <cell r="D250">
            <v>209912</v>
          </cell>
          <cell r="E250" t="str">
            <v>N</v>
          </cell>
          <cell r="F250" t="str">
            <v/>
          </cell>
          <cell r="G250" t="str">
            <v/>
          </cell>
          <cell r="H250" t="str">
            <v>R</v>
          </cell>
        </row>
        <row r="251">
          <cell r="B251" t="str">
            <v>B1102</v>
          </cell>
          <cell r="C251">
            <v>200109</v>
          </cell>
          <cell r="D251">
            <v>209912</v>
          </cell>
          <cell r="E251" t="str">
            <v>N</v>
          </cell>
          <cell r="F251" t="str">
            <v/>
          </cell>
          <cell r="G251" t="str">
            <v/>
          </cell>
          <cell r="H251" t="str">
            <v>R</v>
          </cell>
        </row>
        <row r="252">
          <cell r="B252" t="str">
            <v>B1103</v>
          </cell>
          <cell r="C252">
            <v>200109</v>
          </cell>
          <cell r="D252">
            <v>209912</v>
          </cell>
          <cell r="E252" t="str">
            <v>N</v>
          </cell>
          <cell r="F252" t="str">
            <v/>
          </cell>
          <cell r="G252" t="str">
            <v/>
          </cell>
          <cell r="H252" t="str">
            <v>R</v>
          </cell>
        </row>
        <row r="253">
          <cell r="B253" t="str">
            <v>B1105</v>
          </cell>
          <cell r="C253">
            <v>200109</v>
          </cell>
          <cell r="D253">
            <v>209912</v>
          </cell>
          <cell r="E253" t="str">
            <v>N</v>
          </cell>
          <cell r="F253" t="str">
            <v/>
          </cell>
          <cell r="G253" t="str">
            <v/>
          </cell>
          <cell r="H253" t="str">
            <v>R</v>
          </cell>
        </row>
        <row r="254">
          <cell r="B254" t="str">
            <v>B1106</v>
          </cell>
          <cell r="C254">
            <v>200109</v>
          </cell>
          <cell r="D254">
            <v>209912</v>
          </cell>
          <cell r="E254" t="str">
            <v>N</v>
          </cell>
          <cell r="F254" t="str">
            <v/>
          </cell>
          <cell r="G254" t="str">
            <v/>
          </cell>
          <cell r="H254" t="str">
            <v>R</v>
          </cell>
        </row>
        <row r="255">
          <cell r="B255" t="str">
            <v>B1107</v>
          </cell>
          <cell r="C255">
            <v>200109</v>
          </cell>
          <cell r="D255">
            <v>209912</v>
          </cell>
          <cell r="E255" t="str">
            <v>N</v>
          </cell>
          <cell r="F255" t="str">
            <v/>
          </cell>
          <cell r="G255" t="str">
            <v/>
          </cell>
          <cell r="H255" t="str">
            <v>R</v>
          </cell>
        </row>
        <row r="256">
          <cell r="B256" t="str">
            <v>B1108</v>
          </cell>
          <cell r="C256">
            <v>200109</v>
          </cell>
          <cell r="D256">
            <v>209912</v>
          </cell>
          <cell r="E256" t="str">
            <v>N</v>
          </cell>
          <cell r="F256" t="str">
            <v/>
          </cell>
          <cell r="G256" t="str">
            <v/>
          </cell>
          <cell r="H256" t="str">
            <v>R</v>
          </cell>
        </row>
        <row r="257">
          <cell r="B257" t="str">
            <v>B1109</v>
          </cell>
          <cell r="C257">
            <v>200109</v>
          </cell>
          <cell r="D257">
            <v>209912</v>
          </cell>
          <cell r="E257" t="str">
            <v>N</v>
          </cell>
          <cell r="F257" t="str">
            <v/>
          </cell>
          <cell r="G257" t="str">
            <v/>
          </cell>
          <cell r="H257" t="str">
            <v>R</v>
          </cell>
        </row>
        <row r="258">
          <cell r="B258" t="str">
            <v>B1110</v>
          </cell>
          <cell r="C258">
            <v>199900</v>
          </cell>
          <cell r="D258">
            <v>209912</v>
          </cell>
          <cell r="E258" t="str">
            <v>N</v>
          </cell>
          <cell r="F258" t="str">
            <v/>
          </cell>
          <cell r="G258" t="str">
            <v/>
          </cell>
          <cell r="H258" t="str">
            <v>R</v>
          </cell>
        </row>
        <row r="259">
          <cell r="B259" t="str">
            <v>B1111</v>
          </cell>
          <cell r="C259">
            <v>200701</v>
          </cell>
          <cell r="D259">
            <v>209912</v>
          </cell>
          <cell r="E259" t="str">
            <v>N</v>
          </cell>
          <cell r="F259" t="str">
            <v/>
          </cell>
          <cell r="G259" t="str">
            <v/>
          </cell>
          <cell r="H259" t="str">
            <v>R</v>
          </cell>
        </row>
        <row r="260">
          <cell r="B260" t="str">
            <v>B1112</v>
          </cell>
          <cell r="C260">
            <v>200701</v>
          </cell>
          <cell r="D260">
            <v>201300</v>
          </cell>
          <cell r="E260" t="str">
            <v>C</v>
          </cell>
          <cell r="F260" t="str">
            <v>Account status = Closed</v>
          </cell>
          <cell r="G260" t="str">
            <v/>
          </cell>
          <cell r="H260" t="str">
            <v>R</v>
          </cell>
        </row>
        <row r="261">
          <cell r="B261" t="str">
            <v>B1113</v>
          </cell>
          <cell r="C261">
            <v>200701</v>
          </cell>
          <cell r="D261">
            <v>200713</v>
          </cell>
          <cell r="E261" t="str">
            <v>C</v>
          </cell>
          <cell r="F261" t="str">
            <v>Account status = Closed</v>
          </cell>
          <cell r="G261" t="str">
            <v/>
          </cell>
          <cell r="H261" t="str">
            <v>R</v>
          </cell>
        </row>
        <row r="262">
          <cell r="B262" t="str">
            <v>B1114</v>
          </cell>
          <cell r="C262">
            <v>200701</v>
          </cell>
          <cell r="D262">
            <v>200713</v>
          </cell>
          <cell r="E262" t="str">
            <v>C</v>
          </cell>
          <cell r="F262" t="str">
            <v>Account status = Closed</v>
          </cell>
          <cell r="G262" t="str">
            <v/>
          </cell>
          <cell r="H262" t="str">
            <v>R</v>
          </cell>
        </row>
        <row r="263">
          <cell r="B263" t="str">
            <v>B1118</v>
          </cell>
          <cell r="C263">
            <v>200701</v>
          </cell>
          <cell r="D263">
            <v>200713</v>
          </cell>
          <cell r="E263" t="str">
            <v>C</v>
          </cell>
          <cell r="F263" t="str">
            <v>Account status = Closed</v>
          </cell>
          <cell r="G263" t="str">
            <v/>
          </cell>
          <cell r="H263" t="str">
            <v>R</v>
          </cell>
        </row>
        <row r="264">
          <cell r="B264" t="str">
            <v>B1119</v>
          </cell>
          <cell r="C264">
            <v>200701</v>
          </cell>
          <cell r="D264">
            <v>200713</v>
          </cell>
          <cell r="E264" t="str">
            <v>C</v>
          </cell>
          <cell r="F264" t="str">
            <v>Account status = Closed</v>
          </cell>
          <cell r="G264" t="str">
            <v/>
          </cell>
          <cell r="H264" t="str">
            <v>R</v>
          </cell>
        </row>
        <row r="265">
          <cell r="B265" t="str">
            <v>B1120</v>
          </cell>
          <cell r="C265">
            <v>200109</v>
          </cell>
          <cell r="D265">
            <v>209912</v>
          </cell>
          <cell r="E265" t="str">
            <v>N</v>
          </cell>
          <cell r="F265" t="str">
            <v/>
          </cell>
          <cell r="G265" t="str">
            <v/>
          </cell>
          <cell r="H265" t="str">
            <v>R</v>
          </cell>
        </row>
        <row r="266">
          <cell r="B266" t="str">
            <v>B1121</v>
          </cell>
          <cell r="C266">
            <v>200109</v>
          </cell>
          <cell r="D266">
            <v>201300</v>
          </cell>
          <cell r="E266" t="str">
            <v>C</v>
          </cell>
          <cell r="F266" t="str">
            <v>Account status = Closed</v>
          </cell>
          <cell r="G266" t="str">
            <v/>
          </cell>
          <cell r="H266" t="str">
            <v>R</v>
          </cell>
        </row>
        <row r="267">
          <cell r="B267" t="str">
            <v>B1122</v>
          </cell>
          <cell r="C267">
            <v>200109</v>
          </cell>
          <cell r="D267">
            <v>209912</v>
          </cell>
          <cell r="E267" t="str">
            <v>N</v>
          </cell>
          <cell r="F267" t="str">
            <v/>
          </cell>
          <cell r="G267" t="str">
            <v/>
          </cell>
          <cell r="H267" t="str">
            <v>R</v>
          </cell>
        </row>
        <row r="268">
          <cell r="B268" t="str">
            <v>B1123</v>
          </cell>
          <cell r="C268">
            <v>200109</v>
          </cell>
          <cell r="D268">
            <v>209912</v>
          </cell>
          <cell r="E268" t="str">
            <v>N</v>
          </cell>
          <cell r="F268" t="str">
            <v/>
          </cell>
          <cell r="G268" t="str">
            <v/>
          </cell>
          <cell r="H268" t="str">
            <v>R</v>
          </cell>
        </row>
        <row r="269">
          <cell r="B269" t="str">
            <v>B1124</v>
          </cell>
          <cell r="C269">
            <v>200109</v>
          </cell>
          <cell r="D269">
            <v>201300</v>
          </cell>
          <cell r="E269" t="str">
            <v>C</v>
          </cell>
          <cell r="F269" t="str">
            <v>Account status = Closed</v>
          </cell>
          <cell r="G269" t="str">
            <v/>
          </cell>
          <cell r="H269" t="str">
            <v>R</v>
          </cell>
        </row>
        <row r="270">
          <cell r="B270" t="str">
            <v>B1125</v>
          </cell>
          <cell r="C270">
            <v>200109</v>
          </cell>
          <cell r="D270">
            <v>201300</v>
          </cell>
          <cell r="E270" t="str">
            <v>C</v>
          </cell>
          <cell r="F270" t="str">
            <v>Account status = Closed</v>
          </cell>
          <cell r="G270" t="str">
            <v/>
          </cell>
          <cell r="H270" t="str">
            <v>R</v>
          </cell>
        </row>
        <row r="271">
          <cell r="B271" t="str">
            <v>B1126</v>
          </cell>
          <cell r="C271">
            <v>200109</v>
          </cell>
          <cell r="D271">
            <v>201300</v>
          </cell>
          <cell r="E271" t="str">
            <v>C</v>
          </cell>
          <cell r="F271" t="str">
            <v>Account status = Closed</v>
          </cell>
          <cell r="G271" t="str">
            <v/>
          </cell>
          <cell r="H271" t="str">
            <v>R</v>
          </cell>
        </row>
        <row r="272">
          <cell r="B272" t="str">
            <v>B1127</v>
          </cell>
          <cell r="C272">
            <v>200109</v>
          </cell>
          <cell r="D272">
            <v>209912</v>
          </cell>
          <cell r="E272" t="str">
            <v>N</v>
          </cell>
          <cell r="F272" t="str">
            <v/>
          </cell>
          <cell r="G272" t="str">
            <v/>
          </cell>
          <cell r="H272" t="str">
            <v>R</v>
          </cell>
        </row>
        <row r="273">
          <cell r="B273" t="str">
            <v>B1128</v>
          </cell>
          <cell r="C273">
            <v>200109</v>
          </cell>
          <cell r="D273">
            <v>209912</v>
          </cell>
          <cell r="E273" t="str">
            <v>N</v>
          </cell>
          <cell r="F273" t="str">
            <v/>
          </cell>
          <cell r="G273" t="str">
            <v/>
          </cell>
          <cell r="H273" t="str">
            <v>R</v>
          </cell>
        </row>
        <row r="274">
          <cell r="B274" t="str">
            <v>B1129</v>
          </cell>
          <cell r="C274">
            <v>200109</v>
          </cell>
          <cell r="D274">
            <v>200713</v>
          </cell>
          <cell r="E274" t="str">
            <v>C</v>
          </cell>
          <cell r="F274" t="str">
            <v>Account status = Closed</v>
          </cell>
          <cell r="G274" t="str">
            <v/>
          </cell>
          <cell r="H274" t="str">
            <v>R</v>
          </cell>
        </row>
        <row r="275">
          <cell r="B275" t="str">
            <v>B1130</v>
          </cell>
          <cell r="C275">
            <v>200109</v>
          </cell>
          <cell r="D275">
            <v>209912</v>
          </cell>
          <cell r="E275" t="str">
            <v>N</v>
          </cell>
          <cell r="F275" t="str">
            <v/>
          </cell>
          <cell r="G275" t="str">
            <v/>
          </cell>
          <cell r="H275" t="str">
            <v>R</v>
          </cell>
        </row>
        <row r="276">
          <cell r="B276" t="str">
            <v>B1137</v>
          </cell>
          <cell r="C276">
            <v>200701</v>
          </cell>
          <cell r="D276">
            <v>200713</v>
          </cell>
          <cell r="E276" t="str">
            <v>C</v>
          </cell>
          <cell r="F276" t="str">
            <v>Account status = Closed</v>
          </cell>
          <cell r="G276" t="str">
            <v/>
          </cell>
          <cell r="H276" t="str">
            <v>R</v>
          </cell>
        </row>
        <row r="277">
          <cell r="B277" t="str">
            <v>B1138</v>
          </cell>
          <cell r="C277">
            <v>200701</v>
          </cell>
          <cell r="D277">
            <v>200713</v>
          </cell>
          <cell r="E277" t="str">
            <v>C</v>
          </cell>
          <cell r="F277" t="str">
            <v>Account status = Closed</v>
          </cell>
          <cell r="G277" t="str">
            <v/>
          </cell>
          <cell r="H277" t="str">
            <v>R</v>
          </cell>
        </row>
        <row r="278">
          <cell r="B278" t="str">
            <v>B1139</v>
          </cell>
          <cell r="C278">
            <v>200701</v>
          </cell>
          <cell r="D278">
            <v>201300</v>
          </cell>
          <cell r="E278" t="str">
            <v>C</v>
          </cell>
          <cell r="F278" t="str">
            <v>Account status = Closed</v>
          </cell>
          <cell r="G278" t="str">
            <v/>
          </cell>
          <cell r="H278" t="str">
            <v>R</v>
          </cell>
        </row>
        <row r="279">
          <cell r="B279" t="str">
            <v>B1140</v>
          </cell>
          <cell r="C279">
            <v>200109</v>
          </cell>
          <cell r="D279">
            <v>209912</v>
          </cell>
          <cell r="E279" t="str">
            <v>N</v>
          </cell>
          <cell r="F279" t="str">
            <v/>
          </cell>
          <cell r="G279" t="str">
            <v/>
          </cell>
          <cell r="H279" t="str">
            <v>R</v>
          </cell>
        </row>
        <row r="280">
          <cell r="B280" t="str">
            <v>B1141</v>
          </cell>
          <cell r="C280">
            <v>200109</v>
          </cell>
          <cell r="D280">
            <v>201300</v>
          </cell>
          <cell r="E280" t="str">
            <v>C</v>
          </cell>
          <cell r="F280" t="str">
            <v>Account status = Closed</v>
          </cell>
          <cell r="G280" t="str">
            <v/>
          </cell>
          <cell r="H280" t="str">
            <v>R</v>
          </cell>
        </row>
        <row r="281">
          <cell r="B281" t="str">
            <v>B1142</v>
          </cell>
          <cell r="C281">
            <v>200109</v>
          </cell>
          <cell r="D281">
            <v>201300</v>
          </cell>
          <cell r="E281" t="str">
            <v>C</v>
          </cell>
          <cell r="F281" t="str">
            <v>Account status = Closed</v>
          </cell>
          <cell r="G281" t="str">
            <v/>
          </cell>
          <cell r="H281" t="str">
            <v>R</v>
          </cell>
        </row>
        <row r="282">
          <cell r="B282" t="str">
            <v>B1150</v>
          </cell>
          <cell r="C282">
            <v>200109</v>
          </cell>
          <cell r="D282">
            <v>209912</v>
          </cell>
          <cell r="E282" t="str">
            <v>N</v>
          </cell>
          <cell r="F282" t="str">
            <v/>
          </cell>
          <cell r="G282" t="str">
            <v/>
          </cell>
          <cell r="H282" t="str">
            <v>R</v>
          </cell>
        </row>
        <row r="283">
          <cell r="B283" t="str">
            <v>B1151</v>
          </cell>
          <cell r="C283">
            <v>200109</v>
          </cell>
          <cell r="D283">
            <v>209912</v>
          </cell>
          <cell r="E283" t="str">
            <v>N</v>
          </cell>
          <cell r="F283" t="str">
            <v/>
          </cell>
          <cell r="G283" t="str">
            <v/>
          </cell>
          <cell r="H283" t="str">
            <v>R</v>
          </cell>
        </row>
        <row r="284">
          <cell r="B284" t="str">
            <v>B1152</v>
          </cell>
          <cell r="C284">
            <v>200109</v>
          </cell>
          <cell r="D284">
            <v>209912</v>
          </cell>
          <cell r="E284" t="str">
            <v>N</v>
          </cell>
          <cell r="F284" t="str">
            <v/>
          </cell>
          <cell r="G284" t="str">
            <v/>
          </cell>
          <cell r="H284" t="str">
            <v>R</v>
          </cell>
        </row>
        <row r="285">
          <cell r="B285" t="str">
            <v>B1153</v>
          </cell>
          <cell r="C285">
            <v>200109</v>
          </cell>
          <cell r="D285">
            <v>209912</v>
          </cell>
          <cell r="E285" t="str">
            <v>N</v>
          </cell>
          <cell r="F285" t="str">
            <v/>
          </cell>
          <cell r="G285" t="str">
            <v/>
          </cell>
          <cell r="H285" t="str">
            <v>R</v>
          </cell>
        </row>
        <row r="286">
          <cell r="B286" t="str">
            <v>B1154</v>
          </cell>
          <cell r="C286">
            <v>200109</v>
          </cell>
          <cell r="D286">
            <v>200713</v>
          </cell>
          <cell r="E286" t="str">
            <v>C</v>
          </cell>
          <cell r="F286" t="str">
            <v>Account status = Closed</v>
          </cell>
          <cell r="G286" t="str">
            <v/>
          </cell>
          <cell r="H286" t="str">
            <v>R</v>
          </cell>
        </row>
        <row r="287">
          <cell r="B287" t="str">
            <v>B1155</v>
          </cell>
          <cell r="C287">
            <v>200109</v>
          </cell>
          <cell r="D287">
            <v>200713</v>
          </cell>
          <cell r="E287" t="str">
            <v>C</v>
          </cell>
          <cell r="F287" t="str">
            <v>Account status = Closed</v>
          </cell>
          <cell r="G287" t="str">
            <v/>
          </cell>
          <cell r="H287" t="str">
            <v>R</v>
          </cell>
        </row>
        <row r="288">
          <cell r="B288" t="str">
            <v>B1156</v>
          </cell>
          <cell r="C288">
            <v>200109</v>
          </cell>
          <cell r="D288">
            <v>200713</v>
          </cell>
          <cell r="E288" t="str">
            <v>C</v>
          </cell>
          <cell r="F288" t="str">
            <v>Account status = Closed</v>
          </cell>
          <cell r="G288" t="str">
            <v/>
          </cell>
          <cell r="H288" t="str">
            <v>R</v>
          </cell>
        </row>
        <row r="289">
          <cell r="B289" t="str">
            <v>B1157</v>
          </cell>
          <cell r="C289">
            <v>200410</v>
          </cell>
          <cell r="D289">
            <v>209912</v>
          </cell>
          <cell r="E289" t="str">
            <v>N</v>
          </cell>
          <cell r="F289" t="str">
            <v/>
          </cell>
          <cell r="G289" t="str">
            <v/>
          </cell>
          <cell r="H289" t="str">
            <v>R</v>
          </cell>
        </row>
        <row r="290">
          <cell r="B290" t="str">
            <v>B1160</v>
          </cell>
          <cell r="C290">
            <v>200109</v>
          </cell>
          <cell r="D290">
            <v>209912</v>
          </cell>
          <cell r="E290" t="str">
            <v>N</v>
          </cell>
          <cell r="F290" t="str">
            <v/>
          </cell>
          <cell r="G290" t="str">
            <v/>
          </cell>
          <cell r="H290" t="str">
            <v>R</v>
          </cell>
        </row>
        <row r="291">
          <cell r="B291" t="str">
            <v>B1161</v>
          </cell>
          <cell r="C291">
            <v>200109</v>
          </cell>
          <cell r="D291">
            <v>201300</v>
          </cell>
          <cell r="E291" t="str">
            <v>C</v>
          </cell>
          <cell r="F291" t="str">
            <v>Account status = Closed</v>
          </cell>
          <cell r="G291" t="str">
            <v/>
          </cell>
          <cell r="H291" t="str">
            <v>R</v>
          </cell>
        </row>
        <row r="292">
          <cell r="B292" t="str">
            <v>B1162</v>
          </cell>
          <cell r="C292">
            <v>200109</v>
          </cell>
          <cell r="D292">
            <v>209912</v>
          </cell>
          <cell r="E292" t="str">
            <v>N</v>
          </cell>
          <cell r="F292" t="str">
            <v/>
          </cell>
          <cell r="G292" t="str">
            <v/>
          </cell>
          <cell r="H292" t="str">
            <v>R</v>
          </cell>
        </row>
        <row r="293">
          <cell r="B293" t="str">
            <v>B1163</v>
          </cell>
          <cell r="C293">
            <v>200109</v>
          </cell>
          <cell r="D293">
            <v>201300</v>
          </cell>
          <cell r="E293" t="str">
            <v>C</v>
          </cell>
          <cell r="F293" t="str">
            <v>Account status = Closed</v>
          </cell>
          <cell r="G293" t="str">
            <v/>
          </cell>
          <cell r="H293" t="str">
            <v>R</v>
          </cell>
        </row>
        <row r="294">
          <cell r="B294" t="str">
            <v>B1164</v>
          </cell>
          <cell r="C294">
            <v>200109</v>
          </cell>
          <cell r="D294">
            <v>209912</v>
          </cell>
          <cell r="E294" t="str">
            <v>N</v>
          </cell>
          <cell r="F294" t="str">
            <v/>
          </cell>
          <cell r="G294" t="str">
            <v/>
          </cell>
          <cell r="H294" t="str">
            <v>R</v>
          </cell>
        </row>
        <row r="295">
          <cell r="B295" t="str">
            <v>B1165</v>
          </cell>
          <cell r="C295">
            <v>200109</v>
          </cell>
          <cell r="D295">
            <v>209912</v>
          </cell>
          <cell r="E295" t="str">
            <v>N</v>
          </cell>
          <cell r="F295" t="str">
            <v/>
          </cell>
          <cell r="G295" t="str">
            <v/>
          </cell>
          <cell r="H295" t="str">
            <v>R</v>
          </cell>
        </row>
        <row r="296">
          <cell r="B296" t="str">
            <v>B1166</v>
          </cell>
          <cell r="C296">
            <v>200901</v>
          </cell>
          <cell r="D296">
            <v>209912</v>
          </cell>
          <cell r="E296" t="str">
            <v>N</v>
          </cell>
          <cell r="F296" t="str">
            <v/>
          </cell>
          <cell r="G296" t="str">
            <v/>
          </cell>
          <cell r="H296" t="str">
            <v>R</v>
          </cell>
        </row>
        <row r="297">
          <cell r="B297" t="str">
            <v>B1170</v>
          </cell>
          <cell r="C297">
            <v>200805</v>
          </cell>
          <cell r="D297">
            <v>209912</v>
          </cell>
          <cell r="E297" t="str">
            <v>N</v>
          </cell>
          <cell r="F297" t="str">
            <v/>
          </cell>
          <cell r="G297" t="str">
            <v/>
          </cell>
          <cell r="H297" t="str">
            <v>R</v>
          </cell>
        </row>
        <row r="298">
          <cell r="B298" t="str">
            <v>B1171</v>
          </cell>
          <cell r="C298">
            <v>200601</v>
          </cell>
          <cell r="D298">
            <v>209913</v>
          </cell>
          <cell r="E298" t="str">
            <v>N</v>
          </cell>
          <cell r="F298" t="str">
            <v/>
          </cell>
          <cell r="G298" t="str">
            <v/>
          </cell>
          <cell r="H298" t="str">
            <v>R</v>
          </cell>
        </row>
        <row r="299">
          <cell r="B299" t="str">
            <v>B1172</v>
          </cell>
          <cell r="C299">
            <v>200601</v>
          </cell>
          <cell r="D299">
            <v>209912</v>
          </cell>
          <cell r="E299" t="str">
            <v>N</v>
          </cell>
          <cell r="F299" t="str">
            <v/>
          </cell>
          <cell r="G299" t="str">
            <v/>
          </cell>
          <cell r="H299" t="str">
            <v>R</v>
          </cell>
        </row>
        <row r="300">
          <cell r="B300" t="str">
            <v>B1173</v>
          </cell>
          <cell r="C300">
            <v>200601</v>
          </cell>
          <cell r="D300">
            <v>201300</v>
          </cell>
          <cell r="E300" t="str">
            <v>C</v>
          </cell>
          <cell r="F300" t="str">
            <v>Account status = Closed</v>
          </cell>
          <cell r="G300" t="str">
            <v/>
          </cell>
          <cell r="H300" t="str">
            <v>R</v>
          </cell>
        </row>
        <row r="301">
          <cell r="B301" t="str">
            <v>B1174</v>
          </cell>
          <cell r="C301">
            <v>200601</v>
          </cell>
          <cell r="D301">
            <v>209912</v>
          </cell>
          <cell r="E301" t="str">
            <v>N</v>
          </cell>
          <cell r="F301" t="str">
            <v/>
          </cell>
          <cell r="G301" t="str">
            <v/>
          </cell>
          <cell r="H301" t="str">
            <v>R</v>
          </cell>
        </row>
        <row r="302">
          <cell r="B302" t="str">
            <v>B1175</v>
          </cell>
          <cell r="C302">
            <v>200601</v>
          </cell>
          <cell r="D302">
            <v>209912</v>
          </cell>
          <cell r="E302" t="str">
            <v>N</v>
          </cell>
          <cell r="F302" t="str">
            <v/>
          </cell>
          <cell r="G302" t="str">
            <v/>
          </cell>
          <cell r="H302" t="str">
            <v>R</v>
          </cell>
        </row>
        <row r="303">
          <cell r="B303" t="str">
            <v>B1176</v>
          </cell>
          <cell r="C303">
            <v>200601</v>
          </cell>
          <cell r="D303">
            <v>209912</v>
          </cell>
          <cell r="E303" t="str">
            <v>N</v>
          </cell>
          <cell r="F303" t="str">
            <v/>
          </cell>
          <cell r="G303" t="str">
            <v/>
          </cell>
          <cell r="H303" t="str">
            <v>R</v>
          </cell>
        </row>
        <row r="304">
          <cell r="B304" t="str">
            <v>B1177</v>
          </cell>
          <cell r="C304">
            <v>200701</v>
          </cell>
          <cell r="D304">
            <v>209912</v>
          </cell>
          <cell r="E304" t="str">
            <v>N</v>
          </cell>
          <cell r="F304" t="str">
            <v/>
          </cell>
          <cell r="G304" t="str">
            <v/>
          </cell>
          <cell r="H304" t="str">
            <v>R</v>
          </cell>
        </row>
        <row r="305">
          <cell r="B305" t="str">
            <v>B1178</v>
          </cell>
          <cell r="C305">
            <v>200701</v>
          </cell>
          <cell r="D305">
            <v>209912</v>
          </cell>
          <cell r="E305" t="str">
            <v>N</v>
          </cell>
          <cell r="F305" t="str">
            <v/>
          </cell>
          <cell r="G305" t="str">
            <v/>
          </cell>
          <cell r="H305" t="str">
            <v>R</v>
          </cell>
        </row>
        <row r="306">
          <cell r="B306" t="str">
            <v>B1179</v>
          </cell>
          <cell r="C306">
            <v>200701</v>
          </cell>
          <cell r="D306">
            <v>209912</v>
          </cell>
          <cell r="E306" t="str">
            <v>N</v>
          </cell>
          <cell r="F306" t="str">
            <v/>
          </cell>
          <cell r="G306" t="str">
            <v/>
          </cell>
          <cell r="H306" t="str">
            <v>R</v>
          </cell>
        </row>
        <row r="307">
          <cell r="B307" t="str">
            <v>B1180</v>
          </cell>
          <cell r="C307">
            <v>200109</v>
          </cell>
          <cell r="D307">
            <v>209912</v>
          </cell>
          <cell r="E307" t="str">
            <v>N</v>
          </cell>
          <cell r="F307" t="str">
            <v/>
          </cell>
          <cell r="G307" t="str">
            <v/>
          </cell>
          <cell r="H307" t="str">
            <v>R</v>
          </cell>
        </row>
        <row r="308">
          <cell r="B308" t="str">
            <v>B1181</v>
          </cell>
          <cell r="C308">
            <v>200109</v>
          </cell>
          <cell r="D308">
            <v>209913</v>
          </cell>
          <cell r="E308" t="str">
            <v>N</v>
          </cell>
          <cell r="F308" t="str">
            <v/>
          </cell>
          <cell r="G308" t="str">
            <v/>
          </cell>
          <cell r="H308" t="str">
            <v>R</v>
          </cell>
        </row>
        <row r="309">
          <cell r="B309" t="str">
            <v>B1182</v>
          </cell>
          <cell r="C309">
            <v>200109</v>
          </cell>
          <cell r="D309">
            <v>209912</v>
          </cell>
          <cell r="E309" t="str">
            <v>N</v>
          </cell>
          <cell r="F309" t="str">
            <v/>
          </cell>
          <cell r="G309" t="str">
            <v/>
          </cell>
          <cell r="H309" t="str">
            <v>R</v>
          </cell>
        </row>
        <row r="310">
          <cell r="B310" t="str">
            <v>B1183</v>
          </cell>
          <cell r="C310">
            <v>200109</v>
          </cell>
          <cell r="D310">
            <v>209912</v>
          </cell>
          <cell r="E310" t="str">
            <v>N</v>
          </cell>
          <cell r="F310" t="str">
            <v/>
          </cell>
          <cell r="G310" t="str">
            <v/>
          </cell>
          <cell r="H310" t="str">
            <v>R</v>
          </cell>
        </row>
        <row r="311">
          <cell r="B311" t="str">
            <v>B1184</v>
          </cell>
          <cell r="C311">
            <v>200109</v>
          </cell>
          <cell r="D311">
            <v>209912</v>
          </cell>
          <cell r="E311" t="str">
            <v>N</v>
          </cell>
          <cell r="F311" t="str">
            <v/>
          </cell>
          <cell r="G311" t="str">
            <v/>
          </cell>
          <cell r="H311" t="str">
            <v>R</v>
          </cell>
        </row>
        <row r="312">
          <cell r="B312" t="str">
            <v>B1185</v>
          </cell>
          <cell r="C312">
            <v>200109</v>
          </cell>
          <cell r="D312">
            <v>209912</v>
          </cell>
          <cell r="E312" t="str">
            <v>N</v>
          </cell>
          <cell r="F312" t="str">
            <v/>
          </cell>
          <cell r="G312" t="str">
            <v/>
          </cell>
          <cell r="H312" t="str">
            <v>R</v>
          </cell>
        </row>
        <row r="313">
          <cell r="B313" t="str">
            <v>B1186</v>
          </cell>
          <cell r="C313">
            <v>200109</v>
          </cell>
          <cell r="D313">
            <v>209912</v>
          </cell>
          <cell r="E313" t="str">
            <v>N</v>
          </cell>
          <cell r="F313" t="str">
            <v/>
          </cell>
          <cell r="G313" t="str">
            <v/>
          </cell>
          <cell r="H313" t="str">
            <v>R</v>
          </cell>
        </row>
        <row r="314">
          <cell r="B314" t="str">
            <v>B1187</v>
          </cell>
          <cell r="C314">
            <v>200109</v>
          </cell>
          <cell r="D314">
            <v>209912</v>
          </cell>
          <cell r="E314" t="str">
            <v>N</v>
          </cell>
          <cell r="F314" t="str">
            <v/>
          </cell>
          <cell r="G314" t="str">
            <v/>
          </cell>
          <cell r="H314" t="str">
            <v>R</v>
          </cell>
        </row>
        <row r="315">
          <cell r="B315" t="str">
            <v>B1188</v>
          </cell>
          <cell r="C315">
            <v>200109</v>
          </cell>
          <cell r="D315">
            <v>200713</v>
          </cell>
          <cell r="E315" t="str">
            <v>C</v>
          </cell>
          <cell r="F315" t="str">
            <v>Account status = Closed</v>
          </cell>
          <cell r="G315" t="str">
            <v/>
          </cell>
          <cell r="H315" t="str">
            <v>R</v>
          </cell>
        </row>
        <row r="316">
          <cell r="B316" t="str">
            <v>B1189</v>
          </cell>
          <cell r="C316">
            <v>200109</v>
          </cell>
          <cell r="D316">
            <v>201300</v>
          </cell>
          <cell r="E316" t="str">
            <v>C</v>
          </cell>
          <cell r="F316" t="str">
            <v>Account status = Closed</v>
          </cell>
          <cell r="G316" t="str">
            <v/>
          </cell>
          <cell r="H316" t="str">
            <v>R</v>
          </cell>
        </row>
        <row r="317">
          <cell r="B317" t="str">
            <v>B1190</v>
          </cell>
          <cell r="C317">
            <v>200109</v>
          </cell>
          <cell r="D317">
            <v>209912</v>
          </cell>
          <cell r="E317" t="str">
            <v>N</v>
          </cell>
          <cell r="F317" t="str">
            <v/>
          </cell>
          <cell r="G317" t="str">
            <v/>
          </cell>
          <cell r="H317" t="str">
            <v>R</v>
          </cell>
        </row>
        <row r="318">
          <cell r="B318" t="str">
            <v>B1191</v>
          </cell>
          <cell r="C318">
            <v>200109</v>
          </cell>
          <cell r="D318">
            <v>200713</v>
          </cell>
          <cell r="E318" t="str">
            <v>C</v>
          </cell>
          <cell r="F318" t="str">
            <v>Account status = Closed</v>
          </cell>
          <cell r="G318" t="str">
            <v/>
          </cell>
          <cell r="H318" t="str">
            <v>R</v>
          </cell>
        </row>
        <row r="319">
          <cell r="B319" t="str">
            <v>B1192</v>
          </cell>
          <cell r="C319">
            <v>200109</v>
          </cell>
          <cell r="D319">
            <v>209912</v>
          </cell>
          <cell r="E319" t="str">
            <v>N</v>
          </cell>
          <cell r="F319" t="str">
            <v/>
          </cell>
          <cell r="G319" t="str">
            <v/>
          </cell>
          <cell r="H319" t="str">
            <v>R</v>
          </cell>
        </row>
        <row r="320">
          <cell r="B320" t="str">
            <v>B1193</v>
          </cell>
          <cell r="C320">
            <v>200109</v>
          </cell>
          <cell r="D320">
            <v>200713</v>
          </cell>
          <cell r="E320" t="str">
            <v>C</v>
          </cell>
          <cell r="F320" t="str">
            <v>Account status = Closed</v>
          </cell>
          <cell r="G320" t="str">
            <v/>
          </cell>
          <cell r="H320" t="str">
            <v>R</v>
          </cell>
        </row>
        <row r="321">
          <cell r="B321" t="str">
            <v>B1194</v>
          </cell>
          <cell r="C321">
            <v>200109</v>
          </cell>
          <cell r="D321">
            <v>209912</v>
          </cell>
          <cell r="E321" t="str">
            <v>N</v>
          </cell>
          <cell r="F321" t="str">
            <v/>
          </cell>
          <cell r="G321" t="str">
            <v/>
          </cell>
          <cell r="H321" t="str">
            <v>R</v>
          </cell>
        </row>
        <row r="322">
          <cell r="B322" t="str">
            <v>B1195</v>
          </cell>
          <cell r="C322">
            <v>200801</v>
          </cell>
          <cell r="D322">
            <v>201413</v>
          </cell>
          <cell r="E322" t="str">
            <v>N</v>
          </cell>
          <cell r="F322" t="str">
            <v>Account closed from period 201413</v>
          </cell>
          <cell r="G322" t="str">
            <v/>
          </cell>
          <cell r="H322" t="str">
            <v>R</v>
          </cell>
        </row>
        <row r="323">
          <cell r="B323" t="str">
            <v>B1196</v>
          </cell>
          <cell r="C323">
            <v>200801</v>
          </cell>
          <cell r="D323">
            <v>209912</v>
          </cell>
          <cell r="E323" t="str">
            <v>N</v>
          </cell>
          <cell r="F323" t="str">
            <v/>
          </cell>
          <cell r="G323" t="str">
            <v/>
          </cell>
          <cell r="H323" t="str">
            <v>R</v>
          </cell>
        </row>
        <row r="324">
          <cell r="B324" t="str">
            <v>B1201</v>
          </cell>
          <cell r="C324">
            <v>200109</v>
          </cell>
          <cell r="D324">
            <v>201300</v>
          </cell>
          <cell r="E324" t="str">
            <v>C</v>
          </cell>
          <cell r="F324" t="str">
            <v>Account status = Closed</v>
          </cell>
          <cell r="G324" t="str">
            <v/>
          </cell>
          <cell r="H324" t="str">
            <v>R</v>
          </cell>
        </row>
        <row r="325">
          <cell r="B325" t="str">
            <v>B1202</v>
          </cell>
          <cell r="C325">
            <v>200109</v>
          </cell>
          <cell r="D325">
            <v>209912</v>
          </cell>
          <cell r="E325" t="str">
            <v>N</v>
          </cell>
          <cell r="F325" t="str">
            <v/>
          </cell>
          <cell r="G325" t="str">
            <v/>
          </cell>
          <cell r="H325" t="str">
            <v>R</v>
          </cell>
        </row>
        <row r="326">
          <cell r="B326" t="str">
            <v>B1203</v>
          </cell>
          <cell r="C326">
            <v>200109</v>
          </cell>
          <cell r="D326">
            <v>209912</v>
          </cell>
          <cell r="E326" t="str">
            <v>N</v>
          </cell>
          <cell r="F326" t="str">
            <v/>
          </cell>
          <cell r="G326" t="str">
            <v/>
          </cell>
          <cell r="H326" t="str">
            <v>R</v>
          </cell>
        </row>
        <row r="327">
          <cell r="B327" t="str">
            <v>B1204</v>
          </cell>
          <cell r="C327">
            <v>200109</v>
          </cell>
          <cell r="D327">
            <v>200713</v>
          </cell>
          <cell r="E327" t="str">
            <v>C</v>
          </cell>
          <cell r="F327" t="str">
            <v>Account status = Closed</v>
          </cell>
          <cell r="G327" t="str">
            <v/>
          </cell>
          <cell r="H327" t="str">
            <v>R</v>
          </cell>
        </row>
        <row r="328">
          <cell r="B328" t="str">
            <v>B1206</v>
          </cell>
          <cell r="C328">
            <v>200109</v>
          </cell>
          <cell r="D328">
            <v>209912</v>
          </cell>
          <cell r="E328" t="str">
            <v>N</v>
          </cell>
          <cell r="F328" t="str">
            <v/>
          </cell>
          <cell r="G328" t="str">
            <v/>
          </cell>
          <cell r="H328" t="str">
            <v>R</v>
          </cell>
        </row>
        <row r="329">
          <cell r="B329" t="str">
            <v>B1207</v>
          </cell>
          <cell r="C329">
            <v>200109</v>
          </cell>
          <cell r="D329">
            <v>209912</v>
          </cell>
          <cell r="E329" t="str">
            <v>N</v>
          </cell>
          <cell r="F329" t="str">
            <v/>
          </cell>
          <cell r="G329" t="str">
            <v/>
          </cell>
          <cell r="H329" t="str">
            <v>R</v>
          </cell>
        </row>
        <row r="330">
          <cell r="B330" t="str">
            <v>B1208</v>
          </cell>
          <cell r="C330">
            <v>200109</v>
          </cell>
          <cell r="D330">
            <v>209912</v>
          </cell>
          <cell r="E330" t="str">
            <v>N</v>
          </cell>
          <cell r="F330" t="str">
            <v/>
          </cell>
          <cell r="G330" t="str">
            <v/>
          </cell>
          <cell r="H330" t="str">
            <v>R</v>
          </cell>
        </row>
        <row r="331">
          <cell r="B331" t="str">
            <v>B1209</v>
          </cell>
          <cell r="C331">
            <v>200109</v>
          </cell>
          <cell r="D331">
            <v>209912</v>
          </cell>
          <cell r="E331" t="str">
            <v>N</v>
          </cell>
          <cell r="F331" t="str">
            <v/>
          </cell>
          <cell r="G331" t="str">
            <v/>
          </cell>
          <cell r="H331" t="str">
            <v>R</v>
          </cell>
        </row>
        <row r="332">
          <cell r="B332" t="str">
            <v>B1220</v>
          </cell>
          <cell r="C332">
            <v>200109</v>
          </cell>
          <cell r="D332">
            <v>200713</v>
          </cell>
          <cell r="E332" t="str">
            <v>C</v>
          </cell>
          <cell r="F332" t="str">
            <v>Account status = Closed</v>
          </cell>
          <cell r="G332" t="str">
            <v/>
          </cell>
          <cell r="H332" t="str">
            <v>R</v>
          </cell>
        </row>
        <row r="333">
          <cell r="B333" t="str">
            <v>B1221</v>
          </cell>
          <cell r="C333">
            <v>200109</v>
          </cell>
          <cell r="D333">
            <v>209912</v>
          </cell>
          <cell r="E333" t="str">
            <v>N</v>
          </cell>
          <cell r="F333" t="str">
            <v/>
          </cell>
          <cell r="G333" t="str">
            <v/>
          </cell>
          <cell r="H333" t="str">
            <v>R</v>
          </cell>
        </row>
        <row r="334">
          <cell r="B334" t="str">
            <v>B1222</v>
          </cell>
          <cell r="C334">
            <v>200109</v>
          </cell>
          <cell r="D334">
            <v>209912</v>
          </cell>
          <cell r="E334" t="str">
            <v>N</v>
          </cell>
          <cell r="F334" t="str">
            <v/>
          </cell>
          <cell r="G334" t="str">
            <v/>
          </cell>
          <cell r="H334" t="str">
            <v>R</v>
          </cell>
        </row>
        <row r="335">
          <cell r="B335" t="str">
            <v>B1223</v>
          </cell>
          <cell r="C335">
            <v>200109</v>
          </cell>
          <cell r="D335">
            <v>200713</v>
          </cell>
          <cell r="E335" t="str">
            <v>C</v>
          </cell>
          <cell r="F335" t="str">
            <v>Account status = Closed</v>
          </cell>
          <cell r="G335" t="str">
            <v/>
          </cell>
          <cell r="H335" t="str">
            <v>R</v>
          </cell>
        </row>
        <row r="336">
          <cell r="B336" t="str">
            <v>B1227</v>
          </cell>
          <cell r="C336">
            <v>200812</v>
          </cell>
          <cell r="D336">
            <v>209912</v>
          </cell>
          <cell r="E336" t="str">
            <v>N</v>
          </cell>
          <cell r="F336" t="str">
            <v/>
          </cell>
          <cell r="G336" t="str">
            <v/>
          </cell>
          <cell r="H336" t="str">
            <v>R</v>
          </cell>
        </row>
        <row r="337">
          <cell r="B337" t="str">
            <v>B1240</v>
          </cell>
          <cell r="C337">
            <v>200109</v>
          </cell>
          <cell r="D337">
            <v>201504</v>
          </cell>
          <cell r="E337" t="str">
            <v>C</v>
          </cell>
          <cell r="F337" t="str">
            <v>Account status = Closed</v>
          </cell>
          <cell r="G337" t="str">
            <v/>
          </cell>
          <cell r="H337" t="str">
            <v>R</v>
          </cell>
        </row>
        <row r="338">
          <cell r="B338" t="str">
            <v>B1241</v>
          </cell>
          <cell r="C338">
            <v>200109</v>
          </cell>
          <cell r="D338">
            <v>209912</v>
          </cell>
          <cell r="E338" t="str">
            <v>N</v>
          </cell>
          <cell r="F338" t="str">
            <v/>
          </cell>
          <cell r="G338" t="str">
            <v/>
          </cell>
          <cell r="H338" t="str">
            <v>R</v>
          </cell>
        </row>
        <row r="339">
          <cell r="B339" t="str">
            <v>B1242</v>
          </cell>
          <cell r="C339">
            <v>200109</v>
          </cell>
          <cell r="D339">
            <v>200713</v>
          </cell>
          <cell r="E339" t="str">
            <v>C</v>
          </cell>
          <cell r="F339" t="str">
            <v>Account status = Closed</v>
          </cell>
          <cell r="G339" t="str">
            <v/>
          </cell>
          <cell r="H339" t="str">
            <v>R</v>
          </cell>
        </row>
        <row r="340">
          <cell r="B340" t="str">
            <v>B1243</v>
          </cell>
          <cell r="C340">
            <v>200109</v>
          </cell>
          <cell r="D340">
            <v>209912</v>
          </cell>
          <cell r="E340" t="str">
            <v>N</v>
          </cell>
          <cell r="F340" t="str">
            <v/>
          </cell>
          <cell r="G340" t="str">
            <v/>
          </cell>
          <cell r="H340" t="str">
            <v>R</v>
          </cell>
        </row>
        <row r="341">
          <cell r="B341" t="str">
            <v>B1244</v>
          </cell>
          <cell r="C341">
            <v>200109</v>
          </cell>
          <cell r="D341">
            <v>209912</v>
          </cell>
          <cell r="E341" t="str">
            <v>N</v>
          </cell>
          <cell r="F341" t="str">
            <v/>
          </cell>
          <cell r="G341" t="str">
            <v/>
          </cell>
          <cell r="H341" t="str">
            <v>R</v>
          </cell>
        </row>
        <row r="342">
          <cell r="B342" t="str">
            <v>B1245</v>
          </cell>
          <cell r="C342">
            <v>200109</v>
          </cell>
          <cell r="D342">
            <v>209912</v>
          </cell>
          <cell r="E342" t="str">
            <v>N</v>
          </cell>
          <cell r="F342" t="str">
            <v/>
          </cell>
          <cell r="G342" t="str">
            <v/>
          </cell>
          <cell r="H342" t="str">
            <v>R</v>
          </cell>
        </row>
        <row r="343">
          <cell r="B343" t="str">
            <v>B1246</v>
          </cell>
          <cell r="C343">
            <v>200109</v>
          </cell>
          <cell r="D343">
            <v>209912</v>
          </cell>
          <cell r="E343" t="str">
            <v>N</v>
          </cell>
          <cell r="F343" t="str">
            <v/>
          </cell>
          <cell r="G343" t="str">
            <v/>
          </cell>
          <cell r="H343" t="str">
            <v>R</v>
          </cell>
        </row>
        <row r="344">
          <cell r="B344" t="str">
            <v>B1301</v>
          </cell>
          <cell r="C344">
            <v>200109</v>
          </cell>
          <cell r="D344">
            <v>209912</v>
          </cell>
          <cell r="E344" t="str">
            <v>N</v>
          </cell>
          <cell r="F344" t="str">
            <v/>
          </cell>
          <cell r="G344" t="str">
            <v/>
          </cell>
          <cell r="H344" t="str">
            <v>R</v>
          </cell>
        </row>
        <row r="345">
          <cell r="B345" t="str">
            <v>B1302</v>
          </cell>
          <cell r="C345">
            <v>200109</v>
          </cell>
          <cell r="D345">
            <v>209912</v>
          </cell>
          <cell r="E345" t="str">
            <v>N</v>
          </cell>
          <cell r="F345" t="str">
            <v/>
          </cell>
          <cell r="G345" t="str">
            <v/>
          </cell>
          <cell r="H345" t="str">
            <v>R</v>
          </cell>
        </row>
        <row r="346">
          <cell r="B346" t="str">
            <v>B1303</v>
          </cell>
          <cell r="C346">
            <v>200109</v>
          </cell>
          <cell r="D346">
            <v>209912</v>
          </cell>
          <cell r="E346" t="str">
            <v>N</v>
          </cell>
          <cell r="F346" t="str">
            <v/>
          </cell>
          <cell r="G346" t="str">
            <v/>
          </cell>
          <cell r="H346" t="str">
            <v>R</v>
          </cell>
        </row>
        <row r="347">
          <cell r="B347" t="str">
            <v>B1304</v>
          </cell>
          <cell r="C347">
            <v>200109</v>
          </cell>
          <cell r="D347">
            <v>200713</v>
          </cell>
          <cell r="E347" t="str">
            <v>C</v>
          </cell>
          <cell r="F347" t="str">
            <v>Account status = Closed</v>
          </cell>
          <cell r="G347" t="str">
            <v/>
          </cell>
          <cell r="H347" t="str">
            <v>R</v>
          </cell>
        </row>
        <row r="348">
          <cell r="B348" t="str">
            <v>B1305</v>
          </cell>
          <cell r="C348">
            <v>200109</v>
          </cell>
          <cell r="D348">
            <v>209912</v>
          </cell>
          <cell r="E348" t="str">
            <v>N</v>
          </cell>
          <cell r="F348" t="str">
            <v/>
          </cell>
          <cell r="G348" t="str">
            <v/>
          </cell>
          <cell r="H348" t="str">
            <v>R</v>
          </cell>
        </row>
        <row r="349">
          <cell r="B349" t="str">
            <v>B1306</v>
          </cell>
          <cell r="C349">
            <v>200109</v>
          </cell>
          <cell r="D349">
            <v>209912</v>
          </cell>
          <cell r="E349" t="str">
            <v>N</v>
          </cell>
          <cell r="F349" t="str">
            <v/>
          </cell>
          <cell r="G349" t="str">
            <v/>
          </cell>
          <cell r="H349" t="str">
            <v>R</v>
          </cell>
        </row>
        <row r="350">
          <cell r="B350" t="str">
            <v>B1307</v>
          </cell>
          <cell r="C350">
            <v>200109</v>
          </cell>
          <cell r="D350">
            <v>200713</v>
          </cell>
          <cell r="E350" t="str">
            <v>C</v>
          </cell>
          <cell r="F350" t="str">
            <v>Account status = Closed</v>
          </cell>
          <cell r="G350" t="str">
            <v/>
          </cell>
          <cell r="H350" t="str">
            <v>R</v>
          </cell>
        </row>
        <row r="351">
          <cell r="B351" t="str">
            <v>B1308</v>
          </cell>
          <cell r="C351">
            <v>200109</v>
          </cell>
          <cell r="D351">
            <v>209912</v>
          </cell>
          <cell r="E351" t="str">
            <v>N</v>
          </cell>
          <cell r="F351" t="str">
            <v/>
          </cell>
          <cell r="G351" t="str">
            <v/>
          </cell>
          <cell r="H351" t="str">
            <v>R</v>
          </cell>
        </row>
        <row r="352">
          <cell r="B352" t="str">
            <v>B1309</v>
          </cell>
          <cell r="C352">
            <v>200109</v>
          </cell>
          <cell r="D352">
            <v>209912</v>
          </cell>
          <cell r="E352" t="str">
            <v>N</v>
          </cell>
          <cell r="F352" t="str">
            <v/>
          </cell>
          <cell r="G352" t="str">
            <v/>
          </cell>
          <cell r="H352" t="str">
            <v>R</v>
          </cell>
        </row>
        <row r="353">
          <cell r="B353" t="str">
            <v>B1310</v>
          </cell>
          <cell r="C353">
            <v>200109</v>
          </cell>
          <cell r="D353">
            <v>200713</v>
          </cell>
          <cell r="E353" t="str">
            <v>C</v>
          </cell>
          <cell r="F353" t="str">
            <v>Account status = Closed</v>
          </cell>
          <cell r="G353" t="str">
            <v/>
          </cell>
          <cell r="H353" t="str">
            <v>R</v>
          </cell>
        </row>
        <row r="354">
          <cell r="B354" t="str">
            <v>B1311</v>
          </cell>
          <cell r="C354">
            <v>200109</v>
          </cell>
          <cell r="D354">
            <v>209913</v>
          </cell>
          <cell r="E354" t="str">
            <v>N</v>
          </cell>
          <cell r="F354" t="str">
            <v/>
          </cell>
          <cell r="G354" t="str">
            <v/>
          </cell>
          <cell r="H354" t="str">
            <v>R</v>
          </cell>
        </row>
        <row r="355">
          <cell r="B355" t="str">
            <v>B1312</v>
          </cell>
          <cell r="C355">
            <v>200109</v>
          </cell>
          <cell r="D355">
            <v>201300</v>
          </cell>
          <cell r="E355" t="str">
            <v>C</v>
          </cell>
          <cell r="F355" t="str">
            <v>Account status = Closed</v>
          </cell>
          <cell r="G355" t="str">
            <v/>
          </cell>
          <cell r="H355" t="str">
            <v>R</v>
          </cell>
        </row>
        <row r="356">
          <cell r="B356" t="str">
            <v>B1313</v>
          </cell>
          <cell r="C356">
            <v>200109</v>
          </cell>
          <cell r="D356">
            <v>209912</v>
          </cell>
          <cell r="E356" t="str">
            <v>N</v>
          </cell>
          <cell r="F356" t="str">
            <v/>
          </cell>
          <cell r="G356" t="str">
            <v/>
          </cell>
          <cell r="H356" t="str">
            <v>R</v>
          </cell>
        </row>
        <row r="357">
          <cell r="B357" t="str">
            <v>B1314</v>
          </cell>
          <cell r="C357">
            <v>200109</v>
          </cell>
          <cell r="D357">
            <v>200713</v>
          </cell>
          <cell r="E357" t="str">
            <v>C</v>
          </cell>
          <cell r="F357" t="str">
            <v>Account status = Closed</v>
          </cell>
          <cell r="G357" t="str">
            <v/>
          </cell>
          <cell r="H357" t="str">
            <v>R</v>
          </cell>
        </row>
        <row r="358">
          <cell r="B358" t="str">
            <v>B1315</v>
          </cell>
          <cell r="C358">
            <v>200109</v>
          </cell>
          <cell r="D358">
            <v>209912</v>
          </cell>
          <cell r="E358" t="str">
            <v>N</v>
          </cell>
          <cell r="F358" t="str">
            <v/>
          </cell>
          <cell r="G358" t="str">
            <v/>
          </cell>
          <cell r="H358" t="str">
            <v>R</v>
          </cell>
        </row>
        <row r="359">
          <cell r="B359" t="str">
            <v>B1316</v>
          </cell>
          <cell r="C359">
            <v>200801</v>
          </cell>
          <cell r="D359">
            <v>201300</v>
          </cell>
          <cell r="E359" t="str">
            <v>C</v>
          </cell>
          <cell r="F359" t="str">
            <v>Account status = Closed</v>
          </cell>
          <cell r="G359" t="str">
            <v/>
          </cell>
          <cell r="H359" t="str">
            <v>R</v>
          </cell>
        </row>
        <row r="360">
          <cell r="B360" t="str">
            <v>B1317</v>
          </cell>
          <cell r="C360">
            <v>200109</v>
          </cell>
          <cell r="D360">
            <v>200713</v>
          </cell>
          <cell r="E360" t="str">
            <v>C</v>
          </cell>
          <cell r="F360" t="str">
            <v>Account status = Closed</v>
          </cell>
          <cell r="G360" t="str">
            <v/>
          </cell>
          <cell r="H360" t="str">
            <v>R</v>
          </cell>
        </row>
        <row r="361">
          <cell r="B361" t="str">
            <v>B1318</v>
          </cell>
          <cell r="C361">
            <v>200809</v>
          </cell>
          <cell r="D361">
            <v>209912</v>
          </cell>
          <cell r="E361" t="str">
            <v>N</v>
          </cell>
          <cell r="F361" t="str">
            <v/>
          </cell>
          <cell r="G361" t="str">
            <v/>
          </cell>
          <cell r="H361" t="str">
            <v>R</v>
          </cell>
        </row>
        <row r="362">
          <cell r="B362" t="str">
            <v>B1399</v>
          </cell>
          <cell r="C362">
            <v>200109</v>
          </cell>
          <cell r="D362">
            <v>200713</v>
          </cell>
          <cell r="E362" t="str">
            <v>C</v>
          </cell>
          <cell r="F362" t="str">
            <v>Account status = Closed</v>
          </cell>
          <cell r="G362" t="str">
            <v/>
          </cell>
          <cell r="H362" t="str">
            <v>R</v>
          </cell>
        </row>
        <row r="363">
          <cell r="B363" t="str">
            <v>B1501</v>
          </cell>
          <cell r="C363">
            <v>200109</v>
          </cell>
          <cell r="D363">
            <v>209912</v>
          </cell>
          <cell r="E363" t="str">
            <v>N</v>
          </cell>
          <cell r="F363" t="str">
            <v/>
          </cell>
          <cell r="G363" t="str">
            <v/>
          </cell>
          <cell r="H363" t="str">
            <v>R</v>
          </cell>
        </row>
        <row r="364">
          <cell r="B364" t="str">
            <v>B1502</v>
          </cell>
          <cell r="C364">
            <v>200109</v>
          </cell>
          <cell r="D364">
            <v>209912</v>
          </cell>
          <cell r="E364" t="str">
            <v>N</v>
          </cell>
          <cell r="F364" t="str">
            <v/>
          </cell>
          <cell r="G364" t="str">
            <v/>
          </cell>
          <cell r="H364" t="str">
            <v>R</v>
          </cell>
        </row>
        <row r="365">
          <cell r="B365" t="str">
            <v>B1503</v>
          </cell>
          <cell r="C365">
            <v>200109</v>
          </cell>
          <cell r="D365">
            <v>209912</v>
          </cell>
          <cell r="E365" t="str">
            <v>N</v>
          </cell>
          <cell r="F365" t="str">
            <v/>
          </cell>
          <cell r="G365" t="str">
            <v/>
          </cell>
          <cell r="H365" t="str">
            <v>R</v>
          </cell>
        </row>
        <row r="366">
          <cell r="B366" t="str">
            <v>B1601</v>
          </cell>
          <cell r="C366">
            <v>200109</v>
          </cell>
          <cell r="D366">
            <v>209912</v>
          </cell>
          <cell r="E366" t="str">
            <v>N</v>
          </cell>
          <cell r="F366" t="str">
            <v/>
          </cell>
          <cell r="G366" t="str">
            <v/>
          </cell>
          <cell r="H366" t="str">
            <v>R</v>
          </cell>
        </row>
        <row r="367">
          <cell r="B367" t="str">
            <v>B1602</v>
          </cell>
          <cell r="C367">
            <v>200109</v>
          </cell>
          <cell r="D367">
            <v>209912</v>
          </cell>
          <cell r="E367" t="str">
            <v>N</v>
          </cell>
          <cell r="F367" t="str">
            <v/>
          </cell>
          <cell r="G367" t="str">
            <v/>
          </cell>
          <cell r="H367" t="str">
            <v>R</v>
          </cell>
        </row>
        <row r="368">
          <cell r="B368" t="str">
            <v>B1604</v>
          </cell>
          <cell r="C368">
            <v>200109</v>
          </cell>
          <cell r="D368">
            <v>209912</v>
          </cell>
          <cell r="E368" t="str">
            <v>N</v>
          </cell>
          <cell r="F368" t="str">
            <v/>
          </cell>
          <cell r="G368" t="str">
            <v/>
          </cell>
          <cell r="H368" t="str">
            <v>R</v>
          </cell>
        </row>
        <row r="369">
          <cell r="B369" t="str">
            <v>B1605</v>
          </cell>
          <cell r="C369">
            <v>200109</v>
          </cell>
          <cell r="D369">
            <v>209912</v>
          </cell>
          <cell r="E369" t="str">
            <v>N</v>
          </cell>
          <cell r="F369" t="str">
            <v/>
          </cell>
          <cell r="G369" t="str">
            <v/>
          </cell>
          <cell r="H369" t="str">
            <v>R</v>
          </cell>
        </row>
        <row r="370">
          <cell r="B370" t="str">
            <v>B1606</v>
          </cell>
          <cell r="C370">
            <v>200109</v>
          </cell>
          <cell r="D370">
            <v>209912</v>
          </cell>
          <cell r="E370" t="str">
            <v>N</v>
          </cell>
          <cell r="F370" t="str">
            <v/>
          </cell>
          <cell r="G370" t="str">
            <v/>
          </cell>
          <cell r="H370" t="str">
            <v>R</v>
          </cell>
        </row>
        <row r="371">
          <cell r="B371" t="str">
            <v>B1610</v>
          </cell>
          <cell r="C371">
            <v>200109</v>
          </cell>
          <cell r="D371">
            <v>209912</v>
          </cell>
          <cell r="E371" t="str">
            <v>N</v>
          </cell>
          <cell r="F371" t="str">
            <v/>
          </cell>
          <cell r="G371" t="str">
            <v/>
          </cell>
          <cell r="H371" t="str">
            <v>R</v>
          </cell>
        </row>
        <row r="372">
          <cell r="B372" t="str">
            <v>B1701</v>
          </cell>
          <cell r="C372">
            <v>200109</v>
          </cell>
          <cell r="D372">
            <v>209912</v>
          </cell>
          <cell r="E372" t="str">
            <v>N</v>
          </cell>
          <cell r="F372" t="str">
            <v/>
          </cell>
          <cell r="G372" t="str">
            <v/>
          </cell>
          <cell r="H372" t="str">
            <v>R</v>
          </cell>
        </row>
        <row r="373">
          <cell r="B373" t="str">
            <v>B1702</v>
          </cell>
          <cell r="C373">
            <v>200109</v>
          </cell>
          <cell r="D373">
            <v>209912</v>
          </cell>
          <cell r="E373" t="str">
            <v>N</v>
          </cell>
          <cell r="F373" t="str">
            <v/>
          </cell>
          <cell r="G373" t="str">
            <v/>
          </cell>
          <cell r="H373" t="str">
            <v>R</v>
          </cell>
        </row>
        <row r="374">
          <cell r="B374" t="str">
            <v>B1703</v>
          </cell>
          <cell r="C374">
            <v>200801</v>
          </cell>
          <cell r="D374">
            <v>209912</v>
          </cell>
          <cell r="E374" t="str">
            <v>N</v>
          </cell>
          <cell r="F374" t="str">
            <v/>
          </cell>
          <cell r="G374" t="str">
            <v/>
          </cell>
          <cell r="H374" t="str">
            <v>R</v>
          </cell>
        </row>
        <row r="375">
          <cell r="B375" t="str">
            <v>B1801</v>
          </cell>
          <cell r="C375">
            <v>200109</v>
          </cell>
          <cell r="D375">
            <v>209912</v>
          </cell>
          <cell r="E375" t="str">
            <v>N</v>
          </cell>
          <cell r="F375" t="str">
            <v/>
          </cell>
          <cell r="G375" t="str">
            <v/>
          </cell>
          <cell r="H375" t="str">
            <v>R</v>
          </cell>
        </row>
        <row r="376">
          <cell r="B376" t="str">
            <v>B1802</v>
          </cell>
          <cell r="C376">
            <v>200109</v>
          </cell>
          <cell r="D376">
            <v>209912</v>
          </cell>
          <cell r="E376" t="str">
            <v>N</v>
          </cell>
          <cell r="F376" t="str">
            <v/>
          </cell>
          <cell r="G376" t="str">
            <v/>
          </cell>
          <cell r="H376" t="str">
            <v>R</v>
          </cell>
        </row>
        <row r="377">
          <cell r="B377" t="str">
            <v>B1803</v>
          </cell>
          <cell r="C377">
            <v>200109</v>
          </cell>
          <cell r="D377">
            <v>209912</v>
          </cell>
          <cell r="E377" t="str">
            <v>N</v>
          </cell>
          <cell r="F377" t="str">
            <v/>
          </cell>
          <cell r="G377" t="str">
            <v/>
          </cell>
          <cell r="H377" t="str">
            <v>R</v>
          </cell>
        </row>
        <row r="378">
          <cell r="B378" t="str">
            <v>B1810</v>
          </cell>
          <cell r="C378">
            <v>200109</v>
          </cell>
          <cell r="D378">
            <v>209912</v>
          </cell>
          <cell r="E378" t="str">
            <v>N</v>
          </cell>
          <cell r="F378" t="str">
            <v/>
          </cell>
          <cell r="G378" t="str">
            <v/>
          </cell>
          <cell r="H378" t="str">
            <v>R</v>
          </cell>
        </row>
        <row r="379">
          <cell r="B379" t="str">
            <v>B1811</v>
          </cell>
          <cell r="C379">
            <v>200109</v>
          </cell>
          <cell r="D379">
            <v>200713</v>
          </cell>
          <cell r="E379" t="str">
            <v>C</v>
          </cell>
          <cell r="F379" t="str">
            <v>Account status = Closed</v>
          </cell>
          <cell r="G379" t="str">
            <v/>
          </cell>
          <cell r="H379" t="str">
            <v>R</v>
          </cell>
        </row>
        <row r="380">
          <cell r="B380" t="str">
            <v>B1812</v>
          </cell>
          <cell r="C380">
            <v>200111</v>
          </cell>
          <cell r="D380">
            <v>200713</v>
          </cell>
          <cell r="E380" t="str">
            <v>C</v>
          </cell>
          <cell r="F380" t="str">
            <v>Account status = Closed</v>
          </cell>
          <cell r="G380" t="str">
            <v/>
          </cell>
          <cell r="H380" t="str">
            <v>R</v>
          </cell>
        </row>
        <row r="381">
          <cell r="B381" t="str">
            <v>B1813</v>
          </cell>
          <cell r="C381">
            <v>200111</v>
          </cell>
          <cell r="D381">
            <v>200201</v>
          </cell>
          <cell r="E381" t="str">
            <v>C</v>
          </cell>
          <cell r="F381" t="str">
            <v>Account status = Closed</v>
          </cell>
          <cell r="G381" t="str">
            <v/>
          </cell>
          <cell r="H381" t="str">
            <v>R</v>
          </cell>
        </row>
        <row r="382">
          <cell r="B382" t="str">
            <v>B1814</v>
          </cell>
          <cell r="C382">
            <v>200111</v>
          </cell>
          <cell r="D382">
            <v>200201</v>
          </cell>
          <cell r="E382" t="str">
            <v>C</v>
          </cell>
          <cell r="F382" t="str">
            <v>Account status = Closed</v>
          </cell>
          <cell r="G382" t="str">
            <v/>
          </cell>
          <cell r="H382" t="str">
            <v>R</v>
          </cell>
        </row>
        <row r="383">
          <cell r="B383" t="str">
            <v>B1815</v>
          </cell>
          <cell r="C383">
            <v>200111</v>
          </cell>
          <cell r="D383">
            <v>200201</v>
          </cell>
          <cell r="E383" t="str">
            <v>C</v>
          </cell>
          <cell r="F383" t="str">
            <v>Account status = Closed</v>
          </cell>
          <cell r="G383" t="str">
            <v/>
          </cell>
          <cell r="H383" t="str">
            <v>R</v>
          </cell>
        </row>
        <row r="384">
          <cell r="B384" t="str">
            <v>B1816</v>
          </cell>
          <cell r="C384">
            <v>200111</v>
          </cell>
          <cell r="D384">
            <v>200201</v>
          </cell>
          <cell r="E384" t="str">
            <v>C</v>
          </cell>
          <cell r="F384" t="str">
            <v>Account status = Closed</v>
          </cell>
          <cell r="G384" t="str">
            <v/>
          </cell>
          <cell r="H384" t="str">
            <v>R</v>
          </cell>
        </row>
        <row r="385">
          <cell r="B385" t="str">
            <v>B1817</v>
          </cell>
          <cell r="C385">
            <v>200111</v>
          </cell>
          <cell r="D385">
            <v>200201</v>
          </cell>
          <cell r="E385" t="str">
            <v>C</v>
          </cell>
          <cell r="F385" t="str">
            <v>Account status = Closed</v>
          </cell>
          <cell r="G385" t="str">
            <v/>
          </cell>
          <cell r="H385" t="str">
            <v>R</v>
          </cell>
        </row>
        <row r="386">
          <cell r="B386" t="str">
            <v>B1818</v>
          </cell>
          <cell r="C386">
            <v>200111</v>
          </cell>
          <cell r="D386">
            <v>200201</v>
          </cell>
          <cell r="E386" t="str">
            <v>C</v>
          </cell>
          <cell r="F386" t="str">
            <v>Account status = Closed</v>
          </cell>
          <cell r="G386" t="str">
            <v/>
          </cell>
          <cell r="H386" t="str">
            <v>R</v>
          </cell>
        </row>
        <row r="387">
          <cell r="B387" t="str">
            <v>B1820</v>
          </cell>
          <cell r="C387">
            <v>200109</v>
          </cell>
          <cell r="D387">
            <v>209912</v>
          </cell>
          <cell r="E387" t="str">
            <v>N</v>
          </cell>
          <cell r="F387" t="str">
            <v/>
          </cell>
          <cell r="G387" t="str">
            <v/>
          </cell>
          <cell r="H387" t="str">
            <v>R</v>
          </cell>
        </row>
        <row r="388">
          <cell r="B388" t="str">
            <v>B1821</v>
          </cell>
          <cell r="C388">
            <v>200109</v>
          </cell>
          <cell r="D388">
            <v>209912</v>
          </cell>
          <cell r="E388" t="str">
            <v>N</v>
          </cell>
          <cell r="F388" t="str">
            <v/>
          </cell>
          <cell r="G388" t="str">
            <v/>
          </cell>
          <cell r="H388" t="str">
            <v>R</v>
          </cell>
        </row>
        <row r="389">
          <cell r="B389" t="str">
            <v>B1830</v>
          </cell>
          <cell r="C389">
            <v>200109</v>
          </cell>
          <cell r="D389">
            <v>209912</v>
          </cell>
          <cell r="E389" t="str">
            <v>N</v>
          </cell>
          <cell r="F389" t="str">
            <v/>
          </cell>
          <cell r="G389" t="str">
            <v/>
          </cell>
          <cell r="H389" t="str">
            <v>R</v>
          </cell>
        </row>
        <row r="390">
          <cell r="B390" t="str">
            <v>B1840</v>
          </cell>
          <cell r="C390">
            <v>200109</v>
          </cell>
          <cell r="D390">
            <v>200713</v>
          </cell>
          <cell r="E390" t="str">
            <v>C</v>
          </cell>
          <cell r="F390" t="str">
            <v>Account status = Closed</v>
          </cell>
          <cell r="G390" t="str">
            <v/>
          </cell>
          <cell r="H390" t="str">
            <v>R</v>
          </cell>
        </row>
        <row r="391">
          <cell r="B391" t="str">
            <v>B1841</v>
          </cell>
          <cell r="C391">
            <v>200109</v>
          </cell>
          <cell r="D391">
            <v>200713</v>
          </cell>
          <cell r="E391" t="str">
            <v>C</v>
          </cell>
          <cell r="F391" t="str">
            <v>Account status = Closed</v>
          </cell>
          <cell r="G391" t="str">
            <v/>
          </cell>
          <cell r="H391" t="str">
            <v>R</v>
          </cell>
        </row>
        <row r="392">
          <cell r="B392" t="str">
            <v>B1842</v>
          </cell>
          <cell r="C392">
            <v>200109</v>
          </cell>
          <cell r="D392">
            <v>200713</v>
          </cell>
          <cell r="E392" t="str">
            <v>C</v>
          </cell>
          <cell r="F392" t="str">
            <v>Account status = Closed</v>
          </cell>
          <cell r="G392" t="str">
            <v/>
          </cell>
          <cell r="H392" t="str">
            <v>R</v>
          </cell>
        </row>
        <row r="393">
          <cell r="B393" t="str">
            <v>B1850</v>
          </cell>
          <cell r="C393">
            <v>200109</v>
          </cell>
          <cell r="D393">
            <v>200713</v>
          </cell>
          <cell r="E393" t="str">
            <v>C</v>
          </cell>
          <cell r="F393" t="str">
            <v>Account status = Closed</v>
          </cell>
          <cell r="G393" t="str">
            <v/>
          </cell>
          <cell r="H393" t="str">
            <v>R</v>
          </cell>
        </row>
        <row r="394">
          <cell r="B394" t="str">
            <v>B1851</v>
          </cell>
          <cell r="C394">
            <v>200109</v>
          </cell>
          <cell r="D394">
            <v>200713</v>
          </cell>
          <cell r="E394" t="str">
            <v>C</v>
          </cell>
          <cell r="F394" t="str">
            <v>Account status = Closed</v>
          </cell>
          <cell r="G394" t="str">
            <v/>
          </cell>
          <cell r="H394" t="str">
            <v>R</v>
          </cell>
        </row>
        <row r="395">
          <cell r="B395" t="str">
            <v>B1951</v>
          </cell>
          <cell r="C395">
            <v>200109</v>
          </cell>
          <cell r="D395">
            <v>201300</v>
          </cell>
          <cell r="E395" t="str">
            <v>C</v>
          </cell>
          <cell r="F395" t="str">
            <v>Account status = Closed</v>
          </cell>
          <cell r="G395" t="str">
            <v/>
          </cell>
          <cell r="H395" t="str">
            <v>R</v>
          </cell>
        </row>
        <row r="396">
          <cell r="B396" t="str">
            <v>B1952</v>
          </cell>
          <cell r="C396">
            <v>200109</v>
          </cell>
          <cell r="D396">
            <v>201412</v>
          </cell>
          <cell r="E396" t="str">
            <v>N</v>
          </cell>
          <cell r="F396" t="str">
            <v>Account closed from period 201412</v>
          </cell>
          <cell r="G396" t="str">
            <v/>
          </cell>
          <cell r="H396" t="str">
            <v>R</v>
          </cell>
        </row>
        <row r="397">
          <cell r="B397" t="str">
            <v>B1952</v>
          </cell>
          <cell r="C397">
            <v>201413</v>
          </cell>
          <cell r="D397">
            <v>209912</v>
          </cell>
          <cell r="E397" t="str">
            <v>N</v>
          </cell>
          <cell r="F397" t="str">
            <v/>
          </cell>
          <cell r="G397" t="str">
            <v/>
          </cell>
          <cell r="H397" t="str">
            <v>R</v>
          </cell>
        </row>
        <row r="398">
          <cell r="B398" t="str">
            <v>B1953</v>
          </cell>
          <cell r="C398">
            <v>200109</v>
          </cell>
          <cell r="D398">
            <v>200713</v>
          </cell>
          <cell r="E398" t="str">
            <v>C</v>
          </cell>
          <cell r="F398" t="str">
            <v>Account status = Closed</v>
          </cell>
          <cell r="G398" t="str">
            <v/>
          </cell>
          <cell r="H398" t="str">
            <v>R</v>
          </cell>
        </row>
        <row r="399">
          <cell r="B399" t="str">
            <v>B1954</v>
          </cell>
          <cell r="C399">
            <v>200213</v>
          </cell>
          <cell r="D399">
            <v>200713</v>
          </cell>
          <cell r="E399" t="str">
            <v>C</v>
          </cell>
          <cell r="F399" t="str">
            <v>Account status = Closed</v>
          </cell>
          <cell r="G399" t="str">
            <v/>
          </cell>
          <cell r="H399" t="str">
            <v>R</v>
          </cell>
        </row>
        <row r="400">
          <cell r="B400" t="str">
            <v>B1955</v>
          </cell>
          <cell r="C400">
            <v>200513</v>
          </cell>
          <cell r="D400">
            <v>201412</v>
          </cell>
          <cell r="E400" t="str">
            <v>N</v>
          </cell>
          <cell r="F400" t="str">
            <v>Account closed from period 201412</v>
          </cell>
          <cell r="G400" t="str">
            <v/>
          </cell>
          <cell r="H400" t="str">
            <v>R</v>
          </cell>
        </row>
        <row r="401">
          <cell r="B401" t="str">
            <v>B1955</v>
          </cell>
          <cell r="C401">
            <v>201413</v>
          </cell>
          <cell r="D401">
            <v>209913</v>
          </cell>
          <cell r="E401" t="str">
            <v>N</v>
          </cell>
          <cell r="F401" t="str">
            <v/>
          </cell>
          <cell r="G401" t="str">
            <v/>
          </cell>
          <cell r="H401" t="str">
            <v>R</v>
          </cell>
        </row>
        <row r="402">
          <cell r="B402" t="str">
            <v>B1956</v>
          </cell>
          <cell r="C402">
            <v>201413</v>
          </cell>
          <cell r="D402">
            <v>209913</v>
          </cell>
          <cell r="E402" t="str">
            <v>N</v>
          </cell>
          <cell r="F402" t="str">
            <v/>
          </cell>
          <cell r="G402" t="str">
            <v/>
          </cell>
          <cell r="H402" t="str">
            <v>R</v>
          </cell>
        </row>
        <row r="403">
          <cell r="B403" t="str">
            <v>B1956</v>
          </cell>
          <cell r="C403">
            <v>200900</v>
          </cell>
          <cell r="D403">
            <v>201412</v>
          </cell>
          <cell r="E403" t="str">
            <v>N</v>
          </cell>
          <cell r="F403" t="str">
            <v>Account closed from period 201412</v>
          </cell>
          <cell r="G403" t="str">
            <v/>
          </cell>
          <cell r="H403" t="str">
            <v>R</v>
          </cell>
        </row>
        <row r="404">
          <cell r="B404" t="str">
            <v>B1996</v>
          </cell>
          <cell r="C404">
            <v>200310</v>
          </cell>
          <cell r="D404">
            <v>209913</v>
          </cell>
          <cell r="E404" t="str">
            <v>N</v>
          </cell>
          <cell r="F404" t="str">
            <v/>
          </cell>
          <cell r="G404" t="str">
            <v/>
          </cell>
          <cell r="H404" t="str">
            <v>R</v>
          </cell>
        </row>
        <row r="405">
          <cell r="B405" t="str">
            <v>B1999</v>
          </cell>
          <cell r="C405">
            <v>200311</v>
          </cell>
          <cell r="D405">
            <v>200713</v>
          </cell>
          <cell r="E405" t="str">
            <v>C</v>
          </cell>
          <cell r="F405" t="str">
            <v>Account status = Closed</v>
          </cell>
          <cell r="G405" t="str">
            <v/>
          </cell>
          <cell r="H405" t="str">
            <v>R</v>
          </cell>
        </row>
        <row r="406">
          <cell r="B406" t="str">
            <v>B6821</v>
          </cell>
          <cell r="C406">
            <v>200612</v>
          </cell>
          <cell r="D406">
            <v>209912</v>
          </cell>
          <cell r="E406" t="str">
            <v>N</v>
          </cell>
          <cell r="F406" t="str">
            <v/>
          </cell>
          <cell r="G406" t="str">
            <v/>
          </cell>
          <cell r="H406" t="str">
            <v>R</v>
          </cell>
        </row>
        <row r="407">
          <cell r="B407" t="str">
            <v>BA100</v>
          </cell>
          <cell r="C407">
            <v>200109</v>
          </cell>
          <cell r="D407">
            <v>200713</v>
          </cell>
          <cell r="E407" t="str">
            <v>C</v>
          </cell>
          <cell r="F407" t="str">
            <v>Account status = Closed</v>
          </cell>
          <cell r="G407" t="str">
            <v/>
          </cell>
          <cell r="H407" t="str">
            <v>R</v>
          </cell>
        </row>
        <row r="408">
          <cell r="B408" t="str">
            <v>BA101</v>
          </cell>
          <cell r="C408">
            <v>200109</v>
          </cell>
          <cell r="D408">
            <v>200713</v>
          </cell>
          <cell r="E408" t="str">
            <v>C</v>
          </cell>
          <cell r="F408" t="str">
            <v>Account status = Closed</v>
          </cell>
          <cell r="G408" t="str">
            <v/>
          </cell>
          <cell r="H408" t="str">
            <v>R</v>
          </cell>
        </row>
        <row r="409">
          <cell r="B409" t="str">
            <v>BA102</v>
          </cell>
          <cell r="C409">
            <v>200109</v>
          </cell>
          <cell r="D409">
            <v>200713</v>
          </cell>
          <cell r="E409" t="str">
            <v>C</v>
          </cell>
          <cell r="F409" t="str">
            <v>Account status = Closed</v>
          </cell>
          <cell r="G409" t="str">
            <v/>
          </cell>
          <cell r="H409" t="str">
            <v>R</v>
          </cell>
        </row>
        <row r="410">
          <cell r="B410" t="str">
            <v>BA103</v>
          </cell>
          <cell r="C410">
            <v>200109</v>
          </cell>
          <cell r="D410">
            <v>200713</v>
          </cell>
          <cell r="E410" t="str">
            <v>C</v>
          </cell>
          <cell r="F410" t="str">
            <v>Account status = Closed</v>
          </cell>
          <cell r="G410" t="str">
            <v/>
          </cell>
          <cell r="H410" t="str">
            <v>R</v>
          </cell>
        </row>
        <row r="411">
          <cell r="B411" t="str">
            <v>BA104</v>
          </cell>
          <cell r="C411">
            <v>200109</v>
          </cell>
          <cell r="D411">
            <v>209913</v>
          </cell>
          <cell r="E411" t="str">
            <v>N</v>
          </cell>
          <cell r="F411" t="str">
            <v/>
          </cell>
          <cell r="G411" t="str">
            <v/>
          </cell>
          <cell r="H411" t="str">
            <v>R</v>
          </cell>
        </row>
        <row r="412">
          <cell r="B412" t="str">
            <v>BA105</v>
          </cell>
          <cell r="C412">
            <v>200109</v>
          </cell>
          <cell r="D412">
            <v>200713</v>
          </cell>
          <cell r="E412" t="str">
            <v>C</v>
          </cell>
          <cell r="F412" t="str">
            <v>Account status = Closed</v>
          </cell>
          <cell r="G412" t="str">
            <v/>
          </cell>
          <cell r="H412" t="str">
            <v>R</v>
          </cell>
        </row>
        <row r="413">
          <cell r="B413" t="str">
            <v>BA106</v>
          </cell>
          <cell r="C413">
            <v>200109</v>
          </cell>
          <cell r="D413">
            <v>200713</v>
          </cell>
          <cell r="E413" t="str">
            <v>C</v>
          </cell>
          <cell r="F413" t="str">
            <v>Account status = Closed</v>
          </cell>
          <cell r="G413" t="str">
            <v/>
          </cell>
          <cell r="H413" t="str">
            <v>R</v>
          </cell>
        </row>
        <row r="414">
          <cell r="B414" t="str">
            <v>BA107</v>
          </cell>
          <cell r="C414">
            <v>200109</v>
          </cell>
          <cell r="D414">
            <v>200713</v>
          </cell>
          <cell r="E414" t="str">
            <v>C</v>
          </cell>
          <cell r="F414" t="str">
            <v>Account status = Closed</v>
          </cell>
          <cell r="G414" t="str">
            <v/>
          </cell>
          <cell r="H414" t="str">
            <v>R</v>
          </cell>
        </row>
        <row r="415">
          <cell r="B415" t="str">
            <v>BA108</v>
          </cell>
          <cell r="C415">
            <v>200109</v>
          </cell>
          <cell r="D415">
            <v>200713</v>
          </cell>
          <cell r="E415" t="str">
            <v>C</v>
          </cell>
          <cell r="F415" t="str">
            <v>Account status = Closed</v>
          </cell>
          <cell r="G415" t="str">
            <v/>
          </cell>
          <cell r="H415" t="str">
            <v>R</v>
          </cell>
        </row>
        <row r="416">
          <cell r="B416" t="str">
            <v>BA109</v>
          </cell>
          <cell r="C416">
            <v>200109</v>
          </cell>
          <cell r="D416">
            <v>209913</v>
          </cell>
          <cell r="E416" t="str">
            <v>N</v>
          </cell>
          <cell r="F416" t="str">
            <v/>
          </cell>
          <cell r="G416" t="str">
            <v/>
          </cell>
          <cell r="H416" t="str">
            <v>R</v>
          </cell>
        </row>
        <row r="417">
          <cell r="B417" t="str">
            <v>BA110</v>
          </cell>
          <cell r="C417">
            <v>200109</v>
          </cell>
          <cell r="D417">
            <v>200713</v>
          </cell>
          <cell r="E417" t="str">
            <v>C</v>
          </cell>
          <cell r="F417" t="str">
            <v>Account status = Closed</v>
          </cell>
          <cell r="G417" t="str">
            <v/>
          </cell>
          <cell r="H417" t="str">
            <v>R</v>
          </cell>
        </row>
        <row r="418">
          <cell r="B418" t="str">
            <v>BA111</v>
          </cell>
          <cell r="C418">
            <v>200109</v>
          </cell>
          <cell r="D418">
            <v>200713</v>
          </cell>
          <cell r="E418" t="str">
            <v>C</v>
          </cell>
          <cell r="F418" t="str">
            <v>Account status = Closed</v>
          </cell>
          <cell r="G418" t="str">
            <v/>
          </cell>
          <cell r="H418" t="str">
            <v>R</v>
          </cell>
        </row>
        <row r="419">
          <cell r="B419" t="str">
            <v>BA112</v>
          </cell>
          <cell r="C419">
            <v>200109</v>
          </cell>
          <cell r="D419">
            <v>200713</v>
          </cell>
          <cell r="E419" t="str">
            <v>C</v>
          </cell>
          <cell r="F419" t="str">
            <v>Account status = Closed</v>
          </cell>
          <cell r="G419" t="str">
            <v/>
          </cell>
          <cell r="H419" t="str">
            <v>R</v>
          </cell>
        </row>
        <row r="420">
          <cell r="B420" t="str">
            <v>BA113</v>
          </cell>
          <cell r="C420">
            <v>200109</v>
          </cell>
          <cell r="D420">
            <v>209913</v>
          </cell>
          <cell r="E420" t="str">
            <v>N</v>
          </cell>
          <cell r="F420" t="str">
            <v/>
          </cell>
          <cell r="G420" t="str">
            <v/>
          </cell>
          <cell r="H420" t="str">
            <v>R</v>
          </cell>
        </row>
        <row r="421">
          <cell r="B421" t="str">
            <v>BA114</v>
          </cell>
          <cell r="C421">
            <v>200109</v>
          </cell>
          <cell r="D421">
            <v>200713</v>
          </cell>
          <cell r="E421" t="str">
            <v>C</v>
          </cell>
          <cell r="F421" t="str">
            <v>Account status = Closed</v>
          </cell>
          <cell r="G421" t="str">
            <v/>
          </cell>
          <cell r="H421" t="str">
            <v>R</v>
          </cell>
        </row>
        <row r="422">
          <cell r="B422" t="str">
            <v>BA115</v>
          </cell>
          <cell r="C422">
            <v>200109</v>
          </cell>
          <cell r="D422">
            <v>201303</v>
          </cell>
          <cell r="E422" t="str">
            <v>C</v>
          </cell>
          <cell r="F422" t="str">
            <v>Account status = Closed</v>
          </cell>
          <cell r="G422" t="str">
            <v/>
          </cell>
          <cell r="H422" t="str">
            <v>R</v>
          </cell>
        </row>
        <row r="423">
          <cell r="B423" t="str">
            <v>BA116</v>
          </cell>
          <cell r="C423">
            <v>200109</v>
          </cell>
          <cell r="D423">
            <v>200713</v>
          </cell>
          <cell r="E423" t="str">
            <v>C</v>
          </cell>
          <cell r="F423" t="str">
            <v>Account status = Closed</v>
          </cell>
          <cell r="G423" t="str">
            <v/>
          </cell>
          <cell r="H423" t="str">
            <v>R</v>
          </cell>
        </row>
        <row r="424">
          <cell r="B424" t="str">
            <v>BA117</v>
          </cell>
          <cell r="C424">
            <v>200109</v>
          </cell>
          <cell r="D424">
            <v>200713</v>
          </cell>
          <cell r="E424" t="str">
            <v>C</v>
          </cell>
          <cell r="F424" t="str">
            <v>Account status = Closed</v>
          </cell>
          <cell r="G424" t="str">
            <v/>
          </cell>
          <cell r="H424" t="str">
            <v>R</v>
          </cell>
        </row>
        <row r="425">
          <cell r="B425" t="str">
            <v>BA118</v>
          </cell>
          <cell r="C425">
            <v>200109</v>
          </cell>
          <cell r="D425">
            <v>200713</v>
          </cell>
          <cell r="E425" t="str">
            <v>C</v>
          </cell>
          <cell r="F425" t="str">
            <v>Account status = Closed</v>
          </cell>
          <cell r="G425" t="str">
            <v/>
          </cell>
          <cell r="H425" t="str">
            <v>R</v>
          </cell>
        </row>
        <row r="426">
          <cell r="B426" t="str">
            <v>BA119</v>
          </cell>
          <cell r="C426">
            <v>200109</v>
          </cell>
          <cell r="D426">
            <v>200713</v>
          </cell>
          <cell r="E426" t="str">
            <v>C</v>
          </cell>
          <cell r="F426" t="str">
            <v>Account status = Closed</v>
          </cell>
          <cell r="G426" t="str">
            <v/>
          </cell>
          <cell r="H426" t="str">
            <v>R</v>
          </cell>
        </row>
        <row r="427">
          <cell r="B427" t="str">
            <v>BA120</v>
          </cell>
          <cell r="C427">
            <v>200109</v>
          </cell>
          <cell r="D427">
            <v>200713</v>
          </cell>
          <cell r="E427" t="str">
            <v>C</v>
          </cell>
          <cell r="F427" t="str">
            <v>Account status = Closed</v>
          </cell>
          <cell r="G427" t="str">
            <v/>
          </cell>
          <cell r="H427" t="str">
            <v>R</v>
          </cell>
        </row>
        <row r="428">
          <cell r="B428" t="str">
            <v>BA121</v>
          </cell>
          <cell r="C428">
            <v>200109</v>
          </cell>
          <cell r="D428">
            <v>200713</v>
          </cell>
          <cell r="E428" t="str">
            <v>C</v>
          </cell>
          <cell r="F428" t="str">
            <v>Account status = Closed</v>
          </cell>
          <cell r="G428" t="str">
            <v/>
          </cell>
          <cell r="H428" t="str">
            <v>R</v>
          </cell>
        </row>
        <row r="429">
          <cell r="B429" t="str">
            <v>BA122</v>
          </cell>
          <cell r="C429">
            <v>200109</v>
          </cell>
          <cell r="D429">
            <v>200713</v>
          </cell>
          <cell r="E429" t="str">
            <v>C</v>
          </cell>
          <cell r="F429" t="str">
            <v>Account status = Closed</v>
          </cell>
          <cell r="G429" t="str">
            <v/>
          </cell>
          <cell r="H429" t="str">
            <v>R</v>
          </cell>
        </row>
        <row r="430">
          <cell r="B430" t="str">
            <v>BA123</v>
          </cell>
          <cell r="C430">
            <v>200109</v>
          </cell>
          <cell r="D430">
            <v>200713</v>
          </cell>
          <cell r="E430" t="str">
            <v>C</v>
          </cell>
          <cell r="F430" t="str">
            <v>Account status = Closed</v>
          </cell>
          <cell r="G430" t="str">
            <v/>
          </cell>
          <cell r="H430" t="str">
            <v>R</v>
          </cell>
        </row>
        <row r="431">
          <cell r="B431" t="str">
            <v>BA124</v>
          </cell>
          <cell r="C431">
            <v>200109</v>
          </cell>
          <cell r="D431">
            <v>200713</v>
          </cell>
          <cell r="E431" t="str">
            <v>C</v>
          </cell>
          <cell r="F431" t="str">
            <v>Account status = Closed</v>
          </cell>
          <cell r="G431" t="str">
            <v/>
          </cell>
          <cell r="H431" t="str">
            <v>R</v>
          </cell>
        </row>
        <row r="432">
          <cell r="B432" t="str">
            <v>BA125</v>
          </cell>
          <cell r="C432">
            <v>200109</v>
          </cell>
          <cell r="D432">
            <v>200713</v>
          </cell>
          <cell r="E432" t="str">
            <v>C</v>
          </cell>
          <cell r="F432" t="str">
            <v>Account status = Closed</v>
          </cell>
          <cell r="G432" t="str">
            <v/>
          </cell>
          <cell r="H432" t="str">
            <v>R</v>
          </cell>
        </row>
        <row r="433">
          <cell r="B433" t="str">
            <v>BA126</v>
          </cell>
          <cell r="C433">
            <v>200109</v>
          </cell>
          <cell r="D433">
            <v>200713</v>
          </cell>
          <cell r="E433" t="str">
            <v>C</v>
          </cell>
          <cell r="F433" t="str">
            <v>Account status = Closed</v>
          </cell>
          <cell r="G433" t="str">
            <v/>
          </cell>
          <cell r="H433" t="str">
            <v>R</v>
          </cell>
        </row>
        <row r="434">
          <cell r="B434" t="str">
            <v>BA127</v>
          </cell>
          <cell r="C434">
            <v>200109</v>
          </cell>
          <cell r="D434">
            <v>200713</v>
          </cell>
          <cell r="E434" t="str">
            <v>C</v>
          </cell>
          <cell r="F434" t="str">
            <v>Account status = Closed</v>
          </cell>
          <cell r="G434" t="str">
            <v/>
          </cell>
          <cell r="H434" t="str">
            <v>R</v>
          </cell>
        </row>
        <row r="435">
          <cell r="B435" t="str">
            <v>BA128</v>
          </cell>
          <cell r="C435">
            <v>200109</v>
          </cell>
          <cell r="D435">
            <v>200713</v>
          </cell>
          <cell r="E435" t="str">
            <v>C</v>
          </cell>
          <cell r="F435" t="str">
            <v>Account status = Closed</v>
          </cell>
          <cell r="G435" t="str">
            <v/>
          </cell>
          <cell r="H435" t="str">
            <v>R</v>
          </cell>
        </row>
        <row r="436">
          <cell r="B436" t="str">
            <v>BA129</v>
          </cell>
          <cell r="C436">
            <v>200109</v>
          </cell>
          <cell r="D436">
            <v>200713</v>
          </cell>
          <cell r="E436" t="str">
            <v>C</v>
          </cell>
          <cell r="F436" t="str">
            <v>Account status = Closed</v>
          </cell>
          <cell r="G436" t="str">
            <v/>
          </cell>
          <cell r="H436" t="str">
            <v>R</v>
          </cell>
        </row>
        <row r="437">
          <cell r="B437" t="str">
            <v>BA130</v>
          </cell>
          <cell r="C437">
            <v>200301</v>
          </cell>
          <cell r="D437">
            <v>200713</v>
          </cell>
          <cell r="E437" t="str">
            <v>C</v>
          </cell>
          <cell r="F437" t="str">
            <v>Account status = Closed</v>
          </cell>
          <cell r="G437" t="str">
            <v/>
          </cell>
          <cell r="H437" t="str">
            <v>R</v>
          </cell>
        </row>
        <row r="438">
          <cell r="B438" t="str">
            <v>BA131</v>
          </cell>
          <cell r="C438">
            <v>200109</v>
          </cell>
          <cell r="D438">
            <v>200713</v>
          </cell>
          <cell r="E438" t="str">
            <v>C</v>
          </cell>
          <cell r="F438" t="str">
            <v>Account status = Closed</v>
          </cell>
          <cell r="G438" t="str">
            <v/>
          </cell>
          <cell r="H438" t="str">
            <v>R</v>
          </cell>
        </row>
        <row r="439">
          <cell r="B439" t="str">
            <v>BA132</v>
          </cell>
          <cell r="C439">
            <v>200109</v>
          </cell>
          <cell r="D439">
            <v>200713</v>
          </cell>
          <cell r="E439" t="str">
            <v>C</v>
          </cell>
          <cell r="F439" t="str">
            <v>Account status = Closed</v>
          </cell>
          <cell r="G439" t="str">
            <v/>
          </cell>
          <cell r="H439" t="str">
            <v>R</v>
          </cell>
        </row>
        <row r="440">
          <cell r="B440" t="str">
            <v>BA133</v>
          </cell>
          <cell r="C440">
            <v>200109</v>
          </cell>
          <cell r="D440">
            <v>200713</v>
          </cell>
          <cell r="E440" t="str">
            <v>C</v>
          </cell>
          <cell r="F440" t="str">
            <v>Account status = Closed</v>
          </cell>
          <cell r="G440" t="str">
            <v/>
          </cell>
          <cell r="H440" t="str">
            <v>R</v>
          </cell>
        </row>
        <row r="441">
          <cell r="B441" t="str">
            <v>BA134</v>
          </cell>
          <cell r="C441">
            <v>200109</v>
          </cell>
          <cell r="D441">
            <v>200713</v>
          </cell>
          <cell r="E441" t="str">
            <v>C</v>
          </cell>
          <cell r="F441" t="str">
            <v>Account status = Closed</v>
          </cell>
          <cell r="G441" t="str">
            <v/>
          </cell>
          <cell r="H441" t="str">
            <v>R</v>
          </cell>
        </row>
        <row r="442">
          <cell r="B442" t="str">
            <v>BA135</v>
          </cell>
          <cell r="C442">
            <v>200109</v>
          </cell>
          <cell r="D442">
            <v>200713</v>
          </cell>
          <cell r="E442" t="str">
            <v>C</v>
          </cell>
          <cell r="F442" t="str">
            <v>Account status = Closed</v>
          </cell>
          <cell r="G442" t="str">
            <v/>
          </cell>
          <cell r="H442" t="str">
            <v>R</v>
          </cell>
        </row>
        <row r="443">
          <cell r="B443" t="str">
            <v>BA136</v>
          </cell>
          <cell r="C443">
            <v>200109</v>
          </cell>
          <cell r="D443">
            <v>200713</v>
          </cell>
          <cell r="E443" t="str">
            <v>C</v>
          </cell>
          <cell r="F443" t="str">
            <v>Account status = Closed</v>
          </cell>
          <cell r="G443" t="str">
            <v/>
          </cell>
          <cell r="H443" t="str">
            <v>R</v>
          </cell>
        </row>
        <row r="444">
          <cell r="B444" t="str">
            <v>BA137</v>
          </cell>
          <cell r="C444">
            <v>200109</v>
          </cell>
          <cell r="D444">
            <v>200713</v>
          </cell>
          <cell r="E444" t="str">
            <v>C</v>
          </cell>
          <cell r="F444" t="str">
            <v>Account status = Closed</v>
          </cell>
          <cell r="G444" t="str">
            <v/>
          </cell>
          <cell r="H444" t="str">
            <v>R</v>
          </cell>
        </row>
        <row r="445">
          <cell r="B445" t="str">
            <v>BA138</v>
          </cell>
          <cell r="C445">
            <v>200109</v>
          </cell>
          <cell r="D445">
            <v>200713</v>
          </cell>
          <cell r="E445" t="str">
            <v>C</v>
          </cell>
          <cell r="F445" t="str">
            <v>Account status = Closed</v>
          </cell>
          <cell r="G445" t="str">
            <v/>
          </cell>
          <cell r="H445" t="str">
            <v>R</v>
          </cell>
        </row>
        <row r="446">
          <cell r="B446" t="str">
            <v>BA139</v>
          </cell>
          <cell r="C446">
            <v>200109</v>
          </cell>
          <cell r="D446">
            <v>200713</v>
          </cell>
          <cell r="E446" t="str">
            <v>C</v>
          </cell>
          <cell r="F446" t="str">
            <v>Account status = Closed</v>
          </cell>
          <cell r="G446" t="str">
            <v/>
          </cell>
          <cell r="H446" t="str">
            <v>R</v>
          </cell>
        </row>
        <row r="447">
          <cell r="B447" t="str">
            <v>BA140</v>
          </cell>
          <cell r="C447">
            <v>200109</v>
          </cell>
          <cell r="D447">
            <v>200713</v>
          </cell>
          <cell r="E447" t="str">
            <v>C</v>
          </cell>
          <cell r="F447" t="str">
            <v>Account status = Closed</v>
          </cell>
          <cell r="G447" t="str">
            <v/>
          </cell>
          <cell r="H447" t="str">
            <v>R</v>
          </cell>
        </row>
        <row r="448">
          <cell r="B448" t="str">
            <v>BA141</v>
          </cell>
          <cell r="C448">
            <v>200109</v>
          </cell>
          <cell r="D448">
            <v>200713</v>
          </cell>
          <cell r="E448" t="str">
            <v>C</v>
          </cell>
          <cell r="F448" t="str">
            <v>Account status = Closed</v>
          </cell>
          <cell r="G448" t="str">
            <v/>
          </cell>
          <cell r="H448" t="str">
            <v>R</v>
          </cell>
        </row>
        <row r="449">
          <cell r="B449" t="str">
            <v>BA142</v>
          </cell>
          <cell r="C449">
            <v>200109</v>
          </cell>
          <cell r="D449">
            <v>200713</v>
          </cell>
          <cell r="E449" t="str">
            <v>C</v>
          </cell>
          <cell r="F449" t="str">
            <v>Account status = Closed</v>
          </cell>
          <cell r="G449" t="str">
            <v/>
          </cell>
          <cell r="H449" t="str">
            <v>R</v>
          </cell>
        </row>
        <row r="450">
          <cell r="B450" t="str">
            <v>BA143</v>
          </cell>
          <cell r="C450">
            <v>200109</v>
          </cell>
          <cell r="D450">
            <v>200713</v>
          </cell>
          <cell r="E450" t="str">
            <v>C</v>
          </cell>
          <cell r="F450" t="str">
            <v>Account status = Closed</v>
          </cell>
          <cell r="G450" t="str">
            <v/>
          </cell>
          <cell r="H450" t="str">
            <v>R</v>
          </cell>
        </row>
        <row r="451">
          <cell r="B451" t="str">
            <v>BA144</v>
          </cell>
          <cell r="C451">
            <v>200109</v>
          </cell>
          <cell r="D451">
            <v>200713</v>
          </cell>
          <cell r="E451" t="str">
            <v>C</v>
          </cell>
          <cell r="F451" t="str">
            <v>Account status = Closed</v>
          </cell>
          <cell r="G451" t="str">
            <v/>
          </cell>
          <cell r="H451" t="str">
            <v>R</v>
          </cell>
        </row>
        <row r="452">
          <cell r="B452" t="str">
            <v>BA145</v>
          </cell>
          <cell r="C452">
            <v>200109</v>
          </cell>
          <cell r="D452">
            <v>200713</v>
          </cell>
          <cell r="E452" t="str">
            <v>C</v>
          </cell>
          <cell r="F452" t="str">
            <v>Account status = Closed</v>
          </cell>
          <cell r="G452" t="str">
            <v/>
          </cell>
          <cell r="H452" t="str">
            <v>R</v>
          </cell>
        </row>
        <row r="453">
          <cell r="B453" t="str">
            <v>BA146</v>
          </cell>
          <cell r="C453">
            <v>200109</v>
          </cell>
          <cell r="D453">
            <v>200713</v>
          </cell>
          <cell r="E453" t="str">
            <v>C</v>
          </cell>
          <cell r="F453" t="str">
            <v>Account status = Closed</v>
          </cell>
          <cell r="G453" t="str">
            <v/>
          </cell>
          <cell r="H453" t="str">
            <v>R</v>
          </cell>
        </row>
        <row r="454">
          <cell r="B454" t="str">
            <v>BA147</v>
          </cell>
          <cell r="C454">
            <v>200109</v>
          </cell>
          <cell r="D454">
            <v>200713</v>
          </cell>
          <cell r="E454" t="str">
            <v>C</v>
          </cell>
          <cell r="F454" t="str">
            <v>Account status = Closed</v>
          </cell>
          <cell r="G454" t="str">
            <v/>
          </cell>
          <cell r="H454" t="str">
            <v>R</v>
          </cell>
        </row>
        <row r="455">
          <cell r="B455" t="str">
            <v>BA148</v>
          </cell>
          <cell r="C455">
            <v>200109</v>
          </cell>
          <cell r="D455">
            <v>200713</v>
          </cell>
          <cell r="E455" t="str">
            <v>C</v>
          </cell>
          <cell r="F455" t="str">
            <v>Account status = Closed</v>
          </cell>
          <cell r="G455" t="str">
            <v/>
          </cell>
          <cell r="H455" t="str">
            <v>R</v>
          </cell>
        </row>
        <row r="456">
          <cell r="B456" t="str">
            <v>BA149</v>
          </cell>
          <cell r="C456">
            <v>200109</v>
          </cell>
          <cell r="D456">
            <v>200713</v>
          </cell>
          <cell r="E456" t="str">
            <v>C</v>
          </cell>
          <cell r="F456" t="str">
            <v>Account status = Closed</v>
          </cell>
          <cell r="G456" t="str">
            <v/>
          </cell>
          <cell r="H456" t="str">
            <v>R</v>
          </cell>
        </row>
        <row r="457">
          <cell r="B457" t="str">
            <v>BA150</v>
          </cell>
          <cell r="C457">
            <v>200109</v>
          </cell>
          <cell r="D457">
            <v>200713</v>
          </cell>
          <cell r="E457" t="str">
            <v>C</v>
          </cell>
          <cell r="F457" t="str">
            <v>Account status = Closed</v>
          </cell>
          <cell r="G457" t="str">
            <v/>
          </cell>
          <cell r="H457" t="str">
            <v>R</v>
          </cell>
        </row>
        <row r="458">
          <cell r="B458" t="str">
            <v>BA151</v>
          </cell>
          <cell r="C458">
            <v>200109</v>
          </cell>
          <cell r="D458">
            <v>200713</v>
          </cell>
          <cell r="E458" t="str">
            <v>C</v>
          </cell>
          <cell r="F458" t="str">
            <v>Account status = Closed</v>
          </cell>
          <cell r="G458" t="str">
            <v/>
          </cell>
          <cell r="H458" t="str">
            <v>R</v>
          </cell>
        </row>
        <row r="459">
          <cell r="B459" t="str">
            <v>BA152</v>
          </cell>
          <cell r="C459">
            <v>200109</v>
          </cell>
          <cell r="D459">
            <v>200713</v>
          </cell>
          <cell r="E459" t="str">
            <v>C</v>
          </cell>
          <cell r="F459" t="str">
            <v>Account status = Closed</v>
          </cell>
          <cell r="G459" t="str">
            <v/>
          </cell>
          <cell r="H459" t="str">
            <v>R</v>
          </cell>
        </row>
        <row r="460">
          <cell r="B460" t="str">
            <v>BA153</v>
          </cell>
          <cell r="C460">
            <v>200109</v>
          </cell>
          <cell r="D460">
            <v>200713</v>
          </cell>
          <cell r="E460" t="str">
            <v>C</v>
          </cell>
          <cell r="F460" t="str">
            <v>Account status = Closed</v>
          </cell>
          <cell r="G460" t="str">
            <v/>
          </cell>
          <cell r="H460" t="str">
            <v>R</v>
          </cell>
        </row>
        <row r="461">
          <cell r="B461" t="str">
            <v>BA154</v>
          </cell>
          <cell r="C461">
            <v>200109</v>
          </cell>
          <cell r="D461">
            <v>200713</v>
          </cell>
          <cell r="E461" t="str">
            <v>C</v>
          </cell>
          <cell r="F461" t="str">
            <v>Account status = Closed</v>
          </cell>
          <cell r="G461" t="str">
            <v/>
          </cell>
          <cell r="H461" t="str">
            <v>R</v>
          </cell>
        </row>
        <row r="462">
          <cell r="B462" t="str">
            <v>BA155</v>
          </cell>
          <cell r="C462">
            <v>200109</v>
          </cell>
          <cell r="D462">
            <v>200713</v>
          </cell>
          <cell r="E462" t="str">
            <v>C</v>
          </cell>
          <cell r="F462" t="str">
            <v>Account status = Closed</v>
          </cell>
          <cell r="G462" t="str">
            <v/>
          </cell>
          <cell r="H462" t="str">
            <v>R</v>
          </cell>
        </row>
        <row r="463">
          <cell r="B463" t="str">
            <v>BA156</v>
          </cell>
          <cell r="C463">
            <v>200109</v>
          </cell>
          <cell r="D463">
            <v>200713</v>
          </cell>
          <cell r="E463" t="str">
            <v>C</v>
          </cell>
          <cell r="F463" t="str">
            <v>Account status = Closed</v>
          </cell>
          <cell r="G463" t="str">
            <v/>
          </cell>
          <cell r="H463" t="str">
            <v>R</v>
          </cell>
        </row>
        <row r="464">
          <cell r="B464" t="str">
            <v>BA157</v>
          </cell>
          <cell r="C464">
            <v>200109</v>
          </cell>
          <cell r="D464">
            <v>200713</v>
          </cell>
          <cell r="E464" t="str">
            <v>C</v>
          </cell>
          <cell r="F464" t="str">
            <v>Account status = Closed</v>
          </cell>
          <cell r="G464" t="str">
            <v/>
          </cell>
          <cell r="H464" t="str">
            <v>R</v>
          </cell>
        </row>
        <row r="465">
          <cell r="B465" t="str">
            <v>BA158</v>
          </cell>
          <cell r="C465">
            <v>200109</v>
          </cell>
          <cell r="D465">
            <v>200713</v>
          </cell>
          <cell r="E465" t="str">
            <v>C</v>
          </cell>
          <cell r="F465" t="str">
            <v>Account status = Closed</v>
          </cell>
          <cell r="G465" t="str">
            <v/>
          </cell>
          <cell r="H465" t="str">
            <v>R</v>
          </cell>
        </row>
        <row r="466">
          <cell r="B466" t="str">
            <v>BA159</v>
          </cell>
          <cell r="C466">
            <v>200109</v>
          </cell>
          <cell r="D466">
            <v>200713</v>
          </cell>
          <cell r="E466" t="str">
            <v>C</v>
          </cell>
          <cell r="F466" t="str">
            <v>Account status = Closed</v>
          </cell>
          <cell r="G466" t="str">
            <v/>
          </cell>
          <cell r="H466" t="str">
            <v>R</v>
          </cell>
        </row>
        <row r="467">
          <cell r="B467" t="str">
            <v>BA160</v>
          </cell>
          <cell r="C467">
            <v>200109</v>
          </cell>
          <cell r="D467">
            <v>200713</v>
          </cell>
          <cell r="E467" t="str">
            <v>C</v>
          </cell>
          <cell r="F467" t="str">
            <v>Account status = Closed</v>
          </cell>
          <cell r="G467" t="str">
            <v/>
          </cell>
          <cell r="H467" t="str">
            <v>R</v>
          </cell>
        </row>
        <row r="468">
          <cell r="B468" t="str">
            <v>BA161</v>
          </cell>
          <cell r="C468">
            <v>200109</v>
          </cell>
          <cell r="D468">
            <v>200713</v>
          </cell>
          <cell r="E468" t="str">
            <v>C</v>
          </cell>
          <cell r="F468" t="str">
            <v>Account status = Closed</v>
          </cell>
          <cell r="G468" t="str">
            <v/>
          </cell>
          <cell r="H468" t="str">
            <v>R</v>
          </cell>
        </row>
        <row r="469">
          <cell r="B469" t="str">
            <v>BA162</v>
          </cell>
          <cell r="C469">
            <v>200109</v>
          </cell>
          <cell r="D469">
            <v>200713</v>
          </cell>
          <cell r="E469" t="str">
            <v>C</v>
          </cell>
          <cell r="F469" t="str">
            <v>Account status = Closed</v>
          </cell>
          <cell r="G469" t="str">
            <v/>
          </cell>
          <cell r="H469" t="str">
            <v>R</v>
          </cell>
        </row>
        <row r="470">
          <cell r="B470" t="str">
            <v>BA163</v>
          </cell>
          <cell r="C470">
            <v>200109</v>
          </cell>
          <cell r="D470">
            <v>200713</v>
          </cell>
          <cell r="E470" t="str">
            <v>C</v>
          </cell>
          <cell r="F470" t="str">
            <v>Account status = Closed</v>
          </cell>
          <cell r="G470" t="str">
            <v/>
          </cell>
          <cell r="H470" t="str">
            <v>R</v>
          </cell>
        </row>
        <row r="471">
          <cell r="B471" t="str">
            <v>BA164</v>
          </cell>
          <cell r="C471">
            <v>200109</v>
          </cell>
          <cell r="D471">
            <v>200713</v>
          </cell>
          <cell r="E471" t="str">
            <v>C</v>
          </cell>
          <cell r="F471" t="str">
            <v>Account status = Closed</v>
          </cell>
          <cell r="G471" t="str">
            <v/>
          </cell>
          <cell r="H471" t="str">
            <v>R</v>
          </cell>
        </row>
        <row r="472">
          <cell r="B472" t="str">
            <v>BA165</v>
          </cell>
          <cell r="C472">
            <v>200109</v>
          </cell>
          <cell r="D472">
            <v>200713</v>
          </cell>
          <cell r="E472" t="str">
            <v>C</v>
          </cell>
          <cell r="F472" t="str">
            <v>Account status = Closed</v>
          </cell>
          <cell r="G472" t="str">
            <v/>
          </cell>
          <cell r="H472" t="str">
            <v>R</v>
          </cell>
        </row>
        <row r="473">
          <cell r="B473" t="str">
            <v>BA166</v>
          </cell>
          <cell r="C473">
            <v>200109</v>
          </cell>
          <cell r="D473">
            <v>200713</v>
          </cell>
          <cell r="E473" t="str">
            <v>C</v>
          </cell>
          <cell r="F473" t="str">
            <v>Account status = Closed</v>
          </cell>
          <cell r="G473" t="str">
            <v/>
          </cell>
          <cell r="H473" t="str">
            <v>R</v>
          </cell>
        </row>
        <row r="474">
          <cell r="B474" t="str">
            <v>BA167</v>
          </cell>
          <cell r="C474">
            <v>200109</v>
          </cell>
          <cell r="D474">
            <v>200713</v>
          </cell>
          <cell r="E474" t="str">
            <v>C</v>
          </cell>
          <cell r="F474" t="str">
            <v>Account status = Closed</v>
          </cell>
          <cell r="G474" t="str">
            <v/>
          </cell>
          <cell r="H474" t="str">
            <v>R</v>
          </cell>
        </row>
        <row r="475">
          <cell r="B475" t="str">
            <v>BA168</v>
          </cell>
          <cell r="C475">
            <v>200109</v>
          </cell>
          <cell r="D475">
            <v>200713</v>
          </cell>
          <cell r="E475" t="str">
            <v>C</v>
          </cell>
          <cell r="F475" t="str">
            <v>Account status = Closed</v>
          </cell>
          <cell r="G475" t="str">
            <v/>
          </cell>
          <cell r="H475" t="str">
            <v>R</v>
          </cell>
        </row>
        <row r="476">
          <cell r="B476" t="str">
            <v>BA169</v>
          </cell>
          <cell r="C476">
            <v>200109</v>
          </cell>
          <cell r="D476">
            <v>200713</v>
          </cell>
          <cell r="E476" t="str">
            <v>C</v>
          </cell>
          <cell r="F476" t="str">
            <v>Account status = Closed</v>
          </cell>
          <cell r="G476" t="str">
            <v/>
          </cell>
          <cell r="H476" t="str">
            <v>R</v>
          </cell>
        </row>
        <row r="477">
          <cell r="B477" t="str">
            <v>BA170</v>
          </cell>
          <cell r="C477">
            <v>200109</v>
          </cell>
          <cell r="D477">
            <v>200713</v>
          </cell>
          <cell r="E477" t="str">
            <v>C</v>
          </cell>
          <cell r="F477" t="str">
            <v>Account status = Closed</v>
          </cell>
          <cell r="G477" t="str">
            <v/>
          </cell>
          <cell r="H477" t="str">
            <v>R</v>
          </cell>
        </row>
        <row r="478">
          <cell r="B478" t="str">
            <v>BA171</v>
          </cell>
          <cell r="C478">
            <v>200109</v>
          </cell>
          <cell r="D478">
            <v>200713</v>
          </cell>
          <cell r="E478" t="str">
            <v>C</v>
          </cell>
          <cell r="F478" t="str">
            <v>Account status = Closed</v>
          </cell>
          <cell r="G478" t="str">
            <v/>
          </cell>
          <cell r="H478" t="str">
            <v>R</v>
          </cell>
        </row>
        <row r="479">
          <cell r="B479" t="str">
            <v>BA172</v>
          </cell>
          <cell r="C479">
            <v>200109</v>
          </cell>
          <cell r="D479">
            <v>200713</v>
          </cell>
          <cell r="E479" t="str">
            <v>C</v>
          </cell>
          <cell r="F479" t="str">
            <v>Account status = Closed</v>
          </cell>
          <cell r="G479" t="str">
            <v/>
          </cell>
          <cell r="H479" t="str">
            <v>R</v>
          </cell>
        </row>
        <row r="480">
          <cell r="B480" t="str">
            <v>BA173</v>
          </cell>
          <cell r="C480">
            <v>200109</v>
          </cell>
          <cell r="D480">
            <v>200713</v>
          </cell>
          <cell r="E480" t="str">
            <v>C</v>
          </cell>
          <cell r="F480" t="str">
            <v>Account status = Closed</v>
          </cell>
          <cell r="G480" t="str">
            <v/>
          </cell>
          <cell r="H480" t="str">
            <v>R</v>
          </cell>
        </row>
        <row r="481">
          <cell r="B481" t="str">
            <v>BA174</v>
          </cell>
          <cell r="C481">
            <v>200109</v>
          </cell>
          <cell r="D481">
            <v>200713</v>
          </cell>
          <cell r="E481" t="str">
            <v>C</v>
          </cell>
          <cell r="F481" t="str">
            <v>Account status = Closed</v>
          </cell>
          <cell r="G481" t="str">
            <v/>
          </cell>
          <cell r="H481" t="str">
            <v>R</v>
          </cell>
        </row>
        <row r="482">
          <cell r="B482" t="str">
            <v>BA175</v>
          </cell>
          <cell r="C482">
            <v>200109</v>
          </cell>
          <cell r="D482">
            <v>200713</v>
          </cell>
          <cell r="E482" t="str">
            <v>C</v>
          </cell>
          <cell r="F482" t="str">
            <v>Account status = Closed</v>
          </cell>
          <cell r="G482" t="str">
            <v/>
          </cell>
          <cell r="H482" t="str">
            <v>R</v>
          </cell>
        </row>
        <row r="483">
          <cell r="B483" t="str">
            <v>BA176</v>
          </cell>
          <cell r="C483">
            <v>200109</v>
          </cell>
          <cell r="D483">
            <v>200713</v>
          </cell>
          <cell r="E483" t="str">
            <v>C</v>
          </cell>
          <cell r="F483" t="str">
            <v>Account status = Closed</v>
          </cell>
          <cell r="G483" t="str">
            <v/>
          </cell>
          <cell r="H483" t="str">
            <v>R</v>
          </cell>
        </row>
        <row r="484">
          <cell r="B484" t="str">
            <v>BA177</v>
          </cell>
          <cell r="C484">
            <v>200109</v>
          </cell>
          <cell r="D484">
            <v>200713</v>
          </cell>
          <cell r="E484" t="str">
            <v>C</v>
          </cell>
          <cell r="F484" t="str">
            <v>Account status = Closed</v>
          </cell>
          <cell r="G484" t="str">
            <v/>
          </cell>
          <cell r="H484" t="str">
            <v>R</v>
          </cell>
        </row>
        <row r="485">
          <cell r="B485" t="str">
            <v>BA178</v>
          </cell>
          <cell r="C485">
            <v>200109</v>
          </cell>
          <cell r="D485">
            <v>200713</v>
          </cell>
          <cell r="E485" t="str">
            <v>C</v>
          </cell>
          <cell r="F485" t="str">
            <v>Account status = Closed</v>
          </cell>
          <cell r="G485" t="str">
            <v/>
          </cell>
          <cell r="H485" t="str">
            <v>R</v>
          </cell>
        </row>
        <row r="486">
          <cell r="B486" t="str">
            <v>BA179</v>
          </cell>
          <cell r="C486">
            <v>200109</v>
          </cell>
          <cell r="D486">
            <v>200713</v>
          </cell>
          <cell r="E486" t="str">
            <v>C</v>
          </cell>
          <cell r="F486" t="str">
            <v>Account status = Closed</v>
          </cell>
          <cell r="G486" t="str">
            <v/>
          </cell>
          <cell r="H486" t="str">
            <v>R</v>
          </cell>
        </row>
        <row r="487">
          <cell r="B487" t="str">
            <v>BA180</v>
          </cell>
          <cell r="C487">
            <v>200109</v>
          </cell>
          <cell r="D487">
            <v>200713</v>
          </cell>
          <cell r="E487" t="str">
            <v>C</v>
          </cell>
          <cell r="F487" t="str">
            <v>Account status = Closed</v>
          </cell>
          <cell r="G487" t="str">
            <v/>
          </cell>
          <cell r="H487" t="str">
            <v>R</v>
          </cell>
        </row>
        <row r="488">
          <cell r="B488" t="str">
            <v>BA181</v>
          </cell>
          <cell r="C488">
            <v>200109</v>
          </cell>
          <cell r="D488">
            <v>200713</v>
          </cell>
          <cell r="E488" t="str">
            <v>C</v>
          </cell>
          <cell r="F488" t="str">
            <v>Account status = Closed</v>
          </cell>
          <cell r="G488" t="str">
            <v/>
          </cell>
          <cell r="H488" t="str">
            <v>R</v>
          </cell>
        </row>
        <row r="489">
          <cell r="B489" t="str">
            <v>BA182</v>
          </cell>
          <cell r="C489">
            <v>200109</v>
          </cell>
          <cell r="D489">
            <v>200713</v>
          </cell>
          <cell r="E489" t="str">
            <v>C</v>
          </cell>
          <cell r="F489" t="str">
            <v>Account status = Closed</v>
          </cell>
          <cell r="G489" t="str">
            <v/>
          </cell>
          <cell r="H489" t="str">
            <v>R</v>
          </cell>
        </row>
        <row r="490">
          <cell r="B490" t="str">
            <v>BA183</v>
          </cell>
          <cell r="C490">
            <v>200109</v>
          </cell>
          <cell r="D490">
            <v>200713</v>
          </cell>
          <cell r="E490" t="str">
            <v>C</v>
          </cell>
          <cell r="F490" t="str">
            <v>Account status = Closed</v>
          </cell>
          <cell r="G490" t="str">
            <v/>
          </cell>
          <cell r="H490" t="str">
            <v>R</v>
          </cell>
        </row>
        <row r="491">
          <cell r="B491" t="str">
            <v>BA184</v>
          </cell>
          <cell r="C491">
            <v>200109</v>
          </cell>
          <cell r="D491">
            <v>200713</v>
          </cell>
          <cell r="E491" t="str">
            <v>C</v>
          </cell>
          <cell r="F491" t="str">
            <v>Account status = Closed</v>
          </cell>
          <cell r="G491" t="str">
            <v/>
          </cell>
          <cell r="H491" t="str">
            <v>R</v>
          </cell>
        </row>
        <row r="492">
          <cell r="B492" t="str">
            <v>BA185</v>
          </cell>
          <cell r="C492">
            <v>200109</v>
          </cell>
          <cell r="D492">
            <v>200713</v>
          </cell>
          <cell r="E492" t="str">
            <v>C</v>
          </cell>
          <cell r="F492" t="str">
            <v>Account status = Closed</v>
          </cell>
          <cell r="G492" t="str">
            <v/>
          </cell>
          <cell r="H492" t="str">
            <v>R</v>
          </cell>
        </row>
        <row r="493">
          <cell r="B493" t="str">
            <v>BA186</v>
          </cell>
          <cell r="C493">
            <v>200109</v>
          </cell>
          <cell r="D493">
            <v>200713</v>
          </cell>
          <cell r="E493" t="str">
            <v>C</v>
          </cell>
          <cell r="F493" t="str">
            <v>Account status = Closed</v>
          </cell>
          <cell r="G493" t="str">
            <v/>
          </cell>
          <cell r="H493" t="str">
            <v>R</v>
          </cell>
        </row>
        <row r="494">
          <cell r="B494" t="str">
            <v>BA187</v>
          </cell>
          <cell r="C494">
            <v>200109</v>
          </cell>
          <cell r="D494">
            <v>200713</v>
          </cell>
          <cell r="E494" t="str">
            <v>C</v>
          </cell>
          <cell r="F494" t="str">
            <v>Account status = Closed</v>
          </cell>
          <cell r="G494" t="str">
            <v/>
          </cell>
          <cell r="H494" t="str">
            <v>R</v>
          </cell>
        </row>
        <row r="495">
          <cell r="B495" t="str">
            <v>BA188</v>
          </cell>
          <cell r="C495">
            <v>200109</v>
          </cell>
          <cell r="D495">
            <v>200713</v>
          </cell>
          <cell r="E495" t="str">
            <v>C</v>
          </cell>
          <cell r="F495" t="str">
            <v>Account status = Closed</v>
          </cell>
          <cell r="G495" t="str">
            <v/>
          </cell>
          <cell r="H495" t="str">
            <v>R</v>
          </cell>
        </row>
        <row r="496">
          <cell r="B496" t="str">
            <v>BA189</v>
          </cell>
          <cell r="C496">
            <v>200109</v>
          </cell>
          <cell r="D496">
            <v>200713</v>
          </cell>
          <cell r="E496" t="str">
            <v>C</v>
          </cell>
          <cell r="F496" t="str">
            <v>Account status = Closed</v>
          </cell>
          <cell r="G496" t="str">
            <v/>
          </cell>
          <cell r="H496" t="str">
            <v>R</v>
          </cell>
        </row>
        <row r="497">
          <cell r="B497" t="str">
            <v>BA190</v>
          </cell>
          <cell r="C497">
            <v>200109</v>
          </cell>
          <cell r="D497">
            <v>200713</v>
          </cell>
          <cell r="E497" t="str">
            <v>C</v>
          </cell>
          <cell r="F497" t="str">
            <v>Account status = Closed</v>
          </cell>
          <cell r="G497" t="str">
            <v/>
          </cell>
          <cell r="H497" t="str">
            <v>R</v>
          </cell>
        </row>
        <row r="498">
          <cell r="B498" t="str">
            <v>BA191</v>
          </cell>
          <cell r="C498">
            <v>200109</v>
          </cell>
          <cell r="D498">
            <v>200713</v>
          </cell>
          <cell r="E498" t="str">
            <v>C</v>
          </cell>
          <cell r="F498" t="str">
            <v>Account status = Closed</v>
          </cell>
          <cell r="G498" t="str">
            <v/>
          </cell>
          <cell r="H498" t="str">
            <v>R</v>
          </cell>
        </row>
        <row r="499">
          <cell r="B499" t="str">
            <v>BA192</v>
          </cell>
          <cell r="C499">
            <v>200109</v>
          </cell>
          <cell r="D499">
            <v>200713</v>
          </cell>
          <cell r="E499" t="str">
            <v>C</v>
          </cell>
          <cell r="F499" t="str">
            <v>Account status = Closed</v>
          </cell>
          <cell r="G499" t="str">
            <v/>
          </cell>
          <cell r="H499" t="str">
            <v>R</v>
          </cell>
        </row>
        <row r="500">
          <cell r="B500" t="str">
            <v>BA193</v>
          </cell>
          <cell r="C500">
            <v>200109</v>
          </cell>
          <cell r="D500">
            <v>200713</v>
          </cell>
          <cell r="E500" t="str">
            <v>C</v>
          </cell>
          <cell r="F500" t="str">
            <v>Account status = Closed</v>
          </cell>
          <cell r="G500" t="str">
            <v/>
          </cell>
          <cell r="H500" t="str">
            <v>R</v>
          </cell>
        </row>
        <row r="501">
          <cell r="B501" t="str">
            <v>BA194</v>
          </cell>
          <cell r="C501">
            <v>200101</v>
          </cell>
          <cell r="D501">
            <v>201300</v>
          </cell>
          <cell r="E501" t="str">
            <v>C</v>
          </cell>
          <cell r="F501" t="str">
            <v>Account status = Closed</v>
          </cell>
          <cell r="G501" t="str">
            <v/>
          </cell>
          <cell r="H501" t="str">
            <v>R</v>
          </cell>
        </row>
        <row r="502">
          <cell r="B502" t="str">
            <v>BZ180</v>
          </cell>
          <cell r="C502">
            <v>200503</v>
          </cell>
          <cell r="D502">
            <v>200713</v>
          </cell>
          <cell r="E502" t="str">
            <v>C</v>
          </cell>
          <cell r="F502" t="str">
            <v>Account status = Closed</v>
          </cell>
          <cell r="G502" t="str">
            <v/>
          </cell>
          <cell r="H502" t="str">
            <v>R</v>
          </cell>
        </row>
        <row r="503">
          <cell r="B503" t="str">
            <v>C2001</v>
          </cell>
          <cell r="C503">
            <v>200109</v>
          </cell>
          <cell r="D503">
            <v>209912</v>
          </cell>
          <cell r="E503" t="str">
            <v>N</v>
          </cell>
          <cell r="F503" t="str">
            <v/>
          </cell>
          <cell r="G503" t="str">
            <v/>
          </cell>
          <cell r="H503" t="str">
            <v>R</v>
          </cell>
        </row>
        <row r="504">
          <cell r="B504" t="str">
            <v>C2002</v>
          </cell>
          <cell r="C504">
            <v>200109</v>
          </cell>
          <cell r="D504">
            <v>209912</v>
          </cell>
          <cell r="E504" t="str">
            <v>N</v>
          </cell>
          <cell r="F504" t="str">
            <v/>
          </cell>
          <cell r="G504" t="str">
            <v/>
          </cell>
          <cell r="H504" t="str">
            <v>R</v>
          </cell>
        </row>
        <row r="505">
          <cell r="B505" t="str">
            <v>C2003</v>
          </cell>
          <cell r="C505">
            <v>199900</v>
          </cell>
          <cell r="D505">
            <v>209913</v>
          </cell>
          <cell r="E505" t="str">
            <v>N</v>
          </cell>
          <cell r="F505" t="str">
            <v/>
          </cell>
          <cell r="G505" t="str">
            <v/>
          </cell>
          <cell r="H505" t="str">
            <v>R</v>
          </cell>
        </row>
        <row r="506">
          <cell r="B506" t="str">
            <v>C2101</v>
          </cell>
          <cell r="C506">
            <v>200109</v>
          </cell>
          <cell r="D506">
            <v>209912</v>
          </cell>
          <cell r="E506" t="str">
            <v>N</v>
          </cell>
          <cell r="F506" t="str">
            <v/>
          </cell>
          <cell r="G506" t="str">
            <v/>
          </cell>
          <cell r="H506" t="str">
            <v>R</v>
          </cell>
        </row>
        <row r="507">
          <cell r="B507" t="str">
            <v>C2102</v>
          </cell>
          <cell r="C507">
            <v>200109</v>
          </cell>
          <cell r="D507">
            <v>209912</v>
          </cell>
          <cell r="E507" t="str">
            <v>N</v>
          </cell>
          <cell r="F507" t="str">
            <v/>
          </cell>
          <cell r="G507" t="str">
            <v/>
          </cell>
          <cell r="H507" t="str">
            <v>R</v>
          </cell>
        </row>
        <row r="508">
          <cell r="B508" t="str">
            <v>C2103</v>
          </cell>
          <cell r="C508">
            <v>200109</v>
          </cell>
          <cell r="D508">
            <v>200713</v>
          </cell>
          <cell r="E508" t="str">
            <v>C</v>
          </cell>
          <cell r="F508" t="str">
            <v>Account status = Closed</v>
          </cell>
          <cell r="G508" t="str">
            <v/>
          </cell>
          <cell r="H508" t="str">
            <v>R</v>
          </cell>
        </row>
        <row r="509">
          <cell r="B509" t="str">
            <v>C2104</v>
          </cell>
          <cell r="C509">
            <v>200109</v>
          </cell>
          <cell r="D509">
            <v>209912</v>
          </cell>
          <cell r="E509" t="str">
            <v>N</v>
          </cell>
          <cell r="F509" t="str">
            <v/>
          </cell>
          <cell r="G509" t="str">
            <v/>
          </cell>
          <cell r="H509" t="str">
            <v>R</v>
          </cell>
        </row>
        <row r="510">
          <cell r="B510" t="str">
            <v>C2201</v>
          </cell>
          <cell r="C510">
            <v>200109</v>
          </cell>
          <cell r="D510">
            <v>209912</v>
          </cell>
          <cell r="E510" t="str">
            <v>N</v>
          </cell>
          <cell r="F510" t="str">
            <v/>
          </cell>
          <cell r="G510" t="str">
            <v/>
          </cell>
          <cell r="H510" t="str">
            <v>R</v>
          </cell>
        </row>
        <row r="511">
          <cell r="B511" t="str">
            <v>C2202</v>
          </cell>
          <cell r="C511">
            <v>200109</v>
          </cell>
          <cell r="D511">
            <v>209912</v>
          </cell>
          <cell r="E511" t="str">
            <v>N</v>
          </cell>
          <cell r="F511" t="str">
            <v/>
          </cell>
          <cell r="G511" t="str">
            <v/>
          </cell>
          <cell r="H511" t="str">
            <v>R</v>
          </cell>
        </row>
        <row r="512">
          <cell r="B512" t="str">
            <v>C2203</v>
          </cell>
          <cell r="C512">
            <v>200109</v>
          </cell>
          <cell r="D512">
            <v>209912</v>
          </cell>
          <cell r="E512" t="str">
            <v>N</v>
          </cell>
          <cell r="F512" t="str">
            <v/>
          </cell>
          <cell r="G512" t="str">
            <v/>
          </cell>
          <cell r="H512" t="str">
            <v>R</v>
          </cell>
        </row>
        <row r="513">
          <cell r="B513" t="str">
            <v>C2204</v>
          </cell>
          <cell r="C513">
            <v>200109</v>
          </cell>
          <cell r="D513">
            <v>209912</v>
          </cell>
          <cell r="E513" t="str">
            <v>N</v>
          </cell>
          <cell r="F513" t="str">
            <v/>
          </cell>
          <cell r="G513" t="str">
            <v/>
          </cell>
          <cell r="H513" t="str">
            <v>R</v>
          </cell>
        </row>
        <row r="514">
          <cell r="B514" t="str">
            <v>C2301</v>
          </cell>
          <cell r="C514">
            <v>200109</v>
          </cell>
          <cell r="D514">
            <v>209912</v>
          </cell>
          <cell r="E514" t="str">
            <v>N</v>
          </cell>
          <cell r="F514" t="str">
            <v/>
          </cell>
          <cell r="G514" t="str">
            <v/>
          </cell>
          <cell r="H514" t="str">
            <v>R</v>
          </cell>
        </row>
        <row r="515">
          <cell r="B515" t="str">
            <v>C2302</v>
          </cell>
          <cell r="C515">
            <v>200109</v>
          </cell>
          <cell r="D515">
            <v>209912</v>
          </cell>
          <cell r="E515" t="str">
            <v>N</v>
          </cell>
          <cell r="F515" t="str">
            <v/>
          </cell>
          <cell r="G515" t="str">
            <v/>
          </cell>
          <cell r="H515" t="str">
            <v>R</v>
          </cell>
        </row>
        <row r="516">
          <cell r="B516" t="str">
            <v>C2303</v>
          </cell>
          <cell r="C516">
            <v>200109</v>
          </cell>
          <cell r="D516">
            <v>200713</v>
          </cell>
          <cell r="E516" t="str">
            <v>C</v>
          </cell>
          <cell r="F516" t="str">
            <v>Account status = Closed</v>
          </cell>
          <cell r="G516" t="str">
            <v/>
          </cell>
          <cell r="H516" t="str">
            <v>R</v>
          </cell>
        </row>
        <row r="517">
          <cell r="B517" t="str">
            <v>C2304</v>
          </cell>
          <cell r="C517">
            <v>200109</v>
          </cell>
          <cell r="D517">
            <v>209912</v>
          </cell>
          <cell r="E517" t="str">
            <v>N</v>
          </cell>
          <cell r="F517" t="str">
            <v/>
          </cell>
          <cell r="G517" t="str">
            <v/>
          </cell>
          <cell r="H517" t="str">
            <v>R</v>
          </cell>
        </row>
        <row r="518">
          <cell r="B518" t="str">
            <v>C2305</v>
          </cell>
          <cell r="C518">
            <v>200109</v>
          </cell>
          <cell r="D518">
            <v>200713</v>
          </cell>
          <cell r="E518" t="str">
            <v>C</v>
          </cell>
          <cell r="F518" t="str">
            <v>Account status = Closed</v>
          </cell>
          <cell r="G518" t="str">
            <v/>
          </cell>
          <cell r="H518" t="str">
            <v>R</v>
          </cell>
        </row>
        <row r="519">
          <cell r="B519" t="str">
            <v>C2401</v>
          </cell>
          <cell r="C519">
            <v>200109</v>
          </cell>
          <cell r="D519">
            <v>209912</v>
          </cell>
          <cell r="E519" t="str">
            <v>N</v>
          </cell>
          <cell r="F519" t="str">
            <v/>
          </cell>
          <cell r="G519" t="str">
            <v/>
          </cell>
          <cell r="H519" t="str">
            <v>R</v>
          </cell>
        </row>
        <row r="520">
          <cell r="B520" t="str">
            <v>C2402</v>
          </cell>
          <cell r="C520">
            <v>200109</v>
          </cell>
          <cell r="D520">
            <v>209912</v>
          </cell>
          <cell r="E520" t="str">
            <v>N</v>
          </cell>
          <cell r="F520" t="str">
            <v/>
          </cell>
          <cell r="G520" t="str">
            <v/>
          </cell>
          <cell r="H520" t="str">
            <v>R</v>
          </cell>
        </row>
        <row r="521">
          <cell r="B521" t="str">
            <v>C2403</v>
          </cell>
          <cell r="C521">
            <v>200611</v>
          </cell>
          <cell r="D521">
            <v>201300</v>
          </cell>
          <cell r="E521" t="str">
            <v>C</v>
          </cell>
          <cell r="F521" t="str">
            <v>Account status = Closed</v>
          </cell>
          <cell r="G521" t="str">
            <v/>
          </cell>
          <cell r="H521" t="str">
            <v>R</v>
          </cell>
        </row>
        <row r="522">
          <cell r="B522" t="str">
            <v>C2501</v>
          </cell>
          <cell r="C522">
            <v>200109</v>
          </cell>
          <cell r="D522">
            <v>209912</v>
          </cell>
          <cell r="E522" t="str">
            <v>N</v>
          </cell>
          <cell r="F522" t="str">
            <v/>
          </cell>
          <cell r="G522" t="str">
            <v/>
          </cell>
          <cell r="H522" t="str">
            <v>R</v>
          </cell>
        </row>
        <row r="523">
          <cell r="B523" t="str">
            <v>C2502</v>
          </cell>
          <cell r="C523">
            <v>200109</v>
          </cell>
          <cell r="D523">
            <v>209912</v>
          </cell>
          <cell r="E523" t="str">
            <v>N</v>
          </cell>
          <cell r="F523" t="str">
            <v/>
          </cell>
          <cell r="G523" t="str">
            <v/>
          </cell>
          <cell r="H523" t="str">
            <v>R</v>
          </cell>
        </row>
        <row r="524">
          <cell r="B524" t="str">
            <v>C2503</v>
          </cell>
          <cell r="C524">
            <v>200109</v>
          </cell>
          <cell r="D524">
            <v>209912</v>
          </cell>
          <cell r="E524" t="str">
            <v>N</v>
          </cell>
          <cell r="F524" t="str">
            <v/>
          </cell>
          <cell r="G524" t="str">
            <v/>
          </cell>
          <cell r="H524" t="str">
            <v>R</v>
          </cell>
        </row>
        <row r="525">
          <cell r="B525" t="str">
            <v>C2504</v>
          </cell>
          <cell r="C525">
            <v>200109</v>
          </cell>
          <cell r="D525">
            <v>200602</v>
          </cell>
          <cell r="E525" t="str">
            <v>C</v>
          </cell>
          <cell r="F525" t="str">
            <v>Account status = Closed</v>
          </cell>
          <cell r="G525" t="str">
            <v/>
          </cell>
          <cell r="H525" t="str">
            <v>R</v>
          </cell>
        </row>
        <row r="526">
          <cell r="B526" t="str">
            <v>C2505</v>
          </cell>
          <cell r="C526">
            <v>200911</v>
          </cell>
          <cell r="D526">
            <v>209912</v>
          </cell>
          <cell r="E526" t="str">
            <v>N</v>
          </cell>
          <cell r="F526" t="str">
            <v/>
          </cell>
          <cell r="G526" t="str">
            <v/>
          </cell>
          <cell r="H526" t="str">
            <v>R</v>
          </cell>
        </row>
        <row r="527">
          <cell r="B527" t="str">
            <v>C2506</v>
          </cell>
          <cell r="C527">
            <v>201101</v>
          </cell>
          <cell r="D527">
            <v>209912</v>
          </cell>
          <cell r="E527" t="str">
            <v>N</v>
          </cell>
          <cell r="F527" t="str">
            <v/>
          </cell>
          <cell r="G527" t="str">
            <v/>
          </cell>
          <cell r="H527" t="str">
            <v>R</v>
          </cell>
        </row>
        <row r="528">
          <cell r="B528" t="str">
            <v>C2601</v>
          </cell>
          <cell r="C528">
            <v>200109</v>
          </cell>
          <cell r="D528">
            <v>209912</v>
          </cell>
          <cell r="E528" t="str">
            <v>N</v>
          </cell>
          <cell r="F528" t="str">
            <v/>
          </cell>
          <cell r="G528" t="str">
            <v/>
          </cell>
          <cell r="H528" t="str">
            <v>R</v>
          </cell>
        </row>
        <row r="529">
          <cell r="B529" t="str">
            <v>C2602</v>
          </cell>
          <cell r="C529">
            <v>200109</v>
          </cell>
          <cell r="D529">
            <v>201113</v>
          </cell>
          <cell r="E529" t="str">
            <v>N</v>
          </cell>
          <cell r="F529" t="str">
            <v>Account closed from period 201113</v>
          </cell>
          <cell r="G529" t="str">
            <v/>
          </cell>
          <cell r="H529" t="str">
            <v>R</v>
          </cell>
        </row>
        <row r="530">
          <cell r="B530" t="str">
            <v>C2801</v>
          </cell>
          <cell r="C530">
            <v>200109</v>
          </cell>
          <cell r="D530">
            <v>209912</v>
          </cell>
          <cell r="E530" t="str">
            <v>N</v>
          </cell>
          <cell r="F530" t="str">
            <v/>
          </cell>
          <cell r="G530" t="str">
            <v/>
          </cell>
          <cell r="H530" t="str">
            <v>R</v>
          </cell>
        </row>
        <row r="531">
          <cell r="B531" t="str">
            <v>C2901</v>
          </cell>
          <cell r="C531">
            <v>200109</v>
          </cell>
          <cell r="D531">
            <v>200713</v>
          </cell>
          <cell r="E531" t="str">
            <v>C</v>
          </cell>
          <cell r="F531" t="str">
            <v>Account status = Closed</v>
          </cell>
          <cell r="G531" t="str">
            <v/>
          </cell>
          <cell r="H531" t="str">
            <v>R</v>
          </cell>
        </row>
        <row r="532">
          <cell r="B532" t="str">
            <v>C2902</v>
          </cell>
          <cell r="C532">
            <v>200109</v>
          </cell>
          <cell r="D532">
            <v>201300</v>
          </cell>
          <cell r="E532" t="str">
            <v>C</v>
          </cell>
          <cell r="F532" t="str">
            <v>Account status = Closed</v>
          </cell>
          <cell r="G532" t="str">
            <v/>
          </cell>
          <cell r="H532" t="str">
            <v>R</v>
          </cell>
        </row>
        <row r="533">
          <cell r="B533" t="str">
            <v>C2951</v>
          </cell>
          <cell r="C533">
            <v>200109</v>
          </cell>
          <cell r="D533">
            <v>201300</v>
          </cell>
          <cell r="E533" t="str">
            <v>C</v>
          </cell>
          <cell r="F533" t="str">
            <v>Account status = Closed</v>
          </cell>
          <cell r="G533" t="str">
            <v/>
          </cell>
          <cell r="H533" t="str">
            <v>R</v>
          </cell>
        </row>
        <row r="534">
          <cell r="B534" t="str">
            <v>C2952</v>
          </cell>
          <cell r="C534">
            <v>200109</v>
          </cell>
          <cell r="D534">
            <v>201412</v>
          </cell>
          <cell r="E534" t="str">
            <v>N</v>
          </cell>
          <cell r="F534" t="str">
            <v>Account closed from period 201412</v>
          </cell>
          <cell r="G534" t="str">
            <v/>
          </cell>
          <cell r="H534" t="str">
            <v>R</v>
          </cell>
        </row>
        <row r="535">
          <cell r="B535" t="str">
            <v>C2952</v>
          </cell>
          <cell r="C535">
            <v>201413</v>
          </cell>
          <cell r="D535">
            <v>209913</v>
          </cell>
          <cell r="E535" t="str">
            <v>N</v>
          </cell>
          <cell r="F535" t="str">
            <v/>
          </cell>
          <cell r="G535" t="str">
            <v/>
          </cell>
          <cell r="H535" t="str">
            <v>R</v>
          </cell>
        </row>
        <row r="536">
          <cell r="B536" t="str">
            <v>C2953</v>
          </cell>
          <cell r="C536">
            <v>200109</v>
          </cell>
          <cell r="D536">
            <v>200713</v>
          </cell>
          <cell r="E536" t="str">
            <v>C</v>
          </cell>
          <cell r="F536" t="str">
            <v>Account status = Closed</v>
          </cell>
          <cell r="G536" t="str">
            <v/>
          </cell>
          <cell r="H536" t="str">
            <v>R</v>
          </cell>
        </row>
        <row r="537">
          <cell r="B537" t="str">
            <v>C2996</v>
          </cell>
          <cell r="C537">
            <v>200310</v>
          </cell>
          <cell r="D537">
            <v>209913</v>
          </cell>
          <cell r="E537" t="str">
            <v>N</v>
          </cell>
          <cell r="F537" t="str">
            <v/>
          </cell>
          <cell r="G537" t="str">
            <v/>
          </cell>
          <cell r="H537" t="str">
            <v>R</v>
          </cell>
        </row>
        <row r="538">
          <cell r="B538" t="str">
            <v>C3045</v>
          </cell>
          <cell r="C538">
            <v>201400</v>
          </cell>
          <cell r="D538">
            <v>201400</v>
          </cell>
          <cell r="E538" t="str">
            <v>C</v>
          </cell>
          <cell r="F538" t="str">
            <v>Account status = Closed</v>
          </cell>
          <cell r="G538" t="str">
            <v/>
          </cell>
          <cell r="H538" t="str">
            <v>R</v>
          </cell>
        </row>
        <row r="539">
          <cell r="B539" t="str">
            <v>C3046</v>
          </cell>
          <cell r="C539">
            <v>201400</v>
          </cell>
          <cell r="D539">
            <v>201400</v>
          </cell>
          <cell r="E539" t="str">
            <v>C</v>
          </cell>
          <cell r="F539" t="str">
            <v>Account status = Closed</v>
          </cell>
          <cell r="G539" t="str">
            <v/>
          </cell>
          <cell r="H539" t="str">
            <v>R</v>
          </cell>
        </row>
        <row r="540">
          <cell r="B540" t="str">
            <v>C3047</v>
          </cell>
          <cell r="C540">
            <v>201400</v>
          </cell>
          <cell r="D540">
            <v>201400</v>
          </cell>
          <cell r="E540" t="str">
            <v>C</v>
          </cell>
          <cell r="F540" t="str">
            <v>Account status = Closed</v>
          </cell>
          <cell r="G540" t="str">
            <v/>
          </cell>
          <cell r="H540" t="str">
            <v>R</v>
          </cell>
        </row>
        <row r="541">
          <cell r="B541" t="str">
            <v>C3048</v>
          </cell>
          <cell r="C541">
            <v>201400</v>
          </cell>
          <cell r="D541">
            <v>201400</v>
          </cell>
          <cell r="E541" t="str">
            <v>C</v>
          </cell>
          <cell r="F541" t="str">
            <v>Account status = Closed</v>
          </cell>
          <cell r="G541" t="str">
            <v/>
          </cell>
          <cell r="H541" t="str">
            <v>R</v>
          </cell>
        </row>
        <row r="542">
          <cell r="B542" t="str">
            <v>C3049</v>
          </cell>
          <cell r="C542">
            <v>201400</v>
          </cell>
          <cell r="D542">
            <v>201400</v>
          </cell>
          <cell r="E542" t="str">
            <v>C</v>
          </cell>
          <cell r="F542" t="str">
            <v>Account status = Closed</v>
          </cell>
          <cell r="G542" t="str">
            <v/>
          </cell>
          <cell r="H542" t="str">
            <v>R</v>
          </cell>
        </row>
        <row r="543">
          <cell r="B543" t="str">
            <v>C3050</v>
          </cell>
          <cell r="C543">
            <v>201400</v>
          </cell>
          <cell r="D543">
            <v>201400</v>
          </cell>
          <cell r="E543" t="str">
            <v>C</v>
          </cell>
          <cell r="F543" t="str">
            <v>Account status = Closed</v>
          </cell>
          <cell r="G543" t="str">
            <v/>
          </cell>
          <cell r="H543" t="str">
            <v>R</v>
          </cell>
        </row>
        <row r="544">
          <cell r="B544" t="str">
            <v>D3001</v>
          </cell>
          <cell r="C544">
            <v>200109</v>
          </cell>
          <cell r="D544">
            <v>209912</v>
          </cell>
          <cell r="E544" t="str">
            <v>N</v>
          </cell>
          <cell r="F544" t="str">
            <v/>
          </cell>
          <cell r="G544" t="str">
            <v/>
          </cell>
          <cell r="H544" t="str">
            <v>R</v>
          </cell>
        </row>
        <row r="545">
          <cell r="B545" t="str">
            <v>D3002</v>
          </cell>
          <cell r="C545">
            <v>200109</v>
          </cell>
          <cell r="D545">
            <v>209912</v>
          </cell>
          <cell r="E545" t="str">
            <v>N</v>
          </cell>
          <cell r="F545" t="str">
            <v/>
          </cell>
          <cell r="G545" t="str">
            <v/>
          </cell>
          <cell r="H545" t="str">
            <v>R</v>
          </cell>
        </row>
        <row r="546">
          <cell r="B546" t="str">
            <v>D3003</v>
          </cell>
          <cell r="C546">
            <v>199900</v>
          </cell>
          <cell r="D546">
            <v>209912</v>
          </cell>
          <cell r="E546" t="str">
            <v>N</v>
          </cell>
          <cell r="F546" t="str">
            <v/>
          </cell>
          <cell r="G546" t="str">
            <v/>
          </cell>
          <cell r="H546" t="str">
            <v>R</v>
          </cell>
        </row>
        <row r="547">
          <cell r="B547" t="str">
            <v>D3004</v>
          </cell>
          <cell r="C547">
            <v>200109</v>
          </cell>
          <cell r="D547">
            <v>209912</v>
          </cell>
          <cell r="E547" t="str">
            <v>N</v>
          </cell>
          <cell r="F547" t="str">
            <v/>
          </cell>
          <cell r="G547" t="str">
            <v/>
          </cell>
          <cell r="H547" t="str">
            <v>R</v>
          </cell>
        </row>
        <row r="548">
          <cell r="B548" t="str">
            <v>D3006</v>
          </cell>
          <cell r="C548">
            <v>200109</v>
          </cell>
          <cell r="D548">
            <v>209912</v>
          </cell>
          <cell r="E548" t="str">
            <v>N</v>
          </cell>
          <cell r="F548" t="str">
            <v/>
          </cell>
          <cell r="G548" t="str">
            <v/>
          </cell>
          <cell r="H548" t="str">
            <v>R</v>
          </cell>
        </row>
        <row r="549">
          <cell r="B549" t="str">
            <v>D3007</v>
          </cell>
          <cell r="C549">
            <v>200109</v>
          </cell>
          <cell r="D549">
            <v>209912</v>
          </cell>
          <cell r="E549" t="str">
            <v>N</v>
          </cell>
          <cell r="F549" t="str">
            <v/>
          </cell>
          <cell r="G549" t="str">
            <v/>
          </cell>
          <cell r="H549" t="str">
            <v>R</v>
          </cell>
        </row>
        <row r="550">
          <cell r="B550" t="str">
            <v>D3008</v>
          </cell>
          <cell r="C550">
            <v>200109</v>
          </cell>
          <cell r="D550">
            <v>209912</v>
          </cell>
          <cell r="E550" t="str">
            <v>N</v>
          </cell>
          <cell r="F550" t="str">
            <v/>
          </cell>
          <cell r="G550" t="str">
            <v/>
          </cell>
          <cell r="H550" t="str">
            <v>R</v>
          </cell>
        </row>
        <row r="551">
          <cell r="B551" t="str">
            <v>D3009</v>
          </cell>
          <cell r="C551">
            <v>200109</v>
          </cell>
          <cell r="D551">
            <v>201300</v>
          </cell>
          <cell r="E551" t="str">
            <v>C</v>
          </cell>
          <cell r="F551" t="str">
            <v>Account status = Closed</v>
          </cell>
          <cell r="G551" t="str">
            <v/>
          </cell>
          <cell r="H551" t="str">
            <v>R</v>
          </cell>
        </row>
        <row r="552">
          <cell r="B552" t="str">
            <v>D3010</v>
          </cell>
          <cell r="C552">
            <v>200109</v>
          </cell>
          <cell r="D552">
            <v>209912</v>
          </cell>
          <cell r="E552" t="str">
            <v>N</v>
          </cell>
          <cell r="F552" t="str">
            <v/>
          </cell>
          <cell r="G552" t="str">
            <v/>
          </cell>
          <cell r="H552" t="str">
            <v>R</v>
          </cell>
        </row>
        <row r="553">
          <cell r="B553" t="str">
            <v>D3011</v>
          </cell>
          <cell r="C553">
            <v>200109</v>
          </cell>
          <cell r="D553">
            <v>209912</v>
          </cell>
          <cell r="E553" t="str">
            <v>N</v>
          </cell>
          <cell r="F553" t="str">
            <v/>
          </cell>
          <cell r="G553" t="str">
            <v/>
          </cell>
          <cell r="H553" t="str">
            <v>R</v>
          </cell>
        </row>
        <row r="554">
          <cell r="B554" t="str">
            <v>D3012</v>
          </cell>
          <cell r="C554">
            <v>200109</v>
          </cell>
          <cell r="D554">
            <v>209912</v>
          </cell>
          <cell r="E554" t="str">
            <v>N</v>
          </cell>
          <cell r="F554" t="str">
            <v/>
          </cell>
          <cell r="G554" t="str">
            <v/>
          </cell>
          <cell r="H554" t="str">
            <v>R</v>
          </cell>
        </row>
        <row r="555">
          <cell r="B555" t="str">
            <v>D3013</v>
          </cell>
          <cell r="C555">
            <v>200109</v>
          </cell>
          <cell r="D555">
            <v>209912</v>
          </cell>
          <cell r="E555" t="str">
            <v>N</v>
          </cell>
          <cell r="F555" t="str">
            <v/>
          </cell>
          <cell r="G555" t="str">
            <v/>
          </cell>
          <cell r="H555" t="str">
            <v>R</v>
          </cell>
        </row>
        <row r="556">
          <cell r="B556" t="str">
            <v>D3014</v>
          </cell>
          <cell r="C556">
            <v>200901</v>
          </cell>
          <cell r="D556">
            <v>209912</v>
          </cell>
          <cell r="E556" t="str">
            <v>N</v>
          </cell>
          <cell r="F556" t="str">
            <v/>
          </cell>
          <cell r="G556" t="str">
            <v/>
          </cell>
          <cell r="H556" t="str">
            <v>R</v>
          </cell>
        </row>
        <row r="557">
          <cell r="B557" t="str">
            <v>D3015</v>
          </cell>
          <cell r="C557">
            <v>200901</v>
          </cell>
          <cell r="D557">
            <v>209912</v>
          </cell>
          <cell r="E557" t="str">
            <v>N</v>
          </cell>
          <cell r="F557" t="str">
            <v/>
          </cell>
          <cell r="G557" t="str">
            <v/>
          </cell>
          <cell r="H557" t="str">
            <v>R</v>
          </cell>
        </row>
        <row r="558">
          <cell r="B558" t="str">
            <v>D3018</v>
          </cell>
          <cell r="C558">
            <v>199900</v>
          </cell>
          <cell r="D558">
            <v>209912</v>
          </cell>
          <cell r="E558" t="str">
            <v>N</v>
          </cell>
          <cell r="F558" t="str">
            <v/>
          </cell>
          <cell r="G558" t="str">
            <v/>
          </cell>
          <cell r="H558" t="str">
            <v>R</v>
          </cell>
        </row>
        <row r="559">
          <cell r="B559" t="str">
            <v>D3019</v>
          </cell>
          <cell r="C559">
            <v>200612</v>
          </cell>
          <cell r="D559">
            <v>209912</v>
          </cell>
          <cell r="E559" t="str">
            <v>N</v>
          </cell>
          <cell r="F559" t="str">
            <v/>
          </cell>
          <cell r="G559" t="str">
            <v/>
          </cell>
          <cell r="H559" t="str">
            <v>R</v>
          </cell>
        </row>
        <row r="560">
          <cell r="B560" t="str">
            <v>D3020</v>
          </cell>
          <cell r="C560">
            <v>200612</v>
          </cell>
          <cell r="D560">
            <v>209912</v>
          </cell>
          <cell r="E560" t="str">
            <v>N</v>
          </cell>
          <cell r="F560" t="str">
            <v/>
          </cell>
          <cell r="G560" t="str">
            <v/>
          </cell>
          <cell r="H560" t="str">
            <v>R</v>
          </cell>
        </row>
        <row r="561">
          <cell r="B561" t="str">
            <v>D3021</v>
          </cell>
          <cell r="C561">
            <v>200109</v>
          </cell>
          <cell r="D561">
            <v>209912</v>
          </cell>
          <cell r="E561" t="str">
            <v>N</v>
          </cell>
          <cell r="F561" t="str">
            <v/>
          </cell>
          <cell r="G561" t="str">
            <v/>
          </cell>
          <cell r="H561" t="str">
            <v>R</v>
          </cell>
        </row>
        <row r="562">
          <cell r="B562" t="str">
            <v>D3022</v>
          </cell>
          <cell r="C562">
            <v>200109</v>
          </cell>
          <cell r="D562">
            <v>209912</v>
          </cell>
          <cell r="E562" t="str">
            <v>N</v>
          </cell>
          <cell r="F562" t="str">
            <v/>
          </cell>
          <cell r="G562" t="str">
            <v/>
          </cell>
          <cell r="H562" t="str">
            <v>R</v>
          </cell>
        </row>
        <row r="563">
          <cell r="B563" t="str">
            <v>D3023</v>
          </cell>
          <cell r="C563">
            <v>200109</v>
          </cell>
          <cell r="D563">
            <v>209912</v>
          </cell>
          <cell r="E563" t="str">
            <v>N</v>
          </cell>
          <cell r="F563" t="str">
            <v/>
          </cell>
          <cell r="G563" t="str">
            <v/>
          </cell>
          <cell r="H563" t="str">
            <v>R</v>
          </cell>
        </row>
        <row r="564">
          <cell r="B564" t="str">
            <v>D3024</v>
          </cell>
          <cell r="C564">
            <v>200109</v>
          </cell>
          <cell r="D564">
            <v>209912</v>
          </cell>
          <cell r="E564" t="str">
            <v>N</v>
          </cell>
          <cell r="F564" t="str">
            <v/>
          </cell>
          <cell r="G564" t="str">
            <v/>
          </cell>
          <cell r="H564" t="str">
            <v>R</v>
          </cell>
        </row>
        <row r="565">
          <cell r="B565" t="str">
            <v>D3025</v>
          </cell>
          <cell r="C565">
            <v>200109</v>
          </cell>
          <cell r="D565">
            <v>209912</v>
          </cell>
          <cell r="E565" t="str">
            <v>N</v>
          </cell>
          <cell r="F565" t="str">
            <v/>
          </cell>
          <cell r="G565" t="str">
            <v/>
          </cell>
          <cell r="H565" t="str">
            <v>R</v>
          </cell>
        </row>
        <row r="566">
          <cell r="B566" t="str">
            <v>D3026</v>
          </cell>
          <cell r="C566">
            <v>200109</v>
          </cell>
          <cell r="D566">
            <v>209912</v>
          </cell>
          <cell r="E566" t="str">
            <v>N</v>
          </cell>
          <cell r="F566" t="str">
            <v/>
          </cell>
          <cell r="G566" t="str">
            <v/>
          </cell>
          <cell r="H566" t="str">
            <v>R</v>
          </cell>
        </row>
        <row r="567">
          <cell r="B567" t="str">
            <v>D3027</v>
          </cell>
          <cell r="C567">
            <v>200109</v>
          </cell>
          <cell r="D567">
            <v>209912</v>
          </cell>
          <cell r="E567" t="str">
            <v>N</v>
          </cell>
          <cell r="F567" t="str">
            <v/>
          </cell>
          <cell r="G567" t="str">
            <v/>
          </cell>
          <cell r="H567" t="str">
            <v>R</v>
          </cell>
        </row>
        <row r="568">
          <cell r="B568" t="str">
            <v>D3028</v>
          </cell>
          <cell r="C568">
            <v>200109</v>
          </cell>
          <cell r="D568">
            <v>209912</v>
          </cell>
          <cell r="E568" t="str">
            <v>N</v>
          </cell>
          <cell r="F568" t="str">
            <v/>
          </cell>
          <cell r="G568" t="str">
            <v/>
          </cell>
          <cell r="H568" t="str">
            <v>R</v>
          </cell>
        </row>
        <row r="569">
          <cell r="B569" t="str">
            <v>D3029</v>
          </cell>
          <cell r="C569">
            <v>201200</v>
          </cell>
          <cell r="D569">
            <v>209912</v>
          </cell>
          <cell r="E569" t="str">
            <v>N</v>
          </cell>
          <cell r="F569" t="str">
            <v/>
          </cell>
          <cell r="G569" t="str">
            <v/>
          </cell>
          <cell r="H569" t="str">
            <v>R</v>
          </cell>
        </row>
        <row r="570">
          <cell r="B570" t="str">
            <v>D3030</v>
          </cell>
          <cell r="C570">
            <v>200109</v>
          </cell>
          <cell r="D570">
            <v>209912</v>
          </cell>
          <cell r="E570" t="str">
            <v>N</v>
          </cell>
          <cell r="F570" t="str">
            <v/>
          </cell>
          <cell r="G570" t="str">
            <v/>
          </cell>
          <cell r="H570" t="str">
            <v>R</v>
          </cell>
        </row>
        <row r="571">
          <cell r="B571" t="str">
            <v>D3031</v>
          </cell>
          <cell r="C571">
            <v>200801</v>
          </cell>
          <cell r="D571">
            <v>209912</v>
          </cell>
          <cell r="E571" t="str">
            <v>N</v>
          </cell>
          <cell r="F571" t="str">
            <v/>
          </cell>
          <cell r="G571" t="str">
            <v/>
          </cell>
          <cell r="H571" t="str">
            <v>R</v>
          </cell>
        </row>
        <row r="572">
          <cell r="B572" t="str">
            <v>D3032</v>
          </cell>
          <cell r="C572">
            <v>200801</v>
          </cell>
          <cell r="D572">
            <v>209912</v>
          </cell>
          <cell r="E572" t="str">
            <v>N</v>
          </cell>
          <cell r="F572" t="str">
            <v/>
          </cell>
          <cell r="G572" t="str">
            <v/>
          </cell>
          <cell r="H572" t="str">
            <v>R</v>
          </cell>
        </row>
        <row r="573">
          <cell r="B573" t="str">
            <v>D3101</v>
          </cell>
          <cell r="C573">
            <v>200109</v>
          </cell>
          <cell r="D573">
            <v>209912</v>
          </cell>
          <cell r="E573" t="str">
            <v>N</v>
          </cell>
          <cell r="F573" t="str">
            <v/>
          </cell>
          <cell r="G573" t="str">
            <v/>
          </cell>
          <cell r="H573" t="str">
            <v>R</v>
          </cell>
        </row>
        <row r="574">
          <cell r="B574" t="str">
            <v>D3102</v>
          </cell>
          <cell r="C574">
            <v>200109</v>
          </cell>
          <cell r="D574">
            <v>209912</v>
          </cell>
          <cell r="E574" t="str">
            <v>N</v>
          </cell>
          <cell r="F574" t="str">
            <v/>
          </cell>
          <cell r="G574" t="str">
            <v/>
          </cell>
          <cell r="H574" t="str">
            <v>R</v>
          </cell>
        </row>
        <row r="575">
          <cell r="B575" t="str">
            <v>D3103</v>
          </cell>
          <cell r="C575">
            <v>200109</v>
          </cell>
          <cell r="D575">
            <v>209912</v>
          </cell>
          <cell r="E575" t="str">
            <v>N</v>
          </cell>
          <cell r="F575" t="str">
            <v/>
          </cell>
          <cell r="G575" t="str">
            <v/>
          </cell>
          <cell r="H575" t="str">
            <v>R</v>
          </cell>
        </row>
        <row r="576">
          <cell r="B576" t="str">
            <v>D3104</v>
          </cell>
          <cell r="C576">
            <v>200109</v>
          </cell>
          <cell r="D576">
            <v>209912</v>
          </cell>
          <cell r="E576" t="str">
            <v>N</v>
          </cell>
          <cell r="F576" t="str">
            <v/>
          </cell>
          <cell r="G576" t="str">
            <v/>
          </cell>
          <cell r="H576" t="str">
            <v>R</v>
          </cell>
        </row>
        <row r="577">
          <cell r="B577" t="str">
            <v>D3116</v>
          </cell>
          <cell r="C577">
            <v>199900</v>
          </cell>
          <cell r="D577">
            <v>209912</v>
          </cell>
          <cell r="E577" t="str">
            <v>N</v>
          </cell>
          <cell r="F577" t="str">
            <v/>
          </cell>
          <cell r="G577" t="str">
            <v/>
          </cell>
          <cell r="H577" t="str">
            <v>R</v>
          </cell>
        </row>
        <row r="578">
          <cell r="B578" t="str">
            <v>D3201</v>
          </cell>
          <cell r="C578">
            <v>200109</v>
          </cell>
          <cell r="D578">
            <v>209912</v>
          </cell>
          <cell r="E578" t="str">
            <v>N</v>
          </cell>
          <cell r="F578" t="str">
            <v/>
          </cell>
          <cell r="G578" t="str">
            <v/>
          </cell>
          <cell r="H578" t="str">
            <v>R</v>
          </cell>
        </row>
        <row r="579">
          <cell r="B579" t="str">
            <v>D3202</v>
          </cell>
          <cell r="C579">
            <v>200109</v>
          </cell>
          <cell r="D579">
            <v>209912</v>
          </cell>
          <cell r="E579" t="str">
            <v>N</v>
          </cell>
          <cell r="F579" t="str">
            <v/>
          </cell>
          <cell r="G579" t="str">
            <v/>
          </cell>
          <cell r="H579" t="str">
            <v>R</v>
          </cell>
        </row>
        <row r="580">
          <cell r="B580" t="str">
            <v>D3203</v>
          </cell>
          <cell r="C580">
            <v>200109</v>
          </cell>
          <cell r="D580">
            <v>200713</v>
          </cell>
          <cell r="E580" t="str">
            <v>C</v>
          </cell>
          <cell r="F580" t="str">
            <v>Account status = Closed</v>
          </cell>
          <cell r="G580" t="str">
            <v/>
          </cell>
          <cell r="H580" t="str">
            <v>R</v>
          </cell>
        </row>
        <row r="581">
          <cell r="B581" t="str">
            <v>D3204</v>
          </cell>
          <cell r="C581">
            <v>200109</v>
          </cell>
          <cell r="D581">
            <v>209912</v>
          </cell>
          <cell r="E581" t="str">
            <v>N</v>
          </cell>
          <cell r="F581" t="str">
            <v/>
          </cell>
          <cell r="G581" t="str">
            <v/>
          </cell>
          <cell r="H581" t="str">
            <v>R</v>
          </cell>
        </row>
        <row r="582">
          <cell r="B582" t="str">
            <v>D3301</v>
          </cell>
          <cell r="C582">
            <v>200109</v>
          </cell>
          <cell r="D582">
            <v>209912</v>
          </cell>
          <cell r="E582" t="str">
            <v>N</v>
          </cell>
          <cell r="F582" t="str">
            <v/>
          </cell>
          <cell r="G582" t="str">
            <v/>
          </cell>
          <cell r="H582" t="str">
            <v>R</v>
          </cell>
        </row>
        <row r="583">
          <cell r="B583" t="str">
            <v>D3302</v>
          </cell>
          <cell r="C583">
            <v>200109</v>
          </cell>
          <cell r="D583">
            <v>209912</v>
          </cell>
          <cell r="E583" t="str">
            <v>N</v>
          </cell>
          <cell r="F583" t="str">
            <v/>
          </cell>
          <cell r="G583" t="str">
            <v/>
          </cell>
          <cell r="H583" t="str">
            <v>R</v>
          </cell>
        </row>
        <row r="584">
          <cell r="B584" t="str">
            <v>D3303</v>
          </cell>
          <cell r="C584">
            <v>200109</v>
          </cell>
          <cell r="D584">
            <v>209912</v>
          </cell>
          <cell r="E584" t="str">
            <v>N</v>
          </cell>
          <cell r="F584" t="str">
            <v/>
          </cell>
          <cell r="G584" t="str">
            <v/>
          </cell>
          <cell r="H584" t="str">
            <v>R</v>
          </cell>
        </row>
        <row r="585">
          <cell r="B585" t="str">
            <v>D3304</v>
          </cell>
          <cell r="C585">
            <v>200109</v>
          </cell>
          <cell r="D585">
            <v>209912</v>
          </cell>
          <cell r="E585" t="str">
            <v>N</v>
          </cell>
          <cell r="F585" t="str">
            <v/>
          </cell>
          <cell r="G585" t="str">
            <v/>
          </cell>
          <cell r="H585" t="str">
            <v>R</v>
          </cell>
        </row>
        <row r="586">
          <cell r="B586" t="str">
            <v>D3305</v>
          </cell>
          <cell r="C586">
            <v>200109</v>
          </cell>
          <cell r="D586">
            <v>209912</v>
          </cell>
          <cell r="E586" t="str">
            <v>N</v>
          </cell>
          <cell r="F586" t="str">
            <v/>
          </cell>
          <cell r="G586" t="str">
            <v/>
          </cell>
          <cell r="H586" t="str">
            <v>R</v>
          </cell>
        </row>
        <row r="587">
          <cell r="B587" t="str">
            <v>D3306</v>
          </cell>
          <cell r="C587">
            <v>200109</v>
          </cell>
          <cell r="D587">
            <v>209912</v>
          </cell>
          <cell r="E587" t="str">
            <v>N</v>
          </cell>
          <cell r="F587" t="str">
            <v/>
          </cell>
          <cell r="G587" t="str">
            <v/>
          </cell>
          <cell r="H587" t="str">
            <v>R</v>
          </cell>
        </row>
        <row r="588">
          <cell r="B588" t="str">
            <v>D3307</v>
          </cell>
          <cell r="C588">
            <v>200109</v>
          </cell>
          <cell r="D588">
            <v>209912</v>
          </cell>
          <cell r="E588" t="str">
            <v>N</v>
          </cell>
          <cell r="F588" t="str">
            <v/>
          </cell>
          <cell r="G588" t="str">
            <v/>
          </cell>
          <cell r="H588" t="str">
            <v>R</v>
          </cell>
        </row>
        <row r="589">
          <cell r="B589" t="str">
            <v>D3308</v>
          </cell>
          <cell r="C589">
            <v>200109</v>
          </cell>
          <cell r="D589">
            <v>209912</v>
          </cell>
          <cell r="E589" t="str">
            <v>N</v>
          </cell>
          <cell r="F589" t="str">
            <v/>
          </cell>
          <cell r="G589" t="str">
            <v/>
          </cell>
          <cell r="H589" t="str">
            <v>R</v>
          </cell>
        </row>
        <row r="590">
          <cell r="B590" t="str">
            <v>D3309</v>
          </cell>
          <cell r="C590">
            <v>200510</v>
          </cell>
          <cell r="D590">
            <v>200713</v>
          </cell>
          <cell r="E590" t="str">
            <v>C</v>
          </cell>
          <cell r="F590" t="str">
            <v>Account status = Closed</v>
          </cell>
          <cell r="G590" t="str">
            <v/>
          </cell>
          <cell r="H590" t="str">
            <v>R</v>
          </cell>
        </row>
        <row r="591">
          <cell r="B591" t="str">
            <v>D3311</v>
          </cell>
          <cell r="C591">
            <v>200701</v>
          </cell>
          <cell r="D591">
            <v>209912</v>
          </cell>
          <cell r="E591" t="str">
            <v>N</v>
          </cell>
          <cell r="F591" t="str">
            <v/>
          </cell>
          <cell r="G591" t="str">
            <v/>
          </cell>
          <cell r="H591" t="str">
            <v>R</v>
          </cell>
        </row>
        <row r="592">
          <cell r="B592" t="str">
            <v>D3312</v>
          </cell>
          <cell r="C592">
            <v>200701</v>
          </cell>
          <cell r="D592">
            <v>209912</v>
          </cell>
          <cell r="E592" t="str">
            <v>N</v>
          </cell>
          <cell r="F592" t="str">
            <v/>
          </cell>
          <cell r="G592" t="str">
            <v/>
          </cell>
          <cell r="H592" t="str">
            <v>R</v>
          </cell>
        </row>
        <row r="593">
          <cell r="B593" t="str">
            <v>D3313</v>
          </cell>
          <cell r="C593">
            <v>200701</v>
          </cell>
          <cell r="D593">
            <v>201300</v>
          </cell>
          <cell r="E593" t="str">
            <v>C</v>
          </cell>
          <cell r="F593" t="str">
            <v>Account status = Closed</v>
          </cell>
          <cell r="G593" t="str">
            <v/>
          </cell>
          <cell r="H593" t="str">
            <v>R</v>
          </cell>
        </row>
        <row r="594">
          <cell r="B594" t="str">
            <v>D3314</v>
          </cell>
          <cell r="C594">
            <v>200701</v>
          </cell>
          <cell r="D594">
            <v>200713</v>
          </cell>
          <cell r="E594" t="str">
            <v>C</v>
          </cell>
          <cell r="F594" t="str">
            <v>Account status = Closed</v>
          </cell>
          <cell r="G594" t="str">
            <v/>
          </cell>
          <cell r="H594" t="str">
            <v>R</v>
          </cell>
        </row>
        <row r="595">
          <cell r="B595" t="str">
            <v>D3318</v>
          </cell>
          <cell r="C595">
            <v>200701</v>
          </cell>
          <cell r="D595">
            <v>201300</v>
          </cell>
          <cell r="E595" t="str">
            <v>C</v>
          </cell>
          <cell r="F595" t="str">
            <v>Account status = Closed</v>
          </cell>
          <cell r="G595" t="str">
            <v/>
          </cell>
          <cell r="H595" t="str">
            <v>R</v>
          </cell>
        </row>
        <row r="596">
          <cell r="B596" t="str">
            <v>D3319</v>
          </cell>
          <cell r="C596">
            <v>200701</v>
          </cell>
          <cell r="D596">
            <v>209912</v>
          </cell>
          <cell r="E596" t="str">
            <v>N</v>
          </cell>
          <cell r="F596" t="str">
            <v/>
          </cell>
          <cell r="G596" t="str">
            <v/>
          </cell>
          <cell r="H596" t="str">
            <v>R</v>
          </cell>
        </row>
        <row r="597">
          <cell r="B597" t="str">
            <v>D3337</v>
          </cell>
          <cell r="C597">
            <v>200701</v>
          </cell>
          <cell r="D597">
            <v>209912</v>
          </cell>
          <cell r="E597" t="str">
            <v>N</v>
          </cell>
          <cell r="F597" t="str">
            <v/>
          </cell>
          <cell r="G597" t="str">
            <v/>
          </cell>
          <cell r="H597" t="str">
            <v>R</v>
          </cell>
        </row>
        <row r="598">
          <cell r="B598" t="str">
            <v>D3338</v>
          </cell>
          <cell r="C598">
            <v>200701</v>
          </cell>
          <cell r="D598">
            <v>209912</v>
          </cell>
          <cell r="E598" t="str">
            <v>N</v>
          </cell>
          <cell r="F598" t="str">
            <v/>
          </cell>
          <cell r="G598" t="str">
            <v/>
          </cell>
          <cell r="H598" t="str">
            <v>R</v>
          </cell>
        </row>
        <row r="599">
          <cell r="B599" t="str">
            <v>D3339</v>
          </cell>
          <cell r="C599">
            <v>200701</v>
          </cell>
          <cell r="D599">
            <v>209912</v>
          </cell>
          <cell r="E599" t="str">
            <v>N</v>
          </cell>
          <cell r="F599" t="str">
            <v/>
          </cell>
          <cell r="G599" t="str">
            <v/>
          </cell>
          <cell r="H599" t="str">
            <v>R</v>
          </cell>
        </row>
        <row r="600">
          <cell r="B600" t="str">
            <v>D3401</v>
          </cell>
          <cell r="C600">
            <v>200109</v>
          </cell>
          <cell r="D600">
            <v>209912</v>
          </cell>
          <cell r="E600" t="str">
            <v>N</v>
          </cell>
          <cell r="F600" t="str">
            <v/>
          </cell>
          <cell r="G600" t="str">
            <v/>
          </cell>
          <cell r="H600" t="str">
            <v>R</v>
          </cell>
        </row>
        <row r="601">
          <cell r="B601" t="str">
            <v>D3402</v>
          </cell>
          <cell r="C601">
            <v>200109</v>
          </cell>
          <cell r="D601">
            <v>209912</v>
          </cell>
          <cell r="E601" t="str">
            <v>N</v>
          </cell>
          <cell r="F601" t="str">
            <v/>
          </cell>
          <cell r="G601" t="str">
            <v/>
          </cell>
          <cell r="H601" t="str">
            <v>R</v>
          </cell>
        </row>
        <row r="602">
          <cell r="B602" t="str">
            <v>D3403</v>
          </cell>
          <cell r="C602">
            <v>200704</v>
          </cell>
          <cell r="D602">
            <v>200713</v>
          </cell>
          <cell r="E602" t="str">
            <v>C</v>
          </cell>
          <cell r="F602" t="str">
            <v>Account status = Closed</v>
          </cell>
          <cell r="G602" t="str">
            <v/>
          </cell>
          <cell r="H602" t="str">
            <v>R</v>
          </cell>
        </row>
        <row r="603">
          <cell r="B603" t="str">
            <v>D3411</v>
          </cell>
          <cell r="C603">
            <v>200109</v>
          </cell>
          <cell r="D603">
            <v>209912</v>
          </cell>
          <cell r="E603" t="str">
            <v>N</v>
          </cell>
          <cell r="F603" t="str">
            <v/>
          </cell>
          <cell r="G603" t="str">
            <v/>
          </cell>
          <cell r="H603" t="str">
            <v>R</v>
          </cell>
        </row>
        <row r="604">
          <cell r="B604" t="str">
            <v>D3412</v>
          </cell>
          <cell r="C604">
            <v>200109</v>
          </cell>
          <cell r="D604">
            <v>209912</v>
          </cell>
          <cell r="E604" t="str">
            <v>N</v>
          </cell>
          <cell r="F604" t="str">
            <v/>
          </cell>
          <cell r="G604" t="str">
            <v/>
          </cell>
          <cell r="H604" t="str">
            <v>R</v>
          </cell>
        </row>
        <row r="605">
          <cell r="B605" t="str">
            <v>D3413</v>
          </cell>
          <cell r="C605">
            <v>200109</v>
          </cell>
          <cell r="D605">
            <v>209912</v>
          </cell>
          <cell r="E605" t="str">
            <v>N</v>
          </cell>
          <cell r="F605" t="str">
            <v/>
          </cell>
          <cell r="G605" t="str">
            <v/>
          </cell>
          <cell r="H605" t="str">
            <v>R</v>
          </cell>
        </row>
        <row r="606">
          <cell r="B606" t="str">
            <v>D3414</v>
          </cell>
          <cell r="C606">
            <v>200109</v>
          </cell>
          <cell r="D606">
            <v>209912</v>
          </cell>
          <cell r="E606" t="str">
            <v>N</v>
          </cell>
          <cell r="F606" t="str">
            <v/>
          </cell>
          <cell r="G606" t="str">
            <v/>
          </cell>
          <cell r="H606" t="str">
            <v>R</v>
          </cell>
        </row>
        <row r="607">
          <cell r="B607" t="str">
            <v>D3415</v>
          </cell>
          <cell r="C607">
            <v>200109</v>
          </cell>
          <cell r="D607">
            <v>209912</v>
          </cell>
          <cell r="E607" t="str">
            <v>N</v>
          </cell>
          <cell r="F607" t="str">
            <v/>
          </cell>
          <cell r="G607" t="str">
            <v/>
          </cell>
          <cell r="H607" t="str">
            <v>R</v>
          </cell>
        </row>
        <row r="608">
          <cell r="B608" t="str">
            <v>D3416</v>
          </cell>
          <cell r="C608">
            <v>200109</v>
          </cell>
          <cell r="D608">
            <v>209912</v>
          </cell>
          <cell r="E608" t="str">
            <v>N</v>
          </cell>
          <cell r="F608" t="str">
            <v/>
          </cell>
          <cell r="G608" t="str">
            <v/>
          </cell>
          <cell r="H608" t="str">
            <v>R</v>
          </cell>
        </row>
        <row r="609">
          <cell r="B609" t="str">
            <v>D3417</v>
          </cell>
          <cell r="C609">
            <v>200212</v>
          </cell>
          <cell r="D609">
            <v>209912</v>
          </cell>
          <cell r="E609" t="str">
            <v>N</v>
          </cell>
          <cell r="F609" t="str">
            <v/>
          </cell>
          <cell r="G609" t="str">
            <v/>
          </cell>
          <cell r="H609" t="str">
            <v>R</v>
          </cell>
        </row>
        <row r="610">
          <cell r="B610" t="str">
            <v>D3418</v>
          </cell>
          <cell r="C610">
            <v>200109</v>
          </cell>
          <cell r="D610">
            <v>209912</v>
          </cell>
          <cell r="E610" t="str">
            <v>N</v>
          </cell>
          <cell r="F610" t="str">
            <v/>
          </cell>
          <cell r="G610" t="str">
            <v/>
          </cell>
          <cell r="H610" t="str">
            <v>R</v>
          </cell>
        </row>
        <row r="611">
          <cell r="B611" t="str">
            <v>D3419</v>
          </cell>
          <cell r="C611">
            <v>200109</v>
          </cell>
          <cell r="D611">
            <v>209912</v>
          </cell>
          <cell r="E611" t="str">
            <v>N</v>
          </cell>
          <cell r="F611" t="str">
            <v/>
          </cell>
          <cell r="G611" t="str">
            <v/>
          </cell>
          <cell r="H611" t="str">
            <v>R</v>
          </cell>
        </row>
        <row r="612">
          <cell r="B612" t="str">
            <v>D3420</v>
          </cell>
          <cell r="C612">
            <v>200109</v>
          </cell>
          <cell r="D612">
            <v>209912</v>
          </cell>
          <cell r="E612" t="str">
            <v>N</v>
          </cell>
          <cell r="F612" t="str">
            <v/>
          </cell>
          <cell r="G612" t="str">
            <v/>
          </cell>
          <cell r="H612" t="str">
            <v>R</v>
          </cell>
        </row>
        <row r="613">
          <cell r="B613" t="str">
            <v>D3421</v>
          </cell>
          <cell r="C613">
            <v>200109</v>
          </cell>
          <cell r="D613">
            <v>209912</v>
          </cell>
          <cell r="E613" t="str">
            <v>N</v>
          </cell>
          <cell r="F613" t="str">
            <v/>
          </cell>
          <cell r="G613" t="str">
            <v/>
          </cell>
          <cell r="H613" t="str">
            <v>R</v>
          </cell>
        </row>
        <row r="614">
          <cell r="B614" t="str">
            <v>D3423</v>
          </cell>
          <cell r="C614">
            <v>200109</v>
          </cell>
          <cell r="D614">
            <v>209912</v>
          </cell>
          <cell r="E614" t="str">
            <v>N</v>
          </cell>
          <cell r="F614" t="str">
            <v/>
          </cell>
          <cell r="G614" t="str">
            <v/>
          </cell>
          <cell r="H614" t="str">
            <v>R</v>
          </cell>
        </row>
        <row r="615">
          <cell r="B615" t="str">
            <v>D3424</v>
          </cell>
          <cell r="C615">
            <v>200701</v>
          </cell>
          <cell r="D615">
            <v>209912</v>
          </cell>
          <cell r="E615" t="str">
            <v>N</v>
          </cell>
          <cell r="F615" t="str">
            <v/>
          </cell>
          <cell r="G615" t="str">
            <v/>
          </cell>
          <cell r="H615" t="str">
            <v>R</v>
          </cell>
        </row>
        <row r="616">
          <cell r="B616" t="str">
            <v>D3425</v>
          </cell>
          <cell r="C616">
            <v>200109</v>
          </cell>
          <cell r="D616">
            <v>209912</v>
          </cell>
          <cell r="E616" t="str">
            <v>N</v>
          </cell>
          <cell r="F616" t="str">
            <v/>
          </cell>
          <cell r="G616" t="str">
            <v/>
          </cell>
          <cell r="H616" t="str">
            <v>R</v>
          </cell>
        </row>
        <row r="617">
          <cell r="B617" t="str">
            <v>D3426</v>
          </cell>
          <cell r="C617">
            <v>200712</v>
          </cell>
          <cell r="D617">
            <v>209912</v>
          </cell>
          <cell r="E617" t="str">
            <v>N</v>
          </cell>
          <cell r="F617" t="str">
            <v/>
          </cell>
          <cell r="G617" t="str">
            <v/>
          </cell>
          <cell r="H617" t="str">
            <v>R</v>
          </cell>
        </row>
        <row r="618">
          <cell r="B618" t="str">
            <v>D3427</v>
          </cell>
          <cell r="C618">
            <v>200712</v>
          </cell>
          <cell r="D618">
            <v>209912</v>
          </cell>
          <cell r="E618" t="str">
            <v>N</v>
          </cell>
          <cell r="F618" t="str">
            <v/>
          </cell>
          <cell r="G618" t="str">
            <v/>
          </cell>
          <cell r="H618" t="str">
            <v>R</v>
          </cell>
        </row>
        <row r="619">
          <cell r="B619" t="str">
            <v>D3428</v>
          </cell>
          <cell r="C619">
            <v>200109</v>
          </cell>
          <cell r="D619">
            <v>209912</v>
          </cell>
          <cell r="E619" t="str">
            <v>N</v>
          </cell>
          <cell r="F619" t="str">
            <v/>
          </cell>
          <cell r="G619" t="str">
            <v/>
          </cell>
          <cell r="H619" t="str">
            <v>R</v>
          </cell>
        </row>
        <row r="620">
          <cell r="B620" t="str">
            <v>D3429</v>
          </cell>
          <cell r="C620">
            <v>200210</v>
          </cell>
          <cell r="D620">
            <v>209912</v>
          </cell>
          <cell r="E620" t="str">
            <v>N</v>
          </cell>
          <cell r="F620" t="str">
            <v/>
          </cell>
          <cell r="G620" t="str">
            <v/>
          </cell>
          <cell r="H620" t="str">
            <v>R</v>
          </cell>
        </row>
        <row r="621">
          <cell r="B621" t="str">
            <v>D3430</v>
          </cell>
          <cell r="C621">
            <v>200109</v>
          </cell>
          <cell r="D621">
            <v>209912</v>
          </cell>
          <cell r="E621" t="str">
            <v>N</v>
          </cell>
          <cell r="F621" t="str">
            <v/>
          </cell>
          <cell r="G621" t="str">
            <v/>
          </cell>
          <cell r="H621" t="str">
            <v>R</v>
          </cell>
        </row>
        <row r="622">
          <cell r="B622" t="str">
            <v>D3431</v>
          </cell>
          <cell r="C622">
            <v>200806</v>
          </cell>
          <cell r="D622">
            <v>209912</v>
          </cell>
          <cell r="E622" t="str">
            <v>N</v>
          </cell>
          <cell r="F622" t="str">
            <v/>
          </cell>
          <cell r="G622" t="str">
            <v/>
          </cell>
          <cell r="H622" t="str">
            <v>R</v>
          </cell>
        </row>
        <row r="623">
          <cell r="B623" t="str">
            <v>D3433</v>
          </cell>
          <cell r="C623">
            <v>200109</v>
          </cell>
          <cell r="D623">
            <v>209912</v>
          </cell>
          <cell r="E623" t="str">
            <v>N</v>
          </cell>
          <cell r="F623" t="str">
            <v/>
          </cell>
          <cell r="G623" t="str">
            <v/>
          </cell>
          <cell r="H623" t="str">
            <v>R</v>
          </cell>
        </row>
        <row r="624">
          <cell r="B624" t="str">
            <v>D3434</v>
          </cell>
          <cell r="C624">
            <v>201000</v>
          </cell>
          <cell r="D624">
            <v>209912</v>
          </cell>
          <cell r="E624" t="str">
            <v>N</v>
          </cell>
          <cell r="F624" t="str">
            <v/>
          </cell>
          <cell r="G624" t="str">
            <v/>
          </cell>
          <cell r="H624" t="str">
            <v>R</v>
          </cell>
        </row>
        <row r="625">
          <cell r="B625" t="str">
            <v>D3435</v>
          </cell>
          <cell r="C625">
            <v>201000</v>
          </cell>
          <cell r="D625">
            <v>209912</v>
          </cell>
          <cell r="E625" t="str">
            <v>N</v>
          </cell>
          <cell r="F625" t="str">
            <v/>
          </cell>
          <cell r="G625" t="str">
            <v/>
          </cell>
          <cell r="H625" t="str">
            <v>R</v>
          </cell>
        </row>
        <row r="626">
          <cell r="B626" t="str">
            <v>D3438</v>
          </cell>
          <cell r="C626">
            <v>200109</v>
          </cell>
          <cell r="D626">
            <v>200713</v>
          </cell>
          <cell r="E626" t="str">
            <v>C</v>
          </cell>
          <cell r="F626" t="str">
            <v>Account status = Closed</v>
          </cell>
          <cell r="G626" t="str">
            <v/>
          </cell>
          <cell r="H626" t="str">
            <v>R</v>
          </cell>
        </row>
        <row r="627">
          <cell r="B627" t="str">
            <v>D3439</v>
          </cell>
          <cell r="C627">
            <v>200109</v>
          </cell>
          <cell r="D627">
            <v>200713</v>
          </cell>
          <cell r="E627" t="str">
            <v>C</v>
          </cell>
          <cell r="F627" t="str">
            <v>Account status = Closed</v>
          </cell>
          <cell r="G627" t="str">
            <v/>
          </cell>
          <cell r="H627" t="str">
            <v>R</v>
          </cell>
        </row>
        <row r="628">
          <cell r="B628" t="str">
            <v>D3440</v>
          </cell>
          <cell r="C628">
            <v>200109</v>
          </cell>
          <cell r="D628">
            <v>200713</v>
          </cell>
          <cell r="E628" t="str">
            <v>C</v>
          </cell>
          <cell r="F628" t="str">
            <v>Account status = Closed</v>
          </cell>
          <cell r="G628" t="str">
            <v/>
          </cell>
          <cell r="H628" t="str">
            <v>R</v>
          </cell>
        </row>
        <row r="629">
          <cell r="B629" t="str">
            <v>D3442</v>
          </cell>
          <cell r="C629">
            <v>200109</v>
          </cell>
          <cell r="D629">
            <v>209912</v>
          </cell>
          <cell r="E629" t="str">
            <v>N</v>
          </cell>
          <cell r="F629" t="str">
            <v/>
          </cell>
          <cell r="G629" t="str">
            <v/>
          </cell>
          <cell r="H629" t="str">
            <v>R</v>
          </cell>
        </row>
        <row r="630">
          <cell r="B630" t="str">
            <v>D3444</v>
          </cell>
          <cell r="C630">
            <v>200109</v>
          </cell>
          <cell r="D630">
            <v>209912</v>
          </cell>
          <cell r="E630" t="str">
            <v>N</v>
          </cell>
          <cell r="F630" t="str">
            <v/>
          </cell>
          <cell r="G630" t="str">
            <v/>
          </cell>
          <cell r="H630" t="str">
            <v>R</v>
          </cell>
        </row>
        <row r="631">
          <cell r="B631" t="str">
            <v>D3501</v>
          </cell>
          <cell r="C631">
            <v>200109</v>
          </cell>
          <cell r="D631">
            <v>209912</v>
          </cell>
          <cell r="E631" t="str">
            <v>N</v>
          </cell>
          <cell r="F631" t="str">
            <v/>
          </cell>
          <cell r="G631" t="str">
            <v/>
          </cell>
          <cell r="H631" t="str">
            <v>R</v>
          </cell>
        </row>
        <row r="632">
          <cell r="B632" t="str">
            <v>D3502</v>
          </cell>
          <cell r="C632">
            <v>200109</v>
          </cell>
          <cell r="D632">
            <v>209912</v>
          </cell>
          <cell r="E632" t="str">
            <v>N</v>
          </cell>
          <cell r="F632" t="str">
            <v/>
          </cell>
          <cell r="G632" t="str">
            <v/>
          </cell>
          <cell r="H632" t="str">
            <v>R</v>
          </cell>
        </row>
        <row r="633">
          <cell r="B633" t="str">
            <v>D3503</v>
          </cell>
          <cell r="C633">
            <v>200109</v>
          </cell>
          <cell r="D633">
            <v>209912</v>
          </cell>
          <cell r="E633" t="str">
            <v>N</v>
          </cell>
          <cell r="F633" t="str">
            <v/>
          </cell>
          <cell r="G633" t="str">
            <v/>
          </cell>
          <cell r="H633" t="str">
            <v>R</v>
          </cell>
        </row>
        <row r="634">
          <cell r="B634" t="str">
            <v>D3504</v>
          </cell>
          <cell r="C634">
            <v>200109</v>
          </cell>
          <cell r="D634">
            <v>209912</v>
          </cell>
          <cell r="E634" t="str">
            <v>N</v>
          </cell>
          <cell r="F634" t="str">
            <v/>
          </cell>
          <cell r="G634" t="str">
            <v/>
          </cell>
          <cell r="H634" t="str">
            <v>R</v>
          </cell>
        </row>
        <row r="635">
          <cell r="B635" t="str">
            <v>D3505</v>
          </cell>
          <cell r="C635">
            <v>200109</v>
          </cell>
          <cell r="D635">
            <v>209912</v>
          </cell>
          <cell r="E635" t="str">
            <v>N</v>
          </cell>
          <cell r="F635" t="str">
            <v/>
          </cell>
          <cell r="G635" t="str">
            <v/>
          </cell>
          <cell r="H635" t="str">
            <v>R</v>
          </cell>
        </row>
        <row r="636">
          <cell r="B636" t="str">
            <v>D3506</v>
          </cell>
          <cell r="C636">
            <v>199900</v>
          </cell>
          <cell r="D636">
            <v>209912</v>
          </cell>
          <cell r="E636" t="str">
            <v>N</v>
          </cell>
          <cell r="F636" t="str">
            <v/>
          </cell>
          <cell r="G636" t="str">
            <v/>
          </cell>
          <cell r="H636" t="str">
            <v>R</v>
          </cell>
        </row>
        <row r="637">
          <cell r="B637" t="str">
            <v>D3507</v>
          </cell>
          <cell r="C637">
            <v>200701</v>
          </cell>
          <cell r="D637">
            <v>209912</v>
          </cell>
          <cell r="E637" t="str">
            <v>N</v>
          </cell>
          <cell r="F637" t="str">
            <v/>
          </cell>
          <cell r="G637" t="str">
            <v/>
          </cell>
          <cell r="H637" t="str">
            <v>R</v>
          </cell>
        </row>
        <row r="638">
          <cell r="B638" t="str">
            <v>D3508</v>
          </cell>
          <cell r="C638">
            <v>200812</v>
          </cell>
          <cell r="D638">
            <v>209912</v>
          </cell>
          <cell r="E638" t="str">
            <v>N</v>
          </cell>
          <cell r="F638" t="str">
            <v/>
          </cell>
          <cell r="G638" t="str">
            <v/>
          </cell>
          <cell r="H638" t="str">
            <v>R</v>
          </cell>
        </row>
        <row r="639">
          <cell r="B639" t="str">
            <v>D3511</v>
          </cell>
          <cell r="C639">
            <v>200109</v>
          </cell>
          <cell r="D639">
            <v>209912</v>
          </cell>
          <cell r="E639" t="str">
            <v>N</v>
          </cell>
          <cell r="F639" t="str">
            <v/>
          </cell>
          <cell r="G639" t="str">
            <v/>
          </cell>
          <cell r="H639" t="str">
            <v>R</v>
          </cell>
        </row>
        <row r="640">
          <cell r="B640" t="str">
            <v>D3512</v>
          </cell>
          <cell r="C640">
            <v>200109</v>
          </cell>
          <cell r="D640">
            <v>209912</v>
          </cell>
          <cell r="E640" t="str">
            <v>N</v>
          </cell>
          <cell r="F640" t="str">
            <v/>
          </cell>
          <cell r="G640" t="str">
            <v/>
          </cell>
          <cell r="H640" t="str">
            <v>R</v>
          </cell>
        </row>
        <row r="641">
          <cell r="B641" t="str">
            <v>D3513</v>
          </cell>
          <cell r="C641">
            <v>200109</v>
          </cell>
          <cell r="D641">
            <v>209912</v>
          </cell>
          <cell r="E641" t="str">
            <v>N</v>
          </cell>
          <cell r="F641" t="str">
            <v/>
          </cell>
          <cell r="G641" t="str">
            <v/>
          </cell>
          <cell r="H641" t="str">
            <v>R</v>
          </cell>
        </row>
        <row r="642">
          <cell r="B642" t="str">
            <v>D3514</v>
          </cell>
          <cell r="C642">
            <v>200801</v>
          </cell>
          <cell r="D642">
            <v>209912</v>
          </cell>
          <cell r="E642" t="str">
            <v>N</v>
          </cell>
          <cell r="F642" t="str">
            <v/>
          </cell>
          <cell r="G642" t="str">
            <v/>
          </cell>
          <cell r="H642" t="str">
            <v>R</v>
          </cell>
        </row>
        <row r="643">
          <cell r="B643" t="str">
            <v>D3515</v>
          </cell>
          <cell r="C643">
            <v>200801</v>
          </cell>
          <cell r="D643">
            <v>209912</v>
          </cell>
          <cell r="E643" t="str">
            <v>N</v>
          </cell>
          <cell r="F643" t="str">
            <v/>
          </cell>
          <cell r="G643" t="str">
            <v/>
          </cell>
          <cell r="H643" t="str">
            <v>R</v>
          </cell>
        </row>
        <row r="644">
          <cell r="B644" t="str">
            <v>D3520</v>
          </cell>
          <cell r="C644">
            <v>200109</v>
          </cell>
          <cell r="D644">
            <v>209912</v>
          </cell>
          <cell r="E644" t="str">
            <v>N</v>
          </cell>
          <cell r="F644" t="str">
            <v/>
          </cell>
          <cell r="G644" t="str">
            <v/>
          </cell>
          <cell r="H644" t="str">
            <v>R</v>
          </cell>
        </row>
        <row r="645">
          <cell r="B645" t="str">
            <v>D3521</v>
          </cell>
          <cell r="C645">
            <v>200109</v>
          </cell>
          <cell r="D645">
            <v>209912</v>
          </cell>
          <cell r="E645" t="str">
            <v>N</v>
          </cell>
          <cell r="F645" t="str">
            <v/>
          </cell>
          <cell r="G645" t="str">
            <v/>
          </cell>
          <cell r="H645" t="str">
            <v>R</v>
          </cell>
        </row>
        <row r="646">
          <cell r="B646" t="str">
            <v>D3522</v>
          </cell>
          <cell r="C646">
            <v>200109</v>
          </cell>
          <cell r="D646">
            <v>209912</v>
          </cell>
          <cell r="E646" t="str">
            <v>N</v>
          </cell>
          <cell r="F646" t="str">
            <v/>
          </cell>
          <cell r="G646" t="str">
            <v/>
          </cell>
          <cell r="H646" t="str">
            <v>R</v>
          </cell>
        </row>
        <row r="647">
          <cell r="B647" t="str">
            <v>D3523</v>
          </cell>
          <cell r="C647">
            <v>200109</v>
          </cell>
          <cell r="D647">
            <v>209912</v>
          </cell>
          <cell r="E647" t="str">
            <v>N</v>
          </cell>
          <cell r="F647" t="str">
            <v/>
          </cell>
          <cell r="G647" t="str">
            <v/>
          </cell>
          <cell r="H647" t="str">
            <v>R</v>
          </cell>
        </row>
        <row r="648">
          <cell r="B648" t="str">
            <v>D3530</v>
          </cell>
          <cell r="C648">
            <v>200109</v>
          </cell>
          <cell r="D648">
            <v>209912</v>
          </cell>
          <cell r="E648" t="str">
            <v>N</v>
          </cell>
          <cell r="F648" t="str">
            <v/>
          </cell>
          <cell r="G648" t="str">
            <v/>
          </cell>
          <cell r="H648" t="str">
            <v>R</v>
          </cell>
        </row>
        <row r="649">
          <cell r="B649" t="str">
            <v>D3531</v>
          </cell>
          <cell r="C649">
            <v>200109</v>
          </cell>
          <cell r="D649">
            <v>209912</v>
          </cell>
          <cell r="E649" t="str">
            <v>N</v>
          </cell>
          <cell r="F649" t="str">
            <v/>
          </cell>
          <cell r="G649" t="str">
            <v/>
          </cell>
          <cell r="H649" t="str">
            <v>R</v>
          </cell>
        </row>
        <row r="650">
          <cell r="B650" t="str">
            <v>D3532</v>
          </cell>
          <cell r="C650">
            <v>200109</v>
          </cell>
          <cell r="D650">
            <v>201300</v>
          </cell>
          <cell r="E650" t="str">
            <v>C</v>
          </cell>
          <cell r="F650" t="str">
            <v>Account status = Closed</v>
          </cell>
          <cell r="G650" t="str">
            <v/>
          </cell>
          <cell r="H650" t="str">
            <v>R</v>
          </cell>
        </row>
        <row r="651">
          <cell r="B651" t="str">
            <v>D3533</v>
          </cell>
          <cell r="C651">
            <v>200109</v>
          </cell>
          <cell r="D651">
            <v>201300</v>
          </cell>
          <cell r="E651" t="str">
            <v>C</v>
          </cell>
          <cell r="F651" t="str">
            <v>Account status = Closed</v>
          </cell>
          <cell r="G651" t="str">
            <v/>
          </cell>
          <cell r="H651" t="str">
            <v>R</v>
          </cell>
        </row>
        <row r="652">
          <cell r="B652" t="str">
            <v>D3540</v>
          </cell>
          <cell r="C652">
            <v>200109</v>
          </cell>
          <cell r="D652">
            <v>209912</v>
          </cell>
          <cell r="E652" t="str">
            <v>N</v>
          </cell>
          <cell r="F652" t="str">
            <v/>
          </cell>
          <cell r="G652" t="str">
            <v/>
          </cell>
          <cell r="H652" t="str">
            <v>R</v>
          </cell>
        </row>
        <row r="653">
          <cell r="B653" t="str">
            <v>D3541</v>
          </cell>
          <cell r="C653">
            <v>200109</v>
          </cell>
          <cell r="D653">
            <v>209912</v>
          </cell>
          <cell r="E653" t="str">
            <v>N</v>
          </cell>
          <cell r="F653" t="str">
            <v/>
          </cell>
          <cell r="G653" t="str">
            <v/>
          </cell>
          <cell r="H653" t="str">
            <v>R</v>
          </cell>
        </row>
        <row r="654">
          <cell r="B654" t="str">
            <v>D3542</v>
          </cell>
          <cell r="C654">
            <v>200602</v>
          </cell>
          <cell r="D654">
            <v>209913</v>
          </cell>
          <cell r="E654" t="str">
            <v>N</v>
          </cell>
          <cell r="F654" t="str">
            <v/>
          </cell>
          <cell r="G654" t="str">
            <v/>
          </cell>
          <cell r="H654" t="str">
            <v>R</v>
          </cell>
        </row>
        <row r="655">
          <cell r="B655" t="str">
            <v>D3560</v>
          </cell>
          <cell r="C655">
            <v>200201</v>
          </cell>
          <cell r="D655">
            <v>200713</v>
          </cell>
          <cell r="E655" t="str">
            <v>C</v>
          </cell>
          <cell r="F655" t="str">
            <v>Account status = Closed</v>
          </cell>
          <cell r="G655" t="str">
            <v/>
          </cell>
          <cell r="H655" t="str">
            <v>R</v>
          </cell>
        </row>
        <row r="656">
          <cell r="B656" t="str">
            <v>D3600</v>
          </cell>
          <cell r="C656">
            <v>200304</v>
          </cell>
          <cell r="D656">
            <v>209912</v>
          </cell>
          <cell r="E656" t="str">
            <v>N</v>
          </cell>
          <cell r="F656" t="str">
            <v/>
          </cell>
          <cell r="G656" t="str">
            <v/>
          </cell>
          <cell r="H656" t="str">
            <v>R</v>
          </cell>
        </row>
        <row r="657">
          <cell r="B657" t="str">
            <v>D3601</v>
          </cell>
          <cell r="C657">
            <v>200109</v>
          </cell>
          <cell r="D657">
            <v>209912</v>
          </cell>
          <cell r="E657" t="str">
            <v>N</v>
          </cell>
          <cell r="F657" t="str">
            <v/>
          </cell>
          <cell r="G657" t="str">
            <v/>
          </cell>
          <cell r="H657" t="str">
            <v>R</v>
          </cell>
        </row>
        <row r="658">
          <cell r="B658" t="str">
            <v>D3602</v>
          </cell>
          <cell r="C658">
            <v>200109</v>
          </cell>
          <cell r="D658">
            <v>209912</v>
          </cell>
          <cell r="E658" t="str">
            <v>N</v>
          </cell>
          <cell r="F658" t="str">
            <v/>
          </cell>
          <cell r="G658" t="str">
            <v/>
          </cell>
          <cell r="H658" t="str">
            <v>R</v>
          </cell>
        </row>
        <row r="659">
          <cell r="B659" t="str">
            <v>D3603</v>
          </cell>
          <cell r="C659">
            <v>200109</v>
          </cell>
          <cell r="D659">
            <v>209912</v>
          </cell>
          <cell r="E659" t="str">
            <v>N</v>
          </cell>
          <cell r="F659" t="str">
            <v/>
          </cell>
          <cell r="G659" t="str">
            <v/>
          </cell>
          <cell r="H659" t="str">
            <v>R</v>
          </cell>
        </row>
        <row r="660">
          <cell r="B660" t="str">
            <v>D3604</v>
          </cell>
          <cell r="C660">
            <v>200109</v>
          </cell>
          <cell r="D660">
            <v>209912</v>
          </cell>
          <cell r="E660" t="str">
            <v>N</v>
          </cell>
          <cell r="F660" t="str">
            <v/>
          </cell>
          <cell r="G660" t="str">
            <v/>
          </cell>
          <cell r="H660" t="str">
            <v>R</v>
          </cell>
        </row>
        <row r="661">
          <cell r="B661" t="str">
            <v>D3605</v>
          </cell>
          <cell r="C661">
            <v>200109</v>
          </cell>
          <cell r="D661">
            <v>209912</v>
          </cell>
          <cell r="E661" t="str">
            <v>N</v>
          </cell>
          <cell r="F661" t="str">
            <v/>
          </cell>
          <cell r="G661" t="str">
            <v/>
          </cell>
          <cell r="H661" t="str">
            <v>R</v>
          </cell>
        </row>
        <row r="662">
          <cell r="B662" t="str">
            <v>D3606</v>
          </cell>
          <cell r="C662">
            <v>200109</v>
          </cell>
          <cell r="D662">
            <v>209912</v>
          </cell>
          <cell r="E662" t="str">
            <v>N</v>
          </cell>
          <cell r="F662" t="str">
            <v/>
          </cell>
          <cell r="G662" t="str">
            <v/>
          </cell>
          <cell r="H662" t="str">
            <v>R</v>
          </cell>
        </row>
        <row r="663">
          <cell r="B663" t="str">
            <v>D3607</v>
          </cell>
          <cell r="C663">
            <v>200109</v>
          </cell>
          <cell r="D663">
            <v>200713</v>
          </cell>
          <cell r="E663" t="str">
            <v>C</v>
          </cell>
          <cell r="F663" t="str">
            <v>Account status = Closed</v>
          </cell>
          <cell r="G663" t="str">
            <v/>
          </cell>
          <cell r="H663" t="str">
            <v>R</v>
          </cell>
        </row>
        <row r="664">
          <cell r="B664" t="str">
            <v>D3608</v>
          </cell>
          <cell r="C664">
            <v>200109</v>
          </cell>
          <cell r="D664">
            <v>209912</v>
          </cell>
          <cell r="E664" t="str">
            <v>N</v>
          </cell>
          <cell r="F664" t="str">
            <v/>
          </cell>
          <cell r="G664" t="str">
            <v/>
          </cell>
          <cell r="H664" t="str">
            <v>R</v>
          </cell>
        </row>
        <row r="665">
          <cell r="B665" t="str">
            <v>D3609</v>
          </cell>
          <cell r="C665">
            <v>200211</v>
          </cell>
          <cell r="D665">
            <v>209912</v>
          </cell>
          <cell r="E665" t="str">
            <v>N</v>
          </cell>
          <cell r="F665" t="str">
            <v/>
          </cell>
          <cell r="G665" t="str">
            <v/>
          </cell>
          <cell r="H665" t="str">
            <v>R</v>
          </cell>
        </row>
        <row r="666">
          <cell r="B666" t="str">
            <v>D3610</v>
          </cell>
          <cell r="C666">
            <v>200301</v>
          </cell>
          <cell r="D666">
            <v>209912</v>
          </cell>
          <cell r="E666" t="str">
            <v>N</v>
          </cell>
          <cell r="F666" t="str">
            <v/>
          </cell>
          <cell r="G666" t="str">
            <v/>
          </cell>
          <cell r="H666" t="str">
            <v>R</v>
          </cell>
        </row>
        <row r="667">
          <cell r="B667" t="str">
            <v>D3611</v>
          </cell>
          <cell r="C667">
            <v>200304</v>
          </cell>
          <cell r="D667">
            <v>209912</v>
          </cell>
          <cell r="E667" t="str">
            <v>N</v>
          </cell>
          <cell r="F667" t="str">
            <v/>
          </cell>
          <cell r="G667" t="str">
            <v/>
          </cell>
          <cell r="H667" t="str">
            <v>R</v>
          </cell>
        </row>
        <row r="668">
          <cell r="B668" t="str">
            <v>D3612</v>
          </cell>
          <cell r="C668">
            <v>200501</v>
          </cell>
          <cell r="D668">
            <v>209912</v>
          </cell>
          <cell r="E668" t="str">
            <v>N</v>
          </cell>
          <cell r="F668" t="str">
            <v/>
          </cell>
          <cell r="G668" t="str">
            <v/>
          </cell>
          <cell r="H668" t="str">
            <v>R</v>
          </cell>
        </row>
        <row r="669">
          <cell r="B669" t="str">
            <v>D3619</v>
          </cell>
          <cell r="C669">
            <v>200406</v>
          </cell>
          <cell r="D669">
            <v>201300</v>
          </cell>
          <cell r="E669" t="str">
            <v>C</v>
          </cell>
          <cell r="F669" t="str">
            <v>Account status = Closed</v>
          </cell>
          <cell r="G669" t="str">
            <v/>
          </cell>
          <cell r="H669" t="str">
            <v>R</v>
          </cell>
        </row>
        <row r="670">
          <cell r="B670" t="str">
            <v>D3650</v>
          </cell>
          <cell r="C670">
            <v>200901</v>
          </cell>
          <cell r="D670">
            <v>209912</v>
          </cell>
          <cell r="E670" t="str">
            <v>N</v>
          </cell>
          <cell r="F670" t="str">
            <v/>
          </cell>
          <cell r="G670" t="str">
            <v/>
          </cell>
          <cell r="H670" t="str">
            <v>R</v>
          </cell>
        </row>
        <row r="671">
          <cell r="B671" t="str">
            <v>D3701</v>
          </cell>
          <cell r="C671">
            <v>200109</v>
          </cell>
          <cell r="D671">
            <v>209912</v>
          </cell>
          <cell r="E671" t="str">
            <v>N</v>
          </cell>
          <cell r="F671" t="str">
            <v/>
          </cell>
          <cell r="G671" t="str">
            <v/>
          </cell>
          <cell r="H671" t="str">
            <v>R</v>
          </cell>
        </row>
        <row r="672">
          <cell r="B672" t="str">
            <v>D3702</v>
          </cell>
          <cell r="C672">
            <v>200109</v>
          </cell>
          <cell r="D672">
            <v>209912</v>
          </cell>
          <cell r="E672" t="str">
            <v>N</v>
          </cell>
          <cell r="F672" t="str">
            <v/>
          </cell>
          <cell r="G672" t="str">
            <v/>
          </cell>
          <cell r="H672" t="str">
            <v>R</v>
          </cell>
        </row>
        <row r="673">
          <cell r="B673" t="str">
            <v>D3703</v>
          </cell>
          <cell r="C673">
            <v>200109</v>
          </cell>
          <cell r="D673">
            <v>209912</v>
          </cell>
          <cell r="E673" t="str">
            <v>N</v>
          </cell>
          <cell r="F673" t="str">
            <v/>
          </cell>
          <cell r="G673" t="str">
            <v/>
          </cell>
          <cell r="H673" t="str">
            <v>R</v>
          </cell>
        </row>
        <row r="674">
          <cell r="B674" t="str">
            <v>D3704</v>
          </cell>
          <cell r="C674">
            <v>200109</v>
          </cell>
          <cell r="D674">
            <v>209912</v>
          </cell>
          <cell r="E674" t="str">
            <v>N</v>
          </cell>
          <cell r="F674" t="str">
            <v/>
          </cell>
          <cell r="G674" t="str">
            <v/>
          </cell>
          <cell r="H674" t="str">
            <v>R</v>
          </cell>
        </row>
        <row r="675">
          <cell r="B675" t="str">
            <v>D3705</v>
          </cell>
          <cell r="C675">
            <v>200109</v>
          </cell>
          <cell r="D675">
            <v>209912</v>
          </cell>
          <cell r="E675" t="str">
            <v>N</v>
          </cell>
          <cell r="F675" t="str">
            <v/>
          </cell>
          <cell r="G675" t="str">
            <v/>
          </cell>
          <cell r="H675" t="str">
            <v>R</v>
          </cell>
        </row>
        <row r="676">
          <cell r="B676" t="str">
            <v>D3706</v>
          </cell>
          <cell r="C676">
            <v>200109</v>
          </cell>
          <cell r="D676">
            <v>201300</v>
          </cell>
          <cell r="E676" t="str">
            <v>C</v>
          </cell>
          <cell r="F676" t="str">
            <v>Account status = Closed</v>
          </cell>
          <cell r="G676" t="str">
            <v/>
          </cell>
          <cell r="H676" t="str">
            <v>R</v>
          </cell>
        </row>
        <row r="677">
          <cell r="B677" t="str">
            <v>D3707</v>
          </cell>
          <cell r="C677">
            <v>200109</v>
          </cell>
          <cell r="D677">
            <v>200112</v>
          </cell>
          <cell r="E677" t="str">
            <v>C</v>
          </cell>
          <cell r="F677" t="str">
            <v>Account status = Closed</v>
          </cell>
          <cell r="G677" t="str">
            <v/>
          </cell>
          <cell r="H677" t="str">
            <v>R</v>
          </cell>
        </row>
        <row r="678">
          <cell r="B678" t="str">
            <v>D3708</v>
          </cell>
          <cell r="C678">
            <v>200109</v>
          </cell>
          <cell r="D678">
            <v>200112</v>
          </cell>
          <cell r="E678" t="str">
            <v>C</v>
          </cell>
          <cell r="F678" t="str">
            <v>Account status = Closed</v>
          </cell>
          <cell r="G678" t="str">
            <v/>
          </cell>
          <cell r="H678" t="str">
            <v>R</v>
          </cell>
        </row>
        <row r="679">
          <cell r="B679" t="str">
            <v>D3709</v>
          </cell>
          <cell r="C679">
            <v>200109</v>
          </cell>
          <cell r="D679">
            <v>201300</v>
          </cell>
          <cell r="E679" t="str">
            <v>C</v>
          </cell>
          <cell r="F679" t="str">
            <v>Account status = Closed</v>
          </cell>
          <cell r="G679" t="str">
            <v/>
          </cell>
          <cell r="H679" t="str">
            <v>R</v>
          </cell>
        </row>
        <row r="680">
          <cell r="B680" t="str">
            <v>D3710</v>
          </cell>
          <cell r="C680">
            <v>200109</v>
          </cell>
          <cell r="D680">
            <v>200713</v>
          </cell>
          <cell r="E680" t="str">
            <v>C</v>
          </cell>
          <cell r="F680" t="str">
            <v>Account status = Closed</v>
          </cell>
          <cell r="G680" t="str">
            <v/>
          </cell>
          <cell r="H680" t="str">
            <v>R</v>
          </cell>
        </row>
        <row r="681">
          <cell r="B681" t="str">
            <v>D3729</v>
          </cell>
          <cell r="C681">
            <v>200109</v>
          </cell>
          <cell r="D681">
            <v>200713</v>
          </cell>
          <cell r="E681" t="str">
            <v>C</v>
          </cell>
          <cell r="F681" t="str">
            <v>Account status = Closed</v>
          </cell>
          <cell r="G681" t="str">
            <v/>
          </cell>
          <cell r="H681" t="str">
            <v>R</v>
          </cell>
        </row>
        <row r="682">
          <cell r="B682" t="str">
            <v>D3750</v>
          </cell>
          <cell r="C682">
            <v>200109</v>
          </cell>
          <cell r="D682">
            <v>200713</v>
          </cell>
          <cell r="E682" t="str">
            <v>C</v>
          </cell>
          <cell r="F682" t="str">
            <v>Account status = Closed</v>
          </cell>
          <cell r="G682" t="str">
            <v/>
          </cell>
          <cell r="H682" t="str">
            <v>R</v>
          </cell>
        </row>
        <row r="683">
          <cell r="B683" t="str">
            <v>D3752</v>
          </cell>
          <cell r="C683">
            <v>200109</v>
          </cell>
          <cell r="D683">
            <v>200713</v>
          </cell>
          <cell r="E683" t="str">
            <v>C</v>
          </cell>
          <cell r="F683" t="str">
            <v>Account status = Closed</v>
          </cell>
          <cell r="G683" t="str">
            <v/>
          </cell>
          <cell r="H683" t="str">
            <v>R</v>
          </cell>
        </row>
        <row r="684">
          <cell r="B684" t="str">
            <v>D3801</v>
          </cell>
          <cell r="C684">
            <v>200109</v>
          </cell>
          <cell r="D684">
            <v>209912</v>
          </cell>
          <cell r="E684" t="str">
            <v>N</v>
          </cell>
          <cell r="F684" t="str">
            <v/>
          </cell>
          <cell r="G684" t="str">
            <v/>
          </cell>
          <cell r="H684" t="str">
            <v>R</v>
          </cell>
        </row>
        <row r="685">
          <cell r="B685" t="str">
            <v>D3802</v>
          </cell>
          <cell r="C685">
            <v>200109</v>
          </cell>
          <cell r="D685">
            <v>209912</v>
          </cell>
          <cell r="E685" t="str">
            <v>N</v>
          </cell>
          <cell r="F685" t="str">
            <v/>
          </cell>
          <cell r="G685" t="str">
            <v/>
          </cell>
          <cell r="H685" t="str">
            <v>R</v>
          </cell>
        </row>
        <row r="686">
          <cell r="B686" t="str">
            <v>D3803</v>
          </cell>
          <cell r="C686">
            <v>200109</v>
          </cell>
          <cell r="D686">
            <v>209912</v>
          </cell>
          <cell r="E686" t="str">
            <v>N</v>
          </cell>
          <cell r="F686" t="str">
            <v/>
          </cell>
          <cell r="G686" t="str">
            <v/>
          </cell>
          <cell r="H686" t="str">
            <v>R</v>
          </cell>
        </row>
        <row r="687">
          <cell r="B687" t="str">
            <v>D3804</v>
          </cell>
          <cell r="C687">
            <v>200109</v>
          </cell>
          <cell r="D687">
            <v>209912</v>
          </cell>
          <cell r="E687" t="str">
            <v>N</v>
          </cell>
          <cell r="F687" t="str">
            <v/>
          </cell>
          <cell r="G687" t="str">
            <v/>
          </cell>
          <cell r="H687" t="str">
            <v>R</v>
          </cell>
        </row>
        <row r="688">
          <cell r="B688" t="str">
            <v>D3805</v>
          </cell>
          <cell r="C688">
            <v>200109</v>
          </cell>
          <cell r="D688">
            <v>209912</v>
          </cell>
          <cell r="E688" t="str">
            <v>N</v>
          </cell>
          <cell r="F688" t="str">
            <v/>
          </cell>
          <cell r="G688" t="str">
            <v/>
          </cell>
          <cell r="H688" t="str">
            <v>R</v>
          </cell>
        </row>
        <row r="689">
          <cell r="B689" t="str">
            <v>D3806</v>
          </cell>
          <cell r="C689">
            <v>200109</v>
          </cell>
          <cell r="D689">
            <v>209912</v>
          </cell>
          <cell r="E689" t="str">
            <v>N</v>
          </cell>
          <cell r="F689" t="str">
            <v/>
          </cell>
          <cell r="G689" t="str">
            <v/>
          </cell>
          <cell r="H689" t="str">
            <v>R</v>
          </cell>
        </row>
        <row r="690">
          <cell r="B690" t="str">
            <v>D3807</v>
          </cell>
          <cell r="C690">
            <v>200109</v>
          </cell>
          <cell r="D690">
            <v>209912</v>
          </cell>
          <cell r="E690" t="str">
            <v>N</v>
          </cell>
          <cell r="F690" t="str">
            <v/>
          </cell>
          <cell r="G690" t="str">
            <v/>
          </cell>
          <cell r="H690" t="str">
            <v>R</v>
          </cell>
        </row>
        <row r="691">
          <cell r="B691" t="str">
            <v>D3808</v>
          </cell>
          <cell r="C691">
            <v>200109</v>
          </cell>
          <cell r="D691">
            <v>209912</v>
          </cell>
          <cell r="E691" t="str">
            <v>N</v>
          </cell>
          <cell r="F691" t="str">
            <v/>
          </cell>
          <cell r="G691" t="str">
            <v/>
          </cell>
          <cell r="H691" t="str">
            <v>R</v>
          </cell>
        </row>
        <row r="692">
          <cell r="B692" t="str">
            <v>D3809</v>
          </cell>
          <cell r="C692">
            <v>200109</v>
          </cell>
          <cell r="D692">
            <v>209912</v>
          </cell>
          <cell r="E692" t="str">
            <v>N</v>
          </cell>
          <cell r="F692" t="str">
            <v/>
          </cell>
          <cell r="G692" t="str">
            <v/>
          </cell>
          <cell r="H692" t="str">
            <v>R</v>
          </cell>
        </row>
        <row r="693">
          <cell r="B693" t="str">
            <v>D3810</v>
          </cell>
          <cell r="C693">
            <v>200708</v>
          </cell>
          <cell r="D693">
            <v>209912</v>
          </cell>
          <cell r="E693" t="str">
            <v>N</v>
          </cell>
          <cell r="F693" t="str">
            <v/>
          </cell>
          <cell r="G693" t="str">
            <v/>
          </cell>
          <cell r="H693" t="str">
            <v>R</v>
          </cell>
        </row>
        <row r="694">
          <cell r="B694" t="str">
            <v>D3811</v>
          </cell>
          <cell r="C694">
            <v>200109</v>
          </cell>
          <cell r="D694">
            <v>209912</v>
          </cell>
          <cell r="E694" t="str">
            <v>N</v>
          </cell>
          <cell r="F694" t="str">
            <v/>
          </cell>
          <cell r="G694" t="str">
            <v/>
          </cell>
          <cell r="H694" t="str">
            <v>R</v>
          </cell>
        </row>
        <row r="695">
          <cell r="B695" t="str">
            <v>D3901</v>
          </cell>
          <cell r="C695">
            <v>200109</v>
          </cell>
          <cell r="D695">
            <v>209912</v>
          </cell>
          <cell r="E695" t="str">
            <v>N</v>
          </cell>
          <cell r="F695" t="str">
            <v/>
          </cell>
          <cell r="G695" t="str">
            <v/>
          </cell>
          <cell r="H695" t="str">
            <v>R</v>
          </cell>
        </row>
        <row r="696">
          <cell r="B696" t="str">
            <v>D3903</v>
          </cell>
          <cell r="C696">
            <v>200109</v>
          </cell>
          <cell r="D696">
            <v>209912</v>
          </cell>
          <cell r="E696" t="str">
            <v>N</v>
          </cell>
          <cell r="F696" t="str">
            <v/>
          </cell>
          <cell r="G696" t="str">
            <v/>
          </cell>
          <cell r="H696" t="str">
            <v>R</v>
          </cell>
        </row>
        <row r="697">
          <cell r="B697" t="str">
            <v>D3904</v>
          </cell>
          <cell r="C697">
            <v>200312</v>
          </cell>
          <cell r="D697">
            <v>209912</v>
          </cell>
          <cell r="E697" t="str">
            <v>N</v>
          </cell>
          <cell r="F697" t="str">
            <v/>
          </cell>
          <cell r="G697" t="str">
            <v/>
          </cell>
          <cell r="H697" t="str">
            <v>R</v>
          </cell>
        </row>
        <row r="698">
          <cell r="B698" t="str">
            <v>D3905</v>
          </cell>
          <cell r="C698">
            <v>200109</v>
          </cell>
          <cell r="D698">
            <v>209912</v>
          </cell>
          <cell r="E698" t="str">
            <v>N</v>
          </cell>
          <cell r="F698" t="str">
            <v/>
          </cell>
          <cell r="G698" t="str">
            <v/>
          </cell>
          <cell r="H698" t="str">
            <v>R</v>
          </cell>
        </row>
        <row r="699">
          <cell r="B699" t="str">
            <v>D3906</v>
          </cell>
          <cell r="C699">
            <v>200109</v>
          </cell>
          <cell r="D699">
            <v>201300</v>
          </cell>
          <cell r="E699" t="str">
            <v>C</v>
          </cell>
          <cell r="F699" t="str">
            <v>Account status = Closed</v>
          </cell>
          <cell r="G699" t="str">
            <v/>
          </cell>
          <cell r="H699" t="str">
            <v>R</v>
          </cell>
        </row>
        <row r="700">
          <cell r="B700" t="str">
            <v>D3907</v>
          </cell>
          <cell r="C700">
            <v>200109</v>
          </cell>
          <cell r="D700">
            <v>209912</v>
          </cell>
          <cell r="E700" t="str">
            <v>N</v>
          </cell>
          <cell r="F700" t="str">
            <v/>
          </cell>
          <cell r="G700" t="str">
            <v/>
          </cell>
          <cell r="H700" t="str">
            <v>R</v>
          </cell>
        </row>
        <row r="701">
          <cell r="B701" t="str">
            <v>D3908</v>
          </cell>
          <cell r="C701">
            <v>200109</v>
          </cell>
          <cell r="D701">
            <v>200713</v>
          </cell>
          <cell r="E701" t="str">
            <v>C</v>
          </cell>
          <cell r="F701" t="str">
            <v>Account status = Closed</v>
          </cell>
          <cell r="G701" t="str">
            <v/>
          </cell>
          <cell r="H701" t="str">
            <v>R</v>
          </cell>
        </row>
        <row r="702">
          <cell r="B702" t="str">
            <v>D3951</v>
          </cell>
          <cell r="C702">
            <v>200109</v>
          </cell>
          <cell r="D702">
            <v>201300</v>
          </cell>
          <cell r="E702" t="str">
            <v>C</v>
          </cell>
          <cell r="F702" t="str">
            <v>Account status = Closed</v>
          </cell>
          <cell r="G702" t="str">
            <v/>
          </cell>
          <cell r="H702" t="str">
            <v>R</v>
          </cell>
        </row>
        <row r="703">
          <cell r="B703" t="str">
            <v>D3952</v>
          </cell>
          <cell r="C703">
            <v>200109</v>
          </cell>
          <cell r="D703">
            <v>201412</v>
          </cell>
          <cell r="E703" t="str">
            <v>N</v>
          </cell>
          <cell r="F703" t="str">
            <v>Account closed from period 201412</v>
          </cell>
          <cell r="G703" t="str">
            <v/>
          </cell>
          <cell r="H703" t="str">
            <v>R</v>
          </cell>
        </row>
        <row r="704">
          <cell r="B704" t="str">
            <v>D3952</v>
          </cell>
          <cell r="C704">
            <v>201413</v>
          </cell>
          <cell r="D704">
            <v>209913</v>
          </cell>
          <cell r="E704" t="str">
            <v>N</v>
          </cell>
          <cell r="F704" t="str">
            <v/>
          </cell>
          <cell r="G704" t="str">
            <v/>
          </cell>
          <cell r="H704" t="str">
            <v>R</v>
          </cell>
        </row>
        <row r="705">
          <cell r="B705" t="str">
            <v>D3953</v>
          </cell>
          <cell r="C705">
            <v>200109</v>
          </cell>
          <cell r="D705">
            <v>200713</v>
          </cell>
          <cell r="E705" t="str">
            <v>C</v>
          </cell>
          <cell r="F705" t="str">
            <v>Account status = Closed</v>
          </cell>
          <cell r="G705" t="str">
            <v/>
          </cell>
          <cell r="H705" t="str">
            <v>R</v>
          </cell>
        </row>
        <row r="706">
          <cell r="B706" t="str">
            <v>D3995</v>
          </cell>
          <cell r="C706">
            <v>200603</v>
          </cell>
          <cell r="D706">
            <v>201300</v>
          </cell>
          <cell r="E706" t="str">
            <v>C</v>
          </cell>
          <cell r="F706" t="str">
            <v>Account status = Closed</v>
          </cell>
          <cell r="G706" t="str">
            <v/>
          </cell>
          <cell r="H706" t="str">
            <v>R</v>
          </cell>
        </row>
        <row r="707">
          <cell r="B707" t="str">
            <v>D3996</v>
          </cell>
          <cell r="C707">
            <v>200310</v>
          </cell>
          <cell r="D707">
            <v>209912</v>
          </cell>
          <cell r="E707" t="str">
            <v>N</v>
          </cell>
          <cell r="F707" t="str">
            <v/>
          </cell>
          <cell r="G707" t="str">
            <v/>
          </cell>
          <cell r="H707" t="str">
            <v>R</v>
          </cell>
        </row>
        <row r="708">
          <cell r="B708" t="str">
            <v>D3999</v>
          </cell>
          <cell r="C708">
            <v>200109</v>
          </cell>
          <cell r="D708">
            <v>201300</v>
          </cell>
          <cell r="E708" t="str">
            <v>C</v>
          </cell>
          <cell r="F708" t="str">
            <v>Account status = Closed</v>
          </cell>
          <cell r="G708" t="str">
            <v/>
          </cell>
          <cell r="H708" t="str">
            <v>R</v>
          </cell>
        </row>
        <row r="709">
          <cell r="B709" t="str">
            <v>E3553</v>
          </cell>
          <cell r="C709">
            <v>201401</v>
          </cell>
          <cell r="D709">
            <v>201401</v>
          </cell>
          <cell r="E709" t="str">
            <v>C</v>
          </cell>
          <cell r="F709" t="str">
            <v>Account status = Closed</v>
          </cell>
          <cell r="G709" t="str">
            <v/>
          </cell>
          <cell r="H709" t="str">
            <v>R</v>
          </cell>
        </row>
        <row r="710">
          <cell r="B710" t="str">
            <v>E4101</v>
          </cell>
          <cell r="C710">
            <v>200109</v>
          </cell>
          <cell r="D710">
            <v>200713</v>
          </cell>
          <cell r="E710" t="str">
            <v>C</v>
          </cell>
          <cell r="F710" t="str">
            <v>Account status = Closed</v>
          </cell>
          <cell r="G710" t="str">
            <v/>
          </cell>
          <cell r="H710" t="str">
            <v>R</v>
          </cell>
        </row>
        <row r="711">
          <cell r="B711" t="str">
            <v>E4401</v>
          </cell>
          <cell r="C711">
            <v>200109</v>
          </cell>
          <cell r="D711">
            <v>200713</v>
          </cell>
          <cell r="E711" t="str">
            <v>C</v>
          </cell>
          <cell r="F711" t="str">
            <v>Account status = Closed</v>
          </cell>
          <cell r="G711" t="str">
            <v/>
          </cell>
          <cell r="H711" t="str">
            <v>R</v>
          </cell>
        </row>
        <row r="712">
          <cell r="B712" t="str">
            <v>E4404</v>
          </cell>
          <cell r="C712">
            <v>200109</v>
          </cell>
          <cell r="D712">
            <v>200713</v>
          </cell>
          <cell r="E712" t="str">
            <v>C</v>
          </cell>
          <cell r="F712" t="str">
            <v>Account status = Closed</v>
          </cell>
          <cell r="G712" t="str">
            <v/>
          </cell>
          <cell r="H712" t="str">
            <v>R</v>
          </cell>
        </row>
        <row r="713">
          <cell r="B713" t="str">
            <v>E4701</v>
          </cell>
          <cell r="C713">
            <v>200109</v>
          </cell>
          <cell r="D713">
            <v>201300</v>
          </cell>
          <cell r="E713" t="str">
            <v>C</v>
          </cell>
          <cell r="F713" t="str">
            <v>Account status = Closed</v>
          </cell>
          <cell r="G713" t="str">
            <v/>
          </cell>
          <cell r="H713" t="str">
            <v>R</v>
          </cell>
        </row>
        <row r="714">
          <cell r="B714" t="str">
            <v>E4702</v>
          </cell>
          <cell r="C714">
            <v>200109</v>
          </cell>
          <cell r="D714">
            <v>200713</v>
          </cell>
          <cell r="E714" t="str">
            <v>C</v>
          </cell>
          <cell r="F714" t="str">
            <v>Account status = Closed</v>
          </cell>
          <cell r="G714" t="str">
            <v/>
          </cell>
          <cell r="H714" t="str">
            <v>R</v>
          </cell>
        </row>
        <row r="715">
          <cell r="B715" t="str">
            <v>E4703</v>
          </cell>
          <cell r="C715">
            <v>200109</v>
          </cell>
          <cell r="D715">
            <v>200713</v>
          </cell>
          <cell r="E715" t="str">
            <v>C</v>
          </cell>
          <cell r="F715" t="str">
            <v>Account status = Closed</v>
          </cell>
          <cell r="G715" t="str">
            <v/>
          </cell>
          <cell r="H715" t="str">
            <v>R</v>
          </cell>
        </row>
        <row r="716">
          <cell r="B716" t="str">
            <v>E4704</v>
          </cell>
          <cell r="C716">
            <v>200109</v>
          </cell>
          <cell r="D716">
            <v>209912</v>
          </cell>
          <cell r="E716" t="str">
            <v>N</v>
          </cell>
          <cell r="F716" t="str">
            <v/>
          </cell>
          <cell r="G716" t="str">
            <v/>
          </cell>
          <cell r="H716" t="str">
            <v>R</v>
          </cell>
        </row>
        <row r="717">
          <cell r="B717" t="str">
            <v>E4705</v>
          </cell>
          <cell r="C717">
            <v>200109</v>
          </cell>
          <cell r="D717">
            <v>200713</v>
          </cell>
          <cell r="E717" t="str">
            <v>C</v>
          </cell>
          <cell r="F717" t="str">
            <v>Account status = Closed</v>
          </cell>
          <cell r="G717" t="str">
            <v/>
          </cell>
          <cell r="H717" t="str">
            <v>R</v>
          </cell>
        </row>
        <row r="718">
          <cell r="B718" t="str">
            <v>E4706</v>
          </cell>
          <cell r="C718">
            <v>200109</v>
          </cell>
          <cell r="D718">
            <v>200713</v>
          </cell>
          <cell r="E718" t="str">
            <v>C</v>
          </cell>
          <cell r="F718" t="str">
            <v>Account status = Closed</v>
          </cell>
          <cell r="G718" t="str">
            <v/>
          </cell>
          <cell r="H718" t="str">
            <v>R</v>
          </cell>
        </row>
        <row r="719">
          <cell r="B719" t="str">
            <v>E4707</v>
          </cell>
          <cell r="C719">
            <v>200109</v>
          </cell>
          <cell r="D719">
            <v>200713</v>
          </cell>
          <cell r="E719" t="str">
            <v>C</v>
          </cell>
          <cell r="F719" t="str">
            <v>Account status = Closed</v>
          </cell>
          <cell r="G719" t="str">
            <v/>
          </cell>
          <cell r="H719" t="str">
            <v>R</v>
          </cell>
        </row>
        <row r="720">
          <cell r="B720" t="str">
            <v>E4708</v>
          </cell>
          <cell r="C720">
            <v>200109</v>
          </cell>
          <cell r="D720">
            <v>200713</v>
          </cell>
          <cell r="E720" t="str">
            <v>C</v>
          </cell>
          <cell r="F720" t="str">
            <v>Account status = Closed</v>
          </cell>
          <cell r="G720" t="str">
            <v/>
          </cell>
          <cell r="H720" t="str">
            <v>R</v>
          </cell>
        </row>
        <row r="721">
          <cell r="B721" t="str">
            <v>E4709</v>
          </cell>
          <cell r="C721">
            <v>200109</v>
          </cell>
          <cell r="D721">
            <v>200713</v>
          </cell>
          <cell r="E721" t="str">
            <v>C</v>
          </cell>
          <cell r="F721" t="str">
            <v>Account status = Closed</v>
          </cell>
          <cell r="G721" t="str">
            <v/>
          </cell>
          <cell r="H721" t="str">
            <v>R</v>
          </cell>
        </row>
        <row r="722">
          <cell r="B722" t="str">
            <v>E4710</v>
          </cell>
          <cell r="C722">
            <v>200109</v>
          </cell>
          <cell r="D722">
            <v>200713</v>
          </cell>
          <cell r="E722" t="str">
            <v>C</v>
          </cell>
          <cell r="F722" t="str">
            <v>Account status = Closed</v>
          </cell>
          <cell r="G722" t="str">
            <v/>
          </cell>
          <cell r="H722" t="str">
            <v>R</v>
          </cell>
        </row>
        <row r="723">
          <cell r="B723" t="str">
            <v>E4711</v>
          </cell>
          <cell r="C723">
            <v>200109</v>
          </cell>
          <cell r="D723">
            <v>200713</v>
          </cell>
          <cell r="E723" t="str">
            <v>C</v>
          </cell>
          <cell r="F723" t="str">
            <v>Account status = Closed</v>
          </cell>
          <cell r="G723" t="str">
            <v/>
          </cell>
          <cell r="H723" t="str">
            <v>R</v>
          </cell>
        </row>
        <row r="724">
          <cell r="B724" t="str">
            <v>E4712</v>
          </cell>
          <cell r="C724">
            <v>200109</v>
          </cell>
          <cell r="D724">
            <v>201300</v>
          </cell>
          <cell r="E724" t="str">
            <v>C</v>
          </cell>
          <cell r="F724" t="str">
            <v>Account status = Closed</v>
          </cell>
          <cell r="G724" t="str">
            <v/>
          </cell>
          <cell r="H724" t="str">
            <v>R</v>
          </cell>
        </row>
        <row r="725">
          <cell r="B725" t="str">
            <v>E4721</v>
          </cell>
          <cell r="C725">
            <v>200109</v>
          </cell>
          <cell r="D725">
            <v>200713</v>
          </cell>
          <cell r="E725" t="str">
            <v>C</v>
          </cell>
          <cell r="F725" t="str">
            <v>Account status = Closed</v>
          </cell>
          <cell r="G725" t="str">
            <v/>
          </cell>
          <cell r="H725" t="str">
            <v>R</v>
          </cell>
        </row>
        <row r="726">
          <cell r="B726" t="str">
            <v>E4722</v>
          </cell>
          <cell r="C726">
            <v>200109</v>
          </cell>
          <cell r="D726">
            <v>201300</v>
          </cell>
          <cell r="E726" t="str">
            <v>C</v>
          </cell>
          <cell r="F726" t="str">
            <v>Account status = Closed</v>
          </cell>
          <cell r="G726" t="str">
            <v/>
          </cell>
          <cell r="H726" t="str">
            <v>R</v>
          </cell>
        </row>
        <row r="727">
          <cell r="B727" t="str">
            <v>E4723</v>
          </cell>
          <cell r="C727">
            <v>200109</v>
          </cell>
          <cell r="D727">
            <v>200502</v>
          </cell>
          <cell r="E727" t="str">
            <v>C</v>
          </cell>
          <cell r="F727" t="str">
            <v>Account status = Closed</v>
          </cell>
          <cell r="G727" t="str">
            <v/>
          </cell>
          <cell r="H727" t="str">
            <v>R</v>
          </cell>
        </row>
        <row r="728">
          <cell r="B728" t="str">
            <v>E4724</v>
          </cell>
          <cell r="C728">
            <v>200109</v>
          </cell>
          <cell r="D728">
            <v>200502</v>
          </cell>
          <cell r="E728" t="str">
            <v>C</v>
          </cell>
          <cell r="F728" t="str">
            <v>Account status = Closed</v>
          </cell>
          <cell r="G728" t="str">
            <v/>
          </cell>
          <cell r="H728" t="str">
            <v>R</v>
          </cell>
        </row>
        <row r="729">
          <cell r="B729" t="str">
            <v>E4725</v>
          </cell>
          <cell r="C729">
            <v>200109</v>
          </cell>
          <cell r="D729">
            <v>209913</v>
          </cell>
          <cell r="E729" t="str">
            <v>N</v>
          </cell>
          <cell r="F729" t="str">
            <v/>
          </cell>
          <cell r="G729" t="str">
            <v/>
          </cell>
          <cell r="H729" t="str">
            <v>R</v>
          </cell>
        </row>
        <row r="730">
          <cell r="B730" t="str">
            <v>E4726</v>
          </cell>
          <cell r="C730">
            <v>200109</v>
          </cell>
          <cell r="D730">
            <v>209912</v>
          </cell>
          <cell r="E730" t="str">
            <v>N</v>
          </cell>
          <cell r="F730" t="str">
            <v/>
          </cell>
          <cell r="G730" t="str">
            <v/>
          </cell>
          <cell r="H730" t="str">
            <v>R</v>
          </cell>
        </row>
        <row r="731">
          <cell r="B731" t="str">
            <v>E4727</v>
          </cell>
          <cell r="C731">
            <v>200109</v>
          </cell>
          <cell r="D731">
            <v>200713</v>
          </cell>
          <cell r="E731" t="str">
            <v>C</v>
          </cell>
          <cell r="F731" t="str">
            <v>Account status = Closed</v>
          </cell>
          <cell r="G731" t="str">
            <v/>
          </cell>
          <cell r="H731" t="str">
            <v>R</v>
          </cell>
        </row>
        <row r="732">
          <cell r="B732" t="str">
            <v>E4728</v>
          </cell>
          <cell r="C732">
            <v>200109</v>
          </cell>
          <cell r="D732">
            <v>200713</v>
          </cell>
          <cell r="E732" t="str">
            <v>C</v>
          </cell>
          <cell r="F732" t="str">
            <v>Account status = Closed</v>
          </cell>
          <cell r="G732" t="str">
            <v/>
          </cell>
          <cell r="H732" t="str">
            <v>R</v>
          </cell>
        </row>
        <row r="733">
          <cell r="B733" t="str">
            <v>E4729</v>
          </cell>
          <cell r="C733">
            <v>200109</v>
          </cell>
          <cell r="D733">
            <v>200713</v>
          </cell>
          <cell r="E733" t="str">
            <v>C</v>
          </cell>
          <cell r="F733" t="str">
            <v>Account status = Closed</v>
          </cell>
          <cell r="G733" t="str">
            <v/>
          </cell>
          <cell r="H733" t="str">
            <v>R</v>
          </cell>
        </row>
        <row r="734">
          <cell r="B734" t="str">
            <v>E4730</v>
          </cell>
          <cell r="C734">
            <v>200109</v>
          </cell>
          <cell r="D734">
            <v>200713</v>
          </cell>
          <cell r="E734" t="str">
            <v>C</v>
          </cell>
          <cell r="F734" t="str">
            <v>Account status = Closed</v>
          </cell>
          <cell r="G734" t="str">
            <v/>
          </cell>
          <cell r="H734" t="str">
            <v>R</v>
          </cell>
        </row>
        <row r="735">
          <cell r="B735" t="str">
            <v>E4731</v>
          </cell>
          <cell r="C735">
            <v>200109</v>
          </cell>
          <cell r="D735">
            <v>200713</v>
          </cell>
          <cell r="E735" t="str">
            <v>C</v>
          </cell>
          <cell r="F735" t="str">
            <v>Account status = Closed</v>
          </cell>
          <cell r="G735" t="str">
            <v/>
          </cell>
          <cell r="H735" t="str">
            <v>R</v>
          </cell>
        </row>
        <row r="736">
          <cell r="B736" t="str">
            <v>E4732</v>
          </cell>
          <cell r="C736">
            <v>200101</v>
          </cell>
          <cell r="D736">
            <v>200713</v>
          </cell>
          <cell r="E736" t="str">
            <v>C</v>
          </cell>
          <cell r="F736" t="str">
            <v>Account status = Closed</v>
          </cell>
          <cell r="G736" t="str">
            <v/>
          </cell>
          <cell r="H736" t="str">
            <v>R</v>
          </cell>
        </row>
        <row r="737">
          <cell r="B737" t="str">
            <v>F5001</v>
          </cell>
          <cell r="C737">
            <v>200109</v>
          </cell>
          <cell r="D737">
            <v>209912</v>
          </cell>
          <cell r="E737" t="str">
            <v>N</v>
          </cell>
          <cell r="F737" t="str">
            <v/>
          </cell>
          <cell r="G737" t="str">
            <v/>
          </cell>
          <cell r="H737" t="str">
            <v>R</v>
          </cell>
        </row>
        <row r="738">
          <cell r="B738" t="str">
            <v>F5004</v>
          </cell>
          <cell r="C738">
            <v>200109</v>
          </cell>
          <cell r="D738">
            <v>200713</v>
          </cell>
          <cell r="E738" t="str">
            <v>C</v>
          </cell>
          <cell r="F738" t="str">
            <v>Account status = Closed</v>
          </cell>
          <cell r="G738" t="str">
            <v/>
          </cell>
          <cell r="H738" t="str">
            <v>R</v>
          </cell>
        </row>
        <row r="739">
          <cell r="B739" t="str">
            <v>F5031</v>
          </cell>
          <cell r="C739">
            <v>200610</v>
          </cell>
          <cell r="D739">
            <v>209912</v>
          </cell>
          <cell r="E739" t="str">
            <v>N</v>
          </cell>
          <cell r="F739" t="str">
            <v/>
          </cell>
          <cell r="G739" t="str">
            <v/>
          </cell>
          <cell r="H739" t="str">
            <v>R</v>
          </cell>
        </row>
        <row r="740">
          <cell r="B740" t="str">
            <v>F5032</v>
          </cell>
          <cell r="C740">
            <v>200601</v>
          </cell>
          <cell r="D740">
            <v>209912</v>
          </cell>
          <cell r="E740" t="str">
            <v>N</v>
          </cell>
          <cell r="F740" t="str">
            <v/>
          </cell>
          <cell r="G740" t="str">
            <v/>
          </cell>
          <cell r="H740" t="str">
            <v>R</v>
          </cell>
        </row>
        <row r="741">
          <cell r="B741" t="str">
            <v>F5033</v>
          </cell>
          <cell r="C741">
            <v>200109</v>
          </cell>
          <cell r="D741">
            <v>209912</v>
          </cell>
          <cell r="E741" t="str">
            <v>N</v>
          </cell>
          <cell r="F741" t="str">
            <v/>
          </cell>
          <cell r="G741" t="str">
            <v/>
          </cell>
          <cell r="H741" t="str">
            <v>R</v>
          </cell>
        </row>
        <row r="742">
          <cell r="B742" t="str">
            <v>F5034</v>
          </cell>
          <cell r="C742">
            <v>200109</v>
          </cell>
          <cell r="D742">
            <v>201300</v>
          </cell>
          <cell r="E742" t="str">
            <v>C</v>
          </cell>
          <cell r="F742" t="str">
            <v>Account status = Closed</v>
          </cell>
          <cell r="G742" t="str">
            <v/>
          </cell>
          <cell r="H742" t="str">
            <v>R</v>
          </cell>
        </row>
        <row r="743">
          <cell r="B743" t="str">
            <v>F5201</v>
          </cell>
          <cell r="C743">
            <v>200109</v>
          </cell>
          <cell r="D743">
            <v>209912</v>
          </cell>
          <cell r="E743" t="str">
            <v>N</v>
          </cell>
          <cell r="F743" t="str">
            <v/>
          </cell>
          <cell r="G743" t="str">
            <v/>
          </cell>
          <cell r="H743" t="str">
            <v>R</v>
          </cell>
        </row>
        <row r="744">
          <cell r="B744" t="str">
            <v>F5401</v>
          </cell>
          <cell r="C744">
            <v>200109</v>
          </cell>
          <cell r="D744">
            <v>209912</v>
          </cell>
          <cell r="E744" t="str">
            <v>N</v>
          </cell>
          <cell r="F744" t="str">
            <v/>
          </cell>
          <cell r="G744" t="str">
            <v/>
          </cell>
          <cell r="H744" t="str">
            <v>R</v>
          </cell>
        </row>
        <row r="745">
          <cell r="B745" t="str">
            <v>G6000</v>
          </cell>
          <cell r="C745">
            <v>200109</v>
          </cell>
          <cell r="D745">
            <v>200402</v>
          </cell>
          <cell r="E745" t="str">
            <v>C</v>
          </cell>
          <cell r="F745" t="str">
            <v>Account status = Closed</v>
          </cell>
          <cell r="G745" t="str">
            <v/>
          </cell>
          <cell r="H745" t="str">
            <v>R</v>
          </cell>
        </row>
        <row r="746">
          <cell r="B746" t="str">
            <v>G6001</v>
          </cell>
          <cell r="C746">
            <v>200109</v>
          </cell>
          <cell r="D746">
            <v>200112</v>
          </cell>
          <cell r="E746" t="str">
            <v>C</v>
          </cell>
          <cell r="F746" t="str">
            <v>Account status = Closed</v>
          </cell>
          <cell r="G746" t="str">
            <v/>
          </cell>
          <cell r="H746" t="str">
            <v>R</v>
          </cell>
        </row>
        <row r="747">
          <cell r="B747" t="str">
            <v>G6013</v>
          </cell>
          <cell r="C747">
            <v>201400</v>
          </cell>
          <cell r="D747">
            <v>201400</v>
          </cell>
          <cell r="E747" t="str">
            <v>C</v>
          </cell>
          <cell r="F747" t="str">
            <v>Account status = Closed</v>
          </cell>
          <cell r="G747" t="str">
            <v/>
          </cell>
          <cell r="H747" t="str">
            <v>R</v>
          </cell>
        </row>
        <row r="748">
          <cell r="B748" t="str">
            <v>G6014</v>
          </cell>
          <cell r="C748">
            <v>201400</v>
          </cell>
          <cell r="D748">
            <v>201400</v>
          </cell>
          <cell r="E748" t="str">
            <v>C</v>
          </cell>
          <cell r="F748" t="str">
            <v>Account status = Closed</v>
          </cell>
          <cell r="G748" t="str">
            <v/>
          </cell>
          <cell r="H748" t="str">
            <v>R</v>
          </cell>
        </row>
        <row r="749">
          <cell r="B749" t="str">
            <v>G6015</v>
          </cell>
          <cell r="C749">
            <v>201400</v>
          </cell>
          <cell r="D749">
            <v>201400</v>
          </cell>
          <cell r="E749" t="str">
            <v>C</v>
          </cell>
          <cell r="F749" t="str">
            <v>Account status = Closed</v>
          </cell>
          <cell r="G749" t="str">
            <v/>
          </cell>
          <cell r="H749" t="str">
            <v>R</v>
          </cell>
        </row>
        <row r="750">
          <cell r="B750" t="str">
            <v>G6101</v>
          </cell>
          <cell r="C750">
            <v>200109</v>
          </cell>
          <cell r="D750">
            <v>200112</v>
          </cell>
          <cell r="E750" t="str">
            <v>C</v>
          </cell>
          <cell r="F750" t="str">
            <v>Account status = Closed</v>
          </cell>
          <cell r="G750" t="str">
            <v/>
          </cell>
          <cell r="H750" t="str">
            <v>R</v>
          </cell>
        </row>
        <row r="751">
          <cell r="B751" t="str">
            <v>G6102</v>
          </cell>
          <cell r="C751">
            <v>200109</v>
          </cell>
          <cell r="D751">
            <v>200112</v>
          </cell>
          <cell r="E751" t="str">
            <v>C</v>
          </cell>
          <cell r="F751" t="str">
            <v>Account status = Closed</v>
          </cell>
          <cell r="G751" t="str">
            <v/>
          </cell>
          <cell r="H751" t="str">
            <v>R</v>
          </cell>
        </row>
        <row r="752">
          <cell r="B752" t="str">
            <v>G6103</v>
          </cell>
          <cell r="C752">
            <v>200900</v>
          </cell>
          <cell r="D752">
            <v>209912</v>
          </cell>
          <cell r="E752" t="str">
            <v>N</v>
          </cell>
          <cell r="F752" t="str">
            <v/>
          </cell>
          <cell r="G752" t="str">
            <v/>
          </cell>
          <cell r="H752" t="str">
            <v>R</v>
          </cell>
        </row>
        <row r="753">
          <cell r="B753" t="str">
            <v>G6104</v>
          </cell>
          <cell r="C753">
            <v>200900</v>
          </cell>
          <cell r="D753">
            <v>209912</v>
          </cell>
          <cell r="E753" t="str">
            <v>N</v>
          </cell>
          <cell r="F753" t="str">
            <v/>
          </cell>
          <cell r="G753" t="str">
            <v/>
          </cell>
          <cell r="H753" t="str">
            <v>R</v>
          </cell>
        </row>
        <row r="754">
          <cell r="B754" t="str">
            <v>G6105</v>
          </cell>
          <cell r="C754">
            <v>200900</v>
          </cell>
          <cell r="D754">
            <v>209912</v>
          </cell>
          <cell r="E754" t="str">
            <v>N</v>
          </cell>
          <cell r="F754" t="str">
            <v/>
          </cell>
          <cell r="G754" t="str">
            <v/>
          </cell>
          <cell r="H754" t="str">
            <v>R</v>
          </cell>
        </row>
        <row r="755">
          <cell r="B755" t="str">
            <v>G6106</v>
          </cell>
          <cell r="C755">
            <v>200900</v>
          </cell>
          <cell r="D755">
            <v>209912</v>
          </cell>
          <cell r="E755" t="str">
            <v>N</v>
          </cell>
          <cell r="F755" t="str">
            <v/>
          </cell>
          <cell r="G755" t="str">
            <v/>
          </cell>
          <cell r="H755" t="str">
            <v>R</v>
          </cell>
        </row>
        <row r="756">
          <cell r="B756" t="str">
            <v>G6107</v>
          </cell>
          <cell r="C756">
            <v>200900</v>
          </cell>
          <cell r="D756">
            <v>209912</v>
          </cell>
          <cell r="E756" t="str">
            <v>N</v>
          </cell>
          <cell r="F756" t="str">
            <v/>
          </cell>
          <cell r="G756" t="str">
            <v/>
          </cell>
          <cell r="H756" t="str">
            <v>R</v>
          </cell>
        </row>
        <row r="757">
          <cell r="B757" t="str">
            <v>G6108</v>
          </cell>
          <cell r="C757">
            <v>200900</v>
          </cell>
          <cell r="D757">
            <v>209912</v>
          </cell>
          <cell r="E757" t="str">
            <v>N</v>
          </cell>
          <cell r="F757" t="str">
            <v/>
          </cell>
          <cell r="G757" t="str">
            <v/>
          </cell>
          <cell r="H757" t="str">
            <v>R</v>
          </cell>
        </row>
        <row r="758">
          <cell r="B758" t="str">
            <v>G6109</v>
          </cell>
          <cell r="C758">
            <v>200900</v>
          </cell>
          <cell r="D758">
            <v>209912</v>
          </cell>
          <cell r="E758" t="str">
            <v>N</v>
          </cell>
          <cell r="F758" t="str">
            <v/>
          </cell>
          <cell r="G758" t="str">
            <v/>
          </cell>
          <cell r="H758" t="str">
            <v>R</v>
          </cell>
        </row>
        <row r="759">
          <cell r="B759" t="str">
            <v>G6111</v>
          </cell>
          <cell r="C759">
            <v>200109</v>
          </cell>
          <cell r="D759">
            <v>200112</v>
          </cell>
          <cell r="E759" t="str">
            <v>C</v>
          </cell>
          <cell r="F759" t="str">
            <v>Account status = Closed</v>
          </cell>
          <cell r="G759" t="str">
            <v/>
          </cell>
          <cell r="H759" t="str">
            <v>R</v>
          </cell>
        </row>
        <row r="760">
          <cell r="B760" t="str">
            <v>G6133</v>
          </cell>
          <cell r="C760">
            <v>200109</v>
          </cell>
          <cell r="D760">
            <v>200112</v>
          </cell>
          <cell r="E760" t="str">
            <v>C</v>
          </cell>
          <cell r="F760" t="str">
            <v>Account status = Closed</v>
          </cell>
          <cell r="G760" t="str">
            <v/>
          </cell>
          <cell r="H760" t="str">
            <v>R</v>
          </cell>
        </row>
        <row r="761">
          <cell r="B761" t="str">
            <v>G6142</v>
          </cell>
          <cell r="C761">
            <v>200109</v>
          </cell>
          <cell r="D761">
            <v>200500</v>
          </cell>
          <cell r="E761" t="str">
            <v>C</v>
          </cell>
          <cell r="F761" t="str">
            <v>Account status = Closed</v>
          </cell>
          <cell r="G761" t="str">
            <v/>
          </cell>
          <cell r="H761" t="str">
            <v>R</v>
          </cell>
        </row>
        <row r="762">
          <cell r="B762" t="str">
            <v>G6150</v>
          </cell>
          <cell r="C762">
            <v>200109</v>
          </cell>
          <cell r="D762">
            <v>209912</v>
          </cell>
          <cell r="E762" t="str">
            <v>N</v>
          </cell>
          <cell r="F762" t="str">
            <v/>
          </cell>
          <cell r="G762" t="str">
            <v/>
          </cell>
          <cell r="H762" t="str">
            <v>R</v>
          </cell>
        </row>
        <row r="763">
          <cell r="B763" t="str">
            <v>G6151</v>
          </cell>
          <cell r="C763">
            <v>200900</v>
          </cell>
          <cell r="D763">
            <v>209912</v>
          </cell>
          <cell r="E763" t="str">
            <v>N</v>
          </cell>
          <cell r="F763" t="str">
            <v/>
          </cell>
          <cell r="G763" t="str">
            <v/>
          </cell>
          <cell r="H763" t="str">
            <v>R</v>
          </cell>
        </row>
        <row r="764">
          <cell r="B764" t="str">
            <v>G6152</v>
          </cell>
          <cell r="C764">
            <v>200109</v>
          </cell>
          <cell r="D764">
            <v>200112</v>
          </cell>
          <cell r="E764" t="str">
            <v>C</v>
          </cell>
          <cell r="F764" t="str">
            <v>Account status = Closed</v>
          </cell>
          <cell r="G764" t="str">
            <v/>
          </cell>
          <cell r="H764" t="str">
            <v>R</v>
          </cell>
        </row>
        <row r="765">
          <cell r="B765" t="str">
            <v>G6153</v>
          </cell>
          <cell r="C765">
            <v>200109</v>
          </cell>
          <cell r="D765">
            <v>200500</v>
          </cell>
          <cell r="E765" t="str">
            <v>C</v>
          </cell>
          <cell r="F765" t="str">
            <v>Account status = Closed</v>
          </cell>
          <cell r="G765" t="str">
            <v/>
          </cell>
          <cell r="H765" t="str">
            <v>R</v>
          </cell>
        </row>
        <row r="766">
          <cell r="B766" t="str">
            <v>G6157</v>
          </cell>
          <cell r="C766">
            <v>200109</v>
          </cell>
          <cell r="D766">
            <v>200112</v>
          </cell>
          <cell r="E766" t="str">
            <v>C</v>
          </cell>
          <cell r="F766" t="str">
            <v>Account status = Closed</v>
          </cell>
          <cell r="G766" t="str">
            <v/>
          </cell>
          <cell r="H766" t="str">
            <v>R</v>
          </cell>
        </row>
        <row r="767">
          <cell r="B767" t="str">
            <v>G6181</v>
          </cell>
          <cell r="C767">
            <v>200109</v>
          </cell>
          <cell r="D767">
            <v>200112</v>
          </cell>
          <cell r="E767" t="str">
            <v>C</v>
          </cell>
          <cell r="F767" t="str">
            <v>Account status = Closed</v>
          </cell>
          <cell r="G767" t="str">
            <v/>
          </cell>
          <cell r="H767" t="str">
            <v>R</v>
          </cell>
        </row>
        <row r="768">
          <cell r="B768" t="str">
            <v>G6186</v>
          </cell>
          <cell r="C768">
            <v>200109</v>
          </cell>
          <cell r="D768">
            <v>200112</v>
          </cell>
          <cell r="E768" t="str">
            <v>C</v>
          </cell>
          <cell r="F768" t="str">
            <v>Account status = Closed</v>
          </cell>
          <cell r="G768" t="str">
            <v/>
          </cell>
          <cell r="H768" t="str">
            <v>R</v>
          </cell>
        </row>
        <row r="769">
          <cell r="B769" t="str">
            <v>G6201</v>
          </cell>
          <cell r="C769">
            <v>200413</v>
          </cell>
          <cell r="D769">
            <v>209912</v>
          </cell>
          <cell r="E769" t="str">
            <v>N</v>
          </cell>
          <cell r="F769" t="str">
            <v/>
          </cell>
          <cell r="G769" t="str">
            <v/>
          </cell>
          <cell r="H769" t="str">
            <v>R</v>
          </cell>
        </row>
        <row r="770">
          <cell r="B770" t="str">
            <v>G6203</v>
          </cell>
          <cell r="C770">
            <v>200413</v>
          </cell>
          <cell r="D770">
            <v>209912</v>
          </cell>
          <cell r="E770" t="str">
            <v>N</v>
          </cell>
          <cell r="F770" t="str">
            <v/>
          </cell>
          <cell r="G770" t="str">
            <v/>
          </cell>
          <cell r="H770" t="str">
            <v>R</v>
          </cell>
        </row>
        <row r="771">
          <cell r="B771" t="str">
            <v>G6204</v>
          </cell>
          <cell r="C771">
            <v>200413</v>
          </cell>
          <cell r="D771">
            <v>209912</v>
          </cell>
          <cell r="E771" t="str">
            <v>N</v>
          </cell>
          <cell r="F771" t="str">
            <v/>
          </cell>
          <cell r="G771" t="str">
            <v/>
          </cell>
          <cell r="H771" t="str">
            <v>R</v>
          </cell>
        </row>
        <row r="772">
          <cell r="B772" t="str">
            <v>G6207</v>
          </cell>
          <cell r="C772">
            <v>200413</v>
          </cell>
          <cell r="D772">
            <v>209912</v>
          </cell>
          <cell r="E772" t="str">
            <v>N</v>
          </cell>
          <cell r="F772" t="str">
            <v/>
          </cell>
          <cell r="G772" t="str">
            <v/>
          </cell>
          <cell r="H772" t="str">
            <v>R</v>
          </cell>
        </row>
        <row r="773">
          <cell r="B773" t="str">
            <v>G6210</v>
          </cell>
          <cell r="C773">
            <v>200413</v>
          </cell>
          <cell r="D773">
            <v>209912</v>
          </cell>
          <cell r="E773" t="str">
            <v>N</v>
          </cell>
          <cell r="F773" t="str">
            <v/>
          </cell>
          <cell r="G773" t="str">
            <v/>
          </cell>
          <cell r="H773" t="str">
            <v>R</v>
          </cell>
        </row>
        <row r="774">
          <cell r="B774" t="str">
            <v>G6211</v>
          </cell>
          <cell r="C774">
            <v>200413</v>
          </cell>
          <cell r="D774">
            <v>209912</v>
          </cell>
          <cell r="E774" t="str">
            <v>N</v>
          </cell>
          <cell r="F774" t="str">
            <v/>
          </cell>
          <cell r="G774" t="str">
            <v/>
          </cell>
          <cell r="H774" t="str">
            <v>R</v>
          </cell>
        </row>
        <row r="775">
          <cell r="B775" t="str">
            <v>G6212</v>
          </cell>
          <cell r="C775">
            <v>200413</v>
          </cell>
          <cell r="D775">
            <v>209912</v>
          </cell>
          <cell r="E775" t="str">
            <v>N</v>
          </cell>
          <cell r="F775" t="str">
            <v/>
          </cell>
          <cell r="G775" t="str">
            <v/>
          </cell>
          <cell r="H775" t="str">
            <v>R</v>
          </cell>
        </row>
        <row r="776">
          <cell r="B776" t="str">
            <v>G6216</v>
          </cell>
          <cell r="C776">
            <v>200413</v>
          </cell>
          <cell r="D776">
            <v>209912</v>
          </cell>
          <cell r="E776" t="str">
            <v>N</v>
          </cell>
          <cell r="F776" t="str">
            <v/>
          </cell>
          <cell r="G776" t="str">
            <v/>
          </cell>
          <cell r="H776" t="str">
            <v>R</v>
          </cell>
        </row>
        <row r="777">
          <cell r="B777" t="str">
            <v>G6218</v>
          </cell>
          <cell r="C777">
            <v>200413</v>
          </cell>
          <cell r="D777">
            <v>209912</v>
          </cell>
          <cell r="E777" t="str">
            <v>N</v>
          </cell>
          <cell r="F777" t="str">
            <v/>
          </cell>
          <cell r="G777" t="str">
            <v/>
          </cell>
          <cell r="H777" t="str">
            <v>R</v>
          </cell>
        </row>
        <row r="778">
          <cell r="B778" t="str">
            <v>G6220</v>
          </cell>
          <cell r="C778">
            <v>200413</v>
          </cell>
          <cell r="D778">
            <v>201300</v>
          </cell>
          <cell r="E778" t="str">
            <v>C</v>
          </cell>
          <cell r="F778" t="str">
            <v>Account status = Closed</v>
          </cell>
          <cell r="G778" t="str">
            <v/>
          </cell>
          <cell r="H778" t="str">
            <v>R</v>
          </cell>
        </row>
        <row r="779">
          <cell r="B779" t="str">
            <v>G6221</v>
          </cell>
          <cell r="C779">
            <v>200413</v>
          </cell>
          <cell r="D779">
            <v>201300</v>
          </cell>
          <cell r="E779" t="str">
            <v>C</v>
          </cell>
          <cell r="F779" t="str">
            <v>Account status = Closed</v>
          </cell>
          <cell r="G779" t="str">
            <v/>
          </cell>
          <cell r="H779" t="str">
            <v>R</v>
          </cell>
        </row>
        <row r="780">
          <cell r="B780" t="str">
            <v>G6222</v>
          </cell>
          <cell r="C780">
            <v>200413</v>
          </cell>
          <cell r="D780">
            <v>201300</v>
          </cell>
          <cell r="E780" t="str">
            <v>C</v>
          </cell>
          <cell r="F780" t="str">
            <v>Account status = Closed</v>
          </cell>
          <cell r="G780" t="str">
            <v/>
          </cell>
          <cell r="H780" t="str">
            <v>R</v>
          </cell>
        </row>
        <row r="781">
          <cell r="B781" t="str">
            <v>G6223</v>
          </cell>
          <cell r="C781">
            <v>200413</v>
          </cell>
          <cell r="D781">
            <v>209912</v>
          </cell>
          <cell r="E781" t="str">
            <v>N</v>
          </cell>
          <cell r="F781" t="str">
            <v/>
          </cell>
          <cell r="G781" t="str">
            <v/>
          </cell>
          <cell r="H781" t="str">
            <v>R</v>
          </cell>
        </row>
        <row r="782">
          <cell r="B782" t="str">
            <v>G6224</v>
          </cell>
          <cell r="C782">
            <v>200413</v>
          </cell>
          <cell r="D782">
            <v>200713</v>
          </cell>
          <cell r="E782" t="str">
            <v>C</v>
          </cell>
          <cell r="F782" t="str">
            <v>Account status = Closed</v>
          </cell>
          <cell r="G782" t="str">
            <v/>
          </cell>
          <cell r="H782" t="str">
            <v>R</v>
          </cell>
        </row>
        <row r="783">
          <cell r="B783" t="str">
            <v>G6225</v>
          </cell>
          <cell r="C783">
            <v>200413</v>
          </cell>
          <cell r="D783">
            <v>209912</v>
          </cell>
          <cell r="E783" t="str">
            <v>N</v>
          </cell>
          <cell r="F783" t="str">
            <v/>
          </cell>
          <cell r="G783" t="str">
            <v/>
          </cell>
          <cell r="H783" t="str">
            <v>R</v>
          </cell>
        </row>
        <row r="784">
          <cell r="B784" t="str">
            <v>G6226</v>
          </cell>
          <cell r="C784">
            <v>200709</v>
          </cell>
          <cell r="D784">
            <v>209912</v>
          </cell>
          <cell r="E784" t="str">
            <v>N</v>
          </cell>
          <cell r="F784" t="str">
            <v/>
          </cell>
          <cell r="G784" t="str">
            <v/>
          </cell>
          <cell r="H784" t="str">
            <v>R</v>
          </cell>
        </row>
        <row r="785">
          <cell r="B785" t="str">
            <v>G6230</v>
          </cell>
          <cell r="C785">
            <v>200413</v>
          </cell>
          <cell r="D785">
            <v>209912</v>
          </cell>
          <cell r="E785" t="str">
            <v>N</v>
          </cell>
          <cell r="F785" t="str">
            <v/>
          </cell>
          <cell r="G785" t="str">
            <v/>
          </cell>
          <cell r="H785" t="str">
            <v>R</v>
          </cell>
        </row>
        <row r="786">
          <cell r="B786" t="str">
            <v>G6301</v>
          </cell>
          <cell r="C786">
            <v>200413</v>
          </cell>
          <cell r="D786">
            <v>209912</v>
          </cell>
          <cell r="E786" t="str">
            <v>N</v>
          </cell>
          <cell r="F786" t="str">
            <v/>
          </cell>
          <cell r="G786" t="str">
            <v/>
          </cell>
          <cell r="H786" t="str">
            <v>R</v>
          </cell>
        </row>
        <row r="787">
          <cell r="B787" t="str">
            <v>G6302</v>
          </cell>
          <cell r="C787">
            <v>200413</v>
          </cell>
          <cell r="D787">
            <v>209912</v>
          </cell>
          <cell r="E787" t="str">
            <v>N</v>
          </cell>
          <cell r="F787" t="str">
            <v/>
          </cell>
          <cell r="G787" t="str">
            <v/>
          </cell>
          <cell r="H787" t="str">
            <v>R</v>
          </cell>
        </row>
        <row r="788">
          <cell r="B788" t="str">
            <v>G6303</v>
          </cell>
          <cell r="C788">
            <v>200413</v>
          </cell>
          <cell r="D788">
            <v>209912</v>
          </cell>
          <cell r="E788" t="str">
            <v>N</v>
          </cell>
          <cell r="F788" t="str">
            <v/>
          </cell>
          <cell r="G788" t="str">
            <v/>
          </cell>
          <cell r="H788" t="str">
            <v>R</v>
          </cell>
        </row>
        <row r="789">
          <cell r="B789" t="str">
            <v>G6304</v>
          </cell>
          <cell r="C789">
            <v>200413</v>
          </cell>
          <cell r="D789">
            <v>201300</v>
          </cell>
          <cell r="E789" t="str">
            <v>C</v>
          </cell>
          <cell r="F789" t="str">
            <v>Account status = Closed</v>
          </cell>
          <cell r="G789" t="str">
            <v/>
          </cell>
          <cell r="H789" t="str">
            <v>R</v>
          </cell>
        </row>
        <row r="790">
          <cell r="B790" t="str">
            <v>G6305</v>
          </cell>
          <cell r="C790">
            <v>200413</v>
          </cell>
          <cell r="D790">
            <v>209912</v>
          </cell>
          <cell r="E790" t="str">
            <v>N</v>
          </cell>
          <cell r="F790" t="str">
            <v/>
          </cell>
          <cell r="G790" t="str">
            <v/>
          </cell>
          <cell r="H790" t="str">
            <v>R</v>
          </cell>
        </row>
        <row r="791">
          <cell r="B791" t="str">
            <v>G6306</v>
          </cell>
          <cell r="C791">
            <v>200413</v>
          </cell>
          <cell r="D791">
            <v>209912</v>
          </cell>
          <cell r="E791" t="str">
            <v>N</v>
          </cell>
          <cell r="F791" t="str">
            <v/>
          </cell>
          <cell r="G791" t="str">
            <v/>
          </cell>
          <cell r="H791" t="str">
            <v>R</v>
          </cell>
        </row>
        <row r="792">
          <cell r="B792" t="str">
            <v>G6307</v>
          </cell>
          <cell r="C792">
            <v>200608</v>
          </cell>
          <cell r="D792">
            <v>209912</v>
          </cell>
          <cell r="E792" t="str">
            <v>N</v>
          </cell>
          <cell r="F792" t="str">
            <v/>
          </cell>
          <cell r="G792" t="str">
            <v/>
          </cell>
          <cell r="H792" t="str">
            <v>R</v>
          </cell>
        </row>
        <row r="793">
          <cell r="B793" t="str">
            <v>G6308</v>
          </cell>
          <cell r="C793">
            <v>200608</v>
          </cell>
          <cell r="D793">
            <v>201300</v>
          </cell>
          <cell r="E793" t="str">
            <v>C</v>
          </cell>
          <cell r="F793" t="str">
            <v>Account status = Closed</v>
          </cell>
          <cell r="G793" t="str">
            <v/>
          </cell>
          <cell r="H793" t="str">
            <v>R</v>
          </cell>
        </row>
        <row r="794">
          <cell r="B794" t="str">
            <v>G6309</v>
          </cell>
          <cell r="C794">
            <v>200608</v>
          </cell>
          <cell r="D794">
            <v>209912</v>
          </cell>
          <cell r="E794" t="str">
            <v>N</v>
          </cell>
          <cell r="F794" t="str">
            <v/>
          </cell>
          <cell r="G794" t="str">
            <v/>
          </cell>
          <cell r="H794" t="str">
            <v>R</v>
          </cell>
        </row>
        <row r="795">
          <cell r="B795" t="str">
            <v>G6310</v>
          </cell>
          <cell r="C795">
            <v>200413</v>
          </cell>
          <cell r="D795">
            <v>209912</v>
          </cell>
          <cell r="E795" t="str">
            <v>N</v>
          </cell>
          <cell r="F795" t="str">
            <v/>
          </cell>
          <cell r="G795" t="str">
            <v/>
          </cell>
          <cell r="H795" t="str">
            <v>R</v>
          </cell>
        </row>
        <row r="796">
          <cell r="B796" t="str">
            <v>G6311</v>
          </cell>
          <cell r="C796">
            <v>200413</v>
          </cell>
          <cell r="D796">
            <v>209912</v>
          </cell>
          <cell r="E796" t="str">
            <v>N</v>
          </cell>
          <cell r="F796" t="str">
            <v/>
          </cell>
          <cell r="G796" t="str">
            <v/>
          </cell>
          <cell r="H796" t="str">
            <v>R</v>
          </cell>
        </row>
        <row r="797">
          <cell r="B797" t="str">
            <v>G6312</v>
          </cell>
          <cell r="C797">
            <v>200413</v>
          </cell>
          <cell r="D797">
            <v>209912</v>
          </cell>
          <cell r="E797" t="str">
            <v>N</v>
          </cell>
          <cell r="F797" t="str">
            <v/>
          </cell>
          <cell r="G797" t="str">
            <v/>
          </cell>
          <cell r="H797" t="str">
            <v>R</v>
          </cell>
        </row>
        <row r="798">
          <cell r="B798" t="str">
            <v>G6314</v>
          </cell>
          <cell r="C798">
            <v>200413</v>
          </cell>
          <cell r="D798">
            <v>200713</v>
          </cell>
          <cell r="E798" t="str">
            <v>C</v>
          </cell>
          <cell r="F798" t="str">
            <v>Account status = Closed</v>
          </cell>
          <cell r="G798" t="str">
            <v/>
          </cell>
          <cell r="H798" t="str">
            <v>R</v>
          </cell>
        </row>
        <row r="799">
          <cell r="B799" t="str">
            <v>G6315</v>
          </cell>
          <cell r="C799">
            <v>200413</v>
          </cell>
          <cell r="D799">
            <v>209912</v>
          </cell>
          <cell r="E799" t="str">
            <v>N</v>
          </cell>
          <cell r="F799" t="str">
            <v/>
          </cell>
          <cell r="G799" t="str">
            <v/>
          </cell>
          <cell r="H799" t="str">
            <v>R</v>
          </cell>
        </row>
        <row r="800">
          <cell r="B800" t="str">
            <v>G6316</v>
          </cell>
          <cell r="C800">
            <v>200413</v>
          </cell>
          <cell r="D800">
            <v>209912</v>
          </cell>
          <cell r="E800" t="str">
            <v>N</v>
          </cell>
          <cell r="F800" t="str">
            <v/>
          </cell>
          <cell r="G800" t="str">
            <v/>
          </cell>
          <cell r="H800" t="str">
            <v>R</v>
          </cell>
        </row>
        <row r="801">
          <cell r="B801" t="str">
            <v>G6317</v>
          </cell>
          <cell r="C801">
            <v>200413</v>
          </cell>
          <cell r="D801">
            <v>209912</v>
          </cell>
          <cell r="E801" t="str">
            <v>N</v>
          </cell>
          <cell r="F801" t="str">
            <v/>
          </cell>
          <cell r="G801" t="str">
            <v/>
          </cell>
          <cell r="H801" t="str">
            <v>R</v>
          </cell>
        </row>
        <row r="802">
          <cell r="B802" t="str">
            <v>G6318</v>
          </cell>
          <cell r="C802">
            <v>200413</v>
          </cell>
          <cell r="D802">
            <v>209912</v>
          </cell>
          <cell r="E802" t="str">
            <v>N</v>
          </cell>
          <cell r="F802" t="str">
            <v/>
          </cell>
          <cell r="G802" t="str">
            <v/>
          </cell>
          <cell r="H802" t="str">
            <v>R</v>
          </cell>
        </row>
        <row r="803">
          <cell r="B803" t="str">
            <v>G6319</v>
          </cell>
          <cell r="C803">
            <v>200413</v>
          </cell>
          <cell r="D803">
            <v>209912</v>
          </cell>
          <cell r="E803" t="str">
            <v>N</v>
          </cell>
          <cell r="F803" t="str">
            <v/>
          </cell>
          <cell r="G803" t="str">
            <v/>
          </cell>
          <cell r="H803" t="str">
            <v>R</v>
          </cell>
        </row>
        <row r="804">
          <cell r="B804" t="str">
            <v>G6320</v>
          </cell>
          <cell r="C804">
            <v>200413</v>
          </cell>
          <cell r="D804">
            <v>201300</v>
          </cell>
          <cell r="E804" t="str">
            <v>C</v>
          </cell>
          <cell r="F804" t="str">
            <v>Account status = Closed</v>
          </cell>
          <cell r="G804" t="str">
            <v/>
          </cell>
          <cell r="H804" t="str">
            <v>R</v>
          </cell>
        </row>
        <row r="805">
          <cell r="B805" t="str">
            <v>G6321</v>
          </cell>
          <cell r="C805">
            <v>200413</v>
          </cell>
          <cell r="D805">
            <v>209912</v>
          </cell>
          <cell r="E805" t="str">
            <v>N</v>
          </cell>
          <cell r="F805" t="str">
            <v/>
          </cell>
          <cell r="G805" t="str">
            <v/>
          </cell>
          <cell r="H805" t="str">
            <v>R</v>
          </cell>
        </row>
        <row r="806">
          <cell r="B806" t="str">
            <v>G6322</v>
          </cell>
          <cell r="C806">
            <v>200413</v>
          </cell>
          <cell r="D806">
            <v>209912</v>
          </cell>
          <cell r="E806" t="str">
            <v>N</v>
          </cell>
          <cell r="F806" t="str">
            <v/>
          </cell>
          <cell r="G806" t="str">
            <v/>
          </cell>
          <cell r="H806" t="str">
            <v>R</v>
          </cell>
        </row>
        <row r="807">
          <cell r="B807" t="str">
            <v>G6323</v>
          </cell>
          <cell r="C807">
            <v>200413</v>
          </cell>
          <cell r="D807">
            <v>209912</v>
          </cell>
          <cell r="E807" t="str">
            <v>N</v>
          </cell>
          <cell r="F807" t="str">
            <v/>
          </cell>
          <cell r="G807" t="str">
            <v/>
          </cell>
          <cell r="H807" t="str">
            <v>R</v>
          </cell>
        </row>
        <row r="808">
          <cell r="B808" t="str">
            <v>G6324</v>
          </cell>
          <cell r="C808">
            <v>200413</v>
          </cell>
          <cell r="D808">
            <v>200713</v>
          </cell>
          <cell r="E808" t="str">
            <v>C</v>
          </cell>
          <cell r="F808" t="str">
            <v>Account status = Closed</v>
          </cell>
          <cell r="G808" t="str">
            <v/>
          </cell>
          <cell r="H808" t="str">
            <v>R</v>
          </cell>
        </row>
        <row r="809">
          <cell r="B809" t="str">
            <v>G6325</v>
          </cell>
          <cell r="C809">
            <v>200413</v>
          </cell>
          <cell r="D809">
            <v>209912</v>
          </cell>
          <cell r="E809" t="str">
            <v>N</v>
          </cell>
          <cell r="F809" t="str">
            <v/>
          </cell>
          <cell r="G809" t="str">
            <v/>
          </cell>
          <cell r="H809" t="str">
            <v>R</v>
          </cell>
        </row>
        <row r="810">
          <cell r="B810" t="str">
            <v>G6326</v>
          </cell>
          <cell r="C810">
            <v>200701</v>
          </cell>
          <cell r="D810">
            <v>201300</v>
          </cell>
          <cell r="E810" t="str">
            <v>C</v>
          </cell>
          <cell r="F810" t="str">
            <v>Account status = Closed</v>
          </cell>
          <cell r="G810" t="str">
            <v/>
          </cell>
          <cell r="H810" t="str">
            <v>R</v>
          </cell>
        </row>
        <row r="811">
          <cell r="B811" t="str">
            <v>G6327</v>
          </cell>
          <cell r="C811">
            <v>200808</v>
          </cell>
          <cell r="D811">
            <v>209912</v>
          </cell>
          <cell r="E811" t="str">
            <v>N</v>
          </cell>
          <cell r="F811" t="str">
            <v/>
          </cell>
          <cell r="G811" t="str">
            <v/>
          </cell>
          <cell r="H811" t="str">
            <v>R</v>
          </cell>
        </row>
        <row r="812">
          <cell r="B812" t="str">
            <v>G6330</v>
          </cell>
          <cell r="C812">
            <v>200409</v>
          </cell>
          <cell r="D812">
            <v>209912</v>
          </cell>
          <cell r="E812" t="str">
            <v>N</v>
          </cell>
          <cell r="F812" t="str">
            <v/>
          </cell>
          <cell r="G812" t="str">
            <v/>
          </cell>
          <cell r="H812" t="str">
            <v>R</v>
          </cell>
        </row>
        <row r="813">
          <cell r="B813" t="str">
            <v>G6401</v>
          </cell>
          <cell r="C813">
            <v>200413</v>
          </cell>
          <cell r="D813">
            <v>209912</v>
          </cell>
          <cell r="E813" t="str">
            <v>N</v>
          </cell>
          <cell r="F813" t="str">
            <v/>
          </cell>
          <cell r="G813" t="str">
            <v/>
          </cell>
          <cell r="H813" t="str">
            <v>R</v>
          </cell>
        </row>
        <row r="814">
          <cell r="B814" t="str">
            <v>G6402</v>
          </cell>
          <cell r="C814">
            <v>200413</v>
          </cell>
          <cell r="D814">
            <v>201300</v>
          </cell>
          <cell r="E814" t="str">
            <v>C</v>
          </cell>
          <cell r="F814" t="str">
            <v>Account status = Closed</v>
          </cell>
          <cell r="G814" t="str">
            <v/>
          </cell>
          <cell r="H814" t="str">
            <v>R</v>
          </cell>
        </row>
        <row r="815">
          <cell r="B815" t="str">
            <v>G6403</v>
          </cell>
          <cell r="C815">
            <v>200413</v>
          </cell>
          <cell r="D815">
            <v>209912</v>
          </cell>
          <cell r="E815" t="str">
            <v>N</v>
          </cell>
          <cell r="F815" t="str">
            <v/>
          </cell>
          <cell r="G815" t="str">
            <v/>
          </cell>
          <cell r="H815" t="str">
            <v>R</v>
          </cell>
        </row>
        <row r="816">
          <cell r="B816" t="str">
            <v>G6404</v>
          </cell>
          <cell r="C816">
            <v>200413</v>
          </cell>
          <cell r="D816">
            <v>200713</v>
          </cell>
          <cell r="E816" t="str">
            <v>C</v>
          </cell>
          <cell r="F816" t="str">
            <v>Account status = Closed</v>
          </cell>
          <cell r="G816" t="str">
            <v/>
          </cell>
          <cell r="H816" t="str">
            <v>R</v>
          </cell>
        </row>
        <row r="817">
          <cell r="B817" t="str">
            <v>G6405</v>
          </cell>
          <cell r="C817">
            <v>200413</v>
          </cell>
          <cell r="D817">
            <v>201300</v>
          </cell>
          <cell r="E817" t="str">
            <v>C</v>
          </cell>
          <cell r="F817" t="str">
            <v>Account status = Closed</v>
          </cell>
          <cell r="G817" t="str">
            <v/>
          </cell>
          <cell r="H817" t="str">
            <v>R</v>
          </cell>
        </row>
        <row r="818">
          <cell r="B818" t="str">
            <v>G6406</v>
          </cell>
          <cell r="C818">
            <v>200413</v>
          </cell>
          <cell r="D818">
            <v>209912</v>
          </cell>
          <cell r="E818" t="str">
            <v>N</v>
          </cell>
          <cell r="F818" t="str">
            <v/>
          </cell>
          <cell r="G818" t="str">
            <v/>
          </cell>
          <cell r="H818" t="str">
            <v>R</v>
          </cell>
        </row>
        <row r="819">
          <cell r="B819" t="str">
            <v>G6407</v>
          </cell>
          <cell r="C819">
            <v>200413</v>
          </cell>
          <cell r="D819">
            <v>209912</v>
          </cell>
          <cell r="E819" t="str">
            <v>N</v>
          </cell>
          <cell r="F819" t="str">
            <v/>
          </cell>
          <cell r="G819" t="str">
            <v/>
          </cell>
          <cell r="H819" t="str">
            <v>R</v>
          </cell>
        </row>
        <row r="820">
          <cell r="B820" t="str">
            <v>G6408</v>
          </cell>
          <cell r="C820">
            <v>200409</v>
          </cell>
          <cell r="D820">
            <v>201300</v>
          </cell>
          <cell r="E820" t="str">
            <v>C</v>
          </cell>
          <cell r="F820" t="str">
            <v>Account status = Closed</v>
          </cell>
          <cell r="G820" t="str">
            <v/>
          </cell>
          <cell r="H820" t="str">
            <v>R</v>
          </cell>
        </row>
        <row r="821">
          <cell r="B821" t="str">
            <v>G6501</v>
          </cell>
          <cell r="C821">
            <v>201008</v>
          </cell>
          <cell r="D821">
            <v>201300</v>
          </cell>
          <cell r="E821" t="str">
            <v>C</v>
          </cell>
          <cell r="F821" t="str">
            <v>Account status = Closed</v>
          </cell>
          <cell r="G821" t="str">
            <v/>
          </cell>
          <cell r="H821" t="str">
            <v>R</v>
          </cell>
        </row>
        <row r="822">
          <cell r="B822" t="str">
            <v>G6502</v>
          </cell>
          <cell r="C822">
            <v>201008</v>
          </cell>
          <cell r="D822">
            <v>209912</v>
          </cell>
          <cell r="E822" t="str">
            <v>N</v>
          </cell>
          <cell r="F822" t="str">
            <v/>
          </cell>
          <cell r="G822" t="str">
            <v/>
          </cell>
          <cell r="H822" t="str">
            <v>R</v>
          </cell>
        </row>
        <row r="823">
          <cell r="B823" t="str">
            <v>G6550</v>
          </cell>
          <cell r="C823">
            <v>199900</v>
          </cell>
          <cell r="D823">
            <v>209912</v>
          </cell>
          <cell r="E823" t="str">
            <v>N</v>
          </cell>
          <cell r="F823" t="str">
            <v/>
          </cell>
          <cell r="G823" t="str">
            <v/>
          </cell>
          <cell r="H823" t="str">
            <v>R</v>
          </cell>
        </row>
        <row r="824">
          <cell r="B824" t="str">
            <v>G6551</v>
          </cell>
          <cell r="C824">
            <v>199900</v>
          </cell>
          <cell r="D824">
            <v>209912</v>
          </cell>
          <cell r="E824" t="str">
            <v>N</v>
          </cell>
          <cell r="F824" t="str">
            <v/>
          </cell>
          <cell r="G824" t="str">
            <v/>
          </cell>
          <cell r="H824" t="str">
            <v>R</v>
          </cell>
        </row>
        <row r="825">
          <cell r="B825" t="str">
            <v>G6552</v>
          </cell>
          <cell r="C825">
            <v>199900</v>
          </cell>
          <cell r="D825">
            <v>209912</v>
          </cell>
          <cell r="E825" t="str">
            <v>N</v>
          </cell>
          <cell r="F825" t="str">
            <v/>
          </cell>
          <cell r="G825" t="str">
            <v/>
          </cell>
          <cell r="H825" t="str">
            <v>R</v>
          </cell>
        </row>
        <row r="826">
          <cell r="B826" t="str">
            <v>G6553</v>
          </cell>
          <cell r="C826">
            <v>199900</v>
          </cell>
          <cell r="D826">
            <v>209912</v>
          </cell>
          <cell r="E826" t="str">
            <v>N</v>
          </cell>
          <cell r="F826" t="str">
            <v/>
          </cell>
          <cell r="G826" t="str">
            <v/>
          </cell>
          <cell r="H826" t="str">
            <v>R</v>
          </cell>
        </row>
        <row r="827">
          <cell r="B827" t="str">
            <v>G6554</v>
          </cell>
          <cell r="C827">
            <v>199900</v>
          </cell>
          <cell r="D827">
            <v>209912</v>
          </cell>
          <cell r="E827" t="str">
            <v>N</v>
          </cell>
          <cell r="F827" t="str">
            <v/>
          </cell>
          <cell r="G827" t="str">
            <v/>
          </cell>
          <cell r="H827" t="str">
            <v>R</v>
          </cell>
        </row>
        <row r="828">
          <cell r="B828" t="str">
            <v>G6555</v>
          </cell>
          <cell r="C828">
            <v>199900</v>
          </cell>
          <cell r="D828">
            <v>201300</v>
          </cell>
          <cell r="E828" t="str">
            <v>C</v>
          </cell>
          <cell r="F828" t="str">
            <v>Account status = Closed</v>
          </cell>
          <cell r="G828" t="str">
            <v/>
          </cell>
          <cell r="H828" t="str">
            <v>R</v>
          </cell>
        </row>
        <row r="829">
          <cell r="B829" t="str">
            <v>G6601</v>
          </cell>
          <cell r="C829">
            <v>200109</v>
          </cell>
          <cell r="D829">
            <v>200500</v>
          </cell>
          <cell r="E829" t="str">
            <v>C</v>
          </cell>
          <cell r="F829" t="str">
            <v>Account status = Closed</v>
          </cell>
          <cell r="G829" t="str">
            <v/>
          </cell>
          <cell r="H829" t="str">
            <v>R</v>
          </cell>
        </row>
        <row r="830">
          <cell r="B830" t="str">
            <v>G6606</v>
          </cell>
          <cell r="C830">
            <v>200109</v>
          </cell>
          <cell r="D830">
            <v>200112</v>
          </cell>
          <cell r="E830" t="str">
            <v>C</v>
          </cell>
          <cell r="F830" t="str">
            <v>Account status = Closed</v>
          </cell>
          <cell r="G830" t="str">
            <v/>
          </cell>
          <cell r="H830" t="str">
            <v>R</v>
          </cell>
        </row>
        <row r="831">
          <cell r="B831" t="str">
            <v>G6607</v>
          </cell>
          <cell r="C831">
            <v>200109</v>
          </cell>
          <cell r="D831">
            <v>200500</v>
          </cell>
          <cell r="E831" t="str">
            <v>C</v>
          </cell>
          <cell r="F831" t="str">
            <v>Account status = Closed</v>
          </cell>
          <cell r="G831" t="str">
            <v/>
          </cell>
          <cell r="H831" t="str">
            <v>R</v>
          </cell>
        </row>
        <row r="832">
          <cell r="B832" t="str">
            <v>G6608</v>
          </cell>
          <cell r="C832">
            <v>200109</v>
          </cell>
          <cell r="D832">
            <v>200500</v>
          </cell>
          <cell r="E832" t="str">
            <v>C</v>
          </cell>
          <cell r="F832" t="str">
            <v>Account status = Closed</v>
          </cell>
          <cell r="G832" t="str">
            <v/>
          </cell>
          <cell r="H832" t="str">
            <v>R</v>
          </cell>
        </row>
        <row r="833">
          <cell r="B833" t="str">
            <v>G6612</v>
          </cell>
          <cell r="C833">
            <v>200109</v>
          </cell>
          <cell r="D833">
            <v>200500</v>
          </cell>
          <cell r="E833" t="str">
            <v>C</v>
          </cell>
          <cell r="F833" t="str">
            <v>Account status = Closed</v>
          </cell>
          <cell r="G833" t="str">
            <v/>
          </cell>
          <cell r="H833" t="str">
            <v>R</v>
          </cell>
        </row>
        <row r="834">
          <cell r="B834" t="str">
            <v>G6613</v>
          </cell>
          <cell r="C834">
            <v>200109</v>
          </cell>
          <cell r="D834">
            <v>200500</v>
          </cell>
          <cell r="E834" t="str">
            <v>C</v>
          </cell>
          <cell r="F834" t="str">
            <v>Account status = Closed</v>
          </cell>
          <cell r="G834" t="str">
            <v/>
          </cell>
          <cell r="H834" t="str">
            <v>R</v>
          </cell>
        </row>
        <row r="835">
          <cell r="B835" t="str">
            <v>G6614</v>
          </cell>
          <cell r="C835">
            <v>200109</v>
          </cell>
          <cell r="D835">
            <v>200500</v>
          </cell>
          <cell r="E835" t="str">
            <v>C</v>
          </cell>
          <cell r="F835" t="str">
            <v>Account status = Closed</v>
          </cell>
          <cell r="G835" t="str">
            <v/>
          </cell>
          <cell r="H835" t="str">
            <v>R</v>
          </cell>
        </row>
        <row r="836">
          <cell r="B836" t="str">
            <v>G6620</v>
          </cell>
          <cell r="C836">
            <v>200109</v>
          </cell>
          <cell r="D836">
            <v>200500</v>
          </cell>
          <cell r="E836" t="str">
            <v>C</v>
          </cell>
          <cell r="F836" t="str">
            <v>Account status = Closed</v>
          </cell>
          <cell r="G836" t="str">
            <v/>
          </cell>
          <cell r="H836" t="str">
            <v>R</v>
          </cell>
        </row>
        <row r="837">
          <cell r="B837" t="str">
            <v>G6621</v>
          </cell>
          <cell r="C837">
            <v>200109</v>
          </cell>
          <cell r="D837">
            <v>200500</v>
          </cell>
          <cell r="E837" t="str">
            <v>C</v>
          </cell>
          <cell r="F837" t="str">
            <v>Account status = Closed</v>
          </cell>
          <cell r="G837" t="str">
            <v/>
          </cell>
          <cell r="H837" t="str">
            <v>R</v>
          </cell>
        </row>
        <row r="838">
          <cell r="B838" t="str">
            <v>G6622</v>
          </cell>
          <cell r="C838">
            <v>200109</v>
          </cell>
          <cell r="D838">
            <v>200500</v>
          </cell>
          <cell r="E838" t="str">
            <v>C</v>
          </cell>
          <cell r="F838" t="str">
            <v>Account status = Closed</v>
          </cell>
          <cell r="G838" t="str">
            <v/>
          </cell>
          <cell r="H838" t="str">
            <v>R</v>
          </cell>
        </row>
        <row r="839">
          <cell r="B839" t="str">
            <v>G6623</v>
          </cell>
          <cell r="C839">
            <v>200109</v>
          </cell>
          <cell r="D839">
            <v>200500</v>
          </cell>
          <cell r="E839" t="str">
            <v>C</v>
          </cell>
          <cell r="F839" t="str">
            <v>Account status = Closed</v>
          </cell>
          <cell r="G839" t="str">
            <v/>
          </cell>
          <cell r="H839" t="str">
            <v>R</v>
          </cell>
        </row>
        <row r="840">
          <cell r="B840" t="str">
            <v>G6624</v>
          </cell>
          <cell r="C840">
            <v>200109</v>
          </cell>
          <cell r="D840">
            <v>200500</v>
          </cell>
          <cell r="E840" t="str">
            <v>C</v>
          </cell>
          <cell r="F840" t="str">
            <v>Account status = Closed</v>
          </cell>
          <cell r="G840" t="str">
            <v/>
          </cell>
          <cell r="H840" t="str">
            <v>R</v>
          </cell>
        </row>
        <row r="841">
          <cell r="B841" t="str">
            <v>G6625</v>
          </cell>
          <cell r="C841">
            <v>200109</v>
          </cell>
          <cell r="D841">
            <v>200500</v>
          </cell>
          <cell r="E841" t="str">
            <v>C</v>
          </cell>
          <cell r="F841" t="str">
            <v>Account status = Closed</v>
          </cell>
          <cell r="G841" t="str">
            <v/>
          </cell>
          <cell r="H841" t="str">
            <v>R</v>
          </cell>
        </row>
        <row r="842">
          <cell r="B842" t="str">
            <v>G6626</v>
          </cell>
          <cell r="C842">
            <v>200109</v>
          </cell>
          <cell r="D842">
            <v>200501</v>
          </cell>
          <cell r="E842" t="str">
            <v>C</v>
          </cell>
          <cell r="F842" t="str">
            <v>Account status = Closed</v>
          </cell>
          <cell r="G842" t="str">
            <v/>
          </cell>
          <cell r="H842" t="str">
            <v>R</v>
          </cell>
        </row>
        <row r="843">
          <cell r="B843" t="str">
            <v>G6628</v>
          </cell>
          <cell r="C843">
            <v>200109</v>
          </cell>
          <cell r="D843">
            <v>200500</v>
          </cell>
          <cell r="E843" t="str">
            <v>C</v>
          </cell>
          <cell r="F843" t="str">
            <v>Account status = Closed</v>
          </cell>
          <cell r="G843" t="str">
            <v/>
          </cell>
          <cell r="H843" t="str">
            <v>R</v>
          </cell>
        </row>
        <row r="844">
          <cell r="B844" t="str">
            <v>G6629</v>
          </cell>
          <cell r="C844">
            <v>200109</v>
          </cell>
          <cell r="D844">
            <v>200500</v>
          </cell>
          <cell r="E844" t="str">
            <v>C</v>
          </cell>
          <cell r="F844" t="str">
            <v>Account status = Closed</v>
          </cell>
          <cell r="G844" t="str">
            <v/>
          </cell>
          <cell r="H844" t="str">
            <v>R</v>
          </cell>
        </row>
        <row r="845">
          <cell r="B845" t="str">
            <v>G6630</v>
          </cell>
          <cell r="C845">
            <v>200109</v>
          </cell>
          <cell r="D845">
            <v>200500</v>
          </cell>
          <cell r="E845" t="str">
            <v>C</v>
          </cell>
          <cell r="F845" t="str">
            <v>Account status = Closed</v>
          </cell>
          <cell r="G845" t="str">
            <v/>
          </cell>
          <cell r="H845" t="str">
            <v>R</v>
          </cell>
        </row>
        <row r="846">
          <cell r="B846" t="str">
            <v>G6631</v>
          </cell>
          <cell r="C846">
            <v>200109</v>
          </cell>
          <cell r="D846">
            <v>200112</v>
          </cell>
          <cell r="E846" t="str">
            <v>C</v>
          </cell>
          <cell r="F846" t="str">
            <v>Account status = Closed</v>
          </cell>
          <cell r="G846" t="str">
            <v/>
          </cell>
          <cell r="H846" t="str">
            <v>R</v>
          </cell>
        </row>
        <row r="847">
          <cell r="B847" t="str">
            <v>G6632</v>
          </cell>
          <cell r="C847">
            <v>200109</v>
          </cell>
          <cell r="D847">
            <v>200505</v>
          </cell>
          <cell r="E847" t="str">
            <v>C</v>
          </cell>
          <cell r="F847" t="str">
            <v>Account status = Closed</v>
          </cell>
          <cell r="G847" t="str">
            <v/>
          </cell>
          <cell r="H847" t="str">
            <v>R</v>
          </cell>
        </row>
        <row r="848">
          <cell r="B848" t="str">
            <v>G6635</v>
          </cell>
          <cell r="C848">
            <v>200109</v>
          </cell>
          <cell r="D848">
            <v>200500</v>
          </cell>
          <cell r="E848" t="str">
            <v>C</v>
          </cell>
          <cell r="F848" t="str">
            <v>Account status = Closed</v>
          </cell>
          <cell r="G848" t="str">
            <v/>
          </cell>
          <cell r="H848" t="str">
            <v>R</v>
          </cell>
        </row>
        <row r="849">
          <cell r="B849" t="str">
            <v>G6636</v>
          </cell>
          <cell r="C849">
            <v>200301</v>
          </cell>
          <cell r="D849">
            <v>200500</v>
          </cell>
          <cell r="E849" t="str">
            <v>C</v>
          </cell>
          <cell r="F849" t="str">
            <v>Account status = Closed</v>
          </cell>
          <cell r="G849" t="str">
            <v/>
          </cell>
          <cell r="H849" t="str">
            <v>R</v>
          </cell>
        </row>
        <row r="850">
          <cell r="B850" t="str">
            <v>G6637</v>
          </cell>
          <cell r="C850">
            <v>200109</v>
          </cell>
          <cell r="D850">
            <v>200500</v>
          </cell>
          <cell r="E850" t="str">
            <v>C</v>
          </cell>
          <cell r="F850" t="str">
            <v>Account status = Closed</v>
          </cell>
          <cell r="G850" t="str">
            <v/>
          </cell>
          <cell r="H850" t="str">
            <v>R</v>
          </cell>
        </row>
        <row r="851">
          <cell r="B851" t="str">
            <v>G6638</v>
          </cell>
          <cell r="C851">
            <v>200109</v>
          </cell>
          <cell r="D851">
            <v>200500</v>
          </cell>
          <cell r="E851" t="str">
            <v>C</v>
          </cell>
          <cell r="F851" t="str">
            <v>Account status = Closed</v>
          </cell>
          <cell r="G851" t="str">
            <v/>
          </cell>
          <cell r="H851" t="str">
            <v>R</v>
          </cell>
        </row>
        <row r="852">
          <cell r="B852" t="str">
            <v>G6639</v>
          </cell>
          <cell r="C852">
            <v>200109</v>
          </cell>
          <cell r="D852">
            <v>200500</v>
          </cell>
          <cell r="E852" t="str">
            <v>C</v>
          </cell>
          <cell r="F852" t="str">
            <v>Account status = Closed</v>
          </cell>
          <cell r="G852" t="str">
            <v/>
          </cell>
          <cell r="H852" t="str">
            <v>R</v>
          </cell>
        </row>
        <row r="853">
          <cell r="B853" t="str">
            <v>G6640</v>
          </cell>
          <cell r="C853">
            <v>200109</v>
          </cell>
          <cell r="D853">
            <v>200500</v>
          </cell>
          <cell r="E853" t="str">
            <v>C</v>
          </cell>
          <cell r="F853" t="str">
            <v>Account status = Closed</v>
          </cell>
          <cell r="G853" t="str">
            <v/>
          </cell>
          <cell r="H853" t="str">
            <v>R</v>
          </cell>
        </row>
        <row r="854">
          <cell r="B854" t="str">
            <v>G6641</v>
          </cell>
          <cell r="C854">
            <v>200101</v>
          </cell>
          <cell r="D854">
            <v>200500</v>
          </cell>
          <cell r="E854" t="str">
            <v>C</v>
          </cell>
          <cell r="F854" t="str">
            <v>Account status = Closed</v>
          </cell>
          <cell r="G854" t="str">
            <v/>
          </cell>
          <cell r="H854" t="str">
            <v>R</v>
          </cell>
        </row>
        <row r="855">
          <cell r="B855" t="str">
            <v>G6642</v>
          </cell>
          <cell r="C855">
            <v>200101</v>
          </cell>
          <cell r="D855">
            <v>200500</v>
          </cell>
          <cell r="E855" t="str">
            <v>C</v>
          </cell>
          <cell r="F855" t="str">
            <v>Account status = Closed</v>
          </cell>
          <cell r="G855" t="str">
            <v/>
          </cell>
          <cell r="H855" t="str">
            <v>R</v>
          </cell>
        </row>
        <row r="856">
          <cell r="B856" t="str">
            <v>G6643</v>
          </cell>
          <cell r="C856">
            <v>200101</v>
          </cell>
          <cell r="D856">
            <v>200500</v>
          </cell>
          <cell r="E856" t="str">
            <v>C</v>
          </cell>
          <cell r="F856" t="str">
            <v>Account status = Closed</v>
          </cell>
          <cell r="G856" t="str">
            <v/>
          </cell>
          <cell r="H856" t="str">
            <v>R</v>
          </cell>
        </row>
        <row r="857">
          <cell r="B857" t="str">
            <v>G6644</v>
          </cell>
          <cell r="C857">
            <v>200101</v>
          </cell>
          <cell r="D857">
            <v>200500</v>
          </cell>
          <cell r="E857" t="str">
            <v>C</v>
          </cell>
          <cell r="F857" t="str">
            <v>Account status = Closed</v>
          </cell>
          <cell r="G857" t="str">
            <v/>
          </cell>
          <cell r="H857" t="str">
            <v>R</v>
          </cell>
        </row>
        <row r="858">
          <cell r="B858" t="str">
            <v>G6645</v>
          </cell>
          <cell r="C858">
            <v>200101</v>
          </cell>
          <cell r="D858">
            <v>200113</v>
          </cell>
          <cell r="E858" t="str">
            <v>C</v>
          </cell>
          <cell r="F858" t="str">
            <v>Account status = Closed</v>
          </cell>
          <cell r="G858" t="str">
            <v/>
          </cell>
          <cell r="H858" t="str">
            <v>R</v>
          </cell>
        </row>
        <row r="859">
          <cell r="B859" t="str">
            <v>G6646</v>
          </cell>
          <cell r="C859">
            <v>200101</v>
          </cell>
          <cell r="D859">
            <v>200113</v>
          </cell>
          <cell r="E859" t="str">
            <v>C</v>
          </cell>
          <cell r="F859" t="str">
            <v>Account status = Closed</v>
          </cell>
          <cell r="G859" t="str">
            <v/>
          </cell>
          <cell r="H859" t="str">
            <v>R</v>
          </cell>
        </row>
        <row r="860">
          <cell r="B860" t="str">
            <v>G6647</v>
          </cell>
          <cell r="C860">
            <v>200101</v>
          </cell>
          <cell r="D860">
            <v>200113</v>
          </cell>
          <cell r="E860" t="str">
            <v>C</v>
          </cell>
          <cell r="F860" t="str">
            <v>Account status = Closed</v>
          </cell>
          <cell r="G860" t="str">
            <v/>
          </cell>
          <cell r="H860" t="str">
            <v>R</v>
          </cell>
        </row>
        <row r="861">
          <cell r="B861" t="str">
            <v>G6648</v>
          </cell>
          <cell r="C861">
            <v>200101</v>
          </cell>
          <cell r="D861">
            <v>200113</v>
          </cell>
          <cell r="E861" t="str">
            <v>C</v>
          </cell>
          <cell r="F861" t="str">
            <v>Account status = Closed</v>
          </cell>
          <cell r="G861" t="str">
            <v/>
          </cell>
          <cell r="H861" t="str">
            <v>R</v>
          </cell>
        </row>
        <row r="862">
          <cell r="B862" t="str">
            <v>G6660</v>
          </cell>
          <cell r="C862">
            <v>200109</v>
          </cell>
          <cell r="D862">
            <v>200112</v>
          </cell>
          <cell r="E862" t="str">
            <v>C</v>
          </cell>
          <cell r="F862" t="str">
            <v>Account status = Closed</v>
          </cell>
          <cell r="G862" t="str">
            <v/>
          </cell>
          <cell r="H862" t="str">
            <v>R</v>
          </cell>
        </row>
        <row r="863">
          <cell r="B863" t="str">
            <v>G6661</v>
          </cell>
          <cell r="C863">
            <v>200109</v>
          </cell>
          <cell r="D863">
            <v>200112</v>
          </cell>
          <cell r="E863" t="str">
            <v>C</v>
          </cell>
          <cell r="F863" t="str">
            <v>Account status = Closed</v>
          </cell>
          <cell r="G863" t="str">
            <v/>
          </cell>
          <cell r="H863" t="str">
            <v>R</v>
          </cell>
        </row>
        <row r="864">
          <cell r="B864" t="str">
            <v>G6663</v>
          </cell>
          <cell r="C864">
            <v>200109</v>
          </cell>
          <cell r="D864">
            <v>200500</v>
          </cell>
          <cell r="E864" t="str">
            <v>C</v>
          </cell>
          <cell r="F864" t="str">
            <v>Account status = Closed</v>
          </cell>
          <cell r="G864" t="str">
            <v/>
          </cell>
          <cell r="H864" t="str">
            <v>R</v>
          </cell>
        </row>
        <row r="865">
          <cell r="B865" t="str">
            <v>G6664</v>
          </cell>
          <cell r="C865">
            <v>200109</v>
          </cell>
          <cell r="D865">
            <v>200500</v>
          </cell>
          <cell r="E865" t="str">
            <v>C</v>
          </cell>
          <cell r="F865" t="str">
            <v>Account status = Closed</v>
          </cell>
          <cell r="G865" t="str">
            <v/>
          </cell>
          <cell r="H865" t="str">
            <v>R</v>
          </cell>
        </row>
        <row r="866">
          <cell r="B866" t="str">
            <v>G6665</v>
          </cell>
          <cell r="C866">
            <v>200109</v>
          </cell>
          <cell r="D866">
            <v>200500</v>
          </cell>
          <cell r="E866" t="str">
            <v>C</v>
          </cell>
          <cell r="F866" t="str">
            <v>Account status = Closed</v>
          </cell>
          <cell r="G866" t="str">
            <v/>
          </cell>
          <cell r="H866" t="str">
            <v>R</v>
          </cell>
        </row>
        <row r="867">
          <cell r="B867" t="str">
            <v>G6666</v>
          </cell>
          <cell r="C867">
            <v>200109</v>
          </cell>
          <cell r="D867">
            <v>200500</v>
          </cell>
          <cell r="E867" t="str">
            <v>C</v>
          </cell>
          <cell r="F867" t="str">
            <v>Account status = Closed</v>
          </cell>
          <cell r="G867" t="str">
            <v/>
          </cell>
          <cell r="H867" t="str">
            <v>R</v>
          </cell>
        </row>
        <row r="868">
          <cell r="B868" t="str">
            <v>G6668</v>
          </cell>
          <cell r="C868">
            <v>200109</v>
          </cell>
          <cell r="D868">
            <v>200112</v>
          </cell>
          <cell r="E868" t="str">
            <v>C</v>
          </cell>
          <cell r="F868" t="str">
            <v>Account status = Closed</v>
          </cell>
          <cell r="G868" t="str">
            <v/>
          </cell>
          <cell r="H868" t="str">
            <v>R</v>
          </cell>
        </row>
        <row r="869">
          <cell r="B869" t="str">
            <v>G6669</v>
          </cell>
          <cell r="C869">
            <v>200109</v>
          </cell>
          <cell r="D869">
            <v>200500</v>
          </cell>
          <cell r="E869" t="str">
            <v>C</v>
          </cell>
          <cell r="F869" t="str">
            <v>Account status = Closed</v>
          </cell>
          <cell r="G869" t="str">
            <v/>
          </cell>
          <cell r="H869" t="str">
            <v>R</v>
          </cell>
        </row>
        <row r="870">
          <cell r="B870" t="str">
            <v>G6670</v>
          </cell>
          <cell r="C870">
            <v>200109</v>
          </cell>
          <cell r="D870">
            <v>200500</v>
          </cell>
          <cell r="E870" t="str">
            <v>C</v>
          </cell>
          <cell r="F870" t="str">
            <v>Account status = Closed</v>
          </cell>
          <cell r="G870" t="str">
            <v/>
          </cell>
          <cell r="H870" t="str">
            <v>R</v>
          </cell>
        </row>
        <row r="871">
          <cell r="B871" t="str">
            <v>G6671</v>
          </cell>
          <cell r="C871">
            <v>200109</v>
          </cell>
          <cell r="D871">
            <v>200500</v>
          </cell>
          <cell r="E871" t="str">
            <v>C</v>
          </cell>
          <cell r="F871" t="str">
            <v>Account status = Closed</v>
          </cell>
          <cell r="G871" t="str">
            <v/>
          </cell>
          <cell r="H871" t="str">
            <v>R</v>
          </cell>
        </row>
        <row r="872">
          <cell r="B872" t="str">
            <v>G6672</v>
          </cell>
          <cell r="C872">
            <v>200109</v>
          </cell>
          <cell r="D872">
            <v>200500</v>
          </cell>
          <cell r="E872" t="str">
            <v>C</v>
          </cell>
          <cell r="F872" t="str">
            <v>Account status = Closed</v>
          </cell>
          <cell r="G872" t="str">
            <v/>
          </cell>
          <cell r="H872" t="str">
            <v>R</v>
          </cell>
        </row>
        <row r="873">
          <cell r="B873" t="str">
            <v>G6673</v>
          </cell>
          <cell r="C873">
            <v>200109</v>
          </cell>
          <cell r="D873">
            <v>200112</v>
          </cell>
          <cell r="E873" t="str">
            <v>C</v>
          </cell>
          <cell r="F873" t="str">
            <v>Account status = Closed</v>
          </cell>
          <cell r="G873" t="str">
            <v/>
          </cell>
          <cell r="H873" t="str">
            <v>R</v>
          </cell>
        </row>
        <row r="874">
          <cell r="B874" t="str">
            <v>G6699</v>
          </cell>
          <cell r="C874">
            <v>200109</v>
          </cell>
          <cell r="D874">
            <v>200500</v>
          </cell>
          <cell r="E874" t="str">
            <v>C</v>
          </cell>
          <cell r="F874" t="str">
            <v>Account status = Closed</v>
          </cell>
          <cell r="G874" t="str">
            <v/>
          </cell>
          <cell r="H874" t="str">
            <v>R</v>
          </cell>
        </row>
        <row r="875">
          <cell r="B875" t="str">
            <v>G6700</v>
          </cell>
          <cell r="C875">
            <v>200109</v>
          </cell>
          <cell r="D875">
            <v>200500</v>
          </cell>
          <cell r="E875" t="str">
            <v>C</v>
          </cell>
          <cell r="F875" t="str">
            <v>Account status = Closed</v>
          </cell>
          <cell r="G875" t="str">
            <v/>
          </cell>
          <cell r="H875" t="str">
            <v>R</v>
          </cell>
        </row>
        <row r="876">
          <cell r="B876" t="str">
            <v>G6701</v>
          </cell>
          <cell r="C876">
            <v>200109</v>
          </cell>
          <cell r="D876">
            <v>200500</v>
          </cell>
          <cell r="E876" t="str">
            <v>C</v>
          </cell>
          <cell r="F876" t="str">
            <v>Account status = Closed</v>
          </cell>
          <cell r="G876" t="str">
            <v/>
          </cell>
          <cell r="H876" t="str">
            <v>R</v>
          </cell>
        </row>
        <row r="877">
          <cell r="B877" t="str">
            <v>G6702</v>
          </cell>
          <cell r="C877">
            <v>200109</v>
          </cell>
          <cell r="D877">
            <v>200112</v>
          </cell>
          <cell r="E877" t="str">
            <v>C</v>
          </cell>
          <cell r="F877" t="str">
            <v>Account status = Closed</v>
          </cell>
          <cell r="G877" t="str">
            <v/>
          </cell>
          <cell r="H877" t="str">
            <v>R</v>
          </cell>
        </row>
        <row r="878">
          <cell r="B878" t="str">
            <v>G6703</v>
          </cell>
          <cell r="C878">
            <v>200109</v>
          </cell>
          <cell r="D878">
            <v>200112</v>
          </cell>
          <cell r="E878" t="str">
            <v>C</v>
          </cell>
          <cell r="F878" t="str">
            <v>Account status = Closed</v>
          </cell>
          <cell r="G878" t="str">
            <v/>
          </cell>
          <cell r="H878" t="str">
            <v>R</v>
          </cell>
        </row>
        <row r="879">
          <cell r="B879" t="str">
            <v>G6704</v>
          </cell>
          <cell r="C879">
            <v>200109</v>
          </cell>
          <cell r="D879">
            <v>200112</v>
          </cell>
          <cell r="E879" t="str">
            <v>C</v>
          </cell>
          <cell r="F879" t="str">
            <v>Account status = Closed</v>
          </cell>
          <cell r="G879" t="str">
            <v/>
          </cell>
          <cell r="H879" t="str">
            <v>R</v>
          </cell>
        </row>
        <row r="880">
          <cell r="B880" t="str">
            <v>G6705</v>
          </cell>
          <cell r="C880">
            <v>200109</v>
          </cell>
          <cell r="D880">
            <v>200112</v>
          </cell>
          <cell r="E880" t="str">
            <v>C</v>
          </cell>
          <cell r="F880" t="str">
            <v>Account status = Closed</v>
          </cell>
          <cell r="G880" t="str">
            <v/>
          </cell>
          <cell r="H880" t="str">
            <v>R</v>
          </cell>
        </row>
        <row r="881">
          <cell r="B881" t="str">
            <v>G6706</v>
          </cell>
          <cell r="C881">
            <v>200109</v>
          </cell>
          <cell r="D881">
            <v>200505</v>
          </cell>
          <cell r="E881" t="str">
            <v>C</v>
          </cell>
          <cell r="F881" t="str">
            <v>Account status = Closed</v>
          </cell>
          <cell r="G881" t="str">
            <v/>
          </cell>
          <cell r="H881" t="str">
            <v>R</v>
          </cell>
        </row>
        <row r="882">
          <cell r="B882" t="str">
            <v>G6707</v>
          </cell>
          <cell r="C882">
            <v>200109</v>
          </cell>
          <cell r="D882">
            <v>200500</v>
          </cell>
          <cell r="E882" t="str">
            <v>C</v>
          </cell>
          <cell r="F882" t="str">
            <v>Account status = Closed</v>
          </cell>
          <cell r="G882" t="str">
            <v/>
          </cell>
          <cell r="H882" t="str">
            <v>R</v>
          </cell>
        </row>
        <row r="883">
          <cell r="B883" t="str">
            <v>G6708</v>
          </cell>
          <cell r="C883">
            <v>200109</v>
          </cell>
          <cell r="D883">
            <v>200500</v>
          </cell>
          <cell r="E883" t="str">
            <v>C</v>
          </cell>
          <cell r="F883" t="str">
            <v>Account status = Closed</v>
          </cell>
          <cell r="G883" t="str">
            <v/>
          </cell>
          <cell r="H883" t="str">
            <v>R</v>
          </cell>
        </row>
        <row r="884">
          <cell r="B884" t="str">
            <v>G6709</v>
          </cell>
          <cell r="C884">
            <v>200109</v>
          </cell>
          <cell r="D884">
            <v>200112</v>
          </cell>
          <cell r="E884" t="str">
            <v>C</v>
          </cell>
          <cell r="F884" t="str">
            <v>Account status = Closed</v>
          </cell>
          <cell r="G884" t="str">
            <v/>
          </cell>
          <cell r="H884" t="str">
            <v>R</v>
          </cell>
        </row>
        <row r="885">
          <cell r="B885" t="str">
            <v>G6710</v>
          </cell>
          <cell r="C885">
            <v>200109</v>
          </cell>
          <cell r="D885">
            <v>200112</v>
          </cell>
          <cell r="E885" t="str">
            <v>C</v>
          </cell>
          <cell r="F885" t="str">
            <v>Account status = Closed</v>
          </cell>
          <cell r="G885" t="str">
            <v/>
          </cell>
          <cell r="H885" t="str">
            <v>R</v>
          </cell>
        </row>
        <row r="886">
          <cell r="B886" t="str">
            <v>G6711</v>
          </cell>
          <cell r="C886">
            <v>200109</v>
          </cell>
          <cell r="D886">
            <v>200500</v>
          </cell>
          <cell r="E886" t="str">
            <v>C</v>
          </cell>
          <cell r="F886" t="str">
            <v>Account status = Closed</v>
          </cell>
          <cell r="G886" t="str">
            <v/>
          </cell>
          <cell r="H886" t="str">
            <v>R</v>
          </cell>
        </row>
        <row r="887">
          <cell r="B887" t="str">
            <v>G6712</v>
          </cell>
          <cell r="C887">
            <v>200109</v>
          </cell>
          <cell r="D887">
            <v>200112</v>
          </cell>
          <cell r="E887" t="str">
            <v>C</v>
          </cell>
          <cell r="F887" t="str">
            <v>Account status = Closed</v>
          </cell>
          <cell r="G887" t="str">
            <v/>
          </cell>
          <cell r="H887" t="str">
            <v>R</v>
          </cell>
        </row>
        <row r="888">
          <cell r="B888" t="str">
            <v>G6714</v>
          </cell>
          <cell r="C888">
            <v>200109</v>
          </cell>
          <cell r="D888">
            <v>200500</v>
          </cell>
          <cell r="E888" t="str">
            <v>C</v>
          </cell>
          <cell r="F888" t="str">
            <v>Account status = Closed</v>
          </cell>
          <cell r="G888" t="str">
            <v/>
          </cell>
          <cell r="H888" t="str">
            <v>R</v>
          </cell>
        </row>
        <row r="889">
          <cell r="B889" t="str">
            <v>G6715</v>
          </cell>
          <cell r="C889">
            <v>200109</v>
          </cell>
          <cell r="D889">
            <v>200505</v>
          </cell>
          <cell r="E889" t="str">
            <v>C</v>
          </cell>
          <cell r="F889" t="str">
            <v>Account status = Closed</v>
          </cell>
          <cell r="G889" t="str">
            <v/>
          </cell>
          <cell r="H889" t="str">
            <v>R</v>
          </cell>
        </row>
        <row r="890">
          <cell r="B890" t="str">
            <v>G6716</v>
          </cell>
          <cell r="C890">
            <v>200109</v>
          </cell>
          <cell r="D890">
            <v>200500</v>
          </cell>
          <cell r="E890" t="str">
            <v>C</v>
          </cell>
          <cell r="F890" t="str">
            <v>Account status = Closed</v>
          </cell>
          <cell r="G890" t="str">
            <v/>
          </cell>
          <cell r="H890" t="str">
            <v>R</v>
          </cell>
        </row>
        <row r="891">
          <cell r="B891" t="str">
            <v>G6717</v>
          </cell>
          <cell r="C891">
            <v>200109</v>
          </cell>
          <cell r="D891">
            <v>200500</v>
          </cell>
          <cell r="E891" t="str">
            <v>C</v>
          </cell>
          <cell r="F891" t="str">
            <v>Account status = Closed</v>
          </cell>
          <cell r="G891" t="str">
            <v/>
          </cell>
          <cell r="H891" t="str">
            <v>R</v>
          </cell>
        </row>
        <row r="892">
          <cell r="B892" t="str">
            <v>G6718</v>
          </cell>
          <cell r="C892">
            <v>200109</v>
          </cell>
          <cell r="D892">
            <v>200500</v>
          </cell>
          <cell r="E892" t="str">
            <v>C</v>
          </cell>
          <cell r="F892" t="str">
            <v>Account status = Closed</v>
          </cell>
          <cell r="G892" t="str">
            <v/>
          </cell>
          <cell r="H892" t="str">
            <v>R</v>
          </cell>
        </row>
        <row r="893">
          <cell r="B893" t="str">
            <v>G6719</v>
          </cell>
          <cell r="C893">
            <v>200109</v>
          </cell>
          <cell r="D893">
            <v>200500</v>
          </cell>
          <cell r="E893" t="str">
            <v>C</v>
          </cell>
          <cell r="F893" t="str">
            <v>Account status = Closed</v>
          </cell>
          <cell r="G893" t="str">
            <v/>
          </cell>
          <cell r="H893" t="str">
            <v>R</v>
          </cell>
        </row>
        <row r="894">
          <cell r="B894" t="str">
            <v>G6720</v>
          </cell>
          <cell r="C894">
            <v>200109</v>
          </cell>
          <cell r="D894">
            <v>200500</v>
          </cell>
          <cell r="E894" t="str">
            <v>C</v>
          </cell>
          <cell r="F894" t="str">
            <v>Account status = Closed</v>
          </cell>
          <cell r="G894" t="str">
            <v/>
          </cell>
          <cell r="H894" t="str">
            <v>R</v>
          </cell>
        </row>
        <row r="895">
          <cell r="B895" t="str">
            <v>G6721</v>
          </cell>
          <cell r="C895">
            <v>200109</v>
          </cell>
          <cell r="D895">
            <v>200112</v>
          </cell>
          <cell r="E895" t="str">
            <v>C</v>
          </cell>
          <cell r="F895" t="str">
            <v>Account status = Closed</v>
          </cell>
          <cell r="G895" t="str">
            <v/>
          </cell>
          <cell r="H895" t="str">
            <v>R</v>
          </cell>
        </row>
        <row r="896">
          <cell r="B896" t="str">
            <v>G6722</v>
          </cell>
          <cell r="C896">
            <v>200109</v>
          </cell>
          <cell r="D896">
            <v>200112</v>
          </cell>
          <cell r="E896" t="str">
            <v>C</v>
          </cell>
          <cell r="F896" t="str">
            <v>Account status = Closed</v>
          </cell>
          <cell r="G896" t="str">
            <v/>
          </cell>
          <cell r="H896" t="str">
            <v>R</v>
          </cell>
        </row>
        <row r="897">
          <cell r="B897" t="str">
            <v>G6723</v>
          </cell>
          <cell r="C897">
            <v>200109</v>
          </cell>
          <cell r="D897">
            <v>200500</v>
          </cell>
          <cell r="E897" t="str">
            <v>C</v>
          </cell>
          <cell r="F897" t="str">
            <v>Account status = Closed</v>
          </cell>
          <cell r="G897" t="str">
            <v/>
          </cell>
          <cell r="H897" t="str">
            <v>R</v>
          </cell>
        </row>
        <row r="898">
          <cell r="B898" t="str">
            <v>G6724</v>
          </cell>
          <cell r="C898">
            <v>200109</v>
          </cell>
          <cell r="D898">
            <v>200112</v>
          </cell>
          <cell r="E898" t="str">
            <v>C</v>
          </cell>
          <cell r="F898" t="str">
            <v>Account status = Closed</v>
          </cell>
          <cell r="G898" t="str">
            <v/>
          </cell>
          <cell r="H898" t="str">
            <v>R</v>
          </cell>
        </row>
        <row r="899">
          <cell r="B899" t="str">
            <v>G6725</v>
          </cell>
          <cell r="C899">
            <v>200109</v>
          </cell>
          <cell r="D899">
            <v>200112</v>
          </cell>
          <cell r="E899" t="str">
            <v>C</v>
          </cell>
          <cell r="F899" t="str">
            <v>Account status = Closed</v>
          </cell>
          <cell r="G899" t="str">
            <v/>
          </cell>
          <cell r="H899" t="str">
            <v>R</v>
          </cell>
        </row>
        <row r="900">
          <cell r="B900" t="str">
            <v>G6726</v>
          </cell>
          <cell r="C900">
            <v>200109</v>
          </cell>
          <cell r="D900">
            <v>200112</v>
          </cell>
          <cell r="E900" t="str">
            <v>C</v>
          </cell>
          <cell r="F900" t="str">
            <v>Account status = Closed</v>
          </cell>
          <cell r="G900" t="str">
            <v/>
          </cell>
          <cell r="H900" t="str">
            <v>R</v>
          </cell>
        </row>
        <row r="901">
          <cell r="B901" t="str">
            <v>G6727</v>
          </cell>
          <cell r="C901">
            <v>200109</v>
          </cell>
          <cell r="D901">
            <v>200500</v>
          </cell>
          <cell r="E901" t="str">
            <v>C</v>
          </cell>
          <cell r="F901" t="str">
            <v>Account status = Closed</v>
          </cell>
          <cell r="G901" t="str">
            <v/>
          </cell>
          <cell r="H901" t="str">
            <v>R</v>
          </cell>
        </row>
        <row r="902">
          <cell r="B902" t="str">
            <v>G6728</v>
          </cell>
          <cell r="C902">
            <v>200109</v>
          </cell>
          <cell r="D902">
            <v>200112</v>
          </cell>
          <cell r="E902" t="str">
            <v>C</v>
          </cell>
          <cell r="F902" t="str">
            <v>Account status = Closed</v>
          </cell>
          <cell r="G902" t="str">
            <v/>
          </cell>
          <cell r="H902" t="str">
            <v>R</v>
          </cell>
        </row>
        <row r="903">
          <cell r="B903" t="str">
            <v>G6729</v>
          </cell>
          <cell r="C903">
            <v>200109</v>
          </cell>
          <cell r="D903">
            <v>200112</v>
          </cell>
          <cell r="E903" t="str">
            <v>C</v>
          </cell>
          <cell r="F903" t="str">
            <v>Account status = Closed</v>
          </cell>
          <cell r="G903" t="str">
            <v/>
          </cell>
          <cell r="H903" t="str">
            <v>R</v>
          </cell>
        </row>
        <row r="904">
          <cell r="B904" t="str">
            <v>G6730</v>
          </cell>
          <cell r="C904">
            <v>200109</v>
          </cell>
          <cell r="D904">
            <v>200500</v>
          </cell>
          <cell r="E904" t="str">
            <v>C</v>
          </cell>
          <cell r="F904" t="str">
            <v>Account status = Closed</v>
          </cell>
          <cell r="G904" t="str">
            <v/>
          </cell>
          <cell r="H904" t="str">
            <v>R</v>
          </cell>
        </row>
        <row r="905">
          <cell r="B905" t="str">
            <v>G6731</v>
          </cell>
          <cell r="C905">
            <v>200109</v>
          </cell>
          <cell r="D905">
            <v>200500</v>
          </cell>
          <cell r="E905" t="str">
            <v>C</v>
          </cell>
          <cell r="F905" t="str">
            <v>Account status = Closed</v>
          </cell>
          <cell r="G905" t="str">
            <v/>
          </cell>
          <cell r="H905" t="str">
            <v>R</v>
          </cell>
        </row>
        <row r="906">
          <cell r="B906" t="str">
            <v>G6732</v>
          </cell>
          <cell r="C906">
            <v>200109</v>
          </cell>
          <cell r="D906">
            <v>200500</v>
          </cell>
          <cell r="E906" t="str">
            <v>C</v>
          </cell>
          <cell r="F906" t="str">
            <v>Account status = Closed</v>
          </cell>
          <cell r="G906" t="str">
            <v/>
          </cell>
          <cell r="H906" t="str">
            <v>R</v>
          </cell>
        </row>
        <row r="907">
          <cell r="B907" t="str">
            <v>G6733</v>
          </cell>
          <cell r="C907">
            <v>200109</v>
          </cell>
          <cell r="D907">
            <v>200500</v>
          </cell>
          <cell r="E907" t="str">
            <v>C</v>
          </cell>
          <cell r="F907" t="str">
            <v>Account status = Closed</v>
          </cell>
          <cell r="G907" t="str">
            <v/>
          </cell>
          <cell r="H907" t="str">
            <v>R</v>
          </cell>
        </row>
        <row r="908">
          <cell r="B908" t="str">
            <v>G6735</v>
          </cell>
          <cell r="C908">
            <v>200109</v>
          </cell>
          <cell r="D908">
            <v>200112</v>
          </cell>
          <cell r="E908" t="str">
            <v>C</v>
          </cell>
          <cell r="F908" t="str">
            <v>Account status = Closed</v>
          </cell>
          <cell r="G908" t="str">
            <v/>
          </cell>
          <cell r="H908" t="str">
            <v>R</v>
          </cell>
        </row>
        <row r="909">
          <cell r="B909" t="str">
            <v>G6737</v>
          </cell>
          <cell r="C909">
            <v>200109</v>
          </cell>
          <cell r="D909">
            <v>200112</v>
          </cell>
          <cell r="E909" t="str">
            <v>C</v>
          </cell>
          <cell r="F909" t="str">
            <v>Account status = Closed</v>
          </cell>
          <cell r="G909" t="str">
            <v/>
          </cell>
          <cell r="H909" t="str">
            <v>R</v>
          </cell>
        </row>
        <row r="910">
          <cell r="B910" t="str">
            <v>G6738</v>
          </cell>
          <cell r="C910">
            <v>200109</v>
          </cell>
          <cell r="D910">
            <v>200112</v>
          </cell>
          <cell r="E910" t="str">
            <v>C</v>
          </cell>
          <cell r="F910" t="str">
            <v>Account status = Closed</v>
          </cell>
          <cell r="G910" t="str">
            <v/>
          </cell>
          <cell r="H910" t="str">
            <v>R</v>
          </cell>
        </row>
        <row r="911">
          <cell r="B911" t="str">
            <v>G6740</v>
          </cell>
          <cell r="C911">
            <v>200109</v>
          </cell>
          <cell r="D911">
            <v>200112</v>
          </cell>
          <cell r="E911" t="str">
            <v>C</v>
          </cell>
          <cell r="F911" t="str">
            <v>Account status = Closed</v>
          </cell>
          <cell r="G911" t="str">
            <v/>
          </cell>
          <cell r="H911" t="str">
            <v>R</v>
          </cell>
        </row>
        <row r="912">
          <cell r="B912" t="str">
            <v>G6742</v>
          </cell>
          <cell r="C912">
            <v>200109</v>
          </cell>
          <cell r="D912">
            <v>200112</v>
          </cell>
          <cell r="E912" t="str">
            <v>C</v>
          </cell>
          <cell r="F912" t="str">
            <v>Account status = Closed</v>
          </cell>
          <cell r="G912" t="str">
            <v/>
          </cell>
          <cell r="H912" t="str">
            <v>R</v>
          </cell>
        </row>
        <row r="913">
          <cell r="B913" t="str">
            <v>G6744</v>
          </cell>
          <cell r="C913">
            <v>200109</v>
          </cell>
          <cell r="D913">
            <v>200500</v>
          </cell>
          <cell r="E913" t="str">
            <v>C</v>
          </cell>
          <cell r="F913" t="str">
            <v>Account status = Closed</v>
          </cell>
          <cell r="G913" t="str">
            <v/>
          </cell>
          <cell r="H913" t="str">
            <v>R</v>
          </cell>
        </row>
        <row r="914">
          <cell r="B914" t="str">
            <v>G6746</v>
          </cell>
          <cell r="C914">
            <v>200109</v>
          </cell>
          <cell r="D914">
            <v>200112</v>
          </cell>
          <cell r="E914" t="str">
            <v>C</v>
          </cell>
          <cell r="F914" t="str">
            <v>Account status = Closed</v>
          </cell>
          <cell r="G914" t="str">
            <v/>
          </cell>
          <cell r="H914" t="str">
            <v>R</v>
          </cell>
        </row>
        <row r="915">
          <cell r="B915" t="str">
            <v>G6749</v>
          </cell>
          <cell r="C915">
            <v>200109</v>
          </cell>
          <cell r="D915">
            <v>200112</v>
          </cell>
          <cell r="E915" t="str">
            <v>C</v>
          </cell>
          <cell r="F915" t="str">
            <v>Account status = Closed</v>
          </cell>
          <cell r="G915" t="str">
            <v/>
          </cell>
          <cell r="H915" t="str">
            <v>R</v>
          </cell>
        </row>
        <row r="916">
          <cell r="B916" t="str">
            <v>G6750</v>
          </cell>
          <cell r="C916">
            <v>200109</v>
          </cell>
          <cell r="D916">
            <v>200500</v>
          </cell>
          <cell r="E916" t="str">
            <v>C</v>
          </cell>
          <cell r="F916" t="str">
            <v>Account status = Closed</v>
          </cell>
          <cell r="G916" t="str">
            <v/>
          </cell>
          <cell r="H916" t="str">
            <v>R</v>
          </cell>
        </row>
        <row r="917">
          <cell r="B917" t="str">
            <v>G6751</v>
          </cell>
          <cell r="C917">
            <v>200109</v>
          </cell>
          <cell r="D917">
            <v>200112</v>
          </cell>
          <cell r="E917" t="str">
            <v>C</v>
          </cell>
          <cell r="F917" t="str">
            <v>Account status = Closed</v>
          </cell>
          <cell r="G917" t="str">
            <v/>
          </cell>
          <cell r="H917" t="str">
            <v>R</v>
          </cell>
        </row>
        <row r="918">
          <cell r="B918" t="str">
            <v>G6752</v>
          </cell>
          <cell r="C918">
            <v>200109</v>
          </cell>
          <cell r="D918">
            <v>200500</v>
          </cell>
          <cell r="E918" t="str">
            <v>C</v>
          </cell>
          <cell r="F918" t="str">
            <v>Account status = Closed</v>
          </cell>
          <cell r="G918" t="str">
            <v/>
          </cell>
          <cell r="H918" t="str">
            <v>R</v>
          </cell>
        </row>
        <row r="919">
          <cell r="B919" t="str">
            <v>G6753</v>
          </cell>
          <cell r="C919">
            <v>200109</v>
          </cell>
          <cell r="D919">
            <v>200500</v>
          </cell>
          <cell r="E919" t="str">
            <v>C</v>
          </cell>
          <cell r="F919" t="str">
            <v>Account status = Closed</v>
          </cell>
          <cell r="G919" t="str">
            <v/>
          </cell>
          <cell r="H919" t="str">
            <v>R</v>
          </cell>
        </row>
        <row r="920">
          <cell r="B920" t="str">
            <v>G6755</v>
          </cell>
          <cell r="C920">
            <v>200109</v>
          </cell>
          <cell r="D920">
            <v>200500</v>
          </cell>
          <cell r="E920" t="str">
            <v>C</v>
          </cell>
          <cell r="F920" t="str">
            <v>Account status = Closed</v>
          </cell>
          <cell r="G920" t="str">
            <v/>
          </cell>
          <cell r="H920" t="str">
            <v>R</v>
          </cell>
        </row>
        <row r="921">
          <cell r="B921" t="str">
            <v>G6757</v>
          </cell>
          <cell r="C921">
            <v>200109</v>
          </cell>
          <cell r="D921">
            <v>200213</v>
          </cell>
          <cell r="E921" t="str">
            <v>C</v>
          </cell>
          <cell r="F921" t="str">
            <v>Account status = Closed</v>
          </cell>
          <cell r="G921" t="str">
            <v/>
          </cell>
          <cell r="H921" t="str">
            <v>R</v>
          </cell>
        </row>
        <row r="922">
          <cell r="B922" t="str">
            <v>G6758</v>
          </cell>
          <cell r="C922">
            <v>200109</v>
          </cell>
          <cell r="D922">
            <v>200500</v>
          </cell>
          <cell r="E922" t="str">
            <v>C</v>
          </cell>
          <cell r="F922" t="str">
            <v>Account status = Closed</v>
          </cell>
          <cell r="G922" t="str">
            <v/>
          </cell>
          <cell r="H922" t="str">
            <v>R</v>
          </cell>
        </row>
        <row r="923">
          <cell r="B923" t="str">
            <v>G6760</v>
          </cell>
          <cell r="C923">
            <v>200109</v>
          </cell>
          <cell r="D923">
            <v>200500</v>
          </cell>
          <cell r="E923" t="str">
            <v>C</v>
          </cell>
          <cell r="F923" t="str">
            <v>Account status = Closed</v>
          </cell>
          <cell r="G923" t="str">
            <v/>
          </cell>
          <cell r="H923" t="str">
            <v>R</v>
          </cell>
        </row>
        <row r="924">
          <cell r="B924" t="str">
            <v>G6761</v>
          </cell>
          <cell r="C924">
            <v>200109</v>
          </cell>
          <cell r="D924">
            <v>200500</v>
          </cell>
          <cell r="E924" t="str">
            <v>C</v>
          </cell>
          <cell r="F924" t="str">
            <v>Account status = Closed</v>
          </cell>
          <cell r="G924" t="str">
            <v/>
          </cell>
          <cell r="H924" t="str">
            <v>R</v>
          </cell>
        </row>
        <row r="925">
          <cell r="B925" t="str">
            <v>G6762</v>
          </cell>
          <cell r="C925">
            <v>200109</v>
          </cell>
          <cell r="D925">
            <v>200500</v>
          </cell>
          <cell r="E925" t="str">
            <v>C</v>
          </cell>
          <cell r="F925" t="str">
            <v>Account status = Closed</v>
          </cell>
          <cell r="G925" t="str">
            <v/>
          </cell>
          <cell r="H925" t="str">
            <v>R</v>
          </cell>
        </row>
        <row r="926">
          <cell r="B926" t="str">
            <v>G6763</v>
          </cell>
          <cell r="C926">
            <v>200109</v>
          </cell>
          <cell r="D926">
            <v>200500</v>
          </cell>
          <cell r="E926" t="str">
            <v>C</v>
          </cell>
          <cell r="F926" t="str">
            <v>Account status = Closed</v>
          </cell>
          <cell r="G926" t="str">
            <v/>
          </cell>
          <cell r="H926" t="str">
            <v>R</v>
          </cell>
        </row>
        <row r="927">
          <cell r="B927" t="str">
            <v>G6764</v>
          </cell>
          <cell r="C927">
            <v>200109</v>
          </cell>
          <cell r="D927">
            <v>200500</v>
          </cell>
          <cell r="E927" t="str">
            <v>C</v>
          </cell>
          <cell r="F927" t="str">
            <v>Account status = Closed</v>
          </cell>
          <cell r="G927" t="str">
            <v/>
          </cell>
          <cell r="H927" t="str">
            <v>R</v>
          </cell>
        </row>
        <row r="928">
          <cell r="B928" t="str">
            <v>G6765</v>
          </cell>
          <cell r="C928">
            <v>200109</v>
          </cell>
          <cell r="D928">
            <v>200112</v>
          </cell>
          <cell r="E928" t="str">
            <v>C</v>
          </cell>
          <cell r="F928" t="str">
            <v>Account status = Closed</v>
          </cell>
          <cell r="G928" t="str">
            <v/>
          </cell>
          <cell r="H928" t="str">
            <v>R</v>
          </cell>
        </row>
        <row r="929">
          <cell r="B929" t="str">
            <v>G6766</v>
          </cell>
          <cell r="C929">
            <v>200109</v>
          </cell>
          <cell r="D929">
            <v>200112</v>
          </cell>
          <cell r="E929" t="str">
            <v>C</v>
          </cell>
          <cell r="F929" t="str">
            <v>Account status = Closed</v>
          </cell>
          <cell r="G929" t="str">
            <v/>
          </cell>
          <cell r="H929" t="str">
            <v>R</v>
          </cell>
        </row>
        <row r="930">
          <cell r="B930" t="str">
            <v>G6767</v>
          </cell>
          <cell r="C930">
            <v>200109</v>
          </cell>
          <cell r="D930">
            <v>200500</v>
          </cell>
          <cell r="E930" t="str">
            <v>C</v>
          </cell>
          <cell r="F930" t="str">
            <v>Account status = Closed</v>
          </cell>
          <cell r="G930" t="str">
            <v/>
          </cell>
          <cell r="H930" t="str">
            <v>R</v>
          </cell>
        </row>
        <row r="931">
          <cell r="B931" t="str">
            <v>G6768</v>
          </cell>
          <cell r="C931">
            <v>200109</v>
          </cell>
          <cell r="D931">
            <v>200112</v>
          </cell>
          <cell r="E931" t="str">
            <v>C</v>
          </cell>
          <cell r="F931" t="str">
            <v>Account status = Closed</v>
          </cell>
          <cell r="G931" t="str">
            <v/>
          </cell>
          <cell r="H931" t="str">
            <v>R</v>
          </cell>
        </row>
        <row r="932">
          <cell r="B932" t="str">
            <v>G6769</v>
          </cell>
          <cell r="C932">
            <v>200109</v>
          </cell>
          <cell r="D932">
            <v>200112</v>
          </cell>
          <cell r="E932" t="str">
            <v>C</v>
          </cell>
          <cell r="F932" t="str">
            <v>Account status = Closed</v>
          </cell>
          <cell r="G932" t="str">
            <v/>
          </cell>
          <cell r="H932" t="str">
            <v>R</v>
          </cell>
        </row>
        <row r="933">
          <cell r="B933" t="str">
            <v>G6770</v>
          </cell>
          <cell r="C933">
            <v>200109</v>
          </cell>
          <cell r="D933">
            <v>200500</v>
          </cell>
          <cell r="E933" t="str">
            <v>C</v>
          </cell>
          <cell r="F933" t="str">
            <v>Account status = Closed</v>
          </cell>
          <cell r="G933" t="str">
            <v/>
          </cell>
          <cell r="H933" t="str">
            <v>R</v>
          </cell>
        </row>
        <row r="934">
          <cell r="B934" t="str">
            <v>G6771</v>
          </cell>
          <cell r="C934">
            <v>200109</v>
          </cell>
          <cell r="D934">
            <v>200112</v>
          </cell>
          <cell r="E934" t="str">
            <v>C</v>
          </cell>
          <cell r="F934" t="str">
            <v>Account status = Closed</v>
          </cell>
          <cell r="G934" t="str">
            <v/>
          </cell>
          <cell r="H934" t="str">
            <v>R</v>
          </cell>
        </row>
        <row r="935">
          <cell r="B935" t="str">
            <v>G6772</v>
          </cell>
          <cell r="C935">
            <v>200109</v>
          </cell>
          <cell r="D935">
            <v>200112</v>
          </cell>
          <cell r="E935" t="str">
            <v>C</v>
          </cell>
          <cell r="F935" t="str">
            <v>Account status = Closed</v>
          </cell>
          <cell r="G935" t="str">
            <v/>
          </cell>
          <cell r="H935" t="str">
            <v>R</v>
          </cell>
        </row>
        <row r="936">
          <cell r="B936" t="str">
            <v>G6773</v>
          </cell>
          <cell r="C936">
            <v>200109</v>
          </cell>
          <cell r="D936">
            <v>200500</v>
          </cell>
          <cell r="E936" t="str">
            <v>C</v>
          </cell>
          <cell r="F936" t="str">
            <v>Account status = Closed</v>
          </cell>
          <cell r="G936" t="str">
            <v/>
          </cell>
          <cell r="H936" t="str">
            <v>R</v>
          </cell>
        </row>
        <row r="937">
          <cell r="B937" t="str">
            <v>G6780</v>
          </cell>
          <cell r="C937">
            <v>200109</v>
          </cell>
          <cell r="D937">
            <v>200112</v>
          </cell>
          <cell r="E937" t="str">
            <v>C</v>
          </cell>
          <cell r="F937" t="str">
            <v>Account status = Closed</v>
          </cell>
          <cell r="G937" t="str">
            <v/>
          </cell>
          <cell r="H937" t="str">
            <v>R</v>
          </cell>
        </row>
        <row r="938">
          <cell r="B938" t="str">
            <v>G6785</v>
          </cell>
          <cell r="C938">
            <v>200109</v>
          </cell>
          <cell r="D938">
            <v>200112</v>
          </cell>
          <cell r="E938" t="str">
            <v>C</v>
          </cell>
          <cell r="F938" t="str">
            <v>Account status = Closed</v>
          </cell>
          <cell r="G938" t="str">
            <v/>
          </cell>
          <cell r="H938" t="str">
            <v>R</v>
          </cell>
        </row>
        <row r="939">
          <cell r="B939" t="str">
            <v>G6791</v>
          </cell>
          <cell r="C939">
            <v>200109</v>
          </cell>
          <cell r="D939">
            <v>200112</v>
          </cell>
          <cell r="E939" t="str">
            <v>C</v>
          </cell>
          <cell r="F939" t="str">
            <v>Account status = Closed</v>
          </cell>
          <cell r="G939" t="str">
            <v/>
          </cell>
          <cell r="H939" t="str">
            <v>R</v>
          </cell>
        </row>
        <row r="940">
          <cell r="B940" t="str">
            <v>G6792</v>
          </cell>
          <cell r="C940">
            <v>200109</v>
          </cell>
          <cell r="D940">
            <v>200112</v>
          </cell>
          <cell r="E940" t="str">
            <v>C</v>
          </cell>
          <cell r="F940" t="str">
            <v>Account status = Closed</v>
          </cell>
          <cell r="G940" t="str">
            <v/>
          </cell>
          <cell r="H940" t="str">
            <v>R</v>
          </cell>
        </row>
        <row r="941">
          <cell r="B941" t="str">
            <v>G6793</v>
          </cell>
          <cell r="C941">
            <v>200109</v>
          </cell>
          <cell r="D941">
            <v>200112</v>
          </cell>
          <cell r="E941" t="str">
            <v>C</v>
          </cell>
          <cell r="F941" t="str">
            <v>Account status = Closed</v>
          </cell>
          <cell r="G941" t="str">
            <v/>
          </cell>
          <cell r="H941" t="str">
            <v>R</v>
          </cell>
        </row>
        <row r="942">
          <cell r="B942" t="str">
            <v>G6794</v>
          </cell>
          <cell r="C942">
            <v>200109</v>
          </cell>
          <cell r="D942">
            <v>200500</v>
          </cell>
          <cell r="E942" t="str">
            <v>C</v>
          </cell>
          <cell r="F942" t="str">
            <v>Account status = Closed</v>
          </cell>
          <cell r="G942" t="str">
            <v/>
          </cell>
          <cell r="H942" t="str">
            <v>R</v>
          </cell>
        </row>
        <row r="943">
          <cell r="B943" t="str">
            <v>G6795</v>
          </cell>
          <cell r="C943">
            <v>200301</v>
          </cell>
          <cell r="D943">
            <v>200500</v>
          </cell>
          <cell r="E943" t="str">
            <v>C</v>
          </cell>
          <cell r="F943" t="str">
            <v>Account status = Closed</v>
          </cell>
          <cell r="G943" t="str">
            <v/>
          </cell>
          <cell r="H943" t="str">
            <v>R</v>
          </cell>
        </row>
        <row r="944">
          <cell r="B944" t="str">
            <v>G6796</v>
          </cell>
          <cell r="C944">
            <v>200109</v>
          </cell>
          <cell r="D944">
            <v>200112</v>
          </cell>
          <cell r="E944" t="str">
            <v>C</v>
          </cell>
          <cell r="F944" t="str">
            <v>Account status = Closed</v>
          </cell>
          <cell r="G944" t="str">
            <v/>
          </cell>
          <cell r="H944" t="str">
            <v>R</v>
          </cell>
        </row>
        <row r="945">
          <cell r="B945" t="str">
            <v>G6797</v>
          </cell>
          <cell r="C945">
            <v>200109</v>
          </cell>
          <cell r="D945">
            <v>200500</v>
          </cell>
          <cell r="E945" t="str">
            <v>C</v>
          </cell>
          <cell r="F945" t="str">
            <v>Account status = Closed</v>
          </cell>
          <cell r="G945" t="str">
            <v/>
          </cell>
          <cell r="H945" t="str">
            <v>R</v>
          </cell>
        </row>
        <row r="946">
          <cell r="B946" t="str">
            <v>G6798</v>
          </cell>
          <cell r="C946">
            <v>200109</v>
          </cell>
          <cell r="D946">
            <v>200500</v>
          </cell>
          <cell r="E946" t="str">
            <v>C</v>
          </cell>
          <cell r="F946" t="str">
            <v>Account status = Closed</v>
          </cell>
          <cell r="G946" t="str">
            <v/>
          </cell>
          <cell r="H946" t="str">
            <v>R</v>
          </cell>
        </row>
        <row r="947">
          <cell r="B947" t="str">
            <v>G6799</v>
          </cell>
          <cell r="C947">
            <v>200113</v>
          </cell>
          <cell r="D947">
            <v>200713</v>
          </cell>
          <cell r="E947" t="str">
            <v>C</v>
          </cell>
          <cell r="F947" t="str">
            <v>Account status = Closed</v>
          </cell>
          <cell r="G947" t="str">
            <v/>
          </cell>
          <cell r="H947" t="str">
            <v>R</v>
          </cell>
        </row>
        <row r="948">
          <cell r="B948" t="str">
            <v>G6996</v>
          </cell>
          <cell r="C948">
            <v>200311</v>
          </cell>
          <cell r="D948">
            <v>209913</v>
          </cell>
          <cell r="E948" t="str">
            <v>N</v>
          </cell>
          <cell r="F948" t="str">
            <v/>
          </cell>
          <cell r="G948" t="str">
            <v/>
          </cell>
          <cell r="H948" t="str">
            <v>R</v>
          </cell>
        </row>
        <row r="949">
          <cell r="B949" t="str">
            <v>G6999</v>
          </cell>
          <cell r="C949">
            <v>200311</v>
          </cell>
          <cell r="D949">
            <v>200713</v>
          </cell>
          <cell r="E949" t="str">
            <v>C</v>
          </cell>
          <cell r="F949" t="str">
            <v>Account status = Closed</v>
          </cell>
          <cell r="G949" t="str">
            <v/>
          </cell>
          <cell r="H949" t="str">
            <v>R</v>
          </cell>
        </row>
        <row r="950">
          <cell r="B950" t="str">
            <v>H7001</v>
          </cell>
          <cell r="C950">
            <v>200109</v>
          </cell>
          <cell r="D950">
            <v>209912</v>
          </cell>
          <cell r="E950" t="str">
            <v>N</v>
          </cell>
          <cell r="F950" t="str">
            <v/>
          </cell>
          <cell r="G950" t="str">
            <v/>
          </cell>
          <cell r="H950" t="str">
            <v>R</v>
          </cell>
        </row>
        <row r="951">
          <cell r="B951" t="str">
            <v>H7002</v>
          </cell>
          <cell r="C951">
            <v>200109</v>
          </cell>
          <cell r="D951">
            <v>209912</v>
          </cell>
          <cell r="E951" t="str">
            <v>N</v>
          </cell>
          <cell r="F951" t="str">
            <v/>
          </cell>
          <cell r="G951" t="str">
            <v/>
          </cell>
          <cell r="H951" t="str">
            <v>R</v>
          </cell>
        </row>
        <row r="952">
          <cell r="B952" t="str">
            <v>H7101</v>
          </cell>
          <cell r="C952">
            <v>200109</v>
          </cell>
          <cell r="D952">
            <v>200112</v>
          </cell>
          <cell r="E952" t="str">
            <v>C</v>
          </cell>
          <cell r="F952" t="str">
            <v>Account status = Closed</v>
          </cell>
          <cell r="G952" t="str">
            <v/>
          </cell>
          <cell r="H952" t="str">
            <v>R</v>
          </cell>
        </row>
        <row r="953">
          <cell r="B953" t="str">
            <v>H7102</v>
          </cell>
          <cell r="C953">
            <v>200109</v>
          </cell>
          <cell r="D953">
            <v>200112</v>
          </cell>
          <cell r="E953" t="str">
            <v>C</v>
          </cell>
          <cell r="F953" t="str">
            <v>Account status = Closed</v>
          </cell>
          <cell r="G953" t="str">
            <v/>
          </cell>
          <cell r="H953" t="str">
            <v>R</v>
          </cell>
        </row>
        <row r="954">
          <cell r="B954" t="str">
            <v>H7103</v>
          </cell>
          <cell r="C954">
            <v>200109</v>
          </cell>
          <cell r="D954">
            <v>201300</v>
          </cell>
          <cell r="E954" t="str">
            <v>C</v>
          </cell>
          <cell r="F954" t="str">
            <v>Account status = Closed</v>
          </cell>
          <cell r="G954" t="str">
            <v/>
          </cell>
          <cell r="H954" t="str">
            <v>R</v>
          </cell>
        </row>
        <row r="955">
          <cell r="B955" t="str">
            <v>H7201</v>
          </cell>
          <cell r="C955">
            <v>200109</v>
          </cell>
          <cell r="D955">
            <v>209912</v>
          </cell>
          <cell r="E955" t="str">
            <v>N</v>
          </cell>
          <cell r="F955" t="str">
            <v/>
          </cell>
          <cell r="G955" t="str">
            <v/>
          </cell>
          <cell r="H955" t="str">
            <v>R</v>
          </cell>
        </row>
        <row r="956">
          <cell r="B956" t="str">
            <v>H7202</v>
          </cell>
          <cell r="C956">
            <v>200301</v>
          </cell>
          <cell r="D956">
            <v>201300</v>
          </cell>
          <cell r="E956" t="str">
            <v>C</v>
          </cell>
          <cell r="F956" t="str">
            <v>Account status = Closed</v>
          </cell>
          <cell r="G956" t="str">
            <v/>
          </cell>
          <cell r="H956" t="str">
            <v>R</v>
          </cell>
        </row>
        <row r="957">
          <cell r="B957" t="str">
            <v>H7301</v>
          </cell>
          <cell r="C957">
            <v>200109</v>
          </cell>
          <cell r="D957">
            <v>209912</v>
          </cell>
          <cell r="E957" t="str">
            <v>N</v>
          </cell>
          <cell r="F957" t="str">
            <v/>
          </cell>
          <cell r="G957" t="str">
            <v/>
          </cell>
          <cell r="H957" t="str">
            <v>R</v>
          </cell>
        </row>
        <row r="958">
          <cell r="B958" t="str">
            <v>H7310</v>
          </cell>
          <cell r="C958">
            <v>200901</v>
          </cell>
          <cell r="D958">
            <v>209912</v>
          </cell>
          <cell r="E958" t="str">
            <v>N</v>
          </cell>
          <cell r="F958" t="str">
            <v/>
          </cell>
          <cell r="G958" t="str">
            <v/>
          </cell>
          <cell r="H958" t="str">
            <v>R</v>
          </cell>
        </row>
        <row r="959">
          <cell r="B959" t="str">
            <v>H7331</v>
          </cell>
          <cell r="C959">
            <v>200109</v>
          </cell>
          <cell r="D959">
            <v>209912</v>
          </cell>
          <cell r="E959" t="str">
            <v>N</v>
          </cell>
          <cell r="F959" t="str">
            <v/>
          </cell>
          <cell r="G959" t="str">
            <v/>
          </cell>
          <cell r="H959" t="str">
            <v>R</v>
          </cell>
        </row>
        <row r="960">
          <cell r="B960" t="str">
            <v>H7332</v>
          </cell>
          <cell r="C960">
            <v>200109</v>
          </cell>
          <cell r="D960">
            <v>209912</v>
          </cell>
          <cell r="E960" t="str">
            <v>N</v>
          </cell>
          <cell r="F960" t="str">
            <v/>
          </cell>
          <cell r="G960" t="str">
            <v/>
          </cell>
          <cell r="H960" t="str">
            <v>R</v>
          </cell>
        </row>
        <row r="961">
          <cell r="B961" t="str">
            <v>H7333</v>
          </cell>
          <cell r="C961">
            <v>200109</v>
          </cell>
          <cell r="D961">
            <v>201300</v>
          </cell>
          <cell r="E961" t="str">
            <v>C</v>
          </cell>
          <cell r="F961" t="str">
            <v>Account status = Closed</v>
          </cell>
          <cell r="G961" t="str">
            <v/>
          </cell>
          <cell r="H961" t="str">
            <v>R</v>
          </cell>
        </row>
        <row r="962">
          <cell r="B962" t="str">
            <v>H7334</v>
          </cell>
          <cell r="C962">
            <v>200109</v>
          </cell>
          <cell r="D962">
            <v>201300</v>
          </cell>
          <cell r="E962" t="str">
            <v>C</v>
          </cell>
          <cell r="F962" t="str">
            <v>Account status = Closed</v>
          </cell>
          <cell r="G962" t="str">
            <v/>
          </cell>
          <cell r="H962" t="str">
            <v>R</v>
          </cell>
        </row>
        <row r="963">
          <cell r="B963" t="str">
            <v>H7401</v>
          </cell>
          <cell r="C963">
            <v>200109</v>
          </cell>
          <cell r="D963">
            <v>200112</v>
          </cell>
          <cell r="E963" t="str">
            <v>C</v>
          </cell>
          <cell r="F963" t="str">
            <v>Account status = Closed</v>
          </cell>
          <cell r="G963" t="str">
            <v/>
          </cell>
          <cell r="H963" t="str">
            <v>R</v>
          </cell>
        </row>
        <row r="964">
          <cell r="B964" t="str">
            <v>H7601</v>
          </cell>
          <cell r="C964">
            <v>200109</v>
          </cell>
          <cell r="D964">
            <v>200112</v>
          </cell>
          <cell r="E964" t="str">
            <v>C</v>
          </cell>
          <cell r="F964" t="str">
            <v>Account status = Closed</v>
          </cell>
          <cell r="G964" t="str">
            <v/>
          </cell>
          <cell r="H964" t="str">
            <v>R</v>
          </cell>
        </row>
        <row r="965">
          <cell r="B965" t="str">
            <v>H7602</v>
          </cell>
          <cell r="C965">
            <v>200109</v>
          </cell>
          <cell r="D965">
            <v>200112</v>
          </cell>
          <cell r="E965" t="str">
            <v>C</v>
          </cell>
          <cell r="F965" t="str">
            <v>Account status = Closed</v>
          </cell>
          <cell r="G965" t="str">
            <v/>
          </cell>
          <cell r="H965" t="str">
            <v>R</v>
          </cell>
        </row>
        <row r="966">
          <cell r="B966" t="str">
            <v>H7702</v>
          </cell>
          <cell r="C966">
            <v>200109</v>
          </cell>
          <cell r="D966">
            <v>209913</v>
          </cell>
          <cell r="E966" t="str">
            <v>N</v>
          </cell>
          <cell r="F966" t="str">
            <v/>
          </cell>
          <cell r="G966" t="str">
            <v/>
          </cell>
          <cell r="H966" t="str">
            <v>R</v>
          </cell>
        </row>
        <row r="967">
          <cell r="B967" t="str">
            <v>H7703</v>
          </cell>
          <cell r="C967">
            <v>200700</v>
          </cell>
          <cell r="D967">
            <v>201300</v>
          </cell>
          <cell r="E967" t="str">
            <v>C</v>
          </cell>
          <cell r="F967" t="str">
            <v>Account status = Closed</v>
          </cell>
          <cell r="G967" t="str">
            <v/>
          </cell>
          <cell r="H967" t="str">
            <v>R</v>
          </cell>
        </row>
        <row r="968">
          <cell r="B968" t="str">
            <v>H7704</v>
          </cell>
          <cell r="C968">
            <v>200700</v>
          </cell>
          <cell r="D968">
            <v>201300</v>
          </cell>
          <cell r="E968" t="str">
            <v>C</v>
          </cell>
          <cell r="F968" t="str">
            <v>Account status = Closed</v>
          </cell>
          <cell r="G968" t="str">
            <v/>
          </cell>
          <cell r="H968" t="str">
            <v>R</v>
          </cell>
        </row>
        <row r="969">
          <cell r="B969" t="str">
            <v>H7705</v>
          </cell>
          <cell r="C969">
            <v>200700</v>
          </cell>
          <cell r="D969">
            <v>209912</v>
          </cell>
          <cell r="E969" t="str">
            <v>N</v>
          </cell>
          <cell r="F969" t="str">
            <v/>
          </cell>
          <cell r="G969" t="str">
            <v/>
          </cell>
          <cell r="H969" t="str">
            <v>R</v>
          </cell>
        </row>
        <row r="970">
          <cell r="B970" t="str">
            <v>H7802</v>
          </cell>
          <cell r="C970">
            <v>200109</v>
          </cell>
          <cell r="D970">
            <v>209912</v>
          </cell>
          <cell r="E970" t="str">
            <v>N</v>
          </cell>
          <cell r="F970" t="str">
            <v/>
          </cell>
          <cell r="G970" t="str">
            <v/>
          </cell>
          <cell r="H970" t="str">
            <v>R</v>
          </cell>
        </row>
        <row r="971">
          <cell r="B971" t="str">
            <v>H7803</v>
          </cell>
          <cell r="C971">
            <v>200213</v>
          </cell>
          <cell r="D971">
            <v>200713</v>
          </cell>
          <cell r="E971" t="str">
            <v>C</v>
          </cell>
          <cell r="F971" t="str">
            <v>Account status = Closed</v>
          </cell>
          <cell r="G971" t="str">
            <v/>
          </cell>
          <cell r="H971" t="str">
            <v>R</v>
          </cell>
        </row>
        <row r="972">
          <cell r="B972" t="str">
            <v>H7812</v>
          </cell>
          <cell r="C972">
            <v>200109</v>
          </cell>
          <cell r="D972">
            <v>200713</v>
          </cell>
          <cell r="E972" t="str">
            <v>C</v>
          </cell>
          <cell r="F972" t="str">
            <v>Account status = Closed</v>
          </cell>
          <cell r="G972" t="str">
            <v/>
          </cell>
          <cell r="H972" t="str">
            <v>R</v>
          </cell>
        </row>
        <row r="973">
          <cell r="B973" t="str">
            <v>H7902</v>
          </cell>
          <cell r="C973">
            <v>200109</v>
          </cell>
          <cell r="D973">
            <v>209913</v>
          </cell>
          <cell r="E973" t="str">
            <v>N</v>
          </cell>
          <cell r="F973" t="str">
            <v/>
          </cell>
          <cell r="G973" t="str">
            <v/>
          </cell>
          <cell r="H973" t="str">
            <v>R</v>
          </cell>
        </row>
        <row r="974">
          <cell r="B974" t="str">
            <v>H7903</v>
          </cell>
          <cell r="C974">
            <v>200109</v>
          </cell>
          <cell r="D974">
            <v>209912</v>
          </cell>
          <cell r="E974" t="str">
            <v>N</v>
          </cell>
          <cell r="F974" t="str">
            <v/>
          </cell>
          <cell r="G974" t="str">
            <v/>
          </cell>
          <cell r="H974" t="str">
            <v>R</v>
          </cell>
        </row>
        <row r="975">
          <cell r="B975" t="str">
            <v>J8001</v>
          </cell>
          <cell r="C975">
            <v>200109</v>
          </cell>
          <cell r="D975">
            <v>209912</v>
          </cell>
          <cell r="E975" t="str">
            <v>N</v>
          </cell>
          <cell r="F975" t="str">
            <v/>
          </cell>
          <cell r="G975" t="str">
            <v/>
          </cell>
          <cell r="H975" t="str">
            <v>R</v>
          </cell>
        </row>
        <row r="976">
          <cell r="B976" t="str">
            <v>J8002</v>
          </cell>
          <cell r="C976">
            <v>200109</v>
          </cell>
          <cell r="D976">
            <v>209913</v>
          </cell>
          <cell r="E976" t="str">
            <v>N</v>
          </cell>
          <cell r="F976" t="str">
            <v/>
          </cell>
          <cell r="G976" t="str">
            <v/>
          </cell>
          <cell r="H976" t="str">
            <v>R</v>
          </cell>
        </row>
        <row r="977">
          <cell r="B977" t="str">
            <v>J8003</v>
          </cell>
          <cell r="C977">
            <v>200109</v>
          </cell>
          <cell r="D977">
            <v>200112</v>
          </cell>
          <cell r="E977" t="str">
            <v>C</v>
          </cell>
          <cell r="F977" t="str">
            <v>Account status = Closed</v>
          </cell>
          <cell r="G977" t="str">
            <v/>
          </cell>
          <cell r="H977" t="str">
            <v>R</v>
          </cell>
        </row>
        <row r="978">
          <cell r="B978" t="str">
            <v>J8005</v>
          </cell>
          <cell r="C978">
            <v>200109</v>
          </cell>
          <cell r="D978">
            <v>209912</v>
          </cell>
          <cell r="E978" t="str">
            <v>N</v>
          </cell>
          <cell r="F978" t="str">
            <v/>
          </cell>
          <cell r="G978" t="str">
            <v/>
          </cell>
          <cell r="H978" t="str">
            <v>R</v>
          </cell>
        </row>
        <row r="979">
          <cell r="B979" t="str">
            <v>J8101</v>
          </cell>
          <cell r="C979">
            <v>200109</v>
          </cell>
          <cell r="D979">
            <v>200301</v>
          </cell>
          <cell r="E979" t="str">
            <v>C</v>
          </cell>
          <cell r="F979" t="str">
            <v>Account status = Closed</v>
          </cell>
          <cell r="G979" t="str">
            <v/>
          </cell>
          <cell r="H979" t="str">
            <v>R</v>
          </cell>
        </row>
        <row r="980">
          <cell r="B980" t="str">
            <v>J8116</v>
          </cell>
          <cell r="C980">
            <v>200109</v>
          </cell>
          <cell r="D980">
            <v>209912</v>
          </cell>
          <cell r="E980" t="str">
            <v>N</v>
          </cell>
          <cell r="F980" t="str">
            <v/>
          </cell>
          <cell r="G980" t="str">
            <v/>
          </cell>
          <cell r="H980" t="str">
            <v>R</v>
          </cell>
        </row>
        <row r="981">
          <cell r="B981" t="str">
            <v>J8119</v>
          </cell>
          <cell r="C981">
            <v>200109</v>
          </cell>
          <cell r="D981">
            <v>200713</v>
          </cell>
          <cell r="E981" t="str">
            <v>C</v>
          </cell>
          <cell r="F981" t="str">
            <v>Account status = Closed</v>
          </cell>
          <cell r="G981" t="str">
            <v/>
          </cell>
          <cell r="H981" t="str">
            <v>R</v>
          </cell>
        </row>
        <row r="982">
          <cell r="B982" t="str">
            <v>J8120</v>
          </cell>
          <cell r="C982">
            <v>200109</v>
          </cell>
          <cell r="D982">
            <v>200713</v>
          </cell>
          <cell r="E982" t="str">
            <v>C</v>
          </cell>
          <cell r="F982" t="str">
            <v>Account status = Closed</v>
          </cell>
          <cell r="G982" t="str">
            <v/>
          </cell>
          <cell r="H982" t="str">
            <v>R</v>
          </cell>
        </row>
        <row r="983">
          <cell r="B983" t="str">
            <v>J8121</v>
          </cell>
          <cell r="C983">
            <v>200109</v>
          </cell>
          <cell r="D983">
            <v>200713</v>
          </cell>
          <cell r="E983" t="str">
            <v>C</v>
          </cell>
          <cell r="F983" t="str">
            <v>Account status = Closed</v>
          </cell>
          <cell r="G983" t="str">
            <v/>
          </cell>
          <cell r="H983" t="str">
            <v>R</v>
          </cell>
        </row>
        <row r="984">
          <cell r="B984" t="str">
            <v>J8122</v>
          </cell>
          <cell r="C984">
            <v>200109</v>
          </cell>
          <cell r="D984">
            <v>200713</v>
          </cell>
          <cell r="E984" t="str">
            <v>C</v>
          </cell>
          <cell r="F984" t="str">
            <v>Account status = Closed</v>
          </cell>
          <cell r="G984" t="str">
            <v/>
          </cell>
          <cell r="H984" t="str">
            <v>R</v>
          </cell>
        </row>
        <row r="985">
          <cell r="B985" t="str">
            <v>J8123</v>
          </cell>
          <cell r="C985">
            <v>200109</v>
          </cell>
          <cell r="D985">
            <v>200713</v>
          </cell>
          <cell r="E985" t="str">
            <v>C</v>
          </cell>
          <cell r="F985" t="str">
            <v>Account status = Closed</v>
          </cell>
          <cell r="G985" t="str">
            <v/>
          </cell>
          <cell r="H985" t="str">
            <v>R</v>
          </cell>
        </row>
        <row r="986">
          <cell r="B986" t="str">
            <v>J8124</v>
          </cell>
          <cell r="C986">
            <v>200109</v>
          </cell>
          <cell r="D986">
            <v>200713</v>
          </cell>
          <cell r="E986" t="str">
            <v>C</v>
          </cell>
          <cell r="F986" t="str">
            <v>Account status = Closed</v>
          </cell>
          <cell r="G986" t="str">
            <v/>
          </cell>
          <cell r="H986" t="str">
            <v>R</v>
          </cell>
        </row>
        <row r="987">
          <cell r="B987" t="str">
            <v>J8125</v>
          </cell>
          <cell r="C987">
            <v>200109</v>
          </cell>
          <cell r="D987">
            <v>200713</v>
          </cell>
          <cell r="E987" t="str">
            <v>C</v>
          </cell>
          <cell r="F987" t="str">
            <v>Account status = Closed</v>
          </cell>
          <cell r="G987" t="str">
            <v/>
          </cell>
          <cell r="H987" t="str">
            <v>R</v>
          </cell>
        </row>
        <row r="988">
          <cell r="B988" t="str">
            <v>J8126</v>
          </cell>
          <cell r="C988">
            <v>200109</v>
          </cell>
          <cell r="D988">
            <v>200713</v>
          </cell>
          <cell r="E988" t="str">
            <v>C</v>
          </cell>
          <cell r="F988" t="str">
            <v>Account status = Closed</v>
          </cell>
          <cell r="G988" t="str">
            <v/>
          </cell>
          <cell r="H988" t="str">
            <v>R</v>
          </cell>
        </row>
        <row r="989">
          <cell r="B989" t="str">
            <v>J8127</v>
          </cell>
          <cell r="C989">
            <v>200109</v>
          </cell>
          <cell r="D989">
            <v>200713</v>
          </cell>
          <cell r="E989" t="str">
            <v>C</v>
          </cell>
          <cell r="F989" t="str">
            <v>Account status = Closed</v>
          </cell>
          <cell r="G989" t="str">
            <v/>
          </cell>
          <cell r="H989" t="str">
            <v>R</v>
          </cell>
        </row>
        <row r="990">
          <cell r="B990" t="str">
            <v>J8128</v>
          </cell>
          <cell r="C990">
            <v>200109</v>
          </cell>
          <cell r="D990">
            <v>200713</v>
          </cell>
          <cell r="E990" t="str">
            <v>C</v>
          </cell>
          <cell r="F990" t="str">
            <v>Account status = Closed</v>
          </cell>
          <cell r="G990" t="str">
            <v/>
          </cell>
          <cell r="H990" t="str">
            <v>R</v>
          </cell>
        </row>
        <row r="991">
          <cell r="B991" t="str">
            <v>J8129</v>
          </cell>
          <cell r="C991">
            <v>200109</v>
          </cell>
          <cell r="D991">
            <v>200713</v>
          </cell>
          <cell r="E991" t="str">
            <v>C</v>
          </cell>
          <cell r="F991" t="str">
            <v>Account status = Closed</v>
          </cell>
          <cell r="G991" t="str">
            <v/>
          </cell>
          <cell r="H991" t="str">
            <v>R</v>
          </cell>
        </row>
        <row r="992">
          <cell r="B992" t="str">
            <v>J8130</v>
          </cell>
          <cell r="C992">
            <v>200109</v>
          </cell>
          <cell r="D992">
            <v>200713</v>
          </cell>
          <cell r="E992" t="str">
            <v>C</v>
          </cell>
          <cell r="F992" t="str">
            <v>Account status = Closed</v>
          </cell>
          <cell r="G992" t="str">
            <v/>
          </cell>
          <cell r="H992" t="str">
            <v>R</v>
          </cell>
        </row>
        <row r="993">
          <cell r="B993" t="str">
            <v>J8131</v>
          </cell>
          <cell r="C993">
            <v>200109</v>
          </cell>
          <cell r="D993">
            <v>200713</v>
          </cell>
          <cell r="E993" t="str">
            <v>C</v>
          </cell>
          <cell r="F993" t="str">
            <v>Account status = Closed</v>
          </cell>
          <cell r="G993" t="str">
            <v/>
          </cell>
          <cell r="H993" t="str">
            <v>R</v>
          </cell>
        </row>
        <row r="994">
          <cell r="B994" t="str">
            <v>J8132</v>
          </cell>
          <cell r="C994">
            <v>200109</v>
          </cell>
          <cell r="D994">
            <v>200713</v>
          </cell>
          <cell r="E994" t="str">
            <v>C</v>
          </cell>
          <cell r="F994" t="str">
            <v>Account status = Closed</v>
          </cell>
          <cell r="G994" t="str">
            <v/>
          </cell>
          <cell r="H994" t="str">
            <v>R</v>
          </cell>
        </row>
        <row r="995">
          <cell r="B995" t="str">
            <v>J8133</v>
          </cell>
          <cell r="C995">
            <v>200109</v>
          </cell>
          <cell r="D995">
            <v>200713</v>
          </cell>
          <cell r="E995" t="str">
            <v>C</v>
          </cell>
          <cell r="F995" t="str">
            <v>Account status = Closed</v>
          </cell>
          <cell r="G995" t="str">
            <v/>
          </cell>
          <cell r="H995" t="str">
            <v>R</v>
          </cell>
        </row>
        <row r="996">
          <cell r="B996" t="str">
            <v>J8134</v>
          </cell>
          <cell r="C996">
            <v>200109</v>
          </cell>
          <cell r="D996">
            <v>200713</v>
          </cell>
          <cell r="E996" t="str">
            <v>C</v>
          </cell>
          <cell r="F996" t="str">
            <v>Account status = Closed</v>
          </cell>
          <cell r="G996" t="str">
            <v/>
          </cell>
          <cell r="H996" t="str">
            <v>R</v>
          </cell>
        </row>
        <row r="997">
          <cell r="B997" t="str">
            <v>J8135</v>
          </cell>
          <cell r="C997">
            <v>200109</v>
          </cell>
          <cell r="D997">
            <v>200713</v>
          </cell>
          <cell r="E997" t="str">
            <v>C</v>
          </cell>
          <cell r="F997" t="str">
            <v>Account status = Closed</v>
          </cell>
          <cell r="G997" t="str">
            <v/>
          </cell>
          <cell r="H997" t="str">
            <v>R</v>
          </cell>
        </row>
        <row r="998">
          <cell r="B998" t="str">
            <v>J8136</v>
          </cell>
          <cell r="C998">
            <v>200109</v>
          </cell>
          <cell r="D998">
            <v>200713</v>
          </cell>
          <cell r="E998" t="str">
            <v>C</v>
          </cell>
          <cell r="F998" t="str">
            <v>Account status = Closed</v>
          </cell>
          <cell r="G998" t="str">
            <v/>
          </cell>
          <cell r="H998" t="str">
            <v>R</v>
          </cell>
        </row>
        <row r="999">
          <cell r="B999" t="str">
            <v>J8142</v>
          </cell>
          <cell r="C999">
            <v>200109</v>
          </cell>
          <cell r="D999">
            <v>200112</v>
          </cell>
          <cell r="E999" t="str">
            <v>C</v>
          </cell>
          <cell r="F999" t="str">
            <v>Account status = Closed</v>
          </cell>
          <cell r="G999" t="str">
            <v/>
          </cell>
          <cell r="H999" t="str">
            <v>R</v>
          </cell>
        </row>
        <row r="1000">
          <cell r="B1000" t="str">
            <v>J8151</v>
          </cell>
          <cell r="C1000">
            <v>200109</v>
          </cell>
          <cell r="D1000">
            <v>200713</v>
          </cell>
          <cell r="E1000" t="str">
            <v>C</v>
          </cell>
          <cell r="F1000" t="str">
            <v>Account status = Closed</v>
          </cell>
          <cell r="G1000" t="str">
            <v/>
          </cell>
          <cell r="H1000" t="str">
            <v>R</v>
          </cell>
        </row>
        <row r="1001">
          <cell r="B1001" t="str">
            <v>J8152</v>
          </cell>
          <cell r="C1001">
            <v>200109</v>
          </cell>
          <cell r="D1001">
            <v>209912</v>
          </cell>
          <cell r="E1001" t="str">
            <v>N</v>
          </cell>
          <cell r="F1001" t="str">
            <v/>
          </cell>
          <cell r="G1001" t="str">
            <v/>
          </cell>
          <cell r="H1001" t="str">
            <v>R</v>
          </cell>
        </row>
        <row r="1002">
          <cell r="B1002" t="str">
            <v>J8153</v>
          </cell>
          <cell r="C1002">
            <v>200109</v>
          </cell>
          <cell r="D1002">
            <v>200713</v>
          </cell>
          <cell r="E1002" t="str">
            <v>C</v>
          </cell>
          <cell r="F1002" t="str">
            <v>Account status = Closed</v>
          </cell>
          <cell r="G1002" t="str">
            <v/>
          </cell>
          <cell r="H1002" t="str">
            <v>R</v>
          </cell>
        </row>
        <row r="1003">
          <cell r="B1003" t="str">
            <v>J8154</v>
          </cell>
          <cell r="C1003">
            <v>200109</v>
          </cell>
          <cell r="D1003">
            <v>200713</v>
          </cell>
          <cell r="E1003" t="str">
            <v>C</v>
          </cell>
          <cell r="F1003" t="str">
            <v>Account status = Closed</v>
          </cell>
          <cell r="G1003" t="str">
            <v/>
          </cell>
          <cell r="H1003" t="str">
            <v>R</v>
          </cell>
        </row>
        <row r="1004">
          <cell r="B1004" t="str">
            <v>J8199</v>
          </cell>
          <cell r="C1004">
            <v>200109</v>
          </cell>
          <cell r="D1004">
            <v>200713</v>
          </cell>
          <cell r="E1004" t="str">
            <v>C</v>
          </cell>
          <cell r="F1004" t="str">
            <v>Account status = Closed</v>
          </cell>
          <cell r="G1004" t="str">
            <v/>
          </cell>
          <cell r="H1004" t="str">
            <v>R</v>
          </cell>
        </row>
        <row r="1005">
          <cell r="B1005" t="str">
            <v>J8202</v>
          </cell>
          <cell r="C1005">
            <v>200109</v>
          </cell>
          <cell r="D1005">
            <v>201300</v>
          </cell>
          <cell r="E1005" t="str">
            <v>C</v>
          </cell>
          <cell r="F1005" t="str">
            <v>Account status = Closed</v>
          </cell>
          <cell r="G1005" t="str">
            <v/>
          </cell>
          <cell r="H1005" t="str">
            <v>R</v>
          </cell>
        </row>
        <row r="1006">
          <cell r="B1006" t="str">
            <v>J8203</v>
          </cell>
          <cell r="C1006">
            <v>200109</v>
          </cell>
          <cell r="D1006">
            <v>201300</v>
          </cell>
          <cell r="E1006" t="str">
            <v>C</v>
          </cell>
          <cell r="F1006" t="str">
            <v>Account status = Closed</v>
          </cell>
          <cell r="G1006" t="str">
            <v/>
          </cell>
          <cell r="H1006" t="str">
            <v>R</v>
          </cell>
        </row>
        <row r="1007">
          <cell r="B1007" t="str">
            <v>J8210</v>
          </cell>
          <cell r="C1007">
            <v>200109</v>
          </cell>
          <cell r="D1007">
            <v>209912</v>
          </cell>
          <cell r="E1007" t="str">
            <v>N</v>
          </cell>
          <cell r="F1007" t="str">
            <v/>
          </cell>
          <cell r="G1007" t="str">
            <v/>
          </cell>
          <cell r="H1007" t="str">
            <v>R</v>
          </cell>
        </row>
        <row r="1008">
          <cell r="B1008" t="str">
            <v>J8211</v>
          </cell>
          <cell r="C1008">
            <v>200109</v>
          </cell>
          <cell r="D1008">
            <v>200713</v>
          </cell>
          <cell r="E1008" t="str">
            <v>C</v>
          </cell>
          <cell r="F1008" t="str">
            <v>Account status = Closed</v>
          </cell>
          <cell r="G1008" t="str">
            <v/>
          </cell>
          <cell r="H1008" t="str">
            <v>R</v>
          </cell>
        </row>
        <row r="1009">
          <cell r="B1009" t="str">
            <v>J8212</v>
          </cell>
          <cell r="C1009">
            <v>200109</v>
          </cell>
          <cell r="D1009">
            <v>200713</v>
          </cell>
          <cell r="E1009" t="str">
            <v>C</v>
          </cell>
          <cell r="F1009" t="str">
            <v>Account status = Closed</v>
          </cell>
          <cell r="G1009" t="str">
            <v/>
          </cell>
          <cell r="H1009" t="str">
            <v>R</v>
          </cell>
        </row>
        <row r="1010">
          <cell r="B1010" t="str">
            <v>J8213</v>
          </cell>
          <cell r="C1010">
            <v>200109</v>
          </cell>
          <cell r="D1010">
            <v>200713</v>
          </cell>
          <cell r="E1010" t="str">
            <v>C</v>
          </cell>
          <cell r="F1010" t="str">
            <v>Account status = Closed</v>
          </cell>
          <cell r="G1010" t="str">
            <v/>
          </cell>
          <cell r="H1010" t="str">
            <v>R</v>
          </cell>
        </row>
        <row r="1011">
          <cell r="B1011" t="str">
            <v>J8214</v>
          </cell>
          <cell r="C1011">
            <v>200109</v>
          </cell>
          <cell r="D1011">
            <v>200112</v>
          </cell>
          <cell r="E1011" t="str">
            <v>C</v>
          </cell>
          <cell r="F1011" t="str">
            <v>Account status = Closed</v>
          </cell>
          <cell r="G1011" t="str">
            <v/>
          </cell>
          <cell r="H1011" t="str">
            <v>R</v>
          </cell>
        </row>
        <row r="1012">
          <cell r="B1012" t="str">
            <v>J8215</v>
          </cell>
          <cell r="C1012">
            <v>200109</v>
          </cell>
          <cell r="D1012">
            <v>200112</v>
          </cell>
          <cell r="E1012" t="str">
            <v>C</v>
          </cell>
          <cell r="F1012" t="str">
            <v>Account status = Closed</v>
          </cell>
          <cell r="G1012" t="str">
            <v/>
          </cell>
          <cell r="H1012" t="str">
            <v>R</v>
          </cell>
        </row>
        <row r="1013">
          <cell r="B1013" t="str">
            <v>J8216</v>
          </cell>
          <cell r="C1013">
            <v>200109</v>
          </cell>
          <cell r="D1013">
            <v>200112</v>
          </cell>
          <cell r="E1013" t="str">
            <v>C</v>
          </cell>
          <cell r="F1013" t="str">
            <v>Account status = Closed</v>
          </cell>
          <cell r="G1013" t="str">
            <v/>
          </cell>
          <cell r="H1013" t="str">
            <v>R</v>
          </cell>
        </row>
        <row r="1014">
          <cell r="B1014" t="str">
            <v>J8220</v>
          </cell>
          <cell r="C1014">
            <v>200502</v>
          </cell>
          <cell r="D1014">
            <v>209912</v>
          </cell>
          <cell r="E1014" t="str">
            <v>N</v>
          </cell>
          <cell r="F1014" t="str">
            <v/>
          </cell>
          <cell r="G1014" t="str">
            <v/>
          </cell>
          <cell r="H1014" t="str">
            <v>R</v>
          </cell>
        </row>
        <row r="1015">
          <cell r="B1015" t="str">
            <v>J8230</v>
          </cell>
          <cell r="C1015">
            <v>200502</v>
          </cell>
          <cell r="D1015">
            <v>200713</v>
          </cell>
          <cell r="E1015" t="str">
            <v>C</v>
          </cell>
          <cell r="F1015" t="str">
            <v>Account status = Closed</v>
          </cell>
          <cell r="G1015" t="str">
            <v/>
          </cell>
          <cell r="H1015" t="str">
            <v>R</v>
          </cell>
        </row>
        <row r="1016">
          <cell r="B1016" t="str">
            <v>J8251</v>
          </cell>
          <cell r="C1016">
            <v>201109</v>
          </cell>
          <cell r="D1016">
            <v>201300</v>
          </cell>
          <cell r="E1016" t="str">
            <v>C</v>
          </cell>
          <cell r="F1016" t="str">
            <v>Account status = Closed</v>
          </cell>
          <cell r="G1016" t="str">
            <v/>
          </cell>
          <cell r="H1016" t="str">
            <v>R</v>
          </cell>
        </row>
        <row r="1017">
          <cell r="B1017" t="str">
            <v>J8252</v>
          </cell>
          <cell r="C1017">
            <v>201109</v>
          </cell>
          <cell r="D1017">
            <v>201300</v>
          </cell>
          <cell r="E1017" t="str">
            <v>C</v>
          </cell>
          <cell r="F1017" t="str">
            <v>Account status = Closed</v>
          </cell>
          <cell r="G1017" t="str">
            <v/>
          </cell>
          <cell r="H1017" t="str">
            <v>R</v>
          </cell>
        </row>
        <row r="1018">
          <cell r="B1018" t="str">
            <v>J8301</v>
          </cell>
          <cell r="C1018">
            <v>200109</v>
          </cell>
          <cell r="D1018">
            <v>200112</v>
          </cell>
          <cell r="E1018" t="str">
            <v>C</v>
          </cell>
          <cell r="F1018" t="str">
            <v>Account status = Closed</v>
          </cell>
          <cell r="G1018" t="str">
            <v/>
          </cell>
          <cell r="H1018" t="str">
            <v>R</v>
          </cell>
        </row>
        <row r="1019">
          <cell r="B1019" t="str">
            <v>J8307</v>
          </cell>
          <cell r="C1019">
            <v>200109</v>
          </cell>
          <cell r="D1019">
            <v>200112</v>
          </cell>
          <cell r="E1019" t="str">
            <v>C</v>
          </cell>
          <cell r="F1019" t="str">
            <v>Account status = Closed</v>
          </cell>
          <cell r="G1019" t="str">
            <v/>
          </cell>
          <cell r="H1019" t="str">
            <v>R</v>
          </cell>
        </row>
        <row r="1020">
          <cell r="B1020" t="str">
            <v>J8309</v>
          </cell>
          <cell r="C1020">
            <v>200301</v>
          </cell>
          <cell r="D1020">
            <v>209912</v>
          </cell>
          <cell r="E1020" t="str">
            <v>N</v>
          </cell>
          <cell r="F1020" t="str">
            <v/>
          </cell>
          <cell r="G1020" t="str">
            <v/>
          </cell>
          <cell r="H1020" t="str">
            <v>R</v>
          </cell>
        </row>
        <row r="1021">
          <cell r="B1021" t="str">
            <v>J8310</v>
          </cell>
          <cell r="C1021">
            <v>200502</v>
          </cell>
          <cell r="D1021">
            <v>201300</v>
          </cell>
          <cell r="E1021" t="str">
            <v>C</v>
          </cell>
          <cell r="F1021" t="str">
            <v>Account status = Closed</v>
          </cell>
          <cell r="G1021" t="str">
            <v/>
          </cell>
          <cell r="H1021" t="str">
            <v>R</v>
          </cell>
        </row>
        <row r="1022">
          <cell r="B1022" t="str">
            <v>J8320</v>
          </cell>
          <cell r="C1022">
            <v>200502</v>
          </cell>
          <cell r="D1022">
            <v>200713</v>
          </cell>
          <cell r="E1022" t="str">
            <v>C</v>
          </cell>
          <cell r="F1022" t="str">
            <v>Account status = Closed</v>
          </cell>
          <cell r="G1022" t="str">
            <v/>
          </cell>
          <cell r="H1022" t="str">
            <v>R</v>
          </cell>
        </row>
        <row r="1023">
          <cell r="B1023" t="str">
            <v>J8321</v>
          </cell>
          <cell r="C1023">
            <v>200109</v>
          </cell>
          <cell r="D1023">
            <v>209912</v>
          </cell>
          <cell r="E1023" t="str">
            <v>N</v>
          </cell>
          <cell r="F1023" t="str">
            <v/>
          </cell>
          <cell r="G1023" t="str">
            <v/>
          </cell>
          <cell r="H1023" t="str">
            <v>R</v>
          </cell>
        </row>
        <row r="1024">
          <cell r="B1024" t="str">
            <v>J8322</v>
          </cell>
          <cell r="C1024">
            <v>200109</v>
          </cell>
          <cell r="D1024">
            <v>209912</v>
          </cell>
          <cell r="E1024" t="str">
            <v>N</v>
          </cell>
          <cell r="F1024" t="str">
            <v/>
          </cell>
          <cell r="G1024" t="str">
            <v/>
          </cell>
          <cell r="H1024" t="str">
            <v>R</v>
          </cell>
        </row>
        <row r="1025">
          <cell r="B1025" t="str">
            <v>J8323</v>
          </cell>
          <cell r="C1025">
            <v>200109</v>
          </cell>
          <cell r="D1025">
            <v>209912</v>
          </cell>
          <cell r="E1025" t="str">
            <v>N</v>
          </cell>
          <cell r="F1025" t="str">
            <v/>
          </cell>
          <cell r="G1025" t="str">
            <v/>
          </cell>
          <cell r="H1025" t="str">
            <v>R</v>
          </cell>
        </row>
        <row r="1026">
          <cell r="B1026" t="str">
            <v>J8325</v>
          </cell>
          <cell r="C1026">
            <v>200109</v>
          </cell>
          <cell r="D1026">
            <v>209912</v>
          </cell>
          <cell r="E1026" t="str">
            <v>N</v>
          </cell>
          <cell r="F1026" t="str">
            <v/>
          </cell>
          <cell r="G1026" t="str">
            <v/>
          </cell>
          <cell r="H1026" t="str">
            <v>R</v>
          </cell>
        </row>
        <row r="1027">
          <cell r="B1027" t="str">
            <v>J8326</v>
          </cell>
          <cell r="C1027">
            <v>200109</v>
          </cell>
          <cell r="D1027">
            <v>200713</v>
          </cell>
          <cell r="E1027" t="str">
            <v>C</v>
          </cell>
          <cell r="F1027" t="str">
            <v>Account status = Closed</v>
          </cell>
          <cell r="G1027" t="str">
            <v/>
          </cell>
          <cell r="H1027" t="str">
            <v>R</v>
          </cell>
        </row>
        <row r="1028">
          <cell r="B1028" t="str">
            <v>J8328</v>
          </cell>
          <cell r="C1028">
            <v>200109</v>
          </cell>
          <cell r="D1028">
            <v>209912</v>
          </cell>
          <cell r="E1028" t="str">
            <v>N</v>
          </cell>
          <cell r="F1028" t="str">
            <v/>
          </cell>
          <cell r="G1028" t="str">
            <v/>
          </cell>
          <cell r="H1028" t="str">
            <v>R</v>
          </cell>
        </row>
        <row r="1029">
          <cell r="B1029" t="str">
            <v>J8329</v>
          </cell>
          <cell r="C1029">
            <v>200109</v>
          </cell>
          <cell r="D1029">
            <v>209912</v>
          </cell>
          <cell r="E1029" t="str">
            <v>N</v>
          </cell>
          <cell r="F1029" t="str">
            <v/>
          </cell>
          <cell r="G1029" t="str">
            <v/>
          </cell>
          <cell r="H1029" t="str">
            <v>R</v>
          </cell>
        </row>
        <row r="1030">
          <cell r="B1030" t="str">
            <v>J8330</v>
          </cell>
          <cell r="C1030">
            <v>200109</v>
          </cell>
          <cell r="D1030">
            <v>209912</v>
          </cell>
          <cell r="E1030" t="str">
            <v>N</v>
          </cell>
          <cell r="F1030" t="str">
            <v/>
          </cell>
          <cell r="G1030" t="str">
            <v/>
          </cell>
          <cell r="H1030" t="str">
            <v>R</v>
          </cell>
        </row>
        <row r="1031">
          <cell r="B1031" t="str">
            <v>J8331</v>
          </cell>
          <cell r="C1031">
            <v>200109</v>
          </cell>
          <cell r="D1031">
            <v>209912</v>
          </cell>
          <cell r="E1031" t="str">
            <v>N</v>
          </cell>
          <cell r="F1031" t="str">
            <v/>
          </cell>
          <cell r="G1031" t="str">
            <v/>
          </cell>
          <cell r="H1031" t="str">
            <v>R</v>
          </cell>
        </row>
        <row r="1032">
          <cell r="B1032" t="str">
            <v>J8332</v>
          </cell>
          <cell r="C1032">
            <v>200109</v>
          </cell>
          <cell r="D1032">
            <v>209912</v>
          </cell>
          <cell r="E1032" t="str">
            <v>N</v>
          </cell>
          <cell r="F1032" t="str">
            <v/>
          </cell>
          <cell r="G1032" t="str">
            <v/>
          </cell>
          <cell r="H1032" t="str">
            <v>R</v>
          </cell>
        </row>
        <row r="1033">
          <cell r="B1033" t="str">
            <v>J8334</v>
          </cell>
          <cell r="C1033">
            <v>200109</v>
          </cell>
          <cell r="D1033">
            <v>201300</v>
          </cell>
          <cell r="E1033" t="str">
            <v>C</v>
          </cell>
          <cell r="F1033" t="str">
            <v>Account status = Closed</v>
          </cell>
          <cell r="G1033" t="str">
            <v/>
          </cell>
          <cell r="H1033" t="str">
            <v>R</v>
          </cell>
        </row>
        <row r="1034">
          <cell r="B1034" t="str">
            <v>J8335</v>
          </cell>
          <cell r="C1034">
            <v>200109</v>
          </cell>
          <cell r="D1034">
            <v>209912</v>
          </cell>
          <cell r="E1034" t="str">
            <v>N</v>
          </cell>
          <cell r="F1034" t="str">
            <v/>
          </cell>
          <cell r="G1034" t="str">
            <v/>
          </cell>
          <cell r="H1034" t="str">
            <v>R</v>
          </cell>
        </row>
        <row r="1035">
          <cell r="B1035" t="str">
            <v>J8336</v>
          </cell>
          <cell r="C1035">
            <v>200109</v>
          </cell>
          <cell r="D1035">
            <v>200713</v>
          </cell>
          <cell r="E1035" t="str">
            <v>C</v>
          </cell>
          <cell r="F1035" t="str">
            <v>Account status = Closed</v>
          </cell>
          <cell r="G1035" t="str">
            <v/>
          </cell>
          <cell r="H1035" t="str">
            <v>R</v>
          </cell>
        </row>
        <row r="1036">
          <cell r="B1036" t="str">
            <v>J8338</v>
          </cell>
          <cell r="C1036">
            <v>200109</v>
          </cell>
          <cell r="D1036">
            <v>200713</v>
          </cell>
          <cell r="E1036" t="str">
            <v>C</v>
          </cell>
          <cell r="F1036" t="str">
            <v>Account status = Closed</v>
          </cell>
          <cell r="G1036" t="str">
            <v/>
          </cell>
          <cell r="H1036" t="str">
            <v>R</v>
          </cell>
        </row>
        <row r="1037">
          <cell r="B1037" t="str">
            <v>J8340</v>
          </cell>
          <cell r="C1037">
            <v>200109</v>
          </cell>
          <cell r="D1037">
            <v>209912</v>
          </cell>
          <cell r="E1037" t="str">
            <v>N</v>
          </cell>
          <cell r="F1037" t="str">
            <v/>
          </cell>
          <cell r="G1037" t="str">
            <v/>
          </cell>
          <cell r="H1037" t="str">
            <v>R</v>
          </cell>
        </row>
        <row r="1038">
          <cell r="B1038" t="str">
            <v>J8342</v>
          </cell>
          <cell r="C1038">
            <v>200109</v>
          </cell>
          <cell r="D1038">
            <v>209912</v>
          </cell>
          <cell r="E1038" t="str">
            <v>N</v>
          </cell>
          <cell r="F1038" t="str">
            <v/>
          </cell>
          <cell r="G1038" t="str">
            <v/>
          </cell>
          <cell r="H1038" t="str">
            <v>R</v>
          </cell>
        </row>
        <row r="1039">
          <cell r="B1039" t="str">
            <v>J8353</v>
          </cell>
          <cell r="C1039">
            <v>200109</v>
          </cell>
          <cell r="D1039">
            <v>209912</v>
          </cell>
          <cell r="E1039" t="str">
            <v>N</v>
          </cell>
          <cell r="F1039" t="str">
            <v/>
          </cell>
          <cell r="G1039" t="str">
            <v/>
          </cell>
          <cell r="H1039" t="str">
            <v>R</v>
          </cell>
        </row>
        <row r="1040">
          <cell r="B1040" t="str">
            <v>J8364</v>
          </cell>
          <cell r="C1040">
            <v>200109</v>
          </cell>
          <cell r="D1040">
            <v>200713</v>
          </cell>
          <cell r="E1040" t="str">
            <v>C</v>
          </cell>
          <cell r="F1040" t="str">
            <v>Account status = Closed</v>
          </cell>
          <cell r="G1040" t="str">
            <v/>
          </cell>
          <cell r="H1040" t="str">
            <v>R</v>
          </cell>
        </row>
        <row r="1041">
          <cell r="B1041" t="str">
            <v>J8365</v>
          </cell>
          <cell r="C1041">
            <v>200109</v>
          </cell>
          <cell r="D1041">
            <v>200713</v>
          </cell>
          <cell r="E1041" t="str">
            <v>C</v>
          </cell>
          <cell r="F1041" t="str">
            <v>Account status = Closed</v>
          </cell>
          <cell r="G1041" t="str">
            <v/>
          </cell>
          <cell r="H1041" t="str">
            <v>R</v>
          </cell>
        </row>
        <row r="1042">
          <cell r="B1042" t="str">
            <v>J8366</v>
          </cell>
          <cell r="C1042">
            <v>200109</v>
          </cell>
          <cell r="D1042">
            <v>200713</v>
          </cell>
          <cell r="E1042" t="str">
            <v>C</v>
          </cell>
          <cell r="F1042" t="str">
            <v>Account status = Closed</v>
          </cell>
          <cell r="G1042" t="str">
            <v/>
          </cell>
          <cell r="H1042" t="str">
            <v>R</v>
          </cell>
        </row>
        <row r="1043">
          <cell r="B1043" t="str">
            <v>J8369</v>
          </cell>
          <cell r="C1043">
            <v>200109</v>
          </cell>
          <cell r="D1043">
            <v>200713</v>
          </cell>
          <cell r="E1043" t="str">
            <v>C</v>
          </cell>
          <cell r="F1043" t="str">
            <v>Account status = Closed</v>
          </cell>
          <cell r="G1043" t="str">
            <v/>
          </cell>
          <cell r="H1043" t="str">
            <v>R</v>
          </cell>
        </row>
        <row r="1044">
          <cell r="B1044" t="str">
            <v>J8370</v>
          </cell>
          <cell r="C1044">
            <v>200906</v>
          </cell>
          <cell r="D1044">
            <v>209913</v>
          </cell>
          <cell r="E1044" t="str">
            <v>N</v>
          </cell>
          <cell r="F1044" t="str">
            <v/>
          </cell>
          <cell r="G1044" t="str">
            <v/>
          </cell>
          <cell r="H1044" t="str">
            <v>R</v>
          </cell>
        </row>
        <row r="1045">
          <cell r="B1045" t="str">
            <v>J8372</v>
          </cell>
          <cell r="C1045">
            <v>200109</v>
          </cell>
          <cell r="D1045">
            <v>209912</v>
          </cell>
          <cell r="E1045" t="str">
            <v>N</v>
          </cell>
          <cell r="F1045" t="str">
            <v/>
          </cell>
          <cell r="G1045" t="str">
            <v/>
          </cell>
          <cell r="H1045" t="str">
            <v>R</v>
          </cell>
        </row>
        <row r="1046">
          <cell r="B1046" t="str">
            <v>J8373</v>
          </cell>
          <cell r="C1046">
            <v>200109</v>
          </cell>
          <cell r="D1046">
            <v>200713</v>
          </cell>
          <cell r="E1046" t="str">
            <v>C</v>
          </cell>
          <cell r="F1046" t="str">
            <v>Account status = Closed</v>
          </cell>
          <cell r="G1046" t="str">
            <v/>
          </cell>
          <cell r="H1046" t="str">
            <v>R</v>
          </cell>
        </row>
        <row r="1047">
          <cell r="B1047" t="str">
            <v>J8402</v>
          </cell>
          <cell r="C1047">
            <v>199900</v>
          </cell>
          <cell r="D1047">
            <v>209912</v>
          </cell>
          <cell r="E1047" t="str">
            <v>N</v>
          </cell>
          <cell r="F1047" t="str">
            <v/>
          </cell>
          <cell r="G1047" t="str">
            <v/>
          </cell>
          <cell r="H1047" t="str">
            <v>R</v>
          </cell>
        </row>
        <row r="1048">
          <cell r="B1048" t="str">
            <v>J8403</v>
          </cell>
          <cell r="C1048">
            <v>199900</v>
          </cell>
          <cell r="D1048">
            <v>209912</v>
          </cell>
          <cell r="E1048" t="str">
            <v>N</v>
          </cell>
          <cell r="F1048" t="str">
            <v/>
          </cell>
          <cell r="G1048" t="str">
            <v/>
          </cell>
          <cell r="H1048" t="str">
            <v>R</v>
          </cell>
        </row>
        <row r="1049">
          <cell r="B1049" t="str">
            <v>J8404</v>
          </cell>
          <cell r="C1049">
            <v>199900</v>
          </cell>
          <cell r="D1049">
            <v>209912</v>
          </cell>
          <cell r="E1049" t="str">
            <v>N</v>
          </cell>
          <cell r="F1049" t="str">
            <v/>
          </cell>
          <cell r="G1049" t="str">
            <v/>
          </cell>
          <cell r="H1049" t="str">
            <v>R</v>
          </cell>
        </row>
        <row r="1050">
          <cell r="B1050" t="str">
            <v>J8405</v>
          </cell>
          <cell r="C1050">
            <v>199900</v>
          </cell>
          <cell r="D1050">
            <v>209912</v>
          </cell>
          <cell r="E1050" t="str">
            <v>N</v>
          </cell>
          <cell r="F1050" t="str">
            <v/>
          </cell>
          <cell r="G1050" t="str">
            <v/>
          </cell>
          <cell r="H1050" t="str">
            <v>R</v>
          </cell>
        </row>
        <row r="1051">
          <cell r="B1051" t="str">
            <v>J8406</v>
          </cell>
          <cell r="C1051">
            <v>199900</v>
          </cell>
          <cell r="D1051">
            <v>209912</v>
          </cell>
          <cell r="E1051" t="str">
            <v>N</v>
          </cell>
          <cell r="F1051" t="str">
            <v/>
          </cell>
          <cell r="G1051" t="str">
            <v/>
          </cell>
          <cell r="H1051" t="str">
            <v>R</v>
          </cell>
        </row>
        <row r="1052">
          <cell r="B1052" t="str">
            <v>J8407</v>
          </cell>
          <cell r="C1052">
            <v>199900</v>
          </cell>
          <cell r="D1052">
            <v>209912</v>
          </cell>
          <cell r="E1052" t="str">
            <v>N</v>
          </cell>
          <cell r="F1052" t="str">
            <v/>
          </cell>
          <cell r="G1052" t="str">
            <v/>
          </cell>
          <cell r="H1052" t="str">
            <v>R</v>
          </cell>
        </row>
        <row r="1053">
          <cell r="B1053" t="str">
            <v>J8408</v>
          </cell>
          <cell r="C1053">
            <v>199900</v>
          </cell>
          <cell r="D1053">
            <v>209912</v>
          </cell>
          <cell r="E1053" t="str">
            <v>N</v>
          </cell>
          <cell r="F1053" t="str">
            <v/>
          </cell>
          <cell r="G1053" t="str">
            <v/>
          </cell>
          <cell r="H1053" t="str">
            <v>R</v>
          </cell>
        </row>
        <row r="1054">
          <cell r="B1054" t="str">
            <v>J8409</v>
          </cell>
          <cell r="C1054">
            <v>199900</v>
          </cell>
          <cell r="D1054">
            <v>209912</v>
          </cell>
          <cell r="E1054" t="str">
            <v>N</v>
          </cell>
          <cell r="F1054" t="str">
            <v/>
          </cell>
          <cell r="G1054" t="str">
            <v/>
          </cell>
          <cell r="H1054" t="str">
            <v>R</v>
          </cell>
        </row>
        <row r="1055">
          <cell r="B1055" t="str">
            <v>J8410</v>
          </cell>
          <cell r="C1055">
            <v>200502</v>
          </cell>
          <cell r="D1055">
            <v>209912</v>
          </cell>
          <cell r="E1055" t="str">
            <v>N</v>
          </cell>
          <cell r="F1055" t="str">
            <v/>
          </cell>
          <cell r="G1055" t="str">
            <v/>
          </cell>
          <cell r="H1055" t="str">
            <v>R</v>
          </cell>
        </row>
        <row r="1056">
          <cell r="B1056" t="str">
            <v>J8411</v>
          </cell>
          <cell r="C1056">
            <v>199900</v>
          </cell>
          <cell r="D1056">
            <v>209912</v>
          </cell>
          <cell r="E1056" t="str">
            <v>N</v>
          </cell>
          <cell r="F1056" t="str">
            <v/>
          </cell>
          <cell r="G1056" t="str">
            <v/>
          </cell>
          <cell r="H1056" t="str">
            <v>R</v>
          </cell>
        </row>
        <row r="1057">
          <cell r="B1057" t="str">
            <v>J8412</v>
          </cell>
          <cell r="C1057">
            <v>199900</v>
          </cell>
          <cell r="D1057">
            <v>209912</v>
          </cell>
          <cell r="E1057" t="str">
            <v>N</v>
          </cell>
          <cell r="F1057" t="str">
            <v/>
          </cell>
          <cell r="G1057" t="str">
            <v/>
          </cell>
          <cell r="H1057" t="str">
            <v>R</v>
          </cell>
        </row>
        <row r="1058">
          <cell r="B1058" t="str">
            <v>J8413</v>
          </cell>
          <cell r="C1058">
            <v>199900</v>
          </cell>
          <cell r="D1058">
            <v>209912</v>
          </cell>
          <cell r="E1058" t="str">
            <v>N</v>
          </cell>
          <cell r="F1058" t="str">
            <v/>
          </cell>
          <cell r="G1058" t="str">
            <v/>
          </cell>
          <cell r="H1058" t="str">
            <v>R</v>
          </cell>
        </row>
        <row r="1059">
          <cell r="B1059" t="str">
            <v>J8414</v>
          </cell>
          <cell r="C1059">
            <v>199900</v>
          </cell>
          <cell r="D1059">
            <v>209912</v>
          </cell>
          <cell r="E1059" t="str">
            <v>N</v>
          </cell>
          <cell r="F1059" t="str">
            <v/>
          </cell>
          <cell r="G1059" t="str">
            <v/>
          </cell>
          <cell r="H1059" t="str">
            <v>R</v>
          </cell>
        </row>
        <row r="1060">
          <cell r="B1060" t="str">
            <v>J8415</v>
          </cell>
          <cell r="C1060">
            <v>199900</v>
          </cell>
          <cell r="D1060">
            <v>209912</v>
          </cell>
          <cell r="E1060" t="str">
            <v>N</v>
          </cell>
          <cell r="F1060" t="str">
            <v/>
          </cell>
          <cell r="G1060" t="str">
            <v/>
          </cell>
          <cell r="H1060" t="str">
            <v>R</v>
          </cell>
        </row>
        <row r="1061">
          <cell r="B1061" t="str">
            <v>J8416</v>
          </cell>
          <cell r="C1061">
            <v>199900</v>
          </cell>
          <cell r="D1061">
            <v>209912</v>
          </cell>
          <cell r="E1061" t="str">
            <v>N</v>
          </cell>
          <cell r="F1061" t="str">
            <v/>
          </cell>
          <cell r="G1061" t="str">
            <v/>
          </cell>
          <cell r="H1061" t="str">
            <v>R</v>
          </cell>
        </row>
        <row r="1062">
          <cell r="B1062" t="str">
            <v>J8417</v>
          </cell>
          <cell r="C1062">
            <v>199900</v>
          </cell>
          <cell r="D1062">
            <v>209912</v>
          </cell>
          <cell r="E1062" t="str">
            <v>N</v>
          </cell>
          <cell r="F1062" t="str">
            <v/>
          </cell>
          <cell r="G1062" t="str">
            <v/>
          </cell>
          <cell r="H1062" t="str">
            <v>R</v>
          </cell>
        </row>
        <row r="1063">
          <cell r="B1063" t="str">
            <v>J8418</v>
          </cell>
          <cell r="C1063">
            <v>199900</v>
          </cell>
          <cell r="D1063">
            <v>209912</v>
          </cell>
          <cell r="E1063" t="str">
            <v>N</v>
          </cell>
          <cell r="F1063" t="str">
            <v/>
          </cell>
          <cell r="G1063" t="str">
            <v/>
          </cell>
          <cell r="H1063" t="str">
            <v>R</v>
          </cell>
        </row>
        <row r="1064">
          <cell r="B1064" t="str">
            <v>J8419</v>
          </cell>
          <cell r="C1064">
            <v>199900</v>
          </cell>
          <cell r="D1064">
            <v>209912</v>
          </cell>
          <cell r="E1064" t="str">
            <v>N</v>
          </cell>
          <cell r="F1064" t="str">
            <v/>
          </cell>
          <cell r="G1064" t="str">
            <v/>
          </cell>
          <cell r="H1064" t="str">
            <v>R</v>
          </cell>
        </row>
        <row r="1065">
          <cell r="B1065" t="str">
            <v>J8420</v>
          </cell>
          <cell r="C1065">
            <v>200502</v>
          </cell>
          <cell r="D1065">
            <v>201312</v>
          </cell>
          <cell r="E1065" t="str">
            <v>N</v>
          </cell>
          <cell r="F1065" t="str">
            <v>Account closed from period 201312</v>
          </cell>
          <cell r="G1065" t="str">
            <v/>
          </cell>
          <cell r="H1065" t="str">
            <v>R</v>
          </cell>
        </row>
        <row r="1066">
          <cell r="B1066" t="str">
            <v>J8421</v>
          </cell>
          <cell r="C1066">
            <v>199900</v>
          </cell>
          <cell r="D1066">
            <v>209912</v>
          </cell>
          <cell r="E1066" t="str">
            <v>N</v>
          </cell>
          <cell r="F1066" t="str">
            <v/>
          </cell>
          <cell r="G1066" t="str">
            <v/>
          </cell>
          <cell r="H1066" t="str">
            <v>R</v>
          </cell>
        </row>
        <row r="1067">
          <cell r="B1067" t="str">
            <v>J8422</v>
          </cell>
          <cell r="C1067">
            <v>199900</v>
          </cell>
          <cell r="D1067">
            <v>209912</v>
          </cell>
          <cell r="E1067" t="str">
            <v>N</v>
          </cell>
          <cell r="F1067" t="str">
            <v/>
          </cell>
          <cell r="G1067" t="str">
            <v/>
          </cell>
          <cell r="H1067" t="str">
            <v>R</v>
          </cell>
        </row>
        <row r="1068">
          <cell r="B1068" t="str">
            <v>J8423</v>
          </cell>
          <cell r="C1068">
            <v>199900</v>
          </cell>
          <cell r="D1068">
            <v>209912</v>
          </cell>
          <cell r="E1068" t="str">
            <v>N</v>
          </cell>
          <cell r="F1068" t="str">
            <v/>
          </cell>
          <cell r="G1068" t="str">
            <v/>
          </cell>
          <cell r="H1068" t="str">
            <v>R</v>
          </cell>
        </row>
        <row r="1069">
          <cell r="B1069" t="str">
            <v>J8424</v>
          </cell>
          <cell r="C1069">
            <v>199900</v>
          </cell>
          <cell r="D1069">
            <v>209912</v>
          </cell>
          <cell r="E1069" t="str">
            <v>N</v>
          </cell>
          <cell r="F1069" t="str">
            <v/>
          </cell>
          <cell r="G1069" t="str">
            <v/>
          </cell>
          <cell r="H1069" t="str">
            <v>R</v>
          </cell>
        </row>
        <row r="1070">
          <cell r="B1070" t="str">
            <v>J8425</v>
          </cell>
          <cell r="C1070">
            <v>199900</v>
          </cell>
          <cell r="D1070">
            <v>209912</v>
          </cell>
          <cell r="E1070" t="str">
            <v>N</v>
          </cell>
          <cell r="F1070" t="str">
            <v/>
          </cell>
          <cell r="G1070" t="str">
            <v/>
          </cell>
          <cell r="H1070" t="str">
            <v>R</v>
          </cell>
        </row>
        <row r="1071">
          <cell r="B1071" t="str">
            <v>J8426</v>
          </cell>
          <cell r="C1071">
            <v>199900</v>
          </cell>
          <cell r="D1071">
            <v>209912</v>
          </cell>
          <cell r="E1071" t="str">
            <v>N</v>
          </cell>
          <cell r="F1071" t="str">
            <v/>
          </cell>
          <cell r="G1071" t="str">
            <v/>
          </cell>
          <cell r="H1071" t="str">
            <v>R</v>
          </cell>
        </row>
        <row r="1072">
          <cell r="B1072" t="str">
            <v>J8427</v>
          </cell>
          <cell r="C1072">
            <v>199900</v>
          </cell>
          <cell r="D1072">
            <v>209912</v>
          </cell>
          <cell r="E1072" t="str">
            <v>N</v>
          </cell>
          <cell r="F1072" t="str">
            <v/>
          </cell>
          <cell r="G1072" t="str">
            <v/>
          </cell>
          <cell r="H1072" t="str">
            <v>R</v>
          </cell>
        </row>
        <row r="1073">
          <cell r="B1073" t="str">
            <v>J8428</v>
          </cell>
          <cell r="C1073">
            <v>199900</v>
          </cell>
          <cell r="D1073">
            <v>209912</v>
          </cell>
          <cell r="E1073" t="str">
            <v>N</v>
          </cell>
          <cell r="F1073" t="str">
            <v/>
          </cell>
          <cell r="G1073" t="str">
            <v/>
          </cell>
          <cell r="H1073" t="str">
            <v>R</v>
          </cell>
        </row>
        <row r="1074">
          <cell r="B1074" t="str">
            <v>J8429</v>
          </cell>
          <cell r="C1074">
            <v>199900</v>
          </cell>
          <cell r="D1074">
            <v>209912</v>
          </cell>
          <cell r="E1074" t="str">
            <v>N</v>
          </cell>
          <cell r="F1074" t="str">
            <v/>
          </cell>
          <cell r="G1074" t="str">
            <v/>
          </cell>
          <cell r="H1074" t="str">
            <v>R</v>
          </cell>
        </row>
        <row r="1075">
          <cell r="B1075" t="str">
            <v>J8430</v>
          </cell>
          <cell r="C1075">
            <v>200502</v>
          </cell>
          <cell r="D1075">
            <v>200713</v>
          </cell>
          <cell r="E1075" t="str">
            <v>C</v>
          </cell>
          <cell r="F1075" t="str">
            <v>Account status = Closed</v>
          </cell>
          <cell r="G1075" t="str">
            <v/>
          </cell>
          <cell r="H1075" t="str">
            <v>R</v>
          </cell>
        </row>
        <row r="1076">
          <cell r="B1076" t="str">
            <v>J8431</v>
          </cell>
          <cell r="C1076">
            <v>199900</v>
          </cell>
          <cell r="D1076">
            <v>209912</v>
          </cell>
          <cell r="E1076" t="str">
            <v>N</v>
          </cell>
          <cell r="F1076" t="str">
            <v/>
          </cell>
          <cell r="G1076" t="str">
            <v/>
          </cell>
          <cell r="H1076" t="str">
            <v>R</v>
          </cell>
        </row>
        <row r="1077">
          <cell r="B1077" t="str">
            <v>J8490</v>
          </cell>
          <cell r="C1077">
            <v>200109</v>
          </cell>
          <cell r="D1077">
            <v>200112</v>
          </cell>
          <cell r="E1077" t="str">
            <v>C</v>
          </cell>
          <cell r="F1077" t="str">
            <v>Account status = Closed</v>
          </cell>
          <cell r="G1077" t="str">
            <v/>
          </cell>
          <cell r="H1077" t="str">
            <v>R</v>
          </cell>
        </row>
        <row r="1078">
          <cell r="B1078" t="str">
            <v>J8491</v>
          </cell>
          <cell r="C1078">
            <v>200109</v>
          </cell>
          <cell r="D1078">
            <v>200112</v>
          </cell>
          <cell r="E1078" t="str">
            <v>C</v>
          </cell>
          <cell r="F1078" t="str">
            <v>Account status = Closed</v>
          </cell>
          <cell r="G1078" t="str">
            <v/>
          </cell>
          <cell r="H1078" t="str">
            <v>R</v>
          </cell>
        </row>
        <row r="1079">
          <cell r="B1079" t="str">
            <v>J8501</v>
          </cell>
          <cell r="C1079">
            <v>200109</v>
          </cell>
          <cell r="D1079">
            <v>200112</v>
          </cell>
          <cell r="E1079" t="str">
            <v>C</v>
          </cell>
          <cell r="F1079" t="str">
            <v>Account status = Closed</v>
          </cell>
          <cell r="G1079" t="str">
            <v/>
          </cell>
          <cell r="H1079" t="str">
            <v>R</v>
          </cell>
        </row>
        <row r="1080">
          <cell r="B1080" t="str">
            <v>J8503</v>
          </cell>
          <cell r="C1080">
            <v>200109</v>
          </cell>
          <cell r="D1080">
            <v>200112</v>
          </cell>
          <cell r="E1080" t="str">
            <v>C</v>
          </cell>
          <cell r="F1080" t="str">
            <v>Account status = Closed</v>
          </cell>
          <cell r="G1080" t="str">
            <v/>
          </cell>
          <cell r="H1080" t="str">
            <v>R</v>
          </cell>
        </row>
        <row r="1081">
          <cell r="B1081" t="str">
            <v>J8507</v>
          </cell>
          <cell r="C1081">
            <v>200109</v>
          </cell>
          <cell r="D1081">
            <v>209912</v>
          </cell>
          <cell r="E1081" t="str">
            <v>N</v>
          </cell>
          <cell r="F1081" t="str">
            <v/>
          </cell>
          <cell r="G1081" t="str">
            <v/>
          </cell>
          <cell r="H1081" t="str">
            <v>R</v>
          </cell>
        </row>
        <row r="1082">
          <cell r="B1082" t="str">
            <v>J8508</v>
          </cell>
          <cell r="C1082">
            <v>200111</v>
          </cell>
          <cell r="D1082">
            <v>209912</v>
          </cell>
          <cell r="E1082" t="str">
            <v>N</v>
          </cell>
          <cell r="F1082" t="str">
            <v/>
          </cell>
          <cell r="G1082" t="str">
            <v/>
          </cell>
          <cell r="H1082" t="str">
            <v>R</v>
          </cell>
        </row>
        <row r="1083">
          <cell r="B1083" t="str">
            <v>J8509</v>
          </cell>
          <cell r="C1083">
            <v>200109</v>
          </cell>
          <cell r="D1083">
            <v>200713</v>
          </cell>
          <cell r="E1083" t="str">
            <v>C</v>
          </cell>
          <cell r="F1083" t="str">
            <v>Account status = Closed</v>
          </cell>
          <cell r="G1083" t="str">
            <v/>
          </cell>
          <cell r="H1083" t="str">
            <v>R</v>
          </cell>
        </row>
        <row r="1084">
          <cell r="B1084" t="str">
            <v>J8512</v>
          </cell>
          <cell r="C1084">
            <v>200109</v>
          </cell>
          <cell r="D1084">
            <v>200112</v>
          </cell>
          <cell r="E1084" t="str">
            <v>C</v>
          </cell>
          <cell r="F1084" t="str">
            <v>Account status = Closed</v>
          </cell>
          <cell r="G1084" t="str">
            <v/>
          </cell>
          <cell r="H1084" t="str">
            <v>R</v>
          </cell>
        </row>
        <row r="1085">
          <cell r="B1085" t="str">
            <v>J8513</v>
          </cell>
          <cell r="C1085">
            <v>200109</v>
          </cell>
          <cell r="D1085">
            <v>200112</v>
          </cell>
          <cell r="E1085" t="str">
            <v>C</v>
          </cell>
          <cell r="F1085" t="str">
            <v>Account status = Closed</v>
          </cell>
          <cell r="G1085" t="str">
            <v/>
          </cell>
          <cell r="H1085" t="str">
            <v>R</v>
          </cell>
        </row>
        <row r="1086">
          <cell r="B1086" t="str">
            <v>J8514</v>
          </cell>
          <cell r="C1086">
            <v>200109</v>
          </cell>
          <cell r="D1086">
            <v>200112</v>
          </cell>
          <cell r="E1086" t="str">
            <v>C</v>
          </cell>
          <cell r="F1086" t="str">
            <v>Account status = Closed</v>
          </cell>
          <cell r="G1086" t="str">
            <v/>
          </cell>
          <cell r="H1086" t="str">
            <v>R</v>
          </cell>
        </row>
        <row r="1087">
          <cell r="B1087" t="str">
            <v>J8515</v>
          </cell>
          <cell r="C1087">
            <v>200109</v>
          </cell>
          <cell r="D1087">
            <v>200513</v>
          </cell>
          <cell r="E1087" t="str">
            <v>C</v>
          </cell>
          <cell r="F1087" t="str">
            <v>Account status = Closed</v>
          </cell>
          <cell r="G1087" t="str">
            <v/>
          </cell>
          <cell r="H1087" t="str">
            <v>R</v>
          </cell>
        </row>
        <row r="1088">
          <cell r="B1088" t="str">
            <v>J8519</v>
          </cell>
          <cell r="C1088">
            <v>200109</v>
          </cell>
          <cell r="D1088">
            <v>209912</v>
          </cell>
          <cell r="E1088" t="str">
            <v>N</v>
          </cell>
          <cell r="F1088" t="str">
            <v/>
          </cell>
          <cell r="G1088" t="str">
            <v/>
          </cell>
          <cell r="H1088" t="str">
            <v>R</v>
          </cell>
        </row>
        <row r="1089">
          <cell r="B1089" t="str">
            <v>J8520</v>
          </cell>
          <cell r="C1089">
            <v>200109</v>
          </cell>
          <cell r="D1089">
            <v>209912</v>
          </cell>
          <cell r="E1089" t="str">
            <v>N</v>
          </cell>
          <cell r="F1089" t="str">
            <v/>
          </cell>
          <cell r="G1089" t="str">
            <v/>
          </cell>
          <cell r="H1089" t="str">
            <v>R</v>
          </cell>
        </row>
        <row r="1090">
          <cell r="B1090" t="str">
            <v>J8521</v>
          </cell>
          <cell r="C1090">
            <v>200109</v>
          </cell>
          <cell r="D1090">
            <v>209912</v>
          </cell>
          <cell r="E1090" t="str">
            <v>N</v>
          </cell>
          <cell r="F1090" t="str">
            <v/>
          </cell>
          <cell r="G1090" t="str">
            <v/>
          </cell>
          <cell r="H1090" t="str">
            <v>R</v>
          </cell>
        </row>
        <row r="1091">
          <cell r="B1091" t="str">
            <v>J8524</v>
          </cell>
          <cell r="C1091">
            <v>200109</v>
          </cell>
          <cell r="D1091">
            <v>200713</v>
          </cell>
          <cell r="E1091" t="str">
            <v>C</v>
          </cell>
          <cell r="F1091" t="str">
            <v>Account status = Closed</v>
          </cell>
          <cell r="G1091" t="str">
            <v/>
          </cell>
          <cell r="H1091" t="str">
            <v>R</v>
          </cell>
        </row>
        <row r="1092">
          <cell r="B1092" t="str">
            <v>J8526</v>
          </cell>
          <cell r="C1092">
            <v>200109</v>
          </cell>
          <cell r="D1092">
            <v>200713</v>
          </cell>
          <cell r="E1092" t="str">
            <v>C</v>
          </cell>
          <cell r="F1092" t="str">
            <v>Account status = Closed</v>
          </cell>
          <cell r="G1092" t="str">
            <v/>
          </cell>
          <cell r="H1092" t="str">
            <v>R</v>
          </cell>
        </row>
        <row r="1093">
          <cell r="B1093" t="str">
            <v>J8527</v>
          </cell>
          <cell r="C1093">
            <v>200109</v>
          </cell>
          <cell r="D1093">
            <v>209912</v>
          </cell>
          <cell r="E1093" t="str">
            <v>N</v>
          </cell>
          <cell r="F1093" t="str">
            <v/>
          </cell>
          <cell r="G1093" t="str">
            <v/>
          </cell>
          <cell r="H1093" t="str">
            <v>R</v>
          </cell>
        </row>
        <row r="1094">
          <cell r="B1094" t="str">
            <v>J8529</v>
          </cell>
          <cell r="C1094">
            <v>200109</v>
          </cell>
          <cell r="D1094">
            <v>200713</v>
          </cell>
          <cell r="E1094" t="str">
            <v>C</v>
          </cell>
          <cell r="F1094" t="str">
            <v>Account status = Closed</v>
          </cell>
          <cell r="G1094" t="str">
            <v/>
          </cell>
          <cell r="H1094" t="str">
            <v>R</v>
          </cell>
        </row>
        <row r="1095">
          <cell r="B1095" t="str">
            <v>J8530</v>
          </cell>
          <cell r="C1095">
            <v>200109</v>
          </cell>
          <cell r="D1095">
            <v>200713</v>
          </cell>
          <cell r="E1095" t="str">
            <v>C</v>
          </cell>
          <cell r="F1095" t="str">
            <v>Account status = Closed</v>
          </cell>
          <cell r="G1095" t="str">
            <v/>
          </cell>
          <cell r="H1095" t="str">
            <v>R</v>
          </cell>
        </row>
        <row r="1096">
          <cell r="B1096" t="str">
            <v>J8540</v>
          </cell>
          <cell r="C1096">
            <v>200109</v>
          </cell>
          <cell r="D1096">
            <v>209912</v>
          </cell>
          <cell r="E1096" t="str">
            <v>N</v>
          </cell>
          <cell r="F1096" t="str">
            <v/>
          </cell>
          <cell r="G1096" t="str">
            <v/>
          </cell>
          <cell r="H1096" t="str">
            <v>R</v>
          </cell>
        </row>
        <row r="1097">
          <cell r="B1097" t="str">
            <v>J8541</v>
          </cell>
          <cell r="C1097">
            <v>200109</v>
          </cell>
          <cell r="D1097">
            <v>209912</v>
          </cell>
          <cell r="E1097" t="str">
            <v>N</v>
          </cell>
          <cell r="F1097" t="str">
            <v/>
          </cell>
          <cell r="G1097" t="str">
            <v/>
          </cell>
          <cell r="H1097" t="str">
            <v>R</v>
          </cell>
        </row>
        <row r="1098">
          <cell r="B1098" t="str">
            <v>J8542</v>
          </cell>
          <cell r="C1098">
            <v>200109</v>
          </cell>
          <cell r="D1098">
            <v>209912</v>
          </cell>
          <cell r="E1098" t="str">
            <v>N</v>
          </cell>
          <cell r="F1098" t="str">
            <v/>
          </cell>
          <cell r="G1098" t="str">
            <v/>
          </cell>
          <cell r="H1098" t="str">
            <v>R</v>
          </cell>
        </row>
        <row r="1099">
          <cell r="B1099" t="str">
            <v>J8545</v>
          </cell>
          <cell r="C1099">
            <v>200109</v>
          </cell>
          <cell r="D1099">
            <v>200713</v>
          </cell>
          <cell r="E1099" t="str">
            <v>C</v>
          </cell>
          <cell r="F1099" t="str">
            <v>Account status = Closed</v>
          </cell>
          <cell r="G1099" t="str">
            <v/>
          </cell>
          <cell r="H1099" t="str">
            <v>R</v>
          </cell>
        </row>
        <row r="1100">
          <cell r="B1100" t="str">
            <v>J8547</v>
          </cell>
          <cell r="C1100">
            <v>200109</v>
          </cell>
          <cell r="D1100">
            <v>209912</v>
          </cell>
          <cell r="E1100" t="str">
            <v>N</v>
          </cell>
          <cell r="F1100" t="str">
            <v/>
          </cell>
          <cell r="G1100" t="str">
            <v/>
          </cell>
          <cell r="H1100" t="str">
            <v>R</v>
          </cell>
        </row>
        <row r="1101">
          <cell r="B1101" t="str">
            <v>J8548</v>
          </cell>
          <cell r="C1101">
            <v>200109</v>
          </cell>
          <cell r="D1101">
            <v>200713</v>
          </cell>
          <cell r="E1101" t="str">
            <v>C</v>
          </cell>
          <cell r="F1101" t="str">
            <v>Account status = Closed</v>
          </cell>
          <cell r="G1101" t="str">
            <v/>
          </cell>
          <cell r="H1101" t="str">
            <v>R</v>
          </cell>
        </row>
        <row r="1102">
          <cell r="B1102" t="str">
            <v>J8549</v>
          </cell>
          <cell r="C1102">
            <v>200109</v>
          </cell>
          <cell r="D1102">
            <v>200713</v>
          </cell>
          <cell r="E1102" t="str">
            <v>C</v>
          </cell>
          <cell r="F1102" t="str">
            <v>Account status = Closed</v>
          </cell>
          <cell r="G1102" t="str">
            <v/>
          </cell>
          <cell r="H1102" t="str">
            <v>R</v>
          </cell>
        </row>
        <row r="1103">
          <cell r="B1103" t="str">
            <v>J8550</v>
          </cell>
          <cell r="C1103">
            <v>200109</v>
          </cell>
          <cell r="D1103">
            <v>209912</v>
          </cell>
          <cell r="E1103" t="str">
            <v>N</v>
          </cell>
          <cell r="F1103" t="str">
            <v/>
          </cell>
          <cell r="G1103" t="str">
            <v/>
          </cell>
          <cell r="H1103" t="str">
            <v>R</v>
          </cell>
        </row>
        <row r="1104">
          <cell r="B1104" t="str">
            <v>J8551</v>
          </cell>
          <cell r="C1104">
            <v>200109</v>
          </cell>
          <cell r="D1104">
            <v>209912</v>
          </cell>
          <cell r="E1104" t="str">
            <v>N</v>
          </cell>
          <cell r="F1104" t="str">
            <v/>
          </cell>
          <cell r="G1104" t="str">
            <v/>
          </cell>
          <cell r="H1104" t="str">
            <v>R</v>
          </cell>
        </row>
        <row r="1105">
          <cell r="B1105" t="str">
            <v>J8552</v>
          </cell>
          <cell r="C1105">
            <v>200109</v>
          </cell>
          <cell r="D1105">
            <v>200713</v>
          </cell>
          <cell r="E1105" t="str">
            <v>C</v>
          </cell>
          <cell r="F1105" t="str">
            <v>Account status = Closed</v>
          </cell>
          <cell r="G1105" t="str">
            <v/>
          </cell>
          <cell r="H1105" t="str">
            <v>R</v>
          </cell>
        </row>
        <row r="1106">
          <cell r="B1106" t="str">
            <v>J8553</v>
          </cell>
          <cell r="C1106">
            <v>200109</v>
          </cell>
          <cell r="D1106">
            <v>209912</v>
          </cell>
          <cell r="E1106" t="str">
            <v>N</v>
          </cell>
          <cell r="F1106" t="str">
            <v/>
          </cell>
          <cell r="G1106" t="str">
            <v/>
          </cell>
          <cell r="H1106" t="str">
            <v>R</v>
          </cell>
        </row>
        <row r="1107">
          <cell r="B1107" t="str">
            <v>J8555</v>
          </cell>
          <cell r="C1107">
            <v>200109</v>
          </cell>
          <cell r="D1107">
            <v>200713</v>
          </cell>
          <cell r="E1107" t="str">
            <v>C</v>
          </cell>
          <cell r="F1107" t="str">
            <v>Account status = Closed</v>
          </cell>
          <cell r="G1107" t="str">
            <v/>
          </cell>
          <cell r="H1107" t="str">
            <v>R</v>
          </cell>
        </row>
        <row r="1108">
          <cell r="B1108" t="str">
            <v>J8556</v>
          </cell>
          <cell r="C1108">
            <v>200109</v>
          </cell>
          <cell r="D1108">
            <v>200713</v>
          </cell>
          <cell r="E1108" t="str">
            <v>C</v>
          </cell>
          <cell r="F1108" t="str">
            <v>Account status = Closed</v>
          </cell>
          <cell r="G1108" t="str">
            <v/>
          </cell>
          <cell r="H1108" t="str">
            <v>R</v>
          </cell>
        </row>
        <row r="1109">
          <cell r="B1109" t="str">
            <v>J8557</v>
          </cell>
          <cell r="C1109">
            <v>200109</v>
          </cell>
          <cell r="D1109">
            <v>209912</v>
          </cell>
          <cell r="E1109" t="str">
            <v>N</v>
          </cell>
          <cell r="F1109" t="str">
            <v/>
          </cell>
          <cell r="G1109" t="str">
            <v/>
          </cell>
          <cell r="H1109" t="str">
            <v>R</v>
          </cell>
        </row>
        <row r="1110">
          <cell r="B1110" t="str">
            <v>J8558</v>
          </cell>
          <cell r="C1110">
            <v>200113</v>
          </cell>
          <cell r="D1110">
            <v>209912</v>
          </cell>
          <cell r="E1110" t="str">
            <v>N</v>
          </cell>
          <cell r="F1110" t="str">
            <v/>
          </cell>
          <cell r="G1110" t="str">
            <v/>
          </cell>
          <cell r="H1110" t="str">
            <v>R</v>
          </cell>
        </row>
        <row r="1111">
          <cell r="B1111" t="str">
            <v>J8564</v>
          </cell>
          <cell r="C1111">
            <v>200109</v>
          </cell>
          <cell r="D1111">
            <v>200713</v>
          </cell>
          <cell r="E1111" t="str">
            <v>C</v>
          </cell>
          <cell r="F1111" t="str">
            <v>Account status = Closed</v>
          </cell>
          <cell r="G1111" t="str">
            <v/>
          </cell>
          <cell r="H1111" t="str">
            <v>R</v>
          </cell>
        </row>
        <row r="1112">
          <cell r="B1112" t="str">
            <v>J8565</v>
          </cell>
          <cell r="C1112">
            <v>200109</v>
          </cell>
          <cell r="D1112">
            <v>209912</v>
          </cell>
          <cell r="E1112" t="str">
            <v>N</v>
          </cell>
          <cell r="F1112" t="str">
            <v/>
          </cell>
          <cell r="G1112" t="str">
            <v/>
          </cell>
          <cell r="H1112" t="str">
            <v>R</v>
          </cell>
        </row>
        <row r="1113">
          <cell r="B1113" t="str">
            <v>J8567</v>
          </cell>
          <cell r="C1113">
            <v>200109</v>
          </cell>
          <cell r="D1113">
            <v>200713</v>
          </cell>
          <cell r="E1113" t="str">
            <v>C</v>
          </cell>
          <cell r="F1113" t="str">
            <v>Account status = Closed</v>
          </cell>
          <cell r="G1113" t="str">
            <v/>
          </cell>
          <cell r="H1113" t="str">
            <v>R</v>
          </cell>
        </row>
        <row r="1114">
          <cell r="B1114" t="str">
            <v>J8568</v>
          </cell>
          <cell r="C1114">
            <v>200109</v>
          </cell>
          <cell r="D1114">
            <v>209912</v>
          </cell>
          <cell r="E1114" t="str">
            <v>N</v>
          </cell>
          <cell r="F1114" t="str">
            <v/>
          </cell>
          <cell r="G1114" t="str">
            <v/>
          </cell>
          <cell r="H1114" t="str">
            <v>R</v>
          </cell>
        </row>
        <row r="1115">
          <cell r="B1115" t="str">
            <v>J8572</v>
          </cell>
          <cell r="C1115">
            <v>200109</v>
          </cell>
          <cell r="D1115">
            <v>209912</v>
          </cell>
          <cell r="E1115" t="str">
            <v>N</v>
          </cell>
          <cell r="F1115" t="str">
            <v/>
          </cell>
          <cell r="G1115" t="str">
            <v/>
          </cell>
          <cell r="H1115" t="str">
            <v>R</v>
          </cell>
        </row>
        <row r="1116">
          <cell r="B1116" t="str">
            <v>J8573</v>
          </cell>
          <cell r="C1116">
            <v>200109</v>
          </cell>
          <cell r="D1116">
            <v>209912</v>
          </cell>
          <cell r="E1116" t="str">
            <v>N</v>
          </cell>
          <cell r="F1116" t="str">
            <v/>
          </cell>
          <cell r="G1116" t="str">
            <v/>
          </cell>
          <cell r="H1116" t="str">
            <v>R</v>
          </cell>
        </row>
        <row r="1117">
          <cell r="B1117" t="str">
            <v>J8574</v>
          </cell>
          <cell r="C1117">
            <v>200109</v>
          </cell>
          <cell r="D1117">
            <v>200713</v>
          </cell>
          <cell r="E1117" t="str">
            <v>C</v>
          </cell>
          <cell r="F1117" t="str">
            <v>Account status = Closed</v>
          </cell>
          <cell r="G1117" t="str">
            <v/>
          </cell>
          <cell r="H1117" t="str">
            <v>R</v>
          </cell>
        </row>
        <row r="1118">
          <cell r="B1118" t="str">
            <v>J8575</v>
          </cell>
          <cell r="C1118">
            <v>200109</v>
          </cell>
          <cell r="D1118">
            <v>209912</v>
          </cell>
          <cell r="E1118" t="str">
            <v>N</v>
          </cell>
          <cell r="F1118" t="str">
            <v/>
          </cell>
          <cell r="G1118" t="str">
            <v/>
          </cell>
          <cell r="H1118" t="str">
            <v>R</v>
          </cell>
        </row>
        <row r="1119">
          <cell r="B1119" t="str">
            <v>J8576</v>
          </cell>
          <cell r="C1119">
            <v>200109</v>
          </cell>
          <cell r="D1119">
            <v>209912</v>
          </cell>
          <cell r="E1119" t="str">
            <v>N</v>
          </cell>
          <cell r="F1119" t="str">
            <v/>
          </cell>
          <cell r="G1119" t="str">
            <v/>
          </cell>
          <cell r="H1119" t="str">
            <v>R</v>
          </cell>
        </row>
        <row r="1120">
          <cell r="B1120" t="str">
            <v>J8577</v>
          </cell>
          <cell r="C1120">
            <v>200109</v>
          </cell>
          <cell r="D1120">
            <v>209912</v>
          </cell>
          <cell r="E1120" t="str">
            <v>N</v>
          </cell>
          <cell r="F1120" t="str">
            <v/>
          </cell>
          <cell r="G1120" t="str">
            <v/>
          </cell>
          <cell r="H1120" t="str">
            <v>R</v>
          </cell>
        </row>
        <row r="1121">
          <cell r="B1121" t="str">
            <v>J8578</v>
          </cell>
          <cell r="C1121">
            <v>200109</v>
          </cell>
          <cell r="D1121">
            <v>209912</v>
          </cell>
          <cell r="E1121" t="str">
            <v>N</v>
          </cell>
          <cell r="F1121" t="str">
            <v/>
          </cell>
          <cell r="G1121" t="str">
            <v/>
          </cell>
          <cell r="H1121" t="str">
            <v>R</v>
          </cell>
        </row>
        <row r="1122">
          <cell r="B1122" t="str">
            <v>J8581</v>
          </cell>
          <cell r="C1122">
            <v>200109</v>
          </cell>
          <cell r="D1122">
            <v>209912</v>
          </cell>
          <cell r="E1122" t="str">
            <v>N</v>
          </cell>
          <cell r="F1122" t="str">
            <v/>
          </cell>
          <cell r="G1122" t="str">
            <v/>
          </cell>
          <cell r="H1122" t="str">
            <v>R</v>
          </cell>
        </row>
        <row r="1123">
          <cell r="B1123" t="str">
            <v>J8582</v>
          </cell>
          <cell r="C1123">
            <v>200109</v>
          </cell>
          <cell r="D1123">
            <v>209912</v>
          </cell>
          <cell r="E1123" t="str">
            <v>N</v>
          </cell>
          <cell r="F1123" t="str">
            <v/>
          </cell>
          <cell r="G1123" t="str">
            <v/>
          </cell>
          <cell r="H1123" t="str">
            <v>R</v>
          </cell>
        </row>
        <row r="1124">
          <cell r="B1124" t="str">
            <v>J8583</v>
          </cell>
          <cell r="C1124">
            <v>200109</v>
          </cell>
          <cell r="D1124">
            <v>209912</v>
          </cell>
          <cell r="E1124" t="str">
            <v>N</v>
          </cell>
          <cell r="F1124" t="str">
            <v/>
          </cell>
          <cell r="G1124" t="str">
            <v/>
          </cell>
          <cell r="H1124" t="str">
            <v>R</v>
          </cell>
        </row>
        <row r="1125">
          <cell r="B1125" t="str">
            <v>J8584</v>
          </cell>
          <cell r="C1125">
            <v>200109</v>
          </cell>
          <cell r="D1125">
            <v>209912</v>
          </cell>
          <cell r="E1125" t="str">
            <v>N</v>
          </cell>
          <cell r="F1125" t="str">
            <v/>
          </cell>
          <cell r="G1125" t="str">
            <v/>
          </cell>
          <cell r="H1125" t="str">
            <v>R</v>
          </cell>
        </row>
        <row r="1126">
          <cell r="B1126" t="str">
            <v>J8585</v>
          </cell>
          <cell r="C1126">
            <v>200109</v>
          </cell>
          <cell r="D1126">
            <v>209912</v>
          </cell>
          <cell r="E1126" t="str">
            <v>N</v>
          </cell>
          <cell r="F1126" t="str">
            <v/>
          </cell>
          <cell r="G1126" t="str">
            <v/>
          </cell>
          <cell r="H1126" t="str">
            <v>R</v>
          </cell>
        </row>
        <row r="1127">
          <cell r="B1127" t="str">
            <v>J8586</v>
          </cell>
          <cell r="C1127">
            <v>200109</v>
          </cell>
          <cell r="D1127">
            <v>209912</v>
          </cell>
          <cell r="E1127" t="str">
            <v>N</v>
          </cell>
          <cell r="F1127" t="str">
            <v/>
          </cell>
          <cell r="G1127" t="str">
            <v/>
          </cell>
          <cell r="H1127" t="str">
            <v>R</v>
          </cell>
        </row>
        <row r="1128">
          <cell r="B1128" t="str">
            <v>J8587</v>
          </cell>
          <cell r="C1128">
            <v>200109</v>
          </cell>
          <cell r="D1128">
            <v>209912</v>
          </cell>
          <cell r="E1128" t="str">
            <v>N</v>
          </cell>
          <cell r="F1128" t="str">
            <v/>
          </cell>
          <cell r="G1128" t="str">
            <v/>
          </cell>
          <cell r="H1128" t="str">
            <v>R</v>
          </cell>
        </row>
        <row r="1129">
          <cell r="B1129" t="str">
            <v>J8588</v>
          </cell>
          <cell r="C1129">
            <v>200109</v>
          </cell>
          <cell r="D1129">
            <v>209912</v>
          </cell>
          <cell r="E1129" t="str">
            <v>N</v>
          </cell>
          <cell r="F1129" t="str">
            <v/>
          </cell>
          <cell r="G1129" t="str">
            <v/>
          </cell>
          <cell r="H1129" t="str">
            <v>R</v>
          </cell>
        </row>
        <row r="1130">
          <cell r="B1130" t="str">
            <v>J8589</v>
          </cell>
          <cell r="C1130">
            <v>200109</v>
          </cell>
          <cell r="D1130">
            <v>200713</v>
          </cell>
          <cell r="E1130" t="str">
            <v>C</v>
          </cell>
          <cell r="F1130" t="str">
            <v>Account status = Closed</v>
          </cell>
          <cell r="G1130" t="str">
            <v/>
          </cell>
          <cell r="H1130" t="str">
            <v>R</v>
          </cell>
        </row>
        <row r="1131">
          <cell r="B1131" t="str">
            <v>J8590</v>
          </cell>
          <cell r="C1131">
            <v>200109</v>
          </cell>
          <cell r="D1131">
            <v>200713</v>
          </cell>
          <cell r="E1131" t="str">
            <v>C</v>
          </cell>
          <cell r="F1131" t="str">
            <v>Account status = Closed</v>
          </cell>
          <cell r="G1131" t="str">
            <v/>
          </cell>
          <cell r="H1131" t="str">
            <v>R</v>
          </cell>
        </row>
        <row r="1132">
          <cell r="B1132" t="str">
            <v>J8591</v>
          </cell>
          <cell r="C1132">
            <v>200109</v>
          </cell>
          <cell r="D1132">
            <v>200713</v>
          </cell>
          <cell r="E1132" t="str">
            <v>C</v>
          </cell>
          <cell r="F1132" t="str">
            <v>Account status = Closed</v>
          </cell>
          <cell r="G1132" t="str">
            <v/>
          </cell>
          <cell r="H1132" t="str">
            <v>R</v>
          </cell>
        </row>
        <row r="1133">
          <cell r="B1133" t="str">
            <v>J8601</v>
          </cell>
          <cell r="C1133">
            <v>200109</v>
          </cell>
          <cell r="D1133">
            <v>209912</v>
          </cell>
          <cell r="E1133" t="str">
            <v>N</v>
          </cell>
          <cell r="F1133" t="str">
            <v/>
          </cell>
          <cell r="G1133" t="str">
            <v/>
          </cell>
          <cell r="H1133" t="str">
            <v>R</v>
          </cell>
        </row>
        <row r="1134">
          <cell r="B1134" t="str">
            <v>J8602</v>
          </cell>
          <cell r="C1134">
            <v>200109</v>
          </cell>
          <cell r="D1134">
            <v>209912</v>
          </cell>
          <cell r="E1134" t="str">
            <v>N</v>
          </cell>
          <cell r="F1134" t="str">
            <v/>
          </cell>
          <cell r="G1134" t="str">
            <v/>
          </cell>
          <cell r="H1134" t="str">
            <v>R</v>
          </cell>
        </row>
        <row r="1135">
          <cell r="B1135" t="str">
            <v>J8604</v>
          </cell>
          <cell r="C1135">
            <v>200109</v>
          </cell>
          <cell r="D1135">
            <v>209912</v>
          </cell>
          <cell r="E1135" t="str">
            <v>N</v>
          </cell>
          <cell r="F1135" t="str">
            <v/>
          </cell>
          <cell r="G1135" t="str">
            <v/>
          </cell>
          <cell r="H1135" t="str">
            <v>R</v>
          </cell>
        </row>
        <row r="1136">
          <cell r="B1136" t="str">
            <v>J8605</v>
          </cell>
          <cell r="C1136">
            <v>199900</v>
          </cell>
          <cell r="D1136">
            <v>209912</v>
          </cell>
          <cell r="E1136" t="str">
            <v>N</v>
          </cell>
          <cell r="F1136" t="str">
            <v/>
          </cell>
          <cell r="G1136" t="str">
            <v/>
          </cell>
          <cell r="H1136" t="str">
            <v>R</v>
          </cell>
        </row>
        <row r="1137">
          <cell r="B1137" t="str">
            <v>J8606</v>
          </cell>
          <cell r="C1137">
            <v>199900</v>
          </cell>
          <cell r="D1137">
            <v>209912</v>
          </cell>
          <cell r="E1137" t="str">
            <v>N</v>
          </cell>
          <cell r="F1137" t="str">
            <v/>
          </cell>
          <cell r="G1137" t="str">
            <v/>
          </cell>
          <cell r="H1137" t="str">
            <v>R</v>
          </cell>
        </row>
        <row r="1138">
          <cell r="B1138" t="str">
            <v>J8608</v>
          </cell>
          <cell r="C1138">
            <v>200109</v>
          </cell>
          <cell r="D1138">
            <v>209912</v>
          </cell>
          <cell r="E1138" t="str">
            <v>N</v>
          </cell>
          <cell r="F1138" t="str">
            <v/>
          </cell>
          <cell r="G1138" t="str">
            <v/>
          </cell>
          <cell r="H1138" t="str">
            <v>R</v>
          </cell>
        </row>
        <row r="1139">
          <cell r="B1139" t="str">
            <v>J8609</v>
          </cell>
          <cell r="C1139">
            <v>200109</v>
          </cell>
          <cell r="D1139">
            <v>209912</v>
          </cell>
          <cell r="E1139" t="str">
            <v>N</v>
          </cell>
          <cell r="F1139" t="str">
            <v/>
          </cell>
          <cell r="G1139" t="str">
            <v/>
          </cell>
          <cell r="H1139" t="str">
            <v>R</v>
          </cell>
        </row>
        <row r="1140">
          <cell r="B1140" t="str">
            <v>J8610</v>
          </cell>
          <cell r="C1140">
            <v>200109</v>
          </cell>
          <cell r="D1140">
            <v>201300</v>
          </cell>
          <cell r="E1140" t="str">
            <v>C</v>
          </cell>
          <cell r="F1140" t="str">
            <v>Account status = Closed</v>
          </cell>
          <cell r="G1140" t="str">
            <v/>
          </cell>
          <cell r="H1140" t="str">
            <v>R</v>
          </cell>
        </row>
        <row r="1141">
          <cell r="B1141" t="str">
            <v>J8622</v>
          </cell>
          <cell r="C1141">
            <v>200109</v>
          </cell>
          <cell r="D1141">
            <v>200713</v>
          </cell>
          <cell r="E1141" t="str">
            <v>C</v>
          </cell>
          <cell r="F1141" t="str">
            <v>Account status = Closed</v>
          </cell>
          <cell r="G1141" t="str">
            <v/>
          </cell>
          <cell r="H1141" t="str">
            <v>R</v>
          </cell>
        </row>
        <row r="1142">
          <cell r="B1142" t="str">
            <v>J8623</v>
          </cell>
          <cell r="C1142">
            <v>200109</v>
          </cell>
          <cell r="D1142">
            <v>200713</v>
          </cell>
          <cell r="E1142" t="str">
            <v>C</v>
          </cell>
          <cell r="F1142" t="str">
            <v>Account status = Closed</v>
          </cell>
          <cell r="G1142" t="str">
            <v/>
          </cell>
          <cell r="H1142" t="str">
            <v>R</v>
          </cell>
        </row>
        <row r="1143">
          <cell r="B1143" t="str">
            <v>J8630</v>
          </cell>
          <cell r="C1143">
            <v>200502</v>
          </cell>
          <cell r="D1143">
            <v>200713</v>
          </cell>
          <cell r="E1143" t="str">
            <v>C</v>
          </cell>
          <cell r="F1143" t="str">
            <v>Account status = Closed</v>
          </cell>
          <cell r="G1143" t="str">
            <v/>
          </cell>
          <cell r="H1143" t="str">
            <v>R</v>
          </cell>
        </row>
        <row r="1144">
          <cell r="B1144" t="str">
            <v>J8640</v>
          </cell>
          <cell r="C1144">
            <v>200502</v>
          </cell>
          <cell r="D1144">
            <v>200713</v>
          </cell>
          <cell r="E1144" t="str">
            <v>C</v>
          </cell>
          <cell r="F1144" t="str">
            <v>Account status = Closed</v>
          </cell>
          <cell r="G1144" t="str">
            <v/>
          </cell>
          <cell r="H1144" t="str">
            <v>R</v>
          </cell>
        </row>
        <row r="1145">
          <cell r="B1145" t="str">
            <v>J8650</v>
          </cell>
          <cell r="C1145">
            <v>200502</v>
          </cell>
          <cell r="D1145">
            <v>200713</v>
          </cell>
          <cell r="E1145" t="str">
            <v>C</v>
          </cell>
          <cell r="F1145" t="str">
            <v>Account status = Closed</v>
          </cell>
          <cell r="G1145" t="str">
            <v/>
          </cell>
          <cell r="H1145" t="str">
            <v>R</v>
          </cell>
        </row>
        <row r="1146">
          <cell r="B1146" t="str">
            <v>J8660</v>
          </cell>
          <cell r="C1146">
            <v>200502</v>
          </cell>
          <cell r="D1146">
            <v>200713</v>
          </cell>
          <cell r="E1146" t="str">
            <v>C</v>
          </cell>
          <cell r="F1146" t="str">
            <v>Account status = Closed</v>
          </cell>
          <cell r="G1146" t="str">
            <v/>
          </cell>
          <cell r="H1146" t="str">
            <v>R</v>
          </cell>
        </row>
        <row r="1147">
          <cell r="B1147" t="str">
            <v>J8670</v>
          </cell>
          <cell r="C1147">
            <v>200502</v>
          </cell>
          <cell r="D1147">
            <v>200713</v>
          </cell>
          <cell r="E1147" t="str">
            <v>C</v>
          </cell>
          <cell r="F1147" t="str">
            <v>Account status = Closed</v>
          </cell>
          <cell r="G1147" t="str">
            <v/>
          </cell>
          <cell r="H1147" t="str">
            <v>R</v>
          </cell>
        </row>
        <row r="1148">
          <cell r="B1148" t="str">
            <v>J8680</v>
          </cell>
          <cell r="C1148">
            <v>200502</v>
          </cell>
          <cell r="D1148">
            <v>200713</v>
          </cell>
          <cell r="E1148" t="str">
            <v>C</v>
          </cell>
          <cell r="F1148" t="str">
            <v>Account status = Closed</v>
          </cell>
          <cell r="G1148" t="str">
            <v/>
          </cell>
          <cell r="H1148" t="str">
            <v>R</v>
          </cell>
        </row>
        <row r="1149">
          <cell r="B1149" t="str">
            <v>J8690</v>
          </cell>
          <cell r="C1149">
            <v>200502</v>
          </cell>
          <cell r="D1149">
            <v>200713</v>
          </cell>
          <cell r="E1149" t="str">
            <v>C</v>
          </cell>
          <cell r="F1149" t="str">
            <v>Account status = Closed</v>
          </cell>
          <cell r="G1149" t="str">
            <v/>
          </cell>
          <cell r="H1149" t="str">
            <v>R</v>
          </cell>
        </row>
        <row r="1150">
          <cell r="B1150" t="str">
            <v>J8695</v>
          </cell>
          <cell r="C1150">
            <v>200502</v>
          </cell>
          <cell r="D1150">
            <v>200713</v>
          </cell>
          <cell r="E1150" t="str">
            <v>C</v>
          </cell>
          <cell r="F1150" t="str">
            <v>Account status = Closed</v>
          </cell>
          <cell r="G1150" t="str">
            <v/>
          </cell>
          <cell r="H1150" t="str">
            <v>R</v>
          </cell>
        </row>
        <row r="1151">
          <cell r="B1151" t="str">
            <v>J8702</v>
          </cell>
          <cell r="C1151">
            <v>200109</v>
          </cell>
          <cell r="D1151">
            <v>209912</v>
          </cell>
          <cell r="E1151" t="str">
            <v>N</v>
          </cell>
          <cell r="F1151" t="str">
            <v/>
          </cell>
          <cell r="G1151" t="str">
            <v/>
          </cell>
          <cell r="H1151" t="str">
            <v>R</v>
          </cell>
        </row>
        <row r="1152">
          <cell r="B1152" t="str">
            <v>J8704</v>
          </cell>
          <cell r="C1152">
            <v>200109</v>
          </cell>
          <cell r="D1152">
            <v>209912</v>
          </cell>
          <cell r="E1152" t="str">
            <v>N</v>
          </cell>
          <cell r="F1152" t="str">
            <v/>
          </cell>
          <cell r="G1152" t="str">
            <v/>
          </cell>
          <cell r="H1152" t="str">
            <v>R</v>
          </cell>
        </row>
        <row r="1153">
          <cell r="B1153" t="str">
            <v>J8705</v>
          </cell>
          <cell r="C1153">
            <v>200109</v>
          </cell>
          <cell r="D1153">
            <v>209912</v>
          </cell>
          <cell r="E1153" t="str">
            <v>N</v>
          </cell>
          <cell r="F1153" t="str">
            <v/>
          </cell>
          <cell r="G1153" t="str">
            <v/>
          </cell>
          <cell r="H1153" t="str">
            <v>R</v>
          </cell>
        </row>
        <row r="1154">
          <cell r="B1154" t="str">
            <v>J8706</v>
          </cell>
          <cell r="C1154">
            <v>200109</v>
          </cell>
          <cell r="D1154">
            <v>201300</v>
          </cell>
          <cell r="E1154" t="str">
            <v>C</v>
          </cell>
          <cell r="F1154" t="str">
            <v>Account status = Closed</v>
          </cell>
          <cell r="G1154" t="str">
            <v/>
          </cell>
          <cell r="H1154" t="str">
            <v>R</v>
          </cell>
        </row>
        <row r="1155">
          <cell r="B1155" t="str">
            <v>J8708</v>
          </cell>
          <cell r="C1155">
            <v>200109</v>
          </cell>
          <cell r="D1155">
            <v>209912</v>
          </cell>
          <cell r="E1155" t="str">
            <v>N</v>
          </cell>
          <cell r="F1155" t="str">
            <v/>
          </cell>
          <cell r="G1155" t="str">
            <v/>
          </cell>
          <cell r="H1155" t="str">
            <v>R</v>
          </cell>
        </row>
        <row r="1156">
          <cell r="B1156" t="str">
            <v>J8709</v>
          </cell>
          <cell r="C1156">
            <v>200109</v>
          </cell>
          <cell r="D1156">
            <v>209912</v>
          </cell>
          <cell r="E1156" t="str">
            <v>N</v>
          </cell>
          <cell r="F1156" t="str">
            <v/>
          </cell>
          <cell r="G1156" t="str">
            <v/>
          </cell>
          <cell r="H1156" t="str">
            <v>R</v>
          </cell>
        </row>
        <row r="1157">
          <cell r="B1157" t="str">
            <v>J8710</v>
          </cell>
          <cell r="C1157">
            <v>200109</v>
          </cell>
          <cell r="D1157">
            <v>200713</v>
          </cell>
          <cell r="E1157" t="str">
            <v>C</v>
          </cell>
          <cell r="F1157" t="str">
            <v>Account status = Closed</v>
          </cell>
          <cell r="G1157" t="str">
            <v/>
          </cell>
          <cell r="H1157" t="str">
            <v>R</v>
          </cell>
        </row>
        <row r="1158">
          <cell r="B1158" t="str">
            <v>J8711</v>
          </cell>
          <cell r="C1158">
            <v>200603</v>
          </cell>
          <cell r="D1158">
            <v>209912</v>
          </cell>
          <cell r="E1158" t="str">
            <v>N</v>
          </cell>
          <cell r="F1158" t="str">
            <v/>
          </cell>
          <cell r="G1158" t="str">
            <v/>
          </cell>
          <cell r="H1158" t="str">
            <v>R</v>
          </cell>
        </row>
        <row r="1159">
          <cell r="B1159" t="str">
            <v>J8770</v>
          </cell>
          <cell r="C1159">
            <v>200109</v>
          </cell>
          <cell r="D1159">
            <v>209912</v>
          </cell>
          <cell r="E1159" t="str">
            <v>N</v>
          </cell>
          <cell r="F1159" t="str">
            <v/>
          </cell>
          <cell r="G1159" t="str">
            <v/>
          </cell>
          <cell r="H1159" t="str">
            <v>R</v>
          </cell>
        </row>
        <row r="1160">
          <cell r="B1160" t="str">
            <v>J8801</v>
          </cell>
          <cell r="C1160">
            <v>200109</v>
          </cell>
          <cell r="D1160">
            <v>201300</v>
          </cell>
          <cell r="E1160" t="str">
            <v>C</v>
          </cell>
          <cell r="F1160" t="str">
            <v>Account status = Closed</v>
          </cell>
          <cell r="G1160" t="str">
            <v/>
          </cell>
          <cell r="H1160" t="str">
            <v>R</v>
          </cell>
        </row>
        <row r="1161">
          <cell r="B1161" t="str">
            <v>J8802</v>
          </cell>
          <cell r="C1161">
            <v>200109</v>
          </cell>
          <cell r="D1161">
            <v>200713</v>
          </cell>
          <cell r="E1161" t="str">
            <v>C</v>
          </cell>
          <cell r="F1161" t="str">
            <v>Account status = Closed</v>
          </cell>
          <cell r="G1161" t="str">
            <v/>
          </cell>
          <cell r="H1161" t="str">
            <v>R</v>
          </cell>
        </row>
        <row r="1162">
          <cell r="B1162" t="str">
            <v>J8809</v>
          </cell>
          <cell r="C1162">
            <v>200109</v>
          </cell>
          <cell r="D1162">
            <v>209912</v>
          </cell>
          <cell r="E1162" t="str">
            <v>N</v>
          </cell>
          <cell r="F1162" t="str">
            <v/>
          </cell>
          <cell r="G1162" t="str">
            <v/>
          </cell>
          <cell r="H1162" t="str">
            <v>R</v>
          </cell>
        </row>
        <row r="1163">
          <cell r="B1163" t="str">
            <v>J8810</v>
          </cell>
          <cell r="C1163">
            <v>200109</v>
          </cell>
          <cell r="D1163">
            <v>209912</v>
          </cell>
          <cell r="E1163" t="str">
            <v>N</v>
          </cell>
          <cell r="F1163" t="str">
            <v/>
          </cell>
          <cell r="G1163" t="str">
            <v/>
          </cell>
          <cell r="H1163" t="str">
            <v>R</v>
          </cell>
        </row>
        <row r="1164">
          <cell r="B1164" t="str">
            <v>J8811</v>
          </cell>
          <cell r="C1164">
            <v>200411</v>
          </cell>
          <cell r="D1164">
            <v>201300</v>
          </cell>
          <cell r="E1164" t="str">
            <v>C</v>
          </cell>
          <cell r="F1164" t="str">
            <v>Account status = Closed</v>
          </cell>
          <cell r="G1164" t="str">
            <v/>
          </cell>
          <cell r="H1164" t="str">
            <v>R</v>
          </cell>
        </row>
        <row r="1165">
          <cell r="B1165" t="str">
            <v>J8812</v>
          </cell>
          <cell r="C1165">
            <v>200411</v>
          </cell>
          <cell r="D1165">
            <v>200713</v>
          </cell>
          <cell r="E1165" t="str">
            <v>C</v>
          </cell>
          <cell r="F1165" t="str">
            <v>Account status = Closed</v>
          </cell>
          <cell r="G1165" t="str">
            <v/>
          </cell>
          <cell r="H1165" t="str">
            <v>R</v>
          </cell>
        </row>
        <row r="1166">
          <cell r="B1166" t="str">
            <v>J8813</v>
          </cell>
          <cell r="C1166">
            <v>200411</v>
          </cell>
          <cell r="D1166">
            <v>201300</v>
          </cell>
          <cell r="E1166" t="str">
            <v>C</v>
          </cell>
          <cell r="F1166" t="str">
            <v>Account status = Closed</v>
          </cell>
          <cell r="G1166" t="str">
            <v/>
          </cell>
          <cell r="H1166" t="str">
            <v>R</v>
          </cell>
        </row>
        <row r="1167">
          <cell r="B1167" t="str">
            <v>J8814</v>
          </cell>
          <cell r="C1167">
            <v>200411</v>
          </cell>
          <cell r="D1167">
            <v>201300</v>
          </cell>
          <cell r="E1167" t="str">
            <v>C</v>
          </cell>
          <cell r="F1167" t="str">
            <v>Account status = Closed</v>
          </cell>
          <cell r="G1167" t="str">
            <v/>
          </cell>
          <cell r="H1167" t="str">
            <v>R</v>
          </cell>
        </row>
        <row r="1168">
          <cell r="B1168" t="str">
            <v>J8815</v>
          </cell>
          <cell r="C1168">
            <v>200411</v>
          </cell>
          <cell r="D1168">
            <v>201300</v>
          </cell>
          <cell r="E1168" t="str">
            <v>C</v>
          </cell>
          <cell r="F1168" t="str">
            <v>Account status = Closed</v>
          </cell>
          <cell r="G1168" t="str">
            <v/>
          </cell>
          <cell r="H1168" t="str">
            <v>R</v>
          </cell>
        </row>
        <row r="1169">
          <cell r="B1169" t="str">
            <v>J8816</v>
          </cell>
          <cell r="C1169">
            <v>200708</v>
          </cell>
          <cell r="D1169">
            <v>209912</v>
          </cell>
          <cell r="E1169" t="str">
            <v>N</v>
          </cell>
          <cell r="F1169" t="str">
            <v/>
          </cell>
          <cell r="G1169" t="str">
            <v/>
          </cell>
          <cell r="H1169" t="str">
            <v>R</v>
          </cell>
        </row>
        <row r="1170">
          <cell r="B1170" t="str">
            <v>J8817</v>
          </cell>
          <cell r="C1170">
            <v>200701</v>
          </cell>
          <cell r="D1170">
            <v>201300</v>
          </cell>
          <cell r="E1170" t="str">
            <v>C</v>
          </cell>
          <cell r="F1170" t="str">
            <v>Account status = Closed</v>
          </cell>
          <cell r="G1170" t="str">
            <v/>
          </cell>
          <cell r="H1170" t="str">
            <v>R</v>
          </cell>
        </row>
        <row r="1171">
          <cell r="B1171" t="str">
            <v>J8818</v>
          </cell>
          <cell r="C1171">
            <v>200711</v>
          </cell>
          <cell r="D1171">
            <v>201300</v>
          </cell>
          <cell r="E1171" t="str">
            <v>C</v>
          </cell>
          <cell r="F1171" t="str">
            <v>Account status = Closed</v>
          </cell>
          <cell r="G1171" t="str">
            <v/>
          </cell>
          <cell r="H1171" t="str">
            <v>R</v>
          </cell>
        </row>
        <row r="1172">
          <cell r="B1172" t="str">
            <v>J8821</v>
          </cell>
          <cell r="C1172">
            <v>200411</v>
          </cell>
          <cell r="D1172">
            <v>201300</v>
          </cell>
          <cell r="E1172" t="str">
            <v>C</v>
          </cell>
          <cell r="F1172" t="str">
            <v>Account status = Closed</v>
          </cell>
          <cell r="G1172" t="str">
            <v/>
          </cell>
          <cell r="H1172" t="str">
            <v>R</v>
          </cell>
        </row>
        <row r="1173">
          <cell r="B1173" t="str">
            <v>J8822</v>
          </cell>
          <cell r="C1173">
            <v>200411</v>
          </cell>
          <cell r="D1173">
            <v>201300</v>
          </cell>
          <cell r="E1173" t="str">
            <v>C</v>
          </cell>
          <cell r="F1173" t="str">
            <v>Account status = Closed</v>
          </cell>
          <cell r="G1173" t="str">
            <v/>
          </cell>
          <cell r="H1173" t="str">
            <v>R</v>
          </cell>
        </row>
        <row r="1174">
          <cell r="B1174" t="str">
            <v>J8823</v>
          </cell>
          <cell r="C1174">
            <v>200411</v>
          </cell>
          <cell r="D1174">
            <v>201300</v>
          </cell>
          <cell r="E1174" t="str">
            <v>C</v>
          </cell>
          <cell r="F1174" t="str">
            <v>Account status = Closed</v>
          </cell>
          <cell r="G1174" t="str">
            <v/>
          </cell>
          <cell r="H1174" t="str">
            <v>R</v>
          </cell>
        </row>
        <row r="1175">
          <cell r="B1175" t="str">
            <v>J8850</v>
          </cell>
          <cell r="C1175">
            <v>200608</v>
          </cell>
          <cell r="D1175">
            <v>200713</v>
          </cell>
          <cell r="E1175" t="str">
            <v>C</v>
          </cell>
          <cell r="F1175" t="str">
            <v>Account status = Closed</v>
          </cell>
          <cell r="G1175" t="str">
            <v/>
          </cell>
          <cell r="H1175" t="str">
            <v>R</v>
          </cell>
        </row>
        <row r="1176">
          <cell r="B1176" t="str">
            <v>J8851</v>
          </cell>
          <cell r="C1176">
            <v>200608</v>
          </cell>
          <cell r="D1176">
            <v>200713</v>
          </cell>
          <cell r="E1176" t="str">
            <v>C</v>
          </cell>
          <cell r="F1176" t="str">
            <v>Account status = Closed</v>
          </cell>
          <cell r="G1176" t="str">
            <v/>
          </cell>
          <cell r="H1176" t="str">
            <v>R</v>
          </cell>
        </row>
        <row r="1177">
          <cell r="B1177" t="str">
            <v>J8852</v>
          </cell>
          <cell r="C1177">
            <v>200608</v>
          </cell>
          <cell r="D1177">
            <v>200713</v>
          </cell>
          <cell r="E1177" t="str">
            <v>C</v>
          </cell>
          <cell r="F1177" t="str">
            <v>Account status = Closed</v>
          </cell>
          <cell r="G1177" t="str">
            <v/>
          </cell>
          <cell r="H1177" t="str">
            <v>R</v>
          </cell>
        </row>
        <row r="1178">
          <cell r="B1178" t="str">
            <v>J8853</v>
          </cell>
          <cell r="C1178">
            <v>200608</v>
          </cell>
          <cell r="D1178">
            <v>200713</v>
          </cell>
          <cell r="E1178" t="str">
            <v>C</v>
          </cell>
          <cell r="F1178" t="str">
            <v>Account status = Closed</v>
          </cell>
          <cell r="G1178" t="str">
            <v/>
          </cell>
          <cell r="H1178" t="str">
            <v>R</v>
          </cell>
        </row>
        <row r="1179">
          <cell r="B1179" t="str">
            <v>J8854</v>
          </cell>
          <cell r="C1179">
            <v>200608</v>
          </cell>
          <cell r="D1179">
            <v>200713</v>
          </cell>
          <cell r="E1179" t="str">
            <v>C</v>
          </cell>
          <cell r="F1179" t="str">
            <v>Account status = Closed</v>
          </cell>
          <cell r="G1179" t="str">
            <v/>
          </cell>
          <cell r="H1179" t="str">
            <v>R</v>
          </cell>
        </row>
        <row r="1180">
          <cell r="B1180" t="str">
            <v>J8855</v>
          </cell>
          <cell r="C1180">
            <v>200608</v>
          </cell>
          <cell r="D1180">
            <v>200713</v>
          </cell>
          <cell r="E1180" t="str">
            <v>C</v>
          </cell>
          <cell r="F1180" t="str">
            <v>Account status = Closed</v>
          </cell>
          <cell r="G1180" t="str">
            <v/>
          </cell>
          <cell r="H1180" t="str">
            <v>R</v>
          </cell>
        </row>
        <row r="1181">
          <cell r="B1181" t="str">
            <v>J8856</v>
          </cell>
          <cell r="C1181">
            <v>200608</v>
          </cell>
          <cell r="D1181">
            <v>200713</v>
          </cell>
          <cell r="E1181" t="str">
            <v>C</v>
          </cell>
          <cell r="F1181" t="str">
            <v>Account status = Closed</v>
          </cell>
          <cell r="G1181" t="str">
            <v/>
          </cell>
          <cell r="H1181" t="str">
            <v>R</v>
          </cell>
        </row>
        <row r="1182">
          <cell r="B1182" t="str">
            <v>J8857</v>
          </cell>
          <cell r="C1182">
            <v>200608</v>
          </cell>
          <cell r="D1182">
            <v>200713</v>
          </cell>
          <cell r="E1182" t="str">
            <v>C</v>
          </cell>
          <cell r="F1182" t="str">
            <v>Account status = Closed</v>
          </cell>
          <cell r="G1182" t="str">
            <v/>
          </cell>
          <cell r="H1182" t="str">
            <v>R</v>
          </cell>
        </row>
        <row r="1183">
          <cell r="B1183" t="str">
            <v>J8858</v>
          </cell>
          <cell r="C1183">
            <v>200608</v>
          </cell>
          <cell r="D1183">
            <v>200713</v>
          </cell>
          <cell r="E1183" t="str">
            <v>C</v>
          </cell>
          <cell r="F1183" t="str">
            <v>Account status = Closed</v>
          </cell>
          <cell r="G1183" t="str">
            <v/>
          </cell>
          <cell r="H1183" t="str">
            <v>R</v>
          </cell>
        </row>
        <row r="1184">
          <cell r="B1184" t="str">
            <v>J8859</v>
          </cell>
          <cell r="C1184">
            <v>200608</v>
          </cell>
          <cell r="D1184">
            <v>200713</v>
          </cell>
          <cell r="E1184" t="str">
            <v>C</v>
          </cell>
          <cell r="F1184" t="str">
            <v>Account status = Closed</v>
          </cell>
          <cell r="G1184" t="str">
            <v/>
          </cell>
          <cell r="H1184" t="str">
            <v>R</v>
          </cell>
        </row>
        <row r="1185">
          <cell r="B1185" t="str">
            <v>J8950</v>
          </cell>
          <cell r="C1185">
            <v>200608</v>
          </cell>
          <cell r="D1185">
            <v>209913</v>
          </cell>
          <cell r="E1185" t="str">
            <v>N</v>
          </cell>
          <cell r="F1185" t="str">
            <v/>
          </cell>
          <cell r="G1185" t="str">
            <v/>
          </cell>
          <cell r="H1185" t="str">
            <v>R</v>
          </cell>
        </row>
        <row r="1186">
          <cell r="B1186" t="str">
            <v>J8951</v>
          </cell>
          <cell r="C1186">
            <v>200608</v>
          </cell>
          <cell r="D1186">
            <v>201300</v>
          </cell>
          <cell r="E1186" t="str">
            <v>C</v>
          </cell>
          <cell r="F1186" t="str">
            <v>Account status = Closed</v>
          </cell>
          <cell r="G1186" t="str">
            <v/>
          </cell>
          <cell r="H1186" t="str">
            <v>R</v>
          </cell>
        </row>
        <row r="1187">
          <cell r="B1187" t="str">
            <v>J8952</v>
          </cell>
          <cell r="C1187">
            <v>200608</v>
          </cell>
          <cell r="D1187">
            <v>201300</v>
          </cell>
          <cell r="E1187" t="str">
            <v>C</v>
          </cell>
          <cell r="F1187" t="str">
            <v>Account status = Closed</v>
          </cell>
          <cell r="G1187" t="str">
            <v/>
          </cell>
          <cell r="H1187" t="str">
            <v>R</v>
          </cell>
        </row>
        <row r="1188">
          <cell r="B1188" t="str">
            <v>J8953</v>
          </cell>
          <cell r="C1188">
            <v>200608</v>
          </cell>
          <cell r="D1188">
            <v>201300</v>
          </cell>
          <cell r="E1188" t="str">
            <v>C</v>
          </cell>
          <cell r="F1188" t="str">
            <v>Account status = Closed</v>
          </cell>
          <cell r="G1188" t="str">
            <v/>
          </cell>
          <cell r="H1188" t="str">
            <v>R</v>
          </cell>
        </row>
        <row r="1189">
          <cell r="B1189" t="str">
            <v>J8954</v>
          </cell>
          <cell r="C1189">
            <v>200608</v>
          </cell>
          <cell r="D1189">
            <v>201300</v>
          </cell>
          <cell r="E1189" t="str">
            <v>C</v>
          </cell>
          <cell r="F1189" t="str">
            <v>Account status = Closed</v>
          </cell>
          <cell r="G1189" t="str">
            <v/>
          </cell>
          <cell r="H1189" t="str">
            <v>R</v>
          </cell>
        </row>
        <row r="1190">
          <cell r="B1190" t="str">
            <v>J8955</v>
          </cell>
          <cell r="C1190">
            <v>200608</v>
          </cell>
          <cell r="D1190">
            <v>201300</v>
          </cell>
          <cell r="E1190" t="str">
            <v>C</v>
          </cell>
          <cell r="F1190" t="str">
            <v>Account status = Closed</v>
          </cell>
          <cell r="G1190" t="str">
            <v/>
          </cell>
          <cell r="H1190" t="str">
            <v>R</v>
          </cell>
        </row>
        <row r="1191">
          <cell r="B1191" t="str">
            <v>J8956</v>
          </cell>
          <cell r="C1191">
            <v>200608</v>
          </cell>
          <cell r="D1191">
            <v>201300</v>
          </cell>
          <cell r="E1191" t="str">
            <v>C</v>
          </cell>
          <cell r="F1191" t="str">
            <v>Account status = Closed</v>
          </cell>
          <cell r="G1191" t="str">
            <v/>
          </cell>
          <cell r="H1191" t="str">
            <v>R</v>
          </cell>
        </row>
        <row r="1192">
          <cell r="B1192" t="str">
            <v>J8957</v>
          </cell>
          <cell r="C1192">
            <v>200608</v>
          </cell>
          <cell r="D1192">
            <v>201300</v>
          </cell>
          <cell r="E1192" t="str">
            <v>C</v>
          </cell>
          <cell r="F1192" t="str">
            <v>Account status = Closed</v>
          </cell>
          <cell r="G1192" t="str">
            <v/>
          </cell>
          <cell r="H1192" t="str">
            <v>R</v>
          </cell>
        </row>
        <row r="1193">
          <cell r="B1193" t="str">
            <v>J8958</v>
          </cell>
          <cell r="C1193">
            <v>200608</v>
          </cell>
          <cell r="D1193">
            <v>201300</v>
          </cell>
          <cell r="E1193" t="str">
            <v>C</v>
          </cell>
          <cell r="F1193" t="str">
            <v>Account status = Closed</v>
          </cell>
          <cell r="G1193" t="str">
            <v/>
          </cell>
          <cell r="H1193" t="str">
            <v>R</v>
          </cell>
        </row>
        <row r="1194">
          <cell r="B1194" t="str">
            <v>J8959</v>
          </cell>
          <cell r="C1194">
            <v>200608</v>
          </cell>
          <cell r="D1194">
            <v>201300</v>
          </cell>
          <cell r="E1194" t="str">
            <v>C</v>
          </cell>
          <cell r="F1194" t="str">
            <v>Account status = Closed</v>
          </cell>
          <cell r="G1194" t="str">
            <v/>
          </cell>
          <cell r="H1194" t="str">
            <v>R</v>
          </cell>
        </row>
        <row r="1195">
          <cell r="B1195" t="str">
            <v>J8980</v>
          </cell>
          <cell r="C1195">
            <v>201400</v>
          </cell>
          <cell r="D1195">
            <v>209913</v>
          </cell>
          <cell r="E1195" t="str">
            <v>N</v>
          </cell>
          <cell r="F1195" t="str">
            <v/>
          </cell>
          <cell r="G1195" t="str">
            <v/>
          </cell>
          <cell r="H1195" t="str">
            <v>R</v>
          </cell>
        </row>
        <row r="1196">
          <cell r="B1196" t="str">
            <v>J8984</v>
          </cell>
          <cell r="C1196">
            <v>200109</v>
          </cell>
          <cell r="D1196">
            <v>200713</v>
          </cell>
          <cell r="E1196" t="str">
            <v>C</v>
          </cell>
          <cell r="F1196" t="str">
            <v>Account status = Closed</v>
          </cell>
          <cell r="G1196" t="str">
            <v/>
          </cell>
          <cell r="H1196" t="str">
            <v>R</v>
          </cell>
        </row>
        <row r="1197">
          <cell r="B1197" t="str">
            <v>J8985</v>
          </cell>
          <cell r="C1197">
            <v>200109</v>
          </cell>
          <cell r="D1197">
            <v>200713</v>
          </cell>
          <cell r="E1197" t="str">
            <v>C</v>
          </cell>
          <cell r="F1197" t="str">
            <v>Account status = Closed</v>
          </cell>
          <cell r="G1197" t="str">
            <v/>
          </cell>
          <cell r="H1197" t="str">
            <v>R</v>
          </cell>
        </row>
        <row r="1198">
          <cell r="B1198" t="str">
            <v>J8986</v>
          </cell>
          <cell r="C1198">
            <v>200109</v>
          </cell>
          <cell r="D1198">
            <v>200713</v>
          </cell>
          <cell r="E1198" t="str">
            <v>C</v>
          </cell>
          <cell r="F1198" t="str">
            <v>Account status = Closed</v>
          </cell>
          <cell r="G1198" t="str">
            <v/>
          </cell>
          <cell r="H1198" t="str">
            <v>R</v>
          </cell>
        </row>
        <row r="1199">
          <cell r="B1199" t="str">
            <v>J8987</v>
          </cell>
          <cell r="C1199">
            <v>200109</v>
          </cell>
          <cell r="D1199">
            <v>200713</v>
          </cell>
          <cell r="E1199" t="str">
            <v>C</v>
          </cell>
          <cell r="F1199" t="str">
            <v>Account status = Closed</v>
          </cell>
          <cell r="G1199" t="str">
            <v/>
          </cell>
          <cell r="H1199" t="str">
            <v>R</v>
          </cell>
        </row>
        <row r="1200">
          <cell r="B1200" t="str">
            <v>J8988</v>
          </cell>
          <cell r="C1200">
            <v>200109</v>
          </cell>
          <cell r="D1200">
            <v>201300</v>
          </cell>
          <cell r="E1200" t="str">
            <v>C</v>
          </cell>
          <cell r="F1200" t="str">
            <v>Account status = Closed</v>
          </cell>
          <cell r="G1200" t="str">
            <v/>
          </cell>
          <cell r="H1200" t="str">
            <v>R</v>
          </cell>
        </row>
        <row r="1201">
          <cell r="B1201" t="str">
            <v>J8990</v>
          </cell>
          <cell r="C1201">
            <v>200109</v>
          </cell>
          <cell r="D1201">
            <v>200713</v>
          </cell>
          <cell r="E1201" t="str">
            <v>C</v>
          </cell>
          <cell r="F1201" t="str">
            <v>Account status = Closed</v>
          </cell>
          <cell r="G1201" t="str">
            <v/>
          </cell>
          <cell r="H1201" t="str">
            <v>R</v>
          </cell>
        </row>
        <row r="1202">
          <cell r="B1202" t="str">
            <v>J8991</v>
          </cell>
          <cell r="C1202">
            <v>200109</v>
          </cell>
          <cell r="D1202">
            <v>209912</v>
          </cell>
          <cell r="E1202" t="str">
            <v>N</v>
          </cell>
          <cell r="F1202" t="str">
            <v/>
          </cell>
          <cell r="G1202" t="str">
            <v/>
          </cell>
          <cell r="H1202" t="str">
            <v>R</v>
          </cell>
        </row>
        <row r="1203">
          <cell r="B1203" t="str">
            <v>J8992</v>
          </cell>
          <cell r="C1203">
            <v>200109</v>
          </cell>
          <cell r="D1203">
            <v>209912</v>
          </cell>
          <cell r="E1203" t="str">
            <v>N</v>
          </cell>
          <cell r="F1203" t="str">
            <v/>
          </cell>
          <cell r="G1203" t="str">
            <v/>
          </cell>
          <cell r="H1203" t="str">
            <v>R</v>
          </cell>
        </row>
        <row r="1204">
          <cell r="B1204" t="str">
            <v>J8994</v>
          </cell>
          <cell r="C1204">
            <v>200109</v>
          </cell>
          <cell r="D1204">
            <v>200713</v>
          </cell>
          <cell r="E1204" t="str">
            <v>C</v>
          </cell>
          <cell r="F1204" t="str">
            <v>Account status = Closed</v>
          </cell>
          <cell r="G1204" t="str">
            <v/>
          </cell>
          <cell r="H1204" t="str">
            <v>R</v>
          </cell>
        </row>
        <row r="1205">
          <cell r="B1205" t="str">
            <v>J8995</v>
          </cell>
          <cell r="C1205">
            <v>200109</v>
          </cell>
          <cell r="D1205">
            <v>201001</v>
          </cell>
          <cell r="E1205" t="str">
            <v>N</v>
          </cell>
          <cell r="F1205" t="str">
            <v>Account closed from period 201001</v>
          </cell>
          <cell r="G1205" t="str">
            <v/>
          </cell>
          <cell r="H1205" t="str">
            <v>R</v>
          </cell>
        </row>
        <row r="1206">
          <cell r="B1206" t="str">
            <v>J8996</v>
          </cell>
          <cell r="C1206">
            <v>200109</v>
          </cell>
          <cell r="D1206">
            <v>209912</v>
          </cell>
          <cell r="E1206" t="str">
            <v>N</v>
          </cell>
          <cell r="F1206" t="str">
            <v/>
          </cell>
          <cell r="G1206" t="str">
            <v/>
          </cell>
          <cell r="H1206" t="str">
            <v>R</v>
          </cell>
        </row>
        <row r="1207">
          <cell r="B1207" t="str">
            <v>J8998</v>
          </cell>
          <cell r="C1207">
            <v>200109</v>
          </cell>
          <cell r="D1207">
            <v>200713</v>
          </cell>
          <cell r="E1207" t="str">
            <v>C</v>
          </cell>
          <cell r="F1207" t="str">
            <v>Account status = Closed</v>
          </cell>
          <cell r="G1207" t="str">
            <v/>
          </cell>
          <cell r="H1207" t="str">
            <v>R</v>
          </cell>
        </row>
        <row r="1208">
          <cell r="B1208" t="str">
            <v>J8999</v>
          </cell>
          <cell r="C1208">
            <v>200109</v>
          </cell>
          <cell r="D1208">
            <v>209912</v>
          </cell>
          <cell r="E1208" t="str">
            <v>N</v>
          </cell>
          <cell r="F1208" t="str">
            <v/>
          </cell>
          <cell r="G1208" t="str">
            <v/>
          </cell>
          <cell r="H1208" t="str">
            <v>R</v>
          </cell>
        </row>
        <row r="1209">
          <cell r="B1209" t="str">
            <v>K9000</v>
          </cell>
          <cell r="C1209">
            <v>200109</v>
          </cell>
          <cell r="D1209">
            <v>200112</v>
          </cell>
          <cell r="E1209" t="str">
            <v>C</v>
          </cell>
          <cell r="F1209" t="str">
            <v>Account status = Closed</v>
          </cell>
          <cell r="G1209" t="str">
            <v/>
          </cell>
          <cell r="H1209" t="str">
            <v>R</v>
          </cell>
        </row>
        <row r="1210">
          <cell r="B1210" t="str">
            <v>K9001</v>
          </cell>
          <cell r="C1210">
            <v>200109</v>
          </cell>
          <cell r="D1210">
            <v>209912</v>
          </cell>
          <cell r="E1210" t="str">
            <v>N</v>
          </cell>
          <cell r="F1210" t="str">
            <v/>
          </cell>
          <cell r="G1210" t="str">
            <v/>
          </cell>
          <cell r="H1210" t="str">
            <v>R</v>
          </cell>
        </row>
        <row r="1211">
          <cell r="B1211" t="str">
            <v>K9002</v>
          </cell>
          <cell r="C1211">
            <v>200109</v>
          </cell>
          <cell r="D1211">
            <v>200713</v>
          </cell>
          <cell r="E1211" t="str">
            <v>C</v>
          </cell>
          <cell r="F1211" t="str">
            <v>Account status = Closed</v>
          </cell>
          <cell r="G1211" t="str">
            <v/>
          </cell>
          <cell r="H1211" t="str">
            <v>R</v>
          </cell>
        </row>
        <row r="1212">
          <cell r="B1212" t="str">
            <v>K9003</v>
          </cell>
          <cell r="C1212">
            <v>200109</v>
          </cell>
          <cell r="D1212">
            <v>200713</v>
          </cell>
          <cell r="E1212" t="str">
            <v>C</v>
          </cell>
          <cell r="F1212" t="str">
            <v>Account status = Closed</v>
          </cell>
          <cell r="G1212" t="str">
            <v/>
          </cell>
          <cell r="H1212" t="str">
            <v>R</v>
          </cell>
        </row>
        <row r="1213">
          <cell r="B1213" t="str">
            <v>K9004</v>
          </cell>
          <cell r="C1213">
            <v>200109</v>
          </cell>
          <cell r="D1213">
            <v>209912</v>
          </cell>
          <cell r="E1213" t="str">
            <v>N</v>
          </cell>
          <cell r="F1213" t="str">
            <v/>
          </cell>
          <cell r="G1213" t="str">
            <v/>
          </cell>
          <cell r="H1213" t="str">
            <v>R</v>
          </cell>
        </row>
        <row r="1214">
          <cell r="B1214" t="str">
            <v>K9005</v>
          </cell>
          <cell r="C1214">
            <v>200109</v>
          </cell>
          <cell r="D1214">
            <v>209912</v>
          </cell>
          <cell r="E1214" t="str">
            <v>N</v>
          </cell>
          <cell r="F1214" t="str">
            <v/>
          </cell>
          <cell r="G1214" t="str">
            <v/>
          </cell>
          <cell r="H1214" t="str">
            <v>R</v>
          </cell>
        </row>
        <row r="1215">
          <cell r="B1215" t="str">
            <v>K9007</v>
          </cell>
          <cell r="C1215">
            <v>200109</v>
          </cell>
          <cell r="D1215">
            <v>200713</v>
          </cell>
          <cell r="E1215" t="str">
            <v>C</v>
          </cell>
          <cell r="F1215" t="str">
            <v>Account status = Closed</v>
          </cell>
          <cell r="G1215" t="str">
            <v/>
          </cell>
          <cell r="H1215" t="str">
            <v>R</v>
          </cell>
        </row>
        <row r="1216">
          <cell r="B1216" t="str">
            <v>K9010</v>
          </cell>
          <cell r="C1216">
            <v>200109</v>
          </cell>
          <cell r="D1216">
            <v>200112</v>
          </cell>
          <cell r="E1216" t="str">
            <v>C</v>
          </cell>
          <cell r="F1216" t="str">
            <v>Account status = Closed</v>
          </cell>
          <cell r="G1216" t="str">
            <v/>
          </cell>
          <cell r="H1216" t="str">
            <v>R</v>
          </cell>
        </row>
        <row r="1217">
          <cell r="B1217" t="str">
            <v>K9101</v>
          </cell>
          <cell r="C1217">
            <v>200109</v>
          </cell>
          <cell r="D1217">
            <v>209912</v>
          </cell>
          <cell r="E1217" t="str">
            <v>N</v>
          </cell>
          <cell r="F1217" t="str">
            <v/>
          </cell>
          <cell r="G1217" t="str">
            <v/>
          </cell>
          <cell r="H1217" t="str">
            <v>R</v>
          </cell>
        </row>
        <row r="1218">
          <cell r="B1218" t="str">
            <v>K9111</v>
          </cell>
          <cell r="C1218">
            <v>200109</v>
          </cell>
          <cell r="D1218">
            <v>209912</v>
          </cell>
          <cell r="E1218" t="str">
            <v>N</v>
          </cell>
          <cell r="F1218" t="str">
            <v/>
          </cell>
          <cell r="G1218" t="str">
            <v/>
          </cell>
          <cell r="H1218" t="str">
            <v>R</v>
          </cell>
        </row>
        <row r="1219">
          <cell r="B1219" t="str">
            <v>K9118</v>
          </cell>
          <cell r="C1219">
            <v>200210</v>
          </cell>
          <cell r="D1219">
            <v>209912</v>
          </cell>
          <cell r="E1219" t="str">
            <v>N</v>
          </cell>
          <cell r="F1219" t="str">
            <v/>
          </cell>
          <cell r="G1219" t="str">
            <v/>
          </cell>
          <cell r="H1219" t="str">
            <v>R</v>
          </cell>
        </row>
        <row r="1220">
          <cell r="B1220" t="str">
            <v>K9120</v>
          </cell>
          <cell r="C1220">
            <v>200109</v>
          </cell>
          <cell r="D1220">
            <v>200713</v>
          </cell>
          <cell r="E1220" t="str">
            <v>C</v>
          </cell>
          <cell r="F1220" t="str">
            <v>Account status = Closed</v>
          </cell>
          <cell r="G1220" t="str">
            <v/>
          </cell>
          <cell r="H1220" t="str">
            <v>R</v>
          </cell>
        </row>
        <row r="1221">
          <cell r="B1221" t="str">
            <v>K9121</v>
          </cell>
          <cell r="C1221">
            <v>200109</v>
          </cell>
          <cell r="D1221">
            <v>200713</v>
          </cell>
          <cell r="E1221" t="str">
            <v>C</v>
          </cell>
          <cell r="F1221" t="str">
            <v>Account status = Closed</v>
          </cell>
          <cell r="G1221" t="str">
            <v/>
          </cell>
          <cell r="H1221" t="str">
            <v>R</v>
          </cell>
        </row>
        <row r="1222">
          <cell r="B1222" t="str">
            <v>K9123</v>
          </cell>
          <cell r="C1222">
            <v>200109</v>
          </cell>
          <cell r="D1222">
            <v>200713</v>
          </cell>
          <cell r="E1222" t="str">
            <v>C</v>
          </cell>
          <cell r="F1222" t="str">
            <v>Account status = Closed</v>
          </cell>
          <cell r="G1222" t="str">
            <v/>
          </cell>
          <cell r="H1222" t="str">
            <v>R</v>
          </cell>
        </row>
        <row r="1223">
          <cell r="B1223" t="str">
            <v>K9128</v>
          </cell>
          <cell r="C1223">
            <v>200109</v>
          </cell>
          <cell r="D1223">
            <v>200112</v>
          </cell>
          <cell r="E1223" t="str">
            <v>C</v>
          </cell>
          <cell r="F1223" t="str">
            <v>Account status = Closed</v>
          </cell>
          <cell r="G1223" t="str">
            <v/>
          </cell>
          <cell r="H1223" t="str">
            <v>R</v>
          </cell>
        </row>
        <row r="1224">
          <cell r="B1224" t="str">
            <v>K9129</v>
          </cell>
          <cell r="C1224">
            <v>200109</v>
          </cell>
          <cell r="D1224">
            <v>200112</v>
          </cell>
          <cell r="E1224" t="str">
            <v>C</v>
          </cell>
          <cell r="F1224" t="str">
            <v>Account status = Closed</v>
          </cell>
          <cell r="G1224" t="str">
            <v/>
          </cell>
          <cell r="H1224" t="str">
            <v>R</v>
          </cell>
        </row>
        <row r="1225">
          <cell r="B1225" t="str">
            <v>K9131</v>
          </cell>
          <cell r="C1225">
            <v>200109</v>
          </cell>
          <cell r="D1225">
            <v>209912</v>
          </cell>
          <cell r="E1225" t="str">
            <v>N</v>
          </cell>
          <cell r="F1225" t="str">
            <v/>
          </cell>
          <cell r="G1225" t="str">
            <v/>
          </cell>
          <cell r="H1225" t="str">
            <v>R</v>
          </cell>
        </row>
        <row r="1226">
          <cell r="B1226" t="str">
            <v>K9141</v>
          </cell>
          <cell r="C1226">
            <v>200109</v>
          </cell>
          <cell r="D1226">
            <v>209912</v>
          </cell>
          <cell r="E1226" t="str">
            <v>N</v>
          </cell>
          <cell r="F1226" t="str">
            <v/>
          </cell>
          <cell r="G1226" t="str">
            <v/>
          </cell>
          <cell r="H1226" t="str">
            <v>R</v>
          </cell>
        </row>
        <row r="1227">
          <cell r="B1227" t="str">
            <v>K9142</v>
          </cell>
          <cell r="C1227">
            <v>200109</v>
          </cell>
          <cell r="D1227">
            <v>209912</v>
          </cell>
          <cell r="E1227" t="str">
            <v>N</v>
          </cell>
          <cell r="F1227" t="str">
            <v/>
          </cell>
          <cell r="G1227" t="str">
            <v/>
          </cell>
          <cell r="H1227" t="str">
            <v>R</v>
          </cell>
        </row>
        <row r="1228">
          <cell r="B1228" t="str">
            <v>K9143</v>
          </cell>
          <cell r="C1228">
            <v>200109</v>
          </cell>
          <cell r="D1228">
            <v>200713</v>
          </cell>
          <cell r="E1228" t="str">
            <v>C</v>
          </cell>
          <cell r="F1228" t="str">
            <v>Account status = Closed</v>
          </cell>
          <cell r="G1228" t="str">
            <v/>
          </cell>
          <cell r="H1228" t="str">
            <v>R</v>
          </cell>
        </row>
        <row r="1229">
          <cell r="B1229" t="str">
            <v>K9145</v>
          </cell>
          <cell r="C1229">
            <v>200109</v>
          </cell>
          <cell r="D1229">
            <v>200112</v>
          </cell>
          <cell r="E1229" t="str">
            <v>C</v>
          </cell>
          <cell r="F1229" t="str">
            <v>Account status = Closed</v>
          </cell>
          <cell r="G1229" t="str">
            <v/>
          </cell>
          <cell r="H1229" t="str">
            <v>R</v>
          </cell>
        </row>
        <row r="1230">
          <cell r="B1230" t="str">
            <v>K9151</v>
          </cell>
          <cell r="C1230">
            <v>200109</v>
          </cell>
          <cell r="D1230">
            <v>209912</v>
          </cell>
          <cell r="E1230" t="str">
            <v>N</v>
          </cell>
          <cell r="F1230" t="str">
            <v/>
          </cell>
          <cell r="G1230" t="str">
            <v/>
          </cell>
          <cell r="H1230" t="str">
            <v>R</v>
          </cell>
        </row>
        <row r="1231">
          <cell r="B1231" t="str">
            <v>K9152</v>
          </cell>
          <cell r="C1231">
            <v>200109</v>
          </cell>
          <cell r="D1231">
            <v>209912</v>
          </cell>
          <cell r="E1231" t="str">
            <v>N</v>
          </cell>
          <cell r="F1231" t="str">
            <v/>
          </cell>
          <cell r="G1231" t="str">
            <v/>
          </cell>
          <cell r="H1231" t="str">
            <v>R</v>
          </cell>
        </row>
        <row r="1232">
          <cell r="B1232" t="str">
            <v>K9153</v>
          </cell>
          <cell r="C1232">
            <v>200109</v>
          </cell>
          <cell r="D1232">
            <v>209912</v>
          </cell>
          <cell r="E1232" t="str">
            <v>N</v>
          </cell>
          <cell r="F1232" t="str">
            <v/>
          </cell>
          <cell r="G1232" t="str">
            <v/>
          </cell>
          <cell r="H1232" t="str">
            <v>R</v>
          </cell>
        </row>
        <row r="1233">
          <cell r="B1233" t="str">
            <v>K9154</v>
          </cell>
          <cell r="C1233">
            <v>200109</v>
          </cell>
          <cell r="D1233">
            <v>209912</v>
          </cell>
          <cell r="E1233" t="str">
            <v>N</v>
          </cell>
          <cell r="F1233" t="str">
            <v/>
          </cell>
          <cell r="G1233" t="str">
            <v/>
          </cell>
          <cell r="H1233" t="str">
            <v>R</v>
          </cell>
        </row>
        <row r="1234">
          <cell r="B1234" t="str">
            <v>K9155</v>
          </cell>
          <cell r="C1234">
            <v>200109</v>
          </cell>
          <cell r="D1234">
            <v>200713</v>
          </cell>
          <cell r="E1234" t="str">
            <v>C</v>
          </cell>
          <cell r="F1234" t="str">
            <v>Account status = Closed</v>
          </cell>
          <cell r="G1234" t="str">
            <v/>
          </cell>
          <cell r="H1234" t="str">
            <v>R</v>
          </cell>
        </row>
        <row r="1235">
          <cell r="B1235" t="str">
            <v>K9156</v>
          </cell>
          <cell r="C1235">
            <v>200109</v>
          </cell>
          <cell r="D1235">
            <v>200713</v>
          </cell>
          <cell r="E1235" t="str">
            <v>C</v>
          </cell>
          <cell r="F1235" t="str">
            <v>Account status = Closed</v>
          </cell>
          <cell r="G1235" t="str">
            <v/>
          </cell>
          <cell r="H1235" t="str">
            <v>R</v>
          </cell>
        </row>
        <row r="1236">
          <cell r="B1236" t="str">
            <v>K9157</v>
          </cell>
          <cell r="C1236">
            <v>200109</v>
          </cell>
          <cell r="D1236">
            <v>200713</v>
          </cell>
          <cell r="E1236" t="str">
            <v>C</v>
          </cell>
          <cell r="F1236" t="str">
            <v>Account status = Closed</v>
          </cell>
          <cell r="G1236" t="str">
            <v/>
          </cell>
          <cell r="H1236" t="str">
            <v>R</v>
          </cell>
        </row>
        <row r="1237">
          <cell r="B1237" t="str">
            <v>K9158</v>
          </cell>
          <cell r="C1237">
            <v>200200</v>
          </cell>
          <cell r="D1237">
            <v>209912</v>
          </cell>
          <cell r="E1237" t="str">
            <v>N</v>
          </cell>
          <cell r="F1237" t="str">
            <v/>
          </cell>
          <cell r="G1237" t="str">
            <v/>
          </cell>
          <cell r="H1237" t="str">
            <v>R</v>
          </cell>
        </row>
        <row r="1238">
          <cell r="B1238" t="str">
            <v>K9159</v>
          </cell>
          <cell r="C1238">
            <v>200109</v>
          </cell>
          <cell r="D1238">
            <v>209912</v>
          </cell>
          <cell r="E1238" t="str">
            <v>N</v>
          </cell>
          <cell r="F1238" t="str">
            <v/>
          </cell>
          <cell r="G1238" t="str">
            <v/>
          </cell>
          <cell r="H1238" t="str">
            <v>R</v>
          </cell>
        </row>
        <row r="1239">
          <cell r="B1239" t="str">
            <v>K9160</v>
          </cell>
          <cell r="C1239">
            <v>200109</v>
          </cell>
          <cell r="D1239">
            <v>201300</v>
          </cell>
          <cell r="E1239" t="str">
            <v>C</v>
          </cell>
          <cell r="F1239" t="str">
            <v>Account status = Closed</v>
          </cell>
          <cell r="G1239" t="str">
            <v/>
          </cell>
          <cell r="H1239" t="str">
            <v>R</v>
          </cell>
        </row>
        <row r="1240">
          <cell r="B1240" t="str">
            <v>K9165</v>
          </cell>
          <cell r="C1240">
            <v>200109</v>
          </cell>
          <cell r="D1240">
            <v>200713</v>
          </cell>
          <cell r="E1240" t="str">
            <v>C</v>
          </cell>
          <cell r="F1240" t="str">
            <v>Account status = Closed</v>
          </cell>
          <cell r="G1240" t="str">
            <v/>
          </cell>
          <cell r="H1240" t="str">
            <v>R</v>
          </cell>
        </row>
        <row r="1241">
          <cell r="B1241" t="str">
            <v>K9166</v>
          </cell>
          <cell r="C1241">
            <v>200604</v>
          </cell>
          <cell r="D1241">
            <v>209912</v>
          </cell>
          <cell r="E1241" t="str">
            <v>N</v>
          </cell>
          <cell r="F1241" t="str">
            <v/>
          </cell>
          <cell r="G1241" t="str">
            <v/>
          </cell>
          <cell r="H1241" t="str">
            <v>R</v>
          </cell>
        </row>
        <row r="1242">
          <cell r="B1242" t="str">
            <v>K9167</v>
          </cell>
          <cell r="C1242">
            <v>200604</v>
          </cell>
          <cell r="D1242">
            <v>200713</v>
          </cell>
          <cell r="E1242" t="str">
            <v>C</v>
          </cell>
          <cell r="F1242" t="str">
            <v>Account status = Closed</v>
          </cell>
          <cell r="G1242" t="str">
            <v/>
          </cell>
          <cell r="H1242" t="str">
            <v>R</v>
          </cell>
        </row>
        <row r="1243">
          <cell r="B1243" t="str">
            <v>K9170</v>
          </cell>
          <cell r="C1243">
            <v>200109</v>
          </cell>
          <cell r="D1243">
            <v>209912</v>
          </cell>
          <cell r="E1243" t="str">
            <v>N</v>
          </cell>
          <cell r="F1243" t="str">
            <v/>
          </cell>
          <cell r="G1243" t="str">
            <v/>
          </cell>
          <cell r="H1243" t="str">
            <v>R</v>
          </cell>
        </row>
        <row r="1244">
          <cell r="B1244" t="str">
            <v>K9171</v>
          </cell>
          <cell r="C1244">
            <v>200109</v>
          </cell>
          <cell r="D1244">
            <v>209912</v>
          </cell>
          <cell r="E1244" t="str">
            <v>N</v>
          </cell>
          <cell r="F1244" t="str">
            <v/>
          </cell>
          <cell r="G1244" t="str">
            <v/>
          </cell>
          <cell r="H1244" t="str">
            <v>R</v>
          </cell>
        </row>
        <row r="1245">
          <cell r="B1245" t="str">
            <v>K9172</v>
          </cell>
          <cell r="C1245">
            <v>200109</v>
          </cell>
          <cell r="D1245">
            <v>209912</v>
          </cell>
          <cell r="E1245" t="str">
            <v>N</v>
          </cell>
          <cell r="F1245" t="str">
            <v/>
          </cell>
          <cell r="G1245" t="str">
            <v/>
          </cell>
          <cell r="H1245" t="str">
            <v>R</v>
          </cell>
        </row>
        <row r="1246">
          <cell r="B1246" t="str">
            <v>K9173</v>
          </cell>
          <cell r="C1246">
            <v>200109</v>
          </cell>
          <cell r="D1246">
            <v>209912</v>
          </cell>
          <cell r="E1246" t="str">
            <v>N</v>
          </cell>
          <cell r="F1246" t="str">
            <v/>
          </cell>
          <cell r="G1246" t="str">
            <v/>
          </cell>
          <cell r="H1246" t="str">
            <v>R</v>
          </cell>
        </row>
        <row r="1247">
          <cell r="B1247" t="str">
            <v>K9174</v>
          </cell>
          <cell r="C1247">
            <v>200109</v>
          </cell>
          <cell r="D1247">
            <v>209912</v>
          </cell>
          <cell r="E1247" t="str">
            <v>N</v>
          </cell>
          <cell r="F1247" t="str">
            <v/>
          </cell>
          <cell r="G1247" t="str">
            <v/>
          </cell>
          <cell r="H1247" t="str">
            <v>R</v>
          </cell>
        </row>
        <row r="1248">
          <cell r="B1248" t="str">
            <v>K9175</v>
          </cell>
          <cell r="C1248">
            <v>200109</v>
          </cell>
          <cell r="D1248">
            <v>209912</v>
          </cell>
          <cell r="E1248" t="str">
            <v>N</v>
          </cell>
          <cell r="F1248" t="str">
            <v/>
          </cell>
          <cell r="G1248" t="str">
            <v/>
          </cell>
          <cell r="H1248" t="str">
            <v>R</v>
          </cell>
        </row>
        <row r="1249">
          <cell r="B1249" t="str">
            <v>K9176</v>
          </cell>
          <cell r="C1249">
            <v>200109</v>
          </cell>
          <cell r="D1249">
            <v>209912</v>
          </cell>
          <cell r="E1249" t="str">
            <v>N</v>
          </cell>
          <cell r="F1249" t="str">
            <v/>
          </cell>
          <cell r="G1249" t="str">
            <v/>
          </cell>
          <cell r="H1249" t="str">
            <v>R</v>
          </cell>
        </row>
        <row r="1250">
          <cell r="B1250" t="str">
            <v>K9177</v>
          </cell>
          <cell r="C1250">
            <v>200109</v>
          </cell>
          <cell r="D1250">
            <v>209912</v>
          </cell>
          <cell r="E1250" t="str">
            <v>N</v>
          </cell>
          <cell r="F1250" t="str">
            <v/>
          </cell>
          <cell r="G1250" t="str">
            <v/>
          </cell>
          <cell r="H1250" t="str">
            <v>R</v>
          </cell>
        </row>
        <row r="1251">
          <cell r="B1251" t="str">
            <v>K9178</v>
          </cell>
          <cell r="C1251">
            <v>200109</v>
          </cell>
          <cell r="D1251">
            <v>209912</v>
          </cell>
          <cell r="E1251" t="str">
            <v>N</v>
          </cell>
          <cell r="F1251" t="str">
            <v/>
          </cell>
          <cell r="G1251" t="str">
            <v/>
          </cell>
          <cell r="H1251" t="str">
            <v>R</v>
          </cell>
        </row>
        <row r="1252">
          <cell r="B1252" t="str">
            <v>K9179</v>
          </cell>
          <cell r="C1252">
            <v>200109</v>
          </cell>
          <cell r="D1252">
            <v>200713</v>
          </cell>
          <cell r="E1252" t="str">
            <v>C</v>
          </cell>
          <cell r="F1252" t="str">
            <v>Account status = Closed</v>
          </cell>
          <cell r="G1252" t="str">
            <v/>
          </cell>
          <cell r="H1252" t="str">
            <v>R</v>
          </cell>
        </row>
        <row r="1253">
          <cell r="B1253" t="str">
            <v>K9180</v>
          </cell>
          <cell r="C1253">
            <v>200210</v>
          </cell>
          <cell r="D1253">
            <v>209912</v>
          </cell>
          <cell r="E1253" t="str">
            <v>N</v>
          </cell>
          <cell r="F1253" t="str">
            <v/>
          </cell>
          <cell r="G1253" t="str">
            <v/>
          </cell>
          <cell r="H1253" t="str">
            <v>R</v>
          </cell>
        </row>
        <row r="1254">
          <cell r="B1254" t="str">
            <v>K9185</v>
          </cell>
          <cell r="C1254">
            <v>200109</v>
          </cell>
          <cell r="D1254">
            <v>209912</v>
          </cell>
          <cell r="E1254" t="str">
            <v>N</v>
          </cell>
          <cell r="F1254" t="str">
            <v/>
          </cell>
          <cell r="G1254" t="str">
            <v/>
          </cell>
          <cell r="H1254" t="str">
            <v>R</v>
          </cell>
        </row>
        <row r="1255">
          <cell r="B1255" t="str">
            <v>K9186</v>
          </cell>
          <cell r="C1255">
            <v>200109</v>
          </cell>
          <cell r="D1255">
            <v>209912</v>
          </cell>
          <cell r="E1255" t="str">
            <v>N</v>
          </cell>
          <cell r="F1255" t="str">
            <v/>
          </cell>
          <cell r="G1255" t="str">
            <v/>
          </cell>
          <cell r="H1255" t="str">
            <v>R</v>
          </cell>
        </row>
        <row r="1256">
          <cell r="B1256" t="str">
            <v>K9187</v>
          </cell>
          <cell r="C1256">
            <v>200109</v>
          </cell>
          <cell r="D1256">
            <v>209912</v>
          </cell>
          <cell r="E1256" t="str">
            <v>N</v>
          </cell>
          <cell r="F1256" t="str">
            <v/>
          </cell>
          <cell r="G1256" t="str">
            <v/>
          </cell>
          <cell r="H1256" t="str">
            <v>R</v>
          </cell>
        </row>
        <row r="1257">
          <cell r="B1257" t="str">
            <v>K9188</v>
          </cell>
          <cell r="C1257">
            <v>200109</v>
          </cell>
          <cell r="D1257">
            <v>209912</v>
          </cell>
          <cell r="E1257" t="str">
            <v>N</v>
          </cell>
          <cell r="F1257" t="str">
            <v/>
          </cell>
          <cell r="G1257" t="str">
            <v/>
          </cell>
          <cell r="H1257" t="str">
            <v>R</v>
          </cell>
        </row>
        <row r="1258">
          <cell r="B1258" t="str">
            <v>K9189</v>
          </cell>
          <cell r="C1258">
            <v>200511</v>
          </cell>
          <cell r="D1258">
            <v>209912</v>
          </cell>
          <cell r="E1258" t="str">
            <v>N</v>
          </cell>
          <cell r="F1258" t="str">
            <v/>
          </cell>
          <cell r="G1258" t="str">
            <v/>
          </cell>
          <cell r="H1258" t="str">
            <v>R</v>
          </cell>
        </row>
        <row r="1259">
          <cell r="B1259" t="str">
            <v>K9190</v>
          </cell>
          <cell r="C1259">
            <v>200109</v>
          </cell>
          <cell r="D1259">
            <v>209912</v>
          </cell>
          <cell r="E1259" t="str">
            <v>N</v>
          </cell>
          <cell r="F1259" t="str">
            <v/>
          </cell>
          <cell r="G1259" t="str">
            <v/>
          </cell>
          <cell r="H1259" t="str">
            <v>R</v>
          </cell>
        </row>
        <row r="1260">
          <cell r="B1260" t="str">
            <v>K9191</v>
          </cell>
          <cell r="C1260">
            <v>200109</v>
          </cell>
          <cell r="D1260">
            <v>209912</v>
          </cell>
          <cell r="E1260" t="str">
            <v>N</v>
          </cell>
          <cell r="F1260" t="str">
            <v/>
          </cell>
          <cell r="G1260" t="str">
            <v/>
          </cell>
          <cell r="H1260" t="str">
            <v>R</v>
          </cell>
        </row>
        <row r="1261">
          <cell r="B1261" t="str">
            <v>K9192</v>
          </cell>
          <cell r="C1261">
            <v>200109</v>
          </cell>
          <cell r="D1261">
            <v>209912</v>
          </cell>
          <cell r="E1261" t="str">
            <v>N</v>
          </cell>
          <cell r="F1261" t="str">
            <v/>
          </cell>
          <cell r="G1261" t="str">
            <v/>
          </cell>
          <cell r="H1261" t="str">
            <v>R</v>
          </cell>
        </row>
        <row r="1262">
          <cell r="B1262" t="str">
            <v>K9193</v>
          </cell>
          <cell r="C1262">
            <v>200109</v>
          </cell>
          <cell r="D1262">
            <v>200713</v>
          </cell>
          <cell r="E1262" t="str">
            <v>C</v>
          </cell>
          <cell r="F1262" t="str">
            <v>Account status = Closed</v>
          </cell>
          <cell r="G1262" t="str">
            <v/>
          </cell>
          <cell r="H1262" t="str">
            <v>R</v>
          </cell>
        </row>
        <row r="1263">
          <cell r="B1263" t="str">
            <v>K9194</v>
          </cell>
          <cell r="C1263">
            <v>200109</v>
          </cell>
          <cell r="D1263">
            <v>200713</v>
          </cell>
          <cell r="E1263" t="str">
            <v>C</v>
          </cell>
          <cell r="F1263" t="str">
            <v>Account status = Closed</v>
          </cell>
          <cell r="G1263" t="str">
            <v/>
          </cell>
          <cell r="H1263" t="str">
            <v>R</v>
          </cell>
        </row>
        <row r="1264">
          <cell r="B1264" t="str">
            <v>K9195</v>
          </cell>
          <cell r="C1264">
            <v>199900</v>
          </cell>
          <cell r="D1264">
            <v>209912</v>
          </cell>
          <cell r="E1264" t="str">
            <v>N</v>
          </cell>
          <cell r="F1264" t="str">
            <v/>
          </cell>
          <cell r="G1264" t="str">
            <v/>
          </cell>
          <cell r="H1264" t="str">
            <v>R</v>
          </cell>
        </row>
        <row r="1265">
          <cell r="B1265" t="str">
            <v>K9198</v>
          </cell>
          <cell r="C1265">
            <v>200109</v>
          </cell>
          <cell r="D1265">
            <v>209912</v>
          </cell>
          <cell r="E1265" t="str">
            <v>N</v>
          </cell>
          <cell r="F1265" t="str">
            <v/>
          </cell>
          <cell r="G1265" t="str">
            <v/>
          </cell>
          <cell r="H1265" t="str">
            <v>R</v>
          </cell>
        </row>
        <row r="1266">
          <cell r="B1266" t="str">
            <v>K9201</v>
          </cell>
          <cell r="C1266">
            <v>200109</v>
          </cell>
          <cell r="D1266">
            <v>209913</v>
          </cell>
          <cell r="E1266" t="str">
            <v>N</v>
          </cell>
          <cell r="F1266" t="str">
            <v/>
          </cell>
          <cell r="G1266" t="str">
            <v/>
          </cell>
          <cell r="H1266" t="str">
            <v>R</v>
          </cell>
        </row>
        <row r="1267">
          <cell r="B1267" t="str">
            <v>K9202</v>
          </cell>
          <cell r="C1267">
            <v>200109</v>
          </cell>
          <cell r="D1267">
            <v>209912</v>
          </cell>
          <cell r="E1267" t="str">
            <v>N</v>
          </cell>
          <cell r="F1267" t="str">
            <v/>
          </cell>
          <cell r="G1267" t="str">
            <v/>
          </cell>
          <cell r="H1267" t="str">
            <v>R</v>
          </cell>
        </row>
        <row r="1268">
          <cell r="B1268" t="str">
            <v>K9203</v>
          </cell>
          <cell r="C1268">
            <v>200109</v>
          </cell>
          <cell r="D1268">
            <v>209912</v>
          </cell>
          <cell r="E1268" t="str">
            <v>N</v>
          </cell>
          <cell r="F1268" t="str">
            <v/>
          </cell>
          <cell r="G1268" t="str">
            <v/>
          </cell>
          <cell r="H1268" t="str">
            <v>R</v>
          </cell>
        </row>
        <row r="1269">
          <cell r="B1269" t="str">
            <v>K9204</v>
          </cell>
          <cell r="C1269">
            <v>200109</v>
          </cell>
          <cell r="D1269">
            <v>200713</v>
          </cell>
          <cell r="E1269" t="str">
            <v>C</v>
          </cell>
          <cell r="F1269" t="str">
            <v>Account status = Closed</v>
          </cell>
          <cell r="G1269" t="str">
            <v/>
          </cell>
          <cell r="H1269" t="str">
            <v>R</v>
          </cell>
        </row>
        <row r="1270">
          <cell r="B1270" t="str">
            <v>K9205</v>
          </cell>
          <cell r="C1270">
            <v>200109</v>
          </cell>
          <cell r="D1270">
            <v>209912</v>
          </cell>
          <cell r="E1270" t="str">
            <v>N</v>
          </cell>
          <cell r="F1270" t="str">
            <v/>
          </cell>
          <cell r="G1270" t="str">
            <v/>
          </cell>
          <cell r="H1270" t="str">
            <v>R</v>
          </cell>
        </row>
        <row r="1271">
          <cell r="B1271" t="str">
            <v>K9206</v>
          </cell>
          <cell r="C1271">
            <v>200109</v>
          </cell>
          <cell r="D1271">
            <v>201300</v>
          </cell>
          <cell r="E1271" t="str">
            <v>C</v>
          </cell>
          <cell r="F1271" t="str">
            <v>Account status = Closed</v>
          </cell>
          <cell r="G1271" t="str">
            <v/>
          </cell>
          <cell r="H1271" t="str">
            <v>R</v>
          </cell>
        </row>
        <row r="1272">
          <cell r="B1272" t="str">
            <v>K9207</v>
          </cell>
          <cell r="C1272">
            <v>200109</v>
          </cell>
          <cell r="D1272">
            <v>209912</v>
          </cell>
          <cell r="E1272" t="str">
            <v>N</v>
          </cell>
          <cell r="F1272" t="str">
            <v/>
          </cell>
          <cell r="G1272" t="str">
            <v/>
          </cell>
          <cell r="H1272" t="str">
            <v>R</v>
          </cell>
        </row>
        <row r="1273">
          <cell r="B1273" t="str">
            <v>K9208</v>
          </cell>
          <cell r="C1273">
            <v>200109</v>
          </cell>
          <cell r="D1273">
            <v>209912</v>
          </cell>
          <cell r="E1273" t="str">
            <v>N</v>
          </cell>
          <cell r="F1273" t="str">
            <v/>
          </cell>
          <cell r="G1273" t="str">
            <v/>
          </cell>
          <cell r="H1273" t="str">
            <v>R</v>
          </cell>
        </row>
        <row r="1274">
          <cell r="B1274" t="str">
            <v>K9209</v>
          </cell>
          <cell r="C1274">
            <v>200109</v>
          </cell>
          <cell r="D1274">
            <v>201300</v>
          </cell>
          <cell r="E1274" t="str">
            <v>C</v>
          </cell>
          <cell r="F1274" t="str">
            <v>Account status = Closed</v>
          </cell>
          <cell r="G1274" t="str">
            <v/>
          </cell>
          <cell r="H1274" t="str">
            <v>R</v>
          </cell>
        </row>
        <row r="1275">
          <cell r="B1275" t="str">
            <v>K9210</v>
          </cell>
          <cell r="C1275">
            <v>200109</v>
          </cell>
          <cell r="D1275">
            <v>200112</v>
          </cell>
          <cell r="E1275" t="str">
            <v>C</v>
          </cell>
          <cell r="F1275" t="str">
            <v>Account status = Closed</v>
          </cell>
          <cell r="G1275" t="str">
            <v/>
          </cell>
          <cell r="H1275" t="str">
            <v>R</v>
          </cell>
        </row>
        <row r="1276">
          <cell r="B1276" t="str">
            <v>K9211</v>
          </cell>
          <cell r="C1276">
            <v>200109</v>
          </cell>
          <cell r="D1276">
            <v>200112</v>
          </cell>
          <cell r="E1276" t="str">
            <v>C</v>
          </cell>
          <cell r="F1276" t="str">
            <v>Account status = Closed</v>
          </cell>
          <cell r="G1276" t="str">
            <v/>
          </cell>
          <cell r="H1276" t="str">
            <v>R</v>
          </cell>
        </row>
        <row r="1277">
          <cell r="B1277" t="str">
            <v>K9216</v>
          </cell>
          <cell r="C1277">
            <v>200109</v>
          </cell>
          <cell r="D1277">
            <v>200713</v>
          </cell>
          <cell r="E1277" t="str">
            <v>C</v>
          </cell>
          <cell r="F1277" t="str">
            <v>Account status = Closed</v>
          </cell>
          <cell r="G1277" t="str">
            <v/>
          </cell>
          <cell r="H1277" t="str">
            <v>R</v>
          </cell>
        </row>
        <row r="1278">
          <cell r="B1278" t="str">
            <v>K9218</v>
          </cell>
          <cell r="C1278">
            <v>200109</v>
          </cell>
          <cell r="D1278">
            <v>200112</v>
          </cell>
          <cell r="E1278" t="str">
            <v>C</v>
          </cell>
          <cell r="F1278" t="str">
            <v>Account status = Closed</v>
          </cell>
          <cell r="G1278" t="str">
            <v/>
          </cell>
          <cell r="H1278" t="str">
            <v>R</v>
          </cell>
        </row>
        <row r="1279">
          <cell r="B1279" t="str">
            <v>K9231</v>
          </cell>
          <cell r="C1279">
            <v>200708</v>
          </cell>
          <cell r="D1279">
            <v>209912</v>
          </cell>
          <cell r="E1279" t="str">
            <v>N</v>
          </cell>
          <cell r="F1279" t="str">
            <v/>
          </cell>
          <cell r="G1279" t="str">
            <v/>
          </cell>
          <cell r="H1279" t="str">
            <v>R</v>
          </cell>
        </row>
        <row r="1280">
          <cell r="B1280" t="str">
            <v>K9232</v>
          </cell>
          <cell r="C1280">
            <v>200708</v>
          </cell>
          <cell r="D1280">
            <v>201300</v>
          </cell>
          <cell r="E1280" t="str">
            <v>C</v>
          </cell>
          <cell r="F1280" t="str">
            <v>Account status = Closed</v>
          </cell>
          <cell r="G1280" t="str">
            <v/>
          </cell>
          <cell r="H1280" t="str">
            <v>R</v>
          </cell>
        </row>
        <row r="1281">
          <cell r="B1281" t="str">
            <v>K9233</v>
          </cell>
          <cell r="C1281">
            <v>200708</v>
          </cell>
          <cell r="D1281">
            <v>209912</v>
          </cell>
          <cell r="E1281" t="str">
            <v>N</v>
          </cell>
          <cell r="F1281" t="str">
            <v/>
          </cell>
          <cell r="G1281" t="str">
            <v/>
          </cell>
          <cell r="H1281" t="str">
            <v>R</v>
          </cell>
        </row>
        <row r="1282">
          <cell r="B1282" t="str">
            <v>K9234</v>
          </cell>
          <cell r="C1282">
            <v>200708</v>
          </cell>
          <cell r="D1282">
            <v>201300</v>
          </cell>
          <cell r="E1282" t="str">
            <v>C</v>
          </cell>
          <cell r="F1282" t="str">
            <v>Account status = Closed</v>
          </cell>
          <cell r="G1282" t="str">
            <v/>
          </cell>
          <cell r="H1282" t="str">
            <v>R</v>
          </cell>
        </row>
        <row r="1283">
          <cell r="B1283" t="str">
            <v>K9235</v>
          </cell>
          <cell r="C1283">
            <v>200708</v>
          </cell>
          <cell r="D1283">
            <v>209912</v>
          </cell>
          <cell r="E1283" t="str">
            <v>N</v>
          </cell>
          <cell r="F1283" t="str">
            <v/>
          </cell>
          <cell r="G1283" t="str">
            <v/>
          </cell>
          <cell r="H1283" t="str">
            <v>R</v>
          </cell>
        </row>
        <row r="1284">
          <cell r="B1284" t="str">
            <v>K9236</v>
          </cell>
          <cell r="C1284">
            <v>200708</v>
          </cell>
          <cell r="D1284">
            <v>209912</v>
          </cell>
          <cell r="E1284" t="str">
            <v>N</v>
          </cell>
          <cell r="F1284" t="str">
            <v/>
          </cell>
          <cell r="G1284" t="str">
            <v/>
          </cell>
          <cell r="H1284" t="str">
            <v>R</v>
          </cell>
        </row>
        <row r="1285">
          <cell r="B1285" t="str">
            <v>K9237</v>
          </cell>
          <cell r="C1285">
            <v>200708</v>
          </cell>
          <cell r="D1285">
            <v>201300</v>
          </cell>
          <cell r="E1285" t="str">
            <v>C</v>
          </cell>
          <cell r="F1285" t="str">
            <v>Account status = Closed</v>
          </cell>
          <cell r="G1285" t="str">
            <v/>
          </cell>
          <cell r="H1285" t="str">
            <v>R</v>
          </cell>
        </row>
        <row r="1286">
          <cell r="B1286" t="str">
            <v>K9238</v>
          </cell>
          <cell r="C1286">
            <v>200708</v>
          </cell>
          <cell r="D1286">
            <v>201300</v>
          </cell>
          <cell r="E1286" t="str">
            <v>C</v>
          </cell>
          <cell r="F1286" t="str">
            <v>Account status = Closed</v>
          </cell>
          <cell r="G1286" t="str">
            <v/>
          </cell>
          <cell r="H1286" t="str">
            <v>R</v>
          </cell>
        </row>
        <row r="1287">
          <cell r="B1287" t="str">
            <v>K9239</v>
          </cell>
          <cell r="C1287">
            <v>200708</v>
          </cell>
          <cell r="D1287">
            <v>209912</v>
          </cell>
          <cell r="E1287" t="str">
            <v>N</v>
          </cell>
          <cell r="F1287" t="str">
            <v/>
          </cell>
          <cell r="G1287" t="str">
            <v/>
          </cell>
          <cell r="H1287" t="str">
            <v>R</v>
          </cell>
        </row>
        <row r="1288">
          <cell r="B1288" t="str">
            <v>K9240</v>
          </cell>
          <cell r="C1288">
            <v>200708</v>
          </cell>
          <cell r="D1288">
            <v>209912</v>
          </cell>
          <cell r="E1288" t="str">
            <v>N</v>
          </cell>
          <cell r="F1288" t="str">
            <v/>
          </cell>
          <cell r="G1288" t="str">
            <v/>
          </cell>
          <cell r="H1288" t="str">
            <v>R</v>
          </cell>
        </row>
        <row r="1289">
          <cell r="B1289" t="str">
            <v>K9241</v>
          </cell>
          <cell r="C1289">
            <v>200708</v>
          </cell>
          <cell r="D1289">
            <v>209912</v>
          </cell>
          <cell r="E1289" t="str">
            <v>N</v>
          </cell>
          <cell r="F1289" t="str">
            <v/>
          </cell>
          <cell r="G1289" t="str">
            <v/>
          </cell>
          <cell r="H1289" t="str">
            <v>R</v>
          </cell>
        </row>
        <row r="1290">
          <cell r="B1290" t="str">
            <v>K9242</v>
          </cell>
          <cell r="C1290">
            <v>200708</v>
          </cell>
          <cell r="D1290">
            <v>201300</v>
          </cell>
          <cell r="E1290" t="str">
            <v>C</v>
          </cell>
          <cell r="F1290" t="str">
            <v>Account status = Closed</v>
          </cell>
          <cell r="G1290" t="str">
            <v/>
          </cell>
          <cell r="H1290" t="str">
            <v>R</v>
          </cell>
        </row>
        <row r="1291">
          <cell r="B1291" t="str">
            <v>K9243</v>
          </cell>
          <cell r="C1291">
            <v>200708</v>
          </cell>
          <cell r="D1291">
            <v>209912</v>
          </cell>
          <cell r="E1291" t="str">
            <v>N</v>
          </cell>
          <cell r="F1291" t="str">
            <v/>
          </cell>
          <cell r="G1291" t="str">
            <v/>
          </cell>
          <cell r="H1291" t="str">
            <v>R</v>
          </cell>
        </row>
        <row r="1292">
          <cell r="B1292" t="str">
            <v>K9244</v>
          </cell>
          <cell r="C1292">
            <v>200708</v>
          </cell>
          <cell r="D1292">
            <v>201300</v>
          </cell>
          <cell r="E1292" t="str">
            <v>C</v>
          </cell>
          <cell r="F1292" t="str">
            <v>Account status = Closed</v>
          </cell>
          <cell r="G1292" t="str">
            <v/>
          </cell>
          <cell r="H1292" t="str">
            <v>R</v>
          </cell>
        </row>
        <row r="1293">
          <cell r="B1293" t="str">
            <v>K9245</v>
          </cell>
          <cell r="C1293">
            <v>200708</v>
          </cell>
          <cell r="D1293">
            <v>209912</v>
          </cell>
          <cell r="E1293" t="str">
            <v>N</v>
          </cell>
          <cell r="F1293" t="str">
            <v/>
          </cell>
          <cell r="G1293" t="str">
            <v/>
          </cell>
          <cell r="H1293" t="str">
            <v>R</v>
          </cell>
        </row>
        <row r="1294">
          <cell r="B1294" t="str">
            <v>K9246</v>
          </cell>
          <cell r="C1294">
            <v>200708</v>
          </cell>
          <cell r="D1294">
            <v>209912</v>
          </cell>
          <cell r="E1294" t="str">
            <v>N</v>
          </cell>
          <cell r="F1294" t="str">
            <v/>
          </cell>
          <cell r="G1294" t="str">
            <v/>
          </cell>
          <cell r="H1294" t="str">
            <v>R</v>
          </cell>
        </row>
        <row r="1295">
          <cell r="B1295" t="str">
            <v>K9247</v>
          </cell>
          <cell r="C1295">
            <v>200708</v>
          </cell>
          <cell r="D1295">
            <v>209912</v>
          </cell>
          <cell r="E1295" t="str">
            <v>N</v>
          </cell>
          <cell r="F1295" t="str">
            <v/>
          </cell>
          <cell r="G1295" t="str">
            <v/>
          </cell>
          <cell r="H1295" t="str">
            <v>R</v>
          </cell>
        </row>
        <row r="1296">
          <cell r="B1296" t="str">
            <v>K9248</v>
          </cell>
          <cell r="C1296">
            <v>200901</v>
          </cell>
          <cell r="D1296">
            <v>209912</v>
          </cell>
          <cell r="E1296" t="str">
            <v>N</v>
          </cell>
          <cell r="F1296" t="str">
            <v/>
          </cell>
          <cell r="G1296" t="str">
            <v/>
          </cell>
          <cell r="H1296" t="str">
            <v>R</v>
          </cell>
        </row>
        <row r="1297">
          <cell r="B1297" t="str">
            <v>K9249</v>
          </cell>
          <cell r="C1297">
            <v>200901</v>
          </cell>
          <cell r="D1297">
            <v>201300</v>
          </cell>
          <cell r="E1297" t="str">
            <v>C</v>
          </cell>
          <cell r="F1297" t="str">
            <v>Account status = Closed</v>
          </cell>
          <cell r="G1297" t="str">
            <v/>
          </cell>
          <cell r="H1297" t="str">
            <v>R</v>
          </cell>
        </row>
        <row r="1298">
          <cell r="B1298" t="str">
            <v>K9250</v>
          </cell>
          <cell r="C1298">
            <v>200901</v>
          </cell>
          <cell r="D1298">
            <v>201300</v>
          </cell>
          <cell r="E1298" t="str">
            <v>C</v>
          </cell>
          <cell r="F1298" t="str">
            <v>Account status = Closed</v>
          </cell>
          <cell r="G1298" t="str">
            <v/>
          </cell>
          <cell r="H1298" t="str">
            <v>R</v>
          </cell>
        </row>
        <row r="1299">
          <cell r="B1299" t="str">
            <v>K9251</v>
          </cell>
          <cell r="C1299">
            <v>200901</v>
          </cell>
          <cell r="D1299">
            <v>201300</v>
          </cell>
          <cell r="E1299" t="str">
            <v>C</v>
          </cell>
          <cell r="F1299" t="str">
            <v>Account status = Closed</v>
          </cell>
          <cell r="G1299" t="str">
            <v/>
          </cell>
          <cell r="H1299" t="str">
            <v>R</v>
          </cell>
        </row>
        <row r="1300">
          <cell r="B1300" t="str">
            <v>K9252</v>
          </cell>
          <cell r="C1300">
            <v>200901</v>
          </cell>
          <cell r="D1300">
            <v>201300</v>
          </cell>
          <cell r="E1300" t="str">
            <v>C</v>
          </cell>
          <cell r="F1300" t="str">
            <v>Account status = Closed</v>
          </cell>
          <cell r="G1300" t="str">
            <v/>
          </cell>
          <cell r="H1300" t="str">
            <v>R</v>
          </cell>
        </row>
        <row r="1301">
          <cell r="B1301" t="str">
            <v>K9253</v>
          </cell>
          <cell r="C1301">
            <v>200901</v>
          </cell>
          <cell r="D1301">
            <v>201300</v>
          </cell>
          <cell r="E1301" t="str">
            <v>C</v>
          </cell>
          <cell r="F1301" t="str">
            <v>Account status = Closed</v>
          </cell>
          <cell r="G1301" t="str">
            <v/>
          </cell>
          <cell r="H1301" t="str">
            <v>R</v>
          </cell>
        </row>
        <row r="1302">
          <cell r="B1302" t="str">
            <v>K9254</v>
          </cell>
          <cell r="C1302">
            <v>200901</v>
          </cell>
          <cell r="D1302">
            <v>201300</v>
          </cell>
          <cell r="E1302" t="str">
            <v>C</v>
          </cell>
          <cell r="F1302" t="str">
            <v>Account status = Closed</v>
          </cell>
          <cell r="G1302" t="str">
            <v/>
          </cell>
          <cell r="H1302" t="str">
            <v>R</v>
          </cell>
        </row>
        <row r="1303">
          <cell r="B1303" t="str">
            <v>K9255</v>
          </cell>
          <cell r="C1303">
            <v>200901</v>
          </cell>
          <cell r="D1303">
            <v>201300</v>
          </cell>
          <cell r="E1303" t="str">
            <v>C</v>
          </cell>
          <cell r="F1303" t="str">
            <v>Account status = Closed</v>
          </cell>
          <cell r="G1303" t="str">
            <v/>
          </cell>
          <cell r="H1303" t="str">
            <v>R</v>
          </cell>
        </row>
        <row r="1304">
          <cell r="B1304" t="str">
            <v>K9256</v>
          </cell>
          <cell r="C1304">
            <v>200901</v>
          </cell>
          <cell r="D1304">
            <v>209912</v>
          </cell>
          <cell r="E1304" t="str">
            <v>N</v>
          </cell>
          <cell r="F1304" t="str">
            <v/>
          </cell>
          <cell r="G1304" t="str">
            <v/>
          </cell>
          <cell r="H1304" t="str">
            <v>R</v>
          </cell>
        </row>
        <row r="1305">
          <cell r="B1305" t="str">
            <v>K9301</v>
          </cell>
          <cell r="C1305">
            <v>200109</v>
          </cell>
          <cell r="D1305">
            <v>209912</v>
          </cell>
          <cell r="E1305" t="str">
            <v>N</v>
          </cell>
          <cell r="F1305" t="str">
            <v/>
          </cell>
          <cell r="G1305" t="str">
            <v/>
          </cell>
          <cell r="H1305" t="str">
            <v>R</v>
          </cell>
        </row>
        <row r="1306">
          <cell r="B1306" t="str">
            <v>K9302</v>
          </cell>
          <cell r="C1306">
            <v>200109</v>
          </cell>
          <cell r="D1306">
            <v>209912</v>
          </cell>
          <cell r="E1306" t="str">
            <v>N</v>
          </cell>
          <cell r="F1306" t="str">
            <v/>
          </cell>
          <cell r="G1306" t="str">
            <v/>
          </cell>
          <cell r="H1306" t="str">
            <v>R</v>
          </cell>
        </row>
        <row r="1307">
          <cell r="B1307" t="str">
            <v>K9303</v>
          </cell>
          <cell r="C1307">
            <v>200109</v>
          </cell>
          <cell r="D1307">
            <v>209913</v>
          </cell>
          <cell r="E1307" t="str">
            <v>N</v>
          </cell>
          <cell r="F1307" t="str">
            <v/>
          </cell>
          <cell r="G1307" t="str">
            <v/>
          </cell>
          <cell r="H1307" t="str">
            <v>R</v>
          </cell>
        </row>
        <row r="1308">
          <cell r="B1308" t="str">
            <v>K9304</v>
          </cell>
          <cell r="C1308">
            <v>200109</v>
          </cell>
          <cell r="D1308">
            <v>200713</v>
          </cell>
          <cell r="E1308" t="str">
            <v>C</v>
          </cell>
          <cell r="F1308" t="str">
            <v>Account status = Closed</v>
          </cell>
          <cell r="G1308" t="str">
            <v/>
          </cell>
          <cell r="H1308" t="str">
            <v>R</v>
          </cell>
        </row>
        <row r="1309">
          <cell r="B1309" t="str">
            <v>K9305</v>
          </cell>
          <cell r="C1309">
            <v>200109</v>
          </cell>
          <cell r="D1309">
            <v>209913</v>
          </cell>
          <cell r="E1309" t="str">
            <v>N</v>
          </cell>
          <cell r="F1309" t="str">
            <v/>
          </cell>
          <cell r="G1309" t="str">
            <v/>
          </cell>
          <cell r="H1309" t="str">
            <v>R</v>
          </cell>
        </row>
        <row r="1310">
          <cell r="B1310" t="str">
            <v>K9306</v>
          </cell>
          <cell r="C1310">
            <v>200109</v>
          </cell>
          <cell r="D1310">
            <v>200112</v>
          </cell>
          <cell r="E1310" t="str">
            <v>C</v>
          </cell>
          <cell r="F1310" t="str">
            <v>Account status = Closed</v>
          </cell>
          <cell r="G1310" t="str">
            <v/>
          </cell>
          <cell r="H1310" t="str">
            <v>R</v>
          </cell>
        </row>
        <row r="1311">
          <cell r="B1311" t="str">
            <v>K9307</v>
          </cell>
          <cell r="C1311">
            <v>200109</v>
          </cell>
          <cell r="D1311">
            <v>201412</v>
          </cell>
          <cell r="E1311" t="str">
            <v>N</v>
          </cell>
          <cell r="F1311" t="str">
            <v>Account closed from period 201412</v>
          </cell>
          <cell r="G1311" t="str">
            <v/>
          </cell>
          <cell r="H1311" t="str">
            <v>R</v>
          </cell>
        </row>
        <row r="1312">
          <cell r="B1312" t="str">
            <v>K9307</v>
          </cell>
          <cell r="C1312">
            <v>201413</v>
          </cell>
          <cell r="D1312">
            <v>209913</v>
          </cell>
          <cell r="E1312" t="str">
            <v>N</v>
          </cell>
          <cell r="F1312" t="str">
            <v/>
          </cell>
          <cell r="G1312" t="str">
            <v/>
          </cell>
          <cell r="H1312" t="str">
            <v>R</v>
          </cell>
        </row>
        <row r="1313">
          <cell r="B1313" t="str">
            <v>K9308</v>
          </cell>
          <cell r="C1313">
            <v>200109</v>
          </cell>
          <cell r="D1313">
            <v>209912</v>
          </cell>
          <cell r="E1313" t="str">
            <v>N</v>
          </cell>
          <cell r="F1313" t="str">
            <v/>
          </cell>
          <cell r="G1313" t="str">
            <v/>
          </cell>
          <cell r="H1313" t="str">
            <v>R</v>
          </cell>
        </row>
        <row r="1314">
          <cell r="B1314" t="str">
            <v>K9309</v>
          </cell>
          <cell r="C1314">
            <v>200109</v>
          </cell>
          <cell r="D1314">
            <v>201300</v>
          </cell>
          <cell r="E1314" t="str">
            <v>C</v>
          </cell>
          <cell r="F1314" t="str">
            <v>Account status = Closed</v>
          </cell>
          <cell r="G1314" t="str">
            <v/>
          </cell>
          <cell r="H1314" t="str">
            <v>R</v>
          </cell>
        </row>
        <row r="1315">
          <cell r="B1315" t="str">
            <v>K9311</v>
          </cell>
          <cell r="C1315">
            <v>200109</v>
          </cell>
          <cell r="D1315">
            <v>200112</v>
          </cell>
          <cell r="E1315" t="str">
            <v>C</v>
          </cell>
          <cell r="F1315" t="str">
            <v>Account status = Closed</v>
          </cell>
          <cell r="G1315" t="str">
            <v/>
          </cell>
          <cell r="H1315" t="str">
            <v>R</v>
          </cell>
        </row>
        <row r="1316">
          <cell r="B1316" t="str">
            <v>K9313</v>
          </cell>
          <cell r="C1316">
            <v>200109</v>
          </cell>
          <cell r="D1316">
            <v>209912</v>
          </cell>
          <cell r="E1316" t="str">
            <v>N</v>
          </cell>
          <cell r="F1316" t="str">
            <v/>
          </cell>
          <cell r="G1316" t="str">
            <v/>
          </cell>
          <cell r="H1316" t="str">
            <v>R</v>
          </cell>
        </row>
        <row r="1317">
          <cell r="B1317" t="str">
            <v>K9314</v>
          </cell>
          <cell r="C1317">
            <v>200109</v>
          </cell>
          <cell r="D1317">
            <v>209913</v>
          </cell>
          <cell r="E1317" t="str">
            <v>N</v>
          </cell>
          <cell r="F1317" t="str">
            <v/>
          </cell>
          <cell r="G1317" t="str">
            <v/>
          </cell>
          <cell r="H1317" t="str">
            <v>R</v>
          </cell>
        </row>
        <row r="1318">
          <cell r="B1318" t="str">
            <v>K9315</v>
          </cell>
          <cell r="C1318">
            <v>200109</v>
          </cell>
          <cell r="D1318">
            <v>209912</v>
          </cell>
          <cell r="E1318" t="str">
            <v>N</v>
          </cell>
          <cell r="F1318" t="str">
            <v/>
          </cell>
          <cell r="G1318" t="str">
            <v/>
          </cell>
          <cell r="H1318" t="str">
            <v>R</v>
          </cell>
        </row>
        <row r="1319">
          <cell r="B1319" t="str">
            <v>K9317</v>
          </cell>
          <cell r="C1319">
            <v>200109</v>
          </cell>
          <cell r="D1319">
            <v>209912</v>
          </cell>
          <cell r="E1319" t="str">
            <v>N</v>
          </cell>
          <cell r="F1319" t="str">
            <v/>
          </cell>
          <cell r="G1319" t="str">
            <v/>
          </cell>
          <cell r="H1319" t="str">
            <v>R</v>
          </cell>
        </row>
        <row r="1320">
          <cell r="B1320" t="str">
            <v>K9318</v>
          </cell>
          <cell r="C1320">
            <v>200109</v>
          </cell>
          <cell r="D1320">
            <v>200502</v>
          </cell>
          <cell r="E1320" t="str">
            <v>C</v>
          </cell>
          <cell r="F1320" t="str">
            <v>Account status = Closed</v>
          </cell>
          <cell r="G1320" t="str">
            <v/>
          </cell>
          <cell r="H1320" t="str">
            <v>R</v>
          </cell>
        </row>
        <row r="1321">
          <cell r="B1321" t="str">
            <v>K9321</v>
          </cell>
          <cell r="C1321">
            <v>200306</v>
          </cell>
          <cell r="D1321">
            <v>200713</v>
          </cell>
          <cell r="E1321" t="str">
            <v>C</v>
          </cell>
          <cell r="F1321" t="str">
            <v>Account status = Closed</v>
          </cell>
          <cell r="G1321" t="str">
            <v/>
          </cell>
          <cell r="H1321" t="str">
            <v>R</v>
          </cell>
        </row>
        <row r="1322">
          <cell r="B1322" t="str">
            <v>K9331</v>
          </cell>
          <cell r="C1322">
            <v>200708</v>
          </cell>
          <cell r="D1322">
            <v>209912</v>
          </cell>
          <cell r="E1322" t="str">
            <v>N</v>
          </cell>
          <cell r="F1322" t="str">
            <v/>
          </cell>
          <cell r="G1322" t="str">
            <v/>
          </cell>
          <cell r="H1322" t="str">
            <v>R</v>
          </cell>
        </row>
        <row r="1323">
          <cell r="B1323" t="str">
            <v>K9332</v>
          </cell>
          <cell r="C1323">
            <v>200708</v>
          </cell>
          <cell r="D1323">
            <v>201300</v>
          </cell>
          <cell r="E1323" t="str">
            <v>C</v>
          </cell>
          <cell r="F1323" t="str">
            <v>Account status = Closed</v>
          </cell>
          <cell r="G1323" t="str">
            <v/>
          </cell>
          <cell r="H1323" t="str">
            <v>R</v>
          </cell>
        </row>
        <row r="1324">
          <cell r="B1324" t="str">
            <v>K9333</v>
          </cell>
          <cell r="C1324">
            <v>200708</v>
          </cell>
          <cell r="D1324">
            <v>209912</v>
          </cell>
          <cell r="E1324" t="str">
            <v>N</v>
          </cell>
          <cell r="F1324" t="str">
            <v/>
          </cell>
          <cell r="G1324" t="str">
            <v/>
          </cell>
          <cell r="H1324" t="str">
            <v>R</v>
          </cell>
        </row>
        <row r="1325">
          <cell r="B1325" t="str">
            <v>K9334</v>
          </cell>
          <cell r="C1325">
            <v>200708</v>
          </cell>
          <cell r="D1325">
            <v>201300</v>
          </cell>
          <cell r="E1325" t="str">
            <v>C</v>
          </cell>
          <cell r="F1325" t="str">
            <v>Account status = Closed</v>
          </cell>
          <cell r="G1325" t="str">
            <v/>
          </cell>
          <cell r="H1325" t="str">
            <v>R</v>
          </cell>
        </row>
        <row r="1326">
          <cell r="B1326" t="str">
            <v>K9335</v>
          </cell>
          <cell r="C1326">
            <v>200708</v>
          </cell>
          <cell r="D1326">
            <v>209912</v>
          </cell>
          <cell r="E1326" t="str">
            <v>N</v>
          </cell>
          <cell r="F1326" t="str">
            <v/>
          </cell>
          <cell r="G1326" t="str">
            <v/>
          </cell>
          <cell r="H1326" t="str">
            <v>R</v>
          </cell>
        </row>
        <row r="1327">
          <cell r="B1327" t="str">
            <v>K9336</v>
          </cell>
          <cell r="C1327">
            <v>200708</v>
          </cell>
          <cell r="D1327">
            <v>209912</v>
          </cell>
          <cell r="E1327" t="str">
            <v>N</v>
          </cell>
          <cell r="F1327" t="str">
            <v/>
          </cell>
          <cell r="G1327" t="str">
            <v/>
          </cell>
          <cell r="H1327" t="str">
            <v>R</v>
          </cell>
        </row>
        <row r="1328">
          <cell r="B1328" t="str">
            <v>K9337</v>
          </cell>
          <cell r="C1328">
            <v>200708</v>
          </cell>
          <cell r="D1328">
            <v>201300</v>
          </cell>
          <cell r="E1328" t="str">
            <v>C</v>
          </cell>
          <cell r="F1328" t="str">
            <v>Account status = Closed</v>
          </cell>
          <cell r="G1328" t="str">
            <v/>
          </cell>
          <cell r="H1328" t="str">
            <v>R</v>
          </cell>
        </row>
        <row r="1329">
          <cell r="B1329" t="str">
            <v>K9338</v>
          </cell>
          <cell r="C1329">
            <v>200708</v>
          </cell>
          <cell r="D1329">
            <v>201300</v>
          </cell>
          <cell r="E1329" t="str">
            <v>C</v>
          </cell>
          <cell r="F1329" t="str">
            <v>Account status = Closed</v>
          </cell>
          <cell r="G1329" t="str">
            <v/>
          </cell>
          <cell r="H1329" t="str">
            <v>R</v>
          </cell>
        </row>
        <row r="1330">
          <cell r="B1330" t="str">
            <v>K9339</v>
          </cell>
          <cell r="C1330">
            <v>200708</v>
          </cell>
          <cell r="D1330">
            <v>201300</v>
          </cell>
          <cell r="E1330" t="str">
            <v>C</v>
          </cell>
          <cell r="F1330" t="str">
            <v>Account status = Closed</v>
          </cell>
          <cell r="G1330" t="str">
            <v/>
          </cell>
          <cell r="H1330" t="str">
            <v>R</v>
          </cell>
        </row>
        <row r="1331">
          <cell r="B1331" t="str">
            <v>K9340</v>
          </cell>
          <cell r="C1331">
            <v>200708</v>
          </cell>
          <cell r="D1331">
            <v>209912</v>
          </cell>
          <cell r="E1331" t="str">
            <v>N</v>
          </cell>
          <cell r="F1331" t="str">
            <v/>
          </cell>
          <cell r="G1331" t="str">
            <v/>
          </cell>
          <cell r="H1331" t="str">
            <v>R</v>
          </cell>
        </row>
        <row r="1332">
          <cell r="B1332" t="str">
            <v>K9341</v>
          </cell>
          <cell r="C1332">
            <v>200708</v>
          </cell>
          <cell r="D1332">
            <v>201300</v>
          </cell>
          <cell r="E1332" t="str">
            <v>C</v>
          </cell>
          <cell r="F1332" t="str">
            <v>Account status = Closed</v>
          </cell>
          <cell r="G1332" t="str">
            <v/>
          </cell>
          <cell r="H1332" t="str">
            <v>R</v>
          </cell>
        </row>
        <row r="1333">
          <cell r="B1333" t="str">
            <v>K9342</v>
          </cell>
          <cell r="C1333">
            <v>200708</v>
          </cell>
          <cell r="D1333">
            <v>201300</v>
          </cell>
          <cell r="E1333" t="str">
            <v>C</v>
          </cell>
          <cell r="F1333" t="str">
            <v>Account status = Closed</v>
          </cell>
          <cell r="G1333" t="str">
            <v/>
          </cell>
          <cell r="H1333" t="str">
            <v>R</v>
          </cell>
        </row>
        <row r="1334">
          <cell r="B1334" t="str">
            <v>K9343</v>
          </cell>
          <cell r="C1334">
            <v>200708</v>
          </cell>
          <cell r="D1334">
            <v>209912</v>
          </cell>
          <cell r="E1334" t="str">
            <v>N</v>
          </cell>
          <cell r="F1334" t="str">
            <v/>
          </cell>
          <cell r="G1334" t="str">
            <v/>
          </cell>
          <cell r="H1334" t="str">
            <v>R</v>
          </cell>
        </row>
        <row r="1335">
          <cell r="B1335" t="str">
            <v>K9344</v>
          </cell>
          <cell r="C1335">
            <v>200708</v>
          </cell>
          <cell r="D1335">
            <v>201300</v>
          </cell>
          <cell r="E1335" t="str">
            <v>C</v>
          </cell>
          <cell r="F1335" t="str">
            <v>Account status = Closed</v>
          </cell>
          <cell r="G1335" t="str">
            <v/>
          </cell>
          <cell r="H1335" t="str">
            <v>R</v>
          </cell>
        </row>
        <row r="1336">
          <cell r="B1336" t="str">
            <v>K9345</v>
          </cell>
          <cell r="C1336">
            <v>200708</v>
          </cell>
          <cell r="D1336">
            <v>201300</v>
          </cell>
          <cell r="E1336" t="str">
            <v>C</v>
          </cell>
          <cell r="F1336" t="str">
            <v>Account status = Closed</v>
          </cell>
          <cell r="G1336" t="str">
            <v/>
          </cell>
          <cell r="H1336" t="str">
            <v>R</v>
          </cell>
        </row>
        <row r="1337">
          <cell r="B1337" t="str">
            <v>K9346</v>
          </cell>
          <cell r="C1337">
            <v>200708</v>
          </cell>
          <cell r="D1337">
            <v>201300</v>
          </cell>
          <cell r="E1337" t="str">
            <v>C</v>
          </cell>
          <cell r="F1337" t="str">
            <v>Account status = Closed</v>
          </cell>
          <cell r="G1337" t="str">
            <v/>
          </cell>
          <cell r="H1337" t="str">
            <v>R</v>
          </cell>
        </row>
        <row r="1338">
          <cell r="B1338" t="str">
            <v>K9347</v>
          </cell>
          <cell r="C1338">
            <v>200708</v>
          </cell>
          <cell r="D1338">
            <v>201300</v>
          </cell>
          <cell r="E1338" t="str">
            <v>C</v>
          </cell>
          <cell r="F1338" t="str">
            <v>Account status = Closed</v>
          </cell>
          <cell r="G1338" t="str">
            <v/>
          </cell>
          <cell r="H1338" t="str">
            <v>R</v>
          </cell>
        </row>
        <row r="1339">
          <cell r="B1339" t="str">
            <v>K9348</v>
          </cell>
          <cell r="C1339">
            <v>200901</v>
          </cell>
          <cell r="D1339">
            <v>201300</v>
          </cell>
          <cell r="E1339" t="str">
            <v>C</v>
          </cell>
          <cell r="F1339" t="str">
            <v>Account status = Closed</v>
          </cell>
          <cell r="G1339" t="str">
            <v/>
          </cell>
          <cell r="H1339" t="str">
            <v>R</v>
          </cell>
        </row>
        <row r="1340">
          <cell r="B1340" t="str">
            <v>K9349</v>
          </cell>
          <cell r="C1340">
            <v>200901</v>
          </cell>
          <cell r="D1340">
            <v>201300</v>
          </cell>
          <cell r="E1340" t="str">
            <v>C</v>
          </cell>
          <cell r="F1340" t="str">
            <v>Account status = Closed</v>
          </cell>
          <cell r="G1340" t="str">
            <v/>
          </cell>
          <cell r="H1340" t="str">
            <v>R</v>
          </cell>
        </row>
        <row r="1341">
          <cell r="B1341" t="str">
            <v>K9350</v>
          </cell>
          <cell r="C1341">
            <v>200901</v>
          </cell>
          <cell r="D1341">
            <v>201300</v>
          </cell>
          <cell r="E1341" t="str">
            <v>C</v>
          </cell>
          <cell r="F1341" t="str">
            <v>Account status = Closed</v>
          </cell>
          <cell r="G1341" t="str">
            <v/>
          </cell>
          <cell r="H1341" t="str">
            <v>R</v>
          </cell>
        </row>
        <row r="1342">
          <cell r="B1342" t="str">
            <v>K9351</v>
          </cell>
          <cell r="C1342">
            <v>200901</v>
          </cell>
          <cell r="D1342">
            <v>209912</v>
          </cell>
          <cell r="E1342" t="str">
            <v>N</v>
          </cell>
          <cell r="F1342" t="str">
            <v/>
          </cell>
          <cell r="G1342" t="str">
            <v/>
          </cell>
          <cell r="H1342" t="str">
            <v>R</v>
          </cell>
        </row>
        <row r="1343">
          <cell r="B1343" t="str">
            <v>K9352</v>
          </cell>
          <cell r="C1343">
            <v>200901</v>
          </cell>
          <cell r="D1343">
            <v>201300</v>
          </cell>
          <cell r="E1343" t="str">
            <v>C</v>
          </cell>
          <cell r="F1343" t="str">
            <v>Account status = Closed</v>
          </cell>
          <cell r="G1343" t="str">
            <v/>
          </cell>
          <cell r="H1343" t="str">
            <v>R</v>
          </cell>
        </row>
        <row r="1344">
          <cell r="B1344" t="str">
            <v>K9353</v>
          </cell>
          <cell r="C1344">
            <v>200901</v>
          </cell>
          <cell r="D1344">
            <v>209912</v>
          </cell>
          <cell r="E1344" t="str">
            <v>N</v>
          </cell>
          <cell r="F1344" t="str">
            <v/>
          </cell>
          <cell r="G1344" t="str">
            <v/>
          </cell>
          <cell r="H1344" t="str">
            <v>R</v>
          </cell>
        </row>
        <row r="1345">
          <cell r="B1345" t="str">
            <v>K9354</v>
          </cell>
          <cell r="C1345">
            <v>200901</v>
          </cell>
          <cell r="D1345">
            <v>201300</v>
          </cell>
          <cell r="E1345" t="str">
            <v>C</v>
          </cell>
          <cell r="F1345" t="str">
            <v>Account status = Closed</v>
          </cell>
          <cell r="G1345" t="str">
            <v/>
          </cell>
          <cell r="H1345" t="str">
            <v>R</v>
          </cell>
        </row>
        <row r="1346">
          <cell r="B1346" t="str">
            <v>K9355</v>
          </cell>
          <cell r="C1346">
            <v>200901</v>
          </cell>
          <cell r="D1346">
            <v>201300</v>
          </cell>
          <cell r="E1346" t="str">
            <v>C</v>
          </cell>
          <cell r="F1346" t="str">
            <v>Account status = Closed</v>
          </cell>
          <cell r="G1346" t="str">
            <v/>
          </cell>
          <cell r="H1346" t="str">
            <v>R</v>
          </cell>
        </row>
        <row r="1347">
          <cell r="B1347" t="str">
            <v>K9356</v>
          </cell>
          <cell r="C1347">
            <v>200901</v>
          </cell>
          <cell r="D1347">
            <v>209912</v>
          </cell>
          <cell r="E1347" t="str">
            <v>N</v>
          </cell>
          <cell r="F1347" t="str">
            <v/>
          </cell>
          <cell r="G1347" t="str">
            <v/>
          </cell>
          <cell r="H1347" t="str">
            <v>R</v>
          </cell>
        </row>
        <row r="1348">
          <cell r="B1348" t="str">
            <v>K9401</v>
          </cell>
          <cell r="C1348">
            <v>200109</v>
          </cell>
          <cell r="D1348">
            <v>209912</v>
          </cell>
          <cell r="E1348" t="str">
            <v>N</v>
          </cell>
          <cell r="F1348" t="str">
            <v/>
          </cell>
          <cell r="G1348" t="str">
            <v/>
          </cell>
          <cell r="H1348" t="str">
            <v>R</v>
          </cell>
        </row>
        <row r="1349">
          <cell r="B1349" t="str">
            <v>K9402</v>
          </cell>
          <cell r="C1349">
            <v>201200</v>
          </cell>
          <cell r="D1349">
            <v>209912</v>
          </cell>
          <cell r="E1349" t="str">
            <v>N</v>
          </cell>
          <cell r="F1349" t="str">
            <v/>
          </cell>
          <cell r="G1349" t="str">
            <v/>
          </cell>
          <cell r="H1349" t="str">
            <v>R</v>
          </cell>
        </row>
        <row r="1350">
          <cell r="B1350" t="str">
            <v>K9403</v>
          </cell>
          <cell r="C1350">
            <v>199900</v>
          </cell>
          <cell r="D1350">
            <v>209912</v>
          </cell>
          <cell r="E1350" t="str">
            <v>N</v>
          </cell>
          <cell r="F1350" t="str">
            <v/>
          </cell>
          <cell r="G1350" t="str">
            <v/>
          </cell>
          <cell r="H1350" t="str">
            <v>R</v>
          </cell>
        </row>
        <row r="1351">
          <cell r="B1351" t="str">
            <v>K9407</v>
          </cell>
          <cell r="C1351">
            <v>200109</v>
          </cell>
          <cell r="D1351">
            <v>209912</v>
          </cell>
          <cell r="E1351" t="str">
            <v>N</v>
          </cell>
          <cell r="F1351" t="str">
            <v/>
          </cell>
          <cell r="G1351" t="str">
            <v/>
          </cell>
          <cell r="H1351" t="str">
            <v>R</v>
          </cell>
        </row>
        <row r="1352">
          <cell r="B1352" t="str">
            <v>K9410</v>
          </cell>
          <cell r="C1352">
            <v>199900</v>
          </cell>
          <cell r="D1352">
            <v>201300</v>
          </cell>
          <cell r="E1352" t="str">
            <v>C</v>
          </cell>
          <cell r="F1352" t="str">
            <v>Account status = Closed</v>
          </cell>
          <cell r="G1352" t="str">
            <v/>
          </cell>
          <cell r="H1352" t="str">
            <v>R</v>
          </cell>
        </row>
        <row r="1353">
          <cell r="B1353" t="str">
            <v>K9411</v>
          </cell>
          <cell r="C1353">
            <v>200109</v>
          </cell>
          <cell r="D1353">
            <v>209912</v>
          </cell>
          <cell r="E1353" t="str">
            <v>N</v>
          </cell>
          <cell r="F1353" t="str">
            <v/>
          </cell>
          <cell r="G1353" t="str">
            <v/>
          </cell>
          <cell r="H1353" t="str">
            <v>R</v>
          </cell>
        </row>
        <row r="1354">
          <cell r="B1354" t="str">
            <v>K9412</v>
          </cell>
          <cell r="C1354">
            <v>200109</v>
          </cell>
          <cell r="D1354">
            <v>209912</v>
          </cell>
          <cell r="E1354" t="str">
            <v>N</v>
          </cell>
          <cell r="F1354" t="str">
            <v/>
          </cell>
          <cell r="G1354" t="str">
            <v/>
          </cell>
          <cell r="H1354" t="str">
            <v>R</v>
          </cell>
        </row>
        <row r="1355">
          <cell r="B1355" t="str">
            <v>K9413</v>
          </cell>
          <cell r="C1355">
            <v>200109</v>
          </cell>
          <cell r="D1355">
            <v>201300</v>
          </cell>
          <cell r="E1355" t="str">
            <v>C</v>
          </cell>
          <cell r="F1355" t="str">
            <v>Account status = Closed</v>
          </cell>
          <cell r="G1355" t="str">
            <v/>
          </cell>
          <cell r="H1355" t="str">
            <v>R</v>
          </cell>
        </row>
        <row r="1356">
          <cell r="B1356" t="str">
            <v>K9414</v>
          </cell>
          <cell r="C1356">
            <v>200109</v>
          </cell>
          <cell r="D1356">
            <v>209912</v>
          </cell>
          <cell r="E1356" t="str">
            <v>N</v>
          </cell>
          <cell r="F1356" t="str">
            <v/>
          </cell>
          <cell r="G1356" t="str">
            <v/>
          </cell>
          <cell r="H1356" t="str">
            <v>R</v>
          </cell>
        </row>
        <row r="1357">
          <cell r="B1357" t="str">
            <v>K9415</v>
          </cell>
          <cell r="C1357">
            <v>200109</v>
          </cell>
          <cell r="D1357">
            <v>209912</v>
          </cell>
          <cell r="E1357" t="str">
            <v>N</v>
          </cell>
          <cell r="F1357" t="str">
            <v/>
          </cell>
          <cell r="G1357" t="str">
            <v/>
          </cell>
          <cell r="H1357" t="str">
            <v>R</v>
          </cell>
        </row>
        <row r="1358">
          <cell r="B1358" t="str">
            <v>K9416</v>
          </cell>
          <cell r="C1358">
            <v>200109</v>
          </cell>
          <cell r="D1358">
            <v>200713</v>
          </cell>
          <cell r="E1358" t="str">
            <v>C</v>
          </cell>
          <cell r="F1358" t="str">
            <v>Account status = Closed</v>
          </cell>
          <cell r="G1358" t="str">
            <v/>
          </cell>
          <cell r="H1358" t="str">
            <v>R</v>
          </cell>
        </row>
        <row r="1359">
          <cell r="B1359" t="str">
            <v>K9417</v>
          </cell>
          <cell r="C1359">
            <v>200109</v>
          </cell>
          <cell r="D1359">
            <v>200713</v>
          </cell>
          <cell r="E1359" t="str">
            <v>C</v>
          </cell>
          <cell r="F1359" t="str">
            <v>Account status = Closed</v>
          </cell>
          <cell r="G1359" t="str">
            <v/>
          </cell>
          <cell r="H1359" t="str">
            <v>R</v>
          </cell>
        </row>
        <row r="1360">
          <cell r="B1360" t="str">
            <v>K9418</v>
          </cell>
          <cell r="C1360">
            <v>200109</v>
          </cell>
          <cell r="D1360">
            <v>209912</v>
          </cell>
          <cell r="E1360" t="str">
            <v>N</v>
          </cell>
          <cell r="F1360" t="str">
            <v/>
          </cell>
          <cell r="G1360" t="str">
            <v/>
          </cell>
          <cell r="H1360" t="str">
            <v>R</v>
          </cell>
        </row>
        <row r="1361">
          <cell r="B1361" t="str">
            <v>K9419</v>
          </cell>
          <cell r="C1361">
            <v>200109</v>
          </cell>
          <cell r="D1361">
            <v>209912</v>
          </cell>
          <cell r="E1361" t="str">
            <v>N</v>
          </cell>
          <cell r="F1361" t="str">
            <v/>
          </cell>
          <cell r="G1361" t="str">
            <v/>
          </cell>
          <cell r="H1361" t="str">
            <v>R</v>
          </cell>
        </row>
        <row r="1362">
          <cell r="B1362" t="str">
            <v>K9420</v>
          </cell>
          <cell r="C1362">
            <v>200109</v>
          </cell>
          <cell r="D1362">
            <v>200713</v>
          </cell>
          <cell r="E1362" t="str">
            <v>C</v>
          </cell>
          <cell r="F1362" t="str">
            <v>Account status = Closed</v>
          </cell>
          <cell r="G1362" t="str">
            <v/>
          </cell>
          <cell r="H1362" t="str">
            <v>R</v>
          </cell>
        </row>
        <row r="1363">
          <cell r="B1363" t="str">
            <v>K9421</v>
          </cell>
          <cell r="C1363">
            <v>200109</v>
          </cell>
          <cell r="D1363">
            <v>200713</v>
          </cell>
          <cell r="E1363" t="str">
            <v>C</v>
          </cell>
          <cell r="F1363" t="str">
            <v>Account status = Closed</v>
          </cell>
          <cell r="G1363" t="str">
            <v/>
          </cell>
          <cell r="H1363" t="str">
            <v>R</v>
          </cell>
        </row>
        <row r="1364">
          <cell r="B1364" t="str">
            <v>K9422</v>
          </cell>
          <cell r="C1364">
            <v>200109</v>
          </cell>
          <cell r="D1364">
            <v>201300</v>
          </cell>
          <cell r="E1364" t="str">
            <v>C</v>
          </cell>
          <cell r="F1364" t="str">
            <v>Account status = Closed</v>
          </cell>
          <cell r="G1364" t="str">
            <v/>
          </cell>
          <cell r="H1364" t="str">
            <v>R</v>
          </cell>
        </row>
        <row r="1365">
          <cell r="B1365" t="str">
            <v>K9423</v>
          </cell>
          <cell r="C1365">
            <v>200109</v>
          </cell>
          <cell r="D1365">
            <v>200713</v>
          </cell>
          <cell r="E1365" t="str">
            <v>C</v>
          </cell>
          <cell r="F1365" t="str">
            <v>Account status = Closed</v>
          </cell>
          <cell r="G1365" t="str">
            <v/>
          </cell>
          <cell r="H1365" t="str">
            <v>R</v>
          </cell>
        </row>
        <row r="1366">
          <cell r="B1366" t="str">
            <v>K9424</v>
          </cell>
          <cell r="C1366">
            <v>200308</v>
          </cell>
          <cell r="D1366">
            <v>209912</v>
          </cell>
          <cell r="E1366" t="str">
            <v>N</v>
          </cell>
          <cell r="F1366" t="str">
            <v/>
          </cell>
          <cell r="G1366" t="str">
            <v/>
          </cell>
          <cell r="H1366" t="str">
            <v>R</v>
          </cell>
        </row>
        <row r="1367">
          <cell r="B1367" t="str">
            <v>K9425</v>
          </cell>
          <cell r="C1367">
            <v>200109</v>
          </cell>
          <cell r="D1367">
            <v>200112</v>
          </cell>
          <cell r="E1367" t="str">
            <v>C</v>
          </cell>
          <cell r="F1367" t="str">
            <v>Account status = Closed</v>
          </cell>
          <cell r="G1367" t="str">
            <v/>
          </cell>
          <cell r="H1367" t="str">
            <v>R</v>
          </cell>
        </row>
        <row r="1368">
          <cell r="B1368" t="str">
            <v>K9426</v>
          </cell>
          <cell r="C1368">
            <v>200109</v>
          </cell>
          <cell r="D1368">
            <v>209912</v>
          </cell>
          <cell r="E1368" t="str">
            <v>N</v>
          </cell>
          <cell r="F1368" t="str">
            <v/>
          </cell>
          <cell r="G1368" t="str">
            <v/>
          </cell>
          <cell r="H1368" t="str">
            <v>R</v>
          </cell>
        </row>
        <row r="1369">
          <cell r="B1369" t="str">
            <v>K9427</v>
          </cell>
          <cell r="C1369">
            <v>200109</v>
          </cell>
          <cell r="D1369">
            <v>200713</v>
          </cell>
          <cell r="E1369" t="str">
            <v>C</v>
          </cell>
          <cell r="F1369" t="str">
            <v>Account status = Closed</v>
          </cell>
          <cell r="G1369" t="str">
            <v/>
          </cell>
          <cell r="H1369" t="str">
            <v>R</v>
          </cell>
        </row>
        <row r="1370">
          <cell r="B1370" t="str">
            <v>K9428</v>
          </cell>
          <cell r="C1370">
            <v>200109</v>
          </cell>
          <cell r="D1370">
            <v>200112</v>
          </cell>
          <cell r="E1370" t="str">
            <v>C</v>
          </cell>
          <cell r="F1370" t="str">
            <v>Account status = Closed</v>
          </cell>
          <cell r="G1370" t="str">
            <v/>
          </cell>
          <cell r="H1370" t="str">
            <v>R</v>
          </cell>
        </row>
        <row r="1371">
          <cell r="B1371" t="str">
            <v>K9429</v>
          </cell>
          <cell r="C1371">
            <v>200109</v>
          </cell>
          <cell r="D1371">
            <v>200201</v>
          </cell>
          <cell r="E1371" t="str">
            <v>C</v>
          </cell>
          <cell r="F1371" t="str">
            <v>Account status = Closed</v>
          </cell>
          <cell r="G1371" t="str">
            <v/>
          </cell>
          <cell r="H1371" t="str">
            <v>R</v>
          </cell>
        </row>
        <row r="1372">
          <cell r="B1372" t="str">
            <v>K9430</v>
          </cell>
          <cell r="C1372">
            <v>200109</v>
          </cell>
          <cell r="D1372">
            <v>209912</v>
          </cell>
          <cell r="E1372" t="str">
            <v>N</v>
          </cell>
          <cell r="F1372" t="str">
            <v/>
          </cell>
          <cell r="G1372" t="str">
            <v/>
          </cell>
          <cell r="H1372" t="str">
            <v>R</v>
          </cell>
        </row>
        <row r="1373">
          <cell r="B1373" t="str">
            <v>K9431</v>
          </cell>
          <cell r="C1373">
            <v>200109</v>
          </cell>
          <cell r="D1373">
            <v>200112</v>
          </cell>
          <cell r="E1373" t="str">
            <v>C</v>
          </cell>
          <cell r="F1373" t="str">
            <v>Account status = Closed</v>
          </cell>
          <cell r="G1373" t="str">
            <v/>
          </cell>
          <cell r="H1373" t="str">
            <v>R</v>
          </cell>
        </row>
        <row r="1374">
          <cell r="B1374" t="str">
            <v>K9432</v>
          </cell>
          <cell r="C1374">
            <v>200109</v>
          </cell>
          <cell r="D1374">
            <v>200112</v>
          </cell>
          <cell r="E1374" t="str">
            <v>C</v>
          </cell>
          <cell r="F1374" t="str">
            <v>Account status = Closed</v>
          </cell>
          <cell r="G1374" t="str">
            <v/>
          </cell>
          <cell r="H1374" t="str">
            <v>R</v>
          </cell>
        </row>
        <row r="1375">
          <cell r="B1375" t="str">
            <v>K9433</v>
          </cell>
          <cell r="C1375">
            <v>200812</v>
          </cell>
          <cell r="D1375">
            <v>201300</v>
          </cell>
          <cell r="E1375" t="str">
            <v>C</v>
          </cell>
          <cell r="F1375" t="str">
            <v>Account status = Closed</v>
          </cell>
          <cell r="G1375" t="str">
            <v/>
          </cell>
          <cell r="H1375" t="str">
            <v>R</v>
          </cell>
        </row>
        <row r="1376">
          <cell r="B1376" t="str">
            <v>K9434</v>
          </cell>
          <cell r="C1376">
            <v>200109</v>
          </cell>
          <cell r="D1376">
            <v>209912</v>
          </cell>
          <cell r="E1376" t="str">
            <v>N</v>
          </cell>
          <cell r="F1376" t="str">
            <v/>
          </cell>
          <cell r="G1376" t="str">
            <v/>
          </cell>
          <cell r="H1376" t="str">
            <v>R</v>
          </cell>
        </row>
        <row r="1377">
          <cell r="B1377" t="str">
            <v>K9435</v>
          </cell>
          <cell r="C1377">
            <v>200109</v>
          </cell>
          <cell r="D1377">
            <v>209912</v>
          </cell>
          <cell r="E1377" t="str">
            <v>N</v>
          </cell>
          <cell r="F1377" t="str">
            <v/>
          </cell>
          <cell r="G1377" t="str">
            <v/>
          </cell>
          <cell r="H1377" t="str">
            <v>R</v>
          </cell>
        </row>
        <row r="1378">
          <cell r="B1378" t="str">
            <v>K9436</v>
          </cell>
          <cell r="C1378">
            <v>200109</v>
          </cell>
          <cell r="D1378">
            <v>209912</v>
          </cell>
          <cell r="E1378" t="str">
            <v>N</v>
          </cell>
          <cell r="F1378" t="str">
            <v/>
          </cell>
          <cell r="G1378" t="str">
            <v/>
          </cell>
          <cell r="H1378" t="str">
            <v>R</v>
          </cell>
        </row>
        <row r="1379">
          <cell r="B1379" t="str">
            <v>K9437</v>
          </cell>
          <cell r="C1379">
            <v>200109</v>
          </cell>
          <cell r="D1379">
            <v>200112</v>
          </cell>
          <cell r="E1379" t="str">
            <v>C</v>
          </cell>
          <cell r="F1379" t="str">
            <v>Account status = Closed</v>
          </cell>
          <cell r="G1379" t="str">
            <v/>
          </cell>
          <cell r="H1379" t="str">
            <v>R</v>
          </cell>
        </row>
        <row r="1380">
          <cell r="B1380" t="str">
            <v>K9439</v>
          </cell>
          <cell r="C1380">
            <v>200109</v>
          </cell>
          <cell r="D1380">
            <v>200112</v>
          </cell>
          <cell r="E1380" t="str">
            <v>C</v>
          </cell>
          <cell r="F1380" t="str">
            <v>Account status = Closed</v>
          </cell>
          <cell r="G1380" t="str">
            <v/>
          </cell>
          <cell r="H1380" t="str">
            <v>R</v>
          </cell>
        </row>
        <row r="1381">
          <cell r="B1381" t="str">
            <v>K9440</v>
          </cell>
          <cell r="C1381">
            <v>200109</v>
          </cell>
          <cell r="D1381">
            <v>209912</v>
          </cell>
          <cell r="E1381" t="str">
            <v>N</v>
          </cell>
          <cell r="F1381" t="str">
            <v/>
          </cell>
          <cell r="G1381" t="str">
            <v/>
          </cell>
          <cell r="H1381" t="str">
            <v>R</v>
          </cell>
        </row>
        <row r="1382">
          <cell r="B1382" t="str">
            <v>K9441</v>
          </cell>
          <cell r="C1382">
            <v>200109</v>
          </cell>
          <cell r="D1382">
            <v>201300</v>
          </cell>
          <cell r="E1382" t="str">
            <v>C</v>
          </cell>
          <cell r="F1382" t="str">
            <v>Account status = Closed</v>
          </cell>
          <cell r="G1382" t="str">
            <v/>
          </cell>
          <cell r="H1382" t="str">
            <v>R</v>
          </cell>
        </row>
        <row r="1383">
          <cell r="B1383" t="str">
            <v>K9442</v>
          </cell>
          <cell r="C1383">
            <v>200109</v>
          </cell>
          <cell r="D1383">
            <v>201300</v>
          </cell>
          <cell r="E1383" t="str">
            <v>C</v>
          </cell>
          <cell r="F1383" t="str">
            <v>Account status = Closed</v>
          </cell>
          <cell r="G1383" t="str">
            <v/>
          </cell>
          <cell r="H1383" t="str">
            <v>R</v>
          </cell>
        </row>
        <row r="1384">
          <cell r="B1384" t="str">
            <v>K9446</v>
          </cell>
          <cell r="C1384">
            <v>200313</v>
          </cell>
          <cell r="D1384">
            <v>209912</v>
          </cell>
          <cell r="E1384" t="str">
            <v>N</v>
          </cell>
          <cell r="F1384" t="str">
            <v/>
          </cell>
          <cell r="G1384" t="str">
            <v/>
          </cell>
          <cell r="H1384" t="str">
            <v>R</v>
          </cell>
        </row>
        <row r="1385">
          <cell r="B1385" t="str">
            <v>K9450</v>
          </cell>
          <cell r="C1385">
            <v>200209</v>
          </cell>
          <cell r="D1385">
            <v>209912</v>
          </cell>
          <cell r="E1385" t="str">
            <v>N</v>
          </cell>
          <cell r="F1385" t="str">
            <v/>
          </cell>
          <cell r="G1385" t="str">
            <v/>
          </cell>
          <cell r="H1385" t="str">
            <v>R</v>
          </cell>
        </row>
        <row r="1386">
          <cell r="B1386" t="str">
            <v>K9451</v>
          </cell>
          <cell r="C1386">
            <v>201001</v>
          </cell>
          <cell r="D1386">
            <v>209912</v>
          </cell>
          <cell r="E1386" t="str">
            <v>N</v>
          </cell>
          <cell r="F1386" t="str">
            <v/>
          </cell>
          <cell r="G1386" t="str">
            <v/>
          </cell>
          <cell r="H1386" t="str">
            <v>R</v>
          </cell>
        </row>
        <row r="1387">
          <cell r="B1387" t="str">
            <v>K9452</v>
          </cell>
          <cell r="C1387">
            <v>201001</v>
          </cell>
          <cell r="D1387">
            <v>209912</v>
          </cell>
          <cell r="E1387" t="str">
            <v>N</v>
          </cell>
          <cell r="F1387" t="str">
            <v/>
          </cell>
          <cell r="G1387" t="str">
            <v/>
          </cell>
          <cell r="H1387" t="str">
            <v>R</v>
          </cell>
        </row>
        <row r="1388">
          <cell r="B1388" t="str">
            <v>K9453</v>
          </cell>
          <cell r="C1388">
            <v>201001</v>
          </cell>
          <cell r="D1388">
            <v>209912</v>
          </cell>
          <cell r="E1388" t="str">
            <v>N</v>
          </cell>
          <cell r="F1388" t="str">
            <v/>
          </cell>
          <cell r="G1388" t="str">
            <v/>
          </cell>
          <cell r="H1388" t="str">
            <v>R</v>
          </cell>
        </row>
        <row r="1389">
          <cell r="B1389" t="str">
            <v>K9454</v>
          </cell>
          <cell r="C1389">
            <v>200109</v>
          </cell>
          <cell r="D1389">
            <v>209912</v>
          </cell>
          <cell r="E1389" t="str">
            <v>N</v>
          </cell>
          <cell r="F1389" t="str">
            <v/>
          </cell>
          <cell r="G1389" t="str">
            <v/>
          </cell>
          <cell r="H1389" t="str">
            <v>R</v>
          </cell>
        </row>
        <row r="1390">
          <cell r="B1390" t="str">
            <v>K9455</v>
          </cell>
          <cell r="C1390">
            <v>200109</v>
          </cell>
          <cell r="D1390">
            <v>200112</v>
          </cell>
          <cell r="E1390" t="str">
            <v>C</v>
          </cell>
          <cell r="F1390" t="str">
            <v>Account status = Closed</v>
          </cell>
          <cell r="G1390" t="str">
            <v/>
          </cell>
          <cell r="H1390" t="str">
            <v>R</v>
          </cell>
        </row>
        <row r="1391">
          <cell r="B1391" t="str">
            <v>K9456</v>
          </cell>
          <cell r="C1391">
            <v>200109</v>
          </cell>
          <cell r="D1391">
            <v>200112</v>
          </cell>
          <cell r="E1391" t="str">
            <v>C</v>
          </cell>
          <cell r="F1391" t="str">
            <v>Account status = Closed</v>
          </cell>
          <cell r="G1391" t="str">
            <v/>
          </cell>
          <cell r="H1391" t="str">
            <v>R</v>
          </cell>
        </row>
        <row r="1392">
          <cell r="B1392" t="str">
            <v>K9457</v>
          </cell>
          <cell r="C1392">
            <v>200301</v>
          </cell>
          <cell r="D1392">
            <v>209912</v>
          </cell>
          <cell r="E1392" t="str">
            <v>N</v>
          </cell>
          <cell r="F1392" t="str">
            <v/>
          </cell>
          <cell r="G1392" t="str">
            <v/>
          </cell>
          <cell r="H1392" t="str">
            <v>R</v>
          </cell>
        </row>
        <row r="1393">
          <cell r="B1393" t="str">
            <v>K9458</v>
          </cell>
          <cell r="C1393">
            <v>200109</v>
          </cell>
          <cell r="D1393">
            <v>209912</v>
          </cell>
          <cell r="E1393" t="str">
            <v>N</v>
          </cell>
          <cell r="F1393" t="str">
            <v/>
          </cell>
          <cell r="G1393" t="str">
            <v/>
          </cell>
          <cell r="H1393" t="str">
            <v>R</v>
          </cell>
        </row>
        <row r="1394">
          <cell r="B1394" t="str">
            <v>K9459</v>
          </cell>
          <cell r="C1394">
            <v>200109</v>
          </cell>
          <cell r="D1394">
            <v>200713</v>
          </cell>
          <cell r="E1394" t="str">
            <v>C</v>
          </cell>
          <cell r="F1394" t="str">
            <v>Account status = Closed</v>
          </cell>
          <cell r="G1394" t="str">
            <v/>
          </cell>
          <cell r="H1394" t="str">
            <v>R</v>
          </cell>
        </row>
        <row r="1395">
          <cell r="B1395" t="str">
            <v>K9460</v>
          </cell>
          <cell r="C1395">
            <v>200109</v>
          </cell>
          <cell r="D1395">
            <v>200713</v>
          </cell>
          <cell r="E1395" t="str">
            <v>C</v>
          </cell>
          <cell r="F1395" t="str">
            <v>Account status = Closed</v>
          </cell>
          <cell r="G1395" t="str">
            <v/>
          </cell>
          <cell r="H1395" t="str">
            <v>R</v>
          </cell>
        </row>
        <row r="1396">
          <cell r="B1396" t="str">
            <v>K9461</v>
          </cell>
          <cell r="C1396">
            <v>200109</v>
          </cell>
          <cell r="D1396">
            <v>209912</v>
          </cell>
          <cell r="E1396" t="str">
            <v>N</v>
          </cell>
          <cell r="F1396" t="str">
            <v/>
          </cell>
          <cell r="G1396" t="str">
            <v/>
          </cell>
          <cell r="H1396" t="str">
            <v>R</v>
          </cell>
        </row>
        <row r="1397">
          <cell r="B1397" t="str">
            <v>K9462</v>
          </cell>
          <cell r="C1397">
            <v>200109</v>
          </cell>
          <cell r="D1397">
            <v>209912</v>
          </cell>
          <cell r="E1397" t="str">
            <v>N</v>
          </cell>
          <cell r="F1397" t="str">
            <v/>
          </cell>
          <cell r="G1397" t="str">
            <v/>
          </cell>
          <cell r="H1397" t="str">
            <v>R</v>
          </cell>
        </row>
        <row r="1398">
          <cell r="B1398" t="str">
            <v>K9463</v>
          </cell>
          <cell r="C1398">
            <v>200109</v>
          </cell>
          <cell r="D1398">
            <v>209912</v>
          </cell>
          <cell r="E1398" t="str">
            <v>N</v>
          </cell>
          <cell r="F1398" t="str">
            <v/>
          </cell>
          <cell r="G1398" t="str">
            <v/>
          </cell>
          <cell r="H1398" t="str">
            <v>R</v>
          </cell>
        </row>
        <row r="1399">
          <cell r="B1399" t="str">
            <v>K9464</v>
          </cell>
          <cell r="C1399">
            <v>200109</v>
          </cell>
          <cell r="D1399">
            <v>209912</v>
          </cell>
          <cell r="E1399" t="str">
            <v>N</v>
          </cell>
          <cell r="F1399" t="str">
            <v/>
          </cell>
          <cell r="G1399" t="str">
            <v/>
          </cell>
          <cell r="H1399" t="str">
            <v>R</v>
          </cell>
        </row>
        <row r="1400">
          <cell r="B1400" t="str">
            <v>K9465</v>
          </cell>
          <cell r="C1400">
            <v>200109</v>
          </cell>
          <cell r="D1400">
            <v>209912</v>
          </cell>
          <cell r="E1400" t="str">
            <v>N</v>
          </cell>
          <cell r="F1400" t="str">
            <v/>
          </cell>
          <cell r="G1400" t="str">
            <v/>
          </cell>
          <cell r="H1400" t="str">
            <v>R</v>
          </cell>
        </row>
        <row r="1401">
          <cell r="B1401" t="str">
            <v>K9466</v>
          </cell>
          <cell r="C1401">
            <v>200109</v>
          </cell>
          <cell r="D1401">
            <v>200313</v>
          </cell>
          <cell r="E1401" t="str">
            <v>C</v>
          </cell>
          <cell r="F1401" t="str">
            <v>Account status = Closed</v>
          </cell>
          <cell r="G1401" t="str">
            <v/>
          </cell>
          <cell r="H1401" t="str">
            <v>R</v>
          </cell>
        </row>
        <row r="1402">
          <cell r="B1402" t="str">
            <v>K9467</v>
          </cell>
          <cell r="C1402">
            <v>200109</v>
          </cell>
          <cell r="D1402">
            <v>209912</v>
          </cell>
          <cell r="E1402" t="str">
            <v>N</v>
          </cell>
          <cell r="F1402" t="str">
            <v/>
          </cell>
          <cell r="G1402" t="str">
            <v/>
          </cell>
          <cell r="H1402" t="str">
            <v>R</v>
          </cell>
        </row>
        <row r="1403">
          <cell r="B1403" t="str">
            <v>K9468</v>
          </cell>
          <cell r="C1403">
            <v>200109</v>
          </cell>
          <cell r="D1403">
            <v>200713</v>
          </cell>
          <cell r="E1403" t="str">
            <v>C</v>
          </cell>
          <cell r="F1403" t="str">
            <v>Account status = Closed</v>
          </cell>
          <cell r="G1403" t="str">
            <v/>
          </cell>
          <cell r="H1403" t="str">
            <v>R</v>
          </cell>
        </row>
        <row r="1404">
          <cell r="B1404" t="str">
            <v>K9469</v>
          </cell>
          <cell r="C1404">
            <v>200109</v>
          </cell>
          <cell r="D1404">
            <v>201300</v>
          </cell>
          <cell r="E1404" t="str">
            <v>C</v>
          </cell>
          <cell r="F1404" t="str">
            <v>Account status = Closed</v>
          </cell>
          <cell r="G1404" t="str">
            <v/>
          </cell>
          <cell r="H1404" t="str">
            <v>R</v>
          </cell>
        </row>
        <row r="1405">
          <cell r="B1405" t="str">
            <v>K9470</v>
          </cell>
          <cell r="C1405">
            <v>200109</v>
          </cell>
          <cell r="D1405">
            <v>209913</v>
          </cell>
          <cell r="E1405" t="str">
            <v>N</v>
          </cell>
          <cell r="F1405" t="str">
            <v/>
          </cell>
          <cell r="G1405" t="str">
            <v/>
          </cell>
          <cell r="H1405" t="str">
            <v>R</v>
          </cell>
        </row>
        <row r="1406">
          <cell r="B1406" t="str">
            <v>K9471</v>
          </cell>
          <cell r="C1406">
            <v>200900</v>
          </cell>
          <cell r="D1406">
            <v>209912</v>
          </cell>
          <cell r="E1406" t="str">
            <v>N</v>
          </cell>
          <cell r="F1406" t="str">
            <v/>
          </cell>
          <cell r="G1406" t="str">
            <v/>
          </cell>
          <cell r="H1406" t="str">
            <v>R</v>
          </cell>
        </row>
        <row r="1407">
          <cell r="B1407" t="str">
            <v>K9472</v>
          </cell>
          <cell r="C1407">
            <v>200109</v>
          </cell>
          <cell r="D1407">
            <v>209913</v>
          </cell>
          <cell r="E1407" t="str">
            <v>N</v>
          </cell>
          <cell r="F1407" t="str">
            <v/>
          </cell>
          <cell r="G1407" t="str">
            <v/>
          </cell>
          <cell r="H1407" t="str">
            <v>R</v>
          </cell>
        </row>
        <row r="1408">
          <cell r="B1408" t="str">
            <v>K9473</v>
          </cell>
          <cell r="C1408">
            <v>199900</v>
          </cell>
          <cell r="D1408">
            <v>209912</v>
          </cell>
          <cell r="E1408" t="str">
            <v>N</v>
          </cell>
          <cell r="F1408" t="str">
            <v/>
          </cell>
          <cell r="G1408" t="str">
            <v/>
          </cell>
          <cell r="H1408" t="str">
            <v>R</v>
          </cell>
        </row>
        <row r="1409">
          <cell r="B1409" t="str">
            <v>K9475</v>
          </cell>
          <cell r="C1409">
            <v>200109</v>
          </cell>
          <cell r="D1409">
            <v>209912</v>
          </cell>
          <cell r="E1409" t="str">
            <v>N</v>
          </cell>
          <cell r="F1409" t="str">
            <v/>
          </cell>
          <cell r="G1409" t="str">
            <v/>
          </cell>
          <cell r="H1409" t="str">
            <v>R</v>
          </cell>
        </row>
        <row r="1410">
          <cell r="B1410" t="str">
            <v>K9476</v>
          </cell>
          <cell r="C1410">
            <v>200109</v>
          </cell>
          <cell r="D1410">
            <v>209912</v>
          </cell>
          <cell r="E1410" t="str">
            <v>N</v>
          </cell>
          <cell r="F1410" t="str">
            <v/>
          </cell>
          <cell r="G1410" t="str">
            <v/>
          </cell>
          <cell r="H1410" t="str">
            <v>R</v>
          </cell>
        </row>
        <row r="1411">
          <cell r="B1411" t="str">
            <v>K9477</v>
          </cell>
          <cell r="C1411">
            <v>200704</v>
          </cell>
          <cell r="D1411">
            <v>209912</v>
          </cell>
          <cell r="E1411" t="str">
            <v>N</v>
          </cell>
          <cell r="F1411" t="str">
            <v/>
          </cell>
          <cell r="G1411" t="str">
            <v/>
          </cell>
          <cell r="H1411" t="str">
            <v>R</v>
          </cell>
        </row>
        <row r="1412">
          <cell r="B1412" t="str">
            <v>K9478</v>
          </cell>
          <cell r="C1412">
            <v>200109</v>
          </cell>
          <cell r="D1412">
            <v>201300</v>
          </cell>
          <cell r="E1412" t="str">
            <v>C</v>
          </cell>
          <cell r="F1412" t="str">
            <v>Account status = Closed</v>
          </cell>
          <cell r="G1412" t="str">
            <v/>
          </cell>
          <cell r="H1412" t="str">
            <v>R</v>
          </cell>
        </row>
        <row r="1413">
          <cell r="B1413" t="str">
            <v>K9479</v>
          </cell>
          <cell r="C1413">
            <v>200109</v>
          </cell>
          <cell r="D1413">
            <v>209912</v>
          </cell>
          <cell r="E1413" t="str">
            <v>N</v>
          </cell>
          <cell r="F1413" t="str">
            <v/>
          </cell>
          <cell r="G1413" t="str">
            <v/>
          </cell>
          <cell r="H1413" t="str">
            <v>R</v>
          </cell>
        </row>
        <row r="1414">
          <cell r="B1414" t="str">
            <v>K9481</v>
          </cell>
          <cell r="C1414">
            <v>200109</v>
          </cell>
          <cell r="D1414">
            <v>200713</v>
          </cell>
          <cell r="E1414" t="str">
            <v>C</v>
          </cell>
          <cell r="F1414" t="str">
            <v>Account status = Closed</v>
          </cell>
          <cell r="G1414" t="str">
            <v/>
          </cell>
          <cell r="H1414" t="str">
            <v>R</v>
          </cell>
        </row>
        <row r="1415">
          <cell r="B1415" t="str">
            <v>K9484</v>
          </cell>
          <cell r="C1415">
            <v>200109</v>
          </cell>
          <cell r="D1415">
            <v>209912</v>
          </cell>
          <cell r="E1415" t="str">
            <v>N</v>
          </cell>
          <cell r="F1415" t="str">
            <v/>
          </cell>
          <cell r="G1415" t="str">
            <v/>
          </cell>
          <cell r="H1415" t="str">
            <v>R</v>
          </cell>
        </row>
        <row r="1416">
          <cell r="B1416" t="str">
            <v>K9486</v>
          </cell>
          <cell r="C1416">
            <v>200109</v>
          </cell>
          <cell r="D1416">
            <v>209912</v>
          </cell>
          <cell r="E1416" t="str">
            <v>N</v>
          </cell>
          <cell r="F1416" t="str">
            <v/>
          </cell>
          <cell r="G1416" t="str">
            <v/>
          </cell>
          <cell r="H1416" t="str">
            <v>R</v>
          </cell>
        </row>
        <row r="1417">
          <cell r="B1417" t="str">
            <v>K9487</v>
          </cell>
          <cell r="C1417">
            <v>200109</v>
          </cell>
          <cell r="D1417">
            <v>200112</v>
          </cell>
          <cell r="E1417" t="str">
            <v>C</v>
          </cell>
          <cell r="F1417" t="str">
            <v>Account status = Closed</v>
          </cell>
          <cell r="G1417" t="str">
            <v/>
          </cell>
          <cell r="H1417" t="str">
            <v>R</v>
          </cell>
        </row>
        <row r="1418">
          <cell r="B1418" t="str">
            <v>K9488</v>
          </cell>
          <cell r="C1418">
            <v>200109</v>
          </cell>
          <cell r="D1418">
            <v>200112</v>
          </cell>
          <cell r="E1418" t="str">
            <v>C</v>
          </cell>
          <cell r="F1418" t="str">
            <v>Account status = Closed</v>
          </cell>
          <cell r="G1418" t="str">
            <v/>
          </cell>
          <cell r="H1418" t="str">
            <v>R</v>
          </cell>
        </row>
        <row r="1419">
          <cell r="B1419" t="str">
            <v>K9489</v>
          </cell>
          <cell r="C1419">
            <v>200109</v>
          </cell>
          <cell r="D1419">
            <v>209912</v>
          </cell>
          <cell r="E1419" t="str">
            <v>N</v>
          </cell>
          <cell r="F1419" t="str">
            <v/>
          </cell>
          <cell r="G1419" t="str">
            <v/>
          </cell>
          <cell r="H1419" t="str">
            <v>R</v>
          </cell>
        </row>
        <row r="1420">
          <cell r="B1420" t="str">
            <v>K9491</v>
          </cell>
          <cell r="C1420">
            <v>200512</v>
          </cell>
          <cell r="D1420">
            <v>200713</v>
          </cell>
          <cell r="E1420" t="str">
            <v>C</v>
          </cell>
          <cell r="F1420" t="str">
            <v>Account status = Closed</v>
          </cell>
          <cell r="G1420" t="str">
            <v/>
          </cell>
          <cell r="H1420" t="str">
            <v>R</v>
          </cell>
        </row>
        <row r="1421">
          <cell r="B1421" t="str">
            <v>K9492</v>
          </cell>
          <cell r="C1421">
            <v>200512</v>
          </cell>
          <cell r="D1421">
            <v>200713</v>
          </cell>
          <cell r="E1421" t="str">
            <v>C</v>
          </cell>
          <cell r="F1421" t="str">
            <v>Account status = Closed</v>
          </cell>
          <cell r="G1421" t="str">
            <v/>
          </cell>
          <cell r="H1421" t="str">
            <v>R</v>
          </cell>
        </row>
        <row r="1422">
          <cell r="B1422" t="str">
            <v>K9493</v>
          </cell>
          <cell r="C1422">
            <v>200512</v>
          </cell>
          <cell r="D1422">
            <v>200713</v>
          </cell>
          <cell r="E1422" t="str">
            <v>C</v>
          </cell>
          <cell r="F1422" t="str">
            <v>Account status = Closed</v>
          </cell>
          <cell r="G1422" t="str">
            <v/>
          </cell>
          <cell r="H1422" t="str">
            <v>R</v>
          </cell>
        </row>
        <row r="1423">
          <cell r="B1423" t="str">
            <v>K9494</v>
          </cell>
          <cell r="C1423">
            <v>200109</v>
          </cell>
          <cell r="D1423">
            <v>200713</v>
          </cell>
          <cell r="E1423" t="str">
            <v>C</v>
          </cell>
          <cell r="F1423" t="str">
            <v>Account status = Closed</v>
          </cell>
          <cell r="G1423" t="str">
            <v/>
          </cell>
          <cell r="H1423" t="str">
            <v>R</v>
          </cell>
        </row>
        <row r="1424">
          <cell r="B1424" t="str">
            <v>K9501</v>
          </cell>
          <cell r="C1424">
            <v>200201</v>
          </cell>
          <cell r="D1424">
            <v>209912</v>
          </cell>
          <cell r="E1424" t="str">
            <v>N</v>
          </cell>
          <cell r="F1424" t="str">
            <v/>
          </cell>
          <cell r="G1424" t="str">
            <v/>
          </cell>
          <cell r="H1424" t="str">
            <v>R</v>
          </cell>
        </row>
        <row r="1425">
          <cell r="B1425" t="str">
            <v>K9502</v>
          </cell>
          <cell r="C1425">
            <v>200109</v>
          </cell>
          <cell r="D1425">
            <v>209912</v>
          </cell>
          <cell r="E1425" t="str">
            <v>N</v>
          </cell>
          <cell r="F1425" t="str">
            <v/>
          </cell>
          <cell r="G1425" t="str">
            <v/>
          </cell>
          <cell r="H1425" t="str">
            <v>R</v>
          </cell>
        </row>
        <row r="1426">
          <cell r="B1426" t="str">
            <v>K9503</v>
          </cell>
          <cell r="C1426">
            <v>200112</v>
          </cell>
          <cell r="D1426">
            <v>209912</v>
          </cell>
          <cell r="E1426" t="str">
            <v>N</v>
          </cell>
          <cell r="F1426" t="str">
            <v/>
          </cell>
          <cell r="G1426" t="str">
            <v/>
          </cell>
          <cell r="H1426" t="str">
            <v>R</v>
          </cell>
        </row>
        <row r="1427">
          <cell r="B1427" t="str">
            <v>K9504</v>
          </cell>
          <cell r="C1427">
            <v>200109</v>
          </cell>
          <cell r="D1427">
            <v>209912</v>
          </cell>
          <cell r="E1427" t="str">
            <v>N</v>
          </cell>
          <cell r="F1427" t="str">
            <v/>
          </cell>
          <cell r="G1427" t="str">
            <v/>
          </cell>
          <cell r="H1427" t="str">
            <v>R</v>
          </cell>
        </row>
        <row r="1428">
          <cell r="B1428" t="str">
            <v>K9505</v>
          </cell>
          <cell r="C1428">
            <v>200109</v>
          </cell>
          <cell r="D1428">
            <v>200112</v>
          </cell>
          <cell r="E1428" t="str">
            <v>C</v>
          </cell>
          <cell r="F1428" t="str">
            <v>Account status = Closed</v>
          </cell>
          <cell r="G1428" t="str">
            <v/>
          </cell>
          <cell r="H1428" t="str">
            <v>R</v>
          </cell>
        </row>
        <row r="1429">
          <cell r="B1429" t="str">
            <v>K9506</v>
          </cell>
          <cell r="C1429">
            <v>200109</v>
          </cell>
          <cell r="D1429">
            <v>209913</v>
          </cell>
          <cell r="E1429" t="str">
            <v>N</v>
          </cell>
          <cell r="F1429" t="str">
            <v/>
          </cell>
          <cell r="G1429" t="str">
            <v/>
          </cell>
          <cell r="H1429" t="str">
            <v>R</v>
          </cell>
        </row>
        <row r="1430">
          <cell r="B1430" t="str">
            <v>K9507</v>
          </cell>
          <cell r="C1430">
            <v>200109</v>
          </cell>
          <cell r="D1430">
            <v>209912</v>
          </cell>
          <cell r="E1430" t="str">
            <v>N</v>
          </cell>
          <cell r="F1430" t="str">
            <v/>
          </cell>
          <cell r="G1430" t="str">
            <v/>
          </cell>
          <cell r="H1430" t="str">
            <v>R</v>
          </cell>
        </row>
        <row r="1431">
          <cell r="B1431" t="str">
            <v>K9508</v>
          </cell>
          <cell r="C1431">
            <v>200304</v>
          </cell>
          <cell r="D1431">
            <v>209912</v>
          </cell>
          <cell r="E1431" t="str">
            <v>N</v>
          </cell>
          <cell r="F1431" t="str">
            <v/>
          </cell>
          <cell r="G1431" t="str">
            <v/>
          </cell>
          <cell r="H1431" t="str">
            <v>R</v>
          </cell>
        </row>
        <row r="1432">
          <cell r="B1432" t="str">
            <v>K9509</v>
          </cell>
          <cell r="C1432">
            <v>200109</v>
          </cell>
          <cell r="D1432">
            <v>209912</v>
          </cell>
          <cell r="E1432" t="str">
            <v>N</v>
          </cell>
          <cell r="F1432" t="str">
            <v/>
          </cell>
          <cell r="G1432" t="str">
            <v/>
          </cell>
          <cell r="H1432" t="str">
            <v>R</v>
          </cell>
        </row>
        <row r="1433">
          <cell r="B1433" t="str">
            <v>K9510</v>
          </cell>
          <cell r="C1433">
            <v>199900</v>
          </cell>
          <cell r="D1433">
            <v>201300</v>
          </cell>
          <cell r="E1433" t="str">
            <v>C</v>
          </cell>
          <cell r="F1433" t="str">
            <v>Account status = Closed</v>
          </cell>
          <cell r="G1433" t="str">
            <v/>
          </cell>
          <cell r="H1433" t="str">
            <v>R</v>
          </cell>
        </row>
        <row r="1434">
          <cell r="B1434" t="str">
            <v>K9511</v>
          </cell>
          <cell r="C1434">
            <v>200109</v>
          </cell>
          <cell r="D1434">
            <v>209912</v>
          </cell>
          <cell r="E1434" t="str">
            <v>N</v>
          </cell>
          <cell r="F1434" t="str">
            <v/>
          </cell>
          <cell r="G1434" t="str">
            <v/>
          </cell>
          <cell r="H1434" t="str">
            <v>R</v>
          </cell>
        </row>
        <row r="1435">
          <cell r="B1435" t="str">
            <v>K9512</v>
          </cell>
          <cell r="C1435">
            <v>200109</v>
          </cell>
          <cell r="D1435">
            <v>209912</v>
          </cell>
          <cell r="E1435" t="str">
            <v>N</v>
          </cell>
          <cell r="F1435" t="str">
            <v/>
          </cell>
          <cell r="G1435" t="str">
            <v/>
          </cell>
          <cell r="H1435" t="str">
            <v>R</v>
          </cell>
        </row>
        <row r="1436">
          <cell r="B1436" t="str">
            <v>K9513</v>
          </cell>
          <cell r="C1436">
            <v>200109</v>
          </cell>
          <cell r="D1436">
            <v>209912</v>
          </cell>
          <cell r="E1436" t="str">
            <v>N</v>
          </cell>
          <cell r="F1436" t="str">
            <v/>
          </cell>
          <cell r="G1436" t="str">
            <v/>
          </cell>
          <cell r="H1436" t="str">
            <v>R</v>
          </cell>
        </row>
        <row r="1437">
          <cell r="B1437" t="str">
            <v>K9514</v>
          </cell>
          <cell r="C1437">
            <v>200109</v>
          </cell>
          <cell r="D1437">
            <v>209912</v>
          </cell>
          <cell r="E1437" t="str">
            <v>N</v>
          </cell>
          <cell r="F1437" t="str">
            <v/>
          </cell>
          <cell r="G1437" t="str">
            <v/>
          </cell>
          <cell r="H1437" t="str">
            <v>R</v>
          </cell>
        </row>
        <row r="1438">
          <cell r="B1438" t="str">
            <v>K9515</v>
          </cell>
          <cell r="C1438">
            <v>200109</v>
          </cell>
          <cell r="D1438">
            <v>209912</v>
          </cell>
          <cell r="E1438" t="str">
            <v>N</v>
          </cell>
          <cell r="F1438" t="str">
            <v/>
          </cell>
          <cell r="G1438" t="str">
            <v/>
          </cell>
          <cell r="H1438" t="str">
            <v>R</v>
          </cell>
        </row>
        <row r="1439">
          <cell r="B1439" t="str">
            <v>K9516</v>
          </cell>
          <cell r="C1439">
            <v>200109</v>
          </cell>
          <cell r="D1439">
            <v>200713</v>
          </cell>
          <cell r="E1439" t="str">
            <v>C</v>
          </cell>
          <cell r="F1439" t="str">
            <v>Account status = Closed</v>
          </cell>
          <cell r="G1439" t="str">
            <v/>
          </cell>
          <cell r="H1439" t="str">
            <v>R</v>
          </cell>
        </row>
        <row r="1440">
          <cell r="B1440" t="str">
            <v>K9517</v>
          </cell>
          <cell r="C1440">
            <v>200404</v>
          </cell>
          <cell r="D1440">
            <v>200713</v>
          </cell>
          <cell r="E1440" t="str">
            <v>C</v>
          </cell>
          <cell r="F1440" t="str">
            <v>Account status = Closed</v>
          </cell>
          <cell r="G1440" t="str">
            <v/>
          </cell>
          <cell r="H1440" t="str">
            <v>R</v>
          </cell>
        </row>
        <row r="1441">
          <cell r="B1441" t="str">
            <v>K9518</v>
          </cell>
          <cell r="C1441">
            <v>200109</v>
          </cell>
          <cell r="D1441">
            <v>209912</v>
          </cell>
          <cell r="E1441" t="str">
            <v>N</v>
          </cell>
          <cell r="F1441" t="str">
            <v/>
          </cell>
          <cell r="G1441" t="str">
            <v/>
          </cell>
          <cell r="H1441" t="str">
            <v>R</v>
          </cell>
        </row>
        <row r="1442">
          <cell r="B1442" t="str">
            <v>K9519</v>
          </cell>
          <cell r="C1442">
            <v>200109</v>
          </cell>
          <cell r="D1442">
            <v>209912</v>
          </cell>
          <cell r="E1442" t="str">
            <v>N</v>
          </cell>
          <cell r="F1442" t="str">
            <v/>
          </cell>
          <cell r="G1442" t="str">
            <v/>
          </cell>
          <cell r="H1442" t="str">
            <v>R</v>
          </cell>
        </row>
        <row r="1443">
          <cell r="B1443" t="str">
            <v>K9520</v>
          </cell>
          <cell r="C1443">
            <v>200109</v>
          </cell>
          <cell r="D1443">
            <v>209912</v>
          </cell>
          <cell r="E1443" t="str">
            <v>N</v>
          </cell>
          <cell r="F1443" t="str">
            <v/>
          </cell>
          <cell r="G1443" t="str">
            <v/>
          </cell>
          <cell r="H1443" t="str">
            <v>R</v>
          </cell>
        </row>
        <row r="1444">
          <cell r="B1444" t="str">
            <v>K9521</v>
          </cell>
          <cell r="C1444">
            <v>201505</v>
          </cell>
          <cell r="D1444">
            <v>209912</v>
          </cell>
          <cell r="E1444" t="str">
            <v>N</v>
          </cell>
          <cell r="F1444" t="str">
            <v/>
          </cell>
          <cell r="G1444" t="str">
            <v/>
          </cell>
          <cell r="H1444" t="str">
            <v>R</v>
          </cell>
        </row>
        <row r="1445">
          <cell r="B1445" t="str">
            <v>K9522</v>
          </cell>
          <cell r="C1445">
            <v>200109</v>
          </cell>
          <cell r="D1445">
            <v>201300</v>
          </cell>
          <cell r="E1445" t="str">
            <v>C</v>
          </cell>
          <cell r="F1445" t="str">
            <v>Account status = Closed</v>
          </cell>
          <cell r="G1445" t="str">
            <v/>
          </cell>
          <cell r="H1445" t="str">
            <v>R</v>
          </cell>
        </row>
        <row r="1446">
          <cell r="B1446" t="str">
            <v>K9523</v>
          </cell>
          <cell r="C1446">
            <v>200204</v>
          </cell>
          <cell r="D1446">
            <v>209912</v>
          </cell>
          <cell r="E1446" t="str">
            <v>N</v>
          </cell>
          <cell r="F1446" t="str">
            <v/>
          </cell>
          <cell r="G1446" t="str">
            <v/>
          </cell>
          <cell r="H1446" t="str">
            <v>R</v>
          </cell>
        </row>
        <row r="1447">
          <cell r="B1447" t="str">
            <v>K9526</v>
          </cell>
          <cell r="C1447">
            <v>200109</v>
          </cell>
          <cell r="D1447">
            <v>209912</v>
          </cell>
          <cell r="E1447" t="str">
            <v>N</v>
          </cell>
          <cell r="F1447" t="str">
            <v/>
          </cell>
          <cell r="G1447" t="str">
            <v/>
          </cell>
          <cell r="H1447" t="str">
            <v>R</v>
          </cell>
        </row>
        <row r="1448">
          <cell r="B1448" t="str">
            <v>K9527</v>
          </cell>
          <cell r="C1448">
            <v>200109</v>
          </cell>
          <cell r="D1448">
            <v>200713</v>
          </cell>
          <cell r="E1448" t="str">
            <v>C</v>
          </cell>
          <cell r="F1448" t="str">
            <v>Account status = Closed</v>
          </cell>
          <cell r="G1448" t="str">
            <v/>
          </cell>
          <cell r="H1448" t="str">
            <v>R</v>
          </cell>
        </row>
        <row r="1449">
          <cell r="B1449" t="str">
            <v>K9528</v>
          </cell>
          <cell r="C1449">
            <v>201400</v>
          </cell>
          <cell r="D1449">
            <v>209900</v>
          </cell>
          <cell r="E1449" t="str">
            <v>N</v>
          </cell>
          <cell r="F1449" t="str">
            <v/>
          </cell>
          <cell r="G1449" t="str">
            <v/>
          </cell>
          <cell r="H1449" t="str">
            <v>R</v>
          </cell>
        </row>
        <row r="1450">
          <cell r="B1450" t="str">
            <v>K9530</v>
          </cell>
          <cell r="C1450">
            <v>200109</v>
          </cell>
          <cell r="D1450">
            <v>209912</v>
          </cell>
          <cell r="E1450" t="str">
            <v>N</v>
          </cell>
          <cell r="F1450" t="str">
            <v/>
          </cell>
          <cell r="G1450" t="str">
            <v/>
          </cell>
          <cell r="H1450" t="str">
            <v>R</v>
          </cell>
        </row>
        <row r="1451">
          <cell r="B1451" t="str">
            <v>K9532</v>
          </cell>
          <cell r="C1451">
            <v>200109</v>
          </cell>
          <cell r="D1451">
            <v>200112</v>
          </cell>
          <cell r="E1451" t="str">
            <v>C</v>
          </cell>
          <cell r="F1451" t="str">
            <v>Account status = Closed</v>
          </cell>
          <cell r="G1451" t="str">
            <v/>
          </cell>
          <cell r="H1451" t="str">
            <v>R</v>
          </cell>
        </row>
        <row r="1452">
          <cell r="B1452" t="str">
            <v>K9533</v>
          </cell>
          <cell r="C1452">
            <v>200109</v>
          </cell>
          <cell r="D1452">
            <v>200713</v>
          </cell>
          <cell r="E1452" t="str">
            <v>C</v>
          </cell>
          <cell r="F1452" t="str">
            <v>Account status = Closed</v>
          </cell>
          <cell r="G1452" t="str">
            <v/>
          </cell>
          <cell r="H1452" t="str">
            <v>R</v>
          </cell>
        </row>
        <row r="1453">
          <cell r="B1453" t="str">
            <v>K9534</v>
          </cell>
          <cell r="C1453">
            <v>200109</v>
          </cell>
          <cell r="D1453">
            <v>209912</v>
          </cell>
          <cell r="E1453" t="str">
            <v>N</v>
          </cell>
          <cell r="F1453" t="str">
            <v/>
          </cell>
          <cell r="G1453" t="str">
            <v/>
          </cell>
          <cell r="H1453" t="str">
            <v>R</v>
          </cell>
        </row>
        <row r="1454">
          <cell r="B1454" t="str">
            <v>K9535</v>
          </cell>
          <cell r="C1454">
            <v>200109</v>
          </cell>
          <cell r="D1454">
            <v>209912</v>
          </cell>
          <cell r="E1454" t="str">
            <v>N</v>
          </cell>
          <cell r="F1454" t="str">
            <v/>
          </cell>
          <cell r="G1454" t="str">
            <v/>
          </cell>
          <cell r="H1454" t="str">
            <v>R</v>
          </cell>
        </row>
        <row r="1455">
          <cell r="B1455" t="str">
            <v>K9536</v>
          </cell>
          <cell r="C1455">
            <v>200109</v>
          </cell>
          <cell r="D1455">
            <v>209912</v>
          </cell>
          <cell r="E1455" t="str">
            <v>N</v>
          </cell>
          <cell r="F1455" t="str">
            <v/>
          </cell>
          <cell r="G1455" t="str">
            <v/>
          </cell>
          <cell r="H1455" t="str">
            <v>R</v>
          </cell>
        </row>
        <row r="1456">
          <cell r="B1456" t="str">
            <v>K9537</v>
          </cell>
          <cell r="C1456">
            <v>200109</v>
          </cell>
          <cell r="D1456">
            <v>209912</v>
          </cell>
          <cell r="E1456" t="str">
            <v>N</v>
          </cell>
          <cell r="F1456" t="str">
            <v/>
          </cell>
          <cell r="G1456" t="str">
            <v/>
          </cell>
          <cell r="H1456" t="str">
            <v>R</v>
          </cell>
        </row>
        <row r="1457">
          <cell r="B1457" t="str">
            <v>K9538</v>
          </cell>
          <cell r="C1457">
            <v>200109</v>
          </cell>
          <cell r="D1457">
            <v>200112</v>
          </cell>
          <cell r="E1457" t="str">
            <v>C</v>
          </cell>
          <cell r="F1457" t="str">
            <v>Account status = Closed</v>
          </cell>
          <cell r="G1457" t="str">
            <v/>
          </cell>
          <cell r="H1457" t="str">
            <v>R</v>
          </cell>
        </row>
        <row r="1458">
          <cell r="B1458" t="str">
            <v>K9539</v>
          </cell>
          <cell r="C1458">
            <v>200109</v>
          </cell>
          <cell r="D1458">
            <v>200112</v>
          </cell>
          <cell r="E1458" t="str">
            <v>C</v>
          </cell>
          <cell r="F1458" t="str">
            <v>Account status = Closed</v>
          </cell>
          <cell r="G1458" t="str">
            <v/>
          </cell>
          <cell r="H1458" t="str">
            <v>R</v>
          </cell>
        </row>
        <row r="1459">
          <cell r="B1459" t="str">
            <v>K9540</v>
          </cell>
          <cell r="C1459">
            <v>200209</v>
          </cell>
          <cell r="D1459">
            <v>209912</v>
          </cell>
          <cell r="E1459" t="str">
            <v>N</v>
          </cell>
          <cell r="F1459" t="str">
            <v/>
          </cell>
          <cell r="G1459" t="str">
            <v/>
          </cell>
          <cell r="H1459" t="str">
            <v>R</v>
          </cell>
        </row>
        <row r="1460">
          <cell r="B1460" t="str">
            <v>K9541</v>
          </cell>
          <cell r="C1460">
            <v>200109</v>
          </cell>
          <cell r="D1460">
            <v>200713</v>
          </cell>
          <cell r="E1460" t="str">
            <v>C</v>
          </cell>
          <cell r="F1460" t="str">
            <v>Account status = Closed</v>
          </cell>
          <cell r="G1460" t="str">
            <v/>
          </cell>
          <cell r="H1460" t="str">
            <v>R</v>
          </cell>
        </row>
        <row r="1461">
          <cell r="B1461" t="str">
            <v>K9542</v>
          </cell>
          <cell r="C1461">
            <v>200109</v>
          </cell>
          <cell r="D1461">
            <v>209912</v>
          </cell>
          <cell r="E1461" t="str">
            <v>N</v>
          </cell>
          <cell r="F1461" t="str">
            <v/>
          </cell>
          <cell r="G1461" t="str">
            <v/>
          </cell>
          <cell r="H1461" t="str">
            <v>R</v>
          </cell>
        </row>
        <row r="1462">
          <cell r="B1462" t="str">
            <v>K9543</v>
          </cell>
          <cell r="C1462">
            <v>200209</v>
          </cell>
          <cell r="D1462">
            <v>209912</v>
          </cell>
          <cell r="E1462" t="str">
            <v>N</v>
          </cell>
          <cell r="F1462" t="str">
            <v/>
          </cell>
          <cell r="G1462" t="str">
            <v/>
          </cell>
          <cell r="H1462" t="str">
            <v>R</v>
          </cell>
        </row>
        <row r="1463">
          <cell r="B1463" t="str">
            <v>K9544</v>
          </cell>
          <cell r="C1463">
            <v>200109</v>
          </cell>
          <cell r="D1463">
            <v>209912</v>
          </cell>
          <cell r="E1463" t="str">
            <v>N</v>
          </cell>
          <cell r="F1463" t="str">
            <v/>
          </cell>
          <cell r="G1463" t="str">
            <v/>
          </cell>
          <cell r="H1463" t="str">
            <v>R</v>
          </cell>
        </row>
        <row r="1464">
          <cell r="B1464" t="str">
            <v>K9545</v>
          </cell>
          <cell r="C1464">
            <v>200209</v>
          </cell>
          <cell r="D1464">
            <v>209912</v>
          </cell>
          <cell r="E1464" t="str">
            <v>N</v>
          </cell>
          <cell r="F1464" t="str">
            <v/>
          </cell>
          <cell r="G1464" t="str">
            <v/>
          </cell>
          <cell r="H1464" t="str">
            <v>R</v>
          </cell>
        </row>
        <row r="1465">
          <cell r="B1465" t="str">
            <v>K9546</v>
          </cell>
          <cell r="C1465">
            <v>200109</v>
          </cell>
          <cell r="D1465">
            <v>209912</v>
          </cell>
          <cell r="E1465" t="str">
            <v>N</v>
          </cell>
          <cell r="F1465" t="str">
            <v/>
          </cell>
          <cell r="G1465" t="str">
            <v/>
          </cell>
          <cell r="H1465" t="str">
            <v>R</v>
          </cell>
        </row>
        <row r="1466">
          <cell r="B1466" t="str">
            <v>K9547</v>
          </cell>
          <cell r="C1466">
            <v>200209</v>
          </cell>
          <cell r="D1466">
            <v>209912</v>
          </cell>
          <cell r="E1466" t="str">
            <v>N</v>
          </cell>
          <cell r="F1466" t="str">
            <v/>
          </cell>
          <cell r="G1466" t="str">
            <v/>
          </cell>
          <cell r="H1466" t="str">
            <v>R</v>
          </cell>
        </row>
        <row r="1467">
          <cell r="B1467" t="str">
            <v>K9548</v>
          </cell>
          <cell r="C1467">
            <v>200109</v>
          </cell>
          <cell r="D1467">
            <v>201300</v>
          </cell>
          <cell r="E1467" t="str">
            <v>C</v>
          </cell>
          <cell r="F1467" t="str">
            <v>Account status = Closed</v>
          </cell>
          <cell r="G1467" t="str">
            <v/>
          </cell>
          <cell r="H1467" t="str">
            <v>R</v>
          </cell>
        </row>
        <row r="1468">
          <cell r="B1468" t="str">
            <v>K9549</v>
          </cell>
          <cell r="C1468">
            <v>200209</v>
          </cell>
          <cell r="D1468">
            <v>209912</v>
          </cell>
          <cell r="E1468" t="str">
            <v>N</v>
          </cell>
          <cell r="F1468" t="str">
            <v/>
          </cell>
          <cell r="G1468" t="str">
            <v/>
          </cell>
          <cell r="H1468" t="str">
            <v>R</v>
          </cell>
        </row>
        <row r="1469">
          <cell r="B1469" t="str">
            <v>K9550</v>
          </cell>
          <cell r="C1469">
            <v>200201</v>
          </cell>
          <cell r="D1469">
            <v>209912</v>
          </cell>
          <cell r="E1469" t="str">
            <v>N</v>
          </cell>
          <cell r="F1469" t="str">
            <v/>
          </cell>
          <cell r="G1469" t="str">
            <v/>
          </cell>
          <cell r="H1469" t="str">
            <v>R</v>
          </cell>
        </row>
        <row r="1470">
          <cell r="B1470" t="str">
            <v>K9551</v>
          </cell>
          <cell r="C1470">
            <v>200109</v>
          </cell>
          <cell r="D1470">
            <v>209912</v>
          </cell>
          <cell r="E1470" t="str">
            <v>N</v>
          </cell>
          <cell r="F1470" t="str">
            <v/>
          </cell>
          <cell r="G1470" t="str">
            <v/>
          </cell>
          <cell r="H1470" t="str">
            <v>R</v>
          </cell>
        </row>
        <row r="1471">
          <cell r="B1471" t="str">
            <v>K9552</v>
          </cell>
          <cell r="C1471">
            <v>200109</v>
          </cell>
          <cell r="D1471">
            <v>209912</v>
          </cell>
          <cell r="E1471" t="str">
            <v>N</v>
          </cell>
          <cell r="F1471" t="str">
            <v/>
          </cell>
          <cell r="G1471" t="str">
            <v/>
          </cell>
          <cell r="H1471" t="str">
            <v>R</v>
          </cell>
        </row>
        <row r="1472">
          <cell r="B1472" t="str">
            <v>K9553</v>
          </cell>
          <cell r="C1472">
            <v>200109</v>
          </cell>
          <cell r="D1472">
            <v>209912</v>
          </cell>
          <cell r="E1472" t="str">
            <v>N</v>
          </cell>
          <cell r="F1472" t="str">
            <v/>
          </cell>
          <cell r="G1472" t="str">
            <v/>
          </cell>
          <cell r="H1472" t="str">
            <v>R</v>
          </cell>
        </row>
        <row r="1473">
          <cell r="B1473" t="str">
            <v>K9555</v>
          </cell>
          <cell r="C1473">
            <v>200406</v>
          </cell>
          <cell r="D1473">
            <v>209912</v>
          </cell>
          <cell r="E1473" t="str">
            <v>N</v>
          </cell>
          <cell r="F1473" t="str">
            <v/>
          </cell>
          <cell r="G1473" t="str">
            <v/>
          </cell>
          <cell r="H1473" t="str">
            <v>R</v>
          </cell>
        </row>
        <row r="1474">
          <cell r="B1474" t="str">
            <v>K9556</v>
          </cell>
          <cell r="C1474">
            <v>200109</v>
          </cell>
          <cell r="D1474">
            <v>209912</v>
          </cell>
          <cell r="E1474" t="str">
            <v>N</v>
          </cell>
          <cell r="F1474" t="str">
            <v/>
          </cell>
          <cell r="G1474" t="str">
            <v/>
          </cell>
          <cell r="H1474" t="str">
            <v>R</v>
          </cell>
        </row>
        <row r="1475">
          <cell r="B1475" t="str">
            <v>K9557</v>
          </cell>
          <cell r="C1475">
            <v>200109</v>
          </cell>
          <cell r="D1475">
            <v>209912</v>
          </cell>
          <cell r="E1475" t="str">
            <v>N</v>
          </cell>
          <cell r="F1475" t="str">
            <v/>
          </cell>
          <cell r="G1475" t="str">
            <v/>
          </cell>
          <cell r="H1475" t="str">
            <v>R</v>
          </cell>
        </row>
        <row r="1476">
          <cell r="B1476" t="str">
            <v>K9558</v>
          </cell>
          <cell r="C1476">
            <v>201106</v>
          </cell>
          <cell r="D1476">
            <v>209912</v>
          </cell>
          <cell r="E1476" t="str">
            <v>N</v>
          </cell>
          <cell r="F1476" t="str">
            <v/>
          </cell>
          <cell r="G1476" t="str">
            <v/>
          </cell>
          <cell r="H1476" t="str">
            <v>R</v>
          </cell>
        </row>
        <row r="1477">
          <cell r="B1477" t="str">
            <v>K9559</v>
          </cell>
          <cell r="C1477">
            <v>201106</v>
          </cell>
          <cell r="D1477">
            <v>209912</v>
          </cell>
          <cell r="E1477" t="str">
            <v>N</v>
          </cell>
          <cell r="F1477" t="str">
            <v/>
          </cell>
          <cell r="G1477" t="str">
            <v/>
          </cell>
          <cell r="H1477" t="str">
            <v>R</v>
          </cell>
        </row>
        <row r="1478">
          <cell r="B1478" t="str">
            <v>K9560</v>
          </cell>
          <cell r="C1478">
            <v>199900</v>
          </cell>
          <cell r="D1478">
            <v>209912</v>
          </cell>
          <cell r="E1478" t="str">
            <v>N</v>
          </cell>
          <cell r="F1478" t="str">
            <v/>
          </cell>
          <cell r="G1478" t="str">
            <v/>
          </cell>
          <cell r="H1478" t="str">
            <v>R</v>
          </cell>
        </row>
        <row r="1479">
          <cell r="B1479" t="str">
            <v>K9561</v>
          </cell>
          <cell r="C1479">
            <v>199900</v>
          </cell>
          <cell r="D1479">
            <v>209912</v>
          </cell>
          <cell r="E1479" t="str">
            <v>N</v>
          </cell>
          <cell r="F1479" t="str">
            <v/>
          </cell>
          <cell r="G1479" t="str">
            <v/>
          </cell>
          <cell r="H1479" t="str">
            <v>R</v>
          </cell>
        </row>
        <row r="1480">
          <cell r="B1480" t="str">
            <v>K9562</v>
          </cell>
          <cell r="C1480">
            <v>200109</v>
          </cell>
          <cell r="D1480">
            <v>200713</v>
          </cell>
          <cell r="E1480" t="str">
            <v>C</v>
          </cell>
          <cell r="F1480" t="str">
            <v>Account status = Closed</v>
          </cell>
          <cell r="G1480" t="str">
            <v/>
          </cell>
          <cell r="H1480" t="str">
            <v>R</v>
          </cell>
        </row>
        <row r="1481">
          <cell r="B1481" t="str">
            <v>K9563</v>
          </cell>
          <cell r="C1481">
            <v>200109</v>
          </cell>
          <cell r="D1481">
            <v>201300</v>
          </cell>
          <cell r="E1481" t="str">
            <v>C</v>
          </cell>
          <cell r="F1481" t="str">
            <v>Account status = Closed</v>
          </cell>
          <cell r="G1481" t="str">
            <v/>
          </cell>
          <cell r="H1481" t="str">
            <v>R</v>
          </cell>
        </row>
        <row r="1482">
          <cell r="B1482" t="str">
            <v>K9564</v>
          </cell>
          <cell r="C1482">
            <v>199900</v>
          </cell>
          <cell r="D1482">
            <v>209912</v>
          </cell>
          <cell r="E1482" t="str">
            <v>N</v>
          </cell>
          <cell r="F1482" t="str">
            <v/>
          </cell>
          <cell r="G1482" t="str">
            <v/>
          </cell>
          <cell r="H1482" t="str">
            <v>R</v>
          </cell>
        </row>
        <row r="1483">
          <cell r="B1483" t="str">
            <v>K9565</v>
          </cell>
          <cell r="C1483">
            <v>200109</v>
          </cell>
          <cell r="D1483">
            <v>209912</v>
          </cell>
          <cell r="E1483" t="str">
            <v>N</v>
          </cell>
          <cell r="F1483" t="str">
            <v/>
          </cell>
          <cell r="G1483" t="str">
            <v/>
          </cell>
          <cell r="H1483" t="str">
            <v>R</v>
          </cell>
        </row>
        <row r="1484">
          <cell r="B1484" t="str">
            <v>K9567</v>
          </cell>
          <cell r="C1484">
            <v>200401</v>
          </cell>
          <cell r="D1484">
            <v>209912</v>
          </cell>
          <cell r="E1484" t="str">
            <v>N</v>
          </cell>
          <cell r="F1484" t="str">
            <v/>
          </cell>
          <cell r="G1484" t="str">
            <v/>
          </cell>
          <cell r="H1484" t="str">
            <v>R</v>
          </cell>
        </row>
        <row r="1485">
          <cell r="B1485" t="str">
            <v>K9568</v>
          </cell>
          <cell r="C1485">
            <v>200306</v>
          </cell>
          <cell r="D1485">
            <v>209912</v>
          </cell>
          <cell r="E1485" t="str">
            <v>N</v>
          </cell>
          <cell r="F1485" t="str">
            <v/>
          </cell>
          <cell r="G1485" t="str">
            <v/>
          </cell>
          <cell r="H1485" t="str">
            <v>R</v>
          </cell>
        </row>
        <row r="1486">
          <cell r="B1486" t="str">
            <v>K9569</v>
          </cell>
          <cell r="C1486">
            <v>200109</v>
          </cell>
          <cell r="D1486">
            <v>200112</v>
          </cell>
          <cell r="E1486" t="str">
            <v>C</v>
          </cell>
          <cell r="F1486" t="str">
            <v>Account status = Closed</v>
          </cell>
          <cell r="G1486" t="str">
            <v/>
          </cell>
          <cell r="H1486" t="str">
            <v>R</v>
          </cell>
        </row>
        <row r="1487">
          <cell r="B1487" t="str">
            <v>K9570</v>
          </cell>
          <cell r="C1487">
            <v>200109</v>
          </cell>
          <cell r="D1487">
            <v>201300</v>
          </cell>
          <cell r="E1487" t="str">
            <v>C</v>
          </cell>
          <cell r="F1487" t="str">
            <v>Account status = Closed</v>
          </cell>
          <cell r="G1487" t="str">
            <v/>
          </cell>
          <cell r="H1487" t="str">
            <v>R</v>
          </cell>
        </row>
        <row r="1488">
          <cell r="B1488" t="str">
            <v>K9571</v>
          </cell>
          <cell r="C1488">
            <v>200209</v>
          </cell>
          <cell r="D1488">
            <v>209912</v>
          </cell>
          <cell r="E1488" t="str">
            <v>N</v>
          </cell>
          <cell r="F1488" t="str">
            <v/>
          </cell>
          <cell r="G1488" t="str">
            <v/>
          </cell>
          <cell r="H1488" t="str">
            <v>R</v>
          </cell>
        </row>
        <row r="1489">
          <cell r="B1489" t="str">
            <v>K9572</v>
          </cell>
          <cell r="C1489">
            <v>200109</v>
          </cell>
          <cell r="D1489">
            <v>209912</v>
          </cell>
          <cell r="E1489" t="str">
            <v>N</v>
          </cell>
          <cell r="F1489" t="str">
            <v/>
          </cell>
          <cell r="G1489" t="str">
            <v/>
          </cell>
          <cell r="H1489" t="str">
            <v>R</v>
          </cell>
        </row>
        <row r="1490">
          <cell r="B1490" t="str">
            <v>K9573</v>
          </cell>
          <cell r="C1490">
            <v>200109</v>
          </cell>
          <cell r="D1490">
            <v>209912</v>
          </cell>
          <cell r="E1490" t="str">
            <v>N</v>
          </cell>
          <cell r="F1490" t="str">
            <v/>
          </cell>
          <cell r="G1490" t="str">
            <v/>
          </cell>
          <cell r="H1490" t="str">
            <v>R</v>
          </cell>
        </row>
        <row r="1491">
          <cell r="B1491" t="str">
            <v>K9574</v>
          </cell>
          <cell r="C1491">
            <v>200201</v>
          </cell>
          <cell r="D1491">
            <v>209912</v>
          </cell>
          <cell r="E1491" t="str">
            <v>N</v>
          </cell>
          <cell r="F1491" t="str">
            <v/>
          </cell>
          <cell r="G1491" t="str">
            <v/>
          </cell>
          <cell r="H1491" t="str">
            <v>R</v>
          </cell>
        </row>
        <row r="1492">
          <cell r="B1492" t="str">
            <v>K9575</v>
          </cell>
          <cell r="C1492">
            <v>200109</v>
          </cell>
          <cell r="D1492">
            <v>209912</v>
          </cell>
          <cell r="E1492" t="str">
            <v>N</v>
          </cell>
          <cell r="F1492" t="str">
            <v/>
          </cell>
          <cell r="G1492" t="str">
            <v/>
          </cell>
          <cell r="H1492" t="str">
            <v>R</v>
          </cell>
        </row>
        <row r="1493">
          <cell r="B1493" t="str">
            <v>K9576</v>
          </cell>
          <cell r="C1493">
            <v>200109</v>
          </cell>
          <cell r="D1493">
            <v>209913</v>
          </cell>
          <cell r="E1493" t="str">
            <v>N</v>
          </cell>
          <cell r="F1493" t="str">
            <v/>
          </cell>
          <cell r="G1493" t="str">
            <v/>
          </cell>
          <cell r="H1493" t="str">
            <v>R</v>
          </cell>
        </row>
        <row r="1494">
          <cell r="B1494" t="str">
            <v>K9577</v>
          </cell>
          <cell r="C1494">
            <v>199900</v>
          </cell>
          <cell r="D1494">
            <v>209912</v>
          </cell>
          <cell r="E1494" t="str">
            <v>N</v>
          </cell>
          <cell r="F1494" t="str">
            <v/>
          </cell>
          <cell r="G1494" t="str">
            <v/>
          </cell>
          <cell r="H1494" t="str">
            <v>R</v>
          </cell>
        </row>
        <row r="1495">
          <cell r="B1495" t="str">
            <v>K9578</v>
          </cell>
          <cell r="C1495">
            <v>200109</v>
          </cell>
          <cell r="D1495">
            <v>200713</v>
          </cell>
          <cell r="E1495" t="str">
            <v>C</v>
          </cell>
          <cell r="F1495" t="str">
            <v>Account status = Closed</v>
          </cell>
          <cell r="G1495" t="str">
            <v/>
          </cell>
          <cell r="H1495" t="str">
            <v>R</v>
          </cell>
        </row>
        <row r="1496">
          <cell r="B1496" t="str">
            <v>K9579</v>
          </cell>
          <cell r="C1496">
            <v>200109</v>
          </cell>
          <cell r="D1496">
            <v>209912</v>
          </cell>
          <cell r="E1496" t="str">
            <v>N</v>
          </cell>
          <cell r="F1496" t="str">
            <v/>
          </cell>
          <cell r="G1496" t="str">
            <v/>
          </cell>
          <cell r="H1496" t="str">
            <v>R</v>
          </cell>
        </row>
        <row r="1497">
          <cell r="B1497" t="str">
            <v>K9581</v>
          </cell>
          <cell r="C1497">
            <v>200307</v>
          </cell>
          <cell r="D1497">
            <v>209912</v>
          </cell>
          <cell r="E1497" t="str">
            <v>N</v>
          </cell>
          <cell r="F1497" t="str">
            <v/>
          </cell>
          <cell r="G1497" t="str">
            <v/>
          </cell>
          <cell r="H1497" t="str">
            <v>R</v>
          </cell>
        </row>
        <row r="1498">
          <cell r="B1498" t="str">
            <v>K9582</v>
          </cell>
          <cell r="C1498">
            <v>200307</v>
          </cell>
          <cell r="D1498">
            <v>200713</v>
          </cell>
          <cell r="E1498" t="str">
            <v>C</v>
          </cell>
          <cell r="F1498" t="str">
            <v>Account status = Closed</v>
          </cell>
          <cell r="G1498" t="str">
            <v/>
          </cell>
          <cell r="H1498" t="str">
            <v>R</v>
          </cell>
        </row>
        <row r="1499">
          <cell r="B1499" t="str">
            <v>K9583</v>
          </cell>
          <cell r="C1499">
            <v>200712</v>
          </cell>
          <cell r="D1499">
            <v>209912</v>
          </cell>
          <cell r="E1499" t="str">
            <v>N</v>
          </cell>
          <cell r="F1499" t="str">
            <v/>
          </cell>
          <cell r="G1499" t="str">
            <v/>
          </cell>
          <cell r="H1499" t="str">
            <v>R</v>
          </cell>
        </row>
        <row r="1500">
          <cell r="B1500" t="str">
            <v>K9584</v>
          </cell>
          <cell r="C1500">
            <v>200712</v>
          </cell>
          <cell r="D1500">
            <v>209912</v>
          </cell>
          <cell r="E1500" t="str">
            <v>N</v>
          </cell>
          <cell r="F1500" t="str">
            <v/>
          </cell>
          <cell r="G1500" t="str">
            <v/>
          </cell>
          <cell r="H1500" t="str">
            <v>R</v>
          </cell>
        </row>
        <row r="1501">
          <cell r="B1501" t="str">
            <v>K9585</v>
          </cell>
          <cell r="C1501">
            <v>200712</v>
          </cell>
          <cell r="D1501">
            <v>209912</v>
          </cell>
          <cell r="E1501" t="str">
            <v>N</v>
          </cell>
          <cell r="F1501" t="str">
            <v/>
          </cell>
          <cell r="G1501" t="str">
            <v/>
          </cell>
          <cell r="H1501" t="str">
            <v>R</v>
          </cell>
        </row>
        <row r="1502">
          <cell r="B1502" t="str">
            <v>K9587</v>
          </cell>
          <cell r="C1502">
            <v>200109</v>
          </cell>
          <cell r="D1502">
            <v>200713</v>
          </cell>
          <cell r="E1502" t="str">
            <v>C</v>
          </cell>
          <cell r="F1502" t="str">
            <v>Account status = Closed</v>
          </cell>
          <cell r="G1502" t="str">
            <v/>
          </cell>
          <cell r="H1502" t="str">
            <v>R</v>
          </cell>
        </row>
        <row r="1503">
          <cell r="B1503" t="str">
            <v>K9588</v>
          </cell>
          <cell r="C1503">
            <v>200109</v>
          </cell>
          <cell r="D1503">
            <v>200112</v>
          </cell>
          <cell r="E1503" t="str">
            <v>C</v>
          </cell>
          <cell r="F1503" t="str">
            <v>Account status = Closed</v>
          </cell>
          <cell r="G1503" t="str">
            <v/>
          </cell>
          <cell r="H1503" t="str">
            <v>R</v>
          </cell>
        </row>
        <row r="1504">
          <cell r="B1504" t="str">
            <v>K9589</v>
          </cell>
          <cell r="C1504">
            <v>200109</v>
          </cell>
          <cell r="D1504">
            <v>200112</v>
          </cell>
          <cell r="E1504" t="str">
            <v>C</v>
          </cell>
          <cell r="F1504" t="str">
            <v>Account status = Closed</v>
          </cell>
          <cell r="G1504" t="str">
            <v/>
          </cell>
          <cell r="H1504" t="str">
            <v>R</v>
          </cell>
        </row>
        <row r="1505">
          <cell r="B1505" t="str">
            <v>K9590</v>
          </cell>
          <cell r="C1505">
            <v>200109</v>
          </cell>
          <cell r="D1505">
            <v>209912</v>
          </cell>
          <cell r="E1505" t="str">
            <v>N</v>
          </cell>
          <cell r="F1505" t="str">
            <v/>
          </cell>
          <cell r="G1505" t="str">
            <v/>
          </cell>
          <cell r="H1505" t="str">
            <v>R</v>
          </cell>
        </row>
        <row r="1506">
          <cell r="B1506" t="str">
            <v>K9591</v>
          </cell>
          <cell r="C1506">
            <v>200109</v>
          </cell>
          <cell r="D1506">
            <v>209912</v>
          </cell>
          <cell r="E1506" t="str">
            <v>N</v>
          </cell>
          <cell r="F1506" t="str">
            <v/>
          </cell>
          <cell r="G1506" t="str">
            <v/>
          </cell>
          <cell r="H1506" t="str">
            <v>R</v>
          </cell>
        </row>
        <row r="1507">
          <cell r="B1507" t="str">
            <v>K9592</v>
          </cell>
          <cell r="C1507">
            <v>200109</v>
          </cell>
          <cell r="D1507">
            <v>209912</v>
          </cell>
          <cell r="E1507" t="str">
            <v>N</v>
          </cell>
          <cell r="F1507" t="str">
            <v/>
          </cell>
          <cell r="G1507" t="str">
            <v/>
          </cell>
          <cell r="H1507" t="str">
            <v>R</v>
          </cell>
        </row>
        <row r="1508">
          <cell r="B1508" t="str">
            <v>K9593</v>
          </cell>
          <cell r="C1508">
            <v>200109</v>
          </cell>
          <cell r="D1508">
            <v>209912</v>
          </cell>
          <cell r="E1508" t="str">
            <v>N</v>
          </cell>
          <cell r="F1508" t="str">
            <v/>
          </cell>
          <cell r="G1508" t="str">
            <v/>
          </cell>
          <cell r="H1508" t="str">
            <v>R</v>
          </cell>
        </row>
        <row r="1509">
          <cell r="B1509" t="str">
            <v>K9594</v>
          </cell>
          <cell r="C1509">
            <v>200109</v>
          </cell>
          <cell r="D1509">
            <v>209912</v>
          </cell>
          <cell r="E1509" t="str">
            <v>N</v>
          </cell>
          <cell r="F1509" t="str">
            <v/>
          </cell>
          <cell r="G1509" t="str">
            <v/>
          </cell>
          <cell r="H1509" t="str">
            <v>R</v>
          </cell>
        </row>
        <row r="1510">
          <cell r="B1510" t="str">
            <v>K9595</v>
          </cell>
          <cell r="C1510">
            <v>200109</v>
          </cell>
          <cell r="D1510">
            <v>209912</v>
          </cell>
          <cell r="E1510" t="str">
            <v>N</v>
          </cell>
          <cell r="F1510" t="str">
            <v/>
          </cell>
          <cell r="G1510" t="str">
            <v/>
          </cell>
          <cell r="H1510" t="str">
            <v>R</v>
          </cell>
        </row>
        <row r="1511">
          <cell r="B1511" t="str">
            <v>K9596</v>
          </cell>
          <cell r="C1511">
            <v>200109</v>
          </cell>
          <cell r="D1511">
            <v>200112</v>
          </cell>
          <cell r="E1511" t="str">
            <v>C</v>
          </cell>
          <cell r="F1511" t="str">
            <v>Account status = Closed</v>
          </cell>
          <cell r="G1511" t="str">
            <v/>
          </cell>
          <cell r="H1511" t="str">
            <v>R</v>
          </cell>
        </row>
        <row r="1512">
          <cell r="B1512" t="str">
            <v>K9597</v>
          </cell>
          <cell r="C1512">
            <v>200109</v>
          </cell>
          <cell r="D1512">
            <v>200713</v>
          </cell>
          <cell r="E1512" t="str">
            <v>C</v>
          </cell>
          <cell r="F1512" t="str">
            <v>Account status = Closed</v>
          </cell>
          <cell r="G1512" t="str">
            <v/>
          </cell>
          <cell r="H1512" t="str">
            <v>R</v>
          </cell>
        </row>
        <row r="1513">
          <cell r="B1513" t="str">
            <v>K9598</v>
          </cell>
          <cell r="C1513">
            <v>200109</v>
          </cell>
          <cell r="D1513">
            <v>209912</v>
          </cell>
          <cell r="E1513" t="str">
            <v>N</v>
          </cell>
          <cell r="F1513" t="str">
            <v/>
          </cell>
          <cell r="G1513" t="str">
            <v/>
          </cell>
          <cell r="H1513" t="str">
            <v>R</v>
          </cell>
        </row>
        <row r="1514">
          <cell r="B1514" t="str">
            <v>K9599</v>
          </cell>
          <cell r="C1514">
            <v>201002</v>
          </cell>
          <cell r="D1514">
            <v>209912</v>
          </cell>
          <cell r="E1514" t="str">
            <v>N</v>
          </cell>
          <cell r="F1514" t="str">
            <v/>
          </cell>
          <cell r="G1514" t="str">
            <v/>
          </cell>
          <cell r="H1514" t="str">
            <v>R</v>
          </cell>
        </row>
        <row r="1515">
          <cell r="B1515" t="str">
            <v>K9602</v>
          </cell>
          <cell r="C1515">
            <v>200109</v>
          </cell>
          <cell r="D1515">
            <v>209912</v>
          </cell>
          <cell r="E1515" t="str">
            <v>N</v>
          </cell>
          <cell r="F1515" t="str">
            <v/>
          </cell>
          <cell r="G1515" t="str">
            <v/>
          </cell>
          <cell r="H1515" t="str">
            <v>R</v>
          </cell>
        </row>
        <row r="1516">
          <cell r="B1516" t="str">
            <v>K9603</v>
          </cell>
          <cell r="C1516">
            <v>200109</v>
          </cell>
          <cell r="D1516">
            <v>209912</v>
          </cell>
          <cell r="E1516" t="str">
            <v>N</v>
          </cell>
          <cell r="F1516" t="str">
            <v/>
          </cell>
          <cell r="G1516" t="str">
            <v/>
          </cell>
          <cell r="H1516" t="str">
            <v>R</v>
          </cell>
        </row>
        <row r="1517">
          <cell r="B1517" t="str">
            <v>K9604</v>
          </cell>
          <cell r="C1517">
            <v>200109</v>
          </cell>
          <cell r="D1517">
            <v>200112</v>
          </cell>
          <cell r="E1517" t="str">
            <v>C</v>
          </cell>
          <cell r="F1517" t="str">
            <v>Account status = Closed</v>
          </cell>
          <cell r="G1517" t="str">
            <v/>
          </cell>
          <cell r="H1517" t="str">
            <v>R</v>
          </cell>
        </row>
        <row r="1518">
          <cell r="B1518" t="str">
            <v>K9605</v>
          </cell>
          <cell r="C1518">
            <v>200109</v>
          </cell>
          <cell r="D1518">
            <v>200112</v>
          </cell>
          <cell r="E1518" t="str">
            <v>C</v>
          </cell>
          <cell r="F1518" t="str">
            <v>Account status = Closed</v>
          </cell>
          <cell r="G1518" t="str">
            <v/>
          </cell>
          <cell r="H1518" t="str">
            <v>R</v>
          </cell>
        </row>
        <row r="1519">
          <cell r="B1519" t="str">
            <v>K9606</v>
          </cell>
          <cell r="C1519">
            <v>200109</v>
          </cell>
          <cell r="D1519">
            <v>209912</v>
          </cell>
          <cell r="E1519" t="str">
            <v>N</v>
          </cell>
          <cell r="F1519" t="str">
            <v/>
          </cell>
          <cell r="G1519" t="str">
            <v/>
          </cell>
          <cell r="H1519" t="str">
            <v>R</v>
          </cell>
        </row>
        <row r="1520">
          <cell r="B1520" t="str">
            <v>K9607</v>
          </cell>
          <cell r="C1520">
            <v>200109</v>
          </cell>
          <cell r="D1520">
            <v>209912</v>
          </cell>
          <cell r="E1520" t="str">
            <v>N</v>
          </cell>
          <cell r="F1520" t="str">
            <v/>
          </cell>
          <cell r="G1520" t="str">
            <v/>
          </cell>
          <cell r="H1520" t="str">
            <v>R</v>
          </cell>
        </row>
        <row r="1521">
          <cell r="B1521" t="str">
            <v>K9608</v>
          </cell>
          <cell r="C1521">
            <v>200109</v>
          </cell>
          <cell r="D1521">
            <v>201504</v>
          </cell>
          <cell r="E1521" t="str">
            <v>C</v>
          </cell>
          <cell r="F1521" t="str">
            <v>Account status = Closed</v>
          </cell>
          <cell r="G1521" t="str">
            <v/>
          </cell>
          <cell r="H1521" t="str">
            <v>R</v>
          </cell>
        </row>
        <row r="1522">
          <cell r="B1522" t="str">
            <v>K9611</v>
          </cell>
          <cell r="C1522">
            <v>200109</v>
          </cell>
          <cell r="D1522">
            <v>200713</v>
          </cell>
          <cell r="E1522" t="str">
            <v>C</v>
          </cell>
          <cell r="F1522" t="str">
            <v>Account status = Closed</v>
          </cell>
          <cell r="G1522" t="str">
            <v/>
          </cell>
          <cell r="H1522" t="str">
            <v>R</v>
          </cell>
        </row>
        <row r="1523">
          <cell r="B1523" t="str">
            <v>K9801</v>
          </cell>
          <cell r="C1523">
            <v>200109</v>
          </cell>
          <cell r="D1523">
            <v>209912</v>
          </cell>
          <cell r="E1523" t="str">
            <v>N</v>
          </cell>
          <cell r="F1523" t="str">
            <v/>
          </cell>
          <cell r="G1523" t="str">
            <v/>
          </cell>
          <cell r="H1523" t="str">
            <v>R</v>
          </cell>
        </row>
        <row r="1524">
          <cell r="B1524" t="str">
            <v>K9802</v>
          </cell>
          <cell r="C1524">
            <v>200109</v>
          </cell>
          <cell r="D1524">
            <v>200713</v>
          </cell>
          <cell r="E1524" t="str">
            <v>C</v>
          </cell>
          <cell r="F1524" t="str">
            <v>Account status = Closed</v>
          </cell>
          <cell r="G1524" t="str">
            <v/>
          </cell>
          <cell r="H1524" t="str">
            <v>R</v>
          </cell>
        </row>
        <row r="1525">
          <cell r="B1525" t="str">
            <v>K9812</v>
          </cell>
          <cell r="C1525">
            <v>200109</v>
          </cell>
          <cell r="D1525">
            <v>200713</v>
          </cell>
          <cell r="E1525" t="str">
            <v>C</v>
          </cell>
          <cell r="F1525" t="str">
            <v>Account status = Closed</v>
          </cell>
          <cell r="G1525" t="str">
            <v/>
          </cell>
          <cell r="H1525" t="str">
            <v>R</v>
          </cell>
        </row>
        <row r="1526">
          <cell r="B1526" t="str">
            <v>K9814</v>
          </cell>
          <cell r="C1526">
            <v>200109</v>
          </cell>
          <cell r="D1526">
            <v>200713</v>
          </cell>
          <cell r="E1526" t="str">
            <v>C</v>
          </cell>
          <cell r="F1526" t="str">
            <v>Account status = Closed</v>
          </cell>
          <cell r="G1526" t="str">
            <v/>
          </cell>
          <cell r="H1526" t="str">
            <v>R</v>
          </cell>
        </row>
        <row r="1527">
          <cell r="B1527" t="str">
            <v>K9815</v>
          </cell>
          <cell r="C1527">
            <v>200109</v>
          </cell>
          <cell r="D1527">
            <v>200713</v>
          </cell>
          <cell r="E1527" t="str">
            <v>C</v>
          </cell>
          <cell r="F1527" t="str">
            <v>Account status = Closed</v>
          </cell>
          <cell r="G1527" t="str">
            <v/>
          </cell>
          <cell r="H1527" t="str">
            <v>R</v>
          </cell>
        </row>
        <row r="1528">
          <cell r="B1528" t="str">
            <v>K9816</v>
          </cell>
          <cell r="C1528">
            <v>200109</v>
          </cell>
          <cell r="D1528">
            <v>209912</v>
          </cell>
          <cell r="E1528" t="str">
            <v>N</v>
          </cell>
          <cell r="F1528" t="str">
            <v/>
          </cell>
          <cell r="G1528" t="str">
            <v/>
          </cell>
          <cell r="H1528" t="str">
            <v>R</v>
          </cell>
        </row>
        <row r="1529">
          <cell r="B1529" t="str">
            <v>K9817</v>
          </cell>
          <cell r="C1529">
            <v>200109</v>
          </cell>
          <cell r="D1529">
            <v>200713</v>
          </cell>
          <cell r="E1529" t="str">
            <v>C</v>
          </cell>
          <cell r="F1529" t="str">
            <v>Account status = Closed</v>
          </cell>
          <cell r="G1529" t="str">
            <v/>
          </cell>
          <cell r="H1529" t="str">
            <v>R</v>
          </cell>
        </row>
        <row r="1530">
          <cell r="B1530" t="str">
            <v>K9818</v>
          </cell>
          <cell r="C1530">
            <v>200109</v>
          </cell>
          <cell r="D1530">
            <v>209912</v>
          </cell>
          <cell r="E1530" t="str">
            <v>N</v>
          </cell>
          <cell r="F1530" t="str">
            <v/>
          </cell>
          <cell r="G1530" t="str">
            <v/>
          </cell>
          <cell r="H1530" t="str">
            <v>R</v>
          </cell>
        </row>
        <row r="1531">
          <cell r="B1531" t="str">
            <v>K9821</v>
          </cell>
          <cell r="C1531">
            <v>200109</v>
          </cell>
          <cell r="D1531">
            <v>200713</v>
          </cell>
          <cell r="E1531" t="str">
            <v>C</v>
          </cell>
          <cell r="F1531" t="str">
            <v>Account status = Closed</v>
          </cell>
          <cell r="G1531" t="str">
            <v/>
          </cell>
          <cell r="H1531" t="str">
            <v>R</v>
          </cell>
        </row>
        <row r="1532">
          <cell r="B1532" t="str">
            <v>K9823</v>
          </cell>
          <cell r="C1532">
            <v>200109</v>
          </cell>
          <cell r="D1532">
            <v>209912</v>
          </cell>
          <cell r="E1532" t="str">
            <v>N</v>
          </cell>
          <cell r="F1532" t="str">
            <v/>
          </cell>
          <cell r="G1532" t="str">
            <v/>
          </cell>
          <cell r="H1532" t="str">
            <v>R</v>
          </cell>
        </row>
        <row r="1533">
          <cell r="B1533" t="str">
            <v>K9824</v>
          </cell>
          <cell r="C1533">
            <v>200109</v>
          </cell>
          <cell r="D1533">
            <v>200713</v>
          </cell>
          <cell r="E1533" t="str">
            <v>C</v>
          </cell>
          <cell r="F1533" t="str">
            <v>Account status = Closed</v>
          </cell>
          <cell r="G1533" t="str">
            <v/>
          </cell>
          <cell r="H1533" t="str">
            <v>R</v>
          </cell>
        </row>
        <row r="1534">
          <cell r="B1534" t="str">
            <v>K9825</v>
          </cell>
          <cell r="C1534">
            <v>200109</v>
          </cell>
          <cell r="D1534">
            <v>200713</v>
          </cell>
          <cell r="E1534" t="str">
            <v>C</v>
          </cell>
          <cell r="F1534" t="str">
            <v>Account status = Closed</v>
          </cell>
          <cell r="G1534" t="str">
            <v/>
          </cell>
          <cell r="H1534" t="str">
            <v>R</v>
          </cell>
        </row>
        <row r="1535">
          <cell r="B1535" t="str">
            <v>K9830</v>
          </cell>
          <cell r="C1535">
            <v>200109</v>
          </cell>
          <cell r="D1535">
            <v>209912</v>
          </cell>
          <cell r="E1535" t="str">
            <v>N</v>
          </cell>
          <cell r="F1535" t="str">
            <v/>
          </cell>
          <cell r="G1535" t="str">
            <v/>
          </cell>
          <cell r="H1535" t="str">
            <v>R</v>
          </cell>
        </row>
        <row r="1536">
          <cell r="B1536" t="str">
            <v>K9831</v>
          </cell>
          <cell r="C1536">
            <v>200109</v>
          </cell>
          <cell r="D1536">
            <v>209912</v>
          </cell>
          <cell r="E1536" t="str">
            <v>N</v>
          </cell>
          <cell r="F1536" t="str">
            <v/>
          </cell>
          <cell r="G1536" t="str">
            <v/>
          </cell>
          <cell r="H1536" t="str">
            <v>R</v>
          </cell>
        </row>
        <row r="1537">
          <cell r="B1537" t="str">
            <v>K9833</v>
          </cell>
          <cell r="C1537">
            <v>200109</v>
          </cell>
          <cell r="D1537">
            <v>209912</v>
          </cell>
          <cell r="E1537" t="str">
            <v>N</v>
          </cell>
          <cell r="F1537" t="str">
            <v/>
          </cell>
          <cell r="G1537" t="str">
            <v/>
          </cell>
          <cell r="H1537" t="str">
            <v>R</v>
          </cell>
        </row>
        <row r="1538">
          <cell r="B1538" t="str">
            <v>K9835</v>
          </cell>
          <cell r="C1538">
            <v>200109</v>
          </cell>
          <cell r="D1538">
            <v>200713</v>
          </cell>
          <cell r="E1538" t="str">
            <v>C</v>
          </cell>
          <cell r="F1538" t="str">
            <v>Account status = Closed</v>
          </cell>
          <cell r="G1538" t="str">
            <v/>
          </cell>
          <cell r="H1538" t="str">
            <v>R</v>
          </cell>
        </row>
        <row r="1539">
          <cell r="B1539" t="str">
            <v>K9900</v>
          </cell>
          <cell r="C1539">
            <v>200109</v>
          </cell>
          <cell r="D1539">
            <v>209912</v>
          </cell>
          <cell r="E1539" t="str">
            <v>N</v>
          </cell>
          <cell r="F1539" t="str">
            <v/>
          </cell>
          <cell r="G1539" t="str">
            <v/>
          </cell>
          <cell r="H1539" t="str">
            <v>R</v>
          </cell>
        </row>
        <row r="1540">
          <cell r="B1540" t="str">
            <v>K9901</v>
          </cell>
          <cell r="C1540">
            <v>200109</v>
          </cell>
          <cell r="D1540">
            <v>209912</v>
          </cell>
          <cell r="E1540" t="str">
            <v>N</v>
          </cell>
          <cell r="F1540" t="str">
            <v/>
          </cell>
          <cell r="G1540" t="str">
            <v/>
          </cell>
          <cell r="H1540" t="str">
            <v>R</v>
          </cell>
        </row>
        <row r="1541">
          <cell r="B1541" t="str">
            <v>K9902</v>
          </cell>
          <cell r="C1541">
            <v>200109</v>
          </cell>
          <cell r="D1541">
            <v>209912</v>
          </cell>
          <cell r="E1541" t="str">
            <v>N</v>
          </cell>
          <cell r="F1541" t="str">
            <v/>
          </cell>
          <cell r="G1541" t="str">
            <v/>
          </cell>
          <cell r="H1541" t="str">
            <v>R</v>
          </cell>
        </row>
        <row r="1542">
          <cell r="B1542" t="str">
            <v>K9903</v>
          </cell>
          <cell r="C1542">
            <v>200806</v>
          </cell>
          <cell r="D1542">
            <v>209912</v>
          </cell>
          <cell r="E1542" t="str">
            <v>N</v>
          </cell>
          <cell r="F1542" t="str">
            <v/>
          </cell>
          <cell r="G1542" t="str">
            <v/>
          </cell>
          <cell r="H1542" t="str">
            <v>R</v>
          </cell>
        </row>
        <row r="1543">
          <cell r="B1543" t="str">
            <v>K9904</v>
          </cell>
          <cell r="C1543">
            <v>200812</v>
          </cell>
          <cell r="D1543">
            <v>209912</v>
          </cell>
          <cell r="E1543" t="str">
            <v>N</v>
          </cell>
          <cell r="F1543" t="str">
            <v/>
          </cell>
          <cell r="G1543" t="str">
            <v/>
          </cell>
          <cell r="H1543" t="str">
            <v>R</v>
          </cell>
        </row>
        <row r="1544">
          <cell r="B1544" t="str">
            <v>K9905</v>
          </cell>
          <cell r="C1544">
            <v>201009</v>
          </cell>
          <cell r="D1544">
            <v>209912</v>
          </cell>
          <cell r="E1544" t="str">
            <v>N</v>
          </cell>
          <cell r="F1544" t="str">
            <v/>
          </cell>
          <cell r="G1544" t="str">
            <v/>
          </cell>
          <cell r="H1544" t="str">
            <v>R</v>
          </cell>
        </row>
        <row r="1545">
          <cell r="B1545" t="str">
            <v>K9906</v>
          </cell>
          <cell r="C1545">
            <v>200109</v>
          </cell>
          <cell r="D1545">
            <v>201300</v>
          </cell>
          <cell r="E1545" t="str">
            <v>C</v>
          </cell>
          <cell r="F1545" t="str">
            <v>Account status = Closed</v>
          </cell>
          <cell r="G1545" t="str">
            <v/>
          </cell>
          <cell r="H1545" t="str">
            <v>R</v>
          </cell>
        </row>
        <row r="1546">
          <cell r="B1546" t="str">
            <v>K9907</v>
          </cell>
          <cell r="C1546">
            <v>199900</v>
          </cell>
          <cell r="D1546">
            <v>209912</v>
          </cell>
          <cell r="E1546" t="str">
            <v>N</v>
          </cell>
          <cell r="F1546" t="str">
            <v/>
          </cell>
          <cell r="G1546" t="str">
            <v/>
          </cell>
          <cell r="H1546" t="str">
            <v>R</v>
          </cell>
        </row>
        <row r="1547">
          <cell r="B1547" t="str">
            <v>K9908</v>
          </cell>
          <cell r="C1547">
            <v>200109</v>
          </cell>
          <cell r="D1547">
            <v>209912</v>
          </cell>
          <cell r="E1547" t="str">
            <v>N</v>
          </cell>
          <cell r="F1547" t="str">
            <v/>
          </cell>
          <cell r="G1547" t="str">
            <v/>
          </cell>
          <cell r="H1547" t="str">
            <v>R</v>
          </cell>
        </row>
        <row r="1548">
          <cell r="B1548" t="str">
            <v>K9909</v>
          </cell>
          <cell r="C1548">
            <v>200109</v>
          </cell>
          <cell r="D1548">
            <v>200112</v>
          </cell>
          <cell r="E1548" t="str">
            <v>C</v>
          </cell>
          <cell r="F1548" t="str">
            <v>Account status = Closed</v>
          </cell>
          <cell r="G1548" t="str">
            <v/>
          </cell>
          <cell r="H1548" t="str">
            <v>R</v>
          </cell>
        </row>
        <row r="1549">
          <cell r="B1549" t="str">
            <v>K9911</v>
          </cell>
          <cell r="C1549">
            <v>200109</v>
          </cell>
          <cell r="D1549">
            <v>209912</v>
          </cell>
          <cell r="E1549" t="str">
            <v>N</v>
          </cell>
          <cell r="F1549" t="str">
            <v/>
          </cell>
          <cell r="G1549" t="str">
            <v/>
          </cell>
          <cell r="H1549" t="str">
            <v>R</v>
          </cell>
        </row>
        <row r="1550">
          <cell r="B1550" t="str">
            <v>K9912</v>
          </cell>
          <cell r="C1550">
            <v>200109</v>
          </cell>
          <cell r="D1550">
            <v>201300</v>
          </cell>
          <cell r="E1550" t="str">
            <v>C</v>
          </cell>
          <cell r="F1550" t="str">
            <v>Account status = Closed</v>
          </cell>
          <cell r="G1550" t="str">
            <v/>
          </cell>
          <cell r="H1550" t="str">
            <v>R</v>
          </cell>
        </row>
        <row r="1551">
          <cell r="B1551" t="str">
            <v>K9913</v>
          </cell>
          <cell r="C1551">
            <v>200701</v>
          </cell>
          <cell r="D1551">
            <v>201300</v>
          </cell>
          <cell r="E1551" t="str">
            <v>C</v>
          </cell>
          <cell r="F1551" t="str">
            <v>Account status = Closed</v>
          </cell>
          <cell r="G1551" t="str">
            <v/>
          </cell>
          <cell r="H1551" t="str">
            <v>R</v>
          </cell>
        </row>
        <row r="1552">
          <cell r="B1552" t="str">
            <v>K9914</v>
          </cell>
          <cell r="C1552">
            <v>200701</v>
          </cell>
          <cell r="D1552">
            <v>200713</v>
          </cell>
          <cell r="E1552" t="str">
            <v>C</v>
          </cell>
          <cell r="F1552" t="str">
            <v>Account status = Closed</v>
          </cell>
          <cell r="G1552" t="str">
            <v/>
          </cell>
          <cell r="H1552" t="str">
            <v>R</v>
          </cell>
        </row>
        <row r="1553">
          <cell r="B1553" t="str">
            <v>K9915</v>
          </cell>
          <cell r="C1553">
            <v>199900</v>
          </cell>
          <cell r="D1553">
            <v>209912</v>
          </cell>
          <cell r="E1553" t="str">
            <v>N</v>
          </cell>
          <cell r="F1553" t="str">
            <v/>
          </cell>
          <cell r="G1553" t="str">
            <v/>
          </cell>
          <cell r="H1553" t="str">
            <v>R</v>
          </cell>
        </row>
        <row r="1554">
          <cell r="B1554" t="str">
            <v>K9916</v>
          </cell>
          <cell r="C1554">
            <v>199900</v>
          </cell>
          <cell r="D1554">
            <v>200713</v>
          </cell>
          <cell r="E1554" t="str">
            <v>C</v>
          </cell>
          <cell r="F1554" t="str">
            <v>Account status = Closed</v>
          </cell>
          <cell r="G1554" t="str">
            <v/>
          </cell>
          <cell r="H1554" t="str">
            <v>R</v>
          </cell>
        </row>
        <row r="1555">
          <cell r="B1555" t="str">
            <v>K9917</v>
          </cell>
          <cell r="C1555">
            <v>199900</v>
          </cell>
          <cell r="D1555">
            <v>200713</v>
          </cell>
          <cell r="E1555" t="str">
            <v>C</v>
          </cell>
          <cell r="F1555" t="str">
            <v>Account status = Closed</v>
          </cell>
          <cell r="G1555" t="str">
            <v/>
          </cell>
          <cell r="H1555" t="str">
            <v>R</v>
          </cell>
        </row>
        <row r="1556">
          <cell r="B1556" t="str">
            <v>K9918</v>
          </cell>
          <cell r="C1556">
            <v>200701</v>
          </cell>
          <cell r="D1556">
            <v>201300</v>
          </cell>
          <cell r="E1556" t="str">
            <v>C</v>
          </cell>
          <cell r="F1556" t="str">
            <v>Account status = Closed</v>
          </cell>
          <cell r="G1556" t="str">
            <v/>
          </cell>
          <cell r="H1556" t="str">
            <v>R</v>
          </cell>
        </row>
        <row r="1557">
          <cell r="B1557" t="str">
            <v>K9919</v>
          </cell>
          <cell r="C1557">
            <v>200701</v>
          </cell>
          <cell r="D1557">
            <v>201300</v>
          </cell>
          <cell r="E1557" t="str">
            <v>C</v>
          </cell>
          <cell r="F1557" t="str">
            <v>Account status = Closed</v>
          </cell>
          <cell r="G1557" t="str">
            <v/>
          </cell>
          <cell r="H1557" t="str">
            <v>R</v>
          </cell>
        </row>
        <row r="1558">
          <cell r="B1558" t="str">
            <v>K9920</v>
          </cell>
          <cell r="C1558">
            <v>199900</v>
          </cell>
          <cell r="D1558">
            <v>209912</v>
          </cell>
          <cell r="E1558" t="str">
            <v>N</v>
          </cell>
          <cell r="F1558" t="str">
            <v/>
          </cell>
          <cell r="G1558" t="str">
            <v/>
          </cell>
          <cell r="H1558" t="str">
            <v>R</v>
          </cell>
        </row>
        <row r="1559">
          <cell r="B1559" t="str">
            <v>K9921</v>
          </cell>
          <cell r="C1559">
            <v>200109</v>
          </cell>
          <cell r="D1559">
            <v>209912</v>
          </cell>
          <cell r="E1559" t="str">
            <v>N</v>
          </cell>
          <cell r="F1559" t="str">
            <v/>
          </cell>
          <cell r="G1559" t="str">
            <v/>
          </cell>
          <cell r="H1559" t="str">
            <v>R</v>
          </cell>
        </row>
        <row r="1560">
          <cell r="B1560" t="str">
            <v>K9922</v>
          </cell>
          <cell r="C1560">
            <v>200109</v>
          </cell>
          <cell r="D1560">
            <v>209912</v>
          </cell>
          <cell r="E1560" t="str">
            <v>N</v>
          </cell>
          <cell r="F1560" t="str">
            <v/>
          </cell>
          <cell r="G1560" t="str">
            <v/>
          </cell>
          <cell r="H1560" t="str">
            <v>R</v>
          </cell>
        </row>
        <row r="1561">
          <cell r="B1561" t="str">
            <v>K9923</v>
          </cell>
          <cell r="C1561">
            <v>200603</v>
          </cell>
          <cell r="D1561">
            <v>201300</v>
          </cell>
          <cell r="E1561" t="str">
            <v>C</v>
          </cell>
          <cell r="F1561" t="str">
            <v>Account status = Closed</v>
          </cell>
          <cell r="G1561" t="str">
            <v/>
          </cell>
          <cell r="H1561" t="str">
            <v>R</v>
          </cell>
        </row>
        <row r="1562">
          <cell r="B1562" t="str">
            <v>K9924</v>
          </cell>
          <cell r="C1562">
            <v>200603</v>
          </cell>
          <cell r="D1562">
            <v>200713</v>
          </cell>
          <cell r="E1562" t="str">
            <v>C</v>
          </cell>
          <cell r="F1562" t="str">
            <v>Account status = Closed</v>
          </cell>
          <cell r="G1562" t="str">
            <v/>
          </cell>
          <cell r="H1562" t="str">
            <v>R</v>
          </cell>
        </row>
        <row r="1563">
          <cell r="B1563" t="str">
            <v>K9925</v>
          </cell>
          <cell r="C1563">
            <v>200603</v>
          </cell>
          <cell r="D1563">
            <v>200713</v>
          </cell>
          <cell r="E1563" t="str">
            <v>C</v>
          </cell>
          <cell r="F1563" t="str">
            <v>Account status = Closed</v>
          </cell>
          <cell r="G1563" t="str">
            <v/>
          </cell>
          <cell r="H1563" t="str">
            <v>R</v>
          </cell>
        </row>
        <row r="1564">
          <cell r="B1564" t="str">
            <v>K9926</v>
          </cell>
          <cell r="C1564">
            <v>200109</v>
          </cell>
          <cell r="D1564">
            <v>200713</v>
          </cell>
          <cell r="E1564" t="str">
            <v>C</v>
          </cell>
          <cell r="F1564" t="str">
            <v>Account status = Closed</v>
          </cell>
          <cell r="G1564" t="str">
            <v/>
          </cell>
          <cell r="H1564" t="str">
            <v>R</v>
          </cell>
        </row>
        <row r="1565">
          <cell r="B1565" t="str">
            <v>K9931</v>
          </cell>
          <cell r="C1565">
            <v>200109</v>
          </cell>
          <cell r="D1565">
            <v>200713</v>
          </cell>
          <cell r="E1565" t="str">
            <v>C</v>
          </cell>
          <cell r="F1565" t="str">
            <v>Account status = Closed</v>
          </cell>
          <cell r="G1565" t="str">
            <v/>
          </cell>
          <cell r="H1565" t="str">
            <v>R</v>
          </cell>
        </row>
        <row r="1566">
          <cell r="B1566" t="str">
            <v>K9937</v>
          </cell>
          <cell r="C1566">
            <v>200701</v>
          </cell>
          <cell r="D1566">
            <v>201300</v>
          </cell>
          <cell r="E1566" t="str">
            <v>C</v>
          </cell>
          <cell r="F1566" t="str">
            <v>Account status = Closed</v>
          </cell>
          <cell r="G1566" t="str">
            <v/>
          </cell>
          <cell r="H1566" t="str">
            <v>R</v>
          </cell>
        </row>
        <row r="1567">
          <cell r="B1567" t="str">
            <v>K9938</v>
          </cell>
          <cell r="C1567">
            <v>200701</v>
          </cell>
          <cell r="D1567">
            <v>200713</v>
          </cell>
          <cell r="E1567" t="str">
            <v>C</v>
          </cell>
          <cell r="F1567" t="str">
            <v>Account status = Closed</v>
          </cell>
          <cell r="G1567" t="str">
            <v/>
          </cell>
          <cell r="H1567" t="str">
            <v>R</v>
          </cell>
        </row>
        <row r="1568">
          <cell r="B1568" t="str">
            <v>K9939</v>
          </cell>
          <cell r="C1568">
            <v>200701</v>
          </cell>
          <cell r="D1568">
            <v>201300</v>
          </cell>
          <cell r="E1568" t="str">
            <v>C</v>
          </cell>
          <cell r="F1568" t="str">
            <v>Account status = Closed</v>
          </cell>
          <cell r="G1568" t="str">
            <v/>
          </cell>
          <cell r="H1568" t="str">
            <v>R</v>
          </cell>
        </row>
        <row r="1569">
          <cell r="B1569" t="str">
            <v>K9940</v>
          </cell>
          <cell r="C1569">
            <v>200812</v>
          </cell>
          <cell r="D1569">
            <v>209912</v>
          </cell>
          <cell r="E1569" t="str">
            <v>N</v>
          </cell>
          <cell r="F1569" t="str">
            <v/>
          </cell>
          <cell r="G1569" t="str">
            <v/>
          </cell>
          <cell r="H1569" t="str">
            <v>R</v>
          </cell>
        </row>
        <row r="1570">
          <cell r="B1570" t="str">
            <v>K9941</v>
          </cell>
          <cell r="C1570">
            <v>200701</v>
          </cell>
          <cell r="D1570">
            <v>209913</v>
          </cell>
          <cell r="E1570" t="str">
            <v>N</v>
          </cell>
          <cell r="F1570" t="str">
            <v/>
          </cell>
          <cell r="G1570" t="str">
            <v/>
          </cell>
          <cell r="H1570" t="str">
            <v>R</v>
          </cell>
        </row>
        <row r="1571">
          <cell r="B1571" t="str">
            <v>K9951</v>
          </cell>
          <cell r="C1571">
            <v>200109</v>
          </cell>
          <cell r="D1571">
            <v>201300</v>
          </cell>
          <cell r="E1571" t="str">
            <v>C</v>
          </cell>
          <cell r="F1571" t="str">
            <v>Account status = Closed</v>
          </cell>
          <cell r="G1571" t="str">
            <v/>
          </cell>
          <cell r="H1571" t="str">
            <v>R</v>
          </cell>
        </row>
        <row r="1572">
          <cell r="B1572" t="str">
            <v>K9952</v>
          </cell>
          <cell r="C1572">
            <v>200109</v>
          </cell>
          <cell r="D1572">
            <v>201412</v>
          </cell>
          <cell r="E1572" t="str">
            <v>N</v>
          </cell>
          <cell r="F1572" t="str">
            <v>Account closed from period 201412</v>
          </cell>
          <cell r="G1572" t="str">
            <v/>
          </cell>
          <cell r="H1572" t="str">
            <v>R</v>
          </cell>
        </row>
        <row r="1573">
          <cell r="B1573" t="str">
            <v>K9952</v>
          </cell>
          <cell r="C1573">
            <v>201413</v>
          </cell>
          <cell r="D1573">
            <v>209913</v>
          </cell>
          <cell r="E1573" t="str">
            <v>N</v>
          </cell>
          <cell r="F1573" t="str">
            <v/>
          </cell>
          <cell r="G1573" t="str">
            <v/>
          </cell>
          <cell r="H1573" t="str">
            <v>R</v>
          </cell>
        </row>
        <row r="1574">
          <cell r="B1574" t="str">
            <v>K9953</v>
          </cell>
          <cell r="C1574">
            <v>200109</v>
          </cell>
          <cell r="D1574">
            <v>209912</v>
          </cell>
          <cell r="E1574" t="str">
            <v>N</v>
          </cell>
          <cell r="F1574" t="str">
            <v/>
          </cell>
          <cell r="G1574" t="str">
            <v/>
          </cell>
          <cell r="H1574" t="str">
            <v>R</v>
          </cell>
        </row>
        <row r="1575">
          <cell r="B1575" t="str">
            <v>K9954</v>
          </cell>
          <cell r="C1575">
            <v>200109</v>
          </cell>
          <cell r="D1575">
            <v>200713</v>
          </cell>
          <cell r="E1575" t="str">
            <v>C</v>
          </cell>
          <cell r="F1575" t="str">
            <v>Account status = Closed</v>
          </cell>
          <cell r="G1575" t="str">
            <v/>
          </cell>
          <cell r="H1575" t="str">
            <v>R</v>
          </cell>
        </row>
        <row r="1576">
          <cell r="B1576" t="str">
            <v>K9955</v>
          </cell>
          <cell r="C1576">
            <v>200109</v>
          </cell>
          <cell r="D1576">
            <v>209912</v>
          </cell>
          <cell r="E1576" t="str">
            <v>N</v>
          </cell>
          <cell r="F1576" t="str">
            <v/>
          </cell>
          <cell r="G1576" t="str">
            <v/>
          </cell>
          <cell r="H1576" t="str">
            <v>R</v>
          </cell>
        </row>
        <row r="1577">
          <cell r="B1577" t="str">
            <v>K9956</v>
          </cell>
          <cell r="C1577">
            <v>200109</v>
          </cell>
          <cell r="D1577">
            <v>209912</v>
          </cell>
          <cell r="E1577" t="str">
            <v>N</v>
          </cell>
          <cell r="F1577" t="str">
            <v/>
          </cell>
          <cell r="G1577" t="str">
            <v/>
          </cell>
          <cell r="H1577" t="str">
            <v>R</v>
          </cell>
        </row>
        <row r="1578">
          <cell r="B1578" t="str">
            <v>K9957</v>
          </cell>
          <cell r="C1578">
            <v>200513</v>
          </cell>
          <cell r="D1578">
            <v>209912</v>
          </cell>
          <cell r="E1578" t="str">
            <v>N</v>
          </cell>
          <cell r="F1578" t="str">
            <v/>
          </cell>
          <cell r="G1578" t="str">
            <v/>
          </cell>
          <cell r="H1578" t="str">
            <v>R</v>
          </cell>
        </row>
        <row r="1579">
          <cell r="B1579" t="str">
            <v>K9958</v>
          </cell>
          <cell r="C1579">
            <v>200801</v>
          </cell>
          <cell r="D1579">
            <v>209912</v>
          </cell>
          <cell r="E1579" t="str">
            <v>N</v>
          </cell>
          <cell r="F1579" t="str">
            <v/>
          </cell>
          <cell r="G1579" t="str">
            <v/>
          </cell>
          <cell r="H1579" t="str">
            <v>R</v>
          </cell>
        </row>
        <row r="1580">
          <cell r="B1580" t="str">
            <v>K9959</v>
          </cell>
          <cell r="C1580">
            <v>201400</v>
          </cell>
          <cell r="D1580">
            <v>209912</v>
          </cell>
          <cell r="E1580" t="str">
            <v>N</v>
          </cell>
          <cell r="F1580" t="str">
            <v/>
          </cell>
          <cell r="G1580" t="str">
            <v/>
          </cell>
          <cell r="H1580" t="str">
            <v>B</v>
          </cell>
        </row>
        <row r="1581">
          <cell r="B1581" t="str">
            <v>K9991</v>
          </cell>
          <cell r="C1581">
            <v>200109</v>
          </cell>
          <cell r="D1581">
            <v>200112</v>
          </cell>
          <cell r="E1581" t="str">
            <v>C</v>
          </cell>
          <cell r="F1581" t="str">
            <v>Account status = Closed</v>
          </cell>
          <cell r="G1581" t="str">
            <v/>
          </cell>
          <cell r="H1581" t="str">
            <v>R</v>
          </cell>
        </row>
        <row r="1582">
          <cell r="B1582" t="str">
            <v>K9995</v>
          </cell>
          <cell r="C1582">
            <v>200603</v>
          </cell>
          <cell r="D1582">
            <v>201300</v>
          </cell>
          <cell r="E1582" t="str">
            <v>C</v>
          </cell>
          <cell r="F1582" t="str">
            <v>Account status = Closed</v>
          </cell>
          <cell r="G1582" t="str">
            <v/>
          </cell>
          <cell r="H1582" t="str">
            <v>R</v>
          </cell>
        </row>
        <row r="1583">
          <cell r="B1583" t="str">
            <v>K9996</v>
          </cell>
          <cell r="C1583">
            <v>200310</v>
          </cell>
          <cell r="D1583">
            <v>209913</v>
          </cell>
          <cell r="E1583" t="str">
            <v>N</v>
          </cell>
          <cell r="F1583" t="str">
            <v/>
          </cell>
          <cell r="G1583" t="str">
            <v/>
          </cell>
          <cell r="H1583" t="str">
            <v>R</v>
          </cell>
        </row>
        <row r="1584">
          <cell r="B1584" t="str">
            <v>K9997</v>
          </cell>
          <cell r="C1584">
            <v>200109</v>
          </cell>
          <cell r="D1584">
            <v>200713</v>
          </cell>
          <cell r="E1584" t="str">
            <v>C</v>
          </cell>
          <cell r="F1584" t="str">
            <v>Account status = Closed</v>
          </cell>
          <cell r="G1584" t="str">
            <v/>
          </cell>
          <cell r="H1584" t="str">
            <v>R</v>
          </cell>
        </row>
        <row r="1585">
          <cell r="B1585" t="str">
            <v>K9998</v>
          </cell>
          <cell r="C1585">
            <v>200109</v>
          </cell>
          <cell r="D1585">
            <v>201300</v>
          </cell>
          <cell r="E1585" t="str">
            <v>C</v>
          </cell>
          <cell r="F1585" t="str">
            <v>Account status = Closed</v>
          </cell>
          <cell r="G1585" t="str">
            <v/>
          </cell>
          <cell r="H1585" t="str">
            <v>R</v>
          </cell>
        </row>
        <row r="1586">
          <cell r="B1586" t="str">
            <v>K9999</v>
          </cell>
          <cell r="C1586">
            <v>200109</v>
          </cell>
          <cell r="D1586">
            <v>200713</v>
          </cell>
          <cell r="E1586" t="str">
            <v>C</v>
          </cell>
          <cell r="F1586" t="str">
            <v>Account status = Closed</v>
          </cell>
          <cell r="G1586" t="str">
            <v/>
          </cell>
          <cell r="H1586" t="str">
            <v>R</v>
          </cell>
        </row>
        <row r="1587">
          <cell r="B1587" t="str">
            <v>K9CAP</v>
          </cell>
          <cell r="C1587">
            <v>200608</v>
          </cell>
          <cell r="D1587">
            <v>209912</v>
          </cell>
          <cell r="E1587" t="str">
            <v>N</v>
          </cell>
          <cell r="F1587" t="str">
            <v/>
          </cell>
          <cell r="G1587" t="str">
            <v/>
          </cell>
          <cell r="H1587" t="str">
            <v>R</v>
          </cell>
        </row>
        <row r="1588">
          <cell r="B1588" t="str">
            <v>KPCAP</v>
          </cell>
          <cell r="C1588">
            <v>200608</v>
          </cell>
          <cell r="D1588">
            <v>200713</v>
          </cell>
          <cell r="E1588" t="str">
            <v>C</v>
          </cell>
          <cell r="F1588" t="str">
            <v>Account status = Closed</v>
          </cell>
          <cell r="G1588" t="str">
            <v/>
          </cell>
          <cell r="H1588" t="str">
            <v>R</v>
          </cell>
        </row>
        <row r="1589">
          <cell r="B1589" t="str">
            <v>L9546</v>
          </cell>
          <cell r="C1589">
            <v>200612</v>
          </cell>
          <cell r="D1589">
            <v>209912</v>
          </cell>
          <cell r="E1589" t="str">
            <v>N</v>
          </cell>
          <cell r="F1589" t="str">
            <v/>
          </cell>
          <cell r="G1589" t="str">
            <v/>
          </cell>
          <cell r="H1589" t="str">
            <v>R</v>
          </cell>
        </row>
        <row r="1590">
          <cell r="B1590" t="str">
            <v>L9700</v>
          </cell>
          <cell r="C1590">
            <v>200401</v>
          </cell>
          <cell r="D1590">
            <v>209912</v>
          </cell>
          <cell r="E1590" t="str">
            <v>N</v>
          </cell>
          <cell r="F1590" t="str">
            <v/>
          </cell>
          <cell r="G1590" t="str">
            <v/>
          </cell>
          <cell r="H1590" t="str">
            <v>R</v>
          </cell>
        </row>
        <row r="1591">
          <cell r="B1591" t="str">
            <v>L9701</v>
          </cell>
          <cell r="C1591">
            <v>200109</v>
          </cell>
          <cell r="D1591">
            <v>209912</v>
          </cell>
          <cell r="E1591" t="str">
            <v>N</v>
          </cell>
          <cell r="F1591" t="str">
            <v/>
          </cell>
          <cell r="G1591" t="str">
            <v/>
          </cell>
          <cell r="H1591" t="str">
            <v>R</v>
          </cell>
        </row>
        <row r="1592">
          <cell r="B1592" t="str">
            <v>L9702</v>
          </cell>
          <cell r="C1592">
            <v>200401</v>
          </cell>
          <cell r="D1592">
            <v>200713</v>
          </cell>
          <cell r="E1592" t="str">
            <v>C</v>
          </cell>
          <cell r="F1592" t="str">
            <v>Account status = Closed</v>
          </cell>
          <cell r="G1592" t="str">
            <v/>
          </cell>
          <cell r="H1592" t="str">
            <v>R</v>
          </cell>
        </row>
        <row r="1593">
          <cell r="B1593" t="str">
            <v>L9703</v>
          </cell>
          <cell r="C1593">
            <v>200109</v>
          </cell>
          <cell r="D1593">
            <v>209912</v>
          </cell>
          <cell r="E1593" t="str">
            <v>N</v>
          </cell>
          <cell r="F1593" t="str">
            <v/>
          </cell>
          <cell r="G1593" t="str">
            <v/>
          </cell>
          <cell r="H1593" t="str">
            <v>R</v>
          </cell>
        </row>
        <row r="1594">
          <cell r="B1594" t="str">
            <v>L9706</v>
          </cell>
          <cell r="C1594">
            <v>200109</v>
          </cell>
          <cell r="D1594">
            <v>200402</v>
          </cell>
          <cell r="E1594" t="str">
            <v>C</v>
          </cell>
          <cell r="F1594" t="str">
            <v>Account status = Closed</v>
          </cell>
          <cell r="G1594" t="str">
            <v/>
          </cell>
          <cell r="H1594" t="str">
            <v>R</v>
          </cell>
        </row>
        <row r="1595">
          <cell r="B1595" t="str">
            <v>L9711</v>
          </cell>
          <cell r="C1595">
            <v>200109</v>
          </cell>
          <cell r="D1595">
            <v>200713</v>
          </cell>
          <cell r="E1595" t="str">
            <v>C</v>
          </cell>
          <cell r="F1595" t="str">
            <v>Account status = Closed</v>
          </cell>
          <cell r="G1595" t="str">
            <v/>
          </cell>
          <cell r="H1595" t="str">
            <v>R</v>
          </cell>
        </row>
        <row r="1596">
          <cell r="B1596" t="str">
            <v>L9712</v>
          </cell>
          <cell r="C1596">
            <v>200109</v>
          </cell>
          <cell r="D1596">
            <v>209912</v>
          </cell>
          <cell r="E1596" t="str">
            <v>N</v>
          </cell>
          <cell r="F1596" t="str">
            <v/>
          </cell>
          <cell r="G1596" t="str">
            <v/>
          </cell>
          <cell r="H1596" t="str">
            <v>R</v>
          </cell>
        </row>
        <row r="1597">
          <cell r="B1597" t="str">
            <v>L9713</v>
          </cell>
          <cell r="C1597">
            <v>200109</v>
          </cell>
          <cell r="D1597">
            <v>209912</v>
          </cell>
          <cell r="E1597" t="str">
            <v>N</v>
          </cell>
          <cell r="F1597" t="str">
            <v/>
          </cell>
          <cell r="G1597" t="str">
            <v/>
          </cell>
          <cell r="H1597" t="str">
            <v>R</v>
          </cell>
        </row>
        <row r="1598">
          <cell r="B1598" t="str">
            <v>L9714</v>
          </cell>
          <cell r="C1598">
            <v>200109</v>
          </cell>
          <cell r="D1598">
            <v>209912</v>
          </cell>
          <cell r="E1598" t="str">
            <v>N</v>
          </cell>
          <cell r="F1598" t="str">
            <v/>
          </cell>
          <cell r="G1598" t="str">
            <v/>
          </cell>
          <cell r="H1598" t="str">
            <v>R</v>
          </cell>
        </row>
        <row r="1599">
          <cell r="B1599" t="str">
            <v>L9715</v>
          </cell>
          <cell r="C1599">
            <v>200109</v>
          </cell>
          <cell r="D1599">
            <v>209912</v>
          </cell>
          <cell r="E1599" t="str">
            <v>N</v>
          </cell>
          <cell r="F1599" t="str">
            <v/>
          </cell>
          <cell r="G1599" t="str">
            <v/>
          </cell>
          <cell r="H1599" t="str">
            <v>R</v>
          </cell>
        </row>
        <row r="1600">
          <cell r="B1600" t="str">
            <v>L9716</v>
          </cell>
          <cell r="C1600">
            <v>200407</v>
          </cell>
          <cell r="D1600">
            <v>209912</v>
          </cell>
          <cell r="E1600" t="str">
            <v>N</v>
          </cell>
          <cell r="F1600" t="str">
            <v/>
          </cell>
          <cell r="G1600" t="str">
            <v/>
          </cell>
          <cell r="H1600" t="str">
            <v>R</v>
          </cell>
        </row>
        <row r="1601">
          <cell r="B1601" t="str">
            <v>L9717</v>
          </cell>
          <cell r="C1601">
            <v>200703</v>
          </cell>
          <cell r="D1601">
            <v>209912</v>
          </cell>
          <cell r="E1601" t="str">
            <v>N</v>
          </cell>
          <cell r="F1601" t="str">
            <v/>
          </cell>
          <cell r="G1601" t="str">
            <v/>
          </cell>
          <cell r="H1601" t="str">
            <v>R</v>
          </cell>
        </row>
        <row r="1602">
          <cell r="B1602" t="str">
            <v>L9718</v>
          </cell>
          <cell r="C1602">
            <v>200703</v>
          </cell>
          <cell r="D1602">
            <v>209912</v>
          </cell>
          <cell r="E1602" t="str">
            <v>N</v>
          </cell>
          <cell r="F1602" t="str">
            <v/>
          </cell>
          <cell r="G1602" t="str">
            <v/>
          </cell>
          <cell r="H1602" t="str">
            <v>R</v>
          </cell>
        </row>
        <row r="1603">
          <cell r="B1603" t="str">
            <v>L9719</v>
          </cell>
          <cell r="C1603">
            <v>200703</v>
          </cell>
          <cell r="D1603">
            <v>209912</v>
          </cell>
          <cell r="E1603" t="str">
            <v>N</v>
          </cell>
          <cell r="F1603" t="str">
            <v/>
          </cell>
          <cell r="G1603" t="str">
            <v/>
          </cell>
          <cell r="H1603" t="str">
            <v>R</v>
          </cell>
        </row>
        <row r="1604">
          <cell r="B1604" t="str">
            <v>L9720</v>
          </cell>
          <cell r="C1604">
            <v>199900</v>
          </cell>
          <cell r="D1604">
            <v>209912</v>
          </cell>
          <cell r="E1604" t="str">
            <v>N</v>
          </cell>
          <cell r="F1604" t="str">
            <v/>
          </cell>
          <cell r="G1604" t="str">
            <v/>
          </cell>
          <cell r="H1604" t="str">
            <v>R</v>
          </cell>
        </row>
        <row r="1605">
          <cell r="B1605" t="str">
            <v>L9721</v>
          </cell>
          <cell r="C1605">
            <v>200109</v>
          </cell>
          <cell r="D1605">
            <v>209912</v>
          </cell>
          <cell r="E1605" t="str">
            <v>N</v>
          </cell>
          <cell r="F1605" t="str">
            <v/>
          </cell>
          <cell r="G1605" t="str">
            <v/>
          </cell>
          <cell r="H1605" t="str">
            <v>R</v>
          </cell>
        </row>
        <row r="1606">
          <cell r="B1606" t="str">
            <v>L9722</v>
          </cell>
          <cell r="C1606">
            <v>200109</v>
          </cell>
          <cell r="D1606">
            <v>209912</v>
          </cell>
          <cell r="E1606" t="str">
            <v>N</v>
          </cell>
          <cell r="F1606" t="str">
            <v/>
          </cell>
          <cell r="G1606" t="str">
            <v/>
          </cell>
          <cell r="H1606" t="str">
            <v>R</v>
          </cell>
        </row>
        <row r="1607">
          <cell r="B1607" t="str">
            <v>L9723</v>
          </cell>
          <cell r="C1607">
            <v>201004</v>
          </cell>
          <cell r="D1607">
            <v>209912</v>
          </cell>
          <cell r="E1607" t="str">
            <v>N</v>
          </cell>
          <cell r="F1607" t="str">
            <v/>
          </cell>
          <cell r="G1607" t="str">
            <v/>
          </cell>
          <cell r="H1607" t="str">
            <v>R</v>
          </cell>
        </row>
        <row r="1608">
          <cell r="B1608" t="str">
            <v>L9724</v>
          </cell>
          <cell r="C1608">
            <v>200109</v>
          </cell>
          <cell r="D1608">
            <v>209912</v>
          </cell>
          <cell r="E1608" t="str">
            <v>N</v>
          </cell>
          <cell r="F1608" t="str">
            <v/>
          </cell>
          <cell r="G1608" t="str">
            <v/>
          </cell>
          <cell r="H1608" t="str">
            <v>R</v>
          </cell>
        </row>
        <row r="1609">
          <cell r="B1609" t="str">
            <v>L9725</v>
          </cell>
          <cell r="C1609">
            <v>201004</v>
          </cell>
          <cell r="D1609">
            <v>209912</v>
          </cell>
          <cell r="E1609" t="str">
            <v>N</v>
          </cell>
          <cell r="F1609" t="str">
            <v/>
          </cell>
          <cell r="G1609" t="str">
            <v/>
          </cell>
          <cell r="H1609" t="str">
            <v>R</v>
          </cell>
        </row>
        <row r="1610">
          <cell r="B1610" t="str">
            <v>L9726</v>
          </cell>
          <cell r="C1610">
            <v>200109</v>
          </cell>
          <cell r="D1610">
            <v>209913</v>
          </cell>
          <cell r="E1610" t="str">
            <v>N</v>
          </cell>
          <cell r="F1610" t="str">
            <v/>
          </cell>
          <cell r="G1610" t="str">
            <v/>
          </cell>
          <cell r="H1610" t="str">
            <v>R</v>
          </cell>
        </row>
        <row r="1611">
          <cell r="B1611" t="str">
            <v>L9727</v>
          </cell>
          <cell r="C1611">
            <v>200109</v>
          </cell>
          <cell r="D1611">
            <v>209913</v>
          </cell>
          <cell r="E1611" t="str">
            <v>N</v>
          </cell>
          <cell r="F1611" t="str">
            <v/>
          </cell>
          <cell r="G1611" t="str">
            <v/>
          </cell>
          <cell r="H1611" t="str">
            <v>R</v>
          </cell>
        </row>
        <row r="1612">
          <cell r="B1612" t="str">
            <v>L9728</v>
          </cell>
          <cell r="C1612">
            <v>200109</v>
          </cell>
          <cell r="D1612">
            <v>209913</v>
          </cell>
          <cell r="E1612" t="str">
            <v>N</v>
          </cell>
          <cell r="F1612" t="str">
            <v/>
          </cell>
          <cell r="G1612" t="str">
            <v/>
          </cell>
          <cell r="H1612" t="str">
            <v>R</v>
          </cell>
        </row>
        <row r="1613">
          <cell r="B1613" t="str">
            <v>L9729</v>
          </cell>
          <cell r="C1613">
            <v>200109</v>
          </cell>
          <cell r="D1613">
            <v>209912</v>
          </cell>
          <cell r="E1613" t="str">
            <v>N</v>
          </cell>
          <cell r="F1613" t="str">
            <v/>
          </cell>
          <cell r="G1613" t="str">
            <v/>
          </cell>
          <cell r="H1613" t="str">
            <v>R</v>
          </cell>
        </row>
        <row r="1614">
          <cell r="B1614" t="str">
            <v>L9730</v>
          </cell>
          <cell r="C1614">
            <v>200109</v>
          </cell>
          <cell r="D1614">
            <v>200713</v>
          </cell>
          <cell r="E1614" t="str">
            <v>C</v>
          </cell>
          <cell r="F1614" t="str">
            <v>Account status = Closed</v>
          </cell>
          <cell r="G1614" t="str">
            <v/>
          </cell>
          <cell r="H1614" t="str">
            <v>R</v>
          </cell>
        </row>
        <row r="1615">
          <cell r="B1615" t="str">
            <v>L9750</v>
          </cell>
          <cell r="C1615">
            <v>200109</v>
          </cell>
          <cell r="D1615">
            <v>200112</v>
          </cell>
          <cell r="E1615" t="str">
            <v>C</v>
          </cell>
          <cell r="F1615" t="str">
            <v>Account status = Closed</v>
          </cell>
          <cell r="G1615" t="str">
            <v/>
          </cell>
          <cell r="H1615" t="str">
            <v>R</v>
          </cell>
        </row>
        <row r="1616">
          <cell r="B1616" t="str">
            <v>L9751</v>
          </cell>
          <cell r="C1616">
            <v>200109</v>
          </cell>
          <cell r="D1616">
            <v>200112</v>
          </cell>
          <cell r="E1616" t="str">
            <v>C</v>
          </cell>
          <cell r="F1616" t="str">
            <v>Account status = Closed</v>
          </cell>
          <cell r="G1616" t="str">
            <v/>
          </cell>
          <cell r="H1616" t="str">
            <v>R</v>
          </cell>
        </row>
        <row r="1617">
          <cell r="B1617" t="str">
            <v>L9752</v>
          </cell>
          <cell r="C1617">
            <v>200109</v>
          </cell>
          <cell r="D1617">
            <v>200112</v>
          </cell>
          <cell r="E1617" t="str">
            <v>C</v>
          </cell>
          <cell r="F1617" t="str">
            <v>Account status = Closed</v>
          </cell>
          <cell r="G1617" t="str">
            <v/>
          </cell>
          <cell r="H1617" t="str">
            <v>R</v>
          </cell>
        </row>
        <row r="1618">
          <cell r="B1618" t="str">
            <v>L9753</v>
          </cell>
          <cell r="C1618">
            <v>200109</v>
          </cell>
          <cell r="D1618">
            <v>200713</v>
          </cell>
          <cell r="E1618" t="str">
            <v>C</v>
          </cell>
          <cell r="F1618" t="str">
            <v>Account status = Closed</v>
          </cell>
          <cell r="G1618" t="str">
            <v/>
          </cell>
          <cell r="H1618" t="str">
            <v>R</v>
          </cell>
        </row>
        <row r="1619">
          <cell r="B1619" t="str">
            <v>L9758</v>
          </cell>
          <cell r="C1619">
            <v>200109</v>
          </cell>
          <cell r="D1619">
            <v>200112</v>
          </cell>
          <cell r="E1619" t="str">
            <v>C</v>
          </cell>
          <cell r="F1619" t="str">
            <v>Account status = Closed</v>
          </cell>
          <cell r="G1619" t="str">
            <v/>
          </cell>
          <cell r="H1619" t="str">
            <v>R</v>
          </cell>
        </row>
        <row r="1620">
          <cell r="B1620" t="str">
            <v>L9759</v>
          </cell>
          <cell r="C1620">
            <v>200109</v>
          </cell>
          <cell r="D1620">
            <v>200112</v>
          </cell>
          <cell r="E1620" t="str">
            <v>C</v>
          </cell>
          <cell r="F1620" t="str">
            <v>Account status = Closed</v>
          </cell>
          <cell r="G1620" t="str">
            <v/>
          </cell>
          <cell r="H1620" t="str">
            <v>R</v>
          </cell>
        </row>
        <row r="1621">
          <cell r="B1621" t="str">
            <v>L9767</v>
          </cell>
          <cell r="C1621">
            <v>200109</v>
          </cell>
          <cell r="D1621">
            <v>200112</v>
          </cell>
          <cell r="E1621" t="str">
            <v>C</v>
          </cell>
          <cell r="F1621" t="str">
            <v>Account status = Closed</v>
          </cell>
          <cell r="G1621" t="str">
            <v/>
          </cell>
          <cell r="H1621" t="str">
            <v>R</v>
          </cell>
        </row>
        <row r="1622">
          <cell r="B1622" t="str">
            <v>L9770</v>
          </cell>
          <cell r="C1622">
            <v>200109</v>
          </cell>
          <cell r="D1622">
            <v>200112</v>
          </cell>
          <cell r="E1622" t="str">
            <v>C</v>
          </cell>
          <cell r="F1622" t="str">
            <v>Account status = Closed</v>
          </cell>
          <cell r="G1622" t="str">
            <v/>
          </cell>
          <cell r="H1622" t="str">
            <v>R</v>
          </cell>
        </row>
        <row r="1623">
          <cell r="B1623" t="str">
            <v>L9777</v>
          </cell>
          <cell r="C1623">
            <v>200109</v>
          </cell>
          <cell r="D1623">
            <v>200713</v>
          </cell>
          <cell r="E1623" t="str">
            <v>C</v>
          </cell>
          <cell r="F1623" t="str">
            <v>Account status = Closed</v>
          </cell>
          <cell r="G1623" t="str">
            <v/>
          </cell>
          <cell r="H1623" t="str">
            <v>R</v>
          </cell>
        </row>
        <row r="1624">
          <cell r="B1624" t="str">
            <v>L9778</v>
          </cell>
          <cell r="C1624">
            <v>200109</v>
          </cell>
          <cell r="D1624">
            <v>200713</v>
          </cell>
          <cell r="E1624" t="str">
            <v>C</v>
          </cell>
          <cell r="F1624" t="str">
            <v>Account status = Closed</v>
          </cell>
          <cell r="G1624" t="str">
            <v/>
          </cell>
          <cell r="H1624" t="str">
            <v>R</v>
          </cell>
        </row>
        <row r="1625">
          <cell r="B1625" t="str">
            <v>L9781</v>
          </cell>
          <cell r="C1625">
            <v>200301</v>
          </cell>
          <cell r="D1625">
            <v>200500</v>
          </cell>
          <cell r="E1625" t="str">
            <v>C</v>
          </cell>
          <cell r="F1625" t="str">
            <v>Account status = Closed</v>
          </cell>
          <cell r="G1625" t="str">
            <v/>
          </cell>
          <cell r="H1625" t="str">
            <v>R</v>
          </cell>
        </row>
        <row r="1626">
          <cell r="B1626" t="str">
            <v>L9782</v>
          </cell>
          <cell r="C1626">
            <v>200301</v>
          </cell>
          <cell r="D1626">
            <v>200500</v>
          </cell>
          <cell r="E1626" t="str">
            <v>C</v>
          </cell>
          <cell r="F1626" t="str">
            <v>Account status = Closed</v>
          </cell>
          <cell r="G1626" t="str">
            <v/>
          </cell>
          <cell r="H1626" t="str">
            <v>R</v>
          </cell>
        </row>
        <row r="1627">
          <cell r="B1627" t="str">
            <v>L9783</v>
          </cell>
          <cell r="C1627">
            <v>200301</v>
          </cell>
          <cell r="D1627">
            <v>200301</v>
          </cell>
          <cell r="E1627" t="str">
            <v>C</v>
          </cell>
          <cell r="F1627" t="str">
            <v>Account status = Closed</v>
          </cell>
          <cell r="G1627" t="str">
            <v/>
          </cell>
          <cell r="H1627" t="str">
            <v>R</v>
          </cell>
        </row>
        <row r="1628">
          <cell r="B1628" t="str">
            <v>L9784</v>
          </cell>
          <cell r="C1628">
            <v>200301</v>
          </cell>
          <cell r="D1628">
            <v>200500</v>
          </cell>
          <cell r="E1628" t="str">
            <v>C</v>
          </cell>
          <cell r="F1628" t="str">
            <v>Account status = Closed</v>
          </cell>
          <cell r="G1628" t="str">
            <v/>
          </cell>
          <cell r="H1628" t="str">
            <v>R</v>
          </cell>
        </row>
        <row r="1629">
          <cell r="B1629" t="str">
            <v>L9785</v>
          </cell>
          <cell r="C1629">
            <v>200109</v>
          </cell>
          <cell r="D1629">
            <v>200500</v>
          </cell>
          <cell r="E1629" t="str">
            <v>C</v>
          </cell>
          <cell r="F1629" t="str">
            <v>Account status = Closed</v>
          </cell>
          <cell r="G1629" t="str">
            <v/>
          </cell>
          <cell r="H1629" t="str">
            <v>R</v>
          </cell>
        </row>
        <row r="1630">
          <cell r="B1630" t="str">
            <v>L9786</v>
          </cell>
          <cell r="C1630">
            <v>200109</v>
          </cell>
          <cell r="D1630">
            <v>200112</v>
          </cell>
          <cell r="E1630" t="str">
            <v>C</v>
          </cell>
          <cell r="F1630" t="str">
            <v>Account status = Closed</v>
          </cell>
          <cell r="G1630" t="str">
            <v/>
          </cell>
          <cell r="H1630" t="str">
            <v>R</v>
          </cell>
        </row>
        <row r="1631">
          <cell r="B1631" t="str">
            <v>L9788</v>
          </cell>
          <cell r="C1631">
            <v>200109</v>
          </cell>
          <cell r="D1631">
            <v>200713</v>
          </cell>
          <cell r="E1631" t="str">
            <v>C</v>
          </cell>
          <cell r="F1631" t="str">
            <v>Account status = Closed</v>
          </cell>
          <cell r="G1631" t="str">
            <v/>
          </cell>
          <cell r="H1631" t="str">
            <v>R</v>
          </cell>
        </row>
        <row r="1632">
          <cell r="B1632" t="str">
            <v>L9790</v>
          </cell>
          <cell r="C1632">
            <v>200109</v>
          </cell>
          <cell r="D1632">
            <v>209913</v>
          </cell>
          <cell r="E1632" t="str">
            <v>N</v>
          </cell>
          <cell r="F1632" t="str">
            <v/>
          </cell>
          <cell r="G1632" t="str">
            <v/>
          </cell>
          <cell r="H1632" t="str">
            <v>R</v>
          </cell>
        </row>
        <row r="1633">
          <cell r="B1633" t="str">
            <v>L9791</v>
          </cell>
          <cell r="C1633">
            <v>200301</v>
          </cell>
          <cell r="D1633">
            <v>200500</v>
          </cell>
          <cell r="E1633" t="str">
            <v>C</v>
          </cell>
          <cell r="F1633" t="str">
            <v>Account status = Closed</v>
          </cell>
          <cell r="G1633" t="str">
            <v/>
          </cell>
          <cell r="H1633" t="str">
            <v>R</v>
          </cell>
        </row>
        <row r="1634">
          <cell r="B1634" t="str">
            <v>L9792</v>
          </cell>
          <cell r="C1634">
            <v>200109</v>
          </cell>
          <cell r="D1634">
            <v>200505</v>
          </cell>
          <cell r="E1634" t="str">
            <v>C</v>
          </cell>
          <cell r="F1634" t="str">
            <v>Account status = Closed</v>
          </cell>
          <cell r="G1634" t="str">
            <v/>
          </cell>
          <cell r="H1634" t="str">
            <v>R</v>
          </cell>
        </row>
        <row r="1635">
          <cell r="B1635" t="str">
            <v>L9793</v>
          </cell>
          <cell r="C1635">
            <v>200109</v>
          </cell>
          <cell r="D1635">
            <v>200505</v>
          </cell>
          <cell r="E1635" t="str">
            <v>C</v>
          </cell>
          <cell r="F1635" t="str">
            <v>Account status = Closed</v>
          </cell>
          <cell r="G1635" t="str">
            <v/>
          </cell>
          <cell r="H1635" t="str">
            <v>R</v>
          </cell>
        </row>
        <row r="1636">
          <cell r="B1636" t="str">
            <v>L9794</v>
          </cell>
          <cell r="C1636">
            <v>200109</v>
          </cell>
          <cell r="D1636">
            <v>200505</v>
          </cell>
          <cell r="E1636" t="str">
            <v>C</v>
          </cell>
          <cell r="F1636" t="str">
            <v>Account status = Closed</v>
          </cell>
          <cell r="G1636" t="str">
            <v/>
          </cell>
          <cell r="H1636" t="str">
            <v>R</v>
          </cell>
        </row>
        <row r="1637">
          <cell r="B1637" t="str">
            <v>L9795</v>
          </cell>
          <cell r="C1637">
            <v>200109</v>
          </cell>
          <cell r="D1637">
            <v>200500</v>
          </cell>
          <cell r="E1637" t="str">
            <v>C</v>
          </cell>
          <cell r="F1637" t="str">
            <v>Account status = Closed</v>
          </cell>
          <cell r="G1637" t="str">
            <v/>
          </cell>
          <cell r="H1637" t="str">
            <v>R</v>
          </cell>
        </row>
        <row r="1638">
          <cell r="B1638" t="str">
            <v>L9796</v>
          </cell>
          <cell r="C1638">
            <v>200109</v>
          </cell>
          <cell r="D1638">
            <v>200500</v>
          </cell>
          <cell r="E1638" t="str">
            <v>C</v>
          </cell>
          <cell r="F1638" t="str">
            <v>Account status = Closed</v>
          </cell>
          <cell r="G1638" t="str">
            <v/>
          </cell>
          <cell r="H1638" t="str">
            <v>R</v>
          </cell>
        </row>
        <row r="1639">
          <cell r="B1639" t="str">
            <v>L9797</v>
          </cell>
          <cell r="C1639">
            <v>200301</v>
          </cell>
          <cell r="D1639">
            <v>200500</v>
          </cell>
          <cell r="E1639" t="str">
            <v>C</v>
          </cell>
          <cell r="F1639" t="str">
            <v>Account status = Closed</v>
          </cell>
          <cell r="G1639" t="str">
            <v/>
          </cell>
          <cell r="H1639" t="str">
            <v>R</v>
          </cell>
        </row>
        <row r="1640">
          <cell r="B1640" t="str">
            <v>L9798</v>
          </cell>
          <cell r="C1640">
            <v>200109</v>
          </cell>
          <cell r="D1640">
            <v>209912</v>
          </cell>
          <cell r="E1640" t="str">
            <v>N</v>
          </cell>
          <cell r="F1640" t="str">
            <v/>
          </cell>
          <cell r="G1640" t="str">
            <v/>
          </cell>
          <cell r="H1640" t="str">
            <v>R</v>
          </cell>
        </row>
        <row r="1641">
          <cell r="B1641" t="str">
            <v>L9799</v>
          </cell>
          <cell r="C1641">
            <v>200109</v>
          </cell>
          <cell r="D1641">
            <v>200500</v>
          </cell>
          <cell r="E1641" t="str">
            <v>C</v>
          </cell>
          <cell r="F1641" t="str">
            <v>Account status = Closed</v>
          </cell>
          <cell r="G1641" t="str">
            <v/>
          </cell>
          <cell r="H1641" t="str">
            <v>R</v>
          </cell>
        </row>
        <row r="1642">
          <cell r="B1642" t="str">
            <v>L9811</v>
          </cell>
          <cell r="C1642">
            <v>200701</v>
          </cell>
          <cell r="D1642">
            <v>209912</v>
          </cell>
          <cell r="E1642" t="str">
            <v>N</v>
          </cell>
          <cell r="F1642" t="str">
            <v/>
          </cell>
          <cell r="G1642" t="str">
            <v/>
          </cell>
          <cell r="H1642" t="str">
            <v>R</v>
          </cell>
        </row>
        <row r="1643">
          <cell r="B1643" t="str">
            <v>L9812</v>
          </cell>
          <cell r="C1643">
            <v>200701</v>
          </cell>
          <cell r="D1643">
            <v>209912</v>
          </cell>
          <cell r="E1643" t="str">
            <v>N</v>
          </cell>
          <cell r="F1643" t="str">
            <v/>
          </cell>
          <cell r="G1643" t="str">
            <v/>
          </cell>
          <cell r="H1643" t="str">
            <v>R</v>
          </cell>
        </row>
        <row r="1644">
          <cell r="B1644" t="str">
            <v>L9813</v>
          </cell>
          <cell r="C1644">
            <v>200701</v>
          </cell>
          <cell r="D1644">
            <v>209912</v>
          </cell>
          <cell r="E1644" t="str">
            <v>N</v>
          </cell>
          <cell r="F1644" t="str">
            <v/>
          </cell>
          <cell r="G1644" t="str">
            <v/>
          </cell>
          <cell r="H1644" t="str">
            <v>R</v>
          </cell>
        </row>
        <row r="1645">
          <cell r="B1645" t="str">
            <v>L9814</v>
          </cell>
          <cell r="C1645">
            <v>200701</v>
          </cell>
          <cell r="D1645">
            <v>209912</v>
          </cell>
          <cell r="E1645" t="str">
            <v>N</v>
          </cell>
          <cell r="F1645" t="str">
            <v/>
          </cell>
          <cell r="G1645" t="str">
            <v/>
          </cell>
          <cell r="H1645" t="str">
            <v>R</v>
          </cell>
        </row>
        <row r="1646">
          <cell r="B1646" t="str">
            <v>L9818</v>
          </cell>
          <cell r="C1646">
            <v>200701</v>
          </cell>
          <cell r="D1646">
            <v>209912</v>
          </cell>
          <cell r="E1646" t="str">
            <v>N</v>
          </cell>
          <cell r="F1646" t="str">
            <v/>
          </cell>
          <cell r="G1646" t="str">
            <v/>
          </cell>
          <cell r="H1646" t="str">
            <v>R</v>
          </cell>
        </row>
        <row r="1647">
          <cell r="B1647" t="str">
            <v>L9819</v>
          </cell>
          <cell r="C1647">
            <v>200701</v>
          </cell>
          <cell r="D1647">
            <v>209912</v>
          </cell>
          <cell r="E1647" t="str">
            <v>N</v>
          </cell>
          <cell r="F1647" t="str">
            <v/>
          </cell>
          <cell r="G1647" t="str">
            <v/>
          </cell>
          <cell r="H1647" t="str">
            <v>R</v>
          </cell>
        </row>
        <row r="1648">
          <cell r="B1648" t="str">
            <v>L9837</v>
          </cell>
          <cell r="C1648">
            <v>200701</v>
          </cell>
          <cell r="D1648">
            <v>209912</v>
          </cell>
          <cell r="E1648" t="str">
            <v>N</v>
          </cell>
          <cell r="F1648" t="str">
            <v/>
          </cell>
          <cell r="G1648" t="str">
            <v/>
          </cell>
          <cell r="H1648" t="str">
            <v>R</v>
          </cell>
        </row>
        <row r="1649">
          <cell r="B1649" t="str">
            <v>L9838</v>
          </cell>
          <cell r="C1649">
            <v>200701</v>
          </cell>
          <cell r="D1649">
            <v>209912</v>
          </cell>
          <cell r="E1649" t="str">
            <v>N</v>
          </cell>
          <cell r="F1649" t="str">
            <v/>
          </cell>
          <cell r="G1649" t="str">
            <v/>
          </cell>
          <cell r="H1649" t="str">
            <v>R</v>
          </cell>
        </row>
        <row r="1650">
          <cell r="B1650" t="str">
            <v>L9839</v>
          </cell>
          <cell r="C1650">
            <v>200701</v>
          </cell>
          <cell r="D1650">
            <v>209912</v>
          </cell>
          <cell r="E1650" t="str">
            <v>N</v>
          </cell>
          <cell r="F1650" t="str">
            <v/>
          </cell>
          <cell r="G1650" t="str">
            <v/>
          </cell>
          <cell r="H1650" t="str">
            <v>R</v>
          </cell>
        </row>
        <row r="1651">
          <cell r="B1651" t="str">
            <v>L9840</v>
          </cell>
          <cell r="C1651">
            <v>199900</v>
          </cell>
          <cell r="D1651">
            <v>209912</v>
          </cell>
          <cell r="E1651" t="str">
            <v>N</v>
          </cell>
          <cell r="F1651" t="str">
            <v/>
          </cell>
          <cell r="G1651" t="str">
            <v/>
          </cell>
          <cell r="H1651" t="str">
            <v>R</v>
          </cell>
        </row>
        <row r="1652">
          <cell r="B1652" t="str">
            <v>L9841</v>
          </cell>
          <cell r="C1652">
            <v>199900</v>
          </cell>
          <cell r="D1652">
            <v>209912</v>
          </cell>
          <cell r="E1652" t="str">
            <v>N</v>
          </cell>
          <cell r="F1652" t="str">
            <v/>
          </cell>
          <cell r="G1652" t="str">
            <v/>
          </cell>
          <cell r="H1652" t="str">
            <v>R</v>
          </cell>
        </row>
        <row r="1653">
          <cell r="B1653" t="str">
            <v>L9899</v>
          </cell>
          <cell r="C1653">
            <v>200612</v>
          </cell>
          <cell r="D1653">
            <v>209912</v>
          </cell>
          <cell r="E1653" t="str">
            <v>N</v>
          </cell>
          <cell r="F1653" t="str">
            <v/>
          </cell>
          <cell r="G1653" t="str">
            <v/>
          </cell>
          <cell r="H1653" t="str">
            <v>R</v>
          </cell>
        </row>
        <row r="1654">
          <cell r="B1654" t="str">
            <v>L9911</v>
          </cell>
          <cell r="C1654">
            <v>200701</v>
          </cell>
          <cell r="D1654">
            <v>200713</v>
          </cell>
          <cell r="E1654" t="str">
            <v>C</v>
          </cell>
          <cell r="F1654" t="str">
            <v>Account status = Closed</v>
          </cell>
          <cell r="G1654" t="str">
            <v/>
          </cell>
          <cell r="H1654" t="str">
            <v>R</v>
          </cell>
        </row>
        <row r="1655">
          <cell r="B1655" t="str">
            <v>L9912</v>
          </cell>
          <cell r="C1655">
            <v>200701</v>
          </cell>
          <cell r="D1655">
            <v>200713</v>
          </cell>
          <cell r="E1655" t="str">
            <v>C</v>
          </cell>
          <cell r="F1655" t="str">
            <v>Account status = Closed</v>
          </cell>
          <cell r="G1655" t="str">
            <v/>
          </cell>
          <cell r="H1655" t="str">
            <v>R</v>
          </cell>
        </row>
        <row r="1656">
          <cell r="B1656" t="str">
            <v>L9913</v>
          </cell>
          <cell r="C1656">
            <v>200701</v>
          </cell>
          <cell r="D1656">
            <v>200713</v>
          </cell>
          <cell r="E1656" t="str">
            <v>C</v>
          </cell>
          <cell r="F1656" t="str">
            <v>Account status = Closed</v>
          </cell>
          <cell r="G1656" t="str">
            <v/>
          </cell>
          <cell r="H1656" t="str">
            <v>R</v>
          </cell>
        </row>
        <row r="1657">
          <cell r="B1657" t="str">
            <v>L9914</v>
          </cell>
          <cell r="C1657">
            <v>200701</v>
          </cell>
          <cell r="D1657">
            <v>200713</v>
          </cell>
          <cell r="E1657" t="str">
            <v>C</v>
          </cell>
          <cell r="F1657" t="str">
            <v>Account status = Closed</v>
          </cell>
          <cell r="G1657" t="str">
            <v/>
          </cell>
          <cell r="H1657" t="str">
            <v>R</v>
          </cell>
        </row>
        <row r="1658">
          <cell r="B1658" t="str">
            <v>L9918</v>
          </cell>
          <cell r="C1658">
            <v>200701</v>
          </cell>
          <cell r="D1658">
            <v>200713</v>
          </cell>
          <cell r="E1658" t="str">
            <v>C</v>
          </cell>
          <cell r="F1658" t="str">
            <v>Account status = Closed</v>
          </cell>
          <cell r="G1658" t="str">
            <v/>
          </cell>
          <cell r="H1658" t="str">
            <v>R</v>
          </cell>
        </row>
        <row r="1659">
          <cell r="B1659" t="str">
            <v>L9919</v>
          </cell>
          <cell r="C1659">
            <v>200701</v>
          </cell>
          <cell r="D1659">
            <v>200713</v>
          </cell>
          <cell r="E1659" t="str">
            <v>C</v>
          </cell>
          <cell r="F1659" t="str">
            <v>Account status = Closed</v>
          </cell>
          <cell r="G1659" t="str">
            <v/>
          </cell>
          <cell r="H1659" t="str">
            <v>R</v>
          </cell>
        </row>
        <row r="1660">
          <cell r="B1660" t="str">
            <v>L9937</v>
          </cell>
          <cell r="C1660">
            <v>200701</v>
          </cell>
          <cell r="D1660">
            <v>200713</v>
          </cell>
          <cell r="E1660" t="str">
            <v>C</v>
          </cell>
          <cell r="F1660" t="str">
            <v>Account status = Closed</v>
          </cell>
          <cell r="G1660" t="str">
            <v/>
          </cell>
          <cell r="H1660" t="str">
            <v>R</v>
          </cell>
        </row>
        <row r="1661">
          <cell r="B1661" t="str">
            <v>L9938</v>
          </cell>
          <cell r="C1661">
            <v>200701</v>
          </cell>
          <cell r="D1661">
            <v>200713</v>
          </cell>
          <cell r="E1661" t="str">
            <v>C</v>
          </cell>
          <cell r="F1661" t="str">
            <v>Account status = Closed</v>
          </cell>
          <cell r="G1661" t="str">
            <v/>
          </cell>
          <cell r="H1661" t="str">
            <v>R</v>
          </cell>
        </row>
        <row r="1662">
          <cell r="B1662" t="str">
            <v>L9939</v>
          </cell>
          <cell r="C1662">
            <v>200701</v>
          </cell>
          <cell r="D1662">
            <v>200713</v>
          </cell>
          <cell r="E1662" t="str">
            <v>C</v>
          </cell>
          <cell r="F1662" t="str">
            <v>Account status = Closed</v>
          </cell>
          <cell r="G1662" t="str">
            <v/>
          </cell>
          <cell r="H1662" t="str">
            <v>R</v>
          </cell>
        </row>
        <row r="1663">
          <cell r="B1663" t="str">
            <v>L9CAP</v>
          </cell>
          <cell r="C1663">
            <v>200413</v>
          </cell>
          <cell r="D1663">
            <v>209912</v>
          </cell>
          <cell r="E1663" t="str">
            <v>N</v>
          </cell>
          <cell r="F1663" t="str">
            <v/>
          </cell>
          <cell r="G1663" t="str">
            <v/>
          </cell>
          <cell r="H1663" t="str">
            <v>R</v>
          </cell>
        </row>
        <row r="1664">
          <cell r="B1664" t="str">
            <v>L9GFU</v>
          </cell>
          <cell r="C1664">
            <v>200413</v>
          </cell>
          <cell r="D1664">
            <v>209912</v>
          </cell>
          <cell r="E1664" t="str">
            <v>N</v>
          </cell>
          <cell r="F1664" t="str">
            <v/>
          </cell>
          <cell r="G1664" t="str">
            <v/>
          </cell>
          <cell r="H1664" t="str">
            <v>R</v>
          </cell>
        </row>
        <row r="1665">
          <cell r="B1665" t="str">
            <v>L9HRA</v>
          </cell>
          <cell r="C1665">
            <v>200413</v>
          </cell>
          <cell r="D1665">
            <v>209912</v>
          </cell>
          <cell r="E1665" t="str">
            <v>N</v>
          </cell>
          <cell r="F1665" t="str">
            <v/>
          </cell>
          <cell r="G1665" t="str">
            <v/>
          </cell>
          <cell r="H1665" t="str">
            <v>R</v>
          </cell>
        </row>
        <row r="1666">
          <cell r="B1666" t="str">
            <v>W0000</v>
          </cell>
          <cell r="C1666">
            <v>200603</v>
          </cell>
          <cell r="D1666">
            <v>209912</v>
          </cell>
          <cell r="E1666" t="str">
            <v>N</v>
          </cell>
          <cell r="F1666" t="str">
            <v/>
          </cell>
          <cell r="G1666" t="str">
            <v/>
          </cell>
          <cell r="H1666" t="str">
            <v>C</v>
          </cell>
        </row>
        <row r="1667">
          <cell r="B1667" t="str">
            <v>W0001</v>
          </cell>
          <cell r="C1667">
            <v>200603</v>
          </cell>
          <cell r="D1667">
            <v>209912</v>
          </cell>
          <cell r="E1667" t="str">
            <v>N</v>
          </cell>
          <cell r="F1667" t="str">
            <v/>
          </cell>
          <cell r="G1667" t="str">
            <v/>
          </cell>
          <cell r="H1667" t="str">
            <v>C</v>
          </cell>
        </row>
        <row r="1668">
          <cell r="B1668" t="str">
            <v>W0002</v>
          </cell>
          <cell r="C1668">
            <v>200603</v>
          </cell>
          <cell r="D1668">
            <v>209912</v>
          </cell>
          <cell r="E1668" t="str">
            <v>N</v>
          </cell>
          <cell r="F1668" t="str">
            <v/>
          </cell>
          <cell r="G1668" t="str">
            <v/>
          </cell>
          <cell r="H1668" t="str">
            <v>C</v>
          </cell>
        </row>
        <row r="1669">
          <cell r="B1669" t="str">
            <v>W0003</v>
          </cell>
          <cell r="C1669">
            <v>200603</v>
          </cell>
          <cell r="D1669">
            <v>209912</v>
          </cell>
          <cell r="E1669" t="str">
            <v>N</v>
          </cell>
          <cell r="F1669" t="str">
            <v/>
          </cell>
          <cell r="G1669" t="str">
            <v/>
          </cell>
          <cell r="H1669" t="str">
            <v>C</v>
          </cell>
        </row>
        <row r="1670">
          <cell r="B1670" t="str">
            <v>W0004</v>
          </cell>
          <cell r="C1670">
            <v>200603</v>
          </cell>
          <cell r="D1670">
            <v>209912</v>
          </cell>
          <cell r="E1670" t="str">
            <v>N</v>
          </cell>
          <cell r="F1670" t="str">
            <v/>
          </cell>
          <cell r="G1670" t="str">
            <v/>
          </cell>
          <cell r="H1670" t="str">
            <v>C</v>
          </cell>
        </row>
        <row r="1671">
          <cell r="B1671" t="str">
            <v>W0005</v>
          </cell>
          <cell r="C1671">
            <v>200603</v>
          </cell>
          <cell r="D1671">
            <v>209912</v>
          </cell>
          <cell r="E1671" t="str">
            <v>N</v>
          </cell>
          <cell r="F1671" t="str">
            <v/>
          </cell>
          <cell r="G1671" t="str">
            <v/>
          </cell>
          <cell r="H1671" t="str">
            <v>C</v>
          </cell>
        </row>
        <row r="1672">
          <cell r="B1672" t="str">
            <v>W0006</v>
          </cell>
          <cell r="C1672">
            <v>200603</v>
          </cell>
          <cell r="D1672">
            <v>209912</v>
          </cell>
          <cell r="E1672" t="str">
            <v>N</v>
          </cell>
          <cell r="F1672" t="str">
            <v/>
          </cell>
          <cell r="G1672" t="str">
            <v/>
          </cell>
          <cell r="H1672" t="str">
            <v>C</v>
          </cell>
        </row>
        <row r="1673">
          <cell r="B1673" t="str">
            <v>W0007</v>
          </cell>
          <cell r="C1673">
            <v>200603</v>
          </cell>
          <cell r="D1673">
            <v>201300</v>
          </cell>
          <cell r="E1673" t="str">
            <v>C</v>
          </cell>
          <cell r="F1673" t="str">
            <v>Account status = Closed</v>
          </cell>
          <cell r="G1673" t="str">
            <v/>
          </cell>
          <cell r="H1673" t="str">
            <v>C</v>
          </cell>
        </row>
        <row r="1674">
          <cell r="B1674" t="str">
            <v>W0008</v>
          </cell>
          <cell r="C1674">
            <v>200603</v>
          </cell>
          <cell r="D1674">
            <v>209912</v>
          </cell>
          <cell r="E1674" t="str">
            <v>N</v>
          </cell>
          <cell r="F1674" t="str">
            <v/>
          </cell>
          <cell r="G1674" t="str">
            <v/>
          </cell>
          <cell r="H1674" t="str">
            <v>C</v>
          </cell>
        </row>
        <row r="1675">
          <cell r="B1675" t="str">
            <v>W0009</v>
          </cell>
          <cell r="C1675">
            <v>200603</v>
          </cell>
          <cell r="D1675">
            <v>201300</v>
          </cell>
          <cell r="E1675" t="str">
            <v>C</v>
          </cell>
          <cell r="F1675" t="str">
            <v>Account status = Closed</v>
          </cell>
          <cell r="G1675" t="str">
            <v/>
          </cell>
          <cell r="H1675" t="str">
            <v>C</v>
          </cell>
        </row>
        <row r="1676">
          <cell r="B1676" t="str">
            <v>W0010</v>
          </cell>
          <cell r="C1676">
            <v>200603</v>
          </cell>
          <cell r="D1676">
            <v>209912</v>
          </cell>
          <cell r="E1676" t="str">
            <v>N</v>
          </cell>
          <cell r="F1676" t="str">
            <v/>
          </cell>
          <cell r="G1676" t="str">
            <v/>
          </cell>
          <cell r="H1676" t="str">
            <v>C</v>
          </cell>
        </row>
        <row r="1677">
          <cell r="B1677" t="str">
            <v>W0011</v>
          </cell>
          <cell r="C1677">
            <v>200801</v>
          </cell>
          <cell r="D1677">
            <v>201300</v>
          </cell>
          <cell r="E1677" t="str">
            <v>C</v>
          </cell>
          <cell r="F1677" t="str">
            <v>Account status = Closed</v>
          </cell>
          <cell r="G1677" t="str">
            <v/>
          </cell>
          <cell r="H1677" t="str">
            <v>C</v>
          </cell>
        </row>
        <row r="1678">
          <cell r="B1678" t="str">
            <v>W0012</v>
          </cell>
          <cell r="C1678">
            <v>201109</v>
          </cell>
          <cell r="D1678">
            <v>209912</v>
          </cell>
          <cell r="E1678" t="str">
            <v>N</v>
          </cell>
          <cell r="F1678" t="str">
            <v/>
          </cell>
          <cell r="G1678" t="str">
            <v/>
          </cell>
          <cell r="H1678" t="str">
            <v>C</v>
          </cell>
        </row>
        <row r="1679">
          <cell r="B1679" t="str">
            <v>W0020</v>
          </cell>
          <cell r="C1679">
            <v>201400</v>
          </cell>
          <cell r="D1679">
            <v>209912</v>
          </cell>
          <cell r="E1679" t="str">
            <v>N</v>
          </cell>
          <cell r="F1679" t="str">
            <v/>
          </cell>
          <cell r="G1679" t="str">
            <v/>
          </cell>
          <cell r="H1679" t="str">
            <v>C</v>
          </cell>
        </row>
        <row r="1680">
          <cell r="B1680" t="str">
            <v>W1000</v>
          </cell>
          <cell r="C1680">
            <v>200603</v>
          </cell>
          <cell r="D1680">
            <v>201300</v>
          </cell>
          <cell r="E1680" t="str">
            <v>C</v>
          </cell>
          <cell r="F1680" t="str">
            <v>Account status = Closed</v>
          </cell>
          <cell r="G1680" t="str">
            <v/>
          </cell>
          <cell r="H1680" t="str">
            <v>C</v>
          </cell>
        </row>
        <row r="1681">
          <cell r="B1681" t="str">
            <v>W1001</v>
          </cell>
          <cell r="C1681">
            <v>200603</v>
          </cell>
          <cell r="D1681">
            <v>201300</v>
          </cell>
          <cell r="E1681" t="str">
            <v>C</v>
          </cell>
          <cell r="F1681" t="str">
            <v>Account status = Closed</v>
          </cell>
          <cell r="G1681" t="str">
            <v/>
          </cell>
          <cell r="H1681" t="str">
            <v>C</v>
          </cell>
        </row>
        <row r="1682">
          <cell r="B1682" t="str">
            <v>W1002</v>
          </cell>
          <cell r="C1682">
            <v>200603</v>
          </cell>
          <cell r="D1682">
            <v>201300</v>
          </cell>
          <cell r="E1682" t="str">
            <v>C</v>
          </cell>
          <cell r="F1682" t="str">
            <v>Account status = Closed</v>
          </cell>
          <cell r="G1682" t="str">
            <v/>
          </cell>
          <cell r="H1682" t="str">
            <v>C</v>
          </cell>
        </row>
        <row r="1683">
          <cell r="B1683" t="str">
            <v>W1003</v>
          </cell>
          <cell r="C1683">
            <v>200603</v>
          </cell>
          <cell r="D1683">
            <v>209912</v>
          </cell>
          <cell r="E1683" t="str">
            <v>N</v>
          </cell>
          <cell r="F1683" t="str">
            <v/>
          </cell>
          <cell r="G1683" t="str">
            <v/>
          </cell>
          <cell r="H1683" t="str">
            <v>C</v>
          </cell>
        </row>
        <row r="1684">
          <cell r="B1684" t="str">
            <v>W1004</v>
          </cell>
          <cell r="C1684">
            <v>200603</v>
          </cell>
          <cell r="D1684">
            <v>209912</v>
          </cell>
          <cell r="E1684" t="str">
            <v>N</v>
          </cell>
          <cell r="F1684" t="str">
            <v/>
          </cell>
          <cell r="G1684" t="str">
            <v/>
          </cell>
          <cell r="H1684" t="str">
            <v>C</v>
          </cell>
        </row>
        <row r="1685">
          <cell r="B1685" t="str">
            <v>W2000</v>
          </cell>
          <cell r="C1685">
            <v>200603</v>
          </cell>
          <cell r="D1685">
            <v>209912</v>
          </cell>
          <cell r="E1685" t="str">
            <v>N</v>
          </cell>
          <cell r="F1685" t="str">
            <v/>
          </cell>
          <cell r="G1685" t="str">
            <v/>
          </cell>
          <cell r="H1685" t="str">
            <v>C</v>
          </cell>
        </row>
        <row r="1686">
          <cell r="B1686" t="str">
            <v>W3000</v>
          </cell>
          <cell r="C1686">
            <v>199900</v>
          </cell>
          <cell r="D1686">
            <v>209912</v>
          </cell>
          <cell r="E1686" t="str">
            <v>N</v>
          </cell>
          <cell r="F1686" t="str">
            <v/>
          </cell>
          <cell r="G1686" t="str">
            <v/>
          </cell>
          <cell r="H1686" t="str">
            <v>C</v>
          </cell>
        </row>
        <row r="1687">
          <cell r="B1687" t="str">
            <v>W3001</v>
          </cell>
          <cell r="C1687">
            <v>199900</v>
          </cell>
          <cell r="D1687">
            <v>209912</v>
          </cell>
          <cell r="E1687" t="str">
            <v>N</v>
          </cell>
          <cell r="F1687" t="str">
            <v/>
          </cell>
          <cell r="G1687" t="str">
            <v/>
          </cell>
          <cell r="H1687" t="str">
            <v>C</v>
          </cell>
        </row>
        <row r="1688">
          <cell r="B1688" t="str">
            <v>Y000</v>
          </cell>
          <cell r="C1688">
            <v>199901</v>
          </cell>
          <cell r="D1688">
            <v>209912</v>
          </cell>
          <cell r="E1688" t="str">
            <v>N</v>
          </cell>
          <cell r="F1688" t="str">
            <v/>
          </cell>
          <cell r="G1688" t="str">
            <v/>
          </cell>
          <cell r="H1688" t="str">
            <v>C</v>
          </cell>
        </row>
        <row r="1689">
          <cell r="B1689" t="str">
            <v>Y001</v>
          </cell>
          <cell r="C1689">
            <v>200109</v>
          </cell>
          <cell r="D1689">
            <v>209912</v>
          </cell>
          <cell r="E1689" t="str">
            <v>N</v>
          </cell>
          <cell r="F1689" t="str">
            <v/>
          </cell>
          <cell r="G1689" t="str">
            <v/>
          </cell>
          <cell r="H1689" t="str">
            <v>C</v>
          </cell>
        </row>
        <row r="1690">
          <cell r="B1690" t="str">
            <v>Y005</v>
          </cell>
          <cell r="C1690">
            <v>200109</v>
          </cell>
          <cell r="D1690">
            <v>209912</v>
          </cell>
          <cell r="E1690" t="str">
            <v>N</v>
          </cell>
          <cell r="F1690" t="str">
            <v/>
          </cell>
          <cell r="G1690" t="str">
            <v/>
          </cell>
          <cell r="H1690" t="str">
            <v>C</v>
          </cell>
        </row>
        <row r="1691">
          <cell r="B1691" t="str">
            <v>Y006</v>
          </cell>
          <cell r="C1691">
            <v>200109</v>
          </cell>
          <cell r="D1691">
            <v>209912</v>
          </cell>
          <cell r="E1691" t="str">
            <v>N</v>
          </cell>
          <cell r="F1691" t="str">
            <v/>
          </cell>
          <cell r="G1691" t="str">
            <v/>
          </cell>
          <cell r="H1691" t="str">
            <v>C</v>
          </cell>
        </row>
        <row r="1692">
          <cell r="B1692" t="str">
            <v>Y011</v>
          </cell>
          <cell r="C1692">
            <v>200109</v>
          </cell>
          <cell r="D1692">
            <v>209912</v>
          </cell>
          <cell r="E1692" t="str">
            <v>N</v>
          </cell>
          <cell r="F1692" t="str">
            <v/>
          </cell>
          <cell r="G1692" t="str">
            <v/>
          </cell>
          <cell r="H1692" t="str">
            <v>C</v>
          </cell>
        </row>
        <row r="1693">
          <cell r="B1693" t="str">
            <v>Y021</v>
          </cell>
          <cell r="C1693">
            <v>200109</v>
          </cell>
          <cell r="D1693">
            <v>209912</v>
          </cell>
          <cell r="E1693" t="str">
            <v>N</v>
          </cell>
          <cell r="F1693" t="str">
            <v/>
          </cell>
          <cell r="G1693" t="str">
            <v/>
          </cell>
          <cell r="H1693" t="str">
            <v>C</v>
          </cell>
        </row>
        <row r="1694">
          <cell r="B1694" t="str">
            <v>Y022</v>
          </cell>
          <cell r="C1694">
            <v>200109</v>
          </cell>
          <cell r="D1694">
            <v>209912</v>
          </cell>
          <cell r="E1694" t="str">
            <v>N</v>
          </cell>
          <cell r="F1694" t="str">
            <v/>
          </cell>
          <cell r="G1694" t="str">
            <v/>
          </cell>
          <cell r="H1694" t="str">
            <v>C</v>
          </cell>
        </row>
        <row r="1695">
          <cell r="B1695" t="str">
            <v>Y023</v>
          </cell>
          <cell r="C1695">
            <v>200109</v>
          </cell>
          <cell r="D1695">
            <v>209912</v>
          </cell>
          <cell r="E1695" t="str">
            <v>N</v>
          </cell>
          <cell r="F1695" t="str">
            <v/>
          </cell>
          <cell r="G1695" t="str">
            <v/>
          </cell>
          <cell r="H1695" t="str">
            <v>C</v>
          </cell>
        </row>
        <row r="1696">
          <cell r="B1696" t="str">
            <v>Y027</v>
          </cell>
          <cell r="C1696">
            <v>200109</v>
          </cell>
          <cell r="D1696">
            <v>209912</v>
          </cell>
          <cell r="E1696" t="str">
            <v>N</v>
          </cell>
          <cell r="F1696" t="str">
            <v/>
          </cell>
          <cell r="G1696" t="str">
            <v/>
          </cell>
          <cell r="H1696" t="str">
            <v>C</v>
          </cell>
        </row>
        <row r="1697">
          <cell r="B1697" t="str">
            <v>Y030</v>
          </cell>
          <cell r="C1697">
            <v>200109</v>
          </cell>
          <cell r="D1697">
            <v>209912</v>
          </cell>
          <cell r="E1697" t="str">
            <v>N</v>
          </cell>
          <cell r="F1697" t="str">
            <v/>
          </cell>
          <cell r="G1697" t="str">
            <v/>
          </cell>
          <cell r="H1697" t="str">
            <v>C</v>
          </cell>
        </row>
        <row r="1698">
          <cell r="B1698" t="str">
            <v>Y031</v>
          </cell>
          <cell r="C1698">
            <v>200109</v>
          </cell>
          <cell r="D1698">
            <v>209912</v>
          </cell>
          <cell r="E1698" t="str">
            <v>N</v>
          </cell>
          <cell r="F1698" t="str">
            <v/>
          </cell>
          <cell r="G1698" t="str">
            <v/>
          </cell>
          <cell r="H1698" t="str">
            <v>C</v>
          </cell>
        </row>
        <row r="1699">
          <cell r="B1699" t="str">
            <v>Y035</v>
          </cell>
          <cell r="C1699">
            <v>200109</v>
          </cell>
          <cell r="D1699">
            <v>209912</v>
          </cell>
          <cell r="E1699" t="str">
            <v>N</v>
          </cell>
          <cell r="F1699" t="str">
            <v/>
          </cell>
          <cell r="G1699" t="str">
            <v/>
          </cell>
          <cell r="H1699" t="str">
            <v>C</v>
          </cell>
        </row>
        <row r="1700">
          <cell r="B1700" t="str">
            <v>Y036</v>
          </cell>
          <cell r="C1700">
            <v>200109</v>
          </cell>
          <cell r="D1700">
            <v>209912</v>
          </cell>
          <cell r="E1700" t="str">
            <v>N</v>
          </cell>
          <cell r="F1700" t="str">
            <v/>
          </cell>
          <cell r="G1700" t="str">
            <v/>
          </cell>
          <cell r="H1700" t="str">
            <v>C</v>
          </cell>
        </row>
        <row r="1701">
          <cell r="B1701" t="str">
            <v>Y040</v>
          </cell>
          <cell r="C1701">
            <v>200109</v>
          </cell>
          <cell r="D1701">
            <v>201300</v>
          </cell>
          <cell r="E1701" t="str">
            <v>C</v>
          </cell>
          <cell r="F1701" t="str">
            <v>Account status = Closed</v>
          </cell>
          <cell r="G1701" t="str">
            <v/>
          </cell>
          <cell r="H1701" t="str">
            <v>C</v>
          </cell>
        </row>
        <row r="1702">
          <cell r="B1702" t="str">
            <v>Y041</v>
          </cell>
          <cell r="C1702">
            <v>200109</v>
          </cell>
          <cell r="D1702">
            <v>201300</v>
          </cell>
          <cell r="E1702" t="str">
            <v>C</v>
          </cell>
          <cell r="F1702" t="str">
            <v>Account status = Closed</v>
          </cell>
          <cell r="G1702" t="str">
            <v/>
          </cell>
          <cell r="H1702" t="str">
            <v>C</v>
          </cell>
        </row>
        <row r="1703">
          <cell r="B1703" t="str">
            <v>Y042</v>
          </cell>
          <cell r="C1703">
            <v>200109</v>
          </cell>
          <cell r="D1703">
            <v>209912</v>
          </cell>
          <cell r="E1703" t="str">
            <v>N</v>
          </cell>
          <cell r="F1703" t="str">
            <v/>
          </cell>
          <cell r="G1703" t="str">
            <v/>
          </cell>
          <cell r="H1703" t="str">
            <v>C</v>
          </cell>
        </row>
        <row r="1704">
          <cell r="B1704" t="str">
            <v>Y043</v>
          </cell>
          <cell r="C1704">
            <v>200109</v>
          </cell>
          <cell r="D1704">
            <v>209912</v>
          </cell>
          <cell r="E1704" t="str">
            <v>N</v>
          </cell>
          <cell r="F1704" t="str">
            <v/>
          </cell>
          <cell r="G1704" t="str">
            <v/>
          </cell>
          <cell r="H1704" t="str">
            <v>C</v>
          </cell>
        </row>
        <row r="1705">
          <cell r="B1705" t="str">
            <v>Y044</v>
          </cell>
          <cell r="C1705">
            <v>200109</v>
          </cell>
          <cell r="D1705">
            <v>201300</v>
          </cell>
          <cell r="E1705" t="str">
            <v>C</v>
          </cell>
          <cell r="F1705" t="str">
            <v>Account status = Closed</v>
          </cell>
          <cell r="G1705" t="str">
            <v/>
          </cell>
          <cell r="H1705" t="str">
            <v>C</v>
          </cell>
        </row>
        <row r="1706">
          <cell r="B1706" t="str">
            <v>Y081</v>
          </cell>
          <cell r="C1706">
            <v>200109</v>
          </cell>
          <cell r="D1706">
            <v>209912</v>
          </cell>
          <cell r="E1706" t="str">
            <v>N</v>
          </cell>
          <cell r="F1706" t="str">
            <v/>
          </cell>
          <cell r="G1706" t="str">
            <v/>
          </cell>
          <cell r="H1706" t="str">
            <v>C</v>
          </cell>
        </row>
        <row r="1707">
          <cell r="B1707" t="str">
            <v>Y082</v>
          </cell>
          <cell r="C1707">
            <v>200109</v>
          </cell>
          <cell r="D1707">
            <v>209912</v>
          </cell>
          <cell r="E1707" t="str">
            <v>N</v>
          </cell>
          <cell r="F1707" t="str">
            <v/>
          </cell>
          <cell r="G1707" t="str">
            <v/>
          </cell>
          <cell r="H1707" t="str">
            <v>C</v>
          </cell>
        </row>
        <row r="1708">
          <cell r="B1708" t="str">
            <v>Y084</v>
          </cell>
          <cell r="C1708">
            <v>200109</v>
          </cell>
          <cell r="D1708">
            <v>201300</v>
          </cell>
          <cell r="E1708" t="str">
            <v>C</v>
          </cell>
          <cell r="F1708" t="str">
            <v>Account status = Closed</v>
          </cell>
          <cell r="G1708" t="str">
            <v/>
          </cell>
          <cell r="H1708" t="str">
            <v>C</v>
          </cell>
        </row>
        <row r="1709">
          <cell r="B1709" t="str">
            <v>Y161</v>
          </cell>
          <cell r="C1709">
            <v>200109</v>
          </cell>
          <cell r="D1709">
            <v>209912</v>
          </cell>
          <cell r="E1709" t="str">
            <v>N</v>
          </cell>
          <cell r="F1709" t="str">
            <v/>
          </cell>
          <cell r="G1709" t="str">
            <v/>
          </cell>
          <cell r="H1709" t="str">
            <v>C</v>
          </cell>
        </row>
        <row r="1710">
          <cell r="B1710" t="str">
            <v>Y162</v>
          </cell>
          <cell r="C1710">
            <v>200109</v>
          </cell>
          <cell r="D1710">
            <v>209912</v>
          </cell>
          <cell r="E1710" t="str">
            <v>N</v>
          </cell>
          <cell r="F1710" t="str">
            <v/>
          </cell>
          <cell r="G1710" t="str">
            <v/>
          </cell>
          <cell r="H1710" t="str">
            <v>C</v>
          </cell>
        </row>
        <row r="1711">
          <cell r="B1711" t="str">
            <v>Y163</v>
          </cell>
          <cell r="C1711">
            <v>200109</v>
          </cell>
          <cell r="D1711">
            <v>209912</v>
          </cell>
          <cell r="E1711" t="str">
            <v>N</v>
          </cell>
          <cell r="F1711" t="str">
            <v/>
          </cell>
          <cell r="G1711" t="str">
            <v/>
          </cell>
          <cell r="H1711" t="str">
            <v>C</v>
          </cell>
        </row>
        <row r="1712">
          <cell r="B1712" t="str">
            <v>Y164</v>
          </cell>
          <cell r="C1712">
            <v>200109</v>
          </cell>
          <cell r="D1712">
            <v>209912</v>
          </cell>
          <cell r="E1712" t="str">
            <v>N</v>
          </cell>
          <cell r="F1712" t="str">
            <v/>
          </cell>
          <cell r="G1712" t="str">
            <v/>
          </cell>
          <cell r="H1712" t="str">
            <v>C</v>
          </cell>
        </row>
        <row r="1713">
          <cell r="B1713" t="str">
            <v>Y165</v>
          </cell>
          <cell r="C1713">
            <v>200109</v>
          </cell>
          <cell r="D1713">
            <v>209912</v>
          </cell>
          <cell r="E1713" t="str">
            <v>N</v>
          </cell>
          <cell r="F1713" t="str">
            <v/>
          </cell>
          <cell r="G1713" t="str">
            <v/>
          </cell>
          <cell r="H1713" t="str">
            <v>C</v>
          </cell>
        </row>
        <row r="1714">
          <cell r="B1714" t="str">
            <v>Y166</v>
          </cell>
          <cell r="C1714">
            <v>200109</v>
          </cell>
          <cell r="D1714">
            <v>201300</v>
          </cell>
          <cell r="E1714" t="str">
            <v>C</v>
          </cell>
          <cell r="F1714" t="str">
            <v>Account status = Closed</v>
          </cell>
          <cell r="G1714" t="str">
            <v/>
          </cell>
          <cell r="H1714" t="str">
            <v>C</v>
          </cell>
        </row>
        <row r="1715">
          <cell r="B1715" t="str">
            <v>Y169</v>
          </cell>
          <cell r="C1715">
            <v>200109</v>
          </cell>
          <cell r="D1715">
            <v>209912</v>
          </cell>
          <cell r="E1715" t="str">
            <v>N</v>
          </cell>
          <cell r="F1715" t="str">
            <v/>
          </cell>
          <cell r="G1715" t="str">
            <v/>
          </cell>
          <cell r="H1715" t="str">
            <v>C</v>
          </cell>
        </row>
        <row r="1716">
          <cell r="B1716" t="str">
            <v>Y171</v>
          </cell>
          <cell r="C1716">
            <v>200109</v>
          </cell>
          <cell r="D1716">
            <v>209912</v>
          </cell>
          <cell r="E1716" t="str">
            <v>N</v>
          </cell>
          <cell r="F1716" t="str">
            <v/>
          </cell>
          <cell r="G1716" t="str">
            <v/>
          </cell>
          <cell r="H1716" t="str">
            <v>C</v>
          </cell>
        </row>
        <row r="1717">
          <cell r="B1717" t="str">
            <v>Y172</v>
          </cell>
          <cell r="C1717">
            <v>200109</v>
          </cell>
          <cell r="D1717">
            <v>209912</v>
          </cell>
          <cell r="E1717" t="str">
            <v>N</v>
          </cell>
          <cell r="F1717" t="str">
            <v/>
          </cell>
          <cell r="G1717" t="str">
            <v/>
          </cell>
          <cell r="H1717" t="str">
            <v>C</v>
          </cell>
        </row>
        <row r="1718">
          <cell r="B1718" t="str">
            <v>Y173</v>
          </cell>
          <cell r="C1718">
            <v>200109</v>
          </cell>
          <cell r="D1718">
            <v>209912</v>
          </cell>
          <cell r="E1718" t="str">
            <v>N</v>
          </cell>
          <cell r="F1718" t="str">
            <v/>
          </cell>
          <cell r="G1718" t="str">
            <v/>
          </cell>
          <cell r="H1718" t="str">
            <v>C</v>
          </cell>
        </row>
        <row r="1719">
          <cell r="B1719" t="str">
            <v>Y237</v>
          </cell>
          <cell r="C1719">
            <v>200109</v>
          </cell>
          <cell r="D1719">
            <v>209912</v>
          </cell>
          <cell r="E1719" t="str">
            <v>N</v>
          </cell>
          <cell r="F1719" t="str">
            <v/>
          </cell>
          <cell r="G1719" t="str">
            <v/>
          </cell>
          <cell r="H1719" t="str">
            <v>C</v>
          </cell>
        </row>
        <row r="1720">
          <cell r="B1720" t="str">
            <v>Y238</v>
          </cell>
          <cell r="C1720">
            <v>200109</v>
          </cell>
          <cell r="D1720">
            <v>209912</v>
          </cell>
          <cell r="E1720" t="str">
            <v>N</v>
          </cell>
          <cell r="F1720" t="str">
            <v/>
          </cell>
          <cell r="G1720" t="str">
            <v/>
          </cell>
          <cell r="H1720" t="str">
            <v>C</v>
          </cell>
        </row>
        <row r="1721">
          <cell r="B1721" t="str">
            <v>Y239</v>
          </cell>
          <cell r="C1721">
            <v>200109</v>
          </cell>
          <cell r="D1721">
            <v>209912</v>
          </cell>
          <cell r="E1721" t="str">
            <v>N</v>
          </cell>
          <cell r="F1721" t="str">
            <v/>
          </cell>
          <cell r="G1721" t="str">
            <v/>
          </cell>
          <cell r="H1721" t="str">
            <v>C</v>
          </cell>
        </row>
        <row r="1722">
          <cell r="B1722" t="str">
            <v>Y251</v>
          </cell>
          <cell r="C1722">
            <v>200109</v>
          </cell>
          <cell r="D1722">
            <v>209912</v>
          </cell>
          <cell r="E1722" t="str">
            <v>N</v>
          </cell>
          <cell r="F1722" t="str">
            <v/>
          </cell>
          <cell r="G1722" t="str">
            <v/>
          </cell>
          <cell r="H1722" t="str">
            <v>C</v>
          </cell>
        </row>
        <row r="1723">
          <cell r="B1723" t="str">
            <v>Y254</v>
          </cell>
          <cell r="C1723">
            <v>200109</v>
          </cell>
          <cell r="D1723">
            <v>201300</v>
          </cell>
          <cell r="E1723" t="str">
            <v>C</v>
          </cell>
          <cell r="F1723" t="str">
            <v>Account status = Closed</v>
          </cell>
          <cell r="G1723" t="str">
            <v/>
          </cell>
          <cell r="H1723" t="str">
            <v>C</v>
          </cell>
        </row>
        <row r="1724">
          <cell r="B1724" t="str">
            <v>Y255</v>
          </cell>
          <cell r="C1724">
            <v>200109</v>
          </cell>
          <cell r="D1724">
            <v>201300</v>
          </cell>
          <cell r="E1724" t="str">
            <v>C</v>
          </cell>
          <cell r="F1724" t="str">
            <v>Account status = Closed</v>
          </cell>
          <cell r="G1724" t="str">
            <v/>
          </cell>
          <cell r="H1724" t="str">
            <v>C</v>
          </cell>
        </row>
        <row r="1725">
          <cell r="B1725" t="str">
            <v>Y256</v>
          </cell>
          <cell r="C1725">
            <v>200109</v>
          </cell>
          <cell r="D1725">
            <v>209912</v>
          </cell>
          <cell r="E1725" t="str">
            <v>N</v>
          </cell>
          <cell r="F1725" t="str">
            <v/>
          </cell>
          <cell r="G1725" t="str">
            <v/>
          </cell>
          <cell r="H1725" t="str">
            <v>C</v>
          </cell>
        </row>
        <row r="1726">
          <cell r="B1726" t="str">
            <v>Y257</v>
          </cell>
          <cell r="C1726">
            <v>200109</v>
          </cell>
          <cell r="D1726">
            <v>209912</v>
          </cell>
          <cell r="E1726" t="str">
            <v>N</v>
          </cell>
          <cell r="F1726" t="str">
            <v/>
          </cell>
          <cell r="G1726" t="str">
            <v/>
          </cell>
          <cell r="H1726" t="str">
            <v>C</v>
          </cell>
        </row>
        <row r="1727">
          <cell r="B1727" t="str">
            <v>Y258</v>
          </cell>
          <cell r="C1727">
            <v>200109</v>
          </cell>
          <cell r="D1727">
            <v>201300</v>
          </cell>
          <cell r="E1727" t="str">
            <v>C</v>
          </cell>
          <cell r="F1727" t="str">
            <v>Account status = Closed</v>
          </cell>
          <cell r="G1727" t="str">
            <v/>
          </cell>
          <cell r="H1727" t="str">
            <v>C</v>
          </cell>
        </row>
        <row r="1728">
          <cell r="B1728" t="str">
            <v>Y350</v>
          </cell>
          <cell r="C1728">
            <v>200109</v>
          </cell>
          <cell r="D1728">
            <v>201300</v>
          </cell>
          <cell r="E1728" t="str">
            <v>C</v>
          </cell>
          <cell r="F1728" t="str">
            <v>Account status = Closed</v>
          </cell>
          <cell r="G1728" t="str">
            <v/>
          </cell>
          <cell r="H1728" t="str">
            <v>C</v>
          </cell>
        </row>
        <row r="1729">
          <cell r="B1729" t="str">
            <v>Y361</v>
          </cell>
          <cell r="C1729">
            <v>200109</v>
          </cell>
          <cell r="D1729">
            <v>201300</v>
          </cell>
          <cell r="E1729" t="str">
            <v>C</v>
          </cell>
          <cell r="F1729" t="str">
            <v>Account status = Closed</v>
          </cell>
          <cell r="G1729" t="str">
            <v/>
          </cell>
          <cell r="H1729" t="str">
            <v>C</v>
          </cell>
        </row>
        <row r="1730">
          <cell r="B1730" t="str">
            <v>Y990</v>
          </cell>
          <cell r="C1730">
            <v>200109</v>
          </cell>
          <cell r="D1730">
            <v>201300</v>
          </cell>
          <cell r="E1730" t="str">
            <v>C</v>
          </cell>
          <cell r="F1730" t="str">
            <v>Account status = Closed</v>
          </cell>
          <cell r="G1730" t="str">
            <v/>
          </cell>
          <cell r="H1730" t="str">
            <v>C</v>
          </cell>
        </row>
        <row r="1731">
          <cell r="B1731" t="str">
            <v>Y991</v>
          </cell>
          <cell r="C1731">
            <v>200109</v>
          </cell>
          <cell r="D1731">
            <v>201300</v>
          </cell>
          <cell r="E1731" t="str">
            <v>C</v>
          </cell>
          <cell r="F1731" t="str">
            <v>Account status = Closed</v>
          </cell>
          <cell r="G1731" t="str">
            <v/>
          </cell>
          <cell r="H1731" t="str">
            <v>C</v>
          </cell>
        </row>
        <row r="1732">
          <cell r="B1732" t="str">
            <v>Y992</v>
          </cell>
          <cell r="C1732">
            <v>200109</v>
          </cell>
          <cell r="D1732">
            <v>209912</v>
          </cell>
          <cell r="E1732" t="str">
            <v>N</v>
          </cell>
          <cell r="F1732" t="str">
            <v/>
          </cell>
          <cell r="G1732" t="str">
            <v/>
          </cell>
          <cell r="H1732" t="str">
            <v>C</v>
          </cell>
        </row>
        <row r="1733">
          <cell r="B1733" t="str">
            <v>Y993</v>
          </cell>
          <cell r="C1733">
            <v>200109</v>
          </cell>
          <cell r="D1733">
            <v>209912</v>
          </cell>
          <cell r="E1733" t="str">
            <v>N</v>
          </cell>
          <cell r="F1733" t="str">
            <v/>
          </cell>
          <cell r="G1733" t="str">
            <v/>
          </cell>
          <cell r="H1733" t="str">
            <v>C</v>
          </cell>
        </row>
        <row r="1734">
          <cell r="B1734" t="str">
            <v>Y994</v>
          </cell>
          <cell r="C1734">
            <v>200109</v>
          </cell>
          <cell r="D1734">
            <v>201300</v>
          </cell>
          <cell r="E1734" t="str">
            <v>C</v>
          </cell>
          <cell r="F1734" t="str">
            <v>Account status = Closed</v>
          </cell>
          <cell r="G1734" t="str">
            <v/>
          </cell>
          <cell r="H1734" t="str">
            <v>C</v>
          </cell>
        </row>
        <row r="1735">
          <cell r="B1735" t="str">
            <v>Y995</v>
          </cell>
          <cell r="C1735">
            <v>200109</v>
          </cell>
          <cell r="D1735">
            <v>209912</v>
          </cell>
          <cell r="E1735" t="str">
            <v>N</v>
          </cell>
          <cell r="F1735" t="str">
            <v/>
          </cell>
          <cell r="G1735" t="str">
            <v/>
          </cell>
          <cell r="H1735" t="str">
            <v>C</v>
          </cell>
        </row>
        <row r="1736">
          <cell r="B1736" t="str">
            <v>Y996</v>
          </cell>
          <cell r="C1736">
            <v>200109</v>
          </cell>
          <cell r="D1736">
            <v>201300</v>
          </cell>
          <cell r="E1736" t="str">
            <v>C</v>
          </cell>
          <cell r="F1736" t="str">
            <v>Account status = Closed</v>
          </cell>
          <cell r="G1736" t="str">
            <v/>
          </cell>
          <cell r="H1736" t="str">
            <v>C</v>
          </cell>
        </row>
        <row r="1737">
          <cell r="B1737" t="str">
            <v>Y997</v>
          </cell>
          <cell r="C1737">
            <v>200109</v>
          </cell>
          <cell r="D1737">
            <v>209912</v>
          </cell>
          <cell r="E1737" t="str">
            <v>N</v>
          </cell>
          <cell r="F1737" t="str">
            <v/>
          </cell>
          <cell r="G1737" t="str">
            <v/>
          </cell>
          <cell r="H1737" t="str">
            <v>C</v>
          </cell>
        </row>
        <row r="1738">
          <cell r="B1738" t="str">
            <v>Y998</v>
          </cell>
          <cell r="C1738">
            <v>200109</v>
          </cell>
          <cell r="D1738">
            <v>201412</v>
          </cell>
          <cell r="E1738" t="str">
            <v>N</v>
          </cell>
          <cell r="F1738" t="str">
            <v>Account closed from period 201412</v>
          </cell>
          <cell r="G1738" t="str">
            <v/>
          </cell>
          <cell r="H1738" t="str">
            <v>C</v>
          </cell>
        </row>
        <row r="1739">
          <cell r="B1739" t="str">
            <v>Y998</v>
          </cell>
          <cell r="C1739">
            <v>201413</v>
          </cell>
          <cell r="D1739">
            <v>209913</v>
          </cell>
          <cell r="E1739" t="str">
            <v>N</v>
          </cell>
          <cell r="F1739" t="str">
            <v/>
          </cell>
          <cell r="G1739" t="str">
            <v/>
          </cell>
          <cell r="H1739" t="str">
            <v>C</v>
          </cell>
        </row>
        <row r="1740">
          <cell r="B1740" t="str">
            <v>Z000000</v>
          </cell>
          <cell r="C1740">
            <v>201008</v>
          </cell>
          <cell r="D1740">
            <v>201009</v>
          </cell>
          <cell r="E1740" t="str">
            <v>N</v>
          </cell>
          <cell r="F1740" t="str">
            <v>Account closed from period 201009</v>
          </cell>
          <cell r="G1740" t="str">
            <v/>
          </cell>
          <cell r="H1740" t="str">
            <v>B</v>
          </cell>
        </row>
        <row r="1741">
          <cell r="B1741" t="str">
            <v>Z060000</v>
          </cell>
          <cell r="C1741">
            <v>201400</v>
          </cell>
          <cell r="D1741">
            <v>209912</v>
          </cell>
          <cell r="E1741" t="str">
            <v>N</v>
          </cell>
          <cell r="F1741" t="str">
            <v/>
          </cell>
          <cell r="G1741" t="str">
            <v/>
          </cell>
          <cell r="H1741" t="str">
            <v>B</v>
          </cell>
        </row>
        <row r="1742">
          <cell r="B1742" t="str">
            <v>Z060001</v>
          </cell>
          <cell r="C1742">
            <v>201400</v>
          </cell>
          <cell r="D1742">
            <v>209912</v>
          </cell>
          <cell r="E1742" t="str">
            <v>N</v>
          </cell>
          <cell r="F1742" t="str">
            <v/>
          </cell>
          <cell r="G1742" t="str">
            <v/>
          </cell>
          <cell r="H1742" t="str">
            <v>B</v>
          </cell>
        </row>
        <row r="1743">
          <cell r="B1743" t="str">
            <v>Z060002</v>
          </cell>
          <cell r="C1743">
            <v>201400</v>
          </cell>
          <cell r="D1743">
            <v>209912</v>
          </cell>
          <cell r="E1743" t="str">
            <v>N</v>
          </cell>
          <cell r="F1743" t="str">
            <v/>
          </cell>
          <cell r="G1743" t="str">
            <v/>
          </cell>
          <cell r="H1743" t="str">
            <v>B</v>
          </cell>
        </row>
        <row r="1744">
          <cell r="B1744" t="str">
            <v>Z060003</v>
          </cell>
          <cell r="C1744">
            <v>201400</v>
          </cell>
          <cell r="D1744">
            <v>209912</v>
          </cell>
          <cell r="E1744" t="str">
            <v>N</v>
          </cell>
          <cell r="F1744" t="str">
            <v/>
          </cell>
          <cell r="G1744" t="str">
            <v/>
          </cell>
          <cell r="H1744" t="str">
            <v>B</v>
          </cell>
        </row>
        <row r="1745">
          <cell r="B1745" t="str">
            <v>Z070101</v>
          </cell>
          <cell r="C1745">
            <v>201413</v>
          </cell>
          <cell r="D1745">
            <v>209913</v>
          </cell>
          <cell r="E1745" t="str">
            <v>N</v>
          </cell>
          <cell r="F1745" t="str">
            <v/>
          </cell>
          <cell r="G1745" t="str">
            <v/>
          </cell>
          <cell r="H1745" t="str">
            <v>B</v>
          </cell>
        </row>
        <row r="1746">
          <cell r="B1746" t="str">
            <v>Z070101</v>
          </cell>
          <cell r="C1746">
            <v>200109</v>
          </cell>
          <cell r="D1746">
            <v>201412</v>
          </cell>
          <cell r="E1746" t="str">
            <v>N</v>
          </cell>
          <cell r="F1746" t="str">
            <v>Account closed from period 201412</v>
          </cell>
          <cell r="G1746" t="str">
            <v/>
          </cell>
          <cell r="H1746" t="str">
            <v>B</v>
          </cell>
        </row>
        <row r="1747">
          <cell r="B1747" t="str">
            <v>Z070102</v>
          </cell>
          <cell r="C1747">
            <v>201413</v>
          </cell>
          <cell r="D1747">
            <v>209913</v>
          </cell>
          <cell r="E1747" t="str">
            <v>N</v>
          </cell>
          <cell r="F1747" t="str">
            <v/>
          </cell>
          <cell r="G1747" t="str">
            <v/>
          </cell>
          <cell r="H1747" t="str">
            <v>B</v>
          </cell>
        </row>
        <row r="1748">
          <cell r="B1748" t="str">
            <v>Z070102</v>
          </cell>
          <cell r="C1748">
            <v>200213</v>
          </cell>
          <cell r="D1748">
            <v>201412</v>
          </cell>
          <cell r="E1748" t="str">
            <v>N</v>
          </cell>
          <cell r="F1748" t="str">
            <v>Account closed from period 201412</v>
          </cell>
          <cell r="G1748" t="str">
            <v/>
          </cell>
          <cell r="H1748" t="str">
            <v>B</v>
          </cell>
        </row>
        <row r="1749">
          <cell r="B1749" t="str">
            <v>Z070201</v>
          </cell>
          <cell r="C1749">
            <v>201413</v>
          </cell>
          <cell r="D1749">
            <v>209913</v>
          </cell>
          <cell r="E1749" t="str">
            <v>N</v>
          </cell>
          <cell r="F1749" t="str">
            <v/>
          </cell>
          <cell r="G1749" t="str">
            <v/>
          </cell>
          <cell r="H1749" t="str">
            <v>B</v>
          </cell>
        </row>
        <row r="1750">
          <cell r="B1750" t="str">
            <v>Z070201</v>
          </cell>
          <cell r="C1750">
            <v>200109</v>
          </cell>
          <cell r="D1750">
            <v>201412</v>
          </cell>
          <cell r="E1750" t="str">
            <v>N</v>
          </cell>
          <cell r="F1750" t="str">
            <v>Account closed from period 201412</v>
          </cell>
          <cell r="G1750" t="str">
            <v/>
          </cell>
          <cell r="H1750" t="str">
            <v>B</v>
          </cell>
        </row>
        <row r="1751">
          <cell r="B1751" t="str">
            <v>Z070202</v>
          </cell>
          <cell r="C1751">
            <v>200109</v>
          </cell>
          <cell r="D1751">
            <v>201412</v>
          </cell>
          <cell r="E1751" t="str">
            <v>N</v>
          </cell>
          <cell r="F1751" t="str">
            <v>Account closed from period 201412</v>
          </cell>
          <cell r="G1751" t="str">
            <v/>
          </cell>
          <cell r="H1751" t="str">
            <v>B</v>
          </cell>
        </row>
        <row r="1752">
          <cell r="B1752" t="str">
            <v>Z070202</v>
          </cell>
          <cell r="C1752">
            <v>201413</v>
          </cell>
          <cell r="D1752">
            <v>209913</v>
          </cell>
          <cell r="E1752" t="str">
            <v>N</v>
          </cell>
          <cell r="F1752" t="str">
            <v/>
          </cell>
          <cell r="G1752" t="str">
            <v/>
          </cell>
          <cell r="H1752" t="str">
            <v>B</v>
          </cell>
        </row>
        <row r="1753">
          <cell r="B1753" t="str">
            <v>Z070301</v>
          </cell>
          <cell r="C1753">
            <v>201413</v>
          </cell>
          <cell r="D1753">
            <v>209913</v>
          </cell>
          <cell r="E1753" t="str">
            <v>N</v>
          </cell>
          <cell r="F1753" t="str">
            <v/>
          </cell>
          <cell r="G1753" t="str">
            <v/>
          </cell>
          <cell r="H1753" t="str">
            <v>B</v>
          </cell>
        </row>
        <row r="1754">
          <cell r="B1754" t="str">
            <v>Z070301</v>
          </cell>
          <cell r="C1754">
            <v>200109</v>
          </cell>
          <cell r="D1754">
            <v>201412</v>
          </cell>
          <cell r="E1754" t="str">
            <v>N</v>
          </cell>
          <cell r="F1754" t="str">
            <v>Account closed from period 201412</v>
          </cell>
          <cell r="G1754" t="str">
            <v/>
          </cell>
          <cell r="H1754" t="str">
            <v>B</v>
          </cell>
        </row>
        <row r="1755">
          <cell r="B1755" t="str">
            <v>Z070302</v>
          </cell>
          <cell r="C1755">
            <v>200109</v>
          </cell>
          <cell r="D1755">
            <v>201412</v>
          </cell>
          <cell r="E1755" t="str">
            <v>N</v>
          </cell>
          <cell r="F1755" t="str">
            <v>Account closed from period 201412</v>
          </cell>
          <cell r="G1755" t="str">
            <v/>
          </cell>
          <cell r="H1755" t="str">
            <v>B</v>
          </cell>
        </row>
        <row r="1756">
          <cell r="B1756" t="str">
            <v>Z070302</v>
          </cell>
          <cell r="C1756">
            <v>201413</v>
          </cell>
          <cell r="D1756">
            <v>209913</v>
          </cell>
          <cell r="E1756" t="str">
            <v>N</v>
          </cell>
          <cell r="F1756" t="str">
            <v/>
          </cell>
          <cell r="G1756" t="str">
            <v/>
          </cell>
          <cell r="H1756" t="str">
            <v>B</v>
          </cell>
        </row>
        <row r="1757">
          <cell r="B1757" t="str">
            <v>Z070401</v>
          </cell>
          <cell r="C1757">
            <v>201413</v>
          </cell>
          <cell r="D1757">
            <v>209913</v>
          </cell>
          <cell r="E1757" t="str">
            <v>N</v>
          </cell>
          <cell r="F1757" t="str">
            <v/>
          </cell>
          <cell r="G1757" t="str">
            <v/>
          </cell>
          <cell r="H1757" t="str">
            <v>B</v>
          </cell>
        </row>
        <row r="1758">
          <cell r="B1758" t="str">
            <v>Z070401</v>
          </cell>
          <cell r="C1758">
            <v>200109</v>
          </cell>
          <cell r="D1758">
            <v>201412</v>
          </cell>
          <cell r="E1758" t="str">
            <v>N</v>
          </cell>
          <cell r="F1758" t="str">
            <v>Account closed from period 201412</v>
          </cell>
          <cell r="G1758" t="str">
            <v/>
          </cell>
          <cell r="H1758" t="str">
            <v>B</v>
          </cell>
        </row>
        <row r="1759">
          <cell r="B1759" t="str">
            <v>Z070402</v>
          </cell>
          <cell r="C1759">
            <v>200109</v>
          </cell>
          <cell r="D1759">
            <v>201412</v>
          </cell>
          <cell r="E1759" t="str">
            <v>N</v>
          </cell>
          <cell r="F1759" t="str">
            <v>Account closed from period 201412</v>
          </cell>
          <cell r="G1759" t="str">
            <v/>
          </cell>
          <cell r="H1759" t="str">
            <v>B</v>
          </cell>
        </row>
        <row r="1760">
          <cell r="B1760" t="str">
            <v>Z070402</v>
          </cell>
          <cell r="C1760">
            <v>201413</v>
          </cell>
          <cell r="D1760">
            <v>209913</v>
          </cell>
          <cell r="E1760" t="str">
            <v>N</v>
          </cell>
          <cell r="F1760" t="str">
            <v/>
          </cell>
          <cell r="G1760" t="str">
            <v/>
          </cell>
          <cell r="H1760" t="str">
            <v>B</v>
          </cell>
        </row>
        <row r="1761">
          <cell r="B1761" t="str">
            <v>Z070501</v>
          </cell>
          <cell r="C1761">
            <v>201413</v>
          </cell>
          <cell r="D1761">
            <v>209913</v>
          </cell>
          <cell r="E1761" t="str">
            <v>N</v>
          </cell>
          <cell r="F1761" t="str">
            <v/>
          </cell>
          <cell r="G1761" t="str">
            <v/>
          </cell>
          <cell r="H1761" t="str">
            <v>B</v>
          </cell>
        </row>
        <row r="1762">
          <cell r="B1762" t="str">
            <v>Z070501</v>
          </cell>
          <cell r="C1762">
            <v>200109</v>
          </cell>
          <cell r="D1762">
            <v>201412</v>
          </cell>
          <cell r="E1762" t="str">
            <v>N</v>
          </cell>
          <cell r="F1762" t="str">
            <v>Account closed from period 201412</v>
          </cell>
          <cell r="G1762" t="str">
            <v/>
          </cell>
          <cell r="H1762" t="str">
            <v>B</v>
          </cell>
        </row>
        <row r="1763">
          <cell r="B1763" t="str">
            <v>Z070502</v>
          </cell>
          <cell r="C1763">
            <v>200109</v>
          </cell>
          <cell r="D1763">
            <v>201412</v>
          </cell>
          <cell r="E1763" t="str">
            <v>N</v>
          </cell>
          <cell r="F1763" t="str">
            <v>Account closed from period 201412</v>
          </cell>
          <cell r="G1763" t="str">
            <v/>
          </cell>
          <cell r="H1763" t="str">
            <v>B</v>
          </cell>
        </row>
        <row r="1764">
          <cell r="B1764" t="str">
            <v>Z070502</v>
          </cell>
          <cell r="C1764">
            <v>201413</v>
          </cell>
          <cell r="D1764">
            <v>209913</v>
          </cell>
          <cell r="E1764" t="str">
            <v>N</v>
          </cell>
          <cell r="F1764" t="str">
            <v/>
          </cell>
          <cell r="G1764" t="str">
            <v/>
          </cell>
          <cell r="H1764" t="str">
            <v>B</v>
          </cell>
        </row>
        <row r="1765">
          <cell r="B1765" t="str">
            <v>Z070601</v>
          </cell>
          <cell r="C1765">
            <v>201413</v>
          </cell>
          <cell r="D1765">
            <v>209913</v>
          </cell>
          <cell r="E1765" t="str">
            <v>N</v>
          </cell>
          <cell r="F1765" t="str">
            <v/>
          </cell>
          <cell r="G1765" t="str">
            <v/>
          </cell>
          <cell r="H1765" t="str">
            <v>B</v>
          </cell>
        </row>
        <row r="1766">
          <cell r="B1766" t="str">
            <v>Z070601</v>
          </cell>
          <cell r="C1766">
            <v>200109</v>
          </cell>
          <cell r="D1766">
            <v>201412</v>
          </cell>
          <cell r="E1766" t="str">
            <v>N</v>
          </cell>
          <cell r="F1766" t="str">
            <v>Account closed from period 201412</v>
          </cell>
          <cell r="G1766" t="str">
            <v/>
          </cell>
          <cell r="H1766" t="str">
            <v>B</v>
          </cell>
        </row>
        <row r="1767">
          <cell r="B1767" t="str">
            <v>Z070602</v>
          </cell>
          <cell r="C1767">
            <v>201413</v>
          </cell>
          <cell r="D1767">
            <v>209913</v>
          </cell>
          <cell r="E1767" t="str">
            <v>N</v>
          </cell>
          <cell r="F1767" t="str">
            <v/>
          </cell>
          <cell r="G1767" t="str">
            <v/>
          </cell>
          <cell r="H1767" t="str">
            <v>B</v>
          </cell>
        </row>
        <row r="1768">
          <cell r="B1768" t="str">
            <v>Z070602</v>
          </cell>
          <cell r="C1768">
            <v>200112</v>
          </cell>
          <cell r="D1768">
            <v>201412</v>
          </cell>
          <cell r="E1768" t="str">
            <v>N</v>
          </cell>
          <cell r="F1768" t="str">
            <v>Account closed from period 201412</v>
          </cell>
          <cell r="G1768" t="str">
            <v/>
          </cell>
          <cell r="H1768" t="str">
            <v>B</v>
          </cell>
        </row>
        <row r="1769">
          <cell r="B1769" t="str">
            <v>Z070603</v>
          </cell>
          <cell r="C1769">
            <v>200711</v>
          </cell>
          <cell r="D1769">
            <v>201412</v>
          </cell>
          <cell r="E1769" t="str">
            <v>N</v>
          </cell>
          <cell r="F1769" t="str">
            <v>Account closed from period 201412</v>
          </cell>
          <cell r="G1769" t="str">
            <v/>
          </cell>
          <cell r="H1769" t="str">
            <v>B</v>
          </cell>
        </row>
        <row r="1770">
          <cell r="B1770" t="str">
            <v>Z070603</v>
          </cell>
          <cell r="C1770">
            <v>201413</v>
          </cell>
          <cell r="D1770">
            <v>209913</v>
          </cell>
          <cell r="E1770" t="str">
            <v>N</v>
          </cell>
          <cell r="F1770" t="str">
            <v/>
          </cell>
          <cell r="G1770" t="str">
            <v/>
          </cell>
          <cell r="H1770" t="str">
            <v>B</v>
          </cell>
        </row>
        <row r="1771">
          <cell r="B1771" t="str">
            <v>Z070604</v>
          </cell>
          <cell r="C1771">
            <v>201413</v>
          </cell>
          <cell r="D1771">
            <v>209913</v>
          </cell>
          <cell r="E1771" t="str">
            <v>N</v>
          </cell>
          <cell r="F1771" t="str">
            <v/>
          </cell>
          <cell r="G1771" t="str">
            <v/>
          </cell>
          <cell r="H1771" t="str">
            <v>B</v>
          </cell>
        </row>
        <row r="1772">
          <cell r="B1772" t="str">
            <v>Z070604</v>
          </cell>
          <cell r="C1772">
            <v>201200</v>
          </cell>
          <cell r="D1772">
            <v>201412</v>
          </cell>
          <cell r="E1772" t="str">
            <v>N</v>
          </cell>
          <cell r="F1772" t="str">
            <v>Account closed from period 201412</v>
          </cell>
          <cell r="G1772" t="str">
            <v/>
          </cell>
          <cell r="H1772" t="str">
            <v>B</v>
          </cell>
        </row>
        <row r="1773">
          <cell r="B1773" t="str">
            <v>Z080101</v>
          </cell>
          <cell r="C1773">
            <v>201413</v>
          </cell>
          <cell r="D1773">
            <v>209913</v>
          </cell>
          <cell r="E1773" t="str">
            <v>N</v>
          </cell>
          <cell r="F1773" t="str">
            <v/>
          </cell>
          <cell r="G1773" t="str">
            <v/>
          </cell>
          <cell r="H1773" t="str">
            <v>B</v>
          </cell>
        </row>
        <row r="1774">
          <cell r="B1774" t="str">
            <v>Z080101</v>
          </cell>
          <cell r="C1774">
            <v>200109</v>
          </cell>
          <cell r="D1774">
            <v>201412</v>
          </cell>
          <cell r="E1774" t="str">
            <v>N</v>
          </cell>
          <cell r="F1774" t="str">
            <v>Account closed from period 201412</v>
          </cell>
          <cell r="G1774" t="str">
            <v/>
          </cell>
          <cell r="H1774" t="str">
            <v>B</v>
          </cell>
        </row>
        <row r="1775">
          <cell r="B1775" t="str">
            <v>Z080102</v>
          </cell>
          <cell r="C1775">
            <v>200109</v>
          </cell>
          <cell r="D1775">
            <v>201412</v>
          </cell>
          <cell r="E1775" t="str">
            <v>N</v>
          </cell>
          <cell r="F1775" t="str">
            <v>Account closed from period 201412</v>
          </cell>
          <cell r="G1775" t="str">
            <v/>
          </cell>
          <cell r="H1775" t="str">
            <v>B</v>
          </cell>
        </row>
        <row r="1776">
          <cell r="B1776" t="str">
            <v>Z080102</v>
          </cell>
          <cell r="C1776">
            <v>201413</v>
          </cell>
          <cell r="D1776">
            <v>209913</v>
          </cell>
          <cell r="E1776" t="str">
            <v>N</v>
          </cell>
          <cell r="F1776" t="str">
            <v/>
          </cell>
          <cell r="G1776" t="str">
            <v/>
          </cell>
          <cell r="H1776" t="str">
            <v>B</v>
          </cell>
        </row>
        <row r="1777">
          <cell r="B1777" t="str">
            <v>Z080103</v>
          </cell>
          <cell r="C1777">
            <v>200109</v>
          </cell>
          <cell r="D1777">
            <v>209912</v>
          </cell>
          <cell r="E1777" t="str">
            <v>N</v>
          </cell>
          <cell r="F1777" t="str">
            <v/>
          </cell>
          <cell r="G1777" t="str">
            <v/>
          </cell>
          <cell r="H1777" t="str">
            <v>B</v>
          </cell>
        </row>
        <row r="1778">
          <cell r="B1778" t="str">
            <v>Z080201</v>
          </cell>
          <cell r="C1778">
            <v>200109</v>
          </cell>
          <cell r="D1778">
            <v>200111</v>
          </cell>
          <cell r="E1778" t="str">
            <v>C</v>
          </cell>
          <cell r="F1778" t="str">
            <v>Account status = Closed</v>
          </cell>
          <cell r="G1778" t="str">
            <v/>
          </cell>
          <cell r="H1778" t="str">
            <v>B</v>
          </cell>
        </row>
        <row r="1779">
          <cell r="B1779" t="str">
            <v>Z080202</v>
          </cell>
          <cell r="C1779">
            <v>200109</v>
          </cell>
          <cell r="D1779">
            <v>200111</v>
          </cell>
          <cell r="E1779" t="str">
            <v>C</v>
          </cell>
          <cell r="F1779" t="str">
            <v>Account status = Closed</v>
          </cell>
          <cell r="G1779" t="str">
            <v/>
          </cell>
          <cell r="H1779" t="str">
            <v>B</v>
          </cell>
        </row>
        <row r="1780">
          <cell r="B1780" t="str">
            <v>Z080203</v>
          </cell>
          <cell r="C1780">
            <v>200109</v>
          </cell>
          <cell r="D1780">
            <v>200111</v>
          </cell>
          <cell r="E1780" t="str">
            <v>C</v>
          </cell>
          <cell r="F1780" t="str">
            <v>Account status = Closed</v>
          </cell>
          <cell r="G1780" t="str">
            <v/>
          </cell>
          <cell r="H1780" t="str">
            <v>B</v>
          </cell>
        </row>
        <row r="1781">
          <cell r="B1781" t="str">
            <v>Z080204</v>
          </cell>
          <cell r="C1781">
            <v>200109</v>
          </cell>
          <cell r="D1781">
            <v>200111</v>
          </cell>
          <cell r="E1781" t="str">
            <v>C</v>
          </cell>
          <cell r="F1781" t="str">
            <v>Account status = Closed</v>
          </cell>
          <cell r="G1781" t="str">
            <v/>
          </cell>
          <cell r="H1781" t="str">
            <v>B</v>
          </cell>
        </row>
        <row r="1782">
          <cell r="B1782" t="str">
            <v>Z080205</v>
          </cell>
          <cell r="C1782">
            <v>200109</v>
          </cell>
          <cell r="D1782">
            <v>200111</v>
          </cell>
          <cell r="E1782" t="str">
            <v>C</v>
          </cell>
          <cell r="F1782" t="str">
            <v>Account status = Closed</v>
          </cell>
          <cell r="G1782" t="str">
            <v/>
          </cell>
          <cell r="H1782" t="str">
            <v>B</v>
          </cell>
        </row>
        <row r="1783">
          <cell r="B1783" t="str">
            <v>Z080206</v>
          </cell>
          <cell r="C1783">
            <v>200109</v>
          </cell>
          <cell r="D1783">
            <v>200111</v>
          </cell>
          <cell r="E1783" t="str">
            <v>C</v>
          </cell>
          <cell r="F1783" t="str">
            <v>Account status = Closed</v>
          </cell>
          <cell r="G1783" t="str">
            <v/>
          </cell>
          <cell r="H1783" t="str">
            <v>B</v>
          </cell>
        </row>
        <row r="1784">
          <cell r="B1784" t="str">
            <v>Z080207</v>
          </cell>
          <cell r="C1784">
            <v>200109</v>
          </cell>
          <cell r="D1784">
            <v>200111</v>
          </cell>
          <cell r="E1784" t="str">
            <v>C</v>
          </cell>
          <cell r="F1784" t="str">
            <v>Account status = Closed</v>
          </cell>
          <cell r="G1784" t="str">
            <v/>
          </cell>
          <cell r="H1784" t="str">
            <v>B</v>
          </cell>
        </row>
        <row r="1785">
          <cell r="B1785" t="str">
            <v>Z080208</v>
          </cell>
          <cell r="C1785">
            <v>200109</v>
          </cell>
          <cell r="D1785">
            <v>200111</v>
          </cell>
          <cell r="E1785" t="str">
            <v>C</v>
          </cell>
          <cell r="F1785" t="str">
            <v>Account status = Closed</v>
          </cell>
          <cell r="G1785" t="str">
            <v/>
          </cell>
          <cell r="H1785" t="str">
            <v>B</v>
          </cell>
        </row>
        <row r="1786">
          <cell r="B1786" t="str">
            <v>Z080209</v>
          </cell>
          <cell r="C1786">
            <v>200109</v>
          </cell>
          <cell r="D1786">
            <v>200111</v>
          </cell>
          <cell r="E1786" t="str">
            <v>C</v>
          </cell>
          <cell r="F1786" t="str">
            <v>Account status = Closed</v>
          </cell>
          <cell r="G1786" t="str">
            <v/>
          </cell>
          <cell r="H1786" t="str">
            <v>B</v>
          </cell>
        </row>
        <row r="1787">
          <cell r="B1787" t="str">
            <v>Z080210</v>
          </cell>
          <cell r="C1787">
            <v>200109</v>
          </cell>
          <cell r="D1787">
            <v>200111</v>
          </cell>
          <cell r="E1787" t="str">
            <v>C</v>
          </cell>
          <cell r="F1787" t="str">
            <v>Account status = Closed</v>
          </cell>
          <cell r="G1787" t="str">
            <v/>
          </cell>
          <cell r="H1787" t="str">
            <v>B</v>
          </cell>
        </row>
        <row r="1788">
          <cell r="B1788" t="str">
            <v>Z080301</v>
          </cell>
          <cell r="C1788">
            <v>200109</v>
          </cell>
          <cell r="D1788">
            <v>200111</v>
          </cell>
          <cell r="E1788" t="str">
            <v>C</v>
          </cell>
          <cell r="F1788" t="str">
            <v>Account status = Closed</v>
          </cell>
          <cell r="G1788" t="str">
            <v/>
          </cell>
          <cell r="H1788" t="str">
            <v>B</v>
          </cell>
        </row>
        <row r="1789">
          <cell r="B1789" t="str">
            <v>Z080401</v>
          </cell>
          <cell r="C1789">
            <v>200109</v>
          </cell>
          <cell r="D1789">
            <v>201412</v>
          </cell>
          <cell r="E1789" t="str">
            <v>N</v>
          </cell>
          <cell r="F1789" t="str">
            <v>Account closed from period 201412</v>
          </cell>
          <cell r="G1789" t="str">
            <v/>
          </cell>
          <cell r="H1789" t="str">
            <v>B</v>
          </cell>
        </row>
        <row r="1790">
          <cell r="B1790" t="str">
            <v>Z080401</v>
          </cell>
          <cell r="C1790">
            <v>201413</v>
          </cell>
          <cell r="D1790">
            <v>209913</v>
          </cell>
          <cell r="E1790" t="str">
            <v>N</v>
          </cell>
          <cell r="F1790" t="str">
            <v/>
          </cell>
          <cell r="G1790" t="str">
            <v/>
          </cell>
          <cell r="H1790" t="str">
            <v>B</v>
          </cell>
        </row>
        <row r="1791">
          <cell r="B1791" t="str">
            <v>Z080402</v>
          </cell>
          <cell r="C1791">
            <v>201413</v>
          </cell>
          <cell r="D1791">
            <v>209913</v>
          </cell>
          <cell r="E1791" t="str">
            <v>N</v>
          </cell>
          <cell r="F1791" t="str">
            <v/>
          </cell>
          <cell r="G1791" t="str">
            <v/>
          </cell>
          <cell r="H1791" t="str">
            <v>B</v>
          </cell>
        </row>
        <row r="1792">
          <cell r="B1792" t="str">
            <v>Z080402</v>
          </cell>
          <cell r="C1792">
            <v>200109</v>
          </cell>
          <cell r="D1792">
            <v>201412</v>
          </cell>
          <cell r="E1792" t="str">
            <v>N</v>
          </cell>
          <cell r="F1792" t="str">
            <v>Account closed from period 201412</v>
          </cell>
          <cell r="G1792" t="str">
            <v/>
          </cell>
          <cell r="H1792" t="str">
            <v>B</v>
          </cell>
        </row>
        <row r="1793">
          <cell r="B1793" t="str">
            <v>Z080501</v>
          </cell>
          <cell r="C1793">
            <v>200109</v>
          </cell>
          <cell r="D1793">
            <v>201412</v>
          </cell>
          <cell r="E1793" t="str">
            <v>N</v>
          </cell>
          <cell r="F1793" t="str">
            <v>Account closed from period 201412</v>
          </cell>
          <cell r="G1793" t="str">
            <v/>
          </cell>
          <cell r="H1793" t="str">
            <v>B</v>
          </cell>
        </row>
        <row r="1794">
          <cell r="B1794" t="str">
            <v>Z080501</v>
          </cell>
          <cell r="C1794">
            <v>201413</v>
          </cell>
          <cell r="D1794">
            <v>209913</v>
          </cell>
          <cell r="E1794" t="str">
            <v>N</v>
          </cell>
          <cell r="F1794" t="str">
            <v/>
          </cell>
          <cell r="G1794" t="str">
            <v/>
          </cell>
          <cell r="H1794" t="str">
            <v>B</v>
          </cell>
        </row>
        <row r="1795">
          <cell r="B1795" t="str">
            <v>Z080502</v>
          </cell>
          <cell r="C1795">
            <v>201413</v>
          </cell>
          <cell r="D1795">
            <v>209913</v>
          </cell>
          <cell r="E1795" t="str">
            <v>N</v>
          </cell>
          <cell r="F1795" t="str">
            <v/>
          </cell>
          <cell r="G1795" t="str">
            <v/>
          </cell>
          <cell r="H1795" t="str">
            <v>B</v>
          </cell>
        </row>
        <row r="1796">
          <cell r="B1796" t="str">
            <v>Z080502</v>
          </cell>
          <cell r="C1796">
            <v>199900</v>
          </cell>
          <cell r="D1796">
            <v>201412</v>
          </cell>
          <cell r="E1796" t="str">
            <v>N</v>
          </cell>
          <cell r="F1796" t="str">
            <v>Account closed from period 201412</v>
          </cell>
          <cell r="G1796" t="str">
            <v/>
          </cell>
          <cell r="H1796" t="str">
            <v>B</v>
          </cell>
        </row>
        <row r="1797">
          <cell r="B1797" t="str">
            <v>Z080601</v>
          </cell>
          <cell r="C1797">
            <v>199900</v>
          </cell>
          <cell r="D1797">
            <v>201412</v>
          </cell>
          <cell r="E1797" t="str">
            <v>N</v>
          </cell>
          <cell r="F1797" t="str">
            <v>Account closed from period 201412</v>
          </cell>
          <cell r="G1797" t="str">
            <v/>
          </cell>
          <cell r="H1797" t="str">
            <v>B</v>
          </cell>
        </row>
        <row r="1798">
          <cell r="B1798" t="str">
            <v>Z080601</v>
          </cell>
          <cell r="C1798">
            <v>201413</v>
          </cell>
          <cell r="D1798">
            <v>209913</v>
          </cell>
          <cell r="E1798" t="str">
            <v>N</v>
          </cell>
          <cell r="F1798" t="str">
            <v/>
          </cell>
          <cell r="G1798" t="str">
            <v/>
          </cell>
          <cell r="H1798" t="str">
            <v>B</v>
          </cell>
        </row>
        <row r="1799">
          <cell r="B1799" t="str">
            <v>Z080701</v>
          </cell>
          <cell r="C1799">
            <v>201413</v>
          </cell>
          <cell r="D1799">
            <v>209913</v>
          </cell>
          <cell r="E1799" t="str">
            <v>N</v>
          </cell>
          <cell r="F1799" t="str">
            <v/>
          </cell>
          <cell r="G1799" t="str">
            <v/>
          </cell>
          <cell r="H1799" t="str">
            <v>B</v>
          </cell>
        </row>
        <row r="1800">
          <cell r="B1800" t="str">
            <v>Z080701</v>
          </cell>
          <cell r="C1800">
            <v>199900</v>
          </cell>
          <cell r="D1800">
            <v>201412</v>
          </cell>
          <cell r="E1800" t="str">
            <v>N</v>
          </cell>
          <cell r="F1800" t="str">
            <v>Account closed from period 201412</v>
          </cell>
          <cell r="G1800" t="str">
            <v/>
          </cell>
          <cell r="H1800" t="str">
            <v>B</v>
          </cell>
        </row>
        <row r="1801">
          <cell r="B1801" t="str">
            <v>Z080901</v>
          </cell>
          <cell r="C1801">
            <v>201413</v>
          </cell>
          <cell r="D1801">
            <v>209913</v>
          </cell>
          <cell r="E1801" t="str">
            <v>N</v>
          </cell>
          <cell r="F1801" t="str">
            <v/>
          </cell>
          <cell r="G1801" t="str">
            <v/>
          </cell>
          <cell r="H1801" t="str">
            <v>B</v>
          </cell>
        </row>
        <row r="1802">
          <cell r="B1802" t="str">
            <v>Z080901</v>
          </cell>
          <cell r="C1802">
            <v>200711</v>
          </cell>
          <cell r="D1802">
            <v>201412</v>
          </cell>
          <cell r="E1802" t="str">
            <v>N</v>
          </cell>
          <cell r="F1802" t="str">
            <v>Account closed from period 201412</v>
          </cell>
          <cell r="G1802" t="str">
            <v/>
          </cell>
          <cell r="H1802" t="str">
            <v>B</v>
          </cell>
        </row>
        <row r="1803">
          <cell r="B1803" t="str">
            <v>Z080902</v>
          </cell>
          <cell r="C1803">
            <v>200711</v>
          </cell>
          <cell r="D1803">
            <v>201412</v>
          </cell>
          <cell r="E1803" t="str">
            <v>N</v>
          </cell>
          <cell r="F1803" t="str">
            <v>Account closed from period 201412</v>
          </cell>
          <cell r="G1803" t="str">
            <v/>
          </cell>
          <cell r="H1803" t="str">
            <v>B</v>
          </cell>
        </row>
        <row r="1804">
          <cell r="B1804" t="str">
            <v>Z080902</v>
          </cell>
          <cell r="C1804">
            <v>201413</v>
          </cell>
          <cell r="D1804">
            <v>209913</v>
          </cell>
          <cell r="E1804" t="str">
            <v>N</v>
          </cell>
          <cell r="F1804" t="str">
            <v/>
          </cell>
          <cell r="G1804" t="str">
            <v/>
          </cell>
          <cell r="H1804" t="str">
            <v>B</v>
          </cell>
        </row>
        <row r="1805">
          <cell r="B1805" t="str">
            <v>Z090101</v>
          </cell>
          <cell r="C1805">
            <v>200109</v>
          </cell>
          <cell r="D1805">
            <v>209912</v>
          </cell>
          <cell r="E1805" t="str">
            <v>N</v>
          </cell>
          <cell r="F1805" t="str">
            <v/>
          </cell>
          <cell r="G1805" t="str">
            <v/>
          </cell>
          <cell r="H1805" t="str">
            <v>B</v>
          </cell>
        </row>
        <row r="1806">
          <cell r="B1806" t="str">
            <v>Z090102</v>
          </cell>
          <cell r="C1806">
            <v>200113</v>
          </cell>
          <cell r="D1806">
            <v>209912</v>
          </cell>
          <cell r="E1806" t="str">
            <v>N</v>
          </cell>
          <cell r="F1806" t="str">
            <v/>
          </cell>
          <cell r="G1806" t="str">
            <v/>
          </cell>
          <cell r="H1806" t="str">
            <v>B</v>
          </cell>
        </row>
        <row r="1807">
          <cell r="B1807" t="str">
            <v>Z090103</v>
          </cell>
          <cell r="C1807">
            <v>200113</v>
          </cell>
          <cell r="D1807">
            <v>209912</v>
          </cell>
          <cell r="E1807" t="str">
            <v>N</v>
          </cell>
          <cell r="F1807" t="str">
            <v/>
          </cell>
          <cell r="G1807" t="str">
            <v/>
          </cell>
          <cell r="H1807" t="str">
            <v>B</v>
          </cell>
        </row>
        <row r="1808">
          <cell r="B1808" t="str">
            <v>Z090104</v>
          </cell>
          <cell r="C1808">
            <v>200213</v>
          </cell>
          <cell r="D1808">
            <v>209912</v>
          </cell>
          <cell r="E1808" t="str">
            <v>N</v>
          </cell>
          <cell r="F1808" t="str">
            <v/>
          </cell>
          <cell r="G1808" t="str">
            <v/>
          </cell>
          <cell r="H1808" t="str">
            <v>B</v>
          </cell>
        </row>
        <row r="1809">
          <cell r="B1809" t="str">
            <v>Z090301</v>
          </cell>
          <cell r="C1809">
            <v>200109</v>
          </cell>
          <cell r="D1809">
            <v>209912</v>
          </cell>
          <cell r="E1809" t="str">
            <v>N</v>
          </cell>
          <cell r="F1809" t="str">
            <v/>
          </cell>
          <cell r="G1809" t="str">
            <v/>
          </cell>
          <cell r="H1809" t="str">
            <v>B</v>
          </cell>
        </row>
        <row r="1810">
          <cell r="B1810" t="str">
            <v>Z090302</v>
          </cell>
          <cell r="C1810">
            <v>200109</v>
          </cell>
          <cell r="D1810">
            <v>209912</v>
          </cell>
          <cell r="E1810" t="str">
            <v>N</v>
          </cell>
          <cell r="F1810" t="str">
            <v/>
          </cell>
          <cell r="G1810" t="str">
            <v/>
          </cell>
          <cell r="H1810" t="str">
            <v>B</v>
          </cell>
        </row>
        <row r="1811">
          <cell r="B1811" t="str">
            <v>Z090303</v>
          </cell>
          <cell r="C1811">
            <v>200610</v>
          </cell>
          <cell r="D1811">
            <v>209912</v>
          </cell>
          <cell r="E1811" t="str">
            <v>N</v>
          </cell>
          <cell r="F1811" t="str">
            <v/>
          </cell>
          <cell r="G1811" t="str">
            <v/>
          </cell>
          <cell r="H1811" t="str">
            <v>B</v>
          </cell>
        </row>
        <row r="1812">
          <cell r="B1812" t="str">
            <v>Z090502</v>
          </cell>
          <cell r="C1812">
            <v>200109</v>
          </cell>
          <cell r="D1812">
            <v>209912</v>
          </cell>
          <cell r="E1812" t="str">
            <v>N</v>
          </cell>
          <cell r="F1812" t="str">
            <v/>
          </cell>
          <cell r="G1812" t="str">
            <v/>
          </cell>
          <cell r="H1812" t="str">
            <v>B</v>
          </cell>
        </row>
        <row r="1813">
          <cell r="B1813" t="str">
            <v>Z090503</v>
          </cell>
          <cell r="C1813">
            <v>200109</v>
          </cell>
          <cell r="D1813">
            <v>209912</v>
          </cell>
          <cell r="E1813" t="str">
            <v>N</v>
          </cell>
          <cell r="F1813" t="str">
            <v/>
          </cell>
          <cell r="G1813" t="str">
            <v/>
          </cell>
          <cell r="H1813" t="str">
            <v>B</v>
          </cell>
        </row>
        <row r="1814">
          <cell r="B1814" t="str">
            <v>Z090504</v>
          </cell>
          <cell r="C1814">
            <v>200109</v>
          </cell>
          <cell r="D1814">
            <v>209912</v>
          </cell>
          <cell r="E1814" t="str">
            <v>N</v>
          </cell>
          <cell r="F1814" t="str">
            <v/>
          </cell>
          <cell r="G1814" t="str">
            <v/>
          </cell>
          <cell r="H1814" t="str">
            <v>B</v>
          </cell>
        </row>
        <row r="1815">
          <cell r="B1815" t="str">
            <v>Z090505</v>
          </cell>
          <cell r="C1815">
            <v>200109</v>
          </cell>
          <cell r="D1815">
            <v>209912</v>
          </cell>
          <cell r="E1815" t="str">
            <v>N</v>
          </cell>
          <cell r="F1815" t="str">
            <v/>
          </cell>
          <cell r="G1815" t="str">
            <v/>
          </cell>
          <cell r="H1815" t="str">
            <v>B</v>
          </cell>
        </row>
        <row r="1816">
          <cell r="B1816" t="str">
            <v>Z090506</v>
          </cell>
          <cell r="C1816">
            <v>200109</v>
          </cell>
          <cell r="D1816">
            <v>209912</v>
          </cell>
          <cell r="E1816" t="str">
            <v>N</v>
          </cell>
          <cell r="F1816" t="str">
            <v/>
          </cell>
          <cell r="G1816" t="str">
            <v/>
          </cell>
          <cell r="H1816" t="str">
            <v>B</v>
          </cell>
        </row>
        <row r="1817">
          <cell r="B1817" t="str">
            <v>Z090507</v>
          </cell>
          <cell r="C1817">
            <v>200513</v>
          </cell>
          <cell r="D1817">
            <v>209912</v>
          </cell>
          <cell r="E1817" t="str">
            <v>N</v>
          </cell>
          <cell r="F1817" t="str">
            <v/>
          </cell>
          <cell r="G1817" t="str">
            <v/>
          </cell>
          <cell r="H1817" t="str">
            <v>B</v>
          </cell>
        </row>
        <row r="1818">
          <cell r="B1818" t="str">
            <v>Z090601</v>
          </cell>
          <cell r="C1818">
            <v>200109</v>
          </cell>
          <cell r="D1818">
            <v>209912</v>
          </cell>
          <cell r="E1818" t="str">
            <v>N</v>
          </cell>
          <cell r="F1818" t="str">
            <v/>
          </cell>
          <cell r="G1818" t="str">
            <v/>
          </cell>
          <cell r="H1818" t="str">
            <v>B</v>
          </cell>
        </row>
        <row r="1819">
          <cell r="B1819" t="str">
            <v>Z090602</v>
          </cell>
          <cell r="C1819">
            <v>200109</v>
          </cell>
          <cell r="D1819">
            <v>209912</v>
          </cell>
          <cell r="E1819" t="str">
            <v>N</v>
          </cell>
          <cell r="F1819" t="str">
            <v/>
          </cell>
          <cell r="G1819" t="str">
            <v/>
          </cell>
          <cell r="H1819" t="str">
            <v>B</v>
          </cell>
        </row>
        <row r="1820">
          <cell r="B1820" t="str">
            <v>Z090603</v>
          </cell>
          <cell r="C1820">
            <v>200109</v>
          </cell>
          <cell r="D1820">
            <v>209912</v>
          </cell>
          <cell r="E1820" t="str">
            <v>N</v>
          </cell>
          <cell r="F1820" t="str">
            <v/>
          </cell>
          <cell r="G1820" t="str">
            <v/>
          </cell>
          <cell r="H1820" t="str">
            <v>B</v>
          </cell>
        </row>
        <row r="1821">
          <cell r="B1821" t="str">
            <v>Z090604</v>
          </cell>
          <cell r="C1821">
            <v>200109</v>
          </cell>
          <cell r="D1821">
            <v>209912</v>
          </cell>
          <cell r="E1821" t="str">
            <v>N</v>
          </cell>
          <cell r="F1821" t="str">
            <v/>
          </cell>
          <cell r="G1821" t="str">
            <v/>
          </cell>
          <cell r="H1821" t="str">
            <v>B</v>
          </cell>
        </row>
        <row r="1822">
          <cell r="B1822" t="str">
            <v>Z090605</v>
          </cell>
          <cell r="C1822">
            <v>200109</v>
          </cell>
          <cell r="D1822">
            <v>209912</v>
          </cell>
          <cell r="E1822" t="str">
            <v>N</v>
          </cell>
          <cell r="F1822" t="str">
            <v/>
          </cell>
          <cell r="G1822" t="str">
            <v/>
          </cell>
          <cell r="H1822" t="str">
            <v>B</v>
          </cell>
        </row>
        <row r="1823">
          <cell r="B1823" t="str">
            <v>Z090606</v>
          </cell>
          <cell r="C1823">
            <v>200109</v>
          </cell>
          <cell r="D1823">
            <v>209912</v>
          </cell>
          <cell r="E1823" t="str">
            <v>N</v>
          </cell>
          <cell r="F1823" t="str">
            <v/>
          </cell>
          <cell r="G1823" t="str">
            <v/>
          </cell>
          <cell r="H1823" t="str">
            <v>B</v>
          </cell>
        </row>
        <row r="1824">
          <cell r="B1824" t="str">
            <v>Z100101</v>
          </cell>
          <cell r="C1824">
            <v>200109</v>
          </cell>
          <cell r="D1824">
            <v>200111</v>
          </cell>
          <cell r="E1824" t="str">
            <v>C</v>
          </cell>
          <cell r="F1824" t="str">
            <v>Account status = Closed</v>
          </cell>
          <cell r="G1824" t="str">
            <v/>
          </cell>
          <cell r="H1824" t="str">
            <v>B</v>
          </cell>
        </row>
        <row r="1825">
          <cell r="B1825" t="str">
            <v>Z100103</v>
          </cell>
          <cell r="C1825">
            <v>200109</v>
          </cell>
          <cell r="D1825">
            <v>200111</v>
          </cell>
          <cell r="E1825" t="str">
            <v>C</v>
          </cell>
          <cell r="F1825" t="str">
            <v>Account status = Closed</v>
          </cell>
          <cell r="G1825" t="str">
            <v/>
          </cell>
          <cell r="H1825" t="str">
            <v>B</v>
          </cell>
        </row>
        <row r="1826">
          <cell r="B1826" t="str">
            <v>Z100106</v>
          </cell>
          <cell r="C1826">
            <v>200109</v>
          </cell>
          <cell r="D1826">
            <v>200111</v>
          </cell>
          <cell r="E1826" t="str">
            <v>C</v>
          </cell>
          <cell r="F1826" t="str">
            <v>Account status = Closed</v>
          </cell>
          <cell r="G1826" t="str">
            <v/>
          </cell>
          <cell r="H1826" t="str">
            <v>B</v>
          </cell>
        </row>
        <row r="1827">
          <cell r="B1827" t="str">
            <v>Z100108</v>
          </cell>
          <cell r="C1827">
            <v>200109</v>
          </cell>
          <cell r="D1827">
            <v>200111</v>
          </cell>
          <cell r="E1827" t="str">
            <v>C</v>
          </cell>
          <cell r="F1827" t="str">
            <v>Account status = Closed</v>
          </cell>
          <cell r="G1827" t="str">
            <v/>
          </cell>
          <cell r="H1827" t="str">
            <v>B</v>
          </cell>
        </row>
        <row r="1828">
          <cell r="B1828" t="str">
            <v>Z100201</v>
          </cell>
          <cell r="C1828">
            <v>200109</v>
          </cell>
          <cell r="D1828">
            <v>200111</v>
          </cell>
          <cell r="E1828" t="str">
            <v>C</v>
          </cell>
          <cell r="F1828" t="str">
            <v>Account status = Closed</v>
          </cell>
          <cell r="G1828" t="str">
            <v/>
          </cell>
          <cell r="H1828" t="str">
            <v>B</v>
          </cell>
        </row>
        <row r="1829">
          <cell r="B1829" t="str">
            <v>Z100202</v>
          </cell>
          <cell r="C1829">
            <v>200109</v>
          </cell>
          <cell r="D1829">
            <v>200111</v>
          </cell>
          <cell r="E1829" t="str">
            <v>C</v>
          </cell>
          <cell r="F1829" t="str">
            <v>Account status = Closed</v>
          </cell>
          <cell r="G1829" t="str">
            <v/>
          </cell>
          <cell r="H1829" t="str">
            <v>B</v>
          </cell>
        </row>
        <row r="1830">
          <cell r="B1830" t="str">
            <v>Z100203</v>
          </cell>
          <cell r="C1830">
            <v>200109</v>
          </cell>
          <cell r="D1830">
            <v>200111</v>
          </cell>
          <cell r="E1830" t="str">
            <v>C</v>
          </cell>
          <cell r="F1830" t="str">
            <v>Account status = Closed</v>
          </cell>
          <cell r="G1830" t="str">
            <v/>
          </cell>
          <cell r="H1830" t="str">
            <v>B</v>
          </cell>
        </row>
        <row r="1831">
          <cell r="B1831" t="str">
            <v>Z100204</v>
          </cell>
          <cell r="C1831">
            <v>200109</v>
          </cell>
          <cell r="D1831">
            <v>200111</v>
          </cell>
          <cell r="E1831" t="str">
            <v>C</v>
          </cell>
          <cell r="F1831" t="str">
            <v>Account status = Closed</v>
          </cell>
          <cell r="G1831" t="str">
            <v/>
          </cell>
          <cell r="H1831" t="str">
            <v>B</v>
          </cell>
        </row>
        <row r="1832">
          <cell r="B1832" t="str">
            <v>Z100301</v>
          </cell>
          <cell r="C1832">
            <v>200109</v>
          </cell>
          <cell r="D1832">
            <v>200411</v>
          </cell>
          <cell r="E1832" t="str">
            <v>C</v>
          </cell>
          <cell r="F1832" t="str">
            <v>Account status = Closed</v>
          </cell>
          <cell r="G1832" t="str">
            <v/>
          </cell>
          <cell r="H1832" t="str">
            <v>B</v>
          </cell>
        </row>
        <row r="1833">
          <cell r="B1833" t="str">
            <v>Z110101</v>
          </cell>
          <cell r="C1833">
            <v>200109</v>
          </cell>
          <cell r="D1833">
            <v>200111</v>
          </cell>
          <cell r="E1833" t="str">
            <v>N</v>
          </cell>
          <cell r="F1833" t="str">
            <v>Account closed from period 200111</v>
          </cell>
          <cell r="G1833" t="str">
            <v/>
          </cell>
          <cell r="H1833" t="str">
            <v>B</v>
          </cell>
        </row>
        <row r="1834">
          <cell r="B1834" t="str">
            <v>Z110102</v>
          </cell>
          <cell r="C1834">
            <v>200109</v>
          </cell>
          <cell r="D1834">
            <v>200111</v>
          </cell>
          <cell r="E1834" t="str">
            <v>N</v>
          </cell>
          <cell r="F1834" t="str">
            <v>Account closed from period 200111</v>
          </cell>
          <cell r="G1834" t="str">
            <v/>
          </cell>
          <cell r="H1834" t="str">
            <v>B</v>
          </cell>
        </row>
        <row r="1835">
          <cell r="B1835" t="str">
            <v>Z110103</v>
          </cell>
          <cell r="C1835">
            <v>200109</v>
          </cell>
          <cell r="D1835">
            <v>200111</v>
          </cell>
          <cell r="E1835" t="str">
            <v>N</v>
          </cell>
          <cell r="F1835" t="str">
            <v>Account closed from period 200111</v>
          </cell>
          <cell r="G1835" t="str">
            <v/>
          </cell>
          <cell r="H1835" t="str">
            <v>B</v>
          </cell>
        </row>
        <row r="1836">
          <cell r="B1836" t="str">
            <v>Z110104</v>
          </cell>
          <cell r="C1836">
            <v>200109</v>
          </cell>
          <cell r="D1836">
            <v>200411</v>
          </cell>
          <cell r="E1836" t="str">
            <v>N</v>
          </cell>
          <cell r="F1836" t="str">
            <v>Account closed from period 200411</v>
          </cell>
          <cell r="G1836" t="str">
            <v/>
          </cell>
          <cell r="H1836" t="str">
            <v>B</v>
          </cell>
        </row>
        <row r="1837">
          <cell r="B1837" t="str">
            <v>Z110201</v>
          </cell>
          <cell r="C1837">
            <v>200713</v>
          </cell>
          <cell r="D1837">
            <v>200812</v>
          </cell>
          <cell r="E1837" t="str">
            <v>C</v>
          </cell>
          <cell r="F1837" t="str">
            <v>Account status = Closed</v>
          </cell>
          <cell r="G1837" t="str">
            <v/>
          </cell>
          <cell r="H1837" t="str">
            <v>B</v>
          </cell>
        </row>
        <row r="1838">
          <cell r="B1838" t="str">
            <v>Z110201</v>
          </cell>
          <cell r="C1838">
            <v>200613</v>
          </cell>
          <cell r="D1838">
            <v>200712</v>
          </cell>
          <cell r="E1838" t="str">
            <v>C</v>
          </cell>
          <cell r="F1838" t="str">
            <v>Account status = Closed</v>
          </cell>
          <cell r="G1838" t="str">
            <v/>
          </cell>
          <cell r="H1838" t="str">
            <v>B</v>
          </cell>
        </row>
        <row r="1839">
          <cell r="B1839" t="str">
            <v>Z110201</v>
          </cell>
          <cell r="C1839">
            <v>199900</v>
          </cell>
          <cell r="D1839">
            <v>200312</v>
          </cell>
          <cell r="E1839" t="str">
            <v>C</v>
          </cell>
          <cell r="F1839" t="str">
            <v>Account status = Closed</v>
          </cell>
          <cell r="G1839" t="str">
            <v/>
          </cell>
          <cell r="H1839" t="str">
            <v>B</v>
          </cell>
        </row>
        <row r="1840">
          <cell r="B1840" t="str">
            <v>Z110201</v>
          </cell>
          <cell r="C1840">
            <v>200313</v>
          </cell>
          <cell r="D1840">
            <v>200512</v>
          </cell>
          <cell r="E1840" t="str">
            <v>C</v>
          </cell>
          <cell r="F1840" t="str">
            <v>Account status = Closed</v>
          </cell>
          <cell r="G1840" t="str">
            <v/>
          </cell>
          <cell r="H1840" t="str">
            <v>B</v>
          </cell>
        </row>
        <row r="1841">
          <cell r="B1841" t="str">
            <v>Z110201</v>
          </cell>
          <cell r="C1841">
            <v>200813</v>
          </cell>
          <cell r="D1841">
            <v>200912</v>
          </cell>
          <cell r="E1841" t="str">
            <v>C</v>
          </cell>
          <cell r="F1841" t="str">
            <v>Account status = Closed</v>
          </cell>
          <cell r="G1841" t="str">
            <v/>
          </cell>
          <cell r="H1841" t="str">
            <v>B</v>
          </cell>
        </row>
        <row r="1842">
          <cell r="B1842" t="str">
            <v>Z110201</v>
          </cell>
          <cell r="C1842">
            <v>200513</v>
          </cell>
          <cell r="D1842">
            <v>200612</v>
          </cell>
          <cell r="E1842" t="str">
            <v>C</v>
          </cell>
          <cell r="F1842" t="str">
            <v>Account status = Closed</v>
          </cell>
          <cell r="G1842" t="str">
            <v/>
          </cell>
          <cell r="H1842" t="str">
            <v>B</v>
          </cell>
        </row>
        <row r="1843">
          <cell r="B1843" t="str">
            <v>Z110201</v>
          </cell>
          <cell r="C1843">
            <v>200913</v>
          </cell>
          <cell r="D1843">
            <v>209913</v>
          </cell>
          <cell r="E1843" t="str">
            <v>N</v>
          </cell>
          <cell r="F1843" t="str">
            <v/>
          </cell>
          <cell r="G1843" t="str">
            <v/>
          </cell>
          <cell r="H1843" t="str">
            <v>B</v>
          </cell>
        </row>
        <row r="1844">
          <cell r="B1844" t="str">
            <v>Z110202</v>
          </cell>
          <cell r="C1844">
            <v>200111</v>
          </cell>
          <cell r="D1844">
            <v>209912</v>
          </cell>
          <cell r="E1844" t="str">
            <v>N</v>
          </cell>
          <cell r="F1844" t="str">
            <v/>
          </cell>
          <cell r="G1844" t="str">
            <v/>
          </cell>
          <cell r="H1844" t="str">
            <v>B</v>
          </cell>
        </row>
        <row r="1845">
          <cell r="B1845" t="str">
            <v>Z110203</v>
          </cell>
          <cell r="C1845">
            <v>200111</v>
          </cell>
          <cell r="D1845">
            <v>209912</v>
          </cell>
          <cell r="E1845" t="str">
            <v>N</v>
          </cell>
          <cell r="F1845" t="str">
            <v/>
          </cell>
          <cell r="G1845" t="str">
            <v/>
          </cell>
          <cell r="H1845" t="str">
            <v>B</v>
          </cell>
        </row>
        <row r="1846">
          <cell r="B1846" t="str">
            <v>Z110204</v>
          </cell>
          <cell r="C1846">
            <v>200111</v>
          </cell>
          <cell r="D1846">
            <v>209912</v>
          </cell>
          <cell r="E1846" t="str">
            <v>N</v>
          </cell>
          <cell r="F1846" t="str">
            <v/>
          </cell>
          <cell r="G1846" t="str">
            <v/>
          </cell>
          <cell r="H1846" t="str">
            <v>B</v>
          </cell>
        </row>
        <row r="1847">
          <cell r="B1847" t="str">
            <v>Z110205</v>
          </cell>
          <cell r="C1847">
            <v>199900</v>
          </cell>
          <cell r="D1847">
            <v>209912</v>
          </cell>
          <cell r="E1847" t="str">
            <v>N</v>
          </cell>
          <cell r="F1847" t="str">
            <v/>
          </cell>
          <cell r="G1847" t="str">
            <v/>
          </cell>
          <cell r="H1847" t="str">
            <v>B</v>
          </cell>
        </row>
        <row r="1848">
          <cell r="B1848" t="str">
            <v>Z110302</v>
          </cell>
          <cell r="C1848">
            <v>200109</v>
          </cell>
          <cell r="D1848">
            <v>209912</v>
          </cell>
          <cell r="E1848" t="str">
            <v>N</v>
          </cell>
          <cell r="F1848" t="str">
            <v/>
          </cell>
          <cell r="G1848" t="str">
            <v/>
          </cell>
          <cell r="H1848" t="str">
            <v>B</v>
          </cell>
        </row>
        <row r="1849">
          <cell r="B1849" t="str">
            <v>Z110303</v>
          </cell>
          <cell r="C1849">
            <v>200109</v>
          </cell>
          <cell r="D1849">
            <v>209912</v>
          </cell>
          <cell r="E1849" t="str">
            <v>N</v>
          </cell>
          <cell r="F1849" t="str">
            <v/>
          </cell>
          <cell r="G1849" t="str">
            <v/>
          </cell>
          <cell r="H1849" t="str">
            <v>B</v>
          </cell>
        </row>
        <row r="1850">
          <cell r="B1850" t="str">
            <v>Z110304</v>
          </cell>
          <cell r="C1850">
            <v>200109</v>
          </cell>
          <cell r="D1850">
            <v>200111</v>
          </cell>
          <cell r="E1850" t="str">
            <v>N</v>
          </cell>
          <cell r="F1850" t="str">
            <v>Account closed from period 200111</v>
          </cell>
          <cell r="G1850" t="str">
            <v/>
          </cell>
          <cell r="H1850" t="str">
            <v>B</v>
          </cell>
        </row>
        <row r="1851">
          <cell r="B1851" t="str">
            <v>Z110342</v>
          </cell>
          <cell r="C1851">
            <v>200109</v>
          </cell>
          <cell r="D1851">
            <v>200111</v>
          </cell>
          <cell r="E1851" t="str">
            <v>N</v>
          </cell>
          <cell r="F1851" t="str">
            <v>Account closed from period 200111</v>
          </cell>
          <cell r="G1851" t="str">
            <v/>
          </cell>
          <cell r="H1851" t="str">
            <v>B</v>
          </cell>
        </row>
        <row r="1852">
          <cell r="B1852" t="str">
            <v>Z110402</v>
          </cell>
          <cell r="C1852">
            <v>200109</v>
          </cell>
          <cell r="D1852">
            <v>200411</v>
          </cell>
          <cell r="E1852" t="str">
            <v>N</v>
          </cell>
          <cell r="F1852" t="str">
            <v>Account closed from period 200411</v>
          </cell>
          <cell r="G1852" t="str">
            <v/>
          </cell>
          <cell r="H1852" t="str">
            <v>B</v>
          </cell>
        </row>
        <row r="1853">
          <cell r="B1853" t="str">
            <v>Z110501</v>
          </cell>
          <cell r="C1853">
            <v>200109</v>
          </cell>
          <cell r="D1853">
            <v>200111</v>
          </cell>
          <cell r="E1853" t="str">
            <v>C</v>
          </cell>
          <cell r="F1853" t="str">
            <v>Account status = Closed</v>
          </cell>
          <cell r="G1853" t="str">
            <v/>
          </cell>
          <cell r="H1853" t="str">
            <v>B</v>
          </cell>
        </row>
        <row r="1854">
          <cell r="B1854" t="str">
            <v>Z110601</v>
          </cell>
          <cell r="C1854">
            <v>200109</v>
          </cell>
          <cell r="D1854">
            <v>200111</v>
          </cell>
          <cell r="E1854" t="str">
            <v>C</v>
          </cell>
          <cell r="F1854" t="str">
            <v>Account status = Closed</v>
          </cell>
          <cell r="G1854" t="str">
            <v/>
          </cell>
          <cell r="H1854" t="str">
            <v>B</v>
          </cell>
        </row>
        <row r="1855">
          <cell r="B1855" t="str">
            <v>Z110704</v>
          </cell>
          <cell r="C1855">
            <v>200109</v>
          </cell>
          <cell r="D1855">
            <v>200111</v>
          </cell>
          <cell r="E1855" t="str">
            <v>C</v>
          </cell>
          <cell r="F1855" t="str">
            <v>Account status = Closed</v>
          </cell>
          <cell r="G1855" t="str">
            <v/>
          </cell>
          <cell r="H1855" t="str">
            <v>B</v>
          </cell>
        </row>
        <row r="1856">
          <cell r="B1856" t="str">
            <v>Z110801</v>
          </cell>
          <cell r="C1856">
            <v>200109</v>
          </cell>
          <cell r="D1856">
            <v>200111</v>
          </cell>
          <cell r="E1856" t="str">
            <v>C</v>
          </cell>
          <cell r="F1856" t="str">
            <v>Account status = Closed</v>
          </cell>
          <cell r="G1856" t="str">
            <v/>
          </cell>
          <cell r="H1856" t="str">
            <v>B</v>
          </cell>
        </row>
        <row r="1857">
          <cell r="B1857" t="str">
            <v>Z110802</v>
          </cell>
          <cell r="C1857">
            <v>200109</v>
          </cell>
          <cell r="D1857">
            <v>200111</v>
          </cell>
          <cell r="E1857" t="str">
            <v>C</v>
          </cell>
          <cell r="F1857" t="str">
            <v>Account status = Closed</v>
          </cell>
          <cell r="G1857" t="str">
            <v/>
          </cell>
          <cell r="H1857" t="str">
            <v>B</v>
          </cell>
        </row>
        <row r="1858">
          <cell r="B1858" t="str">
            <v>Z110803</v>
          </cell>
          <cell r="C1858">
            <v>200109</v>
          </cell>
          <cell r="D1858">
            <v>200111</v>
          </cell>
          <cell r="E1858" t="str">
            <v>C</v>
          </cell>
          <cell r="F1858" t="str">
            <v>Account status = Closed</v>
          </cell>
          <cell r="G1858" t="str">
            <v/>
          </cell>
          <cell r="H1858" t="str">
            <v>B</v>
          </cell>
        </row>
        <row r="1859">
          <cell r="B1859" t="str">
            <v>Z110901</v>
          </cell>
          <cell r="C1859">
            <v>200109</v>
          </cell>
          <cell r="D1859">
            <v>200111</v>
          </cell>
          <cell r="E1859" t="str">
            <v>N</v>
          </cell>
          <cell r="F1859" t="str">
            <v>Account closed from period 200111</v>
          </cell>
          <cell r="G1859" t="str">
            <v/>
          </cell>
          <cell r="H1859" t="str">
            <v>B</v>
          </cell>
        </row>
        <row r="1860">
          <cell r="B1860" t="str">
            <v>Z110902</v>
          </cell>
          <cell r="C1860">
            <v>200305</v>
          </cell>
          <cell r="D1860">
            <v>200412</v>
          </cell>
          <cell r="E1860" t="str">
            <v>N</v>
          </cell>
          <cell r="F1860" t="str">
            <v>Account closed from period 200412</v>
          </cell>
          <cell r="G1860" t="str">
            <v/>
          </cell>
          <cell r="H1860" t="str">
            <v>B</v>
          </cell>
        </row>
        <row r="1861">
          <cell r="B1861" t="str">
            <v>Z120101</v>
          </cell>
          <cell r="C1861">
            <v>200109</v>
          </cell>
          <cell r="D1861">
            <v>200111</v>
          </cell>
          <cell r="E1861" t="str">
            <v>C</v>
          </cell>
          <cell r="F1861" t="str">
            <v>Account status = Closed</v>
          </cell>
          <cell r="G1861" t="str">
            <v/>
          </cell>
          <cell r="H1861" t="str">
            <v>B</v>
          </cell>
        </row>
        <row r="1862">
          <cell r="B1862" t="str">
            <v>Z120112</v>
          </cell>
          <cell r="C1862">
            <v>200109</v>
          </cell>
          <cell r="D1862">
            <v>200111</v>
          </cell>
          <cell r="E1862" t="str">
            <v>C</v>
          </cell>
          <cell r="F1862" t="str">
            <v>Account status = Closed</v>
          </cell>
          <cell r="G1862" t="str">
            <v/>
          </cell>
          <cell r="H1862" t="str">
            <v>B</v>
          </cell>
        </row>
        <row r="1863">
          <cell r="B1863" t="str">
            <v>Z120113</v>
          </cell>
          <cell r="C1863">
            <v>200109</v>
          </cell>
          <cell r="D1863">
            <v>200111</v>
          </cell>
          <cell r="E1863" t="str">
            <v>C</v>
          </cell>
          <cell r="F1863" t="str">
            <v>Account status = Closed</v>
          </cell>
          <cell r="G1863" t="str">
            <v/>
          </cell>
          <cell r="H1863" t="str">
            <v>B</v>
          </cell>
        </row>
        <row r="1864">
          <cell r="B1864" t="str">
            <v>Z120115</v>
          </cell>
          <cell r="C1864">
            <v>200109</v>
          </cell>
          <cell r="D1864">
            <v>200111</v>
          </cell>
          <cell r="E1864" t="str">
            <v>C</v>
          </cell>
          <cell r="F1864" t="str">
            <v>Account status = Closed</v>
          </cell>
          <cell r="G1864" t="str">
            <v/>
          </cell>
          <cell r="H1864" t="str">
            <v>B</v>
          </cell>
        </row>
        <row r="1865">
          <cell r="B1865" t="str">
            <v>Z120301</v>
          </cell>
          <cell r="C1865">
            <v>200109</v>
          </cell>
          <cell r="D1865">
            <v>200111</v>
          </cell>
          <cell r="E1865" t="str">
            <v>C</v>
          </cell>
          <cell r="F1865" t="str">
            <v>Account status = Closed</v>
          </cell>
          <cell r="G1865" t="str">
            <v/>
          </cell>
          <cell r="H1865" t="str">
            <v>B</v>
          </cell>
        </row>
        <row r="1866">
          <cell r="B1866" t="str">
            <v>Z140104</v>
          </cell>
          <cell r="C1866">
            <v>200109</v>
          </cell>
          <cell r="D1866">
            <v>200111</v>
          </cell>
          <cell r="E1866" t="str">
            <v>C</v>
          </cell>
          <cell r="F1866" t="str">
            <v>Account status = Closed</v>
          </cell>
          <cell r="G1866" t="str">
            <v/>
          </cell>
          <cell r="H1866" t="str">
            <v>B</v>
          </cell>
        </row>
        <row r="1867">
          <cell r="B1867" t="str">
            <v>Z140105</v>
          </cell>
          <cell r="C1867">
            <v>200109</v>
          </cell>
          <cell r="D1867">
            <v>200111</v>
          </cell>
          <cell r="E1867" t="str">
            <v>C</v>
          </cell>
          <cell r="F1867" t="str">
            <v>Account status = Closed</v>
          </cell>
          <cell r="G1867" t="str">
            <v/>
          </cell>
          <cell r="H1867" t="str">
            <v>B</v>
          </cell>
        </row>
        <row r="1868">
          <cell r="B1868" t="str">
            <v>Z140106</v>
          </cell>
          <cell r="C1868">
            <v>200109</v>
          </cell>
          <cell r="D1868">
            <v>200111</v>
          </cell>
          <cell r="E1868" t="str">
            <v>C</v>
          </cell>
          <cell r="F1868" t="str">
            <v>Account status = Closed</v>
          </cell>
          <cell r="G1868" t="str">
            <v/>
          </cell>
          <cell r="H1868" t="str">
            <v>B</v>
          </cell>
        </row>
        <row r="1869">
          <cell r="B1869" t="str">
            <v>Z140107</v>
          </cell>
          <cell r="C1869">
            <v>200109</v>
          </cell>
          <cell r="D1869">
            <v>200111</v>
          </cell>
          <cell r="E1869" t="str">
            <v>C</v>
          </cell>
          <cell r="F1869" t="str">
            <v>Account status = Closed</v>
          </cell>
          <cell r="G1869" t="str">
            <v/>
          </cell>
          <cell r="H1869" t="str">
            <v>B</v>
          </cell>
        </row>
        <row r="1870">
          <cell r="B1870" t="str">
            <v>Z140108</v>
          </cell>
          <cell r="C1870">
            <v>200109</v>
          </cell>
          <cell r="D1870">
            <v>200111</v>
          </cell>
          <cell r="E1870" t="str">
            <v>C</v>
          </cell>
          <cell r="F1870" t="str">
            <v>Account status = Closed</v>
          </cell>
          <cell r="G1870" t="str">
            <v/>
          </cell>
          <cell r="H1870" t="str">
            <v>B</v>
          </cell>
        </row>
        <row r="1871">
          <cell r="B1871" t="str">
            <v>Z140113</v>
          </cell>
          <cell r="C1871">
            <v>200109</v>
          </cell>
          <cell r="D1871">
            <v>200111</v>
          </cell>
          <cell r="E1871" t="str">
            <v>C</v>
          </cell>
          <cell r="F1871" t="str">
            <v>Account status = Closed</v>
          </cell>
          <cell r="G1871" t="str">
            <v/>
          </cell>
          <cell r="H1871" t="str">
            <v>B</v>
          </cell>
        </row>
        <row r="1872">
          <cell r="B1872" t="str">
            <v>Z140114</v>
          </cell>
          <cell r="C1872">
            <v>200109</v>
          </cell>
          <cell r="D1872">
            <v>200111</v>
          </cell>
          <cell r="E1872" t="str">
            <v>C</v>
          </cell>
          <cell r="F1872" t="str">
            <v>Account status = Closed</v>
          </cell>
          <cell r="G1872" t="str">
            <v/>
          </cell>
          <cell r="H1872" t="str">
            <v>B</v>
          </cell>
        </row>
        <row r="1873">
          <cell r="B1873" t="str">
            <v>Z140116</v>
          </cell>
          <cell r="C1873">
            <v>200109</v>
          </cell>
          <cell r="D1873">
            <v>200111</v>
          </cell>
          <cell r="E1873" t="str">
            <v>C</v>
          </cell>
          <cell r="F1873" t="str">
            <v>Account status = Closed</v>
          </cell>
          <cell r="G1873" t="str">
            <v/>
          </cell>
          <cell r="H1873" t="str">
            <v>B</v>
          </cell>
        </row>
        <row r="1874">
          <cell r="B1874" t="str">
            <v>Z140117</v>
          </cell>
          <cell r="C1874">
            <v>200109</v>
          </cell>
          <cell r="D1874">
            <v>200111</v>
          </cell>
          <cell r="E1874" t="str">
            <v>C</v>
          </cell>
          <cell r="F1874" t="str">
            <v>Account status = Closed</v>
          </cell>
          <cell r="G1874" t="str">
            <v/>
          </cell>
          <cell r="H1874" t="str">
            <v>B</v>
          </cell>
        </row>
        <row r="1875">
          <cell r="B1875" t="str">
            <v>Z140118</v>
          </cell>
          <cell r="C1875">
            <v>200109</v>
          </cell>
          <cell r="D1875">
            <v>200111</v>
          </cell>
          <cell r="E1875" t="str">
            <v>C</v>
          </cell>
          <cell r="F1875" t="str">
            <v>Account status = Closed</v>
          </cell>
          <cell r="G1875" t="str">
            <v/>
          </cell>
          <cell r="H1875" t="str">
            <v>B</v>
          </cell>
        </row>
        <row r="1876">
          <cell r="B1876" t="str">
            <v>Z150101</v>
          </cell>
          <cell r="C1876">
            <v>200109</v>
          </cell>
          <cell r="D1876">
            <v>200111</v>
          </cell>
          <cell r="E1876" t="str">
            <v>C</v>
          </cell>
          <cell r="F1876" t="str">
            <v>Account status = Closed</v>
          </cell>
          <cell r="G1876" t="str">
            <v/>
          </cell>
          <cell r="H1876" t="str">
            <v>B</v>
          </cell>
        </row>
        <row r="1877">
          <cell r="B1877" t="str">
            <v>Z150102</v>
          </cell>
          <cell r="C1877">
            <v>200109</v>
          </cell>
          <cell r="D1877">
            <v>200111</v>
          </cell>
          <cell r="E1877" t="str">
            <v>C</v>
          </cell>
          <cell r="F1877" t="str">
            <v>Account status = Closed</v>
          </cell>
          <cell r="G1877" t="str">
            <v/>
          </cell>
          <cell r="H1877" t="str">
            <v>B</v>
          </cell>
        </row>
        <row r="1878">
          <cell r="B1878" t="str">
            <v>Z150104</v>
          </cell>
          <cell r="C1878">
            <v>200109</v>
          </cell>
          <cell r="D1878">
            <v>200111</v>
          </cell>
          <cell r="E1878" t="str">
            <v>C</v>
          </cell>
          <cell r="F1878" t="str">
            <v>Account status = Closed</v>
          </cell>
          <cell r="G1878" t="str">
            <v/>
          </cell>
          <cell r="H1878" t="str">
            <v>B</v>
          </cell>
        </row>
        <row r="1879">
          <cell r="B1879" t="str">
            <v>Z150105</v>
          </cell>
          <cell r="C1879">
            <v>200109</v>
          </cell>
          <cell r="D1879">
            <v>200111</v>
          </cell>
          <cell r="E1879" t="str">
            <v>C</v>
          </cell>
          <cell r="F1879" t="str">
            <v>Account status = Closed</v>
          </cell>
          <cell r="G1879" t="str">
            <v/>
          </cell>
          <cell r="H1879" t="str">
            <v>B</v>
          </cell>
        </row>
        <row r="1880">
          <cell r="B1880" t="str">
            <v>Z150106</v>
          </cell>
          <cell r="C1880">
            <v>200109</v>
          </cell>
          <cell r="D1880">
            <v>200111</v>
          </cell>
          <cell r="E1880" t="str">
            <v>C</v>
          </cell>
          <cell r="F1880" t="str">
            <v>Account status = Closed</v>
          </cell>
          <cell r="G1880" t="str">
            <v/>
          </cell>
          <cell r="H1880" t="str">
            <v>B</v>
          </cell>
        </row>
        <row r="1881">
          <cell r="B1881" t="str">
            <v>Z150107</v>
          </cell>
          <cell r="C1881">
            <v>200109</v>
          </cell>
          <cell r="D1881">
            <v>200111</v>
          </cell>
          <cell r="E1881" t="str">
            <v>C</v>
          </cell>
          <cell r="F1881" t="str">
            <v>Account status = Closed</v>
          </cell>
          <cell r="G1881" t="str">
            <v/>
          </cell>
          <cell r="H1881" t="str">
            <v>B</v>
          </cell>
        </row>
        <row r="1882">
          <cell r="B1882" t="str">
            <v>Z150108</v>
          </cell>
          <cell r="C1882">
            <v>200109</v>
          </cell>
          <cell r="D1882">
            <v>200111</v>
          </cell>
          <cell r="E1882" t="str">
            <v>C</v>
          </cell>
          <cell r="F1882" t="str">
            <v>Account status = Closed</v>
          </cell>
          <cell r="G1882" t="str">
            <v/>
          </cell>
          <cell r="H1882" t="str">
            <v>B</v>
          </cell>
        </row>
        <row r="1883">
          <cell r="B1883" t="str">
            <v>Z150109</v>
          </cell>
          <cell r="C1883">
            <v>200109</v>
          </cell>
          <cell r="D1883">
            <v>200111</v>
          </cell>
          <cell r="E1883" t="str">
            <v>C</v>
          </cell>
          <cell r="F1883" t="str">
            <v>Account status = Closed</v>
          </cell>
          <cell r="G1883" t="str">
            <v/>
          </cell>
          <cell r="H1883" t="str">
            <v>B</v>
          </cell>
        </row>
        <row r="1884">
          <cell r="B1884" t="str">
            <v>Z150110</v>
          </cell>
          <cell r="C1884">
            <v>200109</v>
          </cell>
          <cell r="D1884">
            <v>200111</v>
          </cell>
          <cell r="E1884" t="str">
            <v>C</v>
          </cell>
          <cell r="F1884" t="str">
            <v>Account status = Closed</v>
          </cell>
          <cell r="G1884" t="str">
            <v/>
          </cell>
          <cell r="H1884" t="str">
            <v>B</v>
          </cell>
        </row>
        <row r="1885">
          <cell r="B1885" t="str">
            <v>Z150111</v>
          </cell>
          <cell r="C1885">
            <v>200109</v>
          </cell>
          <cell r="D1885">
            <v>200111</v>
          </cell>
          <cell r="E1885" t="str">
            <v>C</v>
          </cell>
          <cell r="F1885" t="str">
            <v>Account status = Closed</v>
          </cell>
          <cell r="G1885" t="str">
            <v/>
          </cell>
          <cell r="H1885" t="str">
            <v>B</v>
          </cell>
        </row>
        <row r="1886">
          <cell r="B1886" t="str">
            <v>Z150201</v>
          </cell>
          <cell r="C1886">
            <v>200109</v>
          </cell>
          <cell r="D1886">
            <v>200111</v>
          </cell>
          <cell r="E1886" t="str">
            <v>C</v>
          </cell>
          <cell r="F1886" t="str">
            <v>Account status = Closed</v>
          </cell>
          <cell r="G1886" t="str">
            <v/>
          </cell>
          <cell r="H1886" t="str">
            <v>B</v>
          </cell>
        </row>
        <row r="1887">
          <cell r="B1887" t="str">
            <v>Z160105</v>
          </cell>
          <cell r="C1887">
            <v>200109</v>
          </cell>
          <cell r="D1887">
            <v>200111</v>
          </cell>
          <cell r="E1887" t="str">
            <v>C</v>
          </cell>
          <cell r="F1887" t="str">
            <v>Account status = Closed</v>
          </cell>
          <cell r="G1887" t="str">
            <v/>
          </cell>
          <cell r="H1887" t="str">
            <v>B</v>
          </cell>
        </row>
        <row r="1888">
          <cell r="B1888" t="str">
            <v>Z160106</v>
          </cell>
          <cell r="C1888">
            <v>200109</v>
          </cell>
          <cell r="D1888">
            <v>200111</v>
          </cell>
          <cell r="E1888" t="str">
            <v>C</v>
          </cell>
          <cell r="F1888" t="str">
            <v>Account status = Closed</v>
          </cell>
          <cell r="G1888" t="str">
            <v/>
          </cell>
          <cell r="H1888" t="str">
            <v>B</v>
          </cell>
        </row>
        <row r="1889">
          <cell r="B1889" t="str">
            <v>Z160109</v>
          </cell>
          <cell r="C1889">
            <v>200109</v>
          </cell>
          <cell r="D1889">
            <v>200111</v>
          </cell>
          <cell r="E1889" t="str">
            <v>C</v>
          </cell>
          <cell r="F1889" t="str">
            <v>Account status = Closed</v>
          </cell>
          <cell r="G1889" t="str">
            <v/>
          </cell>
          <cell r="H1889" t="str">
            <v>B</v>
          </cell>
        </row>
        <row r="1890">
          <cell r="B1890" t="str">
            <v>Z160110</v>
          </cell>
          <cell r="C1890">
            <v>200109</v>
          </cell>
          <cell r="D1890">
            <v>200111</v>
          </cell>
          <cell r="E1890" t="str">
            <v>C</v>
          </cell>
          <cell r="F1890" t="str">
            <v>Account status = Closed</v>
          </cell>
          <cell r="G1890" t="str">
            <v/>
          </cell>
          <cell r="H1890" t="str">
            <v>B</v>
          </cell>
        </row>
        <row r="1891">
          <cell r="B1891" t="str">
            <v>Z160111</v>
          </cell>
          <cell r="C1891">
            <v>200109</v>
          </cell>
          <cell r="D1891">
            <v>200111</v>
          </cell>
          <cell r="E1891" t="str">
            <v>C</v>
          </cell>
          <cell r="F1891" t="str">
            <v>Account status = Closed</v>
          </cell>
          <cell r="G1891" t="str">
            <v/>
          </cell>
          <cell r="H1891" t="str">
            <v>B</v>
          </cell>
        </row>
        <row r="1892">
          <cell r="B1892" t="str">
            <v>Z160112</v>
          </cell>
          <cell r="C1892">
            <v>200109</v>
          </cell>
          <cell r="D1892">
            <v>200111</v>
          </cell>
          <cell r="E1892" t="str">
            <v>C</v>
          </cell>
          <cell r="F1892" t="str">
            <v>Account status = Closed</v>
          </cell>
          <cell r="G1892" t="str">
            <v/>
          </cell>
          <cell r="H1892" t="str">
            <v>B</v>
          </cell>
        </row>
        <row r="1893">
          <cell r="B1893" t="str">
            <v>Z300101</v>
          </cell>
          <cell r="C1893">
            <v>200109</v>
          </cell>
          <cell r="D1893">
            <v>200411</v>
          </cell>
          <cell r="E1893" t="str">
            <v>N</v>
          </cell>
          <cell r="F1893" t="str">
            <v>Account closed from period 200411</v>
          </cell>
          <cell r="G1893" t="str">
            <v/>
          </cell>
          <cell r="H1893" t="str">
            <v>B</v>
          </cell>
        </row>
        <row r="1894">
          <cell r="B1894" t="str">
            <v>Z300102</v>
          </cell>
          <cell r="C1894">
            <v>200109</v>
          </cell>
          <cell r="D1894">
            <v>200411</v>
          </cell>
          <cell r="E1894" t="str">
            <v>N</v>
          </cell>
          <cell r="F1894" t="str">
            <v>Account closed from period 200411</v>
          </cell>
          <cell r="G1894" t="str">
            <v/>
          </cell>
          <cell r="H1894" t="str">
            <v>B</v>
          </cell>
        </row>
        <row r="1895">
          <cell r="B1895" t="str">
            <v>Z300104</v>
          </cell>
          <cell r="C1895">
            <v>200109</v>
          </cell>
          <cell r="D1895">
            <v>200411</v>
          </cell>
          <cell r="E1895" t="str">
            <v>N</v>
          </cell>
          <cell r="F1895" t="str">
            <v>Account closed from period 200411</v>
          </cell>
          <cell r="G1895" t="str">
            <v/>
          </cell>
          <cell r="H1895" t="str">
            <v>B</v>
          </cell>
        </row>
        <row r="1896">
          <cell r="B1896" t="str">
            <v>Z300105</v>
          </cell>
          <cell r="C1896">
            <v>200109</v>
          </cell>
          <cell r="D1896">
            <v>200411</v>
          </cell>
          <cell r="E1896" t="str">
            <v>N</v>
          </cell>
          <cell r="F1896" t="str">
            <v>Account closed from period 200411</v>
          </cell>
          <cell r="G1896" t="str">
            <v/>
          </cell>
          <cell r="H1896" t="str">
            <v>B</v>
          </cell>
        </row>
        <row r="1897">
          <cell r="B1897" t="str">
            <v>Z300106</v>
          </cell>
          <cell r="C1897">
            <v>200109</v>
          </cell>
          <cell r="D1897">
            <v>200411</v>
          </cell>
          <cell r="E1897" t="str">
            <v>N</v>
          </cell>
          <cell r="F1897" t="str">
            <v>Account closed from period 200411</v>
          </cell>
          <cell r="G1897" t="str">
            <v/>
          </cell>
          <cell r="H1897" t="str">
            <v>B</v>
          </cell>
        </row>
        <row r="1898">
          <cell r="B1898" t="str">
            <v>Z300108</v>
          </cell>
          <cell r="C1898">
            <v>200109</v>
          </cell>
          <cell r="D1898">
            <v>200411</v>
          </cell>
          <cell r="E1898" t="str">
            <v>N</v>
          </cell>
          <cell r="F1898" t="str">
            <v>Account closed from period 200411</v>
          </cell>
          <cell r="G1898" t="str">
            <v/>
          </cell>
          <cell r="H1898" t="str">
            <v>B</v>
          </cell>
        </row>
        <row r="1899">
          <cell r="B1899" t="str">
            <v>Z300109</v>
          </cell>
          <cell r="C1899">
            <v>200109</v>
          </cell>
          <cell r="D1899">
            <v>200411</v>
          </cell>
          <cell r="E1899" t="str">
            <v>N</v>
          </cell>
          <cell r="F1899" t="str">
            <v>Account closed from period 200411</v>
          </cell>
          <cell r="G1899" t="str">
            <v/>
          </cell>
          <cell r="H1899" t="str">
            <v>B</v>
          </cell>
        </row>
        <row r="1900">
          <cell r="B1900" t="str">
            <v>Z300110</v>
          </cell>
          <cell r="C1900">
            <v>200109</v>
          </cell>
          <cell r="D1900">
            <v>200411</v>
          </cell>
          <cell r="E1900" t="str">
            <v>N</v>
          </cell>
          <cell r="F1900" t="str">
            <v>Account closed from period 200411</v>
          </cell>
          <cell r="G1900" t="str">
            <v/>
          </cell>
          <cell r="H1900" t="str">
            <v>B</v>
          </cell>
        </row>
        <row r="1901">
          <cell r="B1901" t="str">
            <v>Z300111</v>
          </cell>
          <cell r="C1901">
            <v>200109</v>
          </cell>
          <cell r="D1901">
            <v>200411</v>
          </cell>
          <cell r="E1901" t="str">
            <v>N</v>
          </cell>
          <cell r="F1901" t="str">
            <v>Account closed from period 200411</v>
          </cell>
          <cell r="G1901" t="str">
            <v/>
          </cell>
          <cell r="H1901" t="str">
            <v>B</v>
          </cell>
        </row>
        <row r="1902">
          <cell r="B1902" t="str">
            <v>Z300112</v>
          </cell>
          <cell r="C1902">
            <v>200109</v>
          </cell>
          <cell r="D1902">
            <v>200411</v>
          </cell>
          <cell r="E1902" t="str">
            <v>N</v>
          </cell>
          <cell r="F1902" t="str">
            <v>Account closed from period 200411</v>
          </cell>
          <cell r="G1902" t="str">
            <v/>
          </cell>
          <cell r="H1902" t="str">
            <v>B</v>
          </cell>
        </row>
        <row r="1903">
          <cell r="B1903" t="str">
            <v>Z300113</v>
          </cell>
          <cell r="C1903">
            <v>200109</v>
          </cell>
          <cell r="D1903">
            <v>200411</v>
          </cell>
          <cell r="E1903" t="str">
            <v>N</v>
          </cell>
          <cell r="F1903" t="str">
            <v>Account closed from period 200411</v>
          </cell>
          <cell r="G1903" t="str">
            <v/>
          </cell>
          <cell r="H1903" t="str">
            <v>B</v>
          </cell>
        </row>
        <row r="1904">
          <cell r="B1904" t="str">
            <v>Z300114</v>
          </cell>
          <cell r="C1904">
            <v>200109</v>
          </cell>
          <cell r="D1904">
            <v>200411</v>
          </cell>
          <cell r="E1904" t="str">
            <v>N</v>
          </cell>
          <cell r="F1904" t="str">
            <v>Account closed from period 200411</v>
          </cell>
          <cell r="G1904" t="str">
            <v/>
          </cell>
          <cell r="H1904" t="str">
            <v>B</v>
          </cell>
        </row>
        <row r="1905">
          <cell r="B1905" t="str">
            <v>Z300115</v>
          </cell>
          <cell r="C1905">
            <v>200109</v>
          </cell>
          <cell r="D1905">
            <v>200411</v>
          </cell>
          <cell r="E1905" t="str">
            <v>N</v>
          </cell>
          <cell r="F1905" t="str">
            <v>Account closed from period 200411</v>
          </cell>
          <cell r="G1905" t="str">
            <v/>
          </cell>
          <cell r="H1905" t="str">
            <v>B</v>
          </cell>
        </row>
        <row r="1906">
          <cell r="B1906" t="str">
            <v>Z300116</v>
          </cell>
          <cell r="C1906">
            <v>200109</v>
          </cell>
          <cell r="D1906">
            <v>200411</v>
          </cell>
          <cell r="E1906" t="str">
            <v>N</v>
          </cell>
          <cell r="F1906" t="str">
            <v>Account closed from period 200411</v>
          </cell>
          <cell r="G1906" t="str">
            <v/>
          </cell>
          <cell r="H1906" t="str">
            <v>B</v>
          </cell>
        </row>
        <row r="1907">
          <cell r="B1907" t="str">
            <v>Z300117</v>
          </cell>
          <cell r="C1907">
            <v>200109</v>
          </cell>
          <cell r="D1907">
            <v>200411</v>
          </cell>
          <cell r="E1907" t="str">
            <v>N</v>
          </cell>
          <cell r="F1907" t="str">
            <v>Account closed from period 200411</v>
          </cell>
          <cell r="G1907" t="str">
            <v/>
          </cell>
          <cell r="H1907" t="str">
            <v>B</v>
          </cell>
        </row>
        <row r="1908">
          <cell r="B1908" t="str">
            <v>Z300118</v>
          </cell>
          <cell r="C1908">
            <v>200109</v>
          </cell>
          <cell r="D1908">
            <v>200411</v>
          </cell>
          <cell r="E1908" t="str">
            <v>N</v>
          </cell>
          <cell r="F1908" t="str">
            <v>Account closed from period 200411</v>
          </cell>
          <cell r="G1908" t="str">
            <v/>
          </cell>
          <cell r="H1908" t="str">
            <v>B</v>
          </cell>
        </row>
        <row r="1909">
          <cell r="B1909" t="str">
            <v>Z300119</v>
          </cell>
          <cell r="C1909">
            <v>200109</v>
          </cell>
          <cell r="D1909">
            <v>200411</v>
          </cell>
          <cell r="E1909" t="str">
            <v>N</v>
          </cell>
          <cell r="F1909" t="str">
            <v>Account closed from period 200411</v>
          </cell>
          <cell r="G1909" t="str">
            <v/>
          </cell>
          <cell r="H1909" t="str">
            <v>B</v>
          </cell>
        </row>
        <row r="1910">
          <cell r="B1910" t="str">
            <v>Z300120</v>
          </cell>
          <cell r="C1910">
            <v>200109</v>
          </cell>
          <cell r="D1910">
            <v>200411</v>
          </cell>
          <cell r="E1910" t="str">
            <v>N</v>
          </cell>
          <cell r="F1910" t="str">
            <v>Account closed from period 200411</v>
          </cell>
          <cell r="G1910" t="str">
            <v/>
          </cell>
          <cell r="H1910" t="str">
            <v>B</v>
          </cell>
        </row>
        <row r="1911">
          <cell r="B1911" t="str">
            <v>Z300121</v>
          </cell>
          <cell r="C1911">
            <v>200109</v>
          </cell>
          <cell r="D1911">
            <v>200411</v>
          </cell>
          <cell r="E1911" t="str">
            <v>N</v>
          </cell>
          <cell r="F1911" t="str">
            <v>Account closed from period 200411</v>
          </cell>
          <cell r="G1911" t="str">
            <v/>
          </cell>
          <cell r="H1911" t="str">
            <v>B</v>
          </cell>
        </row>
        <row r="1912">
          <cell r="B1912" t="str">
            <v>Z300122</v>
          </cell>
          <cell r="C1912">
            <v>200109</v>
          </cell>
          <cell r="D1912">
            <v>200411</v>
          </cell>
          <cell r="E1912" t="str">
            <v>N</v>
          </cell>
          <cell r="F1912" t="str">
            <v>Account closed from period 200411</v>
          </cell>
          <cell r="G1912" t="str">
            <v/>
          </cell>
          <cell r="H1912" t="str">
            <v>B</v>
          </cell>
        </row>
        <row r="1913">
          <cell r="B1913" t="str">
            <v>Z300123</v>
          </cell>
          <cell r="C1913">
            <v>200109</v>
          </cell>
          <cell r="D1913">
            <v>200411</v>
          </cell>
          <cell r="E1913" t="str">
            <v>N</v>
          </cell>
          <cell r="F1913" t="str">
            <v>Account closed from period 200411</v>
          </cell>
          <cell r="G1913" t="str">
            <v/>
          </cell>
          <cell r="H1913" t="str">
            <v>B</v>
          </cell>
        </row>
        <row r="1914">
          <cell r="B1914" t="str">
            <v>Z300124</v>
          </cell>
          <cell r="C1914">
            <v>200109</v>
          </cell>
          <cell r="D1914">
            <v>200411</v>
          </cell>
          <cell r="E1914" t="str">
            <v>N</v>
          </cell>
          <cell r="F1914" t="str">
            <v>Account closed from period 200411</v>
          </cell>
          <cell r="G1914" t="str">
            <v/>
          </cell>
          <cell r="H1914" t="str">
            <v>B</v>
          </cell>
        </row>
        <row r="1915">
          <cell r="B1915" t="str">
            <v>Z300125</v>
          </cell>
          <cell r="C1915">
            <v>200109</v>
          </cell>
          <cell r="D1915">
            <v>200411</v>
          </cell>
          <cell r="E1915" t="str">
            <v>N</v>
          </cell>
          <cell r="F1915" t="str">
            <v>Account closed from period 200411</v>
          </cell>
          <cell r="G1915" t="str">
            <v/>
          </cell>
          <cell r="H1915" t="str">
            <v>B</v>
          </cell>
        </row>
        <row r="1916">
          <cell r="B1916" t="str">
            <v>Z300126</v>
          </cell>
          <cell r="C1916">
            <v>200213</v>
          </cell>
          <cell r="D1916">
            <v>200411</v>
          </cell>
          <cell r="E1916" t="str">
            <v>N</v>
          </cell>
          <cell r="F1916" t="str">
            <v>Account closed from period 200411</v>
          </cell>
          <cell r="G1916" t="str">
            <v/>
          </cell>
          <cell r="H1916" t="str">
            <v>B</v>
          </cell>
        </row>
        <row r="1917">
          <cell r="B1917" t="str">
            <v>Z310101</v>
          </cell>
          <cell r="C1917">
            <v>200112</v>
          </cell>
          <cell r="D1917">
            <v>209912</v>
          </cell>
          <cell r="E1917" t="str">
            <v>N</v>
          </cell>
          <cell r="F1917" t="str">
            <v/>
          </cell>
          <cell r="G1917" t="str">
            <v/>
          </cell>
          <cell r="H1917" t="str">
            <v>B</v>
          </cell>
        </row>
        <row r="1918">
          <cell r="B1918" t="str">
            <v>Z310102</v>
          </cell>
          <cell r="C1918">
            <v>200112</v>
          </cell>
          <cell r="D1918">
            <v>200513</v>
          </cell>
          <cell r="E1918" t="str">
            <v>C</v>
          </cell>
          <cell r="F1918" t="str">
            <v>Account status = Closed</v>
          </cell>
          <cell r="G1918" t="str">
            <v/>
          </cell>
          <cell r="H1918" t="str">
            <v>B</v>
          </cell>
        </row>
        <row r="1919">
          <cell r="B1919" t="str">
            <v>Z310103</v>
          </cell>
          <cell r="C1919">
            <v>200112</v>
          </cell>
          <cell r="D1919">
            <v>200513</v>
          </cell>
          <cell r="E1919" t="str">
            <v>C</v>
          </cell>
          <cell r="F1919" t="str">
            <v>Account status = Closed</v>
          </cell>
          <cell r="G1919" t="str">
            <v/>
          </cell>
          <cell r="H1919" t="str">
            <v>B</v>
          </cell>
        </row>
        <row r="1920">
          <cell r="B1920" t="str">
            <v>Z310104</v>
          </cell>
          <cell r="C1920">
            <v>200109</v>
          </cell>
          <cell r="D1920">
            <v>200111</v>
          </cell>
          <cell r="E1920" t="str">
            <v>N</v>
          </cell>
          <cell r="F1920" t="str">
            <v>Account closed from period 200111</v>
          </cell>
          <cell r="G1920" t="str">
            <v/>
          </cell>
          <cell r="H1920" t="str">
            <v>B</v>
          </cell>
        </row>
        <row r="1921">
          <cell r="B1921" t="str">
            <v>Z320100</v>
          </cell>
          <cell r="C1921">
            <v>200109</v>
          </cell>
          <cell r="D1921">
            <v>200513</v>
          </cell>
          <cell r="E1921" t="str">
            <v>C</v>
          </cell>
          <cell r="F1921" t="str">
            <v>Account status = Closed</v>
          </cell>
          <cell r="G1921" t="str">
            <v/>
          </cell>
          <cell r="H1921" t="str">
            <v>B</v>
          </cell>
        </row>
        <row r="1922">
          <cell r="B1922" t="str">
            <v>Z320295</v>
          </cell>
          <cell r="C1922">
            <v>200109</v>
          </cell>
          <cell r="D1922">
            <v>200111</v>
          </cell>
          <cell r="E1922" t="str">
            <v>C</v>
          </cell>
          <cell r="F1922" t="str">
            <v>Account status = Closed</v>
          </cell>
          <cell r="G1922" t="str">
            <v/>
          </cell>
          <cell r="H1922" t="str">
            <v>B</v>
          </cell>
        </row>
        <row r="1923">
          <cell r="B1923" t="str">
            <v>Z320296</v>
          </cell>
          <cell r="C1923">
            <v>200109</v>
          </cell>
          <cell r="D1923">
            <v>200111</v>
          </cell>
          <cell r="E1923" t="str">
            <v>C</v>
          </cell>
          <cell r="F1923" t="str">
            <v>Account status = Closed</v>
          </cell>
          <cell r="G1923" t="str">
            <v/>
          </cell>
          <cell r="H1923" t="str">
            <v>B</v>
          </cell>
        </row>
        <row r="1924">
          <cell r="B1924" t="str">
            <v>Z320297</v>
          </cell>
          <cell r="C1924">
            <v>200109</v>
          </cell>
          <cell r="D1924">
            <v>200111</v>
          </cell>
          <cell r="E1924" t="str">
            <v>C</v>
          </cell>
          <cell r="F1924" t="str">
            <v>Account status = Closed</v>
          </cell>
          <cell r="G1924" t="str">
            <v/>
          </cell>
          <cell r="H1924" t="str">
            <v>B</v>
          </cell>
        </row>
        <row r="1925">
          <cell r="B1925" t="str">
            <v>Z320996</v>
          </cell>
          <cell r="C1925">
            <v>200109</v>
          </cell>
          <cell r="D1925">
            <v>200111</v>
          </cell>
          <cell r="E1925" t="str">
            <v>C</v>
          </cell>
          <cell r="F1925" t="str">
            <v>Account status = Closed</v>
          </cell>
          <cell r="G1925" t="str">
            <v/>
          </cell>
          <cell r="H1925" t="str">
            <v>B</v>
          </cell>
        </row>
        <row r="1926">
          <cell r="B1926" t="str">
            <v>Z320997</v>
          </cell>
          <cell r="C1926">
            <v>200109</v>
          </cell>
          <cell r="D1926">
            <v>200111</v>
          </cell>
          <cell r="E1926" t="str">
            <v>C</v>
          </cell>
          <cell r="F1926" t="str">
            <v>Account status = Closed</v>
          </cell>
          <cell r="G1926" t="str">
            <v/>
          </cell>
          <cell r="H1926" t="str">
            <v>B</v>
          </cell>
        </row>
        <row r="1927">
          <cell r="B1927" t="str">
            <v>Z321096</v>
          </cell>
          <cell r="C1927">
            <v>200109</v>
          </cell>
          <cell r="D1927">
            <v>200111</v>
          </cell>
          <cell r="E1927" t="str">
            <v>C</v>
          </cell>
          <cell r="F1927" t="str">
            <v>Account status = Closed</v>
          </cell>
          <cell r="G1927" t="str">
            <v/>
          </cell>
          <cell r="H1927" t="str">
            <v>B</v>
          </cell>
        </row>
        <row r="1928">
          <cell r="B1928" t="str">
            <v>Z350100</v>
          </cell>
          <cell r="C1928">
            <v>200109</v>
          </cell>
          <cell r="D1928">
            <v>200513</v>
          </cell>
          <cell r="E1928" t="str">
            <v>C</v>
          </cell>
          <cell r="F1928" t="str">
            <v>Account status = Closed</v>
          </cell>
          <cell r="G1928" t="str">
            <v/>
          </cell>
          <cell r="H1928" t="str">
            <v>B</v>
          </cell>
        </row>
        <row r="1929">
          <cell r="B1929" t="str">
            <v>Z350196</v>
          </cell>
          <cell r="C1929">
            <v>200109</v>
          </cell>
          <cell r="D1929">
            <v>200411</v>
          </cell>
          <cell r="E1929" t="str">
            <v>N</v>
          </cell>
          <cell r="F1929" t="str">
            <v>Account closed from period 200411</v>
          </cell>
          <cell r="G1929" t="str">
            <v/>
          </cell>
          <cell r="H1929" t="str">
            <v>B</v>
          </cell>
        </row>
        <row r="1930">
          <cell r="B1930" t="str">
            <v>Z350197</v>
          </cell>
          <cell r="C1930">
            <v>200109</v>
          </cell>
          <cell r="D1930">
            <v>200111</v>
          </cell>
          <cell r="E1930" t="str">
            <v>N</v>
          </cell>
          <cell r="F1930" t="str">
            <v>Account closed from period 200111</v>
          </cell>
          <cell r="G1930" t="str">
            <v/>
          </cell>
          <cell r="H1930" t="str">
            <v>B</v>
          </cell>
        </row>
        <row r="1931">
          <cell r="B1931" t="str">
            <v>Z360184</v>
          </cell>
          <cell r="C1931">
            <v>200109</v>
          </cell>
          <cell r="D1931">
            <v>200411</v>
          </cell>
          <cell r="E1931" t="str">
            <v>N</v>
          </cell>
          <cell r="F1931" t="str">
            <v>Account closed from period 200411</v>
          </cell>
          <cell r="G1931" t="str">
            <v/>
          </cell>
          <cell r="H1931" t="str">
            <v>B</v>
          </cell>
        </row>
        <row r="1932">
          <cell r="B1932" t="str">
            <v>Z370101</v>
          </cell>
          <cell r="C1932">
            <v>200109</v>
          </cell>
          <cell r="D1932">
            <v>209912</v>
          </cell>
          <cell r="E1932" t="str">
            <v>N</v>
          </cell>
          <cell r="F1932" t="str">
            <v/>
          </cell>
          <cell r="G1932" t="str">
            <v/>
          </cell>
          <cell r="H1932" t="str">
            <v>B</v>
          </cell>
        </row>
        <row r="1933">
          <cell r="B1933" t="str">
            <v>Z370102</v>
          </cell>
          <cell r="C1933">
            <v>199900</v>
          </cell>
          <cell r="D1933">
            <v>209912</v>
          </cell>
          <cell r="E1933" t="str">
            <v>N</v>
          </cell>
          <cell r="F1933" t="str">
            <v/>
          </cell>
          <cell r="G1933" t="str">
            <v/>
          </cell>
          <cell r="H1933" t="str">
            <v>B</v>
          </cell>
        </row>
        <row r="1934">
          <cell r="B1934" t="str">
            <v>Z371012</v>
          </cell>
          <cell r="C1934">
            <v>199900</v>
          </cell>
          <cell r="D1934">
            <v>209912</v>
          </cell>
          <cell r="E1934" t="str">
            <v>C</v>
          </cell>
          <cell r="F1934" t="str">
            <v>Account status = Closed</v>
          </cell>
          <cell r="G1934" t="str">
            <v/>
          </cell>
          <cell r="H1934" t="str">
            <v>B</v>
          </cell>
        </row>
        <row r="1935">
          <cell r="B1935" t="str">
            <v>Z390191</v>
          </cell>
          <cell r="C1935">
            <v>200109</v>
          </cell>
          <cell r="D1935">
            <v>200111</v>
          </cell>
          <cell r="E1935" t="str">
            <v>C</v>
          </cell>
          <cell r="F1935" t="str">
            <v>Account status = Closed</v>
          </cell>
          <cell r="G1935" t="str">
            <v/>
          </cell>
          <cell r="H1935" t="str">
            <v>B</v>
          </cell>
        </row>
        <row r="1936">
          <cell r="B1936" t="str">
            <v>Z400101</v>
          </cell>
          <cell r="C1936">
            <v>200112</v>
          </cell>
          <cell r="D1936">
            <v>200311</v>
          </cell>
          <cell r="E1936" t="str">
            <v>C</v>
          </cell>
          <cell r="F1936" t="str">
            <v>Account status = Closed</v>
          </cell>
          <cell r="G1936" t="str">
            <v/>
          </cell>
          <cell r="H1936" t="str">
            <v>B</v>
          </cell>
        </row>
        <row r="1937">
          <cell r="B1937" t="str">
            <v>Z400101</v>
          </cell>
          <cell r="C1937">
            <v>200312</v>
          </cell>
          <cell r="D1937">
            <v>200411</v>
          </cell>
          <cell r="E1937" t="str">
            <v>C</v>
          </cell>
          <cell r="F1937" t="str">
            <v>Account status = Closed</v>
          </cell>
          <cell r="G1937" t="str">
            <v/>
          </cell>
          <cell r="H1937" t="str">
            <v>B</v>
          </cell>
        </row>
        <row r="1938">
          <cell r="B1938" t="str">
            <v>Z400104</v>
          </cell>
          <cell r="C1938">
            <v>200109</v>
          </cell>
          <cell r="D1938">
            <v>200412</v>
          </cell>
          <cell r="E1938" t="str">
            <v>N</v>
          </cell>
          <cell r="F1938" t="str">
            <v>Account closed from period 200412</v>
          </cell>
          <cell r="G1938" t="str">
            <v/>
          </cell>
          <cell r="H1938" t="str">
            <v>B</v>
          </cell>
        </row>
        <row r="1939">
          <cell r="B1939" t="str">
            <v>Z400105</v>
          </cell>
          <cell r="C1939">
            <v>200112</v>
          </cell>
          <cell r="D1939">
            <v>200411</v>
          </cell>
          <cell r="E1939" t="str">
            <v>C</v>
          </cell>
          <cell r="F1939" t="str">
            <v>Account status = Closed</v>
          </cell>
          <cell r="G1939" t="str">
            <v/>
          </cell>
          <cell r="H1939" t="str">
            <v>B</v>
          </cell>
        </row>
        <row r="1940">
          <cell r="B1940" t="str">
            <v>Z400108</v>
          </cell>
          <cell r="C1940">
            <v>200109</v>
          </cell>
          <cell r="D1940">
            <v>200411</v>
          </cell>
          <cell r="E1940" t="str">
            <v>N</v>
          </cell>
          <cell r="F1940" t="str">
            <v>Account closed from period 200411</v>
          </cell>
          <cell r="G1940" t="str">
            <v/>
          </cell>
          <cell r="H1940" t="str">
            <v>B</v>
          </cell>
        </row>
        <row r="1941">
          <cell r="B1941" t="str">
            <v>Z400109</v>
          </cell>
          <cell r="C1941">
            <v>200109</v>
          </cell>
          <cell r="D1941">
            <v>200411</v>
          </cell>
          <cell r="E1941" t="str">
            <v>N</v>
          </cell>
          <cell r="F1941" t="str">
            <v>Account closed from period 200411</v>
          </cell>
          <cell r="G1941" t="str">
            <v/>
          </cell>
          <cell r="H1941" t="str">
            <v>B</v>
          </cell>
        </row>
        <row r="1942">
          <cell r="B1942" t="str">
            <v>Z400114</v>
          </cell>
          <cell r="C1942">
            <v>200109</v>
          </cell>
          <cell r="D1942">
            <v>200411</v>
          </cell>
          <cell r="E1942" t="str">
            <v>N</v>
          </cell>
          <cell r="F1942" t="str">
            <v>Account closed from period 200411</v>
          </cell>
          <cell r="G1942" t="str">
            <v/>
          </cell>
          <cell r="H1942" t="str">
            <v>B</v>
          </cell>
        </row>
        <row r="1943">
          <cell r="B1943" t="str">
            <v>Z400115</v>
          </cell>
          <cell r="C1943">
            <v>200109</v>
          </cell>
          <cell r="D1943">
            <v>200411</v>
          </cell>
          <cell r="E1943" t="str">
            <v>N</v>
          </cell>
          <cell r="F1943" t="str">
            <v>Account closed from period 200411</v>
          </cell>
          <cell r="G1943" t="str">
            <v/>
          </cell>
          <cell r="H1943" t="str">
            <v>B</v>
          </cell>
        </row>
        <row r="1944">
          <cell r="B1944" t="str">
            <v>Z400116</v>
          </cell>
          <cell r="C1944">
            <v>200109</v>
          </cell>
          <cell r="D1944">
            <v>209913</v>
          </cell>
          <cell r="E1944" t="str">
            <v>N</v>
          </cell>
          <cell r="F1944" t="str">
            <v/>
          </cell>
          <cell r="G1944" t="str">
            <v/>
          </cell>
          <cell r="H1944" t="str">
            <v>B</v>
          </cell>
        </row>
        <row r="1945">
          <cell r="B1945" t="str">
            <v>Z400117</v>
          </cell>
          <cell r="C1945">
            <v>200109</v>
          </cell>
          <cell r="D1945">
            <v>200411</v>
          </cell>
          <cell r="E1945" t="str">
            <v>N</v>
          </cell>
          <cell r="F1945" t="str">
            <v>Account closed from period 200411</v>
          </cell>
          <cell r="G1945" t="str">
            <v/>
          </cell>
          <cell r="H1945" t="str">
            <v>B</v>
          </cell>
        </row>
        <row r="1946">
          <cell r="B1946" t="str">
            <v>Z400118</v>
          </cell>
          <cell r="C1946">
            <v>200109</v>
          </cell>
          <cell r="D1946">
            <v>200411</v>
          </cell>
          <cell r="E1946" t="str">
            <v>N</v>
          </cell>
          <cell r="F1946" t="str">
            <v>Account closed from period 200411</v>
          </cell>
          <cell r="G1946" t="str">
            <v/>
          </cell>
          <cell r="H1946" t="str">
            <v>B</v>
          </cell>
        </row>
        <row r="1947">
          <cell r="B1947" t="str">
            <v>Z400119</v>
          </cell>
          <cell r="C1947">
            <v>200109</v>
          </cell>
          <cell r="D1947">
            <v>200411</v>
          </cell>
          <cell r="E1947" t="str">
            <v>N</v>
          </cell>
          <cell r="F1947" t="str">
            <v>Account closed from period 200411</v>
          </cell>
          <cell r="G1947" t="str">
            <v/>
          </cell>
          <cell r="H1947" t="str">
            <v>B</v>
          </cell>
        </row>
        <row r="1948">
          <cell r="B1948" t="str">
            <v>Z400120</v>
          </cell>
          <cell r="C1948">
            <v>200109</v>
          </cell>
          <cell r="D1948">
            <v>200411</v>
          </cell>
          <cell r="E1948" t="str">
            <v>N</v>
          </cell>
          <cell r="F1948" t="str">
            <v>Account closed from period 200411</v>
          </cell>
          <cell r="G1948" t="str">
            <v/>
          </cell>
          <cell r="H1948" t="str">
            <v>B</v>
          </cell>
        </row>
        <row r="1949">
          <cell r="B1949" t="str">
            <v>Z400121</v>
          </cell>
          <cell r="C1949">
            <v>200112</v>
          </cell>
          <cell r="D1949">
            <v>200411</v>
          </cell>
          <cell r="E1949" t="str">
            <v>C</v>
          </cell>
          <cell r="F1949" t="str">
            <v>Account status = Closed</v>
          </cell>
          <cell r="G1949" t="str">
            <v/>
          </cell>
          <cell r="H1949" t="str">
            <v>B</v>
          </cell>
        </row>
        <row r="1950">
          <cell r="B1950" t="str">
            <v>Z400201</v>
          </cell>
          <cell r="C1950">
            <v>200109</v>
          </cell>
          <cell r="D1950">
            <v>200411</v>
          </cell>
          <cell r="E1950" t="str">
            <v>N</v>
          </cell>
          <cell r="F1950" t="str">
            <v>Account closed from period 200411</v>
          </cell>
          <cell r="G1950" t="str">
            <v/>
          </cell>
          <cell r="H1950" t="str">
            <v>B</v>
          </cell>
        </row>
        <row r="1951">
          <cell r="B1951" t="str">
            <v>Z400202</v>
          </cell>
          <cell r="C1951">
            <v>200109</v>
          </cell>
          <cell r="D1951">
            <v>200411</v>
          </cell>
          <cell r="E1951" t="str">
            <v>N</v>
          </cell>
          <cell r="F1951" t="str">
            <v>Account closed from period 200411</v>
          </cell>
          <cell r="G1951" t="str">
            <v/>
          </cell>
          <cell r="H1951" t="str">
            <v>B</v>
          </cell>
        </row>
        <row r="1952">
          <cell r="B1952" t="str">
            <v>Z400203</v>
          </cell>
          <cell r="C1952">
            <v>200109</v>
          </cell>
          <cell r="D1952">
            <v>200411</v>
          </cell>
          <cell r="E1952" t="str">
            <v>N</v>
          </cell>
          <cell r="F1952" t="str">
            <v>Account closed from period 200411</v>
          </cell>
          <cell r="G1952" t="str">
            <v/>
          </cell>
          <cell r="H1952" t="str">
            <v>B</v>
          </cell>
        </row>
        <row r="1953">
          <cell r="B1953" t="str">
            <v>Z400211</v>
          </cell>
          <cell r="C1953">
            <v>200109</v>
          </cell>
          <cell r="D1953">
            <v>200411</v>
          </cell>
          <cell r="E1953" t="str">
            <v>N</v>
          </cell>
          <cell r="F1953" t="str">
            <v>Account closed from period 200411</v>
          </cell>
          <cell r="G1953" t="str">
            <v/>
          </cell>
          <cell r="H1953" t="str">
            <v>B</v>
          </cell>
        </row>
        <row r="1954">
          <cell r="B1954" t="str">
            <v>Z400212</v>
          </cell>
          <cell r="C1954">
            <v>200109</v>
          </cell>
          <cell r="D1954">
            <v>200411</v>
          </cell>
          <cell r="E1954" t="str">
            <v>N</v>
          </cell>
          <cell r="F1954" t="str">
            <v>Account closed from period 200411</v>
          </cell>
          <cell r="G1954" t="str">
            <v/>
          </cell>
          <cell r="H1954" t="str">
            <v>B</v>
          </cell>
        </row>
        <row r="1955">
          <cell r="B1955" t="str">
            <v>Z400213</v>
          </cell>
          <cell r="C1955">
            <v>200109</v>
          </cell>
          <cell r="D1955">
            <v>200412</v>
          </cell>
          <cell r="E1955" t="str">
            <v>N</v>
          </cell>
          <cell r="F1955" t="str">
            <v>Account closed from period 200412</v>
          </cell>
          <cell r="G1955" t="str">
            <v/>
          </cell>
          <cell r="H1955" t="str">
            <v>B</v>
          </cell>
        </row>
        <row r="1956">
          <cell r="B1956" t="str">
            <v>Z400214</v>
          </cell>
          <cell r="C1956">
            <v>200109</v>
          </cell>
          <cell r="D1956">
            <v>200412</v>
          </cell>
          <cell r="E1956" t="str">
            <v>N</v>
          </cell>
          <cell r="F1956" t="str">
            <v>Account closed from period 200412</v>
          </cell>
          <cell r="G1956" t="str">
            <v/>
          </cell>
          <cell r="H1956" t="str">
            <v>B</v>
          </cell>
        </row>
        <row r="1957">
          <cell r="B1957" t="str">
            <v>Z400215</v>
          </cell>
          <cell r="C1957">
            <v>200109</v>
          </cell>
          <cell r="D1957">
            <v>200412</v>
          </cell>
          <cell r="E1957" t="str">
            <v>N</v>
          </cell>
          <cell r="F1957" t="str">
            <v>Account closed from period 200412</v>
          </cell>
          <cell r="G1957" t="str">
            <v/>
          </cell>
          <cell r="H1957" t="str">
            <v>B</v>
          </cell>
        </row>
        <row r="1958">
          <cell r="B1958" t="str">
            <v>Z400216</v>
          </cell>
          <cell r="C1958">
            <v>200109</v>
          </cell>
          <cell r="D1958">
            <v>200412</v>
          </cell>
          <cell r="E1958" t="str">
            <v>N</v>
          </cell>
          <cell r="F1958" t="str">
            <v>Account closed from period 200412</v>
          </cell>
          <cell r="G1958" t="str">
            <v/>
          </cell>
          <cell r="H1958" t="str">
            <v>B</v>
          </cell>
        </row>
        <row r="1959">
          <cell r="B1959" t="str">
            <v>Z400221</v>
          </cell>
          <cell r="C1959">
            <v>200109</v>
          </cell>
          <cell r="D1959">
            <v>200411</v>
          </cell>
          <cell r="E1959" t="str">
            <v>N</v>
          </cell>
          <cell r="F1959" t="str">
            <v>Account closed from period 200411</v>
          </cell>
          <cell r="G1959" t="str">
            <v/>
          </cell>
          <cell r="H1959" t="str">
            <v>B</v>
          </cell>
        </row>
        <row r="1960">
          <cell r="B1960" t="str">
            <v>Z400222</v>
          </cell>
          <cell r="C1960">
            <v>200109</v>
          </cell>
          <cell r="D1960">
            <v>200411</v>
          </cell>
          <cell r="E1960" t="str">
            <v>N</v>
          </cell>
          <cell r="F1960" t="str">
            <v>Account closed from period 200411</v>
          </cell>
          <cell r="G1960" t="str">
            <v/>
          </cell>
          <cell r="H1960" t="str">
            <v>B</v>
          </cell>
        </row>
        <row r="1961">
          <cell r="B1961" t="str">
            <v>Z400223</v>
          </cell>
          <cell r="C1961">
            <v>200109</v>
          </cell>
          <cell r="D1961">
            <v>200412</v>
          </cell>
          <cell r="E1961" t="str">
            <v>N</v>
          </cell>
          <cell r="F1961" t="str">
            <v>Account closed from period 200412</v>
          </cell>
          <cell r="G1961" t="str">
            <v/>
          </cell>
          <cell r="H1961" t="str">
            <v>B</v>
          </cell>
        </row>
        <row r="1962">
          <cell r="B1962" t="str">
            <v>Z400224</v>
          </cell>
          <cell r="C1962">
            <v>200109</v>
          </cell>
          <cell r="D1962">
            <v>200411</v>
          </cell>
          <cell r="E1962" t="str">
            <v>N</v>
          </cell>
          <cell r="F1962" t="str">
            <v>Account closed from period 200411</v>
          </cell>
          <cell r="G1962" t="str">
            <v/>
          </cell>
          <cell r="H1962" t="str">
            <v>B</v>
          </cell>
        </row>
        <row r="1963">
          <cell r="B1963" t="str">
            <v>Z400225</v>
          </cell>
          <cell r="C1963">
            <v>200109</v>
          </cell>
          <cell r="D1963">
            <v>200411</v>
          </cell>
          <cell r="E1963" t="str">
            <v>N</v>
          </cell>
          <cell r="F1963" t="str">
            <v>Account closed from period 200411</v>
          </cell>
          <cell r="G1963" t="str">
            <v/>
          </cell>
          <cell r="H1963" t="str">
            <v>B</v>
          </cell>
        </row>
        <row r="1964">
          <cell r="B1964" t="str">
            <v>Z400301</v>
          </cell>
          <cell r="C1964">
            <v>200109</v>
          </cell>
          <cell r="D1964">
            <v>200412</v>
          </cell>
          <cell r="E1964" t="str">
            <v>N</v>
          </cell>
          <cell r="F1964" t="str">
            <v>Account closed from period 200412</v>
          </cell>
          <cell r="G1964" t="str">
            <v/>
          </cell>
          <cell r="H1964" t="str">
            <v>B</v>
          </cell>
        </row>
        <row r="1965">
          <cell r="B1965" t="str">
            <v>Z400302</v>
          </cell>
          <cell r="C1965">
            <v>200109</v>
          </cell>
          <cell r="D1965">
            <v>200411</v>
          </cell>
          <cell r="E1965" t="str">
            <v>N</v>
          </cell>
          <cell r="F1965" t="str">
            <v>Account closed from period 200411</v>
          </cell>
          <cell r="G1965" t="str">
            <v/>
          </cell>
          <cell r="H1965" t="str">
            <v>B</v>
          </cell>
        </row>
        <row r="1966">
          <cell r="B1966" t="str">
            <v>Z400303</v>
          </cell>
          <cell r="C1966">
            <v>200109</v>
          </cell>
          <cell r="D1966">
            <v>200411</v>
          </cell>
          <cell r="E1966" t="str">
            <v>N</v>
          </cell>
          <cell r="F1966" t="str">
            <v>Account closed from period 200411</v>
          </cell>
          <cell r="G1966" t="str">
            <v/>
          </cell>
          <cell r="H1966" t="str">
            <v>B</v>
          </cell>
        </row>
        <row r="1967">
          <cell r="B1967" t="str">
            <v>Z400388</v>
          </cell>
          <cell r="C1967">
            <v>200109</v>
          </cell>
          <cell r="D1967">
            <v>200111</v>
          </cell>
          <cell r="E1967" t="str">
            <v>N</v>
          </cell>
          <cell r="F1967" t="str">
            <v>Account closed from period 200111</v>
          </cell>
          <cell r="G1967" t="str">
            <v/>
          </cell>
          <cell r="H1967" t="str">
            <v>B</v>
          </cell>
        </row>
        <row r="1968">
          <cell r="B1968" t="str">
            <v>Z400399</v>
          </cell>
          <cell r="C1968">
            <v>200109</v>
          </cell>
          <cell r="D1968">
            <v>200111</v>
          </cell>
          <cell r="E1968" t="str">
            <v>N</v>
          </cell>
          <cell r="F1968" t="str">
            <v>Account closed from period 200111</v>
          </cell>
          <cell r="G1968" t="str">
            <v/>
          </cell>
          <cell r="H1968" t="str">
            <v>B</v>
          </cell>
        </row>
        <row r="1969">
          <cell r="B1969" t="str">
            <v>Z400401</v>
          </cell>
          <cell r="C1969">
            <v>199900</v>
          </cell>
          <cell r="D1969">
            <v>209913</v>
          </cell>
          <cell r="E1969" t="str">
            <v>N</v>
          </cell>
          <cell r="F1969" t="str">
            <v/>
          </cell>
          <cell r="G1969" t="str">
            <v/>
          </cell>
          <cell r="H1969" t="str">
            <v>B</v>
          </cell>
        </row>
        <row r="1970">
          <cell r="B1970" t="str">
            <v>Z400402</v>
          </cell>
          <cell r="C1970">
            <v>199900</v>
          </cell>
          <cell r="D1970">
            <v>209913</v>
          </cell>
          <cell r="E1970" t="str">
            <v>N</v>
          </cell>
          <cell r="F1970" t="str">
            <v/>
          </cell>
          <cell r="G1970" t="str">
            <v/>
          </cell>
          <cell r="H1970" t="str">
            <v>B</v>
          </cell>
        </row>
        <row r="1971">
          <cell r="B1971" t="str">
            <v>Z400403</v>
          </cell>
          <cell r="C1971">
            <v>200109</v>
          </cell>
          <cell r="D1971">
            <v>200411</v>
          </cell>
          <cell r="E1971" t="str">
            <v>N</v>
          </cell>
          <cell r="F1971" t="str">
            <v>Account closed from period 200411</v>
          </cell>
          <cell r="G1971" t="str">
            <v/>
          </cell>
          <cell r="H1971" t="str">
            <v>B</v>
          </cell>
        </row>
        <row r="1972">
          <cell r="B1972" t="str">
            <v>Z400404</v>
          </cell>
          <cell r="C1972">
            <v>199900</v>
          </cell>
          <cell r="D1972">
            <v>209912</v>
          </cell>
          <cell r="E1972" t="str">
            <v>N</v>
          </cell>
          <cell r="F1972" t="str">
            <v/>
          </cell>
          <cell r="G1972" t="str">
            <v/>
          </cell>
          <cell r="H1972" t="str">
            <v>B</v>
          </cell>
        </row>
        <row r="1973">
          <cell r="B1973" t="str">
            <v>Z400405</v>
          </cell>
          <cell r="C1973">
            <v>200203</v>
          </cell>
          <cell r="D1973">
            <v>200411</v>
          </cell>
          <cell r="E1973" t="str">
            <v>N</v>
          </cell>
          <cell r="F1973" t="str">
            <v>Account closed from period 200411</v>
          </cell>
          <cell r="G1973" t="str">
            <v/>
          </cell>
          <cell r="H1973" t="str">
            <v>B</v>
          </cell>
        </row>
        <row r="1974">
          <cell r="B1974" t="str">
            <v>Z400500</v>
          </cell>
          <cell r="C1974">
            <v>200109</v>
          </cell>
          <cell r="D1974">
            <v>200411</v>
          </cell>
          <cell r="E1974" t="str">
            <v>N</v>
          </cell>
          <cell r="F1974" t="str">
            <v>Account closed from period 200411</v>
          </cell>
          <cell r="G1974" t="str">
            <v/>
          </cell>
          <cell r="H1974" t="str">
            <v>B</v>
          </cell>
        </row>
        <row r="1975">
          <cell r="B1975" t="str">
            <v>Z400575</v>
          </cell>
          <cell r="C1975">
            <v>200109</v>
          </cell>
          <cell r="D1975">
            <v>200411</v>
          </cell>
          <cell r="E1975" t="str">
            <v>N</v>
          </cell>
          <cell r="F1975" t="str">
            <v>Account closed from period 200411</v>
          </cell>
          <cell r="G1975" t="str">
            <v/>
          </cell>
          <cell r="H1975" t="str">
            <v>B</v>
          </cell>
        </row>
        <row r="1976">
          <cell r="B1976" t="str">
            <v>Z400597</v>
          </cell>
          <cell r="C1976">
            <v>200109</v>
          </cell>
          <cell r="D1976">
            <v>200111</v>
          </cell>
          <cell r="E1976" t="str">
            <v>N</v>
          </cell>
          <cell r="F1976" t="str">
            <v>Account closed from period 200111</v>
          </cell>
          <cell r="G1976" t="str">
            <v/>
          </cell>
          <cell r="H1976" t="str">
            <v>B</v>
          </cell>
        </row>
        <row r="1977">
          <cell r="B1977" t="str">
            <v>Z400598</v>
          </cell>
          <cell r="C1977">
            <v>200109</v>
          </cell>
          <cell r="D1977">
            <v>200111</v>
          </cell>
          <cell r="E1977" t="str">
            <v>N</v>
          </cell>
          <cell r="F1977" t="str">
            <v>Account closed from period 200111</v>
          </cell>
          <cell r="G1977" t="str">
            <v/>
          </cell>
          <cell r="H1977" t="str">
            <v>B</v>
          </cell>
        </row>
        <row r="1978">
          <cell r="B1978" t="str">
            <v>Z400599</v>
          </cell>
          <cell r="C1978">
            <v>200109</v>
          </cell>
          <cell r="D1978">
            <v>200411</v>
          </cell>
          <cell r="E1978" t="str">
            <v>N</v>
          </cell>
          <cell r="F1978" t="str">
            <v>Account closed from period 200411</v>
          </cell>
          <cell r="G1978" t="str">
            <v/>
          </cell>
          <cell r="H1978" t="str">
            <v>B</v>
          </cell>
        </row>
        <row r="1979">
          <cell r="B1979" t="str">
            <v>Z400601</v>
          </cell>
          <cell r="C1979">
            <v>200109</v>
          </cell>
          <cell r="D1979">
            <v>200412</v>
          </cell>
          <cell r="E1979" t="str">
            <v>N</v>
          </cell>
          <cell r="F1979" t="str">
            <v>Account closed from period 200412</v>
          </cell>
          <cell r="G1979" t="str">
            <v/>
          </cell>
          <cell r="H1979" t="str">
            <v>B</v>
          </cell>
        </row>
        <row r="1980">
          <cell r="B1980" t="str">
            <v>Z400602</v>
          </cell>
          <cell r="C1980">
            <v>200109</v>
          </cell>
          <cell r="D1980">
            <v>200412</v>
          </cell>
          <cell r="E1980" t="str">
            <v>N</v>
          </cell>
          <cell r="F1980" t="str">
            <v>Account closed from period 200412</v>
          </cell>
          <cell r="G1980" t="str">
            <v/>
          </cell>
          <cell r="H1980" t="str">
            <v>B</v>
          </cell>
        </row>
        <row r="1981">
          <cell r="B1981" t="str">
            <v>Z400603</v>
          </cell>
          <cell r="C1981">
            <v>200109</v>
          </cell>
          <cell r="D1981">
            <v>200412</v>
          </cell>
          <cell r="E1981" t="str">
            <v>N</v>
          </cell>
          <cell r="F1981" t="str">
            <v>Account closed from period 200412</v>
          </cell>
          <cell r="G1981" t="str">
            <v/>
          </cell>
          <cell r="H1981" t="str">
            <v>B</v>
          </cell>
        </row>
        <row r="1982">
          <cell r="B1982" t="str">
            <v>Z400701</v>
          </cell>
          <cell r="C1982">
            <v>200109</v>
          </cell>
          <cell r="D1982">
            <v>200111</v>
          </cell>
          <cell r="E1982" t="str">
            <v>C</v>
          </cell>
          <cell r="F1982" t="str">
            <v>Account status = Closed</v>
          </cell>
          <cell r="G1982" t="str">
            <v/>
          </cell>
          <cell r="H1982" t="str">
            <v>B</v>
          </cell>
        </row>
        <row r="1983">
          <cell r="B1983" t="str">
            <v>Z400801</v>
          </cell>
          <cell r="C1983">
            <v>200109</v>
          </cell>
          <cell r="D1983">
            <v>200111</v>
          </cell>
          <cell r="E1983" t="str">
            <v>N</v>
          </cell>
          <cell r="F1983" t="str">
            <v>Account closed from period 200111</v>
          </cell>
          <cell r="G1983" t="str">
            <v/>
          </cell>
          <cell r="H1983" t="str">
            <v>B</v>
          </cell>
        </row>
        <row r="1984">
          <cell r="B1984" t="str">
            <v>Z400897</v>
          </cell>
          <cell r="C1984">
            <v>200109</v>
          </cell>
          <cell r="D1984">
            <v>200411</v>
          </cell>
          <cell r="E1984" t="str">
            <v>N</v>
          </cell>
          <cell r="F1984" t="str">
            <v>Account closed from period 200411</v>
          </cell>
          <cell r="G1984" t="str">
            <v/>
          </cell>
          <cell r="H1984" t="str">
            <v>B</v>
          </cell>
        </row>
        <row r="1985">
          <cell r="B1985" t="str">
            <v>Z400898</v>
          </cell>
          <cell r="C1985">
            <v>200109</v>
          </cell>
          <cell r="D1985">
            <v>200411</v>
          </cell>
          <cell r="E1985" t="str">
            <v>N</v>
          </cell>
          <cell r="F1985" t="str">
            <v>Account closed from period 200411</v>
          </cell>
          <cell r="G1985" t="str">
            <v/>
          </cell>
          <cell r="H1985" t="str">
            <v>B</v>
          </cell>
        </row>
        <row r="1986">
          <cell r="B1986" t="str">
            <v>Z400899</v>
          </cell>
          <cell r="C1986">
            <v>200109</v>
          </cell>
          <cell r="D1986">
            <v>200412</v>
          </cell>
          <cell r="E1986" t="str">
            <v>N</v>
          </cell>
          <cell r="F1986" t="str">
            <v>Account closed from period 200412</v>
          </cell>
          <cell r="G1986" t="str">
            <v/>
          </cell>
          <cell r="H1986" t="str">
            <v>B</v>
          </cell>
        </row>
        <row r="1987">
          <cell r="B1987" t="str">
            <v>Z400997</v>
          </cell>
          <cell r="C1987">
            <v>200109</v>
          </cell>
          <cell r="D1987">
            <v>200411</v>
          </cell>
          <cell r="E1987" t="str">
            <v>N</v>
          </cell>
          <cell r="F1987" t="str">
            <v>Account closed from period 200411</v>
          </cell>
          <cell r="G1987" t="str">
            <v/>
          </cell>
          <cell r="H1987" t="str">
            <v>B</v>
          </cell>
        </row>
        <row r="1988">
          <cell r="B1988" t="str">
            <v>Z400998</v>
          </cell>
          <cell r="C1988">
            <v>200109</v>
          </cell>
          <cell r="D1988">
            <v>200412</v>
          </cell>
          <cell r="E1988" t="str">
            <v>N</v>
          </cell>
          <cell r="F1988" t="str">
            <v>Account closed from period 200412</v>
          </cell>
          <cell r="G1988" t="str">
            <v/>
          </cell>
          <cell r="H1988" t="str">
            <v>B</v>
          </cell>
        </row>
        <row r="1989">
          <cell r="B1989" t="str">
            <v>Z410101</v>
          </cell>
          <cell r="C1989">
            <v>200109</v>
          </cell>
          <cell r="D1989">
            <v>200111</v>
          </cell>
          <cell r="E1989" t="str">
            <v>N</v>
          </cell>
          <cell r="F1989" t="str">
            <v>Account closed from period 200111</v>
          </cell>
          <cell r="G1989" t="str">
            <v/>
          </cell>
          <cell r="H1989" t="str">
            <v>B</v>
          </cell>
        </row>
        <row r="1990">
          <cell r="B1990" t="str">
            <v>Z410106</v>
          </cell>
          <cell r="C1990">
            <v>200109</v>
          </cell>
          <cell r="D1990">
            <v>200411</v>
          </cell>
          <cell r="E1990" t="str">
            <v>N</v>
          </cell>
          <cell r="F1990" t="str">
            <v>Account closed from period 200411</v>
          </cell>
          <cell r="G1990" t="str">
            <v/>
          </cell>
          <cell r="H1990" t="str">
            <v>B</v>
          </cell>
        </row>
        <row r="1991">
          <cell r="B1991" t="str">
            <v>Z420101</v>
          </cell>
          <cell r="C1991">
            <v>200610</v>
          </cell>
          <cell r="D1991">
            <v>209913</v>
          </cell>
          <cell r="E1991" t="str">
            <v>N</v>
          </cell>
          <cell r="F1991" t="str">
            <v/>
          </cell>
          <cell r="G1991" t="str">
            <v/>
          </cell>
          <cell r="H1991" t="str">
            <v>B</v>
          </cell>
        </row>
        <row r="1992">
          <cell r="B1992" t="str">
            <v>Z430101</v>
          </cell>
          <cell r="C1992">
            <v>200109</v>
          </cell>
          <cell r="D1992">
            <v>209912</v>
          </cell>
          <cell r="E1992" t="str">
            <v>N</v>
          </cell>
          <cell r="F1992" t="str">
            <v/>
          </cell>
          <cell r="G1992" t="str">
            <v/>
          </cell>
          <cell r="H1992" t="str">
            <v>B</v>
          </cell>
        </row>
        <row r="1993">
          <cell r="B1993" t="str">
            <v>Z430102</v>
          </cell>
          <cell r="C1993">
            <v>200109</v>
          </cell>
          <cell r="D1993">
            <v>209912</v>
          </cell>
          <cell r="E1993" t="str">
            <v>N</v>
          </cell>
          <cell r="F1993" t="str">
            <v/>
          </cell>
          <cell r="G1993" t="str">
            <v/>
          </cell>
          <cell r="H1993" t="str">
            <v>B</v>
          </cell>
        </row>
        <row r="1994">
          <cell r="B1994" t="str">
            <v>Z450101</v>
          </cell>
          <cell r="C1994">
            <v>200109</v>
          </cell>
          <cell r="D1994">
            <v>200111</v>
          </cell>
          <cell r="E1994" t="str">
            <v>C</v>
          </cell>
          <cell r="F1994" t="str">
            <v>Account status = Closed</v>
          </cell>
          <cell r="G1994" t="str">
            <v/>
          </cell>
          <cell r="H1994" t="str">
            <v>B</v>
          </cell>
        </row>
        <row r="1995">
          <cell r="B1995" t="str">
            <v>Z450102</v>
          </cell>
          <cell r="C1995">
            <v>200109</v>
          </cell>
          <cell r="D1995">
            <v>200111</v>
          </cell>
          <cell r="E1995" t="str">
            <v>C</v>
          </cell>
          <cell r="F1995" t="str">
            <v>Account status = Closed</v>
          </cell>
          <cell r="G1995" t="str">
            <v/>
          </cell>
          <cell r="H1995" t="str">
            <v>B</v>
          </cell>
        </row>
        <row r="1996">
          <cell r="B1996" t="str">
            <v>Z460101</v>
          </cell>
          <cell r="C1996">
            <v>200109</v>
          </cell>
          <cell r="D1996">
            <v>209912</v>
          </cell>
          <cell r="E1996" t="str">
            <v>N</v>
          </cell>
          <cell r="F1996" t="str">
            <v/>
          </cell>
          <cell r="G1996" t="str">
            <v/>
          </cell>
          <cell r="H1996" t="str">
            <v>B</v>
          </cell>
        </row>
        <row r="1997">
          <cell r="B1997" t="str">
            <v>Z460102</v>
          </cell>
          <cell r="C1997">
            <v>200109</v>
          </cell>
          <cell r="D1997">
            <v>209912</v>
          </cell>
          <cell r="E1997" t="str">
            <v>N</v>
          </cell>
          <cell r="F1997" t="str">
            <v/>
          </cell>
          <cell r="G1997" t="str">
            <v/>
          </cell>
          <cell r="H1997" t="str">
            <v>B</v>
          </cell>
        </row>
        <row r="1998">
          <cell r="B1998" t="str">
            <v>Z460103</v>
          </cell>
          <cell r="C1998">
            <v>200109</v>
          </cell>
          <cell r="D1998">
            <v>209912</v>
          </cell>
          <cell r="E1998" t="str">
            <v>N</v>
          </cell>
          <cell r="F1998" t="str">
            <v/>
          </cell>
          <cell r="G1998" t="str">
            <v/>
          </cell>
          <cell r="H1998" t="str">
            <v>B</v>
          </cell>
        </row>
        <row r="1999">
          <cell r="B1999" t="str">
            <v>Z460104</v>
          </cell>
          <cell r="C1999">
            <v>200109</v>
          </cell>
          <cell r="D1999">
            <v>200213</v>
          </cell>
          <cell r="E1999" t="str">
            <v>N</v>
          </cell>
          <cell r="F1999" t="str">
            <v>Account closed from period 200213</v>
          </cell>
          <cell r="G1999" t="str">
            <v/>
          </cell>
          <cell r="H1999" t="str">
            <v>B</v>
          </cell>
        </row>
        <row r="2000">
          <cell r="B2000" t="str">
            <v>Z460105</v>
          </cell>
          <cell r="C2000">
            <v>200413</v>
          </cell>
          <cell r="D2000">
            <v>209912</v>
          </cell>
          <cell r="E2000" t="str">
            <v>N</v>
          </cell>
          <cell r="F2000" t="str">
            <v/>
          </cell>
          <cell r="G2000" t="str">
            <v/>
          </cell>
          <cell r="H2000" t="str">
            <v>B</v>
          </cell>
        </row>
        <row r="2001">
          <cell r="B2001" t="str">
            <v>Z460106</v>
          </cell>
          <cell r="C2001">
            <v>200900</v>
          </cell>
          <cell r="D2001">
            <v>209912</v>
          </cell>
          <cell r="E2001" t="str">
            <v>N</v>
          </cell>
          <cell r="F2001" t="str">
            <v/>
          </cell>
          <cell r="G2001" t="str">
            <v/>
          </cell>
          <cell r="H2001" t="str">
            <v>B</v>
          </cell>
        </row>
        <row r="2002">
          <cell r="B2002" t="str">
            <v>Z460107</v>
          </cell>
          <cell r="C2002">
            <v>201013</v>
          </cell>
          <cell r="D2002">
            <v>209912</v>
          </cell>
          <cell r="E2002" t="str">
            <v>N</v>
          </cell>
          <cell r="F2002" t="str">
            <v/>
          </cell>
          <cell r="G2002" t="str">
            <v/>
          </cell>
          <cell r="H2002" t="str">
            <v>B</v>
          </cell>
        </row>
        <row r="2003">
          <cell r="B2003" t="str">
            <v>Z470101</v>
          </cell>
          <cell r="C2003">
            <v>200610</v>
          </cell>
          <cell r="D2003">
            <v>209912</v>
          </cell>
          <cell r="E2003" t="str">
            <v>N</v>
          </cell>
          <cell r="F2003" t="str">
            <v/>
          </cell>
          <cell r="G2003" t="str">
            <v/>
          </cell>
          <cell r="H2003" t="str">
            <v>B</v>
          </cell>
        </row>
        <row r="2004">
          <cell r="B2004" t="str">
            <v>Z470102</v>
          </cell>
          <cell r="C2004">
            <v>199900</v>
          </cell>
          <cell r="D2004">
            <v>209912</v>
          </cell>
          <cell r="E2004" t="str">
            <v>N</v>
          </cell>
          <cell r="F2004" t="str">
            <v/>
          </cell>
          <cell r="G2004" t="str">
            <v/>
          </cell>
          <cell r="H2004" t="str">
            <v>B</v>
          </cell>
        </row>
        <row r="2005">
          <cell r="B2005" t="str">
            <v>Z500101</v>
          </cell>
          <cell r="C2005">
            <v>200112</v>
          </cell>
          <cell r="D2005">
            <v>200311</v>
          </cell>
          <cell r="E2005" t="str">
            <v>C</v>
          </cell>
          <cell r="F2005" t="str">
            <v>Account status = Closed</v>
          </cell>
          <cell r="G2005" t="str">
            <v/>
          </cell>
          <cell r="H2005" t="str">
            <v>B</v>
          </cell>
        </row>
        <row r="2006">
          <cell r="B2006" t="str">
            <v>Z500101</v>
          </cell>
          <cell r="C2006">
            <v>200312</v>
          </cell>
          <cell r="D2006">
            <v>200513</v>
          </cell>
          <cell r="E2006" t="str">
            <v>C</v>
          </cell>
          <cell r="F2006" t="str">
            <v>Account status = Closed</v>
          </cell>
          <cell r="G2006" t="str">
            <v/>
          </cell>
          <cell r="H2006" t="str">
            <v>B</v>
          </cell>
        </row>
        <row r="2007">
          <cell r="B2007" t="str">
            <v>Z500102</v>
          </cell>
          <cell r="C2007">
            <v>200109</v>
          </cell>
          <cell r="D2007">
            <v>200411</v>
          </cell>
          <cell r="E2007" t="str">
            <v>N</v>
          </cell>
          <cell r="F2007" t="str">
            <v>Account closed from period 200411</v>
          </cell>
          <cell r="G2007" t="str">
            <v/>
          </cell>
          <cell r="H2007" t="str">
            <v>B</v>
          </cell>
        </row>
        <row r="2008">
          <cell r="B2008" t="str">
            <v>Z500103</v>
          </cell>
          <cell r="C2008">
            <v>200312</v>
          </cell>
          <cell r="D2008">
            <v>200411</v>
          </cell>
          <cell r="E2008" t="str">
            <v>C</v>
          </cell>
          <cell r="F2008" t="str">
            <v>Account status = Closed</v>
          </cell>
          <cell r="G2008" t="str">
            <v/>
          </cell>
          <cell r="H2008" t="str">
            <v>B</v>
          </cell>
        </row>
        <row r="2009">
          <cell r="B2009" t="str">
            <v>Z500103</v>
          </cell>
          <cell r="C2009">
            <v>200112</v>
          </cell>
          <cell r="D2009">
            <v>200311</v>
          </cell>
          <cell r="E2009" t="str">
            <v>C</v>
          </cell>
          <cell r="F2009" t="str">
            <v>Account status = Closed</v>
          </cell>
          <cell r="G2009" t="str">
            <v/>
          </cell>
          <cell r="H2009" t="str">
            <v>B</v>
          </cell>
        </row>
        <row r="2010">
          <cell r="B2010" t="str">
            <v>Z500104</v>
          </cell>
          <cell r="C2010">
            <v>200109</v>
          </cell>
          <cell r="D2010">
            <v>200411</v>
          </cell>
          <cell r="E2010" t="str">
            <v>N</v>
          </cell>
          <cell r="F2010" t="str">
            <v>Account closed from period 200411</v>
          </cell>
          <cell r="G2010" t="str">
            <v/>
          </cell>
          <cell r="H2010" t="str">
            <v>B</v>
          </cell>
        </row>
        <row r="2011">
          <cell r="B2011" t="str">
            <v>Z500105</v>
          </cell>
          <cell r="C2011">
            <v>200109</v>
          </cell>
          <cell r="D2011">
            <v>200411</v>
          </cell>
          <cell r="E2011" t="str">
            <v>N</v>
          </cell>
          <cell r="F2011" t="str">
            <v>Account closed from period 200411</v>
          </cell>
          <cell r="G2011" t="str">
            <v/>
          </cell>
          <cell r="H2011" t="str">
            <v>B</v>
          </cell>
        </row>
        <row r="2012">
          <cell r="B2012" t="str">
            <v>Z500106</v>
          </cell>
          <cell r="C2012">
            <v>200109</v>
          </cell>
          <cell r="D2012">
            <v>200411</v>
          </cell>
          <cell r="E2012" t="str">
            <v>N</v>
          </cell>
          <cell r="F2012" t="str">
            <v>Account closed from period 200411</v>
          </cell>
          <cell r="G2012" t="str">
            <v/>
          </cell>
          <cell r="H2012" t="str">
            <v>B</v>
          </cell>
        </row>
        <row r="2013">
          <cell r="B2013" t="str">
            <v>Z500107</v>
          </cell>
          <cell r="C2013">
            <v>200213</v>
          </cell>
          <cell r="D2013">
            <v>200411</v>
          </cell>
          <cell r="E2013" t="str">
            <v>N</v>
          </cell>
          <cell r="F2013" t="str">
            <v>Account closed from period 200411</v>
          </cell>
          <cell r="G2013" t="str">
            <v/>
          </cell>
          <cell r="H2013" t="str">
            <v>B</v>
          </cell>
        </row>
        <row r="2014">
          <cell r="B2014" t="str">
            <v>Z500108</v>
          </cell>
          <cell r="C2014">
            <v>200109</v>
          </cell>
          <cell r="D2014">
            <v>200513</v>
          </cell>
          <cell r="E2014" t="str">
            <v>C</v>
          </cell>
          <cell r="F2014" t="str">
            <v>Account status = Closed</v>
          </cell>
          <cell r="G2014" t="str">
            <v/>
          </cell>
          <cell r="H2014" t="str">
            <v>B</v>
          </cell>
        </row>
        <row r="2015">
          <cell r="B2015" t="str">
            <v>Z500110</v>
          </cell>
          <cell r="C2015">
            <v>200109</v>
          </cell>
          <cell r="D2015">
            <v>200411</v>
          </cell>
          <cell r="E2015" t="str">
            <v>N</v>
          </cell>
          <cell r="F2015" t="str">
            <v>Account closed from period 200411</v>
          </cell>
          <cell r="G2015" t="str">
            <v/>
          </cell>
          <cell r="H2015" t="str">
            <v>B</v>
          </cell>
        </row>
        <row r="2016">
          <cell r="B2016" t="str">
            <v>Z500200</v>
          </cell>
          <cell r="C2016">
            <v>200109</v>
          </cell>
          <cell r="D2016">
            <v>200411</v>
          </cell>
          <cell r="E2016" t="str">
            <v>N</v>
          </cell>
          <cell r="F2016" t="str">
            <v>Account closed from period 200411</v>
          </cell>
          <cell r="G2016" t="str">
            <v/>
          </cell>
          <cell r="H2016" t="str">
            <v>B</v>
          </cell>
        </row>
        <row r="2017">
          <cell r="B2017" t="str">
            <v>Z500298</v>
          </cell>
          <cell r="C2017">
            <v>200109</v>
          </cell>
          <cell r="D2017">
            <v>200411</v>
          </cell>
          <cell r="E2017" t="str">
            <v>N</v>
          </cell>
          <cell r="F2017" t="str">
            <v>Account closed from period 200411</v>
          </cell>
          <cell r="G2017" t="str">
            <v/>
          </cell>
          <cell r="H2017" t="str">
            <v>B</v>
          </cell>
        </row>
        <row r="2018">
          <cell r="B2018" t="str">
            <v>Z500299</v>
          </cell>
          <cell r="C2018">
            <v>200109</v>
          </cell>
          <cell r="D2018">
            <v>200411</v>
          </cell>
          <cell r="E2018" t="str">
            <v>N</v>
          </cell>
          <cell r="F2018" t="str">
            <v>Account closed from period 200411</v>
          </cell>
          <cell r="G2018" t="str">
            <v/>
          </cell>
          <cell r="H2018" t="str">
            <v>B</v>
          </cell>
        </row>
        <row r="2019">
          <cell r="B2019" t="str">
            <v>Z500596</v>
          </cell>
          <cell r="C2019">
            <v>200109</v>
          </cell>
          <cell r="D2019">
            <v>200411</v>
          </cell>
          <cell r="E2019" t="str">
            <v>N</v>
          </cell>
          <cell r="F2019" t="str">
            <v>Account closed from period 200411</v>
          </cell>
          <cell r="G2019" t="str">
            <v/>
          </cell>
          <cell r="H2019" t="str">
            <v>B</v>
          </cell>
        </row>
        <row r="2020">
          <cell r="B2020" t="str">
            <v>Z500597</v>
          </cell>
          <cell r="C2020">
            <v>200109</v>
          </cell>
          <cell r="D2020">
            <v>200411</v>
          </cell>
          <cell r="E2020" t="str">
            <v>N</v>
          </cell>
          <cell r="F2020" t="str">
            <v>Account closed from period 200411</v>
          </cell>
          <cell r="G2020" t="str">
            <v/>
          </cell>
          <cell r="H2020" t="str">
            <v>B</v>
          </cell>
        </row>
        <row r="2021">
          <cell r="B2021" t="str">
            <v>Z500598</v>
          </cell>
          <cell r="C2021">
            <v>200109</v>
          </cell>
          <cell r="D2021">
            <v>200411</v>
          </cell>
          <cell r="E2021" t="str">
            <v>N</v>
          </cell>
          <cell r="F2021" t="str">
            <v>Account closed from period 200411</v>
          </cell>
          <cell r="G2021" t="str">
            <v/>
          </cell>
          <cell r="H2021" t="str">
            <v>B</v>
          </cell>
        </row>
        <row r="2022">
          <cell r="B2022" t="str">
            <v>Z500599</v>
          </cell>
          <cell r="C2022">
            <v>200109</v>
          </cell>
          <cell r="D2022">
            <v>200412</v>
          </cell>
          <cell r="E2022" t="str">
            <v>N</v>
          </cell>
          <cell r="F2022" t="str">
            <v>Account closed from period 200412</v>
          </cell>
          <cell r="G2022" t="str">
            <v/>
          </cell>
          <cell r="H2022" t="str">
            <v>B</v>
          </cell>
        </row>
        <row r="2023">
          <cell r="B2023" t="str">
            <v>Z500899</v>
          </cell>
          <cell r="C2023">
            <v>200109</v>
          </cell>
          <cell r="D2023">
            <v>200411</v>
          </cell>
          <cell r="E2023" t="str">
            <v>N</v>
          </cell>
          <cell r="F2023" t="str">
            <v>Account closed from period 200411</v>
          </cell>
          <cell r="G2023" t="str">
            <v/>
          </cell>
          <cell r="H2023" t="str">
            <v>B</v>
          </cell>
        </row>
        <row r="2024">
          <cell r="B2024" t="str">
            <v>Z501001</v>
          </cell>
          <cell r="C2024">
            <v>200112</v>
          </cell>
          <cell r="D2024">
            <v>200411</v>
          </cell>
          <cell r="E2024" t="str">
            <v>C</v>
          </cell>
          <cell r="F2024" t="str">
            <v>Account status = Closed</v>
          </cell>
          <cell r="G2024" t="str">
            <v/>
          </cell>
          <cell r="H2024" t="str">
            <v>B</v>
          </cell>
        </row>
        <row r="2025">
          <cell r="B2025" t="str">
            <v>Z501002</v>
          </cell>
          <cell r="C2025">
            <v>200109</v>
          </cell>
          <cell r="D2025">
            <v>200411</v>
          </cell>
          <cell r="E2025" t="str">
            <v>N</v>
          </cell>
          <cell r="F2025" t="str">
            <v>Account closed from period 200411</v>
          </cell>
          <cell r="G2025" t="str">
            <v/>
          </cell>
          <cell r="H2025" t="str">
            <v>B</v>
          </cell>
        </row>
        <row r="2026">
          <cell r="B2026" t="str">
            <v>Z520101</v>
          </cell>
          <cell r="C2026">
            <v>200112</v>
          </cell>
          <cell r="D2026">
            <v>200412</v>
          </cell>
          <cell r="E2026" t="str">
            <v>C</v>
          </cell>
          <cell r="F2026" t="str">
            <v>Account status = Closed</v>
          </cell>
          <cell r="G2026" t="str">
            <v/>
          </cell>
          <cell r="H2026" t="str">
            <v>B</v>
          </cell>
        </row>
        <row r="2027">
          <cell r="B2027" t="str">
            <v>Z520106</v>
          </cell>
          <cell r="C2027">
            <v>200109</v>
          </cell>
          <cell r="D2027">
            <v>200411</v>
          </cell>
          <cell r="E2027" t="str">
            <v>N</v>
          </cell>
          <cell r="F2027" t="str">
            <v>Account closed from period 200411</v>
          </cell>
          <cell r="G2027" t="str">
            <v/>
          </cell>
          <cell r="H2027" t="str">
            <v>B</v>
          </cell>
        </row>
        <row r="2028">
          <cell r="B2028" t="str">
            <v>Z520107</v>
          </cell>
          <cell r="C2028">
            <v>200109</v>
          </cell>
          <cell r="D2028">
            <v>200411</v>
          </cell>
          <cell r="E2028" t="str">
            <v>N</v>
          </cell>
          <cell r="F2028" t="str">
            <v>Account closed from period 200411</v>
          </cell>
          <cell r="G2028" t="str">
            <v/>
          </cell>
          <cell r="H2028" t="str">
            <v>B</v>
          </cell>
        </row>
        <row r="2029">
          <cell r="B2029" t="str">
            <v>Z520108</v>
          </cell>
          <cell r="C2029">
            <v>200109</v>
          </cell>
          <cell r="D2029">
            <v>200411</v>
          </cell>
          <cell r="E2029" t="str">
            <v>N</v>
          </cell>
          <cell r="F2029" t="str">
            <v>Account closed from period 200411</v>
          </cell>
          <cell r="G2029" t="str">
            <v/>
          </cell>
          <cell r="H2029" t="str">
            <v>B</v>
          </cell>
        </row>
        <row r="2030">
          <cell r="B2030" t="str">
            <v>Z520109</v>
          </cell>
          <cell r="C2030">
            <v>200109</v>
          </cell>
          <cell r="D2030">
            <v>200411</v>
          </cell>
          <cell r="E2030" t="str">
            <v>N</v>
          </cell>
          <cell r="F2030" t="str">
            <v>Account closed from period 200411</v>
          </cell>
          <cell r="G2030" t="str">
            <v/>
          </cell>
          <cell r="H2030" t="str">
            <v>B</v>
          </cell>
        </row>
        <row r="2031">
          <cell r="B2031" t="str">
            <v>Z520110</v>
          </cell>
          <cell r="C2031">
            <v>200109</v>
          </cell>
          <cell r="D2031">
            <v>200412</v>
          </cell>
          <cell r="E2031" t="str">
            <v>N</v>
          </cell>
          <cell r="F2031" t="str">
            <v>Account closed from period 200412</v>
          </cell>
          <cell r="G2031" t="str">
            <v/>
          </cell>
          <cell r="H2031" t="str">
            <v>B</v>
          </cell>
        </row>
        <row r="2032">
          <cell r="B2032" t="str">
            <v>Z520111</v>
          </cell>
          <cell r="C2032">
            <v>200109</v>
          </cell>
          <cell r="D2032">
            <v>200411</v>
          </cell>
          <cell r="E2032" t="str">
            <v>N</v>
          </cell>
          <cell r="F2032" t="str">
            <v>Account closed from period 200411</v>
          </cell>
          <cell r="G2032" t="str">
            <v/>
          </cell>
          <cell r="H2032" t="str">
            <v>B</v>
          </cell>
        </row>
        <row r="2033">
          <cell r="B2033" t="str">
            <v>Z520112</v>
          </cell>
          <cell r="C2033">
            <v>200109</v>
          </cell>
          <cell r="D2033">
            <v>200411</v>
          </cell>
          <cell r="E2033" t="str">
            <v>N</v>
          </cell>
          <cell r="F2033" t="str">
            <v>Account closed from period 200411</v>
          </cell>
          <cell r="G2033" t="str">
            <v/>
          </cell>
          <cell r="H2033" t="str">
            <v>B</v>
          </cell>
        </row>
        <row r="2034">
          <cell r="B2034" t="str">
            <v>Z520201</v>
          </cell>
          <cell r="C2034">
            <v>200109</v>
          </cell>
          <cell r="D2034">
            <v>200411</v>
          </cell>
          <cell r="E2034" t="str">
            <v>N</v>
          </cell>
          <cell r="F2034" t="str">
            <v>Account closed from period 200411</v>
          </cell>
          <cell r="G2034" t="str">
            <v/>
          </cell>
          <cell r="H2034" t="str">
            <v>B</v>
          </cell>
        </row>
        <row r="2035">
          <cell r="B2035" t="str">
            <v>Z520202</v>
          </cell>
          <cell r="C2035">
            <v>200109</v>
          </cell>
          <cell r="D2035">
            <v>200411</v>
          </cell>
          <cell r="E2035" t="str">
            <v>N</v>
          </cell>
          <cell r="F2035" t="str">
            <v>Account closed from period 200411</v>
          </cell>
          <cell r="G2035" t="str">
            <v/>
          </cell>
          <cell r="H2035" t="str">
            <v>B</v>
          </cell>
        </row>
        <row r="2036">
          <cell r="B2036" t="str">
            <v>Z520203</v>
          </cell>
          <cell r="C2036">
            <v>200109</v>
          </cell>
          <cell r="D2036">
            <v>200411</v>
          </cell>
          <cell r="E2036" t="str">
            <v>N</v>
          </cell>
          <cell r="F2036" t="str">
            <v>Account closed from period 200411</v>
          </cell>
          <cell r="G2036" t="str">
            <v/>
          </cell>
          <cell r="H2036" t="str">
            <v>B</v>
          </cell>
        </row>
        <row r="2037">
          <cell r="B2037" t="str">
            <v>Z520204</v>
          </cell>
          <cell r="C2037">
            <v>200109</v>
          </cell>
          <cell r="D2037">
            <v>200411</v>
          </cell>
          <cell r="E2037" t="str">
            <v>N</v>
          </cell>
          <cell r="F2037" t="str">
            <v>Account closed from period 200411</v>
          </cell>
          <cell r="G2037" t="str">
            <v/>
          </cell>
          <cell r="H2037" t="str">
            <v>B</v>
          </cell>
        </row>
        <row r="2038">
          <cell r="B2038" t="str">
            <v>Z520205</v>
          </cell>
          <cell r="C2038">
            <v>200109</v>
          </cell>
          <cell r="D2038">
            <v>200411</v>
          </cell>
          <cell r="E2038" t="str">
            <v>N</v>
          </cell>
          <cell r="F2038" t="str">
            <v>Account closed from period 200411</v>
          </cell>
          <cell r="G2038" t="str">
            <v/>
          </cell>
          <cell r="H2038" t="str">
            <v>B</v>
          </cell>
        </row>
        <row r="2039">
          <cell r="B2039" t="str">
            <v>Z520206</v>
          </cell>
          <cell r="C2039">
            <v>200109</v>
          </cell>
          <cell r="D2039">
            <v>200411</v>
          </cell>
          <cell r="E2039" t="str">
            <v>N</v>
          </cell>
          <cell r="F2039" t="str">
            <v>Account closed from period 200411</v>
          </cell>
          <cell r="G2039" t="str">
            <v/>
          </cell>
          <cell r="H2039" t="str">
            <v>B</v>
          </cell>
        </row>
        <row r="2040">
          <cell r="B2040" t="str">
            <v>Z520207</v>
          </cell>
          <cell r="C2040">
            <v>200109</v>
          </cell>
          <cell r="D2040">
            <v>200411</v>
          </cell>
          <cell r="E2040" t="str">
            <v>N</v>
          </cell>
          <cell r="F2040" t="str">
            <v>Account closed from period 200411</v>
          </cell>
          <cell r="G2040" t="str">
            <v/>
          </cell>
          <cell r="H2040" t="str">
            <v>B</v>
          </cell>
        </row>
        <row r="2041">
          <cell r="B2041" t="str">
            <v>Z520301</v>
          </cell>
          <cell r="C2041">
            <v>200109</v>
          </cell>
          <cell r="D2041">
            <v>200412</v>
          </cell>
          <cell r="E2041" t="str">
            <v>N</v>
          </cell>
          <cell r="F2041" t="str">
            <v>Account closed from period 200412</v>
          </cell>
          <cell r="G2041" t="str">
            <v/>
          </cell>
          <cell r="H2041" t="str">
            <v>B</v>
          </cell>
        </row>
        <row r="2042">
          <cell r="B2042" t="str">
            <v>Z520302</v>
          </cell>
          <cell r="C2042">
            <v>200109</v>
          </cell>
          <cell r="D2042">
            <v>200412</v>
          </cell>
          <cell r="E2042" t="str">
            <v>N</v>
          </cell>
          <cell r="F2042" t="str">
            <v>Account closed from period 200412</v>
          </cell>
          <cell r="G2042" t="str">
            <v/>
          </cell>
          <cell r="H2042" t="str">
            <v>B</v>
          </cell>
        </row>
        <row r="2043">
          <cell r="B2043" t="str">
            <v>Z520303</v>
          </cell>
          <cell r="C2043">
            <v>200113</v>
          </cell>
          <cell r="D2043">
            <v>200412</v>
          </cell>
          <cell r="E2043" t="str">
            <v>N</v>
          </cell>
          <cell r="F2043" t="str">
            <v>Account closed from period 200412</v>
          </cell>
          <cell r="G2043" t="str">
            <v/>
          </cell>
          <cell r="H2043" t="str">
            <v>B</v>
          </cell>
        </row>
        <row r="2044">
          <cell r="B2044" t="str">
            <v>Z520304</v>
          </cell>
          <cell r="C2044">
            <v>200113</v>
          </cell>
          <cell r="D2044">
            <v>200412</v>
          </cell>
          <cell r="E2044" t="str">
            <v>N</v>
          </cell>
          <cell r="F2044" t="str">
            <v>Account closed from period 200412</v>
          </cell>
          <cell r="G2044" t="str">
            <v/>
          </cell>
          <cell r="H2044" t="str">
            <v>B</v>
          </cell>
        </row>
        <row r="2045">
          <cell r="B2045" t="str">
            <v>Z530101</v>
          </cell>
          <cell r="C2045">
            <v>200109</v>
          </cell>
          <cell r="D2045">
            <v>200412</v>
          </cell>
          <cell r="E2045" t="str">
            <v>N</v>
          </cell>
          <cell r="F2045" t="str">
            <v>Account closed from period 200412</v>
          </cell>
          <cell r="G2045" t="str">
            <v/>
          </cell>
          <cell r="H2045" t="str">
            <v>B</v>
          </cell>
        </row>
        <row r="2046">
          <cell r="B2046" t="str">
            <v>Z530103</v>
          </cell>
          <cell r="C2046">
            <v>200109</v>
          </cell>
          <cell r="D2046">
            <v>200412</v>
          </cell>
          <cell r="E2046" t="str">
            <v>N</v>
          </cell>
          <cell r="F2046" t="str">
            <v>Account closed from period 200412</v>
          </cell>
          <cell r="G2046" t="str">
            <v/>
          </cell>
          <cell r="H2046" t="str">
            <v>B</v>
          </cell>
        </row>
        <row r="2047">
          <cell r="B2047" t="str">
            <v>Z530104</v>
          </cell>
          <cell r="C2047">
            <v>200109</v>
          </cell>
          <cell r="D2047">
            <v>200412</v>
          </cell>
          <cell r="E2047" t="str">
            <v>N</v>
          </cell>
          <cell r="F2047" t="str">
            <v>Account closed from period 200412</v>
          </cell>
          <cell r="G2047" t="str">
            <v/>
          </cell>
          <cell r="H2047" t="str">
            <v>B</v>
          </cell>
        </row>
        <row r="2048">
          <cell r="B2048" t="str">
            <v>Z530105</v>
          </cell>
          <cell r="C2048">
            <v>200109</v>
          </cell>
          <cell r="D2048">
            <v>200411</v>
          </cell>
          <cell r="E2048" t="str">
            <v>N</v>
          </cell>
          <cell r="F2048" t="str">
            <v>Account closed from period 200411</v>
          </cell>
          <cell r="G2048" t="str">
            <v/>
          </cell>
          <cell r="H2048" t="str">
            <v>B</v>
          </cell>
        </row>
        <row r="2049">
          <cell r="B2049" t="str">
            <v>Z600101</v>
          </cell>
          <cell r="C2049">
            <v>200109</v>
          </cell>
          <cell r="D2049">
            <v>209912</v>
          </cell>
          <cell r="E2049" t="str">
            <v>N</v>
          </cell>
          <cell r="F2049" t="str">
            <v/>
          </cell>
          <cell r="G2049" t="str">
            <v/>
          </cell>
          <cell r="H2049" t="str">
            <v>B</v>
          </cell>
        </row>
        <row r="2050">
          <cell r="B2050" t="str">
            <v>Z600102</v>
          </cell>
          <cell r="C2050">
            <v>200109</v>
          </cell>
          <cell r="D2050">
            <v>209912</v>
          </cell>
          <cell r="E2050" t="str">
            <v>N</v>
          </cell>
          <cell r="F2050" t="str">
            <v/>
          </cell>
          <cell r="G2050" t="str">
            <v/>
          </cell>
          <cell r="H2050" t="str">
            <v>B</v>
          </cell>
        </row>
        <row r="2051">
          <cell r="B2051" t="str">
            <v>Z600103</v>
          </cell>
          <cell r="C2051">
            <v>200109</v>
          </cell>
          <cell r="D2051">
            <v>209912</v>
          </cell>
          <cell r="E2051" t="str">
            <v>N</v>
          </cell>
          <cell r="F2051" t="str">
            <v/>
          </cell>
          <cell r="G2051" t="str">
            <v/>
          </cell>
          <cell r="H2051" t="str">
            <v>B</v>
          </cell>
        </row>
        <row r="2052">
          <cell r="B2052" t="str">
            <v>Z600201</v>
          </cell>
          <cell r="C2052">
            <v>200109</v>
          </cell>
          <cell r="D2052">
            <v>209912</v>
          </cell>
          <cell r="E2052" t="str">
            <v>N</v>
          </cell>
          <cell r="F2052" t="str">
            <v/>
          </cell>
          <cell r="G2052" t="str">
            <v/>
          </cell>
          <cell r="H2052" t="str">
            <v>B</v>
          </cell>
        </row>
        <row r="2053">
          <cell r="B2053" t="str">
            <v>Z600202</v>
          </cell>
          <cell r="C2053">
            <v>200109</v>
          </cell>
          <cell r="D2053">
            <v>209912</v>
          </cell>
          <cell r="E2053" t="str">
            <v>N</v>
          </cell>
          <cell r="F2053" t="str">
            <v/>
          </cell>
          <cell r="G2053" t="str">
            <v/>
          </cell>
          <cell r="H2053" t="str">
            <v>B</v>
          </cell>
        </row>
        <row r="2054">
          <cell r="B2054" t="str">
            <v>Z600301</v>
          </cell>
          <cell r="C2054">
            <v>200109</v>
          </cell>
          <cell r="D2054">
            <v>209912</v>
          </cell>
          <cell r="E2054" t="str">
            <v>N</v>
          </cell>
          <cell r="F2054" t="str">
            <v/>
          </cell>
          <cell r="G2054" t="str">
            <v/>
          </cell>
          <cell r="H2054" t="str">
            <v>B</v>
          </cell>
        </row>
        <row r="2055">
          <cell r="B2055" t="str">
            <v>Z600302</v>
          </cell>
          <cell r="C2055">
            <v>200109</v>
          </cell>
          <cell r="D2055">
            <v>209912</v>
          </cell>
          <cell r="E2055" t="str">
            <v>N</v>
          </cell>
          <cell r="F2055" t="str">
            <v/>
          </cell>
          <cell r="G2055" t="str">
            <v/>
          </cell>
          <cell r="H2055" t="str">
            <v>B</v>
          </cell>
        </row>
        <row r="2056">
          <cell r="B2056" t="str">
            <v>Z610101</v>
          </cell>
          <cell r="C2056">
            <v>200109</v>
          </cell>
          <cell r="D2056">
            <v>200412</v>
          </cell>
          <cell r="E2056" t="str">
            <v>N</v>
          </cell>
          <cell r="F2056" t="str">
            <v>Account closed from period 200412</v>
          </cell>
          <cell r="G2056" t="str">
            <v/>
          </cell>
          <cell r="H2056" t="str">
            <v>B</v>
          </cell>
        </row>
        <row r="2057">
          <cell r="B2057" t="str">
            <v>Z610102</v>
          </cell>
          <cell r="C2057">
            <v>200109</v>
          </cell>
          <cell r="D2057">
            <v>200412</v>
          </cell>
          <cell r="E2057" t="str">
            <v>N</v>
          </cell>
          <cell r="F2057" t="str">
            <v>Account closed from period 200412</v>
          </cell>
          <cell r="G2057" t="str">
            <v/>
          </cell>
          <cell r="H2057" t="str">
            <v>B</v>
          </cell>
        </row>
        <row r="2058">
          <cell r="B2058" t="str">
            <v>Z610103</v>
          </cell>
          <cell r="C2058">
            <v>200109</v>
          </cell>
          <cell r="D2058">
            <v>200412</v>
          </cell>
          <cell r="E2058" t="str">
            <v>N</v>
          </cell>
          <cell r="F2058" t="str">
            <v>Account closed from period 200412</v>
          </cell>
          <cell r="G2058" t="str">
            <v/>
          </cell>
          <cell r="H2058" t="str">
            <v>B</v>
          </cell>
        </row>
        <row r="2059">
          <cell r="B2059" t="str">
            <v>Z610104</v>
          </cell>
          <cell r="C2059">
            <v>200109</v>
          </cell>
          <cell r="D2059">
            <v>200412</v>
          </cell>
          <cell r="E2059" t="str">
            <v>N</v>
          </cell>
          <cell r="F2059" t="str">
            <v>Account closed from period 200412</v>
          </cell>
          <cell r="G2059" t="str">
            <v/>
          </cell>
          <cell r="H2059" t="str">
            <v>B</v>
          </cell>
        </row>
        <row r="2060">
          <cell r="B2060" t="str">
            <v>Z610105</v>
          </cell>
          <cell r="C2060">
            <v>200109</v>
          </cell>
          <cell r="D2060">
            <v>200412</v>
          </cell>
          <cell r="E2060" t="str">
            <v>N</v>
          </cell>
          <cell r="F2060" t="str">
            <v>Account closed from period 200412</v>
          </cell>
          <cell r="G2060" t="str">
            <v/>
          </cell>
          <cell r="H2060" t="str">
            <v>B</v>
          </cell>
        </row>
        <row r="2061">
          <cell r="B2061" t="str">
            <v>Z610106</v>
          </cell>
          <cell r="C2061">
            <v>200109</v>
          </cell>
          <cell r="D2061">
            <v>200412</v>
          </cell>
          <cell r="E2061" t="str">
            <v>N</v>
          </cell>
          <cell r="F2061" t="str">
            <v>Account closed from period 200412</v>
          </cell>
          <cell r="G2061" t="str">
            <v/>
          </cell>
          <cell r="H2061" t="str">
            <v>B</v>
          </cell>
        </row>
        <row r="2062">
          <cell r="B2062" t="str">
            <v>Z610107</v>
          </cell>
          <cell r="C2062">
            <v>200413</v>
          </cell>
          <cell r="D2062">
            <v>200501</v>
          </cell>
          <cell r="E2062" t="str">
            <v>N</v>
          </cell>
          <cell r="F2062" t="str">
            <v>Account closed from period 200501</v>
          </cell>
          <cell r="G2062" t="str">
            <v/>
          </cell>
          <cell r="H2062" t="str">
            <v>B</v>
          </cell>
        </row>
        <row r="2063">
          <cell r="B2063" t="str">
            <v>Z610201</v>
          </cell>
          <cell r="C2063">
            <v>200109</v>
          </cell>
          <cell r="D2063">
            <v>200412</v>
          </cell>
          <cell r="E2063" t="str">
            <v>N</v>
          </cell>
          <cell r="F2063" t="str">
            <v>Account closed from period 200412</v>
          </cell>
          <cell r="G2063" t="str">
            <v/>
          </cell>
          <cell r="H2063" t="str">
            <v>B</v>
          </cell>
        </row>
        <row r="2064">
          <cell r="B2064" t="str">
            <v>Z610202</v>
          </cell>
          <cell r="C2064">
            <v>200109</v>
          </cell>
          <cell r="D2064">
            <v>200412</v>
          </cell>
          <cell r="E2064" t="str">
            <v>N</v>
          </cell>
          <cell r="F2064" t="str">
            <v>Account closed from period 200412</v>
          </cell>
          <cell r="G2064" t="str">
            <v/>
          </cell>
          <cell r="H2064" t="str">
            <v>B</v>
          </cell>
        </row>
        <row r="2065">
          <cell r="B2065" t="str">
            <v>Z610301</v>
          </cell>
          <cell r="C2065">
            <v>200109</v>
          </cell>
          <cell r="D2065">
            <v>200412</v>
          </cell>
          <cell r="E2065" t="str">
            <v>N</v>
          </cell>
          <cell r="F2065" t="str">
            <v>Account closed from period 200412</v>
          </cell>
          <cell r="G2065" t="str">
            <v/>
          </cell>
          <cell r="H2065" t="str">
            <v>B</v>
          </cell>
        </row>
        <row r="2066">
          <cell r="B2066" t="str">
            <v>Z610302</v>
          </cell>
          <cell r="C2066">
            <v>200109</v>
          </cell>
          <cell r="D2066">
            <v>200412</v>
          </cell>
          <cell r="E2066" t="str">
            <v>N</v>
          </cell>
          <cell r="F2066" t="str">
            <v>Account closed from period 200412</v>
          </cell>
          <cell r="G2066" t="str">
            <v/>
          </cell>
          <cell r="H2066" t="str">
            <v>B</v>
          </cell>
        </row>
        <row r="2067">
          <cell r="B2067" t="str">
            <v>Z610303</v>
          </cell>
          <cell r="C2067">
            <v>200109</v>
          </cell>
          <cell r="D2067">
            <v>200412</v>
          </cell>
          <cell r="E2067" t="str">
            <v>N</v>
          </cell>
          <cell r="F2067" t="str">
            <v>Account closed from period 200412</v>
          </cell>
          <cell r="G2067" t="str">
            <v/>
          </cell>
          <cell r="H2067" t="str">
            <v>B</v>
          </cell>
        </row>
        <row r="2068">
          <cell r="B2068" t="str">
            <v>Z620101</v>
          </cell>
          <cell r="C2068">
            <v>200109</v>
          </cell>
          <cell r="D2068">
            <v>200513</v>
          </cell>
          <cell r="E2068" t="str">
            <v>C</v>
          </cell>
          <cell r="F2068" t="str">
            <v>Account status = Closed</v>
          </cell>
          <cell r="G2068" t="str">
            <v/>
          </cell>
          <cell r="H2068" t="str">
            <v>B</v>
          </cell>
        </row>
        <row r="2069">
          <cell r="B2069" t="str">
            <v>Z620102</v>
          </cell>
          <cell r="C2069">
            <v>200109</v>
          </cell>
          <cell r="D2069">
            <v>209912</v>
          </cell>
          <cell r="E2069" t="str">
            <v>N</v>
          </cell>
          <cell r="F2069" t="str">
            <v/>
          </cell>
          <cell r="G2069" t="str">
            <v/>
          </cell>
          <cell r="H2069" t="str">
            <v>B</v>
          </cell>
        </row>
        <row r="2070">
          <cell r="B2070" t="str">
            <v>Z620103</v>
          </cell>
          <cell r="C2070">
            <v>200109</v>
          </cell>
          <cell r="D2070">
            <v>209912</v>
          </cell>
          <cell r="E2070" t="str">
            <v>N</v>
          </cell>
          <cell r="F2070" t="str">
            <v/>
          </cell>
          <cell r="G2070" t="str">
            <v/>
          </cell>
          <cell r="H2070" t="str">
            <v>B</v>
          </cell>
        </row>
        <row r="2071">
          <cell r="B2071" t="str">
            <v>Z620104</v>
          </cell>
          <cell r="C2071">
            <v>200109</v>
          </cell>
          <cell r="D2071">
            <v>200513</v>
          </cell>
          <cell r="E2071" t="str">
            <v>C</v>
          </cell>
          <cell r="F2071" t="str">
            <v>Account status = Closed</v>
          </cell>
          <cell r="G2071" t="str">
            <v/>
          </cell>
          <cell r="H2071" t="str">
            <v>B</v>
          </cell>
        </row>
        <row r="2072">
          <cell r="B2072" t="str">
            <v>Z620105</v>
          </cell>
          <cell r="C2072">
            <v>200109</v>
          </cell>
          <cell r="D2072">
            <v>209912</v>
          </cell>
          <cell r="E2072" t="str">
            <v>N</v>
          </cell>
          <cell r="F2072" t="str">
            <v/>
          </cell>
          <cell r="G2072" t="str">
            <v/>
          </cell>
          <cell r="H2072" t="str">
            <v>B</v>
          </cell>
        </row>
        <row r="2073">
          <cell r="B2073" t="str">
            <v>Z620106</v>
          </cell>
          <cell r="C2073">
            <v>200112</v>
          </cell>
          <cell r="D2073">
            <v>209912</v>
          </cell>
          <cell r="E2073" t="str">
            <v>N</v>
          </cell>
          <cell r="F2073" t="str">
            <v/>
          </cell>
          <cell r="G2073" t="str">
            <v/>
          </cell>
          <cell r="H2073" t="str">
            <v>B</v>
          </cell>
        </row>
        <row r="2074">
          <cell r="B2074" t="str">
            <v>Z620107</v>
          </cell>
          <cell r="C2074">
            <v>200313</v>
          </cell>
          <cell r="D2074">
            <v>209912</v>
          </cell>
          <cell r="E2074" t="str">
            <v>N</v>
          </cell>
          <cell r="F2074" t="str">
            <v/>
          </cell>
          <cell r="G2074" t="str">
            <v/>
          </cell>
          <cell r="H2074" t="str">
            <v>B</v>
          </cell>
        </row>
        <row r="2075">
          <cell r="B2075" t="str">
            <v>Z620108</v>
          </cell>
          <cell r="C2075">
            <v>200313</v>
          </cell>
          <cell r="D2075">
            <v>209912</v>
          </cell>
          <cell r="E2075" t="str">
            <v>N</v>
          </cell>
          <cell r="F2075" t="str">
            <v/>
          </cell>
          <cell r="G2075" t="str">
            <v/>
          </cell>
          <cell r="H2075" t="str">
            <v>B</v>
          </cell>
        </row>
        <row r="2076">
          <cell r="B2076" t="str">
            <v>Z620109</v>
          </cell>
          <cell r="C2076">
            <v>200513</v>
          </cell>
          <cell r="D2076">
            <v>209912</v>
          </cell>
          <cell r="E2076" t="str">
            <v>N</v>
          </cell>
          <cell r="F2076" t="str">
            <v/>
          </cell>
          <cell r="G2076" t="str">
            <v/>
          </cell>
          <cell r="H2076" t="str">
            <v>B</v>
          </cell>
        </row>
        <row r="2077">
          <cell r="B2077" t="str">
            <v>Z620110</v>
          </cell>
          <cell r="C2077">
            <v>200613</v>
          </cell>
          <cell r="D2077">
            <v>209912</v>
          </cell>
          <cell r="E2077" t="str">
            <v>N</v>
          </cell>
          <cell r="F2077" t="str">
            <v/>
          </cell>
          <cell r="G2077" t="str">
            <v/>
          </cell>
          <cell r="H2077" t="str">
            <v>B</v>
          </cell>
        </row>
        <row r="2078">
          <cell r="B2078" t="str">
            <v>Z620111</v>
          </cell>
          <cell r="C2078">
            <v>200613</v>
          </cell>
          <cell r="D2078">
            <v>209912</v>
          </cell>
          <cell r="E2078" t="str">
            <v>N</v>
          </cell>
          <cell r="F2078" t="str">
            <v/>
          </cell>
          <cell r="G2078" t="str">
            <v/>
          </cell>
          <cell r="H2078" t="str">
            <v>B</v>
          </cell>
        </row>
        <row r="2079">
          <cell r="B2079" t="str">
            <v>Z620112</v>
          </cell>
          <cell r="C2079">
            <v>200713</v>
          </cell>
          <cell r="D2079">
            <v>209912</v>
          </cell>
          <cell r="E2079" t="str">
            <v>N</v>
          </cell>
          <cell r="F2079" t="str">
            <v/>
          </cell>
          <cell r="G2079" t="str">
            <v/>
          </cell>
          <cell r="H2079" t="str">
            <v>B</v>
          </cell>
        </row>
        <row r="2080">
          <cell r="B2080" t="str">
            <v>Z620113</v>
          </cell>
          <cell r="C2080">
            <v>200701</v>
          </cell>
          <cell r="D2080">
            <v>209912</v>
          </cell>
          <cell r="E2080" t="str">
            <v>N</v>
          </cell>
          <cell r="F2080" t="str">
            <v/>
          </cell>
          <cell r="G2080" t="str">
            <v/>
          </cell>
          <cell r="H2080" t="str">
            <v>B</v>
          </cell>
        </row>
        <row r="2081">
          <cell r="B2081" t="str">
            <v>Z620114</v>
          </cell>
          <cell r="C2081">
            <v>200712</v>
          </cell>
          <cell r="D2081">
            <v>209912</v>
          </cell>
          <cell r="E2081" t="str">
            <v>N</v>
          </cell>
          <cell r="F2081" t="str">
            <v/>
          </cell>
          <cell r="G2081" t="str">
            <v/>
          </cell>
          <cell r="H2081" t="str">
            <v>B</v>
          </cell>
        </row>
        <row r="2082">
          <cell r="B2082" t="str">
            <v>Z620115</v>
          </cell>
          <cell r="C2082">
            <v>200712</v>
          </cell>
          <cell r="D2082">
            <v>209912</v>
          </cell>
          <cell r="E2082" t="str">
            <v>N</v>
          </cell>
          <cell r="F2082" t="str">
            <v/>
          </cell>
          <cell r="G2082" t="str">
            <v/>
          </cell>
          <cell r="H2082" t="str">
            <v>B</v>
          </cell>
        </row>
        <row r="2083">
          <cell r="B2083" t="str">
            <v>Z620116</v>
          </cell>
          <cell r="C2083">
            <v>200712</v>
          </cell>
          <cell r="D2083">
            <v>209912</v>
          </cell>
          <cell r="E2083" t="str">
            <v>N</v>
          </cell>
          <cell r="F2083" t="str">
            <v/>
          </cell>
          <cell r="G2083" t="str">
            <v/>
          </cell>
          <cell r="H2083" t="str">
            <v>B</v>
          </cell>
        </row>
        <row r="2084">
          <cell r="B2084" t="str">
            <v>Z620117</v>
          </cell>
          <cell r="C2084">
            <v>200712</v>
          </cell>
          <cell r="D2084">
            <v>209912</v>
          </cell>
          <cell r="E2084" t="str">
            <v>N</v>
          </cell>
          <cell r="F2084" t="str">
            <v/>
          </cell>
          <cell r="G2084" t="str">
            <v/>
          </cell>
          <cell r="H2084" t="str">
            <v>B</v>
          </cell>
        </row>
        <row r="2085">
          <cell r="B2085" t="str">
            <v>Z620118</v>
          </cell>
          <cell r="C2085">
            <v>200712</v>
          </cell>
          <cell r="D2085">
            <v>209912</v>
          </cell>
          <cell r="E2085" t="str">
            <v>N</v>
          </cell>
          <cell r="F2085" t="str">
            <v/>
          </cell>
          <cell r="G2085" t="str">
            <v/>
          </cell>
          <cell r="H2085" t="str">
            <v>B</v>
          </cell>
        </row>
        <row r="2086">
          <cell r="B2086" t="str">
            <v>Z620119</v>
          </cell>
          <cell r="C2086">
            <v>200901</v>
          </cell>
          <cell r="D2086">
            <v>209912</v>
          </cell>
          <cell r="E2086" t="str">
            <v>N</v>
          </cell>
          <cell r="F2086" t="str">
            <v/>
          </cell>
          <cell r="G2086" t="str">
            <v/>
          </cell>
          <cell r="H2086" t="str">
            <v>B</v>
          </cell>
        </row>
        <row r="2087">
          <cell r="B2087" t="str">
            <v>Z620120</v>
          </cell>
          <cell r="C2087">
            <v>200901</v>
          </cell>
          <cell r="D2087">
            <v>209912</v>
          </cell>
          <cell r="E2087" t="str">
            <v>N</v>
          </cell>
          <cell r="F2087" t="str">
            <v/>
          </cell>
          <cell r="G2087" t="str">
            <v/>
          </cell>
          <cell r="H2087" t="str">
            <v>B</v>
          </cell>
        </row>
        <row r="2088">
          <cell r="B2088" t="str">
            <v>Z620121</v>
          </cell>
          <cell r="C2088">
            <v>200901</v>
          </cell>
          <cell r="D2088">
            <v>201009</v>
          </cell>
          <cell r="E2088" t="str">
            <v>N</v>
          </cell>
          <cell r="F2088" t="str">
            <v>Account closed from period 201009</v>
          </cell>
          <cell r="G2088" t="str">
            <v/>
          </cell>
          <cell r="H2088" t="str">
            <v>B</v>
          </cell>
        </row>
        <row r="2089">
          <cell r="B2089" t="str">
            <v>Z620122</v>
          </cell>
          <cell r="C2089">
            <v>201013</v>
          </cell>
          <cell r="D2089">
            <v>209912</v>
          </cell>
          <cell r="E2089" t="str">
            <v>N</v>
          </cell>
          <cell r="F2089" t="str">
            <v/>
          </cell>
          <cell r="G2089" t="str">
            <v/>
          </cell>
          <cell r="H2089" t="str">
            <v>B</v>
          </cell>
        </row>
        <row r="2090">
          <cell r="B2090" t="str">
            <v>Z620123</v>
          </cell>
          <cell r="C2090">
            <v>201013</v>
          </cell>
          <cell r="D2090">
            <v>209912</v>
          </cell>
          <cell r="E2090" t="str">
            <v>N</v>
          </cell>
          <cell r="F2090" t="str">
            <v/>
          </cell>
          <cell r="G2090" t="str">
            <v/>
          </cell>
          <cell r="H2090" t="str">
            <v>B</v>
          </cell>
        </row>
        <row r="2091">
          <cell r="B2091" t="str">
            <v>Z620124</v>
          </cell>
          <cell r="C2091">
            <v>201104</v>
          </cell>
          <cell r="D2091">
            <v>209912</v>
          </cell>
          <cell r="E2091" t="str">
            <v>N</v>
          </cell>
          <cell r="F2091" t="str">
            <v/>
          </cell>
          <cell r="G2091" t="str">
            <v/>
          </cell>
          <cell r="H2091" t="str">
            <v>B</v>
          </cell>
        </row>
        <row r="2092">
          <cell r="B2092" t="str">
            <v>Z620125</v>
          </cell>
          <cell r="C2092">
            <v>201013</v>
          </cell>
          <cell r="D2092">
            <v>209912</v>
          </cell>
          <cell r="E2092" t="str">
            <v>N</v>
          </cell>
          <cell r="F2092" t="str">
            <v/>
          </cell>
          <cell r="G2092" t="str">
            <v/>
          </cell>
          <cell r="H2092" t="str">
            <v>B</v>
          </cell>
        </row>
        <row r="2093">
          <cell r="B2093" t="str">
            <v>Z620126</v>
          </cell>
          <cell r="C2093">
            <v>201013</v>
          </cell>
          <cell r="D2093">
            <v>209912</v>
          </cell>
          <cell r="E2093" t="str">
            <v>N</v>
          </cell>
          <cell r="F2093" t="str">
            <v/>
          </cell>
          <cell r="G2093" t="str">
            <v/>
          </cell>
          <cell r="H2093" t="str">
            <v>B</v>
          </cell>
        </row>
        <row r="2094">
          <cell r="B2094" t="str">
            <v>Z620127</v>
          </cell>
          <cell r="C2094">
            <v>201013</v>
          </cell>
          <cell r="D2094">
            <v>209912</v>
          </cell>
          <cell r="E2094" t="str">
            <v>N</v>
          </cell>
          <cell r="F2094" t="str">
            <v/>
          </cell>
          <cell r="G2094" t="str">
            <v/>
          </cell>
          <cell r="H2094" t="str">
            <v>B</v>
          </cell>
        </row>
        <row r="2095">
          <cell r="B2095" t="str">
            <v>Z620128</v>
          </cell>
          <cell r="C2095">
            <v>201101</v>
          </cell>
          <cell r="D2095">
            <v>209912</v>
          </cell>
          <cell r="E2095" t="str">
            <v>N</v>
          </cell>
          <cell r="F2095" t="str">
            <v/>
          </cell>
          <cell r="G2095" t="str">
            <v/>
          </cell>
          <cell r="H2095" t="str">
            <v>B</v>
          </cell>
        </row>
        <row r="2096">
          <cell r="B2096" t="str">
            <v>Z620129</v>
          </cell>
          <cell r="C2096">
            <v>201101</v>
          </cell>
          <cell r="D2096">
            <v>209912</v>
          </cell>
          <cell r="E2096" t="str">
            <v>N</v>
          </cell>
          <cell r="F2096" t="str">
            <v/>
          </cell>
          <cell r="G2096" t="str">
            <v/>
          </cell>
          <cell r="H2096" t="str">
            <v>B</v>
          </cell>
        </row>
        <row r="2097">
          <cell r="B2097" t="str">
            <v>Z620130</v>
          </cell>
          <cell r="C2097">
            <v>199900</v>
          </cell>
          <cell r="D2097">
            <v>209912</v>
          </cell>
          <cell r="E2097" t="str">
            <v>N</v>
          </cell>
          <cell r="F2097" t="str">
            <v/>
          </cell>
          <cell r="G2097" t="str">
            <v/>
          </cell>
          <cell r="H2097" t="str">
            <v>Other</v>
          </cell>
        </row>
        <row r="2098">
          <cell r="B2098" t="str">
            <v>Z620131</v>
          </cell>
          <cell r="C2098">
            <v>199900</v>
          </cell>
          <cell r="D2098">
            <v>209912</v>
          </cell>
          <cell r="E2098" t="str">
            <v>N</v>
          </cell>
          <cell r="F2098" t="str">
            <v/>
          </cell>
          <cell r="G2098" t="str">
            <v/>
          </cell>
          <cell r="H2098" t="str">
            <v>Other</v>
          </cell>
        </row>
        <row r="2099">
          <cell r="B2099" t="str">
            <v>Z620132</v>
          </cell>
          <cell r="C2099">
            <v>199900</v>
          </cell>
          <cell r="D2099">
            <v>209912</v>
          </cell>
          <cell r="E2099" t="str">
            <v>N</v>
          </cell>
          <cell r="F2099" t="str">
            <v/>
          </cell>
          <cell r="G2099" t="str">
            <v/>
          </cell>
          <cell r="H2099" t="str">
            <v>B</v>
          </cell>
        </row>
        <row r="2100">
          <cell r="B2100" t="str">
            <v>Z630001</v>
          </cell>
          <cell r="C2100">
            <v>200109</v>
          </cell>
          <cell r="D2100">
            <v>200513</v>
          </cell>
          <cell r="E2100" t="str">
            <v>C</v>
          </cell>
          <cell r="F2100" t="str">
            <v>Account status = Closed</v>
          </cell>
          <cell r="G2100" t="str">
            <v/>
          </cell>
          <cell r="H2100" t="str">
            <v>B</v>
          </cell>
        </row>
        <row r="2101">
          <cell r="B2101" t="str">
            <v>Z630002</v>
          </cell>
          <cell r="C2101">
            <v>200109</v>
          </cell>
          <cell r="D2101">
            <v>200513</v>
          </cell>
          <cell r="E2101" t="str">
            <v>C</v>
          </cell>
          <cell r="F2101" t="str">
            <v>Account status = Closed</v>
          </cell>
          <cell r="G2101" t="str">
            <v/>
          </cell>
          <cell r="H2101" t="str">
            <v>B</v>
          </cell>
        </row>
        <row r="2102">
          <cell r="B2102" t="str">
            <v>Z630101</v>
          </cell>
          <cell r="C2102">
            <v>200113</v>
          </cell>
          <cell r="D2102">
            <v>200513</v>
          </cell>
          <cell r="E2102" t="str">
            <v>C</v>
          </cell>
          <cell r="F2102" t="str">
            <v>Account status = Closed</v>
          </cell>
          <cell r="G2102" t="str">
            <v/>
          </cell>
          <cell r="H2102" t="str">
            <v>B</v>
          </cell>
        </row>
        <row r="2103">
          <cell r="B2103" t="str">
            <v>Z630102</v>
          </cell>
          <cell r="C2103">
            <v>200113</v>
          </cell>
          <cell r="D2103">
            <v>200513</v>
          </cell>
          <cell r="E2103" t="str">
            <v>C</v>
          </cell>
          <cell r="F2103" t="str">
            <v>Account status = Closed</v>
          </cell>
          <cell r="G2103" t="str">
            <v/>
          </cell>
          <cell r="H2103" t="str">
            <v>B</v>
          </cell>
        </row>
        <row r="2104">
          <cell r="B2104" t="str">
            <v>Z630201</v>
          </cell>
          <cell r="C2104">
            <v>200213</v>
          </cell>
          <cell r="D2104">
            <v>200513</v>
          </cell>
          <cell r="E2104" t="str">
            <v>C</v>
          </cell>
          <cell r="F2104" t="str">
            <v>Account status = Closed</v>
          </cell>
          <cell r="G2104" t="str">
            <v/>
          </cell>
          <cell r="H2104" t="str">
            <v>B</v>
          </cell>
        </row>
        <row r="2105">
          <cell r="B2105" t="str">
            <v>Z630202</v>
          </cell>
          <cell r="C2105">
            <v>200213</v>
          </cell>
          <cell r="D2105">
            <v>200513</v>
          </cell>
          <cell r="E2105" t="str">
            <v>C</v>
          </cell>
          <cell r="F2105" t="str">
            <v>Account status = Closed</v>
          </cell>
          <cell r="G2105" t="str">
            <v/>
          </cell>
          <cell r="H2105" t="str">
            <v>B</v>
          </cell>
        </row>
        <row r="2106">
          <cell r="B2106" t="str">
            <v>Z630301</v>
          </cell>
          <cell r="C2106">
            <v>200313</v>
          </cell>
          <cell r="D2106">
            <v>200513</v>
          </cell>
          <cell r="E2106" t="str">
            <v>C</v>
          </cell>
          <cell r="F2106" t="str">
            <v>Account status = Closed</v>
          </cell>
          <cell r="G2106" t="str">
            <v/>
          </cell>
          <cell r="H2106" t="str">
            <v>B</v>
          </cell>
        </row>
        <row r="2107">
          <cell r="B2107" t="str">
            <v>Z630302</v>
          </cell>
          <cell r="C2107">
            <v>200313</v>
          </cell>
          <cell r="D2107">
            <v>200513</v>
          </cell>
          <cell r="E2107" t="str">
            <v>C</v>
          </cell>
          <cell r="F2107" t="str">
            <v>Account status = Closed</v>
          </cell>
          <cell r="G2107" t="str">
            <v/>
          </cell>
          <cell r="H2107" t="str">
            <v>B</v>
          </cell>
        </row>
        <row r="2108">
          <cell r="B2108" t="str">
            <v>Z630303</v>
          </cell>
          <cell r="C2108">
            <v>200313</v>
          </cell>
          <cell r="D2108">
            <v>200513</v>
          </cell>
          <cell r="E2108" t="str">
            <v>C</v>
          </cell>
          <cell r="F2108" t="str">
            <v>Account status = Closed</v>
          </cell>
          <cell r="G2108" t="str">
            <v/>
          </cell>
          <cell r="H2108" t="str">
            <v>B</v>
          </cell>
        </row>
        <row r="2109">
          <cell r="B2109" t="str">
            <v>Z630402</v>
          </cell>
          <cell r="C2109">
            <v>200413</v>
          </cell>
          <cell r="D2109">
            <v>200513</v>
          </cell>
          <cell r="E2109" t="str">
            <v>C</v>
          </cell>
          <cell r="F2109" t="str">
            <v>Account status = Closed</v>
          </cell>
          <cell r="G2109" t="str">
            <v/>
          </cell>
          <cell r="H2109" t="str">
            <v>B</v>
          </cell>
        </row>
        <row r="2110">
          <cell r="B2110" t="str">
            <v>Z630403</v>
          </cell>
          <cell r="C2110">
            <v>200413</v>
          </cell>
          <cell r="D2110">
            <v>200513</v>
          </cell>
          <cell r="E2110" t="str">
            <v>C</v>
          </cell>
          <cell r="F2110" t="str">
            <v>Account status = Closed</v>
          </cell>
          <cell r="G2110" t="str">
            <v/>
          </cell>
          <cell r="H2110" t="str">
            <v>B</v>
          </cell>
        </row>
        <row r="2111">
          <cell r="B2111" t="str">
            <v>Z630502</v>
          </cell>
          <cell r="C2111">
            <v>200512</v>
          </cell>
          <cell r="D2111">
            <v>200513</v>
          </cell>
          <cell r="E2111" t="str">
            <v>C</v>
          </cell>
          <cell r="F2111" t="str">
            <v>Account status = Closed</v>
          </cell>
          <cell r="G2111" t="str">
            <v/>
          </cell>
          <cell r="H2111" t="str">
            <v>B</v>
          </cell>
        </row>
        <row r="2112">
          <cell r="B2112" t="str">
            <v>Z630503</v>
          </cell>
          <cell r="C2112">
            <v>200512</v>
          </cell>
          <cell r="D2112">
            <v>200513</v>
          </cell>
          <cell r="E2112" t="str">
            <v>C</v>
          </cell>
          <cell r="F2112" t="str">
            <v>Account status = Closed</v>
          </cell>
          <cell r="G2112" t="str">
            <v/>
          </cell>
          <cell r="H2112" t="str">
            <v>B</v>
          </cell>
        </row>
        <row r="2113">
          <cell r="B2113" t="str">
            <v>Z639801</v>
          </cell>
          <cell r="C2113">
            <v>200109</v>
          </cell>
          <cell r="D2113">
            <v>200513</v>
          </cell>
          <cell r="E2113" t="str">
            <v>C</v>
          </cell>
          <cell r="F2113" t="str">
            <v>Account status = Closed</v>
          </cell>
          <cell r="G2113" t="str">
            <v/>
          </cell>
          <cell r="H2113" t="str">
            <v>B</v>
          </cell>
        </row>
        <row r="2114">
          <cell r="B2114" t="str">
            <v>Z639802</v>
          </cell>
          <cell r="C2114">
            <v>200109</v>
          </cell>
          <cell r="D2114">
            <v>200513</v>
          </cell>
          <cell r="E2114" t="str">
            <v>C</v>
          </cell>
          <cell r="F2114" t="str">
            <v>Account status = Closed</v>
          </cell>
          <cell r="G2114" t="str">
            <v/>
          </cell>
          <cell r="H2114" t="str">
            <v>B</v>
          </cell>
        </row>
        <row r="2115">
          <cell r="B2115" t="str">
            <v>Z639901</v>
          </cell>
          <cell r="C2115">
            <v>200109</v>
          </cell>
          <cell r="D2115">
            <v>200513</v>
          </cell>
          <cell r="E2115" t="str">
            <v>C</v>
          </cell>
          <cell r="F2115" t="str">
            <v>Account status = Closed</v>
          </cell>
          <cell r="G2115" t="str">
            <v/>
          </cell>
          <cell r="H2115" t="str">
            <v>B</v>
          </cell>
        </row>
        <row r="2116">
          <cell r="B2116" t="str">
            <v>Z639902</v>
          </cell>
          <cell r="C2116">
            <v>200109</v>
          </cell>
          <cell r="D2116">
            <v>200513</v>
          </cell>
          <cell r="E2116" t="str">
            <v>C</v>
          </cell>
          <cell r="F2116" t="str">
            <v>Account status = Closed</v>
          </cell>
          <cell r="G2116" t="str">
            <v/>
          </cell>
          <cell r="H2116" t="str">
            <v>B</v>
          </cell>
        </row>
        <row r="2117">
          <cell r="B2117" t="str">
            <v>Z700101</v>
          </cell>
          <cell r="C2117">
            <v>200109</v>
          </cell>
          <cell r="D2117">
            <v>200813</v>
          </cell>
          <cell r="E2117" t="str">
            <v>N</v>
          </cell>
          <cell r="F2117" t="str">
            <v>Account closed from period 200813</v>
          </cell>
          <cell r="G2117" t="str">
            <v/>
          </cell>
          <cell r="H2117" t="str">
            <v>B</v>
          </cell>
        </row>
        <row r="2118">
          <cell r="B2118" t="str">
            <v>Z700201</v>
          </cell>
          <cell r="C2118">
            <v>200809</v>
          </cell>
          <cell r="D2118">
            <v>201412</v>
          </cell>
          <cell r="E2118" t="str">
            <v>N</v>
          </cell>
          <cell r="F2118" t="str">
            <v>Account closed from period 201412</v>
          </cell>
          <cell r="G2118" t="str">
            <v/>
          </cell>
          <cell r="H2118" t="str">
            <v>B</v>
          </cell>
        </row>
        <row r="2119">
          <cell r="B2119" t="str">
            <v>Z700201</v>
          </cell>
          <cell r="C2119">
            <v>201413</v>
          </cell>
          <cell r="D2119">
            <v>209912</v>
          </cell>
          <cell r="E2119" t="str">
            <v>N</v>
          </cell>
          <cell r="F2119" t="str">
            <v/>
          </cell>
          <cell r="G2119" t="str">
            <v/>
          </cell>
          <cell r="H2119" t="str">
            <v>B</v>
          </cell>
        </row>
        <row r="2120">
          <cell r="B2120" t="str">
            <v>Z700202</v>
          </cell>
          <cell r="C2120">
            <v>201413</v>
          </cell>
          <cell r="D2120">
            <v>209913</v>
          </cell>
          <cell r="E2120" t="str">
            <v>N</v>
          </cell>
          <cell r="F2120" t="str">
            <v/>
          </cell>
          <cell r="G2120" t="str">
            <v/>
          </cell>
          <cell r="H2120" t="str">
            <v>B</v>
          </cell>
        </row>
        <row r="2121">
          <cell r="B2121" t="str">
            <v>Z700202</v>
          </cell>
          <cell r="C2121">
            <v>200809</v>
          </cell>
          <cell r="D2121">
            <v>201412</v>
          </cell>
          <cell r="E2121" t="str">
            <v>N</v>
          </cell>
          <cell r="F2121" t="str">
            <v>Account closed from period 201412</v>
          </cell>
          <cell r="G2121" t="str">
            <v/>
          </cell>
          <cell r="H2121" t="str">
            <v>B</v>
          </cell>
        </row>
        <row r="2122">
          <cell r="B2122" t="str">
            <v>Z700203</v>
          </cell>
          <cell r="C2122">
            <v>200809</v>
          </cell>
          <cell r="D2122">
            <v>201412</v>
          </cell>
          <cell r="E2122" t="str">
            <v>N</v>
          </cell>
          <cell r="F2122" t="str">
            <v>Account closed from period 201412</v>
          </cell>
          <cell r="G2122" t="str">
            <v/>
          </cell>
          <cell r="H2122" t="str">
            <v>B</v>
          </cell>
        </row>
        <row r="2123">
          <cell r="B2123" t="str">
            <v>Z700203</v>
          </cell>
          <cell r="C2123">
            <v>201413</v>
          </cell>
          <cell r="D2123">
            <v>209913</v>
          </cell>
          <cell r="E2123" t="str">
            <v>N</v>
          </cell>
          <cell r="F2123" t="str">
            <v/>
          </cell>
          <cell r="G2123" t="str">
            <v/>
          </cell>
          <cell r="H2123" t="str">
            <v>B</v>
          </cell>
        </row>
        <row r="2124">
          <cell r="B2124" t="str">
            <v>Z700204</v>
          </cell>
          <cell r="C2124">
            <v>201413</v>
          </cell>
          <cell r="D2124">
            <v>209913</v>
          </cell>
          <cell r="E2124" t="str">
            <v>N</v>
          </cell>
          <cell r="F2124" t="str">
            <v/>
          </cell>
          <cell r="G2124" t="str">
            <v/>
          </cell>
          <cell r="H2124" t="str">
            <v>B</v>
          </cell>
        </row>
        <row r="2125">
          <cell r="B2125" t="str">
            <v>Z700204</v>
          </cell>
          <cell r="C2125">
            <v>200809</v>
          </cell>
          <cell r="D2125">
            <v>201412</v>
          </cell>
          <cell r="E2125" t="str">
            <v>N</v>
          </cell>
          <cell r="F2125" t="str">
            <v>Account closed from period 201412</v>
          </cell>
          <cell r="G2125" t="str">
            <v/>
          </cell>
          <cell r="H2125" t="str">
            <v>B</v>
          </cell>
        </row>
        <row r="2126">
          <cell r="B2126" t="str">
            <v>Z700205</v>
          </cell>
          <cell r="C2126">
            <v>200809</v>
          </cell>
          <cell r="D2126">
            <v>201412</v>
          </cell>
          <cell r="E2126" t="str">
            <v>N</v>
          </cell>
          <cell r="F2126" t="str">
            <v>Account closed from period 201412</v>
          </cell>
          <cell r="G2126" t="str">
            <v/>
          </cell>
          <cell r="H2126" t="str">
            <v>B</v>
          </cell>
        </row>
        <row r="2127">
          <cell r="B2127" t="str">
            <v>Z700205</v>
          </cell>
          <cell r="C2127">
            <v>201413</v>
          </cell>
          <cell r="D2127">
            <v>209913</v>
          </cell>
          <cell r="E2127" t="str">
            <v>N</v>
          </cell>
          <cell r="F2127" t="str">
            <v/>
          </cell>
          <cell r="G2127" t="str">
            <v/>
          </cell>
          <cell r="H2127" t="str">
            <v>B</v>
          </cell>
        </row>
        <row r="2128">
          <cell r="B2128" t="str">
            <v>Z700206</v>
          </cell>
          <cell r="C2128">
            <v>201413</v>
          </cell>
          <cell r="D2128">
            <v>209913</v>
          </cell>
          <cell r="E2128" t="str">
            <v>N</v>
          </cell>
          <cell r="F2128" t="str">
            <v/>
          </cell>
          <cell r="G2128" t="str">
            <v/>
          </cell>
          <cell r="H2128" t="str">
            <v>B</v>
          </cell>
        </row>
        <row r="2129">
          <cell r="B2129" t="str">
            <v>Z700206</v>
          </cell>
          <cell r="C2129">
            <v>200809</v>
          </cell>
          <cell r="D2129">
            <v>201412</v>
          </cell>
          <cell r="E2129" t="str">
            <v>N</v>
          </cell>
          <cell r="F2129" t="str">
            <v>Account closed from period 201412</v>
          </cell>
          <cell r="G2129" t="str">
            <v/>
          </cell>
          <cell r="H2129" t="str">
            <v>B</v>
          </cell>
        </row>
        <row r="2130">
          <cell r="B2130" t="str">
            <v>Z700207</v>
          </cell>
          <cell r="C2130">
            <v>200809</v>
          </cell>
          <cell r="D2130">
            <v>201412</v>
          </cell>
          <cell r="E2130" t="str">
            <v>N</v>
          </cell>
          <cell r="F2130" t="str">
            <v>Account closed from period 201412</v>
          </cell>
          <cell r="G2130" t="str">
            <v/>
          </cell>
          <cell r="H2130" t="str">
            <v>B</v>
          </cell>
        </row>
        <row r="2131">
          <cell r="B2131" t="str">
            <v>Z700207</v>
          </cell>
          <cell r="C2131">
            <v>201413</v>
          </cell>
          <cell r="D2131">
            <v>209913</v>
          </cell>
          <cell r="E2131" t="str">
            <v>N</v>
          </cell>
          <cell r="F2131" t="str">
            <v/>
          </cell>
          <cell r="G2131" t="str">
            <v/>
          </cell>
          <cell r="H2131" t="str">
            <v>B</v>
          </cell>
        </row>
        <row r="2132">
          <cell r="B2132" t="str">
            <v>Z700208</v>
          </cell>
          <cell r="C2132">
            <v>201413</v>
          </cell>
          <cell r="D2132">
            <v>209913</v>
          </cell>
          <cell r="E2132" t="str">
            <v>N</v>
          </cell>
          <cell r="F2132" t="str">
            <v/>
          </cell>
          <cell r="G2132" t="str">
            <v/>
          </cell>
          <cell r="H2132" t="str">
            <v>B</v>
          </cell>
        </row>
        <row r="2133">
          <cell r="B2133" t="str">
            <v>Z700208</v>
          </cell>
          <cell r="C2133">
            <v>201100</v>
          </cell>
          <cell r="D2133">
            <v>201412</v>
          </cell>
          <cell r="E2133" t="str">
            <v>N</v>
          </cell>
          <cell r="F2133" t="str">
            <v>Account closed from period 201412</v>
          </cell>
          <cell r="G2133" t="str">
            <v/>
          </cell>
          <cell r="H2133" t="str">
            <v>B</v>
          </cell>
        </row>
        <row r="2134">
          <cell r="B2134" t="str">
            <v>Z700209</v>
          </cell>
          <cell r="C2134">
            <v>201100</v>
          </cell>
          <cell r="D2134">
            <v>201412</v>
          </cell>
          <cell r="E2134" t="str">
            <v>N</v>
          </cell>
          <cell r="F2134" t="str">
            <v>Account closed from period 201412</v>
          </cell>
          <cell r="G2134" t="str">
            <v/>
          </cell>
          <cell r="H2134" t="str">
            <v>B</v>
          </cell>
        </row>
        <row r="2135">
          <cell r="B2135" t="str">
            <v>Z700209</v>
          </cell>
          <cell r="C2135">
            <v>201413</v>
          </cell>
          <cell r="D2135">
            <v>209913</v>
          </cell>
          <cell r="E2135" t="str">
            <v>N</v>
          </cell>
          <cell r="F2135" t="str">
            <v/>
          </cell>
          <cell r="G2135" t="str">
            <v/>
          </cell>
          <cell r="H2135" t="str">
            <v>B</v>
          </cell>
        </row>
        <row r="2136">
          <cell r="B2136" t="str">
            <v>Z700210</v>
          </cell>
          <cell r="C2136">
            <v>201413</v>
          </cell>
          <cell r="D2136">
            <v>209913</v>
          </cell>
          <cell r="E2136" t="str">
            <v>N</v>
          </cell>
          <cell r="F2136" t="str">
            <v/>
          </cell>
          <cell r="G2136" t="str">
            <v/>
          </cell>
          <cell r="H2136" t="str">
            <v>B</v>
          </cell>
        </row>
        <row r="2137">
          <cell r="B2137" t="str">
            <v>Z700210</v>
          </cell>
          <cell r="C2137">
            <v>201100</v>
          </cell>
          <cell r="D2137">
            <v>201412</v>
          </cell>
          <cell r="E2137" t="str">
            <v>N</v>
          </cell>
          <cell r="F2137" t="str">
            <v>Account closed from period 201412</v>
          </cell>
          <cell r="G2137" t="str">
            <v/>
          </cell>
          <cell r="H2137" t="str">
            <v>B</v>
          </cell>
        </row>
        <row r="2138">
          <cell r="B2138" t="str">
            <v>Z700211</v>
          </cell>
          <cell r="C2138">
            <v>201212</v>
          </cell>
          <cell r="D2138">
            <v>201412</v>
          </cell>
          <cell r="E2138" t="str">
            <v>N</v>
          </cell>
          <cell r="F2138" t="str">
            <v>Account closed from period 201412</v>
          </cell>
          <cell r="G2138" t="str">
            <v/>
          </cell>
          <cell r="H2138" t="str">
            <v>B</v>
          </cell>
        </row>
        <row r="2139">
          <cell r="B2139" t="str">
            <v>Z700211</v>
          </cell>
          <cell r="C2139">
            <v>201413</v>
          </cell>
          <cell r="D2139">
            <v>209913</v>
          </cell>
          <cell r="E2139" t="str">
            <v>N</v>
          </cell>
          <cell r="F2139" t="str">
            <v/>
          </cell>
          <cell r="G2139" t="str">
            <v/>
          </cell>
          <cell r="H2139" t="str">
            <v>B</v>
          </cell>
        </row>
        <row r="2140">
          <cell r="B2140" t="str">
            <v>Z710101</v>
          </cell>
          <cell r="C2140">
            <v>200109</v>
          </cell>
          <cell r="D2140">
            <v>209912</v>
          </cell>
          <cell r="E2140" t="str">
            <v>N</v>
          </cell>
          <cell r="F2140" t="str">
            <v/>
          </cell>
          <cell r="G2140" t="str">
            <v/>
          </cell>
          <cell r="H2140" t="str">
            <v>B</v>
          </cell>
        </row>
        <row r="2141">
          <cell r="B2141" t="str">
            <v>Z710102</v>
          </cell>
          <cell r="C2141">
            <v>200109</v>
          </cell>
          <cell r="D2141">
            <v>209912</v>
          </cell>
          <cell r="E2141" t="str">
            <v>N</v>
          </cell>
          <cell r="F2141" t="str">
            <v/>
          </cell>
          <cell r="G2141" t="str">
            <v/>
          </cell>
          <cell r="H2141" t="str">
            <v>B</v>
          </cell>
        </row>
        <row r="2142">
          <cell r="B2142" t="str">
            <v>Z710103</v>
          </cell>
          <cell r="C2142">
            <v>200109</v>
          </cell>
          <cell r="D2142">
            <v>200411</v>
          </cell>
          <cell r="E2142" t="str">
            <v>N</v>
          </cell>
          <cell r="F2142" t="str">
            <v>Account closed from period 200411</v>
          </cell>
          <cell r="G2142" t="str">
            <v/>
          </cell>
          <cell r="H2142" t="str">
            <v>B</v>
          </cell>
        </row>
        <row r="2143">
          <cell r="B2143" t="str">
            <v>Z710104</v>
          </cell>
          <cell r="C2143">
            <v>200109</v>
          </cell>
          <cell r="D2143">
            <v>200411</v>
          </cell>
          <cell r="E2143" t="str">
            <v>N</v>
          </cell>
          <cell r="F2143" t="str">
            <v>Account closed from period 200411</v>
          </cell>
          <cell r="G2143" t="str">
            <v/>
          </cell>
          <cell r="H2143" t="str">
            <v>B</v>
          </cell>
        </row>
        <row r="2144">
          <cell r="B2144" t="str">
            <v>Z710105</v>
          </cell>
          <cell r="C2144">
            <v>200109</v>
          </cell>
          <cell r="D2144">
            <v>200411</v>
          </cell>
          <cell r="E2144" t="str">
            <v>N</v>
          </cell>
          <cell r="F2144" t="str">
            <v>Account closed from period 200411</v>
          </cell>
          <cell r="G2144" t="str">
            <v/>
          </cell>
          <cell r="H2144" t="str">
            <v>B</v>
          </cell>
        </row>
        <row r="2145">
          <cell r="B2145" t="str">
            <v>Z710106</v>
          </cell>
          <cell r="C2145">
            <v>200109</v>
          </cell>
          <cell r="D2145">
            <v>200411</v>
          </cell>
          <cell r="E2145" t="str">
            <v>N</v>
          </cell>
          <cell r="F2145" t="str">
            <v>Account closed from period 200411</v>
          </cell>
          <cell r="G2145" t="str">
            <v/>
          </cell>
          <cell r="H2145" t="str">
            <v>B</v>
          </cell>
        </row>
        <row r="2146">
          <cell r="B2146" t="str">
            <v>Z710107</v>
          </cell>
          <cell r="C2146">
            <v>200109</v>
          </cell>
          <cell r="D2146">
            <v>200411</v>
          </cell>
          <cell r="E2146" t="str">
            <v>N</v>
          </cell>
          <cell r="F2146" t="str">
            <v>Account closed from period 200411</v>
          </cell>
          <cell r="G2146" t="str">
            <v/>
          </cell>
          <cell r="H2146" t="str">
            <v>B</v>
          </cell>
        </row>
        <row r="2147">
          <cell r="B2147" t="str">
            <v>Z710108</v>
          </cell>
          <cell r="C2147">
            <v>200109</v>
          </cell>
          <cell r="D2147">
            <v>200411</v>
          </cell>
          <cell r="E2147" t="str">
            <v>N</v>
          </cell>
          <cell r="F2147" t="str">
            <v>Account closed from period 200411</v>
          </cell>
          <cell r="G2147" t="str">
            <v/>
          </cell>
          <cell r="H2147" t="str">
            <v>B</v>
          </cell>
        </row>
        <row r="2148">
          <cell r="B2148" t="str">
            <v>Z710109</v>
          </cell>
          <cell r="C2148">
            <v>200109</v>
          </cell>
          <cell r="D2148">
            <v>209912</v>
          </cell>
          <cell r="E2148" t="str">
            <v>N</v>
          </cell>
          <cell r="F2148" t="str">
            <v/>
          </cell>
          <cell r="G2148" t="str">
            <v/>
          </cell>
          <cell r="H2148" t="str">
            <v>B</v>
          </cell>
        </row>
        <row r="2149">
          <cell r="B2149" t="str">
            <v>Z710110</v>
          </cell>
          <cell r="C2149">
            <v>200109</v>
          </cell>
          <cell r="D2149">
            <v>209912</v>
          </cell>
          <cell r="E2149" t="str">
            <v>N</v>
          </cell>
          <cell r="F2149" t="str">
            <v/>
          </cell>
          <cell r="G2149" t="str">
            <v/>
          </cell>
          <cell r="H2149" t="str">
            <v>B</v>
          </cell>
        </row>
        <row r="2150">
          <cell r="B2150" t="str">
            <v>Z710111</v>
          </cell>
          <cell r="C2150">
            <v>200109</v>
          </cell>
          <cell r="D2150">
            <v>200411</v>
          </cell>
          <cell r="E2150" t="str">
            <v>N</v>
          </cell>
          <cell r="F2150" t="str">
            <v>Account closed from period 200411</v>
          </cell>
          <cell r="G2150" t="str">
            <v/>
          </cell>
          <cell r="H2150" t="str">
            <v>B</v>
          </cell>
        </row>
        <row r="2151">
          <cell r="B2151" t="str">
            <v>Z710112</v>
          </cell>
          <cell r="C2151">
            <v>200109</v>
          </cell>
          <cell r="D2151">
            <v>200411</v>
          </cell>
          <cell r="E2151" t="str">
            <v>N</v>
          </cell>
          <cell r="F2151" t="str">
            <v>Account closed from period 200411</v>
          </cell>
          <cell r="G2151" t="str">
            <v/>
          </cell>
          <cell r="H2151" t="str">
            <v>B</v>
          </cell>
        </row>
        <row r="2152">
          <cell r="B2152" t="str">
            <v>Z710113</v>
          </cell>
          <cell r="C2152">
            <v>200109</v>
          </cell>
          <cell r="D2152">
            <v>200411</v>
          </cell>
          <cell r="E2152" t="str">
            <v>N</v>
          </cell>
          <cell r="F2152" t="str">
            <v>Account closed from period 200411</v>
          </cell>
          <cell r="G2152" t="str">
            <v/>
          </cell>
          <cell r="H2152" t="str">
            <v>B</v>
          </cell>
        </row>
        <row r="2153">
          <cell r="B2153" t="str">
            <v>Z710114</v>
          </cell>
          <cell r="C2153">
            <v>200109</v>
          </cell>
          <cell r="D2153">
            <v>200411</v>
          </cell>
          <cell r="E2153" t="str">
            <v>N</v>
          </cell>
          <cell r="F2153" t="str">
            <v>Account closed from period 200411</v>
          </cell>
          <cell r="G2153" t="str">
            <v/>
          </cell>
          <cell r="H2153" t="str">
            <v>B</v>
          </cell>
        </row>
        <row r="2154">
          <cell r="B2154" t="str">
            <v>Z710115</v>
          </cell>
          <cell r="C2154">
            <v>200213</v>
          </cell>
          <cell r="D2154">
            <v>200411</v>
          </cell>
          <cell r="E2154" t="str">
            <v>N</v>
          </cell>
          <cell r="F2154" t="str">
            <v>Account closed from period 200411</v>
          </cell>
          <cell r="G2154" t="str">
            <v/>
          </cell>
          <cell r="H2154" t="str">
            <v>B</v>
          </cell>
        </row>
        <row r="2155">
          <cell r="B2155" t="str">
            <v>Z710116</v>
          </cell>
          <cell r="C2155">
            <v>200413</v>
          </cell>
          <cell r="D2155">
            <v>209912</v>
          </cell>
          <cell r="E2155" t="str">
            <v>N</v>
          </cell>
          <cell r="F2155" t="str">
            <v/>
          </cell>
          <cell r="G2155" t="str">
            <v/>
          </cell>
          <cell r="H2155" t="str">
            <v>B</v>
          </cell>
        </row>
        <row r="2156">
          <cell r="B2156" t="str">
            <v>Z710201</v>
          </cell>
          <cell r="C2156">
            <v>200109</v>
          </cell>
          <cell r="D2156">
            <v>209912</v>
          </cell>
          <cell r="E2156" t="str">
            <v>N</v>
          </cell>
          <cell r="F2156" t="str">
            <v/>
          </cell>
          <cell r="G2156" t="str">
            <v/>
          </cell>
          <cell r="H2156" t="str">
            <v>B</v>
          </cell>
        </row>
        <row r="2157">
          <cell r="B2157" t="str">
            <v>Z710301</v>
          </cell>
          <cell r="C2157">
            <v>200109</v>
          </cell>
          <cell r="D2157">
            <v>209912</v>
          </cell>
          <cell r="E2157" t="str">
            <v>N</v>
          </cell>
          <cell r="F2157" t="str">
            <v/>
          </cell>
          <cell r="G2157" t="str">
            <v/>
          </cell>
          <cell r="H2157" t="str">
            <v>B</v>
          </cell>
        </row>
        <row r="2158">
          <cell r="B2158" t="str">
            <v>Z710302</v>
          </cell>
          <cell r="C2158">
            <v>200109</v>
          </cell>
          <cell r="D2158">
            <v>209912</v>
          </cell>
          <cell r="E2158" t="str">
            <v>N</v>
          </cell>
          <cell r="F2158" t="str">
            <v/>
          </cell>
          <cell r="G2158" t="str">
            <v/>
          </cell>
          <cell r="H2158" t="str">
            <v>B</v>
          </cell>
        </row>
        <row r="2159">
          <cell r="B2159" t="str">
            <v>Z710303</v>
          </cell>
          <cell r="C2159">
            <v>200109</v>
          </cell>
          <cell r="D2159">
            <v>209912</v>
          </cell>
          <cell r="E2159" t="str">
            <v>N</v>
          </cell>
          <cell r="F2159" t="str">
            <v/>
          </cell>
          <cell r="G2159" t="str">
            <v/>
          </cell>
          <cell r="H2159" t="str">
            <v>B</v>
          </cell>
        </row>
        <row r="2160">
          <cell r="B2160" t="str">
            <v>Z710304</v>
          </cell>
          <cell r="C2160">
            <v>200109</v>
          </cell>
          <cell r="D2160">
            <v>209912</v>
          </cell>
          <cell r="E2160" t="str">
            <v>N</v>
          </cell>
          <cell r="F2160" t="str">
            <v/>
          </cell>
          <cell r="G2160" t="str">
            <v/>
          </cell>
          <cell r="H2160" t="str">
            <v>B</v>
          </cell>
        </row>
        <row r="2161">
          <cell r="B2161" t="str">
            <v>Z710305</v>
          </cell>
          <cell r="C2161">
            <v>200109</v>
          </cell>
          <cell r="D2161">
            <v>209912</v>
          </cell>
          <cell r="E2161" t="str">
            <v>N</v>
          </cell>
          <cell r="F2161" t="str">
            <v/>
          </cell>
          <cell r="G2161" t="str">
            <v/>
          </cell>
          <cell r="H2161" t="str">
            <v>B</v>
          </cell>
        </row>
        <row r="2162">
          <cell r="B2162" t="str">
            <v>Z710306</v>
          </cell>
          <cell r="C2162">
            <v>200213</v>
          </cell>
          <cell r="D2162">
            <v>209912</v>
          </cell>
          <cell r="E2162" t="str">
            <v>N</v>
          </cell>
          <cell r="F2162" t="str">
            <v/>
          </cell>
          <cell r="G2162" t="str">
            <v/>
          </cell>
          <cell r="H2162" t="str">
            <v>B</v>
          </cell>
        </row>
        <row r="2163">
          <cell r="B2163" t="str">
            <v>Z710307</v>
          </cell>
          <cell r="C2163">
            <v>200712</v>
          </cell>
          <cell r="D2163">
            <v>209912</v>
          </cell>
          <cell r="E2163" t="str">
            <v>N</v>
          </cell>
          <cell r="F2163" t="str">
            <v/>
          </cell>
          <cell r="G2163" t="str">
            <v/>
          </cell>
          <cell r="H2163" t="str">
            <v>B</v>
          </cell>
        </row>
        <row r="2164">
          <cell r="B2164" t="str">
            <v>Z710401</v>
          </cell>
          <cell r="C2164">
            <v>200109</v>
          </cell>
          <cell r="D2164">
            <v>209912</v>
          </cell>
          <cell r="E2164" t="str">
            <v>N</v>
          </cell>
          <cell r="F2164" t="str">
            <v/>
          </cell>
          <cell r="G2164" t="str">
            <v/>
          </cell>
          <cell r="H2164" t="str">
            <v>B</v>
          </cell>
        </row>
        <row r="2165">
          <cell r="B2165" t="str">
            <v>Z710402</v>
          </cell>
          <cell r="C2165">
            <v>200213</v>
          </cell>
          <cell r="D2165">
            <v>209912</v>
          </cell>
          <cell r="E2165" t="str">
            <v>N</v>
          </cell>
          <cell r="F2165" t="str">
            <v/>
          </cell>
          <cell r="G2165" t="str">
            <v/>
          </cell>
          <cell r="H2165" t="str">
            <v>B</v>
          </cell>
        </row>
        <row r="2166">
          <cell r="B2166" t="str">
            <v>Z710501</v>
          </cell>
          <cell r="C2166">
            <v>201413</v>
          </cell>
          <cell r="D2166">
            <v>209912</v>
          </cell>
          <cell r="E2166" t="str">
            <v>N</v>
          </cell>
          <cell r="F2166" t="str">
            <v/>
          </cell>
          <cell r="G2166" t="str">
            <v/>
          </cell>
          <cell r="H2166" t="str">
            <v>B</v>
          </cell>
        </row>
        <row r="2167">
          <cell r="B2167" t="str">
            <v>Z710501</v>
          </cell>
          <cell r="C2167">
            <v>200109</v>
          </cell>
          <cell r="D2167">
            <v>201412</v>
          </cell>
          <cell r="E2167" t="str">
            <v>N</v>
          </cell>
          <cell r="F2167" t="str">
            <v>Account closed from period 201412</v>
          </cell>
          <cell r="G2167" t="str">
            <v/>
          </cell>
          <cell r="H2167" t="str">
            <v>B</v>
          </cell>
        </row>
        <row r="2168">
          <cell r="B2168" t="str">
            <v>Z710502</v>
          </cell>
          <cell r="C2168">
            <v>200109</v>
          </cell>
          <cell r="D2168">
            <v>209912</v>
          </cell>
          <cell r="E2168" t="str">
            <v>N</v>
          </cell>
          <cell r="F2168" t="str">
            <v/>
          </cell>
          <cell r="G2168" t="str">
            <v/>
          </cell>
          <cell r="H2168" t="str">
            <v>B</v>
          </cell>
        </row>
        <row r="2169">
          <cell r="B2169" t="str">
            <v>Z710521</v>
          </cell>
          <cell r="C2169">
            <v>200809</v>
          </cell>
          <cell r="D2169">
            <v>200810</v>
          </cell>
          <cell r="E2169" t="str">
            <v>C</v>
          </cell>
          <cell r="F2169" t="str">
            <v>Account status = Closed</v>
          </cell>
          <cell r="G2169" t="str">
            <v/>
          </cell>
          <cell r="H2169" t="str">
            <v>B</v>
          </cell>
        </row>
        <row r="2170">
          <cell r="B2170" t="str">
            <v>Z710522</v>
          </cell>
          <cell r="C2170">
            <v>200809</v>
          </cell>
          <cell r="D2170">
            <v>200810</v>
          </cell>
          <cell r="E2170" t="str">
            <v>C</v>
          </cell>
          <cell r="F2170" t="str">
            <v>Account status = Closed</v>
          </cell>
          <cell r="G2170" t="str">
            <v/>
          </cell>
          <cell r="H2170" t="str">
            <v>B</v>
          </cell>
        </row>
        <row r="2171">
          <cell r="B2171" t="str">
            <v>Z710523</v>
          </cell>
          <cell r="C2171">
            <v>200801</v>
          </cell>
          <cell r="D2171">
            <v>200813</v>
          </cell>
          <cell r="E2171" t="str">
            <v>C</v>
          </cell>
          <cell r="F2171" t="str">
            <v>Account status = Closed</v>
          </cell>
          <cell r="G2171" t="str">
            <v/>
          </cell>
          <cell r="H2171" t="str">
            <v>B</v>
          </cell>
        </row>
        <row r="2172">
          <cell r="B2172" t="str">
            <v>Z710524</v>
          </cell>
          <cell r="C2172">
            <v>200809</v>
          </cell>
          <cell r="D2172">
            <v>200810</v>
          </cell>
          <cell r="E2172" t="str">
            <v>C</v>
          </cell>
          <cell r="F2172" t="str">
            <v>Account status = Closed</v>
          </cell>
          <cell r="G2172" t="str">
            <v/>
          </cell>
          <cell r="H2172" t="str">
            <v>B</v>
          </cell>
        </row>
        <row r="2173">
          <cell r="B2173" t="str">
            <v>Z710525</v>
          </cell>
          <cell r="C2173">
            <v>200809</v>
          </cell>
          <cell r="D2173">
            <v>200810</v>
          </cell>
          <cell r="E2173" t="str">
            <v>C</v>
          </cell>
          <cell r="F2173" t="str">
            <v>Account status = Closed</v>
          </cell>
          <cell r="G2173" t="str">
            <v/>
          </cell>
          <cell r="H2173" t="str">
            <v>B</v>
          </cell>
        </row>
        <row r="2174">
          <cell r="B2174" t="str">
            <v>Z710526</v>
          </cell>
          <cell r="C2174">
            <v>200809</v>
          </cell>
          <cell r="D2174">
            <v>200810</v>
          </cell>
          <cell r="E2174" t="str">
            <v>C</v>
          </cell>
          <cell r="F2174" t="str">
            <v>Account status = Closed</v>
          </cell>
          <cell r="G2174" t="str">
            <v/>
          </cell>
          <cell r="H2174" t="str">
            <v>B</v>
          </cell>
        </row>
        <row r="2175">
          <cell r="B2175" t="str">
            <v>Z710527</v>
          </cell>
          <cell r="C2175">
            <v>200809</v>
          </cell>
          <cell r="D2175">
            <v>200810</v>
          </cell>
          <cell r="E2175" t="str">
            <v>C</v>
          </cell>
          <cell r="F2175" t="str">
            <v>Account status = Closed</v>
          </cell>
          <cell r="G2175" t="str">
            <v/>
          </cell>
          <cell r="H2175" t="str">
            <v>B</v>
          </cell>
        </row>
        <row r="2176">
          <cell r="B2176" t="str">
            <v>Z710601</v>
          </cell>
          <cell r="C2176">
            <v>200109</v>
          </cell>
          <cell r="D2176">
            <v>209912</v>
          </cell>
          <cell r="E2176" t="str">
            <v>N</v>
          </cell>
          <cell r="F2176" t="str">
            <v/>
          </cell>
          <cell r="G2176" t="str">
            <v/>
          </cell>
          <cell r="H2176" t="str">
            <v>B</v>
          </cell>
        </row>
        <row r="2177">
          <cell r="B2177" t="str">
            <v>Z710701</v>
          </cell>
          <cell r="C2177">
            <v>200109</v>
          </cell>
          <cell r="D2177">
            <v>209912</v>
          </cell>
          <cell r="E2177" t="str">
            <v>N</v>
          </cell>
          <cell r="F2177" t="str">
            <v/>
          </cell>
          <cell r="G2177" t="str">
            <v/>
          </cell>
          <cell r="H2177" t="str">
            <v>B</v>
          </cell>
        </row>
        <row r="2178">
          <cell r="B2178" t="str">
            <v>Z710801</v>
          </cell>
          <cell r="C2178">
            <v>200109</v>
          </cell>
          <cell r="D2178">
            <v>209912</v>
          </cell>
          <cell r="E2178" t="str">
            <v>N</v>
          </cell>
          <cell r="F2178" t="str">
            <v/>
          </cell>
          <cell r="G2178" t="str">
            <v/>
          </cell>
          <cell r="H2178" t="str">
            <v>B</v>
          </cell>
        </row>
        <row r="2179">
          <cell r="B2179" t="str">
            <v>Z710901</v>
          </cell>
          <cell r="C2179">
            <v>200109</v>
          </cell>
          <cell r="D2179">
            <v>200513</v>
          </cell>
          <cell r="E2179" t="str">
            <v>C</v>
          </cell>
          <cell r="F2179" t="str">
            <v>Account status = Closed</v>
          </cell>
          <cell r="G2179" t="str">
            <v/>
          </cell>
          <cell r="H2179" t="str">
            <v>B</v>
          </cell>
        </row>
        <row r="2180">
          <cell r="B2180" t="str">
            <v>Z710902</v>
          </cell>
          <cell r="C2180">
            <v>200213</v>
          </cell>
          <cell r="D2180">
            <v>200513</v>
          </cell>
          <cell r="E2180" t="str">
            <v>C</v>
          </cell>
          <cell r="F2180" t="str">
            <v>Account status = Closed</v>
          </cell>
          <cell r="G2180" t="str">
            <v/>
          </cell>
          <cell r="H2180" t="str">
            <v>B</v>
          </cell>
        </row>
        <row r="2181">
          <cell r="B2181" t="str">
            <v>Z711001</v>
          </cell>
          <cell r="C2181">
            <v>200109</v>
          </cell>
          <cell r="D2181">
            <v>200513</v>
          </cell>
          <cell r="E2181" t="str">
            <v>C</v>
          </cell>
          <cell r="F2181" t="str">
            <v>Account status = Closed</v>
          </cell>
          <cell r="G2181" t="str">
            <v/>
          </cell>
          <cell r="H2181" t="str">
            <v>B</v>
          </cell>
        </row>
        <row r="2182">
          <cell r="B2182" t="str">
            <v>Z720100</v>
          </cell>
          <cell r="C2182">
            <v>200109</v>
          </cell>
          <cell r="D2182">
            <v>200513</v>
          </cell>
          <cell r="E2182" t="str">
            <v>C</v>
          </cell>
          <cell r="F2182" t="str">
            <v>Account status = Closed</v>
          </cell>
          <cell r="G2182" t="str">
            <v/>
          </cell>
          <cell r="H2182" t="str">
            <v>B</v>
          </cell>
        </row>
        <row r="2183">
          <cell r="B2183" t="str">
            <v>Z720101</v>
          </cell>
          <cell r="C2183">
            <v>200109</v>
          </cell>
          <cell r="D2183">
            <v>200513</v>
          </cell>
          <cell r="E2183" t="str">
            <v>C</v>
          </cell>
          <cell r="F2183" t="str">
            <v>Account status = Closed</v>
          </cell>
          <cell r="G2183" t="str">
            <v/>
          </cell>
          <cell r="H2183" t="str">
            <v>B</v>
          </cell>
        </row>
        <row r="2184">
          <cell r="B2184" t="str">
            <v>Z730101</v>
          </cell>
          <cell r="C2184">
            <v>200109</v>
          </cell>
          <cell r="D2184">
            <v>201412</v>
          </cell>
          <cell r="E2184" t="str">
            <v>N</v>
          </cell>
          <cell r="F2184" t="str">
            <v>Account closed from period 201412</v>
          </cell>
          <cell r="G2184" t="str">
            <v/>
          </cell>
          <cell r="H2184" t="str">
            <v>B</v>
          </cell>
        </row>
        <row r="2185">
          <cell r="B2185" t="str">
            <v>Z730101</v>
          </cell>
          <cell r="C2185">
            <v>201413</v>
          </cell>
          <cell r="D2185">
            <v>209912</v>
          </cell>
          <cell r="E2185" t="str">
            <v>N</v>
          </cell>
          <cell r="F2185" t="str">
            <v/>
          </cell>
          <cell r="G2185" t="str">
            <v/>
          </cell>
          <cell r="H2185" t="str">
            <v>B</v>
          </cell>
        </row>
        <row r="2186">
          <cell r="B2186" t="str">
            <v>Z730102</v>
          </cell>
          <cell r="C2186">
            <v>201413</v>
          </cell>
          <cell r="D2186">
            <v>209912</v>
          </cell>
          <cell r="E2186" t="str">
            <v>N</v>
          </cell>
          <cell r="F2186" t="str">
            <v/>
          </cell>
          <cell r="G2186" t="str">
            <v/>
          </cell>
          <cell r="H2186" t="str">
            <v>B</v>
          </cell>
        </row>
        <row r="2187">
          <cell r="B2187" t="str">
            <v>Z730102</v>
          </cell>
          <cell r="C2187">
            <v>200109</v>
          </cell>
          <cell r="D2187">
            <v>201412</v>
          </cell>
          <cell r="E2187" t="str">
            <v>N</v>
          </cell>
          <cell r="F2187" t="str">
            <v>Account closed from period 201412</v>
          </cell>
          <cell r="G2187" t="str">
            <v/>
          </cell>
          <cell r="H2187" t="str">
            <v>B</v>
          </cell>
        </row>
        <row r="2188">
          <cell r="B2188" t="str">
            <v>Z730103</v>
          </cell>
          <cell r="C2188">
            <v>200109</v>
          </cell>
          <cell r="D2188">
            <v>200513</v>
          </cell>
          <cell r="E2188" t="str">
            <v>C</v>
          </cell>
          <cell r="F2188" t="str">
            <v>Account status = Closed</v>
          </cell>
          <cell r="G2188" t="str">
            <v/>
          </cell>
          <cell r="H2188" t="str">
            <v>B</v>
          </cell>
        </row>
        <row r="2189">
          <cell r="B2189" t="str">
            <v>Z730104</v>
          </cell>
          <cell r="C2189">
            <v>200109</v>
          </cell>
          <cell r="D2189">
            <v>201412</v>
          </cell>
          <cell r="E2189" t="str">
            <v>N</v>
          </cell>
          <cell r="F2189" t="str">
            <v>Account closed from period 201412</v>
          </cell>
          <cell r="G2189" t="str">
            <v/>
          </cell>
          <cell r="H2189" t="str">
            <v>B</v>
          </cell>
        </row>
        <row r="2190">
          <cell r="B2190" t="str">
            <v>Z730104</v>
          </cell>
          <cell r="C2190">
            <v>201413</v>
          </cell>
          <cell r="D2190">
            <v>209913</v>
          </cell>
          <cell r="E2190" t="str">
            <v>N</v>
          </cell>
          <cell r="F2190" t="str">
            <v/>
          </cell>
          <cell r="G2190" t="str">
            <v/>
          </cell>
          <cell r="H2190" t="str">
            <v>B</v>
          </cell>
        </row>
        <row r="2191">
          <cell r="B2191" t="str">
            <v>Z730105</v>
          </cell>
          <cell r="C2191">
            <v>201413</v>
          </cell>
          <cell r="D2191">
            <v>209912</v>
          </cell>
          <cell r="E2191" t="str">
            <v>N</v>
          </cell>
          <cell r="F2191" t="str">
            <v/>
          </cell>
          <cell r="G2191" t="str">
            <v/>
          </cell>
          <cell r="H2191" t="str">
            <v>B</v>
          </cell>
        </row>
        <row r="2192">
          <cell r="B2192" t="str">
            <v>Z730105</v>
          </cell>
          <cell r="C2192">
            <v>200109</v>
          </cell>
          <cell r="D2192">
            <v>201412</v>
          </cell>
          <cell r="E2192" t="str">
            <v>N</v>
          </cell>
          <cell r="F2192" t="str">
            <v>Account closed from period 201412</v>
          </cell>
          <cell r="G2192" t="str">
            <v/>
          </cell>
          <cell r="H2192" t="str">
            <v>B</v>
          </cell>
        </row>
        <row r="2193">
          <cell r="B2193" t="str">
            <v>Z730106</v>
          </cell>
          <cell r="C2193">
            <v>200109</v>
          </cell>
          <cell r="D2193">
            <v>200513</v>
          </cell>
          <cell r="E2193" t="str">
            <v>C</v>
          </cell>
          <cell r="F2193" t="str">
            <v>Account status = Closed</v>
          </cell>
          <cell r="G2193" t="str">
            <v/>
          </cell>
          <cell r="H2193" t="str">
            <v>B</v>
          </cell>
        </row>
        <row r="2194">
          <cell r="B2194" t="str">
            <v>Z730107</v>
          </cell>
          <cell r="C2194">
            <v>200109</v>
          </cell>
          <cell r="D2194">
            <v>200513</v>
          </cell>
          <cell r="E2194" t="str">
            <v>C</v>
          </cell>
          <cell r="F2194" t="str">
            <v>Account status = Closed</v>
          </cell>
          <cell r="G2194" t="str">
            <v/>
          </cell>
          <cell r="H2194" t="str">
            <v>B</v>
          </cell>
        </row>
        <row r="2195">
          <cell r="B2195" t="str">
            <v>Z730108</v>
          </cell>
          <cell r="C2195">
            <v>200109</v>
          </cell>
          <cell r="D2195">
            <v>200513</v>
          </cell>
          <cell r="E2195" t="str">
            <v>C</v>
          </cell>
          <cell r="F2195" t="str">
            <v>Account status = Closed</v>
          </cell>
          <cell r="G2195" t="str">
            <v/>
          </cell>
          <cell r="H2195" t="str">
            <v>B</v>
          </cell>
        </row>
        <row r="2196">
          <cell r="B2196" t="str">
            <v>Z730109</v>
          </cell>
          <cell r="C2196">
            <v>200109</v>
          </cell>
          <cell r="D2196">
            <v>209912</v>
          </cell>
          <cell r="E2196" t="str">
            <v>C</v>
          </cell>
          <cell r="F2196" t="str">
            <v>Account status = Closed</v>
          </cell>
          <cell r="G2196" t="str">
            <v/>
          </cell>
          <cell r="H2196" t="str">
            <v>B</v>
          </cell>
        </row>
        <row r="2197">
          <cell r="B2197" t="str">
            <v>Z730110</v>
          </cell>
          <cell r="C2197">
            <v>200413</v>
          </cell>
          <cell r="D2197">
            <v>201412</v>
          </cell>
          <cell r="E2197" t="str">
            <v>N</v>
          </cell>
          <cell r="F2197" t="str">
            <v>Account closed from period 201412</v>
          </cell>
          <cell r="G2197" t="str">
            <v/>
          </cell>
          <cell r="H2197" t="str">
            <v>B</v>
          </cell>
        </row>
        <row r="2198">
          <cell r="B2198" t="str">
            <v>Z730110</v>
          </cell>
          <cell r="C2198">
            <v>201413</v>
          </cell>
          <cell r="D2198">
            <v>209912</v>
          </cell>
          <cell r="E2198" t="str">
            <v>N</v>
          </cell>
          <cell r="F2198" t="str">
            <v/>
          </cell>
          <cell r="G2198" t="str">
            <v/>
          </cell>
          <cell r="H2198" t="str">
            <v>B</v>
          </cell>
        </row>
        <row r="2199">
          <cell r="B2199" t="str">
            <v>Z730111</v>
          </cell>
          <cell r="C2199">
            <v>201413</v>
          </cell>
          <cell r="D2199">
            <v>209912</v>
          </cell>
          <cell r="E2199" t="str">
            <v>N</v>
          </cell>
          <cell r="F2199" t="str">
            <v/>
          </cell>
          <cell r="G2199" t="str">
            <v/>
          </cell>
          <cell r="H2199" t="str">
            <v>B</v>
          </cell>
        </row>
        <row r="2200">
          <cell r="B2200" t="str">
            <v>Z730111</v>
          </cell>
          <cell r="C2200">
            <v>200503</v>
          </cell>
          <cell r="D2200">
            <v>201412</v>
          </cell>
          <cell r="E2200" t="str">
            <v>N</v>
          </cell>
          <cell r="F2200" t="str">
            <v>Account closed from period 201412</v>
          </cell>
          <cell r="G2200" t="str">
            <v/>
          </cell>
          <cell r="H2200" t="str">
            <v>B</v>
          </cell>
        </row>
        <row r="2201">
          <cell r="B2201" t="str">
            <v>Z730112</v>
          </cell>
          <cell r="C2201">
            <v>201413</v>
          </cell>
          <cell r="D2201">
            <v>209912</v>
          </cell>
          <cell r="E2201" t="str">
            <v>N</v>
          </cell>
          <cell r="F2201" t="str">
            <v/>
          </cell>
          <cell r="G2201" t="str">
            <v/>
          </cell>
          <cell r="H2201" t="str">
            <v>B</v>
          </cell>
        </row>
        <row r="2202">
          <cell r="B2202" t="str">
            <v>Z730112</v>
          </cell>
          <cell r="C2202">
            <v>200513</v>
          </cell>
          <cell r="D2202">
            <v>201412</v>
          </cell>
          <cell r="E2202" t="str">
            <v>N</v>
          </cell>
          <cell r="F2202" t="str">
            <v>Account closed from period 201412</v>
          </cell>
          <cell r="G2202" t="str">
            <v/>
          </cell>
          <cell r="H2202" t="str">
            <v>B</v>
          </cell>
        </row>
        <row r="2203">
          <cell r="B2203" t="str">
            <v>Z730115</v>
          </cell>
          <cell r="C2203">
            <v>200213</v>
          </cell>
          <cell r="D2203">
            <v>201412</v>
          </cell>
          <cell r="E2203" t="str">
            <v>N</v>
          </cell>
          <cell r="F2203" t="str">
            <v>Account closed from period 201412</v>
          </cell>
          <cell r="G2203" t="str">
            <v/>
          </cell>
          <cell r="H2203" t="str">
            <v>B</v>
          </cell>
        </row>
        <row r="2204">
          <cell r="B2204" t="str">
            <v>Z730115</v>
          </cell>
          <cell r="C2204">
            <v>201413</v>
          </cell>
          <cell r="D2204">
            <v>209912</v>
          </cell>
          <cell r="E2204" t="str">
            <v>N</v>
          </cell>
          <cell r="F2204" t="str">
            <v/>
          </cell>
          <cell r="G2204" t="str">
            <v/>
          </cell>
          <cell r="H2204" t="str">
            <v>B</v>
          </cell>
        </row>
        <row r="2205">
          <cell r="B2205" t="str">
            <v>Z730116</v>
          </cell>
          <cell r="C2205">
            <v>201413</v>
          </cell>
          <cell r="D2205">
            <v>209912</v>
          </cell>
          <cell r="E2205" t="str">
            <v>N</v>
          </cell>
          <cell r="F2205" t="str">
            <v/>
          </cell>
          <cell r="G2205" t="str">
            <v/>
          </cell>
          <cell r="H2205" t="str">
            <v>B</v>
          </cell>
        </row>
        <row r="2206">
          <cell r="B2206" t="str">
            <v>Z730116</v>
          </cell>
          <cell r="C2206">
            <v>200712</v>
          </cell>
          <cell r="D2206">
            <v>201412</v>
          </cell>
          <cell r="E2206" t="str">
            <v>N</v>
          </cell>
          <cell r="F2206" t="str">
            <v>Account closed from period 201412</v>
          </cell>
          <cell r="G2206" t="str">
            <v/>
          </cell>
          <cell r="H2206" t="str">
            <v>B</v>
          </cell>
        </row>
        <row r="2207">
          <cell r="B2207" t="str">
            <v>Z730117</v>
          </cell>
          <cell r="C2207">
            <v>200812</v>
          </cell>
          <cell r="D2207">
            <v>201412</v>
          </cell>
          <cell r="E2207" t="str">
            <v>N</v>
          </cell>
          <cell r="F2207" t="str">
            <v>Account closed from period 201412</v>
          </cell>
          <cell r="G2207" t="str">
            <v/>
          </cell>
          <cell r="H2207" t="str">
            <v>B</v>
          </cell>
        </row>
        <row r="2208">
          <cell r="B2208" t="str">
            <v>Z730117</v>
          </cell>
          <cell r="C2208">
            <v>201413</v>
          </cell>
          <cell r="D2208">
            <v>209912</v>
          </cell>
          <cell r="E2208" t="str">
            <v>N</v>
          </cell>
          <cell r="F2208" t="str">
            <v/>
          </cell>
          <cell r="G2208" t="str">
            <v/>
          </cell>
          <cell r="H2208" t="str">
            <v>B</v>
          </cell>
        </row>
        <row r="2209">
          <cell r="B2209" t="str">
            <v>Z730201</v>
          </cell>
          <cell r="C2209">
            <v>200109</v>
          </cell>
          <cell r="D2209">
            <v>200513</v>
          </cell>
          <cell r="E2209" t="str">
            <v>C</v>
          </cell>
          <cell r="F2209" t="str">
            <v>Account status = Closed</v>
          </cell>
          <cell r="G2209" t="str">
            <v/>
          </cell>
          <cell r="H2209" t="str">
            <v>B</v>
          </cell>
        </row>
        <row r="2210">
          <cell r="B2210" t="str">
            <v>Z730202</v>
          </cell>
          <cell r="C2210">
            <v>200109</v>
          </cell>
          <cell r="D2210">
            <v>200513</v>
          </cell>
          <cell r="E2210" t="str">
            <v>C</v>
          </cell>
          <cell r="F2210" t="str">
            <v>Account status = Closed</v>
          </cell>
          <cell r="G2210" t="str">
            <v/>
          </cell>
          <cell r="H2210" t="str">
            <v>B</v>
          </cell>
        </row>
        <row r="2211">
          <cell r="B2211" t="str">
            <v>Z730203</v>
          </cell>
          <cell r="C2211">
            <v>200109</v>
          </cell>
          <cell r="D2211">
            <v>200513</v>
          </cell>
          <cell r="E2211" t="str">
            <v>C</v>
          </cell>
          <cell r="F2211" t="str">
            <v>Account status = Closed</v>
          </cell>
          <cell r="G2211" t="str">
            <v/>
          </cell>
          <cell r="H2211" t="str">
            <v>B</v>
          </cell>
        </row>
        <row r="2212">
          <cell r="B2212" t="str">
            <v>Z730204</v>
          </cell>
          <cell r="C2212">
            <v>200109</v>
          </cell>
          <cell r="D2212">
            <v>200513</v>
          </cell>
          <cell r="E2212" t="str">
            <v>C</v>
          </cell>
          <cell r="F2212" t="str">
            <v>Account status = Closed</v>
          </cell>
          <cell r="G2212" t="str">
            <v/>
          </cell>
          <cell r="H2212" t="str">
            <v>B</v>
          </cell>
        </row>
        <row r="2213">
          <cell r="B2213" t="str">
            <v>Z730205</v>
          </cell>
          <cell r="C2213">
            <v>200109</v>
          </cell>
          <cell r="D2213">
            <v>200513</v>
          </cell>
          <cell r="E2213" t="str">
            <v>C</v>
          </cell>
          <cell r="F2213" t="str">
            <v>Account status = Closed</v>
          </cell>
          <cell r="G2213" t="str">
            <v/>
          </cell>
          <cell r="H2213" t="str">
            <v>B</v>
          </cell>
        </row>
        <row r="2214">
          <cell r="B2214" t="str">
            <v>Z730206</v>
          </cell>
          <cell r="C2214">
            <v>200109</v>
          </cell>
          <cell r="D2214">
            <v>201412</v>
          </cell>
          <cell r="E2214" t="str">
            <v>N</v>
          </cell>
          <cell r="F2214" t="str">
            <v>Account closed from period 201412</v>
          </cell>
          <cell r="G2214" t="str">
            <v/>
          </cell>
          <cell r="H2214" t="str">
            <v>B</v>
          </cell>
        </row>
        <row r="2215">
          <cell r="B2215" t="str">
            <v>Z730206</v>
          </cell>
          <cell r="C2215">
            <v>201413</v>
          </cell>
          <cell r="D2215">
            <v>209912</v>
          </cell>
          <cell r="E2215" t="str">
            <v>N</v>
          </cell>
          <cell r="F2215" t="str">
            <v/>
          </cell>
          <cell r="G2215" t="str">
            <v/>
          </cell>
          <cell r="H2215" t="str">
            <v>B</v>
          </cell>
        </row>
        <row r="2216">
          <cell r="B2216" t="str">
            <v>Z730207</v>
          </cell>
          <cell r="C2216">
            <v>200109</v>
          </cell>
          <cell r="D2216">
            <v>200513</v>
          </cell>
          <cell r="E2216" t="str">
            <v>C</v>
          </cell>
          <cell r="F2216" t="str">
            <v>Account status = Closed</v>
          </cell>
          <cell r="G2216" t="str">
            <v/>
          </cell>
          <cell r="H2216" t="str">
            <v>B</v>
          </cell>
        </row>
        <row r="2217">
          <cell r="B2217" t="str">
            <v>Z730208</v>
          </cell>
          <cell r="C2217">
            <v>200109</v>
          </cell>
          <cell r="D2217">
            <v>200513</v>
          </cell>
          <cell r="E2217" t="str">
            <v>C</v>
          </cell>
          <cell r="F2217" t="str">
            <v>Account status = Closed</v>
          </cell>
          <cell r="G2217" t="str">
            <v/>
          </cell>
          <cell r="H2217" t="str">
            <v>B</v>
          </cell>
        </row>
        <row r="2218">
          <cell r="B2218" t="str">
            <v>Z730209</v>
          </cell>
          <cell r="C2218">
            <v>200109</v>
          </cell>
          <cell r="D2218">
            <v>201412</v>
          </cell>
          <cell r="E2218" t="str">
            <v>N</v>
          </cell>
          <cell r="F2218" t="str">
            <v>Account closed from period 201412</v>
          </cell>
          <cell r="G2218" t="str">
            <v/>
          </cell>
          <cell r="H2218" t="str">
            <v>B</v>
          </cell>
        </row>
        <row r="2219">
          <cell r="B2219" t="str">
            <v>Z730209</v>
          </cell>
          <cell r="C2219">
            <v>201413</v>
          </cell>
          <cell r="D2219">
            <v>209912</v>
          </cell>
          <cell r="E2219" t="str">
            <v>N</v>
          </cell>
          <cell r="F2219" t="str">
            <v/>
          </cell>
          <cell r="G2219" t="str">
            <v/>
          </cell>
          <cell r="H2219" t="str">
            <v>B</v>
          </cell>
        </row>
        <row r="2220">
          <cell r="B2220" t="str">
            <v>Z730210</v>
          </cell>
          <cell r="C2220">
            <v>201413</v>
          </cell>
          <cell r="D2220">
            <v>209912</v>
          </cell>
          <cell r="E2220" t="str">
            <v>N</v>
          </cell>
          <cell r="F2220" t="str">
            <v/>
          </cell>
          <cell r="G2220" t="str">
            <v/>
          </cell>
          <cell r="H2220" t="str">
            <v>B</v>
          </cell>
        </row>
        <row r="2221">
          <cell r="B2221" t="str">
            <v>Z730210</v>
          </cell>
          <cell r="C2221">
            <v>200109</v>
          </cell>
          <cell r="D2221">
            <v>201412</v>
          </cell>
          <cell r="E2221" t="str">
            <v>N</v>
          </cell>
          <cell r="F2221" t="str">
            <v>Account closed from period 201412</v>
          </cell>
          <cell r="G2221" t="str">
            <v/>
          </cell>
          <cell r="H2221" t="str">
            <v>B</v>
          </cell>
        </row>
        <row r="2222">
          <cell r="B2222" t="str">
            <v>Z730301</v>
          </cell>
          <cell r="C2222">
            <v>201413</v>
          </cell>
          <cell r="D2222">
            <v>209912</v>
          </cell>
          <cell r="E2222" t="str">
            <v>N</v>
          </cell>
          <cell r="F2222" t="str">
            <v/>
          </cell>
          <cell r="G2222" t="str">
            <v/>
          </cell>
          <cell r="H2222" t="str">
            <v>B</v>
          </cell>
        </row>
        <row r="2223">
          <cell r="B2223" t="str">
            <v>Z730301</v>
          </cell>
          <cell r="C2223">
            <v>200210</v>
          </cell>
          <cell r="D2223">
            <v>201412</v>
          </cell>
          <cell r="E2223" t="str">
            <v>N</v>
          </cell>
          <cell r="F2223" t="str">
            <v>Account closed from period 201412</v>
          </cell>
          <cell r="G2223" t="str">
            <v/>
          </cell>
          <cell r="H2223" t="str">
            <v>B</v>
          </cell>
        </row>
        <row r="2224">
          <cell r="B2224" t="str">
            <v>Z740101</v>
          </cell>
          <cell r="C2224">
            <v>199900</v>
          </cell>
          <cell r="D2224">
            <v>209912</v>
          </cell>
          <cell r="E2224" t="str">
            <v>N</v>
          </cell>
          <cell r="F2224" t="str">
            <v/>
          </cell>
          <cell r="G2224" t="str">
            <v/>
          </cell>
          <cell r="H2224" t="str">
            <v>B</v>
          </cell>
        </row>
        <row r="2225">
          <cell r="B2225" t="str">
            <v>Z750101</v>
          </cell>
          <cell r="C2225">
            <v>200109</v>
          </cell>
          <cell r="D2225">
            <v>209912</v>
          </cell>
          <cell r="E2225" t="str">
            <v>N</v>
          </cell>
          <cell r="F2225" t="str">
            <v/>
          </cell>
          <cell r="G2225" t="str">
            <v/>
          </cell>
          <cell r="H2225" t="str">
            <v>B</v>
          </cell>
        </row>
        <row r="2226">
          <cell r="B2226" t="str">
            <v>Z750102</v>
          </cell>
          <cell r="C2226">
            <v>200109</v>
          </cell>
          <cell r="D2226">
            <v>209912</v>
          </cell>
          <cell r="E2226" t="str">
            <v>N</v>
          </cell>
          <cell r="F2226" t="str">
            <v/>
          </cell>
          <cell r="G2226" t="str">
            <v/>
          </cell>
          <cell r="H2226" t="str">
            <v>B</v>
          </cell>
        </row>
        <row r="2227">
          <cell r="B2227" t="str">
            <v>Z750103</v>
          </cell>
          <cell r="C2227">
            <v>200109</v>
          </cell>
          <cell r="D2227">
            <v>209912</v>
          </cell>
          <cell r="E2227" t="str">
            <v>N</v>
          </cell>
          <cell r="F2227" t="str">
            <v/>
          </cell>
          <cell r="G2227" t="str">
            <v/>
          </cell>
          <cell r="H2227" t="str">
            <v>B</v>
          </cell>
        </row>
        <row r="2228">
          <cell r="B2228" t="str">
            <v>Z750104</v>
          </cell>
          <cell r="C2228">
            <v>201312</v>
          </cell>
          <cell r="D2228">
            <v>209913</v>
          </cell>
          <cell r="E2228" t="str">
            <v>N</v>
          </cell>
          <cell r="F2228" t="str">
            <v/>
          </cell>
          <cell r="G2228" t="str">
            <v/>
          </cell>
          <cell r="H2228" t="str">
            <v>B</v>
          </cell>
        </row>
        <row r="2229">
          <cell r="B2229" t="str">
            <v>Z750105</v>
          </cell>
          <cell r="C2229">
            <v>200109</v>
          </cell>
          <cell r="D2229">
            <v>201013</v>
          </cell>
          <cell r="E2229" t="str">
            <v>N</v>
          </cell>
          <cell r="F2229" t="str">
            <v>Account closed from period 201013</v>
          </cell>
          <cell r="G2229" t="str">
            <v/>
          </cell>
          <cell r="H2229" t="str">
            <v>B</v>
          </cell>
        </row>
        <row r="2230">
          <cell r="B2230" t="str">
            <v>Z750106</v>
          </cell>
          <cell r="C2230">
            <v>200109</v>
          </cell>
          <cell r="D2230">
            <v>209912</v>
          </cell>
          <cell r="E2230" t="str">
            <v>N</v>
          </cell>
          <cell r="F2230" t="str">
            <v/>
          </cell>
          <cell r="G2230" t="str">
            <v/>
          </cell>
          <cell r="H2230" t="str">
            <v>B</v>
          </cell>
        </row>
        <row r="2231">
          <cell r="B2231" t="str">
            <v>Z750107</v>
          </cell>
          <cell r="C2231">
            <v>200109</v>
          </cell>
          <cell r="D2231">
            <v>209912</v>
          </cell>
          <cell r="E2231" t="str">
            <v>N</v>
          </cell>
          <cell r="F2231" t="str">
            <v/>
          </cell>
          <cell r="G2231" t="str">
            <v/>
          </cell>
          <cell r="H2231" t="str">
            <v>B</v>
          </cell>
        </row>
        <row r="2232">
          <cell r="B2232" t="str">
            <v>Z750108</v>
          </cell>
          <cell r="C2232">
            <v>200109</v>
          </cell>
          <cell r="D2232">
            <v>209912</v>
          </cell>
          <cell r="E2232" t="str">
            <v>N</v>
          </cell>
          <cell r="F2232" t="str">
            <v/>
          </cell>
          <cell r="G2232" t="str">
            <v/>
          </cell>
          <cell r="H2232" t="str">
            <v>B</v>
          </cell>
        </row>
        <row r="2233">
          <cell r="B2233" t="str">
            <v>Z750109</v>
          </cell>
          <cell r="C2233">
            <v>200109</v>
          </cell>
          <cell r="D2233">
            <v>209912</v>
          </cell>
          <cell r="E2233" t="str">
            <v>N</v>
          </cell>
          <cell r="F2233" t="str">
            <v/>
          </cell>
          <cell r="G2233" t="str">
            <v/>
          </cell>
          <cell r="H2233" t="str">
            <v>B</v>
          </cell>
        </row>
        <row r="2234">
          <cell r="B2234" t="str">
            <v>Z750110</v>
          </cell>
          <cell r="C2234">
            <v>200109</v>
          </cell>
          <cell r="D2234">
            <v>209912</v>
          </cell>
          <cell r="E2234" t="str">
            <v>N</v>
          </cell>
          <cell r="F2234" t="str">
            <v/>
          </cell>
          <cell r="G2234" t="str">
            <v/>
          </cell>
          <cell r="H2234" t="str">
            <v>B</v>
          </cell>
        </row>
        <row r="2235">
          <cell r="B2235" t="str">
            <v>Z750111</v>
          </cell>
          <cell r="C2235">
            <v>200109</v>
          </cell>
          <cell r="D2235">
            <v>209912</v>
          </cell>
          <cell r="E2235" t="str">
            <v>N</v>
          </cell>
          <cell r="F2235" t="str">
            <v/>
          </cell>
          <cell r="G2235" t="str">
            <v/>
          </cell>
          <cell r="H2235" t="str">
            <v>B</v>
          </cell>
        </row>
        <row r="2236">
          <cell r="B2236" t="str">
            <v>Z750112</v>
          </cell>
          <cell r="C2236">
            <v>200109</v>
          </cell>
          <cell r="D2236">
            <v>209912</v>
          </cell>
          <cell r="E2236" t="str">
            <v>N</v>
          </cell>
          <cell r="F2236" t="str">
            <v/>
          </cell>
          <cell r="G2236" t="str">
            <v/>
          </cell>
          <cell r="H2236" t="str">
            <v>B</v>
          </cell>
        </row>
        <row r="2237">
          <cell r="B2237" t="str">
            <v>Z750113</v>
          </cell>
          <cell r="C2237">
            <v>200109</v>
          </cell>
          <cell r="D2237">
            <v>209912</v>
          </cell>
          <cell r="E2237" t="str">
            <v>N</v>
          </cell>
          <cell r="F2237" t="str">
            <v/>
          </cell>
          <cell r="G2237" t="str">
            <v/>
          </cell>
          <cell r="H2237" t="str">
            <v>B</v>
          </cell>
        </row>
        <row r="2238">
          <cell r="B2238" t="str">
            <v>Z750114</v>
          </cell>
          <cell r="C2238">
            <v>200109</v>
          </cell>
          <cell r="D2238">
            <v>209912</v>
          </cell>
          <cell r="E2238" t="str">
            <v>N</v>
          </cell>
          <cell r="F2238" t="str">
            <v/>
          </cell>
          <cell r="G2238" t="str">
            <v/>
          </cell>
          <cell r="H2238" t="str">
            <v>B</v>
          </cell>
        </row>
        <row r="2239">
          <cell r="B2239" t="str">
            <v>Z750115</v>
          </cell>
          <cell r="C2239">
            <v>200109</v>
          </cell>
          <cell r="D2239">
            <v>209912</v>
          </cell>
          <cell r="E2239" t="str">
            <v>N</v>
          </cell>
          <cell r="F2239" t="str">
            <v/>
          </cell>
          <cell r="G2239" t="str">
            <v/>
          </cell>
          <cell r="H2239" t="str">
            <v>B</v>
          </cell>
        </row>
        <row r="2240">
          <cell r="B2240" t="str">
            <v>Z750116</v>
          </cell>
          <cell r="C2240">
            <v>200200</v>
          </cell>
          <cell r="D2240">
            <v>209912</v>
          </cell>
          <cell r="E2240" t="str">
            <v>N</v>
          </cell>
          <cell r="F2240" t="str">
            <v/>
          </cell>
          <cell r="G2240" t="str">
            <v/>
          </cell>
          <cell r="H2240" t="str">
            <v>B</v>
          </cell>
        </row>
        <row r="2241">
          <cell r="B2241" t="str">
            <v>Z750117</v>
          </cell>
          <cell r="C2241">
            <v>200109</v>
          </cell>
          <cell r="D2241">
            <v>209912</v>
          </cell>
          <cell r="E2241" t="str">
            <v>N</v>
          </cell>
          <cell r="F2241" t="str">
            <v/>
          </cell>
          <cell r="G2241" t="str">
            <v/>
          </cell>
          <cell r="H2241" t="str">
            <v>B</v>
          </cell>
        </row>
        <row r="2242">
          <cell r="B2242" t="str">
            <v>Z750118</v>
          </cell>
          <cell r="C2242">
            <v>200109</v>
          </cell>
          <cell r="D2242">
            <v>209912</v>
          </cell>
          <cell r="E2242" t="str">
            <v>N</v>
          </cell>
          <cell r="F2242" t="str">
            <v/>
          </cell>
          <cell r="G2242" t="str">
            <v/>
          </cell>
          <cell r="H2242" t="str">
            <v>B</v>
          </cell>
        </row>
        <row r="2243">
          <cell r="B2243" t="str">
            <v>Z750119</v>
          </cell>
          <cell r="C2243">
            <v>200109</v>
          </cell>
          <cell r="D2243">
            <v>209912</v>
          </cell>
          <cell r="E2243" t="str">
            <v>N</v>
          </cell>
          <cell r="F2243" t="str">
            <v/>
          </cell>
          <cell r="G2243" t="str">
            <v/>
          </cell>
          <cell r="H2243" t="str">
            <v>B</v>
          </cell>
        </row>
        <row r="2244">
          <cell r="B2244" t="str">
            <v>Z750120</v>
          </cell>
          <cell r="C2244">
            <v>200109</v>
          </cell>
          <cell r="D2244">
            <v>209912</v>
          </cell>
          <cell r="E2244" t="str">
            <v>N</v>
          </cell>
          <cell r="F2244" t="str">
            <v/>
          </cell>
          <cell r="G2244" t="str">
            <v/>
          </cell>
          <cell r="H2244" t="str">
            <v>B</v>
          </cell>
        </row>
        <row r="2245">
          <cell r="B2245" t="str">
            <v>Z750121</v>
          </cell>
          <cell r="C2245">
            <v>200304</v>
          </cell>
          <cell r="D2245">
            <v>209912</v>
          </cell>
          <cell r="E2245" t="str">
            <v>N</v>
          </cell>
          <cell r="F2245" t="str">
            <v/>
          </cell>
          <cell r="G2245" t="str">
            <v/>
          </cell>
          <cell r="H2245" t="str">
            <v>B</v>
          </cell>
        </row>
        <row r="2246">
          <cell r="B2246" t="str">
            <v>Z750122</v>
          </cell>
          <cell r="C2246">
            <v>200109</v>
          </cell>
          <cell r="D2246">
            <v>209912</v>
          </cell>
          <cell r="E2246" t="str">
            <v>N</v>
          </cell>
          <cell r="F2246" t="str">
            <v/>
          </cell>
          <cell r="G2246" t="str">
            <v/>
          </cell>
          <cell r="H2246" t="str">
            <v>B</v>
          </cell>
        </row>
        <row r="2247">
          <cell r="B2247" t="str">
            <v>Z750123</v>
          </cell>
          <cell r="C2247">
            <v>200109</v>
          </cell>
          <cell r="D2247">
            <v>209912</v>
          </cell>
          <cell r="E2247" t="str">
            <v>N</v>
          </cell>
          <cell r="F2247" t="str">
            <v/>
          </cell>
          <cell r="G2247" t="str">
            <v/>
          </cell>
          <cell r="H2247" t="str">
            <v>B</v>
          </cell>
        </row>
        <row r="2248">
          <cell r="B2248" t="str">
            <v>Z750124</v>
          </cell>
          <cell r="C2248">
            <v>200113</v>
          </cell>
          <cell r="D2248">
            <v>209912</v>
          </cell>
          <cell r="E2248" t="str">
            <v>N</v>
          </cell>
          <cell r="F2248" t="str">
            <v/>
          </cell>
          <cell r="G2248" t="str">
            <v/>
          </cell>
          <cell r="H2248" t="str">
            <v>B</v>
          </cell>
        </row>
        <row r="2249">
          <cell r="B2249" t="str">
            <v>Z750125</v>
          </cell>
          <cell r="C2249">
            <v>200213</v>
          </cell>
          <cell r="D2249">
            <v>209912</v>
          </cell>
          <cell r="E2249" t="str">
            <v>N</v>
          </cell>
          <cell r="F2249" t="str">
            <v/>
          </cell>
          <cell r="G2249" t="str">
            <v/>
          </cell>
          <cell r="H2249" t="str">
            <v>B</v>
          </cell>
        </row>
        <row r="2250">
          <cell r="B2250" t="str">
            <v>Z750126</v>
          </cell>
          <cell r="C2250">
            <v>200213</v>
          </cell>
          <cell r="D2250">
            <v>209912</v>
          </cell>
          <cell r="E2250" t="str">
            <v>N</v>
          </cell>
          <cell r="F2250" t="str">
            <v/>
          </cell>
          <cell r="G2250" t="str">
            <v/>
          </cell>
          <cell r="H2250" t="str">
            <v>B</v>
          </cell>
        </row>
        <row r="2251">
          <cell r="B2251" t="str">
            <v>Z750127</v>
          </cell>
          <cell r="C2251">
            <v>200213</v>
          </cell>
          <cell r="D2251">
            <v>209912</v>
          </cell>
          <cell r="E2251" t="str">
            <v>N</v>
          </cell>
          <cell r="F2251" t="str">
            <v/>
          </cell>
          <cell r="G2251" t="str">
            <v/>
          </cell>
          <cell r="H2251" t="str">
            <v>B</v>
          </cell>
        </row>
        <row r="2252">
          <cell r="B2252" t="str">
            <v>Z750128</v>
          </cell>
          <cell r="C2252">
            <v>200313</v>
          </cell>
          <cell r="D2252">
            <v>209912</v>
          </cell>
          <cell r="E2252" t="str">
            <v>N</v>
          </cell>
          <cell r="F2252" t="str">
            <v/>
          </cell>
          <cell r="G2252" t="str">
            <v/>
          </cell>
          <cell r="H2252" t="str">
            <v>B</v>
          </cell>
        </row>
        <row r="2253">
          <cell r="B2253" t="str">
            <v>Z750129</v>
          </cell>
          <cell r="C2253">
            <v>200313</v>
          </cell>
          <cell r="D2253">
            <v>209912</v>
          </cell>
          <cell r="E2253" t="str">
            <v>N</v>
          </cell>
          <cell r="F2253" t="str">
            <v/>
          </cell>
          <cell r="G2253" t="str">
            <v/>
          </cell>
          <cell r="H2253" t="str">
            <v>B</v>
          </cell>
        </row>
        <row r="2254">
          <cell r="B2254" t="str">
            <v>Z750130</v>
          </cell>
          <cell r="C2254">
            <v>200411</v>
          </cell>
          <cell r="D2254">
            <v>209912</v>
          </cell>
          <cell r="E2254" t="str">
            <v>N</v>
          </cell>
          <cell r="F2254" t="str">
            <v/>
          </cell>
          <cell r="G2254" t="str">
            <v/>
          </cell>
          <cell r="H2254" t="str">
            <v>B</v>
          </cell>
        </row>
        <row r="2255">
          <cell r="B2255" t="str">
            <v>Z750131</v>
          </cell>
          <cell r="C2255">
            <v>200413</v>
          </cell>
          <cell r="D2255">
            <v>209912</v>
          </cell>
          <cell r="E2255" t="str">
            <v>N</v>
          </cell>
          <cell r="F2255" t="str">
            <v/>
          </cell>
          <cell r="G2255" t="str">
            <v/>
          </cell>
          <cell r="H2255" t="str">
            <v>B</v>
          </cell>
        </row>
        <row r="2256">
          <cell r="B2256" t="str">
            <v>Z750132</v>
          </cell>
          <cell r="C2256">
            <v>200413</v>
          </cell>
          <cell r="D2256">
            <v>209912</v>
          </cell>
          <cell r="E2256" t="str">
            <v>N</v>
          </cell>
          <cell r="F2256" t="str">
            <v/>
          </cell>
          <cell r="G2256" t="str">
            <v/>
          </cell>
          <cell r="H2256" t="str">
            <v>B</v>
          </cell>
        </row>
        <row r="2257">
          <cell r="B2257" t="str">
            <v>Z750133</v>
          </cell>
          <cell r="C2257">
            <v>200508</v>
          </cell>
          <cell r="D2257">
            <v>209912</v>
          </cell>
          <cell r="E2257" t="str">
            <v>N</v>
          </cell>
          <cell r="F2257" t="str">
            <v/>
          </cell>
          <cell r="G2257" t="str">
            <v/>
          </cell>
          <cell r="H2257" t="str">
            <v>B</v>
          </cell>
        </row>
        <row r="2258">
          <cell r="B2258" t="str">
            <v>Z750134</v>
          </cell>
          <cell r="C2258">
            <v>200513</v>
          </cell>
          <cell r="D2258">
            <v>209912</v>
          </cell>
          <cell r="E2258" t="str">
            <v>N</v>
          </cell>
          <cell r="F2258" t="str">
            <v/>
          </cell>
          <cell r="G2258" t="str">
            <v/>
          </cell>
          <cell r="H2258" t="str">
            <v>B</v>
          </cell>
        </row>
        <row r="2259">
          <cell r="B2259" t="str">
            <v>Z750135</v>
          </cell>
          <cell r="C2259">
            <v>200601</v>
          </cell>
          <cell r="D2259">
            <v>209912</v>
          </cell>
          <cell r="E2259" t="str">
            <v>N</v>
          </cell>
          <cell r="F2259" t="str">
            <v/>
          </cell>
          <cell r="G2259" t="str">
            <v/>
          </cell>
          <cell r="H2259" t="str">
            <v>B</v>
          </cell>
        </row>
        <row r="2260">
          <cell r="B2260" t="str">
            <v>Z750136</v>
          </cell>
          <cell r="C2260">
            <v>200701</v>
          </cell>
          <cell r="D2260">
            <v>209912</v>
          </cell>
          <cell r="E2260" t="str">
            <v>N</v>
          </cell>
          <cell r="F2260" t="str">
            <v/>
          </cell>
          <cell r="G2260" t="str">
            <v/>
          </cell>
          <cell r="H2260" t="str">
            <v>B</v>
          </cell>
        </row>
        <row r="2261">
          <cell r="B2261" t="str">
            <v>Z750137</v>
          </cell>
          <cell r="C2261">
            <v>200712</v>
          </cell>
          <cell r="D2261">
            <v>209912</v>
          </cell>
          <cell r="E2261" t="str">
            <v>N</v>
          </cell>
          <cell r="F2261" t="str">
            <v/>
          </cell>
          <cell r="G2261" t="str">
            <v/>
          </cell>
          <cell r="H2261" t="str">
            <v>B</v>
          </cell>
        </row>
        <row r="2262">
          <cell r="B2262" t="str">
            <v>Z750138</v>
          </cell>
          <cell r="C2262">
            <v>200713</v>
          </cell>
          <cell r="D2262">
            <v>209912</v>
          </cell>
          <cell r="E2262" t="str">
            <v>N</v>
          </cell>
          <cell r="F2262" t="str">
            <v/>
          </cell>
          <cell r="G2262" t="str">
            <v/>
          </cell>
          <cell r="H2262" t="str">
            <v>B</v>
          </cell>
        </row>
        <row r="2263">
          <cell r="B2263" t="str">
            <v>Z750139</v>
          </cell>
          <cell r="C2263">
            <v>200713</v>
          </cell>
          <cell r="D2263">
            <v>209912</v>
          </cell>
          <cell r="E2263" t="str">
            <v>N</v>
          </cell>
          <cell r="F2263" t="str">
            <v/>
          </cell>
          <cell r="G2263" t="str">
            <v/>
          </cell>
          <cell r="H2263" t="str">
            <v>B</v>
          </cell>
        </row>
        <row r="2264">
          <cell r="B2264" t="str">
            <v>Z750140</v>
          </cell>
          <cell r="C2264">
            <v>200801</v>
          </cell>
          <cell r="D2264">
            <v>209912</v>
          </cell>
          <cell r="E2264" t="str">
            <v>N</v>
          </cell>
          <cell r="F2264" t="str">
            <v/>
          </cell>
          <cell r="G2264" t="str">
            <v/>
          </cell>
          <cell r="H2264" t="str">
            <v>B</v>
          </cell>
        </row>
        <row r="2265">
          <cell r="B2265" t="str">
            <v>Z750141</v>
          </cell>
          <cell r="C2265">
            <v>200801</v>
          </cell>
          <cell r="D2265">
            <v>209912</v>
          </cell>
          <cell r="E2265" t="str">
            <v>N</v>
          </cell>
          <cell r="F2265" t="str">
            <v/>
          </cell>
          <cell r="G2265" t="str">
            <v/>
          </cell>
          <cell r="H2265" t="str">
            <v>B</v>
          </cell>
        </row>
        <row r="2266">
          <cell r="B2266" t="str">
            <v>Z750142</v>
          </cell>
          <cell r="C2266">
            <v>200801</v>
          </cell>
          <cell r="D2266">
            <v>209912</v>
          </cell>
          <cell r="E2266" t="str">
            <v>N</v>
          </cell>
          <cell r="F2266" t="str">
            <v/>
          </cell>
          <cell r="G2266" t="str">
            <v/>
          </cell>
          <cell r="H2266" t="str">
            <v>B</v>
          </cell>
        </row>
        <row r="2267">
          <cell r="B2267" t="str">
            <v>Z750143</v>
          </cell>
          <cell r="C2267">
            <v>200801</v>
          </cell>
          <cell r="D2267">
            <v>209912</v>
          </cell>
          <cell r="E2267" t="str">
            <v>N</v>
          </cell>
          <cell r="F2267" t="str">
            <v/>
          </cell>
          <cell r="G2267" t="str">
            <v/>
          </cell>
          <cell r="H2267" t="str">
            <v>R</v>
          </cell>
        </row>
        <row r="2268">
          <cell r="B2268" t="str">
            <v>Z750144</v>
          </cell>
          <cell r="C2268">
            <v>200801</v>
          </cell>
          <cell r="D2268">
            <v>209912</v>
          </cell>
          <cell r="E2268" t="str">
            <v>N</v>
          </cell>
          <cell r="F2268" t="str">
            <v/>
          </cell>
          <cell r="G2268" t="str">
            <v/>
          </cell>
          <cell r="H2268" t="str">
            <v>R</v>
          </cell>
        </row>
        <row r="2269">
          <cell r="B2269" t="str">
            <v>Z750145</v>
          </cell>
          <cell r="C2269">
            <v>200801</v>
          </cell>
          <cell r="D2269">
            <v>209912</v>
          </cell>
          <cell r="E2269" t="str">
            <v>N</v>
          </cell>
          <cell r="F2269" t="str">
            <v/>
          </cell>
          <cell r="G2269" t="str">
            <v/>
          </cell>
          <cell r="H2269" t="str">
            <v>R</v>
          </cell>
        </row>
        <row r="2270">
          <cell r="B2270" t="str">
            <v>Z750146</v>
          </cell>
          <cell r="C2270">
            <v>200801</v>
          </cell>
          <cell r="D2270">
            <v>209912</v>
          </cell>
          <cell r="E2270" t="str">
            <v>N</v>
          </cell>
          <cell r="F2270" t="str">
            <v/>
          </cell>
          <cell r="G2270" t="str">
            <v/>
          </cell>
          <cell r="H2270" t="str">
            <v>R</v>
          </cell>
        </row>
        <row r="2271">
          <cell r="B2271" t="str">
            <v>Z750147</v>
          </cell>
          <cell r="C2271">
            <v>200901</v>
          </cell>
          <cell r="D2271">
            <v>209912</v>
          </cell>
          <cell r="E2271" t="str">
            <v>N</v>
          </cell>
          <cell r="F2271" t="str">
            <v/>
          </cell>
          <cell r="G2271" t="str">
            <v/>
          </cell>
          <cell r="H2271" t="str">
            <v>R</v>
          </cell>
        </row>
        <row r="2272">
          <cell r="B2272" t="str">
            <v>Z750148</v>
          </cell>
          <cell r="C2272">
            <v>200901</v>
          </cell>
          <cell r="D2272">
            <v>209912</v>
          </cell>
          <cell r="E2272" t="str">
            <v>N</v>
          </cell>
          <cell r="F2272" t="str">
            <v/>
          </cell>
          <cell r="G2272" t="str">
            <v/>
          </cell>
          <cell r="H2272" t="str">
            <v>R</v>
          </cell>
        </row>
        <row r="2273">
          <cell r="B2273" t="str">
            <v>Z750149</v>
          </cell>
          <cell r="C2273">
            <v>200901</v>
          </cell>
          <cell r="D2273">
            <v>209912</v>
          </cell>
          <cell r="E2273" t="str">
            <v>N</v>
          </cell>
          <cell r="F2273" t="str">
            <v/>
          </cell>
          <cell r="G2273" t="str">
            <v/>
          </cell>
          <cell r="H2273" t="str">
            <v>R</v>
          </cell>
        </row>
        <row r="2274">
          <cell r="B2274" t="str">
            <v>Z750150</v>
          </cell>
          <cell r="C2274">
            <v>200901</v>
          </cell>
          <cell r="D2274">
            <v>209912</v>
          </cell>
          <cell r="E2274" t="str">
            <v>N</v>
          </cell>
          <cell r="F2274" t="str">
            <v/>
          </cell>
          <cell r="G2274" t="str">
            <v/>
          </cell>
          <cell r="H2274" t="str">
            <v>B</v>
          </cell>
        </row>
        <row r="2275">
          <cell r="B2275" t="str">
            <v>Z750151</v>
          </cell>
          <cell r="C2275">
            <v>200901</v>
          </cell>
          <cell r="D2275">
            <v>209912</v>
          </cell>
          <cell r="E2275" t="str">
            <v>N</v>
          </cell>
          <cell r="F2275" t="str">
            <v/>
          </cell>
          <cell r="G2275" t="str">
            <v/>
          </cell>
          <cell r="H2275" t="str">
            <v>B</v>
          </cell>
        </row>
        <row r="2276">
          <cell r="B2276" t="str">
            <v>Z750152</v>
          </cell>
          <cell r="C2276">
            <v>201008</v>
          </cell>
          <cell r="D2276">
            <v>209912</v>
          </cell>
          <cell r="E2276" t="str">
            <v>N</v>
          </cell>
          <cell r="F2276" t="str">
            <v/>
          </cell>
          <cell r="G2276" t="str">
            <v/>
          </cell>
          <cell r="H2276" t="str">
            <v>B</v>
          </cell>
        </row>
        <row r="2277">
          <cell r="B2277" t="str">
            <v>Z750153</v>
          </cell>
          <cell r="C2277">
            <v>201012</v>
          </cell>
          <cell r="D2277">
            <v>209912</v>
          </cell>
          <cell r="E2277" t="str">
            <v>N</v>
          </cell>
          <cell r="F2277" t="str">
            <v/>
          </cell>
          <cell r="G2277" t="str">
            <v/>
          </cell>
          <cell r="H2277" t="str">
            <v>B</v>
          </cell>
        </row>
        <row r="2278">
          <cell r="B2278" t="str">
            <v>Z750154</v>
          </cell>
          <cell r="C2278">
            <v>201012</v>
          </cell>
          <cell r="D2278">
            <v>209912</v>
          </cell>
          <cell r="E2278" t="str">
            <v>N</v>
          </cell>
          <cell r="F2278" t="str">
            <v/>
          </cell>
          <cell r="G2278" t="str">
            <v/>
          </cell>
          <cell r="H2278" t="str">
            <v>B</v>
          </cell>
        </row>
        <row r="2279">
          <cell r="B2279" t="str">
            <v>Z750155</v>
          </cell>
          <cell r="C2279">
            <v>201013</v>
          </cell>
          <cell r="D2279">
            <v>209912</v>
          </cell>
          <cell r="E2279" t="str">
            <v>N</v>
          </cell>
          <cell r="F2279" t="str">
            <v/>
          </cell>
          <cell r="G2279" t="str">
            <v/>
          </cell>
          <cell r="H2279" t="str">
            <v>B</v>
          </cell>
        </row>
        <row r="2280">
          <cell r="B2280" t="str">
            <v>Z750156</v>
          </cell>
          <cell r="C2280">
            <v>201013</v>
          </cell>
          <cell r="D2280">
            <v>209912</v>
          </cell>
          <cell r="E2280" t="str">
            <v>N</v>
          </cell>
          <cell r="F2280" t="str">
            <v/>
          </cell>
          <cell r="G2280" t="str">
            <v/>
          </cell>
          <cell r="H2280" t="str">
            <v>B</v>
          </cell>
        </row>
        <row r="2281">
          <cell r="B2281" t="str">
            <v>Z750157</v>
          </cell>
          <cell r="C2281">
            <v>201013</v>
          </cell>
          <cell r="D2281">
            <v>209912</v>
          </cell>
          <cell r="E2281" t="str">
            <v>N</v>
          </cell>
          <cell r="F2281" t="str">
            <v/>
          </cell>
          <cell r="G2281" t="str">
            <v/>
          </cell>
          <cell r="H2281" t="str">
            <v>B</v>
          </cell>
        </row>
        <row r="2282">
          <cell r="B2282" t="str">
            <v>Z750158</v>
          </cell>
          <cell r="C2282">
            <v>201013</v>
          </cell>
          <cell r="D2282">
            <v>209912</v>
          </cell>
          <cell r="E2282" t="str">
            <v>N</v>
          </cell>
          <cell r="F2282" t="str">
            <v/>
          </cell>
          <cell r="G2282" t="str">
            <v/>
          </cell>
          <cell r="H2282" t="str">
            <v>B</v>
          </cell>
        </row>
        <row r="2283">
          <cell r="B2283" t="str">
            <v>Z750159</v>
          </cell>
          <cell r="C2283">
            <v>199900</v>
          </cell>
          <cell r="D2283">
            <v>209912</v>
          </cell>
          <cell r="E2283" t="str">
            <v>N</v>
          </cell>
          <cell r="F2283" t="str">
            <v/>
          </cell>
          <cell r="G2283" t="str">
            <v/>
          </cell>
          <cell r="H2283" t="str">
            <v>B</v>
          </cell>
        </row>
        <row r="2284">
          <cell r="B2284" t="str">
            <v>Z750160</v>
          </cell>
          <cell r="C2284">
            <v>199900</v>
          </cell>
          <cell r="D2284">
            <v>209912</v>
          </cell>
          <cell r="E2284" t="str">
            <v>N</v>
          </cell>
          <cell r="F2284" t="str">
            <v/>
          </cell>
          <cell r="G2284" t="str">
            <v/>
          </cell>
          <cell r="H2284" t="str">
            <v>B</v>
          </cell>
        </row>
        <row r="2285">
          <cell r="B2285" t="str">
            <v>Z750161</v>
          </cell>
          <cell r="C2285">
            <v>199900</v>
          </cell>
          <cell r="D2285">
            <v>209912</v>
          </cell>
          <cell r="E2285" t="str">
            <v>N</v>
          </cell>
          <cell r="F2285" t="str">
            <v/>
          </cell>
          <cell r="G2285" t="str">
            <v/>
          </cell>
          <cell r="H2285" t="str">
            <v>R</v>
          </cell>
        </row>
        <row r="2286">
          <cell r="B2286" t="str">
            <v>Z750162</v>
          </cell>
          <cell r="C2286">
            <v>199900</v>
          </cell>
          <cell r="D2286">
            <v>209912</v>
          </cell>
          <cell r="E2286" t="str">
            <v>N</v>
          </cell>
          <cell r="F2286" t="str">
            <v/>
          </cell>
          <cell r="G2286" t="str">
            <v/>
          </cell>
          <cell r="H2286" t="str">
            <v>R</v>
          </cell>
        </row>
        <row r="2287">
          <cell r="B2287" t="str">
            <v>Z750163</v>
          </cell>
          <cell r="C2287">
            <v>199900</v>
          </cell>
          <cell r="D2287">
            <v>209912</v>
          </cell>
          <cell r="E2287" t="str">
            <v>N</v>
          </cell>
          <cell r="F2287" t="str">
            <v/>
          </cell>
          <cell r="G2287" t="str">
            <v/>
          </cell>
          <cell r="H2287" t="str">
            <v>R</v>
          </cell>
        </row>
        <row r="2288">
          <cell r="B2288" t="str">
            <v>Z750164</v>
          </cell>
          <cell r="C2288">
            <v>199900</v>
          </cell>
          <cell r="D2288">
            <v>209912</v>
          </cell>
          <cell r="E2288" t="str">
            <v>N</v>
          </cell>
          <cell r="F2288" t="str">
            <v/>
          </cell>
          <cell r="G2288" t="str">
            <v/>
          </cell>
          <cell r="H2288" t="str">
            <v>R</v>
          </cell>
        </row>
        <row r="2289">
          <cell r="B2289" t="str">
            <v>Z750165</v>
          </cell>
          <cell r="C2289">
            <v>199900</v>
          </cell>
          <cell r="D2289">
            <v>209912</v>
          </cell>
          <cell r="E2289" t="str">
            <v>N</v>
          </cell>
          <cell r="F2289" t="str">
            <v/>
          </cell>
          <cell r="G2289" t="str">
            <v/>
          </cell>
          <cell r="H2289" t="str">
            <v>R</v>
          </cell>
        </row>
        <row r="2290">
          <cell r="B2290" t="str">
            <v>Z750166</v>
          </cell>
          <cell r="C2290">
            <v>199900</v>
          </cell>
          <cell r="D2290">
            <v>209912</v>
          </cell>
          <cell r="E2290" t="str">
            <v>N</v>
          </cell>
          <cell r="F2290" t="str">
            <v/>
          </cell>
          <cell r="G2290" t="str">
            <v/>
          </cell>
          <cell r="H2290" t="str">
            <v>R</v>
          </cell>
        </row>
        <row r="2291">
          <cell r="B2291" t="str">
            <v>Z750167</v>
          </cell>
          <cell r="C2291">
            <v>199900</v>
          </cell>
          <cell r="D2291">
            <v>209912</v>
          </cell>
          <cell r="E2291" t="str">
            <v>N</v>
          </cell>
          <cell r="F2291" t="str">
            <v/>
          </cell>
          <cell r="G2291" t="str">
            <v/>
          </cell>
          <cell r="H2291" t="str">
            <v>R</v>
          </cell>
        </row>
        <row r="2292">
          <cell r="B2292" t="str">
            <v>Z750168</v>
          </cell>
          <cell r="C2292">
            <v>199900</v>
          </cell>
          <cell r="D2292">
            <v>209912</v>
          </cell>
          <cell r="E2292" t="str">
            <v>N</v>
          </cell>
          <cell r="F2292" t="str">
            <v/>
          </cell>
          <cell r="G2292" t="str">
            <v/>
          </cell>
          <cell r="H2292" t="str">
            <v>B</v>
          </cell>
        </row>
        <row r="2293">
          <cell r="B2293" t="str">
            <v>Z750169</v>
          </cell>
          <cell r="C2293">
            <v>199900</v>
          </cell>
          <cell r="D2293">
            <v>209912</v>
          </cell>
          <cell r="E2293" t="str">
            <v>N</v>
          </cell>
          <cell r="F2293" t="str">
            <v/>
          </cell>
          <cell r="G2293" t="str">
            <v/>
          </cell>
          <cell r="H2293" t="str">
            <v>R</v>
          </cell>
        </row>
        <row r="2294">
          <cell r="B2294" t="str">
            <v>Z750170</v>
          </cell>
          <cell r="C2294">
            <v>199900</v>
          </cell>
          <cell r="D2294">
            <v>209912</v>
          </cell>
          <cell r="E2294" t="str">
            <v>N</v>
          </cell>
          <cell r="F2294" t="str">
            <v/>
          </cell>
          <cell r="G2294" t="str">
            <v/>
          </cell>
          <cell r="H2294" t="str">
            <v>R</v>
          </cell>
        </row>
        <row r="2295">
          <cell r="B2295" t="str">
            <v>Z750171</v>
          </cell>
          <cell r="C2295">
            <v>199900</v>
          </cell>
          <cell r="D2295">
            <v>209912</v>
          </cell>
          <cell r="E2295" t="str">
            <v>N</v>
          </cell>
          <cell r="F2295" t="str">
            <v/>
          </cell>
          <cell r="G2295" t="str">
            <v/>
          </cell>
          <cell r="H2295" t="str">
            <v>R</v>
          </cell>
        </row>
        <row r="2296">
          <cell r="B2296" t="str">
            <v>Z750172</v>
          </cell>
          <cell r="C2296">
            <v>199900</v>
          </cell>
          <cell r="D2296">
            <v>209912</v>
          </cell>
          <cell r="E2296" t="str">
            <v>N</v>
          </cell>
          <cell r="F2296" t="str">
            <v/>
          </cell>
          <cell r="G2296" t="str">
            <v/>
          </cell>
          <cell r="H2296" t="str">
            <v>R</v>
          </cell>
        </row>
        <row r="2297">
          <cell r="B2297" t="str">
            <v>Z750173</v>
          </cell>
          <cell r="C2297">
            <v>199900</v>
          </cell>
          <cell r="D2297">
            <v>209912</v>
          </cell>
          <cell r="E2297" t="str">
            <v>N</v>
          </cell>
          <cell r="F2297" t="str">
            <v/>
          </cell>
          <cell r="G2297" t="str">
            <v/>
          </cell>
          <cell r="H2297" t="str">
            <v>R</v>
          </cell>
        </row>
        <row r="2298">
          <cell r="B2298" t="str">
            <v>Z750174</v>
          </cell>
          <cell r="C2298">
            <v>199900</v>
          </cell>
          <cell r="D2298">
            <v>209912</v>
          </cell>
          <cell r="E2298" t="str">
            <v>N</v>
          </cell>
          <cell r="F2298" t="str">
            <v/>
          </cell>
          <cell r="G2298" t="str">
            <v/>
          </cell>
          <cell r="H2298" t="str">
            <v>R</v>
          </cell>
        </row>
        <row r="2299">
          <cell r="B2299" t="str">
            <v>Z750175</v>
          </cell>
          <cell r="C2299">
            <v>199900</v>
          </cell>
          <cell r="D2299">
            <v>209912</v>
          </cell>
          <cell r="E2299" t="str">
            <v>N</v>
          </cell>
          <cell r="F2299" t="str">
            <v/>
          </cell>
          <cell r="G2299" t="str">
            <v/>
          </cell>
          <cell r="H2299" t="str">
            <v>R</v>
          </cell>
        </row>
        <row r="2300">
          <cell r="B2300" t="str">
            <v>Z750176</v>
          </cell>
          <cell r="C2300">
            <v>199900</v>
          </cell>
          <cell r="D2300">
            <v>209912</v>
          </cell>
          <cell r="E2300" t="str">
            <v>N</v>
          </cell>
          <cell r="F2300" t="str">
            <v/>
          </cell>
          <cell r="G2300" t="str">
            <v/>
          </cell>
          <cell r="H2300" t="str">
            <v>R</v>
          </cell>
        </row>
        <row r="2301">
          <cell r="B2301" t="str">
            <v>Z750177</v>
          </cell>
          <cell r="C2301">
            <v>199900</v>
          </cell>
          <cell r="D2301">
            <v>209912</v>
          </cell>
          <cell r="E2301" t="str">
            <v>N</v>
          </cell>
          <cell r="F2301" t="str">
            <v/>
          </cell>
          <cell r="G2301" t="str">
            <v/>
          </cell>
          <cell r="H2301" t="str">
            <v>R</v>
          </cell>
        </row>
        <row r="2302">
          <cell r="B2302" t="str">
            <v>Z750178</v>
          </cell>
          <cell r="C2302">
            <v>199900</v>
          </cell>
          <cell r="D2302">
            <v>209912</v>
          </cell>
          <cell r="E2302" t="str">
            <v>N</v>
          </cell>
          <cell r="F2302" t="str">
            <v/>
          </cell>
          <cell r="G2302" t="str">
            <v/>
          </cell>
          <cell r="H2302" t="str">
            <v>R</v>
          </cell>
        </row>
        <row r="2303">
          <cell r="B2303" t="str">
            <v>Z750179</v>
          </cell>
          <cell r="C2303">
            <v>199900</v>
          </cell>
          <cell r="D2303">
            <v>209912</v>
          </cell>
          <cell r="E2303" t="str">
            <v>N</v>
          </cell>
          <cell r="F2303" t="str">
            <v/>
          </cell>
          <cell r="G2303" t="str">
            <v/>
          </cell>
          <cell r="H2303" t="str">
            <v>R</v>
          </cell>
        </row>
        <row r="2304">
          <cell r="B2304" t="str">
            <v>Z750180</v>
          </cell>
          <cell r="C2304">
            <v>199900</v>
          </cell>
          <cell r="D2304">
            <v>209912</v>
          </cell>
          <cell r="E2304" t="str">
            <v>N</v>
          </cell>
          <cell r="F2304" t="str">
            <v/>
          </cell>
          <cell r="G2304" t="str">
            <v/>
          </cell>
          <cell r="H2304" t="str">
            <v>R</v>
          </cell>
        </row>
        <row r="2305">
          <cell r="B2305" t="str">
            <v>Z750181</v>
          </cell>
          <cell r="C2305">
            <v>199900</v>
          </cell>
          <cell r="D2305">
            <v>209912</v>
          </cell>
          <cell r="E2305" t="str">
            <v>N</v>
          </cell>
          <cell r="F2305" t="str">
            <v/>
          </cell>
          <cell r="G2305" t="str">
            <v/>
          </cell>
          <cell r="H2305" t="str">
            <v>B</v>
          </cell>
        </row>
        <row r="2306">
          <cell r="B2306" t="str">
            <v>Z750182</v>
          </cell>
          <cell r="C2306">
            <v>199900</v>
          </cell>
          <cell r="D2306">
            <v>209912</v>
          </cell>
          <cell r="E2306" t="str">
            <v>N</v>
          </cell>
          <cell r="F2306" t="str">
            <v/>
          </cell>
          <cell r="G2306" t="str">
            <v/>
          </cell>
          <cell r="H2306" t="str">
            <v>B</v>
          </cell>
        </row>
        <row r="2307">
          <cell r="B2307" t="str">
            <v>Z750183</v>
          </cell>
          <cell r="C2307">
            <v>199900</v>
          </cell>
          <cell r="D2307">
            <v>209912</v>
          </cell>
          <cell r="E2307" t="str">
            <v>N</v>
          </cell>
          <cell r="F2307" t="str">
            <v/>
          </cell>
          <cell r="G2307" t="str">
            <v/>
          </cell>
          <cell r="H2307" t="str">
            <v>B</v>
          </cell>
        </row>
        <row r="2308">
          <cell r="B2308" t="str">
            <v>Z750184</v>
          </cell>
          <cell r="C2308">
            <v>199900</v>
          </cell>
          <cell r="D2308">
            <v>209912</v>
          </cell>
          <cell r="E2308" t="str">
            <v>N</v>
          </cell>
          <cell r="F2308" t="str">
            <v/>
          </cell>
          <cell r="G2308" t="str">
            <v/>
          </cell>
          <cell r="H2308" t="str">
            <v>B</v>
          </cell>
        </row>
        <row r="2309">
          <cell r="B2309" t="str">
            <v>Z750185</v>
          </cell>
          <cell r="C2309">
            <v>199900</v>
          </cell>
          <cell r="D2309">
            <v>209912</v>
          </cell>
          <cell r="E2309" t="str">
            <v>N</v>
          </cell>
          <cell r="F2309" t="str">
            <v/>
          </cell>
          <cell r="G2309" t="str">
            <v/>
          </cell>
          <cell r="H2309" t="str">
            <v>R</v>
          </cell>
        </row>
        <row r="2310">
          <cell r="B2310" t="str">
            <v>Z750186</v>
          </cell>
          <cell r="C2310">
            <v>199900</v>
          </cell>
          <cell r="D2310">
            <v>209912</v>
          </cell>
          <cell r="E2310" t="str">
            <v>N</v>
          </cell>
          <cell r="F2310" t="str">
            <v/>
          </cell>
          <cell r="G2310" t="str">
            <v/>
          </cell>
          <cell r="H2310" t="str">
            <v>R</v>
          </cell>
        </row>
        <row r="2311">
          <cell r="B2311" t="str">
            <v>Z750187</v>
          </cell>
          <cell r="C2311">
            <v>199900</v>
          </cell>
          <cell r="D2311">
            <v>209912</v>
          </cell>
          <cell r="E2311" t="str">
            <v>N</v>
          </cell>
          <cell r="F2311" t="str">
            <v/>
          </cell>
          <cell r="G2311" t="str">
            <v/>
          </cell>
          <cell r="H2311" t="str">
            <v>R</v>
          </cell>
        </row>
        <row r="2312">
          <cell r="B2312" t="str">
            <v>Z750188</v>
          </cell>
          <cell r="C2312">
            <v>199900</v>
          </cell>
          <cell r="D2312">
            <v>209912</v>
          </cell>
          <cell r="E2312" t="str">
            <v>N</v>
          </cell>
          <cell r="F2312" t="str">
            <v/>
          </cell>
          <cell r="G2312" t="str">
            <v/>
          </cell>
          <cell r="H2312" t="str">
            <v>R</v>
          </cell>
        </row>
        <row r="2313">
          <cell r="B2313" t="str">
            <v>Z750189</v>
          </cell>
          <cell r="C2313">
            <v>199900</v>
          </cell>
          <cell r="D2313">
            <v>209912</v>
          </cell>
          <cell r="E2313" t="str">
            <v>N</v>
          </cell>
          <cell r="F2313" t="str">
            <v/>
          </cell>
          <cell r="G2313" t="str">
            <v/>
          </cell>
          <cell r="H2313" t="str">
            <v>R</v>
          </cell>
        </row>
        <row r="2314">
          <cell r="B2314" t="str">
            <v>Z750190</v>
          </cell>
          <cell r="C2314">
            <v>201312</v>
          </cell>
          <cell r="D2314">
            <v>209912</v>
          </cell>
          <cell r="E2314" t="str">
            <v>N</v>
          </cell>
          <cell r="F2314" t="str">
            <v/>
          </cell>
          <cell r="G2314" t="str">
            <v/>
          </cell>
          <cell r="H2314" t="str">
            <v>R</v>
          </cell>
        </row>
        <row r="2315">
          <cell r="B2315" t="str">
            <v>Z750191</v>
          </cell>
          <cell r="C2315">
            <v>201312</v>
          </cell>
          <cell r="D2315">
            <v>209912</v>
          </cell>
          <cell r="E2315" t="str">
            <v>N</v>
          </cell>
          <cell r="F2315" t="str">
            <v/>
          </cell>
          <cell r="G2315" t="str">
            <v/>
          </cell>
          <cell r="H2315" t="str">
            <v>R</v>
          </cell>
        </row>
        <row r="2316">
          <cell r="B2316" t="str">
            <v>Z750192</v>
          </cell>
          <cell r="C2316">
            <v>201312</v>
          </cell>
          <cell r="D2316">
            <v>209912</v>
          </cell>
          <cell r="E2316" t="str">
            <v>N</v>
          </cell>
          <cell r="F2316" t="str">
            <v/>
          </cell>
          <cell r="G2316" t="str">
            <v/>
          </cell>
          <cell r="H2316" t="str">
            <v>R</v>
          </cell>
        </row>
        <row r="2317">
          <cell r="B2317" t="str">
            <v>Z750193</v>
          </cell>
          <cell r="C2317">
            <v>199900</v>
          </cell>
          <cell r="D2317">
            <v>209912</v>
          </cell>
          <cell r="E2317" t="str">
            <v>N</v>
          </cell>
          <cell r="F2317" t="str">
            <v/>
          </cell>
          <cell r="G2317" t="str">
            <v/>
          </cell>
          <cell r="H2317" t="str">
            <v>R</v>
          </cell>
        </row>
        <row r="2318">
          <cell r="B2318" t="str">
            <v>Z750194</v>
          </cell>
          <cell r="C2318">
            <v>199900</v>
          </cell>
          <cell r="D2318">
            <v>209912</v>
          </cell>
          <cell r="E2318" t="str">
            <v>N</v>
          </cell>
          <cell r="F2318" t="str">
            <v/>
          </cell>
          <cell r="G2318" t="str">
            <v/>
          </cell>
          <cell r="H2318" t="str">
            <v>R</v>
          </cell>
        </row>
        <row r="2319">
          <cell r="B2319" t="str">
            <v>Z750195</v>
          </cell>
          <cell r="C2319">
            <v>199900</v>
          </cell>
          <cell r="D2319">
            <v>209912</v>
          </cell>
          <cell r="E2319" t="str">
            <v>N</v>
          </cell>
          <cell r="F2319" t="str">
            <v/>
          </cell>
          <cell r="G2319" t="str">
            <v/>
          </cell>
          <cell r="H2319" t="str">
            <v>R</v>
          </cell>
        </row>
        <row r="2320">
          <cell r="B2320" t="str">
            <v>Z750197</v>
          </cell>
          <cell r="C2320">
            <v>201400</v>
          </cell>
          <cell r="D2320">
            <v>209912</v>
          </cell>
          <cell r="E2320" t="str">
            <v>N</v>
          </cell>
          <cell r="F2320" t="str">
            <v/>
          </cell>
          <cell r="G2320" t="str">
            <v/>
          </cell>
          <cell r="H2320" t="str">
            <v>R</v>
          </cell>
        </row>
        <row r="2321">
          <cell r="B2321" t="str">
            <v>Z750198</v>
          </cell>
          <cell r="C2321">
            <v>201400</v>
          </cell>
          <cell r="D2321">
            <v>209912</v>
          </cell>
          <cell r="E2321" t="str">
            <v>N</v>
          </cell>
          <cell r="F2321" t="str">
            <v/>
          </cell>
          <cell r="G2321" t="str">
            <v/>
          </cell>
          <cell r="H2321" t="str">
            <v>R</v>
          </cell>
        </row>
        <row r="2322">
          <cell r="B2322" t="str">
            <v>Z750199</v>
          </cell>
          <cell r="C2322">
            <v>199900</v>
          </cell>
          <cell r="D2322">
            <v>209912</v>
          </cell>
          <cell r="E2322" t="str">
            <v>N</v>
          </cell>
          <cell r="F2322" t="str">
            <v/>
          </cell>
          <cell r="G2322" t="str">
            <v/>
          </cell>
          <cell r="H2322" t="str">
            <v>R</v>
          </cell>
        </row>
        <row r="2323">
          <cell r="B2323" t="str">
            <v>Z750200</v>
          </cell>
          <cell r="C2323">
            <v>199900</v>
          </cell>
          <cell r="D2323">
            <v>209912</v>
          </cell>
          <cell r="E2323" t="str">
            <v>N</v>
          </cell>
          <cell r="F2323" t="str">
            <v/>
          </cell>
          <cell r="G2323" t="str">
            <v/>
          </cell>
          <cell r="H2323" t="str">
            <v>R</v>
          </cell>
        </row>
        <row r="2324">
          <cell r="B2324" t="str">
            <v>Z750201</v>
          </cell>
          <cell r="C2324">
            <v>200109</v>
          </cell>
          <cell r="D2324">
            <v>209912</v>
          </cell>
          <cell r="E2324" t="str">
            <v>N</v>
          </cell>
          <cell r="F2324" t="str">
            <v/>
          </cell>
          <cell r="G2324" t="str">
            <v/>
          </cell>
          <cell r="H2324" t="str">
            <v>R</v>
          </cell>
        </row>
        <row r="2325">
          <cell r="B2325" t="str">
            <v>Z750202</v>
          </cell>
          <cell r="C2325">
            <v>200109</v>
          </cell>
          <cell r="D2325">
            <v>209912</v>
          </cell>
          <cell r="E2325" t="str">
            <v>N</v>
          </cell>
          <cell r="F2325" t="str">
            <v/>
          </cell>
          <cell r="G2325" t="str">
            <v/>
          </cell>
          <cell r="H2325" t="str">
            <v>R</v>
          </cell>
        </row>
        <row r="2326">
          <cell r="B2326" t="str">
            <v>Z750203</v>
          </cell>
          <cell r="C2326">
            <v>200109</v>
          </cell>
          <cell r="D2326">
            <v>209912</v>
          </cell>
          <cell r="E2326" t="str">
            <v>N</v>
          </cell>
          <cell r="F2326" t="str">
            <v/>
          </cell>
          <cell r="G2326" t="str">
            <v/>
          </cell>
          <cell r="H2326" t="str">
            <v>B</v>
          </cell>
        </row>
        <row r="2327">
          <cell r="B2327" t="str">
            <v>Z750204</v>
          </cell>
          <cell r="C2327">
            <v>199900</v>
          </cell>
          <cell r="D2327">
            <v>209912</v>
          </cell>
          <cell r="E2327" t="str">
            <v>N</v>
          </cell>
          <cell r="F2327" t="str">
            <v/>
          </cell>
          <cell r="G2327" t="str">
            <v/>
          </cell>
          <cell r="H2327" t="str">
            <v>R</v>
          </cell>
        </row>
        <row r="2328">
          <cell r="B2328" t="str">
            <v>Z750301</v>
          </cell>
          <cell r="C2328">
            <v>200109</v>
          </cell>
          <cell r="D2328">
            <v>209912</v>
          </cell>
          <cell r="E2328" t="str">
            <v>N</v>
          </cell>
          <cell r="F2328" t="str">
            <v/>
          </cell>
          <cell r="G2328" t="str">
            <v/>
          </cell>
          <cell r="H2328" t="str">
            <v>B</v>
          </cell>
        </row>
        <row r="2329">
          <cell r="B2329" t="str">
            <v>Z750401</v>
          </cell>
          <cell r="C2329">
            <v>200513</v>
          </cell>
          <cell r="D2329">
            <v>200513</v>
          </cell>
          <cell r="E2329" t="str">
            <v>C</v>
          </cell>
          <cell r="F2329" t="str">
            <v>Account status = Closed</v>
          </cell>
          <cell r="G2329" t="str">
            <v/>
          </cell>
          <cell r="H2329" t="str">
            <v>B</v>
          </cell>
        </row>
        <row r="2330">
          <cell r="B2330" t="str">
            <v>Z769801</v>
          </cell>
          <cell r="C2330">
            <v>200109</v>
          </cell>
          <cell r="D2330">
            <v>209912</v>
          </cell>
          <cell r="E2330" t="str">
            <v>N</v>
          </cell>
          <cell r="F2330" t="str">
            <v/>
          </cell>
          <cell r="G2330" t="str">
            <v/>
          </cell>
          <cell r="H2330" t="str">
            <v>B</v>
          </cell>
        </row>
        <row r="2331">
          <cell r="B2331" t="str">
            <v>Z770101</v>
          </cell>
          <cell r="C2331">
            <v>200212</v>
          </cell>
          <cell r="D2331">
            <v>209912</v>
          </cell>
          <cell r="E2331" t="str">
            <v>N</v>
          </cell>
          <cell r="F2331" t="str">
            <v/>
          </cell>
          <cell r="G2331" t="str">
            <v/>
          </cell>
          <cell r="H2331" t="str">
            <v>B</v>
          </cell>
        </row>
        <row r="2332">
          <cell r="B2332" t="str">
            <v>Z770102</v>
          </cell>
          <cell r="C2332">
            <v>201001</v>
          </cell>
          <cell r="D2332">
            <v>209912</v>
          </cell>
          <cell r="E2332" t="str">
            <v>N</v>
          </cell>
          <cell r="F2332" t="str">
            <v/>
          </cell>
          <cell r="G2332" t="str">
            <v/>
          </cell>
          <cell r="H2332" t="str">
            <v>B</v>
          </cell>
        </row>
        <row r="2333">
          <cell r="B2333" t="str">
            <v>Z770103</v>
          </cell>
          <cell r="C2333">
            <v>199900</v>
          </cell>
          <cell r="D2333">
            <v>209912</v>
          </cell>
          <cell r="E2333" t="str">
            <v>N</v>
          </cell>
          <cell r="F2333" t="str">
            <v/>
          </cell>
          <cell r="G2333" t="str">
            <v/>
          </cell>
          <cell r="H2333" t="str">
            <v>R</v>
          </cell>
        </row>
        <row r="2334">
          <cell r="B2334" t="str">
            <v>Z770104</v>
          </cell>
          <cell r="C2334">
            <v>199900</v>
          </cell>
          <cell r="D2334">
            <v>209912</v>
          </cell>
          <cell r="E2334" t="str">
            <v>N</v>
          </cell>
          <cell r="F2334" t="str">
            <v/>
          </cell>
          <cell r="G2334" t="str">
            <v/>
          </cell>
          <cell r="H2334" t="str">
            <v>R</v>
          </cell>
        </row>
        <row r="2335">
          <cell r="B2335" t="str">
            <v>Z771013</v>
          </cell>
          <cell r="C2335">
            <v>199900</v>
          </cell>
          <cell r="D2335">
            <v>209912</v>
          </cell>
          <cell r="E2335" t="str">
            <v>C</v>
          </cell>
          <cell r="F2335" t="str">
            <v>Account status = Closed</v>
          </cell>
          <cell r="G2335" t="str">
            <v/>
          </cell>
          <cell r="H2335" t="str">
            <v>R</v>
          </cell>
        </row>
        <row r="2336">
          <cell r="B2336" t="str">
            <v>Z780101</v>
          </cell>
          <cell r="C2336">
            <v>200413</v>
          </cell>
          <cell r="D2336">
            <v>209912</v>
          </cell>
          <cell r="E2336" t="str">
            <v>N</v>
          </cell>
          <cell r="F2336" t="str">
            <v/>
          </cell>
          <cell r="G2336" t="str">
            <v/>
          </cell>
          <cell r="H2336" t="str">
            <v>B</v>
          </cell>
        </row>
        <row r="2337">
          <cell r="B2337" t="str">
            <v>Z790101</v>
          </cell>
          <cell r="C2337">
            <v>200413</v>
          </cell>
          <cell r="D2337">
            <v>209912</v>
          </cell>
          <cell r="E2337" t="str">
            <v>N</v>
          </cell>
          <cell r="F2337" t="str">
            <v/>
          </cell>
          <cell r="G2337" t="str">
            <v/>
          </cell>
          <cell r="H2337" t="str">
            <v>B</v>
          </cell>
        </row>
        <row r="2338">
          <cell r="B2338" t="str">
            <v>Z800101</v>
          </cell>
          <cell r="C2338">
            <v>200109</v>
          </cell>
          <cell r="D2338">
            <v>209912</v>
          </cell>
          <cell r="E2338" t="str">
            <v>N</v>
          </cell>
          <cell r="F2338" t="str">
            <v/>
          </cell>
          <cell r="G2338" t="str">
            <v/>
          </cell>
          <cell r="H2338" t="str">
            <v>B</v>
          </cell>
        </row>
        <row r="2339">
          <cell r="B2339" t="str">
            <v>Z800102</v>
          </cell>
          <cell r="C2339">
            <v>200109</v>
          </cell>
          <cell r="D2339">
            <v>200111</v>
          </cell>
          <cell r="E2339" t="str">
            <v>N</v>
          </cell>
          <cell r="F2339" t="str">
            <v>Account closed from period 200111</v>
          </cell>
          <cell r="G2339" t="str">
            <v/>
          </cell>
          <cell r="H2339" t="str">
            <v>B</v>
          </cell>
        </row>
        <row r="2340">
          <cell r="B2340" t="str">
            <v>Z800103</v>
          </cell>
          <cell r="C2340">
            <v>200109</v>
          </cell>
          <cell r="D2340">
            <v>209912</v>
          </cell>
          <cell r="E2340" t="str">
            <v>N</v>
          </cell>
          <cell r="F2340" t="str">
            <v/>
          </cell>
          <cell r="G2340" t="str">
            <v/>
          </cell>
          <cell r="H2340" t="str">
            <v>B</v>
          </cell>
        </row>
        <row r="2341">
          <cell r="B2341" t="str">
            <v>Z800104</v>
          </cell>
          <cell r="C2341">
            <v>200413</v>
          </cell>
          <cell r="D2341">
            <v>200513</v>
          </cell>
          <cell r="E2341" t="str">
            <v>C</v>
          </cell>
          <cell r="F2341" t="str">
            <v>Account status = Closed</v>
          </cell>
          <cell r="G2341" t="str">
            <v/>
          </cell>
          <cell r="H2341" t="str">
            <v>B</v>
          </cell>
        </row>
        <row r="2342">
          <cell r="B2342" t="str">
            <v>Z800201</v>
          </cell>
          <cell r="C2342">
            <v>200109</v>
          </cell>
          <cell r="D2342">
            <v>200513</v>
          </cell>
          <cell r="E2342" t="str">
            <v>C</v>
          </cell>
          <cell r="F2342" t="str">
            <v>Account status = Closed</v>
          </cell>
          <cell r="G2342" t="str">
            <v/>
          </cell>
          <cell r="H2342" t="str">
            <v>B</v>
          </cell>
        </row>
        <row r="2343">
          <cell r="B2343" t="str">
            <v>Z800202</v>
          </cell>
          <cell r="C2343">
            <v>200109</v>
          </cell>
          <cell r="D2343">
            <v>200513</v>
          </cell>
          <cell r="E2343" t="str">
            <v>C</v>
          </cell>
          <cell r="F2343" t="str">
            <v>Account status = Closed</v>
          </cell>
          <cell r="G2343" t="str">
            <v/>
          </cell>
          <cell r="H2343" t="str">
            <v>B</v>
          </cell>
        </row>
        <row r="2344">
          <cell r="B2344" t="str">
            <v>Z800203</v>
          </cell>
          <cell r="C2344">
            <v>200109</v>
          </cell>
          <cell r="D2344">
            <v>200513</v>
          </cell>
          <cell r="E2344" t="str">
            <v>C</v>
          </cell>
          <cell r="F2344" t="str">
            <v>Account status = Closed</v>
          </cell>
          <cell r="G2344" t="str">
            <v/>
          </cell>
          <cell r="H2344" t="str">
            <v>B</v>
          </cell>
        </row>
        <row r="2345">
          <cell r="B2345" t="str">
            <v>Z800204</v>
          </cell>
          <cell r="C2345">
            <v>200109</v>
          </cell>
          <cell r="D2345">
            <v>200513</v>
          </cell>
          <cell r="E2345" t="str">
            <v>C</v>
          </cell>
          <cell r="F2345" t="str">
            <v>Account status = Closed</v>
          </cell>
          <cell r="G2345" t="str">
            <v/>
          </cell>
          <cell r="H2345" t="str">
            <v>B</v>
          </cell>
        </row>
        <row r="2346">
          <cell r="B2346" t="str">
            <v>Z800205</v>
          </cell>
          <cell r="C2346">
            <v>200109</v>
          </cell>
          <cell r="D2346">
            <v>200513</v>
          </cell>
          <cell r="E2346" t="str">
            <v>C</v>
          </cell>
          <cell r="F2346" t="str">
            <v>Account status = Closed</v>
          </cell>
          <cell r="G2346" t="str">
            <v/>
          </cell>
          <cell r="H2346" t="str">
            <v>B</v>
          </cell>
        </row>
        <row r="2347">
          <cell r="B2347" t="str">
            <v>Z800206</v>
          </cell>
          <cell r="C2347">
            <v>200109</v>
          </cell>
          <cell r="D2347">
            <v>200513</v>
          </cell>
          <cell r="E2347" t="str">
            <v>C</v>
          </cell>
          <cell r="F2347" t="str">
            <v>Account status = Closed</v>
          </cell>
          <cell r="G2347" t="str">
            <v/>
          </cell>
          <cell r="H2347" t="str">
            <v>B</v>
          </cell>
        </row>
        <row r="2348">
          <cell r="B2348" t="str">
            <v>Z800207</v>
          </cell>
          <cell r="C2348">
            <v>200109</v>
          </cell>
          <cell r="D2348">
            <v>200513</v>
          </cell>
          <cell r="E2348" t="str">
            <v>C</v>
          </cell>
          <cell r="F2348" t="str">
            <v>Account status = Closed</v>
          </cell>
          <cell r="G2348" t="str">
            <v/>
          </cell>
          <cell r="H2348" t="str">
            <v>B</v>
          </cell>
        </row>
        <row r="2349">
          <cell r="B2349" t="str">
            <v>Z800208</v>
          </cell>
          <cell r="C2349">
            <v>200109</v>
          </cell>
          <cell r="D2349">
            <v>200513</v>
          </cell>
          <cell r="E2349" t="str">
            <v>C</v>
          </cell>
          <cell r="F2349" t="str">
            <v>Account status = Closed</v>
          </cell>
          <cell r="G2349" t="str">
            <v/>
          </cell>
          <cell r="H2349" t="str">
            <v>B</v>
          </cell>
        </row>
        <row r="2350">
          <cell r="B2350" t="str">
            <v>Z800301</v>
          </cell>
          <cell r="C2350">
            <v>200109</v>
          </cell>
          <cell r="D2350">
            <v>200513</v>
          </cell>
          <cell r="E2350" t="str">
            <v>C</v>
          </cell>
          <cell r="F2350" t="str">
            <v>Account status = Closed</v>
          </cell>
          <cell r="G2350" t="str">
            <v/>
          </cell>
          <cell r="H2350" t="str">
            <v>B</v>
          </cell>
        </row>
        <row r="2351">
          <cell r="B2351" t="str">
            <v>Z800302</v>
          </cell>
          <cell r="C2351">
            <v>200109</v>
          </cell>
          <cell r="D2351">
            <v>200513</v>
          </cell>
          <cell r="E2351" t="str">
            <v>C</v>
          </cell>
          <cell r="F2351" t="str">
            <v>Account status = Closed</v>
          </cell>
          <cell r="G2351" t="str">
            <v/>
          </cell>
          <cell r="H2351" t="str">
            <v>B</v>
          </cell>
        </row>
        <row r="2352">
          <cell r="B2352" t="str">
            <v>Z800303</v>
          </cell>
          <cell r="C2352">
            <v>200109</v>
          </cell>
          <cell r="D2352">
            <v>200513</v>
          </cell>
          <cell r="E2352" t="str">
            <v>C</v>
          </cell>
          <cell r="F2352" t="str">
            <v>Account status = Closed</v>
          </cell>
          <cell r="G2352" t="str">
            <v/>
          </cell>
          <cell r="H2352" t="str">
            <v>B</v>
          </cell>
        </row>
        <row r="2353">
          <cell r="B2353" t="str">
            <v>Z800401</v>
          </cell>
          <cell r="C2353">
            <v>200109</v>
          </cell>
          <cell r="D2353">
            <v>200513</v>
          </cell>
          <cell r="E2353" t="str">
            <v>C</v>
          </cell>
          <cell r="F2353" t="str">
            <v>Account status = Closed</v>
          </cell>
          <cell r="G2353" t="str">
            <v/>
          </cell>
          <cell r="H2353" t="str">
            <v>B</v>
          </cell>
        </row>
        <row r="2354">
          <cell r="B2354" t="str">
            <v>Z800402</v>
          </cell>
          <cell r="C2354">
            <v>200109</v>
          </cell>
          <cell r="D2354">
            <v>200513</v>
          </cell>
          <cell r="E2354" t="str">
            <v>C</v>
          </cell>
          <cell r="F2354" t="str">
            <v>Account status = Closed</v>
          </cell>
          <cell r="G2354" t="str">
            <v/>
          </cell>
          <cell r="H2354" t="str">
            <v>B</v>
          </cell>
        </row>
        <row r="2355">
          <cell r="B2355" t="str">
            <v>Z800403</v>
          </cell>
          <cell r="C2355">
            <v>200109</v>
          </cell>
          <cell r="D2355">
            <v>200513</v>
          </cell>
          <cell r="E2355" t="str">
            <v>C</v>
          </cell>
          <cell r="F2355" t="str">
            <v>Account status = Closed</v>
          </cell>
          <cell r="G2355" t="str">
            <v/>
          </cell>
          <cell r="H2355" t="str">
            <v>B</v>
          </cell>
        </row>
        <row r="2356">
          <cell r="B2356" t="str">
            <v>Z910101</v>
          </cell>
          <cell r="C2356">
            <v>200109</v>
          </cell>
          <cell r="D2356">
            <v>200111</v>
          </cell>
          <cell r="E2356" t="str">
            <v>N</v>
          </cell>
          <cell r="F2356" t="str">
            <v>Account closed from period 200111</v>
          </cell>
          <cell r="G2356" t="str">
            <v/>
          </cell>
          <cell r="H2356" t="str">
            <v>B</v>
          </cell>
        </row>
        <row r="2357">
          <cell r="B2357" t="str">
            <v>Z910102</v>
          </cell>
          <cell r="C2357">
            <v>200109</v>
          </cell>
          <cell r="D2357">
            <v>200111</v>
          </cell>
          <cell r="E2357" t="str">
            <v>N</v>
          </cell>
          <cell r="F2357" t="str">
            <v>Account closed from period 200111</v>
          </cell>
          <cell r="G2357" t="str">
            <v/>
          </cell>
          <cell r="H2357" t="str">
            <v>B</v>
          </cell>
        </row>
        <row r="2358">
          <cell r="B2358" t="str">
            <v>Z910103</v>
          </cell>
          <cell r="C2358">
            <v>200109</v>
          </cell>
          <cell r="D2358">
            <v>200111</v>
          </cell>
          <cell r="E2358" t="str">
            <v>N</v>
          </cell>
          <cell r="F2358" t="str">
            <v>Account closed from period 200111</v>
          </cell>
          <cell r="G2358" t="str">
            <v/>
          </cell>
          <cell r="H2358" t="str">
            <v>B</v>
          </cell>
        </row>
        <row r="2359">
          <cell r="B2359" t="str">
            <v>Z910104</v>
          </cell>
          <cell r="C2359">
            <v>200109</v>
          </cell>
          <cell r="D2359">
            <v>200201</v>
          </cell>
          <cell r="E2359" t="str">
            <v>N</v>
          </cell>
          <cell r="F2359" t="str">
            <v>Account closed from period 200201</v>
          </cell>
          <cell r="G2359" t="str">
            <v/>
          </cell>
          <cell r="H2359" t="str">
            <v>B</v>
          </cell>
        </row>
        <row r="2360">
          <cell r="B2360" t="str">
            <v>Z910105</v>
          </cell>
          <cell r="C2360">
            <v>200109</v>
          </cell>
          <cell r="D2360">
            <v>200111</v>
          </cell>
          <cell r="E2360" t="str">
            <v>N</v>
          </cell>
          <cell r="F2360" t="str">
            <v>Account closed from period 200111</v>
          </cell>
          <cell r="G2360" t="str">
            <v/>
          </cell>
          <cell r="H2360" t="str">
            <v>B</v>
          </cell>
        </row>
        <row r="2361">
          <cell r="B2361" t="str">
            <v>Z910106</v>
          </cell>
          <cell r="C2361">
            <v>200109</v>
          </cell>
          <cell r="D2361">
            <v>200111</v>
          </cell>
          <cell r="E2361" t="str">
            <v>N</v>
          </cell>
          <cell r="F2361" t="str">
            <v>Account closed from period 200111</v>
          </cell>
          <cell r="G2361" t="str">
            <v/>
          </cell>
          <cell r="H2361" t="str">
            <v>B</v>
          </cell>
        </row>
        <row r="2362">
          <cell r="B2362" t="str">
            <v>Z910107</v>
          </cell>
          <cell r="C2362">
            <v>200109</v>
          </cell>
          <cell r="D2362">
            <v>200111</v>
          </cell>
          <cell r="E2362" t="str">
            <v>N</v>
          </cell>
          <cell r="F2362" t="str">
            <v>Account closed from period 200111</v>
          </cell>
          <cell r="G2362" t="str">
            <v/>
          </cell>
          <cell r="H2362" t="str">
            <v>B</v>
          </cell>
        </row>
        <row r="2363">
          <cell r="B2363" t="str">
            <v>Z910108</v>
          </cell>
          <cell r="C2363">
            <v>200109</v>
          </cell>
          <cell r="D2363">
            <v>200111</v>
          </cell>
          <cell r="E2363" t="str">
            <v>N</v>
          </cell>
          <cell r="F2363" t="str">
            <v>Account closed from period 200111</v>
          </cell>
          <cell r="G2363" t="str">
            <v/>
          </cell>
          <cell r="H2363" t="str">
            <v>B</v>
          </cell>
        </row>
        <row r="2364">
          <cell r="B2364" t="str">
            <v>Z910109</v>
          </cell>
          <cell r="C2364">
            <v>200109</v>
          </cell>
          <cell r="D2364">
            <v>200111</v>
          </cell>
          <cell r="E2364" t="str">
            <v>N</v>
          </cell>
          <cell r="F2364" t="str">
            <v>Account closed from period 200111</v>
          </cell>
          <cell r="G2364" t="str">
            <v/>
          </cell>
          <cell r="H2364" t="str">
            <v>B</v>
          </cell>
        </row>
        <row r="2365">
          <cell r="B2365" t="str">
            <v>Z910110</v>
          </cell>
          <cell r="C2365">
            <v>200109</v>
          </cell>
          <cell r="D2365">
            <v>200111</v>
          </cell>
          <cell r="E2365" t="str">
            <v>N</v>
          </cell>
          <cell r="F2365" t="str">
            <v>Account closed from period 200111</v>
          </cell>
          <cell r="G2365" t="str">
            <v/>
          </cell>
          <cell r="H2365" t="str">
            <v>B</v>
          </cell>
        </row>
        <row r="2366">
          <cell r="B2366" t="str">
            <v>Z910111</v>
          </cell>
          <cell r="C2366">
            <v>200109</v>
          </cell>
          <cell r="D2366">
            <v>200111</v>
          </cell>
          <cell r="E2366" t="str">
            <v>N</v>
          </cell>
          <cell r="F2366" t="str">
            <v>Account closed from period 200111</v>
          </cell>
          <cell r="G2366" t="str">
            <v/>
          </cell>
          <cell r="H2366" t="str">
            <v>B</v>
          </cell>
        </row>
        <row r="2367">
          <cell r="B2367" t="str">
            <v>Z910112</v>
          </cell>
          <cell r="C2367">
            <v>200109</v>
          </cell>
          <cell r="D2367">
            <v>200111</v>
          </cell>
          <cell r="E2367" t="str">
            <v>N</v>
          </cell>
          <cell r="F2367" t="str">
            <v>Account closed from period 200111</v>
          </cell>
          <cell r="G2367" t="str">
            <v/>
          </cell>
          <cell r="H2367" t="str">
            <v>B</v>
          </cell>
        </row>
        <row r="2368">
          <cell r="B2368" t="str">
            <v>Z910113</v>
          </cell>
          <cell r="C2368">
            <v>200109</v>
          </cell>
          <cell r="D2368">
            <v>200111</v>
          </cell>
          <cell r="E2368" t="str">
            <v>N</v>
          </cell>
          <cell r="F2368" t="str">
            <v>Account closed from period 200111</v>
          </cell>
          <cell r="G2368" t="str">
            <v/>
          </cell>
          <cell r="H2368" t="str">
            <v>B</v>
          </cell>
        </row>
        <row r="2369">
          <cell r="B2369" t="str">
            <v>Z910114</v>
          </cell>
          <cell r="C2369">
            <v>200109</v>
          </cell>
          <cell r="D2369">
            <v>200111</v>
          </cell>
          <cell r="E2369" t="str">
            <v>N</v>
          </cell>
          <cell r="F2369" t="str">
            <v>Account closed from period 200111</v>
          </cell>
          <cell r="G2369" t="str">
            <v/>
          </cell>
          <cell r="H2369" t="str">
            <v>B</v>
          </cell>
        </row>
        <row r="2370">
          <cell r="B2370" t="str">
            <v>Z910115</v>
          </cell>
          <cell r="C2370">
            <v>200109</v>
          </cell>
          <cell r="D2370">
            <v>200111</v>
          </cell>
          <cell r="E2370" t="str">
            <v>N</v>
          </cell>
          <cell r="F2370" t="str">
            <v>Account closed from period 200111</v>
          </cell>
          <cell r="G2370" t="str">
            <v/>
          </cell>
          <cell r="H2370" t="str">
            <v>B</v>
          </cell>
        </row>
        <row r="2371">
          <cell r="B2371" t="str">
            <v>Z910116</v>
          </cell>
          <cell r="C2371">
            <v>200109</v>
          </cell>
          <cell r="D2371">
            <v>200111</v>
          </cell>
          <cell r="E2371" t="str">
            <v>N</v>
          </cell>
          <cell r="F2371" t="str">
            <v>Account closed from period 200111</v>
          </cell>
          <cell r="G2371" t="str">
            <v/>
          </cell>
          <cell r="H2371" t="str">
            <v>B</v>
          </cell>
        </row>
        <row r="2372">
          <cell r="B2372" t="str">
            <v>Z910117</v>
          </cell>
          <cell r="C2372">
            <v>200109</v>
          </cell>
          <cell r="D2372">
            <v>200111</v>
          </cell>
          <cell r="E2372" t="str">
            <v>N</v>
          </cell>
          <cell r="F2372" t="str">
            <v>Account closed from period 200111</v>
          </cell>
          <cell r="G2372" t="str">
            <v/>
          </cell>
          <cell r="H2372" t="str">
            <v>B</v>
          </cell>
        </row>
        <row r="2373">
          <cell r="B2373" t="str">
            <v>Z910118</v>
          </cell>
          <cell r="C2373">
            <v>200109</v>
          </cell>
          <cell r="D2373">
            <v>200111</v>
          </cell>
          <cell r="E2373" t="str">
            <v>N</v>
          </cell>
          <cell r="F2373" t="str">
            <v>Account closed from period 200111</v>
          </cell>
          <cell r="G2373" t="str">
            <v/>
          </cell>
          <cell r="H2373" t="str">
            <v>B</v>
          </cell>
        </row>
        <row r="2374">
          <cell r="B2374" t="str">
            <v>Z910119</v>
          </cell>
          <cell r="C2374">
            <v>200109</v>
          </cell>
          <cell r="D2374">
            <v>200111</v>
          </cell>
          <cell r="E2374" t="str">
            <v>N</v>
          </cell>
          <cell r="F2374" t="str">
            <v>Account closed from period 200111</v>
          </cell>
          <cell r="G2374" t="str">
            <v/>
          </cell>
          <cell r="H2374" t="str">
            <v>B</v>
          </cell>
        </row>
        <row r="2375">
          <cell r="B2375" t="str">
            <v>Z910120</v>
          </cell>
          <cell r="C2375">
            <v>200109</v>
          </cell>
          <cell r="D2375">
            <v>200111</v>
          </cell>
          <cell r="E2375" t="str">
            <v>N</v>
          </cell>
          <cell r="F2375" t="str">
            <v>Account closed from period 200111</v>
          </cell>
          <cell r="G2375" t="str">
            <v/>
          </cell>
          <cell r="H2375" t="str">
            <v>B</v>
          </cell>
        </row>
        <row r="2376">
          <cell r="B2376" t="str">
            <v>Z910121</v>
          </cell>
          <cell r="C2376">
            <v>200109</v>
          </cell>
          <cell r="D2376">
            <v>200111</v>
          </cell>
          <cell r="E2376" t="str">
            <v>N</v>
          </cell>
          <cell r="F2376" t="str">
            <v>Account closed from period 200111</v>
          </cell>
          <cell r="G2376" t="str">
            <v/>
          </cell>
          <cell r="H2376" t="str">
            <v>B</v>
          </cell>
        </row>
        <row r="2377">
          <cell r="B2377" t="str">
            <v>Z910122</v>
          </cell>
          <cell r="C2377">
            <v>200109</v>
          </cell>
          <cell r="D2377">
            <v>200111</v>
          </cell>
          <cell r="E2377" t="str">
            <v>N</v>
          </cell>
          <cell r="F2377" t="str">
            <v>Account closed from period 200111</v>
          </cell>
          <cell r="G2377" t="str">
            <v/>
          </cell>
          <cell r="H2377" t="str">
            <v>B</v>
          </cell>
        </row>
        <row r="2378">
          <cell r="B2378" t="str">
            <v>Z910123</v>
          </cell>
          <cell r="C2378">
            <v>200109</v>
          </cell>
          <cell r="D2378">
            <v>200111</v>
          </cell>
          <cell r="E2378" t="str">
            <v>N</v>
          </cell>
          <cell r="F2378" t="str">
            <v>Account closed from period 200111</v>
          </cell>
          <cell r="G2378" t="str">
            <v/>
          </cell>
          <cell r="H2378" t="str">
            <v>B</v>
          </cell>
        </row>
        <row r="2379">
          <cell r="B2379" t="str">
            <v>Z910124</v>
          </cell>
          <cell r="C2379">
            <v>200109</v>
          </cell>
          <cell r="D2379">
            <v>200111</v>
          </cell>
          <cell r="E2379" t="str">
            <v>N</v>
          </cell>
          <cell r="F2379" t="str">
            <v>Account closed from period 200111</v>
          </cell>
          <cell r="G2379" t="str">
            <v/>
          </cell>
          <cell r="H2379" t="str">
            <v>B</v>
          </cell>
        </row>
        <row r="2380">
          <cell r="B2380" t="str">
            <v>Z910125</v>
          </cell>
          <cell r="C2380">
            <v>200109</v>
          </cell>
          <cell r="D2380">
            <v>200111</v>
          </cell>
          <cell r="E2380" t="str">
            <v>N</v>
          </cell>
          <cell r="F2380" t="str">
            <v>Account closed from period 200111</v>
          </cell>
          <cell r="G2380" t="str">
            <v/>
          </cell>
          <cell r="H2380" t="str">
            <v>B</v>
          </cell>
        </row>
        <row r="2381">
          <cell r="B2381" t="str">
            <v>Z910198</v>
          </cell>
          <cell r="C2381">
            <v>200109</v>
          </cell>
          <cell r="D2381">
            <v>209912</v>
          </cell>
          <cell r="E2381" t="str">
            <v>N</v>
          </cell>
          <cell r="F2381" t="str">
            <v/>
          </cell>
          <cell r="G2381" t="str">
            <v/>
          </cell>
          <cell r="H2381" t="str">
            <v>B</v>
          </cell>
        </row>
        <row r="2382">
          <cell r="B2382" t="str">
            <v>Z910199</v>
          </cell>
          <cell r="C2382">
            <v>200109</v>
          </cell>
          <cell r="D2382">
            <v>209912</v>
          </cell>
          <cell r="E2382" t="str">
            <v>N</v>
          </cell>
          <cell r="F2382" t="str">
            <v/>
          </cell>
          <cell r="G2382" t="str">
            <v/>
          </cell>
          <cell r="H2382" t="str">
            <v>B</v>
          </cell>
        </row>
        <row r="2383">
          <cell r="B2383" t="str">
            <v>Z970298</v>
          </cell>
          <cell r="C2383">
            <v>200109</v>
          </cell>
          <cell r="D2383">
            <v>200513</v>
          </cell>
          <cell r="E2383" t="str">
            <v>C</v>
          </cell>
          <cell r="F2383" t="str">
            <v>Account status = Closed</v>
          </cell>
          <cell r="G2383" t="str">
            <v/>
          </cell>
          <cell r="H2383" t="str">
            <v>B</v>
          </cell>
        </row>
        <row r="2384">
          <cell r="B2384" t="str">
            <v>Z970590</v>
          </cell>
          <cell r="C2384">
            <v>200109</v>
          </cell>
          <cell r="D2384">
            <v>209912</v>
          </cell>
          <cell r="E2384" t="str">
            <v>N</v>
          </cell>
          <cell r="F2384" t="str">
            <v/>
          </cell>
          <cell r="G2384" t="str">
            <v/>
          </cell>
          <cell r="H2384" t="str">
            <v>B</v>
          </cell>
        </row>
        <row r="2385">
          <cell r="B2385" t="str">
            <v>Z970594</v>
          </cell>
          <cell r="C2385">
            <v>200101</v>
          </cell>
          <cell r="D2385">
            <v>209912</v>
          </cell>
          <cell r="E2385" t="str">
            <v>N</v>
          </cell>
          <cell r="F2385" t="str">
            <v/>
          </cell>
          <cell r="G2385" t="str">
            <v/>
          </cell>
          <cell r="H2385" t="str">
            <v>B</v>
          </cell>
        </row>
        <row r="2386">
          <cell r="B2386" t="str">
            <v>Z970595</v>
          </cell>
          <cell r="C2386">
            <v>200101</v>
          </cell>
          <cell r="D2386">
            <v>209912</v>
          </cell>
          <cell r="E2386" t="str">
            <v>N</v>
          </cell>
          <cell r="F2386" t="str">
            <v/>
          </cell>
          <cell r="G2386" t="str">
            <v/>
          </cell>
          <cell r="H2386" t="str">
            <v>B</v>
          </cell>
        </row>
        <row r="2387">
          <cell r="B2387" t="str">
            <v>Z970596</v>
          </cell>
          <cell r="C2387">
            <v>200101</v>
          </cell>
          <cell r="D2387">
            <v>209912</v>
          </cell>
          <cell r="E2387" t="str">
            <v>N</v>
          </cell>
          <cell r="F2387" t="str">
            <v/>
          </cell>
          <cell r="G2387" t="str">
            <v/>
          </cell>
          <cell r="H2387" t="str">
            <v>B</v>
          </cell>
        </row>
        <row r="2388">
          <cell r="B2388" t="str">
            <v>Z970597</v>
          </cell>
          <cell r="C2388">
            <v>199900</v>
          </cell>
          <cell r="D2388">
            <v>209912</v>
          </cell>
          <cell r="E2388" t="str">
            <v>N</v>
          </cell>
          <cell r="F2388" t="str">
            <v/>
          </cell>
          <cell r="G2388" t="str">
            <v/>
          </cell>
          <cell r="H2388" t="str">
            <v>B</v>
          </cell>
        </row>
        <row r="2389">
          <cell r="B2389" t="str">
            <v>Z970598</v>
          </cell>
          <cell r="C2389">
            <v>200109</v>
          </cell>
          <cell r="D2389">
            <v>209912</v>
          </cell>
          <cell r="E2389" t="str">
            <v>N</v>
          </cell>
          <cell r="F2389" t="str">
            <v/>
          </cell>
          <cell r="G2389" t="str">
            <v/>
          </cell>
          <cell r="H2389" t="str">
            <v>B</v>
          </cell>
        </row>
        <row r="2390">
          <cell r="B2390" t="str">
            <v>Z970599</v>
          </cell>
          <cell r="C2390">
            <v>200109</v>
          </cell>
          <cell r="D2390">
            <v>200413</v>
          </cell>
          <cell r="E2390" t="str">
            <v>N</v>
          </cell>
          <cell r="F2390" t="str">
            <v>Account closed from period 200413</v>
          </cell>
          <cell r="G2390" t="str">
            <v/>
          </cell>
          <cell r="H2390" t="str">
            <v>B</v>
          </cell>
        </row>
        <row r="2391">
          <cell r="B2391" t="str">
            <v>Z970600</v>
          </cell>
          <cell r="C2391">
            <v>199900</v>
          </cell>
          <cell r="D2391">
            <v>209912</v>
          </cell>
          <cell r="E2391" t="str">
            <v>C</v>
          </cell>
          <cell r="F2391" t="str">
            <v>Account status = Closed</v>
          </cell>
          <cell r="G2391" t="str">
            <v/>
          </cell>
          <cell r="H2391" t="str">
            <v>R</v>
          </cell>
        </row>
        <row r="2392">
          <cell r="B2392" t="str">
            <v>Z999901</v>
          </cell>
          <cell r="C2392">
            <v>201200</v>
          </cell>
          <cell r="D2392">
            <v>209912</v>
          </cell>
          <cell r="E2392" t="str">
            <v>N</v>
          </cell>
          <cell r="F2392" t="str">
            <v/>
          </cell>
          <cell r="G2392" t="str">
            <v/>
          </cell>
          <cell r="H2392" t="str">
            <v>B</v>
          </cell>
        </row>
        <row r="2393">
          <cell r="B2393" t="str">
            <v>Z999902</v>
          </cell>
          <cell r="C2393">
            <v>201200</v>
          </cell>
          <cell r="D2393">
            <v>209912</v>
          </cell>
          <cell r="E2393" t="str">
            <v>N</v>
          </cell>
          <cell r="F2393" t="str">
            <v/>
          </cell>
          <cell r="G2393" t="str">
            <v/>
          </cell>
          <cell r="H2393" t="str">
            <v>B</v>
          </cell>
        </row>
        <row r="2394">
          <cell r="B2394" t="str">
            <v>Z999996</v>
          </cell>
          <cell r="C2394">
            <v>201109</v>
          </cell>
          <cell r="D2394">
            <v>209912</v>
          </cell>
          <cell r="E2394" t="str">
            <v>N</v>
          </cell>
          <cell r="F2394" t="str">
            <v/>
          </cell>
          <cell r="G2394" t="str">
            <v/>
          </cell>
          <cell r="H2394" t="str">
            <v>B</v>
          </cell>
        </row>
        <row r="2395">
          <cell r="B2395" t="str">
            <v>Z999997</v>
          </cell>
          <cell r="C2395">
            <v>199900</v>
          </cell>
          <cell r="D2395">
            <v>200108</v>
          </cell>
          <cell r="E2395" t="str">
            <v>N</v>
          </cell>
          <cell r="F2395" t="str">
            <v>Account closed from period 200108</v>
          </cell>
          <cell r="G2395" t="str">
            <v/>
          </cell>
          <cell r="H2395" t="str">
            <v>B</v>
          </cell>
        </row>
        <row r="2396">
          <cell r="B2396" t="str">
            <v>Z999997</v>
          </cell>
          <cell r="C2396">
            <v>200109</v>
          </cell>
          <cell r="D2396">
            <v>209912</v>
          </cell>
          <cell r="E2396" t="str">
            <v>N</v>
          </cell>
          <cell r="F2396" t="str">
            <v/>
          </cell>
          <cell r="G2396" t="str">
            <v/>
          </cell>
          <cell r="H2396" t="str">
            <v>B</v>
          </cell>
        </row>
        <row r="2397">
          <cell r="B2397" t="str">
            <v>Z999998</v>
          </cell>
          <cell r="C2397">
            <v>200109</v>
          </cell>
          <cell r="D2397">
            <v>209912</v>
          </cell>
          <cell r="E2397" t="str">
            <v>N</v>
          </cell>
          <cell r="F2397" t="str">
            <v/>
          </cell>
          <cell r="G2397" t="str">
            <v/>
          </cell>
          <cell r="H2397" t="str">
            <v>B</v>
          </cell>
        </row>
        <row r="2398">
          <cell r="B2398" t="str">
            <v>Z999998</v>
          </cell>
          <cell r="C2398">
            <v>199900</v>
          </cell>
          <cell r="D2398">
            <v>200108</v>
          </cell>
          <cell r="E2398" t="str">
            <v>N</v>
          </cell>
          <cell r="F2398" t="str">
            <v>Account closed from period 200108</v>
          </cell>
          <cell r="G2398" t="str">
            <v/>
          </cell>
          <cell r="H2398" t="str">
            <v>B</v>
          </cell>
        </row>
        <row r="2399">
          <cell r="B2399" t="str">
            <v>Z999999</v>
          </cell>
          <cell r="C2399">
            <v>199900</v>
          </cell>
          <cell r="D2399">
            <v>200108</v>
          </cell>
          <cell r="E2399" t="str">
            <v>N</v>
          </cell>
          <cell r="F2399" t="str">
            <v>Account closed from period 200108</v>
          </cell>
          <cell r="G2399" t="str">
            <v/>
          </cell>
          <cell r="H2399" t="str">
            <v>B</v>
          </cell>
        </row>
        <row r="2400">
          <cell r="B2400" t="str">
            <v>Z999999</v>
          </cell>
          <cell r="C2400">
            <v>200109</v>
          </cell>
          <cell r="D2400">
            <v>209912</v>
          </cell>
          <cell r="E2400" t="str">
            <v>N</v>
          </cell>
          <cell r="F2400" t="str">
            <v/>
          </cell>
          <cell r="G2400" t="str">
            <v/>
          </cell>
          <cell r="H2400" t="str">
            <v>B</v>
          </cell>
        </row>
        <row r="2401">
          <cell r="B2401" t="str">
            <v>ZC10100</v>
          </cell>
          <cell r="C2401">
            <v>200509</v>
          </cell>
          <cell r="D2401">
            <v>209913</v>
          </cell>
          <cell r="E2401" t="str">
            <v>N</v>
          </cell>
          <cell r="F2401" t="str">
            <v/>
          </cell>
          <cell r="G2401" t="str">
            <v/>
          </cell>
          <cell r="H2401" t="str">
            <v>B</v>
          </cell>
        </row>
        <row r="2402">
          <cell r="B2402" t="str">
            <v>ZC10200</v>
          </cell>
          <cell r="C2402">
            <v>200509</v>
          </cell>
          <cell r="D2402">
            <v>209913</v>
          </cell>
          <cell r="E2402" t="str">
            <v>N</v>
          </cell>
          <cell r="F2402" t="str">
            <v/>
          </cell>
          <cell r="G2402" t="str">
            <v/>
          </cell>
          <cell r="H2402" t="str">
            <v>B</v>
          </cell>
        </row>
        <row r="2403">
          <cell r="B2403" t="str">
            <v>ZC10300</v>
          </cell>
          <cell r="C2403">
            <v>200509</v>
          </cell>
          <cell r="D2403">
            <v>209912</v>
          </cell>
          <cell r="E2403" t="str">
            <v>N</v>
          </cell>
          <cell r="F2403" t="str">
            <v/>
          </cell>
          <cell r="G2403" t="str">
            <v/>
          </cell>
          <cell r="H2403" t="str">
            <v>B</v>
          </cell>
        </row>
        <row r="2404">
          <cell r="B2404" t="str">
            <v>ZC10400</v>
          </cell>
          <cell r="C2404">
            <v>200509</v>
          </cell>
          <cell r="D2404">
            <v>209912</v>
          </cell>
          <cell r="E2404" t="str">
            <v>N</v>
          </cell>
          <cell r="F2404" t="str">
            <v/>
          </cell>
          <cell r="G2404" t="str">
            <v/>
          </cell>
          <cell r="H2404" t="str">
            <v>B</v>
          </cell>
        </row>
        <row r="2405">
          <cell r="B2405" t="str">
            <v>ZC10401</v>
          </cell>
          <cell r="C2405">
            <v>200509</v>
          </cell>
          <cell r="D2405">
            <v>209913</v>
          </cell>
          <cell r="E2405" t="str">
            <v>N</v>
          </cell>
          <cell r="F2405" t="str">
            <v/>
          </cell>
          <cell r="G2405" t="str">
            <v/>
          </cell>
          <cell r="H2405" t="str">
            <v>B</v>
          </cell>
        </row>
        <row r="2406">
          <cell r="B2406" t="str">
            <v>ZC10500</v>
          </cell>
          <cell r="C2406">
            <v>200513</v>
          </cell>
          <cell r="D2406">
            <v>209912</v>
          </cell>
          <cell r="E2406" t="str">
            <v>N</v>
          </cell>
          <cell r="F2406" t="str">
            <v/>
          </cell>
          <cell r="G2406" t="str">
            <v/>
          </cell>
          <cell r="H2406" t="str">
            <v>B</v>
          </cell>
        </row>
        <row r="2407">
          <cell r="B2407" t="str">
            <v>ZC20100</v>
          </cell>
          <cell r="C2407">
            <v>200509</v>
          </cell>
          <cell r="D2407">
            <v>200510</v>
          </cell>
          <cell r="E2407" t="str">
            <v>N</v>
          </cell>
          <cell r="F2407" t="str">
            <v>Account closed from period 200510</v>
          </cell>
          <cell r="G2407" t="str">
            <v/>
          </cell>
          <cell r="H2407" t="str">
            <v>B</v>
          </cell>
        </row>
        <row r="2408">
          <cell r="B2408" t="str">
            <v>ZC20200</v>
          </cell>
          <cell r="C2408">
            <v>200509</v>
          </cell>
          <cell r="D2408">
            <v>209913</v>
          </cell>
          <cell r="E2408" t="str">
            <v>N</v>
          </cell>
          <cell r="F2408" t="str">
            <v/>
          </cell>
          <cell r="G2408" t="str">
            <v/>
          </cell>
          <cell r="H2408" t="str">
            <v>B</v>
          </cell>
        </row>
        <row r="2409">
          <cell r="B2409" t="str">
            <v>ZC30100</v>
          </cell>
          <cell r="C2409">
            <v>200509</v>
          </cell>
          <cell r="D2409">
            <v>209913</v>
          </cell>
          <cell r="E2409" t="str">
            <v>N</v>
          </cell>
          <cell r="F2409" t="str">
            <v/>
          </cell>
          <cell r="G2409" t="str">
            <v/>
          </cell>
          <cell r="H2409" t="str">
            <v>B</v>
          </cell>
        </row>
        <row r="2410">
          <cell r="B2410" t="str">
            <v>ZC30200</v>
          </cell>
          <cell r="C2410">
            <v>200509</v>
          </cell>
          <cell r="D2410">
            <v>209913</v>
          </cell>
          <cell r="E2410" t="str">
            <v>N</v>
          </cell>
          <cell r="F2410" t="str">
            <v/>
          </cell>
          <cell r="G2410" t="str">
            <v/>
          </cell>
          <cell r="H2410" t="str">
            <v>B</v>
          </cell>
        </row>
        <row r="2411">
          <cell r="B2411" t="str">
            <v>ZC30300</v>
          </cell>
          <cell r="C2411">
            <v>200509</v>
          </cell>
          <cell r="D2411">
            <v>209913</v>
          </cell>
          <cell r="E2411" t="str">
            <v>N</v>
          </cell>
          <cell r="F2411" t="str">
            <v/>
          </cell>
          <cell r="G2411" t="str">
            <v/>
          </cell>
          <cell r="H2411" t="str">
            <v>B</v>
          </cell>
        </row>
        <row r="2412">
          <cell r="B2412" t="str">
            <v>ZC30400</v>
          </cell>
          <cell r="C2412">
            <v>200509</v>
          </cell>
          <cell r="D2412">
            <v>209913</v>
          </cell>
          <cell r="E2412" t="str">
            <v>N</v>
          </cell>
          <cell r="F2412" t="str">
            <v/>
          </cell>
          <cell r="G2412" t="str">
            <v/>
          </cell>
          <cell r="H2412" t="str">
            <v>B</v>
          </cell>
        </row>
        <row r="2413">
          <cell r="B2413" t="str">
            <v>ZC40100</v>
          </cell>
          <cell r="C2413">
            <v>200509</v>
          </cell>
          <cell r="D2413">
            <v>209912</v>
          </cell>
          <cell r="E2413" t="str">
            <v>N</v>
          </cell>
          <cell r="F2413" t="str">
            <v/>
          </cell>
          <cell r="G2413" t="str">
            <v/>
          </cell>
          <cell r="H2413" t="str">
            <v>B</v>
          </cell>
        </row>
        <row r="2414">
          <cell r="B2414" t="str">
            <v>ZC40200</v>
          </cell>
          <cell r="C2414">
            <v>200508</v>
          </cell>
          <cell r="D2414">
            <v>209912</v>
          </cell>
          <cell r="E2414" t="str">
            <v>N</v>
          </cell>
          <cell r="F2414" t="str">
            <v/>
          </cell>
          <cell r="G2414" t="str">
            <v/>
          </cell>
          <cell r="H2414" t="str">
            <v>B</v>
          </cell>
        </row>
        <row r="2415">
          <cell r="B2415" t="str">
            <v>ZC40300</v>
          </cell>
          <cell r="C2415">
            <v>200509</v>
          </cell>
          <cell r="D2415">
            <v>209912</v>
          </cell>
          <cell r="E2415" t="str">
            <v>N</v>
          </cell>
          <cell r="F2415" t="str">
            <v/>
          </cell>
          <cell r="G2415" t="str">
            <v/>
          </cell>
          <cell r="H2415" t="str">
            <v>B</v>
          </cell>
        </row>
        <row r="2416">
          <cell r="B2416" t="str">
            <v>ZC40301</v>
          </cell>
          <cell r="C2416">
            <v>200509</v>
          </cell>
          <cell r="D2416">
            <v>209912</v>
          </cell>
          <cell r="E2416" t="str">
            <v>N</v>
          </cell>
          <cell r="F2416" t="str">
            <v/>
          </cell>
          <cell r="G2416" t="str">
            <v/>
          </cell>
          <cell r="H2416" t="str">
            <v>B</v>
          </cell>
        </row>
        <row r="2417">
          <cell r="B2417" t="str">
            <v>ZC40302</v>
          </cell>
          <cell r="C2417">
            <v>200509</v>
          </cell>
          <cell r="D2417">
            <v>209913</v>
          </cell>
          <cell r="E2417" t="str">
            <v>N</v>
          </cell>
          <cell r="F2417" t="str">
            <v/>
          </cell>
          <cell r="G2417" t="str">
            <v/>
          </cell>
          <cell r="H2417" t="str">
            <v>B</v>
          </cell>
        </row>
        <row r="2418">
          <cell r="B2418" t="str">
            <v>ZC40303</v>
          </cell>
          <cell r="C2418">
            <v>200509</v>
          </cell>
          <cell r="D2418">
            <v>209913</v>
          </cell>
          <cell r="E2418" t="str">
            <v>N</v>
          </cell>
          <cell r="F2418" t="str">
            <v/>
          </cell>
          <cell r="G2418" t="str">
            <v/>
          </cell>
          <cell r="H2418" t="str">
            <v>B</v>
          </cell>
        </row>
        <row r="2419">
          <cell r="B2419" t="str">
            <v>ZC40304</v>
          </cell>
          <cell r="C2419">
            <v>200509</v>
          </cell>
          <cell r="D2419">
            <v>209913</v>
          </cell>
          <cell r="E2419" t="str">
            <v>N</v>
          </cell>
          <cell r="F2419" t="str">
            <v/>
          </cell>
          <cell r="G2419" t="str">
            <v/>
          </cell>
          <cell r="H2419" t="str">
            <v>B</v>
          </cell>
        </row>
        <row r="2420">
          <cell r="B2420" t="str">
            <v>ZC40305</v>
          </cell>
          <cell r="C2420">
            <v>200509</v>
          </cell>
          <cell r="D2420">
            <v>209913</v>
          </cell>
          <cell r="E2420" t="str">
            <v>N</v>
          </cell>
          <cell r="F2420" t="str">
            <v/>
          </cell>
          <cell r="G2420" t="str">
            <v/>
          </cell>
          <cell r="H2420" t="str">
            <v>B</v>
          </cell>
        </row>
        <row r="2421">
          <cell r="B2421" t="str">
            <v>ZC40306</v>
          </cell>
          <cell r="C2421">
            <v>200509</v>
          </cell>
          <cell r="D2421">
            <v>209913</v>
          </cell>
          <cell r="E2421" t="str">
            <v>N</v>
          </cell>
          <cell r="F2421" t="str">
            <v/>
          </cell>
          <cell r="G2421" t="str">
            <v/>
          </cell>
          <cell r="H2421" t="str">
            <v>B</v>
          </cell>
        </row>
        <row r="2422">
          <cell r="B2422" t="str">
            <v>ZC40307</v>
          </cell>
          <cell r="C2422">
            <v>200509</v>
          </cell>
          <cell r="D2422">
            <v>209913</v>
          </cell>
          <cell r="E2422" t="str">
            <v>N</v>
          </cell>
          <cell r="F2422" t="str">
            <v/>
          </cell>
          <cell r="G2422" t="str">
            <v/>
          </cell>
          <cell r="H2422" t="str">
            <v>B</v>
          </cell>
        </row>
        <row r="2423">
          <cell r="B2423" t="str">
            <v>ZC40308</v>
          </cell>
          <cell r="C2423">
            <v>200509</v>
          </cell>
          <cell r="D2423">
            <v>209913</v>
          </cell>
          <cell r="E2423" t="str">
            <v>N</v>
          </cell>
          <cell r="F2423" t="str">
            <v/>
          </cell>
          <cell r="G2423" t="str">
            <v/>
          </cell>
          <cell r="H2423" t="str">
            <v>B</v>
          </cell>
        </row>
        <row r="2424">
          <cell r="B2424" t="str">
            <v>ZC40309</v>
          </cell>
          <cell r="C2424">
            <v>200509</v>
          </cell>
          <cell r="D2424">
            <v>209912</v>
          </cell>
          <cell r="E2424" t="str">
            <v>N</v>
          </cell>
          <cell r="F2424" t="str">
            <v/>
          </cell>
          <cell r="G2424" t="str">
            <v/>
          </cell>
          <cell r="H2424" t="str">
            <v>B</v>
          </cell>
        </row>
        <row r="2425">
          <cell r="B2425" t="str">
            <v>ZC40310</v>
          </cell>
          <cell r="C2425">
            <v>201013</v>
          </cell>
          <cell r="D2425">
            <v>209912</v>
          </cell>
          <cell r="E2425" t="str">
            <v>N</v>
          </cell>
          <cell r="F2425" t="str">
            <v/>
          </cell>
          <cell r="G2425" t="str">
            <v/>
          </cell>
          <cell r="H2425" t="str">
            <v>B</v>
          </cell>
        </row>
        <row r="2426">
          <cell r="B2426" t="str">
            <v>ZC40311</v>
          </cell>
          <cell r="C2426">
            <v>199900</v>
          </cell>
          <cell r="D2426">
            <v>209912</v>
          </cell>
          <cell r="E2426" t="str">
            <v>N</v>
          </cell>
          <cell r="F2426" t="str">
            <v/>
          </cell>
          <cell r="G2426" t="str">
            <v/>
          </cell>
          <cell r="H2426" t="str">
            <v>B</v>
          </cell>
        </row>
        <row r="2427">
          <cell r="B2427" t="str">
            <v>ZC40312</v>
          </cell>
          <cell r="C2427">
            <v>199900</v>
          </cell>
          <cell r="D2427">
            <v>209912</v>
          </cell>
          <cell r="E2427" t="str">
            <v>N</v>
          </cell>
          <cell r="F2427" t="str">
            <v/>
          </cell>
          <cell r="G2427" t="str">
            <v/>
          </cell>
          <cell r="H2427" t="str">
            <v>B</v>
          </cell>
        </row>
        <row r="2428">
          <cell r="B2428" t="str">
            <v>ZC60001</v>
          </cell>
          <cell r="C2428">
            <v>199900</v>
          </cell>
          <cell r="D2428">
            <v>209912</v>
          </cell>
          <cell r="E2428" t="str">
            <v>N</v>
          </cell>
          <cell r="F2428" t="str">
            <v/>
          </cell>
          <cell r="G2428" t="str">
            <v/>
          </cell>
          <cell r="H2428" t="str">
            <v>B</v>
          </cell>
        </row>
        <row r="2429">
          <cell r="B2429" t="str">
            <v>ZC60002</v>
          </cell>
          <cell r="C2429">
            <v>199900</v>
          </cell>
          <cell r="D2429">
            <v>209912</v>
          </cell>
          <cell r="E2429" t="str">
            <v>N</v>
          </cell>
          <cell r="F2429" t="str">
            <v/>
          </cell>
          <cell r="G2429" t="str">
            <v/>
          </cell>
          <cell r="H2429" t="str">
            <v>B</v>
          </cell>
        </row>
        <row r="2430">
          <cell r="B2430" t="str">
            <v>ZC60005</v>
          </cell>
          <cell r="C2430">
            <v>199900</v>
          </cell>
          <cell r="D2430">
            <v>209912</v>
          </cell>
          <cell r="E2430" t="str">
            <v>N</v>
          </cell>
          <cell r="F2430" t="str">
            <v/>
          </cell>
          <cell r="G2430" t="str">
            <v/>
          </cell>
          <cell r="H2430" t="str">
            <v>B</v>
          </cell>
        </row>
        <row r="2431">
          <cell r="B2431" t="str">
            <v>ZC60006</v>
          </cell>
          <cell r="C2431">
            <v>199900</v>
          </cell>
          <cell r="D2431">
            <v>209912</v>
          </cell>
          <cell r="E2431" t="str">
            <v>N</v>
          </cell>
          <cell r="F2431" t="str">
            <v/>
          </cell>
          <cell r="G2431" t="str">
            <v/>
          </cell>
          <cell r="H2431" t="str">
            <v>B</v>
          </cell>
        </row>
        <row r="2432">
          <cell r="B2432" t="str">
            <v>ZC60007</v>
          </cell>
          <cell r="C2432">
            <v>199900</v>
          </cell>
          <cell r="D2432">
            <v>209912</v>
          </cell>
          <cell r="E2432" t="str">
            <v>N</v>
          </cell>
          <cell r="F2432" t="str">
            <v/>
          </cell>
          <cell r="G2432" t="str">
            <v/>
          </cell>
          <cell r="H2432" t="str">
            <v>B</v>
          </cell>
        </row>
        <row r="2433">
          <cell r="B2433" t="str">
            <v>ZD20100</v>
          </cell>
          <cell r="C2433">
            <v>200509</v>
          </cell>
          <cell r="D2433">
            <v>209912</v>
          </cell>
          <cell r="E2433" t="str">
            <v>N</v>
          </cell>
          <cell r="F2433" t="str">
            <v/>
          </cell>
          <cell r="G2433" t="str">
            <v/>
          </cell>
          <cell r="H2433" t="str">
            <v>B</v>
          </cell>
        </row>
        <row r="2434">
          <cell r="B2434" t="str">
            <v>ZD20200</v>
          </cell>
          <cell r="C2434">
            <v>200509</v>
          </cell>
          <cell r="D2434">
            <v>209912</v>
          </cell>
          <cell r="E2434" t="str">
            <v>N</v>
          </cell>
          <cell r="F2434" t="str">
            <v/>
          </cell>
          <cell r="G2434" t="str">
            <v/>
          </cell>
          <cell r="H2434" t="str">
            <v>B</v>
          </cell>
        </row>
        <row r="2435">
          <cell r="B2435" t="str">
            <v>ZD20300</v>
          </cell>
          <cell r="C2435">
            <v>200509</v>
          </cell>
          <cell r="D2435">
            <v>209912</v>
          </cell>
          <cell r="E2435" t="str">
            <v>N</v>
          </cell>
          <cell r="F2435" t="str">
            <v/>
          </cell>
          <cell r="G2435" t="str">
            <v/>
          </cell>
          <cell r="H2435" t="str">
            <v>B</v>
          </cell>
        </row>
        <row r="2436">
          <cell r="B2436" t="str">
            <v>ZD20400</v>
          </cell>
          <cell r="C2436">
            <v>200508</v>
          </cell>
          <cell r="D2436">
            <v>209912</v>
          </cell>
          <cell r="E2436" t="str">
            <v>N</v>
          </cell>
          <cell r="F2436" t="str">
            <v/>
          </cell>
          <cell r="G2436" t="str">
            <v/>
          </cell>
          <cell r="H2436" t="str">
            <v>B</v>
          </cell>
        </row>
        <row r="2437">
          <cell r="B2437" t="str">
            <v>ZD20401</v>
          </cell>
          <cell r="C2437">
            <v>200509</v>
          </cell>
          <cell r="D2437">
            <v>209912</v>
          </cell>
          <cell r="E2437" t="str">
            <v>N</v>
          </cell>
          <cell r="F2437" t="str">
            <v/>
          </cell>
          <cell r="G2437" t="str">
            <v/>
          </cell>
          <cell r="H2437" t="str">
            <v>B</v>
          </cell>
        </row>
        <row r="2438">
          <cell r="B2438" t="str">
            <v>ZD20402</v>
          </cell>
          <cell r="C2438">
            <v>200508</v>
          </cell>
          <cell r="D2438">
            <v>209912</v>
          </cell>
          <cell r="E2438" t="str">
            <v>N</v>
          </cell>
          <cell r="F2438" t="str">
            <v/>
          </cell>
          <cell r="G2438" t="str">
            <v/>
          </cell>
          <cell r="H2438" t="str">
            <v>B</v>
          </cell>
        </row>
        <row r="2439">
          <cell r="B2439" t="str">
            <v>ZD20403</v>
          </cell>
          <cell r="C2439">
            <v>200509</v>
          </cell>
          <cell r="D2439">
            <v>209912</v>
          </cell>
          <cell r="E2439" t="str">
            <v>N</v>
          </cell>
          <cell r="F2439" t="str">
            <v/>
          </cell>
          <cell r="G2439" t="str">
            <v/>
          </cell>
          <cell r="H2439" t="str">
            <v>B</v>
          </cell>
        </row>
        <row r="2440">
          <cell r="B2440" t="str">
            <v>ZD20404</v>
          </cell>
          <cell r="C2440">
            <v>200712</v>
          </cell>
          <cell r="D2440">
            <v>209912</v>
          </cell>
          <cell r="E2440" t="str">
            <v>N</v>
          </cell>
          <cell r="F2440" t="str">
            <v/>
          </cell>
          <cell r="G2440" t="str">
            <v/>
          </cell>
          <cell r="H2440" t="str">
            <v>B</v>
          </cell>
        </row>
        <row r="2441">
          <cell r="B2441" t="str">
            <v>ZD20405</v>
          </cell>
          <cell r="C2441">
            <v>200712</v>
          </cell>
          <cell r="D2441">
            <v>209912</v>
          </cell>
          <cell r="E2441" t="str">
            <v>N</v>
          </cell>
          <cell r="F2441" t="str">
            <v/>
          </cell>
          <cell r="G2441" t="str">
            <v/>
          </cell>
          <cell r="H2441" t="str">
            <v>B</v>
          </cell>
        </row>
        <row r="2442">
          <cell r="B2442" t="str">
            <v>ZD20406</v>
          </cell>
          <cell r="C2442">
            <v>200712</v>
          </cell>
          <cell r="D2442">
            <v>209912</v>
          </cell>
          <cell r="E2442" t="str">
            <v>N</v>
          </cell>
          <cell r="F2442" t="str">
            <v/>
          </cell>
          <cell r="G2442" t="str">
            <v/>
          </cell>
          <cell r="H2442" t="str">
            <v>B</v>
          </cell>
        </row>
        <row r="2443">
          <cell r="B2443" t="str">
            <v>ZD20407</v>
          </cell>
          <cell r="C2443">
            <v>200812</v>
          </cell>
          <cell r="D2443">
            <v>209912</v>
          </cell>
          <cell r="E2443" t="str">
            <v>N</v>
          </cell>
          <cell r="F2443" t="str">
            <v/>
          </cell>
          <cell r="G2443" t="str">
            <v/>
          </cell>
          <cell r="H2443" t="str">
            <v>B</v>
          </cell>
        </row>
        <row r="2444">
          <cell r="B2444" t="str">
            <v>ZD20408</v>
          </cell>
          <cell r="C2444">
            <v>200810</v>
          </cell>
          <cell r="D2444">
            <v>209912</v>
          </cell>
          <cell r="E2444" t="str">
            <v>N</v>
          </cell>
          <cell r="F2444" t="str">
            <v/>
          </cell>
          <cell r="G2444" t="str">
            <v/>
          </cell>
          <cell r="H2444" t="str">
            <v>B</v>
          </cell>
        </row>
        <row r="2445">
          <cell r="B2445" t="str">
            <v>ZD20409</v>
          </cell>
          <cell r="C2445">
            <v>200901</v>
          </cell>
          <cell r="D2445">
            <v>209912</v>
          </cell>
          <cell r="E2445" t="str">
            <v>N</v>
          </cell>
          <cell r="F2445" t="str">
            <v/>
          </cell>
          <cell r="G2445" t="str">
            <v/>
          </cell>
          <cell r="H2445" t="str">
            <v>B</v>
          </cell>
        </row>
        <row r="2446">
          <cell r="B2446" t="str">
            <v>ZD20410</v>
          </cell>
          <cell r="C2446">
            <v>201013</v>
          </cell>
          <cell r="D2446">
            <v>209912</v>
          </cell>
          <cell r="E2446" t="str">
            <v>N</v>
          </cell>
          <cell r="F2446" t="str">
            <v/>
          </cell>
          <cell r="G2446" t="str">
            <v/>
          </cell>
          <cell r="H2446" t="str">
            <v>B</v>
          </cell>
        </row>
        <row r="2447">
          <cell r="B2447" t="str">
            <v>ZD20411</v>
          </cell>
          <cell r="C2447">
            <v>201104</v>
          </cell>
          <cell r="D2447">
            <v>209912</v>
          </cell>
          <cell r="E2447" t="str">
            <v>N</v>
          </cell>
          <cell r="F2447" t="str">
            <v/>
          </cell>
          <cell r="G2447" t="str">
            <v/>
          </cell>
          <cell r="H2447" t="str">
            <v>B</v>
          </cell>
        </row>
        <row r="2448">
          <cell r="B2448" t="str">
            <v>ZD20412</v>
          </cell>
          <cell r="C2448">
            <v>199900</v>
          </cell>
          <cell r="D2448">
            <v>209912</v>
          </cell>
          <cell r="E2448" t="str">
            <v>N</v>
          </cell>
          <cell r="F2448" t="str">
            <v/>
          </cell>
          <cell r="G2448" t="str">
            <v/>
          </cell>
          <cell r="H2448" t="str">
            <v>B</v>
          </cell>
        </row>
        <row r="2449">
          <cell r="B2449" t="str">
            <v>ZD20500</v>
          </cell>
          <cell r="C2449">
            <v>200509</v>
          </cell>
          <cell r="D2449">
            <v>209913</v>
          </cell>
          <cell r="E2449" t="str">
            <v>N</v>
          </cell>
          <cell r="F2449" t="str">
            <v/>
          </cell>
          <cell r="G2449" t="str">
            <v/>
          </cell>
          <cell r="H2449" t="str">
            <v>B</v>
          </cell>
        </row>
        <row r="2450">
          <cell r="B2450" t="str">
            <v>ZD20600</v>
          </cell>
          <cell r="C2450">
            <v>200509</v>
          </cell>
          <cell r="D2450">
            <v>209913</v>
          </cell>
          <cell r="E2450" t="str">
            <v>N</v>
          </cell>
          <cell r="F2450" t="str">
            <v/>
          </cell>
          <cell r="G2450" t="str">
            <v/>
          </cell>
          <cell r="H2450" t="str">
            <v>B</v>
          </cell>
        </row>
        <row r="2451">
          <cell r="B2451" t="str">
            <v>ZD20700</v>
          </cell>
          <cell r="C2451">
            <v>200509</v>
          </cell>
          <cell r="D2451">
            <v>209913</v>
          </cell>
          <cell r="E2451" t="str">
            <v>N</v>
          </cell>
          <cell r="F2451" t="str">
            <v/>
          </cell>
          <cell r="G2451" t="str">
            <v/>
          </cell>
          <cell r="H2451" t="str">
            <v>B</v>
          </cell>
        </row>
        <row r="2452">
          <cell r="B2452" t="str">
            <v>ZD20800</v>
          </cell>
          <cell r="C2452">
            <v>200509</v>
          </cell>
          <cell r="D2452">
            <v>209913</v>
          </cell>
          <cell r="E2452" t="str">
            <v>N</v>
          </cell>
          <cell r="F2452" t="str">
            <v/>
          </cell>
          <cell r="G2452" t="str">
            <v/>
          </cell>
          <cell r="H2452" t="str">
            <v>B</v>
          </cell>
        </row>
        <row r="2453">
          <cell r="B2453" t="str">
            <v>ZD20900</v>
          </cell>
          <cell r="C2453">
            <v>200509</v>
          </cell>
          <cell r="D2453">
            <v>209913</v>
          </cell>
          <cell r="E2453" t="str">
            <v>N</v>
          </cell>
          <cell r="F2453" t="str">
            <v/>
          </cell>
          <cell r="G2453" t="str">
            <v/>
          </cell>
          <cell r="H2453" t="str">
            <v>B</v>
          </cell>
        </row>
        <row r="2454">
          <cell r="B2454" t="str">
            <v>ZD21000</v>
          </cell>
          <cell r="C2454">
            <v>200509</v>
          </cell>
          <cell r="D2454">
            <v>209913</v>
          </cell>
          <cell r="E2454" t="str">
            <v>N</v>
          </cell>
          <cell r="F2454" t="str">
            <v/>
          </cell>
          <cell r="G2454" t="str">
            <v/>
          </cell>
          <cell r="H2454" t="str">
            <v>B</v>
          </cell>
        </row>
        <row r="2455">
          <cell r="B2455" t="str">
            <v>ZD21001</v>
          </cell>
          <cell r="C2455">
            <v>200509</v>
          </cell>
          <cell r="D2455">
            <v>209913</v>
          </cell>
          <cell r="E2455" t="str">
            <v>N</v>
          </cell>
          <cell r="F2455" t="str">
            <v/>
          </cell>
          <cell r="G2455" t="str">
            <v/>
          </cell>
          <cell r="H2455" t="str">
            <v>B</v>
          </cell>
        </row>
        <row r="2456">
          <cell r="B2456" t="str">
            <v>ZD21002</v>
          </cell>
          <cell r="C2456">
            <v>200509</v>
          </cell>
          <cell r="D2456">
            <v>200510</v>
          </cell>
          <cell r="E2456" t="str">
            <v>N</v>
          </cell>
          <cell r="F2456" t="str">
            <v>Account closed from period 200510</v>
          </cell>
          <cell r="G2456" t="str">
            <v/>
          </cell>
          <cell r="H2456" t="str">
            <v>B</v>
          </cell>
        </row>
        <row r="2457">
          <cell r="B2457" t="str">
            <v>ZD21003</v>
          </cell>
          <cell r="C2457">
            <v>200509</v>
          </cell>
          <cell r="D2457">
            <v>209913</v>
          </cell>
          <cell r="E2457" t="str">
            <v>N</v>
          </cell>
          <cell r="F2457" t="str">
            <v/>
          </cell>
          <cell r="G2457" t="str">
            <v/>
          </cell>
          <cell r="H2457" t="str">
            <v>B</v>
          </cell>
        </row>
        <row r="2458">
          <cell r="B2458" t="str">
            <v>ZD21100</v>
          </cell>
          <cell r="C2458">
            <v>200509</v>
          </cell>
          <cell r="D2458">
            <v>209913</v>
          </cell>
          <cell r="E2458" t="str">
            <v>N</v>
          </cell>
          <cell r="F2458" t="str">
            <v/>
          </cell>
          <cell r="G2458" t="str">
            <v/>
          </cell>
          <cell r="H2458" t="str">
            <v>B</v>
          </cell>
        </row>
        <row r="2459">
          <cell r="B2459" t="str">
            <v>ZD21200</v>
          </cell>
          <cell r="C2459">
            <v>200509</v>
          </cell>
          <cell r="D2459">
            <v>209913</v>
          </cell>
          <cell r="E2459" t="str">
            <v>N</v>
          </cell>
          <cell r="F2459" t="str">
            <v/>
          </cell>
          <cell r="G2459" t="str">
            <v/>
          </cell>
          <cell r="H2459" t="str">
            <v>B</v>
          </cell>
        </row>
        <row r="2460">
          <cell r="B2460" t="str">
            <v>ZD21300</v>
          </cell>
          <cell r="C2460">
            <v>200509</v>
          </cell>
          <cell r="D2460">
            <v>209913</v>
          </cell>
          <cell r="E2460" t="str">
            <v>N</v>
          </cell>
          <cell r="F2460" t="str">
            <v/>
          </cell>
          <cell r="G2460" t="str">
            <v/>
          </cell>
          <cell r="H2460" t="str">
            <v>B</v>
          </cell>
        </row>
        <row r="2461">
          <cell r="B2461" t="str">
            <v>ZD21400</v>
          </cell>
          <cell r="C2461">
            <v>200509</v>
          </cell>
          <cell r="D2461">
            <v>209913</v>
          </cell>
          <cell r="E2461" t="str">
            <v>N</v>
          </cell>
          <cell r="F2461" t="str">
            <v/>
          </cell>
          <cell r="G2461" t="str">
            <v/>
          </cell>
          <cell r="H2461" t="str">
            <v>B</v>
          </cell>
        </row>
        <row r="2462">
          <cell r="B2462" t="str">
            <v>ZD21500</v>
          </cell>
          <cell r="C2462">
            <v>200610</v>
          </cell>
          <cell r="D2462">
            <v>209912</v>
          </cell>
          <cell r="E2462" t="str">
            <v>N</v>
          </cell>
          <cell r="F2462" t="str">
            <v/>
          </cell>
          <cell r="G2462" t="str">
            <v/>
          </cell>
          <cell r="H2462" t="str">
            <v>B</v>
          </cell>
        </row>
        <row r="2463">
          <cell r="B2463" t="str">
            <v>ZD21600</v>
          </cell>
          <cell r="C2463">
            <v>201013</v>
          </cell>
          <cell r="D2463">
            <v>209912</v>
          </cell>
          <cell r="E2463" t="str">
            <v>N</v>
          </cell>
          <cell r="F2463" t="str">
            <v/>
          </cell>
          <cell r="G2463" t="str">
            <v/>
          </cell>
          <cell r="H2463" t="str">
            <v>B</v>
          </cell>
        </row>
        <row r="2464">
          <cell r="B2464" t="str">
            <v>ZD60005</v>
          </cell>
          <cell r="C2464">
            <v>199900</v>
          </cell>
          <cell r="D2464">
            <v>209912</v>
          </cell>
          <cell r="E2464" t="str">
            <v>N</v>
          </cell>
          <cell r="F2464" t="str">
            <v/>
          </cell>
          <cell r="G2464" t="str">
            <v/>
          </cell>
          <cell r="H2464" t="str">
            <v>B</v>
          </cell>
        </row>
        <row r="2465">
          <cell r="B2465" t="str">
            <v>ZD60006</v>
          </cell>
          <cell r="C2465">
            <v>199900</v>
          </cell>
          <cell r="D2465">
            <v>209912</v>
          </cell>
          <cell r="E2465" t="str">
            <v>N</v>
          </cell>
          <cell r="F2465" t="str">
            <v/>
          </cell>
          <cell r="G2465" t="str">
            <v/>
          </cell>
          <cell r="H2465" t="str">
            <v>B</v>
          </cell>
        </row>
        <row r="2466">
          <cell r="B2466" t="str">
            <v>ZD60007</v>
          </cell>
          <cell r="C2466">
            <v>199900</v>
          </cell>
          <cell r="D2466">
            <v>209912</v>
          </cell>
          <cell r="E2466" t="str">
            <v>N</v>
          </cell>
          <cell r="F2466" t="str">
            <v/>
          </cell>
          <cell r="G2466" t="str">
            <v/>
          </cell>
          <cell r="H2466" t="str">
            <v>B</v>
          </cell>
        </row>
        <row r="2467">
          <cell r="B2467" t="str">
            <v>ZD60008</v>
          </cell>
          <cell r="C2467">
            <v>199900</v>
          </cell>
          <cell r="D2467">
            <v>209912</v>
          </cell>
          <cell r="E2467" t="str">
            <v>N</v>
          </cell>
          <cell r="F2467" t="str">
            <v/>
          </cell>
          <cell r="G2467" t="str">
            <v/>
          </cell>
          <cell r="H2467" t="str">
            <v>B</v>
          </cell>
        </row>
        <row r="2468">
          <cell r="B2468" t="str">
            <v>ZS30100</v>
          </cell>
          <cell r="C2468">
            <v>200411</v>
          </cell>
          <cell r="D2468">
            <v>209912</v>
          </cell>
          <cell r="E2468" t="str">
            <v>N</v>
          </cell>
          <cell r="F2468" t="str">
            <v/>
          </cell>
          <cell r="G2468" t="str">
            <v/>
          </cell>
          <cell r="H2468" t="str">
            <v>B</v>
          </cell>
        </row>
        <row r="2469">
          <cell r="B2469" t="str">
            <v>ZS30200</v>
          </cell>
          <cell r="C2469">
            <v>200411</v>
          </cell>
          <cell r="D2469">
            <v>209912</v>
          </cell>
          <cell r="E2469" t="str">
            <v>N</v>
          </cell>
          <cell r="F2469" t="str">
            <v/>
          </cell>
          <cell r="G2469" t="str">
            <v/>
          </cell>
          <cell r="H2469" t="str">
            <v>B</v>
          </cell>
        </row>
        <row r="2470">
          <cell r="B2470" t="str">
            <v>ZS30300</v>
          </cell>
          <cell r="C2470">
            <v>200411</v>
          </cell>
          <cell r="D2470">
            <v>209912</v>
          </cell>
          <cell r="E2470" t="str">
            <v>N</v>
          </cell>
          <cell r="F2470" t="str">
            <v/>
          </cell>
          <cell r="G2470" t="str">
            <v/>
          </cell>
          <cell r="H2470" t="str">
            <v>B</v>
          </cell>
        </row>
        <row r="2471">
          <cell r="B2471" t="str">
            <v>ZS30400</v>
          </cell>
          <cell r="C2471">
            <v>200411</v>
          </cell>
          <cell r="D2471">
            <v>200611</v>
          </cell>
          <cell r="E2471" t="str">
            <v>N</v>
          </cell>
          <cell r="F2471" t="str">
            <v>Account closed from period 200611</v>
          </cell>
          <cell r="G2471" t="str">
            <v/>
          </cell>
          <cell r="H2471" t="str">
            <v>B</v>
          </cell>
        </row>
        <row r="2472">
          <cell r="B2472" t="str">
            <v>ZS30401</v>
          </cell>
          <cell r="C2472">
            <v>200411</v>
          </cell>
          <cell r="D2472">
            <v>209912</v>
          </cell>
          <cell r="E2472" t="str">
            <v>N</v>
          </cell>
          <cell r="F2472" t="str">
            <v/>
          </cell>
          <cell r="G2472" t="str">
            <v/>
          </cell>
          <cell r="H2472" t="str">
            <v>B</v>
          </cell>
        </row>
        <row r="2473">
          <cell r="B2473" t="str">
            <v>ZS30402</v>
          </cell>
          <cell r="C2473">
            <v>200411</v>
          </cell>
          <cell r="D2473">
            <v>209912</v>
          </cell>
          <cell r="E2473" t="str">
            <v>N</v>
          </cell>
          <cell r="F2473" t="str">
            <v/>
          </cell>
          <cell r="G2473" t="str">
            <v/>
          </cell>
          <cell r="H2473" t="str">
            <v>B</v>
          </cell>
        </row>
        <row r="2474">
          <cell r="B2474" t="str">
            <v>ZS30403</v>
          </cell>
          <cell r="C2474">
            <v>200411</v>
          </cell>
          <cell r="D2474">
            <v>209912</v>
          </cell>
          <cell r="E2474" t="str">
            <v>N</v>
          </cell>
          <cell r="F2474" t="str">
            <v/>
          </cell>
          <cell r="G2474" t="str">
            <v/>
          </cell>
          <cell r="H2474" t="str">
            <v>B</v>
          </cell>
        </row>
        <row r="2475">
          <cell r="B2475" t="str">
            <v>ZS30404</v>
          </cell>
          <cell r="C2475">
            <v>200411</v>
          </cell>
          <cell r="D2475">
            <v>209912</v>
          </cell>
          <cell r="E2475" t="str">
            <v>N</v>
          </cell>
          <cell r="F2475" t="str">
            <v/>
          </cell>
          <cell r="G2475" t="str">
            <v/>
          </cell>
          <cell r="H2475" t="str">
            <v>B</v>
          </cell>
        </row>
        <row r="2476">
          <cell r="B2476" t="str">
            <v>ZS30405</v>
          </cell>
          <cell r="C2476">
            <v>200411</v>
          </cell>
          <cell r="D2476">
            <v>209912</v>
          </cell>
          <cell r="E2476" t="str">
            <v>N</v>
          </cell>
          <cell r="F2476" t="str">
            <v/>
          </cell>
          <cell r="G2476" t="str">
            <v/>
          </cell>
          <cell r="H2476" t="str">
            <v>B</v>
          </cell>
        </row>
        <row r="2477">
          <cell r="B2477" t="str">
            <v>ZS30406</v>
          </cell>
          <cell r="C2477">
            <v>200411</v>
          </cell>
          <cell r="D2477">
            <v>209912</v>
          </cell>
          <cell r="E2477" t="str">
            <v>N</v>
          </cell>
          <cell r="F2477" t="str">
            <v/>
          </cell>
          <cell r="G2477" t="str">
            <v/>
          </cell>
          <cell r="H2477" t="str">
            <v>B</v>
          </cell>
        </row>
        <row r="2478">
          <cell r="B2478" t="str">
            <v>ZS30407</v>
          </cell>
          <cell r="C2478">
            <v>200411</v>
          </cell>
          <cell r="D2478">
            <v>209912</v>
          </cell>
          <cell r="E2478" t="str">
            <v>N</v>
          </cell>
          <cell r="F2478" t="str">
            <v/>
          </cell>
          <cell r="G2478" t="str">
            <v/>
          </cell>
          <cell r="H2478" t="str">
            <v>B</v>
          </cell>
        </row>
        <row r="2479">
          <cell r="B2479" t="str">
            <v>ZS30408</v>
          </cell>
          <cell r="C2479">
            <v>200411</v>
          </cell>
          <cell r="D2479">
            <v>209912</v>
          </cell>
          <cell r="E2479" t="str">
            <v>N</v>
          </cell>
          <cell r="F2479" t="str">
            <v/>
          </cell>
          <cell r="G2479" t="str">
            <v/>
          </cell>
          <cell r="H2479" t="str">
            <v>B</v>
          </cell>
        </row>
        <row r="2480">
          <cell r="B2480" t="str">
            <v>ZS30409</v>
          </cell>
          <cell r="C2480">
            <v>200411</v>
          </cell>
          <cell r="D2480">
            <v>209912</v>
          </cell>
          <cell r="E2480" t="str">
            <v>N</v>
          </cell>
          <cell r="F2480" t="str">
            <v/>
          </cell>
          <cell r="G2480" t="str">
            <v/>
          </cell>
          <cell r="H2480" t="str">
            <v>B</v>
          </cell>
        </row>
        <row r="2481">
          <cell r="B2481" t="str">
            <v>ZS30410</v>
          </cell>
          <cell r="C2481">
            <v>200411</v>
          </cell>
          <cell r="D2481">
            <v>200613</v>
          </cell>
          <cell r="E2481" t="str">
            <v>N</v>
          </cell>
          <cell r="F2481" t="str">
            <v>Account closed from period 200613</v>
          </cell>
          <cell r="G2481" t="str">
            <v/>
          </cell>
          <cell r="H2481" t="str">
            <v>B</v>
          </cell>
        </row>
        <row r="2482">
          <cell r="B2482" t="str">
            <v>ZS30411</v>
          </cell>
          <cell r="C2482">
            <v>200411</v>
          </cell>
          <cell r="D2482">
            <v>209912</v>
          </cell>
          <cell r="E2482" t="str">
            <v>N</v>
          </cell>
          <cell r="F2482" t="str">
            <v/>
          </cell>
          <cell r="G2482" t="str">
            <v/>
          </cell>
          <cell r="H2482" t="str">
            <v>B</v>
          </cell>
        </row>
        <row r="2483">
          <cell r="B2483" t="str">
            <v>ZS30412</v>
          </cell>
          <cell r="C2483">
            <v>200411</v>
          </cell>
          <cell r="D2483">
            <v>209912</v>
          </cell>
          <cell r="E2483" t="str">
            <v>N</v>
          </cell>
          <cell r="F2483" t="str">
            <v/>
          </cell>
          <cell r="G2483" t="str">
            <v/>
          </cell>
          <cell r="H2483" t="str">
            <v>B</v>
          </cell>
        </row>
        <row r="2484">
          <cell r="B2484" t="str">
            <v>ZS30413</v>
          </cell>
          <cell r="C2484">
            <v>200411</v>
          </cell>
          <cell r="D2484">
            <v>209912</v>
          </cell>
          <cell r="E2484" t="str">
            <v>N</v>
          </cell>
          <cell r="F2484" t="str">
            <v/>
          </cell>
          <cell r="G2484" t="str">
            <v/>
          </cell>
          <cell r="H2484" t="str">
            <v>B</v>
          </cell>
        </row>
        <row r="2485">
          <cell r="B2485" t="str">
            <v>ZS30414</v>
          </cell>
          <cell r="C2485">
            <v>200411</v>
          </cell>
          <cell r="D2485">
            <v>209912</v>
          </cell>
          <cell r="E2485" t="str">
            <v>N</v>
          </cell>
          <cell r="F2485" t="str">
            <v/>
          </cell>
          <cell r="G2485" t="str">
            <v/>
          </cell>
          <cell r="H2485" t="str">
            <v>B</v>
          </cell>
        </row>
        <row r="2486">
          <cell r="B2486" t="str">
            <v>ZS30415</v>
          </cell>
          <cell r="C2486">
            <v>200411</v>
          </cell>
          <cell r="D2486">
            <v>200613</v>
          </cell>
          <cell r="E2486" t="str">
            <v>N</v>
          </cell>
          <cell r="F2486" t="str">
            <v>Account closed from period 200613</v>
          </cell>
          <cell r="G2486" t="str">
            <v/>
          </cell>
          <cell r="H2486" t="str">
            <v>B</v>
          </cell>
        </row>
        <row r="2487">
          <cell r="B2487" t="str">
            <v>ZS30416</v>
          </cell>
          <cell r="C2487">
            <v>200411</v>
          </cell>
          <cell r="D2487">
            <v>200711</v>
          </cell>
          <cell r="E2487" t="str">
            <v>N</v>
          </cell>
          <cell r="F2487" t="str">
            <v>Account closed from period 200711</v>
          </cell>
          <cell r="G2487" t="str">
            <v/>
          </cell>
          <cell r="H2487" t="str">
            <v>B</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Creditors"/>
      <sheetName val="Detailed Guidance"/>
      <sheetName val="GL07"/>
      <sheetName val="Lookups"/>
    </sheetNames>
    <sheetDataSet>
      <sheetData sheetId="0"/>
      <sheetData sheetId="1"/>
      <sheetData sheetId="2"/>
      <sheetData sheetId="3">
        <row r="1">
          <cell r="D1" t="str">
            <v>Accounts</v>
          </cell>
          <cell r="F1" t="str">
            <v>Cost Centre</v>
          </cell>
        </row>
        <row r="2">
          <cell r="A2" t="str">
            <v>A</v>
          </cell>
          <cell r="B2" t="str">
            <v>L0</v>
          </cell>
          <cell r="D2" t="str">
            <v>A0101</v>
          </cell>
          <cell r="F2" t="str">
            <v>AB01</v>
          </cell>
        </row>
        <row r="3">
          <cell r="A3" t="str">
            <v>B</v>
          </cell>
          <cell r="B3" t="str">
            <v>L0</v>
          </cell>
          <cell r="D3" t="str">
            <v>A0102</v>
          </cell>
          <cell r="F3" t="str">
            <v>AB02</v>
          </cell>
        </row>
        <row r="4">
          <cell r="A4" t="str">
            <v>C</v>
          </cell>
          <cell r="B4" t="str">
            <v>L0</v>
          </cell>
          <cell r="D4" t="str">
            <v>A0103</v>
          </cell>
          <cell r="F4" t="str">
            <v>AB10</v>
          </cell>
        </row>
        <row r="5">
          <cell r="A5" t="str">
            <v>D</v>
          </cell>
          <cell r="B5" t="str">
            <v>L0</v>
          </cell>
          <cell r="D5" t="str">
            <v>A0104</v>
          </cell>
          <cell r="F5" t="str">
            <v>AB16</v>
          </cell>
        </row>
        <row r="6">
          <cell r="A6" t="str">
            <v>E</v>
          </cell>
          <cell r="B6" t="str">
            <v>L0</v>
          </cell>
          <cell r="D6" t="str">
            <v>A0105</v>
          </cell>
          <cell r="F6" t="str">
            <v>AB17</v>
          </cell>
        </row>
        <row r="7">
          <cell r="A7" t="str">
            <v>F</v>
          </cell>
          <cell r="B7" t="str">
            <v>L0</v>
          </cell>
          <cell r="D7" t="str">
            <v>A0106</v>
          </cell>
          <cell r="F7" t="str">
            <v>AB18</v>
          </cell>
        </row>
        <row r="8">
          <cell r="A8" t="str">
            <v>G</v>
          </cell>
          <cell r="B8" t="str">
            <v>L0</v>
          </cell>
          <cell r="D8" t="str">
            <v>A0107</v>
          </cell>
          <cell r="F8" t="str">
            <v>AB25</v>
          </cell>
        </row>
        <row r="9">
          <cell r="A9" t="str">
            <v>H</v>
          </cell>
          <cell r="B9" t="str">
            <v>L0</v>
          </cell>
          <cell r="D9" t="str">
            <v>A0108</v>
          </cell>
          <cell r="F9" t="str">
            <v>AB30</v>
          </cell>
        </row>
        <row r="10">
          <cell r="A10" t="str">
            <v>I</v>
          </cell>
          <cell r="B10" t="str">
            <v>L0</v>
          </cell>
          <cell r="D10" t="str">
            <v>A0109</v>
          </cell>
          <cell r="F10" t="str">
            <v>AC01</v>
          </cell>
        </row>
        <row r="11">
          <cell r="A11" t="str">
            <v>J</v>
          </cell>
          <cell r="B11" t="str">
            <v>L0</v>
          </cell>
          <cell r="D11" t="str">
            <v>A0110</v>
          </cell>
          <cell r="F11" t="str">
            <v>AC02</v>
          </cell>
        </row>
        <row r="12">
          <cell r="A12" t="str">
            <v>K</v>
          </cell>
          <cell r="B12" t="str">
            <v>L0</v>
          </cell>
          <cell r="D12" t="str">
            <v>A0111</v>
          </cell>
          <cell r="F12" t="str">
            <v>AC13</v>
          </cell>
        </row>
        <row r="13">
          <cell r="A13" t="str">
            <v>L</v>
          </cell>
          <cell r="B13" t="str">
            <v>L0</v>
          </cell>
          <cell r="D13" t="str">
            <v>A0112</v>
          </cell>
          <cell r="F13" t="str">
            <v>AC14</v>
          </cell>
        </row>
        <row r="14">
          <cell r="A14" t="str">
            <v>M</v>
          </cell>
          <cell r="B14" t="str">
            <v>M1</v>
          </cell>
          <cell r="D14" t="str">
            <v>A0116</v>
          </cell>
          <cell r="F14" t="str">
            <v>AC15</v>
          </cell>
        </row>
        <row r="15">
          <cell r="A15" t="str">
            <v>N</v>
          </cell>
          <cell r="B15" t="str">
            <v>N1</v>
          </cell>
          <cell r="D15" t="str">
            <v>A0129</v>
          </cell>
          <cell r="F15" t="str">
            <v>AC16</v>
          </cell>
        </row>
        <row r="16">
          <cell r="A16" t="str">
            <v>O</v>
          </cell>
          <cell r="B16" t="str">
            <v>O1</v>
          </cell>
          <cell r="D16" t="str">
            <v>A0144</v>
          </cell>
          <cell r="F16" t="str">
            <v>AC17</v>
          </cell>
        </row>
        <row r="17">
          <cell r="A17" t="str">
            <v>P</v>
          </cell>
          <cell r="B17" t="str">
            <v>P1</v>
          </cell>
          <cell r="D17" t="str">
            <v>A0150</v>
          </cell>
          <cell r="F17" t="str">
            <v>AC18</v>
          </cell>
        </row>
        <row r="18">
          <cell r="A18" t="str">
            <v>Q</v>
          </cell>
          <cell r="B18" t="str">
            <v>Q1</v>
          </cell>
          <cell r="D18" t="str">
            <v>A0201</v>
          </cell>
          <cell r="F18" t="str">
            <v>AD11</v>
          </cell>
        </row>
        <row r="19">
          <cell r="A19" t="str">
            <v>R</v>
          </cell>
          <cell r="B19" t="str">
            <v>R1</v>
          </cell>
          <cell r="D19" t="str">
            <v>A0202</v>
          </cell>
          <cell r="F19" t="str">
            <v>AD12</v>
          </cell>
        </row>
        <row r="20">
          <cell r="A20" t="str">
            <v>S</v>
          </cell>
          <cell r="B20" t="str">
            <v>S1</v>
          </cell>
          <cell r="D20" t="str">
            <v>A0203</v>
          </cell>
          <cell r="F20" t="str">
            <v>AD13</v>
          </cell>
        </row>
        <row r="21">
          <cell r="A21" t="str">
            <v>T</v>
          </cell>
          <cell r="B21" t="str">
            <v>T1</v>
          </cell>
          <cell r="D21" t="str">
            <v>A0207</v>
          </cell>
          <cell r="F21" t="str">
            <v>AD14</v>
          </cell>
        </row>
        <row r="22">
          <cell r="A22" t="str">
            <v>U</v>
          </cell>
          <cell r="B22" t="str">
            <v>U1</v>
          </cell>
          <cell r="D22" t="str">
            <v>A0208</v>
          </cell>
          <cell r="F22" t="str">
            <v>AE03</v>
          </cell>
        </row>
        <row r="23">
          <cell r="A23" t="str">
            <v>V</v>
          </cell>
          <cell r="B23" t="str">
            <v>V1</v>
          </cell>
          <cell r="D23" t="str">
            <v>A0210</v>
          </cell>
          <cell r="F23" t="str">
            <v>AE04</v>
          </cell>
        </row>
        <row r="24">
          <cell r="A24" t="str">
            <v>W</v>
          </cell>
          <cell r="B24" t="str">
            <v>W1</v>
          </cell>
          <cell r="D24" t="str">
            <v>A0211</v>
          </cell>
          <cell r="F24" t="str">
            <v>AE05</v>
          </cell>
        </row>
        <row r="25">
          <cell r="A25" t="str">
            <v>X</v>
          </cell>
          <cell r="B25" t="str">
            <v>X1</v>
          </cell>
          <cell r="D25" t="str">
            <v>A0216</v>
          </cell>
          <cell r="F25" t="str">
            <v>AE07</v>
          </cell>
        </row>
        <row r="26">
          <cell r="A26" t="str">
            <v>Y</v>
          </cell>
          <cell r="B26" t="str">
            <v>Y1</v>
          </cell>
          <cell r="D26" t="str">
            <v>A0217</v>
          </cell>
          <cell r="F26" t="str">
            <v>AE13</v>
          </cell>
        </row>
        <row r="27">
          <cell r="A27" t="str">
            <v>Z</v>
          </cell>
          <cell r="B27" t="str">
            <v>Z1</v>
          </cell>
          <cell r="D27" t="str">
            <v>A0218</v>
          </cell>
          <cell r="F27" t="str">
            <v>AE15</v>
          </cell>
        </row>
        <row r="28">
          <cell r="D28" t="str">
            <v>A0219</v>
          </cell>
          <cell r="F28" t="str">
            <v>AE18</v>
          </cell>
        </row>
        <row r="29">
          <cell r="D29" t="str">
            <v>A0220</v>
          </cell>
          <cell r="F29" t="str">
            <v>AE19</v>
          </cell>
        </row>
        <row r="30">
          <cell r="D30" t="str">
            <v>A0221</v>
          </cell>
          <cell r="F30" t="str">
            <v>AE23</v>
          </cell>
        </row>
        <row r="31">
          <cell r="D31" t="str">
            <v>A0222</v>
          </cell>
          <cell r="F31" t="str">
            <v>AF11</v>
          </cell>
        </row>
        <row r="32">
          <cell r="D32" t="str">
            <v>A0224</v>
          </cell>
          <cell r="F32" t="str">
            <v>AG01</v>
          </cell>
        </row>
        <row r="33">
          <cell r="D33" t="str">
            <v>A0227</v>
          </cell>
          <cell r="F33" t="str">
            <v>AG03</v>
          </cell>
        </row>
        <row r="34">
          <cell r="D34" t="str">
            <v>A0229</v>
          </cell>
          <cell r="F34" t="str">
            <v>AG10</v>
          </cell>
        </row>
        <row r="35">
          <cell r="D35" t="str">
            <v>A0230</v>
          </cell>
          <cell r="F35" t="str">
            <v>AG11</v>
          </cell>
        </row>
        <row r="36">
          <cell r="D36" t="str">
            <v>A0231</v>
          </cell>
          <cell r="F36" t="str">
            <v>AG12</v>
          </cell>
        </row>
        <row r="37">
          <cell r="D37" t="str">
            <v>A0232</v>
          </cell>
          <cell r="F37" t="str">
            <v>AG14</v>
          </cell>
        </row>
        <row r="38">
          <cell r="D38" t="str">
            <v>A0234</v>
          </cell>
          <cell r="F38" t="str">
            <v>AG17</v>
          </cell>
        </row>
        <row r="39">
          <cell r="D39" t="str">
            <v>A0236</v>
          </cell>
          <cell r="F39" t="str">
            <v>AG18</v>
          </cell>
        </row>
        <row r="40">
          <cell r="D40" t="str">
            <v>A0237</v>
          </cell>
          <cell r="F40" t="str">
            <v>AG19</v>
          </cell>
        </row>
        <row r="41">
          <cell r="D41" t="str">
            <v>A0238</v>
          </cell>
          <cell r="F41" t="str">
            <v>AG26</v>
          </cell>
        </row>
        <row r="42">
          <cell r="D42" t="str">
            <v>A0239</v>
          </cell>
          <cell r="F42" t="str">
            <v>AG27</v>
          </cell>
        </row>
        <row r="43">
          <cell r="D43" t="str">
            <v>A0242</v>
          </cell>
          <cell r="F43" t="str">
            <v>AJ01</v>
          </cell>
        </row>
        <row r="44">
          <cell r="D44" t="str">
            <v>A0250</v>
          </cell>
          <cell r="F44" t="str">
            <v>AJ02</v>
          </cell>
        </row>
        <row r="45">
          <cell r="D45" t="str">
            <v>A0253</v>
          </cell>
          <cell r="F45" t="str">
            <v>AJ11</v>
          </cell>
        </row>
        <row r="46">
          <cell r="D46" t="str">
            <v>A0254</v>
          </cell>
          <cell r="F46" t="str">
            <v>AK01</v>
          </cell>
        </row>
        <row r="47">
          <cell r="D47" t="str">
            <v>A0255</v>
          </cell>
          <cell r="F47" t="str">
            <v>AK02</v>
          </cell>
        </row>
        <row r="48">
          <cell r="D48" t="str">
            <v>A0256</v>
          </cell>
          <cell r="F48" t="str">
            <v>AK03</v>
          </cell>
        </row>
        <row r="49">
          <cell r="D49" t="str">
            <v>A0301</v>
          </cell>
          <cell r="F49" t="str">
            <v>AM02</v>
          </cell>
        </row>
        <row r="50">
          <cell r="D50" t="str">
            <v>A0302</v>
          </cell>
          <cell r="F50" t="str">
            <v>AM19</v>
          </cell>
        </row>
        <row r="51">
          <cell r="D51" t="str">
            <v>A0303</v>
          </cell>
          <cell r="F51" t="str">
            <v>AN01</v>
          </cell>
        </row>
        <row r="52">
          <cell r="D52" t="str">
            <v>A0306</v>
          </cell>
          <cell r="F52" t="str">
            <v>AN03</v>
          </cell>
        </row>
        <row r="53">
          <cell r="D53" t="str">
            <v>A0307</v>
          </cell>
          <cell r="F53" t="str">
            <v>AR12</v>
          </cell>
        </row>
        <row r="54">
          <cell r="D54" t="str">
            <v>A0308</v>
          </cell>
          <cell r="F54" t="str">
            <v>AR14</v>
          </cell>
        </row>
        <row r="55">
          <cell r="D55" t="str">
            <v>A0601</v>
          </cell>
          <cell r="F55" t="str">
            <v>AS01</v>
          </cell>
        </row>
        <row r="56">
          <cell r="D56" t="str">
            <v>A0602</v>
          </cell>
          <cell r="F56" t="str">
            <v>BA11</v>
          </cell>
        </row>
        <row r="57">
          <cell r="D57" t="str">
            <v>A0604</v>
          </cell>
          <cell r="F57" t="str">
            <v>BG11</v>
          </cell>
        </row>
        <row r="58">
          <cell r="D58" t="str">
            <v>A0607</v>
          </cell>
          <cell r="F58" t="str">
            <v>BG12</v>
          </cell>
        </row>
        <row r="59">
          <cell r="D59" t="str">
            <v>A0621</v>
          </cell>
          <cell r="F59" t="str">
            <v>BG13</v>
          </cell>
        </row>
        <row r="60">
          <cell r="D60" t="str">
            <v>A0622</v>
          </cell>
          <cell r="F60" t="str">
            <v>BG16</v>
          </cell>
        </row>
        <row r="61">
          <cell r="D61" t="str">
            <v>A0623</v>
          </cell>
          <cell r="F61" t="str">
            <v>BG17</v>
          </cell>
        </row>
        <row r="62">
          <cell r="D62" t="str">
            <v>A0625</v>
          </cell>
          <cell r="F62" t="str">
            <v>BG18</v>
          </cell>
        </row>
        <row r="63">
          <cell r="D63" t="str">
            <v>A0628</v>
          </cell>
          <cell r="F63" t="str">
            <v>BG21</v>
          </cell>
        </row>
        <row r="64">
          <cell r="D64" t="str">
            <v>A0630</v>
          </cell>
          <cell r="F64" t="str">
            <v>BG26</v>
          </cell>
        </row>
        <row r="65">
          <cell r="D65" t="str">
            <v>A0631</v>
          </cell>
          <cell r="F65" t="str">
            <v>BG34</v>
          </cell>
        </row>
        <row r="66">
          <cell r="D66" t="str">
            <v>A0632</v>
          </cell>
          <cell r="F66" t="str">
            <v>BG35</v>
          </cell>
        </row>
        <row r="67">
          <cell r="D67" t="str">
            <v>A0633</v>
          </cell>
          <cell r="F67" t="str">
            <v>BG36</v>
          </cell>
        </row>
        <row r="68">
          <cell r="D68" t="str">
            <v>A0634</v>
          </cell>
          <cell r="F68" t="str">
            <v>BG39</v>
          </cell>
        </row>
        <row r="69">
          <cell r="D69" t="str">
            <v>A0635</v>
          </cell>
          <cell r="F69" t="str">
            <v>BG40</v>
          </cell>
        </row>
        <row r="70">
          <cell r="D70" t="str">
            <v>A0636</v>
          </cell>
          <cell r="F70" t="str">
            <v>BG41</v>
          </cell>
        </row>
        <row r="71">
          <cell r="D71" t="str">
            <v>A0637</v>
          </cell>
          <cell r="F71" t="str">
            <v>BG42</v>
          </cell>
        </row>
        <row r="72">
          <cell r="D72" t="str">
            <v>A0638</v>
          </cell>
          <cell r="F72" t="str">
            <v>BJ11</v>
          </cell>
        </row>
        <row r="73">
          <cell r="D73" t="str">
            <v>A0639</v>
          </cell>
          <cell r="F73" t="str">
            <v>BJ12</v>
          </cell>
        </row>
        <row r="74">
          <cell r="D74" t="str">
            <v>A0640</v>
          </cell>
          <cell r="F74" t="str">
            <v>BJ13</v>
          </cell>
        </row>
        <row r="75">
          <cell r="D75" t="str">
            <v>A0641</v>
          </cell>
          <cell r="F75" t="str">
            <v>BJ15</v>
          </cell>
        </row>
        <row r="76">
          <cell r="D76" t="str">
            <v>A0642</v>
          </cell>
          <cell r="F76" t="str">
            <v>BJ17</v>
          </cell>
        </row>
        <row r="77">
          <cell r="D77" t="str">
            <v>A0643</v>
          </cell>
          <cell r="F77" t="str">
            <v>BL10</v>
          </cell>
        </row>
        <row r="78">
          <cell r="D78" t="str">
            <v>A0644</v>
          </cell>
          <cell r="F78" t="str">
            <v>BL11</v>
          </cell>
        </row>
        <row r="79">
          <cell r="D79" t="str">
            <v>A0645</v>
          </cell>
          <cell r="F79" t="str">
            <v>BL12</v>
          </cell>
        </row>
        <row r="80">
          <cell r="D80" t="str">
            <v>A0646</v>
          </cell>
          <cell r="F80" t="str">
            <v>BL13</v>
          </cell>
        </row>
        <row r="81">
          <cell r="D81" t="str">
            <v>A0647</v>
          </cell>
          <cell r="F81" t="str">
            <v>BL15</v>
          </cell>
        </row>
        <row r="82">
          <cell r="D82" t="str">
            <v>A0701</v>
          </cell>
          <cell r="F82" t="str">
            <v>BN05</v>
          </cell>
        </row>
        <row r="83">
          <cell r="D83" t="str">
            <v>A0702</v>
          </cell>
          <cell r="F83" t="str">
            <v>BN20</v>
          </cell>
        </row>
        <row r="84">
          <cell r="D84" t="str">
            <v>A0703</v>
          </cell>
          <cell r="F84" t="str">
            <v>BN21</v>
          </cell>
        </row>
        <row r="85">
          <cell r="D85" t="str">
            <v>A0704</v>
          </cell>
          <cell r="F85" t="str">
            <v>BN22</v>
          </cell>
        </row>
        <row r="86">
          <cell r="D86" t="str">
            <v>A0705</v>
          </cell>
          <cell r="F86" t="str">
            <v>BN24</v>
          </cell>
        </row>
        <row r="87">
          <cell r="D87" t="str">
            <v>A0706</v>
          </cell>
          <cell r="F87" t="str">
            <v>BN28</v>
          </cell>
        </row>
        <row r="88">
          <cell r="D88" t="str">
            <v>A0707</v>
          </cell>
          <cell r="F88" t="str">
            <v>BN29</v>
          </cell>
        </row>
        <row r="89">
          <cell r="D89" t="str">
            <v>A0708</v>
          </cell>
          <cell r="F89" t="str">
            <v>BN30</v>
          </cell>
        </row>
        <row r="90">
          <cell r="D90" t="str">
            <v>A0709</v>
          </cell>
          <cell r="F90" t="str">
            <v>BN34</v>
          </cell>
        </row>
        <row r="91">
          <cell r="D91" t="str">
            <v>A0710</v>
          </cell>
          <cell r="F91" t="str">
            <v>BN40</v>
          </cell>
        </row>
        <row r="92">
          <cell r="D92" t="str">
            <v>A0712</v>
          </cell>
          <cell r="F92" t="str">
            <v>BN41</v>
          </cell>
        </row>
        <row r="93">
          <cell r="D93" t="str">
            <v>A0801</v>
          </cell>
          <cell r="F93" t="str">
            <v>BN42</v>
          </cell>
        </row>
        <row r="94">
          <cell r="D94" t="str">
            <v>A0900</v>
          </cell>
          <cell r="F94" t="str">
            <v>BN43</v>
          </cell>
        </row>
        <row r="95">
          <cell r="D95" t="str">
            <v>A0916</v>
          </cell>
          <cell r="F95" t="str">
            <v>BN49</v>
          </cell>
        </row>
        <row r="96">
          <cell r="D96" t="str">
            <v>A0917</v>
          </cell>
          <cell r="F96" t="str">
            <v>BN58</v>
          </cell>
        </row>
        <row r="97">
          <cell r="D97" t="str">
            <v>A0918</v>
          </cell>
          <cell r="F97" t="str">
            <v>BN59</v>
          </cell>
        </row>
        <row r="98">
          <cell r="D98" t="str">
            <v>A0919</v>
          </cell>
          <cell r="F98" t="str">
            <v>BN60</v>
          </cell>
        </row>
        <row r="99">
          <cell r="D99" t="str">
            <v>A0920</v>
          </cell>
          <cell r="F99" t="str">
            <v>BN61</v>
          </cell>
        </row>
        <row r="100">
          <cell r="D100" t="str">
            <v>A0921</v>
          </cell>
          <cell r="F100" t="str">
            <v>BN63</v>
          </cell>
        </row>
        <row r="101">
          <cell r="D101" t="str">
            <v>A0922</v>
          </cell>
          <cell r="F101" t="str">
            <v>BN64</v>
          </cell>
        </row>
        <row r="102">
          <cell r="D102" t="str">
            <v>A0924</v>
          </cell>
          <cell r="F102" t="str">
            <v>BN65</v>
          </cell>
        </row>
        <row r="103">
          <cell r="D103" t="str">
            <v>A0925</v>
          </cell>
          <cell r="F103" t="str">
            <v>BN66</v>
          </cell>
        </row>
        <row r="104">
          <cell r="D104" t="str">
            <v>A0927</v>
          </cell>
          <cell r="F104" t="str">
            <v>BN67</v>
          </cell>
        </row>
        <row r="105">
          <cell r="D105" t="str">
            <v>A0928</v>
          </cell>
          <cell r="F105" t="str">
            <v>BN68</v>
          </cell>
        </row>
        <row r="106">
          <cell r="D106" t="str">
            <v>A0929</v>
          </cell>
          <cell r="F106" t="str">
            <v>BN69</v>
          </cell>
        </row>
        <row r="107">
          <cell r="D107" t="str">
            <v>A0930</v>
          </cell>
          <cell r="F107" t="str">
            <v>BN70</v>
          </cell>
        </row>
        <row r="108">
          <cell r="D108" t="str">
            <v>A0934</v>
          </cell>
          <cell r="F108" t="str">
            <v>BP22</v>
          </cell>
        </row>
        <row r="109">
          <cell r="D109" t="str">
            <v>A0937</v>
          </cell>
          <cell r="F109" t="str">
            <v>BQ11</v>
          </cell>
        </row>
        <row r="110">
          <cell r="D110" t="str">
            <v>A0939</v>
          </cell>
          <cell r="F110" t="str">
            <v>BQ12</v>
          </cell>
        </row>
        <row r="111">
          <cell r="D111" t="str">
            <v>A0940</v>
          </cell>
          <cell r="F111" t="str">
            <v>BQ13</v>
          </cell>
        </row>
        <row r="112">
          <cell r="D112" t="str">
            <v>A0941</v>
          </cell>
          <cell r="F112" t="str">
            <v>BR00</v>
          </cell>
        </row>
        <row r="113">
          <cell r="D113" t="str">
            <v>A0942</v>
          </cell>
          <cell r="F113" t="str">
            <v>BR01</v>
          </cell>
        </row>
        <row r="114">
          <cell r="D114" t="str">
            <v>A0943</v>
          </cell>
          <cell r="F114" t="str">
            <v>BR02</v>
          </cell>
        </row>
        <row r="115">
          <cell r="D115" t="str">
            <v>A0944</v>
          </cell>
          <cell r="F115" t="str">
            <v>BR11</v>
          </cell>
        </row>
        <row r="116">
          <cell r="D116" t="str">
            <v>A0949</v>
          </cell>
          <cell r="F116" t="str">
            <v>BR12</v>
          </cell>
        </row>
        <row r="117">
          <cell r="D117" t="str">
            <v>A0950</v>
          </cell>
          <cell r="F117" t="str">
            <v>BR16</v>
          </cell>
        </row>
        <row r="118">
          <cell r="D118" t="str">
            <v>A0951</v>
          </cell>
          <cell r="F118" t="str">
            <v>BR20</v>
          </cell>
        </row>
        <row r="119">
          <cell r="D119" t="str">
            <v>A0953</v>
          </cell>
          <cell r="F119" t="str">
            <v>BR21</v>
          </cell>
        </row>
        <row r="120">
          <cell r="D120" t="str">
            <v>A0954</v>
          </cell>
          <cell r="F120" t="str">
            <v>BR23</v>
          </cell>
        </row>
        <row r="121">
          <cell r="D121" t="str">
            <v>A0955</v>
          </cell>
          <cell r="F121" t="str">
            <v>BR24</v>
          </cell>
        </row>
        <row r="122">
          <cell r="D122" t="str">
            <v>A0959</v>
          </cell>
          <cell r="F122" t="str">
            <v>BR25</v>
          </cell>
        </row>
        <row r="123">
          <cell r="D123" t="str">
            <v>A0960</v>
          </cell>
          <cell r="F123" t="str">
            <v>BR26</v>
          </cell>
        </row>
        <row r="124">
          <cell r="D124" t="str">
            <v>A0961</v>
          </cell>
          <cell r="F124" t="str">
            <v>BR27</v>
          </cell>
        </row>
        <row r="125">
          <cell r="D125" t="str">
            <v>A0962</v>
          </cell>
          <cell r="F125" t="str">
            <v>BR28</v>
          </cell>
        </row>
        <row r="126">
          <cell r="D126" t="str">
            <v>A0970</v>
          </cell>
          <cell r="F126" t="str">
            <v>BR29</v>
          </cell>
        </row>
        <row r="127">
          <cell r="D127" t="str">
            <v>A0971</v>
          </cell>
          <cell r="F127" t="str">
            <v>BR40</v>
          </cell>
        </row>
        <row r="128">
          <cell r="D128" t="str">
            <v>A0972</v>
          </cell>
          <cell r="F128" t="str">
            <v>BR41</v>
          </cell>
        </row>
        <row r="129">
          <cell r="D129" t="str">
            <v>A0995</v>
          </cell>
          <cell r="F129" t="str">
            <v>BR42</v>
          </cell>
        </row>
        <row r="130">
          <cell r="D130" t="str">
            <v>A0996</v>
          </cell>
          <cell r="F130" t="str">
            <v>BR43</v>
          </cell>
        </row>
        <row r="131">
          <cell r="D131" t="str">
            <v>A0998</v>
          </cell>
          <cell r="F131" t="str">
            <v>BR44</v>
          </cell>
        </row>
        <row r="132">
          <cell r="D132" t="str">
            <v>A0999</v>
          </cell>
          <cell r="F132" t="str">
            <v>BR54</v>
          </cell>
        </row>
        <row r="133">
          <cell r="D133" t="str">
            <v>B1001</v>
          </cell>
          <cell r="F133" t="str">
            <v>CA20</v>
          </cell>
        </row>
        <row r="134">
          <cell r="D134" t="str">
            <v>B1002</v>
          </cell>
          <cell r="F134" t="str">
            <v>CA21</v>
          </cell>
        </row>
        <row r="135">
          <cell r="D135" t="str">
            <v>B1003</v>
          </cell>
          <cell r="F135" t="str">
            <v>CA22</v>
          </cell>
        </row>
        <row r="136">
          <cell r="D136" t="str">
            <v>B1004</v>
          </cell>
          <cell r="F136" t="str">
            <v>CA23</v>
          </cell>
        </row>
        <row r="137">
          <cell r="D137" t="str">
            <v>B1005</v>
          </cell>
          <cell r="F137" t="str">
            <v>CA24</v>
          </cell>
        </row>
        <row r="138">
          <cell r="D138" t="str">
            <v>B1006</v>
          </cell>
          <cell r="F138" t="str">
            <v>CA25</v>
          </cell>
        </row>
        <row r="139">
          <cell r="D139" t="str">
            <v>B1007</v>
          </cell>
          <cell r="F139" t="str">
            <v>CA50</v>
          </cell>
        </row>
        <row r="140">
          <cell r="D140" t="str">
            <v>B1008</v>
          </cell>
          <cell r="F140" t="str">
            <v>CA55</v>
          </cell>
        </row>
        <row r="141">
          <cell r="D141" t="str">
            <v>B1009</v>
          </cell>
          <cell r="F141" t="str">
            <v>CA56</v>
          </cell>
        </row>
        <row r="142">
          <cell r="D142" t="str">
            <v>B1010</v>
          </cell>
          <cell r="F142" t="str">
            <v>CA57</v>
          </cell>
        </row>
        <row r="143">
          <cell r="D143" t="str">
            <v>B1011</v>
          </cell>
          <cell r="F143" t="str">
            <v>CA70</v>
          </cell>
        </row>
        <row r="144">
          <cell r="D144" t="str">
            <v>B1012</v>
          </cell>
          <cell r="F144" t="str">
            <v>CA80</v>
          </cell>
        </row>
        <row r="145">
          <cell r="D145" t="str">
            <v>B1013</v>
          </cell>
          <cell r="F145" t="str">
            <v>CA81</v>
          </cell>
        </row>
        <row r="146">
          <cell r="D146" t="str">
            <v>B1030</v>
          </cell>
          <cell r="F146" t="str">
            <v>CD02</v>
          </cell>
        </row>
        <row r="147">
          <cell r="D147" t="str">
            <v>B1031</v>
          </cell>
          <cell r="F147" t="str">
            <v>CD11</v>
          </cell>
        </row>
        <row r="148">
          <cell r="D148" t="str">
            <v>B1032</v>
          </cell>
          <cell r="F148" t="str">
            <v>CD12</v>
          </cell>
        </row>
        <row r="149">
          <cell r="D149" t="str">
            <v>B1033</v>
          </cell>
          <cell r="F149" t="str">
            <v>CD14</v>
          </cell>
        </row>
        <row r="150">
          <cell r="D150" t="str">
            <v>B1034</v>
          </cell>
          <cell r="F150" t="str">
            <v>CD21</v>
          </cell>
        </row>
        <row r="151">
          <cell r="D151" t="str">
            <v>B1035</v>
          </cell>
          <cell r="F151" t="str">
            <v>CD22</v>
          </cell>
        </row>
        <row r="152">
          <cell r="D152" t="str">
            <v>B1036</v>
          </cell>
          <cell r="F152" t="str">
            <v>CD31</v>
          </cell>
        </row>
        <row r="153">
          <cell r="D153" t="str">
            <v>B1037</v>
          </cell>
          <cell r="F153" t="str">
            <v>CD32</v>
          </cell>
        </row>
        <row r="154">
          <cell r="D154" t="str">
            <v>B1060</v>
          </cell>
          <cell r="F154" t="str">
            <v>CD33</v>
          </cell>
        </row>
        <row r="155">
          <cell r="D155" t="str">
            <v>B1061</v>
          </cell>
          <cell r="F155" t="str">
            <v>CD34</v>
          </cell>
        </row>
        <row r="156">
          <cell r="D156" t="str">
            <v>B1062</v>
          </cell>
          <cell r="F156" t="str">
            <v>CD35</v>
          </cell>
        </row>
        <row r="157">
          <cell r="D157" t="str">
            <v>B1063</v>
          </cell>
          <cell r="F157" t="str">
            <v>CD36</v>
          </cell>
        </row>
        <row r="158">
          <cell r="D158" t="str">
            <v>B1064</v>
          </cell>
          <cell r="F158" t="str">
            <v>CD41</v>
          </cell>
        </row>
        <row r="159">
          <cell r="D159" t="str">
            <v>B1065</v>
          </cell>
          <cell r="F159" t="str">
            <v>CD42</v>
          </cell>
        </row>
        <row r="160">
          <cell r="D160" t="str">
            <v>B1066</v>
          </cell>
          <cell r="F160" t="str">
            <v>CD43</v>
          </cell>
        </row>
        <row r="161">
          <cell r="D161" t="str">
            <v>B1067</v>
          </cell>
          <cell r="F161" t="str">
            <v>CD44</v>
          </cell>
        </row>
        <row r="162">
          <cell r="D162" t="str">
            <v>B1101</v>
          </cell>
          <cell r="F162" t="str">
            <v>CD46</v>
          </cell>
        </row>
        <row r="163">
          <cell r="D163" t="str">
            <v>B1102</v>
          </cell>
          <cell r="F163" t="str">
            <v>CD51</v>
          </cell>
        </row>
        <row r="164">
          <cell r="D164" t="str">
            <v>B1103</v>
          </cell>
          <cell r="F164" t="str">
            <v>CD53</v>
          </cell>
        </row>
        <row r="165">
          <cell r="D165" t="str">
            <v>B1105</v>
          </cell>
          <cell r="F165" t="str">
            <v>CD54</v>
          </cell>
        </row>
        <row r="166">
          <cell r="D166" t="str">
            <v>B1106</v>
          </cell>
          <cell r="F166" t="str">
            <v>CD55</v>
          </cell>
        </row>
        <row r="167">
          <cell r="D167" t="str">
            <v>B1107</v>
          </cell>
          <cell r="F167" t="str">
            <v>CD56</v>
          </cell>
        </row>
        <row r="168">
          <cell r="D168" t="str">
            <v>B1108</v>
          </cell>
          <cell r="F168" t="str">
            <v>CD57</v>
          </cell>
        </row>
        <row r="169">
          <cell r="D169" t="str">
            <v>B1109</v>
          </cell>
          <cell r="F169" t="str">
            <v>CK01</v>
          </cell>
        </row>
        <row r="170">
          <cell r="D170" t="str">
            <v>B1120</v>
          </cell>
          <cell r="F170" t="str">
            <v>CK11</v>
          </cell>
        </row>
        <row r="171">
          <cell r="D171" t="str">
            <v>B1121</v>
          </cell>
          <cell r="F171" t="str">
            <v>CK12</v>
          </cell>
        </row>
        <row r="172">
          <cell r="D172" t="str">
            <v>B1122</v>
          </cell>
          <cell r="F172" t="str">
            <v>CK14</v>
          </cell>
        </row>
        <row r="173">
          <cell r="D173" t="str">
            <v>B1123</v>
          </cell>
          <cell r="F173" t="str">
            <v>CK15</v>
          </cell>
        </row>
        <row r="174">
          <cell r="D174" t="str">
            <v>B1124</v>
          </cell>
          <cell r="F174" t="str">
            <v>CK16</v>
          </cell>
        </row>
        <row r="175">
          <cell r="D175" t="str">
            <v>B1125</v>
          </cell>
          <cell r="F175" t="str">
            <v>CK17</v>
          </cell>
        </row>
        <row r="176">
          <cell r="D176" t="str">
            <v>B1126</v>
          </cell>
          <cell r="F176" t="str">
            <v>CK99</v>
          </cell>
        </row>
        <row r="177">
          <cell r="D177" t="str">
            <v>B1127</v>
          </cell>
          <cell r="F177" t="str">
            <v>CL06</v>
          </cell>
        </row>
        <row r="178">
          <cell r="D178" t="str">
            <v>B1128</v>
          </cell>
          <cell r="F178" t="str">
            <v>CL23</v>
          </cell>
        </row>
        <row r="179">
          <cell r="D179" t="str">
            <v>B1129</v>
          </cell>
          <cell r="F179" t="str">
            <v>CL49</v>
          </cell>
        </row>
        <row r="180">
          <cell r="D180" t="str">
            <v>B1130</v>
          </cell>
          <cell r="F180" t="str">
            <v>CL50</v>
          </cell>
        </row>
        <row r="181">
          <cell r="D181" t="str">
            <v>B1140</v>
          </cell>
          <cell r="F181" t="str">
            <v>CL51</v>
          </cell>
        </row>
        <row r="182">
          <cell r="D182" t="str">
            <v>B1141</v>
          </cell>
          <cell r="F182" t="str">
            <v>CM11</v>
          </cell>
        </row>
        <row r="183">
          <cell r="D183" t="str">
            <v>B1142</v>
          </cell>
          <cell r="F183" t="str">
            <v>CM12</v>
          </cell>
        </row>
        <row r="184">
          <cell r="D184" t="str">
            <v>B1150</v>
          </cell>
          <cell r="F184" t="str">
            <v>CM13</v>
          </cell>
        </row>
        <row r="185">
          <cell r="D185" t="str">
            <v>B1151</v>
          </cell>
          <cell r="F185" t="str">
            <v>CM48</v>
          </cell>
        </row>
        <row r="186">
          <cell r="D186" t="str">
            <v>B1152</v>
          </cell>
          <cell r="F186" t="str">
            <v>CM49</v>
          </cell>
        </row>
        <row r="187">
          <cell r="D187" t="str">
            <v>B1153</v>
          </cell>
          <cell r="F187" t="str">
            <v>DA15</v>
          </cell>
        </row>
        <row r="188">
          <cell r="D188" t="str">
            <v>B1154</v>
          </cell>
          <cell r="F188" t="str">
            <v>DC12</v>
          </cell>
        </row>
        <row r="189">
          <cell r="D189" t="str">
            <v>B1155</v>
          </cell>
          <cell r="F189" t="str">
            <v>DC18</v>
          </cell>
        </row>
        <row r="190">
          <cell r="D190" t="str">
            <v>B1156</v>
          </cell>
          <cell r="F190" t="str">
            <v>DC20</v>
          </cell>
        </row>
        <row r="191">
          <cell r="D191" t="str">
            <v>B1157</v>
          </cell>
          <cell r="F191" t="str">
            <v>DC21</v>
          </cell>
        </row>
        <row r="192">
          <cell r="D192" t="str">
            <v>B1160</v>
          </cell>
          <cell r="F192" t="str">
            <v>DC22</v>
          </cell>
        </row>
        <row r="193">
          <cell r="D193" t="str">
            <v>B1161</v>
          </cell>
          <cell r="F193" t="str">
            <v>DC99</v>
          </cell>
        </row>
        <row r="194">
          <cell r="D194" t="str">
            <v>B1162</v>
          </cell>
          <cell r="F194" t="str">
            <v>DD11</v>
          </cell>
        </row>
        <row r="195">
          <cell r="D195" t="str">
            <v>B1163</v>
          </cell>
          <cell r="F195" t="str">
            <v>DD12</v>
          </cell>
        </row>
        <row r="196">
          <cell r="D196" t="str">
            <v>B1164</v>
          </cell>
          <cell r="F196" t="str">
            <v>DP03</v>
          </cell>
        </row>
        <row r="197">
          <cell r="D197" t="str">
            <v>B1165</v>
          </cell>
          <cell r="F197" t="str">
            <v>DP04</v>
          </cell>
        </row>
        <row r="198">
          <cell r="D198" t="str">
            <v>B1171</v>
          </cell>
          <cell r="F198" t="str">
            <v>DP05</v>
          </cell>
        </row>
        <row r="199">
          <cell r="D199" t="str">
            <v>B1172</v>
          </cell>
          <cell r="F199" t="str">
            <v>DP06</v>
          </cell>
        </row>
        <row r="200">
          <cell r="D200" t="str">
            <v>B1173</v>
          </cell>
          <cell r="F200" t="str">
            <v>DP07</v>
          </cell>
        </row>
        <row r="201">
          <cell r="D201" t="str">
            <v>B1174</v>
          </cell>
          <cell r="F201" t="str">
            <v>DP08</v>
          </cell>
        </row>
        <row r="202">
          <cell r="D202" t="str">
            <v>B1175</v>
          </cell>
          <cell r="F202" t="str">
            <v>DP09</v>
          </cell>
        </row>
        <row r="203">
          <cell r="D203" t="str">
            <v>B1176</v>
          </cell>
          <cell r="F203" t="str">
            <v>DP10</v>
          </cell>
        </row>
        <row r="204">
          <cell r="D204" t="str">
            <v>B1180</v>
          </cell>
          <cell r="F204" t="str">
            <v>DR26</v>
          </cell>
        </row>
        <row r="205">
          <cell r="D205" t="str">
            <v>B1181</v>
          </cell>
          <cell r="F205" t="str">
            <v>DS51</v>
          </cell>
        </row>
        <row r="206">
          <cell r="D206" t="str">
            <v>B1182</v>
          </cell>
          <cell r="F206" t="str">
            <v>DS91</v>
          </cell>
        </row>
        <row r="207">
          <cell r="D207" t="str">
            <v>B1183</v>
          </cell>
          <cell r="F207" t="str">
            <v>DT11</v>
          </cell>
        </row>
        <row r="208">
          <cell r="D208" t="str">
            <v>B1184</v>
          </cell>
          <cell r="F208" t="str">
            <v>DT12</v>
          </cell>
        </row>
        <row r="209">
          <cell r="D209" t="str">
            <v>B1185</v>
          </cell>
          <cell r="F209" t="str">
            <v>DT13</v>
          </cell>
        </row>
        <row r="210">
          <cell r="D210" t="str">
            <v>B1186</v>
          </cell>
          <cell r="F210" t="str">
            <v>DT14</v>
          </cell>
        </row>
        <row r="211">
          <cell r="D211" t="str">
            <v>B1187</v>
          </cell>
          <cell r="F211" t="str">
            <v>DT16</v>
          </cell>
        </row>
        <row r="212">
          <cell r="D212" t="str">
            <v>B1188</v>
          </cell>
          <cell r="F212" t="str">
            <v>DT17</v>
          </cell>
        </row>
        <row r="213">
          <cell r="D213" t="str">
            <v>B1189</v>
          </cell>
          <cell r="F213" t="str">
            <v>EB12</v>
          </cell>
        </row>
        <row r="214">
          <cell r="D214" t="str">
            <v>B1190</v>
          </cell>
          <cell r="F214" t="str">
            <v>EC01</v>
          </cell>
        </row>
        <row r="215">
          <cell r="D215" t="str">
            <v>B1191</v>
          </cell>
          <cell r="F215" t="str">
            <v>EC05</v>
          </cell>
        </row>
        <row r="216">
          <cell r="D216" t="str">
            <v>B1192</v>
          </cell>
          <cell r="F216" t="str">
            <v>EF01</v>
          </cell>
        </row>
        <row r="217">
          <cell r="D217" t="str">
            <v>B1193</v>
          </cell>
          <cell r="F217" t="str">
            <v>EH01</v>
          </cell>
        </row>
        <row r="218">
          <cell r="D218" t="str">
            <v>B1194</v>
          </cell>
          <cell r="F218" t="str">
            <v>EH02</v>
          </cell>
        </row>
        <row r="219">
          <cell r="D219" t="str">
            <v>B1201</v>
          </cell>
          <cell r="F219" t="str">
            <v>EH03</v>
          </cell>
        </row>
        <row r="220">
          <cell r="D220" t="str">
            <v>B1202</v>
          </cell>
          <cell r="F220" t="str">
            <v>EH04</v>
          </cell>
        </row>
        <row r="221">
          <cell r="D221" t="str">
            <v>B1203</v>
          </cell>
          <cell r="F221" t="str">
            <v>EH05</v>
          </cell>
        </row>
        <row r="222">
          <cell r="D222" t="str">
            <v>B1204</v>
          </cell>
          <cell r="F222" t="str">
            <v>EH06</v>
          </cell>
        </row>
        <row r="223">
          <cell r="D223" t="str">
            <v>B1206</v>
          </cell>
          <cell r="F223" t="str">
            <v>EH07</v>
          </cell>
        </row>
        <row r="224">
          <cell r="D224" t="str">
            <v>B1207</v>
          </cell>
          <cell r="F224" t="str">
            <v>EH09</v>
          </cell>
        </row>
        <row r="225">
          <cell r="D225" t="str">
            <v>B1208</v>
          </cell>
          <cell r="F225" t="str">
            <v>EH10</v>
          </cell>
        </row>
        <row r="226">
          <cell r="D226" t="str">
            <v>B1209</v>
          </cell>
          <cell r="F226" t="str">
            <v>EH11</v>
          </cell>
        </row>
        <row r="227">
          <cell r="D227" t="str">
            <v>B1220</v>
          </cell>
          <cell r="F227" t="str">
            <v>EH12</v>
          </cell>
        </row>
        <row r="228">
          <cell r="D228" t="str">
            <v>B1221</v>
          </cell>
          <cell r="F228" t="str">
            <v>EH13</v>
          </cell>
        </row>
        <row r="229">
          <cell r="D229" t="str">
            <v>B1222</v>
          </cell>
          <cell r="F229" t="str">
            <v>EH14</v>
          </cell>
        </row>
        <row r="230">
          <cell r="D230" t="str">
            <v>B1223</v>
          </cell>
          <cell r="F230" t="str">
            <v>EH15</v>
          </cell>
        </row>
        <row r="231">
          <cell r="D231" t="str">
            <v>B1240</v>
          </cell>
          <cell r="F231" t="str">
            <v>EH16</v>
          </cell>
        </row>
        <row r="232">
          <cell r="D232" t="str">
            <v>B1241</v>
          </cell>
          <cell r="F232" t="str">
            <v>EH17</v>
          </cell>
        </row>
        <row r="233">
          <cell r="D233" t="str">
            <v>B1242</v>
          </cell>
          <cell r="F233" t="str">
            <v>EH18</v>
          </cell>
        </row>
        <row r="234">
          <cell r="D234" t="str">
            <v>B1243</v>
          </cell>
          <cell r="F234" t="str">
            <v>EH19</v>
          </cell>
        </row>
        <row r="235">
          <cell r="D235" t="str">
            <v>B1244</v>
          </cell>
          <cell r="F235" t="str">
            <v>EH20</v>
          </cell>
        </row>
        <row r="236">
          <cell r="D236" t="str">
            <v>B1245</v>
          </cell>
          <cell r="F236" t="str">
            <v>EH21</v>
          </cell>
        </row>
        <row r="237">
          <cell r="D237" t="str">
            <v>B1246</v>
          </cell>
          <cell r="F237" t="str">
            <v>EJ02</v>
          </cell>
        </row>
        <row r="238">
          <cell r="D238" t="str">
            <v>B1301</v>
          </cell>
          <cell r="F238" t="str">
            <v>EK01</v>
          </cell>
        </row>
        <row r="239">
          <cell r="D239" t="str">
            <v>B1302</v>
          </cell>
          <cell r="F239" t="str">
            <v>EK02</v>
          </cell>
        </row>
        <row r="240">
          <cell r="D240" t="str">
            <v>B1303</v>
          </cell>
          <cell r="F240" t="str">
            <v>EK03</v>
          </cell>
        </row>
        <row r="241">
          <cell r="D241" t="str">
            <v>B1304</v>
          </cell>
          <cell r="F241" t="str">
            <v>EK04</v>
          </cell>
        </row>
        <row r="242">
          <cell r="D242" t="str">
            <v>B1305</v>
          </cell>
          <cell r="F242" t="str">
            <v>EK05</v>
          </cell>
        </row>
        <row r="243">
          <cell r="D243" t="str">
            <v>B1306</v>
          </cell>
          <cell r="F243" t="str">
            <v>EK06</v>
          </cell>
        </row>
        <row r="244">
          <cell r="D244" t="str">
            <v>B1307</v>
          </cell>
          <cell r="F244" t="str">
            <v>EL01</v>
          </cell>
        </row>
        <row r="245">
          <cell r="D245" t="str">
            <v>B1308</v>
          </cell>
          <cell r="F245" t="str">
            <v>EL02</v>
          </cell>
        </row>
        <row r="246">
          <cell r="D246" t="str">
            <v>B1309</v>
          </cell>
          <cell r="F246" t="str">
            <v>EL03</v>
          </cell>
        </row>
        <row r="247">
          <cell r="D247" t="str">
            <v>B1310</v>
          </cell>
          <cell r="F247" t="str">
            <v>EL04</v>
          </cell>
        </row>
        <row r="248">
          <cell r="D248" t="str">
            <v>B1311</v>
          </cell>
          <cell r="F248" t="str">
            <v>EL07</v>
          </cell>
        </row>
        <row r="249">
          <cell r="D249" t="str">
            <v>B1312</v>
          </cell>
          <cell r="F249" t="str">
            <v>EL08</v>
          </cell>
        </row>
        <row r="250">
          <cell r="D250" t="str">
            <v>B1313</v>
          </cell>
          <cell r="F250" t="str">
            <v>EL10</v>
          </cell>
        </row>
        <row r="251">
          <cell r="D251" t="str">
            <v>B1314</v>
          </cell>
          <cell r="F251" t="str">
            <v>EL11</v>
          </cell>
        </row>
        <row r="252">
          <cell r="D252" t="str">
            <v>B1315</v>
          </cell>
          <cell r="F252" t="str">
            <v>EL12</v>
          </cell>
        </row>
        <row r="253">
          <cell r="D253" t="str">
            <v>B1317</v>
          </cell>
          <cell r="F253" t="str">
            <v>FA01</v>
          </cell>
        </row>
        <row r="254">
          <cell r="D254" t="str">
            <v>B1399</v>
          </cell>
          <cell r="F254" t="str">
            <v>FA03</v>
          </cell>
        </row>
        <row r="255">
          <cell r="D255" t="str">
            <v>B1501</v>
          </cell>
          <cell r="F255" t="str">
            <v>FA04</v>
          </cell>
        </row>
        <row r="256">
          <cell r="D256" t="str">
            <v>B1502</v>
          </cell>
          <cell r="F256" t="str">
            <v>FA11</v>
          </cell>
        </row>
        <row r="257">
          <cell r="D257" t="str">
            <v>B1503</v>
          </cell>
          <cell r="F257" t="str">
            <v>FA14</v>
          </cell>
        </row>
        <row r="258">
          <cell r="D258" t="str">
            <v>B1601</v>
          </cell>
          <cell r="F258" t="str">
            <v>FA17</v>
          </cell>
        </row>
        <row r="259">
          <cell r="D259" t="str">
            <v>B1602</v>
          </cell>
          <cell r="F259" t="str">
            <v>FA19</v>
          </cell>
        </row>
        <row r="260">
          <cell r="D260" t="str">
            <v>B1604</v>
          </cell>
          <cell r="F260" t="str">
            <v>FA20</v>
          </cell>
        </row>
        <row r="261">
          <cell r="D261" t="str">
            <v>B1605</v>
          </cell>
          <cell r="F261" t="str">
            <v>FA21</v>
          </cell>
        </row>
        <row r="262">
          <cell r="D262" t="str">
            <v>B1606</v>
          </cell>
          <cell r="F262" t="str">
            <v>FA23</v>
          </cell>
        </row>
        <row r="263">
          <cell r="D263" t="str">
            <v>B1610</v>
          </cell>
          <cell r="F263" t="str">
            <v>FA25</v>
          </cell>
        </row>
        <row r="264">
          <cell r="D264" t="str">
            <v>B1701</v>
          </cell>
          <cell r="F264" t="str">
            <v>FA26</v>
          </cell>
        </row>
        <row r="265">
          <cell r="D265" t="str">
            <v>B1702</v>
          </cell>
          <cell r="F265" t="str">
            <v>FA27</v>
          </cell>
        </row>
        <row r="266">
          <cell r="D266" t="str">
            <v>B1801</v>
          </cell>
          <cell r="F266" t="str">
            <v>FA28</v>
          </cell>
        </row>
        <row r="267">
          <cell r="D267" t="str">
            <v>B1802</v>
          </cell>
          <cell r="F267" t="str">
            <v>FB01</v>
          </cell>
        </row>
        <row r="268">
          <cell r="D268" t="str">
            <v>B1803</v>
          </cell>
          <cell r="F268" t="str">
            <v>FB06</v>
          </cell>
        </row>
        <row r="269">
          <cell r="D269" t="str">
            <v>B1810</v>
          </cell>
          <cell r="F269" t="str">
            <v>FB10</v>
          </cell>
        </row>
        <row r="270">
          <cell r="D270" t="str">
            <v>B1811</v>
          </cell>
          <cell r="F270" t="str">
            <v>FB12</v>
          </cell>
        </row>
        <row r="271">
          <cell r="D271" t="str">
            <v>B1812</v>
          </cell>
          <cell r="F271" t="str">
            <v>FB13</v>
          </cell>
        </row>
        <row r="272">
          <cell r="D272" t="str">
            <v>B1820</v>
          </cell>
          <cell r="F272" t="str">
            <v>FB14</v>
          </cell>
        </row>
        <row r="273">
          <cell r="D273" t="str">
            <v>B1821</v>
          </cell>
          <cell r="F273" t="str">
            <v>FB16</v>
          </cell>
        </row>
        <row r="274">
          <cell r="D274" t="str">
            <v>B1830</v>
          </cell>
          <cell r="F274" t="str">
            <v>FB24</v>
          </cell>
        </row>
        <row r="275">
          <cell r="D275" t="str">
            <v>B1840</v>
          </cell>
          <cell r="F275" t="str">
            <v>FB25</v>
          </cell>
        </row>
        <row r="276">
          <cell r="D276" t="str">
            <v>B1841</v>
          </cell>
          <cell r="F276" t="str">
            <v>FB30</v>
          </cell>
        </row>
        <row r="277">
          <cell r="D277" t="str">
            <v>B1842</v>
          </cell>
          <cell r="F277" t="str">
            <v>FB31</v>
          </cell>
        </row>
        <row r="278">
          <cell r="D278" t="str">
            <v>B1850</v>
          </cell>
          <cell r="F278" t="str">
            <v>FB41</v>
          </cell>
        </row>
        <row r="279">
          <cell r="D279" t="str">
            <v>B1851</v>
          </cell>
          <cell r="F279" t="str">
            <v>FB42</v>
          </cell>
        </row>
        <row r="280">
          <cell r="D280" t="str">
            <v>B1951</v>
          </cell>
          <cell r="F280" t="str">
            <v>FB52</v>
          </cell>
        </row>
        <row r="281">
          <cell r="D281" t="str">
            <v>B1952</v>
          </cell>
          <cell r="F281" t="str">
            <v>FB56</v>
          </cell>
        </row>
        <row r="282">
          <cell r="D282" t="str">
            <v>B1953</v>
          </cell>
          <cell r="F282" t="str">
            <v>FB57</v>
          </cell>
        </row>
        <row r="283">
          <cell r="D283" t="str">
            <v>B1954</v>
          </cell>
          <cell r="F283" t="str">
            <v>FB92</v>
          </cell>
        </row>
        <row r="284">
          <cell r="D284" t="str">
            <v>B1955</v>
          </cell>
          <cell r="F284" t="str">
            <v>FB98</v>
          </cell>
        </row>
        <row r="285">
          <cell r="D285" t="str">
            <v>B1996</v>
          </cell>
          <cell r="F285" t="str">
            <v>FC01</v>
          </cell>
        </row>
        <row r="286">
          <cell r="D286" t="str">
            <v>B1999</v>
          </cell>
          <cell r="F286" t="str">
            <v>FC12</v>
          </cell>
        </row>
        <row r="287">
          <cell r="D287" t="str">
            <v>BA100</v>
          </cell>
          <cell r="F287" t="str">
            <v>FC13</v>
          </cell>
        </row>
        <row r="288">
          <cell r="D288" t="str">
            <v>BA101</v>
          </cell>
          <cell r="F288" t="str">
            <v>FC20</v>
          </cell>
        </row>
        <row r="289">
          <cell r="D289" t="str">
            <v>BA102</v>
          </cell>
          <cell r="F289" t="str">
            <v>FC21</v>
          </cell>
        </row>
        <row r="290">
          <cell r="D290" t="str">
            <v>BA103</v>
          </cell>
          <cell r="F290" t="str">
            <v>FC22</v>
          </cell>
        </row>
        <row r="291">
          <cell r="D291" t="str">
            <v>BA104</v>
          </cell>
          <cell r="F291" t="str">
            <v>FC23</v>
          </cell>
        </row>
        <row r="292">
          <cell r="D292" t="str">
            <v>BA105</v>
          </cell>
          <cell r="F292" t="str">
            <v>FC24</v>
          </cell>
        </row>
        <row r="293">
          <cell r="D293" t="str">
            <v>BA106</v>
          </cell>
          <cell r="F293" t="str">
            <v>FC25</v>
          </cell>
        </row>
        <row r="294">
          <cell r="D294" t="str">
            <v>BA107</v>
          </cell>
          <cell r="F294" t="str">
            <v>FC26</v>
          </cell>
        </row>
        <row r="295">
          <cell r="D295" t="str">
            <v>BA108</v>
          </cell>
          <cell r="F295" t="str">
            <v>FC31</v>
          </cell>
        </row>
        <row r="296">
          <cell r="D296" t="str">
            <v>BA109</v>
          </cell>
          <cell r="F296" t="str">
            <v>FC40</v>
          </cell>
        </row>
        <row r="297">
          <cell r="D297" t="str">
            <v>BA110</v>
          </cell>
          <cell r="F297" t="str">
            <v>FC41</v>
          </cell>
        </row>
        <row r="298">
          <cell r="D298" t="str">
            <v>BA111</v>
          </cell>
          <cell r="F298" t="str">
            <v>FC42</v>
          </cell>
        </row>
        <row r="299">
          <cell r="D299" t="str">
            <v>BA112</v>
          </cell>
          <cell r="F299" t="str">
            <v>FC43</v>
          </cell>
        </row>
        <row r="300">
          <cell r="D300" t="str">
            <v>BA113</v>
          </cell>
          <cell r="F300" t="str">
            <v>FC50</v>
          </cell>
        </row>
        <row r="301">
          <cell r="D301" t="str">
            <v>BA114</v>
          </cell>
          <cell r="F301" t="str">
            <v>FC51</v>
          </cell>
        </row>
        <row r="302">
          <cell r="D302" t="str">
            <v>BA115</v>
          </cell>
          <cell r="F302" t="str">
            <v>FC52</v>
          </cell>
        </row>
        <row r="303">
          <cell r="D303" t="str">
            <v>BA116</v>
          </cell>
          <cell r="F303" t="str">
            <v>FC53</v>
          </cell>
        </row>
        <row r="304">
          <cell r="D304" t="str">
            <v>BA117</v>
          </cell>
          <cell r="F304" t="str">
            <v>FC54</v>
          </cell>
        </row>
        <row r="305">
          <cell r="D305" t="str">
            <v>BA118</v>
          </cell>
          <cell r="F305" t="str">
            <v>FC55</v>
          </cell>
        </row>
        <row r="306">
          <cell r="D306" t="str">
            <v>BA119</v>
          </cell>
          <cell r="F306" t="str">
            <v>FC60</v>
          </cell>
        </row>
        <row r="307">
          <cell r="D307" t="str">
            <v>BA120</v>
          </cell>
          <cell r="F307" t="str">
            <v>FC61</v>
          </cell>
        </row>
        <row r="308">
          <cell r="D308" t="str">
            <v>BA121</v>
          </cell>
          <cell r="F308" t="str">
            <v>FC62</v>
          </cell>
        </row>
        <row r="309">
          <cell r="D309" t="str">
            <v>BA122</v>
          </cell>
          <cell r="F309" t="str">
            <v>FC63</v>
          </cell>
        </row>
        <row r="310">
          <cell r="D310" t="str">
            <v>BA123</v>
          </cell>
          <cell r="F310" t="str">
            <v>FC65</v>
          </cell>
        </row>
        <row r="311">
          <cell r="D311" t="str">
            <v>BA124</v>
          </cell>
          <cell r="F311" t="str">
            <v>FC73</v>
          </cell>
        </row>
        <row r="312">
          <cell r="D312" t="str">
            <v>BA125</v>
          </cell>
          <cell r="F312" t="str">
            <v>FC74</v>
          </cell>
        </row>
        <row r="313">
          <cell r="D313" t="str">
            <v>BA126</v>
          </cell>
          <cell r="F313" t="str">
            <v>FC75</v>
          </cell>
        </row>
        <row r="314">
          <cell r="D314" t="str">
            <v>BA127</v>
          </cell>
          <cell r="F314" t="str">
            <v>FC76</v>
          </cell>
        </row>
        <row r="315">
          <cell r="D315" t="str">
            <v>BA128</v>
          </cell>
          <cell r="F315" t="str">
            <v>FC98</v>
          </cell>
        </row>
        <row r="316">
          <cell r="D316" t="str">
            <v>BA129</v>
          </cell>
          <cell r="F316" t="str">
            <v>FC99</v>
          </cell>
        </row>
        <row r="317">
          <cell r="D317" t="str">
            <v>BA130</v>
          </cell>
          <cell r="F317" t="str">
            <v>FD01</v>
          </cell>
        </row>
        <row r="318">
          <cell r="D318" t="str">
            <v>BA131</v>
          </cell>
          <cell r="F318" t="str">
            <v>FD11</v>
          </cell>
        </row>
        <row r="319">
          <cell r="D319" t="str">
            <v>BA132</v>
          </cell>
          <cell r="F319" t="str">
            <v>FD12</v>
          </cell>
        </row>
        <row r="320">
          <cell r="D320" t="str">
            <v>BA133</v>
          </cell>
          <cell r="F320" t="str">
            <v>FD21</v>
          </cell>
        </row>
        <row r="321">
          <cell r="D321" t="str">
            <v>BA134</v>
          </cell>
          <cell r="F321" t="str">
            <v>FD22</v>
          </cell>
        </row>
        <row r="322">
          <cell r="D322" t="str">
            <v>BA135</v>
          </cell>
          <cell r="F322" t="str">
            <v>FD24</v>
          </cell>
        </row>
        <row r="323">
          <cell r="D323" t="str">
            <v>BA136</v>
          </cell>
          <cell r="F323" t="str">
            <v>FE01</v>
          </cell>
        </row>
        <row r="324">
          <cell r="D324" t="str">
            <v>BA137</v>
          </cell>
          <cell r="F324" t="str">
            <v>FE12</v>
          </cell>
        </row>
        <row r="325">
          <cell r="D325" t="str">
            <v>BA138</v>
          </cell>
          <cell r="F325" t="str">
            <v>FE15</v>
          </cell>
        </row>
        <row r="326">
          <cell r="D326" t="str">
            <v>BA139</v>
          </cell>
          <cell r="F326" t="str">
            <v>FE16</v>
          </cell>
        </row>
        <row r="327">
          <cell r="D327" t="str">
            <v>BA140</v>
          </cell>
          <cell r="F327" t="str">
            <v>FE17</v>
          </cell>
        </row>
        <row r="328">
          <cell r="D328" t="str">
            <v>BA141</v>
          </cell>
          <cell r="F328" t="str">
            <v>FH11</v>
          </cell>
        </row>
        <row r="329">
          <cell r="D329" t="str">
            <v>BA142</v>
          </cell>
          <cell r="F329" t="str">
            <v>FH12</v>
          </cell>
        </row>
        <row r="330">
          <cell r="D330" t="str">
            <v>BA143</v>
          </cell>
          <cell r="F330" t="str">
            <v>FH13</v>
          </cell>
        </row>
        <row r="331">
          <cell r="D331" t="str">
            <v>BA144</v>
          </cell>
          <cell r="F331" t="str">
            <v>FH14</v>
          </cell>
        </row>
        <row r="332">
          <cell r="D332" t="str">
            <v>BA145</v>
          </cell>
          <cell r="F332" t="str">
            <v>FH15</v>
          </cell>
        </row>
        <row r="333">
          <cell r="D333" t="str">
            <v>BA146</v>
          </cell>
          <cell r="F333" t="str">
            <v>FH16</v>
          </cell>
        </row>
        <row r="334">
          <cell r="D334" t="str">
            <v>BA147</v>
          </cell>
          <cell r="F334" t="str">
            <v>FH21</v>
          </cell>
        </row>
        <row r="335">
          <cell r="D335" t="str">
            <v>BA148</v>
          </cell>
          <cell r="F335" t="str">
            <v>FH22</v>
          </cell>
        </row>
        <row r="336">
          <cell r="D336" t="str">
            <v>BA149</v>
          </cell>
          <cell r="F336" t="str">
            <v>FH23</v>
          </cell>
        </row>
        <row r="337">
          <cell r="D337" t="str">
            <v>BA150</v>
          </cell>
          <cell r="F337" t="str">
            <v>FH24</v>
          </cell>
        </row>
        <row r="338">
          <cell r="D338" t="str">
            <v>BA151</v>
          </cell>
          <cell r="F338" t="str">
            <v>FH25</v>
          </cell>
        </row>
        <row r="339">
          <cell r="D339" t="str">
            <v>BA152</v>
          </cell>
          <cell r="F339" t="str">
            <v>FH31</v>
          </cell>
        </row>
        <row r="340">
          <cell r="D340" t="str">
            <v>BA153</v>
          </cell>
          <cell r="F340" t="str">
            <v>FH32</v>
          </cell>
        </row>
        <row r="341">
          <cell r="D341" t="str">
            <v>BA154</v>
          </cell>
          <cell r="F341" t="str">
            <v>FH33</v>
          </cell>
        </row>
        <row r="342">
          <cell r="D342" t="str">
            <v>BA155</v>
          </cell>
          <cell r="F342" t="str">
            <v>FH34</v>
          </cell>
        </row>
        <row r="343">
          <cell r="D343" t="str">
            <v>BA156</v>
          </cell>
          <cell r="F343" t="str">
            <v>FH35</v>
          </cell>
        </row>
        <row r="344">
          <cell r="D344" t="str">
            <v>BA157</v>
          </cell>
          <cell r="F344" t="str">
            <v>FH36</v>
          </cell>
        </row>
        <row r="345">
          <cell r="D345" t="str">
            <v>BA158</v>
          </cell>
          <cell r="F345" t="str">
            <v>FN02</v>
          </cell>
        </row>
        <row r="346">
          <cell r="D346" t="str">
            <v>BA159</v>
          </cell>
          <cell r="F346" t="str">
            <v>FN20</v>
          </cell>
        </row>
        <row r="347">
          <cell r="D347" t="str">
            <v>BA160</v>
          </cell>
          <cell r="F347" t="str">
            <v>FN21</v>
          </cell>
        </row>
        <row r="348">
          <cell r="D348" t="str">
            <v>BA161</v>
          </cell>
          <cell r="F348" t="str">
            <v>FN26</v>
          </cell>
        </row>
        <row r="349">
          <cell r="D349" t="str">
            <v>BA162</v>
          </cell>
          <cell r="F349" t="str">
            <v>FN30</v>
          </cell>
        </row>
        <row r="350">
          <cell r="D350" t="str">
            <v>BA163</v>
          </cell>
          <cell r="F350" t="str">
            <v>FN31</v>
          </cell>
        </row>
        <row r="351">
          <cell r="D351" t="str">
            <v>BA164</v>
          </cell>
          <cell r="F351" t="str">
            <v>FN32</v>
          </cell>
        </row>
        <row r="352">
          <cell r="D352" t="str">
            <v>BA165</v>
          </cell>
          <cell r="F352" t="str">
            <v>FN41</v>
          </cell>
        </row>
        <row r="353">
          <cell r="D353" t="str">
            <v>BA166</v>
          </cell>
          <cell r="F353" t="str">
            <v>FN42</v>
          </cell>
        </row>
        <row r="354">
          <cell r="D354" t="str">
            <v>BA167</v>
          </cell>
          <cell r="F354" t="str">
            <v>FN43</v>
          </cell>
        </row>
        <row r="355">
          <cell r="D355" t="str">
            <v>BA168</v>
          </cell>
          <cell r="F355" t="str">
            <v>FN44</v>
          </cell>
        </row>
        <row r="356">
          <cell r="D356" t="str">
            <v>BA169</v>
          </cell>
          <cell r="F356" t="str">
            <v>FN45</v>
          </cell>
        </row>
        <row r="357">
          <cell r="D357" t="str">
            <v>BA170</v>
          </cell>
          <cell r="F357" t="str">
            <v>FN46</v>
          </cell>
        </row>
        <row r="358">
          <cell r="D358" t="str">
            <v>BA171</v>
          </cell>
          <cell r="F358" t="str">
            <v>FN47</v>
          </cell>
        </row>
        <row r="359">
          <cell r="D359" t="str">
            <v>BA172</v>
          </cell>
          <cell r="F359" t="str">
            <v>FN49</v>
          </cell>
        </row>
        <row r="360">
          <cell r="D360" t="str">
            <v>BA173</v>
          </cell>
          <cell r="F360" t="str">
            <v>FN50</v>
          </cell>
        </row>
        <row r="361">
          <cell r="D361" t="str">
            <v>BA174</v>
          </cell>
          <cell r="F361" t="str">
            <v>FN51</v>
          </cell>
        </row>
        <row r="362">
          <cell r="D362" t="str">
            <v>BA175</v>
          </cell>
          <cell r="F362" t="str">
            <v>FN60</v>
          </cell>
        </row>
        <row r="363">
          <cell r="D363" t="str">
            <v>BA176</v>
          </cell>
          <cell r="F363" t="str">
            <v>FT10</v>
          </cell>
        </row>
        <row r="364">
          <cell r="D364" t="str">
            <v>BA177</v>
          </cell>
          <cell r="F364" t="str">
            <v>FT11</v>
          </cell>
        </row>
        <row r="365">
          <cell r="D365" t="str">
            <v>BA178</v>
          </cell>
          <cell r="F365" t="str">
            <v>FT12</v>
          </cell>
        </row>
        <row r="366">
          <cell r="D366" t="str">
            <v>BA179</v>
          </cell>
          <cell r="F366" t="str">
            <v>FT13</v>
          </cell>
        </row>
        <row r="367">
          <cell r="D367" t="str">
            <v>BA180</v>
          </cell>
          <cell r="F367" t="str">
            <v>FT20</v>
          </cell>
        </row>
        <row r="368">
          <cell r="D368" t="str">
            <v>BA181</v>
          </cell>
          <cell r="F368" t="str">
            <v>FT21</v>
          </cell>
        </row>
        <row r="369">
          <cell r="D369" t="str">
            <v>BA182</v>
          </cell>
          <cell r="F369" t="str">
            <v>FT22</v>
          </cell>
        </row>
        <row r="370">
          <cell r="D370" t="str">
            <v>BA183</v>
          </cell>
          <cell r="F370" t="str">
            <v>FT23</v>
          </cell>
        </row>
        <row r="371">
          <cell r="D371" t="str">
            <v>BA184</v>
          </cell>
          <cell r="F371" t="str">
            <v>FT24</v>
          </cell>
        </row>
        <row r="372">
          <cell r="D372" t="str">
            <v>BA185</v>
          </cell>
          <cell r="F372" t="str">
            <v>FT25</v>
          </cell>
        </row>
        <row r="373">
          <cell r="D373" t="str">
            <v>BA186</v>
          </cell>
          <cell r="F373" t="str">
            <v>FT26</v>
          </cell>
        </row>
        <row r="374">
          <cell r="D374" t="str">
            <v>BA187</v>
          </cell>
          <cell r="F374" t="str">
            <v>FT28</v>
          </cell>
        </row>
        <row r="375">
          <cell r="D375" t="str">
            <v>BA188</v>
          </cell>
          <cell r="F375" t="str">
            <v>FT37</v>
          </cell>
        </row>
        <row r="376">
          <cell r="D376" t="str">
            <v>BA189</v>
          </cell>
          <cell r="F376" t="str">
            <v>FT45</v>
          </cell>
        </row>
        <row r="377">
          <cell r="D377" t="str">
            <v>BA190</v>
          </cell>
          <cell r="F377" t="str">
            <v>FT49</v>
          </cell>
        </row>
        <row r="378">
          <cell r="D378" t="str">
            <v>BA191</v>
          </cell>
          <cell r="F378" t="str">
            <v>FT50</v>
          </cell>
        </row>
        <row r="379">
          <cell r="D379" t="str">
            <v>BA192</v>
          </cell>
          <cell r="F379" t="str">
            <v>FT52</v>
          </cell>
        </row>
        <row r="380">
          <cell r="D380" t="str">
            <v>BA193</v>
          </cell>
          <cell r="F380" t="str">
            <v>FT54</v>
          </cell>
        </row>
        <row r="381">
          <cell r="D381" t="str">
            <v>BA194</v>
          </cell>
          <cell r="F381" t="str">
            <v>FT55</v>
          </cell>
        </row>
        <row r="382">
          <cell r="D382" t="str">
            <v>BZ180</v>
          </cell>
          <cell r="F382" t="str">
            <v>FT58</v>
          </cell>
        </row>
        <row r="383">
          <cell r="D383" t="str">
            <v>C2001</v>
          </cell>
          <cell r="F383" t="str">
            <v>FT60</v>
          </cell>
        </row>
        <row r="384">
          <cell r="D384" t="str">
            <v>C2002</v>
          </cell>
          <cell r="F384" t="str">
            <v>FT61</v>
          </cell>
        </row>
        <row r="385">
          <cell r="D385" t="str">
            <v>C2101</v>
          </cell>
          <cell r="F385" t="str">
            <v>FT62</v>
          </cell>
        </row>
        <row r="386">
          <cell r="D386" t="str">
            <v>C2102</v>
          </cell>
          <cell r="F386" t="str">
            <v>FT63</v>
          </cell>
        </row>
        <row r="387">
          <cell r="D387" t="str">
            <v>C2103</v>
          </cell>
          <cell r="F387" t="str">
            <v>FT64</v>
          </cell>
        </row>
        <row r="388">
          <cell r="D388" t="str">
            <v>C2104</v>
          </cell>
          <cell r="F388" t="str">
            <v>FT65</v>
          </cell>
        </row>
        <row r="389">
          <cell r="D389" t="str">
            <v>C2201</v>
          </cell>
          <cell r="F389" t="str">
            <v>FT66</v>
          </cell>
        </row>
        <row r="390">
          <cell r="D390" t="str">
            <v>C2202</v>
          </cell>
          <cell r="F390" t="str">
            <v>FT67</v>
          </cell>
        </row>
        <row r="391">
          <cell r="D391" t="str">
            <v>C2203</v>
          </cell>
          <cell r="F391" t="str">
            <v>FT68</v>
          </cell>
        </row>
        <row r="392">
          <cell r="D392" t="str">
            <v>C2204</v>
          </cell>
          <cell r="F392" t="str">
            <v>FT69</v>
          </cell>
        </row>
        <row r="393">
          <cell r="D393" t="str">
            <v>C2301</v>
          </cell>
          <cell r="F393" t="str">
            <v>FT70</v>
          </cell>
        </row>
        <row r="394">
          <cell r="D394" t="str">
            <v>C2302</v>
          </cell>
          <cell r="F394" t="str">
            <v>FT71</v>
          </cell>
        </row>
        <row r="395">
          <cell r="D395" t="str">
            <v>C2303</v>
          </cell>
          <cell r="F395" t="str">
            <v>FT72</v>
          </cell>
        </row>
        <row r="396">
          <cell r="D396" t="str">
            <v>C2304</v>
          </cell>
          <cell r="F396" t="str">
            <v>FT73</v>
          </cell>
        </row>
        <row r="397">
          <cell r="D397" t="str">
            <v>C2305</v>
          </cell>
          <cell r="F397" t="str">
            <v>FT74</v>
          </cell>
        </row>
        <row r="398">
          <cell r="D398" t="str">
            <v>C2401</v>
          </cell>
          <cell r="F398" t="str">
            <v>FT75</v>
          </cell>
        </row>
        <row r="399">
          <cell r="D399" t="str">
            <v>C2402</v>
          </cell>
          <cell r="F399" t="str">
            <v>FT76</v>
          </cell>
        </row>
        <row r="400">
          <cell r="D400" t="str">
            <v>C2501</v>
          </cell>
          <cell r="F400" t="str">
            <v>FT80</v>
          </cell>
        </row>
        <row r="401">
          <cell r="D401" t="str">
            <v>C2502</v>
          </cell>
          <cell r="F401" t="str">
            <v>FT81</v>
          </cell>
        </row>
        <row r="402">
          <cell r="D402" t="str">
            <v>C2503</v>
          </cell>
          <cell r="F402" t="str">
            <v>FT82</v>
          </cell>
        </row>
        <row r="403">
          <cell r="D403" t="str">
            <v>C2601</v>
          </cell>
          <cell r="F403" t="str">
            <v>FT83</v>
          </cell>
        </row>
        <row r="404">
          <cell r="D404" t="str">
            <v>C2602</v>
          </cell>
          <cell r="F404" t="str">
            <v>FT84</v>
          </cell>
        </row>
        <row r="405">
          <cell r="D405" t="str">
            <v>C2801</v>
          </cell>
          <cell r="F405" t="str">
            <v>FT85</v>
          </cell>
        </row>
        <row r="406">
          <cell r="D406" t="str">
            <v>C2901</v>
          </cell>
          <cell r="F406" t="str">
            <v>FT87</v>
          </cell>
        </row>
        <row r="407">
          <cell r="D407" t="str">
            <v>C2902</v>
          </cell>
          <cell r="F407" t="str">
            <v>FT88</v>
          </cell>
        </row>
        <row r="408">
          <cell r="D408" t="str">
            <v>C2951</v>
          </cell>
          <cell r="F408" t="str">
            <v>FT89</v>
          </cell>
        </row>
        <row r="409">
          <cell r="D409" t="str">
            <v>C2952</v>
          </cell>
          <cell r="F409" t="str">
            <v>FT91</v>
          </cell>
        </row>
        <row r="410">
          <cell r="D410" t="str">
            <v>C2953</v>
          </cell>
          <cell r="F410" t="str">
            <v>FT92</v>
          </cell>
        </row>
        <row r="411">
          <cell r="D411" t="str">
            <v>C2996</v>
          </cell>
          <cell r="F411" t="str">
            <v>FT93</v>
          </cell>
        </row>
        <row r="412">
          <cell r="D412" t="str">
            <v>D3001</v>
          </cell>
          <cell r="F412" t="str">
            <v>FT94</v>
          </cell>
        </row>
        <row r="413">
          <cell r="D413" t="str">
            <v>D3002</v>
          </cell>
          <cell r="F413" t="str">
            <v>FT95</v>
          </cell>
        </row>
        <row r="414">
          <cell r="D414" t="str">
            <v>D3004</v>
          </cell>
          <cell r="F414" t="str">
            <v>FT96</v>
          </cell>
        </row>
        <row r="415">
          <cell r="D415" t="str">
            <v>D3006</v>
          </cell>
          <cell r="F415" t="str">
            <v>FT97</v>
          </cell>
        </row>
        <row r="416">
          <cell r="D416" t="str">
            <v>D3007</v>
          </cell>
          <cell r="F416" t="str">
            <v>FT98</v>
          </cell>
        </row>
        <row r="417">
          <cell r="D417" t="str">
            <v>D3008</v>
          </cell>
          <cell r="F417" t="str">
            <v>FU01</v>
          </cell>
        </row>
        <row r="418">
          <cell r="D418" t="str">
            <v>D3009</v>
          </cell>
          <cell r="F418" t="str">
            <v>FU02</v>
          </cell>
        </row>
        <row r="419">
          <cell r="D419" t="str">
            <v>D3010</v>
          </cell>
          <cell r="F419" t="str">
            <v>FU21</v>
          </cell>
        </row>
        <row r="420">
          <cell r="D420" t="str">
            <v>D3011</v>
          </cell>
          <cell r="F420" t="str">
            <v>FU31</v>
          </cell>
        </row>
        <row r="421">
          <cell r="D421" t="str">
            <v>D3012</v>
          </cell>
          <cell r="F421" t="str">
            <v>GA01</v>
          </cell>
        </row>
        <row r="422">
          <cell r="D422" t="str">
            <v>D3013</v>
          </cell>
          <cell r="F422" t="str">
            <v>GA02</v>
          </cell>
        </row>
        <row r="423">
          <cell r="D423" t="str">
            <v>D3021</v>
          </cell>
          <cell r="F423" t="str">
            <v>GA03</v>
          </cell>
        </row>
        <row r="424">
          <cell r="D424" t="str">
            <v>D3022</v>
          </cell>
          <cell r="F424" t="str">
            <v>GA04</v>
          </cell>
        </row>
        <row r="425">
          <cell r="D425" t="str">
            <v>D3023</v>
          </cell>
          <cell r="F425" t="str">
            <v>GB01</v>
          </cell>
        </row>
        <row r="426">
          <cell r="D426" t="str">
            <v>D3024</v>
          </cell>
          <cell r="F426" t="str">
            <v>GB02</v>
          </cell>
        </row>
        <row r="427">
          <cell r="D427" t="str">
            <v>D3025</v>
          </cell>
          <cell r="F427" t="str">
            <v>GD01</v>
          </cell>
        </row>
        <row r="428">
          <cell r="D428" t="str">
            <v>D3026</v>
          </cell>
          <cell r="F428" t="str">
            <v>GD02</v>
          </cell>
        </row>
        <row r="429">
          <cell r="D429" t="str">
            <v>D3027</v>
          </cell>
          <cell r="F429" t="str">
            <v>GD03</v>
          </cell>
        </row>
        <row r="430">
          <cell r="D430" t="str">
            <v>D3028</v>
          </cell>
          <cell r="F430" t="str">
            <v>GE01</v>
          </cell>
        </row>
        <row r="431">
          <cell r="D431" t="str">
            <v>D3030</v>
          </cell>
          <cell r="F431" t="str">
            <v>GE02</v>
          </cell>
        </row>
        <row r="432">
          <cell r="D432" t="str">
            <v>D3101</v>
          </cell>
          <cell r="F432" t="str">
            <v>GF01</v>
          </cell>
        </row>
        <row r="433">
          <cell r="D433" t="str">
            <v>D3102</v>
          </cell>
          <cell r="F433" t="str">
            <v>GF02</v>
          </cell>
        </row>
        <row r="434">
          <cell r="D434" t="str">
            <v>D3103</v>
          </cell>
          <cell r="F434" t="str">
            <v>GF03</v>
          </cell>
        </row>
        <row r="435">
          <cell r="D435" t="str">
            <v>D3104</v>
          </cell>
          <cell r="F435" t="str">
            <v>GF04</v>
          </cell>
        </row>
        <row r="436">
          <cell r="D436" t="str">
            <v>D3201</v>
          </cell>
          <cell r="F436" t="str">
            <v>GF05</v>
          </cell>
        </row>
        <row r="437">
          <cell r="D437" t="str">
            <v>D3202</v>
          </cell>
          <cell r="F437" t="str">
            <v>GG01</v>
          </cell>
        </row>
        <row r="438">
          <cell r="D438" t="str">
            <v>D3203</v>
          </cell>
          <cell r="F438" t="str">
            <v>GG02</v>
          </cell>
        </row>
        <row r="439">
          <cell r="D439" t="str">
            <v>D3204</v>
          </cell>
          <cell r="F439" t="str">
            <v>GP01</v>
          </cell>
        </row>
        <row r="440">
          <cell r="D440" t="str">
            <v>D3301</v>
          </cell>
          <cell r="F440" t="str">
            <v>GQ01</v>
          </cell>
        </row>
        <row r="441">
          <cell r="D441" t="str">
            <v>D3302</v>
          </cell>
          <cell r="F441" t="str">
            <v>HA01</v>
          </cell>
        </row>
        <row r="442">
          <cell r="D442" t="str">
            <v>D3303</v>
          </cell>
          <cell r="F442" t="str">
            <v>HA18</v>
          </cell>
        </row>
        <row r="443">
          <cell r="D443" t="str">
            <v>D3304</v>
          </cell>
          <cell r="F443" t="str">
            <v>HA19</v>
          </cell>
        </row>
        <row r="444">
          <cell r="D444" t="str">
            <v>D3305</v>
          </cell>
          <cell r="F444" t="str">
            <v>HA20</v>
          </cell>
        </row>
        <row r="445">
          <cell r="D445" t="str">
            <v>D3306</v>
          </cell>
          <cell r="F445" t="str">
            <v>HA21</v>
          </cell>
        </row>
        <row r="446">
          <cell r="D446" t="str">
            <v>D3307</v>
          </cell>
          <cell r="F446" t="str">
            <v>HD11</v>
          </cell>
        </row>
        <row r="447">
          <cell r="D447" t="str">
            <v>D3308</v>
          </cell>
          <cell r="F447" t="str">
            <v>HD12</v>
          </cell>
        </row>
        <row r="448">
          <cell r="D448" t="str">
            <v>D3309</v>
          </cell>
          <cell r="F448" t="str">
            <v>HF01</v>
          </cell>
        </row>
        <row r="449">
          <cell r="D449" t="str">
            <v>D3401</v>
          </cell>
          <cell r="F449" t="str">
            <v>HF03</v>
          </cell>
        </row>
        <row r="450">
          <cell r="D450" t="str">
            <v>D3402</v>
          </cell>
          <cell r="F450" t="str">
            <v>HF04</v>
          </cell>
        </row>
        <row r="451">
          <cell r="D451" t="str">
            <v>D3411</v>
          </cell>
          <cell r="F451" t="str">
            <v>HJ11</v>
          </cell>
        </row>
        <row r="452">
          <cell r="D452" t="str">
            <v>D3412</v>
          </cell>
          <cell r="F452" t="str">
            <v>HJ12</v>
          </cell>
        </row>
        <row r="453">
          <cell r="D453" t="str">
            <v>D3413</v>
          </cell>
          <cell r="F453" t="str">
            <v>HJ13</v>
          </cell>
        </row>
        <row r="454">
          <cell r="D454" t="str">
            <v>D3414</v>
          </cell>
          <cell r="F454" t="str">
            <v>HJ14</v>
          </cell>
        </row>
        <row r="455">
          <cell r="D455" t="str">
            <v>D3415</v>
          </cell>
          <cell r="F455" t="str">
            <v>HJ21</v>
          </cell>
        </row>
        <row r="456">
          <cell r="D456" t="str">
            <v>D3416</v>
          </cell>
          <cell r="F456" t="str">
            <v>HJ22</v>
          </cell>
        </row>
        <row r="457">
          <cell r="D457" t="str">
            <v>D3417</v>
          </cell>
          <cell r="F457" t="str">
            <v>HK01</v>
          </cell>
        </row>
        <row r="458">
          <cell r="D458" t="str">
            <v>D3418</v>
          </cell>
          <cell r="F458" t="str">
            <v>HK11</v>
          </cell>
        </row>
        <row r="459">
          <cell r="D459" t="str">
            <v>D3419</v>
          </cell>
          <cell r="F459" t="str">
            <v>HK12</v>
          </cell>
        </row>
        <row r="460">
          <cell r="D460" t="str">
            <v>D3420</v>
          </cell>
          <cell r="F460" t="str">
            <v>HK13</v>
          </cell>
        </row>
        <row r="461">
          <cell r="D461" t="str">
            <v>D3421</v>
          </cell>
          <cell r="F461" t="str">
            <v>HK20</v>
          </cell>
        </row>
        <row r="462">
          <cell r="D462" t="str">
            <v>D3423</v>
          </cell>
          <cell r="F462" t="str">
            <v>HL11</v>
          </cell>
        </row>
        <row r="463">
          <cell r="D463" t="str">
            <v>D3425</v>
          </cell>
          <cell r="F463" t="str">
            <v>HM11</v>
          </cell>
        </row>
        <row r="464">
          <cell r="D464" t="str">
            <v>D3428</v>
          </cell>
          <cell r="F464" t="str">
            <v>HN11</v>
          </cell>
        </row>
        <row r="465">
          <cell r="D465" t="str">
            <v>D3429</v>
          </cell>
          <cell r="F465" t="str">
            <v>HR01</v>
          </cell>
        </row>
        <row r="466">
          <cell r="D466" t="str">
            <v>D3430</v>
          </cell>
          <cell r="F466" t="str">
            <v>HR02</v>
          </cell>
        </row>
        <row r="467">
          <cell r="D467" t="str">
            <v>D3433</v>
          </cell>
          <cell r="F467" t="str">
            <v>HR03</v>
          </cell>
        </row>
        <row r="468">
          <cell r="D468" t="str">
            <v>D3438</v>
          </cell>
          <cell r="F468" t="str">
            <v>HR04</v>
          </cell>
        </row>
        <row r="469">
          <cell r="D469" t="str">
            <v>D3439</v>
          </cell>
          <cell r="F469" t="str">
            <v>HR05</v>
          </cell>
        </row>
        <row r="470">
          <cell r="D470" t="str">
            <v>D3440</v>
          </cell>
          <cell r="F470" t="str">
            <v>HR06</v>
          </cell>
        </row>
        <row r="471">
          <cell r="D471" t="str">
            <v>D3442</v>
          </cell>
          <cell r="F471" t="str">
            <v>HR07</v>
          </cell>
        </row>
        <row r="472">
          <cell r="D472" t="str">
            <v>D3444</v>
          </cell>
          <cell r="F472" t="str">
            <v>HR08</v>
          </cell>
        </row>
        <row r="473">
          <cell r="D473" t="str">
            <v>D3501</v>
          </cell>
          <cell r="F473" t="str">
            <v>HR09</v>
          </cell>
        </row>
        <row r="474">
          <cell r="D474" t="str">
            <v>D3502</v>
          </cell>
          <cell r="F474" t="str">
            <v>HR10</v>
          </cell>
        </row>
        <row r="475">
          <cell r="D475" t="str">
            <v>D3503</v>
          </cell>
          <cell r="F475" t="str">
            <v>HR11</v>
          </cell>
        </row>
        <row r="476">
          <cell r="D476" t="str">
            <v>D3504</v>
          </cell>
          <cell r="F476" t="str">
            <v>HR12</v>
          </cell>
        </row>
        <row r="477">
          <cell r="D477" t="str">
            <v>D3505</v>
          </cell>
          <cell r="F477" t="str">
            <v>HR13</v>
          </cell>
        </row>
        <row r="478">
          <cell r="D478" t="str">
            <v>D3511</v>
          </cell>
          <cell r="F478" t="str">
            <v>HR16</v>
          </cell>
        </row>
        <row r="479">
          <cell r="D479" t="str">
            <v>D3512</v>
          </cell>
          <cell r="F479" t="str">
            <v>HR21</v>
          </cell>
        </row>
        <row r="480">
          <cell r="D480" t="str">
            <v>D3513</v>
          </cell>
          <cell r="F480" t="str">
            <v>HR22</v>
          </cell>
        </row>
        <row r="481">
          <cell r="D481" t="str">
            <v>D3520</v>
          </cell>
          <cell r="F481" t="str">
            <v>HR23</v>
          </cell>
        </row>
        <row r="482">
          <cell r="D482" t="str">
            <v>D3521</v>
          </cell>
          <cell r="F482" t="str">
            <v>HR24</v>
          </cell>
        </row>
        <row r="483">
          <cell r="D483" t="str">
            <v>D3522</v>
          </cell>
          <cell r="F483" t="str">
            <v>HR25</v>
          </cell>
        </row>
        <row r="484">
          <cell r="D484" t="str">
            <v>D3523</v>
          </cell>
          <cell r="F484" t="str">
            <v>HR26</v>
          </cell>
        </row>
        <row r="485">
          <cell r="D485" t="str">
            <v>D3530</v>
          </cell>
          <cell r="F485" t="str">
            <v>HR27</v>
          </cell>
        </row>
        <row r="486">
          <cell r="D486" t="str">
            <v>D3531</v>
          </cell>
          <cell r="F486" t="str">
            <v>HR40</v>
          </cell>
        </row>
        <row r="487">
          <cell r="D487" t="str">
            <v>D3532</v>
          </cell>
          <cell r="F487" t="str">
            <v>HR41</v>
          </cell>
        </row>
        <row r="488">
          <cell r="D488" t="str">
            <v>D3533</v>
          </cell>
          <cell r="F488" t="str">
            <v>HR42</v>
          </cell>
        </row>
        <row r="489">
          <cell r="D489" t="str">
            <v>D3540</v>
          </cell>
          <cell r="F489" t="str">
            <v>HR43</v>
          </cell>
        </row>
        <row r="490">
          <cell r="D490" t="str">
            <v>D3541</v>
          </cell>
          <cell r="F490" t="str">
            <v>HR44</v>
          </cell>
        </row>
        <row r="491">
          <cell r="D491" t="str">
            <v>D3542</v>
          </cell>
          <cell r="F491" t="str">
            <v>HR45</v>
          </cell>
        </row>
        <row r="492">
          <cell r="D492" t="str">
            <v>D3560</v>
          </cell>
          <cell r="F492" t="str">
            <v>HR46</v>
          </cell>
        </row>
        <row r="493">
          <cell r="D493" t="str">
            <v>D3600</v>
          </cell>
          <cell r="F493" t="str">
            <v>HR49</v>
          </cell>
        </row>
        <row r="494">
          <cell r="D494" t="str">
            <v>D3601</v>
          </cell>
          <cell r="F494" t="str">
            <v>HR50</v>
          </cell>
        </row>
        <row r="495">
          <cell r="D495" t="str">
            <v>D3602</v>
          </cell>
          <cell r="F495" t="str">
            <v>HR54</v>
          </cell>
        </row>
        <row r="496">
          <cell r="D496" t="str">
            <v>D3603</v>
          </cell>
          <cell r="F496" t="str">
            <v>HR56</v>
          </cell>
        </row>
        <row r="497">
          <cell r="D497" t="str">
            <v>D3604</v>
          </cell>
          <cell r="F497" t="str">
            <v>HR58</v>
          </cell>
        </row>
        <row r="498">
          <cell r="D498" t="str">
            <v>D3605</v>
          </cell>
          <cell r="F498" t="str">
            <v>HR60</v>
          </cell>
        </row>
        <row r="499">
          <cell r="D499" t="str">
            <v>D3606</v>
          </cell>
          <cell r="F499" t="str">
            <v>HR61</v>
          </cell>
        </row>
        <row r="500">
          <cell r="D500" t="str">
            <v>D3607</v>
          </cell>
          <cell r="F500" t="str">
            <v>HR62</v>
          </cell>
        </row>
        <row r="501">
          <cell r="D501" t="str">
            <v>D3608</v>
          </cell>
          <cell r="F501" t="str">
            <v>HR63</v>
          </cell>
        </row>
        <row r="502">
          <cell r="D502" t="str">
            <v>D3609</v>
          </cell>
          <cell r="F502" t="str">
            <v>HR64</v>
          </cell>
        </row>
        <row r="503">
          <cell r="D503" t="str">
            <v>D3610</v>
          </cell>
          <cell r="F503" t="str">
            <v>HR65</v>
          </cell>
        </row>
        <row r="504">
          <cell r="D504" t="str">
            <v>D3611</v>
          </cell>
          <cell r="F504" t="str">
            <v>HR66</v>
          </cell>
        </row>
        <row r="505">
          <cell r="D505" t="str">
            <v>D3612</v>
          </cell>
          <cell r="F505" t="str">
            <v>HR67</v>
          </cell>
        </row>
        <row r="506">
          <cell r="D506" t="str">
            <v>D3619</v>
          </cell>
          <cell r="F506" t="str">
            <v>HR68</v>
          </cell>
        </row>
        <row r="507">
          <cell r="D507" t="str">
            <v>D3701</v>
          </cell>
          <cell r="F507" t="str">
            <v>HR69</v>
          </cell>
        </row>
        <row r="508">
          <cell r="D508" t="str">
            <v>D3702</v>
          </cell>
          <cell r="F508" t="str">
            <v>HR70</v>
          </cell>
        </row>
        <row r="509">
          <cell r="D509" t="str">
            <v>D3703</v>
          </cell>
          <cell r="F509" t="str">
            <v>HR71</v>
          </cell>
        </row>
        <row r="510">
          <cell r="D510" t="str">
            <v>D3704</v>
          </cell>
          <cell r="F510" t="str">
            <v>HR72</v>
          </cell>
        </row>
        <row r="511">
          <cell r="D511" t="str">
            <v>D3705</v>
          </cell>
          <cell r="F511" t="str">
            <v>HR73</v>
          </cell>
        </row>
        <row r="512">
          <cell r="D512" t="str">
            <v>D3710</v>
          </cell>
          <cell r="F512" t="str">
            <v>HR74</v>
          </cell>
        </row>
        <row r="513">
          <cell r="D513" t="str">
            <v>D3729</v>
          </cell>
          <cell r="F513" t="str">
            <v>HR75</v>
          </cell>
        </row>
        <row r="514">
          <cell r="D514" t="str">
            <v>D3750</v>
          </cell>
          <cell r="F514" t="str">
            <v>HR76</v>
          </cell>
        </row>
        <row r="515">
          <cell r="D515" t="str">
            <v>D3752</v>
          </cell>
          <cell r="F515" t="str">
            <v>HR77</v>
          </cell>
        </row>
        <row r="516">
          <cell r="D516" t="str">
            <v>D3801</v>
          </cell>
          <cell r="F516" t="str">
            <v>HR78</v>
          </cell>
        </row>
        <row r="517">
          <cell r="D517" t="str">
            <v>D3802</v>
          </cell>
          <cell r="F517" t="str">
            <v>HR79</v>
          </cell>
        </row>
        <row r="518">
          <cell r="D518" t="str">
            <v>D3803</v>
          </cell>
          <cell r="F518" t="str">
            <v>HR80</v>
          </cell>
        </row>
        <row r="519">
          <cell r="D519" t="str">
            <v>D3804</v>
          </cell>
          <cell r="F519" t="str">
            <v>HT11</v>
          </cell>
        </row>
        <row r="520">
          <cell r="D520" t="str">
            <v>D3805</v>
          </cell>
          <cell r="F520" t="str">
            <v>HT13</v>
          </cell>
        </row>
        <row r="521">
          <cell r="D521" t="str">
            <v>D3806</v>
          </cell>
          <cell r="F521" t="str">
            <v>HT20</v>
          </cell>
        </row>
        <row r="522">
          <cell r="D522" t="str">
            <v>D3807</v>
          </cell>
          <cell r="F522" t="str">
            <v>HT21</v>
          </cell>
        </row>
        <row r="523">
          <cell r="D523" t="str">
            <v>D3808</v>
          </cell>
          <cell r="F523" t="str">
            <v>HT30</v>
          </cell>
        </row>
        <row r="524">
          <cell r="D524" t="str">
            <v>D3809</v>
          </cell>
          <cell r="F524" t="str">
            <v>HT44</v>
          </cell>
        </row>
        <row r="525">
          <cell r="D525" t="str">
            <v>D3811</v>
          </cell>
          <cell r="F525" t="str">
            <v>HT47</v>
          </cell>
        </row>
        <row r="526">
          <cell r="D526" t="str">
            <v>D3901</v>
          </cell>
          <cell r="F526" t="str">
            <v>HT48</v>
          </cell>
        </row>
        <row r="527">
          <cell r="D527" t="str">
            <v>D3903</v>
          </cell>
          <cell r="F527" t="str">
            <v>HT50</v>
          </cell>
        </row>
        <row r="528">
          <cell r="D528" t="str">
            <v>D3904</v>
          </cell>
          <cell r="F528" t="str">
            <v>HT60</v>
          </cell>
        </row>
        <row r="529">
          <cell r="D529" t="str">
            <v>D3905</v>
          </cell>
          <cell r="F529" t="str">
            <v>HT61</v>
          </cell>
        </row>
        <row r="530">
          <cell r="D530" t="str">
            <v>D3906</v>
          </cell>
          <cell r="F530" t="str">
            <v>HT62</v>
          </cell>
        </row>
        <row r="531">
          <cell r="D531" t="str">
            <v>D3907</v>
          </cell>
          <cell r="F531" t="str">
            <v>HT63</v>
          </cell>
        </row>
        <row r="532">
          <cell r="D532" t="str">
            <v>D3908</v>
          </cell>
          <cell r="F532" t="str">
            <v>HT64</v>
          </cell>
        </row>
        <row r="533">
          <cell r="D533" t="str">
            <v>D3951</v>
          </cell>
          <cell r="F533" t="str">
            <v>HT65</v>
          </cell>
        </row>
        <row r="534">
          <cell r="D534" t="str">
            <v>D3952</v>
          </cell>
          <cell r="F534" t="str">
            <v>HT66</v>
          </cell>
        </row>
        <row r="535">
          <cell r="D535" t="str">
            <v>D3953</v>
          </cell>
          <cell r="F535" t="str">
            <v>HT67</v>
          </cell>
        </row>
        <row r="536">
          <cell r="D536" t="str">
            <v>D3995</v>
          </cell>
          <cell r="F536" t="str">
            <v>HT68</v>
          </cell>
        </row>
        <row r="537">
          <cell r="D537" t="str">
            <v>D3996</v>
          </cell>
          <cell r="F537" t="str">
            <v>HT69</v>
          </cell>
        </row>
        <row r="538">
          <cell r="D538" t="str">
            <v>D3999</v>
          </cell>
          <cell r="F538" t="str">
            <v>HT70</v>
          </cell>
        </row>
        <row r="539">
          <cell r="D539" t="str">
            <v>E4101</v>
          </cell>
          <cell r="F539" t="str">
            <v>HT71</v>
          </cell>
        </row>
        <row r="540">
          <cell r="D540" t="str">
            <v>E4401</v>
          </cell>
          <cell r="F540" t="str">
            <v>HT72</v>
          </cell>
        </row>
        <row r="541">
          <cell r="D541" t="str">
            <v>E4404</v>
          </cell>
          <cell r="F541" t="str">
            <v>HT73</v>
          </cell>
        </row>
        <row r="542">
          <cell r="D542" t="str">
            <v>E4701</v>
          </cell>
          <cell r="F542" t="str">
            <v>HT80</v>
          </cell>
        </row>
        <row r="543">
          <cell r="D543" t="str">
            <v>E4702</v>
          </cell>
          <cell r="F543" t="str">
            <v>HT82</v>
          </cell>
        </row>
        <row r="544">
          <cell r="D544" t="str">
            <v>E4703</v>
          </cell>
          <cell r="F544" t="str">
            <v>JA00</v>
          </cell>
        </row>
        <row r="545">
          <cell r="D545" t="str">
            <v>E4704</v>
          </cell>
          <cell r="F545" t="str">
            <v>JA11</v>
          </cell>
        </row>
        <row r="546">
          <cell r="D546" t="str">
            <v>E4705</v>
          </cell>
          <cell r="F546" t="str">
            <v>JG21</v>
          </cell>
        </row>
        <row r="547">
          <cell r="D547" t="str">
            <v>E4706</v>
          </cell>
          <cell r="F547" t="str">
            <v>JG22</v>
          </cell>
        </row>
        <row r="548">
          <cell r="D548" t="str">
            <v>E4707</v>
          </cell>
          <cell r="F548" t="str">
            <v>JG23</v>
          </cell>
        </row>
        <row r="549">
          <cell r="D549" t="str">
            <v>E4708</v>
          </cell>
          <cell r="F549" t="str">
            <v>JG24</v>
          </cell>
        </row>
        <row r="550">
          <cell r="D550" t="str">
            <v>E4709</v>
          </cell>
          <cell r="F550" t="str">
            <v>KA01</v>
          </cell>
        </row>
        <row r="551">
          <cell r="D551" t="str">
            <v>E4710</v>
          </cell>
          <cell r="F551" t="str">
            <v>KA11</v>
          </cell>
        </row>
        <row r="552">
          <cell r="D552" t="str">
            <v>E4711</v>
          </cell>
          <cell r="F552" t="str">
            <v>KA12</v>
          </cell>
        </row>
        <row r="553">
          <cell r="D553" t="str">
            <v>E4712</v>
          </cell>
          <cell r="F553" t="str">
            <v>KA14</v>
          </cell>
        </row>
        <row r="554">
          <cell r="D554" t="str">
            <v>E4721</v>
          </cell>
          <cell r="F554" t="str">
            <v>KA15</v>
          </cell>
        </row>
        <row r="555">
          <cell r="D555" t="str">
            <v>E4722</v>
          </cell>
          <cell r="F555" t="str">
            <v>KA16</v>
          </cell>
        </row>
        <row r="556">
          <cell r="D556" t="str">
            <v>E4726</v>
          </cell>
          <cell r="F556" t="str">
            <v>KA17</v>
          </cell>
        </row>
        <row r="557">
          <cell r="D557" t="str">
            <v>E4727</v>
          </cell>
          <cell r="F557" t="str">
            <v>KA19</v>
          </cell>
        </row>
        <row r="558">
          <cell r="D558" t="str">
            <v>E4728</v>
          </cell>
          <cell r="F558" t="str">
            <v>KA20</v>
          </cell>
        </row>
        <row r="559">
          <cell r="D559" t="str">
            <v>E4729</v>
          </cell>
          <cell r="F559" t="str">
            <v>KA21</v>
          </cell>
        </row>
        <row r="560">
          <cell r="D560" t="str">
            <v>E4730</v>
          </cell>
          <cell r="F560" t="str">
            <v>KA22</v>
          </cell>
        </row>
        <row r="561">
          <cell r="D561" t="str">
            <v>E4731</v>
          </cell>
          <cell r="F561" t="str">
            <v>KA23</v>
          </cell>
        </row>
        <row r="562">
          <cell r="D562" t="str">
            <v>E4732</v>
          </cell>
          <cell r="F562" t="str">
            <v>KB11</v>
          </cell>
        </row>
        <row r="563">
          <cell r="D563" t="str">
            <v>F5001</v>
          </cell>
          <cell r="F563" t="str">
            <v>KB12</v>
          </cell>
        </row>
        <row r="564">
          <cell r="D564" t="str">
            <v>F5004</v>
          </cell>
          <cell r="F564" t="str">
            <v>KB14</v>
          </cell>
        </row>
        <row r="565">
          <cell r="D565" t="str">
            <v>F5032</v>
          </cell>
          <cell r="F565" t="str">
            <v>KB15</v>
          </cell>
        </row>
        <row r="566">
          <cell r="D566" t="str">
            <v>F5033</v>
          </cell>
          <cell r="F566" t="str">
            <v>KB16</v>
          </cell>
        </row>
        <row r="567">
          <cell r="D567" t="str">
            <v>F5034</v>
          </cell>
          <cell r="F567" t="str">
            <v>KC11</v>
          </cell>
        </row>
        <row r="568">
          <cell r="D568" t="str">
            <v>F5201</v>
          </cell>
          <cell r="F568" t="str">
            <v>KD01</v>
          </cell>
        </row>
        <row r="569">
          <cell r="D569" t="str">
            <v>F5401</v>
          </cell>
          <cell r="F569" t="str">
            <v>KD02</v>
          </cell>
        </row>
        <row r="570">
          <cell r="D570" t="str">
            <v>G6150</v>
          </cell>
          <cell r="F570" t="str">
            <v>KD15</v>
          </cell>
        </row>
        <row r="571">
          <cell r="D571" t="str">
            <v>G6201</v>
          </cell>
          <cell r="F571" t="str">
            <v>KE10</v>
          </cell>
        </row>
        <row r="572">
          <cell r="D572" t="str">
            <v>G6203</v>
          </cell>
          <cell r="F572" t="str">
            <v>KE11</v>
          </cell>
        </row>
        <row r="573">
          <cell r="D573" t="str">
            <v>G6204</v>
          </cell>
          <cell r="F573" t="str">
            <v>KE12</v>
          </cell>
        </row>
        <row r="574">
          <cell r="D574" t="str">
            <v>G6207</v>
          </cell>
          <cell r="F574" t="str">
            <v>KF01</v>
          </cell>
        </row>
        <row r="575">
          <cell r="D575" t="str">
            <v>G6210</v>
          </cell>
          <cell r="F575" t="str">
            <v>KF03</v>
          </cell>
        </row>
        <row r="576">
          <cell r="D576" t="str">
            <v>G6211</v>
          </cell>
          <cell r="F576" t="str">
            <v>KF04</v>
          </cell>
        </row>
        <row r="577">
          <cell r="D577" t="str">
            <v>G6212</v>
          </cell>
          <cell r="F577" t="str">
            <v>KF05</v>
          </cell>
        </row>
        <row r="578">
          <cell r="D578" t="str">
            <v>G6216</v>
          </cell>
          <cell r="F578" t="str">
            <v>KF06</v>
          </cell>
        </row>
        <row r="579">
          <cell r="D579" t="str">
            <v>G6218</v>
          </cell>
          <cell r="F579" t="str">
            <v>KF07</v>
          </cell>
        </row>
        <row r="580">
          <cell r="D580" t="str">
            <v>G6220</v>
          </cell>
          <cell r="F580" t="str">
            <v>KF08</v>
          </cell>
        </row>
        <row r="581">
          <cell r="D581" t="str">
            <v>G6221</v>
          </cell>
          <cell r="F581" t="str">
            <v>KF09</v>
          </cell>
        </row>
        <row r="582">
          <cell r="D582" t="str">
            <v>G6222</v>
          </cell>
          <cell r="F582" t="str">
            <v>KF10</v>
          </cell>
        </row>
        <row r="583">
          <cell r="D583" t="str">
            <v>G6223</v>
          </cell>
          <cell r="F583" t="str">
            <v>KF11</v>
          </cell>
        </row>
        <row r="584">
          <cell r="D584" t="str">
            <v>G6224</v>
          </cell>
          <cell r="F584" t="str">
            <v>KF31</v>
          </cell>
        </row>
        <row r="585">
          <cell r="D585" t="str">
            <v>G6225</v>
          </cell>
          <cell r="F585" t="str">
            <v>KG00</v>
          </cell>
        </row>
        <row r="586">
          <cell r="D586" t="str">
            <v>G6230</v>
          </cell>
          <cell r="F586" t="str">
            <v>KG01</v>
          </cell>
        </row>
        <row r="587">
          <cell r="D587" t="str">
            <v>G6301</v>
          </cell>
          <cell r="F587" t="str">
            <v>KG02</v>
          </cell>
        </row>
        <row r="588">
          <cell r="D588" t="str">
            <v>G6302</v>
          </cell>
          <cell r="F588" t="str">
            <v>KG03</v>
          </cell>
        </row>
        <row r="589">
          <cell r="D589" t="str">
            <v>G6303</v>
          </cell>
          <cell r="F589" t="str">
            <v>KG04</v>
          </cell>
        </row>
        <row r="590">
          <cell r="D590" t="str">
            <v>G6304</v>
          </cell>
          <cell r="F590" t="str">
            <v>KG05</v>
          </cell>
        </row>
        <row r="591">
          <cell r="D591" t="str">
            <v>G6305</v>
          </cell>
          <cell r="F591" t="str">
            <v>KG06</v>
          </cell>
        </row>
        <row r="592">
          <cell r="D592" t="str">
            <v>G6306</v>
          </cell>
          <cell r="F592" t="str">
            <v>KG07</v>
          </cell>
        </row>
        <row r="593">
          <cell r="D593" t="str">
            <v>G6310</v>
          </cell>
          <cell r="F593" t="str">
            <v>KG08</v>
          </cell>
        </row>
        <row r="594">
          <cell r="D594" t="str">
            <v>G6311</v>
          </cell>
          <cell r="F594" t="str">
            <v>KG09</v>
          </cell>
        </row>
        <row r="595">
          <cell r="D595" t="str">
            <v>G6312</v>
          </cell>
          <cell r="F595" t="str">
            <v>KG10</v>
          </cell>
        </row>
        <row r="596">
          <cell r="D596" t="str">
            <v>G6314</v>
          </cell>
          <cell r="F596" t="str">
            <v>KG20</v>
          </cell>
        </row>
        <row r="597">
          <cell r="D597" t="str">
            <v>G6315</v>
          </cell>
          <cell r="F597" t="str">
            <v>KG21</v>
          </cell>
        </row>
        <row r="598">
          <cell r="D598" t="str">
            <v>G6316</v>
          </cell>
          <cell r="F598" t="str">
            <v>KG22</v>
          </cell>
        </row>
        <row r="599">
          <cell r="D599" t="str">
            <v>G6317</v>
          </cell>
          <cell r="F599" t="str">
            <v>KG23</v>
          </cell>
        </row>
        <row r="600">
          <cell r="D600" t="str">
            <v>G6318</v>
          </cell>
          <cell r="F600" t="str">
            <v>KG24</v>
          </cell>
        </row>
        <row r="601">
          <cell r="D601" t="str">
            <v>G6319</v>
          </cell>
          <cell r="F601" t="str">
            <v>KG25</v>
          </cell>
        </row>
        <row r="602">
          <cell r="D602" t="str">
            <v>G6320</v>
          </cell>
          <cell r="F602" t="str">
            <v>KG26</v>
          </cell>
        </row>
        <row r="603">
          <cell r="D603" t="str">
            <v>G6321</v>
          </cell>
          <cell r="F603" t="str">
            <v>KG27</v>
          </cell>
        </row>
        <row r="604">
          <cell r="D604" t="str">
            <v>G6322</v>
          </cell>
          <cell r="F604" t="str">
            <v>KG28</v>
          </cell>
        </row>
        <row r="605">
          <cell r="D605" t="str">
            <v>G6323</v>
          </cell>
          <cell r="F605" t="str">
            <v>KH01</v>
          </cell>
        </row>
        <row r="606">
          <cell r="D606" t="str">
            <v>G6324</v>
          </cell>
          <cell r="F606" t="str">
            <v>KH11</v>
          </cell>
        </row>
        <row r="607">
          <cell r="D607" t="str">
            <v>G6325</v>
          </cell>
          <cell r="F607" t="str">
            <v>KH13</v>
          </cell>
        </row>
        <row r="608">
          <cell r="D608" t="str">
            <v>G6330</v>
          </cell>
          <cell r="F608" t="str">
            <v>KK01</v>
          </cell>
        </row>
        <row r="609">
          <cell r="D609" t="str">
            <v>G6401</v>
          </cell>
          <cell r="F609" t="str">
            <v>KK02</v>
          </cell>
        </row>
        <row r="610">
          <cell r="D610" t="str">
            <v>G6402</v>
          </cell>
          <cell r="F610" t="str">
            <v>KK03</v>
          </cell>
        </row>
        <row r="611">
          <cell r="D611" t="str">
            <v>G6403</v>
          </cell>
          <cell r="F611" t="str">
            <v>KK04</v>
          </cell>
        </row>
        <row r="612">
          <cell r="D612" t="str">
            <v>G6404</v>
          </cell>
          <cell r="F612" t="str">
            <v>KK06</v>
          </cell>
        </row>
        <row r="613">
          <cell r="D613" t="str">
            <v>G6405</v>
          </cell>
          <cell r="F613" t="str">
            <v>KK07</v>
          </cell>
        </row>
        <row r="614">
          <cell r="D614" t="str">
            <v>G6406</v>
          </cell>
          <cell r="F614" t="str">
            <v>KK08</v>
          </cell>
        </row>
        <row r="615">
          <cell r="D615" t="str">
            <v>G6407</v>
          </cell>
          <cell r="F615" t="str">
            <v>KK09</v>
          </cell>
        </row>
        <row r="616">
          <cell r="D616" t="str">
            <v>G6408</v>
          </cell>
          <cell r="F616" t="str">
            <v>KK10</v>
          </cell>
        </row>
        <row r="617">
          <cell r="D617" t="str">
            <v>G6799</v>
          </cell>
          <cell r="F617" t="str">
            <v>KK11</v>
          </cell>
        </row>
        <row r="618">
          <cell r="D618" t="str">
            <v>G6996</v>
          </cell>
          <cell r="F618" t="str">
            <v>KL01</v>
          </cell>
        </row>
        <row r="619">
          <cell r="D619" t="str">
            <v>G6999</v>
          </cell>
          <cell r="F619" t="str">
            <v>KL31</v>
          </cell>
        </row>
        <row r="620">
          <cell r="D620" t="str">
            <v>H7001</v>
          </cell>
          <cell r="F620" t="str">
            <v>KM11</v>
          </cell>
        </row>
        <row r="621">
          <cell r="D621" t="str">
            <v>H7002</v>
          </cell>
          <cell r="F621" t="str">
            <v>KN10</v>
          </cell>
        </row>
        <row r="622">
          <cell r="D622" t="str">
            <v>H7103</v>
          </cell>
          <cell r="F622" t="str">
            <v>KN11</v>
          </cell>
        </row>
        <row r="623">
          <cell r="D623" t="str">
            <v>H7201</v>
          </cell>
          <cell r="F623" t="str">
            <v>KN13</v>
          </cell>
        </row>
        <row r="624">
          <cell r="D624" t="str">
            <v>H7301</v>
          </cell>
          <cell r="F624" t="str">
            <v>KN14</v>
          </cell>
        </row>
        <row r="625">
          <cell r="D625" t="str">
            <v>H7331</v>
          </cell>
          <cell r="F625" t="str">
            <v>KN15</v>
          </cell>
        </row>
        <row r="626">
          <cell r="D626" t="str">
            <v>H7332</v>
          </cell>
          <cell r="F626" t="str">
            <v>KN33</v>
          </cell>
        </row>
        <row r="627">
          <cell r="D627" t="str">
            <v>H7333</v>
          </cell>
          <cell r="F627" t="str">
            <v>KN34</v>
          </cell>
        </row>
        <row r="628">
          <cell r="D628" t="str">
            <v>H7334</v>
          </cell>
          <cell r="F628" t="str">
            <v>KN54</v>
          </cell>
        </row>
        <row r="629">
          <cell r="D629" t="str">
            <v>H7802</v>
          </cell>
          <cell r="F629" t="str">
            <v>KN55</v>
          </cell>
        </row>
        <row r="630">
          <cell r="D630" t="str">
            <v>H7803</v>
          </cell>
          <cell r="F630" t="str">
            <v>KN56</v>
          </cell>
        </row>
        <row r="631">
          <cell r="D631" t="str">
            <v>H7812</v>
          </cell>
          <cell r="F631" t="str">
            <v>KN58</v>
          </cell>
        </row>
        <row r="632">
          <cell r="D632" t="str">
            <v>H7902</v>
          </cell>
          <cell r="F632" t="str">
            <v>KN59</v>
          </cell>
        </row>
        <row r="633">
          <cell r="D633" t="str">
            <v>H7903</v>
          </cell>
          <cell r="F633" t="str">
            <v>KN60</v>
          </cell>
        </row>
        <row r="634">
          <cell r="D634" t="str">
            <v>J8001</v>
          </cell>
          <cell r="F634" t="str">
            <v>KN61</v>
          </cell>
        </row>
        <row r="635">
          <cell r="D635" t="str">
            <v>J8005</v>
          </cell>
          <cell r="F635" t="str">
            <v>KN62</v>
          </cell>
        </row>
        <row r="636">
          <cell r="D636" t="str">
            <v>J8116</v>
          </cell>
          <cell r="F636" t="str">
            <v>KN65</v>
          </cell>
        </row>
        <row r="637">
          <cell r="D637" t="str">
            <v>J8119</v>
          </cell>
          <cell r="F637" t="str">
            <v>KN66</v>
          </cell>
        </row>
        <row r="638">
          <cell r="D638" t="str">
            <v>J8120</v>
          </cell>
          <cell r="F638" t="str">
            <v>KN80</v>
          </cell>
        </row>
        <row r="639">
          <cell r="D639" t="str">
            <v>J8121</v>
          </cell>
          <cell r="F639" t="str">
            <v>KN81</v>
          </cell>
        </row>
        <row r="640">
          <cell r="D640" t="str">
            <v>J8122</v>
          </cell>
          <cell r="F640" t="str">
            <v>KN82</v>
          </cell>
        </row>
        <row r="641">
          <cell r="D641" t="str">
            <v>J8123</v>
          </cell>
          <cell r="F641" t="str">
            <v>KN83</v>
          </cell>
        </row>
        <row r="642">
          <cell r="D642" t="str">
            <v>J8124</v>
          </cell>
          <cell r="F642" t="str">
            <v>KN85</v>
          </cell>
        </row>
        <row r="643">
          <cell r="D643" t="str">
            <v>J8125</v>
          </cell>
          <cell r="F643" t="str">
            <v>KP01</v>
          </cell>
        </row>
        <row r="644">
          <cell r="D644" t="str">
            <v>J8126</v>
          </cell>
          <cell r="F644" t="str">
            <v>KP02</v>
          </cell>
        </row>
        <row r="645">
          <cell r="D645" t="str">
            <v>J8127</v>
          </cell>
          <cell r="F645" t="str">
            <v>KP05</v>
          </cell>
        </row>
        <row r="646">
          <cell r="D646" t="str">
            <v>J8128</v>
          </cell>
          <cell r="F646" t="str">
            <v>KQ01</v>
          </cell>
        </row>
        <row r="647">
          <cell r="D647" t="str">
            <v>J8129</v>
          </cell>
          <cell r="F647" t="str">
            <v>KQ12</v>
          </cell>
        </row>
        <row r="648">
          <cell r="D648" t="str">
            <v>J8130</v>
          </cell>
          <cell r="F648" t="str">
            <v>KQ13</v>
          </cell>
        </row>
        <row r="649">
          <cell r="D649" t="str">
            <v>J8131</v>
          </cell>
          <cell r="F649" t="str">
            <v>KQ20</v>
          </cell>
        </row>
        <row r="650">
          <cell r="D650" t="str">
            <v>J8132</v>
          </cell>
          <cell r="F650" t="str">
            <v>KR01</v>
          </cell>
        </row>
        <row r="651">
          <cell r="D651" t="str">
            <v>J8133</v>
          </cell>
          <cell r="F651" t="str">
            <v>KR02</v>
          </cell>
        </row>
        <row r="652">
          <cell r="D652" t="str">
            <v>J8134</v>
          </cell>
          <cell r="F652" t="str">
            <v>KS04</v>
          </cell>
        </row>
        <row r="653">
          <cell r="D653" t="str">
            <v>J8135</v>
          </cell>
          <cell r="F653" t="str">
            <v>KS05</v>
          </cell>
        </row>
        <row r="654">
          <cell r="D654" t="str">
            <v>J8136</v>
          </cell>
          <cell r="F654" t="str">
            <v>KS07</v>
          </cell>
        </row>
        <row r="655">
          <cell r="D655" t="str">
            <v>J8151</v>
          </cell>
          <cell r="F655" t="str">
            <v>KS08</v>
          </cell>
        </row>
        <row r="656">
          <cell r="D656" t="str">
            <v>J8152</v>
          </cell>
          <cell r="F656" t="str">
            <v>KS10</v>
          </cell>
        </row>
        <row r="657">
          <cell r="D657" t="str">
            <v>J8153</v>
          </cell>
          <cell r="F657" t="str">
            <v>KT11</v>
          </cell>
        </row>
        <row r="658">
          <cell r="D658" t="str">
            <v>J8154</v>
          </cell>
          <cell r="F658" t="str">
            <v>KT13</v>
          </cell>
        </row>
        <row r="659">
          <cell r="D659" t="str">
            <v>J8199</v>
          </cell>
          <cell r="F659" t="str">
            <v>KU11</v>
          </cell>
        </row>
        <row r="660">
          <cell r="D660" t="str">
            <v>J8202</v>
          </cell>
          <cell r="F660" t="str">
            <v>KV01</v>
          </cell>
        </row>
        <row r="661">
          <cell r="D661" t="str">
            <v>J8203</v>
          </cell>
          <cell r="F661" t="str">
            <v>KV02</v>
          </cell>
        </row>
        <row r="662">
          <cell r="D662" t="str">
            <v>J8210</v>
          </cell>
          <cell r="F662" t="str">
            <v>KV04</v>
          </cell>
        </row>
        <row r="663">
          <cell r="D663" t="str">
            <v>J8211</v>
          </cell>
          <cell r="F663" t="str">
            <v>KV05</v>
          </cell>
        </row>
        <row r="664">
          <cell r="D664" t="str">
            <v>J8212</v>
          </cell>
          <cell r="F664" t="str">
            <v>KV12</v>
          </cell>
        </row>
        <row r="665">
          <cell r="D665" t="str">
            <v>J8213</v>
          </cell>
          <cell r="F665" t="str">
            <v>KV20</v>
          </cell>
        </row>
        <row r="666">
          <cell r="D666" t="str">
            <v>J8220</v>
          </cell>
          <cell r="F666" t="str">
            <v>KV30</v>
          </cell>
        </row>
        <row r="667">
          <cell r="D667" t="str">
            <v>J8230</v>
          </cell>
          <cell r="F667" t="str">
            <v>KW01</v>
          </cell>
        </row>
        <row r="668">
          <cell r="D668" t="str">
            <v>J8309</v>
          </cell>
          <cell r="F668" t="str">
            <v>KX01</v>
          </cell>
        </row>
        <row r="669">
          <cell r="D669" t="str">
            <v>J8310</v>
          </cell>
          <cell r="F669" t="str">
            <v>KX99</v>
          </cell>
        </row>
        <row r="670">
          <cell r="D670" t="str">
            <v>J8320</v>
          </cell>
          <cell r="F670" t="str">
            <v>MC01</v>
          </cell>
        </row>
        <row r="671">
          <cell r="D671" t="str">
            <v>J8321</v>
          </cell>
          <cell r="F671" t="str">
            <v>MC02</v>
          </cell>
        </row>
        <row r="672">
          <cell r="D672" t="str">
            <v>J8322</v>
          </cell>
          <cell r="F672" t="str">
            <v>MC03</v>
          </cell>
        </row>
        <row r="673">
          <cell r="D673" t="str">
            <v>J8323</v>
          </cell>
          <cell r="F673" t="str">
            <v>MC04</v>
          </cell>
        </row>
        <row r="674">
          <cell r="D674" t="str">
            <v>J8325</v>
          </cell>
          <cell r="F674" t="str">
            <v>MC05</v>
          </cell>
        </row>
        <row r="675">
          <cell r="D675" t="str">
            <v>J8326</v>
          </cell>
          <cell r="F675" t="str">
            <v>MC07</v>
          </cell>
        </row>
        <row r="676">
          <cell r="D676" t="str">
            <v>J8328</v>
          </cell>
          <cell r="F676" t="str">
            <v>MC11</v>
          </cell>
        </row>
        <row r="677">
          <cell r="D677" t="str">
            <v>J8329</v>
          </cell>
          <cell r="F677" t="str">
            <v>MC12</v>
          </cell>
        </row>
        <row r="678">
          <cell r="D678" t="str">
            <v>J8330</v>
          </cell>
          <cell r="F678" t="str">
            <v>MC90</v>
          </cell>
        </row>
        <row r="679">
          <cell r="D679" t="str">
            <v>J8331</v>
          </cell>
          <cell r="F679" t="str">
            <v>MC91</v>
          </cell>
        </row>
        <row r="680">
          <cell r="D680" t="str">
            <v>J8332</v>
          </cell>
          <cell r="F680" t="str">
            <v>MD20</v>
          </cell>
        </row>
        <row r="681">
          <cell r="D681" t="str">
            <v>J8334</v>
          </cell>
          <cell r="F681" t="str">
            <v>MD21</v>
          </cell>
        </row>
        <row r="682">
          <cell r="D682" t="str">
            <v>J8335</v>
          </cell>
          <cell r="F682" t="str">
            <v>MD22</v>
          </cell>
        </row>
        <row r="683">
          <cell r="D683" t="str">
            <v>J8336</v>
          </cell>
          <cell r="F683" t="str">
            <v>MD23</v>
          </cell>
        </row>
        <row r="684">
          <cell r="D684" t="str">
            <v>J8338</v>
          </cell>
          <cell r="F684" t="str">
            <v>MD24</v>
          </cell>
        </row>
        <row r="685">
          <cell r="D685" t="str">
            <v>J8340</v>
          </cell>
          <cell r="F685" t="str">
            <v>MD25</v>
          </cell>
        </row>
        <row r="686">
          <cell r="D686" t="str">
            <v>J8342</v>
          </cell>
          <cell r="F686" t="str">
            <v>MD27</v>
          </cell>
        </row>
        <row r="687">
          <cell r="D687" t="str">
            <v>J8353</v>
          </cell>
          <cell r="F687" t="str">
            <v>MD31</v>
          </cell>
        </row>
        <row r="688">
          <cell r="D688" t="str">
            <v>J8364</v>
          </cell>
          <cell r="F688" t="str">
            <v>MD42</v>
          </cell>
        </row>
        <row r="689">
          <cell r="D689" t="str">
            <v>J8365</v>
          </cell>
          <cell r="F689" t="str">
            <v>MD45</v>
          </cell>
        </row>
        <row r="690">
          <cell r="D690" t="str">
            <v>J8366</v>
          </cell>
          <cell r="F690" t="str">
            <v>MD46</v>
          </cell>
        </row>
        <row r="691">
          <cell r="D691" t="str">
            <v>J8369</v>
          </cell>
          <cell r="F691" t="str">
            <v>MD51</v>
          </cell>
        </row>
        <row r="692">
          <cell r="D692" t="str">
            <v>J8370</v>
          </cell>
          <cell r="F692" t="str">
            <v>MD52</v>
          </cell>
        </row>
        <row r="693">
          <cell r="D693" t="str">
            <v>J8372</v>
          </cell>
          <cell r="F693" t="str">
            <v>MD61</v>
          </cell>
        </row>
        <row r="694">
          <cell r="D694" t="str">
            <v>J8373</v>
          </cell>
          <cell r="F694" t="str">
            <v>MD62</v>
          </cell>
        </row>
        <row r="695">
          <cell r="D695" t="str">
            <v>J8410</v>
          </cell>
          <cell r="F695" t="str">
            <v>MD63</v>
          </cell>
        </row>
        <row r="696">
          <cell r="D696" t="str">
            <v>J8420</v>
          </cell>
          <cell r="F696" t="str">
            <v>MD67</v>
          </cell>
        </row>
        <row r="697">
          <cell r="D697" t="str">
            <v>J8430</v>
          </cell>
          <cell r="F697" t="str">
            <v>MD71</v>
          </cell>
        </row>
        <row r="698">
          <cell r="D698" t="str">
            <v>J8507</v>
          </cell>
          <cell r="F698" t="str">
            <v>MD72</v>
          </cell>
        </row>
        <row r="699">
          <cell r="D699" t="str">
            <v>J8508</v>
          </cell>
          <cell r="F699" t="str">
            <v>MD77</v>
          </cell>
        </row>
        <row r="700">
          <cell r="D700" t="str">
            <v>J8509</v>
          </cell>
          <cell r="F700" t="str">
            <v>MD78</v>
          </cell>
        </row>
        <row r="701">
          <cell r="D701" t="str">
            <v>J8519</v>
          </cell>
          <cell r="F701" t="str">
            <v>ME11</v>
          </cell>
        </row>
        <row r="702">
          <cell r="D702" t="str">
            <v>J8520</v>
          </cell>
          <cell r="F702" t="str">
            <v>MF82</v>
          </cell>
        </row>
        <row r="703">
          <cell r="D703" t="str">
            <v>J8521</v>
          </cell>
          <cell r="F703" t="str">
            <v>MF90</v>
          </cell>
        </row>
        <row r="704">
          <cell r="D704" t="str">
            <v>J8524</v>
          </cell>
          <cell r="F704" t="str">
            <v>MG11</v>
          </cell>
        </row>
        <row r="705">
          <cell r="D705" t="str">
            <v>J8526</v>
          </cell>
          <cell r="F705" t="str">
            <v>MG12</v>
          </cell>
        </row>
        <row r="706">
          <cell r="D706" t="str">
            <v>J8527</v>
          </cell>
          <cell r="F706" t="str">
            <v>MG13</v>
          </cell>
        </row>
        <row r="707">
          <cell r="D707" t="str">
            <v>J8529</v>
          </cell>
          <cell r="F707" t="str">
            <v>MG14</v>
          </cell>
        </row>
        <row r="708">
          <cell r="D708" t="str">
            <v>J8530</v>
          </cell>
          <cell r="F708" t="str">
            <v>MG17</v>
          </cell>
        </row>
        <row r="709">
          <cell r="D709" t="str">
            <v>J8540</v>
          </cell>
          <cell r="F709" t="str">
            <v>MM03</v>
          </cell>
        </row>
        <row r="710">
          <cell r="D710" t="str">
            <v>J8541</v>
          </cell>
          <cell r="F710" t="str">
            <v>MM05</v>
          </cell>
        </row>
        <row r="711">
          <cell r="D711" t="str">
            <v>J8542</v>
          </cell>
          <cell r="F711" t="str">
            <v>MM21</v>
          </cell>
        </row>
        <row r="712">
          <cell r="D712" t="str">
            <v>J8545</v>
          </cell>
          <cell r="F712" t="str">
            <v>MM22</v>
          </cell>
        </row>
        <row r="713">
          <cell r="D713" t="str">
            <v>J8547</v>
          </cell>
          <cell r="F713" t="str">
            <v>MM23</v>
          </cell>
        </row>
        <row r="714">
          <cell r="D714" t="str">
            <v>J8548</v>
          </cell>
          <cell r="F714" t="str">
            <v>MM25</v>
          </cell>
        </row>
        <row r="715">
          <cell r="D715" t="str">
            <v>J8549</v>
          </cell>
          <cell r="F715" t="str">
            <v>MM28</v>
          </cell>
        </row>
        <row r="716">
          <cell r="D716" t="str">
            <v>J8550</v>
          </cell>
          <cell r="F716" t="str">
            <v>MM29</v>
          </cell>
        </row>
        <row r="717">
          <cell r="D717" t="str">
            <v>J8551</v>
          </cell>
          <cell r="F717" t="str">
            <v>MM31</v>
          </cell>
        </row>
        <row r="718">
          <cell r="D718" t="str">
            <v>J8552</v>
          </cell>
          <cell r="F718" t="str">
            <v>MM32</v>
          </cell>
        </row>
        <row r="719">
          <cell r="D719" t="str">
            <v>J8553</v>
          </cell>
          <cell r="F719" t="str">
            <v>MM40</v>
          </cell>
        </row>
        <row r="720">
          <cell r="D720" t="str">
            <v>J8555</v>
          </cell>
          <cell r="F720" t="str">
            <v>MM41</v>
          </cell>
        </row>
        <row r="721">
          <cell r="D721" t="str">
            <v>J8556</v>
          </cell>
          <cell r="F721" t="str">
            <v>MM42</v>
          </cell>
        </row>
        <row r="722">
          <cell r="D722" t="str">
            <v>J8557</v>
          </cell>
          <cell r="F722" t="str">
            <v>MM44</v>
          </cell>
        </row>
        <row r="723">
          <cell r="D723" t="str">
            <v>J8558</v>
          </cell>
          <cell r="F723" t="str">
            <v>MM46</v>
          </cell>
        </row>
        <row r="724">
          <cell r="D724" t="str">
            <v>J8564</v>
          </cell>
          <cell r="F724" t="str">
            <v>MX01</v>
          </cell>
        </row>
        <row r="725">
          <cell r="D725" t="str">
            <v>J8565</v>
          </cell>
          <cell r="F725" t="str">
            <v>MX11</v>
          </cell>
        </row>
        <row r="726">
          <cell r="D726" t="str">
            <v>J8567</v>
          </cell>
          <cell r="F726" t="str">
            <v>MX13</v>
          </cell>
        </row>
        <row r="727">
          <cell r="D727" t="str">
            <v>J8568</v>
          </cell>
          <cell r="F727" t="str">
            <v>MX14</v>
          </cell>
        </row>
        <row r="728">
          <cell r="D728" t="str">
            <v>J8572</v>
          </cell>
          <cell r="F728" t="str">
            <v>MX31</v>
          </cell>
        </row>
        <row r="729">
          <cell r="D729" t="str">
            <v>J8573</v>
          </cell>
          <cell r="F729" t="str">
            <v>MX41</v>
          </cell>
        </row>
        <row r="730">
          <cell r="D730" t="str">
            <v>J8574</v>
          </cell>
          <cell r="F730" t="str">
            <v>MX51</v>
          </cell>
        </row>
        <row r="731">
          <cell r="D731" t="str">
            <v>J8575</v>
          </cell>
          <cell r="F731" t="str">
            <v>NC10</v>
          </cell>
        </row>
        <row r="732">
          <cell r="D732" t="str">
            <v>J8576</v>
          </cell>
          <cell r="F732" t="str">
            <v>NC20</v>
          </cell>
        </row>
        <row r="733">
          <cell r="D733" t="str">
            <v>J8577</v>
          </cell>
          <cell r="F733" t="str">
            <v>NC30</v>
          </cell>
        </row>
        <row r="734">
          <cell r="D734" t="str">
            <v>J8578</v>
          </cell>
          <cell r="F734" t="str">
            <v>NC40</v>
          </cell>
        </row>
        <row r="735">
          <cell r="D735" t="str">
            <v>J8581</v>
          </cell>
          <cell r="F735" t="str">
            <v>NC50</v>
          </cell>
        </row>
        <row r="736">
          <cell r="D736" t="str">
            <v>J8582</v>
          </cell>
          <cell r="F736" t="str">
            <v>NC60</v>
          </cell>
        </row>
        <row r="737">
          <cell r="D737" t="str">
            <v>J8583</v>
          </cell>
          <cell r="F737" t="str">
            <v>ND10</v>
          </cell>
        </row>
        <row r="738">
          <cell r="D738" t="str">
            <v>J8584</v>
          </cell>
          <cell r="F738" t="str">
            <v>ND12</v>
          </cell>
        </row>
        <row r="739">
          <cell r="D739" t="str">
            <v>J8585</v>
          </cell>
          <cell r="F739" t="str">
            <v>ND13</v>
          </cell>
        </row>
        <row r="740">
          <cell r="D740" t="str">
            <v>J8586</v>
          </cell>
          <cell r="F740" t="str">
            <v>ND14</v>
          </cell>
        </row>
        <row r="741">
          <cell r="D741" t="str">
            <v>J8587</v>
          </cell>
          <cell r="F741" t="str">
            <v>ND15</v>
          </cell>
        </row>
        <row r="742">
          <cell r="D742" t="str">
            <v>J8588</v>
          </cell>
          <cell r="F742" t="str">
            <v>ND19</v>
          </cell>
        </row>
        <row r="743">
          <cell r="D743" t="str">
            <v>J8589</v>
          </cell>
          <cell r="F743" t="str">
            <v>ND20</v>
          </cell>
        </row>
        <row r="744">
          <cell r="D744" t="str">
            <v>J8590</v>
          </cell>
          <cell r="F744" t="str">
            <v>ND30</v>
          </cell>
        </row>
        <row r="745">
          <cell r="D745" t="str">
            <v>J8591</v>
          </cell>
          <cell r="F745" t="str">
            <v>ND40</v>
          </cell>
        </row>
        <row r="746">
          <cell r="D746" t="str">
            <v>J8601</v>
          </cell>
          <cell r="F746" t="str">
            <v>ND50</v>
          </cell>
        </row>
        <row r="747">
          <cell r="D747" t="str">
            <v>J8602</v>
          </cell>
          <cell r="F747" t="str">
            <v>ND60</v>
          </cell>
        </row>
        <row r="748">
          <cell r="D748" t="str">
            <v>J8604</v>
          </cell>
          <cell r="F748" t="str">
            <v>ND98</v>
          </cell>
        </row>
        <row r="749">
          <cell r="D749" t="str">
            <v>J8608</v>
          </cell>
          <cell r="F749" t="str">
            <v>NE01</v>
          </cell>
        </row>
        <row r="750">
          <cell r="D750" t="str">
            <v>J8609</v>
          </cell>
          <cell r="F750" t="str">
            <v>NE02</v>
          </cell>
        </row>
        <row r="751">
          <cell r="D751" t="str">
            <v>J8610</v>
          </cell>
          <cell r="F751" t="str">
            <v>NE03</v>
          </cell>
        </row>
        <row r="752">
          <cell r="D752" t="str">
            <v>J8622</v>
          </cell>
          <cell r="F752" t="str">
            <v>NE04</v>
          </cell>
        </row>
        <row r="753">
          <cell r="D753" t="str">
            <v>J8623</v>
          </cell>
          <cell r="F753" t="str">
            <v>NE05</v>
          </cell>
        </row>
        <row r="754">
          <cell r="D754" t="str">
            <v>J8630</v>
          </cell>
          <cell r="F754" t="str">
            <v>NE06</v>
          </cell>
        </row>
        <row r="755">
          <cell r="D755" t="str">
            <v>J8640</v>
          </cell>
          <cell r="F755" t="str">
            <v>NE10</v>
          </cell>
        </row>
        <row r="756">
          <cell r="D756" t="str">
            <v>J8650</v>
          </cell>
          <cell r="F756" t="str">
            <v>NE14</v>
          </cell>
        </row>
        <row r="757">
          <cell r="D757" t="str">
            <v>J8660</v>
          </cell>
          <cell r="F757" t="str">
            <v>NE20</v>
          </cell>
        </row>
        <row r="758">
          <cell r="D758" t="str">
            <v>J8670</v>
          </cell>
          <cell r="F758" t="str">
            <v>NE30</v>
          </cell>
        </row>
        <row r="759">
          <cell r="D759" t="str">
            <v>J8680</v>
          </cell>
          <cell r="F759" t="str">
            <v>NE40</v>
          </cell>
        </row>
        <row r="760">
          <cell r="D760" t="str">
            <v>J8690</v>
          </cell>
          <cell r="F760" t="str">
            <v>NE42</v>
          </cell>
        </row>
        <row r="761">
          <cell r="D761" t="str">
            <v>J8695</v>
          </cell>
          <cell r="F761" t="str">
            <v>NE50</v>
          </cell>
        </row>
        <row r="762">
          <cell r="D762" t="str">
            <v>J8702</v>
          </cell>
          <cell r="F762" t="str">
            <v>NE60</v>
          </cell>
        </row>
        <row r="763">
          <cell r="D763" t="str">
            <v>J8704</v>
          </cell>
          <cell r="F763" t="str">
            <v>NE98</v>
          </cell>
        </row>
        <row r="764">
          <cell r="D764" t="str">
            <v>J8705</v>
          </cell>
          <cell r="F764" t="str">
            <v>NE99</v>
          </cell>
        </row>
        <row r="765">
          <cell r="D765" t="str">
            <v>J8706</v>
          </cell>
          <cell r="F765" t="str">
            <v>NF10</v>
          </cell>
        </row>
        <row r="766">
          <cell r="D766" t="str">
            <v>J8708</v>
          </cell>
          <cell r="F766" t="str">
            <v>NF40</v>
          </cell>
        </row>
        <row r="767">
          <cell r="D767" t="str">
            <v>J8709</v>
          </cell>
          <cell r="F767" t="str">
            <v>NP01</v>
          </cell>
        </row>
        <row r="768">
          <cell r="D768" t="str">
            <v>J8710</v>
          </cell>
          <cell r="F768" t="str">
            <v>NS01</v>
          </cell>
        </row>
        <row r="769">
          <cell r="D769" t="str">
            <v>J8711</v>
          </cell>
          <cell r="F769" t="str">
            <v>NS03</v>
          </cell>
        </row>
        <row r="770">
          <cell r="D770" t="str">
            <v>J8770</v>
          </cell>
          <cell r="F770" t="str">
            <v>NS04</v>
          </cell>
        </row>
        <row r="771">
          <cell r="D771" t="str">
            <v>J8801</v>
          </cell>
          <cell r="F771" t="str">
            <v>NS05</v>
          </cell>
        </row>
        <row r="772">
          <cell r="D772" t="str">
            <v>J8802</v>
          </cell>
          <cell r="F772" t="str">
            <v>NS06</v>
          </cell>
        </row>
        <row r="773">
          <cell r="D773" t="str">
            <v>J8809</v>
          </cell>
          <cell r="F773" t="str">
            <v>NS07</v>
          </cell>
        </row>
        <row r="774">
          <cell r="D774" t="str">
            <v>J8810</v>
          </cell>
          <cell r="F774" t="str">
            <v>NT11</v>
          </cell>
        </row>
        <row r="775">
          <cell r="D775" t="str">
            <v>J8811</v>
          </cell>
          <cell r="F775" t="str">
            <v>PA02</v>
          </cell>
        </row>
        <row r="776">
          <cell r="D776" t="str">
            <v>J8812</v>
          </cell>
          <cell r="F776" t="str">
            <v>PA03</v>
          </cell>
        </row>
        <row r="777">
          <cell r="D777" t="str">
            <v>J8813</v>
          </cell>
          <cell r="F777" t="str">
            <v>PX01</v>
          </cell>
        </row>
        <row r="778">
          <cell r="D778" t="str">
            <v>J8814</v>
          </cell>
          <cell r="F778" t="str">
            <v>QA01</v>
          </cell>
        </row>
        <row r="779">
          <cell r="D779" t="str">
            <v>J8815</v>
          </cell>
          <cell r="F779" t="str">
            <v>QA02</v>
          </cell>
        </row>
        <row r="780">
          <cell r="D780" t="str">
            <v>J8821</v>
          </cell>
          <cell r="F780" t="str">
            <v>QA03</v>
          </cell>
        </row>
        <row r="781">
          <cell r="D781" t="str">
            <v>J8822</v>
          </cell>
          <cell r="F781" t="str">
            <v>QA04</v>
          </cell>
        </row>
        <row r="782">
          <cell r="D782" t="str">
            <v>J8823</v>
          </cell>
          <cell r="F782" t="str">
            <v>QA11</v>
          </cell>
        </row>
        <row r="783">
          <cell r="D783" t="str">
            <v>J8984</v>
          </cell>
          <cell r="F783" t="str">
            <v>QA20</v>
          </cell>
        </row>
        <row r="784">
          <cell r="D784" t="str">
            <v>J8985</v>
          </cell>
          <cell r="F784" t="str">
            <v>QA21</v>
          </cell>
        </row>
        <row r="785">
          <cell r="D785" t="str">
            <v>J8986</v>
          </cell>
          <cell r="F785" t="str">
            <v>QA31</v>
          </cell>
        </row>
        <row r="786">
          <cell r="D786" t="str">
            <v>J8987</v>
          </cell>
          <cell r="F786" t="str">
            <v>QB11</v>
          </cell>
        </row>
        <row r="787">
          <cell r="D787" t="str">
            <v>J8988</v>
          </cell>
          <cell r="F787" t="str">
            <v>QC01</v>
          </cell>
        </row>
        <row r="788">
          <cell r="D788" t="str">
            <v>J8990</v>
          </cell>
          <cell r="F788" t="str">
            <v>QC31</v>
          </cell>
        </row>
        <row r="789">
          <cell r="D789" t="str">
            <v>J8991</v>
          </cell>
          <cell r="F789" t="str">
            <v>QC32</v>
          </cell>
        </row>
        <row r="790">
          <cell r="D790" t="str">
            <v>J8992</v>
          </cell>
          <cell r="F790" t="str">
            <v>QC40</v>
          </cell>
        </row>
        <row r="791">
          <cell r="D791" t="str">
            <v>J8994</v>
          </cell>
          <cell r="F791" t="str">
            <v>QC41</v>
          </cell>
        </row>
        <row r="792">
          <cell r="D792" t="str">
            <v>J8996</v>
          </cell>
          <cell r="F792" t="str">
            <v>QC42</v>
          </cell>
        </row>
        <row r="793">
          <cell r="D793" t="str">
            <v>J8998</v>
          </cell>
          <cell r="F793" t="str">
            <v>QC43</v>
          </cell>
        </row>
        <row r="794">
          <cell r="D794" t="str">
            <v>J8999</v>
          </cell>
          <cell r="F794" t="str">
            <v>QC44</v>
          </cell>
        </row>
        <row r="795">
          <cell r="D795" t="str">
            <v>K9001</v>
          </cell>
          <cell r="F795" t="str">
            <v>QC45</v>
          </cell>
        </row>
        <row r="796">
          <cell r="D796" t="str">
            <v>K9002</v>
          </cell>
          <cell r="F796" t="str">
            <v>QC46</v>
          </cell>
        </row>
        <row r="797">
          <cell r="D797" t="str">
            <v>K9003</v>
          </cell>
          <cell r="F797" t="str">
            <v>QC47</v>
          </cell>
        </row>
        <row r="798">
          <cell r="D798" t="str">
            <v>K9004</v>
          </cell>
          <cell r="F798" t="str">
            <v>QC48</v>
          </cell>
        </row>
        <row r="799">
          <cell r="D799" t="str">
            <v>K9005</v>
          </cell>
          <cell r="F799" t="str">
            <v>QC49</v>
          </cell>
        </row>
        <row r="800">
          <cell r="D800" t="str">
            <v>K9007</v>
          </cell>
          <cell r="F800" t="str">
            <v>QC50</v>
          </cell>
        </row>
        <row r="801">
          <cell r="D801" t="str">
            <v>K9101</v>
          </cell>
          <cell r="F801" t="str">
            <v>QD11</v>
          </cell>
        </row>
        <row r="802">
          <cell r="D802" t="str">
            <v>K9111</v>
          </cell>
          <cell r="F802" t="str">
            <v>QD12</v>
          </cell>
        </row>
        <row r="803">
          <cell r="D803" t="str">
            <v>K9118</v>
          </cell>
          <cell r="F803" t="str">
            <v>QD13</v>
          </cell>
        </row>
        <row r="804">
          <cell r="D804" t="str">
            <v>K9120</v>
          </cell>
          <cell r="F804" t="str">
            <v>QD14</v>
          </cell>
        </row>
        <row r="805">
          <cell r="D805" t="str">
            <v>K9121</v>
          </cell>
          <cell r="F805" t="str">
            <v>QD15</v>
          </cell>
        </row>
        <row r="806">
          <cell r="D806" t="str">
            <v>K9123</v>
          </cell>
          <cell r="F806" t="str">
            <v>QE02</v>
          </cell>
        </row>
        <row r="807">
          <cell r="D807" t="str">
            <v>K9131</v>
          </cell>
          <cell r="F807" t="str">
            <v>QR11</v>
          </cell>
        </row>
        <row r="808">
          <cell r="D808" t="str">
            <v>K9141</v>
          </cell>
          <cell r="F808" t="str">
            <v>QR12</v>
          </cell>
        </row>
        <row r="809">
          <cell r="D809" t="str">
            <v>K9142</v>
          </cell>
          <cell r="F809" t="str">
            <v>QR13</v>
          </cell>
        </row>
        <row r="810">
          <cell r="D810" t="str">
            <v>K9143</v>
          </cell>
          <cell r="F810" t="str">
            <v>QR14</v>
          </cell>
        </row>
        <row r="811">
          <cell r="D811" t="str">
            <v>K9151</v>
          </cell>
          <cell r="F811" t="str">
            <v>QR94</v>
          </cell>
        </row>
        <row r="812">
          <cell r="D812" t="str">
            <v>K9152</v>
          </cell>
          <cell r="F812" t="str">
            <v>QS14</v>
          </cell>
        </row>
        <row r="813">
          <cell r="D813" t="str">
            <v>K9153</v>
          </cell>
          <cell r="F813" t="str">
            <v>RA12</v>
          </cell>
        </row>
        <row r="814">
          <cell r="D814" t="str">
            <v>K9154</v>
          </cell>
          <cell r="F814" t="str">
            <v>RA14</v>
          </cell>
        </row>
        <row r="815">
          <cell r="D815" t="str">
            <v>K9155</v>
          </cell>
          <cell r="F815" t="str">
            <v>RA19</v>
          </cell>
        </row>
        <row r="816">
          <cell r="D816" t="str">
            <v>K9156</v>
          </cell>
          <cell r="F816" t="str">
            <v>RA21</v>
          </cell>
        </row>
        <row r="817">
          <cell r="D817" t="str">
            <v>K9157</v>
          </cell>
          <cell r="F817" t="str">
            <v>RA22</v>
          </cell>
        </row>
        <row r="818">
          <cell r="D818" t="str">
            <v>K9158</v>
          </cell>
          <cell r="F818" t="str">
            <v>RA23</v>
          </cell>
        </row>
        <row r="819">
          <cell r="D819" t="str">
            <v>K9159</v>
          </cell>
          <cell r="F819" t="str">
            <v>RA24</v>
          </cell>
        </row>
        <row r="820">
          <cell r="D820" t="str">
            <v>K9160</v>
          </cell>
          <cell r="F820" t="str">
            <v>RA26</v>
          </cell>
        </row>
        <row r="821">
          <cell r="D821" t="str">
            <v>K9165</v>
          </cell>
          <cell r="F821" t="str">
            <v>RB03</v>
          </cell>
        </row>
        <row r="822">
          <cell r="D822" t="str">
            <v>K9170</v>
          </cell>
          <cell r="F822" t="str">
            <v>RB05</v>
          </cell>
        </row>
        <row r="823">
          <cell r="D823" t="str">
            <v>K9171</v>
          </cell>
          <cell r="F823" t="str">
            <v>RB08</v>
          </cell>
        </row>
        <row r="824">
          <cell r="D824" t="str">
            <v>K9172</v>
          </cell>
          <cell r="F824" t="str">
            <v>RB16</v>
          </cell>
        </row>
        <row r="825">
          <cell r="D825" t="str">
            <v>K9173</v>
          </cell>
          <cell r="F825" t="str">
            <v>RB19</v>
          </cell>
        </row>
        <row r="826">
          <cell r="D826" t="str">
            <v>K9174</v>
          </cell>
          <cell r="F826" t="str">
            <v>RB21</v>
          </cell>
        </row>
        <row r="827">
          <cell r="D827" t="str">
            <v>K9175</v>
          </cell>
          <cell r="F827" t="str">
            <v>RB22</v>
          </cell>
        </row>
        <row r="828">
          <cell r="D828" t="str">
            <v>K9176</v>
          </cell>
          <cell r="F828" t="str">
            <v>RB24</v>
          </cell>
        </row>
        <row r="829">
          <cell r="D829" t="str">
            <v>K9177</v>
          </cell>
          <cell r="F829" t="str">
            <v>RB26</v>
          </cell>
        </row>
        <row r="830">
          <cell r="D830" t="str">
            <v>K9178</v>
          </cell>
          <cell r="F830" t="str">
            <v>RC03</v>
          </cell>
        </row>
        <row r="831">
          <cell r="D831" t="str">
            <v>K9179</v>
          </cell>
          <cell r="F831" t="str">
            <v>RC05</v>
          </cell>
        </row>
        <row r="832">
          <cell r="D832" t="str">
            <v>K9180</v>
          </cell>
          <cell r="F832" t="str">
            <v>RC08</v>
          </cell>
        </row>
        <row r="833">
          <cell r="D833" t="str">
            <v>K9185</v>
          </cell>
          <cell r="F833" t="str">
            <v>RC09</v>
          </cell>
        </row>
        <row r="834">
          <cell r="D834" t="str">
            <v>K9186</v>
          </cell>
          <cell r="F834" t="str">
            <v>RC12</v>
          </cell>
        </row>
        <row r="835">
          <cell r="D835" t="str">
            <v>K9187</v>
          </cell>
          <cell r="F835" t="str">
            <v>RC14</v>
          </cell>
        </row>
        <row r="836">
          <cell r="D836" t="str">
            <v>K9188</v>
          </cell>
          <cell r="F836" t="str">
            <v>RC15</v>
          </cell>
        </row>
        <row r="837">
          <cell r="D837" t="str">
            <v>K9189</v>
          </cell>
          <cell r="F837" t="str">
            <v>RC21</v>
          </cell>
        </row>
        <row r="838">
          <cell r="D838" t="str">
            <v>K9190</v>
          </cell>
          <cell r="F838" t="str">
            <v>RC22</v>
          </cell>
        </row>
        <row r="839">
          <cell r="D839" t="str">
            <v>K9191</v>
          </cell>
          <cell r="F839" t="str">
            <v>RC24</v>
          </cell>
        </row>
        <row r="840">
          <cell r="D840" t="str">
            <v>K9192</v>
          </cell>
          <cell r="F840" t="str">
            <v>RC26</v>
          </cell>
        </row>
        <row r="841">
          <cell r="D841" t="str">
            <v>K9193</v>
          </cell>
          <cell r="F841" t="str">
            <v>RC28</v>
          </cell>
        </row>
        <row r="842">
          <cell r="D842" t="str">
            <v>K9194</v>
          </cell>
          <cell r="F842" t="str">
            <v>RC29</v>
          </cell>
        </row>
        <row r="843">
          <cell r="D843" t="str">
            <v>K9198</v>
          </cell>
          <cell r="F843" t="str">
            <v>RC30</v>
          </cell>
        </row>
        <row r="844">
          <cell r="D844" t="str">
            <v>K9201</v>
          </cell>
          <cell r="F844" t="str">
            <v>RC35</v>
          </cell>
        </row>
        <row r="845">
          <cell r="D845" t="str">
            <v>K9203</v>
          </cell>
          <cell r="F845" t="str">
            <v>RC36</v>
          </cell>
        </row>
        <row r="846">
          <cell r="D846" t="str">
            <v>K9204</v>
          </cell>
          <cell r="F846" t="str">
            <v>RF01</v>
          </cell>
        </row>
        <row r="847">
          <cell r="D847" t="str">
            <v>K9205</v>
          </cell>
          <cell r="F847" t="str">
            <v>RF03</v>
          </cell>
        </row>
        <row r="848">
          <cell r="D848" t="str">
            <v>K9206</v>
          </cell>
          <cell r="F848" t="str">
            <v>RF05</v>
          </cell>
        </row>
        <row r="849">
          <cell r="D849" t="str">
            <v>K9207</v>
          </cell>
          <cell r="F849" t="str">
            <v>RF06</v>
          </cell>
        </row>
        <row r="850">
          <cell r="D850" t="str">
            <v>K9208</v>
          </cell>
          <cell r="F850" t="str">
            <v>RF07</v>
          </cell>
        </row>
        <row r="851">
          <cell r="D851" t="str">
            <v>K9209</v>
          </cell>
          <cell r="F851" t="str">
            <v>RF08</v>
          </cell>
        </row>
        <row r="852">
          <cell r="D852" t="str">
            <v>K9216</v>
          </cell>
          <cell r="F852" t="str">
            <v>RF09</v>
          </cell>
        </row>
        <row r="853">
          <cell r="D853" t="str">
            <v>K9301</v>
          </cell>
          <cell r="F853" t="str">
            <v>RF11</v>
          </cell>
        </row>
        <row r="854">
          <cell r="D854" t="str">
            <v>K9304</v>
          </cell>
          <cell r="F854" t="str">
            <v>RF12</v>
          </cell>
        </row>
        <row r="855">
          <cell r="D855" t="str">
            <v>K9305</v>
          </cell>
          <cell r="F855" t="str">
            <v>RF13</v>
          </cell>
        </row>
        <row r="856">
          <cell r="D856" t="str">
            <v>K9307</v>
          </cell>
          <cell r="F856" t="str">
            <v>RF14</v>
          </cell>
        </row>
        <row r="857">
          <cell r="D857" t="str">
            <v>K9308</v>
          </cell>
          <cell r="F857" t="str">
            <v>RF15</v>
          </cell>
        </row>
        <row r="858">
          <cell r="D858" t="str">
            <v>K9309</v>
          </cell>
          <cell r="F858" t="str">
            <v>RF16</v>
          </cell>
        </row>
        <row r="859">
          <cell r="D859" t="str">
            <v>K9313</v>
          </cell>
          <cell r="F859" t="str">
            <v>RF17</v>
          </cell>
        </row>
        <row r="860">
          <cell r="D860" t="str">
            <v>K9314</v>
          </cell>
          <cell r="F860" t="str">
            <v>RF18</v>
          </cell>
        </row>
        <row r="861">
          <cell r="D861" t="str">
            <v>K9315</v>
          </cell>
          <cell r="F861" t="str">
            <v>RF19</v>
          </cell>
        </row>
        <row r="862">
          <cell r="D862" t="str">
            <v>K9317</v>
          </cell>
          <cell r="F862" t="str">
            <v>RF21</v>
          </cell>
        </row>
        <row r="863">
          <cell r="D863" t="str">
            <v>K9321</v>
          </cell>
          <cell r="F863" t="str">
            <v>RF22</v>
          </cell>
        </row>
        <row r="864">
          <cell r="D864" t="str">
            <v>K9401</v>
          </cell>
          <cell r="F864" t="str">
            <v>RF23</v>
          </cell>
        </row>
        <row r="865">
          <cell r="D865" t="str">
            <v>K9411</v>
          </cell>
          <cell r="F865" t="str">
            <v>RF24</v>
          </cell>
        </row>
        <row r="866">
          <cell r="D866" t="str">
            <v>K9412</v>
          </cell>
          <cell r="F866" t="str">
            <v>RF26</v>
          </cell>
        </row>
        <row r="867">
          <cell r="D867" t="str">
            <v>K9413</v>
          </cell>
          <cell r="F867" t="str">
            <v>RF28</v>
          </cell>
        </row>
        <row r="868">
          <cell r="D868" t="str">
            <v>K9414</v>
          </cell>
          <cell r="F868" t="str">
            <v>RF29</v>
          </cell>
        </row>
        <row r="869">
          <cell r="D869" t="str">
            <v>K9415</v>
          </cell>
          <cell r="F869" t="str">
            <v>RF30</v>
          </cell>
        </row>
        <row r="870">
          <cell r="D870" t="str">
            <v>K9416</v>
          </cell>
          <cell r="F870" t="str">
            <v>RF35</v>
          </cell>
        </row>
        <row r="871">
          <cell r="D871" t="str">
            <v>K9417</v>
          </cell>
          <cell r="F871" t="str">
            <v>RF36</v>
          </cell>
        </row>
        <row r="872">
          <cell r="D872" t="str">
            <v>K9418</v>
          </cell>
          <cell r="F872" t="str">
            <v>RF38</v>
          </cell>
        </row>
        <row r="873">
          <cell r="D873" t="str">
            <v>K9419</v>
          </cell>
          <cell r="F873" t="str">
            <v>RF40</v>
          </cell>
        </row>
        <row r="874">
          <cell r="D874" t="str">
            <v>K9420</v>
          </cell>
          <cell r="F874" t="str">
            <v>RF45</v>
          </cell>
        </row>
        <row r="875">
          <cell r="D875" t="str">
            <v>K9421</v>
          </cell>
          <cell r="F875" t="str">
            <v>RF50</v>
          </cell>
        </row>
        <row r="876">
          <cell r="D876" t="str">
            <v>K9422</v>
          </cell>
          <cell r="F876" t="str">
            <v>RF51</v>
          </cell>
        </row>
        <row r="877">
          <cell r="D877" t="str">
            <v>K9423</v>
          </cell>
          <cell r="F877" t="str">
            <v>RG02</v>
          </cell>
        </row>
        <row r="878">
          <cell r="D878" t="str">
            <v>K9424</v>
          </cell>
          <cell r="F878" t="str">
            <v>RG27</v>
          </cell>
        </row>
        <row r="879">
          <cell r="D879" t="str">
            <v>K9426</v>
          </cell>
          <cell r="F879" t="str">
            <v>RG30</v>
          </cell>
        </row>
        <row r="880">
          <cell r="D880" t="str">
            <v>K9427</v>
          </cell>
          <cell r="F880" t="str">
            <v>RG31</v>
          </cell>
        </row>
        <row r="881">
          <cell r="D881" t="str">
            <v>K9430</v>
          </cell>
          <cell r="F881" t="str">
            <v>RG32</v>
          </cell>
        </row>
        <row r="882">
          <cell r="D882" t="str">
            <v>K9434</v>
          </cell>
          <cell r="F882" t="str">
            <v>RG33</v>
          </cell>
        </row>
        <row r="883">
          <cell r="D883" t="str">
            <v>K9435</v>
          </cell>
          <cell r="F883" t="str">
            <v>RG34</v>
          </cell>
        </row>
        <row r="884">
          <cell r="D884" t="str">
            <v>K9436</v>
          </cell>
          <cell r="F884" t="str">
            <v>RG35</v>
          </cell>
        </row>
        <row r="885">
          <cell r="D885" t="str">
            <v>K9440</v>
          </cell>
          <cell r="F885" t="str">
            <v>RG38</v>
          </cell>
        </row>
        <row r="886">
          <cell r="D886" t="str">
            <v>K9441</v>
          </cell>
          <cell r="F886" t="str">
            <v>RH01</v>
          </cell>
        </row>
        <row r="887">
          <cell r="D887" t="str">
            <v>K9442</v>
          </cell>
          <cell r="F887" t="str">
            <v>RH02</v>
          </cell>
        </row>
        <row r="888">
          <cell r="D888" t="str">
            <v>K9446</v>
          </cell>
          <cell r="F888" t="str">
            <v>RN01</v>
          </cell>
        </row>
        <row r="889">
          <cell r="D889" t="str">
            <v>K9450</v>
          </cell>
          <cell r="F889" t="str">
            <v>RN02</v>
          </cell>
        </row>
        <row r="890">
          <cell r="D890" t="str">
            <v>K9454</v>
          </cell>
          <cell r="F890" t="str">
            <v>RN03</v>
          </cell>
        </row>
        <row r="891">
          <cell r="D891" t="str">
            <v>K9458</v>
          </cell>
          <cell r="F891" t="str">
            <v>RN23</v>
          </cell>
        </row>
        <row r="892">
          <cell r="D892" t="str">
            <v>K9459</v>
          </cell>
          <cell r="F892" t="str">
            <v>RN26</v>
          </cell>
        </row>
        <row r="893">
          <cell r="D893" t="str">
            <v>K9460</v>
          </cell>
          <cell r="F893" t="str">
            <v>RN34</v>
          </cell>
        </row>
        <row r="894">
          <cell r="D894" t="str">
            <v>K9461</v>
          </cell>
          <cell r="F894" t="str">
            <v>RN49</v>
          </cell>
        </row>
        <row r="895">
          <cell r="D895" t="str">
            <v>K9462</v>
          </cell>
          <cell r="F895" t="str">
            <v>RN52</v>
          </cell>
        </row>
        <row r="896">
          <cell r="D896" t="str">
            <v>K9463</v>
          </cell>
          <cell r="F896" t="str">
            <v>RN57</v>
          </cell>
        </row>
        <row r="897">
          <cell r="D897" t="str">
            <v>K9464</v>
          </cell>
          <cell r="F897" t="str">
            <v>RN60</v>
          </cell>
        </row>
        <row r="898">
          <cell r="D898" t="str">
            <v>K9465</v>
          </cell>
          <cell r="F898" t="str">
            <v>RN61</v>
          </cell>
        </row>
        <row r="899">
          <cell r="D899" t="str">
            <v>K9467</v>
          </cell>
          <cell r="F899" t="str">
            <v>RN62</v>
          </cell>
        </row>
        <row r="900">
          <cell r="D900" t="str">
            <v>K9468</v>
          </cell>
          <cell r="F900" t="str">
            <v>RN63</v>
          </cell>
        </row>
        <row r="901">
          <cell r="D901" t="str">
            <v>K9469</v>
          </cell>
          <cell r="F901" t="str">
            <v>RN64</v>
          </cell>
        </row>
        <row r="902">
          <cell r="D902" t="str">
            <v>K9470</v>
          </cell>
          <cell r="F902" t="str">
            <v>RN65</v>
          </cell>
        </row>
        <row r="903">
          <cell r="D903" t="str">
            <v>K9475</v>
          </cell>
          <cell r="F903" t="str">
            <v>RN66</v>
          </cell>
        </row>
        <row r="904">
          <cell r="D904" t="str">
            <v>K9476</v>
          </cell>
          <cell r="F904" t="str">
            <v>RN68</v>
          </cell>
        </row>
        <row r="905">
          <cell r="D905" t="str">
            <v>K9478</v>
          </cell>
          <cell r="F905" t="str">
            <v>RN69</v>
          </cell>
        </row>
        <row r="906">
          <cell r="D906" t="str">
            <v>K9479</v>
          </cell>
          <cell r="F906" t="str">
            <v>RN70</v>
          </cell>
        </row>
        <row r="907">
          <cell r="D907" t="str">
            <v>K9481</v>
          </cell>
          <cell r="F907" t="str">
            <v>RN71</v>
          </cell>
        </row>
        <row r="908">
          <cell r="D908" t="str">
            <v>K9484</v>
          </cell>
          <cell r="F908" t="str">
            <v>RN72</v>
          </cell>
        </row>
        <row r="909">
          <cell r="D909" t="str">
            <v>K9486</v>
          </cell>
          <cell r="F909" t="str">
            <v>RN73</v>
          </cell>
        </row>
        <row r="910">
          <cell r="D910" t="str">
            <v>K9489</v>
          </cell>
          <cell r="F910" t="str">
            <v>RN74</v>
          </cell>
        </row>
        <row r="911">
          <cell r="D911" t="str">
            <v>K9491</v>
          </cell>
          <cell r="F911" t="str">
            <v>RN75</v>
          </cell>
        </row>
        <row r="912">
          <cell r="D912" t="str">
            <v>K9492</v>
          </cell>
          <cell r="F912" t="str">
            <v>RN76</v>
          </cell>
        </row>
        <row r="913">
          <cell r="D913" t="str">
            <v>K9493</v>
          </cell>
          <cell r="F913" t="str">
            <v>RN77</v>
          </cell>
        </row>
        <row r="914">
          <cell r="D914" t="str">
            <v>K9494</v>
          </cell>
          <cell r="F914" t="str">
            <v>RN78</v>
          </cell>
        </row>
        <row r="915">
          <cell r="D915" t="str">
            <v>K9501</v>
          </cell>
          <cell r="F915" t="str">
            <v>RN79</v>
          </cell>
        </row>
        <row r="916">
          <cell r="D916" t="str">
            <v>K9502</v>
          </cell>
          <cell r="F916" t="str">
            <v>RN80</v>
          </cell>
        </row>
        <row r="917">
          <cell r="D917" t="str">
            <v>K9503</v>
          </cell>
          <cell r="F917" t="str">
            <v>RN81</v>
          </cell>
        </row>
        <row r="918">
          <cell r="D918" t="str">
            <v>K9504</v>
          </cell>
          <cell r="F918" t="str">
            <v>RN83</v>
          </cell>
        </row>
        <row r="919">
          <cell r="D919" t="str">
            <v>K9507</v>
          </cell>
          <cell r="F919" t="str">
            <v>RN84</v>
          </cell>
        </row>
        <row r="920">
          <cell r="D920" t="str">
            <v>K9508</v>
          </cell>
          <cell r="F920" t="str">
            <v>RN85</v>
          </cell>
        </row>
        <row r="921">
          <cell r="D921" t="str">
            <v>K9511</v>
          </cell>
          <cell r="F921" t="str">
            <v>RN86</v>
          </cell>
        </row>
        <row r="922">
          <cell r="D922" t="str">
            <v>K9512</v>
          </cell>
          <cell r="F922" t="str">
            <v>RN87</v>
          </cell>
        </row>
        <row r="923">
          <cell r="D923" t="str">
            <v>K9513</v>
          </cell>
          <cell r="F923" t="str">
            <v>RN88</v>
          </cell>
        </row>
        <row r="924">
          <cell r="D924" t="str">
            <v>K9514</v>
          </cell>
          <cell r="F924" t="str">
            <v>RN89</v>
          </cell>
        </row>
        <row r="925">
          <cell r="D925" t="str">
            <v>K9515</v>
          </cell>
          <cell r="F925" t="str">
            <v>RN90</v>
          </cell>
        </row>
        <row r="926">
          <cell r="D926" t="str">
            <v>K9516</v>
          </cell>
          <cell r="F926" t="str">
            <v>RN91</v>
          </cell>
        </row>
        <row r="927">
          <cell r="D927" t="str">
            <v>K9517</v>
          </cell>
          <cell r="F927" t="str">
            <v>RN92</v>
          </cell>
        </row>
        <row r="928">
          <cell r="D928" t="str">
            <v>K9518</v>
          </cell>
          <cell r="F928" t="str">
            <v>RN93</v>
          </cell>
        </row>
        <row r="929">
          <cell r="D929" t="str">
            <v>K9519</v>
          </cell>
          <cell r="F929" t="str">
            <v>RN94</v>
          </cell>
        </row>
        <row r="930">
          <cell r="D930" t="str">
            <v>K9520</v>
          </cell>
          <cell r="F930" t="str">
            <v>RN95</v>
          </cell>
        </row>
        <row r="931">
          <cell r="D931" t="str">
            <v>K9521</v>
          </cell>
          <cell r="F931" t="str">
            <v>RN96</v>
          </cell>
        </row>
        <row r="932">
          <cell r="D932" t="str">
            <v>K9522</v>
          </cell>
          <cell r="F932" t="str">
            <v>RN97</v>
          </cell>
        </row>
        <row r="933">
          <cell r="D933" t="str">
            <v>K9523</v>
          </cell>
          <cell r="F933" t="str">
            <v>RP09</v>
          </cell>
        </row>
        <row r="934">
          <cell r="D934" t="str">
            <v>K9526</v>
          </cell>
          <cell r="F934" t="str">
            <v>RQ01</v>
          </cell>
        </row>
        <row r="935">
          <cell r="D935" t="str">
            <v>K9527</v>
          </cell>
          <cell r="F935" t="str">
            <v>RQ02</v>
          </cell>
        </row>
        <row r="936">
          <cell r="D936" t="str">
            <v>K9530</v>
          </cell>
          <cell r="F936" t="str">
            <v>RQ03</v>
          </cell>
        </row>
        <row r="937">
          <cell r="D937" t="str">
            <v>K9533</v>
          </cell>
          <cell r="F937" t="str">
            <v>RQ04</v>
          </cell>
        </row>
        <row r="938">
          <cell r="D938" t="str">
            <v>K9534</v>
          </cell>
          <cell r="F938" t="str">
            <v>RQ05</v>
          </cell>
        </row>
        <row r="939">
          <cell r="D939" t="str">
            <v>K9535</v>
          </cell>
          <cell r="F939" t="str">
            <v>RQ06</v>
          </cell>
        </row>
        <row r="940">
          <cell r="D940" t="str">
            <v>K9536</v>
          </cell>
          <cell r="F940" t="str">
            <v>RQ07</v>
          </cell>
        </row>
        <row r="941">
          <cell r="D941" t="str">
            <v>K9540</v>
          </cell>
          <cell r="F941" t="str">
            <v>RQ09</v>
          </cell>
        </row>
        <row r="942">
          <cell r="D942" t="str">
            <v>K9541</v>
          </cell>
          <cell r="F942" t="str">
            <v>RQ10</v>
          </cell>
        </row>
        <row r="943">
          <cell r="D943" t="str">
            <v>K9542</v>
          </cell>
          <cell r="F943" t="str">
            <v>RR01</v>
          </cell>
        </row>
        <row r="944">
          <cell r="D944" t="str">
            <v>K9543</v>
          </cell>
          <cell r="F944" t="str">
            <v>RR02</v>
          </cell>
        </row>
        <row r="945">
          <cell r="D945" t="str">
            <v>K9544</v>
          </cell>
          <cell r="F945" t="str">
            <v>RR03</v>
          </cell>
        </row>
        <row r="946">
          <cell r="D946" t="str">
            <v>K9545</v>
          </cell>
          <cell r="F946" t="str">
            <v>RR04</v>
          </cell>
        </row>
        <row r="947">
          <cell r="D947" t="str">
            <v>K9546</v>
          </cell>
          <cell r="F947" t="str">
            <v>RR06</v>
          </cell>
        </row>
        <row r="948">
          <cell r="D948" t="str">
            <v>K9547</v>
          </cell>
          <cell r="F948" t="str">
            <v>RR07</v>
          </cell>
        </row>
        <row r="949">
          <cell r="D949" t="str">
            <v>K9548</v>
          </cell>
          <cell r="F949" t="str">
            <v>RR09</v>
          </cell>
        </row>
        <row r="950">
          <cell r="D950" t="str">
            <v>K9549</v>
          </cell>
          <cell r="F950" t="str">
            <v>RR10</v>
          </cell>
        </row>
        <row r="951">
          <cell r="D951" t="str">
            <v>K9550</v>
          </cell>
          <cell r="F951" t="str">
            <v>RR11</v>
          </cell>
        </row>
        <row r="952">
          <cell r="D952" t="str">
            <v>K9551</v>
          </cell>
          <cell r="F952" t="str">
            <v>RR12</v>
          </cell>
        </row>
        <row r="953">
          <cell r="D953" t="str">
            <v>K9552</v>
          </cell>
          <cell r="F953" t="str">
            <v>RR13</v>
          </cell>
        </row>
        <row r="954">
          <cell r="D954" t="str">
            <v>K9553</v>
          </cell>
          <cell r="F954" t="str">
            <v>RR14</v>
          </cell>
        </row>
        <row r="955">
          <cell r="D955" t="str">
            <v>K9555</v>
          </cell>
          <cell r="F955" t="str">
            <v>RR15</v>
          </cell>
        </row>
        <row r="956">
          <cell r="D956" t="str">
            <v>K9556</v>
          </cell>
          <cell r="F956" t="str">
            <v>RR16</v>
          </cell>
        </row>
        <row r="957">
          <cell r="D957" t="str">
            <v>K9562</v>
          </cell>
          <cell r="F957" t="str">
            <v>RR17</v>
          </cell>
        </row>
        <row r="958">
          <cell r="D958" t="str">
            <v>K9563</v>
          </cell>
          <cell r="F958" t="str">
            <v>RR18</v>
          </cell>
        </row>
        <row r="959">
          <cell r="D959" t="str">
            <v>K9565</v>
          </cell>
          <cell r="F959" t="str">
            <v>RR19</v>
          </cell>
        </row>
        <row r="960">
          <cell r="D960" t="str">
            <v>K9567</v>
          </cell>
          <cell r="F960" t="str">
            <v>RR20</v>
          </cell>
        </row>
        <row r="961">
          <cell r="D961" t="str">
            <v>K9568</v>
          </cell>
          <cell r="F961" t="str">
            <v>RR42</v>
          </cell>
        </row>
        <row r="962">
          <cell r="D962" t="str">
            <v>K9570</v>
          </cell>
          <cell r="F962" t="str">
            <v>RR43</v>
          </cell>
        </row>
        <row r="963">
          <cell r="D963" t="str">
            <v>K9571</v>
          </cell>
          <cell r="F963" t="str">
            <v>RS01</v>
          </cell>
        </row>
        <row r="964">
          <cell r="D964" t="str">
            <v>K9572</v>
          </cell>
          <cell r="F964" t="str">
            <v>RS02</v>
          </cell>
        </row>
        <row r="965">
          <cell r="D965" t="str">
            <v>K9573</v>
          </cell>
          <cell r="F965" t="str">
            <v>RS03</v>
          </cell>
        </row>
        <row r="966">
          <cell r="D966" t="str">
            <v>K9574</v>
          </cell>
          <cell r="F966" t="str">
            <v>RS04</v>
          </cell>
        </row>
        <row r="967">
          <cell r="D967" t="str">
            <v>K9575</v>
          </cell>
          <cell r="F967" t="str">
            <v>RS05</v>
          </cell>
        </row>
        <row r="968">
          <cell r="D968" t="str">
            <v>K9576</v>
          </cell>
          <cell r="F968" t="str">
            <v>RS06</v>
          </cell>
        </row>
        <row r="969">
          <cell r="D969" t="str">
            <v>K9578</v>
          </cell>
          <cell r="F969" t="str">
            <v>RS07</v>
          </cell>
        </row>
        <row r="970">
          <cell r="D970" t="str">
            <v>K9579</v>
          </cell>
          <cell r="F970" t="str">
            <v>RT02</v>
          </cell>
        </row>
        <row r="971">
          <cell r="D971" t="str">
            <v>K9581</v>
          </cell>
          <cell r="F971" t="str">
            <v>RT04</v>
          </cell>
        </row>
        <row r="972">
          <cell r="D972" t="str">
            <v>K9582</v>
          </cell>
          <cell r="F972" t="str">
            <v>RT06</v>
          </cell>
        </row>
        <row r="973">
          <cell r="D973" t="str">
            <v>K9587</v>
          </cell>
          <cell r="F973" t="str">
            <v>RV01</v>
          </cell>
        </row>
        <row r="974">
          <cell r="D974" t="str">
            <v>K9597</v>
          </cell>
          <cell r="F974" t="str">
            <v>RV02</v>
          </cell>
        </row>
        <row r="975">
          <cell r="D975" t="str">
            <v>K9598</v>
          </cell>
          <cell r="F975" t="str">
            <v>RV03</v>
          </cell>
        </row>
        <row r="976">
          <cell r="D976" t="str">
            <v>K9602</v>
          </cell>
          <cell r="F976" t="str">
            <v>RV04</v>
          </cell>
        </row>
        <row r="977">
          <cell r="D977" t="str">
            <v>K9603</v>
          </cell>
          <cell r="F977" t="str">
            <v>RV05</v>
          </cell>
        </row>
        <row r="978">
          <cell r="D978" t="str">
            <v>K9606</v>
          </cell>
          <cell r="F978" t="str">
            <v>RV06</v>
          </cell>
        </row>
        <row r="979">
          <cell r="D979" t="str">
            <v>K9608</v>
          </cell>
          <cell r="F979" t="str">
            <v>RV07</v>
          </cell>
        </row>
        <row r="980">
          <cell r="D980" t="str">
            <v>K9611</v>
          </cell>
          <cell r="F980" t="str">
            <v>RV08</v>
          </cell>
        </row>
        <row r="981">
          <cell r="D981" t="str">
            <v>K9801</v>
          </cell>
          <cell r="F981" t="str">
            <v>RV09</v>
          </cell>
        </row>
        <row r="982">
          <cell r="D982" t="str">
            <v>K9802</v>
          </cell>
          <cell r="F982" t="str">
            <v>RV10</v>
          </cell>
        </row>
        <row r="983">
          <cell r="D983" t="str">
            <v>K9812</v>
          </cell>
          <cell r="F983" t="str">
            <v>RV11</v>
          </cell>
        </row>
        <row r="984">
          <cell r="D984" t="str">
            <v>K9814</v>
          </cell>
          <cell r="F984" t="str">
            <v>RV12</v>
          </cell>
        </row>
        <row r="985">
          <cell r="D985" t="str">
            <v>K9815</v>
          </cell>
          <cell r="F985" t="str">
            <v>RV13</v>
          </cell>
        </row>
        <row r="986">
          <cell r="D986" t="str">
            <v>K9816</v>
          </cell>
          <cell r="F986" t="str">
            <v>RV14</v>
          </cell>
        </row>
        <row r="987">
          <cell r="D987" t="str">
            <v>K9817</v>
          </cell>
          <cell r="F987" t="str">
            <v>RV15</v>
          </cell>
        </row>
        <row r="988">
          <cell r="D988" t="str">
            <v>K9818</v>
          </cell>
          <cell r="F988" t="str">
            <v>RV16</v>
          </cell>
        </row>
        <row r="989">
          <cell r="D989" t="str">
            <v>K9821</v>
          </cell>
          <cell r="F989" t="str">
            <v>RV17</v>
          </cell>
        </row>
        <row r="990">
          <cell r="D990" t="str">
            <v>K9823</v>
          </cell>
          <cell r="F990" t="str">
            <v>RV18</v>
          </cell>
        </row>
        <row r="991">
          <cell r="D991" t="str">
            <v>K9824</v>
          </cell>
          <cell r="F991" t="str">
            <v>RV19</v>
          </cell>
        </row>
        <row r="992">
          <cell r="D992" t="str">
            <v>K9825</v>
          </cell>
          <cell r="F992" t="str">
            <v>RV20</v>
          </cell>
        </row>
        <row r="993">
          <cell r="D993" t="str">
            <v>K9830</v>
          </cell>
          <cell r="F993" t="str">
            <v>RV21</v>
          </cell>
        </row>
        <row r="994">
          <cell r="D994" t="str">
            <v>K9831</v>
          </cell>
          <cell r="F994" t="str">
            <v>RV22</v>
          </cell>
        </row>
        <row r="995">
          <cell r="D995" t="str">
            <v>K9833</v>
          </cell>
          <cell r="F995" t="str">
            <v>RV23</v>
          </cell>
        </row>
        <row r="996">
          <cell r="D996" t="str">
            <v>K9835</v>
          </cell>
          <cell r="F996" t="str">
            <v>RV24</v>
          </cell>
        </row>
        <row r="997">
          <cell r="D997" t="str">
            <v>K9900</v>
          </cell>
          <cell r="F997" t="str">
            <v>RV25</v>
          </cell>
        </row>
        <row r="998">
          <cell r="D998" t="str">
            <v>K9901</v>
          </cell>
          <cell r="F998" t="str">
            <v>RV26</v>
          </cell>
        </row>
        <row r="999">
          <cell r="D999" t="str">
            <v>K9902</v>
          </cell>
          <cell r="F999" t="str">
            <v>RV27</v>
          </cell>
        </row>
        <row r="1000">
          <cell r="D1000" t="str">
            <v>K9906</v>
          </cell>
          <cell r="F1000" t="str">
            <v>RV28</v>
          </cell>
        </row>
        <row r="1001">
          <cell r="D1001" t="str">
            <v>K9908</v>
          </cell>
          <cell r="F1001" t="str">
            <v>RV29</v>
          </cell>
        </row>
        <row r="1002">
          <cell r="D1002" t="str">
            <v>K9911</v>
          </cell>
          <cell r="F1002" t="str">
            <v>RV30</v>
          </cell>
        </row>
        <row r="1003">
          <cell r="D1003" t="str">
            <v>K9912</v>
          </cell>
          <cell r="F1003" t="str">
            <v>RV31</v>
          </cell>
        </row>
        <row r="1004">
          <cell r="D1004" t="str">
            <v>K9915</v>
          </cell>
          <cell r="F1004" t="str">
            <v>RV32</v>
          </cell>
        </row>
        <row r="1005">
          <cell r="D1005" t="str">
            <v>K9921</v>
          </cell>
          <cell r="F1005" t="str">
            <v>RV33</v>
          </cell>
        </row>
        <row r="1006">
          <cell r="D1006" t="str">
            <v>K9922</v>
          </cell>
          <cell r="F1006" t="str">
            <v>RV34</v>
          </cell>
        </row>
        <row r="1007">
          <cell r="D1007" t="str">
            <v>K9923</v>
          </cell>
          <cell r="F1007" t="str">
            <v>RV35</v>
          </cell>
        </row>
        <row r="1008">
          <cell r="D1008" t="str">
            <v>K9924</v>
          </cell>
          <cell r="F1008" t="str">
            <v>RV36</v>
          </cell>
        </row>
        <row r="1009">
          <cell r="D1009" t="str">
            <v>K9925</v>
          </cell>
          <cell r="F1009" t="str">
            <v>RV37</v>
          </cell>
        </row>
        <row r="1010">
          <cell r="D1010" t="str">
            <v>K9926</v>
          </cell>
          <cell r="F1010" t="str">
            <v>RV38</v>
          </cell>
        </row>
        <row r="1011">
          <cell r="D1011" t="str">
            <v>K9931</v>
          </cell>
          <cell r="F1011" t="str">
            <v>RV39</v>
          </cell>
        </row>
        <row r="1012">
          <cell r="D1012" t="str">
            <v>K9951</v>
          </cell>
          <cell r="F1012" t="str">
            <v>RV40</v>
          </cell>
        </row>
        <row r="1013">
          <cell r="D1013" t="str">
            <v>K9952</v>
          </cell>
          <cell r="F1013" t="str">
            <v>RV41</v>
          </cell>
        </row>
        <row r="1014">
          <cell r="D1014" t="str">
            <v>K9953</v>
          </cell>
          <cell r="F1014" t="str">
            <v>RV42</v>
          </cell>
        </row>
        <row r="1015">
          <cell r="D1015" t="str">
            <v>K9954</v>
          </cell>
          <cell r="F1015" t="str">
            <v>RV43</v>
          </cell>
        </row>
        <row r="1016">
          <cell r="D1016" t="str">
            <v>K9956</v>
          </cell>
          <cell r="F1016" t="str">
            <v>RV44</v>
          </cell>
        </row>
        <row r="1017">
          <cell r="D1017" t="str">
            <v>K9957</v>
          </cell>
          <cell r="F1017" t="str">
            <v>RV45</v>
          </cell>
        </row>
        <row r="1018">
          <cell r="D1018" t="str">
            <v>K9995</v>
          </cell>
          <cell r="F1018" t="str">
            <v>RV46</v>
          </cell>
        </row>
        <row r="1019">
          <cell r="D1019" t="str">
            <v>K9996</v>
          </cell>
          <cell r="F1019" t="str">
            <v>RV47</v>
          </cell>
        </row>
        <row r="1020">
          <cell r="D1020" t="str">
            <v>K9997</v>
          </cell>
          <cell r="F1020" t="str">
            <v>RV48</v>
          </cell>
        </row>
        <row r="1021">
          <cell r="D1021" t="str">
            <v>K9998</v>
          </cell>
          <cell r="F1021" t="str">
            <v>RV60</v>
          </cell>
        </row>
        <row r="1022">
          <cell r="D1022" t="str">
            <v>K9999</v>
          </cell>
          <cell r="F1022" t="str">
            <v>TA01</v>
          </cell>
        </row>
        <row r="1023">
          <cell r="D1023" t="str">
            <v>L9700</v>
          </cell>
          <cell r="F1023" t="str">
            <v>TA02</v>
          </cell>
        </row>
        <row r="1024">
          <cell r="D1024" t="str">
            <v>L9701</v>
          </cell>
          <cell r="F1024" t="str">
            <v>TA21</v>
          </cell>
        </row>
        <row r="1025">
          <cell r="D1025" t="str">
            <v>L9702</v>
          </cell>
          <cell r="F1025" t="str">
            <v>TA31</v>
          </cell>
        </row>
        <row r="1026">
          <cell r="D1026" t="str">
            <v>L9703</v>
          </cell>
          <cell r="F1026" t="str">
            <v>TF01</v>
          </cell>
        </row>
        <row r="1027">
          <cell r="D1027" t="str">
            <v>L9711</v>
          </cell>
          <cell r="F1027" t="str">
            <v>TG10</v>
          </cell>
        </row>
        <row r="1028">
          <cell r="D1028" t="str">
            <v>L9712</v>
          </cell>
          <cell r="F1028" t="str">
            <v>TG36</v>
          </cell>
        </row>
        <row r="1029">
          <cell r="D1029" t="str">
            <v>L9713</v>
          </cell>
          <cell r="F1029" t="str">
            <v>TG42</v>
          </cell>
        </row>
        <row r="1030">
          <cell r="D1030" t="str">
            <v>L9714</v>
          </cell>
          <cell r="F1030" t="str">
            <v>TG90</v>
          </cell>
        </row>
        <row r="1031">
          <cell r="D1031" t="str">
            <v>L9715</v>
          </cell>
          <cell r="F1031" t="str">
            <v>TG93</v>
          </cell>
        </row>
        <row r="1032">
          <cell r="D1032" t="str">
            <v>L9716</v>
          </cell>
          <cell r="F1032" t="str">
            <v>TG94</v>
          </cell>
        </row>
        <row r="1033">
          <cell r="D1033" t="str">
            <v>L9724</v>
          </cell>
          <cell r="F1033" t="str">
            <v>TG95</v>
          </cell>
        </row>
        <row r="1034">
          <cell r="D1034" t="str">
            <v>L9726</v>
          </cell>
          <cell r="F1034" t="str">
            <v>TG96</v>
          </cell>
        </row>
        <row r="1035">
          <cell r="D1035" t="str">
            <v>L9729</v>
          </cell>
          <cell r="F1035" t="str">
            <v>TG97</v>
          </cell>
        </row>
        <row r="1036">
          <cell r="D1036" t="str">
            <v>L9730</v>
          </cell>
          <cell r="F1036" t="str">
            <v>TG98</v>
          </cell>
        </row>
        <row r="1037">
          <cell r="D1037" t="str">
            <v>L9753</v>
          </cell>
          <cell r="F1037" t="str">
            <v>TG99</v>
          </cell>
        </row>
        <row r="1038">
          <cell r="D1038" t="str">
            <v>L9777</v>
          </cell>
          <cell r="F1038" t="str">
            <v>TP21</v>
          </cell>
        </row>
        <row r="1039">
          <cell r="D1039" t="str">
            <v>L9778</v>
          </cell>
          <cell r="F1039" t="str">
            <v>TP22</v>
          </cell>
        </row>
        <row r="1040">
          <cell r="D1040" t="str">
            <v>L9788</v>
          </cell>
          <cell r="F1040" t="str">
            <v>TP31</v>
          </cell>
        </row>
        <row r="1041">
          <cell r="D1041" t="str">
            <v>L9798</v>
          </cell>
          <cell r="F1041" t="str">
            <v>TP90</v>
          </cell>
        </row>
        <row r="1042">
          <cell r="D1042" t="str">
            <v>L9CAP</v>
          </cell>
          <cell r="F1042" t="str">
            <v>TP94</v>
          </cell>
        </row>
        <row r="1043">
          <cell r="D1043" t="str">
            <v>L9GFU</v>
          </cell>
          <cell r="F1043" t="str">
            <v>TR21</v>
          </cell>
        </row>
        <row r="1044">
          <cell r="D1044" t="str">
            <v>L9HRA</v>
          </cell>
          <cell r="F1044" t="str">
            <v>TR22</v>
          </cell>
        </row>
        <row r="1045">
          <cell r="F1045" t="str">
            <v>TR31</v>
          </cell>
        </row>
        <row r="1046">
          <cell r="F1046" t="str">
            <v>TR32</v>
          </cell>
        </row>
        <row r="1047">
          <cell r="F1047" t="str">
            <v>TR49</v>
          </cell>
        </row>
        <row r="1048">
          <cell r="F1048" t="str">
            <v>TR50</v>
          </cell>
        </row>
        <row r="1049">
          <cell r="F1049" t="str">
            <v>TR51</v>
          </cell>
        </row>
        <row r="1050">
          <cell r="F1050" t="str">
            <v>TR90</v>
          </cell>
        </row>
        <row r="1051">
          <cell r="F1051" t="str">
            <v>TR91</v>
          </cell>
        </row>
        <row r="1052">
          <cell r="F1052" t="str">
            <v>TR94</v>
          </cell>
        </row>
        <row r="1053">
          <cell r="F1053" t="str">
            <v>TS01</v>
          </cell>
        </row>
        <row r="1054">
          <cell r="F1054" t="str">
            <v>TS21</v>
          </cell>
        </row>
        <row r="1055">
          <cell r="F1055" t="str">
            <v>TS22</v>
          </cell>
        </row>
        <row r="1056">
          <cell r="F1056" t="str">
            <v>TS90</v>
          </cell>
        </row>
        <row r="1057">
          <cell r="F1057" t="str">
            <v>TS94</v>
          </cell>
        </row>
        <row r="1058">
          <cell r="F1058" t="str">
            <v>TU01</v>
          </cell>
        </row>
        <row r="1059">
          <cell r="F1059" t="str">
            <v>TU02</v>
          </cell>
        </row>
        <row r="1060">
          <cell r="F1060" t="str">
            <v>TU03</v>
          </cell>
        </row>
        <row r="1061">
          <cell r="F1061" t="str">
            <v>TU04</v>
          </cell>
        </row>
        <row r="1062">
          <cell r="F1062" t="str">
            <v>TU11</v>
          </cell>
        </row>
        <row r="1063">
          <cell r="F1063" t="str">
            <v>TU21</v>
          </cell>
        </row>
        <row r="1064">
          <cell r="F1064" t="str">
            <v>TU22</v>
          </cell>
        </row>
        <row r="1065">
          <cell r="F1065" t="str">
            <v>TU25</v>
          </cell>
        </row>
        <row r="1066">
          <cell r="F1066" t="str">
            <v>TU31</v>
          </cell>
        </row>
        <row r="1067">
          <cell r="F1067" t="str">
            <v>TU32</v>
          </cell>
        </row>
        <row r="1068">
          <cell r="F1068" t="str">
            <v>TU41</v>
          </cell>
        </row>
        <row r="1069">
          <cell r="F1069" t="str">
            <v>TU51</v>
          </cell>
        </row>
        <row r="1070">
          <cell r="F1070" t="str">
            <v>TU61</v>
          </cell>
        </row>
        <row r="1071">
          <cell r="F1071" t="str">
            <v>TU90</v>
          </cell>
        </row>
        <row r="1072">
          <cell r="F1072" t="str">
            <v>TU91</v>
          </cell>
        </row>
        <row r="1073">
          <cell r="F1073" t="str">
            <v>TU92</v>
          </cell>
        </row>
        <row r="1074">
          <cell r="F1074" t="str">
            <v>TU93</v>
          </cell>
        </row>
        <row r="1075">
          <cell r="F1075" t="str">
            <v>TU94</v>
          </cell>
        </row>
        <row r="1076">
          <cell r="F1076" t="str">
            <v>TU95</v>
          </cell>
        </row>
        <row r="1077">
          <cell r="F1077" t="str">
            <v>TU96</v>
          </cell>
        </row>
        <row r="1078">
          <cell r="F1078" t="str">
            <v>TU97</v>
          </cell>
        </row>
        <row r="1079">
          <cell r="F1079" t="str">
            <v>TU98</v>
          </cell>
        </row>
        <row r="1080">
          <cell r="F1080" t="str">
            <v>TU99</v>
          </cell>
        </row>
        <row r="1081">
          <cell r="F1081" t="str">
            <v>VA01</v>
          </cell>
        </row>
        <row r="1082">
          <cell r="F1082" t="str">
            <v>VA04</v>
          </cell>
        </row>
        <row r="1083">
          <cell r="F1083" t="str">
            <v>VA05</v>
          </cell>
        </row>
        <row r="1084">
          <cell r="F1084" t="str">
            <v>VA06</v>
          </cell>
        </row>
        <row r="1085">
          <cell r="F1085" t="str">
            <v>VB11</v>
          </cell>
        </row>
        <row r="1086">
          <cell r="F1086" t="str">
            <v>VC01</v>
          </cell>
        </row>
        <row r="1087">
          <cell r="F1087" t="str">
            <v>VD11</v>
          </cell>
        </row>
        <row r="1088">
          <cell r="F1088" t="str">
            <v>VD12</v>
          </cell>
        </row>
        <row r="1089">
          <cell r="F1089" t="str">
            <v>VD13</v>
          </cell>
        </row>
        <row r="1090">
          <cell r="F1090" t="str">
            <v>VD14</v>
          </cell>
        </row>
        <row r="1091">
          <cell r="F1091" t="str">
            <v>VD15</v>
          </cell>
        </row>
        <row r="1092">
          <cell r="F1092" t="str">
            <v>VD16</v>
          </cell>
        </row>
        <row r="1093">
          <cell r="F1093" t="str">
            <v>VD22</v>
          </cell>
        </row>
        <row r="1094">
          <cell r="F1094" t="str">
            <v>VF01</v>
          </cell>
        </row>
        <row r="1095">
          <cell r="F1095" t="str">
            <v>WA01</v>
          </cell>
        </row>
        <row r="1096">
          <cell r="F1096" t="str">
            <v>WA02</v>
          </cell>
        </row>
        <row r="1097">
          <cell r="F1097" t="str">
            <v>WA03</v>
          </cell>
        </row>
        <row r="1098">
          <cell r="F1098" t="str">
            <v>WA04</v>
          </cell>
        </row>
        <row r="1099">
          <cell r="F1099" t="str">
            <v>WB01</v>
          </cell>
        </row>
        <row r="1100">
          <cell r="F1100" t="str">
            <v>WC62</v>
          </cell>
        </row>
        <row r="1101">
          <cell r="F1101" t="str">
            <v>WD01</v>
          </cell>
        </row>
        <row r="1102">
          <cell r="F1102" t="str">
            <v>WE01</v>
          </cell>
        </row>
        <row r="1103">
          <cell r="F1103" t="str">
            <v>WF11</v>
          </cell>
        </row>
        <row r="1104">
          <cell r="F1104" t="str">
            <v>WF12</v>
          </cell>
        </row>
        <row r="1105">
          <cell r="F1105" t="str">
            <v>WF13</v>
          </cell>
        </row>
        <row r="1106">
          <cell r="F1106" t="str">
            <v>WF14</v>
          </cell>
        </row>
        <row r="1107">
          <cell r="F1107" t="str">
            <v>WF19</v>
          </cell>
        </row>
        <row r="1108">
          <cell r="F1108" t="str">
            <v>WF20</v>
          </cell>
        </row>
        <row r="1109">
          <cell r="F1109" t="str">
            <v>WF22</v>
          </cell>
        </row>
        <row r="1110">
          <cell r="F1110" t="str">
            <v>WF27</v>
          </cell>
        </row>
        <row r="1111">
          <cell r="F1111" t="str">
            <v>WF29</v>
          </cell>
        </row>
        <row r="1112">
          <cell r="F1112" t="str">
            <v>WF30</v>
          </cell>
        </row>
        <row r="1113">
          <cell r="F1113" t="str">
            <v>WF31</v>
          </cell>
        </row>
        <row r="1114">
          <cell r="F1114" t="str">
            <v>WF32</v>
          </cell>
        </row>
        <row r="1115">
          <cell r="F1115" t="str">
            <v>WF41</v>
          </cell>
        </row>
        <row r="1116">
          <cell r="F1116" t="str">
            <v>WF43</v>
          </cell>
        </row>
        <row r="1117">
          <cell r="F1117" t="str">
            <v>WG01</v>
          </cell>
        </row>
        <row r="1118">
          <cell r="F1118" t="str">
            <v>WH01</v>
          </cell>
        </row>
        <row r="1119">
          <cell r="F1119" t="str">
            <v>WJ01</v>
          </cell>
        </row>
        <row r="1120">
          <cell r="F1120" t="str">
            <v>WK01</v>
          </cell>
        </row>
        <row r="1121">
          <cell r="F1121" t="str">
            <v>WM01</v>
          </cell>
        </row>
        <row r="1122">
          <cell r="F1122" t="str">
            <v>WN62</v>
          </cell>
        </row>
        <row r="1123">
          <cell r="F1123" t="str">
            <v>WP62</v>
          </cell>
        </row>
        <row r="1124">
          <cell r="F1124" t="str">
            <v>WQ01</v>
          </cell>
        </row>
        <row r="1125">
          <cell r="F1125" t="str">
            <v>WR01</v>
          </cell>
        </row>
        <row r="1126">
          <cell r="F1126" t="str">
            <v>WR51</v>
          </cell>
        </row>
        <row r="1127">
          <cell r="F1127" t="str">
            <v>WR53</v>
          </cell>
        </row>
        <row r="1128">
          <cell r="F1128" t="str">
            <v>WR54</v>
          </cell>
        </row>
        <row r="1129">
          <cell r="F1129" t="str">
            <v>WR55</v>
          </cell>
        </row>
        <row r="1130">
          <cell r="F1130" t="str">
            <v>WR60</v>
          </cell>
        </row>
        <row r="1131">
          <cell r="F1131" t="str">
            <v>WR62</v>
          </cell>
        </row>
        <row r="1132">
          <cell r="F1132" t="str">
            <v>WR63</v>
          </cell>
        </row>
        <row r="1133">
          <cell r="F1133" t="str">
            <v>WR65</v>
          </cell>
        </row>
        <row r="1134">
          <cell r="F1134" t="str">
            <v>WR66</v>
          </cell>
        </row>
        <row r="1135">
          <cell r="F1135" t="str">
            <v>WR67</v>
          </cell>
        </row>
        <row r="1136">
          <cell r="F1136" t="str">
            <v>WR68</v>
          </cell>
        </row>
        <row r="1137">
          <cell r="F1137" t="str">
            <v>WS11</v>
          </cell>
        </row>
        <row r="1138">
          <cell r="F1138" t="str">
            <v>WS12</v>
          </cell>
        </row>
        <row r="1139">
          <cell r="F1139" t="str">
            <v>WT12</v>
          </cell>
        </row>
        <row r="1140">
          <cell r="F1140" t="str">
            <v>WX13</v>
          </cell>
        </row>
        <row r="1141">
          <cell r="F1141" t="str">
            <v>WX14</v>
          </cell>
        </row>
        <row r="1142">
          <cell r="F1142" t="str">
            <v>XA01</v>
          </cell>
        </row>
        <row r="1143">
          <cell r="F1143" t="str">
            <v>XB02</v>
          </cell>
        </row>
        <row r="1144">
          <cell r="F1144" t="str">
            <v>XC01</v>
          </cell>
        </row>
        <row r="1145">
          <cell r="F1145" t="str">
            <v>XW01</v>
          </cell>
        </row>
        <row r="1146">
          <cell r="F1146" t="str">
            <v>YA01</v>
          </cell>
        </row>
        <row r="1147">
          <cell r="F1147" t="str">
            <v>YA02</v>
          </cell>
        </row>
        <row r="1148">
          <cell r="F1148" t="str">
            <v>YB03</v>
          </cell>
        </row>
        <row r="1149">
          <cell r="F1149" t="str">
            <v>YB04</v>
          </cell>
        </row>
        <row r="1150">
          <cell r="F1150" t="str">
            <v>YB05</v>
          </cell>
        </row>
        <row r="1151">
          <cell r="F1151" t="str">
            <v>YB06</v>
          </cell>
        </row>
        <row r="1152">
          <cell r="F1152" t="str">
            <v>YB07</v>
          </cell>
        </row>
        <row r="1153">
          <cell r="F1153" t="str">
            <v>YB09</v>
          </cell>
        </row>
        <row r="1154">
          <cell r="F1154" t="str">
            <v>YB10</v>
          </cell>
        </row>
        <row r="1155">
          <cell r="F1155" t="str">
            <v>ZA01</v>
          </cell>
        </row>
        <row r="1156">
          <cell r="F1156" t="str">
            <v>ZA02</v>
          </cell>
        </row>
        <row r="1157">
          <cell r="F1157" t="str">
            <v>ZA06</v>
          </cell>
        </row>
        <row r="1158">
          <cell r="F1158" t="str">
            <v>ZA07</v>
          </cell>
        </row>
        <row r="1159">
          <cell r="F1159" t="str">
            <v>ZA11</v>
          </cell>
        </row>
        <row r="1160">
          <cell r="F1160" t="str">
            <v>ZA12</v>
          </cell>
        </row>
        <row r="1161">
          <cell r="F1161" t="str">
            <v>ZA13</v>
          </cell>
        </row>
        <row r="1162">
          <cell r="F1162" t="str">
            <v>ZA14</v>
          </cell>
        </row>
        <row r="1163">
          <cell r="F1163" t="str">
            <v>ZB01</v>
          </cell>
        </row>
        <row r="1164">
          <cell r="F1164" t="str">
            <v>ZB02</v>
          </cell>
        </row>
        <row r="1165">
          <cell r="F1165" t="str">
            <v>ZB03</v>
          </cell>
        </row>
        <row r="1166">
          <cell r="F1166" t="str">
            <v>ZB04</v>
          </cell>
        </row>
        <row r="1167">
          <cell r="F1167" t="str">
            <v>ZB05</v>
          </cell>
        </row>
        <row r="1168">
          <cell r="F1168" t="str">
            <v>ZB06</v>
          </cell>
        </row>
        <row r="1169">
          <cell r="F1169" t="str">
            <v>ZB07</v>
          </cell>
        </row>
        <row r="1170">
          <cell r="F1170" t="str">
            <v>ZB08</v>
          </cell>
        </row>
        <row r="1171">
          <cell r="F1171" t="str">
            <v>ZB09</v>
          </cell>
        </row>
        <row r="1172">
          <cell r="F1172" t="str">
            <v>ZB11</v>
          </cell>
        </row>
        <row r="1173">
          <cell r="F1173" t="str">
            <v>ZB12</v>
          </cell>
        </row>
        <row r="1174">
          <cell r="F1174" t="str">
            <v>ZB13</v>
          </cell>
        </row>
        <row r="1175">
          <cell r="F1175" t="str">
            <v>ZB14</v>
          </cell>
        </row>
        <row r="1176">
          <cell r="F1176" t="str">
            <v>ZB15</v>
          </cell>
        </row>
        <row r="1177">
          <cell r="F1177" t="str">
            <v>ZB16</v>
          </cell>
        </row>
        <row r="1178">
          <cell r="F1178" t="str">
            <v>ZB17</v>
          </cell>
        </row>
        <row r="1179">
          <cell r="F1179" t="str">
            <v>ZB18</v>
          </cell>
        </row>
        <row r="1180">
          <cell r="F1180" t="str">
            <v>ZB19</v>
          </cell>
        </row>
        <row r="1181">
          <cell r="F1181" t="str">
            <v>ZB20</v>
          </cell>
        </row>
        <row r="1182">
          <cell r="F1182" t="str">
            <v>ZB21</v>
          </cell>
        </row>
        <row r="1183">
          <cell r="F1183" t="str">
            <v>ZB22</v>
          </cell>
        </row>
        <row r="1184">
          <cell r="F1184" t="str">
            <v>ZB23</v>
          </cell>
        </row>
        <row r="1185">
          <cell r="F1185" t="str">
            <v>ZB24</v>
          </cell>
        </row>
        <row r="1186">
          <cell r="F1186" t="str">
            <v>ZB25</v>
          </cell>
        </row>
        <row r="1187">
          <cell r="F1187" t="str">
            <v>ZB26</v>
          </cell>
        </row>
        <row r="1188">
          <cell r="F1188" t="str">
            <v>ZB27</v>
          </cell>
        </row>
        <row r="1189">
          <cell r="F1189" t="str">
            <v>ZC02</v>
          </cell>
        </row>
        <row r="1190">
          <cell r="F1190" t="str">
            <v>ZC13</v>
          </cell>
        </row>
        <row r="1191">
          <cell r="F1191" t="str">
            <v>ZC18</v>
          </cell>
        </row>
        <row r="1192">
          <cell r="F1192" t="str">
            <v>ZC20</v>
          </cell>
        </row>
        <row r="1193">
          <cell r="F1193" t="str">
            <v>ZC21</v>
          </cell>
        </row>
        <row r="1194">
          <cell r="F1194" t="str">
            <v>ZE01</v>
          </cell>
        </row>
        <row r="1195">
          <cell r="F1195" t="str">
            <v>ZE02</v>
          </cell>
        </row>
        <row r="1196">
          <cell r="F1196" t="str">
            <v>ZE04</v>
          </cell>
        </row>
        <row r="1197">
          <cell r="F1197" t="str">
            <v>ZE05</v>
          </cell>
        </row>
        <row r="1198">
          <cell r="F1198" t="str">
            <v>ZE06</v>
          </cell>
        </row>
        <row r="1199">
          <cell r="F1199" t="str">
            <v>ZE07</v>
          </cell>
        </row>
        <row r="1200">
          <cell r="F1200" t="str">
            <v>ZE08</v>
          </cell>
        </row>
        <row r="1201">
          <cell r="F1201" t="str">
            <v>ZE09</v>
          </cell>
        </row>
        <row r="1202">
          <cell r="F1202" t="str">
            <v>ZE10</v>
          </cell>
        </row>
        <row r="1203">
          <cell r="F1203" t="str">
            <v>ZE12</v>
          </cell>
        </row>
        <row r="1204">
          <cell r="F1204" t="str">
            <v>ZE13</v>
          </cell>
        </row>
        <row r="1205">
          <cell r="F1205" t="str">
            <v>ZE14</v>
          </cell>
        </row>
        <row r="1206">
          <cell r="F1206" t="str">
            <v>ZE15</v>
          </cell>
        </row>
        <row r="1207">
          <cell r="F1207" t="str">
            <v>ZG01</v>
          </cell>
        </row>
        <row r="1208">
          <cell r="F1208" t="str">
            <v>ZG02</v>
          </cell>
        </row>
        <row r="1209">
          <cell r="F1209" t="str">
            <v>ZG03</v>
          </cell>
        </row>
        <row r="1210">
          <cell r="F1210" t="str">
            <v>ZG04</v>
          </cell>
        </row>
        <row r="1211">
          <cell r="F1211" t="str">
            <v>ZG05</v>
          </cell>
        </row>
        <row r="1212">
          <cell r="F1212" t="str">
            <v>ZG07</v>
          </cell>
        </row>
        <row r="1213">
          <cell r="F1213" t="str">
            <v>ZG08</v>
          </cell>
        </row>
        <row r="1214">
          <cell r="F1214" t="str">
            <v>ZG09</v>
          </cell>
        </row>
        <row r="1215">
          <cell r="F1215" t="str">
            <v>ZG10</v>
          </cell>
        </row>
        <row r="1216">
          <cell r="F1216" t="str">
            <v>ZG11</v>
          </cell>
        </row>
        <row r="1217">
          <cell r="F1217" t="str">
            <v>ZG12</v>
          </cell>
        </row>
        <row r="1218">
          <cell r="F1218" t="str">
            <v>ZG13</v>
          </cell>
        </row>
        <row r="1219">
          <cell r="F1219" t="str">
            <v>ZG14</v>
          </cell>
        </row>
        <row r="1220">
          <cell r="F1220" t="str">
            <v>ZG15</v>
          </cell>
        </row>
        <row r="1221">
          <cell r="F1221" t="str">
            <v>ZG16</v>
          </cell>
        </row>
        <row r="1222">
          <cell r="F1222" t="str">
            <v>ZG17</v>
          </cell>
        </row>
        <row r="1223">
          <cell r="F1223" t="str">
            <v>ZG18</v>
          </cell>
        </row>
        <row r="1224">
          <cell r="F1224" t="str">
            <v>ZG19</v>
          </cell>
        </row>
        <row r="1225">
          <cell r="F1225" t="str">
            <v>ZG20</v>
          </cell>
        </row>
        <row r="1226">
          <cell r="F1226" t="str">
            <v>ZG21</v>
          </cell>
        </row>
        <row r="1227">
          <cell r="F1227" t="str">
            <v>ZG22</v>
          </cell>
        </row>
        <row r="1228">
          <cell r="F1228" t="str">
            <v>ZG23</v>
          </cell>
        </row>
        <row r="1229">
          <cell r="F1229" t="str">
            <v>ZG24</v>
          </cell>
        </row>
        <row r="1230">
          <cell r="F1230" t="str">
            <v>ZG25</v>
          </cell>
        </row>
        <row r="1231">
          <cell r="F1231" t="str">
            <v>ZG27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rs"/>
      <sheetName val="CAMAG Format"/>
      <sheetName val="Appendix B"/>
      <sheetName val="Budget 14-15 - 17-18 "/>
      <sheetName val="Agresso"/>
      <sheetName val="Profiles"/>
      <sheetName val="Historic Costs"/>
      <sheetName val="Slippage"/>
      <sheetName val="Sheet2"/>
      <sheetName val="Capital Receipts"/>
      <sheetName val="Funding"/>
      <sheetName val="DRF Movement"/>
      <sheetName val="Section 106"/>
      <sheetName val="Grants"/>
      <sheetName val="PO Movement"/>
      <sheetName val="Sheet1"/>
      <sheetName val="CE for 1516"/>
      <sheetName val="Sheet5"/>
      <sheetName val="Sheet3"/>
    </sheetNames>
    <sheetDataSet>
      <sheetData sheetId="0" refreshError="1"/>
      <sheetData sheetId="1" refreshError="1"/>
      <sheetData sheetId="2">
        <row r="1">
          <cell r="B1" t="str">
            <v>Capital Budget and Spend as at 31st August 2014</v>
          </cell>
        </row>
        <row r="3">
          <cell r="B3" t="str">
            <v>Capital Scheme</v>
          </cell>
          <cell r="C3" t="str">
            <v>Project Sponsor</v>
          </cell>
          <cell r="D3" t="str">
            <v>Project Manager</v>
          </cell>
          <cell r="E3" t="str">
            <v>2014/15 Budget Book</v>
          </cell>
          <cell r="F3" t="str">
            <v>Slippage Identified Quarter 4 2013/14</v>
          </cell>
          <cell r="G3" t="str">
            <v xml:space="preserve">2014/15 Budget with Carry Forwards </v>
          </cell>
          <cell r="H3" t="str">
            <v xml:space="preserve">Total Budget     </v>
          </cell>
          <cell r="I3" t="str">
            <v xml:space="preserve">Spend over Previous 5 Years        </v>
          </cell>
          <cell r="J3" t="str">
            <v xml:space="preserve">Budget Allocated to Future Years              </v>
          </cell>
          <cell r="K3" t="str">
            <v>Latest Budget 2014/15</v>
          </cell>
          <cell r="L3" t="str">
            <v>Spend to 31st August 2014</v>
          </cell>
          <cell r="M3" t="str">
            <v xml:space="preserve"> Profiled Budget</v>
          </cell>
          <cell r="N3" t="str">
            <v>Variance to Profiled Budget</v>
          </cell>
          <cell r="O3" t="str">
            <v>% Spend Against Latest Budget</v>
          </cell>
          <cell r="P3" t="str">
            <v>Projected Outturn at 31st August 2014</v>
          </cell>
          <cell r="Q3" t="str">
            <v>Outturn Variance to Latest Budget</v>
          </cell>
          <cell r="R3" t="str">
            <v>Outturn Variance due to Slippage</v>
          </cell>
          <cell r="S3" t="str">
            <v>Outurn variance due to Over/ Under spend</v>
          </cell>
        </row>
        <row r="4">
          <cell r="E4" t="str">
            <v>£</v>
          </cell>
          <cell r="G4" t="str">
            <v>£</v>
          </cell>
          <cell r="H4" t="str">
            <v>£</v>
          </cell>
          <cell r="I4" t="str">
            <v>£</v>
          </cell>
          <cell r="J4" t="str">
            <v>£</v>
          </cell>
          <cell r="K4" t="str">
            <v>£</v>
          </cell>
          <cell r="L4" t="str">
            <v>£</v>
          </cell>
          <cell r="M4" t="str">
            <v>£</v>
          </cell>
          <cell r="N4" t="str">
            <v>£</v>
          </cell>
          <cell r="P4" t="str">
            <v>£</v>
          </cell>
          <cell r="Q4" t="str">
            <v>£</v>
          </cell>
          <cell r="R4" t="str">
            <v>£</v>
          </cell>
          <cell r="S4" t="str">
            <v>£</v>
          </cell>
        </row>
        <row r="6">
          <cell r="A6" t="str">
            <v>B0075</v>
          </cell>
          <cell r="B6" t="str">
            <v>B0075 Stage 2 Museum of Oxford Development</v>
          </cell>
          <cell r="C6" t="str">
            <v>Peter McQuitty</v>
          </cell>
          <cell r="D6" t="str">
            <v>Ceri Gorton</v>
          </cell>
          <cell r="E6">
            <v>0</v>
          </cell>
          <cell r="F6">
            <v>0</v>
          </cell>
          <cell r="G6">
            <v>0</v>
          </cell>
          <cell r="H6">
            <v>89809.94</v>
          </cell>
          <cell r="I6">
            <v>62609.94</v>
          </cell>
          <cell r="J6">
            <v>0</v>
          </cell>
          <cell r="K6">
            <v>27200</v>
          </cell>
          <cell r="L6">
            <v>0</v>
          </cell>
          <cell r="M6">
            <v>0</v>
          </cell>
          <cell r="N6">
            <v>0</v>
          </cell>
          <cell r="O6">
            <v>0</v>
          </cell>
          <cell r="P6">
            <v>27200</v>
          </cell>
          <cell r="Q6">
            <v>0</v>
          </cell>
        </row>
        <row r="7">
          <cell r="A7" t="str">
            <v>G6013</v>
          </cell>
          <cell r="B7" t="str">
            <v>G6013 Superconnected Cities</v>
          </cell>
          <cell r="C7" t="str">
            <v>David Edwards</v>
          </cell>
          <cell r="D7" t="str">
            <v>Sebastian Johnson</v>
          </cell>
          <cell r="E7">
            <v>4675000</v>
          </cell>
          <cell r="F7">
            <v>298283.78000000026</v>
          </cell>
          <cell r="G7">
            <v>4973283.78</v>
          </cell>
          <cell r="H7">
            <v>4989000</v>
          </cell>
          <cell r="I7">
            <v>15716.22</v>
          </cell>
          <cell r="J7">
            <v>0</v>
          </cell>
          <cell r="K7">
            <v>4973283.78</v>
          </cell>
          <cell r="L7">
            <v>109225.48</v>
          </cell>
          <cell r="M7">
            <v>100000</v>
          </cell>
          <cell r="N7">
            <v>9225.4799999999959</v>
          </cell>
          <cell r="O7">
            <v>2.1962446711617165E-2</v>
          </cell>
          <cell r="P7">
            <v>4973283.78</v>
          </cell>
        </row>
        <row r="8">
          <cell r="A8" t="str">
            <v/>
          </cell>
        </row>
        <row r="9">
          <cell r="A9" t="str">
            <v>S01 P</v>
          </cell>
          <cell r="B9" t="str">
            <v>S01 Policy Culture &amp; Communications Total</v>
          </cell>
          <cell r="E9">
            <v>4675000</v>
          </cell>
          <cell r="F9">
            <v>298283.78000000026</v>
          </cell>
          <cell r="G9">
            <v>4973283.78</v>
          </cell>
          <cell r="H9">
            <v>5078809.9400000004</v>
          </cell>
          <cell r="I9">
            <v>78326.16</v>
          </cell>
          <cell r="J9">
            <v>0</v>
          </cell>
          <cell r="K9">
            <v>5000483.78</v>
          </cell>
          <cell r="L9">
            <v>109225.48</v>
          </cell>
          <cell r="M9">
            <v>100000</v>
          </cell>
          <cell r="N9">
            <v>9225.4799999999959</v>
          </cell>
          <cell r="O9">
            <v>2.1962446711617165E-2</v>
          </cell>
          <cell r="P9">
            <v>5000483.78</v>
          </cell>
          <cell r="Q9">
            <v>0</v>
          </cell>
          <cell r="R9">
            <v>0</v>
          </cell>
          <cell r="S9">
            <v>0</v>
          </cell>
        </row>
        <row r="10">
          <cell r="A10" t="str">
            <v/>
          </cell>
        </row>
        <row r="11">
          <cell r="A11" t="str">
            <v>C3039</v>
          </cell>
          <cell r="B11" t="str">
            <v>C3039 ICT Infrastructure</v>
          </cell>
          <cell r="C11" t="str">
            <v>Jane Lubbock</v>
          </cell>
          <cell r="D11" t="str">
            <v>Sean Green</v>
          </cell>
          <cell r="E11">
            <v>100000</v>
          </cell>
          <cell r="F11">
            <v>-71878.670000000013</v>
          </cell>
          <cell r="G11">
            <v>28121.329999999987</v>
          </cell>
          <cell r="H11">
            <v>2155155.85</v>
          </cell>
          <cell r="I11">
            <v>2075763.52</v>
          </cell>
          <cell r="J11">
            <v>0</v>
          </cell>
          <cell r="K11">
            <v>79392.329999999987</v>
          </cell>
          <cell r="L11">
            <v>23666.87</v>
          </cell>
          <cell r="M11">
            <v>20641.919999999998</v>
          </cell>
          <cell r="N11">
            <v>3024.9500000000007</v>
          </cell>
          <cell r="O11">
            <v>0.29810020690915612</v>
          </cell>
          <cell r="P11">
            <v>79392.329999999987</v>
          </cell>
          <cell r="Q11">
            <v>0</v>
          </cell>
        </row>
        <row r="12">
          <cell r="A12" t="str">
            <v>C3044</v>
          </cell>
          <cell r="B12" t="str">
            <v>C3044 Software Licences</v>
          </cell>
          <cell r="C12" t="str">
            <v>Jane Lubbock</v>
          </cell>
          <cell r="D12" t="str">
            <v>Sean Green</v>
          </cell>
          <cell r="E12">
            <v>177000</v>
          </cell>
          <cell r="F12">
            <v>-2402</v>
          </cell>
          <cell r="G12">
            <v>174598</v>
          </cell>
          <cell r="H12">
            <v>508045.88</v>
          </cell>
          <cell r="I12">
            <v>343968.88</v>
          </cell>
          <cell r="J12">
            <v>0</v>
          </cell>
          <cell r="K12">
            <v>164077</v>
          </cell>
          <cell r="L12">
            <v>164077</v>
          </cell>
          <cell r="M12">
            <v>164077</v>
          </cell>
          <cell r="N12">
            <v>0</v>
          </cell>
          <cell r="O12">
            <v>1</v>
          </cell>
          <cell r="P12">
            <v>164077</v>
          </cell>
          <cell r="Q12">
            <v>0</v>
          </cell>
        </row>
        <row r="13">
          <cell r="A13" t="str">
            <v>C3053</v>
          </cell>
          <cell r="B13" t="str">
            <v>C3053 New Council website in Drupal</v>
          </cell>
          <cell r="C13" t="str">
            <v>Jane Lubbock</v>
          </cell>
          <cell r="D13" t="str">
            <v>Sean Green</v>
          </cell>
          <cell r="E13">
            <v>15000</v>
          </cell>
          <cell r="F13">
            <v>0</v>
          </cell>
          <cell r="G13">
            <v>15000</v>
          </cell>
          <cell r="H13">
            <v>95000</v>
          </cell>
          <cell r="I13">
            <v>0</v>
          </cell>
          <cell r="J13">
            <v>0</v>
          </cell>
          <cell r="K13">
            <v>95000</v>
          </cell>
          <cell r="L13">
            <v>7386.8</v>
          </cell>
          <cell r="M13">
            <v>0</v>
          </cell>
          <cell r="N13">
            <v>7386.8</v>
          </cell>
          <cell r="O13">
            <v>7.7755789473684209E-2</v>
          </cell>
          <cell r="P13">
            <v>95000</v>
          </cell>
          <cell r="Q13">
            <v>0</v>
          </cell>
        </row>
        <row r="14">
          <cell r="A14" t="str">
            <v>C3054</v>
          </cell>
          <cell r="B14" t="str">
            <v xml:space="preserve">C3054 Purchase of web service (API's) </v>
          </cell>
          <cell r="C14" t="str">
            <v>Jane Lubbock</v>
          </cell>
          <cell r="D14" t="str">
            <v>Sean Green</v>
          </cell>
          <cell r="E14">
            <v>71000</v>
          </cell>
          <cell r="F14">
            <v>0</v>
          </cell>
          <cell r="G14">
            <v>71000</v>
          </cell>
          <cell r="H14">
            <v>84000</v>
          </cell>
          <cell r="I14">
            <v>0</v>
          </cell>
          <cell r="J14">
            <v>0</v>
          </cell>
          <cell r="K14">
            <v>84000</v>
          </cell>
          <cell r="L14">
            <v>0</v>
          </cell>
          <cell r="M14">
            <v>0</v>
          </cell>
          <cell r="N14">
            <v>0</v>
          </cell>
          <cell r="O14">
            <v>0</v>
          </cell>
          <cell r="P14">
            <v>84000</v>
          </cell>
          <cell r="Q14">
            <v>0</v>
          </cell>
        </row>
        <row r="15">
          <cell r="A15" t="str">
            <v>C3045</v>
          </cell>
          <cell r="B15" t="str">
            <v>C3045 Mobile Working</v>
          </cell>
          <cell r="C15" t="str">
            <v>Jane Lubbock</v>
          </cell>
          <cell r="D15" t="str">
            <v>Sean Green</v>
          </cell>
          <cell r="E15">
            <v>0</v>
          </cell>
          <cell r="F15">
            <v>92831.679999999993</v>
          </cell>
          <cell r="G15">
            <v>92831.679999999993</v>
          </cell>
          <cell r="H15">
            <v>98000</v>
          </cell>
          <cell r="I15">
            <v>5168.32</v>
          </cell>
          <cell r="J15">
            <v>0</v>
          </cell>
          <cell r="K15">
            <v>92831.679999999993</v>
          </cell>
          <cell r="L15">
            <v>6930</v>
          </cell>
          <cell r="M15">
            <v>0</v>
          </cell>
          <cell r="N15">
            <v>6930</v>
          </cell>
          <cell r="O15">
            <v>7.465123974918908E-2</v>
          </cell>
          <cell r="P15">
            <v>92831.679999999993</v>
          </cell>
          <cell r="Q15">
            <v>0</v>
          </cell>
        </row>
        <row r="16">
          <cell r="A16" t="str">
            <v>C3046</v>
          </cell>
          <cell r="B16" t="str">
            <v>C3046 System Integration Capability</v>
          </cell>
          <cell r="C16" t="str">
            <v>Jane Lubbock</v>
          </cell>
          <cell r="D16" t="str">
            <v>Sean Green</v>
          </cell>
          <cell r="E16">
            <v>0</v>
          </cell>
          <cell r="F16">
            <v>13000</v>
          </cell>
          <cell r="G16">
            <v>13000</v>
          </cell>
          <cell r="H16">
            <v>12000</v>
          </cell>
          <cell r="I16">
            <v>12000</v>
          </cell>
          <cell r="J16">
            <v>0</v>
          </cell>
          <cell r="K16">
            <v>0</v>
          </cell>
          <cell r="L16">
            <v>0</v>
          </cell>
          <cell r="M16">
            <v>0</v>
          </cell>
          <cell r="N16">
            <v>0</v>
          </cell>
          <cell r="O16">
            <v>0</v>
          </cell>
          <cell r="P16">
            <v>0</v>
          </cell>
          <cell r="Q16">
            <v>0</v>
          </cell>
        </row>
        <row r="17">
          <cell r="A17" t="str">
            <v>C3047</v>
          </cell>
          <cell r="B17" t="str">
            <v>C3047 Oracle 11g Upgrade</v>
          </cell>
          <cell r="C17" t="str">
            <v>Jane Lubbock</v>
          </cell>
          <cell r="D17" t="str">
            <v>Sean Green</v>
          </cell>
          <cell r="E17">
            <v>0</v>
          </cell>
          <cell r="F17">
            <v>25000</v>
          </cell>
          <cell r="G17">
            <v>25000</v>
          </cell>
          <cell r="H17">
            <v>25000</v>
          </cell>
          <cell r="I17">
            <v>0</v>
          </cell>
          <cell r="J17">
            <v>0</v>
          </cell>
          <cell r="K17">
            <v>25000</v>
          </cell>
          <cell r="L17">
            <v>0</v>
          </cell>
          <cell r="M17">
            <v>0</v>
          </cell>
          <cell r="N17">
            <v>0</v>
          </cell>
          <cell r="O17">
            <v>0</v>
          </cell>
          <cell r="P17">
            <v>25000</v>
          </cell>
          <cell r="Q17">
            <v>0</v>
          </cell>
        </row>
        <row r="18">
          <cell r="A18" t="str">
            <v>C3048</v>
          </cell>
          <cell r="B18" t="str">
            <v>C3048 Server 2008 Upgrade for Idox</v>
          </cell>
          <cell r="C18" t="str">
            <v>Jane Lubbock</v>
          </cell>
          <cell r="D18" t="str">
            <v>Sean Green</v>
          </cell>
          <cell r="E18">
            <v>0</v>
          </cell>
          <cell r="F18">
            <v>25000</v>
          </cell>
          <cell r="G18">
            <v>25000</v>
          </cell>
          <cell r="H18">
            <v>0</v>
          </cell>
          <cell r="I18">
            <v>0</v>
          </cell>
          <cell r="J18">
            <v>0</v>
          </cell>
          <cell r="K18">
            <v>0</v>
          </cell>
          <cell r="L18">
            <v>0</v>
          </cell>
          <cell r="M18">
            <v>0</v>
          </cell>
          <cell r="N18">
            <v>0</v>
          </cell>
          <cell r="O18">
            <v>0</v>
          </cell>
          <cell r="P18">
            <v>0</v>
          </cell>
          <cell r="Q18">
            <v>0</v>
          </cell>
        </row>
        <row r="19">
          <cell r="A19" t="str">
            <v>C3049</v>
          </cell>
          <cell r="B19" t="str">
            <v>C3049 Source Code Management</v>
          </cell>
          <cell r="C19" t="str">
            <v>Jane Lubbock</v>
          </cell>
          <cell r="D19" t="str">
            <v>Sean Green</v>
          </cell>
          <cell r="E19">
            <v>0</v>
          </cell>
          <cell r="F19">
            <v>15000</v>
          </cell>
          <cell r="G19">
            <v>15000</v>
          </cell>
          <cell r="H19">
            <v>27200</v>
          </cell>
          <cell r="I19">
            <v>0</v>
          </cell>
          <cell r="J19">
            <v>27200</v>
          </cell>
          <cell r="K19">
            <v>0</v>
          </cell>
          <cell r="L19">
            <v>0</v>
          </cell>
          <cell r="M19">
            <v>0</v>
          </cell>
          <cell r="N19">
            <v>0</v>
          </cell>
          <cell r="O19">
            <v>0</v>
          </cell>
          <cell r="P19">
            <v>0</v>
          </cell>
          <cell r="Q19">
            <v>0</v>
          </cell>
        </row>
        <row r="20">
          <cell r="A20" t="str">
            <v>C3050</v>
          </cell>
          <cell r="B20" t="str">
            <v>C3050 Tree Management Software</v>
          </cell>
          <cell r="C20" t="str">
            <v>Jane Lubbock</v>
          </cell>
          <cell r="D20" t="str">
            <v>Sean Green</v>
          </cell>
          <cell r="E20">
            <v>0</v>
          </cell>
          <cell r="F20">
            <v>750</v>
          </cell>
          <cell r="G20">
            <v>750</v>
          </cell>
          <cell r="H20">
            <v>4987533.78</v>
          </cell>
          <cell r="I20">
            <v>14250</v>
          </cell>
          <cell r="J20">
            <v>4973283.78</v>
          </cell>
          <cell r="K20">
            <v>0</v>
          </cell>
          <cell r="L20">
            <v>0</v>
          </cell>
          <cell r="M20">
            <v>0</v>
          </cell>
          <cell r="N20">
            <v>0</v>
          </cell>
          <cell r="O20">
            <v>0</v>
          </cell>
          <cell r="P20">
            <v>0</v>
          </cell>
          <cell r="Q20">
            <v>0</v>
          </cell>
        </row>
        <row r="21">
          <cell r="A21" t="str">
            <v/>
          </cell>
        </row>
        <row r="22">
          <cell r="A22" t="str">
            <v>S03 B</v>
          </cell>
          <cell r="B22" t="str">
            <v>S03 Business Improvement &amp; Technology Total</v>
          </cell>
          <cell r="E22">
            <v>363000</v>
          </cell>
          <cell r="F22">
            <v>97301.00999999998</v>
          </cell>
          <cell r="G22">
            <v>460301.00999999995</v>
          </cell>
          <cell r="H22">
            <v>7991935.5099999998</v>
          </cell>
          <cell r="I22">
            <v>2451150.7199999997</v>
          </cell>
          <cell r="J22">
            <v>5000483.78</v>
          </cell>
          <cell r="K22">
            <v>540301.01</v>
          </cell>
          <cell r="L22">
            <v>202060.66999999998</v>
          </cell>
          <cell r="M22">
            <v>184718.91999999998</v>
          </cell>
          <cell r="N22">
            <v>17341.75</v>
          </cell>
          <cell r="O22">
            <v>0.37397796091478708</v>
          </cell>
          <cell r="P22">
            <v>540301.01</v>
          </cell>
          <cell r="Q22">
            <v>0</v>
          </cell>
          <cell r="R22">
            <v>0</v>
          </cell>
          <cell r="S22">
            <v>0</v>
          </cell>
        </row>
        <row r="23">
          <cell r="A23" t="str">
            <v/>
          </cell>
        </row>
        <row r="24">
          <cell r="A24" t="str">
            <v>F1323</v>
          </cell>
          <cell r="B24" t="str">
            <v>F1323 Bridge Over Fiddlers Stream</v>
          </cell>
          <cell r="C24" t="str">
            <v>Michael Crofton-Briggs</v>
          </cell>
          <cell r="D24" t="str">
            <v>Steve Smith</v>
          </cell>
          <cell r="E24">
            <v>70000</v>
          </cell>
          <cell r="F24">
            <v>0</v>
          </cell>
          <cell r="G24">
            <v>70000</v>
          </cell>
          <cell r="H24">
            <v>260407.37</v>
          </cell>
          <cell r="I24">
            <v>181015.04000000001</v>
          </cell>
          <cell r="J24">
            <v>79392.329999999987</v>
          </cell>
          <cell r="K24">
            <v>0</v>
          </cell>
          <cell r="L24">
            <v>0</v>
          </cell>
          <cell r="M24">
            <v>0</v>
          </cell>
          <cell r="N24">
            <v>0</v>
          </cell>
          <cell r="O24">
            <v>0</v>
          </cell>
          <cell r="P24">
            <v>0</v>
          </cell>
          <cell r="Q24">
            <v>0</v>
          </cell>
        </row>
        <row r="25">
          <cell r="A25" t="str">
            <v>F6013</v>
          </cell>
          <cell r="B25" t="str">
            <v>F6013 Bullingdon Community Centre -Enhancement of Community Facilities</v>
          </cell>
          <cell r="C25" t="str">
            <v>Michael Crofton-Briggs</v>
          </cell>
          <cell r="D25" t="str">
            <v>Lorriane Freeman</v>
          </cell>
          <cell r="E25">
            <v>0</v>
          </cell>
          <cell r="F25">
            <v>894.72999999999979</v>
          </cell>
          <cell r="G25">
            <v>894.72999999999979</v>
          </cell>
          <cell r="H25">
            <v>194077</v>
          </cell>
          <cell r="I25">
            <v>29105.27</v>
          </cell>
          <cell r="J25">
            <v>164077</v>
          </cell>
          <cell r="K25">
            <v>894.72999999999979</v>
          </cell>
          <cell r="L25">
            <v>0</v>
          </cell>
          <cell r="M25">
            <v>0</v>
          </cell>
          <cell r="N25">
            <v>0</v>
          </cell>
          <cell r="O25">
            <v>0</v>
          </cell>
          <cell r="P25">
            <v>894.72999999999979</v>
          </cell>
          <cell r="Q25">
            <v>0</v>
          </cell>
        </row>
        <row r="26">
          <cell r="A26" t="str">
            <v>F7008</v>
          </cell>
          <cell r="B26" t="str">
            <v>F7008 Landscaping Work at Lamarsh Road</v>
          </cell>
          <cell r="C26" t="str">
            <v>Michael Crofton-Briggs</v>
          </cell>
          <cell r="D26" t="str">
            <v>Stewart Thorpe</v>
          </cell>
          <cell r="E26">
            <v>0</v>
          </cell>
          <cell r="F26">
            <v>1031.5600000000013</v>
          </cell>
          <cell r="G26">
            <v>1031.5600000000013</v>
          </cell>
          <cell r="H26">
            <v>112924</v>
          </cell>
          <cell r="I26">
            <v>16892.439999999999</v>
          </cell>
          <cell r="J26">
            <v>95000</v>
          </cell>
          <cell r="K26">
            <v>1031.5600000000013</v>
          </cell>
          <cell r="L26">
            <v>0</v>
          </cell>
          <cell r="M26">
            <v>0</v>
          </cell>
          <cell r="N26">
            <v>0</v>
          </cell>
          <cell r="O26">
            <v>0</v>
          </cell>
          <cell r="P26">
            <v>1031.5600000000013</v>
          </cell>
          <cell r="Q26">
            <v>0</v>
          </cell>
        </row>
        <row r="27">
          <cell r="A27" t="str">
            <v>F7006</v>
          </cell>
          <cell r="B27" t="str">
            <v>F7006 Work of Art - Littlemore</v>
          </cell>
          <cell r="C27" t="str">
            <v>Michael Crofton-Briggs</v>
          </cell>
          <cell r="D27" t="str">
            <v>Lorriane Freeman</v>
          </cell>
          <cell r="E27">
            <v>0</v>
          </cell>
          <cell r="F27">
            <v>1560</v>
          </cell>
          <cell r="G27">
            <v>1560</v>
          </cell>
          <cell r="H27">
            <v>85693</v>
          </cell>
          <cell r="I27">
            <v>133</v>
          </cell>
          <cell r="J27">
            <v>84000</v>
          </cell>
          <cell r="K27">
            <v>1560</v>
          </cell>
          <cell r="L27">
            <v>825</v>
          </cell>
          <cell r="M27">
            <v>780</v>
          </cell>
          <cell r="N27">
            <v>45</v>
          </cell>
          <cell r="O27">
            <v>0.52884615384615385</v>
          </cell>
          <cell r="P27">
            <v>1560</v>
          </cell>
          <cell r="Q27">
            <v>0</v>
          </cell>
        </row>
        <row r="28">
          <cell r="A28" t="str">
            <v>F7007</v>
          </cell>
          <cell r="B28" t="str">
            <v>F7007 Woodfarm / Headington Community Centre - Improvements</v>
          </cell>
          <cell r="C28" t="str">
            <v>Michael Crofton-Briggs</v>
          </cell>
          <cell r="D28" t="str">
            <v>Lorriane Freeman</v>
          </cell>
          <cell r="E28">
            <v>19887</v>
          </cell>
          <cell r="F28">
            <v>0</v>
          </cell>
          <cell r="G28">
            <v>19887</v>
          </cell>
          <cell r="H28">
            <v>92831.679999999993</v>
          </cell>
          <cell r="I28">
            <v>0</v>
          </cell>
          <cell r="J28">
            <v>92831.679999999993</v>
          </cell>
          <cell r="K28">
            <v>0</v>
          </cell>
          <cell r="L28">
            <v>0</v>
          </cell>
          <cell r="M28">
            <v>0</v>
          </cell>
          <cell r="N28">
            <v>0</v>
          </cell>
          <cell r="O28">
            <v>0</v>
          </cell>
          <cell r="P28">
            <v>0</v>
          </cell>
          <cell r="Q28">
            <v>0</v>
          </cell>
        </row>
        <row r="29">
          <cell r="A29" t="str">
            <v>F7009</v>
          </cell>
          <cell r="B29" t="str">
            <v>F7009 CCTV Gipsy Lane Campus</v>
          </cell>
          <cell r="C29" t="str">
            <v>Michael Crofton-Briggs</v>
          </cell>
          <cell r="D29" t="str">
            <v>Karen Crossan</v>
          </cell>
          <cell r="E29">
            <v>60000</v>
          </cell>
          <cell r="F29">
            <v>0</v>
          </cell>
          <cell r="G29">
            <v>60000</v>
          </cell>
          <cell r="H29">
            <v>0</v>
          </cell>
          <cell r="I29">
            <v>0</v>
          </cell>
          <cell r="J29">
            <v>0</v>
          </cell>
          <cell r="K29">
            <v>0</v>
          </cell>
          <cell r="L29">
            <v>0</v>
          </cell>
          <cell r="M29">
            <v>0</v>
          </cell>
          <cell r="N29">
            <v>0</v>
          </cell>
          <cell r="O29">
            <v>0</v>
          </cell>
          <cell r="P29">
            <v>0</v>
          </cell>
          <cell r="Q29">
            <v>0</v>
          </cell>
        </row>
        <row r="30">
          <cell r="A30" t="str">
            <v>F7011</v>
          </cell>
          <cell r="B30" t="str">
            <v>F7011 Headington Environmental Improvements</v>
          </cell>
          <cell r="C30" t="str">
            <v>Michael Crofton-Briggs</v>
          </cell>
          <cell r="D30" t="str">
            <v>Stewart Thorpe</v>
          </cell>
          <cell r="E30">
            <v>60000</v>
          </cell>
          <cell r="F30">
            <v>0</v>
          </cell>
          <cell r="G30">
            <v>60000</v>
          </cell>
          <cell r="H30">
            <v>85000</v>
          </cell>
          <cell r="I30">
            <v>0</v>
          </cell>
          <cell r="J30">
            <v>25000</v>
          </cell>
          <cell r="K30">
            <v>60000</v>
          </cell>
          <cell r="L30">
            <v>0</v>
          </cell>
          <cell r="M30">
            <v>0</v>
          </cell>
          <cell r="N30">
            <v>0</v>
          </cell>
          <cell r="O30">
            <v>0</v>
          </cell>
          <cell r="P30">
            <v>60000</v>
          </cell>
          <cell r="Q30">
            <v>0</v>
          </cell>
        </row>
        <row r="31">
          <cell r="A31" t="str">
            <v>F7012</v>
          </cell>
          <cell r="B31" t="str">
            <v>F7012 Rose Hill Recreation Ground Improvements</v>
          </cell>
          <cell r="C31" t="str">
            <v>Ian Brooke</v>
          </cell>
          <cell r="D31" t="str">
            <v>Ian Brooke</v>
          </cell>
          <cell r="E31">
            <v>3300</v>
          </cell>
          <cell r="F31">
            <v>0</v>
          </cell>
          <cell r="G31">
            <v>3300</v>
          </cell>
          <cell r="H31">
            <v>3300</v>
          </cell>
          <cell r="I31">
            <v>0</v>
          </cell>
          <cell r="J31">
            <v>0</v>
          </cell>
          <cell r="K31">
            <v>3300</v>
          </cell>
          <cell r="L31">
            <v>0</v>
          </cell>
          <cell r="M31">
            <v>0</v>
          </cell>
          <cell r="N31">
            <v>0</v>
          </cell>
          <cell r="O31">
            <v>0</v>
          </cell>
          <cell r="P31">
            <v>3300</v>
          </cell>
          <cell r="Q31">
            <v>0</v>
          </cell>
        </row>
        <row r="32">
          <cell r="A32" t="str">
            <v>F7019</v>
          </cell>
          <cell r="B32" t="str">
            <v>F7019 Work of Art Rose Hill</v>
          </cell>
          <cell r="C32" t="str">
            <v>Michael Crofton-Briggs</v>
          </cell>
          <cell r="D32" t="str">
            <v>Lorriane Freeman</v>
          </cell>
          <cell r="E32">
            <v>0</v>
          </cell>
          <cell r="F32">
            <v>2288</v>
          </cell>
          <cell r="G32">
            <v>2288</v>
          </cell>
          <cell r="H32">
            <v>12022.17</v>
          </cell>
          <cell r="I32">
            <v>12022.17</v>
          </cell>
          <cell r="J32">
            <v>0</v>
          </cell>
          <cell r="K32">
            <v>0</v>
          </cell>
          <cell r="L32">
            <v>0</v>
          </cell>
          <cell r="M32">
            <v>0</v>
          </cell>
          <cell r="N32">
            <v>0</v>
          </cell>
          <cell r="O32">
            <v>0</v>
          </cell>
          <cell r="P32">
            <v>0</v>
          </cell>
          <cell r="Q32">
            <v>0</v>
          </cell>
        </row>
        <row r="33">
          <cell r="A33" t="str">
            <v>F7020</v>
          </cell>
          <cell r="B33" t="str">
            <v>F7020 Work of Art Shotover View</v>
          </cell>
          <cell r="C33" t="str">
            <v>Michael Crofton-Briggs</v>
          </cell>
          <cell r="D33" t="str">
            <v>Lorriane Freeman</v>
          </cell>
          <cell r="E33">
            <v>14635</v>
          </cell>
          <cell r="F33">
            <v>0</v>
          </cell>
          <cell r="G33">
            <v>14635</v>
          </cell>
          <cell r="H33">
            <v>0</v>
          </cell>
          <cell r="I33">
            <v>0</v>
          </cell>
          <cell r="J33">
            <v>0</v>
          </cell>
          <cell r="K33">
            <v>0</v>
          </cell>
          <cell r="L33">
            <v>0</v>
          </cell>
          <cell r="M33">
            <v>0</v>
          </cell>
          <cell r="N33">
            <v>0</v>
          </cell>
          <cell r="O33">
            <v>0</v>
          </cell>
          <cell r="P33">
            <v>0</v>
          </cell>
          <cell r="Q33">
            <v>0</v>
          </cell>
        </row>
        <row r="34">
          <cell r="A34" t="str">
            <v>F7022</v>
          </cell>
          <cell r="B34" t="str">
            <v>F7022 Sunnymeade Park - Enhancement of Play Area Facilities</v>
          </cell>
          <cell r="C34" t="str">
            <v>Ian Brooke</v>
          </cell>
          <cell r="D34" t="str">
            <v>Ian Brooke</v>
          </cell>
          <cell r="E34">
            <v>1830</v>
          </cell>
          <cell r="F34">
            <v>0</v>
          </cell>
          <cell r="G34">
            <v>1830</v>
          </cell>
          <cell r="H34">
            <v>1830</v>
          </cell>
          <cell r="I34">
            <v>0</v>
          </cell>
          <cell r="K34">
            <v>1830</v>
          </cell>
          <cell r="L34">
            <v>0</v>
          </cell>
          <cell r="M34">
            <v>0</v>
          </cell>
          <cell r="N34">
            <v>0</v>
          </cell>
          <cell r="O34">
            <v>0</v>
          </cell>
          <cell r="P34">
            <v>1830</v>
          </cell>
          <cell r="Q34">
            <v>0</v>
          </cell>
        </row>
        <row r="35">
          <cell r="A35" t="str">
            <v>F7023</v>
          </cell>
          <cell r="B35" t="str">
            <v>F7023 Templars Square Public Safety Measures</v>
          </cell>
          <cell r="C35" t="str">
            <v>Michael Crofton-Briggs</v>
          </cell>
          <cell r="D35" t="str">
            <v>Lorriane Freeman</v>
          </cell>
          <cell r="E35">
            <v>10000</v>
          </cell>
          <cell r="F35">
            <v>0</v>
          </cell>
          <cell r="G35">
            <v>10000</v>
          </cell>
          <cell r="H35">
            <v>554813.01</v>
          </cell>
          <cell r="I35">
            <v>0</v>
          </cell>
          <cell r="J35">
            <v>540301.01</v>
          </cell>
          <cell r="K35">
            <v>14512</v>
          </cell>
          <cell r="L35">
            <v>14511.98</v>
          </cell>
          <cell r="M35">
            <v>14512</v>
          </cell>
          <cell r="N35">
            <v>-2.0000000000436557E-2</v>
          </cell>
          <cell r="O35">
            <v>0</v>
          </cell>
          <cell r="P35">
            <v>14512</v>
          </cell>
          <cell r="Q35">
            <v>0</v>
          </cell>
        </row>
        <row r="36">
          <cell r="A36" t="str">
            <v>F7024</v>
          </cell>
          <cell r="B36" t="str">
            <v>F7024 St Clements Environmental Improvements</v>
          </cell>
          <cell r="C36" t="str">
            <v>Michael Crofton-Briggs</v>
          </cell>
          <cell r="D36" t="str">
            <v>Lorriane Freeman</v>
          </cell>
          <cell r="E36">
            <v>60000</v>
          </cell>
          <cell r="F36">
            <v>0</v>
          </cell>
          <cell r="G36">
            <v>60000</v>
          </cell>
          <cell r="H36">
            <v>0</v>
          </cell>
          <cell r="I36">
            <v>0</v>
          </cell>
          <cell r="K36">
            <v>0</v>
          </cell>
          <cell r="L36">
            <v>0</v>
          </cell>
          <cell r="M36">
            <v>0</v>
          </cell>
          <cell r="N36">
            <v>0</v>
          </cell>
          <cell r="O36">
            <v>0</v>
          </cell>
          <cell r="P36">
            <v>0</v>
          </cell>
          <cell r="Q36">
            <v>0</v>
          </cell>
        </row>
        <row r="37">
          <cell r="A37" t="str">
            <v>M5014</v>
          </cell>
          <cell r="B37" t="str">
            <v>M5014 West End Partnership</v>
          </cell>
          <cell r="C37" t="str">
            <v>Michael Crofton-Briggs</v>
          </cell>
          <cell r="D37" t="str">
            <v>Michael Crofton-Briggs</v>
          </cell>
          <cell r="E37">
            <v>217225</v>
          </cell>
          <cell r="F37">
            <v>0</v>
          </cell>
          <cell r="G37">
            <v>217225</v>
          </cell>
          <cell r="H37">
            <v>1690749.3</v>
          </cell>
          <cell r="I37">
            <v>1355749.3</v>
          </cell>
          <cell r="J37">
            <v>0</v>
          </cell>
          <cell r="K37">
            <v>335000</v>
          </cell>
          <cell r="L37">
            <v>0</v>
          </cell>
          <cell r="M37">
            <v>0</v>
          </cell>
          <cell r="N37">
            <v>0</v>
          </cell>
          <cell r="O37">
            <v>0</v>
          </cell>
          <cell r="P37">
            <v>335000</v>
          </cell>
          <cell r="Q37">
            <v>0</v>
          </cell>
        </row>
        <row r="38">
          <cell r="A38" t="str">
            <v/>
          </cell>
          <cell r="J38">
            <v>894.72999999999979</v>
          </cell>
        </row>
        <row r="39">
          <cell r="A39" t="str">
            <v>S11 C</v>
          </cell>
          <cell r="B39" t="str">
            <v>S11 City Development Total</v>
          </cell>
          <cell r="E39">
            <v>516877</v>
          </cell>
          <cell r="F39">
            <v>5774.2900000000009</v>
          </cell>
          <cell r="G39">
            <v>522651.29</v>
          </cell>
          <cell r="H39">
            <v>3093647.5300000003</v>
          </cell>
          <cell r="I39">
            <v>1594917.22</v>
          </cell>
          <cell r="J39">
            <v>1031.5600000000013</v>
          </cell>
          <cell r="K39">
            <v>418128.29000000004</v>
          </cell>
          <cell r="L39">
            <v>15336.98</v>
          </cell>
          <cell r="M39">
            <v>15292</v>
          </cell>
          <cell r="N39">
            <v>44.979999999999563</v>
          </cell>
          <cell r="O39">
            <v>3.6680082086768151E-2</v>
          </cell>
          <cell r="P39">
            <v>418128.29000000004</v>
          </cell>
          <cell r="Q39">
            <v>0</v>
          </cell>
          <cell r="R39">
            <v>0</v>
          </cell>
          <cell r="S39">
            <v>0</v>
          </cell>
        </row>
        <row r="40">
          <cell r="A40" t="str">
            <v/>
          </cell>
          <cell r="J40">
            <v>1560</v>
          </cell>
        </row>
        <row r="41">
          <cell r="A41" t="str">
            <v>E3511</v>
          </cell>
          <cell r="B41" t="str">
            <v>E3511 Renovation Grants</v>
          </cell>
          <cell r="C41" t="str">
            <v>John Copley</v>
          </cell>
          <cell r="D41" t="str">
            <v>Ian Wright</v>
          </cell>
          <cell r="E41">
            <v>50000</v>
          </cell>
          <cell r="F41">
            <v>6313.43</v>
          </cell>
          <cell r="G41">
            <v>56313.43</v>
          </cell>
          <cell r="H41">
            <v>197668.13</v>
          </cell>
          <cell r="I41">
            <v>141354.70000000001</v>
          </cell>
          <cell r="J41">
            <v>0</v>
          </cell>
          <cell r="K41">
            <v>56313.43</v>
          </cell>
          <cell r="L41">
            <v>18483.86</v>
          </cell>
          <cell r="M41">
            <v>23459.98</v>
          </cell>
          <cell r="N41">
            <v>-4976.119999999999</v>
          </cell>
          <cell r="O41">
            <v>0.3282318267596202</v>
          </cell>
          <cell r="P41">
            <v>56313.43</v>
          </cell>
          <cell r="Q41">
            <v>0</v>
          </cell>
        </row>
        <row r="42">
          <cell r="A42" t="str">
            <v>E3521</v>
          </cell>
          <cell r="B42" t="str">
            <v>E3521 Disabled Facilities Grants</v>
          </cell>
          <cell r="C42" t="str">
            <v>John Copley</v>
          </cell>
          <cell r="D42" t="str">
            <v>Ian Wright</v>
          </cell>
          <cell r="E42">
            <v>640000</v>
          </cell>
          <cell r="F42">
            <v>-5456.2299999999814</v>
          </cell>
          <cell r="G42">
            <v>634543.77</v>
          </cell>
          <cell r="H42">
            <v>3940625.53</v>
          </cell>
          <cell r="I42">
            <v>3306081.76</v>
          </cell>
          <cell r="J42">
            <v>0</v>
          </cell>
          <cell r="K42">
            <v>634543.77</v>
          </cell>
          <cell r="L42">
            <v>265926.44</v>
          </cell>
          <cell r="M42">
            <v>264351.01</v>
          </cell>
          <cell r="N42">
            <v>1575.429999999993</v>
          </cell>
          <cell r="O42">
            <v>0.41908289478596567</v>
          </cell>
          <cell r="P42">
            <v>634543.77</v>
          </cell>
          <cell r="Q42">
            <v>0</v>
          </cell>
        </row>
        <row r="43">
          <cell r="A43" t="str">
            <v>E3554</v>
          </cell>
          <cell r="B43" t="str">
            <v>E3554 Additional SALIX Plus funding</v>
          </cell>
          <cell r="C43" t="str">
            <v>John Copley</v>
          </cell>
          <cell r="D43" t="str">
            <v>Jo Colwell</v>
          </cell>
          <cell r="E43">
            <v>200000</v>
          </cell>
          <cell r="F43">
            <v>0</v>
          </cell>
          <cell r="G43">
            <v>200000</v>
          </cell>
          <cell r="H43">
            <v>260000</v>
          </cell>
          <cell r="I43">
            <v>0</v>
          </cell>
          <cell r="J43">
            <v>60000</v>
          </cell>
          <cell r="K43">
            <v>200000</v>
          </cell>
          <cell r="L43">
            <v>0</v>
          </cell>
          <cell r="M43">
            <v>0</v>
          </cell>
          <cell r="N43">
            <v>0</v>
          </cell>
          <cell r="O43">
            <v>0</v>
          </cell>
          <cell r="P43">
            <v>200000</v>
          </cell>
          <cell r="Q43">
            <v>0</v>
          </cell>
        </row>
        <row r="44">
          <cell r="A44" t="str">
            <v>E3555</v>
          </cell>
          <cell r="B44" t="str">
            <v>E3555 Flood Alleviation at Northway &amp; Marston</v>
          </cell>
          <cell r="C44" t="str">
            <v>John Copley</v>
          </cell>
          <cell r="D44" t="str">
            <v>TBA</v>
          </cell>
          <cell r="E44">
            <v>300000</v>
          </cell>
          <cell r="F44">
            <v>0</v>
          </cell>
          <cell r="G44">
            <v>300000</v>
          </cell>
          <cell r="H44">
            <v>303300</v>
          </cell>
          <cell r="I44">
            <v>0</v>
          </cell>
          <cell r="J44">
            <v>3300</v>
          </cell>
          <cell r="K44">
            <v>300000</v>
          </cell>
          <cell r="L44">
            <v>0</v>
          </cell>
          <cell r="M44">
            <v>0</v>
          </cell>
          <cell r="N44">
            <v>0</v>
          </cell>
          <cell r="O44">
            <v>0</v>
          </cell>
          <cell r="P44">
            <v>300000</v>
          </cell>
          <cell r="Q44">
            <v>0</v>
          </cell>
        </row>
        <row r="45">
          <cell r="A45" t="str">
            <v>E3556</v>
          </cell>
          <cell r="B45" t="str">
            <v>E3556 Additional CCTV to Speedwell street</v>
          </cell>
          <cell r="C45" t="str">
            <v>John Copley</v>
          </cell>
          <cell r="D45" t="str">
            <v>Richard Grant</v>
          </cell>
          <cell r="E45">
            <v>40000</v>
          </cell>
          <cell r="F45">
            <v>0</v>
          </cell>
          <cell r="G45">
            <v>40000</v>
          </cell>
          <cell r="H45">
            <v>40000</v>
          </cell>
          <cell r="I45">
            <v>0</v>
          </cell>
          <cell r="J45">
            <v>0</v>
          </cell>
          <cell r="K45">
            <v>40000</v>
          </cell>
          <cell r="L45">
            <v>0</v>
          </cell>
          <cell r="M45">
            <v>0</v>
          </cell>
          <cell r="N45">
            <v>0</v>
          </cell>
          <cell r="O45">
            <v>0</v>
          </cell>
          <cell r="P45">
            <v>40000</v>
          </cell>
          <cell r="Q45">
            <v>0</v>
          </cell>
        </row>
        <row r="46">
          <cell r="A46" t="str">
            <v>F0015</v>
          </cell>
          <cell r="B46" t="str">
            <v>F0015 Cycle Oxford</v>
          </cell>
          <cell r="C46" t="str">
            <v>John Copley</v>
          </cell>
          <cell r="D46" t="str">
            <v>Jo Colwell</v>
          </cell>
          <cell r="E46">
            <v>240503</v>
          </cell>
          <cell r="F46">
            <v>61544.239999999991</v>
          </cell>
          <cell r="G46">
            <v>302047.24</v>
          </cell>
          <cell r="H46">
            <v>287793.28000000003</v>
          </cell>
          <cell r="I46">
            <v>14952.28</v>
          </cell>
          <cell r="J46">
            <v>0</v>
          </cell>
          <cell r="K46">
            <v>272841</v>
          </cell>
          <cell r="L46">
            <v>55501</v>
          </cell>
          <cell r="M46">
            <v>43005.875</v>
          </cell>
          <cell r="N46">
            <v>12495.125</v>
          </cell>
          <cell r="O46">
            <v>0.20341884100996552</v>
          </cell>
          <cell r="P46">
            <v>272841</v>
          </cell>
          <cell r="Q46">
            <v>0</v>
          </cell>
          <cell r="R46">
            <v>0</v>
          </cell>
        </row>
        <row r="47">
          <cell r="A47" t="str">
            <v>G6014</v>
          </cell>
          <cell r="B47" t="str">
            <v>G6014 CCTV Project</v>
          </cell>
          <cell r="C47" t="str">
            <v>John Copley</v>
          </cell>
          <cell r="D47" t="str">
            <v>Richard Grant</v>
          </cell>
          <cell r="E47">
            <v>0</v>
          </cell>
          <cell r="F47">
            <v>25000</v>
          </cell>
          <cell r="G47">
            <v>25000</v>
          </cell>
          <cell r="H47">
            <v>26830</v>
          </cell>
          <cell r="I47">
            <v>0</v>
          </cell>
          <cell r="J47">
            <v>1830</v>
          </cell>
          <cell r="K47">
            <v>25000</v>
          </cell>
          <cell r="L47">
            <v>0</v>
          </cell>
          <cell r="M47">
            <v>0</v>
          </cell>
          <cell r="N47">
            <v>0</v>
          </cell>
          <cell r="O47">
            <v>0</v>
          </cell>
          <cell r="P47">
            <v>25000</v>
          </cell>
          <cell r="Q47">
            <v>0</v>
          </cell>
        </row>
        <row r="48">
          <cell r="A48" t="str">
            <v>G6015</v>
          </cell>
          <cell r="B48" t="str">
            <v>G6015 CCTV Rosehill Parade</v>
          </cell>
          <cell r="C48" t="str">
            <v>John Copley</v>
          </cell>
          <cell r="D48" t="str">
            <v>Richard Grant</v>
          </cell>
          <cell r="E48">
            <v>0</v>
          </cell>
          <cell r="F48">
            <v>18000</v>
          </cell>
          <cell r="G48">
            <v>18000</v>
          </cell>
          <cell r="H48">
            <v>32512</v>
          </cell>
          <cell r="I48">
            <v>0</v>
          </cell>
          <cell r="J48">
            <v>14512</v>
          </cell>
          <cell r="K48">
            <v>18000</v>
          </cell>
          <cell r="L48">
            <v>0</v>
          </cell>
          <cell r="M48">
            <v>0</v>
          </cell>
          <cell r="N48">
            <v>0</v>
          </cell>
          <cell r="O48">
            <v>0</v>
          </cell>
          <cell r="P48">
            <v>18000</v>
          </cell>
          <cell r="Q48">
            <v>0</v>
          </cell>
        </row>
        <row r="49">
          <cell r="A49" t="str">
            <v/>
          </cell>
          <cell r="J49">
            <v>0</v>
          </cell>
        </row>
        <row r="50">
          <cell r="A50" t="str">
            <v>S12 E</v>
          </cell>
          <cell r="B50" t="str">
            <v>S12 Environmental Development Total</v>
          </cell>
          <cell r="E50">
            <v>1470503</v>
          </cell>
          <cell r="F50">
            <v>105401.44</v>
          </cell>
          <cell r="G50">
            <v>1575904.4400000002</v>
          </cell>
          <cell r="H50">
            <v>5088728.9400000004</v>
          </cell>
          <cell r="I50">
            <v>3462388.7399999998</v>
          </cell>
          <cell r="J50">
            <v>335000</v>
          </cell>
          <cell r="K50">
            <v>1546698.2000000002</v>
          </cell>
          <cell r="L50">
            <v>339911.3</v>
          </cell>
          <cell r="M50">
            <v>330816.86499999999</v>
          </cell>
          <cell r="N50">
            <v>9094.434999999994</v>
          </cell>
          <cell r="O50">
            <v>0.21976575649987823</v>
          </cell>
          <cell r="P50">
            <v>1546698.2000000002</v>
          </cell>
          <cell r="Q50">
            <v>0</v>
          </cell>
          <cell r="R50">
            <v>0</v>
          </cell>
          <cell r="S50">
            <v>0</v>
          </cell>
        </row>
        <row r="51">
          <cell r="A51" t="str">
            <v/>
          </cell>
        </row>
        <row r="52">
          <cell r="A52" t="str">
            <v>Leisu</v>
          </cell>
          <cell r="B52" t="str">
            <v>Leisure Centres</v>
          </cell>
          <cell r="J52">
            <v>418128.29000000004</v>
          </cell>
        </row>
        <row r="53">
          <cell r="A53" t="str">
            <v>A4808</v>
          </cell>
          <cell r="B53" t="str">
            <v>A4808 Blackbird Leys LC Improvements</v>
          </cell>
          <cell r="C53" t="str">
            <v>Ian Brooke</v>
          </cell>
          <cell r="D53" t="str">
            <v>Martin Shaw</v>
          </cell>
          <cell r="E53">
            <v>128278</v>
          </cell>
          <cell r="F53">
            <v>0</v>
          </cell>
          <cell r="G53">
            <v>128278</v>
          </cell>
          <cell r="H53">
            <v>489201.76</v>
          </cell>
          <cell r="I53">
            <v>489201.76</v>
          </cell>
          <cell r="K53">
            <v>0</v>
          </cell>
          <cell r="L53">
            <v>0</v>
          </cell>
          <cell r="M53">
            <v>0</v>
          </cell>
          <cell r="N53">
            <v>0</v>
          </cell>
          <cell r="O53">
            <v>0</v>
          </cell>
          <cell r="P53">
            <v>0</v>
          </cell>
          <cell r="Q53">
            <v>0</v>
          </cell>
        </row>
        <row r="54">
          <cell r="A54" t="str">
            <v>A4814</v>
          </cell>
          <cell r="B54" t="str">
            <v>A4814 Leisure Centre substantive repairs</v>
          </cell>
          <cell r="C54" t="str">
            <v>Ian Brooke</v>
          </cell>
          <cell r="D54" t="str">
            <v>Keith Reynolds</v>
          </cell>
          <cell r="E54">
            <v>66000</v>
          </cell>
          <cell r="F54">
            <v>254728.52000000002</v>
          </cell>
          <cell r="G54">
            <v>320728.52</v>
          </cell>
          <cell r="H54">
            <v>917583.01000000013</v>
          </cell>
          <cell r="I54">
            <v>540541.06000000006</v>
          </cell>
          <cell r="J54">
            <v>56313.43</v>
          </cell>
          <cell r="K54">
            <v>320728.52</v>
          </cell>
          <cell r="L54">
            <v>36603.39</v>
          </cell>
          <cell r="M54">
            <v>71265.877143999998</v>
          </cell>
          <cell r="N54">
            <v>-34662.487143999999</v>
          </cell>
          <cell r="O54">
            <v>0.11412577216394724</v>
          </cell>
          <cell r="P54">
            <v>320728.52</v>
          </cell>
          <cell r="Q54">
            <v>0</v>
          </cell>
        </row>
        <row r="55">
          <cell r="A55" t="str">
            <v/>
          </cell>
          <cell r="J55">
            <v>634543.77</v>
          </cell>
        </row>
        <row r="56">
          <cell r="A56" t="str">
            <v>Commu</v>
          </cell>
          <cell r="B56" t="str">
            <v>Community Centres</v>
          </cell>
          <cell r="J56">
            <v>200000</v>
          </cell>
        </row>
        <row r="57">
          <cell r="A57" t="str">
            <v>B0033</v>
          </cell>
          <cell r="B57" t="str">
            <v>B0033 Community Centres</v>
          </cell>
          <cell r="C57" t="str">
            <v>Ian Brooke</v>
          </cell>
          <cell r="D57" t="str">
            <v>Paul Atkyns</v>
          </cell>
          <cell r="E57">
            <v>313420</v>
          </cell>
          <cell r="F57">
            <v>225582.91999999993</v>
          </cell>
          <cell r="G57">
            <v>539002.91999999993</v>
          </cell>
          <cell r="H57">
            <v>1139750.3999999999</v>
          </cell>
          <cell r="I57">
            <v>385891.48</v>
          </cell>
          <cell r="J57">
            <v>300000</v>
          </cell>
          <cell r="K57">
            <v>453858.91999999993</v>
          </cell>
          <cell r="L57">
            <v>76920.42</v>
          </cell>
          <cell r="M57">
            <v>88638.647075999979</v>
          </cell>
          <cell r="N57">
            <v>-11718.227075999981</v>
          </cell>
          <cell r="O57">
            <v>0.16948090388969334</v>
          </cell>
          <cell r="P57">
            <v>453858.91999999993</v>
          </cell>
          <cell r="Q57">
            <v>0</v>
          </cell>
        </row>
        <row r="58">
          <cell r="A58" t="str">
            <v/>
          </cell>
          <cell r="J58">
            <v>40000</v>
          </cell>
        </row>
        <row r="59">
          <cell r="A59" t="str">
            <v>Cover</v>
          </cell>
          <cell r="B59" t="str">
            <v>Covered Market</v>
          </cell>
          <cell r="J59">
            <v>272841</v>
          </cell>
        </row>
        <row r="60">
          <cell r="A60" t="str">
            <v>B0027</v>
          </cell>
          <cell r="B60" t="str">
            <v>B0027 Covered Market - Improvements &amp; Upgrade to Roof</v>
          </cell>
          <cell r="C60" t="str">
            <v>Jane Winfield</v>
          </cell>
          <cell r="D60" t="str">
            <v>Michael Stewart</v>
          </cell>
          <cell r="E60">
            <v>0</v>
          </cell>
          <cell r="F60">
            <v>52093.15</v>
          </cell>
          <cell r="G60">
            <v>52093.15</v>
          </cell>
          <cell r="H60">
            <v>103928.69</v>
          </cell>
          <cell r="I60">
            <v>26835.54</v>
          </cell>
          <cell r="J60">
            <v>25000</v>
          </cell>
          <cell r="K60">
            <v>52093.15</v>
          </cell>
          <cell r="L60">
            <v>18.05</v>
          </cell>
          <cell r="M60">
            <v>0</v>
          </cell>
          <cell r="N60">
            <v>18.05</v>
          </cell>
          <cell r="O60">
            <v>3.4649469268032362E-4</v>
          </cell>
          <cell r="P60">
            <v>52093.15</v>
          </cell>
          <cell r="Q60">
            <v>0</v>
          </cell>
        </row>
        <row r="61">
          <cell r="A61" t="str">
            <v>B0028</v>
          </cell>
          <cell r="B61" t="str">
            <v>B0028 Covered Market - New Roof Structures to High St Entrances</v>
          </cell>
          <cell r="C61" t="str">
            <v>Jane Winfield</v>
          </cell>
          <cell r="D61" t="str">
            <v>Michael Stewart</v>
          </cell>
          <cell r="E61">
            <v>100000</v>
          </cell>
          <cell r="F61">
            <v>1113.7099999999919</v>
          </cell>
          <cell r="G61">
            <v>101113.70999999999</v>
          </cell>
          <cell r="H61">
            <v>133000</v>
          </cell>
          <cell r="I61">
            <v>13886.29</v>
          </cell>
          <cell r="J61">
            <v>18000</v>
          </cell>
          <cell r="K61">
            <v>101113.70999999999</v>
          </cell>
          <cell r="L61">
            <v>9697.92</v>
          </cell>
          <cell r="M61">
            <v>22467.466361999996</v>
          </cell>
          <cell r="N61">
            <v>-12769.546361999995</v>
          </cell>
          <cell r="O61">
            <v>9.591102927585192E-2</v>
          </cell>
          <cell r="P61">
            <v>101113.70999999999</v>
          </cell>
          <cell r="Q61">
            <v>0</v>
          </cell>
        </row>
        <row r="62">
          <cell r="A62" t="str">
            <v>B0036</v>
          </cell>
          <cell r="B62" t="str">
            <v>B0036 Investment - Covered Market</v>
          </cell>
          <cell r="C62" t="str">
            <v>Jane Winfield</v>
          </cell>
          <cell r="D62" t="str">
            <v>Michael Stewart</v>
          </cell>
          <cell r="E62">
            <v>150000</v>
          </cell>
          <cell r="F62">
            <v>100048.28999999998</v>
          </cell>
          <cell r="G62">
            <v>250048.28999999998</v>
          </cell>
          <cell r="H62">
            <v>498194.36</v>
          </cell>
          <cell r="I62">
            <v>248146.07</v>
          </cell>
          <cell r="K62">
            <v>250048.28999999998</v>
          </cell>
          <cell r="L62">
            <v>6732.19</v>
          </cell>
          <cell r="M62">
            <v>12377.390355</v>
          </cell>
          <cell r="N62">
            <v>-5645.2003549999999</v>
          </cell>
          <cell r="O62">
            <v>2.6923559445257556E-2</v>
          </cell>
          <cell r="P62">
            <v>250048.28999999998</v>
          </cell>
          <cell r="Q62">
            <v>0</v>
          </cell>
        </row>
        <row r="63">
          <cell r="A63" t="str">
            <v/>
          </cell>
          <cell r="E63">
            <v>0</v>
          </cell>
          <cell r="J63">
            <v>1546698.2000000002</v>
          </cell>
        </row>
        <row r="64">
          <cell r="A64" t="str">
            <v>Inves</v>
          </cell>
          <cell r="B64" t="str">
            <v>Investment Properties</v>
          </cell>
        </row>
        <row r="65">
          <cell r="A65" t="str">
            <v>B0003</v>
          </cell>
          <cell r="B65" t="str">
            <v>B0003 Roof Repairs &amp; Ext Refurbishment 44-46 George St</v>
          </cell>
          <cell r="C65" t="str">
            <v>Jane Winfield</v>
          </cell>
          <cell r="D65" t="str">
            <v>Michael Stewart</v>
          </cell>
          <cell r="E65">
            <v>27000</v>
          </cell>
          <cell r="F65">
            <v>0</v>
          </cell>
          <cell r="G65">
            <v>27000</v>
          </cell>
          <cell r="H65">
            <v>29923</v>
          </cell>
          <cell r="I65">
            <v>2923</v>
          </cell>
          <cell r="K65">
            <v>27000</v>
          </cell>
          <cell r="L65">
            <v>0</v>
          </cell>
          <cell r="M65">
            <v>0</v>
          </cell>
          <cell r="N65">
            <v>0</v>
          </cell>
          <cell r="O65">
            <v>0</v>
          </cell>
          <cell r="P65">
            <v>27000</v>
          </cell>
          <cell r="Q65">
            <v>0</v>
          </cell>
        </row>
        <row r="66">
          <cell r="A66" t="str">
            <v>B0040</v>
          </cell>
          <cell r="B66" t="str">
            <v>B0040 Investment - Broad Street</v>
          </cell>
          <cell r="C66" t="str">
            <v>Jane Winfield</v>
          </cell>
          <cell r="D66" t="str">
            <v>Michael Stewart</v>
          </cell>
          <cell r="E66">
            <v>127280</v>
          </cell>
          <cell r="F66">
            <v>-29770.600000000006</v>
          </cell>
          <cell r="G66">
            <v>97509.4</v>
          </cell>
          <cell r="H66">
            <v>252696.03</v>
          </cell>
          <cell r="I66">
            <v>155186.63</v>
          </cell>
          <cell r="J66">
            <v>0</v>
          </cell>
          <cell r="K66">
            <v>97509.4</v>
          </cell>
          <cell r="L66">
            <v>601.67999999999995</v>
          </cell>
          <cell r="M66">
            <v>12188.674999999999</v>
          </cell>
          <cell r="N66">
            <v>-11586.994999999999</v>
          </cell>
          <cell r="O66">
            <v>6.1704820253226864E-3</v>
          </cell>
          <cell r="P66">
            <v>97509.4</v>
          </cell>
          <cell r="Q66">
            <v>0</v>
          </cell>
        </row>
        <row r="67">
          <cell r="A67" t="str">
            <v>B0041</v>
          </cell>
          <cell r="B67" t="str">
            <v>B0041 Investment - Misc City Centre Properties</v>
          </cell>
          <cell r="C67" t="str">
            <v>Jane Winfield</v>
          </cell>
          <cell r="D67" t="str">
            <v>Martin Shaw</v>
          </cell>
          <cell r="E67">
            <v>10000</v>
          </cell>
          <cell r="F67">
            <v>2320.7700000000004</v>
          </cell>
          <cell r="G67">
            <v>12320.77</v>
          </cell>
          <cell r="H67">
            <v>348879.03</v>
          </cell>
          <cell r="I67">
            <v>15829.74</v>
          </cell>
          <cell r="J67">
            <v>320728.52</v>
          </cell>
          <cell r="K67">
            <v>12320.77</v>
          </cell>
          <cell r="L67">
            <v>1231.42</v>
          </cell>
          <cell r="M67">
            <v>0</v>
          </cell>
          <cell r="N67">
            <v>1231.42</v>
          </cell>
          <cell r="O67">
            <v>9.994667541070891E-2</v>
          </cell>
          <cell r="P67">
            <v>12320.77</v>
          </cell>
          <cell r="Q67">
            <v>0</v>
          </cell>
        </row>
        <row r="68">
          <cell r="A68" t="str">
            <v>B0044</v>
          </cell>
          <cell r="B68" t="str">
            <v>B0044 Investment - Outer City</v>
          </cell>
          <cell r="C68" t="str">
            <v>Jane Winfield</v>
          </cell>
          <cell r="D68" t="str">
            <v>Martin Shaw</v>
          </cell>
          <cell r="E68">
            <v>38600</v>
          </cell>
          <cell r="F68">
            <v>8607.739999999998</v>
          </cell>
          <cell r="G68">
            <v>47207.74</v>
          </cell>
          <cell r="H68">
            <v>75959.42</v>
          </cell>
          <cell r="I68">
            <v>28751.68</v>
          </cell>
          <cell r="K68">
            <v>47207.74</v>
          </cell>
          <cell r="L68">
            <v>0</v>
          </cell>
          <cell r="M68">
            <v>0</v>
          </cell>
          <cell r="N68">
            <v>0</v>
          </cell>
          <cell r="O68">
            <v>0</v>
          </cell>
          <cell r="P68">
            <v>47207.74</v>
          </cell>
          <cell r="Q68">
            <v>0</v>
          </cell>
        </row>
        <row r="69">
          <cell r="A69" t="str">
            <v>B0045</v>
          </cell>
          <cell r="B69" t="str">
            <v>B0045 Investment - St. Michael’s Street</v>
          </cell>
          <cell r="C69" t="str">
            <v>Jane Winfield</v>
          </cell>
          <cell r="D69" t="str">
            <v>Martin Shaw</v>
          </cell>
          <cell r="E69">
            <v>0</v>
          </cell>
          <cell r="F69">
            <v>6035.41</v>
          </cell>
          <cell r="G69">
            <v>6035.41</v>
          </cell>
          <cell r="H69">
            <v>33647</v>
          </cell>
          <cell r="I69">
            <v>27611.59</v>
          </cell>
          <cell r="K69">
            <v>6035.41</v>
          </cell>
          <cell r="L69">
            <v>0</v>
          </cell>
          <cell r="M69">
            <v>0</v>
          </cell>
          <cell r="N69">
            <v>0</v>
          </cell>
          <cell r="O69">
            <v>0</v>
          </cell>
          <cell r="P69">
            <v>6035.41</v>
          </cell>
          <cell r="Q69">
            <v>0</v>
          </cell>
        </row>
        <row r="70">
          <cell r="A70" t="str">
            <v>B0046</v>
          </cell>
          <cell r="B70" t="str">
            <v>B0046 Investment - Ship Street</v>
          </cell>
          <cell r="C70" t="str">
            <v>Jane Winfield</v>
          </cell>
          <cell r="D70" t="str">
            <v>Martin Shaw</v>
          </cell>
          <cell r="E70">
            <v>65720</v>
          </cell>
          <cell r="F70">
            <v>5502.1000000000058</v>
          </cell>
          <cell r="G70">
            <v>71222.100000000006</v>
          </cell>
          <cell r="H70">
            <v>530078.91999999993</v>
          </cell>
          <cell r="I70">
            <v>4997.8999999999996</v>
          </cell>
          <cell r="J70">
            <v>453858.91999999993</v>
          </cell>
          <cell r="K70">
            <v>71222.100000000006</v>
          </cell>
          <cell r="L70">
            <v>982.27</v>
          </cell>
          <cell r="M70">
            <v>0</v>
          </cell>
          <cell r="N70">
            <v>982.27</v>
          </cell>
          <cell r="O70">
            <v>1.3791646132310055E-2</v>
          </cell>
          <cell r="P70">
            <v>71222.100000000006</v>
          </cell>
          <cell r="Q70">
            <v>0</v>
          </cell>
        </row>
        <row r="71">
          <cell r="A71" t="str">
            <v>B0043</v>
          </cell>
          <cell r="B71" t="str">
            <v>B0043 Investment George Street</v>
          </cell>
          <cell r="C71" t="str">
            <v>Jane Winfield</v>
          </cell>
          <cell r="D71" t="str">
            <v>Martin Shaw</v>
          </cell>
          <cell r="E71">
            <v>50500</v>
          </cell>
          <cell r="F71">
            <v>50500</v>
          </cell>
          <cell r="G71">
            <v>101000</v>
          </cell>
          <cell r="H71">
            <v>102568</v>
          </cell>
          <cell r="I71">
            <v>1568</v>
          </cell>
          <cell r="K71">
            <v>101000</v>
          </cell>
          <cell r="L71">
            <v>0</v>
          </cell>
          <cell r="M71">
            <v>0</v>
          </cell>
          <cell r="N71">
            <v>0</v>
          </cell>
          <cell r="O71">
            <v>0</v>
          </cell>
          <cell r="P71">
            <v>101000</v>
          </cell>
          <cell r="Q71">
            <v>0</v>
          </cell>
        </row>
        <row r="72">
          <cell r="A72" t="str">
            <v>B0072</v>
          </cell>
          <cell r="B72" t="str">
            <v>B0072 23-25 Broad Street</v>
          </cell>
          <cell r="C72" t="str">
            <v>Jane Winfield</v>
          </cell>
          <cell r="D72" t="str">
            <v>Ian Gordon</v>
          </cell>
          <cell r="E72">
            <v>300000</v>
          </cell>
          <cell r="F72">
            <v>12395.549999999988</v>
          </cell>
          <cell r="G72">
            <v>312395.55</v>
          </cell>
          <cell r="H72">
            <v>350000</v>
          </cell>
          <cell r="I72">
            <v>37604.449999999997</v>
          </cell>
          <cell r="K72">
            <v>312395.55</v>
          </cell>
          <cell r="L72">
            <v>74324.91</v>
          </cell>
          <cell r="M72">
            <v>61010.850915000003</v>
          </cell>
          <cell r="N72">
            <v>13314.059085000001</v>
          </cell>
          <cell r="O72">
            <v>0.23791923412481389</v>
          </cell>
          <cell r="P72">
            <v>312395.55</v>
          </cell>
          <cell r="Q72">
            <v>0</v>
          </cell>
        </row>
        <row r="73">
          <cell r="A73" t="str">
            <v>M5015</v>
          </cell>
          <cell r="B73" t="str">
            <v>M5015 Old Fire Station</v>
          </cell>
          <cell r="C73" t="str">
            <v>Jane Winfield</v>
          </cell>
          <cell r="D73" t="str">
            <v>Martin Shaw</v>
          </cell>
          <cell r="H73">
            <v>4115645.9099999997</v>
          </cell>
          <cell r="I73">
            <v>4062754.76</v>
          </cell>
          <cell r="J73">
            <v>52093.15</v>
          </cell>
          <cell r="K73">
            <v>798</v>
          </cell>
          <cell r="L73">
            <v>798</v>
          </cell>
          <cell r="M73">
            <v>798</v>
          </cell>
          <cell r="N73">
            <v>0</v>
          </cell>
          <cell r="O73">
            <v>0</v>
          </cell>
          <cell r="P73">
            <v>798</v>
          </cell>
          <cell r="Q73">
            <v>0</v>
          </cell>
        </row>
        <row r="74">
          <cell r="A74" t="str">
            <v/>
          </cell>
          <cell r="J74">
            <v>101113.70999999999</v>
          </cell>
        </row>
        <row r="75">
          <cell r="A75" t="str">
            <v>Misce</v>
          </cell>
          <cell r="B75" t="str">
            <v>Miscellaneous Council Properties</v>
          </cell>
          <cell r="J75">
            <v>250048.28999999998</v>
          </cell>
        </row>
        <row r="76">
          <cell r="A76" t="str">
            <v>B0088</v>
          </cell>
          <cell r="B76" t="str">
            <v>B0088 Barns Road Car Park</v>
          </cell>
          <cell r="C76" t="str">
            <v>Jane Winfield</v>
          </cell>
          <cell r="D76" t="str">
            <v>Martin Shaw</v>
          </cell>
          <cell r="E76">
            <v>80000</v>
          </cell>
          <cell r="F76">
            <v>128254.23000000001</v>
          </cell>
          <cell r="G76">
            <v>208254.23</v>
          </cell>
          <cell r="H76">
            <v>128254.23000000001</v>
          </cell>
          <cell r="I76">
            <v>0</v>
          </cell>
          <cell r="K76">
            <v>128254.23000000001</v>
          </cell>
          <cell r="L76">
            <v>0</v>
          </cell>
          <cell r="M76">
            <v>0</v>
          </cell>
          <cell r="N76">
            <v>0</v>
          </cell>
          <cell r="O76">
            <v>0</v>
          </cell>
          <cell r="P76">
            <v>128254.23000000001</v>
          </cell>
          <cell r="Q76">
            <v>0</v>
          </cell>
        </row>
        <row r="77">
          <cell r="A77" t="str">
            <v>B0052</v>
          </cell>
          <cell r="B77" t="str">
            <v>B0052 Miscellaneous Properties</v>
          </cell>
          <cell r="C77" t="str">
            <v>Jane Winfield</v>
          </cell>
          <cell r="D77" t="str">
            <v>Martin Shaw</v>
          </cell>
          <cell r="E77">
            <v>0</v>
          </cell>
          <cell r="F77">
            <v>9864.9199999999983</v>
          </cell>
          <cell r="G77">
            <v>9864.9199999999983</v>
          </cell>
          <cell r="H77">
            <v>66577</v>
          </cell>
          <cell r="I77">
            <v>56712.08</v>
          </cell>
          <cell r="K77">
            <v>9864.9199999999983</v>
          </cell>
          <cell r="L77">
            <v>23950.11</v>
          </cell>
          <cell r="M77">
            <v>9865</v>
          </cell>
          <cell r="N77">
            <v>14085.11</v>
          </cell>
          <cell r="O77">
            <v>2.4278058007566208</v>
          </cell>
          <cell r="P77">
            <v>9864.9199999999983</v>
          </cell>
          <cell r="Q77">
            <v>0</v>
          </cell>
        </row>
        <row r="78">
          <cell r="A78" t="str">
            <v>B0073</v>
          </cell>
          <cell r="B78" t="str">
            <v>B0073 Clearing Channels under Frideswide Bridge</v>
          </cell>
          <cell r="C78" t="str">
            <v>Jane Winfield</v>
          </cell>
          <cell r="D78" t="str">
            <v>Steve Smith</v>
          </cell>
          <cell r="E78">
            <v>0</v>
          </cell>
          <cell r="F78">
            <v>5000</v>
          </cell>
          <cell r="G78">
            <v>5000</v>
          </cell>
          <cell r="H78">
            <v>32000</v>
          </cell>
          <cell r="I78">
            <v>0</v>
          </cell>
          <cell r="J78">
            <v>27000</v>
          </cell>
          <cell r="K78">
            <v>5000</v>
          </cell>
          <cell r="L78">
            <v>0</v>
          </cell>
          <cell r="M78">
            <v>0</v>
          </cell>
          <cell r="N78">
            <v>0</v>
          </cell>
          <cell r="O78">
            <v>0</v>
          </cell>
          <cell r="P78">
            <v>5000</v>
          </cell>
          <cell r="Q78">
            <v>0</v>
          </cell>
        </row>
        <row r="79">
          <cell r="A79" t="str">
            <v>B0078</v>
          </cell>
          <cell r="B79" t="str">
            <v>B0078 Allotments</v>
          </cell>
          <cell r="C79" t="str">
            <v>Jane Winfield</v>
          </cell>
          <cell r="D79" t="str">
            <v>Martin Shaw</v>
          </cell>
          <cell r="E79">
            <v>13700</v>
          </cell>
          <cell r="F79">
            <v>3000</v>
          </cell>
          <cell r="G79">
            <v>16700</v>
          </cell>
          <cell r="H79">
            <v>114209.4</v>
          </cell>
          <cell r="I79">
            <v>0</v>
          </cell>
          <cell r="J79">
            <v>97509.4</v>
          </cell>
          <cell r="K79">
            <v>16700</v>
          </cell>
          <cell r="L79">
            <v>0</v>
          </cell>
          <cell r="M79">
            <v>0</v>
          </cell>
          <cell r="N79">
            <v>0</v>
          </cell>
          <cell r="O79">
            <v>0</v>
          </cell>
          <cell r="P79">
            <v>16700</v>
          </cell>
          <cell r="Q79">
            <v>0</v>
          </cell>
        </row>
        <row r="80">
          <cell r="A80" t="str">
            <v>B0079</v>
          </cell>
          <cell r="B80" t="str">
            <v>B0079 Street Sports Sites</v>
          </cell>
          <cell r="C80" t="str">
            <v>Jane Winfield</v>
          </cell>
          <cell r="D80" t="str">
            <v>Ian Brooke</v>
          </cell>
          <cell r="E80">
            <v>0</v>
          </cell>
          <cell r="F80">
            <v>8110</v>
          </cell>
          <cell r="G80">
            <v>8110</v>
          </cell>
          <cell r="H80">
            <v>20430.77</v>
          </cell>
          <cell r="I80">
            <v>0</v>
          </cell>
          <cell r="J80">
            <v>12320.77</v>
          </cell>
          <cell r="K80">
            <v>8110</v>
          </cell>
          <cell r="L80">
            <v>0</v>
          </cell>
          <cell r="M80">
            <v>0</v>
          </cell>
          <cell r="N80">
            <v>0</v>
          </cell>
          <cell r="O80">
            <v>0</v>
          </cell>
          <cell r="P80">
            <v>8110</v>
          </cell>
          <cell r="Q80">
            <v>0</v>
          </cell>
        </row>
        <row r="81">
          <cell r="A81" t="str">
            <v>B0077</v>
          </cell>
          <cell r="B81" t="str">
            <v>B0077 Direct Services Depots</v>
          </cell>
          <cell r="C81" t="str">
            <v>Jane Winfield</v>
          </cell>
          <cell r="D81" t="str">
            <v>Martin Shaw</v>
          </cell>
          <cell r="E81">
            <v>0</v>
          </cell>
          <cell r="F81">
            <v>45383.5</v>
          </cell>
          <cell r="G81">
            <v>45383.5</v>
          </cell>
          <cell r="H81">
            <v>215522.74</v>
          </cell>
          <cell r="I81">
            <v>104616.5</v>
          </cell>
          <cell r="J81">
            <v>47207.74</v>
          </cell>
          <cell r="K81">
            <v>63698.5</v>
          </cell>
          <cell r="L81">
            <v>54625.1</v>
          </cell>
          <cell r="M81">
            <v>56971.938399999999</v>
          </cell>
          <cell r="N81">
            <v>-2346.8384000000005</v>
          </cell>
          <cell r="O81">
            <v>0.85755708533167974</v>
          </cell>
          <cell r="P81">
            <v>63698.5</v>
          </cell>
          <cell r="Q81">
            <v>0</v>
          </cell>
        </row>
        <row r="82">
          <cell r="A82" t="str">
            <v>B0080</v>
          </cell>
          <cell r="B82" t="str">
            <v>B0080 Templars Square Refurbishment/Relocation</v>
          </cell>
          <cell r="C82" t="str">
            <v>Jane Winfield</v>
          </cell>
          <cell r="D82" t="str">
            <v>Martin Shaw</v>
          </cell>
          <cell r="E82">
            <v>115000</v>
          </cell>
          <cell r="F82">
            <v>25466.679999999993</v>
          </cell>
          <cell r="G82">
            <v>140466.68</v>
          </cell>
          <cell r="H82">
            <v>29864.44</v>
          </cell>
          <cell r="I82">
            <v>9533.32</v>
          </cell>
          <cell r="J82">
            <v>6035.41</v>
          </cell>
          <cell r="K82">
            <v>14295.71</v>
          </cell>
          <cell r="L82">
            <v>14295.71</v>
          </cell>
          <cell r="M82">
            <v>14296</v>
          </cell>
          <cell r="N82">
            <v>-0.29000000000087311</v>
          </cell>
          <cell r="O82">
            <v>1</v>
          </cell>
          <cell r="P82">
            <v>14295.71</v>
          </cell>
          <cell r="Q82">
            <v>0</v>
          </cell>
        </row>
        <row r="83">
          <cell r="A83" t="str">
            <v/>
          </cell>
          <cell r="J83">
            <v>71222.100000000006</v>
          </cell>
        </row>
        <row r="84">
          <cell r="A84" t="str">
            <v>Parks</v>
          </cell>
          <cell r="B84" t="str">
            <v>Parks &amp; Cemeteries</v>
          </cell>
          <cell r="J84">
            <v>101000</v>
          </cell>
        </row>
        <row r="85">
          <cell r="A85" t="str">
            <v>B0048</v>
          </cell>
          <cell r="B85" t="str">
            <v>B0048 Leisure Cemeteries</v>
          </cell>
          <cell r="C85" t="str">
            <v>Jane Winfield</v>
          </cell>
          <cell r="D85" t="str">
            <v>Neil Smith</v>
          </cell>
          <cell r="H85">
            <v>408154.44</v>
          </cell>
          <cell r="I85">
            <v>92758.89</v>
          </cell>
          <cell r="J85">
            <v>312395.55</v>
          </cell>
          <cell r="K85">
            <v>3000</v>
          </cell>
          <cell r="L85">
            <v>7339.19</v>
          </cell>
          <cell r="M85">
            <v>0</v>
          </cell>
          <cell r="N85">
            <v>7339.19</v>
          </cell>
          <cell r="O85">
            <v>0</v>
          </cell>
          <cell r="P85">
            <v>3000</v>
          </cell>
          <cell r="Q85">
            <v>0</v>
          </cell>
          <cell r="R85">
            <v>0</v>
          </cell>
        </row>
        <row r="86">
          <cell r="A86" t="str">
            <v>B0050</v>
          </cell>
          <cell r="B86" t="str">
            <v>B0050 Leisure - Depots</v>
          </cell>
          <cell r="C86" t="str">
            <v>Jane Winfield</v>
          </cell>
          <cell r="D86" t="str">
            <v>Paul Atkyns</v>
          </cell>
          <cell r="E86">
            <v>0</v>
          </cell>
          <cell r="F86">
            <v>43800</v>
          </cell>
          <cell r="G86">
            <v>43800</v>
          </cell>
          <cell r="H86">
            <v>115788.77</v>
          </cell>
          <cell r="I86">
            <v>71190.77</v>
          </cell>
          <cell r="J86">
            <v>798</v>
          </cell>
          <cell r="K86">
            <v>43800</v>
          </cell>
          <cell r="L86">
            <v>0</v>
          </cell>
          <cell r="M86">
            <v>0</v>
          </cell>
          <cell r="N86">
            <v>0</v>
          </cell>
          <cell r="O86">
            <v>0</v>
          </cell>
          <cell r="P86">
            <v>43800</v>
          </cell>
          <cell r="Q86">
            <v>0</v>
          </cell>
        </row>
        <row r="87">
          <cell r="A87" t="str">
            <v>B0065</v>
          </cell>
          <cell r="B87" t="str">
            <v>B0065 Parks &amp; Cemetery - Masonry Walls &amp; Path Improvements</v>
          </cell>
          <cell r="C87" t="str">
            <v>Jane Winfield</v>
          </cell>
          <cell r="D87" t="str">
            <v>Neil Smith</v>
          </cell>
          <cell r="E87">
            <v>40000</v>
          </cell>
          <cell r="F87">
            <v>-5701.68</v>
          </cell>
          <cell r="G87">
            <v>34298.32</v>
          </cell>
          <cell r="H87">
            <v>119926</v>
          </cell>
          <cell r="I87">
            <v>85627.68</v>
          </cell>
          <cell r="K87">
            <v>34298.32</v>
          </cell>
          <cell r="L87">
            <v>14148</v>
          </cell>
          <cell r="M87">
            <v>0</v>
          </cell>
          <cell r="N87">
            <v>14148</v>
          </cell>
          <cell r="O87">
            <v>0.41249833811102121</v>
          </cell>
          <cell r="P87">
            <v>34298.32</v>
          </cell>
          <cell r="Q87">
            <v>0</v>
          </cell>
        </row>
        <row r="88">
          <cell r="A88" t="str">
            <v>B0067</v>
          </cell>
          <cell r="B88" t="str">
            <v>B0067 Fencing Repairs across the City</v>
          </cell>
          <cell r="C88" t="str">
            <v>Ian Brooke</v>
          </cell>
          <cell r="D88" t="str">
            <v>Neil Smith</v>
          </cell>
          <cell r="E88">
            <v>150000</v>
          </cell>
          <cell r="F88">
            <v>-3992.8299999999872</v>
          </cell>
          <cell r="G88">
            <v>146007.17000000001</v>
          </cell>
          <cell r="H88">
            <v>450051.78</v>
          </cell>
          <cell r="I88">
            <v>304044.61</v>
          </cell>
          <cell r="K88">
            <v>146007.17000000001</v>
          </cell>
          <cell r="L88">
            <v>30062.27</v>
          </cell>
          <cell r="M88">
            <v>28515.200301000004</v>
          </cell>
          <cell r="N88">
            <v>1547.069698999996</v>
          </cell>
          <cell r="O88">
            <v>0.20589584744365635</v>
          </cell>
          <cell r="P88">
            <v>146007.17000000001</v>
          </cell>
          <cell r="Q88">
            <v>0</v>
          </cell>
        </row>
        <row r="89">
          <cell r="A89" t="str">
            <v>B0085</v>
          </cell>
          <cell r="B89" t="str">
            <v>B0085 Parks &amp; Leisure Toilets</v>
          </cell>
          <cell r="C89" t="str">
            <v>Ian Brooke</v>
          </cell>
          <cell r="D89" t="str">
            <v>Neil Smith</v>
          </cell>
          <cell r="E89">
            <v>9200</v>
          </cell>
          <cell r="F89">
            <v>0</v>
          </cell>
          <cell r="G89">
            <v>9200</v>
          </cell>
          <cell r="H89">
            <v>137454.23000000001</v>
          </cell>
          <cell r="I89">
            <v>0</v>
          </cell>
          <cell r="J89">
            <v>128254.23000000001</v>
          </cell>
          <cell r="K89">
            <v>9200</v>
          </cell>
          <cell r="L89">
            <v>0</v>
          </cell>
          <cell r="M89">
            <v>0</v>
          </cell>
          <cell r="N89">
            <v>0</v>
          </cell>
          <cell r="O89">
            <v>0</v>
          </cell>
          <cell r="P89">
            <v>9200</v>
          </cell>
          <cell r="Q89">
            <v>0</v>
          </cell>
        </row>
        <row r="90">
          <cell r="A90" t="str">
            <v/>
          </cell>
          <cell r="J90">
            <v>9864.9199999999983</v>
          </cell>
        </row>
        <row r="91">
          <cell r="A91" t="str">
            <v xml:space="preserve">Town </v>
          </cell>
          <cell r="B91" t="str">
            <v>Town Hall &amp; St Aldates Chambers</v>
          </cell>
          <cell r="J91">
            <v>5000</v>
          </cell>
        </row>
        <row r="92">
          <cell r="A92" t="str">
            <v>B0054</v>
          </cell>
          <cell r="B92" t="str">
            <v>B0054 Town Hall</v>
          </cell>
          <cell r="C92" t="str">
            <v>Simon Howick</v>
          </cell>
          <cell r="D92" t="str">
            <v>Ian Gordon/Michael Stewart</v>
          </cell>
          <cell r="E92">
            <v>280000</v>
          </cell>
          <cell r="F92">
            <v>115533.18</v>
          </cell>
          <cell r="G92">
            <v>395533.18</v>
          </cell>
          <cell r="H92">
            <v>1025289.54</v>
          </cell>
          <cell r="I92">
            <v>638056.36</v>
          </cell>
          <cell r="J92">
            <v>16700</v>
          </cell>
          <cell r="K92">
            <v>370533.18</v>
          </cell>
          <cell r="L92">
            <v>196962.03</v>
          </cell>
          <cell r="M92">
            <v>156772.58845800001</v>
          </cell>
          <cell r="N92">
            <v>40189.441541999986</v>
          </cell>
          <cell r="O92">
            <v>0.53156381298970312</v>
          </cell>
          <cell r="P92">
            <v>370533.18</v>
          </cell>
          <cell r="Q92">
            <v>0</v>
          </cell>
        </row>
        <row r="93">
          <cell r="A93" t="str">
            <v>B0068</v>
          </cell>
          <cell r="B93" t="str">
            <v>B0068 Town Hall - Conference System Refurbishment</v>
          </cell>
          <cell r="C93" t="str">
            <v>Simon Howick</v>
          </cell>
          <cell r="D93" t="str">
            <v>Ian Gordon</v>
          </cell>
          <cell r="E93">
            <v>266611</v>
          </cell>
          <cell r="F93">
            <v>15148.219999999972</v>
          </cell>
          <cell r="G93">
            <v>281759.21999999997</v>
          </cell>
          <cell r="H93">
            <v>228098.02999999997</v>
          </cell>
          <cell r="I93">
            <v>118228.81</v>
          </cell>
          <cell r="J93">
            <v>8110</v>
          </cell>
          <cell r="K93">
            <v>101759.21999999997</v>
          </cell>
          <cell r="L93">
            <v>7774.5</v>
          </cell>
          <cell r="M93">
            <v>8262.8486639999974</v>
          </cell>
          <cell r="N93">
            <v>-488.34866399999737</v>
          </cell>
          <cell r="O93">
            <v>7.640093939399302E-2</v>
          </cell>
          <cell r="P93">
            <v>101759.21999999997</v>
          </cell>
          <cell r="Q93">
            <v>0</v>
          </cell>
        </row>
        <row r="94">
          <cell r="A94" t="str">
            <v>B0076</v>
          </cell>
          <cell r="B94" t="str">
            <v>B0076 Town Hall Improvements (OFTF2)</v>
          </cell>
          <cell r="C94" t="str">
            <v>Simon Howick</v>
          </cell>
          <cell r="D94" t="str">
            <v>Martin Shaw</v>
          </cell>
          <cell r="E94">
            <v>50000</v>
          </cell>
          <cell r="F94">
            <v>98895.56</v>
          </cell>
          <cell r="G94">
            <v>148895.56</v>
          </cell>
          <cell r="H94">
            <v>501698.5</v>
          </cell>
          <cell r="I94">
            <v>171104.44</v>
          </cell>
          <cell r="J94">
            <v>63698.5</v>
          </cell>
          <cell r="K94">
            <v>266895.56</v>
          </cell>
          <cell r="L94">
            <v>214501.5</v>
          </cell>
          <cell r="M94">
            <v>190696.87762000001</v>
          </cell>
          <cell r="N94">
            <v>23804.622379999986</v>
          </cell>
          <cell r="O94">
            <v>0.80369077702154357</v>
          </cell>
          <cell r="P94">
            <v>266895.56</v>
          </cell>
          <cell r="Q94">
            <v>0</v>
          </cell>
        </row>
        <row r="95">
          <cell r="A95" t="str">
            <v>B0089</v>
          </cell>
          <cell r="B95" t="str">
            <v>B0089 Council Chamber Conference System</v>
          </cell>
          <cell r="C95" t="str">
            <v>Simon Howick</v>
          </cell>
          <cell r="D95" t="str">
            <v>Ian Gordon</v>
          </cell>
          <cell r="E95">
            <v>0</v>
          </cell>
          <cell r="G95">
            <v>0</v>
          </cell>
          <cell r="H95">
            <v>89295.709999999992</v>
          </cell>
          <cell r="I95">
            <v>0</v>
          </cell>
          <cell r="J95">
            <v>14295.71</v>
          </cell>
          <cell r="K95">
            <v>75000</v>
          </cell>
          <cell r="M95">
            <v>0</v>
          </cell>
          <cell r="N95">
            <v>0</v>
          </cell>
          <cell r="O95">
            <v>0</v>
          </cell>
          <cell r="P95">
            <v>75000</v>
          </cell>
          <cell r="Q95">
            <v>0</v>
          </cell>
        </row>
        <row r="96">
          <cell r="A96" t="str">
            <v>B0087</v>
          </cell>
          <cell r="B96" t="str">
            <v>B0087 Property Investment Strategy</v>
          </cell>
          <cell r="C96" t="str">
            <v>Peter Sloman</v>
          </cell>
          <cell r="D96" t="str">
            <v>Jane Winfield</v>
          </cell>
          <cell r="E96">
            <v>7000000</v>
          </cell>
          <cell r="F96">
            <v>0</v>
          </cell>
          <cell r="G96">
            <v>7000000</v>
          </cell>
          <cell r="H96">
            <v>7000000</v>
          </cell>
          <cell r="I96">
            <v>0</v>
          </cell>
          <cell r="K96">
            <v>7000000</v>
          </cell>
          <cell r="L96">
            <v>0</v>
          </cell>
          <cell r="M96">
            <v>0</v>
          </cell>
          <cell r="N96">
            <v>0</v>
          </cell>
          <cell r="O96">
            <v>0</v>
          </cell>
          <cell r="P96">
            <v>7000000</v>
          </cell>
          <cell r="Q96">
            <v>0</v>
          </cell>
        </row>
        <row r="97">
          <cell r="A97" t="str">
            <v>NEW S</v>
          </cell>
          <cell r="B97" t="str">
            <v>NEW St Aldates Chambers Security</v>
          </cell>
          <cell r="C97" t="str">
            <v>Simon Howick</v>
          </cell>
          <cell r="D97" t="str">
            <v>Chris Ridges</v>
          </cell>
          <cell r="E97">
            <v>0</v>
          </cell>
          <cell r="F97">
            <v>0</v>
          </cell>
          <cell r="G97">
            <v>0</v>
          </cell>
          <cell r="K97">
            <v>25000</v>
          </cell>
          <cell r="L97">
            <v>0</v>
          </cell>
          <cell r="M97">
            <v>0</v>
          </cell>
          <cell r="N97">
            <v>0</v>
          </cell>
          <cell r="O97">
            <v>0</v>
          </cell>
          <cell r="P97">
            <v>25000</v>
          </cell>
          <cell r="Q97">
            <v>0</v>
          </cell>
        </row>
        <row r="98">
          <cell r="A98" t="str">
            <v/>
          </cell>
          <cell r="J98">
            <v>3000</v>
          </cell>
        </row>
        <row r="99">
          <cell r="A99" t="str">
            <v>Housi</v>
          </cell>
          <cell r="B99" t="str">
            <v>Housing Projects</v>
          </cell>
          <cell r="J99">
            <v>43800</v>
          </cell>
        </row>
        <row r="100">
          <cell r="A100" t="str">
            <v>B0082</v>
          </cell>
          <cell r="B100" t="str">
            <v>B0082 Garages</v>
          </cell>
          <cell r="C100" t="str">
            <v>Jane Winfield</v>
          </cell>
          <cell r="D100" t="str">
            <v>Martin Shaw</v>
          </cell>
          <cell r="E100">
            <v>117000</v>
          </cell>
          <cell r="F100">
            <v>-6279.6199999999953</v>
          </cell>
          <cell r="G100">
            <v>110720.38</v>
          </cell>
          <cell r="H100">
            <v>268298.32</v>
          </cell>
          <cell r="I100">
            <v>123279.62</v>
          </cell>
          <cell r="J100">
            <v>34298.32</v>
          </cell>
          <cell r="K100">
            <v>110720.38</v>
          </cell>
          <cell r="L100">
            <v>63692.06</v>
          </cell>
          <cell r="M100">
            <v>46133.491666666669</v>
          </cell>
          <cell r="N100">
            <v>17558.568333333329</v>
          </cell>
          <cell r="O100">
            <v>0.57525145777136955</v>
          </cell>
          <cell r="P100">
            <v>110720.38</v>
          </cell>
          <cell r="Q100">
            <v>0</v>
          </cell>
        </row>
        <row r="101">
          <cell r="A101" t="str">
            <v>M5020</v>
          </cell>
          <cell r="B101" t="str">
            <v>M5020 Empty Homes CPO Revolving Fund</v>
          </cell>
          <cell r="C101" t="str">
            <v>Stephen Clarke</v>
          </cell>
          <cell r="D101" t="str">
            <v>David Scoles</v>
          </cell>
          <cell r="E101">
            <v>250000</v>
          </cell>
          <cell r="F101">
            <v>0</v>
          </cell>
          <cell r="G101">
            <v>250000</v>
          </cell>
          <cell r="H101">
            <v>396007.17000000004</v>
          </cell>
          <cell r="I101">
            <v>0</v>
          </cell>
          <cell r="J101">
            <v>146007.17000000001</v>
          </cell>
          <cell r="K101">
            <v>250000</v>
          </cell>
          <cell r="L101">
            <v>0</v>
          </cell>
          <cell r="M101">
            <v>0</v>
          </cell>
          <cell r="N101">
            <v>0</v>
          </cell>
          <cell r="O101">
            <v>0</v>
          </cell>
          <cell r="P101">
            <v>250000</v>
          </cell>
          <cell r="Q101">
            <v>0</v>
          </cell>
        </row>
        <row r="102">
          <cell r="A102" t="str">
            <v>M5021</v>
          </cell>
          <cell r="B102" t="str">
            <v>M5021 Equity Loan Scheme for Teachers</v>
          </cell>
          <cell r="C102" t="str">
            <v>Stephen Clarke</v>
          </cell>
          <cell r="D102" t="str">
            <v>Steve Northey</v>
          </cell>
          <cell r="E102">
            <v>0</v>
          </cell>
          <cell r="F102">
            <v>0</v>
          </cell>
          <cell r="G102">
            <v>0</v>
          </cell>
          <cell r="H102">
            <v>159200</v>
          </cell>
          <cell r="I102">
            <v>0</v>
          </cell>
          <cell r="J102">
            <v>9200</v>
          </cell>
          <cell r="K102">
            <v>150000</v>
          </cell>
          <cell r="L102">
            <v>0</v>
          </cell>
          <cell r="M102">
            <v>0</v>
          </cell>
          <cell r="N102">
            <v>0</v>
          </cell>
          <cell r="O102">
            <v>0</v>
          </cell>
          <cell r="P102">
            <v>150000</v>
          </cell>
          <cell r="Q102">
            <v>0</v>
          </cell>
        </row>
        <row r="103">
          <cell r="A103" t="str">
            <v/>
          </cell>
        </row>
        <row r="104">
          <cell r="A104" t="str">
            <v>S13 H</v>
          </cell>
          <cell r="B104" t="str">
            <v>S13 Housing and Property Total</v>
          </cell>
          <cell r="E104">
            <v>9748309</v>
          </cell>
          <cell r="F104">
            <v>1171639.7199999997</v>
          </cell>
          <cell r="G104">
            <v>10919948.720000001</v>
          </cell>
          <cell r="H104">
            <v>20627176.600000001</v>
          </cell>
          <cell r="I104">
            <v>7816883.0299999993</v>
          </cell>
          <cell r="K104">
            <v>10685468.75</v>
          </cell>
          <cell r="L104">
            <v>835260.72</v>
          </cell>
          <cell r="M104">
            <v>780260.85196166672</v>
          </cell>
          <cell r="N104">
            <v>54999.868038333327</v>
          </cell>
          <cell r="O104">
            <v>7.8167906297980608E-2</v>
          </cell>
          <cell r="P104">
            <v>10685468.75</v>
          </cell>
          <cell r="Q104">
            <v>0</v>
          </cell>
          <cell r="R104">
            <v>0</v>
          </cell>
          <cell r="S104">
            <v>0</v>
          </cell>
        </row>
        <row r="105">
          <cell r="A105" t="str">
            <v/>
          </cell>
          <cell r="J105">
            <v>370533.18</v>
          </cell>
        </row>
        <row r="106">
          <cell r="A106" t="str">
            <v>Commu</v>
          </cell>
          <cell r="B106" t="str">
            <v>Community Facilities</v>
          </cell>
          <cell r="J106">
            <v>101759.21999999997</v>
          </cell>
        </row>
        <row r="107">
          <cell r="A107" t="str">
            <v>G1013</v>
          </cell>
          <cell r="B107" t="str">
            <v>G1013 Dawson Street Gardens</v>
          </cell>
          <cell r="C107" t="str">
            <v>Ian Brooke</v>
          </cell>
          <cell r="D107" t="str">
            <v>TBA</v>
          </cell>
          <cell r="E107">
            <v>0</v>
          </cell>
          <cell r="F107">
            <v>19000</v>
          </cell>
          <cell r="G107">
            <v>19000</v>
          </cell>
          <cell r="H107">
            <v>285895.56</v>
          </cell>
          <cell r="I107">
            <v>0</v>
          </cell>
          <cell r="J107">
            <v>266895.56</v>
          </cell>
          <cell r="K107">
            <v>19000</v>
          </cell>
          <cell r="L107">
            <v>0</v>
          </cell>
          <cell r="M107">
            <v>0</v>
          </cell>
          <cell r="N107">
            <v>0</v>
          </cell>
          <cell r="O107">
            <v>0</v>
          </cell>
          <cell r="P107">
            <v>19000</v>
          </cell>
          <cell r="Q107">
            <v>0</v>
          </cell>
        </row>
        <row r="108">
          <cell r="A108" t="str">
            <v>G3015</v>
          </cell>
          <cell r="B108" t="str">
            <v>G3015 NE Marston Croft Road Recreation Ground</v>
          </cell>
          <cell r="C108" t="str">
            <v>Ian Brooke</v>
          </cell>
          <cell r="D108" t="str">
            <v>TBA</v>
          </cell>
          <cell r="E108">
            <v>0</v>
          </cell>
          <cell r="F108">
            <v>19300</v>
          </cell>
          <cell r="G108">
            <v>19300</v>
          </cell>
          <cell r="H108">
            <v>100000</v>
          </cell>
          <cell r="I108">
            <v>5700</v>
          </cell>
          <cell r="J108">
            <v>75000</v>
          </cell>
          <cell r="K108">
            <v>19300</v>
          </cell>
          <cell r="L108">
            <v>0</v>
          </cell>
          <cell r="M108">
            <v>0</v>
          </cell>
          <cell r="N108">
            <v>0</v>
          </cell>
          <cell r="O108">
            <v>0</v>
          </cell>
          <cell r="P108">
            <v>19300</v>
          </cell>
          <cell r="Q108">
            <v>0</v>
          </cell>
        </row>
        <row r="109">
          <cell r="A109" t="str">
            <v>G3017</v>
          </cell>
          <cell r="B109" t="str">
            <v>G3017 South Oxford Community Centre Café</v>
          </cell>
          <cell r="C109" t="str">
            <v>Jane Winfield</v>
          </cell>
          <cell r="D109" t="str">
            <v>TBA</v>
          </cell>
          <cell r="E109">
            <v>50000</v>
          </cell>
          <cell r="F109">
            <v>0</v>
          </cell>
          <cell r="G109">
            <v>50000</v>
          </cell>
          <cell r="H109">
            <v>7050000</v>
          </cell>
          <cell r="I109">
            <v>0</v>
          </cell>
          <cell r="J109">
            <v>7000000</v>
          </cell>
          <cell r="K109">
            <v>50000</v>
          </cell>
          <cell r="L109">
            <v>0</v>
          </cell>
          <cell r="M109">
            <v>0</v>
          </cell>
          <cell r="N109">
            <v>0</v>
          </cell>
          <cell r="O109">
            <v>0</v>
          </cell>
          <cell r="P109">
            <v>50000</v>
          </cell>
          <cell r="Q109">
            <v>0</v>
          </cell>
        </row>
        <row r="110">
          <cell r="A110" t="str">
            <v>G3018</v>
          </cell>
          <cell r="B110" t="str">
            <v>G3018 St Ebbes Deaf and Hard of Hearing Centre</v>
          </cell>
          <cell r="C110" t="str">
            <v>Jane Winfield</v>
          </cell>
          <cell r="D110" t="str">
            <v>TBA</v>
          </cell>
          <cell r="E110">
            <v>50000</v>
          </cell>
          <cell r="F110">
            <v>0</v>
          </cell>
          <cell r="G110">
            <v>50000</v>
          </cell>
          <cell r="H110">
            <v>75000</v>
          </cell>
          <cell r="I110">
            <v>0</v>
          </cell>
          <cell r="J110">
            <v>25000</v>
          </cell>
          <cell r="K110">
            <v>50000</v>
          </cell>
          <cell r="L110">
            <v>0</v>
          </cell>
          <cell r="M110">
            <v>0</v>
          </cell>
          <cell r="N110">
            <v>0</v>
          </cell>
          <cell r="O110">
            <v>0</v>
          </cell>
          <cell r="P110">
            <v>50000</v>
          </cell>
          <cell r="Q110">
            <v>0</v>
          </cell>
        </row>
        <row r="111">
          <cell r="A111" t="str">
            <v/>
          </cell>
        </row>
        <row r="112">
          <cell r="A112" t="str">
            <v>Playg</v>
          </cell>
          <cell r="B112" t="str">
            <v>Playground Improvements</v>
          </cell>
        </row>
        <row r="113">
          <cell r="A113" t="str">
            <v>A1300</v>
          </cell>
          <cell r="B113" t="str">
            <v>A1300 Playground Refurbishment</v>
          </cell>
          <cell r="C113" t="str">
            <v>Ian Brooke</v>
          </cell>
          <cell r="D113" t="str">
            <v>Stuart Fitzsimmons</v>
          </cell>
          <cell r="E113">
            <v>0</v>
          </cell>
          <cell r="F113">
            <v>4582.0200000000041</v>
          </cell>
          <cell r="G113">
            <v>4582.0200000000041</v>
          </cell>
          <cell r="H113">
            <v>3325944.1799999997</v>
          </cell>
          <cell r="I113">
            <v>3212065.8</v>
          </cell>
          <cell r="J113">
            <v>110720.38</v>
          </cell>
          <cell r="K113">
            <v>3158</v>
          </cell>
          <cell r="L113">
            <v>3158</v>
          </cell>
          <cell r="M113">
            <v>4582</v>
          </cell>
          <cell r="N113">
            <v>-1424</v>
          </cell>
          <cell r="O113">
            <v>1</v>
          </cell>
          <cell r="P113">
            <v>3158</v>
          </cell>
          <cell r="Q113">
            <v>0</v>
          </cell>
          <cell r="S113">
            <v>0</v>
          </cell>
        </row>
        <row r="114">
          <cell r="A114" t="str">
            <v>A1301</v>
          </cell>
          <cell r="B114" t="str">
            <v>A1301 Play Barton</v>
          </cell>
          <cell r="C114" t="str">
            <v>Ian Brooke</v>
          </cell>
          <cell r="D114" t="str">
            <v>Stuart Fitzsimmons</v>
          </cell>
          <cell r="E114">
            <v>0</v>
          </cell>
          <cell r="F114">
            <v>20000</v>
          </cell>
          <cell r="G114">
            <v>20000</v>
          </cell>
          <cell r="H114">
            <v>632167.57000000007</v>
          </cell>
          <cell r="I114">
            <v>382167.57</v>
          </cell>
          <cell r="J114">
            <v>250000</v>
          </cell>
          <cell r="K114">
            <v>0</v>
          </cell>
          <cell r="L114">
            <v>0</v>
          </cell>
          <cell r="M114">
            <v>0</v>
          </cell>
          <cell r="N114">
            <v>0</v>
          </cell>
          <cell r="O114">
            <v>0</v>
          </cell>
          <cell r="P114">
            <v>0</v>
          </cell>
          <cell r="Q114">
            <v>0</v>
          </cell>
        </row>
        <row r="115">
          <cell r="A115" t="str">
            <v/>
          </cell>
          <cell r="J115">
            <v>150000</v>
          </cell>
        </row>
        <row r="116">
          <cell r="A116" t="str">
            <v>Indoo</v>
          </cell>
          <cell r="B116" t="str">
            <v>Indoor Sports</v>
          </cell>
        </row>
        <row r="117">
          <cell r="A117" t="str">
            <v>A4810</v>
          </cell>
          <cell r="B117" t="str">
            <v>A4810 New Build Completion Pool</v>
          </cell>
          <cell r="C117" t="str">
            <v>Ian Brooke</v>
          </cell>
          <cell r="D117" t="str">
            <v>Mace</v>
          </cell>
          <cell r="E117">
            <v>5543900</v>
          </cell>
          <cell r="F117">
            <v>-131072.74000000022</v>
          </cell>
          <cell r="G117">
            <v>5412827.2599999998</v>
          </cell>
          <cell r="H117">
            <v>19552952.34</v>
          </cell>
          <cell r="I117">
            <v>3567156.33</v>
          </cell>
          <cell r="J117">
            <v>10685468.75</v>
          </cell>
          <cell r="K117">
            <v>5300327.26</v>
          </cell>
          <cell r="L117">
            <v>1948618.52</v>
          </cell>
          <cell r="M117">
            <v>1726603.375</v>
          </cell>
          <cell r="N117">
            <v>222015.14500000002</v>
          </cell>
          <cell r="O117">
            <v>0.36764117089630427</v>
          </cell>
          <cell r="P117">
            <v>5300327.26</v>
          </cell>
          <cell r="Q117">
            <v>0</v>
          </cell>
          <cell r="R117">
            <v>0</v>
          </cell>
        </row>
        <row r="118">
          <cell r="A118" t="str">
            <v>A4815</v>
          </cell>
          <cell r="B118" t="str">
            <v>A4815 Leisure Centre Improvement Work</v>
          </cell>
          <cell r="C118" t="str">
            <v>Ian Brooke</v>
          </cell>
          <cell r="D118" t="str">
            <v>Hagan Lewisman</v>
          </cell>
          <cell r="E118">
            <v>447250</v>
          </cell>
          <cell r="F118">
            <v>-4257.6500000000233</v>
          </cell>
          <cell r="G118">
            <v>442992.35</v>
          </cell>
          <cell r="H118">
            <v>724011.73</v>
          </cell>
          <cell r="I118">
            <v>281019.38</v>
          </cell>
          <cell r="K118">
            <v>442992.35</v>
          </cell>
          <cell r="L118">
            <v>0</v>
          </cell>
          <cell r="M118">
            <v>55374</v>
          </cell>
          <cell r="N118">
            <v>-55374</v>
          </cell>
          <cell r="O118">
            <v>0</v>
          </cell>
          <cell r="P118">
            <v>442992.35</v>
          </cell>
          <cell r="Q118">
            <v>0</v>
          </cell>
          <cell r="R118">
            <v>0</v>
          </cell>
        </row>
        <row r="119">
          <cell r="A119" t="str">
            <v>A4835</v>
          </cell>
          <cell r="B119" t="str">
            <v>A4835 Biomass store at Cutteslowe Park to supply new pool</v>
          </cell>
          <cell r="C119" t="str">
            <v>Ian Brooke</v>
          </cell>
          <cell r="D119" t="str">
            <v>Stuart Fitzsimmons</v>
          </cell>
          <cell r="E119">
            <v>90000</v>
          </cell>
          <cell r="F119">
            <v>0</v>
          </cell>
          <cell r="G119">
            <v>90000</v>
          </cell>
          <cell r="H119">
            <v>55000</v>
          </cell>
          <cell r="I119">
            <v>0</v>
          </cell>
          <cell r="K119">
            <v>55000</v>
          </cell>
          <cell r="L119">
            <v>0</v>
          </cell>
          <cell r="M119">
            <v>0</v>
          </cell>
          <cell r="N119">
            <v>0</v>
          </cell>
          <cell r="O119">
            <v>0</v>
          </cell>
          <cell r="P119">
            <v>55000</v>
          </cell>
          <cell r="Q119">
            <v>0</v>
          </cell>
          <cell r="S119">
            <v>0</v>
          </cell>
        </row>
        <row r="120">
          <cell r="A120" t="str">
            <v>A4829</v>
          </cell>
          <cell r="B120" t="str">
            <v>A4829 Oxford Spires Academy</v>
          </cell>
          <cell r="C120" t="str">
            <v>Ian Brooke</v>
          </cell>
          <cell r="D120" t="str">
            <v>Ian Brooke</v>
          </cell>
          <cell r="E120">
            <v>500000</v>
          </cell>
          <cell r="F120">
            <v>0</v>
          </cell>
          <cell r="G120">
            <v>500000</v>
          </cell>
          <cell r="H120">
            <v>169000</v>
          </cell>
          <cell r="I120">
            <v>0</v>
          </cell>
          <cell r="J120">
            <v>19000</v>
          </cell>
          <cell r="K120">
            <v>150000</v>
          </cell>
          <cell r="L120">
            <v>0</v>
          </cell>
          <cell r="M120">
            <v>0</v>
          </cell>
          <cell r="N120">
            <v>0</v>
          </cell>
          <cell r="O120">
            <v>0</v>
          </cell>
          <cell r="P120">
            <v>150000</v>
          </cell>
          <cell r="Q120">
            <v>0</v>
          </cell>
        </row>
        <row r="121">
          <cell r="A121" t="str">
            <v/>
          </cell>
          <cell r="J121">
            <v>19300</v>
          </cell>
        </row>
        <row r="122">
          <cell r="A122" t="str">
            <v>Sport</v>
          </cell>
          <cell r="B122" t="str">
            <v>Sports Pavilions</v>
          </cell>
          <cell r="J122">
            <v>50000</v>
          </cell>
        </row>
        <row r="123">
          <cell r="A123" t="str">
            <v/>
          </cell>
          <cell r="J123">
            <v>50000</v>
          </cell>
        </row>
        <row r="124">
          <cell r="A124" t="str">
            <v>A4816</v>
          </cell>
          <cell r="B124" t="str">
            <v>A4816 Sports Pavilions (Allocated by site below)</v>
          </cell>
          <cell r="C124" t="str">
            <v>Ian Brooke</v>
          </cell>
          <cell r="D124" t="str">
            <v>Ian Brooke</v>
          </cell>
          <cell r="E124">
            <v>1201000</v>
          </cell>
          <cell r="F124">
            <v>159279.54000000004</v>
          </cell>
          <cell r="G124">
            <v>1360279.54</v>
          </cell>
          <cell r="H124">
            <v>0</v>
          </cell>
        </row>
        <row r="125">
          <cell r="A125" t="str">
            <v>A4816 Grandpont</v>
          </cell>
          <cell r="B125" t="str">
            <v>Grandpont</v>
          </cell>
          <cell r="H125">
            <v>558000</v>
          </cell>
          <cell r="K125">
            <v>558000</v>
          </cell>
          <cell r="L125">
            <v>483955.01</v>
          </cell>
          <cell r="M125">
            <v>300000</v>
          </cell>
          <cell r="N125">
            <v>183955.01</v>
          </cell>
          <cell r="O125">
            <v>0.86730288530465949</v>
          </cell>
          <cell r="P125">
            <v>558000</v>
          </cell>
        </row>
        <row r="126">
          <cell r="A126" t="str">
            <v>A4816 BBL</v>
          </cell>
          <cell r="B126" t="str">
            <v>Blackbird Leys; Leisure Centre Pavilion</v>
          </cell>
          <cell r="H126">
            <v>466158</v>
          </cell>
          <cell r="J126">
            <v>3158</v>
          </cell>
          <cell r="K126">
            <v>463000</v>
          </cell>
          <cell r="L126">
            <v>288266.59000000003</v>
          </cell>
          <cell r="M126">
            <v>100000</v>
          </cell>
          <cell r="N126">
            <v>188266.59000000003</v>
          </cell>
          <cell r="O126">
            <v>0.62260602591792658</v>
          </cell>
          <cell r="P126">
            <v>463000</v>
          </cell>
        </row>
        <row r="127">
          <cell r="A127" t="str">
            <v>A4816 Cutteslowe</v>
          </cell>
          <cell r="B127" t="str">
            <v>Cutteslowe Park Lower</v>
          </cell>
          <cell r="H127">
            <v>490779.54</v>
          </cell>
          <cell r="J127">
            <v>0</v>
          </cell>
          <cell r="K127">
            <v>490779.54</v>
          </cell>
          <cell r="L127">
            <v>0</v>
          </cell>
          <cell r="M127">
            <v>0</v>
          </cell>
          <cell r="N127">
            <v>0</v>
          </cell>
          <cell r="O127">
            <v>0</v>
          </cell>
          <cell r="P127">
            <v>490779.54</v>
          </cell>
          <cell r="S127">
            <v>0</v>
          </cell>
        </row>
        <row r="128">
          <cell r="A128" t="str">
            <v>A4816 Sandy Lane</v>
          </cell>
          <cell r="B128" t="str">
            <v>Sandy Lane</v>
          </cell>
          <cell r="H128">
            <v>127000</v>
          </cell>
          <cell r="K128">
            <v>127000</v>
          </cell>
          <cell r="L128">
            <v>21735.129999999997</v>
          </cell>
          <cell r="M128">
            <v>0</v>
          </cell>
          <cell r="N128">
            <v>21735.129999999997</v>
          </cell>
          <cell r="O128">
            <v>0.17114275590551178</v>
          </cell>
          <cell r="P128">
            <v>127000</v>
          </cell>
        </row>
        <row r="129">
          <cell r="A129" t="str">
            <v>A4816 Mace Fees</v>
          </cell>
          <cell r="B129" t="str">
            <v>Mace Project Team Fees (Pavilions)</v>
          </cell>
          <cell r="H129">
            <v>95000</v>
          </cell>
          <cell r="K129">
            <v>95000</v>
          </cell>
          <cell r="L129">
            <v>47728.53</v>
          </cell>
          <cell r="M129">
            <v>23750</v>
          </cell>
          <cell r="N129">
            <v>23978.53</v>
          </cell>
          <cell r="O129">
            <v>0.50240557894736837</v>
          </cell>
          <cell r="P129">
            <v>95000</v>
          </cell>
        </row>
        <row r="130">
          <cell r="A130" t="str">
            <v>A4816 Other</v>
          </cell>
          <cell r="B130" t="str">
            <v>Other Costs and Fees (Pavilions)</v>
          </cell>
          <cell r="H130">
            <v>5326327.26</v>
          </cell>
          <cell r="J130">
            <v>5300327.26</v>
          </cell>
          <cell r="K130">
            <v>26000</v>
          </cell>
          <cell r="L130">
            <v>3406.81</v>
          </cell>
          <cell r="M130">
            <v>6500</v>
          </cell>
          <cell r="N130">
            <v>-3093.19</v>
          </cell>
          <cell r="O130">
            <v>0.13103115384615385</v>
          </cell>
          <cell r="P130">
            <v>26000</v>
          </cell>
        </row>
        <row r="131">
          <cell r="A131" t="str">
            <v/>
          </cell>
          <cell r="J131">
            <v>442992.35</v>
          </cell>
        </row>
        <row r="132">
          <cell r="A132" t="str">
            <v>Outdo</v>
          </cell>
          <cell r="B132" t="str">
            <v>Outdoor Sports</v>
          </cell>
          <cell r="J132">
            <v>55000</v>
          </cell>
        </row>
        <row r="133">
          <cell r="A133" t="str">
            <v>A3129</v>
          </cell>
          <cell r="B133" t="str">
            <v>A3129 Donnington Recreation Ground Improvements</v>
          </cell>
          <cell r="C133" t="str">
            <v>Ian Brooke</v>
          </cell>
          <cell r="D133" t="str">
            <v>Ian Brooke</v>
          </cell>
          <cell r="E133">
            <v>0</v>
          </cell>
          <cell r="F133">
            <v>44375</v>
          </cell>
          <cell r="G133">
            <v>44375</v>
          </cell>
          <cell r="H133">
            <v>153750</v>
          </cell>
          <cell r="I133">
            <v>3750</v>
          </cell>
          <cell r="J133">
            <v>150000</v>
          </cell>
          <cell r="K133">
            <v>0</v>
          </cell>
          <cell r="L133">
            <v>0</v>
          </cell>
          <cell r="M133">
            <v>0</v>
          </cell>
          <cell r="N133">
            <v>0</v>
          </cell>
          <cell r="O133">
            <v>0</v>
          </cell>
          <cell r="P133">
            <v>0</v>
          </cell>
          <cell r="Q133">
            <v>0</v>
          </cell>
        </row>
        <row r="134">
          <cell r="A134" t="str">
            <v>A4820</v>
          </cell>
          <cell r="B134" t="str">
            <v>A4820 Upgrade Existing Tennis Courts</v>
          </cell>
          <cell r="C134" t="str">
            <v>Ian Brooke</v>
          </cell>
          <cell r="D134" t="str">
            <v>Ian Brooke</v>
          </cell>
          <cell r="E134">
            <v>54000</v>
          </cell>
          <cell r="F134">
            <v>17168.880000000005</v>
          </cell>
          <cell r="G134">
            <v>71168.88</v>
          </cell>
          <cell r="H134">
            <v>142876.75</v>
          </cell>
          <cell r="I134">
            <v>71707.87</v>
          </cell>
          <cell r="K134">
            <v>71168.88</v>
          </cell>
          <cell r="L134">
            <v>26071.26</v>
          </cell>
          <cell r="M134">
            <v>35146.125</v>
          </cell>
          <cell r="N134">
            <v>-9074.8650000000016</v>
          </cell>
          <cell r="O134">
            <v>0</v>
          </cell>
          <cell r="P134">
            <v>71168.88</v>
          </cell>
          <cell r="Q134">
            <v>0</v>
          </cell>
        </row>
        <row r="135">
          <cell r="A135" t="str">
            <v>A4821</v>
          </cell>
          <cell r="B135" t="str">
            <v>A4821 Upgrade Existing  Multi-Use Games Area</v>
          </cell>
          <cell r="C135" t="str">
            <v>Ian Brooke</v>
          </cell>
          <cell r="D135" t="str">
            <v>Ian Brooke</v>
          </cell>
          <cell r="E135">
            <v>48000</v>
          </cell>
          <cell r="F135">
            <v>-1322.5599999999977</v>
          </cell>
          <cell r="G135">
            <v>46677.440000000002</v>
          </cell>
          <cell r="H135">
            <v>220993.59</v>
          </cell>
          <cell r="I135">
            <v>162316.59</v>
          </cell>
          <cell r="K135">
            <v>58677</v>
          </cell>
          <cell r="L135">
            <v>68073</v>
          </cell>
          <cell r="M135">
            <v>58677</v>
          </cell>
          <cell r="N135">
            <v>9396</v>
          </cell>
          <cell r="O135">
            <v>1.1601308860371184</v>
          </cell>
          <cell r="P135">
            <v>58677</v>
          </cell>
          <cell r="Q135">
            <v>0</v>
          </cell>
        </row>
        <row r="136">
          <cell r="A136" t="str">
            <v>A4831</v>
          </cell>
          <cell r="B136" t="str">
            <v xml:space="preserve">A4831 Three Artificial Turf Cricket Wickets </v>
          </cell>
          <cell r="C136" t="str">
            <v>Ian Brooke</v>
          </cell>
          <cell r="D136" t="str">
            <v>Ian Brooke</v>
          </cell>
          <cell r="E136">
            <v>-24000</v>
          </cell>
          <cell r="F136">
            <v>36000</v>
          </cell>
          <cell r="G136">
            <v>12000</v>
          </cell>
          <cell r="H136">
            <v>0</v>
          </cell>
          <cell r="I136">
            <v>0</v>
          </cell>
          <cell r="K136">
            <v>0</v>
          </cell>
          <cell r="L136">
            <v>0</v>
          </cell>
          <cell r="M136">
            <v>0</v>
          </cell>
          <cell r="N136">
            <v>0</v>
          </cell>
          <cell r="O136">
            <v>0</v>
          </cell>
          <cell r="P136">
            <v>0</v>
          </cell>
          <cell r="Q136">
            <v>0</v>
          </cell>
        </row>
        <row r="137">
          <cell r="A137" t="str">
            <v>A4827</v>
          </cell>
          <cell r="B137" t="str">
            <v>A4827 Cowley Outdoor Gym</v>
          </cell>
          <cell r="C137" t="str">
            <v>Ian Brooke</v>
          </cell>
          <cell r="D137" t="str">
            <v>Ian Brooke</v>
          </cell>
          <cell r="E137">
            <v>0</v>
          </cell>
          <cell r="F137">
            <v>25056</v>
          </cell>
          <cell r="G137">
            <v>25056</v>
          </cell>
          <cell r="H137">
            <v>70000</v>
          </cell>
          <cell r="I137">
            <v>44944</v>
          </cell>
          <cell r="K137">
            <v>25056</v>
          </cell>
          <cell r="L137">
            <v>0</v>
          </cell>
          <cell r="M137">
            <v>3132</v>
          </cell>
          <cell r="N137">
            <v>-3132</v>
          </cell>
          <cell r="O137">
            <v>0</v>
          </cell>
          <cell r="P137">
            <v>25056</v>
          </cell>
          <cell r="Q137">
            <v>0</v>
          </cell>
        </row>
        <row r="138">
          <cell r="A138" t="str">
            <v>A4828</v>
          </cell>
          <cell r="B138" t="str">
            <v>A4828 Valentia Road Playground</v>
          </cell>
          <cell r="C138" t="str">
            <v>Ian Brooke</v>
          </cell>
          <cell r="D138" t="str">
            <v>Ian Brooke</v>
          </cell>
          <cell r="E138">
            <v>0</v>
          </cell>
          <cell r="F138">
            <v>10000</v>
          </cell>
          <cell r="G138">
            <v>10000</v>
          </cell>
          <cell r="H138">
            <v>568000</v>
          </cell>
          <cell r="I138">
            <v>0</v>
          </cell>
          <cell r="J138">
            <v>558000</v>
          </cell>
          <cell r="K138">
            <v>10000</v>
          </cell>
          <cell r="L138">
            <v>0</v>
          </cell>
          <cell r="M138">
            <v>1250</v>
          </cell>
          <cell r="N138">
            <v>-1250</v>
          </cell>
          <cell r="O138">
            <v>0</v>
          </cell>
          <cell r="P138">
            <v>10000</v>
          </cell>
          <cell r="Q138">
            <v>0</v>
          </cell>
        </row>
        <row r="139">
          <cell r="A139" t="str">
            <v/>
          </cell>
          <cell r="H139">
            <v>463000</v>
          </cell>
          <cell r="I139">
            <v>0</v>
          </cell>
          <cell r="J139">
            <v>463000</v>
          </cell>
        </row>
        <row r="140">
          <cell r="A140" t="str">
            <v>Parks</v>
          </cell>
          <cell r="B140" t="str">
            <v>Parks &amp; Cemeteries</v>
          </cell>
          <cell r="H140">
            <v>490779.54</v>
          </cell>
          <cell r="I140">
            <v>0</v>
          </cell>
          <cell r="J140">
            <v>490779.54</v>
          </cell>
        </row>
        <row r="141">
          <cell r="A141" t="str">
            <v>A4818</v>
          </cell>
          <cell r="B141" t="str">
            <v>A4818 Lye Valley &amp; Chiswell Valley Walkways</v>
          </cell>
          <cell r="C141" t="str">
            <v>Ian Brooke</v>
          </cell>
          <cell r="D141" t="str">
            <v>Ian Brooke</v>
          </cell>
          <cell r="E141">
            <v>0</v>
          </cell>
          <cell r="F141">
            <v>64000</v>
          </cell>
          <cell r="G141">
            <v>64000</v>
          </cell>
          <cell r="H141">
            <v>251000</v>
          </cell>
          <cell r="I141">
            <v>60000</v>
          </cell>
          <cell r="J141">
            <v>127000</v>
          </cell>
          <cell r="K141">
            <v>64000</v>
          </cell>
          <cell r="L141">
            <v>0</v>
          </cell>
          <cell r="M141">
            <v>16000</v>
          </cell>
          <cell r="N141">
            <v>-16000</v>
          </cell>
          <cell r="O141">
            <v>0</v>
          </cell>
          <cell r="P141">
            <v>64000</v>
          </cell>
          <cell r="Q141">
            <v>0</v>
          </cell>
        </row>
        <row r="142">
          <cell r="A142" t="str">
            <v>A4826</v>
          </cell>
          <cell r="B142" t="str">
            <v>A4826 Parks Works</v>
          </cell>
          <cell r="C142" t="str">
            <v>Ian Brooke</v>
          </cell>
          <cell r="D142" t="str">
            <v>Ian Brooke</v>
          </cell>
          <cell r="E142">
            <v>100000</v>
          </cell>
          <cell r="F142">
            <v>25698.25</v>
          </cell>
          <cell r="G142">
            <v>125698.25</v>
          </cell>
          <cell r="H142">
            <v>348477.75</v>
          </cell>
          <cell r="I142">
            <v>74301.75</v>
          </cell>
          <cell r="J142">
            <v>95000</v>
          </cell>
          <cell r="K142">
            <v>179176</v>
          </cell>
          <cell r="L142">
            <v>99712.46</v>
          </cell>
          <cell r="M142">
            <v>79272</v>
          </cell>
          <cell r="N142">
            <v>20440.460000000006</v>
          </cell>
          <cell r="O142">
            <v>0.55650567040228605</v>
          </cell>
          <cell r="P142">
            <v>179176</v>
          </cell>
          <cell r="Q142">
            <v>0</v>
          </cell>
        </row>
        <row r="143">
          <cell r="A143" t="str">
            <v>A4830</v>
          </cell>
          <cell r="B143" t="str">
            <v>A4830 Develop new burial space</v>
          </cell>
          <cell r="C143" t="str">
            <v>Ian Brooke</v>
          </cell>
          <cell r="D143" t="str">
            <v>Ian Brooke</v>
          </cell>
          <cell r="E143">
            <v>300000</v>
          </cell>
          <cell r="F143">
            <v>100000</v>
          </cell>
          <cell r="G143">
            <v>400000</v>
          </cell>
          <cell r="H143">
            <v>76000</v>
          </cell>
          <cell r="I143">
            <v>0</v>
          </cell>
          <cell r="J143">
            <v>26000</v>
          </cell>
          <cell r="K143">
            <v>50000</v>
          </cell>
          <cell r="L143">
            <v>2860</v>
          </cell>
          <cell r="M143">
            <v>8875</v>
          </cell>
          <cell r="N143">
            <v>-6015</v>
          </cell>
          <cell r="O143">
            <v>5.7200000000000001E-2</v>
          </cell>
          <cell r="P143">
            <v>50000</v>
          </cell>
          <cell r="Q143">
            <v>0</v>
          </cell>
        </row>
        <row r="144">
          <cell r="A144" t="str">
            <v/>
          </cell>
        </row>
        <row r="145">
          <cell r="A145" t="str">
            <v>S22 L</v>
          </cell>
          <cell r="B145" t="str">
            <v>S22 Leisure &amp; Communities Total</v>
          </cell>
          <cell r="E145">
            <v>8360150</v>
          </cell>
          <cell r="F145">
            <v>407806.73999999982</v>
          </cell>
          <cell r="G145">
            <v>8767956.7399999984</v>
          </cell>
          <cell r="H145">
            <v>41818113.810000002</v>
          </cell>
          <cell r="I145">
            <v>7865129.2899999991</v>
          </cell>
          <cell r="K145">
            <v>8307635.0299999993</v>
          </cell>
          <cell r="L145">
            <v>2993585.3099999996</v>
          </cell>
          <cell r="M145">
            <v>2419161.5</v>
          </cell>
          <cell r="N145">
            <v>574423.81000000017</v>
          </cell>
          <cell r="O145">
            <v>0.36034145688752045</v>
          </cell>
          <cell r="P145">
            <v>8307635.0299999993</v>
          </cell>
          <cell r="Q145">
            <v>0</v>
          </cell>
          <cell r="R145">
            <v>0</v>
          </cell>
          <cell r="S145">
            <v>0</v>
          </cell>
        </row>
        <row r="146">
          <cell r="A146" t="str">
            <v/>
          </cell>
          <cell r="J146">
            <v>0</v>
          </cell>
        </row>
        <row r="147">
          <cell r="A147" t="str">
            <v>Vehic</v>
          </cell>
          <cell r="B147" t="str">
            <v>Vehicles</v>
          </cell>
          <cell r="J147">
            <v>71168.88</v>
          </cell>
        </row>
        <row r="148">
          <cell r="A148" t="str">
            <v>R0005</v>
          </cell>
          <cell r="B148" t="str">
            <v>R0005 MT Vehicles/Plant Replacement Programme.</v>
          </cell>
          <cell r="C148" t="str">
            <v>Graham Bourton</v>
          </cell>
          <cell r="D148" t="str">
            <v>Ian Bourton</v>
          </cell>
          <cell r="E148">
            <v>2731750</v>
          </cell>
          <cell r="F148">
            <v>97381.040000000037</v>
          </cell>
          <cell r="G148">
            <v>2829131.04</v>
          </cell>
          <cell r="H148">
            <v>9633147.0899999999</v>
          </cell>
          <cell r="I148">
            <v>6583339.0899999999</v>
          </cell>
          <cell r="J148">
            <v>58677</v>
          </cell>
          <cell r="K148">
            <v>2991131</v>
          </cell>
          <cell r="L148">
            <v>658114.02</v>
          </cell>
          <cell r="M148">
            <v>658876.59000000008</v>
          </cell>
          <cell r="N148">
            <v>-762.57000000006519</v>
          </cell>
          <cell r="O148">
            <v>0.22002179777482164</v>
          </cell>
          <cell r="P148">
            <v>2991131</v>
          </cell>
          <cell r="Q148">
            <v>0</v>
          </cell>
        </row>
        <row r="149">
          <cell r="A149" t="str">
            <v>T2275</v>
          </cell>
          <cell r="B149" t="str">
            <v>T2275 MOT Service Bay Extension</v>
          </cell>
          <cell r="C149" t="str">
            <v>Jeff Ridgley</v>
          </cell>
          <cell r="D149" t="str">
            <v>Martin Shaw</v>
          </cell>
          <cell r="E149">
            <v>0</v>
          </cell>
          <cell r="F149">
            <v>50990</v>
          </cell>
          <cell r="G149">
            <v>50990</v>
          </cell>
          <cell r="H149">
            <v>160000</v>
          </cell>
          <cell r="I149">
            <v>109010</v>
          </cell>
          <cell r="J149">
            <v>0</v>
          </cell>
          <cell r="K149">
            <v>50990</v>
          </cell>
          <cell r="L149">
            <v>47538.01</v>
          </cell>
          <cell r="M149">
            <v>50990</v>
          </cell>
          <cell r="N149">
            <v>-3451.989999999998</v>
          </cell>
          <cell r="O149">
            <v>0.9323006471857227</v>
          </cell>
          <cell r="P149">
            <v>50990</v>
          </cell>
          <cell r="Q149">
            <v>0</v>
          </cell>
        </row>
        <row r="150">
          <cell r="A150" t="str">
            <v/>
          </cell>
          <cell r="J150">
            <v>25056</v>
          </cell>
        </row>
        <row r="151">
          <cell r="A151" t="str">
            <v>Clean</v>
          </cell>
          <cell r="B151" t="str">
            <v>Cleansing Services</v>
          </cell>
          <cell r="J151">
            <v>10000</v>
          </cell>
        </row>
        <row r="152">
          <cell r="A152" t="str">
            <v>T2269</v>
          </cell>
          <cell r="B152" t="str">
            <v>T2269 Toilet improvements</v>
          </cell>
          <cell r="C152" t="str">
            <v>Jane Winfield</v>
          </cell>
          <cell r="D152" t="str">
            <v>Martin Shaw</v>
          </cell>
          <cell r="E152">
            <v>170000</v>
          </cell>
          <cell r="F152">
            <v>10219.589999999997</v>
          </cell>
          <cell r="G152">
            <v>180219.59</v>
          </cell>
          <cell r="H152">
            <v>509055.18000000005</v>
          </cell>
          <cell r="I152">
            <v>328835.59000000003</v>
          </cell>
          <cell r="K152">
            <v>180219.59</v>
          </cell>
          <cell r="L152">
            <v>19938.810000000001</v>
          </cell>
          <cell r="M152">
            <v>25951.68</v>
          </cell>
          <cell r="N152">
            <v>-6012.869999999999</v>
          </cell>
          <cell r="O152">
            <v>0.11063619665320513</v>
          </cell>
          <cell r="P152">
            <v>180219.59</v>
          </cell>
          <cell r="Q152">
            <v>0</v>
          </cell>
        </row>
        <row r="153">
          <cell r="A153" t="str">
            <v>T2270</v>
          </cell>
          <cell r="B153" t="str">
            <v>T2270 Bin Stores for Council Flats to Assist Recycling</v>
          </cell>
          <cell r="C153" t="str">
            <v>Graham Bourton</v>
          </cell>
          <cell r="D153" t="str">
            <v>Geoff Corps</v>
          </cell>
          <cell r="E153">
            <v>0</v>
          </cell>
          <cell r="F153">
            <v>0</v>
          </cell>
          <cell r="G153">
            <v>0</v>
          </cell>
          <cell r="H153">
            <v>329158.03999999998</v>
          </cell>
          <cell r="I153">
            <v>329158.03999999998</v>
          </cell>
          <cell r="L153">
            <v>7832.96</v>
          </cell>
          <cell r="M153">
            <v>0</v>
          </cell>
          <cell r="N153">
            <v>7832.96</v>
          </cell>
          <cell r="O153">
            <v>0</v>
          </cell>
        </row>
        <row r="154">
          <cell r="A154" t="str">
            <v>T2276</v>
          </cell>
          <cell r="B154" t="str">
            <v>T2276 Invest to Save - Bin Washing Service</v>
          </cell>
          <cell r="C154" t="str">
            <v>Graham Bourton</v>
          </cell>
          <cell r="D154" t="str">
            <v>Geoff Corps</v>
          </cell>
          <cell r="E154">
            <v>83000</v>
          </cell>
          <cell r="F154">
            <v>0</v>
          </cell>
          <cell r="G154">
            <v>83000</v>
          </cell>
          <cell r="H154">
            <v>147000</v>
          </cell>
          <cell r="I154">
            <v>0</v>
          </cell>
          <cell r="J154">
            <v>64000</v>
          </cell>
          <cell r="K154">
            <v>83000</v>
          </cell>
          <cell r="L154">
            <v>0</v>
          </cell>
          <cell r="M154">
            <v>0</v>
          </cell>
          <cell r="N154">
            <v>0</v>
          </cell>
          <cell r="O154">
            <v>0</v>
          </cell>
          <cell r="P154">
            <v>83000</v>
          </cell>
          <cell r="Q154">
            <v>0</v>
          </cell>
        </row>
        <row r="155">
          <cell r="A155" t="str">
            <v>T2277</v>
          </cell>
          <cell r="B155" t="str">
            <v>T2277 Food waste collection from flats</v>
          </cell>
          <cell r="C155" t="str">
            <v>Graham Bourton</v>
          </cell>
          <cell r="D155" t="str">
            <v>Geoff Corps</v>
          </cell>
          <cell r="E155">
            <v>129000</v>
          </cell>
          <cell r="F155">
            <v>0</v>
          </cell>
          <cell r="G155">
            <v>129000</v>
          </cell>
          <cell r="H155">
            <v>308176</v>
          </cell>
          <cell r="I155">
            <v>0</v>
          </cell>
          <cell r="J155">
            <v>179176</v>
          </cell>
          <cell r="K155">
            <v>129000</v>
          </cell>
          <cell r="L155">
            <v>0</v>
          </cell>
          <cell r="M155">
            <v>0</v>
          </cell>
          <cell r="N155">
            <v>0</v>
          </cell>
          <cell r="O155">
            <v>0</v>
          </cell>
          <cell r="P155">
            <v>129000</v>
          </cell>
          <cell r="Q155">
            <v>0</v>
          </cell>
        </row>
        <row r="156">
          <cell r="A156" t="str">
            <v/>
          </cell>
          <cell r="J156">
            <v>50000</v>
          </cell>
        </row>
        <row r="157">
          <cell r="A157" t="str">
            <v>Car P</v>
          </cell>
          <cell r="B157" t="str">
            <v>Car Parking</v>
          </cell>
        </row>
        <row r="158">
          <cell r="A158" t="str">
            <v>B0081</v>
          </cell>
          <cell r="B158" t="str">
            <v>B0081 Car Parking Oxpens</v>
          </cell>
          <cell r="C158" t="str">
            <v>Jane Winfield</v>
          </cell>
          <cell r="D158" t="str">
            <v>Jane Winfield</v>
          </cell>
          <cell r="E158">
            <v>3000000</v>
          </cell>
          <cell r="F158">
            <v>141959.43000000017</v>
          </cell>
          <cell r="G158">
            <v>3141959.43</v>
          </cell>
          <cell r="H158">
            <v>11607635.029999999</v>
          </cell>
          <cell r="I158">
            <v>158040.57</v>
          </cell>
          <cell r="J158">
            <v>8307635.0299999993</v>
          </cell>
          <cell r="K158">
            <v>3141959.43</v>
          </cell>
          <cell r="L158">
            <v>653938.87</v>
          </cell>
          <cell r="M158">
            <v>652899.07999999996</v>
          </cell>
          <cell r="N158">
            <v>1039.7900000000373</v>
          </cell>
          <cell r="O158">
            <v>0.20813090829756511</v>
          </cell>
          <cell r="P158">
            <v>3141959.43</v>
          </cell>
          <cell r="Q158">
            <v>0</v>
          </cell>
        </row>
        <row r="159">
          <cell r="A159" t="str">
            <v>B0037</v>
          </cell>
          <cell r="B159" t="str">
            <v>B0037 Car Parks</v>
          </cell>
          <cell r="C159" t="str">
            <v>Jane Winfield</v>
          </cell>
          <cell r="D159" t="str">
            <v>Jason Munro</v>
          </cell>
          <cell r="E159">
            <v>0</v>
          </cell>
          <cell r="H159">
            <v>328793.37</v>
          </cell>
          <cell r="I159">
            <v>248793.37</v>
          </cell>
          <cell r="K159">
            <v>80000</v>
          </cell>
          <cell r="L159">
            <v>23574.48</v>
          </cell>
          <cell r="M159">
            <v>24000</v>
          </cell>
          <cell r="N159">
            <v>-425.52000000000044</v>
          </cell>
          <cell r="O159">
            <v>0.29468099999999997</v>
          </cell>
          <cell r="P159">
            <v>80000</v>
          </cell>
        </row>
        <row r="160">
          <cell r="A160" t="str">
            <v>B0086</v>
          </cell>
          <cell r="B160" t="str">
            <v>B0086 Extension to Seacourt Park &amp; Ride (Part of feasibility reports)</v>
          </cell>
          <cell r="C160" t="str">
            <v>Roy Summers</v>
          </cell>
          <cell r="D160" t="str">
            <v>Nick Twigg</v>
          </cell>
          <cell r="E160">
            <v>400000</v>
          </cell>
          <cell r="F160">
            <v>0</v>
          </cell>
          <cell r="G160">
            <v>400000</v>
          </cell>
          <cell r="H160">
            <v>400000</v>
          </cell>
          <cell r="I160">
            <v>0</v>
          </cell>
          <cell r="K160">
            <v>400000</v>
          </cell>
          <cell r="L160">
            <v>0</v>
          </cell>
          <cell r="M160">
            <v>0</v>
          </cell>
          <cell r="N160">
            <v>0</v>
          </cell>
          <cell r="O160">
            <v>0</v>
          </cell>
          <cell r="P160">
            <v>400000</v>
          </cell>
          <cell r="Q160">
            <v>0</v>
          </cell>
        </row>
        <row r="161">
          <cell r="A161" t="str">
            <v>F0011</v>
          </cell>
          <cell r="B161" t="str">
            <v>F0011 Pay &amp; Display Parking in the Car Parks</v>
          </cell>
          <cell r="C161" t="str">
            <v>Roy Summers</v>
          </cell>
          <cell r="D161" t="str">
            <v>Jason Munro</v>
          </cell>
          <cell r="E161">
            <v>0</v>
          </cell>
          <cell r="F161">
            <v>71214</v>
          </cell>
          <cell r="G161">
            <v>71214</v>
          </cell>
          <cell r="H161">
            <v>3142683.62</v>
          </cell>
          <cell r="I161">
            <v>80338.62</v>
          </cell>
          <cell r="J161">
            <v>2991131</v>
          </cell>
          <cell r="K161">
            <v>71214</v>
          </cell>
          <cell r="L161">
            <v>21078.9</v>
          </cell>
          <cell r="M161">
            <v>28485.599999999999</v>
          </cell>
          <cell r="N161">
            <v>-7406.6999999999971</v>
          </cell>
          <cell r="O161">
            <v>0.29599376527087373</v>
          </cell>
          <cell r="P161">
            <v>71214</v>
          </cell>
          <cell r="Q161">
            <v>0</v>
          </cell>
        </row>
        <row r="162">
          <cell r="A162" t="str">
            <v>F0012</v>
          </cell>
          <cell r="B162" t="str">
            <v>F0012 P &amp; R Puchase of Capital Items - Peartree, Redbrid</v>
          </cell>
          <cell r="C162" t="str">
            <v>Roy Summers</v>
          </cell>
          <cell r="D162" t="str">
            <v>Jason Munro</v>
          </cell>
          <cell r="E162">
            <v>0</v>
          </cell>
          <cell r="F162">
            <v>0</v>
          </cell>
          <cell r="G162">
            <v>0</v>
          </cell>
          <cell r="H162">
            <v>150781.09</v>
          </cell>
          <cell r="I162">
            <v>99791.09</v>
          </cell>
          <cell r="J162">
            <v>50990</v>
          </cell>
          <cell r="L162">
            <v>5980.1</v>
          </cell>
          <cell r="M162">
            <v>0</v>
          </cell>
          <cell r="N162">
            <v>5980.1</v>
          </cell>
        </row>
        <row r="163">
          <cell r="A163" t="str">
            <v>T2273</v>
          </cell>
          <cell r="B163" t="str">
            <v>T2273 Car Parks Resurfacing</v>
          </cell>
          <cell r="C163" t="str">
            <v>Tim Sadler</v>
          </cell>
          <cell r="D163" t="str">
            <v>Roy Summers</v>
          </cell>
          <cell r="E163">
            <v>350000</v>
          </cell>
          <cell r="F163">
            <v>21729.869999999995</v>
          </cell>
          <cell r="G163">
            <v>371729.87</v>
          </cell>
          <cell r="H163">
            <v>430000</v>
          </cell>
          <cell r="I163">
            <v>58270.13</v>
          </cell>
          <cell r="K163">
            <v>371729.87</v>
          </cell>
          <cell r="L163">
            <v>193706.48</v>
          </cell>
          <cell r="M163">
            <v>185865</v>
          </cell>
          <cell r="N163">
            <v>7841.4800000000105</v>
          </cell>
          <cell r="O163">
            <v>0.52109474011329793</v>
          </cell>
          <cell r="P163">
            <v>371729.87</v>
          </cell>
          <cell r="Q163">
            <v>0</v>
          </cell>
        </row>
        <row r="164">
          <cell r="A164" t="str">
            <v>T2274</v>
          </cell>
          <cell r="B164" t="str">
            <v>T2274 Gloucester Green Car Park Waterproofing</v>
          </cell>
          <cell r="C164" t="str">
            <v>Roy Summers</v>
          </cell>
          <cell r="D164" t="str">
            <v>Steve Smith</v>
          </cell>
          <cell r="E164">
            <v>0</v>
          </cell>
          <cell r="F164">
            <v>96688.1</v>
          </cell>
          <cell r="G164">
            <v>96688.1</v>
          </cell>
          <cell r="H164">
            <v>100000</v>
          </cell>
          <cell r="I164">
            <v>3311.9</v>
          </cell>
          <cell r="K164">
            <v>96688.1</v>
          </cell>
          <cell r="L164">
            <v>0</v>
          </cell>
          <cell r="M164">
            <v>29006.399999999998</v>
          </cell>
          <cell r="N164">
            <v>-29006.399999999998</v>
          </cell>
          <cell r="O164">
            <v>0</v>
          </cell>
          <cell r="P164">
            <v>96688.1</v>
          </cell>
          <cell r="Q164">
            <v>0</v>
          </cell>
        </row>
        <row r="165">
          <cell r="A165" t="str">
            <v>T2279</v>
          </cell>
          <cell r="B165" t="str">
            <v>T2279 Leys Parking</v>
          </cell>
          <cell r="C165" t="str">
            <v>Roy Summers</v>
          </cell>
          <cell r="D165" t="str">
            <v>Geoff Corps</v>
          </cell>
          <cell r="E165">
            <v>87000</v>
          </cell>
          <cell r="F165">
            <v>0</v>
          </cell>
          <cell r="G165">
            <v>87000</v>
          </cell>
          <cell r="H165">
            <v>267219.58999999997</v>
          </cell>
          <cell r="I165">
            <v>0</v>
          </cell>
          <cell r="J165">
            <v>180219.59</v>
          </cell>
          <cell r="K165">
            <v>87000</v>
          </cell>
          <cell r="L165">
            <v>195</v>
          </cell>
          <cell r="M165">
            <v>87000</v>
          </cell>
          <cell r="N165">
            <v>-86805</v>
          </cell>
          <cell r="O165">
            <v>2.2413793103448275E-3</v>
          </cell>
          <cell r="P165">
            <v>87000</v>
          </cell>
          <cell r="Q165">
            <v>0</v>
          </cell>
        </row>
        <row r="166">
          <cell r="A166" t="str">
            <v/>
          </cell>
        </row>
        <row r="167">
          <cell r="A167" t="str">
            <v>S23 D</v>
          </cell>
          <cell r="B167" t="str">
            <v>S23 Direct Services Total</v>
          </cell>
          <cell r="E167">
            <v>6950750</v>
          </cell>
          <cell r="F167">
            <v>490182.03000000014</v>
          </cell>
          <cell r="G167">
            <v>7440932.0300000003</v>
          </cell>
          <cell r="H167">
            <v>27513649.009999998</v>
          </cell>
          <cell r="I167">
            <v>7998888.4000000004</v>
          </cell>
          <cell r="J167">
            <v>83000</v>
          </cell>
          <cell r="K167">
            <v>7682931.9899999993</v>
          </cell>
          <cell r="L167">
            <v>1631897.63</v>
          </cell>
          <cell r="M167">
            <v>1743074.35</v>
          </cell>
          <cell r="N167">
            <v>-111176.72</v>
          </cell>
          <cell r="O167">
            <v>0.21931360526081836</v>
          </cell>
          <cell r="P167">
            <v>7682931.9899999993</v>
          </cell>
          <cell r="Q167">
            <v>0</v>
          </cell>
          <cell r="R167">
            <v>0</v>
          </cell>
          <cell r="S167">
            <v>0</v>
          </cell>
        </row>
        <row r="168">
          <cell r="A168" t="str">
            <v/>
          </cell>
          <cell r="J168">
            <v>129000</v>
          </cell>
        </row>
        <row r="169">
          <cell r="A169" t="str">
            <v>B0074</v>
          </cell>
          <cell r="B169" t="str">
            <v>B0074 R &amp; D Feasibility Fund</v>
          </cell>
          <cell r="C169" t="str">
            <v>Nigel Kennedy</v>
          </cell>
          <cell r="D169" t="str">
            <v>Various</v>
          </cell>
          <cell r="E169">
            <v>125000</v>
          </cell>
          <cell r="F169">
            <v>123893.19</v>
          </cell>
          <cell r="G169">
            <v>248893.19</v>
          </cell>
          <cell r="H169">
            <v>250000</v>
          </cell>
          <cell r="I169">
            <v>1106.81</v>
          </cell>
          <cell r="K169">
            <v>248893.19</v>
          </cell>
          <cell r="L169">
            <v>3300</v>
          </cell>
          <cell r="M169">
            <v>0</v>
          </cell>
          <cell r="N169">
            <v>3300</v>
          </cell>
          <cell r="O169">
            <v>0</v>
          </cell>
          <cell r="P169">
            <v>248893.19</v>
          </cell>
          <cell r="Q169">
            <v>0</v>
          </cell>
        </row>
        <row r="170">
          <cell r="A170" t="str">
            <v>C3051</v>
          </cell>
          <cell r="B170" t="str">
            <v xml:space="preserve">C3051 Veriscan Solution, Identity Authentication Solution </v>
          </cell>
          <cell r="C170" t="str">
            <v>Nigel Kennedy</v>
          </cell>
          <cell r="D170" t="str">
            <v>Carol Quainton</v>
          </cell>
          <cell r="E170">
            <v>20000</v>
          </cell>
          <cell r="F170">
            <v>0</v>
          </cell>
          <cell r="G170">
            <v>20000</v>
          </cell>
          <cell r="H170">
            <v>20000</v>
          </cell>
          <cell r="I170">
            <v>0</v>
          </cell>
          <cell r="K170">
            <v>20000</v>
          </cell>
          <cell r="L170">
            <v>10765</v>
          </cell>
          <cell r="M170">
            <v>20000</v>
          </cell>
          <cell r="N170">
            <v>-9235</v>
          </cell>
          <cell r="O170">
            <v>0.53825000000000001</v>
          </cell>
          <cell r="P170">
            <v>20000</v>
          </cell>
          <cell r="Q170">
            <v>0</v>
          </cell>
        </row>
        <row r="171">
          <cell r="A171" t="str">
            <v>C3052</v>
          </cell>
          <cell r="B171" t="str">
            <v>C3052 Fraud Solutions and Data Warehouse</v>
          </cell>
          <cell r="C171" t="str">
            <v>Nigel Kennedy</v>
          </cell>
          <cell r="D171" t="str">
            <v>Carol Quainton</v>
          </cell>
          <cell r="E171">
            <v>41000</v>
          </cell>
          <cell r="F171">
            <v>0</v>
          </cell>
          <cell r="G171">
            <v>41000</v>
          </cell>
          <cell r="H171">
            <v>3182959.43</v>
          </cell>
          <cell r="I171">
            <v>0</v>
          </cell>
          <cell r="J171">
            <v>3141959.43</v>
          </cell>
          <cell r="K171">
            <v>41000</v>
          </cell>
          <cell r="L171">
            <v>0</v>
          </cell>
          <cell r="M171">
            <v>20000</v>
          </cell>
          <cell r="N171">
            <v>-20000</v>
          </cell>
          <cell r="O171">
            <v>0</v>
          </cell>
          <cell r="P171">
            <v>41000</v>
          </cell>
          <cell r="Q171">
            <v>0</v>
          </cell>
        </row>
        <row r="172">
          <cell r="A172" t="str">
            <v/>
          </cell>
          <cell r="J172">
            <v>80000</v>
          </cell>
        </row>
        <row r="173">
          <cell r="A173" t="str">
            <v>S32 F</v>
          </cell>
          <cell r="B173" t="str">
            <v>S32 Finance Total</v>
          </cell>
          <cell r="E173">
            <v>186000</v>
          </cell>
          <cell r="F173">
            <v>123893.19</v>
          </cell>
          <cell r="G173">
            <v>309893.19</v>
          </cell>
          <cell r="H173">
            <v>3452959.43</v>
          </cell>
          <cell r="I173">
            <v>1106.81</v>
          </cell>
          <cell r="J173">
            <v>400000</v>
          </cell>
          <cell r="K173">
            <v>309893.19</v>
          </cell>
          <cell r="L173">
            <v>14065</v>
          </cell>
          <cell r="M173">
            <v>40000</v>
          </cell>
          <cell r="N173">
            <v>-25935</v>
          </cell>
          <cell r="O173">
            <v>4.5386605623698929E-2</v>
          </cell>
          <cell r="P173">
            <v>309893.19</v>
          </cell>
          <cell r="Q173">
            <v>0</v>
          </cell>
          <cell r="R173">
            <v>0</v>
          </cell>
          <cell r="S173">
            <v>0</v>
          </cell>
        </row>
        <row r="174">
          <cell r="A174" t="str">
            <v/>
          </cell>
          <cell r="J174">
            <v>71214</v>
          </cell>
        </row>
        <row r="175">
          <cell r="A175" t="str">
            <v>GF To</v>
          </cell>
          <cell r="B175" t="str">
            <v>GF Total</v>
          </cell>
          <cell r="E175">
            <v>32270589</v>
          </cell>
          <cell r="F175">
            <v>2700282.1999999997</v>
          </cell>
          <cell r="G175">
            <v>34970871.199999996</v>
          </cell>
          <cell r="H175">
            <v>114665020.77000001</v>
          </cell>
          <cell r="I175">
            <v>31268790.369999997</v>
          </cell>
          <cell r="K175">
            <v>34491540.239999995</v>
          </cell>
          <cell r="L175">
            <v>6141343.0899999999</v>
          </cell>
          <cell r="M175">
            <v>5613324.4869616665</v>
          </cell>
          <cell r="N175">
            <v>528018.60303833347</v>
          </cell>
          <cell r="O175">
            <v>0.17805360523963659</v>
          </cell>
          <cell r="P175">
            <v>34491540.239999995</v>
          </cell>
          <cell r="Q175">
            <v>0</v>
          </cell>
          <cell r="R175">
            <v>0</v>
          </cell>
          <cell r="S175">
            <v>0</v>
          </cell>
        </row>
        <row r="176">
          <cell r="A176" t="str">
            <v/>
          </cell>
          <cell r="J176">
            <v>371729.87</v>
          </cell>
        </row>
        <row r="177">
          <cell r="A177" t="str">
            <v>Exter</v>
          </cell>
          <cell r="B177" t="str">
            <v>External Contracts</v>
          </cell>
          <cell r="J177">
            <v>96688.1</v>
          </cell>
        </row>
        <row r="178">
          <cell r="A178" t="str">
            <v>N6384</v>
          </cell>
          <cell r="B178" t="str">
            <v>N6384 Tower Blocks</v>
          </cell>
          <cell r="C178" t="str">
            <v>Stephen Clarke</v>
          </cell>
          <cell r="D178" t="str">
            <v>Martin Shaw</v>
          </cell>
          <cell r="E178">
            <v>279000</v>
          </cell>
          <cell r="F178">
            <v>0</v>
          </cell>
          <cell r="G178">
            <v>279000</v>
          </cell>
          <cell r="H178">
            <v>996610.69</v>
          </cell>
          <cell r="I178">
            <v>630610.68999999994</v>
          </cell>
          <cell r="J178">
            <v>87000</v>
          </cell>
          <cell r="K178">
            <v>279000</v>
          </cell>
          <cell r="L178">
            <v>193760</v>
          </cell>
          <cell r="M178">
            <v>174375</v>
          </cell>
          <cell r="N178">
            <v>19385</v>
          </cell>
          <cell r="O178">
            <v>0.69448028673835127</v>
          </cell>
          <cell r="P178">
            <v>279000</v>
          </cell>
          <cell r="Q178">
            <v>0</v>
          </cell>
        </row>
        <row r="179">
          <cell r="A179" t="str">
            <v>N6386</v>
          </cell>
          <cell r="B179" t="str">
            <v>N6386 Structural</v>
          </cell>
          <cell r="C179" t="str">
            <v>Stephen Clarke</v>
          </cell>
          <cell r="D179" t="str">
            <v>Martin Shaw</v>
          </cell>
          <cell r="E179">
            <v>128000</v>
          </cell>
          <cell r="F179">
            <v>0</v>
          </cell>
          <cell r="G179">
            <v>128000</v>
          </cell>
          <cell r="H179">
            <v>809752.41</v>
          </cell>
          <cell r="I179">
            <v>681752.41</v>
          </cell>
          <cell r="K179">
            <v>128000</v>
          </cell>
          <cell r="L179">
            <v>32974.449999999997</v>
          </cell>
          <cell r="M179">
            <v>44800</v>
          </cell>
          <cell r="N179">
            <v>-11825.550000000003</v>
          </cell>
          <cell r="O179">
            <v>0.25761289062499998</v>
          </cell>
          <cell r="P179">
            <v>128000</v>
          </cell>
          <cell r="Q179">
            <v>0</v>
          </cell>
        </row>
        <row r="180">
          <cell r="A180" t="str">
            <v>N6387</v>
          </cell>
          <cell r="B180" t="str">
            <v>N6387 Controlled Entry</v>
          </cell>
          <cell r="C180" t="str">
            <v>Stephen Clarke</v>
          </cell>
          <cell r="D180" t="str">
            <v>Martin Shaw</v>
          </cell>
          <cell r="E180">
            <v>215000</v>
          </cell>
          <cell r="F180">
            <v>0</v>
          </cell>
          <cell r="G180">
            <v>215000</v>
          </cell>
          <cell r="H180">
            <v>8746961.0999999996</v>
          </cell>
          <cell r="I180">
            <v>849029.11</v>
          </cell>
          <cell r="J180">
            <v>7682931.9899999993</v>
          </cell>
          <cell r="K180">
            <v>215000</v>
          </cell>
          <cell r="L180">
            <v>0</v>
          </cell>
          <cell r="M180">
            <v>0</v>
          </cell>
          <cell r="N180">
            <v>0</v>
          </cell>
          <cell r="O180">
            <v>0</v>
          </cell>
          <cell r="P180">
            <v>215000</v>
          </cell>
          <cell r="Q180">
            <v>0</v>
          </cell>
        </row>
        <row r="181">
          <cell r="A181" t="str">
            <v>N6389</v>
          </cell>
          <cell r="B181" t="str">
            <v>N6389 Damp-proof works (K&amp;B)</v>
          </cell>
          <cell r="C181" t="str">
            <v>Stephen Clarke</v>
          </cell>
          <cell r="D181" t="str">
            <v>Martin Shaw</v>
          </cell>
          <cell r="E181">
            <v>92000</v>
          </cell>
          <cell r="F181">
            <v>0</v>
          </cell>
          <cell r="G181">
            <v>92000</v>
          </cell>
          <cell r="H181">
            <v>506683.46</v>
          </cell>
          <cell r="I181">
            <v>414683.46</v>
          </cell>
          <cell r="K181">
            <v>92000</v>
          </cell>
          <cell r="L181">
            <v>29111.37</v>
          </cell>
          <cell r="M181">
            <v>18400</v>
          </cell>
          <cell r="N181">
            <v>10711.369999999999</v>
          </cell>
          <cell r="O181">
            <v>0.31642793478260867</v>
          </cell>
          <cell r="P181">
            <v>92000</v>
          </cell>
          <cell r="Q181">
            <v>0</v>
          </cell>
        </row>
        <row r="182">
          <cell r="A182" t="str">
            <v>N6392</v>
          </cell>
          <cell r="B182" t="str">
            <v>N6392 Roofing</v>
          </cell>
          <cell r="C182" t="str">
            <v>Stephen Clarke</v>
          </cell>
          <cell r="D182" t="str">
            <v>Martin Shaw</v>
          </cell>
          <cell r="E182">
            <v>154000</v>
          </cell>
          <cell r="F182">
            <v>0</v>
          </cell>
          <cell r="G182">
            <v>154000</v>
          </cell>
          <cell r="H182">
            <v>1124452.06</v>
          </cell>
          <cell r="I182">
            <v>571558.87</v>
          </cell>
          <cell r="J182">
            <v>248893.19</v>
          </cell>
          <cell r="K182">
            <v>304000</v>
          </cell>
          <cell r="L182">
            <v>218241.33</v>
          </cell>
          <cell r="M182">
            <v>138168</v>
          </cell>
          <cell r="N182">
            <v>80073.329999999987</v>
          </cell>
          <cell r="O182">
            <v>0.7178991118421052</v>
          </cell>
          <cell r="P182">
            <v>304000</v>
          </cell>
          <cell r="Q182">
            <v>0</v>
          </cell>
        </row>
        <row r="183">
          <cell r="A183" t="str">
            <v>N6393</v>
          </cell>
          <cell r="B183" t="str">
            <v>N6393 External Doors</v>
          </cell>
          <cell r="C183" t="str">
            <v>Stephen Clarke</v>
          </cell>
          <cell r="D183" t="str">
            <v>Martin Shaw</v>
          </cell>
          <cell r="E183">
            <v>205000</v>
          </cell>
          <cell r="F183">
            <v>0</v>
          </cell>
          <cell r="G183">
            <v>205000</v>
          </cell>
          <cell r="H183">
            <v>789130.88</v>
          </cell>
          <cell r="I183">
            <v>564130.88</v>
          </cell>
          <cell r="J183">
            <v>20000</v>
          </cell>
          <cell r="K183">
            <v>205000</v>
          </cell>
          <cell r="L183">
            <v>0</v>
          </cell>
          <cell r="M183">
            <v>0</v>
          </cell>
          <cell r="N183">
            <v>0</v>
          </cell>
          <cell r="O183">
            <v>0</v>
          </cell>
          <cell r="P183">
            <v>205000</v>
          </cell>
          <cell r="Q183">
            <v>0</v>
          </cell>
        </row>
        <row r="184">
          <cell r="A184" t="str">
            <v>N6394</v>
          </cell>
          <cell r="B184" t="str">
            <v>N6394 Windows</v>
          </cell>
          <cell r="C184" t="str">
            <v>Stephen Clarke</v>
          </cell>
          <cell r="D184" t="str">
            <v>Martin Shaw</v>
          </cell>
          <cell r="E184">
            <v>256000</v>
          </cell>
          <cell r="F184">
            <v>0</v>
          </cell>
          <cell r="G184">
            <v>256000</v>
          </cell>
          <cell r="H184">
            <v>1448927.81</v>
          </cell>
          <cell r="I184">
            <v>1301927.81</v>
          </cell>
          <cell r="J184">
            <v>41000</v>
          </cell>
          <cell r="K184">
            <v>106000</v>
          </cell>
          <cell r="L184">
            <v>9112.84</v>
          </cell>
          <cell r="M184">
            <v>22450.799999999999</v>
          </cell>
          <cell r="N184">
            <v>-13337.96</v>
          </cell>
          <cell r="O184">
            <v>8.5970188679245288E-2</v>
          </cell>
          <cell r="P184">
            <v>106000</v>
          </cell>
          <cell r="Q184">
            <v>0</v>
          </cell>
        </row>
        <row r="185">
          <cell r="A185" t="str">
            <v>N7020</v>
          </cell>
          <cell r="B185" t="str">
            <v>N7020 Extensions &amp; Major Adaptions</v>
          </cell>
          <cell r="C185" t="str">
            <v>Stephen Clarke</v>
          </cell>
          <cell r="D185" t="str">
            <v>Martin Shaw</v>
          </cell>
          <cell r="E185">
            <v>308000</v>
          </cell>
          <cell r="F185">
            <v>0</v>
          </cell>
          <cell r="G185">
            <v>308000</v>
          </cell>
          <cell r="H185">
            <v>902181.22</v>
          </cell>
          <cell r="I185">
            <v>594181.22</v>
          </cell>
          <cell r="K185">
            <v>308000</v>
          </cell>
          <cell r="L185">
            <v>-14578.31</v>
          </cell>
          <cell r="M185">
            <v>0</v>
          </cell>
          <cell r="N185">
            <v>-14578.31</v>
          </cell>
          <cell r="O185">
            <v>-4.7332175324675325E-2</v>
          </cell>
          <cell r="P185">
            <v>308000</v>
          </cell>
          <cell r="Q185">
            <v>0</v>
          </cell>
        </row>
        <row r="186">
          <cell r="A186" t="str">
            <v>N7026</v>
          </cell>
          <cell r="B186" t="str">
            <v>N7026 Communal Areas</v>
          </cell>
          <cell r="C186" t="str">
            <v>Stephen Clarke</v>
          </cell>
          <cell r="D186" t="str">
            <v>Martin Shaw</v>
          </cell>
          <cell r="E186">
            <v>154000</v>
          </cell>
          <cell r="F186">
            <v>0</v>
          </cell>
          <cell r="G186">
            <v>154000</v>
          </cell>
          <cell r="H186">
            <v>588637.66999999993</v>
          </cell>
          <cell r="I186">
            <v>124744.48</v>
          </cell>
          <cell r="J186">
            <v>309893.19</v>
          </cell>
          <cell r="K186">
            <v>154000</v>
          </cell>
          <cell r="L186">
            <v>54236.69</v>
          </cell>
          <cell r="M186">
            <v>64680</v>
          </cell>
          <cell r="N186">
            <v>-10443.309999999998</v>
          </cell>
          <cell r="O186">
            <v>0.35218629870129869</v>
          </cell>
          <cell r="P186">
            <v>154000</v>
          </cell>
          <cell r="Q186">
            <v>0</v>
          </cell>
        </row>
        <row r="187">
          <cell r="A187" t="str">
            <v>N7027</v>
          </cell>
          <cell r="B187" t="str">
            <v>N7027 Environmental Improvements</v>
          </cell>
          <cell r="C187" t="str">
            <v>Stephen Clarke</v>
          </cell>
          <cell r="D187" t="str">
            <v>Martin Shaw</v>
          </cell>
          <cell r="E187">
            <v>103000</v>
          </cell>
          <cell r="F187">
            <v>60000</v>
          </cell>
          <cell r="G187">
            <v>163000</v>
          </cell>
          <cell r="H187">
            <v>205375.6</v>
          </cell>
          <cell r="I187">
            <v>102375.6</v>
          </cell>
          <cell r="K187">
            <v>103000</v>
          </cell>
          <cell r="L187">
            <v>1170.28</v>
          </cell>
          <cell r="M187">
            <v>17510</v>
          </cell>
          <cell r="N187">
            <v>-16339.72</v>
          </cell>
          <cell r="O187">
            <v>1.1361941747572815E-2</v>
          </cell>
          <cell r="P187">
            <v>103000</v>
          </cell>
          <cell r="Q187">
            <v>0</v>
          </cell>
        </row>
        <row r="188">
          <cell r="A188" t="str">
            <v>N7033</v>
          </cell>
          <cell r="B188" t="str">
            <v>N7033 Energy Efficiency Initiatives</v>
          </cell>
          <cell r="C188" t="str">
            <v>Stephen Clarke</v>
          </cell>
          <cell r="D188" t="str">
            <v>Martin Shaw</v>
          </cell>
          <cell r="E188">
            <v>513000</v>
          </cell>
          <cell r="F188">
            <v>0</v>
          </cell>
          <cell r="G188">
            <v>513000</v>
          </cell>
          <cell r="H188">
            <v>35004540.239999995</v>
          </cell>
          <cell r="I188">
            <v>0</v>
          </cell>
          <cell r="J188">
            <v>34491540.239999995</v>
          </cell>
          <cell r="K188">
            <v>513000</v>
          </cell>
          <cell r="L188">
            <v>2195</v>
          </cell>
          <cell r="M188">
            <v>0</v>
          </cell>
          <cell r="N188">
            <v>2195</v>
          </cell>
          <cell r="O188">
            <v>4.2787524366471735E-3</v>
          </cell>
          <cell r="P188">
            <v>513000</v>
          </cell>
          <cell r="Q188">
            <v>0</v>
          </cell>
        </row>
        <row r="189">
          <cell r="A189" t="str">
            <v>N7034</v>
          </cell>
          <cell r="B189" t="str">
            <v>N7034 Digital Inclusion</v>
          </cell>
          <cell r="C189" t="str">
            <v>Stephen Clarke</v>
          </cell>
          <cell r="D189" t="str">
            <v>Martin Shaw</v>
          </cell>
          <cell r="E189">
            <v>164000</v>
          </cell>
          <cell r="F189">
            <v>0</v>
          </cell>
          <cell r="G189">
            <v>164000</v>
          </cell>
          <cell r="H189">
            <v>164000</v>
          </cell>
          <cell r="I189">
            <v>0</v>
          </cell>
          <cell r="K189">
            <v>164000</v>
          </cell>
          <cell r="L189">
            <v>0</v>
          </cell>
          <cell r="M189">
            <v>0</v>
          </cell>
          <cell r="N189">
            <v>0</v>
          </cell>
          <cell r="O189">
            <v>0</v>
          </cell>
          <cell r="P189">
            <v>164000</v>
          </cell>
          <cell r="Q189">
            <v>0</v>
          </cell>
        </row>
        <row r="190">
          <cell r="A190" t="str">
            <v>N7035</v>
          </cell>
          <cell r="B190" t="str">
            <v>N7035 Rose Hill Drainage</v>
          </cell>
          <cell r="C190" t="str">
            <v>Ian Brooke</v>
          </cell>
          <cell r="D190" t="str">
            <v>Martin Shaw</v>
          </cell>
          <cell r="E190">
            <v>40000</v>
          </cell>
          <cell r="F190">
            <v>0</v>
          </cell>
          <cell r="G190">
            <v>40000</v>
          </cell>
          <cell r="H190">
            <v>40000</v>
          </cell>
          <cell r="I190">
            <v>0</v>
          </cell>
          <cell r="K190">
            <v>40000</v>
          </cell>
          <cell r="L190">
            <v>0</v>
          </cell>
          <cell r="M190">
            <v>0</v>
          </cell>
          <cell r="N190">
            <v>0</v>
          </cell>
          <cell r="O190">
            <v>0</v>
          </cell>
          <cell r="P190">
            <v>40000</v>
          </cell>
          <cell r="Q190">
            <v>0</v>
          </cell>
        </row>
        <row r="191">
          <cell r="A191" t="str">
            <v>N7036</v>
          </cell>
          <cell r="B191" t="str">
            <v>N7036 Food Waste Collection</v>
          </cell>
          <cell r="C191" t="str">
            <v>Stephen Clarke</v>
          </cell>
          <cell r="D191" t="str">
            <v>Geoff Corps</v>
          </cell>
          <cell r="E191">
            <v>113000</v>
          </cell>
          <cell r="F191">
            <v>0</v>
          </cell>
          <cell r="G191">
            <v>113000</v>
          </cell>
          <cell r="H191">
            <v>392000</v>
          </cell>
          <cell r="I191">
            <v>0</v>
          </cell>
          <cell r="J191">
            <v>279000</v>
          </cell>
          <cell r="K191">
            <v>113000</v>
          </cell>
          <cell r="L191">
            <v>0</v>
          </cell>
          <cell r="M191">
            <v>0</v>
          </cell>
          <cell r="N191">
            <v>0</v>
          </cell>
          <cell r="O191">
            <v>0</v>
          </cell>
          <cell r="P191">
            <v>113000</v>
          </cell>
          <cell r="Q191">
            <v>0</v>
          </cell>
        </row>
        <row r="192">
          <cell r="A192" t="str">
            <v/>
          </cell>
          <cell r="J192">
            <v>128000</v>
          </cell>
        </row>
        <row r="193">
          <cell r="A193" t="str">
            <v>New B</v>
          </cell>
          <cell r="B193" t="str">
            <v>New Build</v>
          </cell>
          <cell r="J193">
            <v>215000</v>
          </cell>
        </row>
        <row r="194">
          <cell r="A194" t="str">
            <v>B0034</v>
          </cell>
          <cell r="B194" t="str">
            <v>B0034 Rose Hill Community Centre</v>
          </cell>
          <cell r="C194" t="str">
            <v>Ian Brooke</v>
          </cell>
          <cell r="D194" t="str">
            <v>Clarkson Alliance</v>
          </cell>
          <cell r="E194">
            <v>3994300</v>
          </cell>
          <cell r="F194">
            <v>83934</v>
          </cell>
          <cell r="G194">
            <v>4078234</v>
          </cell>
          <cell r="H194">
            <v>4419461.9800000004</v>
          </cell>
          <cell r="I194">
            <v>249227.98</v>
          </cell>
          <cell r="J194">
            <v>92000</v>
          </cell>
          <cell r="K194">
            <v>4078234</v>
          </cell>
          <cell r="L194">
            <v>64162.35</v>
          </cell>
          <cell r="M194">
            <v>50000</v>
          </cell>
          <cell r="N194">
            <v>14162.349999999999</v>
          </cell>
          <cell r="O194">
            <v>1.573287604389547E-2</v>
          </cell>
          <cell r="P194">
            <v>4078234</v>
          </cell>
          <cell r="Q194">
            <v>0</v>
          </cell>
        </row>
        <row r="195">
          <cell r="A195" t="str">
            <v>N7029</v>
          </cell>
          <cell r="B195" t="str">
            <v>N7029 HCA New Build</v>
          </cell>
          <cell r="C195" t="str">
            <v>Stephen Clarke</v>
          </cell>
          <cell r="D195" t="str">
            <v>Jane Winfield</v>
          </cell>
          <cell r="E195">
            <v>12657000</v>
          </cell>
          <cell r="F195">
            <v>444333.68999999948</v>
          </cell>
          <cell r="G195">
            <v>13101333.689999999</v>
          </cell>
          <cell r="H195">
            <v>16488006.58</v>
          </cell>
          <cell r="I195">
            <v>3082672.89</v>
          </cell>
          <cell r="J195">
            <v>304000</v>
          </cell>
          <cell r="K195">
            <v>13101333.689999999</v>
          </cell>
          <cell r="L195">
            <v>3906818.68</v>
          </cell>
          <cell r="M195">
            <v>5458015.7400000002</v>
          </cell>
          <cell r="N195">
            <v>-1551197.06</v>
          </cell>
          <cell r="O195">
            <v>0.29820007431625078</v>
          </cell>
          <cell r="P195">
            <v>13101333.689999999</v>
          </cell>
          <cell r="Q195">
            <v>0</v>
          </cell>
        </row>
        <row r="196">
          <cell r="A196" t="str">
            <v>N7030</v>
          </cell>
          <cell r="B196" t="str">
            <v>N7030 Horspath Road Depot</v>
          </cell>
          <cell r="C196" t="str">
            <v>Jane Winfield</v>
          </cell>
          <cell r="D196" t="str">
            <v>Richard Hawkes</v>
          </cell>
          <cell r="E196">
            <v>1538000</v>
          </cell>
          <cell r="F196">
            <v>0</v>
          </cell>
          <cell r="G196">
            <v>1538000</v>
          </cell>
          <cell r="H196">
            <v>1693000</v>
          </cell>
          <cell r="I196">
            <v>0</v>
          </cell>
          <cell r="J196">
            <v>205000</v>
          </cell>
          <cell r="K196">
            <v>1488000</v>
          </cell>
          <cell r="L196">
            <v>1475159.4</v>
          </cell>
          <cell r="M196">
            <v>1488000</v>
          </cell>
          <cell r="N196">
            <v>-12840.600000000093</v>
          </cell>
          <cell r="O196">
            <v>0.99137056451612893</v>
          </cell>
          <cell r="P196">
            <v>1488000</v>
          </cell>
          <cell r="Q196">
            <v>0</v>
          </cell>
        </row>
        <row r="197">
          <cell r="A197" t="str">
            <v>N7031</v>
          </cell>
          <cell r="B197" t="str">
            <v>N7031 Homes at Barton</v>
          </cell>
          <cell r="C197" t="str">
            <v>Stephen Clarke</v>
          </cell>
          <cell r="D197" t="str">
            <v>Jane Winfield</v>
          </cell>
          <cell r="E197">
            <v>104000</v>
          </cell>
          <cell r="F197">
            <v>0</v>
          </cell>
          <cell r="G197">
            <v>104000</v>
          </cell>
          <cell r="H197">
            <v>250561.44</v>
          </cell>
          <cell r="I197">
            <v>40561.440000000002</v>
          </cell>
          <cell r="J197">
            <v>106000</v>
          </cell>
          <cell r="K197">
            <v>104000</v>
          </cell>
          <cell r="L197">
            <v>35722.300000000003</v>
          </cell>
          <cell r="M197">
            <v>43326.399999999994</v>
          </cell>
          <cell r="N197">
            <v>-7604.0999999999913</v>
          </cell>
          <cell r="O197">
            <v>0.34348365384615387</v>
          </cell>
          <cell r="P197">
            <v>104000</v>
          </cell>
          <cell r="Q197">
            <v>0</v>
          </cell>
        </row>
        <row r="198">
          <cell r="A198" t="str">
            <v>N7032</v>
          </cell>
          <cell r="B198" t="str">
            <v>N7032 Great Estates: Estate Enhancements and Regeneration</v>
          </cell>
          <cell r="C198" t="str">
            <v>Stephen Clarke</v>
          </cell>
          <cell r="D198" t="str">
            <v>Jane Winfield</v>
          </cell>
          <cell r="E198">
            <v>1025000</v>
          </cell>
          <cell r="F198">
            <v>-41461.239999999991</v>
          </cell>
          <cell r="G198">
            <v>983538.76</v>
          </cell>
          <cell r="H198">
            <v>1986694.24</v>
          </cell>
          <cell r="I198">
            <v>741461.24</v>
          </cell>
          <cell r="J198">
            <v>308000</v>
          </cell>
          <cell r="K198">
            <v>937233</v>
          </cell>
          <cell r="L198">
            <v>285553.83</v>
          </cell>
          <cell r="M198">
            <v>323154.58</v>
          </cell>
          <cell r="N198">
            <v>-37600.75</v>
          </cell>
          <cell r="O198">
            <v>0.30467752415888044</v>
          </cell>
          <cell r="P198">
            <v>937233</v>
          </cell>
          <cell r="Q198">
            <v>0</v>
          </cell>
        </row>
        <row r="199">
          <cell r="A199" t="str">
            <v/>
          </cell>
          <cell r="J199">
            <v>154000</v>
          </cell>
        </row>
        <row r="200">
          <cell r="A200" t="str">
            <v>Inter</v>
          </cell>
          <cell r="B200" t="str">
            <v>Internal Contracts</v>
          </cell>
          <cell r="J200">
            <v>103000</v>
          </cell>
        </row>
        <row r="201">
          <cell r="A201" t="str">
            <v>N6385</v>
          </cell>
          <cell r="B201" t="str">
            <v>N6385 Adaptations for disabled</v>
          </cell>
          <cell r="C201" t="str">
            <v>Stephen Clarke</v>
          </cell>
          <cell r="D201" t="str">
            <v>Martin Shaw</v>
          </cell>
          <cell r="E201">
            <v>615000</v>
          </cell>
          <cell r="F201">
            <v>0</v>
          </cell>
          <cell r="G201">
            <v>615000</v>
          </cell>
          <cell r="H201">
            <v>5275445.57</v>
          </cell>
          <cell r="I201">
            <v>4203354.57</v>
          </cell>
          <cell r="J201">
            <v>513000</v>
          </cell>
          <cell r="K201">
            <v>559091</v>
          </cell>
          <cell r="L201">
            <v>248819.4</v>
          </cell>
          <cell r="M201">
            <v>225201.86000000002</v>
          </cell>
          <cell r="N201">
            <v>23617.539999999979</v>
          </cell>
          <cell r="O201">
            <v>0.44504275690361678</v>
          </cell>
          <cell r="P201">
            <v>559091</v>
          </cell>
          <cell r="Q201">
            <v>0</v>
          </cell>
        </row>
        <row r="202">
          <cell r="A202" t="str">
            <v>N6390</v>
          </cell>
          <cell r="B202" t="str">
            <v>N6390 Kitchens &amp; Bathrooms</v>
          </cell>
          <cell r="C202" t="str">
            <v>Stephen Clarke</v>
          </cell>
          <cell r="D202" t="str">
            <v>Martin Shaw</v>
          </cell>
          <cell r="E202">
            <v>2163000</v>
          </cell>
          <cell r="F202">
            <v>0</v>
          </cell>
          <cell r="G202">
            <v>2163000</v>
          </cell>
          <cell r="H202">
            <v>18116895.640000001</v>
          </cell>
          <cell r="I202">
            <v>15155366.640000001</v>
          </cell>
          <cell r="J202">
            <v>164000</v>
          </cell>
          <cell r="K202">
            <v>2797529</v>
          </cell>
          <cell r="L202">
            <v>982197.94</v>
          </cell>
          <cell r="M202">
            <v>1007110.4400000001</v>
          </cell>
          <cell r="N202">
            <v>-24912.500000000116</v>
          </cell>
          <cell r="O202">
            <v>0.35109481974985779</v>
          </cell>
          <cell r="P202">
            <v>2797529</v>
          </cell>
          <cell r="Q202">
            <v>0</v>
          </cell>
        </row>
        <row r="203">
          <cell r="A203" t="str">
            <v>N6391</v>
          </cell>
          <cell r="B203" t="str">
            <v>N6391 Heating</v>
          </cell>
          <cell r="C203" t="str">
            <v>Stephen Clarke</v>
          </cell>
          <cell r="D203" t="str">
            <v>Martin Shaw</v>
          </cell>
          <cell r="E203">
            <v>1457000</v>
          </cell>
          <cell r="F203">
            <v>0</v>
          </cell>
          <cell r="G203">
            <v>1457000</v>
          </cell>
          <cell r="H203">
            <v>8128329.79</v>
          </cell>
          <cell r="I203">
            <v>6484941.79</v>
          </cell>
          <cell r="J203">
            <v>40000</v>
          </cell>
          <cell r="K203">
            <v>1603388</v>
          </cell>
          <cell r="L203">
            <v>742938.02</v>
          </cell>
          <cell r="M203">
            <v>716714.44</v>
          </cell>
          <cell r="N203">
            <v>26223.580000000075</v>
          </cell>
          <cell r="O203">
            <v>0.46335510805868574</v>
          </cell>
          <cell r="P203">
            <v>1603388</v>
          </cell>
          <cell r="Q203">
            <v>0</v>
          </cell>
        </row>
        <row r="204">
          <cell r="A204" t="str">
            <v>N6388</v>
          </cell>
          <cell r="B204" t="str">
            <v>N6388 Major Voids</v>
          </cell>
          <cell r="C204" t="str">
            <v>Stephen Clarke</v>
          </cell>
          <cell r="D204" t="str">
            <v>Martin Shaw</v>
          </cell>
          <cell r="E204">
            <v>841000</v>
          </cell>
          <cell r="F204">
            <v>0</v>
          </cell>
          <cell r="G204">
            <v>841000</v>
          </cell>
          <cell r="H204">
            <v>4451681.83</v>
          </cell>
          <cell r="I204">
            <v>3670045.83</v>
          </cell>
          <cell r="J204">
            <v>113000</v>
          </cell>
          <cell r="K204">
            <v>668636</v>
          </cell>
          <cell r="L204">
            <v>189291.65</v>
          </cell>
          <cell r="M204">
            <v>269326.57999999996</v>
          </cell>
          <cell r="N204">
            <v>-80034.929999999964</v>
          </cell>
          <cell r="O204">
            <v>0.28310119407270923</v>
          </cell>
          <cell r="P204">
            <v>668636</v>
          </cell>
          <cell r="Q204">
            <v>0</v>
          </cell>
        </row>
        <row r="205">
          <cell r="A205" t="str">
            <v>N6395</v>
          </cell>
          <cell r="B205" t="str">
            <v>N6395 Electrics</v>
          </cell>
          <cell r="C205" t="str">
            <v>Stephen Clarke</v>
          </cell>
          <cell r="D205" t="str">
            <v>Martin Shaw</v>
          </cell>
          <cell r="E205">
            <v>744000</v>
          </cell>
          <cell r="F205">
            <v>0</v>
          </cell>
          <cell r="G205">
            <v>744000</v>
          </cell>
          <cell r="H205">
            <v>1301727.6299999999</v>
          </cell>
          <cell r="I205">
            <v>954065.63</v>
          </cell>
          <cell r="K205">
            <v>347662</v>
          </cell>
          <cell r="L205">
            <v>165502.92000000001</v>
          </cell>
          <cell r="M205">
            <v>125158.31999999999</v>
          </cell>
          <cell r="N205">
            <v>40344.60000000002</v>
          </cell>
          <cell r="O205">
            <v>0.4760454694502132</v>
          </cell>
          <cell r="P205">
            <v>347662</v>
          </cell>
          <cell r="Q205">
            <v>0</v>
          </cell>
        </row>
        <row r="206">
          <cell r="A206" t="str">
            <v/>
          </cell>
        </row>
        <row r="207">
          <cell r="A207" t="str">
            <v>Housi</v>
          </cell>
          <cell r="B207" t="str">
            <v>Housing Revenue Account</v>
          </cell>
          <cell r="E207">
            <v>27862300</v>
          </cell>
          <cell r="F207">
            <v>546806.44999999949</v>
          </cell>
          <cell r="G207">
            <v>28409106.449999999</v>
          </cell>
          <cell r="H207">
            <v>113831057.83999999</v>
          </cell>
          <cell r="I207">
            <v>40416692.539999999</v>
          </cell>
          <cell r="J207">
            <v>4078234</v>
          </cell>
          <cell r="K207">
            <v>28409106.689999998</v>
          </cell>
          <cell r="L207">
            <v>8622390.1400000006</v>
          </cell>
          <cell r="M207">
            <v>10186392.16</v>
          </cell>
          <cell r="N207">
            <v>-1564002.0200000003</v>
          </cell>
          <cell r="O207">
            <v>0.30350796433296795</v>
          </cell>
          <cell r="P207">
            <v>28409106.689999998</v>
          </cell>
          <cell r="Q207">
            <v>0</v>
          </cell>
          <cell r="R207">
            <v>0</v>
          </cell>
          <cell r="S207">
            <v>0</v>
          </cell>
        </row>
        <row r="208">
          <cell r="A208" t="str">
            <v/>
          </cell>
          <cell r="J208">
            <v>13101333.689999999</v>
          </cell>
        </row>
        <row r="209">
          <cell r="A209" t="str">
            <v>Grand</v>
          </cell>
          <cell r="B209" t="str">
            <v>Grand Total</v>
          </cell>
          <cell r="E209">
            <v>60132889</v>
          </cell>
          <cell r="F209">
            <v>3247088.6499999994</v>
          </cell>
          <cell r="G209">
            <v>63379977.649999991</v>
          </cell>
          <cell r="H209">
            <v>228496078.61000001</v>
          </cell>
          <cell r="I209">
            <v>71685482.909999996</v>
          </cell>
          <cell r="J209">
            <v>1488000</v>
          </cell>
          <cell r="K209">
            <v>62900646.929999992</v>
          </cell>
          <cell r="L209">
            <v>14763733.23</v>
          </cell>
          <cell r="M209">
            <v>15799716.646961667</v>
          </cell>
          <cell r="N209">
            <v>-1035983.4169616668</v>
          </cell>
          <cell r="O209">
            <v>0.23471512536953812</v>
          </cell>
          <cell r="P209">
            <v>62900646.929999992</v>
          </cell>
          <cell r="Q209">
            <v>0</v>
          </cell>
          <cell r="R209">
            <v>0</v>
          </cell>
          <cell r="S209">
            <v>0</v>
          </cell>
        </row>
        <row r="210">
          <cell r="A210" t="str">
            <v/>
          </cell>
          <cell r="J210">
            <v>104000</v>
          </cell>
        </row>
        <row r="211">
          <cell r="A211" t="str">
            <v>Finan</v>
          </cell>
          <cell r="B211" t="str">
            <v>Financing - General Fund</v>
          </cell>
          <cell r="J211">
            <v>937233</v>
          </cell>
        </row>
        <row r="212">
          <cell r="A212" t="str">
            <v/>
          </cell>
        </row>
        <row r="213">
          <cell r="A213" t="str">
            <v>Capit</v>
          </cell>
          <cell r="B213" t="str">
            <v>Capital Receipts</v>
          </cell>
          <cell r="E213">
            <v>9949262</v>
          </cell>
          <cell r="F213">
            <v>2501898.0299999993</v>
          </cell>
          <cell r="G213">
            <v>12451160.029999999</v>
          </cell>
          <cell r="K213">
            <v>10881664.27</v>
          </cell>
        </row>
        <row r="214">
          <cell r="A214" t="str">
            <v>Direc</v>
          </cell>
          <cell r="B214" t="str">
            <v>Direct Revenue Funding</v>
          </cell>
          <cell r="E214">
            <v>4000000</v>
          </cell>
          <cell r="F214">
            <v>0</v>
          </cell>
          <cell r="G214">
            <v>4000000</v>
          </cell>
          <cell r="J214">
            <v>559091</v>
          </cell>
          <cell r="K214">
            <v>3253999.9099999997</v>
          </cell>
        </row>
        <row r="215">
          <cell r="A215" t="str">
            <v>Reven</v>
          </cell>
          <cell r="B215" t="str">
            <v>Revenue Reserves</v>
          </cell>
          <cell r="E215">
            <v>3200000</v>
          </cell>
          <cell r="F215">
            <v>-158040.56999999983</v>
          </cell>
          <cell r="G215">
            <v>3041959.43</v>
          </cell>
          <cell r="J215">
            <v>2797529</v>
          </cell>
          <cell r="K215">
            <v>3041959.43</v>
          </cell>
        </row>
        <row r="216">
          <cell r="A216" t="str">
            <v>Prope</v>
          </cell>
          <cell r="B216" t="str">
            <v>Property Reserve</v>
          </cell>
          <cell r="E216">
            <v>7000000</v>
          </cell>
          <cell r="F216">
            <v>0</v>
          </cell>
          <cell r="G216">
            <v>7000000</v>
          </cell>
          <cell r="J216">
            <v>1603388</v>
          </cell>
          <cell r="K216">
            <v>7000000</v>
          </cell>
        </row>
        <row r="217">
          <cell r="A217" t="str">
            <v>Devel</v>
          </cell>
          <cell r="B217" t="str">
            <v>Developer Contributions -S106</v>
          </cell>
          <cell r="E217">
            <v>242577</v>
          </cell>
          <cell r="F217">
            <v>-33783.709999999963</v>
          </cell>
          <cell r="G217">
            <v>208793.29000000004</v>
          </cell>
          <cell r="J217">
            <v>668636</v>
          </cell>
          <cell r="K217">
            <v>792397.73</v>
          </cell>
        </row>
        <row r="218">
          <cell r="A218" t="str">
            <v>Commu</v>
          </cell>
          <cell r="B218" t="str">
            <v>Community Infrastructure Levy</v>
          </cell>
          <cell r="F218">
            <v>0</v>
          </cell>
          <cell r="G218">
            <v>0</v>
          </cell>
          <cell r="J218">
            <v>347662</v>
          </cell>
          <cell r="K218">
            <v>0</v>
          </cell>
        </row>
        <row r="219">
          <cell r="A219" t="str">
            <v>Herit</v>
          </cell>
          <cell r="B219" t="str">
            <v>Heritage Lottery fund for Town Hall</v>
          </cell>
          <cell r="E219">
            <v>25000</v>
          </cell>
          <cell r="F219">
            <v>0</v>
          </cell>
          <cell r="G219">
            <v>25000</v>
          </cell>
          <cell r="K219">
            <v>25000</v>
          </cell>
        </row>
        <row r="220">
          <cell r="A220" t="str">
            <v>Gover</v>
          </cell>
          <cell r="B220" t="str">
            <v>Government Funding</v>
          </cell>
          <cell r="E220">
            <v>447000</v>
          </cell>
          <cell r="F220">
            <v>-5456.2299999999814</v>
          </cell>
          <cell r="G220">
            <v>441543.77</v>
          </cell>
          <cell r="J220">
            <v>28409106.689999998</v>
          </cell>
          <cell r="K220">
            <v>441543.77</v>
          </cell>
        </row>
        <row r="221">
          <cell r="A221" t="str">
            <v>Gover</v>
          </cell>
          <cell r="B221" t="str">
            <v>Government Grants</v>
          </cell>
          <cell r="E221">
            <v>4675000</v>
          </cell>
          <cell r="F221">
            <v>298283.78000000026</v>
          </cell>
          <cell r="G221">
            <v>4973283.78</v>
          </cell>
          <cell r="K221">
            <v>6063843.7800000003</v>
          </cell>
        </row>
        <row r="222">
          <cell r="A222" t="str">
            <v>Prude</v>
          </cell>
          <cell r="B222" t="str">
            <v>Prudential Borrowing for Vehicles</v>
          </cell>
          <cell r="E222">
            <v>2731750</v>
          </cell>
          <cell r="F222">
            <v>97381.040000000037</v>
          </cell>
          <cell r="G222">
            <v>2829131.04</v>
          </cell>
          <cell r="J222">
            <v>62900646.929999992</v>
          </cell>
          <cell r="K222">
            <v>2991131</v>
          </cell>
        </row>
        <row r="223">
          <cell r="A223" t="str">
            <v/>
          </cell>
        </row>
        <row r="224">
          <cell r="A224" t="str">
            <v>Total</v>
          </cell>
          <cell r="B224" t="str">
            <v>Total General Fund Financing</v>
          </cell>
          <cell r="E224">
            <v>32270589</v>
          </cell>
          <cell r="F224">
            <v>2700282.34</v>
          </cell>
          <cell r="G224">
            <v>34970871.340000004</v>
          </cell>
          <cell r="K224">
            <v>34491539.890000001</v>
          </cell>
          <cell r="L224">
            <v>0</v>
          </cell>
        </row>
        <row r="225">
          <cell r="A225" t="str">
            <v/>
          </cell>
        </row>
        <row r="226">
          <cell r="A226" t="str">
            <v>Finan</v>
          </cell>
          <cell r="B226" t="str">
            <v>Financing - HRA</v>
          </cell>
        </row>
        <row r="227">
          <cell r="A227" t="str">
            <v>MRR</v>
          </cell>
          <cell r="B227" t="str">
            <v>MRR</v>
          </cell>
          <cell r="E227">
            <v>22491000</v>
          </cell>
          <cell r="F227">
            <v>462872.76000000164</v>
          </cell>
          <cell r="G227">
            <v>22953872.760000002</v>
          </cell>
          <cell r="K227">
            <v>22934352</v>
          </cell>
        </row>
        <row r="228">
          <cell r="A228" t="str">
            <v>Exter</v>
          </cell>
          <cell r="B228" t="str">
            <v>External Contributions</v>
          </cell>
          <cell r="E228">
            <v>3835000</v>
          </cell>
          <cell r="F228">
            <v>0</v>
          </cell>
          <cell r="G228">
            <v>3835000</v>
          </cell>
          <cell r="K228">
            <v>3835000</v>
          </cell>
        </row>
        <row r="229">
          <cell r="A229" t="str">
            <v>Capit</v>
          </cell>
          <cell r="B229" t="str">
            <v>Capital Receipts (Affordable Homes Contribution)</v>
          </cell>
          <cell r="E229">
            <v>1210000</v>
          </cell>
          <cell r="F229">
            <v>0</v>
          </cell>
          <cell r="G229">
            <v>1210000</v>
          </cell>
          <cell r="K229">
            <v>1210000</v>
          </cell>
        </row>
        <row r="230">
          <cell r="A230" t="str">
            <v>Devel</v>
          </cell>
          <cell r="B230" t="str">
            <v>Developer Contributions -S106 (Rose Hill CC)</v>
          </cell>
          <cell r="E230">
            <v>326300</v>
          </cell>
          <cell r="F230">
            <v>83933</v>
          </cell>
          <cell r="G230">
            <v>410233</v>
          </cell>
          <cell r="K230">
            <v>429755</v>
          </cell>
        </row>
        <row r="231">
          <cell r="A231" t="str">
            <v/>
          </cell>
        </row>
        <row r="232">
          <cell r="A232" t="str">
            <v>Total</v>
          </cell>
          <cell r="B232" t="str">
            <v>Total HRA Financing</v>
          </cell>
          <cell r="E232">
            <v>27862300</v>
          </cell>
          <cell r="F232">
            <v>546805.76000000164</v>
          </cell>
          <cell r="G232">
            <v>28409105.760000002</v>
          </cell>
          <cell r="K232">
            <v>28409107</v>
          </cell>
          <cell r="L232">
            <v>0</v>
          </cell>
        </row>
        <row r="233">
          <cell r="A233" t="str">
            <v/>
          </cell>
        </row>
        <row r="234">
          <cell r="B234" t="str">
            <v>Total Financing</v>
          </cell>
          <cell r="E234">
            <v>60132889</v>
          </cell>
          <cell r="F234">
            <v>3247088.1000000015</v>
          </cell>
          <cell r="G234">
            <v>63379977.100000009</v>
          </cell>
          <cell r="K234">
            <v>62900646.890000001</v>
          </cell>
          <cell r="L234">
            <v>0</v>
          </cell>
        </row>
        <row r="237">
          <cell r="E237">
            <v>0</v>
          </cell>
          <cell r="F237">
            <v>0.54999999795109034</v>
          </cell>
          <cell r="G237">
            <v>0.54999998211860657</v>
          </cell>
        </row>
      </sheetData>
      <sheetData sheetId="3">
        <row r="222">
          <cell r="J222">
            <v>10881664.27</v>
          </cell>
        </row>
      </sheetData>
      <sheetData sheetId="4" refreshError="1"/>
      <sheetData sheetId="5" refreshError="1"/>
      <sheetData sheetId="6">
        <row r="2">
          <cell r="A2" t="str">
            <v>Costc</v>
          </cell>
          <cell r="B2" t="str">
            <v>Costc (Code) + (Text)</v>
          </cell>
          <cell r="D2">
            <v>2010</v>
          </cell>
          <cell r="E2">
            <v>2011</v>
          </cell>
          <cell r="F2">
            <v>2012</v>
          </cell>
          <cell r="G2">
            <v>2013</v>
          </cell>
          <cell r="H2">
            <v>2014</v>
          </cell>
          <cell r="I2" t="str">
            <v>Amount</v>
          </cell>
        </row>
        <row r="3">
          <cell r="A3" t="str">
            <v>A1217</v>
          </cell>
          <cell r="B3" t="str">
            <v>A1217 Aristotle Lane Improvements</v>
          </cell>
          <cell r="D3">
            <v>11097.51</v>
          </cell>
          <cell r="E3">
            <v>1850</v>
          </cell>
          <cell r="I3">
            <v>12947.51</v>
          </cell>
        </row>
        <row r="4">
          <cell r="A4" t="str">
            <v>A1300</v>
          </cell>
          <cell r="B4" t="str">
            <v>A1300 Playground Refurbishment</v>
          </cell>
          <cell r="C4">
            <v>0</v>
          </cell>
          <cell r="D4">
            <v>711938.08</v>
          </cell>
          <cell r="E4">
            <v>1152552.56</v>
          </cell>
          <cell r="F4">
            <v>859969.88</v>
          </cell>
          <cell r="G4">
            <v>419600.3</v>
          </cell>
          <cell r="H4">
            <v>68004.98</v>
          </cell>
          <cell r="I4">
            <v>3212065.8</v>
          </cell>
        </row>
        <row r="5">
          <cell r="A5" t="str">
            <v>A1301</v>
          </cell>
          <cell r="B5" t="str">
            <v>A1301 Play Barton</v>
          </cell>
          <cell r="E5">
            <v>55535.5</v>
          </cell>
          <cell r="F5">
            <v>305669.03999999998</v>
          </cell>
          <cell r="G5">
            <v>20963.03</v>
          </cell>
          <cell r="I5">
            <v>382167.57</v>
          </cell>
        </row>
        <row r="6">
          <cell r="A6" t="str">
            <v>A1500</v>
          </cell>
          <cell r="B6" t="str">
            <v>A1500 Paradise Street - work of art</v>
          </cell>
          <cell r="D6">
            <v>25845</v>
          </cell>
          <cell r="F6">
            <v>794</v>
          </cell>
          <cell r="I6">
            <v>26639</v>
          </cell>
        </row>
        <row r="7">
          <cell r="A7" t="str">
            <v>A2807</v>
          </cell>
          <cell r="B7" t="str">
            <v>A2807 Cowley Marsh Habitat Creation</v>
          </cell>
          <cell r="D7">
            <v>4066</v>
          </cell>
          <cell r="I7">
            <v>4066</v>
          </cell>
        </row>
        <row r="8">
          <cell r="A8" t="str">
            <v>A2808</v>
          </cell>
          <cell r="B8" t="str">
            <v>A2808 Replacement Sports Facilities - Cowley Marsh</v>
          </cell>
          <cell r="D8">
            <v>1222.67</v>
          </cell>
          <cell r="E8">
            <v>49775</v>
          </cell>
          <cell r="I8">
            <v>50997.67</v>
          </cell>
        </row>
        <row r="9">
          <cell r="A9" t="str">
            <v>A2809</v>
          </cell>
          <cell r="B9" t="str">
            <v>A2809 Replacement Sports Facilities - Aristotle La</v>
          </cell>
          <cell r="E9">
            <v>0</v>
          </cell>
          <cell r="I9">
            <v>0</v>
          </cell>
        </row>
        <row r="10">
          <cell r="A10" t="str">
            <v>A3119</v>
          </cell>
          <cell r="B10" t="str">
            <v>A3119 Temple Cowley Swimming Pool - Improvements t</v>
          </cell>
          <cell r="D10">
            <v>-158.16999999999999</v>
          </cell>
          <cell r="I10">
            <v>-158.16999999999999</v>
          </cell>
        </row>
        <row r="11">
          <cell r="A11" t="str">
            <v>A3120</v>
          </cell>
          <cell r="B11" t="str">
            <v>A3120 Florence Park Public Open Space/Children Pla</v>
          </cell>
          <cell r="F11">
            <v>25346</v>
          </cell>
          <cell r="I11">
            <v>25346</v>
          </cell>
        </row>
        <row r="12">
          <cell r="A12" t="str">
            <v>A3122</v>
          </cell>
          <cell r="B12" t="str">
            <v>A3122 Essential Works to Ice Rink</v>
          </cell>
          <cell r="D12">
            <v>0</v>
          </cell>
          <cell r="I12">
            <v>0</v>
          </cell>
        </row>
        <row r="13">
          <cell r="A13" t="str">
            <v>A3123</v>
          </cell>
          <cell r="B13" t="str">
            <v>A3123 Falcon Rowing Club Boat House Redev CD08</v>
          </cell>
          <cell r="D13">
            <v>12471.25</v>
          </cell>
          <cell r="I13">
            <v>12471.25</v>
          </cell>
        </row>
        <row r="14">
          <cell r="A14" t="str">
            <v>A3124</v>
          </cell>
          <cell r="B14" t="str">
            <v>A3124 Barton Village Pavillion</v>
          </cell>
          <cell r="E14">
            <v>2232.1999999999998</v>
          </cell>
          <cell r="F14">
            <v>375281.93</v>
          </cell>
          <cell r="I14">
            <v>377514.13</v>
          </cell>
        </row>
        <row r="15">
          <cell r="A15" t="str">
            <v>A3125</v>
          </cell>
          <cell r="B15" t="str">
            <v>A3125 Milham Ford Park Land and Recreational Facil</v>
          </cell>
          <cell r="D15">
            <v>3933.57</v>
          </cell>
          <cell r="I15">
            <v>3933.57</v>
          </cell>
        </row>
        <row r="16">
          <cell r="A16" t="str">
            <v>A3126</v>
          </cell>
          <cell r="B16" t="str">
            <v>A3126 Marston Area improvements community hall/nur</v>
          </cell>
          <cell r="D16">
            <v>7500</v>
          </cell>
          <cell r="I16">
            <v>7500</v>
          </cell>
        </row>
        <row r="17">
          <cell r="A17" t="str">
            <v>A3129</v>
          </cell>
          <cell r="B17" t="str">
            <v>A3129 Donnington Recreation Ground Improvements</v>
          </cell>
          <cell r="C17">
            <v>0</v>
          </cell>
          <cell r="D17">
            <v>3750</v>
          </cell>
          <cell r="I17">
            <v>3750</v>
          </cell>
        </row>
        <row r="18">
          <cell r="A18" t="str">
            <v>A4800</v>
          </cell>
          <cell r="B18" t="str">
            <v>A4800 Barton Pool</v>
          </cell>
          <cell r="D18">
            <v>10658.26</v>
          </cell>
          <cell r="E18">
            <v>31730.28</v>
          </cell>
          <cell r="F18">
            <v>0</v>
          </cell>
          <cell r="I18">
            <v>42388.54</v>
          </cell>
        </row>
        <row r="19">
          <cell r="A19" t="str">
            <v>A4801</v>
          </cell>
          <cell r="B19" t="str">
            <v>A4801 BBL Pool</v>
          </cell>
          <cell r="D19">
            <v>3244.64</v>
          </cell>
          <cell r="E19">
            <v>55795.83</v>
          </cell>
          <cell r="F19">
            <v>0</v>
          </cell>
          <cell r="I19">
            <v>59040.47</v>
          </cell>
        </row>
        <row r="20">
          <cell r="A20" t="str">
            <v>A4802</v>
          </cell>
          <cell r="B20" t="str">
            <v>A4802 BBL LC</v>
          </cell>
          <cell r="D20">
            <v>62931.71</v>
          </cell>
          <cell r="E20">
            <v>107985.26</v>
          </cell>
          <cell r="I20">
            <v>170916.97</v>
          </cell>
        </row>
        <row r="21">
          <cell r="A21" t="str">
            <v>A4803</v>
          </cell>
          <cell r="B21" t="str">
            <v>A4803 Ferry LC</v>
          </cell>
          <cell r="D21">
            <v>28628</v>
          </cell>
          <cell r="E21">
            <v>78942.350000000006</v>
          </cell>
          <cell r="F21">
            <v>0</v>
          </cell>
          <cell r="I21">
            <v>107570.35</v>
          </cell>
        </row>
        <row r="22">
          <cell r="A22" t="str">
            <v>A4804</v>
          </cell>
          <cell r="B22" t="str">
            <v>A4804 Hinksey Pool</v>
          </cell>
          <cell r="D22">
            <v>52453.63</v>
          </cell>
          <cell r="E22">
            <v>86473.64</v>
          </cell>
          <cell r="F22">
            <v>23501.3</v>
          </cell>
          <cell r="I22">
            <v>162428.57</v>
          </cell>
        </row>
        <row r="23">
          <cell r="A23" t="str">
            <v>A4805</v>
          </cell>
          <cell r="B23" t="str">
            <v>A4805 Temple Cowley Pool</v>
          </cell>
          <cell r="D23">
            <v>14163</v>
          </cell>
          <cell r="E23">
            <v>84330.91</v>
          </cell>
          <cell r="F23">
            <v>0</v>
          </cell>
          <cell r="I23">
            <v>98493.91</v>
          </cell>
        </row>
        <row r="24">
          <cell r="A24" t="str">
            <v>A4806</v>
          </cell>
          <cell r="B24" t="str">
            <v>A4806 Ice Rink</v>
          </cell>
          <cell r="D24">
            <v>40822</v>
          </cell>
          <cell r="E24">
            <v>759308.80000000005</v>
          </cell>
          <cell r="F24">
            <v>93460.31</v>
          </cell>
          <cell r="I24">
            <v>893591.11</v>
          </cell>
        </row>
        <row r="25">
          <cell r="A25" t="str">
            <v>A4807</v>
          </cell>
          <cell r="B25" t="str">
            <v>A4807 Barton Pool Improvements</v>
          </cell>
          <cell r="D25">
            <v>79815.14</v>
          </cell>
          <cell r="E25">
            <v>602286.6</v>
          </cell>
          <cell r="F25">
            <v>173571.56</v>
          </cell>
          <cell r="G25">
            <v>0</v>
          </cell>
          <cell r="I25">
            <v>855673.3</v>
          </cell>
        </row>
        <row r="26">
          <cell r="A26" t="str">
            <v>A4808</v>
          </cell>
          <cell r="B26" t="str">
            <v>A4808 Blackbird Leys LC Improvements</v>
          </cell>
          <cell r="C26">
            <v>0</v>
          </cell>
          <cell r="D26">
            <v>55372.2</v>
          </cell>
          <cell r="E26">
            <v>433829.56</v>
          </cell>
          <cell r="F26">
            <v>0</v>
          </cell>
          <cell r="I26">
            <v>489201.76</v>
          </cell>
        </row>
        <row r="27">
          <cell r="A27" t="str">
            <v>A4809</v>
          </cell>
          <cell r="B27" t="str">
            <v>A4809 Ferry Sports Centre Improvements</v>
          </cell>
          <cell r="D27">
            <v>60117.47</v>
          </cell>
          <cell r="E27">
            <v>657522.84</v>
          </cell>
          <cell r="F27">
            <v>1961</v>
          </cell>
          <cell r="I27">
            <v>719601.31</v>
          </cell>
        </row>
        <row r="28">
          <cell r="A28" t="str">
            <v>A4810</v>
          </cell>
          <cell r="B28" t="str">
            <v>A4810 New Build Competion Pool</v>
          </cell>
          <cell r="E28">
            <v>561929.36</v>
          </cell>
          <cell r="F28">
            <v>355817.02</v>
          </cell>
          <cell r="G28">
            <v>21337.21</v>
          </cell>
          <cell r="H28">
            <v>2628072.7400000002</v>
          </cell>
          <cell r="I28">
            <v>3567156.33</v>
          </cell>
        </row>
        <row r="29">
          <cell r="A29" t="str">
            <v>A4812</v>
          </cell>
          <cell r="B29" t="str">
            <v>A4812 Building Improvements (GF Leisure)</v>
          </cell>
          <cell r="F29">
            <v>107316</v>
          </cell>
          <cell r="G29">
            <v>0</v>
          </cell>
          <cell r="I29">
            <v>107316</v>
          </cell>
        </row>
        <row r="30">
          <cell r="A30" t="str">
            <v>A4813</v>
          </cell>
          <cell r="B30" t="str">
            <v>A4813 Hinksey Pools Main Pool Liner</v>
          </cell>
          <cell r="F30">
            <v>0</v>
          </cell>
          <cell r="G30">
            <v>117400</v>
          </cell>
          <cell r="I30">
            <v>117400</v>
          </cell>
        </row>
        <row r="31">
          <cell r="A31" t="str">
            <v>A4814</v>
          </cell>
          <cell r="B31" t="str">
            <v>A4814 Leisure Centre Substantive Works</v>
          </cell>
          <cell r="F31">
            <v>250359.08</v>
          </cell>
          <cell r="G31">
            <v>174010.5</v>
          </cell>
          <cell r="H31">
            <v>116171.48</v>
          </cell>
          <cell r="I31">
            <v>540541.06000000006</v>
          </cell>
        </row>
        <row r="32">
          <cell r="A32" t="str">
            <v>A4815</v>
          </cell>
          <cell r="B32" t="str">
            <v>A4815 Leisure Centre Improvement Work</v>
          </cell>
          <cell r="G32">
            <v>276761.73</v>
          </cell>
          <cell r="H32">
            <v>4257.6499999999996</v>
          </cell>
          <cell r="I32">
            <v>281019.38</v>
          </cell>
        </row>
        <row r="33">
          <cell r="A33" t="str">
            <v>A4816</v>
          </cell>
          <cell r="B33" t="str">
            <v>A4816 Sports Pavillions</v>
          </cell>
          <cell r="G33">
            <v>34181.910000000003</v>
          </cell>
          <cell r="H33">
            <v>432755.73</v>
          </cell>
          <cell r="I33">
            <v>466937.64</v>
          </cell>
        </row>
        <row r="34">
          <cell r="A34" t="str">
            <v>A4818</v>
          </cell>
          <cell r="B34" t="str">
            <v>A4818 Lye Valley &amp; Chiswell Valley Walkways</v>
          </cell>
          <cell r="H34">
            <v>60000</v>
          </cell>
          <cell r="I34">
            <v>60000</v>
          </cell>
        </row>
        <row r="35">
          <cell r="A35" t="str">
            <v>A4819</v>
          </cell>
          <cell r="B35" t="str">
            <v>A4819 Rose Hill Cemetery Water Leak</v>
          </cell>
          <cell r="G35">
            <v>7300</v>
          </cell>
          <cell r="I35">
            <v>7300</v>
          </cell>
        </row>
        <row r="36">
          <cell r="A36" t="str">
            <v>A4820</v>
          </cell>
          <cell r="B36" t="str">
            <v>A4820 Upgrade Tennis Courts</v>
          </cell>
          <cell r="G36">
            <v>40816.75</v>
          </cell>
          <cell r="H36">
            <v>30891.119999999999</v>
          </cell>
          <cell r="I36">
            <v>71707.87</v>
          </cell>
        </row>
        <row r="37">
          <cell r="A37" t="str">
            <v>A4821</v>
          </cell>
          <cell r="B37" t="str">
            <v>A4821 Upgrade multi-Use Games Area</v>
          </cell>
          <cell r="G37">
            <v>77824.03</v>
          </cell>
          <cell r="H37">
            <v>84492.56</v>
          </cell>
          <cell r="I37">
            <v>162316.59</v>
          </cell>
        </row>
        <row r="38">
          <cell r="A38" t="str">
            <v>A4822</v>
          </cell>
          <cell r="B38" t="str">
            <v>A4822 Recycling &amp; bin Improvement (City Parks)</v>
          </cell>
          <cell r="G38">
            <v>75000</v>
          </cell>
          <cell r="I38">
            <v>75000</v>
          </cell>
        </row>
        <row r="39">
          <cell r="A39" t="str">
            <v>A4823</v>
          </cell>
          <cell r="B39" t="str">
            <v>A4823 Cemetery Development</v>
          </cell>
          <cell r="G39">
            <v>2479</v>
          </cell>
          <cell r="I39">
            <v>2479</v>
          </cell>
        </row>
        <row r="40">
          <cell r="A40" t="str">
            <v>A4824</v>
          </cell>
          <cell r="B40" t="str">
            <v>A4824 Meadowe Lane Skate Park</v>
          </cell>
          <cell r="G40">
            <v>332806.32</v>
          </cell>
          <cell r="H40">
            <v>9653.5</v>
          </cell>
          <cell r="I40">
            <v>342459.82</v>
          </cell>
        </row>
        <row r="41">
          <cell r="A41" t="str">
            <v>A4825</v>
          </cell>
          <cell r="B41" t="str">
            <v>A4825 Oxford City Football Ground</v>
          </cell>
          <cell r="G41">
            <v>65000</v>
          </cell>
          <cell r="I41">
            <v>65000</v>
          </cell>
        </row>
        <row r="42">
          <cell r="A42" t="str">
            <v>A4826</v>
          </cell>
          <cell r="B42" t="str">
            <v>A4826 Parks Works</v>
          </cell>
          <cell r="H42">
            <v>74301.75</v>
          </cell>
          <cell r="I42">
            <v>74301.75</v>
          </cell>
        </row>
        <row r="43">
          <cell r="A43" t="str">
            <v>A4827</v>
          </cell>
          <cell r="B43" t="str">
            <v>A4827 Cowley Outdoor Gym</v>
          </cell>
          <cell r="H43">
            <v>44944</v>
          </cell>
          <cell r="I43">
            <v>44944</v>
          </cell>
        </row>
        <row r="44">
          <cell r="A44" t="str">
            <v>B0003</v>
          </cell>
          <cell r="B44" t="str">
            <v>B0003 Roof Repairs &amp; Ext Refurb - 44-46 George St</v>
          </cell>
          <cell r="G44">
            <v>2923</v>
          </cell>
          <cell r="I44">
            <v>2923</v>
          </cell>
        </row>
        <row r="45">
          <cell r="A45" t="str">
            <v>B0007</v>
          </cell>
          <cell r="B45" t="str">
            <v>B0007 Town Hall Roof Repairs</v>
          </cell>
          <cell r="F45">
            <v>0</v>
          </cell>
          <cell r="G45">
            <v>0</v>
          </cell>
          <cell r="I45">
            <v>0</v>
          </cell>
        </row>
        <row r="46">
          <cell r="A46" t="str">
            <v>B0009</v>
          </cell>
          <cell r="B46" t="str">
            <v>B0009 Covered Market - Male traders toilet improve</v>
          </cell>
          <cell r="D46">
            <v>0</v>
          </cell>
          <cell r="E46">
            <v>0</v>
          </cell>
          <cell r="I46">
            <v>0</v>
          </cell>
        </row>
        <row r="47">
          <cell r="A47" t="str">
            <v>B0010</v>
          </cell>
          <cell r="B47" t="str">
            <v>B0010 Covered Market - signage improvements</v>
          </cell>
          <cell r="D47">
            <v>365.68</v>
          </cell>
          <cell r="F47">
            <v>9205.8799999999992</v>
          </cell>
          <cell r="G47">
            <v>29583.77</v>
          </cell>
          <cell r="H47">
            <v>37128.949999999997</v>
          </cell>
          <cell r="I47">
            <v>76284.28</v>
          </cell>
        </row>
        <row r="48">
          <cell r="A48" t="str">
            <v>B0011</v>
          </cell>
          <cell r="B48" t="str">
            <v>B0011 Covered Market - Stonework Repairs to market</v>
          </cell>
          <cell r="D48">
            <v>-0.01</v>
          </cell>
          <cell r="I48">
            <v>-0.01</v>
          </cell>
        </row>
        <row r="49">
          <cell r="A49" t="str">
            <v>B0012</v>
          </cell>
          <cell r="B49" t="str">
            <v>B0012 BBL CC - wiring Improvements</v>
          </cell>
          <cell r="E49">
            <v>0</v>
          </cell>
          <cell r="F49">
            <v>14729.7</v>
          </cell>
          <cell r="I49">
            <v>14729.7</v>
          </cell>
        </row>
        <row r="50">
          <cell r="A50" t="str">
            <v>B0013</v>
          </cell>
          <cell r="B50" t="str">
            <v>B0013 South Oxford CC -Wiring improvements</v>
          </cell>
          <cell r="D50">
            <v>58240.09</v>
          </cell>
          <cell r="E50">
            <v>0</v>
          </cell>
          <cell r="I50">
            <v>58240.09</v>
          </cell>
        </row>
        <row r="51">
          <cell r="A51" t="str">
            <v>B0014</v>
          </cell>
          <cell r="B51" t="str">
            <v>B0014 South oxford CC - replacement rainwater good</v>
          </cell>
          <cell r="E51">
            <v>79510.06</v>
          </cell>
          <cell r="F51">
            <v>0</v>
          </cell>
          <cell r="I51">
            <v>79510.06</v>
          </cell>
        </row>
        <row r="52">
          <cell r="A52" t="str">
            <v>B0015</v>
          </cell>
          <cell r="B52" t="str">
            <v>B0015 South Oxford CC - Roof refurbishments</v>
          </cell>
          <cell r="E52">
            <v>33212.06</v>
          </cell>
          <cell r="F52">
            <v>0</v>
          </cell>
          <cell r="H52">
            <v>0</v>
          </cell>
          <cell r="I52">
            <v>33212.06</v>
          </cell>
        </row>
        <row r="53">
          <cell r="A53" t="str">
            <v>B0016</v>
          </cell>
          <cell r="B53" t="str">
            <v>B0016 St Andrews churchyard wall repairs</v>
          </cell>
          <cell r="D53">
            <v>0</v>
          </cell>
          <cell r="I53">
            <v>0</v>
          </cell>
        </row>
        <row r="54">
          <cell r="A54" t="str">
            <v>B0017</v>
          </cell>
          <cell r="B54" t="str">
            <v>B0017 Brasenose Fram depot stone wall repairs</v>
          </cell>
          <cell r="D54">
            <v>0</v>
          </cell>
          <cell r="I54">
            <v>0</v>
          </cell>
        </row>
        <row r="55">
          <cell r="A55" t="str">
            <v>B0018</v>
          </cell>
          <cell r="B55" t="str">
            <v>B0018 St Giles churchyard stone wall repairs</v>
          </cell>
          <cell r="D55">
            <v>0</v>
          </cell>
          <cell r="I55">
            <v>0</v>
          </cell>
        </row>
        <row r="56">
          <cell r="A56" t="str">
            <v>B0019</v>
          </cell>
          <cell r="B56" t="str">
            <v>B0019 Headington hill park stone wall repairs</v>
          </cell>
          <cell r="D56">
            <v>0</v>
          </cell>
          <cell r="I56">
            <v>0</v>
          </cell>
        </row>
        <row r="57">
          <cell r="A57" t="str">
            <v>B0020</v>
          </cell>
          <cell r="B57" t="str">
            <v>B0020 Bury Knowle stone wall repairs</v>
          </cell>
          <cell r="D57">
            <v>0</v>
          </cell>
          <cell r="I57">
            <v>0</v>
          </cell>
        </row>
        <row r="58">
          <cell r="A58" t="str">
            <v>B0021</v>
          </cell>
          <cell r="B58" t="str">
            <v>B0021 Sandy Lane Pavilion ventilation Improvements</v>
          </cell>
          <cell r="E58">
            <v>0</v>
          </cell>
          <cell r="I58">
            <v>0</v>
          </cell>
        </row>
        <row r="59">
          <cell r="A59" t="str">
            <v>B0022</v>
          </cell>
          <cell r="B59" t="str">
            <v>B0022 DDA East Oxford Community Centre Lift</v>
          </cell>
          <cell r="E59">
            <v>2352</v>
          </cell>
          <cell r="F59">
            <v>3565.25</v>
          </cell>
          <cell r="G59">
            <v>101076.57</v>
          </cell>
          <cell r="I59">
            <v>106993.82</v>
          </cell>
        </row>
        <row r="60">
          <cell r="A60" t="str">
            <v>B0023</v>
          </cell>
          <cell r="B60" t="str">
            <v>B0023 Covered Market High level Cleaning</v>
          </cell>
          <cell r="D60">
            <v>0</v>
          </cell>
          <cell r="I60">
            <v>0</v>
          </cell>
        </row>
        <row r="61">
          <cell r="A61" t="str">
            <v>B0024</v>
          </cell>
          <cell r="B61" t="str">
            <v>B0024 Covered Market Repair and Redecoration</v>
          </cell>
          <cell r="D61">
            <v>0</v>
          </cell>
          <cell r="E61">
            <v>0</v>
          </cell>
          <cell r="F61">
            <v>0</v>
          </cell>
          <cell r="G61">
            <v>0</v>
          </cell>
          <cell r="I61">
            <v>0</v>
          </cell>
        </row>
        <row r="62">
          <cell r="A62" t="str">
            <v>B0025</v>
          </cell>
          <cell r="B62" t="str">
            <v>B0025 Covered Market PA system</v>
          </cell>
          <cell r="D62">
            <v>69743.94</v>
          </cell>
          <cell r="I62">
            <v>69743.94</v>
          </cell>
        </row>
        <row r="63">
          <cell r="A63" t="str">
            <v>B0026</v>
          </cell>
          <cell r="B63" t="str">
            <v>B0026 Parks &amp; Cemetry Stone Wall &amp; Path Improvemen</v>
          </cell>
          <cell r="F63">
            <v>38070.300000000003</v>
          </cell>
          <cell r="G63">
            <v>0</v>
          </cell>
          <cell r="I63">
            <v>38070.300000000003</v>
          </cell>
        </row>
        <row r="64">
          <cell r="A64" t="str">
            <v>B0027</v>
          </cell>
          <cell r="B64" t="str">
            <v>B0027 Covered Market - Improvements &amp; Upgrade to R</v>
          </cell>
          <cell r="F64">
            <v>8938.69</v>
          </cell>
          <cell r="G64">
            <v>13090</v>
          </cell>
          <cell r="H64">
            <v>4806.8500000000004</v>
          </cell>
          <cell r="I64">
            <v>26835.54</v>
          </cell>
        </row>
        <row r="65">
          <cell r="A65" t="str">
            <v>B0028</v>
          </cell>
          <cell r="B65" t="str">
            <v>B0028 Covered Market - New Roof Structures to High</v>
          </cell>
          <cell r="G65">
            <v>1800</v>
          </cell>
          <cell r="H65">
            <v>12086.29</v>
          </cell>
          <cell r="I65">
            <v>13886.29</v>
          </cell>
        </row>
        <row r="66">
          <cell r="A66" t="str">
            <v>B0030</v>
          </cell>
          <cell r="B66" t="str">
            <v>B0030 Consolidation of parks Depot - South Park to</v>
          </cell>
          <cell r="F66">
            <v>80937.19</v>
          </cell>
          <cell r="G66">
            <v>0</v>
          </cell>
          <cell r="I66">
            <v>80937.19</v>
          </cell>
        </row>
        <row r="67">
          <cell r="A67" t="str">
            <v>B0032</v>
          </cell>
          <cell r="B67" t="str">
            <v>B0032 Bury Knowle House</v>
          </cell>
          <cell r="F67">
            <v>186358.33</v>
          </cell>
          <cell r="H67">
            <v>5029.8</v>
          </cell>
          <cell r="I67">
            <v>191388.13</v>
          </cell>
        </row>
        <row r="68">
          <cell r="A68" t="str">
            <v>B0033</v>
          </cell>
          <cell r="B68" t="str">
            <v>B0033 Community Centres</v>
          </cell>
          <cell r="F68">
            <v>50235.46</v>
          </cell>
          <cell r="G68">
            <v>224068.94</v>
          </cell>
          <cell r="H68">
            <v>111587.08</v>
          </cell>
          <cell r="I68">
            <v>385891.48</v>
          </cell>
        </row>
        <row r="69">
          <cell r="A69" t="str">
            <v>B0034</v>
          </cell>
          <cell r="B69" t="str">
            <v>B0034 Rose Hill Community Centre</v>
          </cell>
          <cell r="F69">
            <v>1500</v>
          </cell>
          <cell r="G69">
            <v>81661.8</v>
          </cell>
          <cell r="H69">
            <v>166066.18</v>
          </cell>
          <cell r="I69">
            <v>249227.98</v>
          </cell>
        </row>
        <row r="70">
          <cell r="A70" t="str">
            <v>B0035</v>
          </cell>
          <cell r="B70" t="str">
            <v>B0035 Miscellaneous Civic Properties</v>
          </cell>
          <cell r="F70">
            <v>7281.57</v>
          </cell>
          <cell r="G70">
            <v>58027.61</v>
          </cell>
          <cell r="H70">
            <v>0</v>
          </cell>
          <cell r="I70">
            <v>65309.18</v>
          </cell>
        </row>
        <row r="71">
          <cell r="A71" t="str">
            <v>B0036</v>
          </cell>
          <cell r="B71" t="str">
            <v>B0036 Investment - Covered Market</v>
          </cell>
          <cell r="F71">
            <v>25249.23</v>
          </cell>
          <cell r="G71">
            <v>150451.07</v>
          </cell>
          <cell r="H71">
            <v>72445.77</v>
          </cell>
          <cell r="I71">
            <v>248146.07</v>
          </cell>
        </row>
        <row r="72">
          <cell r="A72" t="str">
            <v>B0037</v>
          </cell>
          <cell r="B72" t="str">
            <v>B0037 Car Parks</v>
          </cell>
          <cell r="F72">
            <v>11620</v>
          </cell>
          <cell r="G72">
            <v>69327.600000000006</v>
          </cell>
          <cell r="H72">
            <v>167845.77</v>
          </cell>
          <cell r="I72">
            <v>248793.37</v>
          </cell>
        </row>
        <row r="73">
          <cell r="A73" t="str">
            <v>B0039</v>
          </cell>
          <cell r="B73" t="str">
            <v>B0039 Houses &amp; Lodges</v>
          </cell>
          <cell r="F73">
            <v>34576.93</v>
          </cell>
          <cell r="I73">
            <v>34576.93</v>
          </cell>
        </row>
        <row r="74">
          <cell r="A74" t="str">
            <v>B0040</v>
          </cell>
          <cell r="B74" t="str">
            <v>B0040 Investment - Broad Street</v>
          </cell>
          <cell r="G74">
            <v>35416.03</v>
          </cell>
          <cell r="H74">
            <v>119770.6</v>
          </cell>
          <cell r="I74">
            <v>155186.63</v>
          </cell>
        </row>
        <row r="75">
          <cell r="A75" t="str">
            <v>B0041</v>
          </cell>
          <cell r="B75" t="str">
            <v>B0041 Investment - Misc City Centre Properties</v>
          </cell>
          <cell r="G75">
            <v>9519.51</v>
          </cell>
          <cell r="H75">
            <v>6310.23</v>
          </cell>
          <cell r="I75">
            <v>15829.74</v>
          </cell>
        </row>
        <row r="76">
          <cell r="A76" t="str">
            <v>B0042</v>
          </cell>
          <cell r="B76" t="str">
            <v>B0042 Investment - Gloucester Green</v>
          </cell>
          <cell r="G76">
            <v>21457.39</v>
          </cell>
          <cell r="H76">
            <v>0</v>
          </cell>
          <cell r="I76">
            <v>21457.39</v>
          </cell>
        </row>
        <row r="77">
          <cell r="A77" t="str">
            <v>B0043</v>
          </cell>
          <cell r="B77" t="str">
            <v>B0043 Investment - George Street</v>
          </cell>
          <cell r="F77">
            <v>1568</v>
          </cell>
          <cell r="H77">
            <v>0</v>
          </cell>
          <cell r="I77">
            <v>1568</v>
          </cell>
        </row>
        <row r="78">
          <cell r="A78" t="str">
            <v>B0044</v>
          </cell>
          <cell r="B78" t="str">
            <v>B0044 Investment - Outer City</v>
          </cell>
          <cell r="G78">
            <v>17846.419999999998</v>
          </cell>
          <cell r="H78">
            <v>10905.26</v>
          </cell>
          <cell r="I78">
            <v>28751.68</v>
          </cell>
        </row>
        <row r="79">
          <cell r="A79" t="str">
            <v>B0045</v>
          </cell>
          <cell r="B79" t="str">
            <v>B0045 Investment - St Michaels Street</v>
          </cell>
          <cell r="G79">
            <v>3750</v>
          </cell>
          <cell r="H79">
            <v>23861.59</v>
          </cell>
          <cell r="I79">
            <v>27611.59</v>
          </cell>
        </row>
        <row r="80">
          <cell r="A80" t="str">
            <v>B0046</v>
          </cell>
          <cell r="B80" t="str">
            <v>B0046 Investment - Ship Street</v>
          </cell>
          <cell r="G80">
            <v>500</v>
          </cell>
          <cell r="H80">
            <v>4497.8999999999996</v>
          </cell>
          <cell r="I80">
            <v>4997.8999999999996</v>
          </cell>
        </row>
        <row r="81">
          <cell r="A81" t="str">
            <v>B0048</v>
          </cell>
          <cell r="B81" t="str">
            <v>B0048 Leisure - Cemeteries</v>
          </cell>
          <cell r="G81">
            <v>16866.150000000001</v>
          </cell>
          <cell r="H81">
            <v>75892.740000000005</v>
          </cell>
          <cell r="I81">
            <v>92758.89</v>
          </cell>
        </row>
        <row r="82">
          <cell r="A82" t="str">
            <v>B0050</v>
          </cell>
          <cell r="B82" t="str">
            <v>B0050 Leisure - Depots</v>
          </cell>
          <cell r="F82">
            <v>1000</v>
          </cell>
          <cell r="G82">
            <v>70190.77</v>
          </cell>
          <cell r="I82">
            <v>71190.77</v>
          </cell>
        </row>
        <row r="83">
          <cell r="A83" t="str">
            <v>B0051</v>
          </cell>
          <cell r="B83" t="str">
            <v>B0051 Leisure - Pavilions</v>
          </cell>
          <cell r="G83">
            <v>120224.62</v>
          </cell>
          <cell r="H83">
            <v>480064.73</v>
          </cell>
          <cell r="I83">
            <v>600289.35</v>
          </cell>
        </row>
        <row r="84">
          <cell r="A84" t="str">
            <v>B0052</v>
          </cell>
          <cell r="B84" t="str">
            <v>B0052 Miscellaneous Properties</v>
          </cell>
          <cell r="H84">
            <v>56712.08</v>
          </cell>
          <cell r="I84">
            <v>56712.08</v>
          </cell>
        </row>
        <row r="85">
          <cell r="A85" t="str">
            <v>B0053</v>
          </cell>
          <cell r="B85" t="str">
            <v>B0053 Public Toilets</v>
          </cell>
          <cell r="F85">
            <v>2010.9</v>
          </cell>
          <cell r="G85">
            <v>0</v>
          </cell>
          <cell r="I85">
            <v>2010.9</v>
          </cell>
        </row>
        <row r="86">
          <cell r="A86" t="str">
            <v>B0054</v>
          </cell>
          <cell r="B86" t="str">
            <v>B0054 Town Hall</v>
          </cell>
          <cell r="F86">
            <v>96869.93</v>
          </cell>
          <cell r="G86">
            <v>390219.61</v>
          </cell>
          <cell r="H86">
            <v>150966.82</v>
          </cell>
          <cell r="I86">
            <v>638056.36</v>
          </cell>
        </row>
        <row r="87">
          <cell r="A87" t="str">
            <v>B0055</v>
          </cell>
          <cell r="B87" t="str">
            <v>B0055 Property Surveys</v>
          </cell>
          <cell r="F87">
            <v>92400</v>
          </cell>
          <cell r="G87">
            <v>120521.25</v>
          </cell>
          <cell r="I87">
            <v>212921.25</v>
          </cell>
        </row>
        <row r="88">
          <cell r="A88" t="str">
            <v>B0056</v>
          </cell>
          <cell r="B88" t="str">
            <v>B0056 City Centre Office Security</v>
          </cell>
          <cell r="F88">
            <v>24096.07</v>
          </cell>
          <cell r="G88">
            <v>0</v>
          </cell>
          <cell r="I88">
            <v>24096.07</v>
          </cell>
        </row>
        <row r="89">
          <cell r="A89" t="str">
            <v>B0057</v>
          </cell>
          <cell r="B89" t="str">
            <v>B0057 Town Hall Fire Alarm</v>
          </cell>
          <cell r="F89">
            <v>5000</v>
          </cell>
          <cell r="G89">
            <v>339063.68</v>
          </cell>
          <cell r="I89">
            <v>344063.68</v>
          </cell>
        </row>
        <row r="90">
          <cell r="A90" t="str">
            <v>B0058</v>
          </cell>
          <cell r="B90" t="str">
            <v>B0058 Town Hall Fire Escape</v>
          </cell>
          <cell r="F90">
            <v>63043.23</v>
          </cell>
          <cell r="I90">
            <v>63043.23</v>
          </cell>
        </row>
        <row r="91">
          <cell r="A91" t="str">
            <v>B0059</v>
          </cell>
          <cell r="B91" t="str">
            <v>B0059 FIT Panels on Leisure Buildings</v>
          </cell>
          <cell r="F91">
            <v>154544.95000000001</v>
          </cell>
          <cell r="G91">
            <v>9683.1299999999992</v>
          </cell>
          <cell r="I91">
            <v>164228.07999999999</v>
          </cell>
        </row>
        <row r="92">
          <cell r="A92" t="str">
            <v>B0060</v>
          </cell>
          <cell r="B92" t="str">
            <v>B0060 Depot Relocation Studies</v>
          </cell>
          <cell r="G92">
            <v>59452.76</v>
          </cell>
          <cell r="I92">
            <v>59452.76</v>
          </cell>
        </row>
        <row r="93">
          <cell r="A93" t="str">
            <v>B0061</v>
          </cell>
          <cell r="B93" t="str">
            <v>B0061 Court Place Farm Culvert</v>
          </cell>
          <cell r="F93">
            <v>39250</v>
          </cell>
          <cell r="I93">
            <v>39250</v>
          </cell>
        </row>
        <row r="94">
          <cell r="A94" t="str">
            <v>B0062</v>
          </cell>
          <cell r="B94" t="str">
            <v>B0062 Ferry Hinksey Road Ordinary Watercourse Rest</v>
          </cell>
          <cell r="F94">
            <v>46527.95</v>
          </cell>
          <cell r="I94">
            <v>46527.95</v>
          </cell>
        </row>
        <row r="95">
          <cell r="A95" t="str">
            <v>B0063</v>
          </cell>
          <cell r="B95" t="str">
            <v>B0063 Covered Market Sprinkler System</v>
          </cell>
          <cell r="G95">
            <v>24878.97</v>
          </cell>
          <cell r="H95">
            <v>128518.19</v>
          </cell>
          <cell r="I95">
            <v>153397.16</v>
          </cell>
        </row>
        <row r="96">
          <cell r="A96" t="str">
            <v>B0064</v>
          </cell>
          <cell r="B96" t="str">
            <v>B0064 Covered Market Emergency Lighting</v>
          </cell>
          <cell r="G96">
            <v>79789.52</v>
          </cell>
          <cell r="H96">
            <v>8031.73</v>
          </cell>
          <cell r="I96">
            <v>87821.25</v>
          </cell>
        </row>
        <row r="97">
          <cell r="A97" t="str">
            <v>B0065</v>
          </cell>
          <cell r="B97" t="str">
            <v>B0065 Parks &amp; Cemetery - Masonry Wall &amp; Path Impro</v>
          </cell>
          <cell r="G97">
            <v>25326</v>
          </cell>
          <cell r="H97">
            <v>60301.68</v>
          </cell>
          <cell r="I97">
            <v>85627.68</v>
          </cell>
        </row>
        <row r="98">
          <cell r="A98" t="str">
            <v>B0067</v>
          </cell>
          <cell r="B98" t="str">
            <v>B0067 Fencing Repairs Across the City</v>
          </cell>
          <cell r="G98">
            <v>128051.78</v>
          </cell>
          <cell r="H98">
            <v>175992.83</v>
          </cell>
          <cell r="I98">
            <v>304044.61</v>
          </cell>
        </row>
        <row r="99">
          <cell r="A99" t="str">
            <v>B0068</v>
          </cell>
          <cell r="B99" t="str">
            <v>B0068 Town Hall - Conference System Refurbishment</v>
          </cell>
          <cell r="G99">
            <v>66988.03</v>
          </cell>
          <cell r="H99">
            <v>51240.78</v>
          </cell>
          <cell r="I99">
            <v>118228.81</v>
          </cell>
        </row>
        <row r="100">
          <cell r="A100" t="str">
            <v>B0070</v>
          </cell>
          <cell r="B100" t="str">
            <v>B0070 Ramsay House Replacement Comfort Cooling Sys</v>
          </cell>
          <cell r="G100">
            <v>181294.14</v>
          </cell>
          <cell r="I100">
            <v>181294.14</v>
          </cell>
        </row>
        <row r="101">
          <cell r="A101" t="str">
            <v>B0071</v>
          </cell>
          <cell r="B101" t="str">
            <v>B0071 Parks Properties Health and Safety Works</v>
          </cell>
          <cell r="G101">
            <v>7623.91</v>
          </cell>
          <cell r="H101">
            <v>58063</v>
          </cell>
          <cell r="I101">
            <v>65686.91</v>
          </cell>
        </row>
        <row r="102">
          <cell r="A102" t="str">
            <v>B0072</v>
          </cell>
          <cell r="B102" t="str">
            <v>B0072 23-25 Broad Street</v>
          </cell>
          <cell r="H102">
            <v>37604.449999999997</v>
          </cell>
          <cell r="I102">
            <v>37604.449999999997</v>
          </cell>
        </row>
        <row r="103">
          <cell r="A103" t="str">
            <v>B0074</v>
          </cell>
          <cell r="B103" t="str">
            <v>B0074 R &amp; D Feasibility Fund</v>
          </cell>
          <cell r="H103">
            <v>1106.81</v>
          </cell>
          <cell r="I103">
            <v>1106.81</v>
          </cell>
        </row>
        <row r="104">
          <cell r="A104" t="str">
            <v>B0075</v>
          </cell>
          <cell r="B104" t="str">
            <v>B0075 Stage 2 Museum of Oxford Development</v>
          </cell>
          <cell r="H104">
            <v>62609.94</v>
          </cell>
          <cell r="I104">
            <v>62609.94</v>
          </cell>
        </row>
        <row r="105">
          <cell r="A105" t="str">
            <v>B0076</v>
          </cell>
          <cell r="B105" t="str">
            <v>B0076 Town Hall Improvements</v>
          </cell>
          <cell r="H105">
            <v>171104.44</v>
          </cell>
          <cell r="I105">
            <v>171104.44</v>
          </cell>
        </row>
        <row r="106">
          <cell r="A106" t="str">
            <v>B0077</v>
          </cell>
          <cell r="B106" t="str">
            <v>B0077 Direct Services Depots</v>
          </cell>
          <cell r="H106">
            <v>104616.5</v>
          </cell>
          <cell r="I106">
            <v>104616.5</v>
          </cell>
        </row>
        <row r="107">
          <cell r="A107" t="str">
            <v>B0080</v>
          </cell>
          <cell r="B107" t="str">
            <v>B0080 Templars Square Refurbishment/Relocation</v>
          </cell>
          <cell r="H107">
            <v>9533.32</v>
          </cell>
          <cell r="I107">
            <v>9533.32</v>
          </cell>
        </row>
        <row r="108">
          <cell r="A108" t="str">
            <v>B0081</v>
          </cell>
          <cell r="B108" t="str">
            <v>B0081 Car Park Oxpens</v>
          </cell>
          <cell r="H108">
            <v>158040.57</v>
          </cell>
          <cell r="I108">
            <v>158040.57</v>
          </cell>
        </row>
        <row r="109">
          <cell r="A109" t="str">
            <v>B0082</v>
          </cell>
          <cell r="B109" t="str">
            <v>B0082 Garages</v>
          </cell>
          <cell r="H109">
            <v>123279.62</v>
          </cell>
          <cell r="I109">
            <v>123279.62</v>
          </cell>
        </row>
        <row r="110">
          <cell r="A110" t="str">
            <v>B1002</v>
          </cell>
          <cell r="B110" t="str">
            <v>B1002 Town Hall PA System upgrades</v>
          </cell>
          <cell r="E110">
            <v>1810</v>
          </cell>
          <cell r="F110">
            <v>36388.269999999997</v>
          </cell>
          <cell r="I110">
            <v>38198.269999999997</v>
          </cell>
        </row>
        <row r="111">
          <cell r="A111" t="str">
            <v>B1003</v>
          </cell>
          <cell r="B111" t="str">
            <v>B1003 Town Hall Pigeon proofing</v>
          </cell>
          <cell r="F111">
            <v>7757</v>
          </cell>
          <cell r="I111">
            <v>7757</v>
          </cell>
        </row>
        <row r="112">
          <cell r="A112" t="str">
            <v>B1004</v>
          </cell>
          <cell r="B112" t="str">
            <v>B1004 Covered Market repairs/upgrading</v>
          </cell>
          <cell r="E112">
            <v>1216.45</v>
          </cell>
          <cell r="F112">
            <v>25489.599999999999</v>
          </cell>
          <cell r="G112">
            <v>0</v>
          </cell>
          <cell r="I112">
            <v>26706.05</v>
          </cell>
        </row>
        <row r="113">
          <cell r="A113" t="str">
            <v>B8290</v>
          </cell>
          <cell r="B113" t="str">
            <v>B8290 Ramsay House various 2002/03</v>
          </cell>
          <cell r="F113">
            <v>0</v>
          </cell>
          <cell r="I113">
            <v>0</v>
          </cell>
        </row>
        <row r="114">
          <cell r="A114" t="str">
            <v>B8324</v>
          </cell>
          <cell r="B114" t="str">
            <v>B8324 Ice Rink - replace entrance doors 04/05</v>
          </cell>
          <cell r="D114">
            <v>10090.25</v>
          </cell>
          <cell r="I114">
            <v>10090.25</v>
          </cell>
        </row>
        <row r="115">
          <cell r="A115" t="str">
            <v>B8345</v>
          </cell>
          <cell r="B115" t="str">
            <v>B8345 Rose Hill Community Centre - various 04/05</v>
          </cell>
          <cell r="D115">
            <v>505</v>
          </cell>
          <cell r="I115">
            <v>505</v>
          </cell>
        </row>
        <row r="116">
          <cell r="A116" t="str">
            <v>B8347</v>
          </cell>
          <cell r="B116" t="str">
            <v>B8347 South Oxon Comm. Centre - install new lift 0</v>
          </cell>
          <cell r="D116">
            <v>2490.42</v>
          </cell>
          <cell r="E116">
            <v>7585.87</v>
          </cell>
          <cell r="I116">
            <v>10076.290000000001</v>
          </cell>
        </row>
        <row r="117">
          <cell r="A117" t="str">
            <v>B9011</v>
          </cell>
          <cell r="B117" t="str">
            <v>B9011 Ramsay House Alterations</v>
          </cell>
          <cell r="D117">
            <v>0</v>
          </cell>
          <cell r="I117">
            <v>0</v>
          </cell>
        </row>
        <row r="118">
          <cell r="A118" t="str">
            <v>B9021</v>
          </cell>
          <cell r="B118" t="str">
            <v>B9021 Northgate Hall - Basement Toilets</v>
          </cell>
          <cell r="E118">
            <v>0</v>
          </cell>
          <cell r="I118">
            <v>0</v>
          </cell>
        </row>
        <row r="119">
          <cell r="A119" t="str">
            <v>B9027</v>
          </cell>
          <cell r="B119" t="str">
            <v>B9027 Northway centre 2nd floor lighting</v>
          </cell>
          <cell r="E119">
            <v>0</v>
          </cell>
          <cell r="I119">
            <v>0</v>
          </cell>
        </row>
        <row r="120">
          <cell r="A120" t="str">
            <v>B9064</v>
          </cell>
          <cell r="B120" t="str">
            <v>B9064 Covered Market - ave, internal decoration/cl</v>
          </cell>
          <cell r="D120">
            <v>0</v>
          </cell>
          <cell r="I120">
            <v>0</v>
          </cell>
        </row>
        <row r="121">
          <cell r="A121" t="str">
            <v>B9067</v>
          </cell>
          <cell r="B121" t="str">
            <v>B9067 Covered Market - security improvements</v>
          </cell>
          <cell r="D121">
            <v>2486.6</v>
          </cell>
          <cell r="I121">
            <v>2486.6</v>
          </cell>
        </row>
        <row r="122">
          <cell r="A122" t="str">
            <v>B9138</v>
          </cell>
          <cell r="B122" t="str">
            <v>B9138 Littlemore Community Centre - DDA accessible</v>
          </cell>
          <cell r="D122">
            <v>7666.95</v>
          </cell>
          <cell r="I122">
            <v>7666.95</v>
          </cell>
        </row>
        <row r="123">
          <cell r="A123" t="str">
            <v>B9202</v>
          </cell>
          <cell r="B123" t="str">
            <v>B9202 Parks properties (H&amp;S works</v>
          </cell>
          <cell r="E123">
            <v>3351.8</v>
          </cell>
          <cell r="I123">
            <v>3351.8</v>
          </cell>
        </row>
        <row r="124">
          <cell r="A124" t="str">
            <v>B9203</v>
          </cell>
          <cell r="B124" t="str">
            <v>B9203 Community Centres - Water Bylaws and Legione</v>
          </cell>
          <cell r="E124">
            <v>18500</v>
          </cell>
          <cell r="F124">
            <v>7338.8</v>
          </cell>
          <cell r="I124">
            <v>25838.799999999999</v>
          </cell>
        </row>
        <row r="125">
          <cell r="A125" t="str">
            <v>B9204</v>
          </cell>
          <cell r="B125" t="str">
            <v>B9204 Parks &amp; Cemetries (Stone wall repairs)</v>
          </cell>
          <cell r="D125">
            <v>0</v>
          </cell>
          <cell r="I125">
            <v>0</v>
          </cell>
        </row>
        <row r="126">
          <cell r="A126" t="str">
            <v>B9207</v>
          </cell>
          <cell r="B126" t="str">
            <v>B9207 Northway Centre Demolition</v>
          </cell>
          <cell r="D126">
            <v>333494.99</v>
          </cell>
          <cell r="E126">
            <v>54458.06</v>
          </cell>
          <cell r="I126">
            <v>387953.05</v>
          </cell>
        </row>
        <row r="127">
          <cell r="A127" t="str">
            <v>B9208</v>
          </cell>
          <cell r="B127" t="str">
            <v>B9208 Cowley Community Centre Demolition</v>
          </cell>
          <cell r="D127">
            <v>10755</v>
          </cell>
          <cell r="I127">
            <v>10755</v>
          </cell>
        </row>
        <row r="128">
          <cell r="A128" t="str">
            <v>C3039</v>
          </cell>
          <cell r="B128" t="str">
            <v>C3039 ICT Infrastructure</v>
          </cell>
          <cell r="D128">
            <v>1299001</v>
          </cell>
          <cell r="E128">
            <v>280703.03999999998</v>
          </cell>
          <cell r="F128">
            <v>52190</v>
          </cell>
          <cell r="G128">
            <v>220718.81</v>
          </cell>
          <cell r="H128">
            <v>223150.67</v>
          </cell>
          <cell r="I128">
            <v>2075763.52</v>
          </cell>
        </row>
        <row r="129">
          <cell r="A129" t="str">
            <v>C3041</v>
          </cell>
          <cell r="B129" t="str">
            <v>C3041 New server for telephone system</v>
          </cell>
          <cell r="F129">
            <v>6712</v>
          </cell>
          <cell r="I129">
            <v>6712</v>
          </cell>
        </row>
        <row r="130">
          <cell r="A130" t="str">
            <v>C3042</v>
          </cell>
          <cell r="B130" t="str">
            <v>C3042 Customer First Programme</v>
          </cell>
          <cell r="F130">
            <v>45330.12</v>
          </cell>
          <cell r="G130">
            <v>0</v>
          </cell>
          <cell r="H130">
            <v>131136.9</v>
          </cell>
          <cell r="I130">
            <v>176467.02</v>
          </cell>
        </row>
        <row r="131">
          <cell r="A131" t="str">
            <v>C3043</v>
          </cell>
          <cell r="B131" t="str">
            <v>C3043 ICT Development</v>
          </cell>
          <cell r="G131">
            <v>190661.62</v>
          </cell>
          <cell r="H131">
            <v>61250</v>
          </cell>
          <cell r="I131">
            <v>251911.62</v>
          </cell>
        </row>
        <row r="132">
          <cell r="A132" t="str">
            <v>C3044</v>
          </cell>
          <cell r="B132" t="str">
            <v>C3044 Software Licences</v>
          </cell>
          <cell r="G132">
            <v>165514.38</v>
          </cell>
          <cell r="H132">
            <v>178454.5</v>
          </cell>
          <cell r="I132">
            <v>343968.88</v>
          </cell>
        </row>
        <row r="133">
          <cell r="A133" t="str">
            <v>C3045</v>
          </cell>
          <cell r="B133" t="str">
            <v>C3045 Mobile Working</v>
          </cell>
          <cell r="H133">
            <v>5168.32</v>
          </cell>
          <cell r="I133">
            <v>5168.32</v>
          </cell>
        </row>
        <row r="134">
          <cell r="A134" t="str">
            <v>C3046</v>
          </cell>
          <cell r="B134" t="str">
            <v>C3046 System Integration Capability</v>
          </cell>
          <cell r="H134">
            <v>12000</v>
          </cell>
          <cell r="I134">
            <v>12000</v>
          </cell>
        </row>
        <row r="135">
          <cell r="A135" t="str">
            <v>C3050</v>
          </cell>
          <cell r="B135" t="str">
            <v>C3050 Tree Managment Software</v>
          </cell>
          <cell r="H135">
            <v>14250</v>
          </cell>
          <cell r="I135">
            <v>14250</v>
          </cell>
        </row>
        <row r="136">
          <cell r="A136" t="str">
            <v>D0001</v>
          </cell>
          <cell r="B136" t="str">
            <v>D0001 Corporate Restructure (rename)</v>
          </cell>
          <cell r="D136">
            <v>-5159.6099999999997</v>
          </cell>
          <cell r="I136">
            <v>-5159.6099999999997</v>
          </cell>
        </row>
        <row r="137">
          <cell r="A137" t="str">
            <v>D0002</v>
          </cell>
          <cell r="B137" t="str">
            <v>D0002 Icelandic Banking Losses</v>
          </cell>
          <cell r="D137">
            <v>1944399</v>
          </cell>
          <cell r="I137">
            <v>1944399</v>
          </cell>
        </row>
        <row r="138">
          <cell r="A138" t="str">
            <v>E3511</v>
          </cell>
          <cell r="B138" t="str">
            <v>E3511 Renovation Grants</v>
          </cell>
          <cell r="D138">
            <v>26621.22</v>
          </cell>
          <cell r="E138">
            <v>-4448.91</v>
          </cell>
          <cell r="F138">
            <v>25489.82</v>
          </cell>
          <cell r="G138">
            <v>52986</v>
          </cell>
          <cell r="H138">
            <v>40706.57</v>
          </cell>
          <cell r="I138">
            <v>141354.70000000001</v>
          </cell>
        </row>
        <row r="139">
          <cell r="A139" t="str">
            <v>E3521</v>
          </cell>
          <cell r="B139" t="str">
            <v>E3521 Disabled Facilities Grants</v>
          </cell>
          <cell r="D139">
            <v>594808.03</v>
          </cell>
          <cell r="E139">
            <v>646530.15</v>
          </cell>
          <cell r="F139">
            <v>669280.68000000005</v>
          </cell>
          <cell r="G139">
            <v>573416.67000000004</v>
          </cell>
          <cell r="H139">
            <v>822046.23</v>
          </cell>
          <cell r="I139">
            <v>3306081.76</v>
          </cell>
        </row>
        <row r="140">
          <cell r="A140" t="str">
            <v>E3552</v>
          </cell>
          <cell r="B140" t="str">
            <v>E3552 Loft insulation - means tested scheme</v>
          </cell>
          <cell r="D140">
            <v>21150.44</v>
          </cell>
          <cell r="I140">
            <v>21150.44</v>
          </cell>
        </row>
        <row r="141">
          <cell r="A141" t="str">
            <v>F0005</v>
          </cell>
          <cell r="B141" t="str">
            <v>F0005 Gloucester Green Bus Station</v>
          </cell>
          <cell r="F141">
            <v>0</v>
          </cell>
          <cell r="I141">
            <v>0</v>
          </cell>
        </row>
        <row r="142">
          <cell r="A142" t="str">
            <v>F0010</v>
          </cell>
          <cell r="B142" t="str">
            <v>F0010 Gloucester Green Bus Station (Safety Measure</v>
          </cell>
          <cell r="E142">
            <v>0</v>
          </cell>
          <cell r="F142">
            <v>0</v>
          </cell>
          <cell r="I142">
            <v>0</v>
          </cell>
        </row>
        <row r="143">
          <cell r="A143" t="str">
            <v>F0011</v>
          </cell>
          <cell r="B143" t="str">
            <v>F0011 Pay &amp; Display Parking in the Car Parks</v>
          </cell>
          <cell r="F143">
            <v>67552.62</v>
          </cell>
          <cell r="G143">
            <v>0</v>
          </cell>
          <cell r="H143">
            <v>12786</v>
          </cell>
          <cell r="I143">
            <v>80338.62</v>
          </cell>
        </row>
        <row r="144">
          <cell r="A144" t="str">
            <v>F0012</v>
          </cell>
          <cell r="B144" t="str">
            <v>F0012 P &amp; R Puchase of Capital Items - Peartree, R</v>
          </cell>
          <cell r="F144">
            <v>72456.09</v>
          </cell>
          <cell r="G144">
            <v>27335</v>
          </cell>
          <cell r="H144">
            <v>0</v>
          </cell>
          <cell r="I144">
            <v>99791.09</v>
          </cell>
        </row>
        <row r="145">
          <cell r="A145" t="str">
            <v>F0013</v>
          </cell>
          <cell r="B145" t="str">
            <v>F0013 Park and Ride S106</v>
          </cell>
          <cell r="F145">
            <v>0</v>
          </cell>
          <cell r="I145">
            <v>0</v>
          </cell>
        </row>
        <row r="146">
          <cell r="A146" t="str">
            <v>F0014</v>
          </cell>
          <cell r="B146" t="str">
            <v>F0014 ANPR for Car Park Enforcement</v>
          </cell>
          <cell r="G146">
            <v>48143.33</v>
          </cell>
          <cell r="H146">
            <v>40300</v>
          </cell>
          <cell r="I146">
            <v>88443.33</v>
          </cell>
        </row>
        <row r="147">
          <cell r="A147" t="str">
            <v>F0015</v>
          </cell>
          <cell r="B147" t="str">
            <v>F0015 Cycle Oxford</v>
          </cell>
          <cell r="G147">
            <v>5496.52</v>
          </cell>
          <cell r="H147">
            <v>9455.76</v>
          </cell>
          <cell r="I147">
            <v>14952.28</v>
          </cell>
        </row>
        <row r="148">
          <cell r="A148" t="str">
            <v>F1096</v>
          </cell>
          <cell r="B148" t="str">
            <v>F1096 Nth/Sth Works Cycle Route</v>
          </cell>
          <cell r="D148">
            <v>120751.91</v>
          </cell>
          <cell r="F148">
            <v>63446.43</v>
          </cell>
          <cell r="I148">
            <v>184198.34</v>
          </cell>
        </row>
        <row r="149">
          <cell r="A149" t="str">
            <v>F1102</v>
          </cell>
          <cell r="B149" t="str">
            <v>F1102 Sunnymeade Court - Affordable Housing Scheme</v>
          </cell>
          <cell r="D149">
            <v>184000</v>
          </cell>
          <cell r="I149">
            <v>184000</v>
          </cell>
        </row>
        <row r="150">
          <cell r="A150" t="str">
            <v>F1103</v>
          </cell>
          <cell r="B150" t="str">
            <v xml:space="preserve">F1103 Beenhams, Railway Lane - Affordable Housing </v>
          </cell>
          <cell r="D150">
            <v>145000</v>
          </cell>
          <cell r="E150">
            <v>145000</v>
          </cell>
          <cell r="I150">
            <v>290000</v>
          </cell>
        </row>
        <row r="151">
          <cell r="A151" t="str">
            <v>F1104</v>
          </cell>
          <cell r="B151" t="str">
            <v>F1104 Salesian Gardens - Affordable Housing Scheme</v>
          </cell>
          <cell r="D151">
            <v>216000</v>
          </cell>
          <cell r="I151">
            <v>216000</v>
          </cell>
        </row>
        <row r="152">
          <cell r="A152" t="str">
            <v>F1108</v>
          </cell>
          <cell r="B152" t="str">
            <v>F1108 Wytham Street - Traffic Safety Measures</v>
          </cell>
          <cell r="D152">
            <v>0</v>
          </cell>
          <cell r="I152">
            <v>0</v>
          </cell>
        </row>
        <row r="153">
          <cell r="A153" t="str">
            <v>F1323</v>
          </cell>
          <cell r="B153" t="str">
            <v>F1323 Bridge Over Fiddlers Stream</v>
          </cell>
          <cell r="C153">
            <v>1356</v>
          </cell>
          <cell r="D153">
            <v>4693.5600000000004</v>
          </cell>
          <cell r="E153">
            <v>2855.38</v>
          </cell>
          <cell r="F153">
            <v>16329.54</v>
          </cell>
          <cell r="G153">
            <v>146686.69</v>
          </cell>
          <cell r="H153">
            <v>10449.870000000001</v>
          </cell>
          <cell r="I153">
            <v>181015.04000000001</v>
          </cell>
        </row>
        <row r="154">
          <cell r="A154" t="str">
            <v>F1330</v>
          </cell>
          <cell r="B154" t="str">
            <v>F1330 Work of Art Donnington Middle School Site</v>
          </cell>
          <cell r="D154">
            <v>3854.04</v>
          </cell>
          <cell r="F154">
            <v>84</v>
          </cell>
          <cell r="G154">
            <v>928.5</v>
          </cell>
          <cell r="I154">
            <v>4866.54</v>
          </cell>
        </row>
        <row r="155">
          <cell r="A155" t="str">
            <v>F5008</v>
          </cell>
          <cell r="B155" t="str">
            <v>F5008 West Oxford Cylce Route</v>
          </cell>
          <cell r="D155">
            <v>9773.8700000000008</v>
          </cell>
          <cell r="E155">
            <v>15998.15</v>
          </cell>
          <cell r="F155">
            <v>0</v>
          </cell>
          <cell r="I155">
            <v>25772.02</v>
          </cell>
        </row>
        <row r="156">
          <cell r="A156" t="str">
            <v>F5010</v>
          </cell>
          <cell r="B156" t="str">
            <v>F5010 Marsh Lane to Stockleys Rd cycle link</v>
          </cell>
          <cell r="D156">
            <v>1892.68</v>
          </cell>
          <cell r="E156">
            <v>38279.82</v>
          </cell>
          <cell r="F156">
            <v>9022.93</v>
          </cell>
          <cell r="G156">
            <v>0</v>
          </cell>
          <cell r="I156">
            <v>49195.43</v>
          </cell>
        </row>
        <row r="157">
          <cell r="A157" t="str">
            <v>F5011</v>
          </cell>
          <cell r="B157" t="str">
            <v>F5011 Barton Cycle Link</v>
          </cell>
          <cell r="G157">
            <v>0</v>
          </cell>
          <cell r="I157">
            <v>0</v>
          </cell>
        </row>
        <row r="158">
          <cell r="A158" t="str">
            <v>F6001</v>
          </cell>
          <cell r="B158" t="str">
            <v xml:space="preserve">F6001 Ferry Centre - provision or enhancement of  </v>
          </cell>
          <cell r="E158">
            <v>19306</v>
          </cell>
          <cell r="I158">
            <v>19306</v>
          </cell>
        </row>
        <row r="159">
          <cell r="A159" t="str">
            <v>F6002</v>
          </cell>
          <cell r="B159" t="str">
            <v>F6002 Temple Cowley Pool - Provision or enhancemen</v>
          </cell>
          <cell r="D159">
            <v>960</v>
          </cell>
          <cell r="I159">
            <v>960</v>
          </cell>
        </row>
        <row r="160">
          <cell r="A160" t="str">
            <v>F6003</v>
          </cell>
          <cell r="B160" t="str">
            <v>F6003 Barton Pool - Provision of indoor sports fac</v>
          </cell>
          <cell r="E160">
            <v>8640</v>
          </cell>
          <cell r="I160">
            <v>8640</v>
          </cell>
        </row>
        <row r="161">
          <cell r="A161" t="str">
            <v>F6004</v>
          </cell>
          <cell r="B161" t="str">
            <v xml:space="preserve">F6004 St Christophers Place - enhancement of play </v>
          </cell>
          <cell r="E161">
            <v>8057</v>
          </cell>
          <cell r="I161">
            <v>8057</v>
          </cell>
        </row>
        <row r="162">
          <cell r="A162" t="str">
            <v>F6005</v>
          </cell>
          <cell r="B162" t="str">
            <v>F6005 Barracks lane Allotments - enhancement of fa</v>
          </cell>
          <cell r="E162">
            <v>112.29</v>
          </cell>
          <cell r="I162">
            <v>112.29</v>
          </cell>
        </row>
        <row r="163">
          <cell r="A163" t="str">
            <v>F6007</v>
          </cell>
          <cell r="B163" t="str">
            <v xml:space="preserve">F6007 Cutteslowe Park Allotments - enhancement of </v>
          </cell>
          <cell r="D163">
            <v>212.22</v>
          </cell>
          <cell r="I163">
            <v>212.22</v>
          </cell>
        </row>
        <row r="164">
          <cell r="A164" t="str">
            <v>F6008</v>
          </cell>
          <cell r="B164" t="str">
            <v>F6008 Bernwood Park - play area improvements</v>
          </cell>
          <cell r="D164">
            <v>22700</v>
          </cell>
          <cell r="I164">
            <v>22700</v>
          </cell>
        </row>
        <row r="165">
          <cell r="A165" t="str">
            <v>F6009</v>
          </cell>
          <cell r="B165" t="str">
            <v>F6009 Town Furze Allotments - enhancement of facil</v>
          </cell>
          <cell r="E165">
            <v>338.5</v>
          </cell>
          <cell r="I165">
            <v>338.5</v>
          </cell>
        </row>
        <row r="166">
          <cell r="A166" t="str">
            <v>F6010</v>
          </cell>
          <cell r="B166" t="str">
            <v>F6010 Dene Road Play Area - enhancement of facilit</v>
          </cell>
          <cell r="E166">
            <v>17669</v>
          </cell>
          <cell r="I166">
            <v>17669</v>
          </cell>
        </row>
        <row r="167">
          <cell r="A167" t="str">
            <v>F6011</v>
          </cell>
          <cell r="B167" t="str">
            <v>F6011 Meadow Lane - improvements to recreational f</v>
          </cell>
          <cell r="E167">
            <v>31500</v>
          </cell>
          <cell r="I167">
            <v>31500</v>
          </cell>
        </row>
        <row r="168">
          <cell r="A168" t="str">
            <v>F6012</v>
          </cell>
          <cell r="B168" t="str">
            <v>F6012 Wood Farm Community Centre - provision or en</v>
          </cell>
          <cell r="E168">
            <v>50000</v>
          </cell>
          <cell r="I168">
            <v>50000</v>
          </cell>
        </row>
        <row r="169">
          <cell r="A169" t="str">
            <v>F6013</v>
          </cell>
          <cell r="B169" t="str">
            <v>F6013 Bullingdon Community Centre - provision or e</v>
          </cell>
          <cell r="C169">
            <v>0</v>
          </cell>
          <cell r="D169">
            <v>11500</v>
          </cell>
          <cell r="E169">
            <v>13693</v>
          </cell>
          <cell r="G169">
            <v>3270.01</v>
          </cell>
          <cell r="H169">
            <v>642.26</v>
          </cell>
          <cell r="I169">
            <v>29105.27</v>
          </cell>
        </row>
        <row r="170">
          <cell r="A170" t="str">
            <v>F6014</v>
          </cell>
          <cell r="B170" t="str">
            <v>F6014 Rose Hill - provision or enhancement of comm</v>
          </cell>
          <cell r="F170">
            <v>0</v>
          </cell>
          <cell r="G170">
            <v>0</v>
          </cell>
          <cell r="I170">
            <v>0</v>
          </cell>
        </row>
        <row r="171">
          <cell r="A171" t="str">
            <v>F6015</v>
          </cell>
          <cell r="B171" t="str">
            <v>F6015 Slade Area Public Work of Art</v>
          </cell>
          <cell r="E171">
            <v>750</v>
          </cell>
          <cell r="F171">
            <v>2614</v>
          </cell>
          <cell r="G171">
            <v>3150</v>
          </cell>
          <cell r="I171">
            <v>6514</v>
          </cell>
        </row>
        <row r="172">
          <cell r="A172" t="str">
            <v>F7004</v>
          </cell>
          <cell r="B172" t="str">
            <v>F7004 Littlemore Village Hall - improvement of fac</v>
          </cell>
          <cell r="E172">
            <v>10000</v>
          </cell>
          <cell r="I172">
            <v>10000</v>
          </cell>
        </row>
        <row r="173">
          <cell r="A173" t="str">
            <v>F7006</v>
          </cell>
          <cell r="B173" t="str">
            <v>F7006 Work of Art - Littlemore</v>
          </cell>
          <cell r="F173">
            <v>133</v>
          </cell>
          <cell r="I173">
            <v>133</v>
          </cell>
        </row>
        <row r="174">
          <cell r="A174" t="str">
            <v>F7008</v>
          </cell>
          <cell r="B174" t="str">
            <v>F7008 Lamarsh Road Landscaping</v>
          </cell>
          <cell r="F174">
            <v>2287.56</v>
          </cell>
          <cell r="G174">
            <v>1175.99</v>
          </cell>
          <cell r="H174">
            <v>13428.89</v>
          </cell>
          <cell r="I174">
            <v>16892.439999999999</v>
          </cell>
        </row>
        <row r="175">
          <cell r="A175" t="str">
            <v>F7015</v>
          </cell>
          <cell r="B175" t="str">
            <v>F7015 Florence Park Improvements</v>
          </cell>
          <cell r="F175">
            <v>631</v>
          </cell>
          <cell r="I175">
            <v>631</v>
          </cell>
        </row>
        <row r="176">
          <cell r="A176" t="str">
            <v>F7016</v>
          </cell>
          <cell r="B176" t="str">
            <v>F7016 Herschel Crescent Ground Improvements</v>
          </cell>
          <cell r="H176">
            <v>7002</v>
          </cell>
          <cell r="I176">
            <v>7002</v>
          </cell>
        </row>
        <row r="177">
          <cell r="A177" t="str">
            <v>F7019</v>
          </cell>
          <cell r="B177" t="str">
            <v>F7019 Work of Art at Rose Hill</v>
          </cell>
          <cell r="G177">
            <v>9022.17</v>
          </cell>
          <cell r="H177">
            <v>3000</v>
          </cell>
          <cell r="I177">
            <v>12022.17</v>
          </cell>
        </row>
        <row r="178">
          <cell r="A178" t="str">
            <v>F7021</v>
          </cell>
          <cell r="B178" t="str">
            <v>F7021 St Lukes Church - Community Facilities</v>
          </cell>
          <cell r="G178">
            <v>16361.61</v>
          </cell>
          <cell r="I178">
            <v>16361.61</v>
          </cell>
        </row>
        <row r="179">
          <cell r="A179" t="str">
            <v>G3005</v>
          </cell>
          <cell r="B179" t="str">
            <v>G3005 Barton N´Hood Centre Developement</v>
          </cell>
          <cell r="D179">
            <v>-16000</v>
          </cell>
          <cell r="I179">
            <v>-16000</v>
          </cell>
        </row>
        <row r="180">
          <cell r="A180" t="str">
            <v>G3012</v>
          </cell>
          <cell r="B180" t="str">
            <v>G3012 Northway Community Centre Improvements</v>
          </cell>
          <cell r="D180">
            <v>17468.259999999998</v>
          </cell>
          <cell r="I180">
            <v>17468.259999999998</v>
          </cell>
        </row>
        <row r="181">
          <cell r="A181" t="str">
            <v>G3013</v>
          </cell>
          <cell r="B181" t="str">
            <v>G3013 Diamond Place car park footpath extension</v>
          </cell>
          <cell r="E181">
            <v>0</v>
          </cell>
          <cell r="I181">
            <v>0</v>
          </cell>
        </row>
        <row r="182">
          <cell r="A182" t="str">
            <v>G3014</v>
          </cell>
          <cell r="B182" t="str">
            <v>G3014 East Oxford Community Associaltion Improveme</v>
          </cell>
          <cell r="H182">
            <v>4880</v>
          </cell>
          <cell r="I182">
            <v>4880</v>
          </cell>
        </row>
        <row r="183">
          <cell r="A183" t="str">
            <v>G3015</v>
          </cell>
          <cell r="B183" t="str">
            <v>G3015 NE Marston Croft Road Recreation Ground</v>
          </cell>
          <cell r="G183">
            <v>5700</v>
          </cell>
          <cell r="I183">
            <v>5700</v>
          </cell>
        </row>
        <row r="184">
          <cell r="A184" t="str">
            <v>G4006</v>
          </cell>
          <cell r="B184" t="str">
            <v>G4006 Florence Park CC Kitchen</v>
          </cell>
          <cell r="D184">
            <v>15442.8</v>
          </cell>
          <cell r="E184">
            <v>2646.25</v>
          </cell>
          <cell r="I184">
            <v>18089.05</v>
          </cell>
        </row>
        <row r="185">
          <cell r="A185" t="str">
            <v>G5010</v>
          </cell>
          <cell r="B185" t="str">
            <v>G5010 Street Improvements in North Parade Avenue</v>
          </cell>
          <cell r="D185">
            <v>45000</v>
          </cell>
          <cell r="I185">
            <v>45000</v>
          </cell>
        </row>
        <row r="186">
          <cell r="A186" t="str">
            <v>G5011</v>
          </cell>
          <cell r="B186" t="str">
            <v>G5011 Holtweer Close Grass-grid Parking Area</v>
          </cell>
          <cell r="D186">
            <v>9855</v>
          </cell>
          <cell r="I186">
            <v>9855</v>
          </cell>
        </row>
        <row r="187">
          <cell r="A187" t="str">
            <v>G6010</v>
          </cell>
          <cell r="B187" t="str">
            <v>G6010 Mount Place Square Refurbishment</v>
          </cell>
          <cell r="D187">
            <v>544.84</v>
          </cell>
          <cell r="E187">
            <v>10200.530000000001</v>
          </cell>
          <cell r="F187">
            <v>1018.1</v>
          </cell>
          <cell r="I187">
            <v>11763.47</v>
          </cell>
        </row>
        <row r="188">
          <cell r="A188" t="str">
            <v>G6011</v>
          </cell>
          <cell r="B188" t="str">
            <v>G6011 St Lukes Church Hall Extension</v>
          </cell>
          <cell r="G188">
            <v>10000</v>
          </cell>
          <cell r="I188">
            <v>10000</v>
          </cell>
        </row>
        <row r="189">
          <cell r="A189" t="str">
            <v>G6012</v>
          </cell>
          <cell r="B189" t="str">
            <v>G6012 South Oxford Community Centre Main Hall Repl</v>
          </cell>
          <cell r="E189">
            <v>6962</v>
          </cell>
          <cell r="F189">
            <v>0</v>
          </cell>
          <cell r="I189">
            <v>6962</v>
          </cell>
        </row>
        <row r="190">
          <cell r="A190" t="str">
            <v>G6013</v>
          </cell>
          <cell r="B190" t="str">
            <v>G6013 Oxford Super Connected City</v>
          </cell>
          <cell r="H190">
            <v>15716.22</v>
          </cell>
          <cell r="I190">
            <v>15716.22</v>
          </cell>
        </row>
        <row r="191">
          <cell r="A191" t="str">
            <v>M5001</v>
          </cell>
          <cell r="B191" t="str">
            <v>M5001 Estate Shops Security Measures</v>
          </cell>
          <cell r="F191">
            <v>0</v>
          </cell>
          <cell r="H191">
            <v>0</v>
          </cell>
          <cell r="I191">
            <v>0</v>
          </cell>
        </row>
        <row r="192">
          <cell r="A192" t="str">
            <v>M5002</v>
          </cell>
          <cell r="B192" t="str">
            <v>M5002 Refurbishment of Bonn Square</v>
          </cell>
          <cell r="D192">
            <v>-1158339.72</v>
          </cell>
          <cell r="E192">
            <v>7175.76</v>
          </cell>
          <cell r="F192">
            <v>131</v>
          </cell>
          <cell r="I192">
            <v>-1151032.96</v>
          </cell>
        </row>
        <row r="193">
          <cell r="A193" t="str">
            <v>M5012</v>
          </cell>
          <cell r="B193" t="str">
            <v>M5012 Rose Hill Redevelopment</v>
          </cell>
          <cell r="D193">
            <v>0</v>
          </cell>
          <cell r="E193">
            <v>109348.81</v>
          </cell>
          <cell r="F193">
            <v>1476</v>
          </cell>
          <cell r="I193">
            <v>110824.81</v>
          </cell>
        </row>
        <row r="194">
          <cell r="A194" t="str">
            <v>M5013</v>
          </cell>
          <cell r="B194" t="str">
            <v>M5013 Affordable Housing - Garage Sites</v>
          </cell>
          <cell r="D194">
            <v>170000</v>
          </cell>
          <cell r="F194">
            <v>100000</v>
          </cell>
          <cell r="I194">
            <v>270000</v>
          </cell>
        </row>
        <row r="195">
          <cell r="A195" t="str">
            <v>M5014</v>
          </cell>
          <cell r="B195" t="str">
            <v>M5014 West End Partnership (Growth Points Grant)</v>
          </cell>
          <cell r="C195">
            <v>93081.5</v>
          </cell>
          <cell r="D195">
            <v>693589.47</v>
          </cell>
          <cell r="E195">
            <v>125111.55</v>
          </cell>
          <cell r="F195">
            <v>173825.88</v>
          </cell>
          <cell r="G195">
            <v>363222.4</v>
          </cell>
          <cell r="H195">
            <v>0</v>
          </cell>
          <cell r="I195">
            <v>1355749.3</v>
          </cell>
        </row>
        <row r="196">
          <cell r="A196" t="str">
            <v>M5015</v>
          </cell>
          <cell r="B196" t="str">
            <v>M5015 Old Fire Station</v>
          </cell>
          <cell r="C196">
            <v>0</v>
          </cell>
          <cell r="D196">
            <v>207978.34</v>
          </cell>
          <cell r="E196">
            <v>915239.96</v>
          </cell>
          <cell r="F196">
            <v>2666369.58</v>
          </cell>
          <cell r="G196">
            <v>159496.37</v>
          </cell>
          <cell r="H196">
            <v>113670.51</v>
          </cell>
          <cell r="I196">
            <v>4062754.76</v>
          </cell>
        </row>
        <row r="197">
          <cell r="A197" t="str">
            <v>M5016</v>
          </cell>
          <cell r="B197" t="str">
            <v>M5016 Housing Delivery (Funded via New Growth Poin</v>
          </cell>
          <cell r="D197">
            <v>85328.85</v>
          </cell>
          <cell r="E197">
            <v>0</v>
          </cell>
          <cell r="F197">
            <v>0</v>
          </cell>
          <cell r="I197">
            <v>85328.85</v>
          </cell>
        </row>
        <row r="198">
          <cell r="A198" t="str">
            <v>M5017</v>
          </cell>
          <cell r="B198" t="str">
            <v>M5017 Littlemore Baptist Church</v>
          </cell>
          <cell r="D198">
            <v>833182</v>
          </cell>
          <cell r="I198">
            <v>833182</v>
          </cell>
        </row>
        <row r="199">
          <cell r="A199" t="str">
            <v>N6247</v>
          </cell>
          <cell r="B199" t="str">
            <v>N6247 Fire Works - 157 &amp; 165 Walton Stree</v>
          </cell>
          <cell r="E199">
            <v>0</v>
          </cell>
          <cell r="I199">
            <v>0</v>
          </cell>
        </row>
        <row r="200">
          <cell r="A200" t="str">
            <v>N6301</v>
          </cell>
          <cell r="B200" t="str">
            <v>N6301 Repl. Lifts @ Ploughman Tower</v>
          </cell>
          <cell r="F200">
            <v>0</v>
          </cell>
          <cell r="I200">
            <v>0</v>
          </cell>
        </row>
        <row r="201">
          <cell r="A201" t="str">
            <v>N6340</v>
          </cell>
          <cell r="B201" t="str">
            <v>N6340 Re-rooofing (MRA) 0203</v>
          </cell>
          <cell r="F201">
            <v>0</v>
          </cell>
          <cell r="I201">
            <v>0</v>
          </cell>
        </row>
        <row r="202">
          <cell r="A202" t="str">
            <v>N6349</v>
          </cell>
          <cell r="B202" t="str">
            <v>N6349 Atkyns Court - Sheltered Block (MRA 03/04)</v>
          </cell>
          <cell r="D202">
            <v>0</v>
          </cell>
          <cell r="I202">
            <v>0</v>
          </cell>
        </row>
        <row r="203">
          <cell r="A203" t="str">
            <v>N6361</v>
          </cell>
          <cell r="B203" t="str">
            <v>N6361 Kitchens &amp; Bathrooms - MRA 04/05</v>
          </cell>
          <cell r="F203">
            <v>0</v>
          </cell>
          <cell r="I203">
            <v>0</v>
          </cell>
        </row>
        <row r="204">
          <cell r="A204" t="str">
            <v>N6373</v>
          </cell>
          <cell r="B204" t="str">
            <v>N6373 Controlled Entry 05/06</v>
          </cell>
          <cell r="D204">
            <v>0</v>
          </cell>
          <cell r="I204">
            <v>0</v>
          </cell>
        </row>
        <row r="205">
          <cell r="A205" t="str">
            <v>N6374</v>
          </cell>
          <cell r="B205" t="str">
            <v>N6374 Major Voids - General 05/06</v>
          </cell>
          <cell r="D205">
            <v>0</v>
          </cell>
          <cell r="I205">
            <v>0</v>
          </cell>
        </row>
        <row r="206">
          <cell r="A206" t="str">
            <v>N6377</v>
          </cell>
          <cell r="B206" t="str">
            <v>N6377 Heating 05/06</v>
          </cell>
          <cell r="D206">
            <v>3707.17</v>
          </cell>
          <cell r="I206">
            <v>3707.17</v>
          </cell>
        </row>
        <row r="207">
          <cell r="A207" t="str">
            <v>N6380</v>
          </cell>
          <cell r="B207" t="str">
            <v>N6380 Windows 05/06</v>
          </cell>
          <cell r="D207">
            <v>-4184.7</v>
          </cell>
          <cell r="E207">
            <v>-6522.55</v>
          </cell>
          <cell r="F207">
            <v>0</v>
          </cell>
          <cell r="I207">
            <v>-10707.25</v>
          </cell>
        </row>
        <row r="208">
          <cell r="A208" t="str">
            <v>N6382</v>
          </cell>
          <cell r="B208" t="str">
            <v>N6382 Square Blocks 05/06</v>
          </cell>
          <cell r="D208">
            <v>0</v>
          </cell>
          <cell r="I208">
            <v>0</v>
          </cell>
        </row>
        <row r="209">
          <cell r="A209" t="str">
            <v>N6383</v>
          </cell>
          <cell r="B209" t="str">
            <v>N6383 Walls - insulation 05/06</v>
          </cell>
          <cell r="D209">
            <v>6531.98</v>
          </cell>
          <cell r="I209">
            <v>6531.98</v>
          </cell>
        </row>
        <row r="210">
          <cell r="A210" t="str">
            <v>N6384</v>
          </cell>
          <cell r="B210" t="str">
            <v>N6384 Tower Block Refurbishment Programme</v>
          </cell>
          <cell r="D210">
            <v>579.16</v>
          </cell>
          <cell r="E210">
            <v>136926.17000000001</v>
          </cell>
          <cell r="F210">
            <v>-11633.31</v>
          </cell>
          <cell r="G210">
            <v>6563.98</v>
          </cell>
          <cell r="H210">
            <v>498174.69</v>
          </cell>
          <cell r="I210">
            <v>630610.68999999994</v>
          </cell>
        </row>
        <row r="211">
          <cell r="A211" t="str">
            <v>N6385</v>
          </cell>
          <cell r="B211" t="str">
            <v>N6385 Adaptations for disabled</v>
          </cell>
          <cell r="D211">
            <v>991969.97</v>
          </cell>
          <cell r="E211">
            <v>1158390.8799999999</v>
          </cell>
          <cell r="F211">
            <v>802383.99</v>
          </cell>
          <cell r="G211">
            <v>570509.57999999996</v>
          </cell>
          <cell r="H211">
            <v>680100.15</v>
          </cell>
          <cell r="I211">
            <v>4203354.57</v>
          </cell>
        </row>
        <row r="212">
          <cell r="A212" t="str">
            <v>N6386</v>
          </cell>
          <cell r="B212" t="str">
            <v>N6386 Structural</v>
          </cell>
          <cell r="D212">
            <v>157968.51999999999</v>
          </cell>
          <cell r="E212">
            <v>283712.40000000002</v>
          </cell>
          <cell r="F212">
            <v>85617.94</v>
          </cell>
          <cell r="G212">
            <v>91608.61</v>
          </cell>
          <cell r="H212">
            <v>62844.94</v>
          </cell>
          <cell r="I212">
            <v>681752.41</v>
          </cell>
        </row>
        <row r="213">
          <cell r="A213" t="str">
            <v>N6387</v>
          </cell>
          <cell r="B213" t="str">
            <v>N6387 Controlled Entry</v>
          </cell>
          <cell r="D213">
            <v>180699.23</v>
          </cell>
          <cell r="E213">
            <v>2190.23</v>
          </cell>
          <cell r="F213">
            <v>299418.65999999997</v>
          </cell>
          <cell r="G213">
            <v>138997.25</v>
          </cell>
          <cell r="H213">
            <v>227723.74</v>
          </cell>
          <cell r="I213">
            <v>849029.11</v>
          </cell>
        </row>
        <row r="214">
          <cell r="A214" t="str">
            <v>N6388</v>
          </cell>
          <cell r="B214" t="str">
            <v>N6388 Major Voids</v>
          </cell>
          <cell r="D214">
            <v>936282.17</v>
          </cell>
          <cell r="E214">
            <v>1025104.11</v>
          </cell>
          <cell r="F214">
            <v>656718.57999999996</v>
          </cell>
          <cell r="G214">
            <v>456385.94</v>
          </cell>
          <cell r="H214">
            <v>595555.03</v>
          </cell>
          <cell r="I214">
            <v>3670045.83</v>
          </cell>
        </row>
        <row r="215">
          <cell r="A215" t="str">
            <v>N6389</v>
          </cell>
          <cell r="B215" t="str">
            <v>N6389 Damp-proof works (K&amp;B)</v>
          </cell>
          <cell r="D215">
            <v>69802.7</v>
          </cell>
          <cell r="E215">
            <v>102012.78</v>
          </cell>
          <cell r="F215">
            <v>88084.28</v>
          </cell>
          <cell r="G215">
            <v>88105.93</v>
          </cell>
          <cell r="H215">
            <v>66677.77</v>
          </cell>
          <cell r="I215">
            <v>414683.46</v>
          </cell>
        </row>
        <row r="216">
          <cell r="A216" t="str">
            <v>N6390</v>
          </cell>
          <cell r="B216" t="str">
            <v>N6390 Kitchens &amp; Bathrooms</v>
          </cell>
          <cell r="D216">
            <v>3028663</v>
          </cell>
          <cell r="E216">
            <v>2715289.05</v>
          </cell>
          <cell r="F216">
            <v>3346047.77</v>
          </cell>
          <cell r="G216">
            <v>3128857.57</v>
          </cell>
          <cell r="H216">
            <v>2936509.25</v>
          </cell>
          <cell r="I216">
            <v>15155366.640000001</v>
          </cell>
        </row>
        <row r="217">
          <cell r="A217" t="str">
            <v>N6391</v>
          </cell>
          <cell r="B217" t="str">
            <v>N6391 Heating</v>
          </cell>
          <cell r="D217">
            <v>1233644.1399999999</v>
          </cell>
          <cell r="E217">
            <v>1116274.29</v>
          </cell>
          <cell r="F217">
            <v>1430764.42</v>
          </cell>
          <cell r="G217">
            <v>1230123.07</v>
          </cell>
          <cell r="H217">
            <v>1474135.87</v>
          </cell>
          <cell r="I217">
            <v>6484941.79</v>
          </cell>
        </row>
        <row r="218">
          <cell r="A218" t="str">
            <v>N6392</v>
          </cell>
          <cell r="B218" t="str">
            <v>N6392 Roofing</v>
          </cell>
          <cell r="D218">
            <v>71776.53</v>
          </cell>
          <cell r="E218">
            <v>194792.24</v>
          </cell>
          <cell r="F218">
            <v>0</v>
          </cell>
          <cell r="G218">
            <v>132428.39000000001</v>
          </cell>
          <cell r="H218">
            <v>172561.71</v>
          </cell>
          <cell r="I218">
            <v>571558.87</v>
          </cell>
        </row>
        <row r="219">
          <cell r="A219" t="str">
            <v>N6393</v>
          </cell>
          <cell r="B219" t="str">
            <v>N6393 External Doors</v>
          </cell>
          <cell r="D219">
            <v>59104.25</v>
          </cell>
          <cell r="E219">
            <v>200141.87</v>
          </cell>
          <cell r="F219">
            <v>2755.34</v>
          </cell>
          <cell r="G219">
            <v>172043.63</v>
          </cell>
          <cell r="H219">
            <v>130085.79</v>
          </cell>
          <cell r="I219">
            <v>564130.88</v>
          </cell>
        </row>
        <row r="220">
          <cell r="A220" t="str">
            <v>N6394</v>
          </cell>
          <cell r="B220" t="str">
            <v>N6394 Windows</v>
          </cell>
          <cell r="D220">
            <v>-1660.95</v>
          </cell>
          <cell r="E220">
            <v>418996.4</v>
          </cell>
          <cell r="F220">
            <v>350227.77</v>
          </cell>
          <cell r="G220">
            <v>299257.28000000003</v>
          </cell>
          <cell r="H220">
            <v>235107.31</v>
          </cell>
          <cell r="I220">
            <v>1301927.81</v>
          </cell>
        </row>
        <row r="221">
          <cell r="A221" t="str">
            <v>N6395</v>
          </cell>
          <cell r="B221" t="str">
            <v>N6395 Electrics</v>
          </cell>
          <cell r="D221">
            <v>80602.23</v>
          </cell>
          <cell r="E221">
            <v>107723.58</v>
          </cell>
          <cell r="F221">
            <v>58474.54</v>
          </cell>
          <cell r="G221">
            <v>330631.61</v>
          </cell>
          <cell r="H221">
            <v>376633.67</v>
          </cell>
          <cell r="I221">
            <v>954065.63</v>
          </cell>
        </row>
        <row r="222">
          <cell r="A222" t="str">
            <v>N6396</v>
          </cell>
          <cell r="B222" t="str">
            <v>N6396 Sheltered Blk, George Moore</v>
          </cell>
          <cell r="D222">
            <v>723.8</v>
          </cell>
          <cell r="E222">
            <v>6782.53</v>
          </cell>
          <cell r="F222">
            <v>36453.440000000002</v>
          </cell>
          <cell r="G222">
            <v>602.23</v>
          </cell>
          <cell r="I222">
            <v>44562</v>
          </cell>
        </row>
        <row r="223">
          <cell r="A223" t="str">
            <v>N6426</v>
          </cell>
          <cell r="B223" t="str">
            <v>N6426 BISF´s</v>
          </cell>
          <cell r="D223">
            <v>-54026.59</v>
          </cell>
          <cell r="E223">
            <v>-434.17</v>
          </cell>
          <cell r="I223">
            <v>-54460.76</v>
          </cell>
        </row>
        <row r="224">
          <cell r="A224" t="str">
            <v>N6427</v>
          </cell>
          <cell r="B224" t="str">
            <v>N6427 Shops</v>
          </cell>
          <cell r="D224">
            <v>0</v>
          </cell>
          <cell r="E224">
            <v>0</v>
          </cell>
          <cell r="F224">
            <v>3184.08</v>
          </cell>
          <cell r="G224">
            <v>65232.08</v>
          </cell>
          <cell r="H224">
            <v>0</v>
          </cell>
          <cell r="I224">
            <v>68416.160000000003</v>
          </cell>
        </row>
        <row r="225">
          <cell r="A225" t="str">
            <v>N6429</v>
          </cell>
          <cell r="B225" t="str">
            <v>N6429 Demolition Glen Lyons</v>
          </cell>
          <cell r="D225">
            <v>36303.919999999998</v>
          </cell>
          <cell r="I225">
            <v>36303.919999999998</v>
          </cell>
        </row>
        <row r="226">
          <cell r="A226" t="str">
            <v>N6430</v>
          </cell>
          <cell r="B226" t="str">
            <v>N6430 Evenlode tower</v>
          </cell>
          <cell r="D226">
            <v>48306.71</v>
          </cell>
          <cell r="E226">
            <v>-895.13</v>
          </cell>
          <cell r="F226">
            <v>8640.98</v>
          </cell>
          <cell r="G226">
            <v>0</v>
          </cell>
          <cell r="I226">
            <v>56052.56</v>
          </cell>
        </row>
        <row r="227">
          <cell r="A227" t="str">
            <v>N6431</v>
          </cell>
          <cell r="B227" t="str">
            <v>N6431 Windrush Tower</v>
          </cell>
          <cell r="D227">
            <v>48306.720000000001</v>
          </cell>
          <cell r="E227">
            <v>-895.13</v>
          </cell>
          <cell r="I227">
            <v>47411.59</v>
          </cell>
        </row>
        <row r="228">
          <cell r="A228" t="str">
            <v>N6432</v>
          </cell>
          <cell r="B228" t="str">
            <v>N6432 Plowman Tower</v>
          </cell>
          <cell r="D228">
            <v>20657.8</v>
          </cell>
          <cell r="E228">
            <v>67411.53</v>
          </cell>
          <cell r="F228">
            <v>-9134.2800000000007</v>
          </cell>
          <cell r="I228">
            <v>78935.05</v>
          </cell>
        </row>
        <row r="229">
          <cell r="A229" t="str">
            <v>N6433</v>
          </cell>
          <cell r="B229" t="str">
            <v>N6433 Hockmore Tower</v>
          </cell>
          <cell r="D229">
            <v>66991.839999999997</v>
          </cell>
          <cell r="I229">
            <v>66991.839999999997</v>
          </cell>
        </row>
        <row r="230">
          <cell r="A230" t="str">
            <v>N7006</v>
          </cell>
          <cell r="B230" t="str">
            <v>N7006 Northbrook House - Refurbishment</v>
          </cell>
          <cell r="D230">
            <v>17299.02</v>
          </cell>
          <cell r="E230">
            <v>43077.67</v>
          </cell>
          <cell r="F230">
            <v>2290.59</v>
          </cell>
          <cell r="G230">
            <v>0</v>
          </cell>
          <cell r="I230">
            <v>62667.28</v>
          </cell>
        </row>
        <row r="231">
          <cell r="A231" t="str">
            <v>N7009</v>
          </cell>
          <cell r="B231" t="str">
            <v>N7009 Alice Smith House - Refurbishment</v>
          </cell>
          <cell r="D231">
            <v>0</v>
          </cell>
          <cell r="I231">
            <v>0</v>
          </cell>
        </row>
        <row r="232">
          <cell r="A232" t="str">
            <v>N7010</v>
          </cell>
          <cell r="B232" t="str">
            <v>N7010 Headley House - Refurbishment</v>
          </cell>
          <cell r="D232">
            <v>12822.49</v>
          </cell>
          <cell r="E232">
            <v>74121.63</v>
          </cell>
          <cell r="F232">
            <v>22943.51</v>
          </cell>
          <cell r="G232">
            <v>1.64</v>
          </cell>
          <cell r="I232">
            <v>109889.27</v>
          </cell>
        </row>
        <row r="233">
          <cell r="A233" t="str">
            <v>N7011</v>
          </cell>
          <cell r="B233" t="str">
            <v>N7011 Cardinal House - Refurbishment</v>
          </cell>
          <cell r="D233">
            <v>650189.25</v>
          </cell>
          <cell r="E233">
            <v>3752617.88</v>
          </cell>
          <cell r="F233">
            <v>267415.17</v>
          </cell>
          <cell r="G233">
            <v>-5433.72</v>
          </cell>
          <cell r="H233">
            <v>0</v>
          </cell>
          <cell r="I233">
            <v>4664788.58</v>
          </cell>
        </row>
        <row r="234">
          <cell r="A234" t="str">
            <v>N7012</v>
          </cell>
          <cell r="B234" t="str">
            <v>N7012 Grantham House - Refurbishment</v>
          </cell>
          <cell r="D234">
            <v>0</v>
          </cell>
          <cell r="F234">
            <v>0</v>
          </cell>
          <cell r="I234">
            <v>0</v>
          </cell>
        </row>
        <row r="235">
          <cell r="A235" t="str">
            <v>N7013</v>
          </cell>
          <cell r="B235" t="str">
            <v>N7013 Bradlands House - Refurbishment</v>
          </cell>
          <cell r="E235">
            <v>38613.300000000003</v>
          </cell>
          <cell r="H235">
            <v>0</v>
          </cell>
          <cell r="I235">
            <v>38613.300000000003</v>
          </cell>
        </row>
        <row r="236">
          <cell r="A236" t="str">
            <v>N7015</v>
          </cell>
          <cell r="B236" t="str">
            <v>N7015 Knights House - Refurbishment</v>
          </cell>
          <cell r="D236">
            <v>5079.0200000000004</v>
          </cell>
          <cell r="E236">
            <v>1154.58</v>
          </cell>
          <cell r="I236">
            <v>6233.6</v>
          </cell>
        </row>
        <row r="237">
          <cell r="A237" t="str">
            <v>N7016</v>
          </cell>
          <cell r="B237" t="str">
            <v>N7016 Singletree House - Refurbishment</v>
          </cell>
          <cell r="D237">
            <v>10696.41</v>
          </cell>
          <cell r="F237">
            <v>52195.74</v>
          </cell>
          <cell r="G237">
            <v>0</v>
          </cell>
          <cell r="I237">
            <v>62892.15</v>
          </cell>
        </row>
        <row r="238">
          <cell r="A238" t="str">
            <v>N7017</v>
          </cell>
          <cell r="B238" t="str">
            <v>N7017 Aireys</v>
          </cell>
          <cell r="D238">
            <v>531484.42000000004</v>
          </cell>
          <cell r="E238">
            <v>212335.55</v>
          </cell>
          <cell r="F238">
            <v>17103.810000000001</v>
          </cell>
          <cell r="G238">
            <v>0</v>
          </cell>
          <cell r="I238">
            <v>760923.78</v>
          </cell>
        </row>
        <row r="239">
          <cell r="A239" t="str">
            <v>N7018</v>
          </cell>
          <cell r="B239" t="str">
            <v>N7018 Minox</v>
          </cell>
          <cell r="F239">
            <v>65809</v>
          </cell>
          <cell r="G239">
            <v>1062.6300000000001</v>
          </cell>
          <cell r="H239">
            <v>1000</v>
          </cell>
          <cell r="I239">
            <v>67871.63</v>
          </cell>
        </row>
        <row r="240">
          <cell r="A240" t="str">
            <v>N7019</v>
          </cell>
          <cell r="B240" t="str">
            <v>N7019 Lambourn Road</v>
          </cell>
          <cell r="D240">
            <v>813520.75</v>
          </cell>
          <cell r="E240">
            <v>3281215.72</v>
          </cell>
          <cell r="F240">
            <v>314360.89</v>
          </cell>
          <cell r="G240">
            <v>6673.41</v>
          </cell>
          <cell r="I240">
            <v>4415770.7699999996</v>
          </cell>
        </row>
        <row r="241">
          <cell r="A241" t="str">
            <v>N7020</v>
          </cell>
          <cell r="B241" t="str">
            <v>N7020 Extensions and Major Adaptions</v>
          </cell>
          <cell r="F241">
            <v>417847.88</v>
          </cell>
          <cell r="G241">
            <v>78405.45</v>
          </cell>
          <cell r="H241">
            <v>97927.89</v>
          </cell>
          <cell r="I241">
            <v>594181.22</v>
          </cell>
        </row>
        <row r="242">
          <cell r="A242" t="str">
            <v>N7021</v>
          </cell>
          <cell r="B242" t="str">
            <v>N7021 Extensions</v>
          </cell>
          <cell r="F242">
            <v>40794.61</v>
          </cell>
          <cell r="G242">
            <v>32553.79</v>
          </cell>
          <cell r="I242">
            <v>73348.399999999994</v>
          </cell>
        </row>
        <row r="243">
          <cell r="A243" t="str">
            <v>N7022</v>
          </cell>
          <cell r="B243" t="str">
            <v>N7022 Photovoltaic Solar Panels Sheltered Blocks</v>
          </cell>
          <cell r="F243">
            <v>228213.62</v>
          </cell>
          <cell r="G243">
            <v>0</v>
          </cell>
          <cell r="I243">
            <v>228213.62</v>
          </cell>
        </row>
        <row r="244">
          <cell r="A244" t="str">
            <v>N7026</v>
          </cell>
          <cell r="B244" t="str">
            <v>N7026 Communal Areas</v>
          </cell>
          <cell r="G244">
            <v>38027.32</v>
          </cell>
          <cell r="H244">
            <v>86717.16</v>
          </cell>
          <cell r="I244">
            <v>124744.48</v>
          </cell>
        </row>
        <row r="245">
          <cell r="A245" t="str">
            <v>N7027</v>
          </cell>
          <cell r="B245" t="str">
            <v>N7027 Environmental Improvements</v>
          </cell>
          <cell r="H245">
            <v>102375.6</v>
          </cell>
          <cell r="I245">
            <v>102375.6</v>
          </cell>
        </row>
        <row r="246">
          <cell r="A246" t="str">
            <v>N7029</v>
          </cell>
          <cell r="B246" t="str">
            <v>N7029 HCA New Build</v>
          </cell>
          <cell r="G246">
            <v>727006.58</v>
          </cell>
          <cell r="H246">
            <v>2355666.31</v>
          </cell>
          <cell r="I246">
            <v>3082672.89</v>
          </cell>
        </row>
        <row r="247">
          <cell r="A247" t="str">
            <v>N7031</v>
          </cell>
          <cell r="B247" t="str">
            <v>N7031 Homes at Barton</v>
          </cell>
          <cell r="H247">
            <v>40561.440000000002</v>
          </cell>
          <cell r="I247">
            <v>40561.440000000002</v>
          </cell>
        </row>
        <row r="248">
          <cell r="A248" t="str">
            <v>N7032</v>
          </cell>
          <cell r="B248" t="str">
            <v>N7032 Estate Enhancements and Regeneration</v>
          </cell>
          <cell r="H248">
            <v>741461.24</v>
          </cell>
          <cell r="I248">
            <v>741461.24</v>
          </cell>
        </row>
        <row r="249">
          <cell r="A249" t="str">
            <v>P4050</v>
          </cell>
          <cell r="B249" t="str">
            <v>P4050 Oxford Resettlement Project</v>
          </cell>
          <cell r="D249">
            <v>0</v>
          </cell>
          <cell r="I249">
            <v>0</v>
          </cell>
        </row>
        <row r="250">
          <cell r="A250" t="str">
            <v>Q2000</v>
          </cell>
          <cell r="B250" t="str">
            <v>Q2000 Offices for the Future</v>
          </cell>
          <cell r="E250">
            <v>995571.16</v>
          </cell>
          <cell r="F250">
            <v>3849082.36</v>
          </cell>
          <cell r="G250">
            <v>563390.92000000004</v>
          </cell>
          <cell r="H250">
            <v>242658.42</v>
          </cell>
          <cell r="I250">
            <v>5650702.8600000003</v>
          </cell>
        </row>
        <row r="251">
          <cell r="A251" t="str">
            <v>R0005</v>
          </cell>
          <cell r="B251" t="str">
            <v>R0005 MT Vehicles/Plant Replacement Prog.</v>
          </cell>
          <cell r="D251">
            <v>956579.07</v>
          </cell>
          <cell r="E251">
            <v>925555.81</v>
          </cell>
          <cell r="F251">
            <v>738384.75</v>
          </cell>
          <cell r="G251">
            <v>1318621.5</v>
          </cell>
          <cell r="H251">
            <v>2644197.96</v>
          </cell>
          <cell r="I251">
            <v>6583339.0899999999</v>
          </cell>
        </row>
        <row r="252">
          <cell r="A252" t="str">
            <v>T2264</v>
          </cell>
          <cell r="B252" t="str">
            <v>T2264 Food Collection Bin Scheme</v>
          </cell>
          <cell r="D252">
            <v>134560</v>
          </cell>
          <cell r="I252">
            <v>134560</v>
          </cell>
        </row>
        <row r="253">
          <cell r="A253" t="str">
            <v>T2265</v>
          </cell>
          <cell r="B253" t="str">
            <v>T2265 Purchase of blue domestic bins</v>
          </cell>
          <cell r="E253">
            <v>595739.65</v>
          </cell>
          <cell r="I253">
            <v>595739.65</v>
          </cell>
        </row>
        <row r="254">
          <cell r="A254" t="str">
            <v>T2266</v>
          </cell>
          <cell r="B254" t="str">
            <v>T2266 Purchase of Brown Bins Waste Recycling</v>
          </cell>
          <cell r="F254">
            <v>222093.17</v>
          </cell>
          <cell r="G254">
            <v>7907</v>
          </cell>
          <cell r="I254">
            <v>230000.17</v>
          </cell>
        </row>
        <row r="255">
          <cell r="A255" t="str">
            <v>T2267</v>
          </cell>
          <cell r="B255" t="str">
            <v>T2267 Purchase of Hand Operated Street Sweepers</v>
          </cell>
          <cell r="G255">
            <v>30000</v>
          </cell>
          <cell r="I255">
            <v>30000</v>
          </cell>
        </row>
        <row r="256">
          <cell r="A256" t="str">
            <v>T2268</v>
          </cell>
          <cell r="B256" t="str">
            <v>T2268 Purchase of Vehicle for Garden Waste Collect</v>
          </cell>
          <cell r="G256">
            <v>162610</v>
          </cell>
          <cell r="I256">
            <v>162610</v>
          </cell>
        </row>
        <row r="257">
          <cell r="A257" t="str">
            <v>T2269</v>
          </cell>
          <cell r="B257" t="str">
            <v>T2269 Toilet Improvements</v>
          </cell>
          <cell r="G257">
            <v>194055.18</v>
          </cell>
          <cell r="H257">
            <v>134780.41</v>
          </cell>
          <cell r="I257">
            <v>328835.59000000003</v>
          </cell>
        </row>
        <row r="258">
          <cell r="A258" t="str">
            <v>T2270</v>
          </cell>
          <cell r="B258" t="str">
            <v>T2270 Bin Stores for Council Flats to Assist Recyc</v>
          </cell>
          <cell r="G258">
            <v>329158.03999999998</v>
          </cell>
          <cell r="H258">
            <v>0</v>
          </cell>
          <cell r="I258">
            <v>329158.03999999998</v>
          </cell>
        </row>
        <row r="259">
          <cell r="A259" t="str">
            <v>T2271</v>
          </cell>
          <cell r="B259" t="str">
            <v>T2271 Low Emission Vehicle for Litter Bin Collecti</v>
          </cell>
          <cell r="G259">
            <v>19929</v>
          </cell>
          <cell r="I259">
            <v>19929</v>
          </cell>
        </row>
        <row r="260">
          <cell r="A260" t="str">
            <v>T2272</v>
          </cell>
          <cell r="B260" t="str">
            <v>T2272 Resurfacing Works at Wyatt Road</v>
          </cell>
          <cell r="G260">
            <v>14765.46</v>
          </cell>
          <cell r="I260">
            <v>14765.46</v>
          </cell>
        </row>
        <row r="261">
          <cell r="A261" t="str">
            <v>T2273</v>
          </cell>
          <cell r="B261" t="str">
            <v>T2273 Car Parks Resurfacing</v>
          </cell>
          <cell r="H261">
            <v>58270.13</v>
          </cell>
          <cell r="I261">
            <v>58270.13</v>
          </cell>
        </row>
        <row r="262">
          <cell r="A262" t="str">
            <v>T2274</v>
          </cell>
          <cell r="B262" t="str">
            <v>T2274 Gloucester Green Car Park Waterproofing</v>
          </cell>
          <cell r="H262">
            <v>3311.9</v>
          </cell>
          <cell r="I262">
            <v>3311.9</v>
          </cell>
        </row>
        <row r="263">
          <cell r="A263" t="str">
            <v>T2275</v>
          </cell>
          <cell r="B263" t="str">
            <v>T2275 MOT Service Bay Extension</v>
          </cell>
          <cell r="H263">
            <v>109010</v>
          </cell>
          <cell r="I263">
            <v>109010</v>
          </cell>
        </row>
        <row r="264">
          <cell r="A264" t="str">
            <v>Z1 Ho</v>
          </cell>
          <cell r="B264" t="str">
            <v>Z1 Holding Accounts &amp; Other Funds</v>
          </cell>
          <cell r="E264">
            <v>0</v>
          </cell>
          <cell r="I264">
            <v>0</v>
          </cell>
        </row>
        <row r="265">
          <cell r="A265" t="str">
            <v>Z3018</v>
          </cell>
          <cell r="B265" t="str">
            <v>Z3018 New Build Competition Pool</v>
          </cell>
          <cell r="E265">
            <v>0</v>
          </cell>
          <cell r="I265">
            <v>0</v>
          </cell>
        </row>
        <row r="266">
          <cell r="A266" t="str">
            <v>Z6000</v>
          </cell>
          <cell r="B266" t="str">
            <v>Z6000 Pear Tree Additional Facilities</v>
          </cell>
          <cell r="D266">
            <v>0</v>
          </cell>
          <cell r="I266">
            <v>0</v>
          </cell>
        </row>
        <row r="267">
          <cell r="A267" t="str">
            <v>Z6002</v>
          </cell>
          <cell r="B267" t="str">
            <v>Z6002 Seacourt Additional Facilities</v>
          </cell>
          <cell r="D267">
            <v>0</v>
          </cell>
          <cell r="I267">
            <v>0</v>
          </cell>
        </row>
        <row r="268">
          <cell r="A268" t="str">
            <v>GRAND</v>
          </cell>
          <cell r="B268" t="str">
            <v>GRAND TOTAL</v>
          </cell>
          <cell r="D268">
            <v>17306899.100000001</v>
          </cell>
          <cell r="E268">
            <v>24832749.300000001</v>
          </cell>
          <cell r="F268">
            <v>21011520</v>
          </cell>
          <cell r="G268">
            <v>16359522.23</v>
          </cell>
          <cell r="H268">
            <v>22003111.09</v>
          </cell>
          <cell r="I268">
            <v>101513801.72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Contents"/>
      <sheetName val="Macro Duration"/>
      <sheetName val="Colouring sheet"/>
      <sheetName val="Version History"/>
      <sheetName val="User Guide"/>
      <sheetName val="Check Sheet"/>
      <sheetName val="Hidden - BP Menu Sheet"/>
      <sheetName val="Amendments History"/>
      <sheetName val="Hidden - Sheet Lists"/>
      <sheetName val="Hidden - Generation Menu Set Up"/>
      <sheetName val="Hidden - Year Table"/>
      <sheetName val="Hidden - Lookup Lists"/>
      <sheetName val="Global Assumptions"/>
      <sheetName val="Stock Assumptions"/>
      <sheetName val="Rent Assumptions"/>
      <sheetName val="Service Charge Assumptions"/>
      <sheetName val="RTB Assumptions"/>
      <sheetName val="Income Foregone Assumptions"/>
      <sheetName val="Stock Disposal Assumptions"/>
      <sheetName val="Stock Conversion Assumptions"/>
      <sheetName val="Owner Occupier Assumptions"/>
      <sheetName val="Leaseholder Income Assumptions"/>
      <sheetName val="Specific Income Assumptions"/>
      <sheetName val="Other Income Assumptions"/>
      <sheetName val="Intercompany Income Assumptions"/>
      <sheetName val="Management Costs Assumptions"/>
      <sheetName val="Additional Pension Assumptions"/>
      <sheetName val="Repairs &amp; Maint. Assumptions"/>
      <sheetName val="Stock Condition Inputs"/>
      <sheetName val="Repairs &amp; Maint. VAT Shelter"/>
      <sheetName val="Repairs &amp; Maint. Rephasing"/>
      <sheetName val="Repairs &amp; Maint. Rates"/>
      <sheetName val="Capital Expenditure Assumptions"/>
      <sheetName val="Joint Venture Assumptions"/>
      <sheetName val="Intercompany Expend Assumptions"/>
      <sheetName val="Development Consol Options"/>
      <sheetName val="List Imported"/>
      <sheetName val="Lists"/>
      <sheetName val="BP Input Schemes"/>
      <sheetName val="Development BP Assumptions"/>
      <sheetName val="Dvpt BP Rev and Exp Assumptions"/>
      <sheetName val="Non Tenure Capital Assumptions"/>
      <sheetName val="Economic Assumptions"/>
      <sheetName val="Funding Assumptions"/>
      <sheetName val="Interco Funding Assumptions"/>
      <sheetName val="Covenant Assumptions"/>
      <sheetName val="Taxation Assumptions"/>
      <sheetName val="Capitalisation Assumptions"/>
      <sheetName val="Accounts Assumptions"/>
      <sheetName val="Housing Asset Assumptions"/>
      <sheetName val="Other Fixed Asset Assumptions"/>
      <sheetName val="Other Current Asset Assumptions"/>
      <sheetName val="Journal Assumptions"/>
      <sheetName val="Cash Journals"/>
      <sheetName val="Target Rent Letting Rates"/>
      <sheetName val="Target Rent Letting Numbers"/>
      <sheetName val="Demolition Numbers"/>
      <sheetName val="RTB Numbers"/>
      <sheetName val="Other Disposal Numbers"/>
      <sheetName val="Stock Conversion Numbers"/>
      <sheetName val="Development Stock Numbers"/>
      <sheetName val="Existing Stock Numbers"/>
      <sheetName val="Hidden - Stock Number Checks"/>
      <sheetName val="Stock Numbers"/>
      <sheetName val="Service Charge Numbers"/>
      <sheetName val="Leaseholder Units"/>
      <sheetName val="Rent Factors"/>
      <sheetName val="Service Charge Factors"/>
      <sheetName val="Void Rates"/>
      <sheetName val="Bad Debts Rates"/>
      <sheetName val="Existing Unit Rents"/>
      <sheetName val="Unit Service Charges"/>
      <sheetName val="Existing Rental Income"/>
      <sheetName val="Existing Rental Void Losses"/>
      <sheetName val="Existing Rental Bad Debts"/>
      <sheetName val="Service Charge Income"/>
      <sheetName val="Service Charge Voids"/>
      <sheetName val="Service Charge Bad Debts"/>
      <sheetName val="Arrears"/>
      <sheetName val="Other Income Factors"/>
      <sheetName val="RTB Valuation Factors"/>
      <sheetName val="RTB Income Foregone"/>
      <sheetName val="RTB Receipts"/>
      <sheetName val="Other Disposal Income"/>
      <sheetName val="Owner Occupier Income"/>
      <sheetName val="Unit Leaseholder Charges"/>
      <sheetName val="Leaseholder Income"/>
      <sheetName val="Specific Income Drivers"/>
      <sheetName val="Specific Income Workings"/>
      <sheetName val="Specific Income Voids"/>
      <sheetName val="Specific Income Bad Debts"/>
      <sheetName val="Other Income Workings"/>
      <sheetName val="Intercompany Income"/>
      <sheetName val="Management Cost Drivers"/>
      <sheetName val="Management Cost Factors"/>
      <sheetName val="Fixed Management Costs"/>
      <sheetName val="Variable Management Costs"/>
      <sheetName val="Existing Management Costs"/>
      <sheetName val="Stock Condition Results"/>
      <sheetName val="Repairs &amp; Maint. Drivers"/>
      <sheetName val="Repairs &amp; Maint. Cost Factors"/>
      <sheetName val="Repairs &amp; Maintenance Costs"/>
      <sheetName val="VAT Shelter Calculation"/>
      <sheetName val="Repairs &amp; Maint Net Costs"/>
      <sheetName val="Repairs &amp; Maintenance Depn"/>
      <sheetName val="Cost &amp; Depn on Replacement"/>
      <sheetName val="Existing Repairs &amp; Maint. Costs"/>
      <sheetName val="Development Inflation Factors"/>
      <sheetName val="Development Stock"/>
      <sheetName val="Hidden - Development Navigation"/>
      <sheetName val="Development Capital"/>
      <sheetName val="Development Revenue"/>
      <sheetName val="Development Expenditure"/>
      <sheetName val="Dvpt NonCash"/>
      <sheetName val="Dvpt Component Depn"/>
      <sheetName val="Dvpt Comp Replacement"/>
      <sheetName val="Dvpt Maint Capitalisation"/>
      <sheetName val="StartAll"/>
      <sheetName val="EndComCF"/>
      <sheetName val="StartUncomCF"/>
      <sheetName val="EndCF"/>
      <sheetName val="StartNC"/>
      <sheetName val="EndComNC"/>
      <sheetName val="StartUncomNC"/>
      <sheetName val="EndAll"/>
      <sheetName val="All Schemes Imported Cashflow"/>
      <sheetName val="Dvpt Factors"/>
      <sheetName val="Hidden - Imports Start"/>
      <sheetName val="Between Towns Road"/>
      <sheetName val="Bracegirdle"/>
      <sheetName val="Edgecombe Road"/>
      <sheetName val="Elsfield Cumberlege"/>
      <sheetName val="Harts Close"/>
      <sheetName val="Lucy Faithfull House"/>
      <sheetName val="Rose Hill"/>
      <sheetName val="Underhill Circus"/>
      <sheetName val="Warren Crescent"/>
      <sheetName val="2 Dynham Place"/>
      <sheetName val="9 Pauling Road"/>
      <sheetName val="15 Kempson Crescent"/>
      <sheetName val="16 Sparsey Place"/>
      <sheetName val="25 Westlands Drive"/>
      <sheetName val="26 Valentia Road"/>
      <sheetName val="32 Union Street"/>
      <sheetName val="51 Weirs Lane"/>
      <sheetName val="66 Sandy Lane"/>
      <sheetName val="74 Foxwell Drive"/>
      <sheetName val="Bertie Place"/>
      <sheetName val="Goose Green"/>
      <sheetName val="Hill View Farm"/>
      <sheetName val="Redbridge"/>
      <sheetName val="Westlands"/>
      <sheetName val="Barton Regen Howards"/>
      <sheetName val="Cowley Marsh Depot"/>
      <sheetName val="Indoor Bowls Club"/>
      <sheetName val="Northfields Hospital"/>
      <sheetName val="Sandy Lane Rec Ground"/>
      <sheetName val="Thompson Tucker Juniper"/>
      <sheetName val="Alice Smith _ Eastern"/>
      <sheetName val="Ruskin College"/>
      <sheetName val="Union St Car Park"/>
      <sheetName val="County Site - Sch 1"/>
      <sheetName val="County Site - Sch 2"/>
      <sheetName val="District Sites - Sch 1"/>
      <sheetName val="District Sites - Sch 2"/>
      <sheetName val="District Sites - Sch 3"/>
      <sheetName val="District Sites - Sch 4"/>
      <sheetName val="JV US - Scheme 1"/>
      <sheetName val="JV US - Scheme 2"/>
      <sheetName val="JV US - Scheme 3"/>
      <sheetName val="JV US - Scheme 4"/>
      <sheetName val="NHS Slade Site"/>
      <sheetName val="Barton phase 1"/>
      <sheetName val="Barton phase 2"/>
      <sheetName val="Hidden - Tenure Totals Start"/>
      <sheetName val="Between Towns Road Total"/>
      <sheetName val="Bracegirdle Total"/>
      <sheetName val="Edgecombe Road Total"/>
      <sheetName val="Elsfield Cumberlege Total"/>
      <sheetName val="Harts Close Total"/>
      <sheetName val="Lucy Faithfull House Total"/>
      <sheetName val="Rose Hill Total"/>
      <sheetName val="Underhill Circus Total"/>
      <sheetName val="Warren Crescent Total"/>
      <sheetName val="2 Dynham Place Total"/>
      <sheetName val="9 Pauling Road Total"/>
      <sheetName val="15 Kempson Crescent Total"/>
      <sheetName val="16 Sparsey Place Total"/>
      <sheetName val="25 Westlands Drive Total"/>
      <sheetName val="26 Valentia Road Total"/>
      <sheetName val="32 Union Street Total"/>
      <sheetName val="51 Weirs Lane Total"/>
      <sheetName val="66 Sandy Lane Total"/>
      <sheetName val="74 Foxwell Drive Total"/>
      <sheetName val="Bertie Place Total"/>
      <sheetName val="Goose Green Total"/>
      <sheetName val="Hill View Farm Total"/>
      <sheetName val="Redbridge Total"/>
      <sheetName val="Westlands Total"/>
      <sheetName val="Barton Regen Howards Total"/>
      <sheetName val="Cowley Marsh Depot Total"/>
      <sheetName val="Indoor Bowls Club Total"/>
      <sheetName val="Northfields Hospital Total"/>
      <sheetName val="Sandy Lane Rec Ground Total"/>
      <sheetName val="Thompson Tucker Juniper Total"/>
      <sheetName val="Alice Smith _ Eastern Total"/>
      <sheetName val="Ruskin College Total"/>
      <sheetName val="Union St Car Park Total"/>
      <sheetName val="County Site - Sch 1 Total"/>
      <sheetName val="County Site - Sch 2 Total"/>
      <sheetName val="District Sites - Sch 1 Total"/>
      <sheetName val="District Sites - Sch 2 Total"/>
      <sheetName val="District Sites - Sch 3 Total"/>
      <sheetName val="District Sites - Sch 4 Total"/>
      <sheetName val="JV US - Scheme 1 Total"/>
      <sheetName val="JV US - Scheme 2 Total"/>
      <sheetName val="JV US - Scheme 3 Total"/>
      <sheetName val="JV US - Scheme 4 Total"/>
      <sheetName val="NHS Slade Site Total"/>
      <sheetName val="Barton phase 1 Total"/>
      <sheetName val="Barton phase 2 Total"/>
      <sheetName val="Hidden - Tenure Totals End"/>
      <sheetName val="Dvpt Imp Cashflows"/>
      <sheetName val="Dvpt Imp Non Cash"/>
      <sheetName val="All Schemes BP Non Cash"/>
      <sheetName val="Dvpt Imp NC Adj"/>
      <sheetName val="All Schemes Imported Non Cash"/>
      <sheetName val="All Schemes Non Cash"/>
      <sheetName val="All Schemes BP Cashflow"/>
      <sheetName val="Dvpt Imp CF Adj"/>
      <sheetName val="All Schemes Imported Adj CF"/>
      <sheetName val="All Schemes Cashflow"/>
      <sheetName val="All Schemes BP FFR"/>
      <sheetName val="All Schemes Imp FFR"/>
      <sheetName val="All Schemes FFR"/>
      <sheetName val="Dvpt Imp FFR Info"/>
      <sheetName val="Dvpt Cashflows"/>
      <sheetName val="Non Tenure Capital Expenditure"/>
      <sheetName val="JV Opening balances"/>
      <sheetName val="JV Investments"/>
      <sheetName val="JV Share of Profits"/>
      <sheetName val="JV Payments Repayments"/>
      <sheetName val="JV Closing Balances"/>
      <sheetName val="Interco Expenditure"/>
      <sheetName val="Funding Flowchart"/>
      <sheetName val="Hidden Funding Dates"/>
      <sheetName val="Hidden - Funds Avail consol"/>
      <sheetName val="Hidden - Funds Available"/>
      <sheetName val="Hidden - Investments"/>
      <sheetName val="Hidden - InterCo Int Rates"/>
      <sheetName val="Hidden - InterCo Opening Bal"/>
      <sheetName val="Hidden - InterCo Increases"/>
      <sheetName val="Hidden - InterCo Decreases"/>
      <sheetName val="Hidden - InterCo Closing Bal"/>
      <sheetName val="Hidden - InterCo Interest"/>
      <sheetName val="Hidden- Intermed Interest Rates"/>
      <sheetName val="Interest Rates"/>
      <sheetName val="Hidden - Revolver Op Bal"/>
      <sheetName val="Hidden - Revolver Adj Op Bal"/>
      <sheetName val="Hidden - Revolver Bal Pre Int"/>
      <sheetName val="Hidden - Revolver Close Bal"/>
      <sheetName val="Hidden - Revolver Draw Repay"/>
      <sheetName val="Hidden - Open Loan Facilities"/>
      <sheetName val="Hidden - Close Loan Facilities"/>
      <sheetName val="Hidden - Loan Opening Balances"/>
      <sheetName val="Hidden - Loan Drawdowns"/>
      <sheetName val="Hidden - Loan Interest"/>
      <sheetName val="Hidden - Loan Repayments"/>
      <sheetName val="Hidden - Loan Interest Charge"/>
      <sheetName val="Hidden - Interest Pay Dates"/>
      <sheetName val="Hidden - Interest Paid Factors"/>
      <sheetName val="Hidden - Interest Accrual"/>
      <sheetName val="Hidden - Loan Arrangement Fees"/>
      <sheetName val="Hidden - Loan Fees Amortisation"/>
      <sheetName val="Hidden - Loan Commitment Fees"/>
      <sheetName val="Loan Interest Payable"/>
      <sheetName val="Loan Opening Balances"/>
      <sheetName val="Loan Drawdowns"/>
      <sheetName val="Loan Interest Paid"/>
      <sheetName val="Loan Repayments"/>
      <sheetName val="Loan Closing Balances"/>
      <sheetName val="Loan Closing Facilities"/>
      <sheetName val="Loan Fixed Variable"/>
      <sheetName val="Loan Arrangement Fees"/>
      <sheetName val="Loan Commitment Fees"/>
      <sheetName val="Loan Fees Amortisation"/>
      <sheetName val="Cash on Deposit"/>
      <sheetName val="Investments"/>
      <sheetName val="InterCo Opening Balances"/>
      <sheetName val="InterCo Increases"/>
      <sheetName val="InterCo Decreases"/>
      <sheetName val="InterCo Closing Balances"/>
      <sheetName val="InterCo Interest"/>
      <sheetName val="Taxation Computation"/>
      <sheetName val="Depn Type Stock Numbers"/>
      <sheetName val="Component 1"/>
      <sheetName val="Component 2"/>
      <sheetName val="Component 3"/>
      <sheetName val="Component 4"/>
      <sheetName val="Component 5"/>
      <sheetName val="Component 6"/>
      <sheetName val="Component 7"/>
      <sheetName val="Component 8"/>
      <sheetName val="Component 9"/>
      <sheetName val="Component 10"/>
      <sheetName val="Component 11"/>
      <sheetName val="Component 12"/>
      <sheetName val="Component Totals"/>
      <sheetName val="Depreciation Capitalised Costs"/>
      <sheetName val="Depreciation Other Fixed Assets"/>
      <sheetName val="Opening HFG Workings"/>
      <sheetName val="Journals"/>
      <sheetName val="Component Non Cash Adjustments"/>
      <sheetName val="Other Non Cash Adjustments"/>
      <sheetName val="Dvpt Non Cash Adjustments"/>
      <sheetName val="Dvpt Comp Rep Adjustments"/>
      <sheetName val="Total BSheet Adj TB"/>
      <sheetName val="Total Non Cash Trial Balance"/>
      <sheetName val="Existing Cashflows"/>
      <sheetName val="Development Cashflows"/>
      <sheetName val="Cashflow"/>
      <sheetName val="Existing Cashflows Detailed"/>
      <sheetName val="Development Cashflow Detailed"/>
      <sheetName val="Cashflow det b4 interco"/>
      <sheetName val="Cashflow interco"/>
      <sheetName val="Cash Journals Detailed"/>
      <sheetName val="Cashflow detailed"/>
      <sheetName val="Total Cash Trial Balance"/>
      <sheetName val="Total Trial Balance"/>
      <sheetName val="Summary Comp Inc - Alt View"/>
      <sheetName val="Detailed Comp Inc - Alt View"/>
      <sheetName val="Financial Position - Alt View"/>
      <sheetName val="Cashflow Statement - Alt View"/>
      <sheetName val="Summary Comp Inc - Trad View"/>
      <sheetName val="Detailed Comp Inc - Trad View"/>
      <sheetName val="Financial Position - Trad View"/>
      <sheetName val="Cashflow Statement - Trad View"/>
      <sheetName val="OW - Covenant Workings"/>
      <sheetName val="OW - WG Output Workings"/>
      <sheetName val="OW - Charts Source Data"/>
      <sheetName val="OW - Live Covenant Calculation"/>
      <sheetName val="OW - Multivariable Factors"/>
      <sheetName val="OW - Captured Data"/>
      <sheetName val="OW - Covenant Calculation"/>
      <sheetName val="OW - MultiVar Desc Calculation"/>
      <sheetName val="BP Dashboard"/>
      <sheetName val="Funding Dashboard"/>
      <sheetName val="Covenants"/>
      <sheetName val="Value for Money Metrics"/>
      <sheetName val="WG Summary"/>
      <sheetName val="Loan Output Table"/>
      <sheetName val="BP Input Scheme Cashflows"/>
      <sheetName val="5 Yr Monthly Cashflow"/>
      <sheetName val="5 Yr Quarterly Cashflow"/>
      <sheetName val="Live Multivariable Planner"/>
      <sheetName val="Hidden - Detailed Sensitivities"/>
      <sheetName val="Multivariable Planner"/>
      <sheetName val="Multivariable Dashboard"/>
      <sheetName val="Comparative"/>
      <sheetName val="Comparative 2"/>
      <sheetName val="FFRW - Rental Income"/>
      <sheetName val="FFRW - Stock Numbers"/>
      <sheetName val="FFRW - Development"/>
      <sheetName val="FFRW - Average Rents"/>
      <sheetName val="FFRW - Gift Aid"/>
      <sheetName val="Hidden - FFR Ranges"/>
      <sheetName val="FFR Key Defn"/>
      <sheetName val="Front Sheet"/>
      <sheetName val="FFR Validation Summary"/>
      <sheetName val="FFR Workings"/>
      <sheetName val="Statements"/>
      <sheetName val="Assumptions &amp; tenure inputs"/>
      <sheetName val="Compliance Questions"/>
      <sheetName val="End protect sheet"/>
      <sheetName val="Error Checks"/>
      <sheetName val="Sheet1"/>
    </sheetNames>
    <sheetDataSet>
      <sheetData sheetId="0"/>
      <sheetData sheetId="1"/>
      <sheetData sheetId="2">
        <row r="4">
          <cell r="B4">
            <v>0.31346064814814817</v>
          </cell>
        </row>
        <row r="6">
          <cell r="B6">
            <v>0.31353009259259262</v>
          </cell>
        </row>
      </sheetData>
      <sheetData sheetId="3"/>
      <sheetData sheetId="4"/>
      <sheetData sheetId="5"/>
      <sheetData sheetId="6"/>
      <sheetData sheetId="7"/>
      <sheetData sheetId="8"/>
      <sheetData sheetId="9">
        <row r="14">
          <cell r="G14">
            <v>0</v>
          </cell>
        </row>
      </sheetData>
      <sheetData sheetId="10"/>
      <sheetData sheetId="11">
        <row r="2">
          <cell r="K2">
            <v>5</v>
          </cell>
        </row>
        <row r="4">
          <cell r="U4">
            <v>43556</v>
          </cell>
          <cell r="V4">
            <v>58165</v>
          </cell>
        </row>
        <row r="6">
          <cell r="I6" t="str">
            <v>2000/01</v>
          </cell>
        </row>
        <row r="7">
          <cell r="I7" t="str">
            <v>2001/02</v>
          </cell>
          <cell r="AU7">
            <v>43556</v>
          </cell>
          <cell r="BB7">
            <v>43585</v>
          </cell>
        </row>
        <row r="8">
          <cell r="I8" t="str">
            <v>2002/03</v>
          </cell>
          <cell r="AU8">
            <v>43586</v>
          </cell>
          <cell r="BB8">
            <v>43616</v>
          </cell>
        </row>
        <row r="9">
          <cell r="I9" t="str">
            <v>2003/04</v>
          </cell>
          <cell r="AU9">
            <v>43617</v>
          </cell>
          <cell r="BB9">
            <v>43646</v>
          </cell>
        </row>
        <row r="10">
          <cell r="I10" t="str">
            <v>2004/05</v>
          </cell>
          <cell r="AU10">
            <v>43647</v>
          </cell>
          <cell r="BB10">
            <v>43677</v>
          </cell>
        </row>
        <row r="11">
          <cell r="I11" t="str">
            <v>2005/06</v>
          </cell>
          <cell r="AU11">
            <v>43678</v>
          </cell>
          <cell r="BB11">
            <v>43708</v>
          </cell>
        </row>
        <row r="12">
          <cell r="I12" t="str">
            <v>2006/07</v>
          </cell>
          <cell r="AU12">
            <v>43709</v>
          </cell>
          <cell r="BB12">
            <v>43738</v>
          </cell>
        </row>
        <row r="13">
          <cell r="I13" t="str">
            <v>2007/08</v>
          </cell>
          <cell r="AU13">
            <v>43739</v>
          </cell>
          <cell r="BB13">
            <v>43769</v>
          </cell>
        </row>
        <row r="14">
          <cell r="I14" t="str">
            <v>2008/09</v>
          </cell>
          <cell r="AU14">
            <v>43770</v>
          </cell>
          <cell r="BB14">
            <v>43799</v>
          </cell>
        </row>
        <row r="15">
          <cell r="I15" t="str">
            <v>2009/10</v>
          </cell>
          <cell r="AU15">
            <v>43800</v>
          </cell>
          <cell r="BB15">
            <v>43830</v>
          </cell>
        </row>
        <row r="16">
          <cell r="I16" t="str">
            <v>2010/11</v>
          </cell>
          <cell r="AU16">
            <v>43831</v>
          </cell>
          <cell r="BB16">
            <v>43861</v>
          </cell>
        </row>
        <row r="17">
          <cell r="I17" t="str">
            <v>2011/12</v>
          </cell>
          <cell r="AU17">
            <v>43862</v>
          </cell>
          <cell r="BB17">
            <v>43890</v>
          </cell>
        </row>
        <row r="18">
          <cell r="I18" t="str">
            <v>2012/13</v>
          </cell>
          <cell r="AU18">
            <v>43891</v>
          </cell>
          <cell r="BB18">
            <v>43921</v>
          </cell>
        </row>
        <row r="19">
          <cell r="I19" t="str">
            <v>2013/14</v>
          </cell>
          <cell r="AU19">
            <v>43922</v>
          </cell>
        </row>
        <row r="20">
          <cell r="I20" t="str">
            <v>2014/15</v>
          </cell>
          <cell r="AU20">
            <v>43952</v>
          </cell>
        </row>
        <row r="21">
          <cell r="I21" t="str">
            <v>2015/16</v>
          </cell>
          <cell r="AU21">
            <v>43983</v>
          </cell>
        </row>
        <row r="22">
          <cell r="I22" t="str">
            <v>2016/17</v>
          </cell>
          <cell r="AU22">
            <v>44013</v>
          </cell>
        </row>
        <row r="23">
          <cell r="I23" t="str">
            <v>2017/18</v>
          </cell>
          <cell r="AU23">
            <v>44044</v>
          </cell>
        </row>
        <row r="24">
          <cell r="I24" t="str">
            <v>2018/19</v>
          </cell>
          <cell r="AU24">
            <v>44075</v>
          </cell>
        </row>
        <row r="25">
          <cell r="I25" t="str">
            <v>2019/20</v>
          </cell>
          <cell r="AU25">
            <v>44105</v>
          </cell>
        </row>
        <row r="26">
          <cell r="I26" t="str">
            <v>2020/21</v>
          </cell>
          <cell r="AU26">
            <v>44136</v>
          </cell>
        </row>
        <row r="27">
          <cell r="I27" t="str">
            <v>2021/22</v>
          </cell>
          <cell r="AU27">
            <v>44166</v>
          </cell>
        </row>
        <row r="28">
          <cell r="I28" t="str">
            <v>2022/23</v>
          </cell>
          <cell r="AU28">
            <v>44197</v>
          </cell>
        </row>
        <row r="29">
          <cell r="I29" t="str">
            <v>2023/24</v>
          </cell>
          <cell r="AU29">
            <v>44228</v>
          </cell>
        </row>
        <row r="30">
          <cell r="I30" t="str">
            <v>2024/25</v>
          </cell>
          <cell r="AU30">
            <v>44256</v>
          </cell>
        </row>
        <row r="31">
          <cell r="I31" t="str">
            <v>2025/26</v>
          </cell>
          <cell r="AU31">
            <v>44287</v>
          </cell>
        </row>
        <row r="32">
          <cell r="I32" t="str">
            <v>2026/27</v>
          </cell>
          <cell r="AU32">
            <v>44317</v>
          </cell>
        </row>
        <row r="33">
          <cell r="I33" t="str">
            <v>2027/28</v>
          </cell>
          <cell r="AU33">
            <v>44348</v>
          </cell>
        </row>
        <row r="34">
          <cell r="I34" t="str">
            <v>2028/29</v>
          </cell>
          <cell r="AU34">
            <v>44378</v>
          </cell>
        </row>
        <row r="35">
          <cell r="I35" t="str">
            <v>2029/30</v>
          </cell>
          <cell r="AU35">
            <v>44409</v>
          </cell>
        </row>
        <row r="36">
          <cell r="I36" t="str">
            <v>2030/31</v>
          </cell>
          <cell r="AU36">
            <v>44440</v>
          </cell>
        </row>
        <row r="37">
          <cell r="I37" t="str">
            <v>2031/32</v>
          </cell>
          <cell r="AU37">
            <v>44470</v>
          </cell>
        </row>
        <row r="38">
          <cell r="I38" t="str">
            <v>2032/33</v>
          </cell>
          <cell r="AU38">
            <v>44501</v>
          </cell>
        </row>
        <row r="39">
          <cell r="I39" t="str">
            <v>2033/34</v>
          </cell>
          <cell r="AU39">
            <v>44531</v>
          </cell>
        </row>
        <row r="40">
          <cell r="I40" t="str">
            <v>2034/35</v>
          </cell>
          <cell r="AU40">
            <v>44562</v>
          </cell>
        </row>
        <row r="41">
          <cell r="I41" t="str">
            <v>2035/36</v>
          </cell>
          <cell r="AU41">
            <v>44593</v>
          </cell>
        </row>
        <row r="42">
          <cell r="I42" t="str">
            <v>2036/37</v>
          </cell>
          <cell r="AU42">
            <v>44621</v>
          </cell>
        </row>
        <row r="43">
          <cell r="I43" t="str">
            <v>2037/38</v>
          </cell>
          <cell r="AU43">
            <v>44652</v>
          </cell>
        </row>
        <row r="44">
          <cell r="I44" t="str">
            <v>2038/39</v>
          </cell>
          <cell r="AU44">
            <v>44682</v>
          </cell>
        </row>
        <row r="45">
          <cell r="I45" t="str">
            <v>2039/40</v>
          </cell>
          <cell r="AU45">
            <v>44713</v>
          </cell>
        </row>
        <row r="46">
          <cell r="I46" t="str">
            <v>2040/41</v>
          </cell>
          <cell r="AU46">
            <v>44743</v>
          </cell>
        </row>
        <row r="47">
          <cell r="I47" t="str">
            <v>2041/42</v>
          </cell>
          <cell r="AU47">
            <v>44774</v>
          </cell>
        </row>
        <row r="48">
          <cell r="I48" t="str">
            <v>2042/43</v>
          </cell>
          <cell r="AU48">
            <v>44805</v>
          </cell>
        </row>
        <row r="49">
          <cell r="I49" t="str">
            <v>2043/44</v>
          </cell>
          <cell r="AU49">
            <v>44835</v>
          </cell>
        </row>
        <row r="50">
          <cell r="I50" t="str">
            <v>2044/45</v>
          </cell>
          <cell r="AU50">
            <v>44866</v>
          </cell>
        </row>
        <row r="51">
          <cell r="I51" t="str">
            <v>2045/46</v>
          </cell>
          <cell r="AU51">
            <v>44896</v>
          </cell>
        </row>
        <row r="52">
          <cell r="I52" t="str">
            <v>2046/47</v>
          </cell>
          <cell r="AU52">
            <v>44927</v>
          </cell>
        </row>
        <row r="53">
          <cell r="I53" t="str">
            <v>2047/48</v>
          </cell>
          <cell r="AU53">
            <v>44958</v>
          </cell>
        </row>
        <row r="54">
          <cell r="I54" t="str">
            <v>2048/49</v>
          </cell>
          <cell r="AU54">
            <v>44986</v>
          </cell>
        </row>
        <row r="55">
          <cell r="I55" t="str">
            <v>2049/50</v>
          </cell>
          <cell r="AU55">
            <v>45017</v>
          </cell>
        </row>
        <row r="56">
          <cell r="I56" t="str">
            <v>2050/51</v>
          </cell>
          <cell r="AU56">
            <v>45047</v>
          </cell>
        </row>
        <row r="57">
          <cell r="I57" t="str">
            <v>2051/52</v>
          </cell>
          <cell r="AU57">
            <v>45078</v>
          </cell>
        </row>
        <row r="58">
          <cell r="I58" t="str">
            <v>2052/53</v>
          </cell>
          <cell r="AU58">
            <v>45108</v>
          </cell>
        </row>
        <row r="59">
          <cell r="I59" t="str">
            <v>2053/54</v>
          </cell>
          <cell r="AU59">
            <v>45139</v>
          </cell>
        </row>
        <row r="60">
          <cell r="I60" t="str">
            <v>2054/55</v>
          </cell>
          <cell r="AU60">
            <v>45170</v>
          </cell>
        </row>
        <row r="61">
          <cell r="I61" t="str">
            <v>2055/56</v>
          </cell>
          <cell r="AU61">
            <v>45200</v>
          </cell>
        </row>
        <row r="62">
          <cell r="I62" t="str">
            <v>2056/57</v>
          </cell>
          <cell r="AU62">
            <v>45231</v>
          </cell>
        </row>
        <row r="63">
          <cell r="I63" t="str">
            <v>2057/58</v>
          </cell>
          <cell r="AU63">
            <v>45261</v>
          </cell>
        </row>
        <row r="64">
          <cell r="I64" t="str">
            <v>2058/59</v>
          </cell>
          <cell r="AU64">
            <v>45292</v>
          </cell>
        </row>
        <row r="65">
          <cell r="I65" t="str">
            <v>2059/60</v>
          </cell>
          <cell r="AU65">
            <v>45323</v>
          </cell>
        </row>
        <row r="66">
          <cell r="I66" t="str">
            <v>2060/61</v>
          </cell>
          <cell r="AU66">
            <v>45352</v>
          </cell>
        </row>
        <row r="67">
          <cell r="I67" t="str">
            <v>2061/62</v>
          </cell>
          <cell r="AU67" t="str">
            <v>2024/25</v>
          </cell>
        </row>
        <row r="68">
          <cell r="I68" t="str">
            <v>2062/63</v>
          </cell>
          <cell r="AU68" t="str">
            <v>2025/26</v>
          </cell>
        </row>
        <row r="69">
          <cell r="I69" t="str">
            <v>2063/64</v>
          </cell>
          <cell r="AU69" t="str">
            <v>2026/27</v>
          </cell>
        </row>
        <row r="70">
          <cell r="I70" t="str">
            <v>2064/65</v>
          </cell>
          <cell r="AU70" t="str">
            <v>2027/28</v>
          </cell>
        </row>
        <row r="71">
          <cell r="I71" t="str">
            <v>2065/66</v>
          </cell>
          <cell r="AU71" t="str">
            <v>2028/29</v>
          </cell>
        </row>
        <row r="72">
          <cell r="I72" t="str">
            <v>2066/67</v>
          </cell>
          <cell r="AU72" t="str">
            <v>2029/30</v>
          </cell>
        </row>
        <row r="73">
          <cell r="I73" t="str">
            <v>2067/68</v>
          </cell>
          <cell r="AU73" t="str">
            <v>2030/31</v>
          </cell>
        </row>
        <row r="74">
          <cell r="I74" t="str">
            <v>2068/69</v>
          </cell>
          <cell r="AU74" t="str">
            <v>2031/32</v>
          </cell>
        </row>
        <row r="75">
          <cell r="I75" t="str">
            <v>2069/70</v>
          </cell>
          <cell r="AU75" t="str">
            <v>2032/33</v>
          </cell>
        </row>
        <row r="76">
          <cell r="I76" t="str">
            <v>2070/71</v>
          </cell>
          <cell r="AU76" t="str">
            <v>2033/34</v>
          </cell>
        </row>
        <row r="77">
          <cell r="I77" t="str">
            <v>2071/72</v>
          </cell>
          <cell r="AU77" t="str">
            <v>2034/35</v>
          </cell>
        </row>
        <row r="78">
          <cell r="I78" t="str">
            <v>2072/73</v>
          </cell>
          <cell r="AU78" t="str">
            <v>2035/36</v>
          </cell>
        </row>
        <row r="79">
          <cell r="I79" t="str">
            <v>2073/74</v>
          </cell>
          <cell r="AU79" t="str">
            <v>2036/37</v>
          </cell>
        </row>
        <row r="80">
          <cell r="I80" t="str">
            <v>2074/75</v>
          </cell>
          <cell r="AU80" t="str">
            <v>2037/38</v>
          </cell>
        </row>
        <row r="81">
          <cell r="I81" t="str">
            <v>2075/76</v>
          </cell>
          <cell r="AU81" t="str">
            <v>2038/39</v>
          </cell>
        </row>
        <row r="82">
          <cell r="I82" t="str">
            <v>2076/77</v>
          </cell>
          <cell r="AU82" t="str">
            <v>2039/40</v>
          </cell>
        </row>
        <row r="83">
          <cell r="I83" t="str">
            <v>2077/78</v>
          </cell>
          <cell r="AU83" t="str">
            <v>2040/41</v>
          </cell>
        </row>
        <row r="84">
          <cell r="I84" t="str">
            <v>2078/79</v>
          </cell>
          <cell r="AU84" t="str">
            <v>2041/42</v>
          </cell>
        </row>
        <row r="85">
          <cell r="I85" t="str">
            <v>2079/80</v>
          </cell>
          <cell r="AU85" t="str">
            <v>2042/43</v>
          </cell>
        </row>
        <row r="86">
          <cell r="I86" t="str">
            <v>2080/81</v>
          </cell>
          <cell r="AU86" t="str">
            <v>2043/44</v>
          </cell>
        </row>
        <row r="87">
          <cell r="I87" t="str">
            <v>2081/82</v>
          </cell>
          <cell r="AU87" t="str">
            <v>2044/45</v>
          </cell>
        </row>
        <row r="88">
          <cell r="I88" t="str">
            <v>2082/83</v>
          </cell>
          <cell r="AU88" t="str">
            <v>2045/46</v>
          </cell>
        </row>
        <row r="89">
          <cell r="I89" t="str">
            <v>2083/84</v>
          </cell>
          <cell r="AU89" t="str">
            <v>2046/47</v>
          </cell>
        </row>
        <row r="90">
          <cell r="I90" t="str">
            <v>2084/85</v>
          </cell>
          <cell r="AU90" t="str">
            <v>2047/48</v>
          </cell>
        </row>
        <row r="91">
          <cell r="I91" t="str">
            <v>2085/86</v>
          </cell>
          <cell r="AU91" t="str">
            <v>2048/49</v>
          </cell>
        </row>
        <row r="92">
          <cell r="I92" t="str">
            <v>2086/87</v>
          </cell>
          <cell r="AU92" t="str">
            <v>2049/50</v>
          </cell>
        </row>
        <row r="93">
          <cell r="I93" t="str">
            <v>2087/88</v>
          </cell>
          <cell r="AU93" t="str">
            <v>2050/51</v>
          </cell>
        </row>
        <row r="94">
          <cell r="I94" t="str">
            <v>2088/89</v>
          </cell>
          <cell r="AU94" t="str">
            <v>2051/52</v>
          </cell>
        </row>
        <row r="95">
          <cell r="I95" t="str">
            <v>2089/90</v>
          </cell>
          <cell r="AU95" t="str">
            <v>2052/53</v>
          </cell>
        </row>
        <row r="96">
          <cell r="I96" t="str">
            <v>2090/91</v>
          </cell>
          <cell r="AU96" t="str">
            <v>2053/54</v>
          </cell>
        </row>
        <row r="97">
          <cell r="I97" t="str">
            <v>2091/92</v>
          </cell>
          <cell r="AU97" t="str">
            <v>2054/55</v>
          </cell>
        </row>
        <row r="98">
          <cell r="I98" t="str">
            <v>2092/93</v>
          </cell>
          <cell r="AU98" t="str">
            <v>2055/56</v>
          </cell>
        </row>
        <row r="99">
          <cell r="I99" t="str">
            <v>2093/94</v>
          </cell>
          <cell r="AU99" t="str">
            <v>2056/57</v>
          </cell>
        </row>
        <row r="100">
          <cell r="I100" t="str">
            <v>2094/95</v>
          </cell>
          <cell r="AU100" t="str">
            <v>2057/58</v>
          </cell>
        </row>
        <row r="101">
          <cell r="I101" t="str">
            <v>2095/96</v>
          </cell>
          <cell r="AU101" t="str">
            <v>2058/59</v>
          </cell>
        </row>
        <row r="102">
          <cell r="I102" t="str">
            <v>2096/97</v>
          </cell>
        </row>
        <row r="103">
          <cell r="I103" t="str">
            <v>2097/98</v>
          </cell>
        </row>
        <row r="104">
          <cell r="I104" t="str">
            <v>2098/99</v>
          </cell>
        </row>
        <row r="105">
          <cell r="I105" t="str">
            <v>2099/00</v>
          </cell>
        </row>
        <row r="106">
          <cell r="I106" t="str">
            <v>2100/01</v>
          </cell>
        </row>
      </sheetData>
      <sheetData sheetId="12">
        <row r="6">
          <cell r="A6" t="str">
            <v>Total Scheme Cost</v>
          </cell>
          <cell r="B6" t="str">
            <v>Per unit</v>
          </cell>
          <cell r="D6" t="str">
            <v>EUV-SH</v>
          </cell>
          <cell r="E6" t="str">
            <v>General Needs</v>
          </cell>
          <cell r="H6" t="str">
            <v>S-curve</v>
          </cell>
          <cell r="I6" t="str">
            <v>Input</v>
          </cell>
          <cell r="J6" t="str">
            <v>Other social housing sales</v>
          </cell>
          <cell r="K6" t="str">
            <v>Conversion</v>
          </cell>
          <cell r="L6" t="str">
            <v>By Period</v>
          </cell>
          <cell r="N6" t="str">
            <v>General Needs</v>
          </cell>
          <cell r="P6" t="str">
            <v>Rents Receivable</v>
          </cell>
          <cell r="R6" t="str">
            <v>B/S - Other Current Assets</v>
          </cell>
          <cell r="T6" t="str">
            <v>Social Housing Management Costs</v>
          </cell>
          <cell r="V6" t="str">
            <v>Housing Property</v>
          </cell>
          <cell r="W6" t="str">
            <v>Tangible</v>
          </cell>
          <cell r="X6" t="str">
            <v>Diminishing Value</v>
          </cell>
          <cell r="Y6" t="str">
            <v>Fixed</v>
          </cell>
          <cell r="Z6" t="str">
            <v>Land bank expenditure - committed</v>
          </cell>
        </row>
        <row r="7">
          <cell r="A7" t="str">
            <v>Scheme Costs per unit</v>
          </cell>
          <cell r="B7" t="str">
            <v>Total SHG</v>
          </cell>
          <cell r="D7" t="str">
            <v>Cost</v>
          </cell>
          <cell r="E7" t="str">
            <v>Shared Ownership</v>
          </cell>
          <cell r="H7" t="str">
            <v>Profile</v>
          </cell>
          <cell r="I7" t="str">
            <v>Straight line</v>
          </cell>
          <cell r="J7" t="str">
            <v>Other sales</v>
          </cell>
          <cell r="K7" t="str">
            <v>First tranche sale</v>
          </cell>
          <cell r="L7" t="str">
            <v>Monthly</v>
          </cell>
          <cell r="N7" t="str">
            <v>Shared Ownership</v>
          </cell>
          <cell r="P7" t="str">
            <v>Service Income</v>
          </cell>
          <cell r="R7" t="str">
            <v>B/S - Creditors: Amounts Falling Due In One Year</v>
          </cell>
          <cell r="T7" t="str">
            <v>Social Housing Service Costs</v>
          </cell>
          <cell r="V7" t="str">
            <v>Investment Property</v>
          </cell>
          <cell r="W7" t="str">
            <v>Intangible</v>
          </cell>
          <cell r="X7" t="str">
            <v>Straightline</v>
          </cell>
          <cell r="Y7" t="str">
            <v>Variable</v>
          </cell>
          <cell r="Z7" t="str">
            <v>Land bank expenditure - uncommitted</v>
          </cell>
        </row>
        <row r="8">
          <cell r="A8" t="str">
            <v>Land and Build cost per unit</v>
          </cell>
          <cell r="B8" t="str">
            <v>% of Scheme costs</v>
          </cell>
          <cell r="D8" t="str">
            <v>OMV</v>
          </cell>
          <cell r="E8" t="str">
            <v>Near Market Rent</v>
          </cell>
          <cell r="H8" t="str">
            <v>Straight line</v>
          </cell>
          <cell r="I8" t="str">
            <v>Profile</v>
          </cell>
          <cell r="J8" t="str">
            <v>Staircasing</v>
          </cell>
          <cell r="L8" t="str">
            <v>Quarterly</v>
          </cell>
          <cell r="N8" t="str">
            <v>Near Market Rent</v>
          </cell>
          <cell r="P8" t="str">
            <v>Charges For Support Services</v>
          </cell>
          <cell r="T8" t="str">
            <v>Social Housing Care /Support Costs</v>
          </cell>
          <cell r="Z8" t="str">
            <v>Other capital expenditure - committed</v>
          </cell>
        </row>
        <row r="9">
          <cell r="A9" t="str">
            <v xml:space="preserve">Total Land and Build costs </v>
          </cell>
          <cell r="D9" t="str">
            <v>MVT</v>
          </cell>
          <cell r="E9" t="str">
            <v>Sheltered</v>
          </cell>
          <cell r="J9" t="str">
            <v>Demolitions</v>
          </cell>
          <cell r="L9" t="str">
            <v>Semi-annually</v>
          </cell>
          <cell r="N9" t="str">
            <v>Sheltered</v>
          </cell>
          <cell r="P9" t="str">
            <v>Total Revenue Grants</v>
          </cell>
          <cell r="T9" t="str">
            <v>Routine Maintenance</v>
          </cell>
          <cell r="Z9" t="str">
            <v>Other capital expenditure - uncommitted</v>
          </cell>
        </row>
        <row r="10">
          <cell r="E10" t="str">
            <v>Supported</v>
          </cell>
          <cell r="L10" t="str">
            <v>Annually</v>
          </cell>
          <cell r="N10" t="str">
            <v>Supported</v>
          </cell>
          <cell r="P10" t="str">
            <v>Major Repair Grants From The HC</v>
          </cell>
          <cell r="T10" t="str">
            <v>Major Repairs</v>
          </cell>
        </row>
        <row r="11">
          <cell r="E11" t="str">
            <v>Outright Sale</v>
          </cell>
          <cell r="N11" t="str">
            <v>Outright Sale</v>
          </cell>
          <cell r="P11" t="str">
            <v>Other social housing lettings income</v>
          </cell>
          <cell r="T11" t="str">
            <v>Income From Other Social Housing Activities</v>
          </cell>
        </row>
        <row r="12">
          <cell r="E12" t="str">
            <v>Affordable Rent</v>
          </cell>
          <cell r="N12" t="str">
            <v>Affordable Rent</v>
          </cell>
          <cell r="P12" t="str">
            <v>Social Housing Management Costs</v>
          </cell>
          <cell r="T12" t="str">
            <v>Other Social Housing Costs</v>
          </cell>
        </row>
        <row r="13">
          <cell r="E13" t="str">
            <v>NMR to SO</v>
          </cell>
          <cell r="N13" t="str">
            <v>Commercial</v>
          </cell>
          <cell r="P13" t="str">
            <v>Social Housing Service Costs</v>
          </cell>
          <cell r="T13" t="str">
            <v>Income From Non-Social Housing Activities</v>
          </cell>
        </row>
        <row r="14">
          <cell r="E14" t="str">
            <v>Commercial</v>
          </cell>
          <cell r="P14" t="str">
            <v>Social Housing Care /Support Costs</v>
          </cell>
          <cell r="T14" t="str">
            <v>Other Non Social Housing Costs</v>
          </cell>
        </row>
        <row r="15">
          <cell r="P15" t="str">
            <v>Routine Maintenance</v>
          </cell>
        </row>
        <row r="16">
          <cell r="P16" t="str">
            <v>Major Repairs</v>
          </cell>
        </row>
        <row r="17">
          <cell r="P17" t="str">
            <v>Leasing Costs</v>
          </cell>
        </row>
        <row r="18">
          <cell r="P18" t="str">
            <v>Other Costs</v>
          </cell>
        </row>
        <row r="19">
          <cell r="P19" t="str">
            <v>Home-Buy Charges /Income</v>
          </cell>
        </row>
        <row r="20">
          <cell r="P20" t="str">
            <v>Income From Other Social Housing Activities</v>
          </cell>
        </row>
        <row r="21">
          <cell r="P21" t="str">
            <v>Other Social Housing Costs</v>
          </cell>
        </row>
        <row r="22">
          <cell r="P22" t="str">
            <v>Income From Non-Social Housing Activities</v>
          </cell>
        </row>
        <row r="23">
          <cell r="P23" t="str">
            <v>Other Non Social Housing Costs</v>
          </cell>
        </row>
        <row r="24">
          <cell r="P24" t="str">
            <v>Exceptional Items</v>
          </cell>
        </row>
        <row r="25">
          <cell r="P25" t="str">
            <v>Gift Aid - Income from Other Social Housing activities</v>
          </cell>
        </row>
        <row r="26">
          <cell r="P26" t="str">
            <v>Gift Aid - Income from Non-Social Housing activities</v>
          </cell>
        </row>
        <row r="27">
          <cell r="P27" t="str">
            <v>B/S - Homebuy - Loan</v>
          </cell>
        </row>
        <row r="28">
          <cell r="P28" t="str">
            <v>B/S - Homebuy - Grant</v>
          </cell>
        </row>
      </sheetData>
      <sheetData sheetId="13">
        <row r="7">
          <cell r="C7" t="str">
            <v>Oxford City Homes Limited</v>
          </cell>
        </row>
        <row r="9">
          <cell r="C9">
            <v>43556</v>
          </cell>
        </row>
      </sheetData>
      <sheetData sheetId="14">
        <row r="6">
          <cell r="E6" t="str">
            <v>GN Acq 2016/17 &amp; 2017/18</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8">
          <cell r="E8" t="str">
            <v>Gen Needs</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sheetData>
      <sheetData sheetId="15">
        <row r="8">
          <cell r="C8">
            <v>52</v>
          </cell>
        </row>
      </sheetData>
      <sheetData sheetId="16">
        <row r="5">
          <cell r="C5" t="str">
            <v/>
          </cell>
        </row>
        <row r="20">
          <cell r="A20">
            <v>0</v>
          </cell>
        </row>
        <row r="21">
          <cell r="A21">
            <v>0</v>
          </cell>
        </row>
        <row r="22">
          <cell r="A22">
            <v>0</v>
          </cell>
        </row>
        <row r="23">
          <cell r="A23">
            <v>0</v>
          </cell>
        </row>
      </sheetData>
      <sheetData sheetId="17"/>
      <sheetData sheetId="18"/>
      <sheetData sheetId="19">
        <row r="5">
          <cell r="C5" t="str">
            <v/>
          </cell>
        </row>
        <row r="9">
          <cell r="A9">
            <v>0</v>
          </cell>
          <cell r="B9">
            <v>0</v>
          </cell>
          <cell r="C9">
            <v>0</v>
          </cell>
          <cell r="D9">
            <v>0</v>
          </cell>
          <cell r="E9">
            <v>0</v>
          </cell>
          <cell r="F9">
            <v>0</v>
          </cell>
          <cell r="G9">
            <v>0</v>
          </cell>
          <cell r="H9">
            <v>0</v>
          </cell>
        </row>
        <row r="10">
          <cell r="A10">
            <v>0</v>
          </cell>
          <cell r="B10">
            <v>0</v>
          </cell>
          <cell r="C10">
            <v>0</v>
          </cell>
          <cell r="D10">
            <v>0</v>
          </cell>
          <cell r="E10">
            <v>0</v>
          </cell>
          <cell r="F10">
            <v>0</v>
          </cell>
          <cell r="G10">
            <v>0</v>
          </cell>
          <cell r="H10">
            <v>0</v>
          </cell>
        </row>
        <row r="11">
          <cell r="A11">
            <v>0</v>
          </cell>
          <cell r="B11">
            <v>0</v>
          </cell>
          <cell r="C11">
            <v>0</v>
          </cell>
          <cell r="D11">
            <v>0</v>
          </cell>
          <cell r="E11">
            <v>0</v>
          </cell>
          <cell r="F11">
            <v>0</v>
          </cell>
          <cell r="G11">
            <v>0</v>
          </cell>
          <cell r="H11">
            <v>0</v>
          </cell>
        </row>
        <row r="12">
          <cell r="A12">
            <v>0</v>
          </cell>
          <cell r="B12">
            <v>0</v>
          </cell>
          <cell r="C12">
            <v>0</v>
          </cell>
          <cell r="D12">
            <v>0</v>
          </cell>
          <cell r="E12">
            <v>0</v>
          </cell>
          <cell r="F12">
            <v>0</v>
          </cell>
          <cell r="G12">
            <v>0</v>
          </cell>
          <cell r="H12">
            <v>0</v>
          </cell>
        </row>
        <row r="13">
          <cell r="A13">
            <v>0</v>
          </cell>
          <cell r="B13">
            <v>0</v>
          </cell>
          <cell r="C13">
            <v>0</v>
          </cell>
          <cell r="D13">
            <v>0</v>
          </cell>
          <cell r="E13">
            <v>0</v>
          </cell>
          <cell r="F13">
            <v>0</v>
          </cell>
          <cell r="G13">
            <v>0</v>
          </cell>
          <cell r="H13">
            <v>0</v>
          </cell>
        </row>
        <row r="14">
          <cell r="A14">
            <v>0</v>
          </cell>
          <cell r="B14">
            <v>0</v>
          </cell>
          <cell r="C14">
            <v>0</v>
          </cell>
          <cell r="D14">
            <v>0</v>
          </cell>
          <cell r="E14">
            <v>0</v>
          </cell>
          <cell r="F14">
            <v>0</v>
          </cell>
          <cell r="G14">
            <v>0</v>
          </cell>
          <cell r="H14">
            <v>0</v>
          </cell>
        </row>
        <row r="15">
          <cell r="A15">
            <v>0</v>
          </cell>
          <cell r="B15">
            <v>0</v>
          </cell>
          <cell r="C15">
            <v>0</v>
          </cell>
          <cell r="D15">
            <v>0</v>
          </cell>
          <cell r="E15">
            <v>0</v>
          </cell>
          <cell r="F15">
            <v>0</v>
          </cell>
          <cell r="G15">
            <v>0</v>
          </cell>
          <cell r="H15">
            <v>0</v>
          </cell>
        </row>
        <row r="16">
          <cell r="A16">
            <v>0</v>
          </cell>
          <cell r="B16">
            <v>0</v>
          </cell>
          <cell r="C16">
            <v>0</v>
          </cell>
          <cell r="D16">
            <v>0</v>
          </cell>
          <cell r="E16">
            <v>0</v>
          </cell>
          <cell r="F16">
            <v>0</v>
          </cell>
          <cell r="G16">
            <v>0</v>
          </cell>
          <cell r="H16">
            <v>0</v>
          </cell>
        </row>
        <row r="17">
          <cell r="A17">
            <v>0</v>
          </cell>
          <cell r="B17">
            <v>0</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v>0</v>
          </cell>
          <cell r="C19">
            <v>0</v>
          </cell>
          <cell r="D19">
            <v>0</v>
          </cell>
          <cell r="E19">
            <v>0</v>
          </cell>
          <cell r="F19">
            <v>0</v>
          </cell>
          <cell r="G19">
            <v>0</v>
          </cell>
          <cell r="H19">
            <v>0</v>
          </cell>
        </row>
        <row r="20">
          <cell r="A20">
            <v>0</v>
          </cell>
          <cell r="B20">
            <v>0</v>
          </cell>
          <cell r="C20">
            <v>0</v>
          </cell>
          <cell r="D20">
            <v>0</v>
          </cell>
          <cell r="E20">
            <v>0</v>
          </cell>
          <cell r="F20">
            <v>0</v>
          </cell>
          <cell r="G20">
            <v>0</v>
          </cell>
          <cell r="H20">
            <v>0</v>
          </cell>
        </row>
        <row r="21">
          <cell r="A21">
            <v>0</v>
          </cell>
          <cell r="B21">
            <v>0</v>
          </cell>
          <cell r="C21">
            <v>0</v>
          </cell>
          <cell r="D21">
            <v>0</v>
          </cell>
          <cell r="E21">
            <v>0</v>
          </cell>
          <cell r="F21">
            <v>0</v>
          </cell>
          <cell r="G21">
            <v>0</v>
          </cell>
          <cell r="H21">
            <v>0</v>
          </cell>
        </row>
        <row r="22">
          <cell r="A22">
            <v>0</v>
          </cell>
          <cell r="B22">
            <v>0</v>
          </cell>
          <cell r="C22">
            <v>0</v>
          </cell>
          <cell r="D22">
            <v>0</v>
          </cell>
          <cell r="E22">
            <v>0</v>
          </cell>
          <cell r="F22">
            <v>0</v>
          </cell>
          <cell r="G22">
            <v>0</v>
          </cell>
          <cell r="H22">
            <v>0</v>
          </cell>
        </row>
        <row r="23">
          <cell r="A23">
            <v>0</v>
          </cell>
          <cell r="B23">
            <v>0</v>
          </cell>
          <cell r="C23">
            <v>0</v>
          </cell>
          <cell r="D23">
            <v>0</v>
          </cell>
          <cell r="E23">
            <v>0</v>
          </cell>
          <cell r="F23">
            <v>0</v>
          </cell>
          <cell r="G23">
            <v>0</v>
          </cell>
          <cell r="H23">
            <v>0</v>
          </cell>
        </row>
      </sheetData>
      <sheetData sheetId="20">
        <row r="5">
          <cell r="C5" t="str">
            <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sheetData>
      <sheetData sheetId="21">
        <row r="6">
          <cell r="D6">
            <v>0</v>
          </cell>
        </row>
      </sheetData>
      <sheetData sheetId="22"/>
      <sheetData sheetId="23">
        <row r="5">
          <cell r="C5" t="str">
            <v/>
          </cell>
        </row>
        <row r="7">
          <cell r="A7" t="str">
            <v>Other Income</v>
          </cell>
        </row>
        <row r="8">
          <cell r="A8">
            <v>0</v>
          </cell>
        </row>
        <row r="9">
          <cell r="A9">
            <v>0</v>
          </cell>
        </row>
        <row r="10">
          <cell r="A10">
            <v>0</v>
          </cell>
        </row>
        <row r="11">
          <cell r="A11">
            <v>0</v>
          </cell>
        </row>
        <row r="12">
          <cell r="A12">
            <v>0</v>
          </cell>
        </row>
        <row r="13">
          <cell r="A13">
            <v>0</v>
          </cell>
        </row>
        <row r="14">
          <cell r="A14">
            <v>0</v>
          </cell>
        </row>
        <row r="22">
          <cell r="A22">
            <v>0</v>
          </cell>
        </row>
        <row r="23">
          <cell r="A23">
            <v>0</v>
          </cell>
        </row>
        <row r="24">
          <cell r="A24">
            <v>0</v>
          </cell>
        </row>
        <row r="25">
          <cell r="A25">
            <v>0</v>
          </cell>
        </row>
        <row r="26">
          <cell r="A26">
            <v>0</v>
          </cell>
        </row>
      </sheetData>
      <sheetData sheetId="24">
        <row r="5">
          <cell r="C5" t="str">
            <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sheetData>
      <sheetData sheetId="25">
        <row r="5">
          <cell r="D5" t="str">
            <v/>
          </cell>
        </row>
        <row r="7">
          <cell r="A7">
            <v>0</v>
          </cell>
        </row>
        <row r="8">
          <cell r="A8">
            <v>0</v>
          </cell>
        </row>
        <row r="9">
          <cell r="A9">
            <v>0</v>
          </cell>
        </row>
        <row r="10">
          <cell r="A10">
            <v>0</v>
          </cell>
        </row>
        <row r="11">
          <cell r="A11">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sheetData>
      <sheetData sheetId="26">
        <row r="5">
          <cell r="E5" t="str">
            <v/>
          </cell>
        </row>
        <row r="7">
          <cell r="B7" t="str">
            <v>Housing Management</v>
          </cell>
        </row>
        <row r="8">
          <cell r="B8" t="str">
            <v>Services</v>
          </cell>
        </row>
        <row r="9">
          <cell r="B9" t="str">
            <v>Support</v>
          </cell>
        </row>
        <row r="10">
          <cell r="B10" t="str">
            <v>Premises Expenses</v>
          </cell>
        </row>
        <row r="11">
          <cell r="B11">
            <v>0</v>
          </cell>
        </row>
        <row r="12">
          <cell r="B12">
            <v>0</v>
          </cell>
        </row>
        <row r="13">
          <cell r="B13">
            <v>0</v>
          </cell>
        </row>
        <row r="14">
          <cell r="B14" t="str">
            <v>Development Admin</v>
          </cell>
        </row>
        <row r="18">
          <cell r="D18" t="str">
            <v>Employee</v>
          </cell>
          <cell r="E18" t="str">
            <v>Premises</v>
          </cell>
          <cell r="F18" t="str">
            <v>Support Services</v>
          </cell>
          <cell r="G18" t="str">
            <v>Supplies &amp; Services</v>
          </cell>
          <cell r="H18" t="str">
            <v>Support Services</v>
          </cell>
          <cell r="I18" t="str">
            <v>Contingency</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sheetData>
      <sheetData sheetId="27">
        <row r="7">
          <cell r="D7">
            <v>0</v>
          </cell>
        </row>
      </sheetData>
      <sheetData sheetId="28">
        <row r="8">
          <cell r="A8" t="str">
            <v>Responsive</v>
          </cell>
        </row>
        <row r="9">
          <cell r="A9" t="str">
            <v>Cyclical</v>
          </cell>
        </row>
        <row r="10">
          <cell r="A10" t="str">
            <v>Planned Maintenance</v>
          </cell>
        </row>
        <row r="11">
          <cell r="A11" t="str">
            <v>Catch Up Repairs</v>
          </cell>
        </row>
        <row r="12">
          <cell r="A12">
            <v>0</v>
          </cell>
        </row>
        <row r="13">
          <cell r="A13">
            <v>0</v>
          </cell>
        </row>
        <row r="14">
          <cell r="A14">
            <v>0</v>
          </cell>
        </row>
        <row r="15">
          <cell r="A15">
            <v>0</v>
          </cell>
        </row>
        <row r="20">
          <cell r="A20" t="str">
            <v>Acquisitions</v>
          </cell>
          <cell r="C20">
            <v>7</v>
          </cell>
        </row>
        <row r="21">
          <cell r="A21">
            <v>0</v>
          </cell>
          <cell r="C21">
            <v>0</v>
          </cell>
        </row>
        <row r="22">
          <cell r="A22">
            <v>0</v>
          </cell>
          <cell r="C22">
            <v>0</v>
          </cell>
        </row>
        <row r="23">
          <cell r="A23">
            <v>0</v>
          </cell>
          <cell r="C23">
            <v>0</v>
          </cell>
        </row>
        <row r="24">
          <cell r="A24">
            <v>0</v>
          </cell>
          <cell r="C24">
            <v>0</v>
          </cell>
        </row>
        <row r="56">
          <cell r="D56" t="str">
            <v>Acq Responsive &amp; Cyclical</v>
          </cell>
          <cell r="E56">
            <v>0</v>
          </cell>
          <cell r="F56">
            <v>0</v>
          </cell>
          <cell r="G56">
            <v>0</v>
          </cell>
          <cell r="H56">
            <v>0</v>
          </cell>
          <cell r="I56">
            <v>0</v>
          </cell>
          <cell r="J56">
            <v>0</v>
          </cell>
          <cell r="K56">
            <v>0</v>
          </cell>
          <cell r="L56">
            <v>0</v>
          </cell>
        </row>
      </sheetData>
      <sheetData sheetId="29"/>
      <sheetData sheetId="30"/>
      <sheetData sheetId="31">
        <row r="6">
          <cell r="D6" t="str">
            <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sheetData>
      <sheetData sheetId="32"/>
      <sheetData sheetId="33">
        <row r="5">
          <cell r="B5" t="str">
            <v/>
          </cell>
        </row>
        <row r="17">
          <cell r="A17" t="str">
            <v>Capital Salaries</v>
          </cell>
        </row>
        <row r="18">
          <cell r="A18" t="str">
            <v>Capital Salaries</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sheetData>
      <sheetData sheetId="34"/>
      <sheetData sheetId="35">
        <row r="5">
          <cell r="D5" t="str">
            <v/>
          </cell>
        </row>
        <row r="7">
          <cell r="A7">
            <v>0</v>
          </cell>
        </row>
        <row r="8">
          <cell r="A8">
            <v>0</v>
          </cell>
        </row>
        <row r="9">
          <cell r="A9">
            <v>0</v>
          </cell>
        </row>
        <row r="10">
          <cell r="A10">
            <v>0</v>
          </cell>
        </row>
        <row r="11">
          <cell r="A11">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sheetData>
      <sheetData sheetId="36">
        <row r="11">
          <cell r="I11">
            <v>0</v>
          </cell>
        </row>
        <row r="14">
          <cell r="H14" t="str">
            <v>No</v>
          </cell>
        </row>
        <row r="15">
          <cell r="H15" t="str">
            <v>No</v>
          </cell>
        </row>
        <row r="27">
          <cell r="B27">
            <v>1</v>
          </cell>
        </row>
        <row r="46">
          <cell r="E46" t="str">
            <v>Gen Needs</v>
          </cell>
        </row>
        <row r="47">
          <cell r="E47" t="str">
            <v>LCHO</v>
          </cell>
        </row>
        <row r="48">
          <cell r="E48" t="str">
            <v>Non-social</v>
          </cell>
        </row>
        <row r="49">
          <cell r="E49" t="str">
            <v>Supported</v>
          </cell>
        </row>
        <row r="50">
          <cell r="E50" t="str">
            <v>Supported</v>
          </cell>
        </row>
        <row r="51">
          <cell r="E51" t="str">
            <v>Outright Sale</v>
          </cell>
        </row>
        <row r="52">
          <cell r="E52" t="str">
            <v>Gen Needs</v>
          </cell>
        </row>
        <row r="53">
          <cell r="E53" t="str">
            <v>LCHO</v>
          </cell>
        </row>
        <row r="54">
          <cell r="E54" t="str">
            <v>Non-social</v>
          </cell>
        </row>
      </sheetData>
      <sheetData sheetId="37">
        <row r="8">
          <cell r="A8">
            <v>0</v>
          </cell>
          <cell r="D8">
            <v>0</v>
          </cell>
        </row>
        <row r="9">
          <cell r="A9" t="str">
            <v>Between Towns Road</v>
          </cell>
          <cell r="D9" t="str">
            <v>Committed</v>
          </cell>
          <cell r="F9" t="str">
            <v>Yes</v>
          </cell>
        </row>
        <row r="10">
          <cell r="A10" t="str">
            <v>Bracegirdle</v>
          </cell>
          <cell r="D10" t="str">
            <v>Committed</v>
          </cell>
          <cell r="F10" t="str">
            <v>Yes</v>
          </cell>
        </row>
        <row r="11">
          <cell r="A11" t="str">
            <v>Edgecombe Road</v>
          </cell>
          <cell r="D11" t="str">
            <v>Committed</v>
          </cell>
          <cell r="F11" t="str">
            <v>Yes</v>
          </cell>
        </row>
        <row r="12">
          <cell r="A12" t="str">
            <v>Elsfield Cumberlege</v>
          </cell>
          <cell r="D12" t="str">
            <v>Committed</v>
          </cell>
          <cell r="F12" t="str">
            <v>Yes</v>
          </cell>
        </row>
        <row r="13">
          <cell r="A13" t="str">
            <v>Harts Close</v>
          </cell>
          <cell r="D13" t="str">
            <v>Committed</v>
          </cell>
          <cell r="F13" t="str">
            <v>Yes</v>
          </cell>
        </row>
        <row r="14">
          <cell r="A14" t="str">
            <v>Lucy Faithfull House</v>
          </cell>
          <cell r="D14" t="str">
            <v>Committed</v>
          </cell>
          <cell r="F14" t="str">
            <v>Yes</v>
          </cell>
        </row>
        <row r="15">
          <cell r="A15" t="str">
            <v>Rose Hill</v>
          </cell>
          <cell r="D15" t="str">
            <v>Committed</v>
          </cell>
          <cell r="F15" t="str">
            <v>Yes</v>
          </cell>
        </row>
        <row r="16">
          <cell r="A16" t="str">
            <v>Underhill Circus</v>
          </cell>
          <cell r="D16" t="str">
            <v>Committed</v>
          </cell>
          <cell r="F16" t="str">
            <v>Yes</v>
          </cell>
        </row>
        <row r="17">
          <cell r="A17" t="str">
            <v>Warren Crescent</v>
          </cell>
          <cell r="D17" t="str">
            <v>Committed</v>
          </cell>
          <cell r="F17" t="str">
            <v>Yes</v>
          </cell>
        </row>
        <row r="18">
          <cell r="A18" t="str">
            <v>2 Dynham Place</v>
          </cell>
          <cell r="D18" t="str">
            <v>Committed</v>
          </cell>
          <cell r="F18" t="str">
            <v>Yes</v>
          </cell>
        </row>
        <row r="19">
          <cell r="A19" t="str">
            <v>9 Pauling Road</v>
          </cell>
          <cell r="D19" t="str">
            <v>Committed</v>
          </cell>
          <cell r="F19" t="str">
            <v>Yes</v>
          </cell>
        </row>
        <row r="20">
          <cell r="A20" t="str">
            <v>15 Kempson Crescent</v>
          </cell>
          <cell r="D20" t="str">
            <v>Committed</v>
          </cell>
          <cell r="F20" t="str">
            <v>Yes</v>
          </cell>
        </row>
        <row r="21">
          <cell r="A21" t="str">
            <v>16 Sparsey Place</v>
          </cell>
          <cell r="D21" t="str">
            <v>Committed</v>
          </cell>
          <cell r="F21" t="str">
            <v>Yes</v>
          </cell>
        </row>
        <row r="22">
          <cell r="A22" t="str">
            <v>25 Westlands Drive</v>
          </cell>
          <cell r="D22" t="str">
            <v>Committed</v>
          </cell>
          <cell r="F22" t="str">
            <v>Yes</v>
          </cell>
        </row>
        <row r="23">
          <cell r="A23" t="str">
            <v>26 Valentia Road</v>
          </cell>
          <cell r="D23" t="str">
            <v>Committed</v>
          </cell>
          <cell r="F23" t="str">
            <v>Yes</v>
          </cell>
        </row>
        <row r="24">
          <cell r="A24" t="str">
            <v>32 Union Street</v>
          </cell>
          <cell r="D24" t="str">
            <v>Committed</v>
          </cell>
          <cell r="F24" t="str">
            <v>Yes</v>
          </cell>
        </row>
        <row r="25">
          <cell r="A25" t="str">
            <v>51 Weirs Lane</v>
          </cell>
          <cell r="D25" t="str">
            <v>Committed</v>
          </cell>
          <cell r="F25" t="str">
            <v>Yes</v>
          </cell>
        </row>
        <row r="26">
          <cell r="A26" t="str">
            <v>66 Sandy Lane</v>
          </cell>
          <cell r="D26" t="str">
            <v>Committed</v>
          </cell>
          <cell r="F26" t="str">
            <v>Yes</v>
          </cell>
        </row>
        <row r="27">
          <cell r="A27" t="str">
            <v>74 Foxwell Drive</v>
          </cell>
          <cell r="D27" t="str">
            <v>Committed</v>
          </cell>
          <cell r="F27" t="str">
            <v>Yes</v>
          </cell>
        </row>
        <row r="28">
          <cell r="A28" t="str">
            <v>Bertie Place</v>
          </cell>
          <cell r="D28" t="str">
            <v>Committed</v>
          </cell>
          <cell r="F28" t="str">
            <v>Yes</v>
          </cell>
        </row>
        <row r="29">
          <cell r="A29" t="str">
            <v>Goose Green</v>
          </cell>
          <cell r="D29" t="str">
            <v>Committed</v>
          </cell>
          <cell r="F29" t="str">
            <v>Yes</v>
          </cell>
        </row>
        <row r="30">
          <cell r="A30" t="str">
            <v>Hill View Farm</v>
          </cell>
          <cell r="D30" t="str">
            <v>Committed</v>
          </cell>
          <cell r="F30" t="str">
            <v>Yes</v>
          </cell>
        </row>
        <row r="31">
          <cell r="A31" t="str">
            <v>Redbridge</v>
          </cell>
          <cell r="D31" t="str">
            <v>Committed</v>
          </cell>
          <cell r="F31" t="str">
            <v>Yes</v>
          </cell>
        </row>
        <row r="32">
          <cell r="A32" t="str">
            <v>Westlands</v>
          </cell>
          <cell r="D32" t="str">
            <v>Committed</v>
          </cell>
          <cell r="F32" t="str">
            <v>Yes</v>
          </cell>
        </row>
        <row r="33">
          <cell r="A33" t="str">
            <v>Barton Regen Howards</v>
          </cell>
          <cell r="D33" t="str">
            <v>Committed</v>
          </cell>
          <cell r="F33" t="str">
            <v>Yes</v>
          </cell>
        </row>
        <row r="34">
          <cell r="A34" t="str">
            <v>Cowley Marsh Depot</v>
          </cell>
          <cell r="D34" t="str">
            <v>Committed</v>
          </cell>
          <cell r="F34" t="str">
            <v>Yes</v>
          </cell>
        </row>
        <row r="35">
          <cell r="A35" t="str">
            <v>Indoor Bowls Club</v>
          </cell>
          <cell r="D35" t="str">
            <v>Committed</v>
          </cell>
          <cell r="F35" t="str">
            <v>Yes</v>
          </cell>
        </row>
        <row r="36">
          <cell r="A36" t="str">
            <v>Northfields Hospital</v>
          </cell>
          <cell r="D36" t="str">
            <v>Committed</v>
          </cell>
          <cell r="F36" t="str">
            <v>Yes</v>
          </cell>
        </row>
        <row r="37">
          <cell r="A37" t="str">
            <v>Sandy Lane Rec Ground</v>
          </cell>
          <cell r="D37" t="str">
            <v>Committed</v>
          </cell>
          <cell r="F37" t="str">
            <v>Yes</v>
          </cell>
        </row>
        <row r="38">
          <cell r="A38" t="str">
            <v>Thompson Tucker Juniper</v>
          </cell>
          <cell r="D38" t="str">
            <v>Committed</v>
          </cell>
          <cell r="F38" t="str">
            <v>Yes</v>
          </cell>
        </row>
        <row r="39">
          <cell r="A39" t="str">
            <v>Alice Smith _ Eastern</v>
          </cell>
          <cell r="D39" t="str">
            <v>Committed</v>
          </cell>
          <cell r="F39" t="str">
            <v>Yes</v>
          </cell>
        </row>
        <row r="40">
          <cell r="A40" t="str">
            <v>Ruskin College</v>
          </cell>
          <cell r="D40" t="str">
            <v>Committed</v>
          </cell>
          <cell r="F40" t="str">
            <v>Yes</v>
          </cell>
        </row>
        <row r="41">
          <cell r="A41" t="str">
            <v>Union St Car Park</v>
          </cell>
          <cell r="D41" t="str">
            <v>Committed</v>
          </cell>
          <cell r="F41" t="str">
            <v>Yes</v>
          </cell>
        </row>
        <row r="42">
          <cell r="A42" t="str">
            <v>County Site - Sch 1</v>
          </cell>
          <cell r="D42" t="str">
            <v>Committed</v>
          </cell>
          <cell r="F42" t="str">
            <v>Yes</v>
          </cell>
        </row>
        <row r="43">
          <cell r="A43" t="str">
            <v>County Site - Sch 2</v>
          </cell>
          <cell r="D43" t="str">
            <v>Committed</v>
          </cell>
          <cell r="F43" t="str">
            <v>Yes</v>
          </cell>
        </row>
        <row r="44">
          <cell r="A44" t="str">
            <v>District Sites - Sch 1</v>
          </cell>
          <cell r="D44" t="str">
            <v>Committed</v>
          </cell>
          <cell r="F44" t="str">
            <v>Yes</v>
          </cell>
        </row>
        <row r="45">
          <cell r="A45" t="str">
            <v>District Sites - Sch 2</v>
          </cell>
          <cell r="D45" t="str">
            <v>Committed</v>
          </cell>
          <cell r="F45" t="str">
            <v>Yes</v>
          </cell>
        </row>
        <row r="46">
          <cell r="A46" t="str">
            <v>District Sites - Sch 3</v>
          </cell>
          <cell r="D46" t="str">
            <v>Committed</v>
          </cell>
          <cell r="F46" t="str">
            <v>Yes</v>
          </cell>
        </row>
        <row r="47">
          <cell r="A47" t="str">
            <v>District Sites - Sch 4</v>
          </cell>
          <cell r="D47" t="str">
            <v>Committed</v>
          </cell>
          <cell r="F47" t="str">
            <v>Yes</v>
          </cell>
        </row>
        <row r="48">
          <cell r="A48" t="str">
            <v>JV US - Scheme 1</v>
          </cell>
          <cell r="D48" t="str">
            <v>Committed</v>
          </cell>
          <cell r="F48" t="str">
            <v>Yes</v>
          </cell>
        </row>
        <row r="49">
          <cell r="A49" t="str">
            <v>JV US - Scheme 2</v>
          </cell>
          <cell r="D49" t="str">
            <v>Committed</v>
          </cell>
          <cell r="F49" t="str">
            <v>Yes</v>
          </cell>
        </row>
        <row r="50">
          <cell r="A50" t="str">
            <v>JV US - Scheme 3</v>
          </cell>
          <cell r="D50" t="str">
            <v>Committed</v>
          </cell>
          <cell r="F50" t="str">
            <v>Yes</v>
          </cell>
        </row>
        <row r="51">
          <cell r="A51" t="str">
            <v>JV US - Scheme 4</v>
          </cell>
          <cell r="D51" t="str">
            <v>Committed</v>
          </cell>
          <cell r="F51" t="str">
            <v>Yes</v>
          </cell>
        </row>
        <row r="52">
          <cell r="A52" t="str">
            <v>NHS Slade Site</v>
          </cell>
          <cell r="D52" t="str">
            <v>Committed</v>
          </cell>
          <cell r="F52" t="str">
            <v>Yes</v>
          </cell>
        </row>
        <row r="53">
          <cell r="A53" t="str">
            <v>Barton phase 1</v>
          </cell>
          <cell r="D53" t="str">
            <v>Committed</v>
          </cell>
          <cell r="F53" t="str">
            <v>Yes</v>
          </cell>
        </row>
        <row r="54">
          <cell r="A54" t="str">
            <v>Barton phase 2</v>
          </cell>
          <cell r="D54" t="str">
            <v>Committed</v>
          </cell>
          <cell r="F54" t="str">
            <v>Yes</v>
          </cell>
        </row>
      </sheetData>
      <sheetData sheetId="38">
        <row r="10">
          <cell r="B10">
            <v>0</v>
          </cell>
          <cell r="C10">
            <v>0</v>
          </cell>
        </row>
        <row r="11">
          <cell r="A11">
            <v>0</v>
          </cell>
        </row>
      </sheetData>
      <sheetData sheetId="39">
        <row r="9">
          <cell r="A9" t="str">
            <v>All</v>
          </cell>
        </row>
        <row r="11">
          <cell r="A11">
            <v>0</v>
          </cell>
        </row>
        <row r="12">
          <cell r="A12">
            <v>0</v>
          </cell>
        </row>
        <row r="13">
          <cell r="A13" t="str">
            <v>2018/19 HRA Acq</v>
          </cell>
        </row>
        <row r="14">
          <cell r="A14" t="str">
            <v>2019/20 HRA Acq</v>
          </cell>
        </row>
        <row r="15">
          <cell r="A15" t="str">
            <v>2020/21 HRA Acq</v>
          </cell>
        </row>
        <row r="16">
          <cell r="A16">
            <v>0</v>
          </cell>
        </row>
        <row r="17">
          <cell r="A17">
            <v>0</v>
          </cell>
        </row>
        <row r="18">
          <cell r="A18">
            <v>0</v>
          </cell>
        </row>
        <row r="19">
          <cell r="A19" t="str">
            <v>Unidentified</v>
          </cell>
        </row>
      </sheetData>
      <sheetData sheetId="40">
        <row r="11">
          <cell r="G11">
            <v>0</v>
          </cell>
          <cell r="H11">
            <v>0</v>
          </cell>
          <cell r="I11" t="str">
            <v>GN purchases</v>
          </cell>
          <cell r="J11" t="str">
            <v>GN purchases</v>
          </cell>
          <cell r="K11" t="str">
            <v>GN purchases</v>
          </cell>
          <cell r="L11">
            <v>0</v>
          </cell>
          <cell r="M11">
            <v>0</v>
          </cell>
          <cell r="N11">
            <v>0</v>
          </cell>
          <cell r="O11">
            <v>0</v>
          </cell>
          <cell r="P11">
            <v>0</v>
          </cell>
          <cell r="Q11">
            <v>0</v>
          </cell>
          <cell r="R11">
            <v>0</v>
          </cell>
          <cell r="S11">
            <v>0</v>
          </cell>
          <cell r="T11">
            <v>0</v>
          </cell>
          <cell r="U11">
            <v>0</v>
          </cell>
        </row>
        <row r="14">
          <cell r="G14" t="str">
            <v>Yes</v>
          </cell>
          <cell r="H14" t="str">
            <v>Yes</v>
          </cell>
          <cell r="I14" t="str">
            <v>Yes</v>
          </cell>
          <cell r="J14" t="str">
            <v>No</v>
          </cell>
          <cell r="K14" t="str">
            <v>No</v>
          </cell>
          <cell r="L14" t="str">
            <v>Yes</v>
          </cell>
          <cell r="M14" t="str">
            <v>Yes</v>
          </cell>
          <cell r="N14" t="str">
            <v>Yes</v>
          </cell>
          <cell r="O14" t="str">
            <v>Yes</v>
          </cell>
          <cell r="P14" t="str">
            <v>Yes</v>
          </cell>
          <cell r="Q14">
            <v>0</v>
          </cell>
          <cell r="R14" t="str">
            <v>Yes</v>
          </cell>
          <cell r="S14" t="str">
            <v>Yes</v>
          </cell>
          <cell r="T14" t="str">
            <v>Yes</v>
          </cell>
          <cell r="U14">
            <v>0</v>
          </cell>
        </row>
        <row r="15">
          <cell r="G15" t="str">
            <v>All</v>
          </cell>
          <cell r="H15" t="str">
            <v>All</v>
          </cell>
          <cell r="I15" t="str">
            <v>All</v>
          </cell>
          <cell r="J15" t="str">
            <v>All</v>
          </cell>
          <cell r="K15" t="str">
            <v>All</v>
          </cell>
          <cell r="L15" t="str">
            <v>All</v>
          </cell>
          <cell r="M15" t="str">
            <v>All</v>
          </cell>
          <cell r="N15" t="str">
            <v>All</v>
          </cell>
          <cell r="O15" t="str">
            <v>All</v>
          </cell>
          <cell r="P15" t="str">
            <v>All</v>
          </cell>
          <cell r="Q15">
            <v>0</v>
          </cell>
          <cell r="R15" t="str">
            <v>All</v>
          </cell>
          <cell r="S15" t="str">
            <v>All</v>
          </cell>
          <cell r="T15" t="str">
            <v>All</v>
          </cell>
          <cell r="U15">
            <v>0</v>
          </cell>
        </row>
        <row r="16">
          <cell r="G16" t="str">
            <v>Unidentified</v>
          </cell>
          <cell r="H16" t="str">
            <v>Unidentified</v>
          </cell>
          <cell r="I16" t="str">
            <v>2018/19 HRA Acq</v>
          </cell>
          <cell r="J16" t="str">
            <v>2019/20 HRA Acq</v>
          </cell>
          <cell r="K16" t="str">
            <v>2020/21 HRA Acq</v>
          </cell>
          <cell r="L16" t="str">
            <v>Unidentified</v>
          </cell>
          <cell r="M16" t="str">
            <v>Unidentified</v>
          </cell>
          <cell r="N16" t="str">
            <v>Unidentified</v>
          </cell>
          <cell r="O16" t="str">
            <v>Unidentified</v>
          </cell>
          <cell r="P16" t="str">
            <v>Unidentified</v>
          </cell>
          <cell r="Q16">
            <v>0</v>
          </cell>
          <cell r="R16" t="str">
            <v>Unidentified</v>
          </cell>
          <cell r="S16" t="str">
            <v>Unidentified</v>
          </cell>
          <cell r="T16" t="str">
            <v>Unidentified</v>
          </cell>
          <cell r="U16">
            <v>0</v>
          </cell>
        </row>
        <row r="19">
          <cell r="G19">
            <v>0</v>
          </cell>
          <cell r="H19">
            <v>0</v>
          </cell>
          <cell r="I19" t="str">
            <v>No</v>
          </cell>
          <cell r="J19" t="str">
            <v>No</v>
          </cell>
          <cell r="K19" t="str">
            <v>No</v>
          </cell>
          <cell r="L19">
            <v>0</v>
          </cell>
          <cell r="M19">
            <v>0</v>
          </cell>
          <cell r="N19">
            <v>0</v>
          </cell>
          <cell r="O19">
            <v>0</v>
          </cell>
          <cell r="P19">
            <v>0</v>
          </cell>
          <cell r="Q19">
            <v>0</v>
          </cell>
          <cell r="R19">
            <v>0</v>
          </cell>
          <cell r="S19">
            <v>0</v>
          </cell>
          <cell r="T19">
            <v>0</v>
          </cell>
          <cell r="U19">
            <v>0</v>
          </cell>
        </row>
        <row r="20">
          <cell r="G20">
            <v>0</v>
          </cell>
          <cell r="H20">
            <v>0</v>
          </cell>
          <cell r="I20" t="str">
            <v>No</v>
          </cell>
          <cell r="J20" t="str">
            <v>No</v>
          </cell>
          <cell r="K20" t="str">
            <v>No</v>
          </cell>
          <cell r="L20">
            <v>0</v>
          </cell>
          <cell r="M20">
            <v>0</v>
          </cell>
          <cell r="N20">
            <v>0</v>
          </cell>
          <cell r="O20">
            <v>0</v>
          </cell>
          <cell r="P20">
            <v>0</v>
          </cell>
          <cell r="Q20">
            <v>0</v>
          </cell>
          <cell r="R20">
            <v>0</v>
          </cell>
          <cell r="S20">
            <v>0</v>
          </cell>
          <cell r="T20">
            <v>0</v>
          </cell>
          <cell r="U20">
            <v>0</v>
          </cell>
        </row>
        <row r="21">
          <cell r="G21">
            <v>0</v>
          </cell>
          <cell r="H21">
            <v>0</v>
          </cell>
          <cell r="I21" t="str">
            <v>General Needs</v>
          </cell>
          <cell r="J21" t="str">
            <v>General Needs</v>
          </cell>
          <cell r="K21" t="str">
            <v>General Needs</v>
          </cell>
          <cell r="L21">
            <v>0</v>
          </cell>
          <cell r="M21">
            <v>0</v>
          </cell>
          <cell r="N21">
            <v>0</v>
          </cell>
          <cell r="O21">
            <v>0</v>
          </cell>
          <cell r="P21">
            <v>0</v>
          </cell>
          <cell r="Q21">
            <v>0</v>
          </cell>
          <cell r="R21">
            <v>0</v>
          </cell>
          <cell r="S21">
            <v>0</v>
          </cell>
          <cell r="T21">
            <v>0</v>
          </cell>
          <cell r="U21">
            <v>0</v>
          </cell>
        </row>
        <row r="22">
          <cell r="G22">
            <v>0</v>
          </cell>
          <cell r="H22">
            <v>0</v>
          </cell>
          <cell r="I22" t="str">
            <v>Committed</v>
          </cell>
          <cell r="J22" t="str">
            <v>Committed</v>
          </cell>
          <cell r="K22" t="str">
            <v>Committed</v>
          </cell>
          <cell r="L22">
            <v>0</v>
          </cell>
          <cell r="M22">
            <v>0</v>
          </cell>
          <cell r="N22">
            <v>0</v>
          </cell>
          <cell r="O22">
            <v>0</v>
          </cell>
          <cell r="P22">
            <v>0</v>
          </cell>
          <cell r="Q22">
            <v>0</v>
          </cell>
          <cell r="R22">
            <v>0</v>
          </cell>
          <cell r="S22">
            <v>0</v>
          </cell>
          <cell r="T22">
            <v>0</v>
          </cell>
          <cell r="U22">
            <v>0</v>
          </cell>
        </row>
        <row r="26">
          <cell r="G26" t="str">
            <v/>
          </cell>
          <cell r="H26" t="str">
            <v/>
          </cell>
          <cell r="I26" t="str">
            <v>Social Housing</v>
          </cell>
          <cell r="J26" t="str">
            <v>Social Housing</v>
          </cell>
          <cell r="K26" t="str">
            <v>Social Housing</v>
          </cell>
          <cell r="L26" t="str">
            <v/>
          </cell>
          <cell r="M26" t="str">
            <v/>
          </cell>
          <cell r="N26" t="str">
            <v/>
          </cell>
          <cell r="O26" t="str">
            <v/>
          </cell>
          <cell r="P26" t="str">
            <v/>
          </cell>
          <cell r="Q26">
            <v>0</v>
          </cell>
          <cell r="R26" t="str">
            <v/>
          </cell>
          <cell r="S26" t="str">
            <v/>
          </cell>
          <cell r="T26" t="str">
            <v/>
          </cell>
          <cell r="U26">
            <v>0</v>
          </cell>
        </row>
        <row r="27">
          <cell r="G27" t="str">
            <v>All</v>
          </cell>
          <cell r="H27" t="str">
            <v>All</v>
          </cell>
          <cell r="I27" t="str">
            <v>AllSocial Housing</v>
          </cell>
          <cell r="J27" t="str">
            <v>AllSocial Housing</v>
          </cell>
          <cell r="K27" t="str">
            <v>AllSocial Housing</v>
          </cell>
          <cell r="L27" t="str">
            <v>All</v>
          </cell>
          <cell r="M27" t="str">
            <v>All</v>
          </cell>
          <cell r="N27" t="str">
            <v>All</v>
          </cell>
          <cell r="O27" t="str">
            <v>All</v>
          </cell>
          <cell r="P27" t="str">
            <v>All</v>
          </cell>
          <cell r="Q27">
            <v>0</v>
          </cell>
          <cell r="R27" t="str">
            <v>All</v>
          </cell>
          <cell r="S27" t="str">
            <v>All</v>
          </cell>
          <cell r="T27" t="str">
            <v>All</v>
          </cell>
          <cell r="U27">
            <v>0</v>
          </cell>
        </row>
        <row r="41">
          <cell r="G41">
            <v>43556</v>
          </cell>
          <cell r="H41">
            <v>43556</v>
          </cell>
          <cell r="I41">
            <v>43556</v>
          </cell>
          <cell r="J41">
            <v>43862</v>
          </cell>
          <cell r="K41">
            <v>44228</v>
          </cell>
          <cell r="L41">
            <v>43556</v>
          </cell>
          <cell r="M41">
            <v>43556</v>
          </cell>
          <cell r="N41">
            <v>43556</v>
          </cell>
          <cell r="O41">
            <v>43556</v>
          </cell>
          <cell r="P41">
            <v>43556</v>
          </cell>
          <cell r="Q41">
            <v>0</v>
          </cell>
          <cell r="R41">
            <v>45383</v>
          </cell>
          <cell r="S41">
            <v>45383</v>
          </cell>
          <cell r="T41">
            <v>45383</v>
          </cell>
          <cell r="U41">
            <v>0</v>
          </cell>
        </row>
        <row r="42">
          <cell r="G42">
            <v>43556</v>
          </cell>
          <cell r="H42">
            <v>43556</v>
          </cell>
          <cell r="I42">
            <v>43556</v>
          </cell>
          <cell r="J42">
            <v>43862</v>
          </cell>
          <cell r="K42">
            <v>44228</v>
          </cell>
          <cell r="L42">
            <v>43556</v>
          </cell>
          <cell r="M42">
            <v>43556</v>
          </cell>
          <cell r="N42">
            <v>43556</v>
          </cell>
          <cell r="O42">
            <v>43556</v>
          </cell>
          <cell r="P42">
            <v>43556</v>
          </cell>
          <cell r="Q42">
            <v>0</v>
          </cell>
          <cell r="R42">
            <v>45383</v>
          </cell>
          <cell r="S42">
            <v>45383</v>
          </cell>
          <cell r="T42">
            <v>45383</v>
          </cell>
          <cell r="U42">
            <v>0</v>
          </cell>
        </row>
        <row r="43">
          <cell r="G43">
            <v>43556</v>
          </cell>
          <cell r="H43">
            <v>43556</v>
          </cell>
          <cell r="I43">
            <v>43556</v>
          </cell>
          <cell r="J43">
            <v>43862</v>
          </cell>
          <cell r="K43">
            <v>44228</v>
          </cell>
          <cell r="L43">
            <v>43556</v>
          </cell>
          <cell r="M43">
            <v>43556</v>
          </cell>
          <cell r="N43">
            <v>43556</v>
          </cell>
          <cell r="O43">
            <v>43556</v>
          </cell>
          <cell r="P43">
            <v>43556</v>
          </cell>
          <cell r="Q43">
            <v>0</v>
          </cell>
          <cell r="R43">
            <v>45383</v>
          </cell>
          <cell r="S43">
            <v>45383</v>
          </cell>
          <cell r="T43">
            <v>45383</v>
          </cell>
          <cell r="U43">
            <v>0</v>
          </cell>
        </row>
        <row r="44">
          <cell r="G44">
            <v>43556</v>
          </cell>
          <cell r="H44">
            <v>43556</v>
          </cell>
          <cell r="I44">
            <v>43556</v>
          </cell>
          <cell r="J44">
            <v>43862</v>
          </cell>
          <cell r="K44">
            <v>44228</v>
          </cell>
          <cell r="L44">
            <v>43556</v>
          </cell>
          <cell r="M44">
            <v>43556</v>
          </cell>
          <cell r="N44">
            <v>43556</v>
          </cell>
          <cell r="O44">
            <v>43556</v>
          </cell>
          <cell r="P44">
            <v>43556</v>
          </cell>
          <cell r="Q44">
            <v>0</v>
          </cell>
          <cell r="R44">
            <v>45383</v>
          </cell>
          <cell r="S44">
            <v>45383</v>
          </cell>
          <cell r="T44">
            <v>45383</v>
          </cell>
          <cell r="U44">
            <v>0</v>
          </cell>
        </row>
        <row r="45">
          <cell r="G45">
            <v>43556</v>
          </cell>
          <cell r="H45">
            <v>43556</v>
          </cell>
          <cell r="I45">
            <v>43556</v>
          </cell>
          <cell r="J45">
            <v>43890</v>
          </cell>
          <cell r="K45">
            <v>44255</v>
          </cell>
          <cell r="L45">
            <v>43556</v>
          </cell>
          <cell r="M45">
            <v>43556</v>
          </cell>
          <cell r="N45">
            <v>43556</v>
          </cell>
          <cell r="O45">
            <v>43556</v>
          </cell>
          <cell r="P45">
            <v>43556</v>
          </cell>
          <cell r="Q45">
            <v>0</v>
          </cell>
          <cell r="R45">
            <v>45383</v>
          </cell>
          <cell r="S45">
            <v>45383</v>
          </cell>
          <cell r="T45">
            <v>45383</v>
          </cell>
          <cell r="U45">
            <v>0</v>
          </cell>
        </row>
        <row r="46">
          <cell r="G46">
            <v>43556</v>
          </cell>
          <cell r="H46">
            <v>43556</v>
          </cell>
          <cell r="I46">
            <v>43556</v>
          </cell>
          <cell r="J46">
            <v>43890</v>
          </cell>
          <cell r="K46">
            <v>44255</v>
          </cell>
          <cell r="L46">
            <v>43556</v>
          </cell>
          <cell r="M46">
            <v>43556</v>
          </cell>
          <cell r="N46">
            <v>43556</v>
          </cell>
          <cell r="O46">
            <v>43556</v>
          </cell>
          <cell r="P46">
            <v>43556</v>
          </cell>
          <cell r="Q46">
            <v>0</v>
          </cell>
          <cell r="R46">
            <v>45747</v>
          </cell>
          <cell r="S46">
            <v>45747</v>
          </cell>
          <cell r="T46">
            <v>45747</v>
          </cell>
          <cell r="U46">
            <v>0</v>
          </cell>
        </row>
        <row r="47">
          <cell r="G47">
            <v>43556</v>
          </cell>
          <cell r="H47">
            <v>43556</v>
          </cell>
          <cell r="I47">
            <v>43556</v>
          </cell>
          <cell r="J47">
            <v>43862</v>
          </cell>
          <cell r="K47">
            <v>44228</v>
          </cell>
          <cell r="L47">
            <v>43556</v>
          </cell>
          <cell r="M47">
            <v>43556</v>
          </cell>
          <cell r="N47">
            <v>43556</v>
          </cell>
          <cell r="O47">
            <v>43556</v>
          </cell>
          <cell r="P47">
            <v>43556</v>
          </cell>
          <cell r="Q47">
            <v>0</v>
          </cell>
          <cell r="R47">
            <v>45383</v>
          </cell>
          <cell r="S47">
            <v>45383</v>
          </cell>
          <cell r="T47">
            <v>45383</v>
          </cell>
          <cell r="U47">
            <v>0</v>
          </cell>
        </row>
        <row r="48">
          <cell r="G48">
            <v>43556</v>
          </cell>
          <cell r="H48">
            <v>43556</v>
          </cell>
          <cell r="I48">
            <v>43556</v>
          </cell>
          <cell r="J48">
            <v>43862</v>
          </cell>
          <cell r="K48">
            <v>44228</v>
          </cell>
          <cell r="L48">
            <v>43556</v>
          </cell>
          <cell r="M48">
            <v>43556</v>
          </cell>
          <cell r="N48">
            <v>43556</v>
          </cell>
          <cell r="O48">
            <v>43556</v>
          </cell>
          <cell r="P48">
            <v>43556</v>
          </cell>
          <cell r="Q48">
            <v>0</v>
          </cell>
          <cell r="R48">
            <v>45383</v>
          </cell>
          <cell r="S48">
            <v>45383</v>
          </cell>
          <cell r="T48">
            <v>45383</v>
          </cell>
          <cell r="U48">
            <v>0</v>
          </cell>
        </row>
        <row r="50">
          <cell r="G50">
            <v>1</v>
          </cell>
          <cell r="H50">
            <v>1</v>
          </cell>
          <cell r="I50">
            <v>1</v>
          </cell>
          <cell r="J50">
            <v>1</v>
          </cell>
          <cell r="K50">
            <v>2</v>
          </cell>
          <cell r="L50">
            <v>1</v>
          </cell>
          <cell r="M50">
            <v>1</v>
          </cell>
          <cell r="N50">
            <v>1</v>
          </cell>
          <cell r="O50">
            <v>1</v>
          </cell>
          <cell r="P50">
            <v>1</v>
          </cell>
          <cell r="Q50">
            <v>0</v>
          </cell>
          <cell r="R50">
            <v>6</v>
          </cell>
          <cell r="S50">
            <v>6</v>
          </cell>
          <cell r="T50">
            <v>6</v>
          </cell>
          <cell r="U50">
            <v>0</v>
          </cell>
        </row>
        <row r="51">
          <cell r="G51">
            <v>1</v>
          </cell>
          <cell r="H51">
            <v>1</v>
          </cell>
          <cell r="I51">
            <v>1</v>
          </cell>
          <cell r="J51">
            <v>1</v>
          </cell>
          <cell r="K51">
            <v>2</v>
          </cell>
          <cell r="L51">
            <v>1</v>
          </cell>
          <cell r="M51">
            <v>1</v>
          </cell>
          <cell r="N51">
            <v>1</v>
          </cell>
          <cell r="O51">
            <v>1</v>
          </cell>
          <cell r="P51">
            <v>1</v>
          </cell>
          <cell r="Q51">
            <v>0</v>
          </cell>
          <cell r="R51">
            <v>6</v>
          </cell>
          <cell r="S51">
            <v>6</v>
          </cell>
          <cell r="T51">
            <v>6</v>
          </cell>
          <cell r="U51">
            <v>0</v>
          </cell>
        </row>
        <row r="52">
          <cell r="G52">
            <v>1</v>
          </cell>
          <cell r="H52">
            <v>1</v>
          </cell>
          <cell r="I52">
            <v>1</v>
          </cell>
          <cell r="J52">
            <v>1</v>
          </cell>
          <cell r="K52">
            <v>2</v>
          </cell>
          <cell r="L52">
            <v>1</v>
          </cell>
          <cell r="M52">
            <v>1</v>
          </cell>
          <cell r="N52">
            <v>1</v>
          </cell>
          <cell r="O52">
            <v>1</v>
          </cell>
          <cell r="P52">
            <v>1</v>
          </cell>
          <cell r="Q52">
            <v>0</v>
          </cell>
          <cell r="R52">
            <v>6</v>
          </cell>
          <cell r="S52">
            <v>6</v>
          </cell>
          <cell r="T52">
            <v>6</v>
          </cell>
          <cell r="U52">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G64" t="b">
            <v>1</v>
          </cell>
          <cell r="H64" t="b">
            <v>1</v>
          </cell>
          <cell r="I64" t="b">
            <v>1</v>
          </cell>
          <cell r="J64" t="b">
            <v>1</v>
          </cell>
          <cell r="K64" t="b">
            <v>1</v>
          </cell>
          <cell r="L64" t="b">
            <v>1</v>
          </cell>
          <cell r="M64" t="b">
            <v>1</v>
          </cell>
          <cell r="N64" t="b">
            <v>1</v>
          </cell>
          <cell r="O64" t="b">
            <v>1</v>
          </cell>
          <cell r="P64" t="b">
            <v>1</v>
          </cell>
          <cell r="Q64">
            <v>0</v>
          </cell>
          <cell r="R64" t="b">
            <v>1</v>
          </cell>
          <cell r="S64" t="b">
            <v>1</v>
          </cell>
          <cell r="T64" t="b">
            <v>1</v>
          </cell>
          <cell r="U64">
            <v>0</v>
          </cell>
        </row>
        <row r="69">
          <cell r="G69" t="str">
            <v/>
          </cell>
          <cell r="H69" t="str">
            <v/>
          </cell>
          <cell r="I69" t="str">
            <v/>
          </cell>
          <cell r="J69" t="str">
            <v/>
          </cell>
          <cell r="K69" t="str">
            <v/>
          </cell>
          <cell r="L69" t="str">
            <v/>
          </cell>
          <cell r="M69" t="str">
            <v/>
          </cell>
          <cell r="N69" t="str">
            <v/>
          </cell>
          <cell r="O69" t="str">
            <v/>
          </cell>
          <cell r="P69" t="str">
            <v/>
          </cell>
          <cell r="Q69">
            <v>0</v>
          </cell>
          <cell r="R69" t="str">
            <v/>
          </cell>
          <cell r="S69" t="str">
            <v/>
          </cell>
          <cell r="T69" t="str">
            <v/>
          </cell>
          <cell r="U69">
            <v>0</v>
          </cell>
        </row>
        <row r="74">
          <cell r="G74" t="str">
            <v/>
          </cell>
          <cell r="H74" t="str">
            <v/>
          </cell>
          <cell r="I74" t="str">
            <v/>
          </cell>
          <cell r="J74" t="str">
            <v/>
          </cell>
          <cell r="K74" t="str">
            <v/>
          </cell>
          <cell r="L74" t="str">
            <v/>
          </cell>
          <cell r="M74" t="str">
            <v/>
          </cell>
          <cell r="N74" t="str">
            <v/>
          </cell>
          <cell r="O74" t="str">
            <v/>
          </cell>
          <cell r="P74" t="str">
            <v/>
          </cell>
          <cell r="Q74">
            <v>0</v>
          </cell>
          <cell r="R74" t="str">
            <v/>
          </cell>
          <cell r="S74" t="str">
            <v/>
          </cell>
          <cell r="T74" t="str">
            <v/>
          </cell>
          <cell r="U74">
            <v>0</v>
          </cell>
        </row>
        <row r="75">
          <cell r="G75" t="str">
            <v/>
          </cell>
          <cell r="H75" t="str">
            <v/>
          </cell>
          <cell r="I75" t="str">
            <v/>
          </cell>
          <cell r="J75" t="str">
            <v/>
          </cell>
          <cell r="K75" t="str">
            <v/>
          </cell>
          <cell r="L75" t="str">
            <v/>
          </cell>
          <cell r="M75" t="str">
            <v/>
          </cell>
          <cell r="N75" t="str">
            <v/>
          </cell>
          <cell r="O75" t="str">
            <v/>
          </cell>
          <cell r="P75" t="str">
            <v/>
          </cell>
          <cell r="Q75">
            <v>0</v>
          </cell>
          <cell r="R75" t="str">
            <v/>
          </cell>
          <cell r="S75" t="str">
            <v/>
          </cell>
          <cell r="T75" t="str">
            <v/>
          </cell>
          <cell r="U75">
            <v>0</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82">
          <cell r="G82">
            <v>0</v>
          </cell>
          <cell r="H82">
            <v>0</v>
          </cell>
          <cell r="I82">
            <v>3</v>
          </cell>
          <cell r="J82">
            <v>5</v>
          </cell>
          <cell r="K82">
            <v>5</v>
          </cell>
          <cell r="L82">
            <v>0</v>
          </cell>
          <cell r="M82">
            <v>0</v>
          </cell>
          <cell r="N82">
            <v>0</v>
          </cell>
          <cell r="O82">
            <v>0</v>
          </cell>
          <cell r="P82">
            <v>0</v>
          </cell>
          <cell r="Q82">
            <v>0</v>
          </cell>
          <cell r="R82">
            <v>0</v>
          </cell>
          <cell r="S82">
            <v>0</v>
          </cell>
          <cell r="T82">
            <v>0</v>
          </cell>
          <cell r="U82">
            <v>0</v>
          </cell>
        </row>
        <row r="83">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G84">
            <v>0</v>
          </cell>
          <cell r="H84">
            <v>0</v>
          </cell>
          <cell r="I84">
            <v>3</v>
          </cell>
          <cell r="J84">
            <v>0</v>
          </cell>
          <cell r="K84">
            <v>0</v>
          </cell>
          <cell r="L84">
            <v>0</v>
          </cell>
          <cell r="M84">
            <v>0</v>
          </cell>
          <cell r="N84">
            <v>0</v>
          </cell>
          <cell r="O84">
            <v>0</v>
          </cell>
          <cell r="P84">
            <v>0</v>
          </cell>
          <cell r="Q84">
            <v>0</v>
          </cell>
          <cell r="R84">
            <v>0</v>
          </cell>
          <cell r="S84">
            <v>0</v>
          </cell>
          <cell r="T84">
            <v>0</v>
          </cell>
          <cell r="U84">
            <v>0</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100">
          <cell r="G100">
            <v>0</v>
          </cell>
          <cell r="H100">
            <v>0</v>
          </cell>
          <cell r="I100" t="str">
            <v>Straight line</v>
          </cell>
          <cell r="J100" t="str">
            <v>Straight line</v>
          </cell>
          <cell r="K100" t="str">
            <v>Straight line</v>
          </cell>
          <cell r="L100">
            <v>0</v>
          </cell>
          <cell r="M100">
            <v>0</v>
          </cell>
          <cell r="N100">
            <v>0</v>
          </cell>
          <cell r="O100">
            <v>0</v>
          </cell>
          <cell r="P100">
            <v>0</v>
          </cell>
          <cell r="Q100">
            <v>0</v>
          </cell>
          <cell r="R100" t="str">
            <v>Straight line</v>
          </cell>
          <cell r="S100" t="str">
            <v>Straight line</v>
          </cell>
          <cell r="T100" t="str">
            <v>Straight line</v>
          </cell>
          <cell r="U100">
            <v>0</v>
          </cell>
        </row>
        <row r="103">
          <cell r="G103">
            <v>0</v>
          </cell>
          <cell r="H103">
            <v>0</v>
          </cell>
          <cell r="I103" t="str">
            <v>Total Scheme Cost</v>
          </cell>
          <cell r="J103" t="str">
            <v>Total Scheme Cost</v>
          </cell>
          <cell r="K103" t="str">
            <v>Total Scheme Cost</v>
          </cell>
          <cell r="L103">
            <v>0</v>
          </cell>
          <cell r="M103">
            <v>0</v>
          </cell>
          <cell r="N103">
            <v>0</v>
          </cell>
          <cell r="O103">
            <v>0</v>
          </cell>
          <cell r="P103">
            <v>0</v>
          </cell>
          <cell r="Q103">
            <v>0</v>
          </cell>
          <cell r="R103">
            <v>0</v>
          </cell>
          <cell r="S103">
            <v>0</v>
          </cell>
          <cell r="T103">
            <v>0</v>
          </cell>
          <cell r="U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G105">
            <v>0</v>
          </cell>
          <cell r="H105">
            <v>0</v>
          </cell>
          <cell r="I105">
            <v>477500</v>
          </cell>
          <cell r="J105">
            <v>909724</v>
          </cell>
          <cell r="K105">
            <v>973405</v>
          </cell>
          <cell r="L105">
            <v>0</v>
          </cell>
          <cell r="M105">
            <v>0</v>
          </cell>
          <cell r="N105">
            <v>0</v>
          </cell>
          <cell r="O105">
            <v>0</v>
          </cell>
          <cell r="P105">
            <v>0</v>
          </cell>
          <cell r="Q105">
            <v>0</v>
          </cell>
          <cell r="R105">
            <v>0</v>
          </cell>
          <cell r="S105">
            <v>0</v>
          </cell>
          <cell r="T105">
            <v>0</v>
          </cell>
          <cell r="U105">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1">
          <cell r="G111">
            <v>0</v>
          </cell>
          <cell r="H111">
            <v>0</v>
          </cell>
          <cell r="I111" t="str">
            <v>No</v>
          </cell>
          <cell r="J111" t="str">
            <v>No</v>
          </cell>
          <cell r="K111" t="str">
            <v>No</v>
          </cell>
          <cell r="L111">
            <v>0</v>
          </cell>
          <cell r="M111">
            <v>0</v>
          </cell>
          <cell r="N111">
            <v>0</v>
          </cell>
          <cell r="O111">
            <v>0</v>
          </cell>
          <cell r="P111">
            <v>0</v>
          </cell>
          <cell r="Q111">
            <v>0</v>
          </cell>
          <cell r="R111">
            <v>0</v>
          </cell>
          <cell r="S111">
            <v>0</v>
          </cell>
          <cell r="T111">
            <v>0</v>
          </cell>
          <cell r="U111">
            <v>0</v>
          </cell>
        </row>
        <row r="114">
          <cell r="G114">
            <v>0</v>
          </cell>
          <cell r="H114">
            <v>0</v>
          </cell>
          <cell r="I114">
            <v>0</v>
          </cell>
          <cell r="J114">
            <v>0</v>
          </cell>
          <cell r="K114">
            <v>0</v>
          </cell>
          <cell r="L114">
            <v>0</v>
          </cell>
          <cell r="M114">
            <v>0</v>
          </cell>
          <cell r="N114">
            <v>0</v>
          </cell>
          <cell r="O114">
            <v>0</v>
          </cell>
          <cell r="P114">
            <v>0</v>
          </cell>
          <cell r="Q114">
            <v>0</v>
          </cell>
          <cell r="R114" t="str">
            <v>Straight line</v>
          </cell>
          <cell r="S114" t="str">
            <v>Straight line</v>
          </cell>
          <cell r="T114" t="str">
            <v>Straight line</v>
          </cell>
          <cell r="U114">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G134" t="str">
            <v>Per unit</v>
          </cell>
          <cell r="H134" t="str">
            <v>Per unit</v>
          </cell>
          <cell r="I134" t="str">
            <v>Per unit</v>
          </cell>
          <cell r="J134" t="str">
            <v>Per unit</v>
          </cell>
          <cell r="K134" t="str">
            <v>Per unit</v>
          </cell>
          <cell r="L134" t="str">
            <v>Per unit</v>
          </cell>
          <cell r="M134" t="str">
            <v>Per unit</v>
          </cell>
          <cell r="N134" t="str">
            <v>Per unit</v>
          </cell>
          <cell r="O134" t="str">
            <v>Per unit</v>
          </cell>
          <cell r="P134" t="str">
            <v>Per unit</v>
          </cell>
          <cell r="Q134">
            <v>0</v>
          </cell>
          <cell r="R134" t="str">
            <v>Per unit</v>
          </cell>
          <cell r="S134" t="str">
            <v>Per unit</v>
          </cell>
          <cell r="T134" t="str">
            <v>Per unit</v>
          </cell>
          <cell r="U134">
            <v>0</v>
          </cell>
        </row>
        <row r="135">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G144">
            <v>0</v>
          </cell>
          <cell r="H144">
            <v>0</v>
          </cell>
          <cell r="I144">
            <v>-477500</v>
          </cell>
          <cell r="J144">
            <v>0</v>
          </cell>
          <cell r="K144">
            <v>0</v>
          </cell>
          <cell r="L144">
            <v>0</v>
          </cell>
          <cell r="M144">
            <v>0</v>
          </cell>
          <cell r="N144">
            <v>0</v>
          </cell>
          <cell r="O144">
            <v>0</v>
          </cell>
          <cell r="P144">
            <v>0</v>
          </cell>
          <cell r="Q144">
            <v>0</v>
          </cell>
          <cell r="R144">
            <v>0</v>
          </cell>
          <cell r="S144">
            <v>0</v>
          </cell>
          <cell r="T144">
            <v>0</v>
          </cell>
          <cell r="U144">
            <v>0</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8">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row>
        <row r="163">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4">
          <cell r="G174">
            <v>0</v>
          </cell>
          <cell r="H174">
            <v>0</v>
          </cell>
          <cell r="I174">
            <v>205.34</v>
          </cell>
          <cell r="J174">
            <v>250.81797800000001</v>
          </cell>
          <cell r="K174">
            <v>250.81797800000001</v>
          </cell>
          <cell r="L174">
            <v>0</v>
          </cell>
          <cell r="M174">
            <v>0</v>
          </cell>
          <cell r="N174">
            <v>0</v>
          </cell>
          <cell r="O174">
            <v>0</v>
          </cell>
          <cell r="P174">
            <v>0</v>
          </cell>
          <cell r="Q174">
            <v>0</v>
          </cell>
          <cell r="R174">
            <v>0</v>
          </cell>
          <cell r="S174">
            <v>0</v>
          </cell>
          <cell r="T174">
            <v>0</v>
          </cell>
          <cell r="U174">
            <v>0</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212">
          <cell r="D212" t="str">
            <v>I&amp;E</v>
          </cell>
        </row>
        <row r="214">
          <cell r="G214" t="str">
            <v>Cost</v>
          </cell>
          <cell r="H214" t="str">
            <v>Cost</v>
          </cell>
          <cell r="I214" t="str">
            <v>Cost</v>
          </cell>
          <cell r="J214" t="str">
            <v>Cost</v>
          </cell>
          <cell r="K214" t="str">
            <v>Cost</v>
          </cell>
          <cell r="L214" t="str">
            <v>Cost</v>
          </cell>
          <cell r="M214" t="str">
            <v>Cost</v>
          </cell>
          <cell r="N214" t="str">
            <v>Cost</v>
          </cell>
          <cell r="O214" t="str">
            <v>Cost</v>
          </cell>
          <cell r="P214" t="str">
            <v>Cost</v>
          </cell>
          <cell r="Q214">
            <v>0</v>
          </cell>
          <cell r="R214" t="str">
            <v>Cost</v>
          </cell>
          <cell r="S214" t="str">
            <v>Cost</v>
          </cell>
          <cell r="T214" t="str">
            <v>Cost</v>
          </cell>
          <cell r="U214">
            <v>0</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G220" t="str">
            <v>Cost</v>
          </cell>
          <cell r="H220" t="str">
            <v>Cost</v>
          </cell>
          <cell r="I220" t="str">
            <v>Cost</v>
          </cell>
          <cell r="J220" t="str">
            <v>Cost</v>
          </cell>
          <cell r="K220" t="str">
            <v>Cost</v>
          </cell>
          <cell r="L220" t="str">
            <v>Cost</v>
          </cell>
          <cell r="M220" t="str">
            <v>Cost</v>
          </cell>
          <cell r="N220" t="str">
            <v>Cost</v>
          </cell>
          <cell r="O220" t="str">
            <v>Cost</v>
          </cell>
          <cell r="P220" t="str">
            <v>Cost</v>
          </cell>
          <cell r="Q220">
            <v>0</v>
          </cell>
          <cell r="R220" t="str">
            <v>Cost</v>
          </cell>
          <cell r="S220" t="str">
            <v>Cost</v>
          </cell>
          <cell r="T220" t="str">
            <v>Cost</v>
          </cell>
          <cell r="U220">
            <v>0</v>
          </cell>
        </row>
        <row r="221">
          <cell r="G221" t="str">
            <v>Cost</v>
          </cell>
          <cell r="H221" t="str">
            <v>Cost</v>
          </cell>
          <cell r="I221" t="str">
            <v>Cost</v>
          </cell>
          <cell r="J221" t="str">
            <v>Cost</v>
          </cell>
          <cell r="K221" t="str">
            <v>Cost</v>
          </cell>
          <cell r="L221" t="str">
            <v>Cost</v>
          </cell>
          <cell r="M221" t="str">
            <v>Cost</v>
          </cell>
          <cell r="N221" t="str">
            <v>Cost</v>
          </cell>
          <cell r="O221" t="str">
            <v>Cost</v>
          </cell>
          <cell r="P221" t="str">
            <v>Cost</v>
          </cell>
          <cell r="Q221">
            <v>0</v>
          </cell>
          <cell r="R221" t="str">
            <v>Cost</v>
          </cell>
          <cell r="S221" t="str">
            <v>Cost</v>
          </cell>
          <cell r="T221" t="str">
            <v>Cost</v>
          </cell>
          <cell r="U221">
            <v>0</v>
          </cell>
        </row>
        <row r="223">
          <cell r="G223" t="str">
            <v>Housing Property</v>
          </cell>
          <cell r="H223" t="str">
            <v>Housing Property</v>
          </cell>
          <cell r="I223" t="str">
            <v>Housing Property</v>
          </cell>
          <cell r="J223" t="str">
            <v>Housing Property</v>
          </cell>
          <cell r="K223" t="str">
            <v>Housing Property</v>
          </cell>
          <cell r="L223" t="str">
            <v>Housing Property</v>
          </cell>
          <cell r="M223" t="str">
            <v>Housing Property</v>
          </cell>
          <cell r="N223" t="str">
            <v>Housing Property</v>
          </cell>
          <cell r="O223" t="str">
            <v>Housing Property</v>
          </cell>
          <cell r="P223" t="str">
            <v>Housing Property</v>
          </cell>
          <cell r="Q223">
            <v>0</v>
          </cell>
          <cell r="R223" t="str">
            <v>Housing Property</v>
          </cell>
          <cell r="S223" t="str">
            <v>Housing Property</v>
          </cell>
          <cell r="T223" t="str">
            <v>Housing Property</v>
          </cell>
          <cell r="U223">
            <v>0</v>
          </cell>
        </row>
        <row r="224">
          <cell r="G224" t="str">
            <v>Housing PropertyAll</v>
          </cell>
          <cell r="H224" t="str">
            <v>Housing PropertyAll</v>
          </cell>
          <cell r="I224" t="str">
            <v>Housing PropertyAll</v>
          </cell>
          <cell r="J224" t="str">
            <v>Housing PropertyAll</v>
          </cell>
          <cell r="K224" t="str">
            <v>Housing PropertyAll</v>
          </cell>
          <cell r="L224" t="str">
            <v>Housing PropertyAll</v>
          </cell>
          <cell r="M224" t="str">
            <v>Housing PropertyAll</v>
          </cell>
          <cell r="N224" t="str">
            <v>Housing PropertyAll</v>
          </cell>
          <cell r="O224" t="str">
            <v>Housing PropertyAll</v>
          </cell>
          <cell r="P224" t="str">
            <v>Housing PropertyAll</v>
          </cell>
          <cell r="Q224">
            <v>0</v>
          </cell>
          <cell r="R224" t="str">
            <v>Housing PropertyAll</v>
          </cell>
          <cell r="S224" t="str">
            <v>Housing PropertyAll</v>
          </cell>
          <cell r="T224" t="str">
            <v>Housing PropertyAll</v>
          </cell>
          <cell r="U224">
            <v>0</v>
          </cell>
        </row>
        <row r="226">
          <cell r="G226" t="str">
            <v>CostHousing Property</v>
          </cell>
          <cell r="H226" t="str">
            <v>CostHousing Property</v>
          </cell>
          <cell r="I226" t="str">
            <v>CostHousing Property</v>
          </cell>
          <cell r="J226" t="str">
            <v>CostHousing Property</v>
          </cell>
          <cell r="K226" t="str">
            <v>CostHousing Property</v>
          </cell>
          <cell r="L226" t="str">
            <v>CostHousing Property</v>
          </cell>
          <cell r="M226" t="str">
            <v>CostHousing Property</v>
          </cell>
          <cell r="N226" t="str">
            <v>CostHousing Property</v>
          </cell>
          <cell r="O226" t="str">
            <v>CostHousing Property</v>
          </cell>
          <cell r="P226" t="str">
            <v>CostHousing Property</v>
          </cell>
          <cell r="Q226">
            <v>0</v>
          </cell>
          <cell r="R226" t="str">
            <v>CostHousing Property</v>
          </cell>
          <cell r="S226" t="str">
            <v>CostHousing Property</v>
          </cell>
          <cell r="T226" t="str">
            <v>CostHousing Property</v>
          </cell>
          <cell r="U226">
            <v>0</v>
          </cell>
        </row>
        <row r="232">
          <cell r="G232">
            <v>1</v>
          </cell>
          <cell r="H232">
            <v>0.25</v>
          </cell>
          <cell r="I232">
            <v>0.25</v>
          </cell>
          <cell r="J232">
            <v>0.25</v>
          </cell>
          <cell r="K232">
            <v>0.25</v>
          </cell>
          <cell r="L232">
            <v>0</v>
          </cell>
          <cell r="M232">
            <v>0</v>
          </cell>
          <cell r="N232">
            <v>0</v>
          </cell>
          <cell r="O232">
            <v>0</v>
          </cell>
          <cell r="P232">
            <v>0</v>
          </cell>
          <cell r="Q232">
            <v>0</v>
          </cell>
          <cell r="R232">
            <v>0</v>
          </cell>
          <cell r="S232">
            <v>0</v>
          </cell>
          <cell r="T232">
            <v>0</v>
          </cell>
          <cell r="U232">
            <v>0</v>
          </cell>
        </row>
        <row r="261">
          <cell r="G261" t="str">
            <v>No</v>
          </cell>
          <cell r="H261" t="str">
            <v>No</v>
          </cell>
          <cell r="I261" t="str">
            <v>No</v>
          </cell>
          <cell r="J261" t="str">
            <v>No</v>
          </cell>
          <cell r="K261" t="str">
            <v>No</v>
          </cell>
          <cell r="L261">
            <v>0</v>
          </cell>
          <cell r="M261">
            <v>0</v>
          </cell>
          <cell r="N261">
            <v>0</v>
          </cell>
          <cell r="O261">
            <v>0</v>
          </cell>
          <cell r="P261">
            <v>0</v>
          </cell>
          <cell r="Q261">
            <v>0</v>
          </cell>
          <cell r="R261">
            <v>0</v>
          </cell>
          <cell r="S261">
            <v>0</v>
          </cell>
          <cell r="T261">
            <v>0</v>
          </cell>
          <cell r="U261">
            <v>0</v>
          </cell>
        </row>
      </sheetData>
      <sheetData sheetId="41"/>
      <sheetData sheetId="42">
        <row r="5">
          <cell r="B5" t="str">
            <v/>
          </cell>
        </row>
        <row r="16">
          <cell r="A16" t="str">
            <v>Capital Salaries and SLA's</v>
          </cell>
        </row>
        <row r="17">
          <cell r="A17" t="str">
            <v>Capital Salaries and SLA's</v>
          </cell>
        </row>
        <row r="18">
          <cell r="A18">
            <v>0</v>
          </cell>
        </row>
        <row r="19">
          <cell r="A19">
            <v>0</v>
          </cell>
        </row>
        <row r="20">
          <cell r="A20">
            <v>0</v>
          </cell>
        </row>
        <row r="21">
          <cell r="A21">
            <v>0</v>
          </cell>
        </row>
        <row r="22">
          <cell r="A22">
            <v>0</v>
          </cell>
        </row>
        <row r="23">
          <cell r="A23">
            <v>0</v>
          </cell>
        </row>
        <row r="24">
          <cell r="A24">
            <v>0</v>
          </cell>
        </row>
        <row r="25">
          <cell r="A25">
            <v>0</v>
          </cell>
        </row>
      </sheetData>
      <sheetData sheetId="43">
        <row r="5">
          <cell r="D5" t="str">
            <v/>
          </cell>
        </row>
        <row r="10">
          <cell r="A10">
            <v>2</v>
          </cell>
        </row>
        <row r="11">
          <cell r="A11">
            <v>0</v>
          </cell>
        </row>
        <row r="12">
          <cell r="A12">
            <v>0</v>
          </cell>
        </row>
        <row r="13">
          <cell r="A13">
            <v>0</v>
          </cell>
        </row>
        <row r="14">
          <cell r="A14">
            <v>0</v>
          </cell>
        </row>
        <row r="20">
          <cell r="A20">
            <v>2</v>
          </cell>
        </row>
        <row r="21">
          <cell r="A21">
            <v>0</v>
          </cell>
        </row>
        <row r="22">
          <cell r="A22">
            <v>0</v>
          </cell>
        </row>
        <row r="23">
          <cell r="A23">
            <v>0</v>
          </cell>
        </row>
        <row r="24">
          <cell r="A24">
            <v>0</v>
          </cell>
        </row>
        <row r="32">
          <cell r="A32">
            <v>2</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9">
          <cell r="A69">
            <v>2</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16">
          <cell r="A116">
            <v>2</v>
          </cell>
        </row>
        <row r="117">
          <cell r="A117">
            <v>0</v>
          </cell>
        </row>
        <row r="118">
          <cell r="A118">
            <v>0</v>
          </cell>
        </row>
        <row r="119">
          <cell r="A119">
            <v>0</v>
          </cell>
        </row>
        <row r="120">
          <cell r="A120">
            <v>0</v>
          </cell>
        </row>
        <row r="127">
          <cell r="A127">
            <v>2</v>
          </cell>
        </row>
        <row r="128">
          <cell r="A128">
            <v>0</v>
          </cell>
        </row>
        <row r="129">
          <cell r="A129">
            <v>0</v>
          </cell>
        </row>
        <row r="130">
          <cell r="A130">
            <v>0</v>
          </cell>
        </row>
        <row r="131">
          <cell r="A131">
            <v>0</v>
          </cell>
        </row>
        <row r="138">
          <cell r="A138">
            <v>2</v>
          </cell>
        </row>
        <row r="139">
          <cell r="A139">
            <v>0</v>
          </cell>
        </row>
        <row r="140">
          <cell r="A140">
            <v>0</v>
          </cell>
        </row>
        <row r="141">
          <cell r="A141">
            <v>0</v>
          </cell>
        </row>
        <row r="148">
          <cell r="A148">
            <v>2</v>
          </cell>
        </row>
        <row r="149">
          <cell r="A149">
            <v>0</v>
          </cell>
        </row>
        <row r="150">
          <cell r="A150">
            <v>0</v>
          </cell>
        </row>
        <row r="151">
          <cell r="A151">
            <v>0</v>
          </cell>
        </row>
        <row r="152">
          <cell r="A152">
            <v>0</v>
          </cell>
        </row>
        <row r="158">
          <cell r="A158">
            <v>2</v>
          </cell>
        </row>
        <row r="159">
          <cell r="A159">
            <v>0</v>
          </cell>
        </row>
        <row r="160">
          <cell r="A160">
            <v>0</v>
          </cell>
        </row>
        <row r="161">
          <cell r="A161">
            <v>0</v>
          </cell>
        </row>
        <row r="162">
          <cell r="A162">
            <v>0</v>
          </cell>
        </row>
        <row r="169">
          <cell r="A169">
            <v>2</v>
          </cell>
        </row>
        <row r="170">
          <cell r="A170">
            <v>0</v>
          </cell>
        </row>
        <row r="171">
          <cell r="A171">
            <v>0</v>
          </cell>
        </row>
        <row r="172">
          <cell r="A172">
            <v>0</v>
          </cell>
        </row>
        <row r="173">
          <cell r="A173">
            <v>0</v>
          </cell>
        </row>
        <row r="180">
          <cell r="A180">
            <v>2</v>
          </cell>
        </row>
        <row r="181">
          <cell r="A181">
            <v>0</v>
          </cell>
        </row>
        <row r="182">
          <cell r="A182">
            <v>0</v>
          </cell>
        </row>
        <row r="183">
          <cell r="A183">
            <v>0</v>
          </cell>
        </row>
        <row r="184">
          <cell r="A184">
            <v>0</v>
          </cell>
        </row>
        <row r="190">
          <cell r="A190">
            <v>2</v>
          </cell>
        </row>
        <row r="191">
          <cell r="A191">
            <v>0</v>
          </cell>
        </row>
        <row r="192">
          <cell r="A192">
            <v>0</v>
          </cell>
        </row>
        <row r="193">
          <cell r="A193">
            <v>0</v>
          </cell>
        </row>
        <row r="202">
          <cell r="A202">
            <v>2</v>
          </cell>
        </row>
        <row r="203">
          <cell r="A203">
            <v>0</v>
          </cell>
        </row>
        <row r="204">
          <cell r="A204">
            <v>0</v>
          </cell>
        </row>
        <row r="205">
          <cell r="A205">
            <v>0</v>
          </cell>
        </row>
        <row r="206">
          <cell r="A206">
            <v>0</v>
          </cell>
        </row>
        <row r="213">
          <cell r="A213">
            <v>2</v>
          </cell>
        </row>
        <row r="214">
          <cell r="A214">
            <v>0</v>
          </cell>
        </row>
        <row r="215">
          <cell r="A215">
            <v>0</v>
          </cell>
        </row>
        <row r="216">
          <cell r="A216">
            <v>0</v>
          </cell>
        </row>
        <row r="217">
          <cell r="A217">
            <v>0</v>
          </cell>
        </row>
        <row r="224">
          <cell r="A224">
            <v>2</v>
          </cell>
        </row>
        <row r="225">
          <cell r="A225">
            <v>0</v>
          </cell>
        </row>
        <row r="226">
          <cell r="A226">
            <v>0</v>
          </cell>
        </row>
        <row r="227">
          <cell r="A227">
            <v>0</v>
          </cell>
        </row>
        <row r="228">
          <cell r="A228">
            <v>0</v>
          </cell>
        </row>
        <row r="235">
          <cell r="A235">
            <v>2</v>
          </cell>
        </row>
        <row r="236">
          <cell r="A236">
            <v>0</v>
          </cell>
        </row>
        <row r="237">
          <cell r="A237">
            <v>0</v>
          </cell>
        </row>
        <row r="238">
          <cell r="A238">
            <v>0</v>
          </cell>
        </row>
        <row r="239">
          <cell r="A239">
            <v>0</v>
          </cell>
        </row>
        <row r="246">
          <cell r="A246">
            <v>2</v>
          </cell>
        </row>
        <row r="247">
          <cell r="A247">
            <v>0</v>
          </cell>
        </row>
        <row r="248">
          <cell r="A248">
            <v>0</v>
          </cell>
        </row>
        <row r="249">
          <cell r="A249">
            <v>0</v>
          </cell>
        </row>
        <row r="250">
          <cell r="A250">
            <v>0</v>
          </cell>
        </row>
        <row r="257">
          <cell r="A257">
            <v>2</v>
          </cell>
        </row>
        <row r="258">
          <cell r="A258">
            <v>0</v>
          </cell>
        </row>
        <row r="259">
          <cell r="A259">
            <v>0</v>
          </cell>
        </row>
        <row r="260">
          <cell r="A260">
            <v>0</v>
          </cell>
        </row>
        <row r="261">
          <cell r="A261">
            <v>0</v>
          </cell>
        </row>
        <row r="269">
          <cell r="A269">
            <v>2</v>
          </cell>
        </row>
        <row r="270">
          <cell r="A270">
            <v>0</v>
          </cell>
        </row>
        <row r="271">
          <cell r="A271">
            <v>0</v>
          </cell>
        </row>
        <row r="272">
          <cell r="A272">
            <v>0</v>
          </cell>
        </row>
        <row r="273">
          <cell r="A273">
            <v>0</v>
          </cell>
        </row>
      </sheetData>
      <sheetData sheetId="44">
        <row r="13">
          <cell r="E13">
            <v>0</v>
          </cell>
          <cell r="G13">
            <v>0</v>
          </cell>
        </row>
        <row r="14">
          <cell r="G14">
            <v>0</v>
          </cell>
        </row>
        <row r="15">
          <cell r="G15">
            <v>0</v>
          </cell>
        </row>
        <row r="16">
          <cell r="G16">
            <v>0</v>
          </cell>
        </row>
        <row r="17">
          <cell r="G17">
            <v>0</v>
          </cell>
        </row>
        <row r="18">
          <cell r="G18">
            <v>0</v>
          </cell>
        </row>
        <row r="19">
          <cell r="G19">
            <v>0</v>
          </cell>
        </row>
        <row r="20">
          <cell r="G20">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6">
          <cell r="B36" t="str">
            <v>All</v>
          </cell>
          <cell r="D36" t="str">
            <v>All</v>
          </cell>
        </row>
        <row r="37">
          <cell r="B37" t="str">
            <v>Council</v>
          </cell>
          <cell r="D37" t="str">
            <v>Council</v>
          </cell>
        </row>
        <row r="38">
          <cell r="B38">
            <v>0</v>
          </cell>
          <cell r="D38">
            <v>0</v>
          </cell>
        </row>
        <row r="39">
          <cell r="B39">
            <v>0</v>
          </cell>
          <cell r="D39">
            <v>0</v>
          </cell>
        </row>
        <row r="40">
          <cell r="B40">
            <v>0</v>
          </cell>
          <cell r="D40">
            <v>0</v>
          </cell>
        </row>
        <row r="41">
          <cell r="B41">
            <v>0</v>
          </cell>
          <cell r="D41">
            <v>0</v>
          </cell>
        </row>
        <row r="42">
          <cell r="B42">
            <v>0</v>
          </cell>
          <cell r="D42">
            <v>0</v>
          </cell>
        </row>
        <row r="43">
          <cell r="B43">
            <v>0</v>
          </cell>
          <cell r="D43">
            <v>0</v>
          </cell>
        </row>
        <row r="56">
          <cell r="B56">
            <v>43191</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t="str">
            <v>Buffer row do not delete</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Buffer row do not delete</v>
          </cell>
        </row>
        <row r="85">
          <cell r="B85">
            <v>0</v>
          </cell>
        </row>
        <row r="86">
          <cell r="B86">
            <v>0</v>
          </cell>
        </row>
        <row r="87">
          <cell r="B87">
            <v>0</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Buffer row do not delete</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row>
        <row r="139">
          <cell r="E139">
            <v>62184</v>
          </cell>
          <cell r="F139" t="str">
            <v/>
          </cell>
          <cell r="G139" t="str">
            <v/>
          </cell>
          <cell r="H139" t="str">
            <v/>
          </cell>
          <cell r="I139" t="str">
            <v/>
          </cell>
          <cell r="J139" t="str">
            <v/>
          </cell>
          <cell r="K139" t="str">
            <v/>
          </cell>
          <cell r="L139" t="str">
            <v/>
          </cell>
          <cell r="M139" t="str">
            <v/>
          </cell>
          <cell r="N139" t="str">
            <v/>
          </cell>
          <cell r="O139">
            <v>62184</v>
          </cell>
          <cell r="P139" t="str">
            <v/>
          </cell>
          <cell r="Q139" t="str">
            <v/>
          </cell>
          <cell r="R139" t="str">
            <v/>
          </cell>
        </row>
        <row r="145">
          <cell r="B145">
            <v>43556</v>
          </cell>
        </row>
        <row r="146">
          <cell r="B146">
            <v>0</v>
          </cell>
        </row>
        <row r="147">
          <cell r="B147">
            <v>0</v>
          </cell>
        </row>
        <row r="148">
          <cell r="B148">
            <v>0</v>
          </cell>
        </row>
        <row r="149">
          <cell r="B149">
            <v>0</v>
          </cell>
        </row>
        <row r="150">
          <cell r="B150">
            <v>0</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8">
          <cell r="B158">
            <v>43556</v>
          </cell>
        </row>
        <row r="159">
          <cell r="B159">
            <v>0</v>
          </cell>
        </row>
        <row r="160">
          <cell r="B160">
            <v>0</v>
          </cell>
        </row>
        <row r="161">
          <cell r="B161">
            <v>0</v>
          </cell>
        </row>
        <row r="162">
          <cell r="B162">
            <v>0</v>
          </cell>
        </row>
        <row r="163">
          <cell r="B163">
            <v>0</v>
          </cell>
        </row>
        <row r="168">
          <cell r="B168">
            <v>43556</v>
          </cell>
        </row>
        <row r="169">
          <cell r="B169">
            <v>0</v>
          </cell>
        </row>
        <row r="170">
          <cell r="B170">
            <v>0</v>
          </cell>
        </row>
        <row r="171">
          <cell r="B171">
            <v>0</v>
          </cell>
        </row>
        <row r="172">
          <cell r="B172">
            <v>0</v>
          </cell>
        </row>
        <row r="176">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row>
        <row r="187">
          <cell r="B187">
            <v>0</v>
          </cell>
        </row>
        <row r="188">
          <cell r="B188">
            <v>0</v>
          </cell>
        </row>
        <row r="189">
          <cell r="B189">
            <v>0</v>
          </cell>
        </row>
        <row r="190">
          <cell r="B190">
            <v>0</v>
          </cell>
        </row>
        <row r="191">
          <cell r="B191">
            <v>0</v>
          </cell>
        </row>
        <row r="215">
          <cell r="B215">
            <v>43556</v>
          </cell>
        </row>
        <row r="216">
          <cell r="B216">
            <v>45017</v>
          </cell>
        </row>
        <row r="217">
          <cell r="B217">
            <v>46844</v>
          </cell>
        </row>
        <row r="218">
          <cell r="B218">
            <v>48670</v>
          </cell>
        </row>
        <row r="219">
          <cell r="B219">
            <v>50496</v>
          </cell>
        </row>
        <row r="220">
          <cell r="B220">
            <v>52322</v>
          </cell>
        </row>
        <row r="221">
          <cell r="B221">
            <v>54149</v>
          </cell>
        </row>
        <row r="222">
          <cell r="B222">
            <v>55975</v>
          </cell>
        </row>
        <row r="223">
          <cell r="B223">
            <v>57801</v>
          </cell>
        </row>
        <row r="224">
          <cell r="B224">
            <v>0</v>
          </cell>
        </row>
        <row r="225">
          <cell r="B225">
            <v>0</v>
          </cell>
        </row>
        <row r="230">
          <cell r="B230">
            <v>43556</v>
          </cell>
        </row>
        <row r="231">
          <cell r="B231">
            <v>0</v>
          </cell>
        </row>
        <row r="232">
          <cell r="B232">
            <v>0</v>
          </cell>
        </row>
        <row r="233">
          <cell r="B233">
            <v>0</v>
          </cell>
        </row>
        <row r="234">
          <cell r="B234">
            <v>0</v>
          </cell>
        </row>
        <row r="235">
          <cell r="B235">
            <v>0</v>
          </cell>
        </row>
        <row r="239">
          <cell r="B239">
            <v>43556</v>
          </cell>
        </row>
        <row r="240">
          <cell r="B240">
            <v>0</v>
          </cell>
        </row>
        <row r="241">
          <cell r="B241">
            <v>0</v>
          </cell>
        </row>
        <row r="242">
          <cell r="B242">
            <v>0</v>
          </cell>
        </row>
        <row r="243">
          <cell r="B243">
            <v>0</v>
          </cell>
        </row>
        <row r="244">
          <cell r="B244">
            <v>0</v>
          </cell>
        </row>
        <row r="250">
          <cell r="B250">
            <v>46844</v>
          </cell>
        </row>
        <row r="251">
          <cell r="B251">
            <v>50496</v>
          </cell>
        </row>
        <row r="252">
          <cell r="B252">
            <v>54149</v>
          </cell>
        </row>
        <row r="253">
          <cell r="B253">
            <v>57801</v>
          </cell>
        </row>
        <row r="254">
          <cell r="B254">
            <v>0</v>
          </cell>
        </row>
        <row r="255">
          <cell r="B255">
            <v>0</v>
          </cell>
        </row>
        <row r="258">
          <cell r="B258">
            <v>0</v>
          </cell>
        </row>
        <row r="259">
          <cell r="B259">
            <v>0</v>
          </cell>
        </row>
        <row r="260">
          <cell r="B260">
            <v>0</v>
          </cell>
        </row>
        <row r="261">
          <cell r="B261">
            <v>0</v>
          </cell>
        </row>
        <row r="265">
          <cell r="B265">
            <v>0</v>
          </cell>
        </row>
        <row r="266">
          <cell r="B266">
            <v>0</v>
          </cell>
        </row>
        <row r="267">
          <cell r="B267">
            <v>0</v>
          </cell>
        </row>
        <row r="268">
          <cell r="B268">
            <v>0</v>
          </cell>
        </row>
        <row r="271">
          <cell r="B271">
            <v>43556</v>
          </cell>
        </row>
        <row r="272">
          <cell r="B272">
            <v>43922</v>
          </cell>
        </row>
        <row r="273">
          <cell r="B273">
            <v>44287</v>
          </cell>
        </row>
        <row r="274">
          <cell r="B274">
            <v>44652</v>
          </cell>
        </row>
        <row r="275">
          <cell r="B275">
            <v>45017</v>
          </cell>
        </row>
        <row r="276">
          <cell r="B276">
            <v>45383</v>
          </cell>
        </row>
        <row r="277">
          <cell r="B277">
            <v>45748</v>
          </cell>
        </row>
        <row r="278">
          <cell r="B278">
            <v>46113</v>
          </cell>
        </row>
        <row r="279">
          <cell r="B279">
            <v>46478</v>
          </cell>
        </row>
        <row r="280">
          <cell r="B280">
            <v>46844</v>
          </cell>
        </row>
        <row r="281">
          <cell r="B281">
            <v>47209</v>
          </cell>
        </row>
        <row r="282">
          <cell r="B282">
            <v>47574</v>
          </cell>
        </row>
        <row r="283">
          <cell r="B283">
            <v>47939</v>
          </cell>
        </row>
        <row r="284">
          <cell r="B284">
            <v>48305</v>
          </cell>
        </row>
        <row r="285">
          <cell r="B285">
            <v>48670</v>
          </cell>
        </row>
        <row r="286">
          <cell r="B286">
            <v>49035</v>
          </cell>
        </row>
        <row r="287">
          <cell r="B287">
            <v>49400</v>
          </cell>
        </row>
        <row r="288">
          <cell r="B288">
            <v>49766</v>
          </cell>
        </row>
        <row r="289">
          <cell r="B289">
            <v>50131</v>
          </cell>
        </row>
        <row r="290">
          <cell r="B290">
            <v>50496</v>
          </cell>
        </row>
        <row r="291">
          <cell r="B291">
            <v>50861</v>
          </cell>
        </row>
        <row r="292">
          <cell r="B292">
            <v>51227</v>
          </cell>
        </row>
        <row r="293">
          <cell r="B293">
            <v>51592</v>
          </cell>
        </row>
        <row r="294">
          <cell r="B294">
            <v>51957</v>
          </cell>
        </row>
        <row r="295">
          <cell r="B295">
            <v>52322</v>
          </cell>
        </row>
        <row r="296">
          <cell r="B296">
            <v>52688</v>
          </cell>
        </row>
        <row r="297">
          <cell r="B297">
            <v>53053</v>
          </cell>
        </row>
        <row r="298">
          <cell r="B298">
            <v>53418</v>
          </cell>
        </row>
        <row r="299">
          <cell r="B299">
            <v>53783</v>
          </cell>
        </row>
        <row r="300">
          <cell r="B300">
            <v>54149</v>
          </cell>
        </row>
        <row r="301">
          <cell r="B301">
            <v>54514</v>
          </cell>
        </row>
        <row r="302">
          <cell r="B302">
            <v>54879</v>
          </cell>
        </row>
        <row r="303">
          <cell r="B303">
            <v>55244</v>
          </cell>
        </row>
        <row r="304">
          <cell r="B304">
            <v>55610</v>
          </cell>
        </row>
        <row r="305">
          <cell r="B305">
            <v>55975</v>
          </cell>
        </row>
        <row r="306">
          <cell r="B306">
            <v>56340</v>
          </cell>
        </row>
        <row r="307">
          <cell r="B307">
            <v>56705</v>
          </cell>
        </row>
        <row r="308">
          <cell r="B308">
            <v>57071</v>
          </cell>
        </row>
        <row r="309">
          <cell r="B309">
            <v>57436</v>
          </cell>
        </row>
        <row r="310">
          <cell r="B310">
            <v>57801</v>
          </cell>
        </row>
        <row r="313">
          <cell r="A313">
            <v>43556</v>
          </cell>
        </row>
        <row r="314">
          <cell r="A314">
            <v>43586</v>
          </cell>
        </row>
        <row r="315">
          <cell r="A315">
            <v>43617</v>
          </cell>
        </row>
        <row r="316">
          <cell r="A316">
            <v>43647</v>
          </cell>
        </row>
        <row r="317">
          <cell r="A317">
            <v>43678</v>
          </cell>
        </row>
        <row r="318">
          <cell r="A318">
            <v>43709</v>
          </cell>
        </row>
        <row r="319">
          <cell r="A319">
            <v>43739</v>
          </cell>
        </row>
        <row r="320">
          <cell r="A320">
            <v>43770</v>
          </cell>
        </row>
        <row r="321">
          <cell r="A321">
            <v>43800</v>
          </cell>
        </row>
        <row r="322">
          <cell r="A322">
            <v>43831</v>
          </cell>
        </row>
        <row r="323">
          <cell r="A323">
            <v>43862</v>
          </cell>
        </row>
        <row r="324">
          <cell r="A324">
            <v>43891</v>
          </cell>
        </row>
        <row r="325">
          <cell r="A325">
            <v>43922</v>
          </cell>
        </row>
        <row r="326">
          <cell r="A326">
            <v>43952</v>
          </cell>
        </row>
        <row r="327">
          <cell r="A327">
            <v>43983</v>
          </cell>
        </row>
        <row r="328">
          <cell r="A328">
            <v>44013</v>
          </cell>
        </row>
        <row r="329">
          <cell r="A329">
            <v>44044</v>
          </cell>
        </row>
        <row r="330">
          <cell r="A330">
            <v>44075</v>
          </cell>
        </row>
        <row r="331">
          <cell r="A331">
            <v>44105</v>
          </cell>
        </row>
        <row r="332">
          <cell r="A332">
            <v>44136</v>
          </cell>
        </row>
        <row r="333">
          <cell r="A333">
            <v>44166</v>
          </cell>
        </row>
        <row r="334">
          <cell r="A334">
            <v>44197</v>
          </cell>
        </row>
        <row r="335">
          <cell r="A335">
            <v>44228</v>
          </cell>
        </row>
        <row r="336">
          <cell r="A336">
            <v>44256</v>
          </cell>
        </row>
        <row r="337">
          <cell r="A337">
            <v>44287</v>
          </cell>
        </row>
        <row r="338">
          <cell r="A338">
            <v>44317</v>
          </cell>
        </row>
        <row r="339">
          <cell r="A339">
            <v>44348</v>
          </cell>
        </row>
        <row r="340">
          <cell r="A340">
            <v>44378</v>
          </cell>
        </row>
        <row r="341">
          <cell r="A341">
            <v>44409</v>
          </cell>
        </row>
        <row r="342">
          <cell r="A342">
            <v>44440</v>
          </cell>
        </row>
        <row r="343">
          <cell r="A343">
            <v>44470</v>
          </cell>
        </row>
        <row r="344">
          <cell r="A344">
            <v>44501</v>
          </cell>
        </row>
        <row r="345">
          <cell r="A345">
            <v>44531</v>
          </cell>
        </row>
        <row r="346">
          <cell r="A346">
            <v>44562</v>
          </cell>
        </row>
        <row r="347">
          <cell r="A347">
            <v>44593</v>
          </cell>
        </row>
        <row r="348">
          <cell r="A348">
            <v>44621</v>
          </cell>
        </row>
        <row r="349">
          <cell r="A349">
            <v>44652</v>
          </cell>
        </row>
        <row r="350">
          <cell r="A350">
            <v>44682</v>
          </cell>
        </row>
        <row r="351">
          <cell r="A351">
            <v>44713</v>
          </cell>
        </row>
        <row r="352">
          <cell r="A352">
            <v>44743</v>
          </cell>
        </row>
        <row r="353">
          <cell r="A353">
            <v>44774</v>
          </cell>
        </row>
        <row r="354">
          <cell r="A354">
            <v>44805</v>
          </cell>
        </row>
        <row r="355">
          <cell r="A355">
            <v>44835</v>
          </cell>
        </row>
        <row r="356">
          <cell r="A356">
            <v>44866</v>
          </cell>
        </row>
        <row r="357">
          <cell r="A357">
            <v>44896</v>
          </cell>
        </row>
        <row r="358">
          <cell r="A358">
            <v>44927</v>
          </cell>
        </row>
        <row r="359">
          <cell r="A359">
            <v>44958</v>
          </cell>
        </row>
        <row r="360">
          <cell r="A360">
            <v>44986</v>
          </cell>
        </row>
        <row r="361">
          <cell r="A361">
            <v>45017</v>
          </cell>
        </row>
        <row r="362">
          <cell r="A362">
            <v>45047</v>
          </cell>
        </row>
        <row r="363">
          <cell r="A363">
            <v>45078</v>
          </cell>
        </row>
        <row r="364">
          <cell r="A364">
            <v>45108</v>
          </cell>
        </row>
        <row r="365">
          <cell r="A365">
            <v>45139</v>
          </cell>
        </row>
        <row r="366">
          <cell r="A366">
            <v>45170</v>
          </cell>
        </row>
        <row r="367">
          <cell r="A367">
            <v>45200</v>
          </cell>
        </row>
        <row r="368">
          <cell r="A368">
            <v>45231</v>
          </cell>
        </row>
        <row r="369">
          <cell r="A369">
            <v>45261</v>
          </cell>
        </row>
        <row r="370">
          <cell r="A370">
            <v>45292</v>
          </cell>
        </row>
        <row r="371">
          <cell r="A371">
            <v>45323</v>
          </cell>
        </row>
        <row r="372">
          <cell r="A372">
            <v>45352</v>
          </cell>
        </row>
        <row r="373">
          <cell r="A373">
            <v>45383</v>
          </cell>
        </row>
        <row r="374">
          <cell r="A374">
            <v>45748</v>
          </cell>
        </row>
        <row r="375">
          <cell r="A375">
            <v>46113</v>
          </cell>
        </row>
        <row r="376">
          <cell r="A376">
            <v>46478</v>
          </cell>
        </row>
        <row r="377">
          <cell r="A377">
            <v>46844</v>
          </cell>
        </row>
        <row r="378">
          <cell r="A378">
            <v>47209</v>
          </cell>
        </row>
        <row r="379">
          <cell r="A379">
            <v>47574</v>
          </cell>
        </row>
        <row r="380">
          <cell r="A380">
            <v>47939</v>
          </cell>
        </row>
        <row r="381">
          <cell r="A381">
            <v>48305</v>
          </cell>
        </row>
        <row r="382">
          <cell r="A382">
            <v>48670</v>
          </cell>
        </row>
        <row r="383">
          <cell r="A383">
            <v>49035</v>
          </cell>
        </row>
        <row r="384">
          <cell r="A384">
            <v>49400</v>
          </cell>
        </row>
        <row r="385">
          <cell r="A385">
            <v>49766</v>
          </cell>
        </row>
        <row r="386">
          <cell r="A386">
            <v>50131</v>
          </cell>
        </row>
        <row r="387">
          <cell r="A387">
            <v>50496</v>
          </cell>
        </row>
        <row r="388">
          <cell r="A388">
            <v>50861</v>
          </cell>
        </row>
        <row r="389">
          <cell r="A389">
            <v>51227</v>
          </cell>
        </row>
        <row r="390">
          <cell r="A390">
            <v>51592</v>
          </cell>
        </row>
        <row r="391">
          <cell r="A391">
            <v>51957</v>
          </cell>
        </row>
        <row r="392">
          <cell r="A392">
            <v>52322</v>
          </cell>
        </row>
        <row r="393">
          <cell r="A393">
            <v>52688</v>
          </cell>
        </row>
        <row r="394">
          <cell r="A394">
            <v>53053</v>
          </cell>
        </row>
        <row r="395">
          <cell r="A395">
            <v>53418</v>
          </cell>
        </row>
        <row r="396">
          <cell r="A396">
            <v>53783</v>
          </cell>
        </row>
        <row r="397">
          <cell r="A397">
            <v>54149</v>
          </cell>
        </row>
        <row r="398">
          <cell r="A398">
            <v>54514</v>
          </cell>
        </row>
        <row r="399">
          <cell r="A399">
            <v>54879</v>
          </cell>
        </row>
        <row r="400">
          <cell r="A400">
            <v>55244</v>
          </cell>
        </row>
        <row r="401">
          <cell r="A401">
            <v>55610</v>
          </cell>
        </row>
        <row r="402">
          <cell r="A402">
            <v>55975</v>
          </cell>
        </row>
        <row r="403">
          <cell r="A403">
            <v>56340</v>
          </cell>
        </row>
        <row r="404">
          <cell r="A404">
            <v>56705</v>
          </cell>
        </row>
        <row r="405">
          <cell r="A405">
            <v>57071</v>
          </cell>
        </row>
        <row r="406">
          <cell r="A406">
            <v>57436</v>
          </cell>
        </row>
        <row r="407">
          <cell r="A407">
            <v>57801</v>
          </cell>
        </row>
        <row r="411">
          <cell r="A411">
            <v>43556</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sheetData>
      <sheetData sheetId="45">
        <row r="14">
          <cell r="A14">
            <v>0</v>
          </cell>
        </row>
        <row r="15">
          <cell r="A15">
            <v>0</v>
          </cell>
        </row>
        <row r="16">
          <cell r="A16">
            <v>0</v>
          </cell>
        </row>
        <row r="17">
          <cell r="A17">
            <v>0</v>
          </cell>
        </row>
        <row r="18">
          <cell r="A18">
            <v>0</v>
          </cell>
        </row>
        <row r="23">
          <cell r="A23">
            <v>0</v>
          </cell>
        </row>
        <row r="24">
          <cell r="A24">
            <v>0</v>
          </cell>
        </row>
        <row r="25">
          <cell r="A25">
            <v>0</v>
          </cell>
        </row>
        <row r="26">
          <cell r="A26">
            <v>0</v>
          </cell>
        </row>
        <row r="27">
          <cell r="A27">
            <v>0</v>
          </cell>
        </row>
        <row r="32">
          <cell r="A32">
            <v>43556</v>
          </cell>
        </row>
        <row r="33">
          <cell r="A33">
            <v>0</v>
          </cell>
        </row>
        <row r="34">
          <cell r="A34">
            <v>0</v>
          </cell>
        </row>
        <row r="35">
          <cell r="A35">
            <v>0</v>
          </cell>
        </row>
        <row r="36">
          <cell r="A36">
            <v>0</v>
          </cell>
        </row>
      </sheetData>
      <sheetData sheetId="46">
        <row r="6">
          <cell r="D6" t="str">
            <v>Asset Cover</v>
          </cell>
          <cell r="E6" t="str">
            <v>Interest Cover</v>
          </cell>
          <cell r="F6" t="str">
            <v>EBITDA MRI</v>
          </cell>
          <cell r="G6" t="str">
            <v>Debt / Unit</v>
          </cell>
          <cell r="H6" t="str">
            <v>Debt</v>
          </cell>
        </row>
      </sheetData>
      <sheetData sheetId="47">
        <row r="27">
          <cell r="D27">
            <v>0</v>
          </cell>
        </row>
      </sheetData>
      <sheetData sheetId="48">
        <row r="18">
          <cell r="E18">
            <v>0</v>
          </cell>
        </row>
        <row r="19">
          <cell r="E19">
            <v>0</v>
          </cell>
        </row>
        <row r="34">
          <cell r="E34">
            <v>0</v>
          </cell>
        </row>
        <row r="35">
          <cell r="E35">
            <v>0</v>
          </cell>
        </row>
      </sheetData>
      <sheetData sheetId="49">
        <row r="34">
          <cell r="C34">
            <v>0</v>
          </cell>
        </row>
        <row r="60">
          <cell r="D60">
            <v>-603.59799572542579</v>
          </cell>
        </row>
      </sheetData>
      <sheetData sheetId="50">
        <row r="6">
          <cell r="D6" t="str">
            <v>GN Acq 2016/17</v>
          </cell>
          <cell r="E6" t="str">
            <v>GN Acq 2017/18</v>
          </cell>
          <cell r="F6">
            <v>0</v>
          </cell>
          <cell r="G6">
            <v>0</v>
          </cell>
          <cell r="H6">
            <v>0</v>
          </cell>
        </row>
        <row r="11">
          <cell r="D11" t="str">
            <v>Cost</v>
          </cell>
          <cell r="E11" t="str">
            <v>Cost</v>
          </cell>
          <cell r="F11">
            <v>0</v>
          </cell>
          <cell r="G11">
            <v>0</v>
          </cell>
          <cell r="H11">
            <v>0</v>
          </cell>
        </row>
        <row r="12">
          <cell r="D12" t="str">
            <v>Housing PropertyCost</v>
          </cell>
          <cell r="E12" t="str">
            <v>Housing PropertyCost</v>
          </cell>
          <cell r="F12" t="str">
            <v>Housing PropertyCost</v>
          </cell>
          <cell r="G12" t="str">
            <v>Housing PropertyCost</v>
          </cell>
          <cell r="H12" t="str">
            <v>Housing PropertyCost</v>
          </cell>
        </row>
        <row r="97">
          <cell r="D97" t="str">
            <v>No</v>
          </cell>
          <cell r="E97" t="str">
            <v>No</v>
          </cell>
          <cell r="F97">
            <v>0</v>
          </cell>
          <cell r="G97">
            <v>0</v>
          </cell>
          <cell r="H97">
            <v>0</v>
          </cell>
        </row>
      </sheetData>
      <sheetData sheetId="51">
        <row r="7">
          <cell r="D7">
            <v>0</v>
          </cell>
          <cell r="E7">
            <v>0</v>
          </cell>
          <cell r="F7">
            <v>0</v>
          </cell>
          <cell r="G7">
            <v>0</v>
          </cell>
          <cell r="H7">
            <v>0</v>
          </cell>
          <cell r="I7">
            <v>0</v>
          </cell>
          <cell r="J7">
            <v>0</v>
          </cell>
          <cell r="K7">
            <v>0</v>
          </cell>
        </row>
      </sheetData>
      <sheetData sheetId="52"/>
      <sheetData sheetId="53">
        <row r="5">
          <cell r="C5">
            <v>0</v>
          </cell>
        </row>
      </sheetData>
      <sheetData sheetId="54">
        <row r="5">
          <cell r="D5" t="str">
            <v/>
          </cell>
        </row>
        <row r="9">
          <cell r="A9" t="str">
            <v>Reduce income</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7">
          <cell r="C7" t="str">
            <v>Stock Numbers</v>
          </cell>
          <cell r="D7" t="str">
            <v>Stock No Excl Demo</v>
          </cell>
          <cell r="E7" t="str">
            <v>RTB Sales</v>
          </cell>
          <cell r="F7" t="str">
            <v>Stock GN Acq 2016/17 &amp; 2017/18</v>
          </cell>
          <cell r="G7" t="str">
            <v/>
          </cell>
          <cell r="H7" t="str">
            <v/>
          </cell>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ow r="8">
          <cell r="A8" t="str">
            <v>Opening Stock Numbers</v>
          </cell>
          <cell r="B8" t="str">
            <v>Land Costs</v>
          </cell>
          <cell r="C8" t="str">
            <v>Unit Rents</v>
          </cell>
          <cell r="D8" t="str">
            <v>Unit Management Costs</v>
          </cell>
          <cell r="E8" t="str">
            <v>Opening Stock</v>
          </cell>
        </row>
        <row r="9">
          <cell r="A9" t="str">
            <v>Stock Additions</v>
          </cell>
          <cell r="B9" t="str">
            <v>S Curve Parameters</v>
          </cell>
          <cell r="C9" t="str">
            <v>Rental Income</v>
          </cell>
          <cell r="D9" t="str">
            <v>Management Costs</v>
          </cell>
          <cell r="E9" t="str">
            <v>Stock Additions</v>
          </cell>
        </row>
        <row r="10">
          <cell r="A10" t="str">
            <v>Stock Disposals</v>
          </cell>
          <cell r="B10" t="str">
            <v>S-Curve Values - Build Costs</v>
          </cell>
          <cell r="C10" t="str">
            <v>Unit Service Charges</v>
          </cell>
          <cell r="D10" t="str">
            <v>Unit Service Costs</v>
          </cell>
          <cell r="E10" t="str">
            <v>Stock Disposals</v>
          </cell>
        </row>
        <row r="11">
          <cell r="A11" t="str">
            <v>Closing Stock Numbers</v>
          </cell>
          <cell r="B11" t="str">
            <v>S-Curve Values - On Costs</v>
          </cell>
          <cell r="C11" t="str">
            <v>Service Charge Income</v>
          </cell>
          <cell r="D11" t="str">
            <v>Service Costs</v>
          </cell>
          <cell r="E11" t="str">
            <v>Closing Stock</v>
          </cell>
        </row>
        <row r="12">
          <cell r="B12" t="str">
            <v>Build Costs</v>
          </cell>
          <cell r="C12" t="str">
            <v>Voids</v>
          </cell>
          <cell r="D12" t="str">
            <v>Unit Responsive &amp; Cyclical Costs Costs</v>
          </cell>
          <cell r="E12" t="str">
            <v>Disposals and Retained - Land Costs</v>
          </cell>
        </row>
        <row r="13">
          <cell r="B13" t="str">
            <v>On Costs</v>
          </cell>
          <cell r="C13" t="str">
            <v>Bad Debts</v>
          </cell>
          <cell r="D13" t="str">
            <v>Responsive &amp; Cyclical Costs Costs</v>
          </cell>
          <cell r="E13" t="str">
            <v>Disposals and Retained - Build Costs</v>
          </cell>
        </row>
        <row r="14">
          <cell r="B14" t="str">
            <v>Development Costs - Rental</v>
          </cell>
          <cell r="D14" t="str">
            <v>Planned Maintenance Allowance</v>
          </cell>
          <cell r="E14" t="str">
            <v>Disposals and Retained - On Costs</v>
          </cell>
        </row>
        <row r="15">
          <cell r="B15" t="str">
            <v>Development Costs - Awaiting Sale</v>
          </cell>
          <cell r="E15" t="str">
            <v>Disposals and Retained - Capitalised Interest</v>
          </cell>
        </row>
        <row r="16">
          <cell r="B16" t="str">
            <v>SHG Factors</v>
          </cell>
          <cell r="E16" t="str">
            <v>Disposals and Retained - Total Works Costs</v>
          </cell>
        </row>
        <row r="17">
          <cell r="B17" t="str">
            <v>SHG Income</v>
          </cell>
          <cell r="E17" t="str">
            <v>Disposals - Initial Tranche Disposals</v>
          </cell>
        </row>
        <row r="18">
          <cell r="B18" t="str">
            <v>Initial Sales Receipts</v>
          </cell>
          <cell r="E18" t="str">
            <v>Disposals - Initial Tranche Cost of Disposals</v>
          </cell>
        </row>
        <row r="19">
          <cell r="B19" t="str">
            <v>Future Sales Receipts</v>
          </cell>
          <cell r="E19" t="str">
            <v>Disposals - Units Retained</v>
          </cell>
        </row>
        <row r="20">
          <cell r="B20" t="str">
            <v>Net Development Capital Expenditure</v>
          </cell>
          <cell r="E20" t="str">
            <v>Disposals - Cost of Retained units</v>
          </cell>
        </row>
        <row r="21">
          <cell r="B21" t="str">
            <v>Capitalised Development Interest</v>
          </cell>
          <cell r="E21" t="str">
            <v>Disposals and Retained - Capitalised Interest on Retained units</v>
          </cell>
        </row>
        <row r="22">
          <cell r="B22" t="str">
            <v>Cumulative Development Cashflow</v>
          </cell>
          <cell r="E22" t="str">
            <v>WIP - Opening Balance</v>
          </cell>
        </row>
        <row r="23">
          <cell r="B23" t="str">
            <v>Funding</v>
          </cell>
          <cell r="E23" t="str">
            <v>WIP - Closing Balance</v>
          </cell>
        </row>
        <row r="24">
          <cell r="E24" t="str">
            <v>Historic Cost - Opening Balance</v>
          </cell>
        </row>
        <row r="25">
          <cell r="E25" t="str">
            <v>Historic Cost - Initial tranche sale NMR to SO</v>
          </cell>
        </row>
        <row r="26">
          <cell r="E26" t="str">
            <v>Historic Cost - Cost of Disposals</v>
          </cell>
        </row>
        <row r="27">
          <cell r="E27" t="str">
            <v>Historic Cost - Before Impairment</v>
          </cell>
        </row>
        <row r="28">
          <cell r="E28" t="str">
            <v>Historic Cost - Impairment calc</v>
          </cell>
        </row>
        <row r="29">
          <cell r="E29" t="str">
            <v>Historic Cost - Historic Cost additions for depn</v>
          </cell>
        </row>
        <row r="30">
          <cell r="E30" t="str">
            <v>Historic Cost - Historical cost after impairment</v>
          </cell>
        </row>
        <row r="31">
          <cell r="E31" t="str">
            <v>Memo - Structure addition for component depn calculation (Valuation or Historic Cost)</v>
          </cell>
        </row>
        <row r="32">
          <cell r="E32" t="str">
            <v>Valuation - Opening Valuation</v>
          </cell>
        </row>
        <row r="33">
          <cell r="E33" t="str">
            <v>Valuation - Valuation change</v>
          </cell>
        </row>
        <row r="34">
          <cell r="E34" t="str">
            <v>Valuation - Impairment</v>
          </cell>
        </row>
        <row r="35">
          <cell r="E35" t="str">
            <v>Valuation - Initial tranche sale NMR to SO</v>
          </cell>
        </row>
        <row r="36">
          <cell r="E36" t="str">
            <v>Valuation - Value of Disposals</v>
          </cell>
        </row>
        <row r="37">
          <cell r="E37" t="str">
            <v>Valuation - Historical Cost</v>
          </cell>
        </row>
        <row r="38">
          <cell r="E38" t="str">
            <v>Valuation - EUV-SH Valuations (for when Cost Valution method chosen to calc Impairment)</v>
          </cell>
        </row>
        <row r="39">
          <cell r="E39" t="str">
            <v>Valuation - Closing Valuation</v>
          </cell>
        </row>
        <row r="40">
          <cell r="E40" t="str">
            <v>Valuation - Valuation Increase Factor</v>
          </cell>
        </row>
        <row r="41">
          <cell r="E41" t="str">
            <v>Revaluation Reserve - Opening Revaluation Reserve</v>
          </cell>
        </row>
        <row r="42">
          <cell r="E42" t="str">
            <v>Revaluation Reserve - Valuation increase</v>
          </cell>
        </row>
        <row r="43">
          <cell r="E43" t="str">
            <v>Revaluation Reserve - Initial tranche sale NMR to SO</v>
          </cell>
        </row>
        <row r="44">
          <cell r="E44" t="str">
            <v>Revaluation Reserve - Disposals</v>
          </cell>
        </row>
        <row r="45">
          <cell r="E45" t="str">
            <v>Revaluation Reserve - Closing Valuation</v>
          </cell>
        </row>
        <row r="46">
          <cell r="E46" t="str">
            <v>SHG - SHG additions for depn</v>
          </cell>
        </row>
        <row r="47">
          <cell r="E47" t="str">
            <v>SHG - Opening Balance</v>
          </cell>
        </row>
        <row r="48">
          <cell r="E48" t="str">
            <v>SHG - Additional Grant</v>
          </cell>
        </row>
        <row r="49">
          <cell r="E49" t="str">
            <v>SHG - Grant on Disposals</v>
          </cell>
        </row>
        <row r="50">
          <cell r="E50" t="str">
            <v>SHG - Closing Grant</v>
          </cell>
        </row>
        <row r="51">
          <cell r="E51" t="str">
            <v>Depreciation - Depreciable Value</v>
          </cell>
        </row>
        <row r="52">
          <cell r="E52" t="str">
            <v>Depreciation - Opening Cumulative Depreciation</v>
          </cell>
        </row>
        <row r="53">
          <cell r="E53" t="str">
            <v>Depreciation - Depreciation Charge</v>
          </cell>
        </row>
        <row r="54">
          <cell r="E54" t="str">
            <v>Depreciation - Cum Depn on Initial NMR to SO</v>
          </cell>
        </row>
        <row r="55">
          <cell r="E55" t="str">
            <v>Depreciation - Cumulative Depreciation on Disposals</v>
          </cell>
        </row>
        <row r="56">
          <cell r="E56" t="str">
            <v>Depreciation - Closing Cumulative Depreciation</v>
          </cell>
        </row>
      </sheetData>
      <sheetData sheetId="111">
        <row r="125">
          <cell r="G125">
            <v>1</v>
          </cell>
          <cell r="H125">
            <v>1</v>
          </cell>
          <cell r="I125">
            <v>-7.3999999999999996E-2</v>
          </cell>
          <cell r="J125">
            <v>1</v>
          </cell>
          <cell r="K125">
            <v>1</v>
          </cell>
          <cell r="L125">
            <v>1</v>
          </cell>
          <cell r="M125">
            <v>1</v>
          </cell>
          <cell r="N125">
            <v>1</v>
          </cell>
          <cell r="O125">
            <v>1</v>
          </cell>
          <cell r="P125">
            <v>1</v>
          </cell>
          <cell r="Q125">
            <v>0</v>
          </cell>
          <cell r="R125">
            <v>1</v>
          </cell>
          <cell r="S125">
            <v>1</v>
          </cell>
          <cell r="T125">
            <v>1</v>
          </cell>
          <cell r="U125">
            <v>0</v>
          </cell>
        </row>
        <row r="126">
          <cell r="G126">
            <v>1</v>
          </cell>
          <cell r="H126">
            <v>1</v>
          </cell>
          <cell r="I126">
            <v>3.2</v>
          </cell>
          <cell r="J126">
            <v>1</v>
          </cell>
          <cell r="K126">
            <v>1</v>
          </cell>
          <cell r="L126">
            <v>1</v>
          </cell>
          <cell r="M126">
            <v>1</v>
          </cell>
          <cell r="N126">
            <v>1</v>
          </cell>
          <cell r="O126">
            <v>1</v>
          </cell>
          <cell r="P126">
            <v>1</v>
          </cell>
          <cell r="Q126">
            <v>0</v>
          </cell>
          <cell r="R126">
            <v>1</v>
          </cell>
          <cell r="S126">
            <v>1</v>
          </cell>
          <cell r="T126">
            <v>1</v>
          </cell>
          <cell r="U126">
            <v>0</v>
          </cell>
        </row>
        <row r="128">
          <cell r="G128">
            <v>1</v>
          </cell>
          <cell r="H128">
            <v>1</v>
          </cell>
          <cell r="I128">
            <v>1</v>
          </cell>
          <cell r="J128">
            <v>29</v>
          </cell>
          <cell r="K128">
            <v>28</v>
          </cell>
          <cell r="L128">
            <v>1</v>
          </cell>
          <cell r="M128">
            <v>1</v>
          </cell>
          <cell r="N128">
            <v>1</v>
          </cell>
          <cell r="O128">
            <v>1</v>
          </cell>
          <cell r="P128">
            <v>1</v>
          </cell>
          <cell r="Q128">
            <v>0</v>
          </cell>
          <cell r="R128">
            <v>365</v>
          </cell>
          <cell r="S128">
            <v>365</v>
          </cell>
          <cell r="T128">
            <v>365</v>
          </cell>
          <cell r="U128">
            <v>0</v>
          </cell>
        </row>
        <row r="539">
          <cell r="G539" t="str">
            <v/>
          </cell>
          <cell r="H539" t="str">
            <v/>
          </cell>
          <cell r="I539" t="str">
            <v>General NeedsCommitted</v>
          </cell>
          <cell r="J539" t="str">
            <v>General NeedsCommitted</v>
          </cell>
          <cell r="K539" t="str">
            <v>General NeedsCommitted</v>
          </cell>
          <cell r="L539" t="str">
            <v/>
          </cell>
          <cell r="M539" t="str">
            <v/>
          </cell>
          <cell r="N539" t="str">
            <v/>
          </cell>
          <cell r="O539" t="str">
            <v/>
          </cell>
          <cell r="P539" t="str">
            <v/>
          </cell>
          <cell r="Q539">
            <v>0</v>
          </cell>
          <cell r="R539" t="str">
            <v/>
          </cell>
          <cell r="S539" t="str">
            <v/>
          </cell>
          <cell r="T539" t="str">
            <v/>
          </cell>
          <cell r="U539">
            <v>0</v>
          </cell>
        </row>
      </sheetData>
      <sheetData sheetId="112">
        <row r="7">
          <cell r="C7">
            <v>2</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7">
          <cell r="E7" t="str">
            <v>Social Housing</v>
          </cell>
          <cell r="F7" t="str">
            <v>Social Housing</v>
          </cell>
          <cell r="G7" t="str">
            <v>Social Housing</v>
          </cell>
          <cell r="H7" t="str">
            <v>Social Housing</v>
          </cell>
          <cell r="I7" t="str">
            <v>Social Housing</v>
          </cell>
          <cell r="J7" t="str">
            <v>Social Housing</v>
          </cell>
          <cell r="K7" t="str">
            <v>Social Housing</v>
          </cell>
          <cell r="L7">
            <v>0</v>
          </cell>
          <cell r="M7" t="str">
            <v>Social Housing</v>
          </cell>
          <cell r="N7" t="str">
            <v>Social Housing</v>
          </cell>
          <cell r="O7" t="str">
            <v>Social Housing</v>
          </cell>
          <cell r="P7" t="str">
            <v>Social Housing</v>
          </cell>
          <cell r="Q7" t="str">
            <v>Social Housing</v>
          </cell>
          <cell r="R7" t="str">
            <v>Social Housing</v>
          </cell>
          <cell r="S7" t="str">
            <v>Social Housing</v>
          </cell>
          <cell r="T7" t="str">
            <v>Social Housing</v>
          </cell>
          <cell r="U7" t="str">
            <v>Social Housing</v>
          </cell>
          <cell r="V7">
            <v>0</v>
          </cell>
          <cell r="W7">
            <v>0</v>
          </cell>
          <cell r="X7" t="str">
            <v>Social Housing</v>
          </cell>
          <cell r="Y7" t="str">
            <v>Social Housing</v>
          </cell>
          <cell r="Z7">
            <v>0</v>
          </cell>
          <cell r="AA7" t="str">
            <v>Non Social Housing</v>
          </cell>
          <cell r="AB7" t="str">
            <v>Non Social Housing</v>
          </cell>
          <cell r="AC7" t="str">
            <v>Non Social Housing</v>
          </cell>
          <cell r="AD7" t="str">
            <v>Non Social Housing</v>
          </cell>
          <cell r="AE7" t="str">
            <v>Non Social Housing</v>
          </cell>
          <cell r="AF7" t="str">
            <v>Non Social Housing</v>
          </cell>
          <cell r="AG7" t="str">
            <v>Non Social Housing</v>
          </cell>
          <cell r="AH7" t="str">
            <v>Non Social Housing</v>
          </cell>
          <cell r="AI7" t="str">
            <v>Non Social Housing</v>
          </cell>
          <cell r="AJ7">
            <v>0</v>
          </cell>
          <cell r="AK7">
            <v>0</v>
          </cell>
          <cell r="AL7">
            <v>0</v>
          </cell>
          <cell r="AM7">
            <v>0</v>
          </cell>
          <cell r="AN7">
            <v>0</v>
          </cell>
          <cell r="AO7">
            <v>0</v>
          </cell>
          <cell r="AP7" t="str">
            <v>Social Housing</v>
          </cell>
          <cell r="AQ7" t="str">
            <v>Social Housing</v>
          </cell>
          <cell r="AR7" t="str">
            <v>Non Social Housing</v>
          </cell>
          <cell r="AS7">
            <v>0</v>
          </cell>
          <cell r="AT7">
            <v>0</v>
          </cell>
          <cell r="AU7">
            <v>0</v>
          </cell>
          <cell r="AV7">
            <v>0</v>
          </cell>
          <cell r="AW7">
            <v>0</v>
          </cell>
          <cell r="AX7">
            <v>0</v>
          </cell>
          <cell r="AY7">
            <v>0</v>
          </cell>
          <cell r="AZ7">
            <v>0</v>
          </cell>
          <cell r="BA7">
            <v>0</v>
          </cell>
          <cell r="BB7">
            <v>0</v>
          </cell>
        </row>
      </sheetData>
      <sheetData sheetId="230"/>
      <sheetData sheetId="231"/>
      <sheetData sheetId="232">
        <row r="11">
          <cell r="A11">
            <v>1</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ow r="8">
          <cell r="C8">
            <v>43556</v>
          </cell>
        </row>
      </sheetData>
      <sheetData sheetId="247"/>
      <sheetData sheetId="248">
        <row r="8">
          <cell r="C8">
            <v>1</v>
          </cell>
        </row>
      </sheetData>
      <sheetData sheetId="249">
        <row r="8">
          <cell r="G8">
            <v>0</v>
          </cell>
        </row>
      </sheetData>
      <sheetData sheetId="250"/>
      <sheetData sheetId="251"/>
      <sheetData sheetId="252">
        <row r="8">
          <cell r="I8">
            <v>0</v>
          </cell>
        </row>
      </sheetData>
      <sheetData sheetId="253">
        <row r="8">
          <cell r="I8">
            <v>0</v>
          </cell>
        </row>
      </sheetData>
      <sheetData sheetId="254"/>
      <sheetData sheetId="255">
        <row r="8">
          <cell r="I8">
            <v>0</v>
          </cell>
        </row>
      </sheetData>
      <sheetData sheetId="256">
        <row r="8">
          <cell r="W8">
            <v>1</v>
          </cell>
        </row>
      </sheetData>
      <sheetData sheetId="257">
        <row r="9">
          <cell r="T9">
            <v>3.0000000000000001E-3</v>
          </cell>
        </row>
      </sheetData>
      <sheetData sheetId="258"/>
      <sheetData sheetId="259"/>
      <sheetData sheetId="260"/>
      <sheetData sheetId="261"/>
      <sheetData sheetId="262"/>
      <sheetData sheetId="263"/>
      <sheetData sheetId="264"/>
      <sheetData sheetId="265">
        <row r="8">
          <cell r="E8">
            <v>0</v>
          </cell>
        </row>
      </sheetData>
      <sheetData sheetId="266">
        <row r="8">
          <cell r="E8">
            <v>0</v>
          </cell>
        </row>
      </sheetData>
      <sheetData sheetId="267">
        <row r="8">
          <cell r="E8">
            <v>0</v>
          </cell>
        </row>
      </sheetData>
      <sheetData sheetId="268">
        <row r="8">
          <cell r="E8">
            <v>0</v>
          </cell>
        </row>
      </sheetData>
      <sheetData sheetId="269"/>
      <sheetData sheetId="270"/>
      <sheetData sheetId="271"/>
      <sheetData sheetId="272"/>
      <sheetData sheetId="273">
        <row r="8">
          <cell r="S8">
            <v>0</v>
          </cell>
        </row>
      </sheetData>
      <sheetData sheetId="274"/>
      <sheetData sheetId="275">
        <row r="8">
          <cell r="S8">
            <v>0</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ow r="10">
          <cell r="A10">
            <v>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108">
          <cell r="A108">
            <v>1</v>
          </cell>
        </row>
      </sheetData>
      <sheetData sheetId="312"/>
      <sheetData sheetId="313"/>
      <sheetData sheetId="314"/>
      <sheetData sheetId="315"/>
      <sheetData sheetId="316"/>
      <sheetData sheetId="317"/>
      <sheetData sheetId="318"/>
      <sheetData sheetId="319">
        <row r="10">
          <cell r="A10">
            <v>1</v>
          </cell>
        </row>
      </sheetData>
      <sheetData sheetId="320"/>
      <sheetData sheetId="321">
        <row r="12">
          <cell r="A12">
            <v>1</v>
          </cell>
        </row>
      </sheetData>
      <sheetData sheetId="322"/>
      <sheetData sheetId="323"/>
      <sheetData sheetId="324"/>
      <sheetData sheetId="325"/>
      <sheetData sheetId="326"/>
      <sheetData sheetId="327"/>
      <sheetData sheetId="328"/>
      <sheetData sheetId="329">
        <row r="6">
          <cell r="D6" t="str">
            <v>I&amp;E - Rents Receivable</v>
          </cell>
          <cell r="E6" t="str">
            <v>I&amp;E - Service Income</v>
          </cell>
          <cell r="F6" t="str">
            <v>I&amp;E - Charges For Support Services</v>
          </cell>
          <cell r="G6" t="str">
            <v>I&amp;E - Rent Losses From Voids</v>
          </cell>
          <cell r="H6" t="str">
            <v>I&amp;E - Total Revenue Grants</v>
          </cell>
          <cell r="I6" t="str">
            <v>I&amp;E - Major Repair Grants From The HC</v>
          </cell>
          <cell r="J6" t="str">
            <v>I&amp;E - Other social housing lettings income</v>
          </cell>
          <cell r="K6" t="str">
            <v>I&amp;E - Grant Amortisation</v>
          </cell>
          <cell r="L6" t="str">
            <v>I&amp;E - Government Grants Taken To Income</v>
          </cell>
          <cell r="M6" t="str">
            <v>I&amp;E - Social Housing Management Costs</v>
          </cell>
          <cell r="N6" t="str">
            <v>I&amp;E - Social Housing Service Costs</v>
          </cell>
          <cell r="O6" t="str">
            <v>I&amp;E - Social Housing Care /Support Costs</v>
          </cell>
          <cell r="P6" t="str">
            <v>I&amp;E - Routine Maintenance</v>
          </cell>
          <cell r="Q6" t="str">
            <v>I&amp;E - Major Repairs</v>
          </cell>
          <cell r="R6" t="str">
            <v>I&amp;E - Leasing Costs</v>
          </cell>
          <cell r="S6" t="str">
            <v>I&amp;E - Rent Losses From Bad Debts</v>
          </cell>
          <cell r="T6" t="str">
            <v>I&amp;E - Depreciation - Housing Stock</v>
          </cell>
          <cell r="U6" t="str">
            <v>I&amp;E - Depreciation - Other Fixed Assets</v>
          </cell>
          <cell r="V6" t="str">
            <v>I&amp;E - Impairment</v>
          </cell>
          <cell r="W6" t="str">
            <v>I&amp;E - Other Costs</v>
          </cell>
          <cell r="X6" t="str">
            <v>I&amp;E - Home-Buy Charges /Income</v>
          </cell>
          <cell r="Y6" t="str">
            <v>I&amp;E - Shared Ownership First Tranche Sale Receipts</v>
          </cell>
          <cell r="Z6" t="str">
            <v>I&amp;E - Income From Other Social Housing Activities</v>
          </cell>
          <cell r="AA6" t="str">
            <v>I&amp;E - Cost Of Sales: Shared Ownership First Tranche Sales</v>
          </cell>
          <cell r="AB6" t="str">
            <v>I&amp;E - Other Social Housing Costs</v>
          </cell>
          <cell r="AC6" t="str">
            <v>I&amp;E - Receipts From Properties Developed For Sale</v>
          </cell>
          <cell r="AD6" t="str">
            <v>I&amp;E - Income From Non-Social Housing Activities</v>
          </cell>
          <cell r="AE6" t="str">
            <v xml:space="preserve">I&amp;E - Cost Of Sales: Properties Developed For Sale </v>
          </cell>
          <cell r="AF6" t="str">
            <v>I&amp;E - Other Non Social Housing Costs</v>
          </cell>
          <cell r="AG6" t="str">
            <v>I&amp;E - Exceptional Items</v>
          </cell>
          <cell r="AH6" t="str">
            <v>I&amp;E - Surplus On Staircasing Sales</v>
          </cell>
          <cell r="AI6" t="str">
            <v>I&amp;E - Surplus On RTB/RTA Sales</v>
          </cell>
          <cell r="AJ6" t="str">
            <v>I&amp;E - Surplus On Other Social Housing Sales</v>
          </cell>
          <cell r="AK6" t="str">
            <v>I&amp;E - Surplus On Other Sales</v>
          </cell>
          <cell r="AL6" t="str">
            <v>I&amp;E - Gift Aid</v>
          </cell>
          <cell r="AM6" t="str">
            <v>I&amp;E - Share of surplus / (deficit) in joint ventures and associates</v>
          </cell>
          <cell r="AN6" t="str">
            <v>I&amp;E - Interest Receivable And Other Income</v>
          </cell>
          <cell r="AO6" t="str">
            <v>I&amp;E - Interest Payable And Similar Charges</v>
          </cell>
          <cell r="AP6" t="str">
            <v>I&amp;E - Other Financing Costs</v>
          </cell>
          <cell r="AQ6" t="str">
            <v>I&amp;E - Movement In Fair Value Of Financial Instruments</v>
          </cell>
          <cell r="AR6" t="str">
            <v>I&amp;E - Decrease In Valuation Of Housing Properties</v>
          </cell>
          <cell r="AS6" t="str">
            <v>I&amp;E - Reversal Of Previous Decrease In Valuation Of Housing Properties</v>
          </cell>
          <cell r="AT6" t="str">
            <v>I&amp;E - Change In The Value Of Investment Property</v>
          </cell>
          <cell r="AU6" t="str">
            <v>I&amp;E - Other Losses And Gains</v>
          </cell>
          <cell r="AV6" t="str">
            <v>I&amp;E - Corporation Tax</v>
          </cell>
          <cell r="AW6" t="str">
            <v>I&amp;E - Unrealised Surplus /(Def) On Revaluation Of Housing Properties</v>
          </cell>
          <cell r="AX6" t="str">
            <v>I&amp;E - Actuarial Loss/Gain In Respect Of Pension Schemes</v>
          </cell>
          <cell r="AY6" t="str">
            <v>I&amp;E - Change In Fair Value Of Hedged Instruments</v>
          </cell>
          <cell r="AZ6" t="str">
            <v>B/S - Other Fixed Assets - Intangible</v>
          </cell>
          <cell r="BA6" t="str">
            <v>B/S - Housing Properties Either At Cost Or Valuation</v>
          </cell>
          <cell r="BB6" t="str">
            <v>B/S - Work In Progress Fixed Assets</v>
          </cell>
          <cell r="BC6" t="str">
            <v>B/S - Depreciation</v>
          </cell>
          <cell r="BD6" t="str">
            <v>B/S - Investment Properties</v>
          </cell>
          <cell r="BE6" t="str">
            <v>B/S - Investment in joint ventures and associates</v>
          </cell>
          <cell r="BF6" t="str">
            <v>B/S - Other Fixed Assets - Investments</v>
          </cell>
          <cell r="BG6" t="str">
            <v>B/S - Homebuy - Loan</v>
          </cell>
          <cell r="BH6" t="str">
            <v>B/S - Other Fixed Assets - Tangible</v>
          </cell>
          <cell r="BI6" t="str">
            <v>B/S - Less Other Fixed Assets - Tangible Depn</v>
          </cell>
          <cell r="BJ6" t="str">
            <v>B/S - Work In Progress - Properties For Sale</v>
          </cell>
          <cell r="BK6" t="str">
            <v>B/S - Tenant Debtors</v>
          </cell>
          <cell r="BL6" t="str">
            <v>B/S - Other Current Assets</v>
          </cell>
          <cell r="BM6" t="str">
            <v>B/S - Cash And Bank</v>
          </cell>
          <cell r="BN6" t="str">
            <v>B/S - Short Term Investments</v>
          </cell>
          <cell r="BO6" t="str">
            <v>B/S - Short Term Loans</v>
          </cell>
          <cell r="BP6" t="str">
            <v>B/S - Bank Overdrafts</v>
          </cell>
          <cell r="BQ6" t="str">
            <v>B/S - Creditors: Amounts Falling Due In One Year</v>
          </cell>
          <cell r="BR6" t="str">
            <v>B/S - Creditors: RTB Receipts Due To Council</v>
          </cell>
          <cell r="BS6" t="str">
            <v>B/S - Deferred Capital Grant: Due Within One Year</v>
          </cell>
          <cell r="BT6" t="str">
            <v>B/S - Long Term Loans: Amounts Falling Due After More Than One Year</v>
          </cell>
          <cell r="BU6" t="str">
            <v>B/S - Finance Lease Obligations</v>
          </cell>
          <cell r="BV6" t="str">
            <v>B/S - Fair Value Derivative Financial Instruments</v>
          </cell>
          <cell r="BW6" t="str">
            <v>B/S - Long Term Creditors: Amounts Falling Due After More Than One Year</v>
          </cell>
          <cell r="BX6" t="str">
            <v>B/S - Recycled Grant</v>
          </cell>
          <cell r="BY6" t="str">
            <v>B/S - Other Capital Grants</v>
          </cell>
          <cell r="BZ6" t="str">
            <v>B/S - Deferred Capital Grant: Due After More Than One Year</v>
          </cell>
          <cell r="CA6" t="str">
            <v>B/S - Amortised Capital Grant</v>
          </cell>
          <cell r="CB6" t="str">
            <v>B/S - Homebuy - Grant</v>
          </cell>
          <cell r="CC6" t="str">
            <v>B/S - Pension Provisions</v>
          </cell>
          <cell r="CD6" t="str">
            <v>B/S - Other Provisions</v>
          </cell>
          <cell r="CE6" t="str">
            <v>B/S - Income And Expenditure Reserve</v>
          </cell>
          <cell r="CF6" t="str">
            <v>B/S - Revaluation Reserve</v>
          </cell>
          <cell r="CG6" t="str">
            <v>B/S - Other Reserves</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row r="11">
          <cell r="A11">
            <v>1</v>
          </cell>
          <cell r="AE11" t="str">
            <v>FALSE</v>
          </cell>
          <cell r="AF11" t="str">
            <v>FALSE</v>
          </cell>
        </row>
      </sheetData>
      <sheetData sheetId="343">
        <row r="11">
          <cell r="I11">
            <v>0</v>
          </cell>
        </row>
      </sheetData>
      <sheetData sheetId="344">
        <row r="7">
          <cell r="E7" t="str">
            <v>Base Case</v>
          </cell>
        </row>
        <row r="8">
          <cell r="E8" t="str">
            <v>Scenario 1</v>
          </cell>
        </row>
        <row r="9">
          <cell r="C9">
            <v>6</v>
          </cell>
          <cell r="E9" t="str">
            <v>Scenario 2</v>
          </cell>
        </row>
        <row r="10">
          <cell r="E10" t="str">
            <v>Scenario 3</v>
          </cell>
        </row>
        <row r="11">
          <cell r="E11" t="str">
            <v>Scenario 4</v>
          </cell>
        </row>
        <row r="16">
          <cell r="C16">
            <v>4</v>
          </cell>
        </row>
        <row r="17">
          <cell r="C17">
            <v>0</v>
          </cell>
        </row>
        <row r="19">
          <cell r="T19">
            <v>0</v>
          </cell>
        </row>
      </sheetData>
      <sheetData sheetId="345"/>
      <sheetData sheetId="346"/>
      <sheetData sheetId="347">
        <row r="6">
          <cell r="D6" t="str">
            <v>All</v>
          </cell>
          <cell r="I6" t="str">
            <v>All</v>
          </cell>
          <cell r="R6" t="str">
            <v>Asset Cover</v>
          </cell>
          <cell r="V6">
            <v>1</v>
          </cell>
        </row>
      </sheetData>
      <sheetData sheetId="348"/>
      <sheetData sheetId="349"/>
      <sheetData sheetId="350"/>
      <sheetData sheetId="351"/>
      <sheetData sheetId="352">
        <row r="7">
          <cell r="A7" t="str">
            <v>All</v>
          </cell>
        </row>
        <row r="9">
          <cell r="E9" t="str">
            <v>AllSocial Housing</v>
          </cell>
          <cell r="F9" t="str">
            <v>AllSocial Housing</v>
          </cell>
          <cell r="G9" t="str">
            <v>AllSocial Housing</v>
          </cell>
          <cell r="H9">
            <v>0</v>
          </cell>
          <cell r="I9" t="str">
            <v>AllSocial Housing</v>
          </cell>
          <cell r="J9" t="str">
            <v>AllSocial Housing</v>
          </cell>
          <cell r="K9" t="str">
            <v>AllSocial Housing</v>
          </cell>
          <cell r="L9" t="str">
            <v>AllSocial Housing</v>
          </cell>
          <cell r="M9" t="str">
            <v>AllSocial Housing</v>
          </cell>
          <cell r="N9">
            <v>0</v>
          </cell>
          <cell r="O9">
            <v>0</v>
          </cell>
          <cell r="P9" t="str">
            <v>AllNon Social Housing</v>
          </cell>
          <cell r="Q9" t="str">
            <v>AllNon Social Housing</v>
          </cell>
          <cell r="R9" t="str">
            <v>AllNon Social Housing</v>
          </cell>
          <cell r="S9">
            <v>0</v>
          </cell>
          <cell r="T9" t="str">
            <v>AllNon Social Housing</v>
          </cell>
          <cell r="U9" t="str">
            <v>AllNon Social Housing</v>
          </cell>
          <cell r="V9" t="str">
            <v>AllNon Social Housing</v>
          </cell>
          <cell r="W9" t="str">
            <v>AllNon Social Housing</v>
          </cell>
          <cell r="X9" t="str">
            <v>AllNon Social Housing</v>
          </cell>
          <cell r="Y9">
            <v>0</v>
          </cell>
          <cell r="Z9">
            <v>0</v>
          </cell>
          <cell r="AA9">
            <v>0</v>
          </cell>
          <cell r="AB9" t="str">
            <v>Housing PropertyAll</v>
          </cell>
          <cell r="AC9" t="str">
            <v>All</v>
          </cell>
          <cell r="AD9" t="str">
            <v>Investment PropertyAll</v>
          </cell>
          <cell r="AE9" t="str">
            <v>AllSocial Housing</v>
          </cell>
          <cell r="AF9" t="str">
            <v>AllSocial Housing</v>
          </cell>
          <cell r="AG9" t="str">
            <v>AllNon Social Housing</v>
          </cell>
          <cell r="AH9" t="str">
            <v>All</v>
          </cell>
          <cell r="AI9">
            <v>0</v>
          </cell>
          <cell r="AJ9">
            <v>0</v>
          </cell>
          <cell r="AK9">
            <v>0</v>
          </cell>
          <cell r="AL9">
            <v>0</v>
          </cell>
          <cell r="AM9" t="str">
            <v>All</v>
          </cell>
          <cell r="AN9">
            <v>0</v>
          </cell>
        </row>
      </sheetData>
      <sheetData sheetId="353"/>
      <sheetData sheetId="354"/>
      <sheetData sheetId="355">
        <row r="11">
          <cell r="O11" t="str">
            <v>N</v>
          </cell>
        </row>
      </sheetData>
      <sheetData sheetId="356">
        <row r="8">
          <cell r="D8" t="str">
            <v>Debt</v>
          </cell>
        </row>
      </sheetData>
      <sheetData sheetId="357">
        <row r="8">
          <cell r="I8" t="str">
            <v>Use assumptions below</v>
          </cell>
          <cell r="N8" t="str">
            <v>Use assumptions below</v>
          </cell>
          <cell r="S8" t="str">
            <v>Use assumptions below</v>
          </cell>
          <cell r="X8" t="str">
            <v>Use assumptions below</v>
          </cell>
        </row>
        <row r="9">
          <cell r="D9" t="str">
            <v>Base Case</v>
          </cell>
          <cell r="E9">
            <v>0</v>
          </cell>
          <cell r="F9">
            <v>0</v>
          </cell>
          <cell r="G9">
            <v>0</v>
          </cell>
          <cell r="H9">
            <v>0</v>
          </cell>
          <cell r="I9" t="str">
            <v>Scenario 1</v>
          </cell>
          <cell r="J9">
            <v>0</v>
          </cell>
          <cell r="K9">
            <v>0</v>
          </cell>
          <cell r="L9">
            <v>0</v>
          </cell>
          <cell r="M9">
            <v>0</v>
          </cell>
          <cell r="N9" t="str">
            <v>Scenario 2</v>
          </cell>
          <cell r="O9">
            <v>0</v>
          </cell>
          <cell r="P9">
            <v>0</v>
          </cell>
          <cell r="Q9">
            <v>0</v>
          </cell>
          <cell r="R9">
            <v>0</v>
          </cell>
          <cell r="S9" t="str">
            <v>Scenario 3</v>
          </cell>
          <cell r="T9">
            <v>0</v>
          </cell>
          <cell r="U9">
            <v>0</v>
          </cell>
          <cell r="V9">
            <v>0</v>
          </cell>
          <cell r="W9">
            <v>0</v>
          </cell>
          <cell r="X9" t="str">
            <v>Scenario 4</v>
          </cell>
          <cell r="Y9">
            <v>0</v>
          </cell>
          <cell r="Z9">
            <v>0</v>
          </cell>
          <cell r="AA9">
            <v>0</v>
          </cell>
          <cell r="AB9">
            <v>0</v>
          </cell>
          <cell r="AE9" t="str">
            <v>Asset Cover</v>
          </cell>
          <cell r="AF9" t="str">
            <v>Interest Cover</v>
          </cell>
          <cell r="AG9" t="str">
            <v>EBITDA MRI</v>
          </cell>
          <cell r="AH9" t="str">
            <v>Debt / Unit</v>
          </cell>
          <cell r="AI9" t="str">
            <v>Debt</v>
          </cell>
        </row>
      </sheetData>
      <sheetData sheetId="358">
        <row r="6">
          <cell r="E6" t="str">
            <v>Base Case</v>
          </cell>
        </row>
      </sheetData>
      <sheetData sheetId="359"/>
      <sheetData sheetId="360"/>
      <sheetData sheetId="361"/>
      <sheetData sheetId="362"/>
      <sheetData sheetId="363"/>
      <sheetData sheetId="364"/>
      <sheetData sheetId="365"/>
      <sheetData sheetId="366"/>
      <sheetData sheetId="367">
        <row r="12">
          <cell r="C12" t="str">
            <v>Gen Needs</v>
          </cell>
          <cell r="F12" t="str">
            <v>Gen Needs</v>
          </cell>
        </row>
        <row r="13">
          <cell r="C13" t="str">
            <v>LCHO</v>
          </cell>
          <cell r="F13" t="str">
            <v>LCHO</v>
          </cell>
        </row>
        <row r="14">
          <cell r="C14" t="str">
            <v>Supported</v>
          </cell>
          <cell r="F14" t="str">
            <v>Supported</v>
          </cell>
        </row>
        <row r="15">
          <cell r="C15" t="str">
            <v>Other</v>
          </cell>
          <cell r="F15" t="str">
            <v>Other</v>
          </cell>
        </row>
        <row r="16">
          <cell r="C16" t="str">
            <v/>
          </cell>
          <cell r="F16" t="str">
            <v xml:space="preserve"> </v>
          </cell>
        </row>
        <row r="17">
          <cell r="C17" t="str">
            <v/>
          </cell>
          <cell r="F17" t="str">
            <v>Outright Sale</v>
          </cell>
        </row>
        <row r="18">
          <cell r="C18" t="str">
            <v xml:space="preserve"> </v>
          </cell>
          <cell r="F18" t="str">
            <v>Non-social</v>
          </cell>
        </row>
        <row r="19">
          <cell r="C19" t="str">
            <v>Outright Sale</v>
          </cell>
        </row>
        <row r="20">
          <cell r="C20" t="str">
            <v>Non-social</v>
          </cell>
        </row>
        <row r="23">
          <cell r="C23" t="str">
            <v>Rents</v>
          </cell>
        </row>
        <row r="24">
          <cell r="C24" t="str">
            <v>Service charges</v>
          </cell>
        </row>
        <row r="25">
          <cell r="C25" t="str">
            <v>Support service</v>
          </cell>
        </row>
        <row r="26">
          <cell r="C26" t="str">
            <v>Revenue grants</v>
          </cell>
        </row>
        <row r="27">
          <cell r="C27" t="str">
            <v>Mjr rep grants</v>
          </cell>
        </row>
        <row r="28">
          <cell r="C28" t="str">
            <v>OSHLI</v>
          </cell>
        </row>
        <row r="29">
          <cell r="C29" t="str">
            <v>OSHAI</v>
          </cell>
        </row>
        <row r="30">
          <cell r="C30" t="str">
            <v>NSHAI</v>
          </cell>
        </row>
        <row r="31">
          <cell r="C31" t="str">
            <v>Gift Aid OSHAI</v>
          </cell>
        </row>
        <row r="32">
          <cell r="C32" t="str">
            <v>Gift Aid NSHAI</v>
          </cell>
        </row>
        <row r="34">
          <cell r="C34" t="str">
            <v>SH mgt costs</v>
          </cell>
        </row>
        <row r="35">
          <cell r="C35" t="str">
            <v>SH service costs</v>
          </cell>
        </row>
        <row r="36">
          <cell r="C36" t="str">
            <v>SH care/supp costs</v>
          </cell>
        </row>
        <row r="37">
          <cell r="C37" t="str">
            <v>Ongoing repairs</v>
          </cell>
        </row>
        <row r="38">
          <cell r="C38" t="str">
            <v>Mjr rep costs</v>
          </cell>
        </row>
        <row r="39">
          <cell r="C39" t="str">
            <v>Leasing costs</v>
          </cell>
        </row>
        <row r="40">
          <cell r="C40" t="str">
            <v>Other Costs</v>
          </cell>
        </row>
        <row r="41">
          <cell r="C41" t="str">
            <v>Homebuy</v>
          </cell>
        </row>
        <row r="42">
          <cell r="C42" t="str">
            <v>OSHNLC</v>
          </cell>
        </row>
        <row r="43">
          <cell r="C43" t="str">
            <v>ONSHC</v>
          </cell>
        </row>
        <row r="44">
          <cell r="C44" t="str">
            <v>Gift Aid pymt OSHNLC</v>
          </cell>
        </row>
        <row r="45">
          <cell r="C45" t="str">
            <v>Gift Aid pymt ONSHC</v>
          </cell>
        </row>
        <row r="52">
          <cell r="C52" t="str">
            <v>SHPB</v>
          </cell>
        </row>
        <row r="53">
          <cell r="C53" t="str">
            <v>NSHA</v>
          </cell>
        </row>
        <row r="54">
          <cell r="C54" t="str">
            <v>OSHA</v>
          </cell>
        </row>
        <row r="57">
          <cell r="A57" t="b">
            <v>0</v>
          </cell>
          <cell r="B57" t="str">
            <v>Gen Needs</v>
          </cell>
          <cell r="G57" t="str">
            <v>GenNeeds</v>
          </cell>
        </row>
        <row r="58">
          <cell r="A58" t="b">
            <v>1</v>
          </cell>
          <cell r="B58" t="str">
            <v>LCHO</v>
          </cell>
          <cell r="G58" t="str">
            <v>AffHO</v>
          </cell>
        </row>
        <row r="59">
          <cell r="A59" t="b">
            <v>0</v>
          </cell>
          <cell r="B59" t="str">
            <v>Supported</v>
          </cell>
          <cell r="G59" t="str">
            <v>Supp</v>
          </cell>
        </row>
        <row r="60">
          <cell r="A60" t="b">
            <v>1</v>
          </cell>
          <cell r="B60" t="str">
            <v>Other</v>
          </cell>
          <cell r="G60" t="str">
            <v>Other</v>
          </cell>
        </row>
        <row r="61">
          <cell r="A61" t="b">
            <v>1</v>
          </cell>
          <cell r="B61" t="str">
            <v xml:space="preserve"> </v>
          </cell>
          <cell r="G61">
            <v>0</v>
          </cell>
        </row>
        <row r="62">
          <cell r="A62" t="b">
            <v>1</v>
          </cell>
          <cell r="B62" t="str">
            <v>Outright Sale</v>
          </cell>
          <cell r="G62" t="str">
            <v>OutSale</v>
          </cell>
        </row>
        <row r="63">
          <cell r="A63" t="b">
            <v>1</v>
          </cell>
          <cell r="B63" t="str">
            <v>Non-social</v>
          </cell>
          <cell r="G63" t="str">
            <v>MktRent</v>
          </cell>
        </row>
      </sheetData>
      <sheetData sheetId="368"/>
      <sheetData sheetId="369"/>
      <sheetData sheetId="370"/>
      <sheetData sheetId="371"/>
      <sheetData sheetId="372"/>
      <sheetData sheetId="373"/>
      <sheetData sheetId="374"/>
      <sheetData sheetId="375"/>
      <sheetData sheetId="376">
        <row r="4">
          <cell r="B4" t="str">
            <v>Nigel Kennedy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Contents"/>
      <sheetName val="Macro Duration"/>
      <sheetName val="Colouring sheet"/>
      <sheetName val="Version History"/>
      <sheetName val="User Guide"/>
      <sheetName val="Check Sheet"/>
      <sheetName val="Hidden - BP Menu Sheet"/>
      <sheetName val="Amendments History"/>
      <sheetName val="Hidden - Sheet Lists"/>
      <sheetName val="Hidden - Generation Menu Set Up"/>
      <sheetName val="Hidden - Year Table"/>
      <sheetName val="Hidden - Lookup Lists"/>
      <sheetName val="Global Assumptions"/>
      <sheetName val="Stock Assumptions"/>
      <sheetName val="Rent Assumptions"/>
      <sheetName val="Service Charge Assumptions"/>
      <sheetName val="RTB Assumptions"/>
      <sheetName val="Income Foregone Assumptions"/>
      <sheetName val="Stock Disposal Assumptions"/>
      <sheetName val="Stock Conversion Assumptions"/>
      <sheetName val="Owner Occupier Assumptions"/>
      <sheetName val="Leaseholder Income Assumptions"/>
      <sheetName val="Specific Income Assumptions"/>
      <sheetName val="Other Income Assumptions"/>
      <sheetName val="Intercompany Income Assumptions"/>
      <sheetName val="Management Costs Assumptions"/>
      <sheetName val="Additional Pension Assumptions"/>
      <sheetName val="Repairs &amp; Maint. Assumptions"/>
      <sheetName val="Stock Condition Inputs"/>
      <sheetName val="Repairs &amp; Maint. VAT Shelter"/>
      <sheetName val="Repairs &amp; Maint. Rephasing"/>
      <sheetName val="Repairs &amp; Maint. Rates"/>
      <sheetName val="Capital Expenditure Assumptions"/>
      <sheetName val="Joint Venture Assumptions"/>
      <sheetName val="Intercompany Expend Assumptions"/>
      <sheetName val="Development Consol Options"/>
      <sheetName val="List Imported"/>
      <sheetName val="BP Input Schemes"/>
      <sheetName val="Development BP Assumptions"/>
      <sheetName val="Dvpt BP Rev and Exp Assumptions"/>
      <sheetName val="Non Tenure Capital Assumptions"/>
      <sheetName val="Economic Assumptions"/>
      <sheetName val="Funding Assumptions"/>
      <sheetName val="Interco Funding Assumptions"/>
      <sheetName val="Covenant Assumptions"/>
      <sheetName val="Taxation Assumptions"/>
      <sheetName val="Capitalisation Assumptions"/>
      <sheetName val="Accounts Assumptions"/>
      <sheetName val="Housing Asset Assumptions"/>
      <sheetName val="Other Fixed Asset Assumptions"/>
      <sheetName val="Other Current Asset Assumptions"/>
      <sheetName val="Journal Assumptions"/>
      <sheetName val="Cash Journals"/>
      <sheetName val="Target Rent Letting Rates"/>
      <sheetName val="Target Rent Letting Numbers"/>
      <sheetName val="Demolition Numbers"/>
      <sheetName val="RTB Numbers"/>
      <sheetName val="Other Disposal Numbers"/>
      <sheetName val="Stock Conversion Numbers"/>
      <sheetName val="Development Stock Numbers"/>
      <sheetName val="Existing Stock Numbers"/>
      <sheetName val="Hidden - Stock Number Checks"/>
      <sheetName val="Stock Numbers"/>
      <sheetName val="Service Charge Numbers"/>
      <sheetName val="Leaseholder Units"/>
      <sheetName val="Rent Factors"/>
      <sheetName val="Service Charge Factors"/>
      <sheetName val="Void Rates"/>
      <sheetName val="Bad Debts Rates"/>
      <sheetName val="Existing Unit Rents"/>
      <sheetName val="Unit Service Charges"/>
      <sheetName val="Existing Rental Income"/>
      <sheetName val="Existing Rental Void Losses"/>
      <sheetName val="Existing Rental Bad Debts"/>
      <sheetName val="Service Charge Income"/>
      <sheetName val="Service Charge Voids"/>
      <sheetName val="Service Charge Bad Debts"/>
      <sheetName val="Arrears"/>
      <sheetName val="Other Income Factors"/>
      <sheetName val="RTB Valuation Factors"/>
      <sheetName val="RTB Income Foregone"/>
      <sheetName val="RTB Receipts"/>
      <sheetName val="Other Disposal Income"/>
      <sheetName val="Owner Occupier Income"/>
      <sheetName val="Unit Leaseholder Charges"/>
      <sheetName val="Leaseholder Income"/>
      <sheetName val="Specific Income Drivers"/>
      <sheetName val="Specific Income Workings"/>
      <sheetName val="Specific Income Voids"/>
      <sheetName val="Specific Income Bad Debts"/>
      <sheetName val="Other Income Workings"/>
      <sheetName val="Intercompany Income"/>
      <sheetName val="Management Cost Drivers"/>
      <sheetName val="Management Cost Factors"/>
      <sheetName val="Fixed Management Costs"/>
      <sheetName val="Variable Management Costs"/>
      <sheetName val="Existing Management Costs"/>
      <sheetName val="Stock Condition Results"/>
      <sheetName val="Repairs &amp; Maint. Drivers"/>
      <sheetName val="Repairs &amp; Maint. Cost Factors"/>
      <sheetName val="Repairs &amp; Maintenance Costs"/>
      <sheetName val="VAT Shelter Calculation"/>
      <sheetName val="Repairs &amp; Maint Net Costs"/>
      <sheetName val="Repairs &amp; Maintenance Depn"/>
      <sheetName val="Cost &amp; Depn on Replacement"/>
      <sheetName val="Existing Repairs &amp; Maint. Costs"/>
      <sheetName val="Development Inflation Factors"/>
      <sheetName val="Hidden - Development Navigation"/>
      <sheetName val="Development Stock"/>
      <sheetName val="Development Capital"/>
      <sheetName val="Development Revenue"/>
      <sheetName val="Development Expenditure"/>
      <sheetName val="Dvpt NonCash"/>
      <sheetName val="Dvpt Component Depn"/>
      <sheetName val="Dvpt Comp Replacement"/>
      <sheetName val="Dvpt Maint Capitalisation"/>
      <sheetName val="Dvpt Factors"/>
      <sheetName val="Hidden - Imports Start"/>
      <sheetName val="Between Towns Road"/>
      <sheetName val="Bracegirdle"/>
      <sheetName val="Edgecombe Road"/>
      <sheetName val="Elsfield Cumberlege"/>
      <sheetName val="Harts Close"/>
      <sheetName val="Rose Hill"/>
      <sheetName val="Underhill Circus"/>
      <sheetName val="Warren Crescent"/>
      <sheetName val="15 Kempson Crescent"/>
      <sheetName val="16 Sparsey Place"/>
      <sheetName val="2 Dynham Place"/>
      <sheetName val="25 Westlands Drive"/>
      <sheetName val="26 Valentia Road"/>
      <sheetName val="32 Union Street"/>
      <sheetName val="51 Weirs Lane"/>
      <sheetName val="66 Sandy Lane"/>
      <sheetName val="74 Foxwell Drive"/>
      <sheetName val="9 Pauling Road"/>
      <sheetName val="Bertie Place"/>
      <sheetName val="Goose Green"/>
      <sheetName val="Hill View Farm"/>
      <sheetName val="Redbridge"/>
      <sheetName val="Westlands"/>
      <sheetName val="Cowley Marsh Depot"/>
      <sheetName val="Sandy Lane Rec Ground"/>
      <sheetName val="Thompson Tucker Juniper"/>
      <sheetName val="County Site - Sch 1"/>
      <sheetName val="County Site - Sch 2"/>
      <sheetName val="Alice Smith - Eastern"/>
      <sheetName val="Ruskin College"/>
      <sheetName val="JV US - Scheme 1"/>
      <sheetName val="JV US - Scheme 2"/>
      <sheetName val="JV US - Scheme 3"/>
      <sheetName val="JV US - Scheme 4"/>
      <sheetName val="NHS Slade Site"/>
      <sheetName val="District Sites - Sch 3"/>
      <sheetName val="Union St Car Park"/>
      <sheetName val="Barton Regen Howards"/>
      <sheetName val="Northfield Hostel"/>
      <sheetName val="Indoor Bowls Club"/>
      <sheetName val="Barton phase 1"/>
      <sheetName val="Barton phase 2"/>
      <sheetName val="Lucy Faithfull House"/>
      <sheetName val="Hidden - Tenure Totals Start"/>
      <sheetName val="Between Towns Road Total"/>
      <sheetName val="Bracegirdle Total"/>
      <sheetName val="Edgecombe Road Total"/>
      <sheetName val="Elsfield Cumberlege Total"/>
      <sheetName val="Harts Close Total"/>
      <sheetName val="Rose Hill Total"/>
      <sheetName val="Underhill Circus Total"/>
      <sheetName val="Warren Crescent Total"/>
      <sheetName val="15 Kempson Crescent Total"/>
      <sheetName val="16 Sparsey Place Total"/>
      <sheetName val="2 Dynham Place Total"/>
      <sheetName val="25 Westlands Drive Total"/>
      <sheetName val="26 Valentia Road Total"/>
      <sheetName val="32 Union Street Total"/>
      <sheetName val="51 Weirs Lane Total"/>
      <sheetName val="66 Sandy Lane Total"/>
      <sheetName val="74 Foxwell Drive Total"/>
      <sheetName val="9 Pauling Road Total"/>
      <sheetName val="Bertie Place Total"/>
      <sheetName val="Goose Green Total"/>
      <sheetName val="Hill View Farm Total"/>
      <sheetName val="Redbridge Total"/>
      <sheetName val="Westlands Total"/>
      <sheetName val="Cowley Marsh Depot Total"/>
      <sheetName val="Sandy Lane Rec Ground Total"/>
      <sheetName val="Thompson Tucker Juniper Total"/>
      <sheetName val="County Site - Sch 1 Total"/>
      <sheetName val="County Site - Sch 2 Total"/>
      <sheetName val="Alice Smith - Eastern Total"/>
      <sheetName val="Ruskin College Total"/>
      <sheetName val="JV US - Scheme 1 Total"/>
      <sheetName val="JV US - Scheme 2 Total"/>
      <sheetName val="JV US - Scheme 3 Total"/>
      <sheetName val="JV US - Scheme 4 Total"/>
      <sheetName val="NHS Slade Site Total"/>
      <sheetName val="District Sites - Sch 3 Total"/>
      <sheetName val="Union St Car Park Total"/>
      <sheetName val="Barton Regen Howards Total"/>
      <sheetName val="Northfield Hostel Total"/>
      <sheetName val="Indoor Bowls Club Total"/>
      <sheetName val="Barton phase 1 Total"/>
      <sheetName val="Barton phase 2 Total"/>
      <sheetName val="Lucy Faithfull House Total"/>
      <sheetName val="Hidden - Tenure Totals End"/>
      <sheetName val="Dvpt Imp Cashflows"/>
      <sheetName val="Dvpt Imp Non Cash"/>
      <sheetName val="All Schemes BP Non Cash"/>
      <sheetName val="Dvpt Imp NC Adj"/>
      <sheetName val="All Schemes Non Cash"/>
      <sheetName val="All Schemes BP Cashflow"/>
      <sheetName val="Dvpt Imp CF Adj"/>
      <sheetName val="All Schemes Cashflow"/>
      <sheetName val="All Schemes FFR"/>
      <sheetName val="Dvpt Imp FFR Info"/>
      <sheetName val="Dvpt Cashflows"/>
      <sheetName val="Non Tenure Capital Expenditure"/>
      <sheetName val="JV Opening balances"/>
      <sheetName val="JV Investments"/>
      <sheetName val="JV Share of Profits"/>
      <sheetName val="JV Payments Repayments"/>
      <sheetName val="JV Closing Balances"/>
      <sheetName val="JV Interest Received"/>
      <sheetName val="Interco Expenditure"/>
      <sheetName val="Funding Flowchart"/>
      <sheetName val="Hidden Funding Dates"/>
      <sheetName val="Hidden - Funds Avail consol"/>
      <sheetName val="Hidden - Funds Available"/>
      <sheetName val="Hidden - Investments"/>
      <sheetName val="Hidden - InterCo Int Rates"/>
      <sheetName val="Hidden - InterCo Opening Bal"/>
      <sheetName val="Hidden - InterCo Increases"/>
      <sheetName val="Hidden - InterCo Decreases"/>
      <sheetName val="Hidden - InterCo Closing Bal"/>
      <sheetName val="Hidden - InterCo Interest"/>
      <sheetName val="Hidden- Intermed Interest Rates"/>
      <sheetName val="Interest Rates"/>
      <sheetName val="Hidden - Revolver Op Bal"/>
      <sheetName val="Hidden - Revolver Adj Op Bal"/>
      <sheetName val="Hidden - Revolver Bal Pre Int"/>
      <sheetName val="Hidden - Revolver Close Bal"/>
      <sheetName val="Hidden - Revolver Draw Repay"/>
      <sheetName val="Hidden - Open Loan Facilities"/>
      <sheetName val="Hidden - Close Loan Facilities"/>
      <sheetName val="Hidden - Loan Opening Balances"/>
      <sheetName val="Hidden - Loan Drawdowns"/>
      <sheetName val="Hidden - Loan Interest"/>
      <sheetName val="Hidden - Loan Repayments"/>
      <sheetName val="Hidden - Loan Interest Charge"/>
      <sheetName val="Hidden - Interest Pay Dates"/>
      <sheetName val="Hidden - Interest Paid Factors"/>
      <sheetName val="Hidden - Interest Accrual"/>
      <sheetName val="Hidden - Loan Arrangement Fees"/>
      <sheetName val="Hidden - Loan Fees Amortisation"/>
      <sheetName val="Hidden - Loan Commitment Fees"/>
      <sheetName val="Loan Interest Payable"/>
      <sheetName val="Loan Opening Balances"/>
      <sheetName val="Loan Drawdowns"/>
      <sheetName val="Loan Interest Paid"/>
      <sheetName val="Loan Repayments"/>
      <sheetName val="Loan Closing Balances"/>
      <sheetName val="Loan Closing Facilities"/>
      <sheetName val="Loan Fixed Variable"/>
      <sheetName val="Loan Arrangement Fees"/>
      <sheetName val="Loan Commitment Fees"/>
      <sheetName val="Loan Fees Amortisation"/>
      <sheetName val="Cash on Deposit"/>
      <sheetName val="Investments"/>
      <sheetName val="InterCo Opening Balances"/>
      <sheetName val="InterCo Increases"/>
      <sheetName val="InterCo Decreases"/>
      <sheetName val="InterCo Closing Balances"/>
      <sheetName val="InterCo Interest"/>
      <sheetName val="Taxation Computation"/>
      <sheetName val="Depn Type Stock Numbers"/>
      <sheetName val="Component 1"/>
      <sheetName val="Component 2"/>
      <sheetName val="Component 3"/>
      <sheetName val="Component 4"/>
      <sheetName val="Component 5"/>
      <sheetName val="Component 6"/>
      <sheetName val="Component 7"/>
      <sheetName val="Component 8"/>
      <sheetName val="Component 9"/>
      <sheetName val="Component 10"/>
      <sheetName val="Component 11"/>
      <sheetName val="Component 12"/>
      <sheetName val="Component Totals"/>
      <sheetName val="Depreciation Capitalised Costs"/>
      <sheetName val="Depreciation Other Fixed Assets"/>
      <sheetName val="Opening HFG Workings"/>
      <sheetName val="Journals"/>
      <sheetName val="Component Non Cash Adjustments"/>
      <sheetName val="Other Non Cash Adjustments"/>
      <sheetName val="Dvpt Non Cash Adjustments"/>
      <sheetName val="Dvpt Comp Rep Adjustments"/>
      <sheetName val="Total BSheet Adj TB"/>
      <sheetName val="Total Non Cash Trial Balance"/>
      <sheetName val="Existing Cashflows"/>
      <sheetName val="Development Cashflows"/>
      <sheetName val="Cashflow"/>
      <sheetName val="Existing Cashflows Detailed"/>
      <sheetName val="Development Cashflow Detailed"/>
      <sheetName val="Cashflow det b4 interco"/>
      <sheetName val="Cashflow interco"/>
      <sheetName val="Cash Journals Detailed"/>
      <sheetName val="Cashflow detailed"/>
      <sheetName val="Total Cash Trial Balance"/>
      <sheetName val="Total Trial Balance"/>
      <sheetName val="Summary Comp Inc - Alt View"/>
      <sheetName val="Detailed Comp Inc - Alt View"/>
      <sheetName val="Financial Position - Alt View"/>
      <sheetName val="Cashflow Statement - Alt View"/>
      <sheetName val="Summary Comp Inc - Trad View"/>
      <sheetName val="Detailed Comp Inc - Trad View"/>
      <sheetName val="Financial Position - Trad View"/>
      <sheetName val="Cashflow Statement - Trad View"/>
      <sheetName val="OW - Covenant Workings"/>
      <sheetName val="OW - Charts Source Data"/>
      <sheetName val="OW - Live Covenant Calculation"/>
      <sheetName val="OW - Multivariable Factors"/>
      <sheetName val="OW - Captured Data"/>
      <sheetName val="OW - Covenant Calculation"/>
      <sheetName val="OW - MultiVar Desc Calculation"/>
      <sheetName val="BP Dashboard"/>
      <sheetName val="Funding Dashboard"/>
      <sheetName val="Covenants"/>
      <sheetName val="Value for Money Metrics"/>
      <sheetName val="Loan Output Table"/>
      <sheetName val="Summary Stock Numbers"/>
      <sheetName val="Surplus on Sales"/>
      <sheetName val="NSH Breakdown"/>
      <sheetName val="Hsg Properties Mvmt"/>
      <sheetName val="BP Input Scheme Cashflows"/>
      <sheetName val="5 Yr Monthly Cashflow"/>
      <sheetName val="5 Yr Quarterly Cashflow"/>
      <sheetName val="Live Multivariable Planner"/>
      <sheetName val="Multivariable Planner"/>
      <sheetName val="Multivariable Dashboard"/>
      <sheetName val="Comparative"/>
      <sheetName val="Comparative 2"/>
      <sheetName val="FFRW - Rental Income"/>
      <sheetName val="FFRW - Stock Numbers"/>
      <sheetName val="FFRW - Development"/>
      <sheetName val="FFRW - Average Rents"/>
      <sheetName val="FFRW - Gift Aid"/>
      <sheetName val="Hidden - FFR Ranges"/>
      <sheetName val="FFR Key Defn"/>
      <sheetName val="FFR Validation Summary"/>
      <sheetName val="Front Sheet"/>
      <sheetName val="FFR Workings"/>
      <sheetName val="Statements"/>
      <sheetName val="Assumptions &amp; tenure inputs"/>
      <sheetName val="Compliance Questions"/>
      <sheetName val="End protect sheet"/>
      <sheetName val="Error Checks"/>
    </sheetNames>
    <sheetDataSet>
      <sheetData sheetId="0"/>
      <sheetData sheetId="1"/>
      <sheetData sheetId="2">
        <row r="4">
          <cell r="B4">
            <v>0.5675</v>
          </cell>
        </row>
      </sheetData>
      <sheetData sheetId="3"/>
      <sheetData sheetId="4"/>
      <sheetData sheetId="5"/>
      <sheetData sheetId="6"/>
      <sheetData sheetId="7"/>
      <sheetData sheetId="8"/>
      <sheetData sheetId="9">
        <row r="14">
          <cell r="G14">
            <v>0</v>
          </cell>
        </row>
      </sheetData>
      <sheetData sheetId="10"/>
      <sheetData sheetId="11">
        <row r="2">
          <cell r="K2">
            <v>5</v>
          </cell>
        </row>
        <row r="6">
          <cell r="BE6" t="str">
            <v>2019/20</v>
          </cell>
        </row>
        <row r="7">
          <cell r="BE7" t="str">
            <v>2020/21</v>
          </cell>
        </row>
        <row r="8">
          <cell r="BE8" t="str">
            <v>2021/22</v>
          </cell>
        </row>
        <row r="9">
          <cell r="BE9" t="str">
            <v>2022/23</v>
          </cell>
        </row>
        <row r="10">
          <cell r="BE10" t="str">
            <v>2023/24</v>
          </cell>
        </row>
        <row r="11">
          <cell r="BE11" t="str">
            <v>2024/25</v>
          </cell>
        </row>
        <row r="12">
          <cell r="BE12" t="str">
            <v>2025/26</v>
          </cell>
        </row>
        <row r="13">
          <cell r="BE13" t="str">
            <v>2026/27</v>
          </cell>
        </row>
        <row r="14">
          <cell r="BE14" t="str">
            <v>2027/28</v>
          </cell>
        </row>
        <row r="15">
          <cell r="BE15" t="str">
            <v>2028/29</v>
          </cell>
        </row>
        <row r="16">
          <cell r="BE16" t="str">
            <v>2029/30</v>
          </cell>
        </row>
        <row r="17">
          <cell r="BE17" t="str">
            <v>2030/31</v>
          </cell>
        </row>
        <row r="18">
          <cell r="BE18" t="str">
            <v>2031/32</v>
          </cell>
        </row>
        <row r="19">
          <cell r="BE19" t="str">
            <v>2032/33</v>
          </cell>
        </row>
        <row r="20">
          <cell r="BE20" t="str">
            <v>2033/34</v>
          </cell>
        </row>
        <row r="21">
          <cell r="BE21" t="str">
            <v>2034/35</v>
          </cell>
        </row>
        <row r="22">
          <cell r="BE22" t="str">
            <v>2035/36</v>
          </cell>
        </row>
        <row r="23">
          <cell r="BE23" t="str">
            <v>2036/37</v>
          </cell>
        </row>
        <row r="24">
          <cell r="BE24" t="str">
            <v>2037/38</v>
          </cell>
        </row>
        <row r="25">
          <cell r="BE25" t="str">
            <v>2038/39</v>
          </cell>
        </row>
        <row r="26">
          <cell r="BE26" t="str">
            <v>2039/40</v>
          </cell>
        </row>
        <row r="27">
          <cell r="BE27" t="str">
            <v>2040/41</v>
          </cell>
        </row>
        <row r="28">
          <cell r="BE28" t="str">
            <v>2041/42</v>
          </cell>
        </row>
        <row r="29">
          <cell r="BE29" t="str">
            <v>2042/43</v>
          </cell>
        </row>
        <row r="30">
          <cell r="BE30" t="str">
            <v>2043/44</v>
          </cell>
        </row>
        <row r="31">
          <cell r="BE31" t="str">
            <v>2044/45</v>
          </cell>
        </row>
        <row r="32">
          <cell r="BE32" t="str">
            <v>2045/46</v>
          </cell>
        </row>
        <row r="33">
          <cell r="BE33" t="str">
            <v>2046/47</v>
          </cell>
        </row>
        <row r="34">
          <cell r="BE34" t="str">
            <v>2047/48</v>
          </cell>
        </row>
        <row r="35">
          <cell r="BE35" t="str">
            <v>2048/49</v>
          </cell>
        </row>
        <row r="36">
          <cell r="BE36" t="str">
            <v>2049/50</v>
          </cell>
        </row>
        <row r="37">
          <cell r="BE37" t="str">
            <v>2050/51</v>
          </cell>
        </row>
        <row r="38">
          <cell r="BE38" t="str">
            <v>2051/52</v>
          </cell>
        </row>
        <row r="39">
          <cell r="BE39" t="str">
            <v>2052/53</v>
          </cell>
        </row>
        <row r="40">
          <cell r="BE40" t="str">
            <v>2053/54</v>
          </cell>
        </row>
        <row r="41">
          <cell r="BE41" t="str">
            <v>2054/55</v>
          </cell>
        </row>
        <row r="42">
          <cell r="BE42" t="str">
            <v>2055/56</v>
          </cell>
        </row>
        <row r="43">
          <cell r="BE43" t="str">
            <v>2056/57</v>
          </cell>
        </row>
        <row r="44">
          <cell r="BE44" t="str">
            <v>2057/58</v>
          </cell>
        </row>
        <row r="45">
          <cell r="BE45" t="str">
            <v>2058/59</v>
          </cell>
        </row>
      </sheetData>
      <sheetData sheetId="12">
        <row r="6">
          <cell r="A6" t="str">
            <v>Total Scheme Cost</v>
          </cell>
          <cell r="H6" t="str">
            <v>Unit into Mgmt</v>
          </cell>
          <cell r="O6" t="str">
            <v>Year End</v>
          </cell>
          <cell r="AB6" t="str">
            <v>Existing</v>
          </cell>
        </row>
        <row r="7">
          <cell r="H7" t="str">
            <v>Profile</v>
          </cell>
          <cell r="O7" t="str">
            <v>By Period</v>
          </cell>
          <cell r="AB7" t="str">
            <v>New</v>
          </cell>
        </row>
      </sheetData>
      <sheetData sheetId="13">
        <row r="7">
          <cell r="C7" t="str">
            <v>Oxford City Housing Limited (Group)</v>
          </cell>
        </row>
      </sheetData>
      <sheetData sheetId="14">
        <row r="6">
          <cell r="E6" t="str">
            <v>GN Acq 2016/17 &amp; 2017/18</v>
          </cell>
        </row>
      </sheetData>
      <sheetData sheetId="15">
        <row r="8">
          <cell r="C8">
            <v>52</v>
          </cell>
        </row>
      </sheetData>
      <sheetData sheetId="16">
        <row r="5">
          <cell r="C5" t="str">
            <v/>
          </cell>
        </row>
      </sheetData>
      <sheetData sheetId="17"/>
      <sheetData sheetId="18"/>
      <sheetData sheetId="19">
        <row r="5">
          <cell r="C5" t="str">
            <v/>
          </cell>
        </row>
      </sheetData>
      <sheetData sheetId="20">
        <row r="5">
          <cell r="C5" t="str">
            <v/>
          </cell>
        </row>
      </sheetData>
      <sheetData sheetId="21"/>
      <sheetData sheetId="22"/>
      <sheetData sheetId="23">
        <row r="5">
          <cell r="C5" t="str">
            <v/>
          </cell>
        </row>
      </sheetData>
      <sheetData sheetId="24">
        <row r="5">
          <cell r="C5" t="str">
            <v/>
          </cell>
        </row>
      </sheetData>
      <sheetData sheetId="25">
        <row r="5">
          <cell r="D5" t="str">
            <v/>
          </cell>
        </row>
      </sheetData>
      <sheetData sheetId="26">
        <row r="5">
          <cell r="E5" t="str">
            <v/>
          </cell>
        </row>
      </sheetData>
      <sheetData sheetId="27"/>
      <sheetData sheetId="28">
        <row r="8">
          <cell r="A8" t="str">
            <v>Responsive</v>
          </cell>
        </row>
      </sheetData>
      <sheetData sheetId="29"/>
      <sheetData sheetId="30"/>
      <sheetData sheetId="31">
        <row r="6">
          <cell r="D6" t="str">
            <v/>
          </cell>
        </row>
      </sheetData>
      <sheetData sheetId="32"/>
      <sheetData sheetId="33">
        <row r="5">
          <cell r="B5" t="str">
            <v/>
          </cell>
        </row>
      </sheetData>
      <sheetData sheetId="34"/>
      <sheetData sheetId="35">
        <row r="5">
          <cell r="D5" t="str">
            <v/>
          </cell>
        </row>
      </sheetData>
      <sheetData sheetId="36">
        <row r="11">
          <cell r="I11">
            <v>0</v>
          </cell>
        </row>
      </sheetData>
      <sheetData sheetId="37">
        <row r="10">
          <cell r="A10" t="str">
            <v>Between Towns Road</v>
          </cell>
        </row>
      </sheetData>
      <sheetData sheetId="38">
        <row r="9">
          <cell r="A9" t="str">
            <v>All</v>
          </cell>
        </row>
      </sheetData>
      <sheetData sheetId="39">
        <row r="14">
          <cell r="G14" t="str">
            <v>Yes</v>
          </cell>
        </row>
        <row r="39">
          <cell r="G39" t="str">
            <v/>
          </cell>
          <cell r="H39" t="str">
            <v/>
          </cell>
          <cell r="I39" t="str">
            <v/>
          </cell>
          <cell r="J39" t="str">
            <v/>
          </cell>
          <cell r="K39" t="str">
            <v/>
          </cell>
          <cell r="L39" t="str">
            <v/>
          </cell>
          <cell r="M39" t="str">
            <v/>
          </cell>
          <cell r="N39" t="str">
            <v/>
          </cell>
          <cell r="O39" t="str">
            <v/>
          </cell>
          <cell r="P39" t="str">
            <v/>
          </cell>
          <cell r="R39" t="str">
            <v>Unit into Mgmt</v>
          </cell>
          <cell r="S39" t="str">
            <v>Unit into Mgmt</v>
          </cell>
          <cell r="T39" t="str">
            <v>Unit into Mgmt</v>
          </cell>
        </row>
      </sheetData>
      <sheetData sheetId="40"/>
      <sheetData sheetId="41">
        <row r="5">
          <cell r="B5" t="str">
            <v/>
          </cell>
        </row>
      </sheetData>
      <sheetData sheetId="42">
        <row r="250">
          <cell r="A250">
            <v>2</v>
          </cell>
        </row>
      </sheetData>
      <sheetData sheetId="43">
        <row r="13">
          <cell r="E13">
            <v>0</v>
          </cell>
        </row>
      </sheetData>
      <sheetData sheetId="44">
        <row r="32">
          <cell r="A32">
            <v>43556</v>
          </cell>
        </row>
      </sheetData>
      <sheetData sheetId="45">
        <row r="6">
          <cell r="D6" t="str">
            <v>Asset Cover</v>
          </cell>
        </row>
      </sheetData>
      <sheetData sheetId="46"/>
      <sheetData sheetId="47"/>
      <sheetData sheetId="48">
        <row r="34">
          <cell r="C34">
            <v>1</v>
          </cell>
        </row>
      </sheetData>
      <sheetData sheetId="49">
        <row r="6">
          <cell r="D6" t="str">
            <v>GN Acq 2016/17</v>
          </cell>
        </row>
      </sheetData>
      <sheetData sheetId="50">
        <row r="7">
          <cell r="D7" t="str">
            <v>Major Projects and Regeneration SLA</v>
          </cell>
        </row>
      </sheetData>
      <sheetData sheetId="51"/>
      <sheetData sheetId="52"/>
      <sheetData sheetId="53">
        <row r="5">
          <cell r="D5" t="str">
            <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7">
          <cell r="C7" t="str">
            <v>Stock Numbers</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8">
          <cell r="A8" t="str">
            <v>Opening Stock Numbers</v>
          </cell>
        </row>
      </sheetData>
      <sheetData sheetId="109"/>
      <sheetData sheetId="110">
        <row r="125">
          <cell r="G125">
            <v>1</v>
          </cell>
        </row>
      </sheetData>
      <sheetData sheetId="111">
        <row r="7">
          <cell r="C7">
            <v>11</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ow r="11">
          <cell r="E11">
            <v>0</v>
          </cell>
        </row>
      </sheetData>
      <sheetData sheetId="163">
        <row r="11">
          <cell r="E11">
            <v>0</v>
          </cell>
        </row>
      </sheetData>
      <sheetData sheetId="164">
        <row r="11">
          <cell r="E11">
            <v>0</v>
          </cell>
        </row>
      </sheetData>
      <sheetData sheetId="165">
        <row r="11">
          <cell r="E11">
            <v>0</v>
          </cell>
        </row>
      </sheetData>
      <sheetData sheetId="166">
        <row r="11">
          <cell r="E11">
            <v>0</v>
          </cell>
        </row>
      </sheetData>
      <sheetData sheetId="167">
        <row r="11">
          <cell r="E11">
            <v>0</v>
          </cell>
        </row>
      </sheetData>
      <sheetData sheetId="168">
        <row r="11">
          <cell r="E11">
            <v>0</v>
          </cell>
        </row>
      </sheetData>
      <sheetData sheetId="169">
        <row r="11">
          <cell r="E11">
            <v>0</v>
          </cell>
        </row>
      </sheetData>
      <sheetData sheetId="170">
        <row r="11">
          <cell r="E11">
            <v>0</v>
          </cell>
        </row>
      </sheetData>
      <sheetData sheetId="171">
        <row r="11">
          <cell r="E11">
            <v>0</v>
          </cell>
        </row>
      </sheetData>
      <sheetData sheetId="172">
        <row r="11">
          <cell r="E11">
            <v>0</v>
          </cell>
        </row>
      </sheetData>
      <sheetData sheetId="173">
        <row r="11">
          <cell r="E11">
            <v>0</v>
          </cell>
        </row>
      </sheetData>
      <sheetData sheetId="174">
        <row r="11">
          <cell r="E11">
            <v>0</v>
          </cell>
        </row>
      </sheetData>
      <sheetData sheetId="175">
        <row r="11">
          <cell r="E11">
            <v>0</v>
          </cell>
        </row>
      </sheetData>
      <sheetData sheetId="176">
        <row r="11">
          <cell r="E11">
            <v>0</v>
          </cell>
        </row>
      </sheetData>
      <sheetData sheetId="177">
        <row r="11">
          <cell r="E11">
            <v>0</v>
          </cell>
        </row>
      </sheetData>
      <sheetData sheetId="178">
        <row r="11">
          <cell r="E11">
            <v>0</v>
          </cell>
        </row>
      </sheetData>
      <sheetData sheetId="179">
        <row r="11">
          <cell r="E11">
            <v>0</v>
          </cell>
        </row>
      </sheetData>
      <sheetData sheetId="180">
        <row r="11">
          <cell r="E11">
            <v>0</v>
          </cell>
        </row>
      </sheetData>
      <sheetData sheetId="181">
        <row r="11">
          <cell r="E11">
            <v>0</v>
          </cell>
        </row>
      </sheetData>
      <sheetData sheetId="182">
        <row r="11">
          <cell r="E11">
            <v>0</v>
          </cell>
        </row>
      </sheetData>
      <sheetData sheetId="183">
        <row r="11">
          <cell r="E11">
            <v>0</v>
          </cell>
        </row>
      </sheetData>
      <sheetData sheetId="184">
        <row r="11">
          <cell r="E11">
            <v>0</v>
          </cell>
        </row>
      </sheetData>
      <sheetData sheetId="185">
        <row r="11">
          <cell r="E11">
            <v>0</v>
          </cell>
        </row>
      </sheetData>
      <sheetData sheetId="186">
        <row r="11">
          <cell r="E11">
            <v>0</v>
          </cell>
        </row>
      </sheetData>
      <sheetData sheetId="187">
        <row r="11">
          <cell r="E11">
            <v>0</v>
          </cell>
        </row>
      </sheetData>
      <sheetData sheetId="188">
        <row r="11">
          <cell r="E11">
            <v>0</v>
          </cell>
        </row>
      </sheetData>
      <sheetData sheetId="189">
        <row r="11">
          <cell r="E11">
            <v>0</v>
          </cell>
        </row>
      </sheetData>
      <sheetData sheetId="190">
        <row r="11">
          <cell r="E11">
            <v>0</v>
          </cell>
        </row>
      </sheetData>
      <sheetData sheetId="191">
        <row r="11">
          <cell r="E11">
            <v>0</v>
          </cell>
        </row>
      </sheetData>
      <sheetData sheetId="192">
        <row r="11">
          <cell r="E11">
            <v>0</v>
          </cell>
        </row>
      </sheetData>
      <sheetData sheetId="193">
        <row r="11">
          <cell r="E11">
            <v>0</v>
          </cell>
        </row>
      </sheetData>
      <sheetData sheetId="194">
        <row r="11">
          <cell r="E11">
            <v>0</v>
          </cell>
        </row>
      </sheetData>
      <sheetData sheetId="195">
        <row r="11">
          <cell r="E11">
            <v>0</v>
          </cell>
        </row>
      </sheetData>
      <sheetData sheetId="196">
        <row r="11">
          <cell r="E11">
            <v>0</v>
          </cell>
        </row>
      </sheetData>
      <sheetData sheetId="197">
        <row r="11">
          <cell r="E11">
            <v>0</v>
          </cell>
        </row>
      </sheetData>
      <sheetData sheetId="198">
        <row r="11">
          <cell r="E11">
            <v>0</v>
          </cell>
        </row>
      </sheetData>
      <sheetData sheetId="199">
        <row r="11">
          <cell r="E11">
            <v>0</v>
          </cell>
        </row>
      </sheetData>
      <sheetData sheetId="200">
        <row r="11">
          <cell r="E11">
            <v>0</v>
          </cell>
        </row>
      </sheetData>
      <sheetData sheetId="201">
        <row r="11">
          <cell r="E11">
            <v>0</v>
          </cell>
        </row>
      </sheetData>
      <sheetData sheetId="202">
        <row r="11">
          <cell r="E11">
            <v>0</v>
          </cell>
        </row>
      </sheetData>
      <sheetData sheetId="203">
        <row r="11">
          <cell r="E11">
            <v>19.209670624857743</v>
          </cell>
        </row>
      </sheetData>
      <sheetData sheetId="204">
        <row r="11">
          <cell r="E11">
            <v>0</v>
          </cell>
        </row>
      </sheetData>
      <sheetData sheetId="205">
        <row r="11">
          <cell r="E11">
            <v>0</v>
          </cell>
        </row>
      </sheetData>
      <sheetData sheetId="206"/>
      <sheetData sheetId="207"/>
      <sheetData sheetId="208"/>
      <sheetData sheetId="209"/>
      <sheetData sheetId="210"/>
      <sheetData sheetId="211"/>
      <sheetData sheetId="212">
        <row r="7">
          <cell r="E7" t="str">
            <v>Social Housing</v>
          </cell>
        </row>
      </sheetData>
      <sheetData sheetId="213"/>
      <sheetData sheetId="214">
        <row r="11">
          <cell r="A11">
            <v>1</v>
          </cell>
        </row>
      </sheetData>
      <sheetData sheetId="215"/>
      <sheetData sheetId="216"/>
      <sheetData sheetId="217"/>
      <sheetData sheetId="218"/>
      <sheetData sheetId="219"/>
      <sheetData sheetId="220"/>
      <sheetData sheetId="221"/>
      <sheetData sheetId="222"/>
      <sheetData sheetId="223"/>
      <sheetData sheetId="224">
        <row r="10">
          <cell r="A10">
            <v>1</v>
          </cell>
        </row>
      </sheetData>
      <sheetData sheetId="225"/>
      <sheetData sheetId="226"/>
      <sheetData sheetId="227">
        <row r="8">
          <cell r="C8">
            <v>43556</v>
          </cell>
        </row>
      </sheetData>
      <sheetData sheetId="228"/>
      <sheetData sheetId="229"/>
      <sheetData sheetId="230">
        <row r="8">
          <cell r="G8">
            <v>0</v>
          </cell>
        </row>
      </sheetData>
      <sheetData sheetId="231"/>
      <sheetData sheetId="232"/>
      <sheetData sheetId="233">
        <row r="8">
          <cell r="I8">
            <v>0</v>
          </cell>
        </row>
      </sheetData>
      <sheetData sheetId="234">
        <row r="8">
          <cell r="I8">
            <v>0</v>
          </cell>
        </row>
      </sheetData>
      <sheetData sheetId="235"/>
      <sheetData sheetId="236">
        <row r="8">
          <cell r="I8">
            <v>0</v>
          </cell>
        </row>
      </sheetData>
      <sheetData sheetId="237">
        <row r="8">
          <cell r="W8">
            <v>1</v>
          </cell>
        </row>
      </sheetData>
      <sheetData sheetId="238">
        <row r="9">
          <cell r="T9">
            <v>3.0000000000000001E-3</v>
          </cell>
        </row>
      </sheetData>
      <sheetData sheetId="239"/>
      <sheetData sheetId="240"/>
      <sheetData sheetId="241"/>
      <sheetData sheetId="242"/>
      <sheetData sheetId="243"/>
      <sheetData sheetId="244"/>
      <sheetData sheetId="245"/>
      <sheetData sheetId="246">
        <row r="8">
          <cell r="E8">
            <v>801.71933999999999</v>
          </cell>
        </row>
      </sheetData>
      <sheetData sheetId="247">
        <row r="8">
          <cell r="E8">
            <v>0</v>
          </cell>
        </row>
      </sheetData>
      <sheetData sheetId="248">
        <row r="8">
          <cell r="E8">
            <v>2.53658742</v>
          </cell>
        </row>
      </sheetData>
      <sheetData sheetId="249">
        <row r="8">
          <cell r="E8">
            <v>-2.53658742</v>
          </cell>
        </row>
      </sheetData>
      <sheetData sheetId="250"/>
      <sheetData sheetId="251"/>
      <sheetData sheetId="252"/>
      <sheetData sheetId="253"/>
      <sheetData sheetId="254">
        <row r="8">
          <cell r="S8">
            <v>0</v>
          </cell>
        </row>
      </sheetData>
      <sheetData sheetId="255"/>
      <sheetData sheetId="256">
        <row r="8">
          <cell r="S8">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0">
          <cell r="A10">
            <v>1</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ow r="108">
          <cell r="A108">
            <v>1</v>
          </cell>
        </row>
      </sheetData>
      <sheetData sheetId="293"/>
      <sheetData sheetId="294"/>
      <sheetData sheetId="295"/>
      <sheetData sheetId="296"/>
      <sheetData sheetId="297"/>
      <sheetData sheetId="298"/>
      <sheetData sheetId="299"/>
      <sheetData sheetId="300">
        <row r="10">
          <cell r="A10">
            <v>1</v>
          </cell>
        </row>
      </sheetData>
      <sheetData sheetId="301"/>
      <sheetData sheetId="302">
        <row r="12">
          <cell r="A12">
            <v>1</v>
          </cell>
        </row>
      </sheetData>
      <sheetData sheetId="303"/>
      <sheetData sheetId="304"/>
      <sheetData sheetId="305"/>
      <sheetData sheetId="306"/>
      <sheetData sheetId="307"/>
      <sheetData sheetId="308"/>
      <sheetData sheetId="309"/>
      <sheetData sheetId="310">
        <row r="6">
          <cell r="D6" t="str">
            <v>I&amp;E - Rents Receivable</v>
          </cell>
        </row>
      </sheetData>
      <sheetData sheetId="311"/>
      <sheetData sheetId="312"/>
      <sheetData sheetId="313"/>
      <sheetData sheetId="314"/>
      <sheetData sheetId="315"/>
      <sheetData sheetId="316"/>
      <sheetData sheetId="317"/>
      <sheetData sheetId="318"/>
      <sheetData sheetId="319"/>
      <sheetData sheetId="320"/>
      <sheetData sheetId="321"/>
      <sheetData sheetId="322">
        <row r="12">
          <cell r="A12">
            <v>1</v>
          </cell>
        </row>
      </sheetData>
      <sheetData sheetId="323"/>
      <sheetData sheetId="324">
        <row r="7">
          <cell r="E7" t="str">
            <v>Base Case</v>
          </cell>
        </row>
      </sheetData>
      <sheetData sheetId="325"/>
      <sheetData sheetId="326"/>
      <sheetData sheetId="327">
        <row r="6">
          <cell r="D6" t="str">
            <v>All</v>
          </cell>
        </row>
      </sheetData>
      <sheetData sheetId="328"/>
      <sheetData sheetId="329"/>
      <sheetData sheetId="330"/>
      <sheetData sheetId="331"/>
      <sheetData sheetId="332"/>
      <sheetData sheetId="333"/>
      <sheetData sheetId="334"/>
      <sheetData sheetId="335">
        <row r="7">
          <cell r="A7" t="str">
            <v>All</v>
          </cell>
        </row>
      </sheetData>
      <sheetData sheetId="336"/>
      <sheetData sheetId="337"/>
      <sheetData sheetId="338">
        <row r="11">
          <cell r="O11" t="str">
            <v>N</v>
          </cell>
        </row>
      </sheetData>
      <sheetData sheetId="339">
        <row r="8">
          <cell r="I8" t="str">
            <v>Use assumptions below</v>
          </cell>
        </row>
      </sheetData>
      <sheetData sheetId="340">
        <row r="6">
          <cell r="E6" t="str">
            <v>Increase in Build Costs</v>
          </cell>
        </row>
      </sheetData>
      <sheetData sheetId="341"/>
      <sheetData sheetId="342"/>
      <sheetData sheetId="343"/>
      <sheetData sheetId="344"/>
      <sheetData sheetId="345"/>
      <sheetData sheetId="346"/>
      <sheetData sheetId="347"/>
      <sheetData sheetId="348"/>
      <sheetData sheetId="349">
        <row r="12">
          <cell r="C12" t="str">
            <v>Gen Needs</v>
          </cell>
        </row>
        <row r="37">
          <cell r="D37" t="str">
            <v>Ongoing repairs</v>
          </cell>
        </row>
      </sheetData>
      <sheetData sheetId="350"/>
      <sheetData sheetId="351"/>
      <sheetData sheetId="352"/>
      <sheetData sheetId="353"/>
      <sheetData sheetId="354"/>
      <sheetData sheetId="355"/>
      <sheetData sheetId="356"/>
      <sheetData sheetId="3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stgate Project Overview"/>
      <sheetName val="John Lewis"/>
      <sheetName val="Building 2"/>
      <sheetName val="Building 3"/>
      <sheetName val="Building 4"/>
    </sheetNames>
    <sheetDataSet>
      <sheetData sheetId="0" refreshError="1"/>
      <sheetData sheetId="1">
        <row r="4">
          <cell r="E4">
            <v>4030.71</v>
          </cell>
        </row>
      </sheetData>
      <sheetData sheetId="2">
        <row r="12">
          <cell r="D12">
            <v>3237</v>
          </cell>
        </row>
      </sheetData>
      <sheetData sheetId="3">
        <row r="36">
          <cell r="D36">
            <v>6889.2000000000007</v>
          </cell>
        </row>
      </sheetData>
      <sheetData sheetId="4">
        <row r="25">
          <cell r="D25">
            <v>4107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ing"/>
      <sheetName val="Prioritisation"/>
      <sheetName val="Header"/>
      <sheetName val="SCORE"/>
      <sheetName val="Overall Summary"/>
      <sheetName val="position"/>
      <sheetName val="overall with new"/>
      <sheetName val="Maintenance and Repair etc"/>
      <sheetName val="Summary prioritisation"/>
      <sheetName val="ICT Projects &amp; Funding"/>
      <sheetName val="Revenue Implications"/>
      <sheetName val="CREG Header"/>
      <sheetName val="CREG Summary"/>
      <sheetName val="St Clements EI"/>
      <sheetName val="Templars Square Public Safety"/>
      <sheetName val="West End Contributions"/>
      <sheetName val="S14-Planned Maint"/>
      <sheetName val="S13-Empty Homes"/>
      <sheetName val="OD&amp;CS Header"/>
      <sheetName val="OD&amp;CS Summary"/>
      <sheetName val="S32-Fraud sol"/>
      <sheetName val="S32-Veriscan"/>
      <sheetName val="S03-Website"/>
      <sheetName val="S03-Webserv"/>
      <sheetName val="S03-Ent License"/>
      <sheetName val="CSER Header"/>
      <sheetName val="CSER Summary"/>
      <sheetName val="S23  Car Parks - Resurfacing"/>
      <sheetName val="S23- Seacourt P&amp;R"/>
      <sheetName val="S23 -Toilets"/>
      <sheetName val="S23-Food waste"/>
      <sheetName val="S23-Vehicles"/>
      <sheetName val="S23-Garden Waste"/>
      <sheetName val="S23-Bin Wash"/>
      <sheetName val="S22-RH Drainage"/>
      <sheetName val="S22-Splash Feat"/>
      <sheetName val="S22-Court Pl"/>
      <sheetName val="S22-Feas Study"/>
      <sheetName val="S22 Blackbird Leys Pools"/>
      <sheetName val="S22-RH Comm cen"/>
      <sheetName val="S22- Biomass"/>
      <sheetName val="S22- Oxford Spires"/>
      <sheetName val="S12-SALIX"/>
      <sheetName val="S12-CCTV"/>
      <sheetName val="S12-DRG"/>
      <sheetName val="drop-down list"/>
      <sheetName val="cil"/>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J6">
            <v>1810000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
          <cell r="A2">
            <v>10</v>
          </cell>
          <cell r="B2">
            <v>10</v>
          </cell>
          <cell r="C2">
            <v>4</v>
          </cell>
          <cell r="D2">
            <v>10</v>
          </cell>
          <cell r="E2">
            <v>10</v>
          </cell>
          <cell r="F2">
            <v>10</v>
          </cell>
        </row>
        <row r="3">
          <cell r="A3">
            <v>8</v>
          </cell>
          <cell r="B3">
            <v>3</v>
          </cell>
          <cell r="C3">
            <v>2</v>
          </cell>
          <cell r="D3">
            <v>4</v>
          </cell>
          <cell r="E3">
            <v>6</v>
          </cell>
          <cell r="F3">
            <v>6</v>
          </cell>
        </row>
        <row r="4">
          <cell r="A4">
            <v>6</v>
          </cell>
          <cell r="B4">
            <v>0</v>
          </cell>
          <cell r="C4">
            <v>0</v>
          </cell>
          <cell r="D4">
            <v>2</v>
          </cell>
          <cell r="E4">
            <v>0</v>
          </cell>
          <cell r="F4">
            <v>4</v>
          </cell>
        </row>
        <row r="5">
          <cell r="A5">
            <v>4</v>
          </cell>
          <cell r="D5">
            <v>0</v>
          </cell>
          <cell r="E5">
            <v>-4</v>
          </cell>
          <cell r="F5">
            <v>2</v>
          </cell>
        </row>
        <row r="6">
          <cell r="A6">
            <v>2</v>
          </cell>
          <cell r="F6">
            <v>0</v>
          </cell>
        </row>
        <row r="7">
          <cell r="A7">
            <v>0</v>
          </cell>
          <cell r="F7">
            <v>-4</v>
          </cell>
        </row>
      </sheetData>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Z110202"/>
      <sheetName val="Z400116SSvt"/>
      <sheetName val="Z110201SSvt"/>
      <sheetName val="Z110202SSvt"/>
      <sheetName val="Z110203SSvt"/>
      <sheetName val="Z110204SSvt"/>
      <sheetName val="ZC30100SSvt"/>
    </sheetNames>
    <sheetDataSet>
      <sheetData sheetId="0">
        <row r="4">
          <cell r="A4" t="str">
            <v>Z400116</v>
          </cell>
          <cell r="B4" t="str">
            <v>Customs &amp; Excise</v>
          </cell>
          <cell r="C4">
            <v>897254.26</v>
          </cell>
          <cell r="D4">
            <v>0</v>
          </cell>
          <cell r="E4" t="str">
            <v>S Sievert</v>
          </cell>
        </row>
        <row r="5">
          <cell r="A5" t="str">
            <v>Z110201</v>
          </cell>
          <cell r="B5" t="str">
            <v>VAT</v>
          </cell>
          <cell r="C5">
            <v>0</v>
          </cell>
          <cell r="D5">
            <v>0</v>
          </cell>
          <cell r="E5" t="str">
            <v>S Sievert</v>
          </cell>
        </row>
        <row r="6">
          <cell r="A6" t="str">
            <v>Z110202</v>
          </cell>
          <cell r="B6" t="str">
            <v>Customs &amp; Excise Personal A/c</v>
          </cell>
          <cell r="C6">
            <v>0</v>
          </cell>
          <cell r="D6">
            <v>0</v>
          </cell>
          <cell r="E6" t="str">
            <v>S Sievert</v>
          </cell>
        </row>
        <row r="7">
          <cell r="A7" t="str">
            <v>Z110203</v>
          </cell>
          <cell r="B7" t="str">
            <v>VAT Overs/Unders Adjustments</v>
          </cell>
          <cell r="C7">
            <v>0</v>
          </cell>
          <cell r="D7">
            <v>0</v>
          </cell>
          <cell r="E7" t="str">
            <v>S Sievert</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KHADE Sonal" id="{CA3D07A3-DCF9-40F5-A64F-3455823A1C56}" userId="S::skhade@oxford.gov.uk::f479fc4e-2020-4674-8e50-c30ddb48ab7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wickens" refreshedDate="45579.726940393521" createdVersion="5" refreshedVersion="8" minRefreshableVersion="3" recordCount="2440" xr:uid="{00000000-000A-0000-FFFF-FFFF03000000}">
  <cacheSource type="worksheet">
    <worksheetSource ref="A1:M2441" sheet="AJ all trans"/>
  </cacheSource>
  <cacheFields count="13">
    <cacheField name="Servhead" numFmtId="0">
      <sharedItems/>
    </cacheField>
    <cacheField name="Servsub1" numFmtId="0">
      <sharedItems count="48">
        <s v="S01D"/>
        <s v="S01B"/>
        <s v="S01A"/>
        <s v="S03G"/>
        <s v="S03F"/>
        <s v="S03C"/>
        <s v="S03H"/>
        <s v="S03E"/>
        <s v="S10B"/>
        <s v="S10A"/>
        <s v="S10D"/>
        <s v="S10C"/>
        <s v="S13L"/>
        <s v="S13K"/>
        <s v="S15C"/>
        <s v="S15A"/>
        <s v="S16D"/>
        <s v="S16A"/>
        <s v="S16B"/>
        <s v="S16C"/>
        <s v="S20B"/>
        <s v="S20C"/>
        <s v="S20A"/>
        <s v="S22I"/>
        <s v="S22A"/>
        <s v="S22K"/>
        <s v="S22G"/>
        <s v="S22L"/>
        <s v="S22P"/>
        <s v="S22J"/>
        <s v="S22C"/>
        <s v="S26A"/>
        <s v="S26D"/>
        <s v="S26I"/>
        <s v="S26C"/>
        <s v="S26G"/>
        <s v="S26X"/>
        <s v="S26B"/>
        <s v="S32E"/>
        <s v="S32G"/>
        <s v="S32A"/>
        <s v="S32I"/>
        <s v="S32F"/>
        <s v="S32D"/>
        <s v="S34C"/>
        <s v="S34F"/>
        <s v="S34B"/>
        <s v="S34A"/>
      </sharedItems>
    </cacheField>
    <cacheField name="TT" numFmtId="0">
      <sharedItems/>
    </cacheField>
    <cacheField name="TransNo" numFmtId="167">
      <sharedItems containsSemiMixedTypes="0" containsString="0" containsNumber="1" containsInteger="1" minValue="10347948" maxValue="10348563"/>
    </cacheField>
    <cacheField name="Trans.date" numFmtId="14">
      <sharedItems containsSemiMixedTypes="0" containsNonDate="0" containsDate="1" containsString="0" minDate="2019-04-10T00:00:00" maxDate="2020-05-06T00:00:00"/>
    </cacheField>
    <cacheField name="Period" numFmtId="167">
      <sharedItems containsSemiMixedTypes="0" containsString="0" containsNumber="1" containsInteger="1" minValue="202101" maxValue="202101"/>
    </cacheField>
    <cacheField name="Controla" numFmtId="0">
      <sharedItems/>
    </cacheField>
    <cacheField name="Exp/inc" numFmtId="0">
      <sharedItems/>
    </cacheField>
    <cacheField name="Account" numFmtId="0">
      <sharedItems/>
    </cacheField>
    <cacheField name="Costc" numFmtId="0">
      <sharedItems/>
    </cacheField>
    <cacheField name="Text" numFmtId="0">
      <sharedItems/>
    </cacheField>
    <cacheField name="Amount" numFmtId="40">
      <sharedItems containsSemiMixedTypes="0" containsString="0" containsNumber="1" minValue="-1004194.55" maxValue="1219000"/>
    </cacheField>
    <cacheField name="Amount /1000" numFmtId="40">
      <sharedItems containsSemiMixedTypes="0" containsString="0" containsNumber="1" minValue="-1004.19455" maxValue="12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0">
  <r>
    <s v="S01"/>
    <x v="0"/>
    <s v="AJ"/>
    <n v="10347981"/>
    <d v="2020-04-03T00:00:00"/>
    <n v="202101"/>
    <s v="1"/>
    <s v="EXP"/>
    <s v="D3429"/>
    <s v="KK02"/>
    <s v="P12 P2P accruals 2019/20, 8036064, CANTIUM BUSINESS SOLUTIONS LTD"/>
    <n v="-51"/>
    <n v="-5.0999999999999997E-2"/>
  </r>
  <r>
    <s v="S01"/>
    <x v="0"/>
    <s v="AJ"/>
    <n v="10348061"/>
    <d v="2020-04-07T00:00:00"/>
    <n v="202101"/>
    <s v="1"/>
    <s v="EXP"/>
    <s v="D3703"/>
    <s v="KK02"/>
    <s v="Oxfordshire Safeguarding Adults Board (OSAB) financial contribution 2019-20"/>
    <n v="-5000"/>
    <n v="-5"/>
  </r>
  <r>
    <s v="S01"/>
    <x v="1"/>
    <s v="AJ"/>
    <n v="10348061"/>
    <d v="2020-04-07T00:00:00"/>
    <n v="202101"/>
    <s v="1"/>
    <s v="EXP"/>
    <s v="D3804"/>
    <s v="KP01"/>
    <s v="Renewal of Copyright Licence No.: prepay 1 Apr to 1 Dec 2020 - see trans 1066960 &amp; 1067045"/>
    <n v="896.13"/>
    <n v="0.89612999999999998"/>
  </r>
  <r>
    <s v="S01"/>
    <x v="1"/>
    <s v="AJ"/>
    <n v="10347948"/>
    <d v="2020-04-02T00:00:00"/>
    <n v="202101"/>
    <s v="1"/>
    <s v="EXP"/>
    <s v="D8007"/>
    <s v="KP06"/>
    <s v="COVERED MARKET"/>
    <n v="-635.25"/>
    <n v="-0.63524999999999998"/>
  </r>
  <r>
    <s v="S01"/>
    <x v="1"/>
    <s v="AJ"/>
    <n v="10347981"/>
    <d v="2020-04-03T00:00:00"/>
    <n v="202101"/>
    <s v="1"/>
    <s v="EXP"/>
    <s v="D3401"/>
    <s v="KP01"/>
    <s v="P12 P2P accruals 2019/20, 8039385, MONCHU CREATIVE LTD"/>
    <n v="-126"/>
    <n v="-0.126"/>
  </r>
  <r>
    <s v="S01"/>
    <x v="1"/>
    <s v="AJ"/>
    <n v="10347981"/>
    <d v="2020-04-03T00:00:00"/>
    <n v="202101"/>
    <s v="1"/>
    <s v="EXP"/>
    <s v="D3802"/>
    <s v="KP01"/>
    <s v="P12 P2P accruals 2019/20, 8039397, MONCHU CREATIVE LTD"/>
    <n v="-330"/>
    <n v="-0.33"/>
  </r>
  <r>
    <s v="S01"/>
    <x v="1"/>
    <s v="AJ"/>
    <n v="10347981"/>
    <d v="2020-04-03T00:00:00"/>
    <n v="202101"/>
    <s v="1"/>
    <s v="EXP"/>
    <s v="D3401"/>
    <s v="KP01"/>
    <s v="P12 P2P accruals 2019/20, 8031782, DAVID FLEMING"/>
    <n v="-150"/>
    <n v="-0.15"/>
  </r>
  <r>
    <s v="S01"/>
    <x v="1"/>
    <s v="AJ"/>
    <n v="10347981"/>
    <d v="2020-04-03T00:00:00"/>
    <n v="202101"/>
    <s v="1"/>
    <s v="EXP"/>
    <s v="D3802"/>
    <s v="KP01"/>
    <s v="P12 P2P accruals 2019/20, 8039383, Jack Media Oxfordshire Ltd"/>
    <n v="-5350.4"/>
    <n v="-5.3503999999999996"/>
  </r>
  <r>
    <s v="S01"/>
    <x v="1"/>
    <s v="AJ"/>
    <n v="10347981"/>
    <d v="2020-04-03T00:00:00"/>
    <n v="202101"/>
    <s v="1"/>
    <s v="EXP"/>
    <s v="D3303"/>
    <s v="KP01"/>
    <s v="P12 P2P accruals 2019/20, 8039243, CRITIQOM LTD"/>
    <n v="-3500"/>
    <n v="-3.5"/>
  </r>
  <r>
    <s v="S01"/>
    <x v="1"/>
    <s v="AJ"/>
    <n v="10347981"/>
    <d v="2020-04-03T00:00:00"/>
    <n v="202101"/>
    <s v="1"/>
    <s v="EXP"/>
    <s v="D3802"/>
    <s v="KP06"/>
    <s v="P12 P2P accruals 2019/20, 8031401, ARIA PHOTOGRAPHY"/>
    <n v="-235"/>
    <n v="-0.23499999999999999"/>
  </r>
  <r>
    <s v="S01"/>
    <x v="1"/>
    <s v="AJ"/>
    <n v="10347981"/>
    <d v="2020-04-03T00:00:00"/>
    <n v="202101"/>
    <s v="1"/>
    <s v="EXP"/>
    <s v="D3401"/>
    <s v="KP06"/>
    <s v="P12 P2P accruals 2019/20, 8030747, FOOL´S PARADISE LTD"/>
    <n v="-735"/>
    <n v="-0.73499999999999999"/>
  </r>
  <r>
    <s v="S01"/>
    <x v="1"/>
    <s v="AJ"/>
    <n v="10348321"/>
    <d v="2020-04-20T00:00:00"/>
    <n v="202101"/>
    <s v="1"/>
    <s v="EXP"/>
    <s v="D3802"/>
    <s v="KP01"/>
    <s v="Reverse: P12 P2P accruals 2019/20, 8039396, NEWSQUEST MIDLANDS, WALES &amp; SOUTH WEST, trans 10347980"/>
    <n v="2400"/>
    <n v="2.4"/>
  </r>
  <r>
    <s v="S01"/>
    <x v="0"/>
    <s v="AJ"/>
    <n v="10348061"/>
    <d v="2020-04-07T00:00:00"/>
    <n v="202101"/>
    <s v="1"/>
    <s v="INC"/>
    <s v="K9141"/>
    <s v="KK02"/>
    <s v="Correcting double charge to West Oxfordshire DC, see transactions 51362683 &amp; 51362846"/>
    <n v="-5200"/>
    <n v="-5.2"/>
  </r>
  <r>
    <s v="S01"/>
    <x v="0"/>
    <s v="AJ"/>
    <n v="10348100"/>
    <d v="2020-04-08T00:00:00"/>
    <n v="202101"/>
    <s v="1"/>
    <s v="INC"/>
    <s v="K9140"/>
    <s v="KK16"/>
    <s v="NHS OXFORDSHIRE CCG: Additional funding for embedded mental health workers contract: May 19 to May 20 - defer 1 month"/>
    <n v="-4500"/>
    <n v="-4.5"/>
  </r>
  <r>
    <s v="S01"/>
    <x v="1"/>
    <s v="AJ"/>
    <n v="10348431"/>
    <d v="2020-04-24T00:00:00"/>
    <n v="202101"/>
    <s v="1"/>
    <s v="EXP"/>
    <s v="D3802"/>
    <s v="KP01"/>
    <s v="Reverse 10347980 PO 8039353 not required"/>
    <n v="340"/>
    <n v="0.34"/>
  </r>
  <r>
    <s v="S01"/>
    <x v="1"/>
    <s v="AJ"/>
    <n v="10348431"/>
    <d v="2020-04-24T00:00:00"/>
    <n v="202101"/>
    <s v="1"/>
    <s v="EXP"/>
    <s v="D3802"/>
    <s v="KP01"/>
    <s v="Reverse 10347980 PO 8039244 not required"/>
    <n v="340"/>
    <n v="0.34"/>
  </r>
  <r>
    <s v="S01"/>
    <x v="2"/>
    <s v="AJ"/>
    <n v="10348431"/>
    <d v="2020-04-24T00:00:00"/>
    <n v="202101"/>
    <s v="1"/>
    <s v="EXP"/>
    <s v="D3802"/>
    <s v="KK17"/>
    <s v="Reverse 10347980 PO 8036436 not required"/>
    <n v="170"/>
    <n v="0.17"/>
  </r>
  <r>
    <s v="S01"/>
    <x v="1"/>
    <s v="AJ"/>
    <n v="10348321"/>
    <d v="2020-04-20T00:00:00"/>
    <n v="202101"/>
    <s v="1"/>
    <s v="EXP"/>
    <s v="D3802"/>
    <s v="KP01"/>
    <s v="Reverse: P12 P2P accruals 2019/20, 8039397, MONCHU CREATIVE LTD, trans 10347980"/>
    <n v="330"/>
    <n v="0.33"/>
  </r>
  <r>
    <s v="S01"/>
    <x v="1"/>
    <s v="AJ"/>
    <n v="10348321"/>
    <d v="2020-04-20T00:00:00"/>
    <n v="202101"/>
    <s v="1"/>
    <s v="EXP"/>
    <s v="D3802"/>
    <s v="KP01"/>
    <s v="Reverse: P12 P2P accruals 2019/20, 8039383, Jack Media Oxfordshire Ltd, trans 10347980"/>
    <n v="5350.4"/>
    <n v="5.3503999999999996"/>
  </r>
  <r>
    <s v="S01"/>
    <x v="0"/>
    <s v="AJ"/>
    <n v="10348061"/>
    <d v="2020-04-07T00:00:00"/>
    <n v="202101"/>
    <s v="1"/>
    <s v="INC"/>
    <s v="K9141"/>
    <s v="KK02"/>
    <s v="District contribution to Manager role 2018/19: Cherwell"/>
    <n v="6000"/>
    <n v="6"/>
  </r>
  <r>
    <s v="S01"/>
    <x v="1"/>
    <s v="AJ"/>
    <n v="10348324"/>
    <d v="2020-04-20T00:00:00"/>
    <n v="202101"/>
    <s v="1"/>
    <s v="EXP"/>
    <s v="D3804"/>
    <s v="KP01"/>
    <s v="THE COPYRIGHT LICENSING AGENCY: prepayment Apr-Oct 2020, see trans 1067651"/>
    <n v="1282.18"/>
    <n v="1.2821800000000001"/>
  </r>
  <r>
    <s v="S01"/>
    <x v="1"/>
    <s v="AJ"/>
    <n v="10348321"/>
    <d v="2020-04-20T00:00:00"/>
    <n v="202101"/>
    <s v="1"/>
    <s v="EXP"/>
    <s v="D3401"/>
    <s v="KP01"/>
    <s v="Reverse: P12 P2P accruals 2019/20, 8039385, MONCHU CREATIVE LTD, trans 10347980"/>
    <n v="126"/>
    <n v="0.126"/>
  </r>
  <r>
    <s v="S01"/>
    <x v="1"/>
    <s v="AJ"/>
    <n v="10347981"/>
    <d v="2020-04-03T00:00:00"/>
    <n v="202101"/>
    <s v="1"/>
    <s v="EXP"/>
    <s v="D3802"/>
    <s v="KP06"/>
    <s v="P12 P2P accruals 2019/20, 8034316, ONE POINT OH LIMITED"/>
    <n v="-285"/>
    <n v="-0.28499999999999998"/>
  </r>
  <r>
    <s v="S01"/>
    <x v="1"/>
    <s v="AJ"/>
    <n v="10348321"/>
    <d v="2020-04-20T00:00:00"/>
    <n v="202101"/>
    <s v="1"/>
    <s v="EXP"/>
    <s v="J9019"/>
    <s v="KP01"/>
    <s v="COVID-19: P12 P2P accruals 2019/20, 8039396, NEWSQUEST MIDLANDS, WALES &amp; SOUTH WEST"/>
    <n v="-2400"/>
    <n v="-2.4"/>
  </r>
  <r>
    <s v="S01"/>
    <x v="1"/>
    <s v="AJ"/>
    <n v="10348321"/>
    <d v="2020-04-20T00:00:00"/>
    <n v="202101"/>
    <s v="1"/>
    <s v="EXP"/>
    <s v="J9019"/>
    <s v="KP01"/>
    <s v="COVID-19: P12 P2P accruals 2019/20, 8039385, MONCHU CREATIVE LTD"/>
    <n v="-126"/>
    <n v="-0.126"/>
  </r>
  <r>
    <s v="S01"/>
    <x v="1"/>
    <s v="AJ"/>
    <n v="10348321"/>
    <d v="2020-04-20T00:00:00"/>
    <n v="202101"/>
    <s v="1"/>
    <s v="EXP"/>
    <s v="J9019"/>
    <s v="KP01"/>
    <s v="COVID-19: P12 P2P accruals 2019/20, 8039383, Jack Media Oxfordshire Ltd"/>
    <n v="-5350.4"/>
    <n v="-5.3503999999999996"/>
  </r>
  <r>
    <s v="S01"/>
    <x v="1"/>
    <s v="AJ"/>
    <n v="10348321"/>
    <d v="2020-04-20T00:00:00"/>
    <n v="202101"/>
    <s v="1"/>
    <s v="EXP"/>
    <s v="J9019"/>
    <s v="KP01"/>
    <s v="COVID-19: P12 P2P accruals 2019/20, 8039397, MONCHU CREATIVE LTD"/>
    <n v="-330"/>
    <n v="-0.33"/>
  </r>
  <r>
    <s v="S01"/>
    <x v="1"/>
    <s v="AJ"/>
    <n v="10347981"/>
    <d v="2020-04-03T00:00:00"/>
    <n v="202101"/>
    <s v="1"/>
    <s v="EXP"/>
    <s v="D3401"/>
    <s v="KP06"/>
    <s v="P12 P2P accruals 2019/20, 8039236, CHARLIE HENRY"/>
    <n v="-2000"/>
    <n v="-2"/>
  </r>
  <r>
    <s v="S01"/>
    <x v="0"/>
    <s v="AJ"/>
    <n v="10348061"/>
    <d v="2020-04-07T00:00:00"/>
    <n v="202101"/>
    <s v="1"/>
    <s v="INC"/>
    <s v="K9141"/>
    <s v="KW02"/>
    <s v="District contributions to District Data Analyst role 2019/20: South, Vale"/>
    <n v="10400"/>
    <n v="10.4"/>
  </r>
  <r>
    <s v="S01"/>
    <x v="1"/>
    <s v="AJ"/>
    <n v="10347981"/>
    <d v="2020-04-03T00:00:00"/>
    <n v="202101"/>
    <s v="1"/>
    <s v="EXP"/>
    <s v="D3802"/>
    <s v="KP01"/>
    <s v="P12 P2P accruals 2019/20, 8039353, OXFORD DIRECT SERVICES TRADING LTD"/>
    <n v="-340"/>
    <n v="-0.34"/>
  </r>
  <r>
    <s v="S01"/>
    <x v="1"/>
    <s v="AJ"/>
    <n v="10347981"/>
    <d v="2020-04-03T00:00:00"/>
    <n v="202101"/>
    <s v="1"/>
    <s v="EXP"/>
    <s v="D3802"/>
    <s v="KP01"/>
    <s v="P12 P2P accruals 2019/20, 8039396, NEWSQUEST MIDLANDS, WALES &amp; SOUTH WEST"/>
    <n v="-2400"/>
    <n v="-2.4"/>
  </r>
  <r>
    <s v="S01"/>
    <x v="1"/>
    <s v="AJ"/>
    <n v="10347981"/>
    <d v="2020-04-03T00:00:00"/>
    <n v="202101"/>
    <s v="1"/>
    <s v="EXP"/>
    <s v="D3802"/>
    <s v="KP01"/>
    <s v="P12 P2P accruals 2019/20, 8039244, OXFORD DIRECT SERVICES TRADING LTD"/>
    <n v="-340"/>
    <n v="-0.34"/>
  </r>
  <r>
    <s v="S01"/>
    <x v="0"/>
    <s v="AJ"/>
    <n v="10348048"/>
    <d v="2020-04-07T00:00:00"/>
    <n v="202101"/>
    <s v="1"/>
    <s v="EXP"/>
    <s v="D3401"/>
    <s v="KK16"/>
    <s v="Secondment of mental health worker May 2019. Originally posted in 2020-21. See trans 10348046."/>
    <n v="-4041"/>
    <n v="-4.0410000000000004"/>
  </r>
  <r>
    <s v="S01"/>
    <x v="1"/>
    <s v="AJ"/>
    <n v="10347981"/>
    <d v="2020-04-03T00:00:00"/>
    <n v="202101"/>
    <s v="1"/>
    <s v="EXP"/>
    <s v="D3811"/>
    <s v="KP01"/>
    <s v="P12 P2P accruals 2019/20, 8038986, SHOPKIT"/>
    <n v="-1468.28"/>
    <n v="-1.46828"/>
  </r>
  <r>
    <s v="S01"/>
    <x v="0"/>
    <s v="AJ"/>
    <n v="10347981"/>
    <d v="2020-04-03T00:00:00"/>
    <n v="202101"/>
    <s v="1"/>
    <s v="EXP"/>
    <s v="D3401"/>
    <s v="KK16"/>
    <s v="P12 P2P accruals 2019/20, 8035524, THE KING´S CENTRE"/>
    <n v="-1132.3699999999999"/>
    <n v="-1.1323699999999999"/>
  </r>
  <r>
    <s v="S01"/>
    <x v="0"/>
    <s v="AJ"/>
    <n v="10348061"/>
    <d v="2020-04-07T00:00:00"/>
    <n v="202101"/>
    <s v="1"/>
    <s v="INC"/>
    <s v="K9141"/>
    <s v="KK02"/>
    <s v="District contributions to Manager role 2019/20: Cherwell, South, Vale, West"/>
    <n v="24000"/>
    <n v="24"/>
  </r>
  <r>
    <s v="S01"/>
    <x v="1"/>
    <s v="AJ"/>
    <n v="10347981"/>
    <d v="2020-04-03T00:00:00"/>
    <n v="202101"/>
    <s v="1"/>
    <s v="EXP"/>
    <s v="D3401"/>
    <s v="KP06"/>
    <s v="P12 P2P accruals 2019/20, 8037353, CHARLIE HENRY"/>
    <n v="-2000"/>
    <n v="-2"/>
  </r>
  <r>
    <s v="S01"/>
    <x v="1"/>
    <s v="AJ"/>
    <n v="10347981"/>
    <d v="2020-04-03T00:00:00"/>
    <n v="202101"/>
    <s v="1"/>
    <s v="EXP"/>
    <s v="B1102"/>
    <s v="KP01"/>
    <s v="P12 P2P accruals 2019/20, 8038415, OXFORD DIRECT SERVICES TRADING LTD"/>
    <n v="-170"/>
    <n v="-0.17"/>
  </r>
  <r>
    <s v="S01"/>
    <x v="1"/>
    <s v="AJ"/>
    <n v="10347981"/>
    <d v="2020-04-03T00:00:00"/>
    <n v="202101"/>
    <s v="1"/>
    <s v="EXP"/>
    <s v="D3802"/>
    <s v="KP06"/>
    <s v="P12 P2P accruals 2019/20, 8039147, CARBON COLOUR COMPANY LTD"/>
    <n v="-285"/>
    <n v="-0.28499999999999998"/>
  </r>
  <r>
    <s v="S01"/>
    <x v="1"/>
    <s v="AJ"/>
    <n v="10348431"/>
    <d v="2020-04-24T00:00:00"/>
    <n v="202101"/>
    <s v="1"/>
    <s v="EXP"/>
    <s v="B1102"/>
    <s v="KP01"/>
    <s v="Reverse 10347980 PO 8038415 not required"/>
    <n v="170"/>
    <n v="0.17"/>
  </r>
  <r>
    <s v="S01"/>
    <x v="1"/>
    <s v="AJ"/>
    <n v="10348431"/>
    <d v="2020-04-24T00:00:00"/>
    <n v="202101"/>
    <s v="1"/>
    <s v="EXP"/>
    <s v="B1102"/>
    <s v="KP01"/>
    <s v="Reverse 10347980 PO 8038011 not required"/>
    <n v="110"/>
    <n v="0.11"/>
  </r>
  <r>
    <s v="S01"/>
    <x v="1"/>
    <s v="AJ"/>
    <n v="10347981"/>
    <d v="2020-04-03T00:00:00"/>
    <n v="202101"/>
    <s v="1"/>
    <s v="EXP"/>
    <s v="D3401"/>
    <s v="KP06"/>
    <s v="P12 P2P accruals 2019/20, 8035875, EILIDH BRYAN"/>
    <n v="-5000"/>
    <n v="-5"/>
  </r>
  <r>
    <s v="S01"/>
    <x v="0"/>
    <s v="AJ"/>
    <n v="10347981"/>
    <d v="2020-04-03T00:00:00"/>
    <n v="202101"/>
    <s v="1"/>
    <s v="EXP"/>
    <s v="D3802"/>
    <s v="KK04"/>
    <s v="P12 P2P accruals 2019/20, 8030598, OXFORD FAIRTRADE COALITION"/>
    <n v="-200"/>
    <n v="-0.2"/>
  </r>
  <r>
    <s v="S01"/>
    <x v="1"/>
    <s v="AJ"/>
    <n v="10347981"/>
    <d v="2020-04-03T00:00:00"/>
    <n v="202101"/>
    <s v="1"/>
    <s v="EXP"/>
    <s v="B1102"/>
    <s v="KP01"/>
    <s v="P12 P2P accruals 2019/20, 8038011, OXFORD DIRECT SERVICES TRADING LTD"/>
    <n v="-110"/>
    <n v="-0.11"/>
  </r>
  <r>
    <s v="S01"/>
    <x v="1"/>
    <s v="AJ"/>
    <n v="10347981"/>
    <d v="2020-04-03T00:00:00"/>
    <n v="202101"/>
    <s v="1"/>
    <s v="EXP"/>
    <s v="D3802"/>
    <s v="KP06"/>
    <s v="P12 P2P accruals 2019/20, 8031039, CARBON COLOUR COMPANY LTD"/>
    <n v="-108.4"/>
    <n v="-0.10840000000000001"/>
  </r>
  <r>
    <s v="S01"/>
    <x v="2"/>
    <s v="AJ"/>
    <n v="10347981"/>
    <d v="2020-04-03T00:00:00"/>
    <n v="202101"/>
    <s v="1"/>
    <s v="EXP"/>
    <s v="D3802"/>
    <s v="KK17"/>
    <s v="P12 P2P accruals 2019/20, 8036436, OXFORD DIRECT SERVICES TRADING LTD"/>
    <n v="-170"/>
    <n v="-0.17"/>
  </r>
  <r>
    <s v="S01"/>
    <x v="1"/>
    <s v="AJ"/>
    <n v="10347981"/>
    <d v="2020-04-03T00:00:00"/>
    <n v="202101"/>
    <s v="1"/>
    <s v="EXP"/>
    <s v="D3802"/>
    <s v="KP06"/>
    <s v="P12 P2P accruals 2019/20, 8037969, CARBON COLOUR COMPANY LTD"/>
    <n v="-205"/>
    <n v="-0.20499999999999999"/>
  </r>
  <r>
    <s v="S01"/>
    <x v="1"/>
    <s v="AJ"/>
    <n v="10347981"/>
    <d v="2020-04-03T00:00:00"/>
    <n v="202101"/>
    <s v="1"/>
    <s v="EXP"/>
    <s v="D3802"/>
    <s v="KP06"/>
    <s v="P12 P2P accruals 2019/20, 8036574, MONCHU CREATIVE LTD"/>
    <n v="-1640"/>
    <n v="-1.64"/>
  </r>
  <r>
    <s v="S01"/>
    <x v="1"/>
    <s v="AJ"/>
    <n v="10347981"/>
    <d v="2020-04-03T00:00:00"/>
    <n v="202101"/>
    <s v="1"/>
    <s v="EXP"/>
    <s v="D3001"/>
    <s v="KP06"/>
    <s v="P12 P2P accruals 2019/20, 8036368, PAUL BIRTLES T/A THE GARDEN"/>
    <n v="-75"/>
    <n v="-7.4999999999999997E-2"/>
  </r>
  <r>
    <s v="S01"/>
    <x v="1"/>
    <s v="AJ"/>
    <n v="10347981"/>
    <d v="2020-04-03T00:00:00"/>
    <n v="202101"/>
    <s v="1"/>
    <s v="EXP"/>
    <s v="D3802"/>
    <s v="KP06"/>
    <s v="P12 P2P accruals 2019/20, 8029072, OXFORDSHIRE COUNTY COUNCIL"/>
    <n v="-94"/>
    <n v="-9.4E-2"/>
  </r>
  <r>
    <s v="S03"/>
    <x v="3"/>
    <s v="AJ"/>
    <n v="10347981"/>
    <d v="2020-04-03T00:00:00"/>
    <n v="202101"/>
    <s v="1"/>
    <s v="EXP"/>
    <s v="D3501"/>
    <s v="KT11"/>
    <s v="P12 P2P accruals 2019/20, 8035049, CRITIQOM LTD"/>
    <n v="-6453.65"/>
    <n v="-6.4536499999999997"/>
  </r>
  <r>
    <s v="S03"/>
    <x v="4"/>
    <s v="AJ"/>
    <n v="10347981"/>
    <d v="2020-04-03T00:00:00"/>
    <n v="202101"/>
    <s v="1"/>
    <s v="EXP"/>
    <s v="D3520"/>
    <s v="CA90"/>
    <s v="P12 P2P accruals 2019/20, 8039136, BT BUSINESS DIRECT"/>
    <n v="-1432.2"/>
    <n v="-1.4322000000000001"/>
  </r>
  <r>
    <s v="S03"/>
    <x v="5"/>
    <s v="AJ"/>
    <n v="10347981"/>
    <d v="2020-04-03T00:00:00"/>
    <n v="202101"/>
    <s v="1"/>
    <s v="EXP"/>
    <s v="D3401"/>
    <s v="CB62"/>
    <s v="P12 P2P accruals 2019/20, 8029288, Kirona Solutions Ltd."/>
    <n v="-9485.09"/>
    <n v="-9.4850899999999996"/>
  </r>
  <r>
    <s v="S03"/>
    <x v="4"/>
    <s v="AJ"/>
    <n v="10347981"/>
    <d v="2020-04-03T00:00:00"/>
    <n v="202101"/>
    <s v="1"/>
    <s v="EXP"/>
    <s v="D3520"/>
    <s v="CA70"/>
    <s v="P12 P2P accruals 2019/20, 8037530, BT BUSINESS DIRECT"/>
    <n v="-234.06"/>
    <n v="-0.23405999999999999"/>
  </r>
  <r>
    <s v="S03"/>
    <x v="3"/>
    <s v="AJ"/>
    <n v="10347981"/>
    <d v="2020-04-03T00:00:00"/>
    <n v="202101"/>
    <s v="1"/>
    <s v="EXP"/>
    <s v="D3301"/>
    <s v="KT11"/>
    <s v="P12 P2P accruals 2019/20, 8032777, LYRECO UK LTD"/>
    <n v="-1528.93"/>
    <n v="-1.5289300000000001"/>
  </r>
  <r>
    <s v="S03"/>
    <x v="5"/>
    <s v="AJ"/>
    <n v="10347981"/>
    <d v="2020-04-03T00:00:00"/>
    <n v="202101"/>
    <s v="1"/>
    <s v="EXP"/>
    <s v="D3401"/>
    <s v="CB62"/>
    <s v="P12 P2P accruals 2019/20, 8029311, Kirona Solutions Ltd."/>
    <n v="-3555"/>
    <n v="-3.5550000000000002"/>
  </r>
  <r>
    <s v="S03"/>
    <x v="5"/>
    <s v="AJ"/>
    <n v="10347981"/>
    <d v="2020-04-03T00:00:00"/>
    <n v="202101"/>
    <s v="1"/>
    <s v="EXP"/>
    <s v="D3401"/>
    <s v="CB64"/>
    <s v="P12 P2P accruals 2019/20, 8037928, DYNAMIC COACH LTD"/>
    <n v="-770"/>
    <n v="-0.77"/>
  </r>
  <r>
    <s v="S03"/>
    <x v="4"/>
    <s v="AJ"/>
    <n v="10347981"/>
    <d v="2020-04-03T00:00:00"/>
    <n v="202101"/>
    <s v="1"/>
    <s v="EXP"/>
    <s v="D3429"/>
    <s v="CA80"/>
    <s v="P12 P2P accruals 2019/20, 8037677, CANTIUM BUSINESS SOLUTIONS LTD"/>
    <n v="-30"/>
    <n v="-0.03"/>
  </r>
  <r>
    <s v="S03"/>
    <x v="4"/>
    <s v="AJ"/>
    <n v="10347981"/>
    <d v="2020-04-03T00:00:00"/>
    <n v="202101"/>
    <s v="1"/>
    <s v="EXP"/>
    <s v="D3513"/>
    <s v="CA70"/>
    <s v="P12 P2P accruals 2019/20, 8035017, INTEGRA ASSOCIATES"/>
    <n v="-5789.75"/>
    <n v="-5.7897499999999997"/>
  </r>
  <r>
    <s v="S03"/>
    <x v="4"/>
    <s v="AJ"/>
    <n v="10348034"/>
    <d v="2020-04-07T00:00:00"/>
    <n v="202101"/>
    <s v="1"/>
    <s v="EXP"/>
    <s v="A0108"/>
    <s v="CA80"/>
    <s v="P12 Hopkins D (Reed)"/>
    <n v="-12793"/>
    <n v="-12.792999999999999"/>
  </r>
  <r>
    <s v="S03"/>
    <x v="4"/>
    <s v="AJ"/>
    <n v="10348034"/>
    <d v="2020-04-07T00:00:00"/>
    <n v="202101"/>
    <s v="1"/>
    <s v="EXP"/>
    <s v="A0108"/>
    <s v="CA80"/>
    <s v="P12 Barker N (Reed)"/>
    <n v="-12168"/>
    <n v="-12.167999999999999"/>
  </r>
  <r>
    <s v="S03"/>
    <x v="4"/>
    <s v="AJ"/>
    <n v="10348034"/>
    <d v="2020-04-07T00:00:00"/>
    <n v="202101"/>
    <s v="1"/>
    <s v="EXP"/>
    <s v="A0108"/>
    <s v="CA80"/>
    <s v="P12 Wigham K (Reed)"/>
    <n v="-7953.12"/>
    <n v="-7.9531200000000002"/>
  </r>
  <r>
    <s v="S03"/>
    <x v="4"/>
    <s v="AJ"/>
    <n v="10348034"/>
    <d v="2020-04-07T00:00:00"/>
    <n v="202101"/>
    <s v="1"/>
    <s v="EXP"/>
    <s v="A0108"/>
    <s v="CA80"/>
    <s v="P12 Wong R (Reed)"/>
    <n v="-9468"/>
    <n v="-9.468"/>
  </r>
  <r>
    <s v="S03"/>
    <x v="4"/>
    <s v="AJ"/>
    <n v="10348034"/>
    <d v="2020-04-07T00:00:00"/>
    <n v="202101"/>
    <s v="1"/>
    <s v="EXP"/>
    <s v="A0108"/>
    <s v="CA80"/>
    <s v="P12 Pearce M (Reed)"/>
    <n v="-12793"/>
    <n v="-12.792999999999999"/>
  </r>
  <r>
    <s v="S03"/>
    <x v="4"/>
    <s v="AJ"/>
    <n v="10348034"/>
    <d v="2020-04-07T00:00:00"/>
    <n v="202101"/>
    <s v="1"/>
    <s v="EXP"/>
    <s v="A0108"/>
    <s v="CA80"/>
    <s v="P12 Gore P (Reed)"/>
    <n v="-14818"/>
    <n v="-14.818"/>
  </r>
  <r>
    <s v="S03"/>
    <x v="6"/>
    <s v="AJ"/>
    <n v="10348469"/>
    <d v="2020-04-27T00:00:00"/>
    <n v="202101"/>
    <s v="1"/>
    <s v="INC"/>
    <s v="K6664"/>
    <s v="CD34"/>
    <s v="M Woods standby Nov 19 - Mar 20"/>
    <n v="3385.02"/>
    <n v="3.3850199999999999"/>
  </r>
  <r>
    <s v="S03"/>
    <x v="3"/>
    <s v="AJ"/>
    <n v="10348034"/>
    <d v="2020-04-07T00:00:00"/>
    <n v="202101"/>
    <s v="1"/>
    <s v="EXP"/>
    <s v="A0108"/>
    <s v="CD59"/>
    <s v="P12 Jones M (Reed)"/>
    <n v="-1640.42"/>
    <n v="-1.64042"/>
  </r>
  <r>
    <s v="S03"/>
    <x v="3"/>
    <s v="AJ"/>
    <n v="10348034"/>
    <d v="2020-04-07T00:00:00"/>
    <n v="202101"/>
    <s v="1"/>
    <s v="EXP"/>
    <s v="A0108"/>
    <s v="CD59"/>
    <s v="P12 Griffin C (Reed)"/>
    <n v="-498.07"/>
    <n v="-0.49807000000000001"/>
  </r>
  <r>
    <s v="S03"/>
    <x v="3"/>
    <s v="AJ"/>
    <n v="10348034"/>
    <d v="2020-04-07T00:00:00"/>
    <n v="202101"/>
    <s v="1"/>
    <s v="EXP"/>
    <s v="A0108"/>
    <s v="CD59"/>
    <s v="P12 White I (Reed)"/>
    <n v="-2813.99"/>
    <n v="-2.81399"/>
  </r>
  <r>
    <s v="S03"/>
    <x v="7"/>
    <s v="AJ"/>
    <n v="10348034"/>
    <d v="2020-04-07T00:00:00"/>
    <n v="202101"/>
    <s v="1"/>
    <s v="EXP"/>
    <s v="A0108"/>
    <s v="CD58"/>
    <s v="P12 Tizo M (Reed)"/>
    <n v="-3511.71"/>
    <n v="-3.5117099999999999"/>
  </r>
  <r>
    <s v="S03"/>
    <x v="4"/>
    <s v="AJ"/>
    <n v="10348429"/>
    <d v="2020-04-24T00:00:00"/>
    <n v="202101"/>
    <s v="1"/>
    <s v="EXP"/>
    <s v="D3513"/>
    <s v="CA70"/>
    <s v="Prepayment 20/21: Remote Hosting Provision, XN LEISURE SYSTEMS LTD"/>
    <n v="7959.37"/>
    <n v="7.9593699999999998"/>
  </r>
  <r>
    <s v="S03"/>
    <x v="4"/>
    <s v="AJ"/>
    <n v="10348429"/>
    <d v="2020-04-24T00:00:00"/>
    <n v="202101"/>
    <s v="1"/>
    <s v="EXP"/>
    <s v="D3513"/>
    <s v="CA70"/>
    <s v="Reverse duplicate prepayment 20/21: Support for Existing I@W in Revenues, NORTHGATE PUBLIC SERVICES (UK) LTD, 10348145, 10348054"/>
    <n v="-9370"/>
    <n v="-9.3699999999999992"/>
  </r>
  <r>
    <s v="S03"/>
    <x v="5"/>
    <s v="AJ"/>
    <n v="10348034"/>
    <d v="2020-04-07T00:00:00"/>
    <n v="202101"/>
    <s v="1"/>
    <s v="EXP"/>
    <s v="A0108"/>
    <s v="CB64"/>
    <s v="P12 Freeman C (Reed)"/>
    <n v="-10924.88"/>
    <n v="-10.92488"/>
  </r>
  <r>
    <s v="S03"/>
    <x v="4"/>
    <s v="AJ"/>
    <n v="10348429"/>
    <d v="2020-04-24T00:00:00"/>
    <n v="202101"/>
    <s v="1"/>
    <s v="EXP"/>
    <s v="D3413"/>
    <s v="CA70"/>
    <s v="Prepayment 20/21: CONSULTANCY, NG BAILEY IT SERVICES LTD"/>
    <n v="7597.2"/>
    <n v="7.5972"/>
  </r>
  <r>
    <s v="S03"/>
    <x v="6"/>
    <s v="AJ"/>
    <n v="10347981"/>
    <d v="2020-04-03T00:00:00"/>
    <n v="202101"/>
    <s v="1"/>
    <s v="EXP"/>
    <s v="D3401"/>
    <s v="DP03"/>
    <s v="P12 P2P accruals 2019/20, 8038535, MONCHU CREATIVE LTD"/>
    <n v="-3500"/>
    <n v="-3.5"/>
  </r>
  <r>
    <s v="S03"/>
    <x v="3"/>
    <s v="AJ"/>
    <n v="10347981"/>
    <d v="2020-04-03T00:00:00"/>
    <n v="202101"/>
    <s v="1"/>
    <s v="EXP"/>
    <s v="D3501"/>
    <s v="KT11"/>
    <s v="P12 P2P accruals 2019/20, 8035618, ROYAL MAIL"/>
    <n v="-83.19"/>
    <n v="-8.319E-2"/>
  </r>
  <r>
    <s v="S03"/>
    <x v="3"/>
    <s v="AJ"/>
    <n v="10347981"/>
    <d v="2020-04-03T00:00:00"/>
    <n v="202101"/>
    <s v="1"/>
    <s v="EXP"/>
    <s v="D3303"/>
    <s v="KT11"/>
    <s v="P12 P2P accruals 2019/20, 8038361, CRITIQOM LTD"/>
    <n v="-298.2"/>
    <n v="-0.29819999999999997"/>
  </r>
  <r>
    <s v="S03"/>
    <x v="4"/>
    <s v="AJ"/>
    <n v="10347981"/>
    <d v="2020-04-03T00:00:00"/>
    <n v="202101"/>
    <s v="1"/>
    <s v="EXP"/>
    <s v="D3513"/>
    <s v="CA70"/>
    <s v="P12 P2P accruals 2019/20, 8030467, AGILE COLLECTIVE LTD"/>
    <n v="-280"/>
    <n v="-0.28000000000000003"/>
  </r>
  <r>
    <s v="S03"/>
    <x v="4"/>
    <s v="AJ"/>
    <n v="10347981"/>
    <d v="2020-04-03T00:00:00"/>
    <n v="202101"/>
    <s v="1"/>
    <s v="EXP"/>
    <s v="D3513"/>
    <s v="CA70"/>
    <s v="P12 P2P accruals 2019/20, 8037822, WORKBOOKS ONLINE LTD"/>
    <n v="-765"/>
    <n v="-0.76500000000000001"/>
  </r>
  <r>
    <s v="S03"/>
    <x v="3"/>
    <s v="AJ"/>
    <n v="10347981"/>
    <d v="2020-04-03T00:00:00"/>
    <n v="202101"/>
    <s v="1"/>
    <s v="EXP"/>
    <s v="D3301"/>
    <s v="KT11"/>
    <s v="P12 P2P accruals 2019/20, 8038632, HOUND ENVELOPES LTD"/>
    <n v="-572"/>
    <n v="-0.57199999999999995"/>
  </r>
  <r>
    <s v="S03"/>
    <x v="6"/>
    <s v="AJ"/>
    <n v="10347981"/>
    <d v="2020-04-03T00:00:00"/>
    <n v="202101"/>
    <s v="1"/>
    <s v="EXP"/>
    <s v="D3411"/>
    <s v="CD34"/>
    <s v="P12 P2P accruals 2019/20, 8037953, MIDLAND HR"/>
    <n v="-249"/>
    <n v="-0.249"/>
  </r>
  <r>
    <s v="S03"/>
    <x v="4"/>
    <s v="AJ"/>
    <n v="10347981"/>
    <d v="2020-04-03T00:00:00"/>
    <n v="202101"/>
    <s v="1"/>
    <s v="EXP"/>
    <s v="D3401"/>
    <s v="CA70"/>
    <s v="P12 P2P accruals 2019/20, 8036438, SCC (SPECIALIST COMPUTER CENTRES PLC)"/>
    <n v="-0.9"/>
    <n v="-8.9999999999999998E-4"/>
  </r>
  <r>
    <s v="S03"/>
    <x v="4"/>
    <s v="AJ"/>
    <n v="10347981"/>
    <d v="2020-04-03T00:00:00"/>
    <n v="202101"/>
    <s v="1"/>
    <s v="EXP"/>
    <s v="D3429"/>
    <s v="CA80"/>
    <s v="P12 P2P accruals 2019/20, 8034054, CANTIUM BUSINESS SOLUTIONS LTD"/>
    <n v="-100.5"/>
    <n v="-0.10050000000000001"/>
  </r>
  <r>
    <s v="S03"/>
    <x v="4"/>
    <s v="AJ"/>
    <n v="10347981"/>
    <d v="2020-04-03T00:00:00"/>
    <n v="202101"/>
    <s v="1"/>
    <s v="EXP"/>
    <s v="D3513"/>
    <s v="CA70"/>
    <s v="P12 P2P accruals 2019/20, 8038893, XN LEISURE SYSTEMS LTD"/>
    <n v="-125.13"/>
    <n v="-0.12512999999999999"/>
  </r>
  <r>
    <s v="S03"/>
    <x v="3"/>
    <s v="AJ"/>
    <n v="10347981"/>
    <d v="2020-04-03T00:00:00"/>
    <n v="202101"/>
    <s v="1"/>
    <s v="EXP"/>
    <s v="D3303"/>
    <s v="KT11"/>
    <s v="P12 P2P accruals 2019/20, 8032349, BELMONT PRESS LTD"/>
    <n v="-330"/>
    <n v="-0.33"/>
  </r>
  <r>
    <s v="S03"/>
    <x v="4"/>
    <s v="AJ"/>
    <n v="10347981"/>
    <d v="2020-04-03T00:00:00"/>
    <n v="202101"/>
    <s v="1"/>
    <s v="EXP"/>
    <s v="D3513"/>
    <s v="CA70"/>
    <s v="P12 P2P accruals 2019/20, 8037821, CAPITA BUSINESS SERVICES LTD"/>
    <n v="-6453.92"/>
    <n v="-6.4539200000000001"/>
  </r>
  <r>
    <s v="S03"/>
    <x v="4"/>
    <s v="AJ"/>
    <n v="10347981"/>
    <d v="2020-04-03T00:00:00"/>
    <n v="202101"/>
    <s v="1"/>
    <s v="EXP"/>
    <s v="D3429"/>
    <s v="CA70"/>
    <s v="P12 P2P accruals 2019/20, 8039358, CANTIUM BUSINESS SOLUTIONS LTD"/>
    <n v="-30"/>
    <n v="-0.03"/>
  </r>
  <r>
    <s v="S03"/>
    <x v="3"/>
    <s v="AJ"/>
    <n v="10347981"/>
    <d v="2020-04-03T00:00:00"/>
    <n v="202101"/>
    <s v="1"/>
    <s v="EXP"/>
    <s v="D3301"/>
    <s v="KT11"/>
    <s v="P12 P2P accruals 2019/20, 8032777, LYRECO UK LTD"/>
    <n v="-1761.9"/>
    <n v="-1.7619"/>
  </r>
  <r>
    <s v="S03"/>
    <x v="7"/>
    <s v="AJ"/>
    <n v="10347981"/>
    <d v="2020-04-03T00:00:00"/>
    <n v="202101"/>
    <s v="1"/>
    <s v="EXP"/>
    <s v="D3803"/>
    <s v="KA11"/>
    <s v="P12 P2P accruals 2019/20, 8034578, LAMB CATERING LTD"/>
    <n v="-100"/>
    <n v="-0.1"/>
  </r>
  <r>
    <s v="S03"/>
    <x v="6"/>
    <s v="AJ"/>
    <n v="10347981"/>
    <d v="2020-04-03T00:00:00"/>
    <n v="202101"/>
    <s v="1"/>
    <s v="EXP"/>
    <s v="D3411"/>
    <s v="DP03"/>
    <s v="P12 P2P accruals 2019/20, 8039279, MIDLAND HR"/>
    <n v="-8075"/>
    <n v="-8.0749999999999993"/>
  </r>
  <r>
    <s v="S03"/>
    <x v="6"/>
    <s v="AJ"/>
    <n v="10347981"/>
    <d v="2020-04-03T00:00:00"/>
    <n v="202101"/>
    <s v="1"/>
    <s v="EXP"/>
    <s v="D3021"/>
    <s v="DP03"/>
    <s v="P12 P2P accruals 2019/20, 8038995, ACTION ON HEARING LOSS"/>
    <n v="-1485.25"/>
    <n v="-1.48525"/>
  </r>
  <r>
    <s v="S03"/>
    <x v="5"/>
    <s v="AJ"/>
    <n v="10347981"/>
    <d v="2020-04-03T00:00:00"/>
    <n v="202101"/>
    <s v="1"/>
    <s v="EXP"/>
    <s v="D3513"/>
    <s v="CB64"/>
    <s v="P12 P2P accruals 2019/20, 8038495, BYTES SOFTWARE SERVICES LTD"/>
    <n v="-41.04"/>
    <n v="-4.104E-2"/>
  </r>
  <r>
    <s v="S03"/>
    <x v="3"/>
    <s v="AJ"/>
    <n v="10347981"/>
    <d v="2020-04-03T00:00:00"/>
    <n v="202101"/>
    <s v="1"/>
    <s v="EXP"/>
    <s v="D3306"/>
    <s v="KT11"/>
    <s v="P12 P2P accruals 2019/20, 8035439, ANTALIS LTD"/>
    <n v="-42.92"/>
    <n v="-4.292E-2"/>
  </r>
  <r>
    <s v="S03"/>
    <x v="4"/>
    <s v="AJ"/>
    <n v="10347981"/>
    <d v="2020-04-03T00:00:00"/>
    <n v="202101"/>
    <s v="1"/>
    <s v="EXP"/>
    <s v="D3513"/>
    <s v="CA70"/>
    <s v="P12 P2P accruals 2019/20, 8037822, WORKBOOKS ONLINE LTD"/>
    <n v="-276"/>
    <n v="-0.27600000000000002"/>
  </r>
  <r>
    <s v="S03"/>
    <x v="3"/>
    <s v="AJ"/>
    <n v="10348215"/>
    <d v="2020-04-14T00:00:00"/>
    <n v="202101"/>
    <s v="1"/>
    <s v="INC"/>
    <s v="K6664"/>
    <s v="KT11"/>
    <s v="Copy Unit Recharge August"/>
    <n v="289.39999999999998"/>
    <n v="0.28939999999999999"/>
  </r>
  <r>
    <s v="S03"/>
    <x v="3"/>
    <s v="AJ"/>
    <n v="10348215"/>
    <d v="2020-04-14T00:00:00"/>
    <n v="202101"/>
    <s v="1"/>
    <s v="INC"/>
    <s v="K6664"/>
    <s v="KT11"/>
    <s v="Copy Unit Recharge Sept"/>
    <n v="133.96"/>
    <n v="0.13396"/>
  </r>
  <r>
    <s v="S03"/>
    <x v="3"/>
    <s v="AJ"/>
    <n v="10348215"/>
    <d v="2020-04-14T00:00:00"/>
    <n v="202101"/>
    <s v="1"/>
    <s v="INC"/>
    <s v="K6664"/>
    <s v="KT11"/>
    <s v="Copy Unit Recharge Nov"/>
    <n v="28.29"/>
    <n v="2.8289999999999999E-2"/>
  </r>
  <r>
    <s v="S03"/>
    <x v="3"/>
    <s v="AJ"/>
    <n v="10348215"/>
    <d v="2020-04-14T00:00:00"/>
    <n v="202101"/>
    <s v="1"/>
    <s v="INC"/>
    <s v="K6664"/>
    <s v="KT11"/>
    <s v="Copy Unit Recharge Dec"/>
    <n v="28.29"/>
    <n v="2.8289999999999999E-2"/>
  </r>
  <r>
    <s v="S03"/>
    <x v="3"/>
    <s v="AJ"/>
    <n v="10348215"/>
    <d v="2020-04-14T00:00:00"/>
    <n v="202101"/>
    <s v="1"/>
    <s v="INC"/>
    <s v="K6664"/>
    <s v="KT11"/>
    <s v="Post Room Recharge Dec"/>
    <n v="917.6"/>
    <n v="0.91759999999999997"/>
  </r>
  <r>
    <s v="S03"/>
    <x v="3"/>
    <s v="AJ"/>
    <n v="10348215"/>
    <d v="2020-04-14T00:00:00"/>
    <n v="202101"/>
    <s v="1"/>
    <s v="INC"/>
    <s v="K6664"/>
    <s v="KT11"/>
    <s v="Post Room Recharge June"/>
    <n v="1952.17"/>
    <n v="1.9521700000000002"/>
  </r>
  <r>
    <s v="S03"/>
    <x v="3"/>
    <s v="AJ"/>
    <n v="10348215"/>
    <d v="2020-04-14T00:00:00"/>
    <n v="202101"/>
    <s v="1"/>
    <s v="INC"/>
    <s v="K6664"/>
    <s v="KT11"/>
    <s v="Copy Unit Recharge July"/>
    <n v="154.49"/>
    <n v="0.15449000000000002"/>
  </r>
  <r>
    <s v="S03"/>
    <x v="3"/>
    <s v="AJ"/>
    <n v="10348215"/>
    <d v="2020-04-14T00:00:00"/>
    <n v="202101"/>
    <s v="1"/>
    <s v="INC"/>
    <s v="K6664"/>
    <s v="KT11"/>
    <s v="Copy Unit Recharge August"/>
    <n v="289.39999999999998"/>
    <n v="0.28939999999999999"/>
  </r>
  <r>
    <s v="S03"/>
    <x v="6"/>
    <s v="AJ"/>
    <n v="10348469"/>
    <d v="2020-04-27T00:00:00"/>
    <n v="202101"/>
    <s v="1"/>
    <s v="INC"/>
    <s v="K6664"/>
    <s v="CD34"/>
    <s v="C Whitehead March"/>
    <n v="1689.23"/>
    <n v="1.68923"/>
  </r>
  <r>
    <s v="S03"/>
    <x v="6"/>
    <s v="AJ"/>
    <n v="10348469"/>
    <d v="2020-04-27T00:00:00"/>
    <n v="202101"/>
    <s v="1"/>
    <s v="INC"/>
    <s v="K6664"/>
    <s v="CD34"/>
    <s v="C Bell standby Nov 19 - Mar 20"/>
    <n v="3000.36"/>
    <n v="3.0003600000000001"/>
  </r>
  <r>
    <s v="S03"/>
    <x v="3"/>
    <s v="AJ"/>
    <n v="10348207"/>
    <d v="2020-04-14T00:00:00"/>
    <n v="202101"/>
    <s v="1"/>
    <s v="INC"/>
    <s v="K6664"/>
    <s v="KT11"/>
    <s v="Post Room Recharge Oct"/>
    <n v="-1833.02"/>
    <n v="-1.8330199999999999"/>
  </r>
  <r>
    <s v="S03"/>
    <x v="3"/>
    <s v="AJ"/>
    <n v="10348207"/>
    <d v="2020-04-14T00:00:00"/>
    <n v="202101"/>
    <s v="1"/>
    <s v="INC"/>
    <s v="K6664"/>
    <s v="KT11"/>
    <s v="Copy Unit Recharge Oct"/>
    <n v="-545.15"/>
    <n v="-0.54515000000000002"/>
  </r>
  <r>
    <s v="S03"/>
    <x v="3"/>
    <s v="AJ"/>
    <n v="10348207"/>
    <d v="2020-04-14T00:00:00"/>
    <n v="202101"/>
    <s v="1"/>
    <s v="INC"/>
    <s v="K6664"/>
    <s v="KT11"/>
    <s v="Copy Unit Recharge Sept"/>
    <n v="-133.96"/>
    <n v="-0.13396"/>
  </r>
  <r>
    <s v="S03"/>
    <x v="3"/>
    <s v="AJ"/>
    <n v="10348207"/>
    <d v="2020-04-14T00:00:00"/>
    <n v="202101"/>
    <s v="1"/>
    <s v="INC"/>
    <s v="K6664"/>
    <s v="KT11"/>
    <s v="Copy Unit Recharge August"/>
    <n v="-289.39999999999998"/>
    <n v="-0.28939999999999999"/>
  </r>
  <r>
    <s v="S03"/>
    <x v="3"/>
    <s v="AJ"/>
    <n v="10348207"/>
    <d v="2020-04-14T00:00:00"/>
    <n v="202101"/>
    <s v="1"/>
    <s v="INC"/>
    <s v="K6664"/>
    <s v="KT11"/>
    <s v="Copy Unit Recharge July"/>
    <n v="-154.49"/>
    <n v="-0.15449000000000002"/>
  </r>
  <r>
    <s v="S03"/>
    <x v="3"/>
    <s v="AJ"/>
    <n v="10348207"/>
    <d v="2020-04-14T00:00:00"/>
    <n v="202101"/>
    <s v="1"/>
    <s v="INC"/>
    <s v="K6664"/>
    <s v="KT11"/>
    <s v="Post Room Recharge June"/>
    <n v="-1952.17"/>
    <n v="-1.9521700000000002"/>
  </r>
  <r>
    <s v="S03"/>
    <x v="6"/>
    <s v="AJ"/>
    <n v="10348204"/>
    <d v="2020-04-14T00:00:00"/>
    <n v="202101"/>
    <s v="1"/>
    <s v="INC"/>
    <s v="K9159"/>
    <s v="DC20"/>
    <s v="Unison Salary contribution Q1 20/21"/>
    <n v="-3250"/>
    <n v="-3.25"/>
  </r>
  <r>
    <s v="S03"/>
    <x v="6"/>
    <s v="AJ"/>
    <n v="10348377"/>
    <d v="2020-04-22T00:00:00"/>
    <n v="202101"/>
    <s v="1"/>
    <s v="INC"/>
    <s v="K9501"/>
    <s v="CD34"/>
    <s v="ODS Admin Fees"/>
    <n v="1055.5999999999999"/>
    <n v="1.0555999999999999"/>
  </r>
  <r>
    <s v="S03"/>
    <x v="3"/>
    <s v="AJ"/>
    <n v="10348207"/>
    <d v="2020-04-14T00:00:00"/>
    <n v="202101"/>
    <s v="1"/>
    <s v="INC"/>
    <s v="K6664"/>
    <s v="KT11"/>
    <s v="Post Room Recharge Nov"/>
    <n v="-1348.05"/>
    <n v="-1.34805"/>
  </r>
  <r>
    <s v="S03"/>
    <x v="3"/>
    <s v="AJ"/>
    <n v="10348207"/>
    <d v="2020-04-14T00:00:00"/>
    <n v="202101"/>
    <s v="1"/>
    <s v="INC"/>
    <s v="K6664"/>
    <s v="KT11"/>
    <s v="Copy Unit Recharge Nov"/>
    <n v="-28.29"/>
    <n v="-2.8289999999999999E-2"/>
  </r>
  <r>
    <s v="S03"/>
    <x v="3"/>
    <s v="AJ"/>
    <n v="10348215"/>
    <d v="2020-04-14T00:00:00"/>
    <n v="202101"/>
    <s v="1"/>
    <s v="INC"/>
    <s v="K6664"/>
    <s v="KT11"/>
    <s v="Copy Unit Recharge Oct"/>
    <n v="545.15"/>
    <n v="0.54515000000000002"/>
  </r>
  <r>
    <s v="S03"/>
    <x v="3"/>
    <s v="AJ"/>
    <n v="10348215"/>
    <d v="2020-04-14T00:00:00"/>
    <n v="202101"/>
    <s v="1"/>
    <s v="INC"/>
    <s v="K6664"/>
    <s v="KT11"/>
    <s v="Copy Unit Recharge Dec"/>
    <n v="28.29"/>
    <n v="2.8289999999999999E-2"/>
  </r>
  <r>
    <s v="S03"/>
    <x v="3"/>
    <s v="AJ"/>
    <n v="10348215"/>
    <d v="2020-04-14T00:00:00"/>
    <n v="202101"/>
    <s v="1"/>
    <s v="INC"/>
    <s v="K6664"/>
    <s v="KT11"/>
    <s v="Copy Unit Recharge Nov"/>
    <n v="28.29"/>
    <n v="2.8289999999999999E-2"/>
  </r>
  <r>
    <s v="S03"/>
    <x v="3"/>
    <s v="AJ"/>
    <n v="10348215"/>
    <d v="2020-04-14T00:00:00"/>
    <n v="202101"/>
    <s v="1"/>
    <s v="INC"/>
    <s v="K6664"/>
    <s v="KT11"/>
    <s v="Post Room Recharge Sept"/>
    <n v="1240.7"/>
    <n v="1.2407000000000001"/>
  </r>
  <r>
    <s v="S03"/>
    <x v="3"/>
    <s v="AJ"/>
    <n v="10348215"/>
    <d v="2020-04-14T00:00:00"/>
    <n v="202101"/>
    <s v="1"/>
    <s v="INC"/>
    <s v="K6664"/>
    <s v="KT11"/>
    <s v="Post Room Recharge Dec"/>
    <n v="917.6"/>
    <n v="0.91759999999999997"/>
  </r>
  <r>
    <s v="S03"/>
    <x v="3"/>
    <s v="AJ"/>
    <n v="10348215"/>
    <d v="2020-04-14T00:00:00"/>
    <n v="202101"/>
    <s v="1"/>
    <s v="INC"/>
    <s v="K6664"/>
    <s v="KT11"/>
    <s v="Post Room Recharges-ODS-Q4"/>
    <n v="4703.22"/>
    <n v="4.70322"/>
  </r>
  <r>
    <s v="S03"/>
    <x v="3"/>
    <s v="AJ"/>
    <n v="10348215"/>
    <d v="2020-04-14T00:00:00"/>
    <n v="202101"/>
    <s v="1"/>
    <s v="INC"/>
    <s v="K6664"/>
    <s v="KT11"/>
    <s v="Post Room Recharge August"/>
    <n v="1304.5899999999999"/>
    <n v="1.3045899999999999"/>
  </r>
  <r>
    <s v="S03"/>
    <x v="3"/>
    <s v="AJ"/>
    <n v="10348215"/>
    <d v="2020-04-14T00:00:00"/>
    <n v="202101"/>
    <s v="1"/>
    <s v="INC"/>
    <s v="K6664"/>
    <s v="KT11"/>
    <s v="Post Room Recharge July"/>
    <n v="1465.01"/>
    <n v="1.4650099999999999"/>
  </r>
  <r>
    <s v="S03"/>
    <x v="3"/>
    <s v="AJ"/>
    <n v="10348215"/>
    <d v="2020-04-14T00:00:00"/>
    <n v="202101"/>
    <s v="1"/>
    <s v="INC"/>
    <s v="K6664"/>
    <s v="KT11"/>
    <s v="Copy Unit Recharge Oct"/>
    <n v="545.15"/>
    <n v="0.54515000000000002"/>
  </r>
  <r>
    <s v="S03"/>
    <x v="3"/>
    <s v="AJ"/>
    <n v="10348215"/>
    <d v="2020-04-14T00:00:00"/>
    <n v="202101"/>
    <s v="1"/>
    <s v="INC"/>
    <s v="K6664"/>
    <s v="KT11"/>
    <s v="Post Room Recharge Oct"/>
    <n v="1833.02"/>
    <n v="1.8330199999999999"/>
  </r>
  <r>
    <s v="S03"/>
    <x v="3"/>
    <s v="AJ"/>
    <n v="10348215"/>
    <d v="2020-04-14T00:00:00"/>
    <n v="202101"/>
    <s v="1"/>
    <s v="INC"/>
    <s v="K6664"/>
    <s v="KT11"/>
    <s v="Post Room Recharge August"/>
    <n v="1304.5899999999999"/>
    <n v="1.3045899999999999"/>
  </r>
  <r>
    <s v="S03"/>
    <x v="3"/>
    <s v="AJ"/>
    <n v="10348215"/>
    <d v="2020-04-14T00:00:00"/>
    <n v="202101"/>
    <s v="1"/>
    <s v="INC"/>
    <s v="K6664"/>
    <s v="KT11"/>
    <s v="Post Room Recharge July"/>
    <n v="1465.01"/>
    <n v="1.4650099999999999"/>
  </r>
  <r>
    <s v="S03"/>
    <x v="3"/>
    <s v="AJ"/>
    <n v="10348215"/>
    <d v="2020-04-14T00:00:00"/>
    <n v="202101"/>
    <s v="1"/>
    <s v="INC"/>
    <s v="K6664"/>
    <s v="KT11"/>
    <s v="Post Room Recharge Sept"/>
    <n v="1240.7"/>
    <n v="1.2407000000000001"/>
  </r>
  <r>
    <s v="S03"/>
    <x v="3"/>
    <s v="AJ"/>
    <n v="10348215"/>
    <d v="2020-04-14T00:00:00"/>
    <n v="202101"/>
    <s v="1"/>
    <s v="INC"/>
    <s v="K6664"/>
    <s v="KT11"/>
    <s v="Post Room Recharges-ODS-Q4"/>
    <n v="4703.22"/>
    <n v="4.70322"/>
  </r>
  <r>
    <s v="S03"/>
    <x v="3"/>
    <s v="AJ"/>
    <n v="10348215"/>
    <d v="2020-04-14T00:00:00"/>
    <n v="202101"/>
    <s v="1"/>
    <s v="INC"/>
    <s v="K6664"/>
    <s v="KT11"/>
    <s v="Post Room Recharge Oct"/>
    <n v="1833.02"/>
    <n v="1.8330199999999999"/>
  </r>
  <r>
    <s v="S03"/>
    <x v="3"/>
    <s v="AJ"/>
    <n v="10348215"/>
    <d v="2020-04-14T00:00:00"/>
    <n v="202101"/>
    <s v="1"/>
    <s v="INC"/>
    <s v="K6664"/>
    <s v="KT11"/>
    <s v="Post Room Recharge Nov"/>
    <n v="1348.05"/>
    <n v="1.34805"/>
  </r>
  <r>
    <s v="S03"/>
    <x v="3"/>
    <s v="AJ"/>
    <n v="10348215"/>
    <d v="2020-04-14T00:00:00"/>
    <n v="202101"/>
    <s v="1"/>
    <s v="INC"/>
    <s v="K6664"/>
    <s v="KT11"/>
    <s v="Post Room Recharge Nov"/>
    <n v="1348.05"/>
    <n v="1.34805"/>
  </r>
  <r>
    <s v="S03"/>
    <x v="3"/>
    <s v="AJ"/>
    <n v="10348215"/>
    <d v="2020-04-14T00:00:00"/>
    <n v="202101"/>
    <s v="1"/>
    <s v="INC"/>
    <s v="K6664"/>
    <s v="KT11"/>
    <s v="Post Room Recharge June"/>
    <n v="1952.17"/>
    <n v="1.9521700000000002"/>
  </r>
  <r>
    <s v="S03"/>
    <x v="3"/>
    <s v="AJ"/>
    <n v="10348215"/>
    <d v="2020-04-14T00:00:00"/>
    <n v="202101"/>
    <s v="1"/>
    <s v="INC"/>
    <s v="K6664"/>
    <s v="KT11"/>
    <s v="Copy Unit Recharge July"/>
    <n v="154.49"/>
    <n v="0.15449000000000002"/>
  </r>
  <r>
    <s v="S03"/>
    <x v="3"/>
    <s v="AJ"/>
    <n v="10348207"/>
    <d v="2020-04-14T00:00:00"/>
    <n v="202101"/>
    <s v="1"/>
    <s v="INC"/>
    <s v="K6664"/>
    <s v="KT11"/>
    <s v="Post Room Recharges-ODS-Q4"/>
    <n v="-4703.22"/>
    <n v="-4.70322"/>
  </r>
  <r>
    <s v="S03"/>
    <x v="3"/>
    <s v="AJ"/>
    <n v="10348207"/>
    <d v="2020-04-14T00:00:00"/>
    <n v="202101"/>
    <s v="1"/>
    <s v="INC"/>
    <s v="K6664"/>
    <s v="KT11"/>
    <s v="Post Room Recharge Sept"/>
    <n v="-1240.7"/>
    <n v="-1.2407000000000001"/>
  </r>
  <r>
    <s v="S03"/>
    <x v="3"/>
    <s v="AJ"/>
    <n v="10348207"/>
    <d v="2020-04-14T00:00:00"/>
    <n v="202101"/>
    <s v="1"/>
    <s v="INC"/>
    <s v="K6664"/>
    <s v="KT11"/>
    <s v="Post Room Recharge July"/>
    <n v="-1465.01"/>
    <n v="-1.4650099999999999"/>
  </r>
  <r>
    <s v="S03"/>
    <x v="3"/>
    <s v="AJ"/>
    <n v="10348207"/>
    <d v="2020-04-14T00:00:00"/>
    <n v="202101"/>
    <s v="1"/>
    <s v="INC"/>
    <s v="K6664"/>
    <s v="KT11"/>
    <s v="Post Room Recharge August"/>
    <n v="-1304.5899999999999"/>
    <n v="-1.3045899999999999"/>
  </r>
  <r>
    <s v="S03"/>
    <x v="3"/>
    <s v="AJ"/>
    <n v="10348207"/>
    <d v="2020-04-14T00:00:00"/>
    <n v="202101"/>
    <s v="1"/>
    <s v="INC"/>
    <s v="K6664"/>
    <s v="KT11"/>
    <s v="Post Room Recharge Dec"/>
    <n v="-917.6"/>
    <n v="-0.91759999999999997"/>
  </r>
  <r>
    <s v="S03"/>
    <x v="3"/>
    <s v="AJ"/>
    <n v="10348207"/>
    <d v="2020-04-14T00:00:00"/>
    <n v="202101"/>
    <s v="1"/>
    <s v="INC"/>
    <s v="K6664"/>
    <s v="KT11"/>
    <s v="Copy Unit Recharge Dec"/>
    <n v="-28.29"/>
    <n v="-2.8289999999999999E-2"/>
  </r>
  <r>
    <s v="S03"/>
    <x v="3"/>
    <s v="AJ"/>
    <n v="10348215"/>
    <d v="2020-04-14T00:00:00"/>
    <n v="202101"/>
    <s v="1"/>
    <s v="INC"/>
    <s v="K6664"/>
    <s v="KT11"/>
    <s v="Copy Unit Recharge Sept"/>
    <n v="133.96"/>
    <n v="0.13396"/>
  </r>
  <r>
    <s v="S03"/>
    <x v="3"/>
    <s v="AJ"/>
    <n v="10348034"/>
    <d v="2020-04-07T00:00:00"/>
    <n v="202101"/>
    <s v="1"/>
    <s v="EXP"/>
    <s v="A0108"/>
    <s v="KT11"/>
    <s v="P12 Simu A (Reed)"/>
    <n v="-2563.48"/>
    <n v="-2.5634800000000002"/>
  </r>
  <r>
    <s v="S03"/>
    <x v="3"/>
    <s v="AJ"/>
    <n v="10348034"/>
    <d v="2020-04-07T00:00:00"/>
    <n v="202101"/>
    <s v="1"/>
    <s v="EXP"/>
    <s v="A0108"/>
    <s v="KT11"/>
    <s v="P12 Hart A (Reed)"/>
    <n v="-2464.6"/>
    <n v="-2.4645999999999999"/>
  </r>
  <r>
    <s v="S03"/>
    <x v="3"/>
    <s v="AJ"/>
    <n v="10348034"/>
    <d v="2020-04-07T00:00:00"/>
    <n v="202101"/>
    <s v="1"/>
    <s v="EXP"/>
    <s v="A0108"/>
    <s v="KT11"/>
    <s v="P12 Hall J (Reed)"/>
    <n v="-2551.86"/>
    <n v="-2.55186"/>
  </r>
  <r>
    <s v="S03"/>
    <x v="4"/>
    <s v="AJ"/>
    <n v="10348163"/>
    <d v="2020-04-09T00:00:00"/>
    <n v="202101"/>
    <s v="1"/>
    <s v="INC"/>
    <s v="K6661"/>
    <s v="CA70"/>
    <s v="Ref HCo P2P AJ 44000488,44000489.Business Improvement (incl ICT):SLA from OCC for ICT&amp;BI for 2019/20"/>
    <n v="4300"/>
    <n v="4.3"/>
  </r>
  <r>
    <s v="S03"/>
    <x v="4"/>
    <s v="AJ"/>
    <n v="10348146"/>
    <d v="2020-04-09T00:00:00"/>
    <n v="202101"/>
    <s v="1"/>
    <s v="EXP"/>
    <s v="D3513"/>
    <s v="CA70"/>
    <s v="Prepay March 20 - Support Charge For DATAstoc Classic Software"/>
    <n v="459.12"/>
    <n v="0.45912000000000003"/>
  </r>
  <r>
    <s v="S03"/>
    <x v="4"/>
    <s v="AJ"/>
    <n v="10348146"/>
    <d v="2020-04-09T00:00:00"/>
    <n v="202101"/>
    <s v="1"/>
    <s v="EXP"/>
    <s v="D3513"/>
    <s v="CA70"/>
    <s v="Prepay March 20 - Corvid Paygate Annual Licence"/>
    <n v="-1738.36"/>
    <n v="-1.7383599999999999"/>
  </r>
  <r>
    <s v="S03"/>
    <x v="4"/>
    <s v="AJ"/>
    <n v="10348146"/>
    <d v="2020-04-09T00:00:00"/>
    <n v="202101"/>
    <s v="1"/>
    <s v="EXP"/>
    <s v="D3513"/>
    <s v="CA70"/>
    <s v="Prepay March 20 - Email Encryption"/>
    <n v="-2434.21"/>
    <n v="-2.4342100000000002"/>
  </r>
  <r>
    <s v="S03"/>
    <x v="4"/>
    <s v="AJ"/>
    <n v="10348146"/>
    <d v="2020-04-09T00:00:00"/>
    <n v="202101"/>
    <s v="1"/>
    <s v="EXP"/>
    <s v="D3513"/>
    <s v="CA70"/>
    <s v="Prepay March 20 - Support Charge For DATAstoc Classic Software"/>
    <n v="-459.12"/>
    <n v="-0.45912000000000003"/>
  </r>
  <r>
    <s v="S03"/>
    <x v="4"/>
    <s v="AJ"/>
    <n v="10348146"/>
    <d v="2020-04-09T00:00:00"/>
    <n v="202101"/>
    <s v="1"/>
    <s v="EXP"/>
    <s v="D3513"/>
    <s v="CA70"/>
    <s v="Prepay March 20 - HBSMR User Group Meeting"/>
    <n v="52"/>
    <n v="5.1999999999999998E-2"/>
  </r>
  <r>
    <s v="S03"/>
    <x v="4"/>
    <s v="AJ"/>
    <n v="10348146"/>
    <d v="2020-04-09T00:00:00"/>
    <n v="202101"/>
    <s v="1"/>
    <s v="EXP"/>
    <s v="D3513"/>
    <s v="CA70"/>
    <s v="Prepay March 20 - Oracle Support &amp; Maintenance"/>
    <n v="2951.37"/>
    <n v="2.9513699999999998"/>
  </r>
  <r>
    <s v="S03"/>
    <x v="4"/>
    <s v="AJ"/>
    <n v="10348146"/>
    <d v="2020-04-09T00:00:00"/>
    <n v="202101"/>
    <s v="1"/>
    <s v="EXP"/>
    <s v="D3513"/>
    <s v="CA70"/>
    <s v="Prepay March 20 - Support &amp; Maintenance, Estates, Allocations, Rents, Service Charges"/>
    <n v="41806.449999999997"/>
    <n v="41.806449999999998"/>
  </r>
  <r>
    <s v="S03"/>
    <x v="4"/>
    <s v="AJ"/>
    <n v="10348146"/>
    <d v="2020-04-09T00:00:00"/>
    <n v="202101"/>
    <s v="1"/>
    <s v="EXP"/>
    <s v="D3513"/>
    <s v="CA70"/>
    <s v="Prepay March 20 - Maintenance &amp; Support Service Contract + Licence"/>
    <n v="2777"/>
    <n v="2.7770000000000001"/>
  </r>
  <r>
    <s v="S03"/>
    <x v="4"/>
    <s v="AJ"/>
    <n v="10348146"/>
    <d v="2020-04-09T00:00:00"/>
    <n v="202101"/>
    <s v="1"/>
    <s v="EXP"/>
    <s v="D3513"/>
    <s v="CA70"/>
    <s v="Prepay March 20 - Support &amp; Maintenance for Oxford Mobile app"/>
    <n v="10532"/>
    <n v="10.532"/>
  </r>
  <r>
    <s v="S03"/>
    <x v="4"/>
    <s v="AJ"/>
    <n v="10348146"/>
    <d v="2020-04-09T00:00:00"/>
    <n v="202101"/>
    <s v="1"/>
    <s v="EXP"/>
    <s v="D3513"/>
    <s v="CA70"/>
    <s v="Prepay March 20 - InCase Intelligence &amp; iDIS Annual Licence &amp; Support"/>
    <n v="15260"/>
    <n v="15.26"/>
  </r>
  <r>
    <s v="S03"/>
    <x v="4"/>
    <s v="AJ"/>
    <n v="10348146"/>
    <d v="2020-04-09T00:00:00"/>
    <n v="202101"/>
    <s v="1"/>
    <s v="EXP"/>
    <s v="D3513"/>
    <s v="CA70"/>
    <s v="Prepay March 20 - Production Support"/>
    <n v="535.65"/>
    <n v="0.53564999999999996"/>
  </r>
  <r>
    <s v="S03"/>
    <x v="4"/>
    <s v="AJ"/>
    <n v="10348146"/>
    <d v="2020-04-09T00:00:00"/>
    <n v="202101"/>
    <s v="1"/>
    <s v="EXP"/>
    <s v="D3513"/>
    <s v="CA70"/>
    <s v="Prepay March 20 - HBSMR User Group Meeting"/>
    <n v="-52"/>
    <n v="-5.1999999999999998E-2"/>
  </r>
  <r>
    <s v="S03"/>
    <x v="4"/>
    <s v="AJ"/>
    <n v="10348146"/>
    <d v="2020-04-09T00:00:00"/>
    <n v="202101"/>
    <s v="1"/>
    <s v="EXP"/>
    <s v="D3513"/>
    <s v="CA70"/>
    <s v="Prepay March 20 - Hosting With Cloudflare &amp; IDS"/>
    <n v="-5372.01"/>
    <n v="-5.3720100000000004"/>
  </r>
  <r>
    <s v="S03"/>
    <x v="4"/>
    <s v="AJ"/>
    <n v="10348146"/>
    <d v="2020-04-09T00:00:00"/>
    <n v="202101"/>
    <s v="1"/>
    <s v="EXP"/>
    <s v="D3513"/>
    <s v="CA70"/>
    <s v="Prepay March 20 - SolutionCare Annual Maintenance &amp; Support"/>
    <n v="-12129.08"/>
    <n v="-12.12908"/>
  </r>
  <r>
    <s v="S03"/>
    <x v="4"/>
    <s v="AJ"/>
    <n v="10348146"/>
    <d v="2020-04-09T00:00:00"/>
    <n v="202101"/>
    <s v="1"/>
    <s v="EXP"/>
    <s v="D3513"/>
    <s v="CA70"/>
    <s v="Prepay March 20 - CorVu Maintenance Coverage"/>
    <n v="-6757.18"/>
    <n v="-6.75718"/>
  </r>
  <r>
    <s v="S03"/>
    <x v="4"/>
    <s v="AJ"/>
    <n v="10348146"/>
    <d v="2020-04-09T00:00:00"/>
    <n v="202101"/>
    <s v="1"/>
    <s v="EXP"/>
    <s v="D3513"/>
    <s v="CA70"/>
    <s v="Prepay March 20 - Paris Multi Company Module"/>
    <n v="-729.47"/>
    <n v="-0.72947000000000006"/>
  </r>
  <r>
    <s v="S03"/>
    <x v="4"/>
    <s v="AJ"/>
    <n v="10348146"/>
    <d v="2020-04-09T00:00:00"/>
    <n v="202101"/>
    <s v="1"/>
    <s v="EXP"/>
    <s v="D3513"/>
    <s v="CA70"/>
    <s v="Prepay March 20 - 1 Years Support - PSS - 8x5xNBD HWO"/>
    <n v="-2286.15"/>
    <n v="-2.2861500000000001"/>
  </r>
  <r>
    <s v="S03"/>
    <x v="4"/>
    <s v="AJ"/>
    <n v="10348146"/>
    <d v="2020-04-09T00:00:00"/>
    <n v="202101"/>
    <s v="1"/>
    <s v="EXP"/>
    <s v="D3513"/>
    <s v="CA70"/>
    <s v="Prepay March 20 - Support &amp; Maintenance for I@W Retention"/>
    <n v="-652.44000000000005"/>
    <n v="-0.65244000000000002"/>
  </r>
  <r>
    <s v="S03"/>
    <x v="4"/>
    <s v="AJ"/>
    <n v="10348146"/>
    <d v="2020-04-09T00:00:00"/>
    <n v="202101"/>
    <s v="1"/>
    <s v="EXP"/>
    <s v="D3513"/>
    <s v="CA70"/>
    <s v="Prepay March 20 - Sophos Web, Network &amp; Premium Support"/>
    <n v="-6448.56"/>
    <n v="-6.4485600000000005"/>
  </r>
  <r>
    <s v="S03"/>
    <x v="4"/>
    <s v="AJ"/>
    <n v="10348146"/>
    <d v="2020-04-09T00:00:00"/>
    <n v="202101"/>
    <s v="1"/>
    <s v="EXP"/>
    <s v="D3513"/>
    <s v="CA70"/>
    <s v="Prepay March 20 - WMDesign Licence Renewal"/>
    <n v="1991.31"/>
    <n v="1.9913099999999999"/>
  </r>
  <r>
    <s v="S03"/>
    <x v="4"/>
    <s v="AJ"/>
    <n v="10348146"/>
    <d v="2020-04-09T00:00:00"/>
    <n v="202101"/>
    <s v="1"/>
    <s v="EXP"/>
    <s v="D3513"/>
    <s v="CA70"/>
    <s v="Prepay March 20 - Hosting With Cloudflare &amp; IDS"/>
    <n v="5372.01"/>
    <n v="5.3720100000000004"/>
  </r>
  <r>
    <s v="S03"/>
    <x v="4"/>
    <s v="AJ"/>
    <n v="10348146"/>
    <d v="2020-04-09T00:00:00"/>
    <n v="202101"/>
    <s v="1"/>
    <s v="EXP"/>
    <s v="D3513"/>
    <s v="CA70"/>
    <s v="Prepay March 20 - Annual Support &amp; Maintenance - TomTom Terminals"/>
    <n v="-8994.58"/>
    <n v="-8.9945799999999991"/>
  </r>
  <r>
    <s v="S03"/>
    <x v="6"/>
    <s v="AJ"/>
    <n v="10348146"/>
    <d v="2020-04-09T00:00:00"/>
    <n v="202101"/>
    <s v="1"/>
    <s v="EXP"/>
    <s v="D3703"/>
    <s v="DP03"/>
    <s v="Prepay March 20 - XpertHR"/>
    <n v="-776.71"/>
    <n v="-0.77671000000000001"/>
  </r>
  <r>
    <s v="S03"/>
    <x v="4"/>
    <s v="AJ"/>
    <n v="10348146"/>
    <d v="2020-04-09T00:00:00"/>
    <n v="202101"/>
    <s v="1"/>
    <s v="EXP"/>
    <s v="D3513"/>
    <s v="CA70"/>
    <s v="Prepay March 20 - HRO Hosting, Payroll Services, Itrent"/>
    <n v="7015.3"/>
    <n v="7.0152999999999999"/>
  </r>
  <r>
    <s v="S03"/>
    <x v="4"/>
    <s v="AJ"/>
    <n v="10348146"/>
    <d v="2020-04-09T00:00:00"/>
    <n v="202101"/>
    <s v="1"/>
    <s v="EXP"/>
    <s v="D3513"/>
    <s v="CA70"/>
    <s v="Prepay March 20 - Capita - Software Support &amp; Maintenance"/>
    <n v="2700"/>
    <n v="2.7"/>
  </r>
  <r>
    <s v="S03"/>
    <x v="4"/>
    <s v="AJ"/>
    <n v="10348146"/>
    <d v="2020-04-09T00:00:00"/>
    <n v="202101"/>
    <s v="1"/>
    <s v="EXP"/>
    <s v="D3513"/>
    <s v="CA70"/>
    <s v="Prepay March 20 - Corvid Paygate Annual Licence"/>
    <n v="1738.36"/>
    <n v="1.7383599999999999"/>
  </r>
  <r>
    <s v="S03"/>
    <x v="4"/>
    <s v="AJ"/>
    <n v="10348146"/>
    <d v="2020-04-09T00:00:00"/>
    <n v="202101"/>
    <s v="1"/>
    <s v="EXP"/>
    <s v="D3513"/>
    <s v="CA70"/>
    <s v="Prepay March 20 - Annual Veeam Backup Essentials 20/21"/>
    <n v="-1188.8900000000001"/>
    <n v="-1.18889"/>
  </r>
  <r>
    <s v="S03"/>
    <x v="4"/>
    <s v="AJ"/>
    <n v="10348146"/>
    <d v="2020-04-09T00:00:00"/>
    <n v="202101"/>
    <s v="1"/>
    <s v="EXP"/>
    <s v="D3513"/>
    <s v="CA70"/>
    <s v="Prepay March 20 - Business hours technical support"/>
    <n v="3500"/>
    <n v="3.5"/>
  </r>
  <r>
    <s v="S03"/>
    <x v="4"/>
    <s v="AJ"/>
    <n v="10348146"/>
    <d v="2020-04-09T00:00:00"/>
    <n v="202101"/>
    <s v="1"/>
    <s v="EXP"/>
    <s v="D3513"/>
    <s v="CA70"/>
    <s v="Prepay March 20 - Unit4 Agresso Support and Maintenance"/>
    <n v="41395.01"/>
    <n v="41.395009999999999"/>
  </r>
  <r>
    <s v="S03"/>
    <x v="4"/>
    <s v="AJ"/>
    <n v="10348146"/>
    <d v="2020-04-09T00:00:00"/>
    <n v="202101"/>
    <s v="1"/>
    <s v="EXP"/>
    <s v="D3513"/>
    <s v="CA70"/>
    <s v="Prepay March 20 - Licence Fee for Workbooks"/>
    <n v="6044.57"/>
    <n v="6.0445699999999993"/>
  </r>
  <r>
    <s v="S03"/>
    <x v="4"/>
    <s v="AJ"/>
    <n v="10348146"/>
    <d v="2020-04-09T00:00:00"/>
    <n v="202101"/>
    <s v="1"/>
    <s v="EXP"/>
    <s v="D3513"/>
    <s v="CA70"/>
    <s v="Prepay March 20 - Remote Hosting Hardware &amp; Software Support"/>
    <n v="7959.37"/>
    <n v="7.9593699999999998"/>
  </r>
  <r>
    <s v="S03"/>
    <x v="4"/>
    <s v="AJ"/>
    <n v="10348146"/>
    <d v="2020-04-09T00:00:00"/>
    <n v="202101"/>
    <s v="1"/>
    <s v="EXP"/>
    <s v="D3513"/>
    <s v="CA70"/>
    <s v="Prepay March 20 - Annual Maintenance Renewal - Veeam Backup Essentials - Enterprise 2 Socket Bundle for renewal until 12/04/2021 - 01773829"/>
    <n v="23581.49"/>
    <n v="23.581490000000002"/>
  </r>
  <r>
    <s v="S03"/>
    <x v="4"/>
    <s v="AJ"/>
    <n v="10348146"/>
    <d v="2020-04-09T00:00:00"/>
    <n v="202101"/>
    <s v="1"/>
    <s v="EXP"/>
    <s v="D3513"/>
    <s v="CA70"/>
    <s v="Prepay March 20 - Licence Fee &amp; Maintenance"/>
    <n v="11952.26"/>
    <n v="11.952260000000001"/>
  </r>
  <r>
    <s v="S03"/>
    <x v="4"/>
    <s v="AJ"/>
    <n v="10348146"/>
    <d v="2020-04-09T00:00:00"/>
    <n v="202101"/>
    <s v="1"/>
    <s v="EXP"/>
    <s v="D3513"/>
    <s v="CA70"/>
    <s v="Prepay March 20 - Proprint Academy"/>
    <n v="2046.3"/>
    <n v="2.0463"/>
  </r>
  <r>
    <s v="S03"/>
    <x v="4"/>
    <s v="AJ"/>
    <n v="10348146"/>
    <d v="2020-04-09T00:00:00"/>
    <n v="202101"/>
    <s v="1"/>
    <s v="EXP"/>
    <s v="D3513"/>
    <s v="CA70"/>
    <s v="Prepay March 20 - Argis Support &amp; Maintenance"/>
    <n v="30631"/>
    <n v="30.631"/>
  </r>
  <r>
    <s v="S03"/>
    <x v="4"/>
    <s v="AJ"/>
    <n v="10348146"/>
    <d v="2020-04-09T00:00:00"/>
    <n v="202101"/>
    <s v="1"/>
    <s v="EXP"/>
    <s v="D3513"/>
    <s v="CA70"/>
    <s v="Prepay March 20 - Uniform Software &amp; Maintenance"/>
    <n v="75000"/>
    <n v="75"/>
  </r>
  <r>
    <s v="S03"/>
    <x v="4"/>
    <s v="AJ"/>
    <n v="10348146"/>
    <d v="2020-04-09T00:00:00"/>
    <n v="202101"/>
    <s v="1"/>
    <s v="EXP"/>
    <s v="D3513"/>
    <s v="CA70"/>
    <s v="Prepay March 20 - HBSMR SQL Server Database Maintenance &amp; Technical Supprot"/>
    <n v="984"/>
    <n v="0.98399999999999999"/>
  </r>
  <r>
    <s v="S03"/>
    <x v="4"/>
    <s v="AJ"/>
    <n v="10348146"/>
    <d v="2020-04-09T00:00:00"/>
    <n v="202101"/>
    <s v="1"/>
    <s v="EXP"/>
    <s v="D3513"/>
    <s v="CA70"/>
    <s v="Prepay March 20 - HBSMR Maplink ArcGIS Maintenance &amp; Technical Support"/>
    <n v="868"/>
    <n v="0.86799999999999999"/>
  </r>
  <r>
    <s v="S03"/>
    <x v="4"/>
    <s v="AJ"/>
    <n v="10348146"/>
    <d v="2020-04-09T00:00:00"/>
    <n v="202101"/>
    <s v="1"/>
    <s v="EXP"/>
    <s v="D3513"/>
    <s v="CA70"/>
    <s v="Prepay March 20 - Production Support"/>
    <n v="-535.65"/>
    <n v="-0.53564999999999996"/>
  </r>
  <r>
    <s v="S03"/>
    <x v="4"/>
    <s v="AJ"/>
    <n v="10348146"/>
    <d v="2020-04-09T00:00:00"/>
    <n v="202101"/>
    <s v="1"/>
    <s v="EXP"/>
    <s v="D3513"/>
    <s v="CA70"/>
    <s v="Prepay March 20 - SOFTWARE UPDATE LICENCE &amp; SUPPORT 180220/170221"/>
    <n v="-2951.37"/>
    <n v="-2.9513699999999998"/>
  </r>
  <r>
    <s v="S03"/>
    <x v="4"/>
    <s v="AJ"/>
    <n v="10348146"/>
    <d v="2020-04-09T00:00:00"/>
    <n v="202101"/>
    <s v="1"/>
    <s v="EXP"/>
    <s v="D3513"/>
    <s v="CA70"/>
    <s v="Prepay March 20 - I@W Licences"/>
    <n v="3680"/>
    <n v="3.68"/>
  </r>
  <r>
    <s v="S03"/>
    <x v="4"/>
    <s v="AJ"/>
    <n v="10348146"/>
    <d v="2020-04-09T00:00:00"/>
    <n v="202101"/>
    <s v="1"/>
    <s v="EXP"/>
    <s v="D3513"/>
    <s v="CA70"/>
    <s v="Prepay March 20 - ArcGIS License and Support 2020/21"/>
    <n v="-30715.15"/>
    <n v="-30.715150000000001"/>
  </r>
  <r>
    <s v="S03"/>
    <x v="4"/>
    <s v="AJ"/>
    <n v="10348146"/>
    <d v="2020-04-09T00:00:00"/>
    <n v="202101"/>
    <s v="1"/>
    <s v="EXP"/>
    <s v="D3513"/>
    <s v="CA70"/>
    <s v="Prepay March 20 - HBSMR Database Maintenance &amp; Technical Support"/>
    <n v="-610"/>
    <n v="-0.61"/>
  </r>
  <r>
    <s v="S03"/>
    <x v="4"/>
    <s v="AJ"/>
    <n v="10348146"/>
    <d v="2020-04-09T00:00:00"/>
    <n v="202101"/>
    <s v="1"/>
    <s v="EXP"/>
    <s v="D3513"/>
    <s v="CA70"/>
    <s v="Prepay March 20 - HBSMR Server/Application Hosting"/>
    <n v="-5171.51"/>
    <n v="-5.1715100000000005"/>
  </r>
  <r>
    <s v="S03"/>
    <x v="4"/>
    <s v="AJ"/>
    <n v="10348146"/>
    <d v="2020-04-09T00:00:00"/>
    <n v="202101"/>
    <s v="1"/>
    <s v="EXP"/>
    <s v="D3513"/>
    <s v="CA70"/>
    <s v="Prepay March 20 - HBSMR Gateway Maintenance &amp; Technical Support"/>
    <n v="1450.4"/>
    <n v="1.4504000000000001"/>
  </r>
  <r>
    <s v="S03"/>
    <x v="4"/>
    <s v="AJ"/>
    <n v="10348146"/>
    <d v="2020-04-09T00:00:00"/>
    <n v="202101"/>
    <s v="1"/>
    <s v="EXP"/>
    <s v="D3513"/>
    <s v="CA70"/>
    <s v="Prepay March 20 - HBSMR Database Maintenance &amp; Technical Support"/>
    <n v="610"/>
    <n v="0.61"/>
  </r>
  <r>
    <s v="S03"/>
    <x v="4"/>
    <s v="AJ"/>
    <n v="10348146"/>
    <d v="2020-04-09T00:00:00"/>
    <n v="202101"/>
    <s v="1"/>
    <s v="EXP"/>
    <s v="D3513"/>
    <s v="CA70"/>
    <s v="Prepay March 20 - HBSMR Server/Application Hosting"/>
    <n v="5171.51"/>
    <n v="5.1715100000000005"/>
  </r>
  <r>
    <s v="S03"/>
    <x v="4"/>
    <s v="AJ"/>
    <n v="10348146"/>
    <d v="2020-04-09T00:00:00"/>
    <n v="202101"/>
    <s v="1"/>
    <s v="EXP"/>
    <s v="D3513"/>
    <s v="CA70"/>
    <s v="Prepay March 20 - Planning Finder Software Maintenance"/>
    <n v="3179.45"/>
    <n v="3.1794499999999997"/>
  </r>
  <r>
    <s v="S03"/>
    <x v="4"/>
    <s v="AJ"/>
    <n v="10348146"/>
    <d v="2020-04-09T00:00:00"/>
    <n v="202101"/>
    <s v="1"/>
    <s v="EXP"/>
    <s v="D3513"/>
    <s v="CA70"/>
    <s v="Prepay March 20 - AEC Single User Annual Subs"/>
    <n v="797.42"/>
    <n v="0.79741999999999991"/>
  </r>
  <r>
    <s v="S03"/>
    <x v="4"/>
    <s v="AJ"/>
    <n v="10348146"/>
    <d v="2020-04-09T00:00:00"/>
    <n v="202101"/>
    <s v="1"/>
    <s v="EXP"/>
    <s v="D3513"/>
    <s v="CA70"/>
    <s v="Prepay March 20 - Support &amp; Maintenance GUI (iWorld)"/>
    <n v="4253.57"/>
    <n v="4.2535699999999999"/>
  </r>
  <r>
    <s v="S03"/>
    <x v="4"/>
    <s v="AJ"/>
    <n v="10348146"/>
    <d v="2020-04-09T00:00:00"/>
    <n v="202101"/>
    <s v="1"/>
    <s v="EXP"/>
    <s v="D3513"/>
    <s v="CA70"/>
    <s v="Prepay March 20 - Support for Existing I@W Licences"/>
    <n v="9370"/>
    <n v="9.3699999999999992"/>
  </r>
  <r>
    <s v="S03"/>
    <x v="7"/>
    <s v="AJ"/>
    <n v="10347981"/>
    <d v="2020-04-03T00:00:00"/>
    <n v="202101"/>
    <s v="1"/>
    <s v="EXP"/>
    <s v="B1306"/>
    <s v="KA11"/>
    <s v="P12 P2P accruals 2019/20, 8036782, PAYNE &amp; SON (GOLDSMITHS) LTD"/>
    <n v="-10"/>
    <n v="-0.01"/>
  </r>
  <r>
    <s v="S03"/>
    <x v="4"/>
    <s v="AJ"/>
    <n v="10348204"/>
    <d v="2020-04-14T00:00:00"/>
    <n v="202101"/>
    <s v="1"/>
    <s v="EXP"/>
    <s v="D3401"/>
    <s v="CA70"/>
    <s v="Reverse Q4 SCC Overconsumption as Invoiced"/>
    <n v="51000"/>
    <n v="51"/>
  </r>
  <r>
    <s v="S03"/>
    <x v="6"/>
    <s v="AJ"/>
    <n v="10348204"/>
    <d v="2020-04-14T00:00:00"/>
    <n v="202101"/>
    <s v="1"/>
    <s v="EXP"/>
    <s v="D3401"/>
    <s v="DP07"/>
    <s v="Rocksure - Loneworker Devices Prepayment (April to Nov)"/>
    <n v="11721.6"/>
    <n v="11.7216"/>
  </r>
  <r>
    <s v="S03"/>
    <x v="4"/>
    <s v="AJ"/>
    <n v="10348055"/>
    <d v="2020-04-07T00:00:00"/>
    <n v="202101"/>
    <s v="1"/>
    <s v="EXP"/>
    <s v="D3531"/>
    <s v="BQ11"/>
    <s v="Quarterly Vodafone Accl 3264.17/3"/>
    <n v="-1088.06"/>
    <n v="-1.08806"/>
  </r>
  <r>
    <s v="S03"/>
    <x v="4"/>
    <s v="AJ"/>
    <n v="10348001"/>
    <d v="2020-04-06T00:00:00"/>
    <n v="202101"/>
    <s v="1"/>
    <s v="EXP"/>
    <s v="D3513"/>
    <s v="CA70"/>
    <s v="Prepay March 20 - Hosting With Cloudflare &amp; IDS"/>
    <n v="5372.01"/>
    <n v="5.3720100000000004"/>
  </r>
  <r>
    <s v="S03"/>
    <x v="4"/>
    <s v="AJ"/>
    <n v="10348001"/>
    <d v="2020-04-06T00:00:00"/>
    <n v="202101"/>
    <s v="1"/>
    <s v="EXP"/>
    <s v="D3513"/>
    <s v="CA70"/>
    <s v="Prepay March 20 - WMDesign Licence Renewal"/>
    <n v="1991.31"/>
    <n v="1.9913099999999999"/>
  </r>
  <r>
    <s v="S03"/>
    <x v="6"/>
    <s v="AJ"/>
    <n v="10348001"/>
    <d v="2020-04-06T00:00:00"/>
    <n v="202101"/>
    <s v="1"/>
    <s v="EXP"/>
    <s v="D3703"/>
    <s v="DP03"/>
    <s v="Prepay March 20 - XpertHR"/>
    <n v="776.71"/>
    <n v="0.77671000000000001"/>
  </r>
  <r>
    <s v="S03"/>
    <x v="4"/>
    <s v="AJ"/>
    <n v="10348001"/>
    <d v="2020-04-06T00:00:00"/>
    <n v="202101"/>
    <s v="1"/>
    <s v="EXP"/>
    <s v="D3513"/>
    <s v="CA70"/>
    <s v="Prepay March 20 - Periodic Charge Dor"/>
    <n v="3489.89"/>
    <n v="3.4898899999999999"/>
  </r>
  <r>
    <s v="S03"/>
    <x v="4"/>
    <s v="AJ"/>
    <n v="10348001"/>
    <d v="2020-04-06T00:00:00"/>
    <n v="202101"/>
    <s v="1"/>
    <s v="EXP"/>
    <s v="D3513"/>
    <s v="CA70"/>
    <s v="Prepay March 20 - CorVu Maintenance Coverage"/>
    <n v="6757.18"/>
    <n v="6.75718"/>
  </r>
  <r>
    <s v="S03"/>
    <x v="4"/>
    <s v="AJ"/>
    <n v="10348001"/>
    <d v="2020-04-06T00:00:00"/>
    <n v="202101"/>
    <s v="1"/>
    <s v="EXP"/>
    <s v="D3513"/>
    <s v="CA70"/>
    <s v="Prepay March 20 - SolutionCare Annual Maintenance &amp; Support"/>
    <n v="12129.08"/>
    <n v="12.12908"/>
  </r>
  <r>
    <s v="S03"/>
    <x v="4"/>
    <s v="AJ"/>
    <n v="10348001"/>
    <d v="2020-04-06T00:00:00"/>
    <n v="202101"/>
    <s v="1"/>
    <s v="EXP"/>
    <s v="D3513"/>
    <s v="CA70"/>
    <s v="Prepay March 20 - Policy Pak Group Policy Edition License"/>
    <n v="3402.05"/>
    <n v="3.40205"/>
  </r>
  <r>
    <s v="S03"/>
    <x v="4"/>
    <s v="AJ"/>
    <n v="10348001"/>
    <d v="2020-04-06T00:00:00"/>
    <n v="202101"/>
    <s v="1"/>
    <s v="EXP"/>
    <s v="D3513"/>
    <s v="CA70"/>
    <s v="Prepay March 20 - Support &amp; Maintenance for I@W Retention"/>
    <n v="652.44000000000005"/>
    <n v="0.65244000000000002"/>
  </r>
  <r>
    <s v="S03"/>
    <x v="4"/>
    <s v="AJ"/>
    <n v="10348055"/>
    <d v="2020-04-07T00:00:00"/>
    <n v="202101"/>
    <s v="1"/>
    <s v="EXP"/>
    <s v="D3513"/>
    <s v="CA70"/>
    <s v="PrepPiad Support for Existing I@W in Revenues"/>
    <n v="9370"/>
    <n v="9.3699999999999992"/>
  </r>
  <r>
    <s v="S03"/>
    <x v="4"/>
    <s v="AJ"/>
    <n v="10348055"/>
    <d v="2020-04-07T00:00:00"/>
    <n v="202101"/>
    <s v="1"/>
    <s v="EXP"/>
    <s v="D3503"/>
    <s v="BQ11"/>
    <s v="BT Accl External phone Usage Mar20"/>
    <n v="-625"/>
    <n v="-0.625"/>
  </r>
  <r>
    <s v="S03"/>
    <x v="4"/>
    <s v="AJ"/>
    <n v="10348055"/>
    <d v="2020-04-07T00:00:00"/>
    <n v="202101"/>
    <s v="1"/>
    <s v="EXP"/>
    <s v="D3503"/>
    <s v="BQ11"/>
    <s v="BT Accl External Phone Rental Mar20"/>
    <n v="-22650"/>
    <n v="-22.65"/>
  </r>
  <r>
    <s v="S03"/>
    <x v="4"/>
    <s v="AJ"/>
    <n v="10348055"/>
    <d v="2020-04-07T00:00:00"/>
    <n v="202101"/>
    <s v="1"/>
    <s v="EXP"/>
    <s v="D3401"/>
    <s v="CA70"/>
    <s v="SCC DCS Contract Excess Usage Accl Jan/Feb/Mar 20"/>
    <n v="-51000"/>
    <n v="-51"/>
  </r>
  <r>
    <s v="S03"/>
    <x v="4"/>
    <s v="AJ"/>
    <n v="10348055"/>
    <d v="2020-04-07T00:00:00"/>
    <n v="202101"/>
    <s v="1"/>
    <s v="EXP"/>
    <s v="D3401"/>
    <s v="CA70"/>
    <s v="SCC DCS Contract (Mar) Accrual"/>
    <n v="-45600"/>
    <n v="-45.6"/>
  </r>
  <r>
    <s v="S03"/>
    <x v="4"/>
    <s v="AJ"/>
    <n v="10348055"/>
    <d v="2020-04-07T00:00:00"/>
    <n v="202101"/>
    <s v="1"/>
    <s v="EXP"/>
    <s v="D3531"/>
    <s v="BQ11"/>
    <s v="Monthly Vodafone Accl Mar 20"/>
    <n v="-4552.38"/>
    <n v="-4.5523800000000003"/>
  </r>
  <r>
    <s v="S03"/>
    <x v="4"/>
    <s v="AJ"/>
    <n v="10348001"/>
    <d v="2020-04-06T00:00:00"/>
    <n v="202101"/>
    <s v="1"/>
    <s v="EXP"/>
    <s v="D3513"/>
    <s v="CA70"/>
    <s v="Prepay March 20 - Annual Support &amp; Maintenance - TomTom Terminals"/>
    <n v="8994.58"/>
    <n v="8.9945799999999991"/>
  </r>
  <r>
    <s v="S03"/>
    <x v="4"/>
    <s v="AJ"/>
    <n v="10347981"/>
    <d v="2020-04-03T00:00:00"/>
    <n v="202101"/>
    <s v="1"/>
    <s v="EXP"/>
    <s v="D3429"/>
    <s v="CA80"/>
    <s v="P12 P2P accruals 2019/20, 8037216, CANTIUM BUSINESS SOLUTIONS LTD"/>
    <n v="-31.5"/>
    <n v="-3.15E-2"/>
  </r>
  <r>
    <s v="S03"/>
    <x v="3"/>
    <s v="AJ"/>
    <n v="10347981"/>
    <d v="2020-04-03T00:00:00"/>
    <n v="202101"/>
    <s v="1"/>
    <s v="EXP"/>
    <s v="D3429"/>
    <s v="KT11"/>
    <s v="P12 P2P accruals 2019/20, 8035657, CANTIUM BUSINESS SOLUTIONS LTD"/>
    <n v="-33.5"/>
    <n v="-3.3500000000000002E-2"/>
  </r>
  <r>
    <s v="S03"/>
    <x v="4"/>
    <s v="AJ"/>
    <n v="10347981"/>
    <d v="2020-04-03T00:00:00"/>
    <n v="202101"/>
    <s v="1"/>
    <s v="EXP"/>
    <s v="D3513"/>
    <s v="CA70"/>
    <s v="P12 P2P accruals 2019/20, 8037822, WORKBOOKS ONLINE LTD"/>
    <n v="-1575"/>
    <n v="-1.575"/>
  </r>
  <r>
    <s v="S03"/>
    <x v="7"/>
    <s v="AJ"/>
    <n v="10347981"/>
    <d v="2020-04-03T00:00:00"/>
    <n v="202101"/>
    <s v="1"/>
    <s v="EXP"/>
    <s v="D3803"/>
    <s v="KA11"/>
    <s v="P12 P2P accruals 2019/20, 8034578, LAMB CATERING LTD"/>
    <n v="-298.75"/>
    <n v="-0.29875000000000002"/>
  </r>
  <r>
    <s v="S03"/>
    <x v="4"/>
    <s v="AJ"/>
    <n v="10348166"/>
    <d v="2020-04-09T00:00:00"/>
    <n v="202101"/>
    <s v="1"/>
    <s v="EXP"/>
    <s v="D3413"/>
    <s v="CA70"/>
    <s v="PrepayeXpress Annual Fee 01/04/2020 to 31/03/2021"/>
    <n v="12770.73"/>
    <n v="12.77073"/>
  </r>
  <r>
    <s v="S03"/>
    <x v="4"/>
    <s v="AJ"/>
    <n v="10348001"/>
    <d v="2020-04-06T00:00:00"/>
    <n v="202101"/>
    <s v="1"/>
    <s v="EXP"/>
    <s v="D3513"/>
    <s v="CA70"/>
    <s v="Prepay March 20 - Licence Fee &amp; Maintenance"/>
    <n v="11952.26"/>
    <n v="11.952260000000001"/>
  </r>
  <r>
    <s v="S03"/>
    <x v="3"/>
    <s v="AJ"/>
    <n v="10348385"/>
    <d v="2020-04-22T00:00:00"/>
    <n v="202101"/>
    <s v="1"/>
    <s v="EXP"/>
    <s v="A0116"/>
    <s v="CD59"/>
    <s v="P12 APPS TEAM Recharge reversal"/>
    <n v="-15860"/>
    <n v="-15.86"/>
  </r>
  <r>
    <s v="S03"/>
    <x v="6"/>
    <s v="AJ"/>
    <n v="10347981"/>
    <d v="2020-04-03T00:00:00"/>
    <n v="202101"/>
    <s v="1"/>
    <s v="EXP"/>
    <s v="A0631"/>
    <s v="DP07"/>
    <s v="P12 P2P accruals 2019/20, 8035660, 8866"/>
    <n v="-650"/>
    <n v="-0.65"/>
  </r>
  <r>
    <s v="S03"/>
    <x v="6"/>
    <s v="AJ"/>
    <n v="10347981"/>
    <d v="2020-04-03T00:00:00"/>
    <n v="202101"/>
    <s v="1"/>
    <s v="EXP"/>
    <s v="A0630"/>
    <s v="DP07"/>
    <s v="P12 P2P accruals 2019/20, 8037872, CONFLICT RESOLUTION LTD"/>
    <n v="-197.5"/>
    <n v="-0.19750000000000001"/>
  </r>
  <r>
    <s v="S03"/>
    <x v="6"/>
    <s v="AJ"/>
    <n v="10347981"/>
    <d v="2020-04-03T00:00:00"/>
    <n v="202101"/>
    <s v="1"/>
    <s v="EXP"/>
    <s v="A0631"/>
    <s v="DP07"/>
    <s v="P12 P2P accruals 2019/20, 8038814, OXFORD SAID BUSINESS SCHOOL LTD"/>
    <n v="-1564.8"/>
    <n v="-1.5648"/>
  </r>
  <r>
    <s v="S03"/>
    <x v="6"/>
    <s v="AJ"/>
    <n v="10347981"/>
    <d v="2020-04-03T00:00:00"/>
    <n v="202101"/>
    <s v="1"/>
    <s v="EXP"/>
    <s v="A0631"/>
    <s v="DP14"/>
    <s v="P12 P2P accruals 2019/20, 8037250, CHAMELEON COMMERCIAL SERVICES LTD"/>
    <n v="-10000"/>
    <n v="-10"/>
  </r>
  <r>
    <s v="S03"/>
    <x v="4"/>
    <s v="AJ"/>
    <n v="10347981"/>
    <d v="2020-04-03T00:00:00"/>
    <n v="202101"/>
    <s v="1"/>
    <s v="EXP"/>
    <s v="D3429"/>
    <s v="CA80"/>
    <s v="P12 P2P accruals 2019/20, 8037216, CANTIUM BUSINESS SOLUTIONS LTD"/>
    <n v="-31.5"/>
    <n v="-3.15E-2"/>
  </r>
  <r>
    <s v="S03"/>
    <x v="5"/>
    <s v="AJ"/>
    <n v="10347981"/>
    <d v="2020-04-03T00:00:00"/>
    <n v="202101"/>
    <s v="1"/>
    <s v="EXP"/>
    <s v="D3401"/>
    <s v="CB62"/>
    <s v="P12 P2P accruals 2019/20, 8029312, Kirona Solutions Ltd."/>
    <n v="-2375"/>
    <n v="-2.375"/>
  </r>
  <r>
    <s v="S03"/>
    <x v="6"/>
    <s v="AJ"/>
    <n v="10347981"/>
    <d v="2020-04-03T00:00:00"/>
    <n v="202101"/>
    <s v="1"/>
    <s v="EXP"/>
    <s v="A0630"/>
    <s v="DP07"/>
    <s v="P12 P2P accruals 2019/20, 8031642, OXFORDSHIRE COUNTY COUNCIL"/>
    <n v="-300"/>
    <n v="-0.3"/>
  </r>
  <r>
    <s v="S03"/>
    <x v="3"/>
    <s v="AJ"/>
    <n v="10347981"/>
    <d v="2020-04-03T00:00:00"/>
    <n v="202101"/>
    <s v="1"/>
    <s v="EXP"/>
    <s v="A0622"/>
    <s v="CD41"/>
    <s v="P12 P2P accruals 2019/20, 8035050, BYTES SOFTWARE SERVICES LTD"/>
    <n v="-5.65"/>
    <n v="-5.6500000000000005E-3"/>
  </r>
  <r>
    <s v="S03"/>
    <x v="6"/>
    <s v="AJ"/>
    <n v="10348055"/>
    <d v="2020-04-07T00:00:00"/>
    <n v="202101"/>
    <s v="1"/>
    <s v="EXP"/>
    <s v="A0638"/>
    <s v="DP07"/>
    <s v="PREPAID - Learning Pool Subs 1.4.20 to 28.11.2020"/>
    <n v="7000"/>
    <n v="7"/>
  </r>
  <r>
    <s v="S03"/>
    <x v="3"/>
    <s v="AJ"/>
    <n v="10348052"/>
    <d v="2020-04-07T00:00:00"/>
    <n v="202101"/>
    <s v="1"/>
    <s v="EXP"/>
    <s v="A0116"/>
    <s v="CD59"/>
    <s v="P12 APPS TEAM Recharge"/>
    <n v="15860"/>
    <n v="15.86"/>
  </r>
  <r>
    <s v="S03"/>
    <x v="6"/>
    <s v="AJ"/>
    <n v="10348202"/>
    <d v="2020-04-14T00:00:00"/>
    <n v="202101"/>
    <s v="1"/>
    <s v="EXP"/>
    <s v="A0649"/>
    <s v="CD34"/>
    <s v="ODS Apprenticeship Levy 1920"/>
    <n v="-134314"/>
    <n v="-134.31399999999999"/>
  </r>
  <r>
    <s v="S03"/>
    <x v="6"/>
    <s v="AJ"/>
    <n v="10348202"/>
    <d v="2020-04-14T00:00:00"/>
    <n v="202101"/>
    <s v="1"/>
    <s v="EXP"/>
    <s v="A0649"/>
    <s v="CD34"/>
    <s v="OX App Levy March 20 (est.)"/>
    <n v="-8840"/>
    <n v="-8.84"/>
  </r>
  <r>
    <s v="S03"/>
    <x v="4"/>
    <s v="AJ"/>
    <n v="10348001"/>
    <d v="2020-04-06T00:00:00"/>
    <n v="202101"/>
    <s v="1"/>
    <s v="EXP"/>
    <s v="D3513"/>
    <s v="CA70"/>
    <s v="Prepay March 20 - Planning Finder Software Maintenance"/>
    <n v="3179.45"/>
    <n v="3.1794499999999997"/>
  </r>
  <r>
    <s v="S03"/>
    <x v="5"/>
    <s v="AJ"/>
    <n v="10347981"/>
    <d v="2020-04-03T00:00:00"/>
    <n v="202101"/>
    <s v="1"/>
    <s v="EXP"/>
    <s v="D3401"/>
    <s v="CB62"/>
    <s v="P12 P2P accruals 2019/20, 8029311, Kirona Solutions Ltd."/>
    <n v="-5700"/>
    <n v="-5.7"/>
  </r>
  <r>
    <s v="S03"/>
    <x v="4"/>
    <s v="AJ"/>
    <n v="10348001"/>
    <d v="2020-04-06T00:00:00"/>
    <n v="202101"/>
    <s v="1"/>
    <s v="EXP"/>
    <s v="D3513"/>
    <s v="CA70"/>
    <s v="Prepay March 20 - HBSMR Server/Application Hosting"/>
    <n v="5171.51"/>
    <n v="5.1715100000000005"/>
  </r>
  <r>
    <s v="S03"/>
    <x v="4"/>
    <s v="AJ"/>
    <n v="10348001"/>
    <d v="2020-04-06T00:00:00"/>
    <n v="202101"/>
    <s v="1"/>
    <s v="EXP"/>
    <s v="D3513"/>
    <s v="CA70"/>
    <s v="Prepay March 20 - HBSMR SQL Server Database Maintenance &amp; Technical Supprot"/>
    <n v="984"/>
    <n v="0.98399999999999999"/>
  </r>
  <r>
    <s v="S03"/>
    <x v="4"/>
    <s v="AJ"/>
    <n v="10348001"/>
    <d v="2020-04-06T00:00:00"/>
    <n v="202101"/>
    <s v="1"/>
    <s v="EXP"/>
    <s v="D3513"/>
    <s v="CA70"/>
    <s v="Prepay March 20 - HBSMR User Group Meeting"/>
    <n v="52"/>
    <n v="5.1999999999999998E-2"/>
  </r>
  <r>
    <s v="S03"/>
    <x v="4"/>
    <s v="AJ"/>
    <n v="10348001"/>
    <d v="2020-04-06T00:00:00"/>
    <n v="202101"/>
    <s v="1"/>
    <s v="EXP"/>
    <s v="D3513"/>
    <s v="CA70"/>
    <s v="Prepay March 20 - Sophos UTM SW Fullguard 24x7"/>
    <n v="13219.23"/>
    <n v="13.21923"/>
  </r>
  <r>
    <s v="S03"/>
    <x v="4"/>
    <s v="AJ"/>
    <n v="10348001"/>
    <d v="2020-04-06T00:00:00"/>
    <n v="202101"/>
    <s v="1"/>
    <s v="EXP"/>
    <s v="D3513"/>
    <s v="CA70"/>
    <s v="Prepay March 20 - Northgate Public Services - Add 54 I@W Licences Housing"/>
    <n v="3690.11"/>
    <n v="3.6901100000000002"/>
  </r>
  <r>
    <s v="S03"/>
    <x v="4"/>
    <s v="AJ"/>
    <n v="10348001"/>
    <d v="2020-04-06T00:00:00"/>
    <n v="202101"/>
    <s v="1"/>
    <s v="EXP"/>
    <s v="D3513"/>
    <s v="CA70"/>
    <s v="Prepay March 20 - Maintenance &amp; Support Service Contract + Licence 05/05/2020 - 04/05/2021"/>
    <n v="3044.02"/>
    <n v="3.0440200000000002"/>
  </r>
  <r>
    <s v="S03"/>
    <x v="4"/>
    <s v="AJ"/>
    <n v="10348001"/>
    <d v="2020-04-06T00:00:00"/>
    <n v="202101"/>
    <s v="1"/>
    <s v="EXP"/>
    <s v="D3513"/>
    <s v="CA70"/>
    <s v="Prepay March 20 - ArcGIS License and Support 2020/21"/>
    <n v="30715.15"/>
    <n v="30.715150000000001"/>
  </r>
  <r>
    <s v="S03"/>
    <x v="4"/>
    <s v="AJ"/>
    <n v="10348001"/>
    <d v="2020-04-06T00:00:00"/>
    <n v="202101"/>
    <s v="1"/>
    <s v="EXP"/>
    <s v="D3513"/>
    <s v="CA70"/>
    <s v="Prepay March 20 - Annual Veeam Backup Essentials 20/21"/>
    <n v="1188.8900000000001"/>
    <n v="1.18889"/>
  </r>
  <r>
    <s v="S03"/>
    <x v="4"/>
    <s v="AJ"/>
    <n v="10348001"/>
    <d v="2020-04-06T00:00:00"/>
    <n v="202101"/>
    <s v="1"/>
    <s v="EXP"/>
    <s v="D3513"/>
    <s v="CA70"/>
    <s v="Prepay March 20 - SOFTWARE UPDATE LICENCE &amp; SUPPORT 180220/170221"/>
    <n v="2951.37"/>
    <n v="2.9513699999999998"/>
  </r>
  <r>
    <s v="S03"/>
    <x v="4"/>
    <s v="AJ"/>
    <n v="10348001"/>
    <d v="2020-04-06T00:00:00"/>
    <n v="202101"/>
    <s v="1"/>
    <s v="EXP"/>
    <s v="D3513"/>
    <s v="CA70"/>
    <s v="Prepay March 20 - Production Support"/>
    <n v="535.65"/>
    <n v="0.53564999999999996"/>
  </r>
  <r>
    <s v="S03"/>
    <x v="4"/>
    <s v="AJ"/>
    <n v="10348001"/>
    <d v="2020-04-06T00:00:00"/>
    <n v="202101"/>
    <s v="1"/>
    <s v="EXP"/>
    <s v="D3513"/>
    <s v="CA70"/>
    <s v="Prepay March 20 - Software Maintenance/Running Costs"/>
    <n v="77010.48"/>
    <n v="77.010480000000001"/>
  </r>
  <r>
    <s v="S03"/>
    <x v="4"/>
    <s v="AJ"/>
    <n v="10348001"/>
    <d v="2020-04-06T00:00:00"/>
    <n v="202101"/>
    <s v="1"/>
    <s v="EXP"/>
    <s v="D3513"/>
    <s v="CA70"/>
    <s v="Prepay March 20 - HRO Hosting, Payroll Services, Itrent 14/02/20-30/06/2020"/>
    <n v="7015.3"/>
    <n v="7.0152999999999999"/>
  </r>
  <r>
    <s v="S03"/>
    <x v="4"/>
    <s v="AJ"/>
    <n v="10348001"/>
    <d v="2020-04-06T00:00:00"/>
    <n v="202101"/>
    <s v="1"/>
    <s v="EXP"/>
    <s v="D3513"/>
    <s v="CA70"/>
    <s v="Prepay March 20 - eXpress Annual Fee 01/04/2020 to 31/03/2021"/>
    <n v="12805.81"/>
    <n v="12.805809999999999"/>
  </r>
  <r>
    <s v="S03"/>
    <x v="4"/>
    <s v="AJ"/>
    <n v="10348001"/>
    <d v="2020-04-06T00:00:00"/>
    <n v="202101"/>
    <s v="1"/>
    <s v="EXP"/>
    <s v="D3513"/>
    <s v="CA70"/>
    <s v="Prepay March 20 - BO x 1 named user licence - 01/04/2020 - 31/03/2021"/>
    <n v="1002.75"/>
    <n v="1.00275"/>
  </r>
  <r>
    <s v="S03"/>
    <x v="4"/>
    <s v="AJ"/>
    <n v="10348001"/>
    <d v="2020-04-06T00:00:00"/>
    <n v="202101"/>
    <s v="1"/>
    <s v="EXP"/>
    <s v="D3513"/>
    <s v="CA70"/>
    <s v="Prepay March 20 - Sophos Web, Network &amp; Premium Support"/>
    <n v="6448.56"/>
    <n v="6.4485600000000005"/>
  </r>
  <r>
    <s v="S03"/>
    <x v="4"/>
    <s v="AJ"/>
    <n v="10348001"/>
    <d v="2020-04-06T00:00:00"/>
    <n v="202101"/>
    <s v="1"/>
    <s v="EXP"/>
    <s v="D3401"/>
    <s v="CA70"/>
    <s v="Prepay March 20 - vFire Core Basic Support &amp; Dedicated License Basic Support"/>
    <n v="10118.75"/>
    <n v="10.11875"/>
  </r>
  <r>
    <s v="S03"/>
    <x v="6"/>
    <s v="AJ"/>
    <n v="10348001"/>
    <d v="2020-04-06T00:00:00"/>
    <n v="202101"/>
    <s v="1"/>
    <s v="EXP"/>
    <s v="C2505"/>
    <s v="CD05"/>
    <s v="Prepay March 20 - Easit Oxford Membership"/>
    <n v="701.37"/>
    <n v="0.70137000000000005"/>
  </r>
  <r>
    <s v="S03"/>
    <x v="4"/>
    <s v="AJ"/>
    <n v="10348001"/>
    <d v="2020-04-06T00:00:00"/>
    <n v="202101"/>
    <s v="1"/>
    <s v="EXP"/>
    <s v="D3513"/>
    <s v="CA70"/>
    <s v="Prepay March 20 - 1 Years Support - PSS - 8x5xNBD HWO"/>
    <n v="2286.15"/>
    <n v="2.2861500000000001"/>
  </r>
  <r>
    <s v="S03"/>
    <x v="4"/>
    <s v="AJ"/>
    <n v="10348001"/>
    <d v="2020-04-06T00:00:00"/>
    <n v="202101"/>
    <s v="1"/>
    <s v="EXP"/>
    <s v="D3513"/>
    <s v="CA70"/>
    <s v="Prepay March 20 - Support Charge For DATAstoc Classic Software"/>
    <n v="459.12"/>
    <n v="0.45912000000000003"/>
  </r>
  <r>
    <s v="S03"/>
    <x v="4"/>
    <s v="AJ"/>
    <n v="10348001"/>
    <d v="2020-04-06T00:00:00"/>
    <n v="202101"/>
    <s v="1"/>
    <s v="EXP"/>
    <s v="D3513"/>
    <s v="CA70"/>
    <s v="Prepay March 20 - Corvid Paygate Annual Licence"/>
    <n v="1738.36"/>
    <n v="1.7383599999999999"/>
  </r>
  <r>
    <s v="S03"/>
    <x v="4"/>
    <s v="AJ"/>
    <n v="10348001"/>
    <d v="2020-04-06T00:00:00"/>
    <n v="202101"/>
    <s v="1"/>
    <s v="EXP"/>
    <s v="D3513"/>
    <s v="CA70"/>
    <s v="Prepay March 20 - Email Encryption"/>
    <n v="2434.21"/>
    <n v="2.4342100000000002"/>
  </r>
  <r>
    <s v="S03"/>
    <x v="4"/>
    <s v="AJ"/>
    <n v="10347981"/>
    <d v="2020-04-03T00:00:00"/>
    <n v="202101"/>
    <s v="1"/>
    <s v="EXP"/>
    <s v="D3520"/>
    <s v="CA90"/>
    <s v="P12 P2P accruals 2019/20, 8039186, BT BUSINESS DIRECT"/>
    <n v="-2727.5"/>
    <n v="-2.7275"/>
  </r>
  <r>
    <s v="S03"/>
    <x v="4"/>
    <s v="AJ"/>
    <n v="10348146"/>
    <d v="2020-04-09T00:00:00"/>
    <n v="202101"/>
    <s v="1"/>
    <s v="EXP"/>
    <s v="D3513"/>
    <s v="CA70"/>
    <s v="Prepay March 20 - BO x 1 named user licence - 01/04/2020 - 31/03/2021"/>
    <n v="-1002.75"/>
    <n v="-1.00275"/>
  </r>
  <r>
    <s v="S03"/>
    <x v="4"/>
    <s v="AJ"/>
    <n v="10348146"/>
    <d v="2020-04-09T00:00:00"/>
    <n v="202101"/>
    <s v="1"/>
    <s v="EXP"/>
    <s v="D3513"/>
    <s v="CA70"/>
    <s v="Prepay March 20 - BO &amp; 1 Named User Licence"/>
    <n v="1000"/>
    <n v="1"/>
  </r>
  <r>
    <s v="S03"/>
    <x v="4"/>
    <s v="AJ"/>
    <n v="10348146"/>
    <d v="2020-04-09T00:00:00"/>
    <n v="202101"/>
    <s v="1"/>
    <s v="EXP"/>
    <s v="D3513"/>
    <s v="CA70"/>
    <s v="Prepay March 20 - Iken Annual Licence Fee"/>
    <n v="1288.1400000000001"/>
    <n v="1.2881400000000001"/>
  </r>
  <r>
    <s v="S03"/>
    <x v="4"/>
    <s v="AJ"/>
    <n v="10348146"/>
    <d v="2020-04-09T00:00:00"/>
    <n v="202101"/>
    <s v="1"/>
    <s v="EXP"/>
    <s v="D3513"/>
    <s v="CA70"/>
    <s v="Prepay March 20 - Annual Support &amp; Maintenance - TomTom Terminals"/>
    <n v="8994.58"/>
    <n v="8.9945799999999991"/>
  </r>
  <r>
    <s v="S03"/>
    <x v="4"/>
    <s v="AJ"/>
    <n v="10348146"/>
    <d v="2020-04-09T00:00:00"/>
    <n v="202101"/>
    <s v="1"/>
    <s v="EXP"/>
    <s v="D3513"/>
    <s v="CA70"/>
    <s v="Prepay March 20 - CMS Support"/>
    <n v="618.71"/>
    <n v="0.61870999999999998"/>
  </r>
  <r>
    <s v="S03"/>
    <x v="4"/>
    <s v="AJ"/>
    <n v="10348146"/>
    <d v="2020-04-09T00:00:00"/>
    <n v="202101"/>
    <s v="1"/>
    <s v="EXP"/>
    <s v="D3513"/>
    <s v="CA70"/>
    <s v="Prepay March 20 - AutoCAD LT 2019 Comm Subscription"/>
    <n v="894.16"/>
    <n v="0.89415999999999995"/>
  </r>
  <r>
    <s v="S03"/>
    <x v="4"/>
    <s v="AJ"/>
    <n v="10348146"/>
    <d v="2020-04-09T00:00:00"/>
    <n v="202101"/>
    <s v="1"/>
    <s v="EXP"/>
    <s v="D3513"/>
    <s v="CA70"/>
    <s v="Prepay March 20 - Periodic Charge Dor"/>
    <n v="3489.89"/>
    <n v="3.4898899999999999"/>
  </r>
  <r>
    <s v="S03"/>
    <x v="4"/>
    <s v="AJ"/>
    <n v="10348146"/>
    <d v="2020-04-09T00:00:00"/>
    <n v="202101"/>
    <s v="1"/>
    <s v="EXP"/>
    <s v="D3513"/>
    <s v="CA70"/>
    <s v="Prepay March 20 - Paris Multi Company Module"/>
    <n v="729.47"/>
    <n v="0.72947000000000006"/>
  </r>
  <r>
    <s v="S03"/>
    <x v="4"/>
    <s v="AJ"/>
    <n v="10348146"/>
    <d v="2020-04-09T00:00:00"/>
    <n v="202101"/>
    <s v="1"/>
    <s v="EXP"/>
    <s v="D3513"/>
    <s v="CA70"/>
    <s v="Prepay March 20 - HBSMR Gateway GIS Module Maintenance &amp; Technical Support"/>
    <n v="581"/>
    <n v="0.58099999999999996"/>
  </r>
  <r>
    <s v="S03"/>
    <x v="4"/>
    <s v="AJ"/>
    <n v="10348146"/>
    <d v="2020-04-09T00:00:00"/>
    <n v="202101"/>
    <s v="1"/>
    <s v="EXP"/>
    <s v="D3513"/>
    <s v="CA70"/>
    <s v="Prepay March 20 - Sophos Web, Network &amp; Premium Support"/>
    <n v="6448.56"/>
    <n v="6.4485600000000005"/>
  </r>
  <r>
    <s v="S03"/>
    <x v="4"/>
    <s v="AJ"/>
    <n v="10348146"/>
    <d v="2020-04-09T00:00:00"/>
    <n v="202101"/>
    <s v="1"/>
    <s v="EXP"/>
    <s v="D3513"/>
    <s v="CA70"/>
    <s v="Prepay March 20 - 1 Years Support - PSS - 8x5xNBD HWO"/>
    <n v="14781.06"/>
    <n v="14.78106"/>
  </r>
  <r>
    <s v="S03"/>
    <x v="4"/>
    <s v="AJ"/>
    <n v="10348146"/>
    <d v="2020-04-09T00:00:00"/>
    <n v="202101"/>
    <s v="1"/>
    <s v="EXP"/>
    <s v="D3513"/>
    <s v="CA70"/>
    <s v="Prepay March 20 - Support &amp; Maintenance for I@W Retention"/>
    <n v="652.44000000000005"/>
    <n v="0.65244000000000002"/>
  </r>
  <r>
    <s v="S03"/>
    <x v="4"/>
    <s v="AJ"/>
    <n v="10348146"/>
    <d v="2020-04-09T00:00:00"/>
    <n v="202101"/>
    <s v="1"/>
    <s v="EXP"/>
    <s v="D3513"/>
    <s v="CA70"/>
    <s v="Prepay March 20 - CorVu Maintenance Coverage"/>
    <n v="6757.18"/>
    <n v="6.75718"/>
  </r>
  <r>
    <s v="S03"/>
    <x v="4"/>
    <s v="AJ"/>
    <n v="10348146"/>
    <d v="2020-04-09T00:00:00"/>
    <n v="202101"/>
    <s v="1"/>
    <s v="EXP"/>
    <s v="D3513"/>
    <s v="CA70"/>
    <s v="Prepay March 20 - Sophos UTM SW Fullguard 24x7"/>
    <n v="-13219.23"/>
    <n v="-13.21923"/>
  </r>
  <r>
    <s v="S03"/>
    <x v="4"/>
    <s v="AJ"/>
    <n v="10348146"/>
    <d v="2020-04-09T00:00:00"/>
    <n v="202101"/>
    <s v="1"/>
    <s v="EXP"/>
    <s v="D3513"/>
    <s v="CA70"/>
    <s v="Prepay March 20 - Northgate Public Services - Add 54 I@W Licences Housing"/>
    <n v="-3690.11"/>
    <n v="-3.6901100000000002"/>
  </r>
  <r>
    <s v="S03"/>
    <x v="4"/>
    <s v="AJ"/>
    <n v="10348146"/>
    <d v="2020-04-09T00:00:00"/>
    <n v="202101"/>
    <s v="1"/>
    <s v="EXP"/>
    <s v="D3513"/>
    <s v="CA70"/>
    <s v="Prepay March 20 - Policy Pak Group Policy Edition License"/>
    <n v="-3402.05"/>
    <n v="-3.40205"/>
  </r>
  <r>
    <s v="S03"/>
    <x v="4"/>
    <s v="AJ"/>
    <n v="10348146"/>
    <d v="2020-04-09T00:00:00"/>
    <n v="202101"/>
    <s v="1"/>
    <s v="EXP"/>
    <s v="D3513"/>
    <s v="CA70"/>
    <s v="Prepay March 20 - Iken Annual Licence Fee"/>
    <n v="-1288.1400000000001"/>
    <n v="-1.2881400000000001"/>
  </r>
  <r>
    <s v="S03"/>
    <x v="4"/>
    <s v="AJ"/>
    <n v="10348146"/>
    <d v="2020-04-09T00:00:00"/>
    <n v="202101"/>
    <s v="1"/>
    <s v="EXP"/>
    <s v="D3513"/>
    <s v="CA70"/>
    <s v="Prepay March 20 - AEC Single User Annual Subs"/>
    <n v="-797.42"/>
    <n v="-0.79741999999999991"/>
  </r>
  <r>
    <s v="S03"/>
    <x v="4"/>
    <s v="AJ"/>
    <n v="10348146"/>
    <d v="2020-04-09T00:00:00"/>
    <n v="202101"/>
    <s v="1"/>
    <s v="EXP"/>
    <s v="D3513"/>
    <s v="CA70"/>
    <s v="Prepay March 20 - Sophos UTM SW Fullguard 24x7"/>
    <n v="13219.23"/>
    <n v="13.21923"/>
  </r>
  <r>
    <s v="S03"/>
    <x v="4"/>
    <s v="AJ"/>
    <n v="10348146"/>
    <d v="2020-04-09T00:00:00"/>
    <n v="202101"/>
    <s v="1"/>
    <s v="EXP"/>
    <s v="D3513"/>
    <s v="CA70"/>
    <s v="Prepay March 20 - Codeman 4 Annual Support"/>
    <n v="2337.63"/>
    <n v="2.3376300000000003"/>
  </r>
  <r>
    <s v="S03"/>
    <x v="4"/>
    <s v="AJ"/>
    <n v="10348146"/>
    <d v="2020-04-09T00:00:00"/>
    <n v="202101"/>
    <s v="1"/>
    <s v="EXP"/>
    <s v="D3513"/>
    <s v="CA70"/>
    <s v="Prepay March 20 - HBSMR SQL Server Database Maintenance &amp; Technical Supprot"/>
    <n v="-984"/>
    <n v="-0.98399999999999999"/>
  </r>
  <r>
    <s v="S03"/>
    <x v="4"/>
    <s v="AJ"/>
    <n v="10348146"/>
    <d v="2020-04-09T00:00:00"/>
    <n v="202101"/>
    <s v="1"/>
    <s v="EXP"/>
    <s v="D3513"/>
    <s v="CA70"/>
    <s v="Prepay March 20 - HRO Hosting, Payroll Services, Itrent 14/02/20-30/06/2020"/>
    <n v="-7015.3"/>
    <n v="-7.0152999999999999"/>
  </r>
  <r>
    <s v="S03"/>
    <x v="4"/>
    <s v="AJ"/>
    <n v="10348146"/>
    <d v="2020-04-09T00:00:00"/>
    <n v="202101"/>
    <s v="1"/>
    <s v="EXP"/>
    <s v="D3513"/>
    <s v="CA70"/>
    <s v="Prepay March 20 - eXpress Annual Fee 01/04/2020 to 31/03/2021"/>
    <n v="-12805.81"/>
    <n v="-12.805809999999999"/>
  </r>
  <r>
    <s v="S03"/>
    <x v="4"/>
    <s v="AJ"/>
    <n v="10348146"/>
    <d v="2020-04-09T00:00:00"/>
    <n v="202101"/>
    <s v="1"/>
    <s v="EXP"/>
    <s v="D3513"/>
    <s v="CA70"/>
    <s v="Prepay March 20 - Housing Advice Support &amp; Maintenance"/>
    <n v="2429.15"/>
    <n v="2.4291499999999999"/>
  </r>
  <r>
    <s v="S03"/>
    <x v="4"/>
    <s v="AJ"/>
    <n v="10348146"/>
    <d v="2020-04-09T00:00:00"/>
    <n v="202101"/>
    <s v="1"/>
    <s v="EXP"/>
    <s v="D3513"/>
    <s v="CA70"/>
    <s v="Prepay March 20 - Maintenance &amp; Support Service Contract + Licence 05/05/2020 - 04/05/2021"/>
    <n v="-3044.02"/>
    <n v="-3.0440200000000002"/>
  </r>
  <r>
    <s v="S03"/>
    <x v="4"/>
    <s v="AJ"/>
    <n v="10348146"/>
    <d v="2020-04-09T00:00:00"/>
    <n v="202101"/>
    <s v="1"/>
    <s v="EXP"/>
    <s v="D3401"/>
    <s v="CA70"/>
    <s v="Prepay March 20 - vFire Core Basic Support &amp; Dedicated License Basic Support"/>
    <n v="-10118.75"/>
    <n v="-10.11875"/>
  </r>
  <r>
    <s v="S03"/>
    <x v="6"/>
    <s v="AJ"/>
    <n v="10348146"/>
    <d v="2020-04-09T00:00:00"/>
    <n v="202101"/>
    <s v="1"/>
    <s v="EXP"/>
    <s v="C2505"/>
    <s v="CD05"/>
    <s v="Prepay March 20 - Easit Oxford Membership"/>
    <n v="-701.37"/>
    <n v="-0.70137000000000005"/>
  </r>
  <r>
    <s v="S03"/>
    <x v="4"/>
    <s v="AJ"/>
    <n v="10348146"/>
    <d v="2020-04-09T00:00:00"/>
    <n v="202101"/>
    <s v="1"/>
    <s v="EXP"/>
    <s v="D3513"/>
    <s v="CA70"/>
    <s v="Prepay March 20 - HBSMR Maplink ArcGIS Maintenance &amp; Technical Support"/>
    <n v="-868"/>
    <n v="-0.86799999999999999"/>
  </r>
  <r>
    <s v="S03"/>
    <x v="4"/>
    <s v="AJ"/>
    <n v="10348146"/>
    <d v="2020-04-09T00:00:00"/>
    <n v="202101"/>
    <s v="1"/>
    <s v="EXP"/>
    <s v="D3513"/>
    <s v="CA70"/>
    <s v="Prepay March 20 - Planning Finder Software Maintenance"/>
    <n v="-3179.45"/>
    <n v="-3.1794499999999997"/>
  </r>
  <r>
    <s v="S03"/>
    <x v="4"/>
    <s v="AJ"/>
    <n v="10348146"/>
    <d v="2020-04-09T00:00:00"/>
    <n v="202101"/>
    <s v="1"/>
    <s v="EXP"/>
    <s v="D3513"/>
    <s v="CA70"/>
    <s v="Prepay March 20 - AutoCAD LT 2019 Comm Subscription"/>
    <n v="-894.16"/>
    <n v="-0.89415999999999995"/>
  </r>
  <r>
    <s v="S03"/>
    <x v="4"/>
    <s v="AJ"/>
    <n v="10348146"/>
    <d v="2020-04-09T00:00:00"/>
    <n v="202101"/>
    <s v="1"/>
    <s v="EXP"/>
    <s v="D3513"/>
    <s v="CA70"/>
    <s v="Prepay March 20 - Periodic Charge Dor"/>
    <n v="-3489.89"/>
    <n v="-3.4898899999999999"/>
  </r>
  <r>
    <s v="S03"/>
    <x v="4"/>
    <s v="AJ"/>
    <n v="10348146"/>
    <d v="2020-04-09T00:00:00"/>
    <n v="202101"/>
    <s v="1"/>
    <s v="EXP"/>
    <s v="D3513"/>
    <s v="CA70"/>
    <s v="Prepay March 20 - HBSMR Gateway Maintenance &amp; Technical Support"/>
    <n v="-1450.4"/>
    <n v="-1.4504000000000001"/>
  </r>
  <r>
    <s v="S03"/>
    <x v="4"/>
    <s v="AJ"/>
    <n v="10348146"/>
    <d v="2020-04-09T00:00:00"/>
    <n v="202101"/>
    <s v="1"/>
    <s v="EXP"/>
    <s v="D3513"/>
    <s v="CA70"/>
    <s v="Prepay March 20 - HBSMR Gateway GIS Module Maintenance &amp; Technical Support"/>
    <n v="-581"/>
    <n v="-0.58099999999999996"/>
  </r>
  <r>
    <s v="S03"/>
    <x v="4"/>
    <s v="AJ"/>
    <n v="10348146"/>
    <d v="2020-04-09T00:00:00"/>
    <n v="202101"/>
    <s v="1"/>
    <s v="EXP"/>
    <s v="D3513"/>
    <s v="CA70"/>
    <s v="Prepay March 20 - Software Maintenance/Running Costs"/>
    <n v="-77010.48"/>
    <n v="-77.010480000000001"/>
  </r>
  <r>
    <s v="S03"/>
    <x v="4"/>
    <s v="AJ"/>
    <n v="10348166"/>
    <d v="2020-04-09T00:00:00"/>
    <n v="202101"/>
    <s v="1"/>
    <s v="EXP"/>
    <s v="D3503"/>
    <s v="BQ11"/>
    <s v="Reverse BT Accl External Phone Rental Mar20"/>
    <n v="22650"/>
    <n v="22.65"/>
  </r>
  <r>
    <s v="S03"/>
    <x v="4"/>
    <s v="AJ"/>
    <n v="10348146"/>
    <d v="2020-04-09T00:00:00"/>
    <n v="202101"/>
    <s v="1"/>
    <s v="EXP"/>
    <s v="D3513"/>
    <s v="CA70"/>
    <s v="Prepay March 20 - WMDesign Licence Renewal"/>
    <n v="-1991.31"/>
    <n v="-1.9913099999999999"/>
  </r>
  <r>
    <s v="S03"/>
    <x v="4"/>
    <s v="AJ"/>
    <n v="10348146"/>
    <d v="2020-04-09T00:00:00"/>
    <n v="202101"/>
    <s v="1"/>
    <s v="EXP"/>
    <s v="D3401"/>
    <s v="CA70"/>
    <s v="Prepay March 20 - vFire Core Basic Support &amp; Dedicated License Basic Support"/>
    <n v="10118.75"/>
    <n v="10.11875"/>
  </r>
  <r>
    <s v="S03"/>
    <x v="4"/>
    <s v="AJ"/>
    <n v="10348146"/>
    <d v="2020-04-09T00:00:00"/>
    <n v="202101"/>
    <s v="1"/>
    <s v="EXP"/>
    <s v="D3513"/>
    <s v="CA70"/>
    <s v="Prepay March 20 - SolutionCare Annual Maintenance &amp; Support"/>
    <n v="12129.08"/>
    <n v="12.12908"/>
  </r>
  <r>
    <s v="S03"/>
    <x v="4"/>
    <s v="AJ"/>
    <n v="10348146"/>
    <d v="2020-04-09T00:00:00"/>
    <n v="202101"/>
    <s v="1"/>
    <s v="EXP"/>
    <s v="D3513"/>
    <s v="CA70"/>
    <s v="Prepay March 20 - Support &amp; Maintenance GUI (iWorld)"/>
    <n v="-4253.57"/>
    <n v="-4.2535699999999999"/>
  </r>
  <r>
    <s v="S03"/>
    <x v="4"/>
    <s v="AJ"/>
    <n v="10348146"/>
    <d v="2020-04-09T00:00:00"/>
    <n v="202101"/>
    <s v="1"/>
    <s v="EXP"/>
    <s v="D3513"/>
    <s v="CA70"/>
    <s v="Prepay March 20 - Policy Pak Group Policy Edition License"/>
    <n v="3402.05"/>
    <n v="3.40205"/>
  </r>
  <r>
    <s v="S03"/>
    <x v="4"/>
    <s v="AJ"/>
    <n v="10348146"/>
    <d v="2020-04-09T00:00:00"/>
    <n v="202101"/>
    <s v="1"/>
    <s v="EXP"/>
    <s v="D3513"/>
    <s v="CA70"/>
    <s v="Prepay March 20 - TrustID Desktop Solutions x 5"/>
    <n v="8613.33"/>
    <n v="8.6133299999999995"/>
  </r>
  <r>
    <s v="S03"/>
    <x v="4"/>
    <s v="AJ"/>
    <n v="10348146"/>
    <d v="2020-04-09T00:00:00"/>
    <n v="202101"/>
    <s v="1"/>
    <s v="EXP"/>
    <s v="D3513"/>
    <s v="CA70"/>
    <s v="Prepay March 20 - ezytreev Tree Management System Maintenance and Support"/>
    <n v="4755"/>
    <n v="4.7549999999999999"/>
  </r>
  <r>
    <s v="S03"/>
    <x v="4"/>
    <s v="AJ"/>
    <n v="10348166"/>
    <d v="2020-04-09T00:00:00"/>
    <n v="202101"/>
    <s v="1"/>
    <s v="EXP"/>
    <s v="D3531"/>
    <s v="BQ11"/>
    <s v="Reverse Monthly Vodafone Accl Mar 20"/>
    <n v="4552.38"/>
    <n v="4.5523800000000003"/>
  </r>
  <r>
    <s v="S03"/>
    <x v="4"/>
    <s v="AJ"/>
    <n v="10348146"/>
    <d v="2020-04-09T00:00:00"/>
    <n v="202101"/>
    <s v="1"/>
    <s v="EXP"/>
    <s v="D3513"/>
    <s v="CA70"/>
    <s v="Prepay March 20 - Email Encryption"/>
    <n v="2434.21"/>
    <n v="2.4342100000000002"/>
  </r>
  <r>
    <s v="S03"/>
    <x v="6"/>
    <s v="AJ"/>
    <n v="10348146"/>
    <d v="2020-04-09T00:00:00"/>
    <n v="202101"/>
    <s v="1"/>
    <s v="EXP"/>
    <s v="C2505"/>
    <s v="CD05"/>
    <s v="Prepay March 20 - Easit Oxford Membership"/>
    <n v="701.37"/>
    <n v="0.70137000000000005"/>
  </r>
  <r>
    <s v="S03"/>
    <x v="6"/>
    <s v="AJ"/>
    <n v="10348146"/>
    <d v="2020-04-09T00:00:00"/>
    <n v="202101"/>
    <s v="1"/>
    <s v="EXP"/>
    <s v="D3703"/>
    <s v="DP03"/>
    <s v="Prepay March 20 - XpertHR"/>
    <n v="776.71"/>
    <n v="0.77671000000000001"/>
  </r>
  <r>
    <s v="S03"/>
    <x v="3"/>
    <s v="AJ"/>
    <n v="10347981"/>
    <d v="2020-04-03T00:00:00"/>
    <n v="202101"/>
    <s v="1"/>
    <s v="EXP"/>
    <s v="D3301"/>
    <s v="KT11"/>
    <s v="P12 P2P accruals 2019/20, 8038632, HOUND ENVELOPES LTD"/>
    <n v="-228.8"/>
    <n v="-0.2288"/>
  </r>
  <r>
    <s v="S03"/>
    <x v="4"/>
    <s v="AJ"/>
    <n v="10348166"/>
    <d v="2020-04-09T00:00:00"/>
    <n v="202101"/>
    <s v="1"/>
    <s v="EXP"/>
    <s v="D3306"/>
    <s v="CA70"/>
    <s v="Estimated Sharp Rental &amp; Copies Q4 1920"/>
    <n v="-14500"/>
    <n v="-14.5"/>
  </r>
  <r>
    <s v="S03"/>
    <x v="4"/>
    <s v="AJ"/>
    <n v="10348146"/>
    <d v="2020-04-09T00:00:00"/>
    <n v="202101"/>
    <s v="1"/>
    <s v="EXP"/>
    <s v="D3513"/>
    <s v="CA70"/>
    <s v="Prepay March 20 - CMS Support"/>
    <n v="-618.71"/>
    <n v="-0.61870999999999998"/>
  </r>
  <r>
    <s v="S03"/>
    <x v="4"/>
    <s v="AJ"/>
    <n v="10348166"/>
    <d v="2020-04-09T00:00:00"/>
    <n v="202101"/>
    <s v="1"/>
    <s v="EXP"/>
    <s v="D3508"/>
    <s v="CA70"/>
    <s v="Prepay PARIS multi-company April to Nov 20"/>
    <n v="710"/>
    <n v="0.71"/>
  </r>
  <r>
    <s v="S03"/>
    <x v="4"/>
    <s v="AJ"/>
    <n v="10348166"/>
    <d v="2020-04-09T00:00:00"/>
    <n v="202101"/>
    <s v="1"/>
    <s v="EXP"/>
    <s v="D3413"/>
    <s v="CA70"/>
    <s v="Prepay 20/21 Modern gov Annual Licences S&amp;M"/>
    <n v="8423.25"/>
    <n v="8.4232499999999995"/>
  </r>
  <r>
    <s v="S03"/>
    <x v="4"/>
    <s v="AJ"/>
    <n v="10348146"/>
    <d v="2020-04-09T00:00:00"/>
    <n v="202101"/>
    <s v="1"/>
    <s v="EXP"/>
    <s v="D3513"/>
    <s v="CA70"/>
    <s v="Prepay March 20 - Licence Fee &amp; Maintenance"/>
    <n v="-11952.26"/>
    <n v="-11.952260000000001"/>
  </r>
  <r>
    <s v="S03"/>
    <x v="4"/>
    <s v="AJ"/>
    <n v="10348166"/>
    <d v="2020-04-09T00:00:00"/>
    <n v="202101"/>
    <s v="1"/>
    <s v="EXP"/>
    <s v="D3508"/>
    <s v="CA70"/>
    <s v="Prepay Servitor License S&amp;M April to Nov 2020"/>
    <n v="14723.6"/>
    <n v="14.723600000000001"/>
  </r>
  <r>
    <s v="S03"/>
    <x v="4"/>
    <s v="AJ"/>
    <n v="10348166"/>
    <d v="2020-04-09T00:00:00"/>
    <n v="202101"/>
    <s v="1"/>
    <s v="EXP"/>
    <s v="D3413"/>
    <s v="CA70"/>
    <s v="Prepay 20/21 Mosaic Annual Licence Renewal"/>
    <n v="8366"/>
    <n v="8.3659999999999997"/>
  </r>
  <r>
    <s v="S03"/>
    <x v="4"/>
    <s v="AJ"/>
    <n v="10348001"/>
    <d v="2020-04-06T00:00:00"/>
    <n v="202101"/>
    <s v="1"/>
    <s v="EXP"/>
    <s v="D3513"/>
    <s v="CA70"/>
    <s v="Prepay March 20 - Iken Annual Licence Fee"/>
    <n v="1288.1400000000001"/>
    <n v="1.2881400000000001"/>
  </r>
  <r>
    <s v="S03"/>
    <x v="4"/>
    <s v="AJ"/>
    <n v="10348001"/>
    <d v="2020-04-06T00:00:00"/>
    <n v="202101"/>
    <s v="1"/>
    <s v="EXP"/>
    <s v="D3513"/>
    <s v="CA70"/>
    <s v="Prepay March 20 - Paris Multi Company Module"/>
    <n v="729.47"/>
    <n v="0.72947000000000006"/>
  </r>
  <r>
    <s v="S03"/>
    <x v="4"/>
    <s v="AJ"/>
    <n v="10348001"/>
    <d v="2020-04-06T00:00:00"/>
    <n v="202101"/>
    <s v="1"/>
    <s v="EXP"/>
    <s v="D3513"/>
    <s v="CA70"/>
    <s v="Prepay March 20 - HBSMR Maplink ArcGIS Maintenance &amp; Technical Support"/>
    <n v="868"/>
    <n v="0.86799999999999999"/>
  </r>
  <r>
    <s v="S03"/>
    <x v="4"/>
    <s v="AJ"/>
    <n v="10348001"/>
    <d v="2020-04-06T00:00:00"/>
    <n v="202101"/>
    <s v="1"/>
    <s v="EXP"/>
    <s v="D3513"/>
    <s v="CA70"/>
    <s v="Prepay March 20 - Support &amp; Maintenance GUI (iWorld)"/>
    <n v="4253.57"/>
    <n v="4.2535699999999999"/>
  </r>
  <r>
    <s v="S03"/>
    <x v="4"/>
    <s v="AJ"/>
    <n v="10348001"/>
    <d v="2020-04-06T00:00:00"/>
    <n v="202101"/>
    <s v="1"/>
    <s v="EXP"/>
    <s v="D3513"/>
    <s v="CA70"/>
    <s v="Prepay March 20 - AEC Single User Annual Subs"/>
    <n v="797.42"/>
    <n v="0.79741999999999991"/>
  </r>
  <r>
    <s v="S03"/>
    <x v="4"/>
    <s v="AJ"/>
    <n v="10348001"/>
    <d v="2020-04-06T00:00:00"/>
    <n v="202101"/>
    <s v="1"/>
    <s v="EXP"/>
    <s v="D3513"/>
    <s v="CA70"/>
    <s v="Prepay March 20 - AutoCAD LT 2019 Comm Subscription"/>
    <n v="894.16"/>
    <n v="0.89415999999999995"/>
  </r>
  <r>
    <s v="S03"/>
    <x v="4"/>
    <s v="AJ"/>
    <n v="10348001"/>
    <d v="2020-04-06T00:00:00"/>
    <n v="202101"/>
    <s v="1"/>
    <s v="EXP"/>
    <s v="D3513"/>
    <s v="CA70"/>
    <s v="Prepay March 20 - HBSMR Gateway Maintenance &amp; Technical Support"/>
    <n v="1450.4"/>
    <n v="1.4504000000000001"/>
  </r>
  <r>
    <s v="S03"/>
    <x v="4"/>
    <s v="AJ"/>
    <n v="10348001"/>
    <d v="2020-04-06T00:00:00"/>
    <n v="202101"/>
    <s v="1"/>
    <s v="EXP"/>
    <s v="D3513"/>
    <s v="CA70"/>
    <s v="Prepay March 20 - HBSMR Database Maintenance &amp; Technical Support"/>
    <n v="610"/>
    <n v="0.61"/>
  </r>
  <r>
    <s v="S03"/>
    <x v="4"/>
    <s v="AJ"/>
    <n v="10348001"/>
    <d v="2020-04-06T00:00:00"/>
    <n v="202101"/>
    <s v="1"/>
    <s v="EXP"/>
    <s v="D3513"/>
    <s v="CA70"/>
    <s v="Prepay March 20 - HBSMR Gateway GIS Module Maintenance &amp; Technical Support"/>
    <n v="581"/>
    <n v="0.58099999999999996"/>
  </r>
  <r>
    <s v="S03"/>
    <x v="4"/>
    <s v="AJ"/>
    <n v="10348001"/>
    <d v="2020-04-06T00:00:00"/>
    <n v="202101"/>
    <s v="1"/>
    <s v="EXP"/>
    <s v="D3513"/>
    <s v="CA70"/>
    <s v="Prepay March 20 - CMS Support"/>
    <n v="618.71"/>
    <n v="0.61870999999999998"/>
  </r>
  <r>
    <s v="S10"/>
    <x v="8"/>
    <s v="AJ"/>
    <n v="10347977"/>
    <d v="2020-04-03T00:00:00"/>
    <n v="202101"/>
    <s v="1"/>
    <s v="EXP"/>
    <s v="B1501"/>
    <s v="BG11"/>
    <s v="19/20 Electricity Accrual - Floyds Row Homeless Assessment Hub"/>
    <n v="-430"/>
    <n v="-0.43"/>
  </r>
  <r>
    <s v="S10"/>
    <x v="8"/>
    <s v="AJ"/>
    <n v="10347977"/>
    <d v="2020-04-03T00:00:00"/>
    <n v="202101"/>
    <s v="1"/>
    <s v="EXP"/>
    <s v="B1501"/>
    <s v="BJ12"/>
    <s v="19/20 Electricity Accrual - Covered Market Unit 026-027 &amp; 042-043"/>
    <n v="-299"/>
    <n v="-0.29899999999999999"/>
  </r>
  <r>
    <s v="S10"/>
    <x v="8"/>
    <s v="AJ"/>
    <n v="10347977"/>
    <d v="2020-04-03T00:00:00"/>
    <n v="202101"/>
    <s v="1"/>
    <s v="EXP"/>
    <s v="B1501"/>
    <s v="HT20"/>
    <s v="19/20 Electricity Accrual - Enterprise Centre Meeting Space (Unit 17) [RENT INC ELEC]"/>
    <n v="-19"/>
    <n v="-1.9E-2"/>
  </r>
  <r>
    <s v="S10"/>
    <x v="8"/>
    <s v="AJ"/>
    <n v="10347977"/>
    <d v="2020-04-03T00:00:00"/>
    <n v="202101"/>
    <s v="1"/>
    <s v="EXP"/>
    <s v="B1830"/>
    <s v="BJ12"/>
    <s v="19/20 Water Accrual - Covered Market Unit 021-023"/>
    <n v="-47"/>
    <n v="-4.7E-2"/>
  </r>
  <r>
    <s v="S10"/>
    <x v="8"/>
    <s v="AJ"/>
    <n v="10348420"/>
    <d v="2020-04-24T00:00:00"/>
    <n v="202101"/>
    <s v="1"/>
    <s v="EXP"/>
    <s v="B1605"/>
    <s v="BG18"/>
    <s v="Unpaid waste invoice 56012442"/>
    <n v="-2054.84"/>
    <n v="-2.05484"/>
  </r>
  <r>
    <s v="S10"/>
    <x v="8"/>
    <s v="AJ"/>
    <n v="10348420"/>
    <d v="2020-04-24T00:00:00"/>
    <n v="202101"/>
    <s v="1"/>
    <s v="EXP"/>
    <s v="B1605"/>
    <s v="BG18"/>
    <s v="Unpaid waste invoice 56011018"/>
    <n v="-1969.72"/>
    <n v="-1.9697200000000001"/>
  </r>
  <r>
    <s v="S10"/>
    <x v="9"/>
    <s v="AJ"/>
    <n v="10348222"/>
    <d v="2020-04-15T00:00:00"/>
    <n v="202101"/>
    <s v="1"/>
    <s v="INC"/>
    <s v="K9140"/>
    <s v="HT36"/>
    <s v="LEP - ERDF Claims Q1-Q4 1920 (claim 8-11 incl)"/>
    <n v="31123.83"/>
    <n v="31.123830000000002"/>
  </r>
  <r>
    <s v="S10"/>
    <x v="9"/>
    <s v="AJ"/>
    <n v="10348222"/>
    <d v="2020-04-15T00:00:00"/>
    <n v="202101"/>
    <s v="1"/>
    <s v="INC"/>
    <s v="K9141"/>
    <s v="HT36"/>
    <s v="County Council - ISFB Smart Oxford 50% TH salary costs"/>
    <n v="20000"/>
    <n v="20"/>
  </r>
  <r>
    <s v="S10"/>
    <x v="9"/>
    <s v="AJ"/>
    <n v="10348240"/>
    <d v="2020-04-15T00:00:00"/>
    <n v="202101"/>
    <s v="1"/>
    <s v="INC"/>
    <s v="K9141"/>
    <s v="HT14"/>
    <s v="Phase 1 Partner Contributions"/>
    <n v="101325"/>
    <n v="101.325"/>
  </r>
  <r>
    <s v="S10"/>
    <x v="9"/>
    <s v="AJ"/>
    <n v="10348240"/>
    <d v="2020-04-15T00:00:00"/>
    <n v="202101"/>
    <s v="1"/>
    <s v="INC"/>
    <s v="K9141"/>
    <s v="HT14"/>
    <s v="Phase 2 Partner Contributions"/>
    <n v="27757.74"/>
    <n v="27.757740000000002"/>
  </r>
  <r>
    <s v="S10"/>
    <x v="8"/>
    <s v="AJ"/>
    <n v="10347977"/>
    <d v="2020-04-03T00:00:00"/>
    <n v="202101"/>
    <s v="1"/>
    <s v="EXP"/>
    <s v="B1501"/>
    <s v="BG11"/>
    <s v="19/20 Electricity Accrual - George Street 01-03 [Third Flr]"/>
    <n v="-8"/>
    <n v="-8.0000000000000002E-3"/>
  </r>
  <r>
    <s v="S10"/>
    <x v="8"/>
    <s v="AJ"/>
    <n v="10348420"/>
    <d v="2020-04-24T00:00:00"/>
    <n v="202101"/>
    <s v="1"/>
    <s v="EXP"/>
    <s v="B1605"/>
    <s v="BG18"/>
    <s v="Unpaid waste invoice 56012873"/>
    <n v="-2377.0300000000002"/>
    <n v="-2.3770300000000004"/>
  </r>
  <r>
    <s v="S10"/>
    <x v="8"/>
    <s v="AJ"/>
    <n v="10348420"/>
    <d v="2020-04-24T00:00:00"/>
    <n v="202101"/>
    <s v="1"/>
    <s v="EXP"/>
    <s v="B1605"/>
    <s v="BG18"/>
    <s v="Unpaid waste invoice 56010263"/>
    <n v="-2048.8000000000002"/>
    <n v="-2.0488000000000004"/>
  </r>
  <r>
    <s v="S10"/>
    <x v="8"/>
    <s v="AJ"/>
    <n v="10347977"/>
    <d v="2020-04-03T00:00:00"/>
    <n v="202101"/>
    <s v="1"/>
    <s v="EXP"/>
    <s v="B1501"/>
    <s v="BJ12"/>
    <s v="19/20 Electricity Accrual - Covered Market"/>
    <n v="-1722"/>
    <n v="-1.722"/>
  </r>
  <r>
    <s v="S10"/>
    <x v="8"/>
    <s v="AJ"/>
    <n v="10347977"/>
    <d v="2020-04-03T00:00:00"/>
    <n v="202101"/>
    <s v="1"/>
    <s v="EXP"/>
    <s v="B1830"/>
    <s v="BJ12"/>
    <s v="19/20 Water Accrual - Covered Market Male Traders Toilets"/>
    <n v="-199"/>
    <n v="-0.19900000000000001"/>
  </r>
  <r>
    <s v="S10"/>
    <x v="8"/>
    <s v="AJ"/>
    <n v="10348420"/>
    <d v="2020-04-24T00:00:00"/>
    <n v="202101"/>
    <s v="1"/>
    <s v="EXP"/>
    <s v="B1605"/>
    <s v="HT20"/>
    <s v="Unpaid waste invoice 56008593"/>
    <n v="206.08"/>
    <n v="0.20608000000000001"/>
  </r>
  <r>
    <s v="S10"/>
    <x v="8"/>
    <s v="AJ"/>
    <n v="10347977"/>
    <d v="2020-04-03T00:00:00"/>
    <n v="202101"/>
    <s v="1"/>
    <s v="EXP"/>
    <s v="B1830"/>
    <s v="BJ12"/>
    <s v="19/20 Water Accrual - Covered Market Female Traders Toilets"/>
    <n v="-117"/>
    <n v="-0.11700000000000001"/>
  </r>
  <r>
    <s v="S10"/>
    <x v="8"/>
    <s v="AJ"/>
    <n v="10348429"/>
    <d v="2020-04-24T00:00:00"/>
    <n v="202101"/>
    <s v="1"/>
    <s v="EXP"/>
    <s v="B1821"/>
    <s v="BG11"/>
    <s v="Prepayment 20/21: SERVICE CHARGE ANGEL AND GREYHOUND MEADOW 2512/241220, MAGDALEN COLLEGE OXFORD"/>
    <n v="5060.47"/>
    <n v="5.0604700000000005"/>
  </r>
  <r>
    <s v="S10"/>
    <x v="8"/>
    <s v="AJ"/>
    <n v="10347977"/>
    <d v="2020-04-03T00:00:00"/>
    <n v="202101"/>
    <s v="1"/>
    <s v="EXP"/>
    <s v="B1501"/>
    <s v="BJ12"/>
    <s v="19/20 Electricity Accrual - Covered Market"/>
    <n v="-202"/>
    <n v="-0.20200000000000001"/>
  </r>
  <r>
    <s v="S10"/>
    <x v="8"/>
    <s v="AJ"/>
    <n v="10347977"/>
    <d v="2020-04-03T00:00:00"/>
    <n v="202101"/>
    <s v="1"/>
    <s v="EXP"/>
    <s v="B1830"/>
    <s v="BG11"/>
    <s v="19/20 Water Accrual - Former Blackbird Leys Swimming Pool"/>
    <n v="-156"/>
    <n v="-0.156"/>
  </r>
  <r>
    <s v="S10"/>
    <x v="8"/>
    <s v="AJ"/>
    <n v="10347977"/>
    <d v="2020-04-03T00:00:00"/>
    <n v="202101"/>
    <s v="1"/>
    <s v="EXP"/>
    <s v="B1501"/>
    <s v="BG11"/>
    <s v="19/20 Electricity Accrual - George Street 01-03 [Third Flr]"/>
    <n v="-42"/>
    <n v="-4.2000000000000003E-2"/>
  </r>
  <r>
    <s v="S10"/>
    <x v="8"/>
    <s v="AJ"/>
    <n v="10348420"/>
    <d v="2020-04-24T00:00:00"/>
    <n v="202101"/>
    <s v="1"/>
    <s v="EXP"/>
    <s v="B1605"/>
    <s v="BG18"/>
    <s v="Unpaid waste invoice 56008815"/>
    <n v="-2111.58"/>
    <n v="-2.11158"/>
  </r>
  <r>
    <s v="S10"/>
    <x v="8"/>
    <s v="AJ"/>
    <n v="10347977"/>
    <d v="2020-04-03T00:00:00"/>
    <n v="202101"/>
    <s v="1"/>
    <s v="EXP"/>
    <s v="B1501"/>
    <s v="BJ12"/>
    <s v="19/20 Electricity Accrual - Covered Market Female Traders Toilets"/>
    <n v="-250"/>
    <n v="-0.25"/>
  </r>
  <r>
    <s v="S10"/>
    <x v="8"/>
    <s v="AJ"/>
    <n v="10348420"/>
    <d v="2020-04-24T00:00:00"/>
    <n v="202101"/>
    <s v="1"/>
    <s v="EXP"/>
    <s v="B1605"/>
    <s v="BG18"/>
    <s v="Unpaid waste invoice 56013597"/>
    <n v="-1975.76"/>
    <n v="-1.97576"/>
  </r>
  <r>
    <s v="S10"/>
    <x v="8"/>
    <s v="AJ"/>
    <n v="10347977"/>
    <d v="2020-04-03T00:00:00"/>
    <n v="202101"/>
    <s v="1"/>
    <s v="EXP"/>
    <s v="B1501"/>
    <s v="BG11"/>
    <s v="19/20 Electricity Accrual - George Street 01-03 [Second Flr]"/>
    <n v="-115"/>
    <n v="-0.115"/>
  </r>
  <r>
    <s v="S10"/>
    <x v="8"/>
    <s v="AJ"/>
    <n v="10347977"/>
    <d v="2020-04-03T00:00:00"/>
    <n v="202101"/>
    <s v="1"/>
    <s v="EXP"/>
    <s v="B1830"/>
    <s v="BG11"/>
    <s v="19/20 Water Accrual - Ship Street 08 (Ground Floor Cafe)"/>
    <n v="-105"/>
    <n v="-0.105"/>
  </r>
  <r>
    <s v="S10"/>
    <x v="8"/>
    <s v="AJ"/>
    <n v="10347977"/>
    <d v="2020-04-03T00:00:00"/>
    <n v="202101"/>
    <s v="1"/>
    <s v="EXP"/>
    <s v="B1830"/>
    <s v="BG11"/>
    <s v="19/20 Water Accrual - Floyds Row Homeless Assessment Hub"/>
    <n v="-522"/>
    <n v="-0.52200000000000002"/>
  </r>
  <r>
    <s v="S10"/>
    <x v="8"/>
    <s v="AJ"/>
    <n v="10347977"/>
    <d v="2020-04-03T00:00:00"/>
    <n v="202101"/>
    <s v="1"/>
    <s v="EXP"/>
    <s v="B1830"/>
    <s v="BJ12"/>
    <s v="19/20 Water Accrual - Covered Market Porters Office"/>
    <n v="-8"/>
    <n v="-8.0000000000000002E-3"/>
  </r>
  <r>
    <s v="S10"/>
    <x v="8"/>
    <s v="AJ"/>
    <n v="10347977"/>
    <d v="2020-04-03T00:00:00"/>
    <n v="202101"/>
    <s v="1"/>
    <s v="EXP"/>
    <s v="B1501"/>
    <s v="BG11"/>
    <s v="19/20 Electricity Accrual - New Road 11B (Second Floor)"/>
    <n v="-55"/>
    <n v="-5.5E-2"/>
  </r>
  <r>
    <s v="S10"/>
    <x v="8"/>
    <s v="AJ"/>
    <n v="10348420"/>
    <d v="2020-04-24T00:00:00"/>
    <n v="202101"/>
    <s v="1"/>
    <s v="EXP"/>
    <s v="B1605"/>
    <s v="BG18"/>
    <s v="Unpaid waste invoice 56017674"/>
    <n v="-1969.72"/>
    <n v="-1.9697200000000001"/>
  </r>
  <r>
    <s v="S10"/>
    <x v="8"/>
    <s v="AJ"/>
    <n v="10347977"/>
    <d v="2020-04-03T00:00:00"/>
    <n v="202101"/>
    <s v="1"/>
    <s v="EXP"/>
    <s v="B1830"/>
    <s v="BG11"/>
    <s v="19/20 Water Accrual - Queen Street 45"/>
    <n v="-23"/>
    <n v="-2.3E-2"/>
  </r>
  <r>
    <s v="S10"/>
    <x v="8"/>
    <s v="AJ"/>
    <n v="10347977"/>
    <d v="2020-04-03T00:00:00"/>
    <n v="202101"/>
    <s v="1"/>
    <s v="EXP"/>
    <s v="B1501"/>
    <s v="BG11"/>
    <s v="19/20 Electricity Accrual - Ship Street 08 (Ground Floor Cafe)"/>
    <n v="-97"/>
    <n v="-9.7000000000000003E-2"/>
  </r>
  <r>
    <s v="S10"/>
    <x v="8"/>
    <s v="AJ"/>
    <n v="10348420"/>
    <d v="2020-04-24T00:00:00"/>
    <n v="202101"/>
    <s v="1"/>
    <s v="EXP"/>
    <s v="B1605"/>
    <s v="BG18"/>
    <s v="Unpaid waste invoice 56017031"/>
    <n v="-2377.0300000000002"/>
    <n v="-2.3770300000000004"/>
  </r>
  <r>
    <s v="S10"/>
    <x v="8"/>
    <s v="AJ"/>
    <n v="10348420"/>
    <d v="2020-04-24T00:00:00"/>
    <n v="202101"/>
    <s v="1"/>
    <s v="EXP"/>
    <s v="B1605"/>
    <s v="BG18"/>
    <s v="Unpaid waste invoice 56015708"/>
    <n v="-2054.84"/>
    <n v="-2.05484"/>
  </r>
  <r>
    <s v="S10"/>
    <x v="8"/>
    <s v="AJ"/>
    <n v="10347977"/>
    <d v="2020-04-03T00:00:00"/>
    <n v="202101"/>
    <s v="1"/>
    <s v="EXP"/>
    <s v="B1501"/>
    <s v="BJ12"/>
    <s v="19/20 Electricity Accrual - Covered Market Unit 046-048 &amp; Cellars 10-11"/>
    <n v="-105"/>
    <n v="-0.105"/>
  </r>
  <r>
    <s v="S10"/>
    <x v="8"/>
    <s v="AJ"/>
    <n v="10347977"/>
    <d v="2020-04-03T00:00:00"/>
    <n v="202101"/>
    <s v="1"/>
    <s v="EXP"/>
    <s v="B1501"/>
    <s v="HT20"/>
    <s v="19/20 Electricity Accrual - Enterprise Centre Unit 09 [RENT INC ELEC]"/>
    <n v="-43"/>
    <n v="-4.2999999999999997E-2"/>
  </r>
  <r>
    <s v="S10"/>
    <x v="10"/>
    <s v="AJ"/>
    <n v="10348296"/>
    <d v="2020-04-17T00:00:00"/>
    <n v="202101"/>
    <s v="1"/>
    <s v="EXP"/>
    <s v="D3411"/>
    <s v="BN10"/>
    <s v="Inner Circle - Q4 1920 expects costs (as per GC data)"/>
    <n v="-28282.720000000001"/>
    <n v="-28.282720000000001"/>
  </r>
  <r>
    <s v="S10"/>
    <x v="9"/>
    <s v="AJ"/>
    <n v="10348188"/>
    <d v="2020-04-13T00:00:00"/>
    <n v="202101"/>
    <s v="1"/>
    <s v="EXP"/>
    <s v="D3401"/>
    <s v="HT36"/>
    <s v="One Limited - Event Workshop series"/>
    <n v="-2400"/>
    <n v="-2.4"/>
  </r>
  <r>
    <s v="S10"/>
    <x v="8"/>
    <s v="AJ"/>
    <n v="10347999"/>
    <d v="2020-04-06T00:00:00"/>
    <n v="202101"/>
    <s v="1"/>
    <s v="EXP"/>
    <s v="C2101"/>
    <s v="TJ11"/>
    <s v="P12 Non-Contracted Repairs"/>
    <n v="-1298.53"/>
    <n v="-1.29853"/>
  </r>
  <r>
    <s v="S10"/>
    <x v="11"/>
    <s v="AJ"/>
    <n v="10347981"/>
    <d v="2020-04-03T00:00:00"/>
    <n v="202101"/>
    <s v="1"/>
    <s v="EXP"/>
    <s v="D3411"/>
    <s v="BN22"/>
    <s v="P12 P2P accruals 2019/20, 8038922, CHRIS BRAIN ASSOCIATES"/>
    <n v="-10000"/>
    <n v="-10"/>
  </r>
  <r>
    <s v="S10"/>
    <x v="8"/>
    <s v="AJ"/>
    <n v="10348420"/>
    <d v="2020-04-24T00:00:00"/>
    <n v="202101"/>
    <s v="1"/>
    <s v="EXP"/>
    <s v="B1605"/>
    <s v="BG18"/>
    <s v="Unpaid waste invoice 56015385"/>
    <n v="-2048.8000000000002"/>
    <n v="-2.0488000000000004"/>
  </r>
  <r>
    <s v="S10"/>
    <x v="8"/>
    <s v="AJ"/>
    <n v="10348420"/>
    <d v="2020-04-24T00:00:00"/>
    <n v="202101"/>
    <s v="1"/>
    <s v="EXP"/>
    <s v="B1605"/>
    <s v="BG18"/>
    <s v="Unpaid waste invoice 56014711"/>
    <n v="-2377.0300000000002"/>
    <n v="-2.3770300000000004"/>
  </r>
  <r>
    <s v="S10"/>
    <x v="9"/>
    <s v="AJ"/>
    <n v="10348240"/>
    <d v="2020-04-15T00:00:00"/>
    <n v="202101"/>
    <s v="1"/>
    <s v="EXP"/>
    <s v="D3411"/>
    <s v="HT14"/>
    <s v="Arcadis Fees  - March"/>
    <n v="-5252.4"/>
    <n v="-5.2523999999999997"/>
  </r>
  <r>
    <s v="S10"/>
    <x v="9"/>
    <s v="AJ"/>
    <n v="10348240"/>
    <d v="2020-04-15T00:00:00"/>
    <n v="202101"/>
    <s v="1"/>
    <s v="EXP"/>
    <s v="D3411"/>
    <s v="HT14"/>
    <s v="OCC Share of Phase 2 Fees Incurred by Thames Water"/>
    <n v="-12454"/>
    <n v="-12.454000000000001"/>
  </r>
  <r>
    <s v="S10"/>
    <x v="8"/>
    <s v="AJ"/>
    <n v="10347977"/>
    <d v="2020-04-03T00:00:00"/>
    <n v="202101"/>
    <s v="1"/>
    <s v="EXP"/>
    <s v="B1501"/>
    <s v="BG11"/>
    <s v="19/20 Electricity Accrual - George Street 01-03 [Bsmt &amp; Ground Flr]"/>
    <n v="-143"/>
    <n v="-0.14299999999999999"/>
  </r>
  <r>
    <s v="S10"/>
    <x v="8"/>
    <s v="AJ"/>
    <n v="10347977"/>
    <d v="2020-04-03T00:00:00"/>
    <n v="202101"/>
    <s v="1"/>
    <s v="EXP"/>
    <s v="B1501"/>
    <s v="HT20"/>
    <s v="19/20 Electricity Accrual - Enterprise Centre Unit 10"/>
    <n v="-53"/>
    <n v="-5.2999999999999999E-2"/>
  </r>
  <r>
    <s v="S10"/>
    <x v="8"/>
    <s v="AJ"/>
    <n v="10347977"/>
    <d v="2020-04-03T00:00:00"/>
    <n v="202101"/>
    <s v="1"/>
    <s v="EXP"/>
    <s v="B1501"/>
    <s v="BG11"/>
    <s v="19/20 Electricity Accrual - George Street 01-03 [Bsmt &amp; Ground Flr]"/>
    <n v="-138"/>
    <n v="-0.13800000000000001"/>
  </r>
  <r>
    <s v="S10"/>
    <x v="8"/>
    <s v="AJ"/>
    <n v="10347977"/>
    <d v="2020-04-03T00:00:00"/>
    <n v="202101"/>
    <s v="1"/>
    <s v="EXP"/>
    <s v="B1830"/>
    <s v="BG11"/>
    <s v="19/20 Water Accrual - Former Rose Hill Scout Hut"/>
    <n v="-29"/>
    <n v="-2.9000000000000001E-2"/>
  </r>
  <r>
    <s v="S10"/>
    <x v="8"/>
    <s v="AJ"/>
    <n v="10347977"/>
    <d v="2020-04-03T00:00:00"/>
    <n v="202101"/>
    <s v="1"/>
    <s v="EXP"/>
    <s v="B1502"/>
    <s v="HT20"/>
    <s v="19/20 Gas Accrual - Enterprise Centre"/>
    <n v="-365"/>
    <n v="-0.36499999999999999"/>
  </r>
  <r>
    <s v="S10"/>
    <x v="8"/>
    <s v="AJ"/>
    <n v="10347977"/>
    <d v="2020-04-03T00:00:00"/>
    <n v="202101"/>
    <s v="1"/>
    <s v="EXP"/>
    <s v="B1830"/>
    <s v="BG11"/>
    <s v="19/20 Water Accrual - Kendall Crescent 5"/>
    <n v="-78"/>
    <n v="-7.8E-2"/>
  </r>
  <r>
    <s v="S10"/>
    <x v="8"/>
    <s v="AJ"/>
    <n v="10347977"/>
    <d v="2020-04-03T00:00:00"/>
    <n v="202101"/>
    <s v="1"/>
    <s v="EXP"/>
    <s v="B1501"/>
    <s v="BG11"/>
    <s v="19/20 Electricity Accrual - Kendall Crescent 5"/>
    <n v="-75"/>
    <n v="-7.4999999999999997E-2"/>
  </r>
  <r>
    <s v="S10"/>
    <x v="8"/>
    <s v="AJ"/>
    <n v="10347977"/>
    <d v="2020-04-03T00:00:00"/>
    <n v="202101"/>
    <s v="1"/>
    <s v="EXP"/>
    <s v="B1501"/>
    <s v="BG11"/>
    <s v="19/20 Electricity Accrual - George Street 42 (Basement &amp; Upper Floors)"/>
    <n v="-19"/>
    <n v="-1.9E-2"/>
  </r>
  <r>
    <s v="S10"/>
    <x v="8"/>
    <s v="AJ"/>
    <n v="10347977"/>
    <d v="2020-04-03T00:00:00"/>
    <n v="202101"/>
    <s v="1"/>
    <s v="EXP"/>
    <s v="B1830"/>
    <s v="BJ12"/>
    <s v="19/20 Water Accrual - Covered Market Unit 016A"/>
    <n v="-25"/>
    <n v="-2.5000000000000001E-2"/>
  </r>
  <r>
    <s v="S10"/>
    <x v="8"/>
    <s v="AJ"/>
    <n v="10347977"/>
    <d v="2020-04-03T00:00:00"/>
    <n v="202101"/>
    <s v="1"/>
    <s v="EXP"/>
    <s v="B1501"/>
    <s v="HT20"/>
    <s v="19/20 Electricity Accrual - Enterprise Centre"/>
    <n v="-200"/>
    <n v="-0.2"/>
  </r>
  <r>
    <s v="S10"/>
    <x v="8"/>
    <s v="AJ"/>
    <n v="10347977"/>
    <d v="2020-04-03T00:00:00"/>
    <n v="202101"/>
    <s v="1"/>
    <s v="EXP"/>
    <s v="B1830"/>
    <s v="BG11"/>
    <s v="19/20 Water Accrual - Blackbird Leys Road 100 (Lloyds Pharmacy)"/>
    <n v="-123"/>
    <n v="-0.123"/>
  </r>
  <r>
    <s v="S10"/>
    <x v="8"/>
    <s v="AJ"/>
    <n v="10347977"/>
    <d v="2020-04-03T00:00:00"/>
    <n v="202101"/>
    <s v="1"/>
    <s v="EXP"/>
    <s v="B1502"/>
    <s v="BG12"/>
    <s v="19/20 Gas Accrual - Bury Knowle House (First Floor Offices) [RENT INCLUDES UTILITIES]"/>
    <n v="-224"/>
    <n v="-0.224"/>
  </r>
  <r>
    <s v="S10"/>
    <x v="8"/>
    <s v="AJ"/>
    <n v="10347977"/>
    <d v="2020-04-03T00:00:00"/>
    <n v="202101"/>
    <s v="1"/>
    <s v="EXP"/>
    <s v="B1501"/>
    <s v="BG12"/>
    <s v="19/20 Electricity Accrual - Bury Knowle House (First Floor Offices) [RENT INCLUDES UTILITIES]"/>
    <n v="-402"/>
    <n v="-0.40200000000000002"/>
  </r>
  <r>
    <s v="S10"/>
    <x v="8"/>
    <s v="AJ"/>
    <n v="10347977"/>
    <d v="2020-04-03T00:00:00"/>
    <n v="202101"/>
    <s v="1"/>
    <s v="EXP"/>
    <s v="B1501"/>
    <s v="BG11"/>
    <s v="19/20 Electricity Accrual - Ship Street 10"/>
    <n v="-264"/>
    <n v="-0.26400000000000001"/>
  </r>
  <r>
    <s v="S10"/>
    <x v="8"/>
    <s v="AJ"/>
    <n v="10347977"/>
    <d v="2020-04-03T00:00:00"/>
    <n v="202101"/>
    <s v="1"/>
    <s v="EXP"/>
    <s v="B1501"/>
    <s v="BG11"/>
    <s v="19/20 Electricity Accrual - Ship Street 09"/>
    <n v="-20"/>
    <n v="-0.02"/>
  </r>
  <r>
    <s v="S10"/>
    <x v="8"/>
    <s v="AJ"/>
    <n v="10347977"/>
    <d v="2020-04-03T00:00:00"/>
    <n v="202101"/>
    <s v="1"/>
    <s v="EXP"/>
    <s v="B1502"/>
    <s v="BG11"/>
    <s v="19/20 Gas Accrual - Ship Street 10"/>
    <n v="-61"/>
    <n v="-6.0999999999999999E-2"/>
  </r>
  <r>
    <s v="S10"/>
    <x v="8"/>
    <s v="AJ"/>
    <n v="10347977"/>
    <d v="2020-04-03T00:00:00"/>
    <n v="202101"/>
    <s v="1"/>
    <s v="EXP"/>
    <s v="B1501"/>
    <s v="BG12"/>
    <s v="19/20 Electricity Accrual - Bury Knowle House"/>
    <n v="-144"/>
    <n v="-0.14399999999999999"/>
  </r>
  <r>
    <s v="S10"/>
    <x v="8"/>
    <s v="AJ"/>
    <n v="10347977"/>
    <d v="2020-04-03T00:00:00"/>
    <n v="202101"/>
    <s v="1"/>
    <s v="EXP"/>
    <s v="B1830"/>
    <s v="BG12"/>
    <s v="19/20 Water Accrual - Bury Knowle House"/>
    <n v="-507"/>
    <n v="-0.50700000000000001"/>
  </r>
  <r>
    <s v="S10"/>
    <x v="8"/>
    <s v="AJ"/>
    <n v="10347977"/>
    <d v="2020-04-03T00:00:00"/>
    <n v="202101"/>
    <s v="1"/>
    <s v="EXP"/>
    <s v="B1501"/>
    <s v="BG11"/>
    <s v="19/20 Electricity Accrual - Turl Street 18-19"/>
    <n v="-54"/>
    <n v="-5.3999999999999999E-2"/>
  </r>
  <r>
    <s v="S10"/>
    <x v="8"/>
    <s v="AJ"/>
    <n v="10347977"/>
    <d v="2020-04-03T00:00:00"/>
    <n v="202101"/>
    <s v="1"/>
    <s v="EXP"/>
    <s v="B1502"/>
    <s v="BG11"/>
    <s v="19/20 Gas Accrual - Ship Street 16A"/>
    <n v="-39"/>
    <n v="-3.9E-2"/>
  </r>
  <r>
    <s v="S10"/>
    <x v="8"/>
    <s v="AJ"/>
    <n v="10347977"/>
    <d v="2020-04-03T00:00:00"/>
    <n v="202101"/>
    <s v="1"/>
    <s v="EXP"/>
    <s v="B1830"/>
    <s v="BG11"/>
    <s v="19/20 Water Accrual - St Michael´s Street 10"/>
    <n v="-49"/>
    <n v="-4.9000000000000002E-2"/>
  </r>
  <r>
    <s v="S10"/>
    <x v="8"/>
    <s v="AJ"/>
    <n v="10347977"/>
    <d v="2020-04-03T00:00:00"/>
    <n v="202101"/>
    <s v="1"/>
    <s v="EXP"/>
    <s v="B1501"/>
    <s v="BJ12"/>
    <s v="19/20 Electricity Accrual - Covered Market Unit 069-073 &amp; Cellar 03"/>
    <n v="-162"/>
    <n v="-0.16200000000000001"/>
  </r>
  <r>
    <s v="S10"/>
    <x v="9"/>
    <s v="AJ"/>
    <n v="10348240"/>
    <d v="2020-04-15T00:00:00"/>
    <n v="202101"/>
    <s v="1"/>
    <s v="EXP"/>
    <s v="D3411"/>
    <s v="HT14"/>
    <s v="Phase 1 Contribution to Partners"/>
    <n v="-237079"/>
    <n v="-237.07900000000001"/>
  </r>
  <r>
    <s v="S10"/>
    <x v="8"/>
    <s v="AJ"/>
    <n v="10348018"/>
    <d v="2020-04-06T00:00:00"/>
    <n v="202101"/>
    <s v="1"/>
    <s v="EXP"/>
    <s v="B1605"/>
    <s v="TJ11"/>
    <s v="March waste collections"/>
    <n v="-2054.84"/>
    <n v="-2.05484"/>
  </r>
  <r>
    <s v="S10"/>
    <x v="8"/>
    <s v="AJ"/>
    <n v="10347977"/>
    <d v="2020-04-03T00:00:00"/>
    <n v="202101"/>
    <s v="1"/>
    <s v="EXP"/>
    <s v="B1501"/>
    <s v="BG18"/>
    <s v="19/20 Electricity Accrual - Gloucester Green Outdoor Market Lighting"/>
    <n v="-482"/>
    <n v="-0.48199999999999998"/>
  </r>
  <r>
    <s v="S10"/>
    <x v="8"/>
    <s v="AJ"/>
    <n v="10347977"/>
    <d v="2020-04-03T00:00:00"/>
    <n v="202101"/>
    <s v="1"/>
    <s v="EXP"/>
    <s v="B1501"/>
    <s v="BG11"/>
    <s v="19/20 Electricity Accrual - The Victoria Fountain"/>
    <n v="-11"/>
    <n v="-1.0999999999999999E-2"/>
  </r>
  <r>
    <s v="S10"/>
    <x v="8"/>
    <s v="AJ"/>
    <n v="10347977"/>
    <d v="2020-04-03T00:00:00"/>
    <n v="202101"/>
    <s v="1"/>
    <s v="EXP"/>
    <s v="B1501"/>
    <s v="BG11"/>
    <s v="19/20 Electricity Accrual - Turl Street 18-19"/>
    <n v="-1087"/>
    <n v="-1.087"/>
  </r>
  <r>
    <s v="S10"/>
    <x v="11"/>
    <s v="AJ"/>
    <n v="10347981"/>
    <d v="2020-04-03T00:00:00"/>
    <n v="202101"/>
    <s v="1"/>
    <s v="EXP"/>
    <s v="D3411"/>
    <s v="BN06"/>
    <s v="P12 P2P accruals 2019/20, 8019897, ARCADIS LLP"/>
    <n v="-5092.74"/>
    <n v="-5.09274"/>
  </r>
  <r>
    <s v="S10"/>
    <x v="11"/>
    <s v="AJ"/>
    <n v="10347979"/>
    <d v="2020-04-03T00:00:00"/>
    <n v="202101"/>
    <s v="1"/>
    <s v="EXP"/>
    <s v="D3415"/>
    <s v="BN22"/>
    <s v="19/20 Cash in 20/21"/>
    <n v="-9"/>
    <n v="-8.9999999999999993E-3"/>
  </r>
  <r>
    <s v="S10"/>
    <x v="11"/>
    <s v="AJ"/>
    <n v="10347973"/>
    <d v="2020-04-03T00:00:00"/>
    <n v="202101"/>
    <s v="1"/>
    <s v="EXP"/>
    <s v="C2201"/>
    <s v="BN22"/>
    <s v=""/>
    <n v="-60.79"/>
    <n v="-6.0789999999999997E-2"/>
  </r>
  <r>
    <s v="S10"/>
    <x v="8"/>
    <s v="AJ"/>
    <n v="10348018"/>
    <d v="2020-04-06T00:00:00"/>
    <n v="202101"/>
    <s v="1"/>
    <s v="EXP"/>
    <s v="D3420"/>
    <s v="HT20"/>
    <s v="March waste collections"/>
    <n v="-223.2"/>
    <n v="-0.22319999999999998"/>
  </r>
  <r>
    <s v="S10"/>
    <x v="11"/>
    <s v="AJ"/>
    <n v="10348473"/>
    <d v="2020-04-27T00:00:00"/>
    <n v="202101"/>
    <s v="1"/>
    <s v="INC"/>
    <s v="K6661"/>
    <s v="BN22"/>
    <s v="XMA - BLINE 23.8LCD Monitors (102) reverse tn#10348438 (error)"/>
    <n v="25000"/>
    <n v="25"/>
  </r>
  <r>
    <s v="S10"/>
    <x v="8"/>
    <s v="AJ"/>
    <n v="10347977"/>
    <d v="2020-04-03T00:00:00"/>
    <n v="202101"/>
    <s v="1"/>
    <s v="EXP"/>
    <s v="B1501"/>
    <s v="BJ12"/>
    <s v="19/20 Electricity Accrual - Covered Market Cellar 13"/>
    <n v="-1041"/>
    <n v="-1.0409999999999999"/>
  </r>
  <r>
    <s v="S10"/>
    <x v="8"/>
    <s v="AJ"/>
    <n v="10347977"/>
    <d v="2020-04-03T00:00:00"/>
    <n v="202101"/>
    <s v="1"/>
    <s v="EXP"/>
    <s v="B1501"/>
    <s v="BG11"/>
    <s v="19/20 Electricity Accrual - George Street 33-35 Communal Landlords Supply"/>
    <n v="-59"/>
    <n v="-5.8999999999999997E-2"/>
  </r>
  <r>
    <s v="S10"/>
    <x v="8"/>
    <s v="AJ"/>
    <n v="10347977"/>
    <d v="2020-04-03T00:00:00"/>
    <n v="202101"/>
    <s v="1"/>
    <s v="EXP"/>
    <s v="B1501"/>
    <s v="BJ12"/>
    <s v="19/20 Electricity Accrual - Covered Market Unit 016B &amp; 016C"/>
    <n v="-27"/>
    <n v="-2.7E-2"/>
  </r>
  <r>
    <s v="S10"/>
    <x v="8"/>
    <s v="AJ"/>
    <n v="10347977"/>
    <d v="2020-04-03T00:00:00"/>
    <n v="202101"/>
    <s v="1"/>
    <s v="EXP"/>
    <s v="B1501"/>
    <s v="BG11"/>
    <s v="19/20 Electricity Accrual - George Street 01-03 [Second Flr]"/>
    <n v="-84"/>
    <n v="-8.4000000000000005E-2"/>
  </r>
  <r>
    <s v="S10"/>
    <x v="8"/>
    <s v="AJ"/>
    <n v="10347977"/>
    <d v="2020-04-03T00:00:00"/>
    <n v="202101"/>
    <s v="1"/>
    <s v="EXP"/>
    <s v="B1501"/>
    <s v="BG11"/>
    <s v="19/20 Electricity Accrual - George Street 01-03 [Second Flr]"/>
    <n v="-17"/>
    <n v="-1.7000000000000001E-2"/>
  </r>
  <r>
    <s v="S10"/>
    <x v="8"/>
    <s v="AJ"/>
    <n v="10347977"/>
    <d v="2020-04-03T00:00:00"/>
    <n v="202101"/>
    <s v="1"/>
    <s v="EXP"/>
    <s v="B1501"/>
    <s v="BJ12"/>
    <s v="19/20 Electricity Accrual - Covered Market Unit 011-015"/>
    <n v="-793"/>
    <n v="-0.79300000000000004"/>
  </r>
  <r>
    <s v="S10"/>
    <x v="8"/>
    <s v="AJ"/>
    <n v="10347977"/>
    <d v="2020-04-03T00:00:00"/>
    <n v="202101"/>
    <s v="1"/>
    <s v="EXP"/>
    <s v="B1501"/>
    <s v="BJ12"/>
    <s v="19/20 Electricity Accrual - Covered Market Unit 011-015"/>
    <n v="-17"/>
    <n v="-1.7000000000000001E-2"/>
  </r>
  <r>
    <s v="S10"/>
    <x v="8"/>
    <s v="AJ"/>
    <n v="10347977"/>
    <d v="2020-04-03T00:00:00"/>
    <n v="202101"/>
    <s v="1"/>
    <s v="EXP"/>
    <s v="B1501"/>
    <s v="BG11"/>
    <s v="19/20 Electricity Accrual - George Street 01-03 [First Flr]"/>
    <n v="-93"/>
    <n v="-9.2999999999999999E-2"/>
  </r>
  <r>
    <s v="S10"/>
    <x v="8"/>
    <s v="AJ"/>
    <n v="10347977"/>
    <d v="2020-04-03T00:00:00"/>
    <n v="202101"/>
    <s v="1"/>
    <s v="EXP"/>
    <s v="B1830"/>
    <s v="BG11"/>
    <s v="19/20 Water Accrual - George Street 01-03 [Bsmt &amp; Ground Flr]"/>
    <n v="-79"/>
    <n v="-7.9000000000000001E-2"/>
  </r>
  <r>
    <s v="S10"/>
    <x v="8"/>
    <s v="AJ"/>
    <n v="10347977"/>
    <d v="2020-04-03T00:00:00"/>
    <n v="202101"/>
    <s v="1"/>
    <s v="EXP"/>
    <s v="B1501"/>
    <s v="BG11"/>
    <s v="19/20 Electricity Accrual - George Street 01-03 [First Flr]"/>
    <n v="-224"/>
    <n v="-0.224"/>
  </r>
  <r>
    <s v="S10"/>
    <x v="8"/>
    <s v="AJ"/>
    <n v="10347977"/>
    <d v="2020-04-03T00:00:00"/>
    <n v="202101"/>
    <s v="1"/>
    <s v="EXP"/>
    <s v="B1501"/>
    <s v="BJ12"/>
    <s v="19/20 Electricity Accrual - Covered Market Unit 016A"/>
    <n v="-148"/>
    <n v="-0.14799999999999999"/>
  </r>
  <r>
    <s v="S10"/>
    <x v="8"/>
    <s v="AJ"/>
    <n v="10347977"/>
    <d v="2020-04-03T00:00:00"/>
    <n v="202101"/>
    <s v="1"/>
    <s v="EXP"/>
    <s v="B1502"/>
    <s v="BG11"/>
    <s v="19/20 Gas Accrual - St Michael´s Street 10"/>
    <n v="-94"/>
    <n v="-9.4E-2"/>
  </r>
  <r>
    <s v="S10"/>
    <x v="8"/>
    <s v="AJ"/>
    <n v="10347977"/>
    <d v="2020-04-03T00:00:00"/>
    <n v="202101"/>
    <s v="1"/>
    <s v="EXP"/>
    <s v="B1501"/>
    <s v="BG11"/>
    <s v="19/20 Electricity Accrual - Queen Street 45"/>
    <n v="-107"/>
    <n v="-0.107"/>
  </r>
  <r>
    <s v="S10"/>
    <x v="8"/>
    <s v="AJ"/>
    <n v="10347977"/>
    <d v="2020-04-03T00:00:00"/>
    <n v="202101"/>
    <s v="1"/>
    <s v="EXP"/>
    <s v="B1501"/>
    <s v="BG11"/>
    <s v="19/20 Electricity Accrual - Queen Street 45"/>
    <n v="-326"/>
    <n v="-0.32600000000000001"/>
  </r>
  <r>
    <s v="S10"/>
    <x v="8"/>
    <s v="AJ"/>
    <n v="10347977"/>
    <d v="2020-04-03T00:00:00"/>
    <n v="202101"/>
    <s v="1"/>
    <s v="EXP"/>
    <s v="B1830"/>
    <s v="BG11"/>
    <s v="19/20 Water Accrual - George Street 01-03 [First Flr]"/>
    <n v="-9"/>
    <n v="-8.9999999999999993E-3"/>
  </r>
  <r>
    <s v="S10"/>
    <x v="8"/>
    <s v="AJ"/>
    <n v="10347977"/>
    <d v="2020-04-03T00:00:00"/>
    <n v="202101"/>
    <s v="1"/>
    <s v="EXP"/>
    <s v="B1502"/>
    <s v="BG11"/>
    <s v="19/20 Gas Accrual - Floyds Row Homeless Assessment Hub"/>
    <n v="-103"/>
    <n v="-0.10299999999999999"/>
  </r>
  <r>
    <s v="S10"/>
    <x v="8"/>
    <s v="AJ"/>
    <n v="10347977"/>
    <d v="2020-04-03T00:00:00"/>
    <n v="202101"/>
    <s v="1"/>
    <s v="EXP"/>
    <s v="B1501"/>
    <s v="BJ12"/>
    <s v="19/20 Electricity Accrual - Covered Market Unit 060-062"/>
    <n v="-108"/>
    <n v="-0.108"/>
  </r>
  <r>
    <s v="S10"/>
    <x v="8"/>
    <s v="AJ"/>
    <n v="10347977"/>
    <d v="2020-04-03T00:00:00"/>
    <n v="202101"/>
    <s v="1"/>
    <s v="EXP"/>
    <s v="B1830"/>
    <s v="BJ12"/>
    <s v="19/20 Water Accrual - Covered Market Unit 060-062"/>
    <n v="-80"/>
    <n v="-0.08"/>
  </r>
  <r>
    <s v="S10"/>
    <x v="8"/>
    <s v="AJ"/>
    <n v="10347977"/>
    <d v="2020-04-03T00:00:00"/>
    <n v="202101"/>
    <s v="1"/>
    <s v="EXP"/>
    <s v="B1830"/>
    <s v="BG11"/>
    <s v="19/20 Water Accrual - Turl Street 18-19"/>
    <n v="-243"/>
    <n v="-0.24299999999999999"/>
  </r>
  <r>
    <s v="S10"/>
    <x v="8"/>
    <s v="AJ"/>
    <n v="10347977"/>
    <d v="2020-04-03T00:00:00"/>
    <n v="202101"/>
    <s v="1"/>
    <s v="EXP"/>
    <s v="B1501"/>
    <s v="BJ12"/>
    <s v="19/20 Electricity Accrual - Covered Market Unit 018-019"/>
    <n v="-83"/>
    <n v="-8.3000000000000004E-2"/>
  </r>
  <r>
    <s v="S10"/>
    <x v="8"/>
    <s v="AJ"/>
    <n v="10347977"/>
    <d v="2020-04-03T00:00:00"/>
    <n v="202101"/>
    <s v="1"/>
    <s v="EXP"/>
    <s v="B1501"/>
    <s v="BG11"/>
    <s v="19/20 Electricity Accrual - St Michael´s Street 10"/>
    <n v="-61"/>
    <n v="-6.0999999999999999E-2"/>
  </r>
  <r>
    <s v="S10"/>
    <x v="8"/>
    <s v="AJ"/>
    <n v="10347977"/>
    <d v="2020-04-03T00:00:00"/>
    <n v="202101"/>
    <s v="1"/>
    <s v="EXP"/>
    <s v="B1830"/>
    <s v="BG11"/>
    <s v="19/20 Water Accrual - Queen Street 06"/>
    <n v="-97"/>
    <n v="-9.7000000000000003E-2"/>
  </r>
  <r>
    <s v="S10"/>
    <x v="8"/>
    <s v="AJ"/>
    <n v="10347977"/>
    <d v="2020-04-03T00:00:00"/>
    <n v="202101"/>
    <s v="1"/>
    <s v="EXP"/>
    <s v="B1502"/>
    <s v="BG11"/>
    <s v="19/20 Gas Accrual - Ship Street 16B"/>
    <n v="-54"/>
    <n v="-5.3999999999999999E-2"/>
  </r>
  <r>
    <s v="S10"/>
    <x v="8"/>
    <s v="AJ"/>
    <n v="10347977"/>
    <d v="2020-04-03T00:00:00"/>
    <n v="202101"/>
    <s v="1"/>
    <s v="EXP"/>
    <s v="B1501"/>
    <s v="BG11"/>
    <s v="19/20 Electricity Accrual - Ship Street 16B"/>
    <n v="-22"/>
    <n v="-2.1999999999999999E-2"/>
  </r>
  <r>
    <s v="S10"/>
    <x v="8"/>
    <s v="AJ"/>
    <n v="10347977"/>
    <d v="2020-04-03T00:00:00"/>
    <n v="202101"/>
    <s v="1"/>
    <s v="EXP"/>
    <s v="B1502"/>
    <s v="BG11"/>
    <s v="19/20 Gas Accrual - New Road 11B (Second Floor)"/>
    <n v="-656"/>
    <n v="-0.65600000000000003"/>
  </r>
  <r>
    <s v="S10"/>
    <x v="8"/>
    <s v="AJ"/>
    <n v="10347977"/>
    <d v="2020-04-03T00:00:00"/>
    <n v="202101"/>
    <s v="1"/>
    <s v="EXP"/>
    <s v="B1502"/>
    <s v="BG11"/>
    <s v="19/20 Gas Accrual - Former Rose Hill Scout Hut"/>
    <n v="-37"/>
    <n v="-3.6999999999999998E-2"/>
  </r>
  <r>
    <s v="S10"/>
    <x v="8"/>
    <s v="AJ"/>
    <n v="10347977"/>
    <d v="2020-04-03T00:00:00"/>
    <n v="202101"/>
    <s v="1"/>
    <s v="EXP"/>
    <s v="B1830"/>
    <s v="BG11"/>
    <s v="19/20 Water Accrual - Former Rose Hill &amp; Donnington Advice Centre"/>
    <n v="-3"/>
    <n v="-3.0000000000000001E-3"/>
  </r>
  <r>
    <s v="S10"/>
    <x v="8"/>
    <s v="AJ"/>
    <n v="10347977"/>
    <d v="2020-04-03T00:00:00"/>
    <n v="202101"/>
    <s v="1"/>
    <s v="EXP"/>
    <s v="B1501"/>
    <s v="BG11"/>
    <s v="19/20 Electricity Accrual - Queen Street 06"/>
    <n v="-777"/>
    <n v="-0.77700000000000002"/>
  </r>
  <r>
    <s v="S10"/>
    <x v="8"/>
    <s v="AJ"/>
    <n v="10347977"/>
    <d v="2020-04-03T00:00:00"/>
    <n v="202101"/>
    <s v="1"/>
    <s v="EXP"/>
    <s v="B1501"/>
    <s v="BG11"/>
    <s v="19/20 Electricity Accrual - Former Rose Hill Scout Hut"/>
    <n v="-23"/>
    <n v="-2.3E-2"/>
  </r>
  <r>
    <s v="S10"/>
    <x v="8"/>
    <s v="AJ"/>
    <n v="10347977"/>
    <d v="2020-04-03T00:00:00"/>
    <n v="202101"/>
    <s v="1"/>
    <s v="EXP"/>
    <s v="B1830"/>
    <s v="HT20"/>
    <s v="19/20 Water Accrual - Enterprise Centre"/>
    <n v="-329"/>
    <n v="-0.32900000000000001"/>
  </r>
  <r>
    <s v="S10"/>
    <x v="8"/>
    <s v="AJ"/>
    <n v="10347977"/>
    <d v="2020-04-03T00:00:00"/>
    <n v="202101"/>
    <s v="1"/>
    <s v="EXP"/>
    <s v="B1501"/>
    <s v="BG11"/>
    <s v="19/20 Electricity Accrual - Former Rose Hill &amp; Donnington Advice Centre"/>
    <n v="-133"/>
    <n v="-0.13300000000000001"/>
  </r>
  <r>
    <s v="S10"/>
    <x v="8"/>
    <s v="AJ"/>
    <n v="10347977"/>
    <d v="2020-04-03T00:00:00"/>
    <n v="202101"/>
    <s v="1"/>
    <s v="EXP"/>
    <s v="B1502"/>
    <s v="BJ12"/>
    <s v="19/20 Gas Accrual - Covered Market Unit 011-015"/>
    <n v="-93"/>
    <n v="-9.2999999999999999E-2"/>
  </r>
  <r>
    <s v="S10"/>
    <x v="8"/>
    <s v="AJ"/>
    <n v="10347977"/>
    <d v="2020-04-03T00:00:00"/>
    <n v="202101"/>
    <s v="1"/>
    <s v="EXP"/>
    <s v="B1501"/>
    <s v="BJ12"/>
    <s v="19/20 Electricity Accrual - Covered Market Cellars 01, 04 &amp; 05"/>
    <n v="-69"/>
    <n v="-6.9000000000000006E-2"/>
  </r>
  <r>
    <s v="S10"/>
    <x v="8"/>
    <s v="AJ"/>
    <n v="10347977"/>
    <d v="2020-04-03T00:00:00"/>
    <n v="202101"/>
    <s v="1"/>
    <s v="EXP"/>
    <s v="B1502"/>
    <s v="BG11"/>
    <s v="19/20 Gas Accrual - Broad Street 21"/>
    <n v="-123"/>
    <n v="-0.123"/>
  </r>
  <r>
    <s v="S10"/>
    <x v="9"/>
    <s v="AJ"/>
    <n v="10348240"/>
    <d v="2020-04-15T00:00:00"/>
    <n v="202101"/>
    <s v="1"/>
    <s v="EXP"/>
    <s v="D3411"/>
    <s v="HT14"/>
    <s v="OCC Share of Phase 2 Fees Incurred by Mag College"/>
    <n v="-101343"/>
    <n v="-101.343"/>
  </r>
  <r>
    <s v="S10"/>
    <x v="8"/>
    <s v="AJ"/>
    <n v="10348420"/>
    <d v="2020-04-24T00:00:00"/>
    <n v="202101"/>
    <s v="1"/>
    <s v="EXP"/>
    <s v="B1605"/>
    <s v="BG18"/>
    <s v="Unpaid waste invoice 56010670"/>
    <n v="-2377.0300000000002"/>
    <n v="-2.3770300000000004"/>
  </r>
  <r>
    <s v="S10"/>
    <x v="9"/>
    <s v="AJ"/>
    <n v="10348188"/>
    <d v="2020-04-13T00:00:00"/>
    <n v="202101"/>
    <s v="1"/>
    <s v="INC"/>
    <s v="K9450"/>
    <s v="HT30"/>
    <s v="Experience Ox - Q1 2021 TN#51363678 (330501185)"/>
    <n v="-23750"/>
    <n v="-23.75"/>
  </r>
  <r>
    <s v="S10"/>
    <x v="8"/>
    <s v="AJ"/>
    <n v="10348188"/>
    <d v="2020-04-13T00:00:00"/>
    <n v="202101"/>
    <s v="1"/>
    <s v="INC"/>
    <s v="K9534"/>
    <s v="BG18"/>
    <s v="LSD Promotions - GG Market income (Feb20)"/>
    <n v="6279.15"/>
    <n v="6.2791499999999996"/>
  </r>
  <r>
    <s v="S10"/>
    <x v="8"/>
    <s v="AJ"/>
    <n v="10348188"/>
    <d v="2020-04-13T00:00:00"/>
    <n v="202101"/>
    <s v="1"/>
    <s v="INC"/>
    <s v="K9534"/>
    <s v="BG18"/>
    <s v="LSD Promotions - GG Market income (Mar20)"/>
    <n v="3700"/>
    <n v="3.7"/>
  </r>
  <r>
    <s v="S10"/>
    <x v="8"/>
    <s v="AJ"/>
    <n v="10348211"/>
    <d v="2020-04-14T00:00:00"/>
    <n v="202101"/>
    <s v="1"/>
    <s v="INC"/>
    <s v="K9550"/>
    <s v="HT20"/>
    <s v="Ent Ctr - Q1 20/21 Subs Inv Cash Rec´d Mar20"/>
    <n v="-2111.66"/>
    <n v="-2.1116599999999996"/>
  </r>
  <r>
    <s v="S10"/>
    <x v="8"/>
    <s v="AJ"/>
    <n v="10348211"/>
    <d v="2020-04-14T00:00:00"/>
    <n v="202101"/>
    <s v="1"/>
    <s v="INC"/>
    <s v="K9550"/>
    <s v="BJ12"/>
    <s v="Cov Mkt - Q1 20/21 Subs Inv Cash Rec´d Mar20"/>
    <n v="-12929.17"/>
    <n v="-12.929170000000001"/>
  </r>
  <r>
    <s v="S10"/>
    <x v="8"/>
    <s v="AJ"/>
    <n v="10348211"/>
    <d v="2020-04-14T00:00:00"/>
    <n v="202101"/>
    <s v="1"/>
    <s v="INC"/>
    <s v="K9550"/>
    <s v="BG11"/>
    <s v="Comm Prop - Q1 20/21 Subs Inv Cash Rec´d Mar20"/>
    <n v="-324835.38"/>
    <n v="-324.83537999999999"/>
  </r>
  <r>
    <s v="S10"/>
    <x v="8"/>
    <s v="AJ"/>
    <n v="10348211"/>
    <d v="2020-04-14T00:00:00"/>
    <n v="202101"/>
    <s v="1"/>
    <s v="INC"/>
    <s v="K9546"/>
    <s v="BG12"/>
    <s v="Bury Knowle - Q1 20/21 Subs Inv Raised in 19/20"/>
    <n v="-1875"/>
    <n v="-1.875"/>
  </r>
  <r>
    <s v="S10"/>
    <x v="8"/>
    <s v="AJ"/>
    <n v="10348211"/>
    <d v="2020-04-14T00:00:00"/>
    <n v="202101"/>
    <s v="1"/>
    <s v="INC"/>
    <s v="K9550"/>
    <s v="BG12"/>
    <s v="Bury Knowle - Q1 20/21 Subs Inv Raised in 19/20"/>
    <n v="-9950"/>
    <n v="-9.9499999999999993"/>
  </r>
  <r>
    <s v="S10"/>
    <x v="8"/>
    <s v="AJ"/>
    <n v="10348211"/>
    <d v="2020-04-14T00:00:00"/>
    <n v="202101"/>
    <s v="1"/>
    <s v="INC"/>
    <s v="K9550"/>
    <s v="BG11"/>
    <s v="Comm Prop - Q1 20/21 Subs Inv Raised in 19/20"/>
    <n v="-431481.67"/>
    <n v="-431.48167000000001"/>
  </r>
  <r>
    <s v="S10"/>
    <x v="8"/>
    <s v="AJ"/>
    <n v="10348211"/>
    <d v="2020-04-14T00:00:00"/>
    <n v="202101"/>
    <s v="1"/>
    <s v="INC"/>
    <s v="K9550"/>
    <s v="BJ12"/>
    <s v="Cov Mkt - Q1 20/21 Subs Inv Raised in 19/20"/>
    <n v="-75698.75"/>
    <n v="-75.698750000000004"/>
  </r>
  <r>
    <s v="S10"/>
    <x v="8"/>
    <s v="AJ"/>
    <n v="10348211"/>
    <d v="2020-04-14T00:00:00"/>
    <n v="202101"/>
    <s v="1"/>
    <s v="INC"/>
    <s v="K9550"/>
    <s v="HT20"/>
    <s v="Ent Ctr - Q1 20/21 Subs Inv Raised in 19/20"/>
    <n v="-7603.57"/>
    <n v="-7.6035699999999995"/>
  </r>
  <r>
    <s v="S10"/>
    <x v="8"/>
    <s v="AJ"/>
    <n v="10348211"/>
    <d v="2020-04-14T00:00:00"/>
    <n v="202101"/>
    <s v="1"/>
    <s v="INC"/>
    <s v="K9450"/>
    <s v="BG11"/>
    <s v="Comm Prop - Q1 20/21 Subs Inv Cash Rec´d Mar20"/>
    <n v="-1004194.55"/>
    <n v="-1004.19455"/>
  </r>
  <r>
    <s v="S10"/>
    <x v="8"/>
    <s v="AJ"/>
    <n v="10348211"/>
    <d v="2020-04-14T00:00:00"/>
    <n v="202101"/>
    <s v="1"/>
    <s v="INC"/>
    <s v="K9450"/>
    <s v="BG11"/>
    <s v="Comm Prop - Q1 20/21 Subs Inv Raised in 19/20"/>
    <n v="-634159.53"/>
    <n v="-634.15953000000002"/>
  </r>
  <r>
    <s v="S10"/>
    <x v="8"/>
    <s v="AJ"/>
    <n v="10348188"/>
    <d v="2020-04-13T00:00:00"/>
    <n v="202101"/>
    <s v="1"/>
    <s v="INC"/>
    <s v="K9550"/>
    <s v="BG12"/>
    <s v="Freshwater Habitats - 1st Floor Q1 2021 Rent SI#51363702"/>
    <n v="-5875"/>
    <n v="-5.875"/>
  </r>
  <r>
    <s v="S10"/>
    <x v="8"/>
    <s v="AJ"/>
    <n v="10348188"/>
    <d v="2020-04-13T00:00:00"/>
    <n v="202101"/>
    <s v="1"/>
    <s v="INC"/>
    <s v="K9550"/>
    <s v="BG12"/>
    <s v="Ox County Concil - Headington Library Q1 2021 Rent SI#51363634"/>
    <n v="-4075"/>
    <n v="-4.0750000000000002"/>
  </r>
  <r>
    <s v="S10"/>
    <x v="11"/>
    <s v="AJ"/>
    <n v="10348163"/>
    <d v="2020-04-09T00:00:00"/>
    <n v="202101"/>
    <s v="1"/>
    <s v="INC"/>
    <s v="K6661"/>
    <s v="BN22"/>
    <s v="Ref HCo P2P AJ 44000488,44000489. Regen &amp; Major Projects:SLA for Development team costs from OCC"/>
    <n v="426000"/>
    <n v="426"/>
  </r>
  <r>
    <s v="S10"/>
    <x v="11"/>
    <s v="AJ"/>
    <n v="10348163"/>
    <d v="2020-04-09T00:00:00"/>
    <n v="202101"/>
    <s v="1"/>
    <s v="INC"/>
    <s v="K6661"/>
    <s v="BN22"/>
    <s v="Ref HCo P2P AJ 44000488,44000489.Regeneration&amp;Mjr Projects:Recharge for Exec Director JW for 19/20"/>
    <n v="25000"/>
    <n v="25"/>
  </r>
  <r>
    <s v="S10"/>
    <x v="8"/>
    <s v="AJ"/>
    <n v="10348188"/>
    <d v="2020-04-13T00:00:00"/>
    <n v="202101"/>
    <s v="1"/>
    <s v="INC"/>
    <s v="K9546"/>
    <s v="BJ12"/>
    <s v="AXA + Devonshire Golden Cross Service Charge 1920 Estimate"/>
    <n v="25000"/>
    <n v="25"/>
  </r>
  <r>
    <s v="S10"/>
    <x v="8"/>
    <s v="AJ"/>
    <n v="10348188"/>
    <d v="2020-04-13T00:00:00"/>
    <n v="202101"/>
    <s v="1"/>
    <s v="INC"/>
    <s v="K9546"/>
    <s v="BG12"/>
    <s v="County Council 1819 Service Charge"/>
    <n v="13773"/>
    <n v="13.773"/>
  </r>
  <r>
    <s v="S10"/>
    <x v="8"/>
    <s v="AJ"/>
    <n v="10348188"/>
    <d v="2020-04-13T00:00:00"/>
    <n v="202101"/>
    <s v="1"/>
    <s v="INC"/>
    <s v="K9546"/>
    <s v="BG12"/>
    <s v="County Council 1920 Service Charge (estimated)"/>
    <n v="13500"/>
    <n v="13.5"/>
  </r>
  <r>
    <s v="S10"/>
    <x v="11"/>
    <s v="AJ"/>
    <n v="10348439"/>
    <d v="2020-04-24T00:00:00"/>
    <n v="202101"/>
    <s v="1"/>
    <s v="INC"/>
    <s v="K6661"/>
    <s v="BN22"/>
    <s v="Ref HCo P2P AJ 44000488,44000489.Regen&amp;Mjr Projects:Recharge for Exec Director JW for 19/20 (correct text)"/>
    <n v="-25000"/>
    <n v="-25"/>
  </r>
  <r>
    <s v="S10"/>
    <x v="11"/>
    <s v="AJ"/>
    <n v="10348439"/>
    <d v="2020-04-24T00:00:00"/>
    <n v="202101"/>
    <s v="1"/>
    <s v="INC"/>
    <s v="K6661"/>
    <s v="BN22"/>
    <s v="XMA - BLINE 23.8LCD Monitors (102) text error"/>
    <n v="25000"/>
    <n v="25"/>
  </r>
  <r>
    <s v="S10"/>
    <x v="11"/>
    <s v="AJ"/>
    <n v="10348439"/>
    <d v="2020-04-24T00:00:00"/>
    <n v="202101"/>
    <s v="1"/>
    <s v="INC"/>
    <s v="K6661"/>
    <s v="BN22"/>
    <s v="XMA - BLINE 23.8LCD Monitors (102)"/>
    <n v="-25000"/>
    <n v="-25"/>
  </r>
  <r>
    <s v="S10"/>
    <x v="10"/>
    <s v="AJ"/>
    <n v="10348034"/>
    <d v="2020-04-07T00:00:00"/>
    <n v="202101"/>
    <s v="1"/>
    <s v="EXP"/>
    <s v="A0108"/>
    <s v="BN10"/>
    <s v="P12 Cumberland G (Reed)"/>
    <n v="-12344.56"/>
    <n v="-12.34456"/>
  </r>
  <r>
    <s v="S10"/>
    <x v="11"/>
    <s v="AJ"/>
    <n v="10348437"/>
    <d v="2020-04-22T00:00:00"/>
    <n v="202101"/>
    <s v="1"/>
    <s v="INC"/>
    <s v="K6661"/>
    <s v="BN22"/>
    <s v="XMA - BLINE 23.8LCD Monitors (102)"/>
    <n v="-25000"/>
    <n v="-25"/>
  </r>
  <r>
    <s v="S10"/>
    <x v="8"/>
    <s v="AJ"/>
    <n v="10348429"/>
    <d v="2020-04-24T00:00:00"/>
    <n v="202101"/>
    <s v="1"/>
    <s v="INC"/>
    <s v="K9550"/>
    <s v="BG11"/>
    <s v="Prepayment 20/21: 330501230, MR MOHAMMED ALI"/>
    <n v="-7500"/>
    <n v="-7.5"/>
  </r>
  <r>
    <s v="S10"/>
    <x v="11"/>
    <s v="AJ"/>
    <n v="10348034"/>
    <d v="2020-04-07T00:00:00"/>
    <n v="202101"/>
    <s v="1"/>
    <s v="EXP"/>
    <s v="A0108"/>
    <s v="BN22"/>
    <s v="P12 Ward P (Reed)"/>
    <n v="-6923"/>
    <n v="-6.923"/>
  </r>
  <r>
    <s v="S10"/>
    <x v="8"/>
    <s v="AJ"/>
    <n v="10348429"/>
    <d v="2020-04-24T00:00:00"/>
    <n v="202101"/>
    <s v="1"/>
    <s v="INC"/>
    <s v="K9550"/>
    <s v="BG11"/>
    <s v="Prepayment 20/21: 330501230 Reversal of 51363685, MR MOHAMMED ALI"/>
    <n v="9467.5"/>
    <n v="9.4674999999999994"/>
  </r>
  <r>
    <s v="S10"/>
    <x v="10"/>
    <s v="AJ"/>
    <n v="10348034"/>
    <d v="2020-04-07T00:00:00"/>
    <n v="202101"/>
    <s v="1"/>
    <s v="EXP"/>
    <s v="A0108"/>
    <s v="BN10"/>
    <s v="P12 Kerrigan D (Reed)"/>
    <n v="-16291.36"/>
    <n v="-16.291360000000001"/>
  </r>
  <r>
    <s v="S10"/>
    <x v="9"/>
    <s v="AJ"/>
    <n v="10348034"/>
    <d v="2020-04-07T00:00:00"/>
    <n v="202101"/>
    <s v="1"/>
    <s v="EXP"/>
    <s v="A0108"/>
    <s v="HT32"/>
    <s v="P12 Hodge D (Reed)"/>
    <n v="-5522.23"/>
    <n v="-5.5222299999999995"/>
  </r>
  <r>
    <s v="S10"/>
    <x v="8"/>
    <s v="AJ"/>
    <n v="10348188"/>
    <d v="2020-04-13T00:00:00"/>
    <n v="202101"/>
    <s v="1"/>
    <s v="INC"/>
    <s v="K9546"/>
    <s v="BJ12"/>
    <s v="AXA + Devonshire Golden Cross Service Charge 1718+1819"/>
    <n v="57817"/>
    <n v="57.817"/>
  </r>
  <r>
    <s v="S13"/>
    <x v="12"/>
    <s v="AJ"/>
    <n v="10347954"/>
    <d v="2020-04-02T00:00:00"/>
    <n v="202101"/>
    <s v="1"/>
    <s v="EXP"/>
    <s v="B7008"/>
    <s v="BN44"/>
    <s v="RISINGHURST COMMUNITY CENTRE"/>
    <n v="-122.75"/>
    <n v="-0.12275"/>
  </r>
  <r>
    <s v="S13"/>
    <x v="12"/>
    <s v="AJ"/>
    <n v="10347954"/>
    <d v="2020-04-02T00:00:00"/>
    <n v="202101"/>
    <s v="1"/>
    <s v="EXP"/>
    <s v="B7008"/>
    <s v="BN44"/>
    <s v="JUBILEE 77 COMMUNITY CENTRE"/>
    <n v="-549.02"/>
    <n v="-0.54901999999999995"/>
  </r>
  <r>
    <s v="S13"/>
    <x v="12"/>
    <s v="AJ"/>
    <n v="10347954"/>
    <d v="2020-04-02T00:00:00"/>
    <n v="202101"/>
    <s v="1"/>
    <s v="EXP"/>
    <s v="B7008"/>
    <s v="BN44"/>
    <s v="GLOUCESTER GREEN BUS STATION"/>
    <n v="-195.52"/>
    <n v="-0.19552"/>
  </r>
  <r>
    <s v="S13"/>
    <x v="12"/>
    <s v="AJ"/>
    <n v="10347954"/>
    <d v="2020-04-02T00:00:00"/>
    <n v="202101"/>
    <s v="1"/>
    <s v="EXP"/>
    <s v="B7012"/>
    <s v="BN44"/>
    <s v="G1226 COMFREY ROAD"/>
    <n v="-1076.71"/>
    <n v="-1.0767100000000001"/>
  </r>
  <r>
    <s v="S13"/>
    <x v="13"/>
    <s v="AJ"/>
    <n v="10347977"/>
    <d v="2020-04-03T00:00:00"/>
    <n v="202101"/>
    <s v="1"/>
    <s v="EXP"/>
    <s v="B1830"/>
    <s v="EK21"/>
    <s v="19/20 Water Accrual - Pennywell Drive 79 - TA [OCC]"/>
    <n v="-77"/>
    <n v="-7.6999999999999999E-2"/>
  </r>
  <r>
    <s v="S13"/>
    <x v="12"/>
    <s v="AJ"/>
    <n v="10347954"/>
    <d v="2020-04-02T00:00:00"/>
    <n v="202101"/>
    <s v="1"/>
    <s v="EXP"/>
    <s v="B7008"/>
    <s v="BN44"/>
    <s v="BARTON REC GROUND PAVILION"/>
    <n v="-34.85"/>
    <n v="-3.4849999999999999E-2"/>
  </r>
  <r>
    <s v="S13"/>
    <x v="13"/>
    <s v="AJ"/>
    <n v="10347977"/>
    <d v="2020-04-03T00:00:00"/>
    <n v="202101"/>
    <s v="1"/>
    <s v="EXP"/>
    <s v="B1830"/>
    <s v="EK21"/>
    <s v="19/20 Water Accrual - Shackleton Close 05 - TA [OCC]"/>
    <n v="-258"/>
    <n v="-0.25800000000000001"/>
  </r>
  <r>
    <s v="S13"/>
    <x v="12"/>
    <s v="AJ"/>
    <n v="10347954"/>
    <d v="2020-04-02T00:00:00"/>
    <n v="202101"/>
    <s v="1"/>
    <s v="EXP"/>
    <s v="B7008"/>
    <s v="BN44"/>
    <s v="WEST OXFORD COMMUNITY CENTRE"/>
    <n v="-480.88"/>
    <n v="-0.48087999999999997"/>
  </r>
  <r>
    <s v="S13"/>
    <x v="13"/>
    <s v="AJ"/>
    <n v="10347977"/>
    <d v="2020-04-03T00:00:00"/>
    <n v="202101"/>
    <s v="1"/>
    <s v="EXP"/>
    <s v="B1830"/>
    <s v="EK21"/>
    <s v="19/20 Water Accrual - Greenwood Way 124 - TA [OCC]"/>
    <n v="-39"/>
    <n v="-3.9E-2"/>
  </r>
  <r>
    <s v="S13"/>
    <x v="12"/>
    <s v="AJ"/>
    <n v="10347952"/>
    <d v="2020-04-02T00:00:00"/>
    <n v="202101"/>
    <s v="1"/>
    <s v="EXP"/>
    <s v="B7012"/>
    <s v="BN44"/>
    <s v="PSP 1-24 BANJO ROAD"/>
    <n v="-38.99"/>
    <n v="-3.8990000000000004E-2"/>
  </r>
  <r>
    <s v="S13"/>
    <x v="12"/>
    <s v="AJ"/>
    <n v="10347954"/>
    <d v="2020-04-02T00:00:00"/>
    <n v="202101"/>
    <s v="1"/>
    <s v="EXP"/>
    <s v="B7008"/>
    <s v="BN44"/>
    <s v="BARTON NEIGHBOURHOOD CENTRE"/>
    <n v="-616.21"/>
    <n v="-0.61621000000000004"/>
  </r>
  <r>
    <s v="S13"/>
    <x v="12"/>
    <s v="AJ"/>
    <n v="10347954"/>
    <d v="2020-04-02T00:00:00"/>
    <n v="202101"/>
    <s v="1"/>
    <s v="EXP"/>
    <s v="B7012"/>
    <s v="BN44"/>
    <s v="G7 ALICE SMITH SQUARE"/>
    <n v="-1404.06"/>
    <n v="-1.4040599999999999"/>
  </r>
  <r>
    <s v="S13"/>
    <x v="12"/>
    <s v="AJ"/>
    <n v="10347954"/>
    <d v="2020-04-02T00:00:00"/>
    <n v="202101"/>
    <s v="1"/>
    <s v="EXP"/>
    <s v="B7012"/>
    <s v="BN44"/>
    <s v="G13 MINCHERY ROAD"/>
    <n v="-838.5"/>
    <n v="-0.83850000000000002"/>
  </r>
  <r>
    <s v="S13"/>
    <x v="12"/>
    <s v="AJ"/>
    <n v="10347954"/>
    <d v="2020-04-02T00:00:00"/>
    <n v="202101"/>
    <s v="1"/>
    <s v="EXP"/>
    <s v="B7008"/>
    <s v="BN44"/>
    <s v="TOWN HALL"/>
    <n v="-233.44"/>
    <n v="-0.23344000000000001"/>
  </r>
  <r>
    <s v="S13"/>
    <x v="13"/>
    <s v="AJ"/>
    <n v="10347977"/>
    <d v="2020-04-03T00:00:00"/>
    <n v="202101"/>
    <s v="1"/>
    <s v="EXP"/>
    <s v="B1502"/>
    <s v="EK21"/>
    <s v="19/20 Gas Accrual - Bryony Close 21 - TA [OCC]"/>
    <n v="-71"/>
    <n v="-7.0999999999999994E-2"/>
  </r>
  <r>
    <s v="S13"/>
    <x v="12"/>
    <s v="AJ"/>
    <n v="10347954"/>
    <d v="2020-04-02T00:00:00"/>
    <n v="202101"/>
    <s v="1"/>
    <s v="EXP"/>
    <s v="B7008"/>
    <s v="BN44"/>
    <s v="TOWN HALL"/>
    <n v="-92.6"/>
    <n v="-9.2599999999999988E-2"/>
  </r>
  <r>
    <s v="S13"/>
    <x v="13"/>
    <s v="AJ"/>
    <n v="10347977"/>
    <d v="2020-04-03T00:00:00"/>
    <n v="202101"/>
    <s v="1"/>
    <s v="EXP"/>
    <s v="B1830"/>
    <s v="EK21"/>
    <s v="19/20 Water Accrual - Bryony Close 21 - TA [OCC]"/>
    <n v="-45"/>
    <n v="-4.4999999999999998E-2"/>
  </r>
  <r>
    <s v="S13"/>
    <x v="12"/>
    <s v="AJ"/>
    <n v="10347954"/>
    <d v="2020-04-02T00:00:00"/>
    <n v="202101"/>
    <s v="1"/>
    <s v="EXP"/>
    <s v="B7008"/>
    <s v="BN44"/>
    <s v="ROSE HILL COMMUNITY CENTRE"/>
    <n v="-404.56"/>
    <n v="-0.40455999999999998"/>
  </r>
  <r>
    <s v="S13"/>
    <x v="12"/>
    <s v="AJ"/>
    <n v="10347954"/>
    <d v="2020-04-02T00:00:00"/>
    <n v="202101"/>
    <s v="1"/>
    <s v="EXP"/>
    <s v="B7008"/>
    <s v="BN44"/>
    <s v="FLORENCE PARK COMMUNITY CENTRE"/>
    <n v="-414.22"/>
    <n v="-0.41422000000000003"/>
  </r>
  <r>
    <s v="S13"/>
    <x v="13"/>
    <s v="AJ"/>
    <n v="10347977"/>
    <d v="2020-04-03T00:00:00"/>
    <n v="202101"/>
    <s v="1"/>
    <s v="EXP"/>
    <s v="B1502"/>
    <s v="EK03"/>
    <s v="19/20 Gas Accrual - Kelburne Road 34 - TA [PRS]"/>
    <n v="-77"/>
    <n v="-7.6999999999999999E-2"/>
  </r>
  <r>
    <s v="S13"/>
    <x v="13"/>
    <s v="AJ"/>
    <n v="10347977"/>
    <d v="2020-04-03T00:00:00"/>
    <n v="202101"/>
    <s v="1"/>
    <s v="EXP"/>
    <s v="B1501"/>
    <s v="EK21"/>
    <s v="19/20 Electricity Accrual - Rivermead Road 07 - TA [OCC]"/>
    <n v="-34"/>
    <n v="-3.4000000000000002E-2"/>
  </r>
  <r>
    <s v="S13"/>
    <x v="13"/>
    <s v="AJ"/>
    <n v="10347977"/>
    <d v="2020-04-03T00:00:00"/>
    <n v="202101"/>
    <s v="1"/>
    <s v="EXP"/>
    <s v="B1501"/>
    <s v="EK03"/>
    <s v="19/20 Electricity Accrual - Kelburne Road 34 - TA [PRS]"/>
    <n v="-113"/>
    <n v="-0.113"/>
  </r>
  <r>
    <s v="S13"/>
    <x v="13"/>
    <s v="AJ"/>
    <n v="10347977"/>
    <d v="2020-04-03T00:00:00"/>
    <n v="202101"/>
    <s v="1"/>
    <s v="EXP"/>
    <s v="B1501"/>
    <s v="EK21"/>
    <s v="19/20 Electricity Accrual - Priory Road 107 - TA [OCC]"/>
    <n v="-202"/>
    <n v="-0.20200000000000001"/>
  </r>
  <r>
    <s v="S13"/>
    <x v="12"/>
    <s v="AJ"/>
    <n v="10347977"/>
    <d v="2020-04-03T00:00:00"/>
    <n v="202101"/>
    <s v="1"/>
    <s v="EXP"/>
    <s v="B1501"/>
    <s v="BN44"/>
    <s v="19/20 Electricity Accrual - Gloucester Green External Lighting"/>
    <n v="-79"/>
    <n v="-7.9000000000000001E-2"/>
  </r>
  <r>
    <s v="S13"/>
    <x v="12"/>
    <s v="AJ"/>
    <n v="10347977"/>
    <d v="2020-04-03T00:00:00"/>
    <n v="202101"/>
    <s v="1"/>
    <s v="EXP"/>
    <s v="B1501"/>
    <s v="BN44"/>
    <s v="19/20 Electricity Accrual - Frideswide Square Lighting &amp; Event Supply"/>
    <n v="-33"/>
    <n v="-3.3000000000000002E-2"/>
  </r>
  <r>
    <s v="S13"/>
    <x v="13"/>
    <s v="AJ"/>
    <n v="10347977"/>
    <d v="2020-04-03T00:00:00"/>
    <n v="202101"/>
    <s v="1"/>
    <s v="EXP"/>
    <s v="B1502"/>
    <s v="EK21"/>
    <s v="19/20 Gas Accrual - Priory Road 047 - TA [OCC]"/>
    <n v="-91"/>
    <n v="-9.0999999999999998E-2"/>
  </r>
  <r>
    <s v="S13"/>
    <x v="13"/>
    <s v="AJ"/>
    <n v="10347977"/>
    <d v="2020-04-03T00:00:00"/>
    <n v="202101"/>
    <s v="1"/>
    <s v="EXP"/>
    <s v="B1502"/>
    <s v="EK21"/>
    <s v="19/20 Gas Accrual - Partridge Walk 18 - TA [OCC]"/>
    <n v="-209"/>
    <n v="-0.20899999999999999"/>
  </r>
  <r>
    <s v="S13"/>
    <x v="13"/>
    <s v="AJ"/>
    <n v="10347977"/>
    <d v="2020-04-03T00:00:00"/>
    <n v="202101"/>
    <s v="1"/>
    <s v="EXP"/>
    <s v="B1501"/>
    <s v="EK21"/>
    <s v="19/20 Electricity Accrual - Partridge Walk 18 - TA [OCC]"/>
    <n v="-102"/>
    <n v="-0.10199999999999999"/>
  </r>
  <r>
    <s v="S13"/>
    <x v="13"/>
    <s v="AJ"/>
    <n v="10347977"/>
    <d v="2020-04-03T00:00:00"/>
    <n v="202101"/>
    <s v="1"/>
    <s v="EXP"/>
    <s v="B1501"/>
    <s v="EK21"/>
    <s v="19/20 Electricity Accrual - Greenwood Way 112-130 Landlords - TA [OCC]"/>
    <n v="-306"/>
    <n v="-0.30599999999999999"/>
  </r>
  <r>
    <s v="S13"/>
    <x v="13"/>
    <s v="AJ"/>
    <n v="10347977"/>
    <d v="2020-04-03T00:00:00"/>
    <n v="202101"/>
    <s v="1"/>
    <s v="EXP"/>
    <s v="B1501"/>
    <s v="EK21"/>
    <s v="19/20 Electricity Accrual - Oxford Road 132B - TA [OCC]"/>
    <n v="-302"/>
    <n v="-0.30199999999999999"/>
  </r>
  <r>
    <s v="S13"/>
    <x v="13"/>
    <s v="AJ"/>
    <n v="10347977"/>
    <d v="2020-04-03T00:00:00"/>
    <n v="202101"/>
    <s v="1"/>
    <s v="EXP"/>
    <s v="B1830"/>
    <s v="EK21"/>
    <s v="19/20 Water Accrual - Oxford Road 132B - TA [OCC]"/>
    <n v="-25"/>
    <n v="-2.5000000000000001E-2"/>
  </r>
  <r>
    <s v="S13"/>
    <x v="13"/>
    <s v="AJ"/>
    <n v="10347977"/>
    <d v="2020-04-03T00:00:00"/>
    <n v="202101"/>
    <s v="1"/>
    <s v="EXP"/>
    <s v="B1501"/>
    <s v="EK21"/>
    <s v="19/20 Electricity Accrual - Columbine Gardens 41 - TA [OCC]"/>
    <n v="-115"/>
    <n v="-0.115"/>
  </r>
  <r>
    <s v="S13"/>
    <x v="13"/>
    <s v="AJ"/>
    <n v="10347977"/>
    <d v="2020-04-03T00:00:00"/>
    <n v="202101"/>
    <s v="1"/>
    <s v="EXP"/>
    <s v="B1830"/>
    <s v="EK21"/>
    <s v="19/20 Water Accrual - Columbine Gardens 41 - TA [OCC]"/>
    <n v="-69"/>
    <n v="-6.9000000000000006E-2"/>
  </r>
  <r>
    <s v="S13"/>
    <x v="13"/>
    <s v="AJ"/>
    <n v="10347977"/>
    <d v="2020-04-03T00:00:00"/>
    <n v="202101"/>
    <s v="1"/>
    <s v="EXP"/>
    <s v="B1502"/>
    <s v="EK21"/>
    <s v="19/20 Gas Accrual - Columbine Gardens 41 - TA [OCC]"/>
    <n v="-91"/>
    <n v="-9.0999999999999998E-2"/>
  </r>
  <r>
    <s v="S13"/>
    <x v="13"/>
    <s v="AJ"/>
    <n v="10347977"/>
    <d v="2020-04-03T00:00:00"/>
    <n v="202101"/>
    <s v="1"/>
    <s v="EXP"/>
    <s v="B1502"/>
    <s v="EK03"/>
    <s v="19/20 Gas Accrual - Field Avenue 183 - TA [PRS]"/>
    <n v="-206"/>
    <n v="-0.20599999999999999"/>
  </r>
  <r>
    <s v="S13"/>
    <x v="13"/>
    <s v="AJ"/>
    <n v="10347977"/>
    <d v="2020-04-03T00:00:00"/>
    <n v="202101"/>
    <s v="1"/>
    <s v="EXP"/>
    <s v="B1502"/>
    <s v="EK21"/>
    <s v="19/20 Gas Accrual - Lancaster Close 20 - TA [OCC]"/>
    <n v="-84"/>
    <n v="-8.4000000000000005E-2"/>
  </r>
  <r>
    <s v="S13"/>
    <x v="13"/>
    <s v="AJ"/>
    <n v="10347977"/>
    <d v="2020-04-03T00:00:00"/>
    <n v="202101"/>
    <s v="1"/>
    <s v="EXP"/>
    <s v="B1501"/>
    <s v="EK21"/>
    <s v="19/20 Electricity Accrual - Greenwood Way 116 - TA [OCC]"/>
    <n v="-144"/>
    <n v="-0.14399999999999999"/>
  </r>
  <r>
    <s v="S13"/>
    <x v="12"/>
    <s v="AJ"/>
    <n v="10347948"/>
    <d v="2020-04-02T00:00:00"/>
    <n v="202101"/>
    <s v="1"/>
    <s v="EXP"/>
    <s v="B7043"/>
    <s v="BN44"/>
    <s v="9 SHIP STREET"/>
    <n v="-15204.9"/>
    <n v="-15.2049"/>
  </r>
  <r>
    <s v="S13"/>
    <x v="12"/>
    <s v="AJ"/>
    <n v="10347948"/>
    <d v="2020-04-02T00:00:00"/>
    <n v="202101"/>
    <s v="1"/>
    <s v="EXP"/>
    <s v="B7045"/>
    <s v="BN44"/>
    <s v="SANDFIELD ROAD PLAY AREA"/>
    <n v="-2203.3000000000002"/>
    <n v="-2.2033"/>
  </r>
  <r>
    <s v="S13"/>
    <x v="12"/>
    <s v="AJ"/>
    <n v="10347948"/>
    <d v="2020-04-02T00:00:00"/>
    <n v="202101"/>
    <s v="1"/>
    <s v="EXP"/>
    <s v="B7045"/>
    <s v="BN44"/>
    <s v="BROAD OAK PLAY AREA"/>
    <n v="-184.25"/>
    <n v="-0.18425"/>
  </r>
  <r>
    <s v="S13"/>
    <x v="12"/>
    <s v="AJ"/>
    <n v="10347948"/>
    <d v="2020-04-02T00:00:00"/>
    <n v="202101"/>
    <s v="1"/>
    <s v="EXP"/>
    <s v="B7044"/>
    <s v="BN44"/>
    <s v="DONNINGTON COMMUNITY CENTRE"/>
    <n v="-75"/>
    <n v="-7.4999999999999997E-2"/>
  </r>
  <r>
    <s v="S13"/>
    <x v="12"/>
    <s v="AJ"/>
    <n v="10347948"/>
    <d v="2020-04-02T00:00:00"/>
    <n v="202101"/>
    <s v="1"/>
    <s v="EXP"/>
    <s v="B7016"/>
    <s v="BN44"/>
    <s v="COVERED MARKET"/>
    <n v="-189.75"/>
    <n v="-0.18975"/>
  </r>
  <r>
    <s v="S13"/>
    <x v="12"/>
    <s v="AJ"/>
    <n v="10347948"/>
    <d v="2020-04-02T00:00:00"/>
    <n v="202101"/>
    <s v="1"/>
    <s v="EXP"/>
    <s v="B7016"/>
    <s v="BN44"/>
    <s v="COVERED MARKET"/>
    <n v="-95"/>
    <n v="-9.5000000000000001E-2"/>
  </r>
  <r>
    <s v="S13"/>
    <x v="12"/>
    <s v="AJ"/>
    <n v="10347948"/>
    <d v="2020-04-02T00:00:00"/>
    <n v="202101"/>
    <s v="1"/>
    <s v="EXP"/>
    <s v="B7016"/>
    <s v="BN44"/>
    <s v="COVERED MARKET"/>
    <n v="-95"/>
    <n v="-9.5000000000000001E-2"/>
  </r>
  <r>
    <s v="S13"/>
    <x v="13"/>
    <s v="AJ"/>
    <n v="10347977"/>
    <d v="2020-04-03T00:00:00"/>
    <n v="202101"/>
    <s v="1"/>
    <s v="EXP"/>
    <s v="B1501"/>
    <s v="EK21"/>
    <s v="19/20 Electricity Accrual - Bryony Close 21 - TA [OCC]"/>
    <n v="-80"/>
    <n v="-0.08"/>
  </r>
  <r>
    <s v="S13"/>
    <x v="13"/>
    <s v="AJ"/>
    <n v="10347977"/>
    <d v="2020-04-03T00:00:00"/>
    <n v="202101"/>
    <s v="1"/>
    <s v="EXP"/>
    <s v="B1830"/>
    <s v="EK21"/>
    <s v="19/20 Water Accrual - Greenwood Way 112 - TA [OCC]"/>
    <n v="-60"/>
    <n v="-0.06"/>
  </r>
  <r>
    <s v="S13"/>
    <x v="12"/>
    <s v="AJ"/>
    <n v="10347948"/>
    <d v="2020-04-02T00:00:00"/>
    <n v="202101"/>
    <s v="1"/>
    <s v="EXP"/>
    <s v="B7016"/>
    <s v="BN44"/>
    <s v="COVERED MARKET"/>
    <n v="-330"/>
    <n v="-0.33"/>
  </r>
  <r>
    <s v="S13"/>
    <x v="12"/>
    <s v="AJ"/>
    <n v="10347948"/>
    <d v="2020-04-02T00:00:00"/>
    <n v="202101"/>
    <s v="1"/>
    <s v="EXP"/>
    <s v="B7016"/>
    <s v="BN44"/>
    <s v="COVERED MARKET"/>
    <n v="-330"/>
    <n v="-0.33"/>
  </r>
  <r>
    <s v="S13"/>
    <x v="12"/>
    <s v="AJ"/>
    <n v="10347948"/>
    <d v="2020-04-02T00:00:00"/>
    <n v="202101"/>
    <s v="1"/>
    <s v="EXP"/>
    <s v="B7016"/>
    <s v="BN44"/>
    <s v="COVERED MARKET"/>
    <n v="-618.26"/>
    <n v="-0.61826000000000003"/>
  </r>
  <r>
    <s v="S13"/>
    <x v="13"/>
    <s v="AJ"/>
    <n v="10347977"/>
    <d v="2020-04-03T00:00:00"/>
    <n v="202101"/>
    <s v="1"/>
    <s v="EXP"/>
    <s v="B1830"/>
    <s v="EK21"/>
    <s v="19/20 Water Accrual - Greenwood Way 116 - TA [OCC]"/>
    <n v="-94"/>
    <n v="-9.4E-2"/>
  </r>
  <r>
    <s v="S13"/>
    <x v="12"/>
    <s v="AJ"/>
    <n v="10347948"/>
    <d v="2020-04-02T00:00:00"/>
    <n v="202101"/>
    <s v="1"/>
    <s v="EXP"/>
    <s v="B7016"/>
    <s v="BN44"/>
    <s v="COVERED MARKET"/>
    <n v="-495"/>
    <n v="-0.495"/>
  </r>
  <r>
    <s v="S13"/>
    <x v="13"/>
    <s v="AJ"/>
    <n v="10347977"/>
    <d v="2020-04-03T00:00:00"/>
    <n v="202101"/>
    <s v="1"/>
    <s v="EXP"/>
    <s v="B1501"/>
    <s v="EK21"/>
    <s v="19/20 Electricity Accrual - Rowan Grove 10 - TA [OCC]"/>
    <n v="-22"/>
    <n v="-2.1999999999999999E-2"/>
  </r>
  <r>
    <s v="S13"/>
    <x v="12"/>
    <s v="AJ"/>
    <n v="10347977"/>
    <d v="2020-04-03T00:00:00"/>
    <n v="202101"/>
    <s v="1"/>
    <s v="EXP"/>
    <s v="B1501"/>
    <s v="BN44"/>
    <s v="19/20 Electricity Accrual - Unmetered Public Space Lighting"/>
    <n v="-370"/>
    <n v="-0.37"/>
  </r>
  <r>
    <s v="S13"/>
    <x v="12"/>
    <s v="AJ"/>
    <n v="10347952"/>
    <d v="2020-04-02T00:00:00"/>
    <n v="202101"/>
    <s v="1"/>
    <s v="EXP"/>
    <s v="B7012"/>
    <s v="BN44"/>
    <s v="G1364 JASMINE CLOSE"/>
    <n v="-22.15"/>
    <n v="-2.215E-2"/>
  </r>
  <r>
    <s v="S13"/>
    <x v="12"/>
    <s v="AJ"/>
    <n v="10347952"/>
    <d v="2020-04-02T00:00:00"/>
    <n v="202101"/>
    <s v="1"/>
    <s v="EXP"/>
    <s v="B7012"/>
    <s v="BN44"/>
    <s v="G1 ALICE SMITH SQUARE"/>
    <n v="-406.6"/>
    <n v="-0.40660000000000002"/>
  </r>
  <r>
    <s v="S13"/>
    <x v="13"/>
    <s v="AJ"/>
    <n v="10347977"/>
    <d v="2020-04-03T00:00:00"/>
    <n v="202101"/>
    <s v="1"/>
    <s v="EXP"/>
    <s v="B1830"/>
    <s v="EK21"/>
    <s v="19/20 Water Accrual - Roman Way 72 - TA [OCC]"/>
    <n v="-178"/>
    <n v="-0.17799999999999999"/>
  </r>
  <r>
    <s v="S13"/>
    <x v="12"/>
    <s v="AJ"/>
    <n v="10347954"/>
    <d v="2020-04-02T00:00:00"/>
    <n v="202101"/>
    <s v="1"/>
    <s v="EXP"/>
    <s v="B7012"/>
    <s v="BN44"/>
    <s v="G8 DAWSON PLACE"/>
    <n v="-456.89"/>
    <n v="-0.45688999999999996"/>
  </r>
  <r>
    <s v="S13"/>
    <x v="12"/>
    <s v="AJ"/>
    <n v="10347956"/>
    <d v="2020-04-02T00:00:00"/>
    <n v="202101"/>
    <s v="1"/>
    <s v="EXP"/>
    <s v="B7012"/>
    <s v="BN44"/>
    <s v="G330 LINNET CLOSE"/>
    <n v="-48.9"/>
    <n v="-4.8899999999999999E-2"/>
  </r>
  <r>
    <s v="S13"/>
    <x v="12"/>
    <s v="AJ"/>
    <n v="10347956"/>
    <d v="2020-04-02T00:00:00"/>
    <n v="202101"/>
    <s v="1"/>
    <s v="EXP"/>
    <s v="B7012"/>
    <s v="BN44"/>
    <s v="G330 LINNET CLOSE"/>
    <n v="-22.15"/>
    <n v="-2.215E-2"/>
  </r>
  <r>
    <s v="S13"/>
    <x v="12"/>
    <s v="AJ"/>
    <n v="10347956"/>
    <d v="2020-04-02T00:00:00"/>
    <n v="202101"/>
    <s v="1"/>
    <s v="EXP"/>
    <s v="B7012"/>
    <s v="BN44"/>
    <s v="G1 HEADLEY WAY"/>
    <n v="-29.16"/>
    <n v="-2.9159999999999998E-2"/>
  </r>
  <r>
    <s v="S13"/>
    <x v="12"/>
    <s v="AJ"/>
    <n v="10347956"/>
    <d v="2020-04-02T00:00:00"/>
    <n v="202101"/>
    <s v="1"/>
    <s v="EXP"/>
    <s v="B7012"/>
    <s v="BN44"/>
    <s v="G30 LEIDEN ROAD"/>
    <n v="-95.61"/>
    <n v="-9.5610000000000001E-2"/>
  </r>
  <r>
    <s v="S13"/>
    <x v="12"/>
    <s v="AJ"/>
    <n v="10347956"/>
    <d v="2020-04-02T00:00:00"/>
    <n v="202101"/>
    <s v="1"/>
    <s v="EXP"/>
    <s v="B7008"/>
    <s v="BN44"/>
    <s v="ST ALDATES CHAMBERS"/>
    <n v="-34.85"/>
    <n v="-3.4849999999999999E-2"/>
  </r>
  <r>
    <s v="S13"/>
    <x v="12"/>
    <s v="AJ"/>
    <n v="10347956"/>
    <d v="2020-04-02T00:00:00"/>
    <n v="202101"/>
    <s v="1"/>
    <s v="EXP"/>
    <s v="B7008"/>
    <s v="BN44"/>
    <s v="TOWN HALL"/>
    <n v="-46.46"/>
    <n v="-4.6460000000000001E-2"/>
  </r>
  <r>
    <s v="S13"/>
    <x v="12"/>
    <s v="AJ"/>
    <n v="10347956"/>
    <d v="2020-04-02T00:00:00"/>
    <n v="202101"/>
    <s v="1"/>
    <s v="EXP"/>
    <s v="B7008"/>
    <s v="BN44"/>
    <s v="ENTERPRISE CENTRE"/>
    <n v="-89.26"/>
    <n v="-8.9260000000000006E-2"/>
  </r>
  <r>
    <s v="S13"/>
    <x v="12"/>
    <s v="AJ"/>
    <n v="10347956"/>
    <d v="2020-04-02T00:00:00"/>
    <n v="202101"/>
    <s v="1"/>
    <s v="EXP"/>
    <s v="B7012"/>
    <s v="BN44"/>
    <s v="G10 CRESS HILL PLACE"/>
    <n v="-33.229999999999997"/>
    <n v="-3.3229999999999996E-2"/>
  </r>
  <r>
    <s v="S13"/>
    <x v="12"/>
    <s v="AJ"/>
    <n v="10347954"/>
    <d v="2020-04-02T00:00:00"/>
    <n v="202101"/>
    <s v="1"/>
    <s v="EXP"/>
    <s v="B7029"/>
    <s v="BN44"/>
    <s v="1 MARSH ROAD"/>
    <n v="-92.85"/>
    <n v="-9.2849999999999988E-2"/>
  </r>
  <r>
    <s v="S13"/>
    <x v="12"/>
    <s v="AJ"/>
    <n v="10347954"/>
    <d v="2020-04-02T00:00:00"/>
    <n v="202101"/>
    <s v="1"/>
    <s v="EXP"/>
    <s v="B7016"/>
    <s v="BN44"/>
    <s v="COVERED MARKET"/>
    <n v="-1425.55"/>
    <n v="-1.4255499999999999"/>
  </r>
  <r>
    <s v="S13"/>
    <x v="12"/>
    <s v="AJ"/>
    <n v="10347954"/>
    <d v="2020-04-02T00:00:00"/>
    <n v="202101"/>
    <s v="1"/>
    <s v="EXP"/>
    <s v="B7012"/>
    <s v="BN44"/>
    <s v="G5 LEIDEN ROAD"/>
    <n v="-56.73"/>
    <n v="-5.6729999999999996E-2"/>
  </r>
  <r>
    <s v="S13"/>
    <x v="12"/>
    <s v="AJ"/>
    <n v="10347954"/>
    <d v="2020-04-02T00:00:00"/>
    <n v="202101"/>
    <s v="1"/>
    <s v="EXP"/>
    <s v="B7016"/>
    <s v="BN44"/>
    <s v="COVERED MARKET"/>
    <n v="-977.57"/>
    <n v="-0.97757000000000005"/>
  </r>
  <r>
    <s v="S13"/>
    <x v="12"/>
    <s v="AJ"/>
    <n v="10347954"/>
    <d v="2020-04-02T00:00:00"/>
    <n v="202101"/>
    <s v="1"/>
    <s v="EXP"/>
    <s v="B7012"/>
    <s v="BN44"/>
    <s v="G8 DAWSON PLACE"/>
    <n v="-55.1"/>
    <n v="-5.5100000000000003E-2"/>
  </r>
  <r>
    <s v="S13"/>
    <x v="12"/>
    <s v="AJ"/>
    <n v="10347954"/>
    <d v="2020-04-02T00:00:00"/>
    <n v="202101"/>
    <s v="1"/>
    <s v="EXP"/>
    <s v="B7012"/>
    <s v="BN44"/>
    <s v="G949 MERCURY ROAD"/>
    <n v="-275.3"/>
    <n v="-0.27529999999999999"/>
  </r>
  <r>
    <s v="S13"/>
    <x v="12"/>
    <s v="AJ"/>
    <n v="10347954"/>
    <d v="2020-04-02T00:00:00"/>
    <n v="202101"/>
    <s v="1"/>
    <s v="EXP"/>
    <s v="B7012"/>
    <s v="BN44"/>
    <s v="G101 KERSINGTON CRESCENT"/>
    <n v="-291.69"/>
    <n v="-0.29169"/>
  </r>
  <r>
    <s v="S13"/>
    <x v="12"/>
    <s v="AJ"/>
    <n v="10347954"/>
    <d v="2020-04-02T00:00:00"/>
    <n v="202101"/>
    <s v="1"/>
    <s v="EXP"/>
    <s v="B7012"/>
    <s v="BN44"/>
    <s v="G407 KESTREL CRESCENT"/>
    <n v="-56.73"/>
    <n v="-5.6729999999999996E-2"/>
  </r>
  <r>
    <s v="S13"/>
    <x v="13"/>
    <s v="AJ"/>
    <n v="10347954"/>
    <d v="2020-04-02T00:00:00"/>
    <n v="202101"/>
    <s v="1"/>
    <s v="EXP"/>
    <s v="D8009"/>
    <s v="EK01"/>
    <s v="47 ST NICHOLAS ROAD"/>
    <n v="-294.42"/>
    <n v="-0.29442000000000002"/>
  </r>
  <r>
    <s v="S13"/>
    <x v="12"/>
    <s v="AJ"/>
    <n v="10347954"/>
    <d v="2020-04-02T00:00:00"/>
    <n v="202101"/>
    <s v="1"/>
    <s v="EXP"/>
    <s v="B7012"/>
    <s v="BN44"/>
    <s v="G66 SAWPIT ROAD"/>
    <n v="-152.31"/>
    <n v="-0.15231"/>
  </r>
  <r>
    <s v="S13"/>
    <x v="13"/>
    <s v="AJ"/>
    <n v="10347954"/>
    <d v="2020-04-02T00:00:00"/>
    <n v="202101"/>
    <s v="1"/>
    <s v="EXP"/>
    <s v="D8009"/>
    <s v="EK03"/>
    <s v="2-4 EVEN ALICE SMITH HOUSE"/>
    <n v="-72.39"/>
    <n v="-7.2389999999999996E-2"/>
  </r>
  <r>
    <s v="S13"/>
    <x v="12"/>
    <s v="AJ"/>
    <n v="10347954"/>
    <d v="2020-04-02T00:00:00"/>
    <n v="202101"/>
    <s v="1"/>
    <s v="EXP"/>
    <s v="B7029"/>
    <s v="BN44"/>
    <s v="BLACKBIRD LEYS COMMUNITY CTR"/>
    <n v="-66.45"/>
    <n v="-6.6450000000000009E-2"/>
  </r>
  <r>
    <s v="S13"/>
    <x v="12"/>
    <s v="AJ"/>
    <n v="10347954"/>
    <d v="2020-04-02T00:00:00"/>
    <n v="202101"/>
    <s v="1"/>
    <s v="EXP"/>
    <s v="B7012"/>
    <s v="BN44"/>
    <s v="G1033 STRAWBERRY PATH"/>
    <n v="-418.03"/>
    <n v="-0.41802999999999996"/>
  </r>
  <r>
    <s v="S13"/>
    <x v="12"/>
    <s v="AJ"/>
    <n v="10347954"/>
    <d v="2020-04-02T00:00:00"/>
    <n v="202101"/>
    <s v="1"/>
    <s v="EXP"/>
    <s v="B7012"/>
    <s v="BN44"/>
    <s v="G914 FIELD AVENUE"/>
    <n v="-56.73"/>
    <n v="-5.6729999999999996E-2"/>
  </r>
  <r>
    <s v="S13"/>
    <x v="12"/>
    <s v="AJ"/>
    <n v="10347954"/>
    <d v="2020-04-02T00:00:00"/>
    <n v="202101"/>
    <s v="1"/>
    <s v="EXP"/>
    <s v="B7012"/>
    <s v="BN44"/>
    <s v="G20 BARNS COURT"/>
    <n v="-22.15"/>
    <n v="-2.215E-2"/>
  </r>
  <r>
    <s v="S13"/>
    <x v="12"/>
    <s v="AJ"/>
    <n v="10347954"/>
    <d v="2020-04-02T00:00:00"/>
    <n v="202101"/>
    <s v="1"/>
    <s v="EXP"/>
    <s v="B7012"/>
    <s v="BN44"/>
    <s v="G8 SLADE CLOSE"/>
    <n v="-28.8"/>
    <n v="-2.8799999999999999E-2"/>
  </r>
  <r>
    <s v="S13"/>
    <x v="12"/>
    <s v="AJ"/>
    <n v="10347956"/>
    <d v="2020-04-02T00:00:00"/>
    <n v="202101"/>
    <s v="1"/>
    <s v="EXP"/>
    <s v="B7016"/>
    <s v="BN44"/>
    <s v="COVERED MARKET"/>
    <n v="-44.3"/>
    <n v="-4.4299999999999999E-2"/>
  </r>
  <r>
    <s v="S13"/>
    <x v="12"/>
    <s v="AJ"/>
    <n v="10347954"/>
    <d v="2020-04-02T00:00:00"/>
    <n v="202101"/>
    <s v="1"/>
    <s v="EXP"/>
    <s v="B7012"/>
    <s v="BN44"/>
    <s v="G53 BLAY CLOSE"/>
    <n v="-311.10000000000002"/>
    <n v="-0.31110000000000004"/>
  </r>
  <r>
    <s v="S13"/>
    <x v="12"/>
    <s v="AJ"/>
    <n v="10347956"/>
    <d v="2020-04-02T00:00:00"/>
    <n v="202101"/>
    <s v="1"/>
    <s v="EXP"/>
    <s v="B7008"/>
    <s v="BN44"/>
    <s v="ST ALDATES CHAMBERS"/>
    <n v="-441.41"/>
    <n v="-0.44141000000000002"/>
  </r>
  <r>
    <s v="S13"/>
    <x v="12"/>
    <s v="AJ"/>
    <n v="10347956"/>
    <d v="2020-04-02T00:00:00"/>
    <n v="202101"/>
    <s v="1"/>
    <s v="EXP"/>
    <s v="B7012"/>
    <s v="BN44"/>
    <s v="G92 PENNYWELL DRIVE"/>
    <n v="-29.16"/>
    <n v="-2.9159999999999998E-2"/>
  </r>
  <r>
    <s v="S13"/>
    <x v="12"/>
    <s v="AJ"/>
    <n v="10347956"/>
    <d v="2020-04-02T00:00:00"/>
    <n v="202101"/>
    <s v="1"/>
    <s v="EXP"/>
    <s v="B7012"/>
    <s v="BN44"/>
    <s v="G4 PAULING ROAD"/>
    <n v="-21.26"/>
    <n v="-2.1260000000000001E-2"/>
  </r>
  <r>
    <s v="S13"/>
    <x v="12"/>
    <s v="AJ"/>
    <n v="10347956"/>
    <d v="2020-04-02T00:00:00"/>
    <n v="202101"/>
    <s v="1"/>
    <s v="EXP"/>
    <s v="B7008"/>
    <s v="BN44"/>
    <s v="ST ALDATES CHAMBERS"/>
    <n v="-46.46"/>
    <n v="-4.6460000000000001E-2"/>
  </r>
  <r>
    <s v="S13"/>
    <x v="12"/>
    <s v="AJ"/>
    <n v="10347956"/>
    <d v="2020-04-02T00:00:00"/>
    <n v="202101"/>
    <s v="1"/>
    <s v="EXP"/>
    <s v="B7012"/>
    <s v="BN44"/>
    <s v="G46 LEIDEN ROAD"/>
    <n v="-706.84"/>
    <n v="-0.70684000000000002"/>
  </r>
  <r>
    <s v="S13"/>
    <x v="12"/>
    <s v="AJ"/>
    <n v="10347956"/>
    <d v="2020-04-02T00:00:00"/>
    <n v="202101"/>
    <s v="1"/>
    <s v="EXP"/>
    <s v="B7012"/>
    <s v="BN44"/>
    <s v="G1201 COMFREY ROAD"/>
    <n v="-38.89"/>
    <n v="-3.8890000000000001E-2"/>
  </r>
  <r>
    <s v="S13"/>
    <x v="12"/>
    <s v="AJ"/>
    <n v="10347956"/>
    <d v="2020-04-02T00:00:00"/>
    <n v="202101"/>
    <s v="1"/>
    <s v="EXP"/>
    <s v="B7012"/>
    <s v="BN44"/>
    <s v="G981 FIELD AVENUE"/>
    <n v="-39.44"/>
    <n v="-3.9439999999999996E-2"/>
  </r>
  <r>
    <s v="S13"/>
    <x v="12"/>
    <s v="AJ"/>
    <n v="10347956"/>
    <d v="2020-04-02T00:00:00"/>
    <n v="202101"/>
    <s v="1"/>
    <s v="EXP"/>
    <s v="B7008"/>
    <s v="BN44"/>
    <s v="EAST OXFORD COMMUNITY CENTRE"/>
    <n v="-139.38999999999999"/>
    <n v="-0.13938999999999999"/>
  </r>
  <r>
    <s v="S13"/>
    <x v="12"/>
    <s v="AJ"/>
    <n v="10347956"/>
    <d v="2020-04-02T00:00:00"/>
    <n v="202101"/>
    <s v="1"/>
    <s v="EXP"/>
    <s v="B7008"/>
    <s v="BN44"/>
    <s v="ST ALDATES CHAMBERS"/>
    <n v="-129.06"/>
    <n v="-0.12906000000000001"/>
  </r>
  <r>
    <s v="S13"/>
    <x v="12"/>
    <s v="AJ"/>
    <n v="10347956"/>
    <d v="2020-04-02T00:00:00"/>
    <n v="202101"/>
    <s v="1"/>
    <s v="EXP"/>
    <s v="B7008"/>
    <s v="BN44"/>
    <s v="CARFAX TOWER"/>
    <n v="-107.91"/>
    <n v="-0.10790999999999999"/>
  </r>
  <r>
    <s v="S13"/>
    <x v="12"/>
    <s v="AJ"/>
    <n v="10347956"/>
    <d v="2020-04-02T00:00:00"/>
    <n v="202101"/>
    <s v="1"/>
    <s v="EXP"/>
    <s v="B7008"/>
    <s v="BN44"/>
    <s v="BLACKBIRD LEYS COMMUNITY CTR"/>
    <n v="-116.16"/>
    <n v="-0.11616"/>
  </r>
  <r>
    <s v="S13"/>
    <x v="12"/>
    <s v="AJ"/>
    <n v="10347956"/>
    <d v="2020-04-02T00:00:00"/>
    <n v="202101"/>
    <s v="1"/>
    <s v="EXP"/>
    <s v="B7008"/>
    <s v="BN44"/>
    <s v="FLORENCE PARK COMMUNITY CENTRE"/>
    <n v="-323.52"/>
    <n v="-0.32351999999999997"/>
  </r>
  <r>
    <s v="S13"/>
    <x v="12"/>
    <s v="AJ"/>
    <n v="10347956"/>
    <d v="2020-04-02T00:00:00"/>
    <n v="202101"/>
    <s v="1"/>
    <s v="EXP"/>
    <s v="B7008"/>
    <s v="BN44"/>
    <s v="GLOUCESTER GREEN BUS STATION"/>
    <n v="-172.18"/>
    <n v="-0.17218"/>
  </r>
  <r>
    <s v="S13"/>
    <x v="12"/>
    <s v="AJ"/>
    <n v="10347956"/>
    <d v="2020-04-02T00:00:00"/>
    <n v="202101"/>
    <s v="1"/>
    <s v="EXP"/>
    <s v="B7008"/>
    <s v="BN44"/>
    <s v="ST SEPULCHRES CEMETERY"/>
    <n v="-526.5"/>
    <n v="-0.52649999999999997"/>
  </r>
  <r>
    <s v="S13"/>
    <x v="12"/>
    <s v="AJ"/>
    <n v="10347956"/>
    <d v="2020-04-02T00:00:00"/>
    <n v="202101"/>
    <s v="1"/>
    <s v="EXP"/>
    <s v="B7008"/>
    <s v="BN44"/>
    <s v="ST ALDATES CHAMBERS"/>
    <n v="-51.88"/>
    <n v="-5.1880000000000003E-2"/>
  </r>
  <r>
    <s v="S13"/>
    <x v="12"/>
    <s v="AJ"/>
    <n v="10347956"/>
    <d v="2020-04-02T00:00:00"/>
    <n v="202101"/>
    <s v="1"/>
    <s v="EXP"/>
    <s v="B7008"/>
    <s v="BN44"/>
    <s v="TOWN HALL"/>
    <n v="-295.01"/>
    <n v="-0.29500999999999999"/>
  </r>
  <r>
    <s v="S13"/>
    <x v="12"/>
    <s v="AJ"/>
    <n v="10347956"/>
    <d v="2020-04-02T00:00:00"/>
    <n v="202101"/>
    <s v="1"/>
    <s v="EXP"/>
    <s v="B7008"/>
    <s v="BN44"/>
    <s v="TOWN HALL"/>
    <n v="-25.94"/>
    <n v="-2.5940000000000001E-2"/>
  </r>
  <r>
    <s v="S13"/>
    <x v="12"/>
    <s v="AJ"/>
    <n v="10347956"/>
    <d v="2020-04-02T00:00:00"/>
    <n v="202101"/>
    <s v="1"/>
    <s v="EXP"/>
    <s v="B7008"/>
    <s v="BN44"/>
    <s v="ENTERPRISE CENTRE"/>
    <n v="-130.59"/>
    <n v="-0.13059000000000001"/>
  </r>
  <r>
    <s v="S13"/>
    <x v="12"/>
    <s v="AJ"/>
    <n v="10347956"/>
    <d v="2020-04-02T00:00:00"/>
    <n v="202101"/>
    <s v="1"/>
    <s v="EXP"/>
    <s v="B7008"/>
    <s v="BN44"/>
    <s v="WEST OXFORD COMMUNITY CENTRE"/>
    <n v="-53.27"/>
    <n v="-5.3270000000000005E-2"/>
  </r>
  <r>
    <s v="S13"/>
    <x v="12"/>
    <s v="AJ"/>
    <n v="10347956"/>
    <d v="2020-04-02T00:00:00"/>
    <n v="202101"/>
    <s v="1"/>
    <s v="EXP"/>
    <s v="B7016"/>
    <s v="BN44"/>
    <s v="COVERED MARKET"/>
    <n v="-64.849999999999994"/>
    <n v="-6.4849999999999991E-2"/>
  </r>
  <r>
    <s v="S13"/>
    <x v="12"/>
    <s v="AJ"/>
    <n v="10347956"/>
    <d v="2020-04-02T00:00:00"/>
    <n v="202101"/>
    <s v="1"/>
    <s v="EXP"/>
    <s v="B7008"/>
    <s v="BN44"/>
    <s v="BLACKBIRD LEYS COMMUNITY CTR"/>
    <n v="-106.48"/>
    <n v="-0.10648000000000001"/>
  </r>
  <r>
    <s v="S13"/>
    <x v="12"/>
    <s v="AJ"/>
    <n v="10347954"/>
    <d v="2020-04-02T00:00:00"/>
    <n v="202101"/>
    <s v="1"/>
    <s v="EXP"/>
    <s v="B7008"/>
    <s v="BN44"/>
    <s v="BLACKBIRD LEYS COMMUNITY CTR"/>
    <n v="-8504.6299999999992"/>
    <n v="-8.5046299999999988"/>
  </r>
  <r>
    <s v="S13"/>
    <x v="12"/>
    <s v="AJ"/>
    <n v="10347954"/>
    <d v="2020-04-02T00:00:00"/>
    <n v="202101"/>
    <s v="1"/>
    <s v="EXP"/>
    <s v="B7012"/>
    <s v="BN44"/>
    <s v="G79 KERSINGTON CRESCENT"/>
    <n v="-194.46"/>
    <n v="-0.19446000000000002"/>
  </r>
  <r>
    <s v="S13"/>
    <x v="12"/>
    <s v="AJ"/>
    <n v="10347954"/>
    <d v="2020-04-02T00:00:00"/>
    <n v="202101"/>
    <s v="1"/>
    <s v="EXP"/>
    <s v="B7008"/>
    <s v="BN44"/>
    <s v="ST ALDATES CHAMBERS"/>
    <n v="-116.16"/>
    <n v="-0.11616"/>
  </r>
  <r>
    <s v="S13"/>
    <x v="13"/>
    <s v="AJ"/>
    <n v="10347977"/>
    <d v="2020-04-03T00:00:00"/>
    <n v="202101"/>
    <s v="1"/>
    <s v="EXP"/>
    <s v="B1501"/>
    <s v="EK21"/>
    <s v="19/20 Electricity Accrual - Sorrel Road 049 - TA [OCC]"/>
    <n v="-215"/>
    <n v="-0.215"/>
  </r>
  <r>
    <s v="S13"/>
    <x v="12"/>
    <s v="AJ"/>
    <n v="10347954"/>
    <d v="2020-04-02T00:00:00"/>
    <n v="202101"/>
    <s v="1"/>
    <s v="EXP"/>
    <s v="B7008"/>
    <s v="BN44"/>
    <s v="ROSE HILL COMMUNITY CENTRE"/>
    <n v="-290.39"/>
    <n v="-0.29038999999999998"/>
  </r>
  <r>
    <s v="S13"/>
    <x v="13"/>
    <s v="AJ"/>
    <n v="10347977"/>
    <d v="2020-04-03T00:00:00"/>
    <n v="202101"/>
    <s v="1"/>
    <s v="EXP"/>
    <s v="B1502"/>
    <s v="EK21"/>
    <s v="19/20 Gas Accrual - Shackleton Close 05 - TA [OCC]"/>
    <n v="-89"/>
    <n v="-8.8999999999999996E-2"/>
  </r>
  <r>
    <s v="S13"/>
    <x v="12"/>
    <s v="AJ"/>
    <n v="10347954"/>
    <d v="2020-04-02T00:00:00"/>
    <n v="202101"/>
    <s v="1"/>
    <s v="EXP"/>
    <s v="B7008"/>
    <s v="BN44"/>
    <s v="1-3 GEORGE STREET"/>
    <n v="-155.62"/>
    <n v="-0.15562000000000001"/>
  </r>
  <r>
    <s v="S13"/>
    <x v="12"/>
    <s v="AJ"/>
    <n v="10347954"/>
    <d v="2020-04-02T00:00:00"/>
    <n v="202101"/>
    <s v="1"/>
    <s v="EXP"/>
    <s v="B7008"/>
    <s v="BN44"/>
    <s v="FLORENCE PARK COMMUNITY CENTRE"/>
    <n v="-53.3"/>
    <n v="-5.33E-2"/>
  </r>
  <r>
    <s v="S13"/>
    <x v="12"/>
    <s v="AJ"/>
    <n v="10347954"/>
    <d v="2020-04-02T00:00:00"/>
    <n v="202101"/>
    <s v="1"/>
    <s v="EXP"/>
    <s v="B7012"/>
    <s v="BN44"/>
    <s v="G1014 STRAWBERRY PATH"/>
    <n v="-226.84"/>
    <n v="-0.22684000000000001"/>
  </r>
  <r>
    <s v="S13"/>
    <x v="12"/>
    <s v="AJ"/>
    <n v="10347954"/>
    <d v="2020-04-02T00:00:00"/>
    <n v="202101"/>
    <s v="1"/>
    <s v="EXP"/>
    <s v="B7012"/>
    <s v="BN44"/>
    <s v="G559 PEGASUS ROAD"/>
    <n v="-77.81"/>
    <n v="-7.7810000000000004E-2"/>
  </r>
  <r>
    <s v="S13"/>
    <x v="12"/>
    <s v="AJ"/>
    <n v="10347954"/>
    <d v="2020-04-02T00:00:00"/>
    <n v="202101"/>
    <s v="1"/>
    <s v="EXP"/>
    <s v="B7008"/>
    <s v="BN44"/>
    <s v="TOWN HALL"/>
    <n v="-3991.35"/>
    <n v="-3.9913499999999997"/>
  </r>
  <r>
    <s v="S13"/>
    <x v="12"/>
    <s v="AJ"/>
    <n v="10347954"/>
    <d v="2020-04-02T00:00:00"/>
    <n v="202101"/>
    <s v="1"/>
    <s v="EXP"/>
    <s v="B7008"/>
    <s v="BN44"/>
    <s v="GLOUCESTER GREEN CAR PARK"/>
    <n v="-51.88"/>
    <n v="-5.1880000000000003E-2"/>
  </r>
  <r>
    <s v="S13"/>
    <x v="12"/>
    <s v="AJ"/>
    <n v="10347954"/>
    <d v="2020-04-02T00:00:00"/>
    <n v="202101"/>
    <s v="1"/>
    <s v="EXP"/>
    <s v="B7008"/>
    <s v="BN44"/>
    <s v="BARTON NEIGHBOURHOOD CENTRE"/>
    <n v="-58.08"/>
    <n v="-5.808E-2"/>
  </r>
  <r>
    <s v="S13"/>
    <x v="12"/>
    <s v="AJ"/>
    <n v="10347954"/>
    <d v="2020-04-02T00:00:00"/>
    <n v="202101"/>
    <s v="1"/>
    <s v="EXP"/>
    <s v="B7008"/>
    <s v="BN44"/>
    <s v="TOWN HALL"/>
    <n v="-144.34"/>
    <n v="-0.14434"/>
  </r>
  <r>
    <s v="S13"/>
    <x v="12"/>
    <s v="AJ"/>
    <n v="10347954"/>
    <d v="2020-04-02T00:00:00"/>
    <n v="202101"/>
    <s v="1"/>
    <s v="EXP"/>
    <s v="B7008"/>
    <s v="BN44"/>
    <s v="FLORENCE PARK COMMUNITY CENTRE"/>
    <n v="-262.86"/>
    <n v="-0.26286000000000004"/>
  </r>
  <r>
    <s v="S13"/>
    <x v="12"/>
    <s v="AJ"/>
    <n v="10347954"/>
    <d v="2020-04-02T00:00:00"/>
    <n v="202101"/>
    <s v="1"/>
    <s v="EXP"/>
    <s v="B7012"/>
    <s v="BN44"/>
    <s v="PSP 1-24 BANJO ROAD"/>
    <n v="-172.5"/>
    <n v="-0.17249999999999999"/>
  </r>
  <r>
    <s v="S13"/>
    <x v="12"/>
    <s v="AJ"/>
    <n v="10347954"/>
    <d v="2020-04-02T00:00:00"/>
    <n v="202101"/>
    <s v="1"/>
    <s v="EXP"/>
    <s v="B7012"/>
    <s v="BN44"/>
    <s v="G4 GREEN ROAD"/>
    <n v="-1010.23"/>
    <n v="-1.01023"/>
  </r>
  <r>
    <s v="S13"/>
    <x v="12"/>
    <s v="AJ"/>
    <n v="10347954"/>
    <d v="2020-04-02T00:00:00"/>
    <n v="202101"/>
    <s v="1"/>
    <s v="EXP"/>
    <s v="B7008"/>
    <s v="BN44"/>
    <s v="TOWN HALL"/>
    <n v="-4337.38"/>
    <n v="-4.3373800000000005"/>
  </r>
  <r>
    <s v="S13"/>
    <x v="12"/>
    <s v="AJ"/>
    <n v="10347954"/>
    <d v="2020-04-02T00:00:00"/>
    <n v="202101"/>
    <s v="1"/>
    <s v="EXP"/>
    <s v="B7008"/>
    <s v="BN44"/>
    <s v="GLOUCESTER GREEN BUS STATION"/>
    <n v="-1490.47"/>
    <n v="-1.49047"/>
  </r>
  <r>
    <s v="S13"/>
    <x v="12"/>
    <s v="AJ"/>
    <n v="10347954"/>
    <d v="2020-04-02T00:00:00"/>
    <n v="202101"/>
    <s v="1"/>
    <s v="EXP"/>
    <s v="B7008"/>
    <s v="BN44"/>
    <s v="TOWN HALL"/>
    <n v="-237.55"/>
    <n v="-0.23755000000000001"/>
  </r>
  <r>
    <s v="S13"/>
    <x v="12"/>
    <s v="AJ"/>
    <n v="10347954"/>
    <d v="2020-04-02T00:00:00"/>
    <n v="202101"/>
    <s v="1"/>
    <s v="EXP"/>
    <s v="B7012"/>
    <s v="BN44"/>
    <s v="G43 LEIDEN ROAD"/>
    <n v="-390.96"/>
    <n v="-0.39095999999999997"/>
  </r>
  <r>
    <s v="S13"/>
    <x v="12"/>
    <s v="AJ"/>
    <n v="10347954"/>
    <d v="2020-04-02T00:00:00"/>
    <n v="202101"/>
    <s v="1"/>
    <s v="EXP"/>
    <s v="B7008"/>
    <s v="BN44"/>
    <s v="42 GEORGE STREET"/>
    <n v="-201.58"/>
    <n v="-0.20158000000000001"/>
  </r>
  <r>
    <s v="S13"/>
    <x v="13"/>
    <s v="AJ"/>
    <n v="10347954"/>
    <d v="2020-04-02T00:00:00"/>
    <n v="202101"/>
    <s v="1"/>
    <s v="EXP"/>
    <s v="D8009"/>
    <s v="EK03"/>
    <s v="15 KEMPSON CRESCENT"/>
    <n v="-232.55"/>
    <n v="-0.23255000000000001"/>
  </r>
  <r>
    <s v="S13"/>
    <x v="13"/>
    <s v="AJ"/>
    <n v="10347954"/>
    <d v="2020-04-02T00:00:00"/>
    <n v="202101"/>
    <s v="1"/>
    <s v="EXP"/>
    <s v="D8009"/>
    <s v="EK01"/>
    <s v="22 BRACEGIRDLE ROAD"/>
    <n v="-357.94"/>
    <n v="-0.35793999999999998"/>
  </r>
  <r>
    <s v="S13"/>
    <x v="12"/>
    <s v="AJ"/>
    <n v="10347954"/>
    <d v="2020-04-02T00:00:00"/>
    <n v="202101"/>
    <s v="1"/>
    <s v="EXP"/>
    <s v="B7029"/>
    <s v="BN44"/>
    <s v="WEST OXFORD COMMUNITY CENTRE"/>
    <n v="-48.79"/>
    <n v="-4.879E-2"/>
  </r>
  <r>
    <s v="S13"/>
    <x v="12"/>
    <s v="AJ"/>
    <n v="10347954"/>
    <d v="2020-04-02T00:00:00"/>
    <n v="202101"/>
    <s v="1"/>
    <s v="EXP"/>
    <s v="B7012"/>
    <s v="BN44"/>
    <s v="G33 BALFOUR ROAD"/>
    <n v="-58.35"/>
    <n v="-5.8349999999999999E-2"/>
  </r>
  <r>
    <s v="S13"/>
    <x v="12"/>
    <s v="AJ"/>
    <n v="10347954"/>
    <d v="2020-04-02T00:00:00"/>
    <n v="202101"/>
    <s v="1"/>
    <s v="EXP"/>
    <s v="B7008"/>
    <s v="BN44"/>
    <s v="BULLINGDON COMMUNITY CENTRE"/>
    <n v="-532.46"/>
    <n v="-0.53246000000000004"/>
  </r>
  <r>
    <s v="S13"/>
    <x v="13"/>
    <s v="AJ"/>
    <n v="10347954"/>
    <d v="2020-04-02T00:00:00"/>
    <n v="202101"/>
    <s v="1"/>
    <s v="EXP"/>
    <s v="B7008"/>
    <s v="EK21"/>
    <s v="26 LERWICK CROFT"/>
    <n v="-37.880000000000003"/>
    <n v="-3.7880000000000004E-2"/>
  </r>
  <r>
    <s v="S13"/>
    <x v="13"/>
    <s v="AJ"/>
    <n v="10347977"/>
    <d v="2020-04-03T00:00:00"/>
    <n v="202101"/>
    <s v="1"/>
    <s v="EXP"/>
    <s v="B1501"/>
    <s v="EK21"/>
    <s v="19/20 Electricity Accrual - Plowman Tower Flat 36 - TA [OCC]"/>
    <n v="-870"/>
    <n v="-0.87"/>
  </r>
  <r>
    <s v="S13"/>
    <x v="12"/>
    <s v="AJ"/>
    <n v="10347954"/>
    <d v="2020-04-02T00:00:00"/>
    <n v="202101"/>
    <s v="1"/>
    <s v="EXP"/>
    <s v="B7008"/>
    <s v="BN44"/>
    <s v="REGAL COMMUNITY CENTRE"/>
    <n v="-63.27"/>
    <n v="-6.3270000000000007E-2"/>
  </r>
  <r>
    <s v="S13"/>
    <x v="12"/>
    <s v="AJ"/>
    <n v="10347954"/>
    <d v="2020-04-02T00:00:00"/>
    <n v="202101"/>
    <s v="1"/>
    <s v="EXP"/>
    <s v="B7008"/>
    <s v="BN44"/>
    <s v="JUBILEE 77 COMMUNITY CENTRE"/>
    <n v="-58.61"/>
    <n v="-5.8610000000000002E-2"/>
  </r>
  <r>
    <s v="S13"/>
    <x v="12"/>
    <s v="AJ"/>
    <n v="10347954"/>
    <d v="2020-04-02T00:00:00"/>
    <n v="202101"/>
    <s v="1"/>
    <s v="EXP"/>
    <s v="B7008"/>
    <s v="BN44"/>
    <s v="1-3 GEORGE STREET"/>
    <n v="-6743.82"/>
    <n v="-6.7438199999999995"/>
  </r>
  <r>
    <s v="S13"/>
    <x v="12"/>
    <s v="AJ"/>
    <n v="10347954"/>
    <d v="2020-04-02T00:00:00"/>
    <n v="202101"/>
    <s v="1"/>
    <s v="EXP"/>
    <s v="B7012"/>
    <s v="BN44"/>
    <s v="G150 SANDY LANE"/>
    <n v="-875.32"/>
    <n v="-0.8753200000000001"/>
  </r>
  <r>
    <s v="S13"/>
    <x v="12"/>
    <s v="AJ"/>
    <n v="10347954"/>
    <d v="2020-04-02T00:00:00"/>
    <n v="202101"/>
    <s v="1"/>
    <s v="EXP"/>
    <s v="B7008"/>
    <s v="BN44"/>
    <s v="COVERED MARKET"/>
    <n v="-2641.64"/>
    <n v="-2.6416399999999998"/>
  </r>
  <r>
    <s v="S13"/>
    <x v="12"/>
    <s v="AJ"/>
    <n v="10347954"/>
    <d v="2020-04-02T00:00:00"/>
    <n v="202101"/>
    <s v="1"/>
    <s v="EXP"/>
    <s v="B7029"/>
    <s v="BN44"/>
    <s v="WEST OXFORD COMMUNITY CENTRE"/>
    <n v="-970.87"/>
    <n v="-0.97087000000000001"/>
  </r>
  <r>
    <s v="S13"/>
    <x v="12"/>
    <s v="AJ"/>
    <n v="10347954"/>
    <d v="2020-04-02T00:00:00"/>
    <n v="202101"/>
    <s v="1"/>
    <s v="EXP"/>
    <s v="B7012"/>
    <s v="BN44"/>
    <s v="G2 DONNINGTON LODGE"/>
    <n v="-423.6"/>
    <n v="-0.42360000000000003"/>
  </r>
  <r>
    <s v="S13"/>
    <x v="12"/>
    <s v="AJ"/>
    <n v="10347977"/>
    <d v="2020-04-03T00:00:00"/>
    <n v="202101"/>
    <s v="1"/>
    <s v="EXP"/>
    <s v="B1501"/>
    <s v="BN24"/>
    <s v="19/20 Electricity Accrual - Earl Street Pumping Station"/>
    <n v="-26"/>
    <n v="-2.5999999999999999E-2"/>
  </r>
  <r>
    <s v="S13"/>
    <x v="12"/>
    <s v="AJ"/>
    <n v="10347954"/>
    <d v="2020-04-02T00:00:00"/>
    <n v="202101"/>
    <s v="1"/>
    <s v="EXP"/>
    <s v="B7008"/>
    <s v="BN44"/>
    <s v="TOWN HALL"/>
    <n v="-46.46"/>
    <n v="-4.6460000000000001E-2"/>
  </r>
  <r>
    <s v="S13"/>
    <x v="13"/>
    <s v="AJ"/>
    <n v="10347977"/>
    <d v="2020-04-03T00:00:00"/>
    <n v="202101"/>
    <s v="1"/>
    <s v="EXP"/>
    <s v="B1501"/>
    <s v="EK21"/>
    <s v="19/20 Electricity Accrual - Greenwood Way 126 - TA [OCC]"/>
    <n v="-141"/>
    <n v="-0.14099999999999999"/>
  </r>
  <r>
    <s v="S13"/>
    <x v="12"/>
    <s v="AJ"/>
    <n v="10347954"/>
    <d v="2020-04-02T00:00:00"/>
    <n v="202101"/>
    <s v="1"/>
    <s v="EXP"/>
    <s v="B7008"/>
    <s v="BN44"/>
    <s v="ROSE HILL COMMUNITY CENTRE"/>
    <n v="-633.9"/>
    <n v="-0.63390000000000002"/>
  </r>
  <r>
    <s v="S13"/>
    <x v="13"/>
    <s v="AJ"/>
    <n v="10347977"/>
    <d v="2020-04-03T00:00:00"/>
    <n v="202101"/>
    <s v="1"/>
    <s v="EXP"/>
    <s v="B1501"/>
    <s v="EK21"/>
    <s v="19/20 Electricity Accrual - Pickett Avenue 29B - TA [OCC]"/>
    <n v="-70"/>
    <n v="-7.0000000000000007E-2"/>
  </r>
  <r>
    <s v="S13"/>
    <x v="13"/>
    <s v="AJ"/>
    <n v="10347977"/>
    <d v="2020-04-03T00:00:00"/>
    <n v="202101"/>
    <s v="1"/>
    <s v="EXP"/>
    <s v="B1830"/>
    <s v="EK21"/>
    <s v="19/20 Water Accrual - Greenwood Way 126 - TA [OCC]"/>
    <n v="-32"/>
    <n v="-3.2000000000000001E-2"/>
  </r>
  <r>
    <s v="S13"/>
    <x v="12"/>
    <s v="AJ"/>
    <n v="10347954"/>
    <d v="2020-04-02T00:00:00"/>
    <n v="202101"/>
    <s v="1"/>
    <s v="EXP"/>
    <s v="B7012"/>
    <s v="BN44"/>
    <s v="G51 KERSINGTON CRESCENT"/>
    <n v="-751.87"/>
    <n v="-0.75187000000000004"/>
  </r>
  <r>
    <s v="S13"/>
    <x v="12"/>
    <s v="AJ"/>
    <n v="10347954"/>
    <d v="2020-04-02T00:00:00"/>
    <n v="202101"/>
    <s v="1"/>
    <s v="EXP"/>
    <s v="B7008"/>
    <s v="BN44"/>
    <s v="ST ALDATES CHAMBERS"/>
    <n v="-193.59"/>
    <n v="-0.19359000000000001"/>
  </r>
  <r>
    <s v="S13"/>
    <x v="12"/>
    <s v="AJ"/>
    <n v="10347954"/>
    <d v="2020-04-02T00:00:00"/>
    <n v="202101"/>
    <s v="1"/>
    <s v="EXP"/>
    <s v="B7008"/>
    <s v="BN44"/>
    <s v="TOWN HALL"/>
    <n v="-241.76"/>
    <n v="-0.24176"/>
  </r>
  <r>
    <s v="S13"/>
    <x v="12"/>
    <s v="AJ"/>
    <n v="10347954"/>
    <d v="2020-04-02T00:00:00"/>
    <n v="202101"/>
    <s v="1"/>
    <s v="EXP"/>
    <s v="B7012"/>
    <s v="BN44"/>
    <s v="G37 BALFOUR ROAD"/>
    <n v="-116.67"/>
    <n v="-0.11667"/>
  </r>
  <r>
    <s v="S13"/>
    <x v="12"/>
    <s v="AJ"/>
    <n v="10347954"/>
    <d v="2020-04-02T00:00:00"/>
    <n v="202101"/>
    <s v="1"/>
    <s v="EXP"/>
    <s v="B7008"/>
    <s v="BN44"/>
    <s v="25A BRASENOSE DRIFTWAY"/>
    <n v="-262.5"/>
    <n v="-0.26250000000000001"/>
  </r>
  <r>
    <s v="S13"/>
    <x v="13"/>
    <s v="AJ"/>
    <n v="10348138"/>
    <d v="2020-04-09T00:00:00"/>
    <n v="202101"/>
    <s v="1"/>
    <s v="EXP"/>
    <s v="D3611"/>
    <s v="EK03"/>
    <s v="Accrue reversal invoice processed in 2020/21"/>
    <n v="1157.04"/>
    <n v="1.1570400000000001"/>
  </r>
  <r>
    <s v="S13"/>
    <x v="13"/>
    <s v="AJ"/>
    <n v="10348509"/>
    <d v="2020-04-28T00:00:00"/>
    <n v="202101"/>
    <s v="1"/>
    <s v="EXP"/>
    <s v="D3701"/>
    <s v="EK27"/>
    <s v="St Mungos - Floyds Row - Q3"/>
    <n v="-209118"/>
    <n v="-209.11799999999999"/>
  </r>
  <r>
    <s v="S13"/>
    <x v="13"/>
    <s v="AJ"/>
    <n v="10348509"/>
    <d v="2020-04-28T00:00:00"/>
    <n v="202101"/>
    <s v="1"/>
    <s v="EXP"/>
    <s v="D3701"/>
    <s v="EK27"/>
    <s v="St Mungos - Floyds Row - Jan20"/>
    <n v="-118190"/>
    <n v="-118.19"/>
  </r>
  <r>
    <s v="S13"/>
    <x v="13"/>
    <s v="AJ"/>
    <n v="10348509"/>
    <d v="2020-04-28T00:00:00"/>
    <n v="202101"/>
    <s v="1"/>
    <s v="EXP"/>
    <s v="D3701"/>
    <s v="EK27"/>
    <s v="St Mungos - Floyds Row - Feb20"/>
    <n v="-111688"/>
    <n v="-111.688"/>
  </r>
  <r>
    <s v="S13"/>
    <x v="13"/>
    <s v="AJ"/>
    <n v="10348509"/>
    <d v="2020-04-28T00:00:00"/>
    <n v="202101"/>
    <s v="1"/>
    <s v="EXP"/>
    <s v="D3701"/>
    <s v="EK27"/>
    <s v="St Mungos - Floyds Row - Mar20"/>
    <n v="-80256"/>
    <n v="-80.256"/>
  </r>
  <r>
    <s v="S13"/>
    <x v="13"/>
    <s v="AJ"/>
    <n v="10348136"/>
    <d v="2020-04-09T00:00:00"/>
    <n v="202101"/>
    <s v="1"/>
    <s v="EXP"/>
    <s v="D3015"/>
    <s v="EK10"/>
    <s v="CIVICA - Disablement of CBL telephone bidding service 1/4-31/12/20"/>
    <n v="873.75"/>
    <n v="0.87375000000000003"/>
  </r>
  <r>
    <s v="S13"/>
    <x v="13"/>
    <s v="AJ"/>
    <n v="10348136"/>
    <d v="2020-04-09T00:00:00"/>
    <n v="202101"/>
    <s v="1"/>
    <s v="EXP"/>
    <s v="D3600"/>
    <s v="EK03"/>
    <s v="Dilapidation costs 183 Field Ave."/>
    <n v="-5492"/>
    <n v="-5.492"/>
  </r>
  <r>
    <s v="S13"/>
    <x v="13"/>
    <s v="AJ"/>
    <n v="10348136"/>
    <d v="2020-04-09T00:00:00"/>
    <n v="202101"/>
    <s v="1"/>
    <s v="EXP"/>
    <s v="D3606"/>
    <s v="EK04"/>
    <s v="St Mungo´s - NHPF Year 4 cost"/>
    <n v="-48609"/>
    <n v="-48.609000000000002"/>
  </r>
  <r>
    <s v="S13"/>
    <x v="13"/>
    <s v="AJ"/>
    <n v="10348136"/>
    <d v="2020-04-09T00:00:00"/>
    <n v="202101"/>
    <s v="1"/>
    <s v="EXP"/>
    <s v="D3701"/>
    <s v="EK13"/>
    <s v="Cowley St John - Richard Benson Hall Hire Nov19-Feb20"/>
    <n v="-675"/>
    <n v="-0.67500000000000004"/>
  </r>
  <r>
    <s v="S13"/>
    <x v="13"/>
    <s v="AJ"/>
    <n v="10348136"/>
    <d v="2020-04-09T00:00:00"/>
    <n v="202101"/>
    <s v="1"/>
    <s v="EXP"/>
    <s v="F5033"/>
    <s v="EK23"/>
    <s v="Rent Allowance Payments made in advance @ 31/3/20"/>
    <n v="209102.4"/>
    <n v="209.10239999999999"/>
  </r>
  <r>
    <s v="S13"/>
    <x v="13"/>
    <s v="AJ"/>
    <n v="10348136"/>
    <d v="2020-04-09T00:00:00"/>
    <n v="202101"/>
    <s v="1"/>
    <s v="EXP"/>
    <s v="D3015"/>
    <s v="EK10"/>
    <s v="CIVICA - CBL Hosting &amp; Support Costs st 1Apr-31Dec20 (9mths PP)"/>
    <n v="10980.37"/>
    <n v="10.980370000000001"/>
  </r>
  <r>
    <s v="S13"/>
    <x v="13"/>
    <s v="AJ"/>
    <n v="10348138"/>
    <d v="2020-04-09T00:00:00"/>
    <n v="202101"/>
    <s v="1"/>
    <s v="EXP"/>
    <s v="D3611"/>
    <s v="EK03"/>
    <s v="Accrue reversal invoice processed in 2020/21"/>
    <n v="49143.9"/>
    <n v="49.143900000000002"/>
  </r>
  <r>
    <s v="S13"/>
    <x v="13"/>
    <s v="AJ"/>
    <n v="10348138"/>
    <d v="2020-04-09T00:00:00"/>
    <n v="202101"/>
    <s v="1"/>
    <s v="EXP"/>
    <s v="D3611"/>
    <s v="EK03"/>
    <s v="Accrue reversal invoice processed in 2020/21"/>
    <n v="-49143.9"/>
    <n v="-49.143900000000002"/>
  </r>
  <r>
    <s v="S13"/>
    <x v="13"/>
    <s v="AJ"/>
    <n v="10348138"/>
    <d v="2020-04-09T00:00:00"/>
    <n v="202101"/>
    <s v="1"/>
    <s v="EXP"/>
    <s v="D3611"/>
    <s v="EK03"/>
    <s v="Accrue reversal invoice processed in 2020/21"/>
    <n v="-1157.04"/>
    <n v="-1.1570400000000001"/>
  </r>
  <r>
    <s v="S13"/>
    <x v="13"/>
    <s v="AJ"/>
    <n v="10348335"/>
    <d v="2020-04-20T00:00:00"/>
    <n v="202101"/>
    <s v="1"/>
    <s v="INC"/>
    <s v="K9141"/>
    <s v="EK13"/>
    <s v="RSI Countywide Strategic Post - Contribution paid in advance"/>
    <n v="-44672.93"/>
    <n v="-44.672930000000001"/>
  </r>
  <r>
    <s v="S13"/>
    <x v="12"/>
    <s v="AJ"/>
    <n v="10348335"/>
    <d v="2020-04-20T00:00:00"/>
    <n v="202101"/>
    <s v="1"/>
    <s v="INC"/>
    <s v="K6664"/>
    <s v="BN44"/>
    <s v="ODS - 19/20 recharge for Water Treatment costs - Cutteslowe Depot"/>
    <n v="488.83"/>
    <n v="0.48882999999999999"/>
  </r>
  <r>
    <s v="S13"/>
    <x v="12"/>
    <s v="AJ"/>
    <n v="10348335"/>
    <d v="2020-04-20T00:00:00"/>
    <n v="202101"/>
    <s v="1"/>
    <s v="INC"/>
    <s v="K6664"/>
    <s v="BN44"/>
    <s v="ODS - 19/20 recharge for Water Treatment costs - Cowley Depot"/>
    <n v="5671.64"/>
    <n v="5.67164"/>
  </r>
  <r>
    <s v="S13"/>
    <x v="12"/>
    <s v="AJ"/>
    <n v="10348335"/>
    <d v="2020-04-20T00:00:00"/>
    <n v="202101"/>
    <s v="1"/>
    <s v="INC"/>
    <s v="K6664"/>
    <s v="BN44"/>
    <s v="ODS - 19/20 recharge for Water Treatment costs - Horspath Depot"/>
    <n v="2803.16"/>
    <n v="2.8031599999999997"/>
  </r>
  <r>
    <s v="S13"/>
    <x v="12"/>
    <s v="AJ"/>
    <n v="10348335"/>
    <d v="2020-04-20T00:00:00"/>
    <n v="202101"/>
    <s v="1"/>
    <s v="INC"/>
    <s v="K6664"/>
    <s v="BN44"/>
    <s v="ODS - 19/20 recharge for Fire Safety costs - Cutteslowe Depot"/>
    <n v="2275.1999999999998"/>
    <n v="2.2751999999999999"/>
  </r>
  <r>
    <s v="S13"/>
    <x v="12"/>
    <s v="AJ"/>
    <n v="10348335"/>
    <d v="2020-04-20T00:00:00"/>
    <n v="202101"/>
    <s v="1"/>
    <s v="INC"/>
    <s v="K6664"/>
    <s v="BN44"/>
    <s v="ODS - 19/20 recharge for Fire Safety costs - Cowley Depot"/>
    <n v="2126.25"/>
    <n v="2.1262500000000002"/>
  </r>
  <r>
    <s v="S13"/>
    <x v="12"/>
    <s v="AJ"/>
    <n v="10348335"/>
    <d v="2020-04-20T00:00:00"/>
    <n v="202101"/>
    <s v="1"/>
    <s v="INC"/>
    <s v="K6664"/>
    <s v="BN44"/>
    <s v="ODS - 19/20 recharge for Fire Safety costs - Horspath Depot"/>
    <n v="2626.25"/>
    <n v="2.6262500000000002"/>
  </r>
  <r>
    <s v="S13"/>
    <x v="12"/>
    <s v="AJ"/>
    <n v="10348335"/>
    <d v="2020-04-20T00:00:00"/>
    <n v="202101"/>
    <s v="1"/>
    <s v="INC"/>
    <s v="K6664"/>
    <s v="BN44"/>
    <s v="ODS - 19/20 recharge for Lift Maintenance (horspatgh depot)"/>
    <n v="540"/>
    <n v="0.54"/>
  </r>
  <r>
    <s v="S13"/>
    <x v="12"/>
    <s v="AJ"/>
    <n v="10348402"/>
    <d v="2020-04-22T00:00:00"/>
    <n v="202101"/>
    <s v="1"/>
    <s v="EXP"/>
    <s v="B7008"/>
    <s v="BN44"/>
    <s v="ODS - Credit due for overcharged Gl Green Car Park WIP 09287438"/>
    <n v="-12977.1"/>
    <n v="-12.9771"/>
  </r>
  <r>
    <s v="S13"/>
    <x v="13"/>
    <s v="AJ"/>
    <n v="10347981"/>
    <d v="2020-04-03T00:00:00"/>
    <n v="202101"/>
    <s v="1"/>
    <s v="EXP"/>
    <s v="D3411"/>
    <s v="EK10"/>
    <s v="P12 P2P accruals 2019/20, 8038971, NOWMEDICAL"/>
    <n v="-35"/>
    <n v="-3.5000000000000003E-2"/>
  </r>
  <r>
    <s v="S13"/>
    <x v="12"/>
    <s v="AJ"/>
    <n v="10348402"/>
    <d v="2020-04-22T00:00:00"/>
    <n v="202101"/>
    <s v="1"/>
    <s v="EXP"/>
    <s v="B7008"/>
    <s v="BN44"/>
    <s v="ODS - Credit due for overcharged Gl Green Car Park WIP 09287438"/>
    <n v="12977.1"/>
    <n v="12.9771"/>
  </r>
  <r>
    <s v="S13"/>
    <x v="13"/>
    <s v="AJ"/>
    <n v="10348407"/>
    <d v="2020-04-22T00:00:00"/>
    <n v="202101"/>
    <s v="1"/>
    <s v="EXP"/>
    <s v="D3513"/>
    <s v="EK10"/>
    <s v="XMA - BLINE 23.8LCD Monitors (102)"/>
    <n v="-10081.68"/>
    <n v="-10.08168"/>
  </r>
  <r>
    <s v="S13"/>
    <x v="13"/>
    <s v="AJ"/>
    <n v="10347979"/>
    <d v="2020-04-03T00:00:00"/>
    <n v="202101"/>
    <s v="1"/>
    <s v="EXP"/>
    <s v="F5033"/>
    <s v="EK04"/>
    <s v="19/20 Cash in 20/21"/>
    <n v="-1000"/>
    <n v="-1"/>
  </r>
  <r>
    <s v="S13"/>
    <x v="13"/>
    <s v="AJ"/>
    <n v="10347973"/>
    <d v="2020-04-03T00:00:00"/>
    <n v="202101"/>
    <s v="1"/>
    <s v="EXP"/>
    <s v="C2201"/>
    <s v="EK10"/>
    <s v=""/>
    <n v="-105.09"/>
    <n v="-0.10509"/>
  </r>
  <r>
    <s v="S13"/>
    <x v="13"/>
    <s v="AJ"/>
    <n v="10347973"/>
    <d v="2020-04-03T00:00:00"/>
    <n v="202101"/>
    <s v="1"/>
    <s v="EXP"/>
    <s v="C2201"/>
    <s v="EK03"/>
    <s v=""/>
    <n v="-496.46"/>
    <n v="-0.49645999999999996"/>
  </r>
  <r>
    <s v="S13"/>
    <x v="13"/>
    <s v="AJ"/>
    <n v="10348186"/>
    <d v="2020-04-09T00:00:00"/>
    <n v="202101"/>
    <s v="1"/>
    <s v="EXP"/>
    <s v="D3701"/>
    <s v="EK13"/>
    <s v="Homelessness Oxfordshire - 1920 SWEP payment"/>
    <n v="-11769.5"/>
    <n v="-11.769500000000001"/>
  </r>
  <r>
    <s v="S13"/>
    <x v="13"/>
    <s v="AJ"/>
    <n v="10348186"/>
    <d v="2020-04-09T00:00:00"/>
    <n v="202101"/>
    <s v="1"/>
    <s v="EXP"/>
    <s v="D3701"/>
    <s v="EK25"/>
    <s v="Crisis UK - 1) Multi-agency service hub Q4 1920"/>
    <n v="-6307"/>
    <n v="-6.3070000000000004"/>
  </r>
  <r>
    <s v="S13"/>
    <x v="13"/>
    <s v="AJ"/>
    <n v="10348186"/>
    <d v="2020-04-09T00:00:00"/>
    <n v="202101"/>
    <s v="1"/>
    <s v="EXP"/>
    <s v="D3701"/>
    <s v="EK25"/>
    <s v="Turning Point - 3) Temp Accom Q4 1920"/>
    <n v="-7104.25"/>
    <n v="-7.1042500000000004"/>
  </r>
  <r>
    <s v="S13"/>
    <x v="13"/>
    <s v="AJ"/>
    <n v="10348186"/>
    <d v="2020-04-09T00:00:00"/>
    <n v="202101"/>
    <s v="1"/>
    <s v="EXP"/>
    <s v="D3701"/>
    <s v="EK25"/>
    <s v="Homelessness Oxfordshire - Sit up expansion 10 beds 2 FTE Q4 1920"/>
    <n v="-14425"/>
    <n v="-14.425000000000001"/>
  </r>
  <r>
    <s v="S13"/>
    <x v="13"/>
    <s v="AJ"/>
    <n v="10348186"/>
    <d v="2020-04-09T00:00:00"/>
    <n v="202101"/>
    <s v="1"/>
    <s v="EXP"/>
    <s v="D3701"/>
    <s v="EK25"/>
    <s v="Homelessness Oxfordshire - Pre-Recovery Commissioning Q4 1920"/>
    <n v="-7104.25"/>
    <n v="-7.1042500000000004"/>
  </r>
  <r>
    <s v="S13"/>
    <x v="13"/>
    <s v="AJ"/>
    <n v="10348186"/>
    <d v="2020-04-09T00:00:00"/>
    <n v="202101"/>
    <s v="1"/>
    <s v="EXP"/>
    <s v="D3701"/>
    <s v="EK25"/>
    <s v="Homelessness Oxfordshire - Womens Service 5 beds 1 FTE Q4 1920"/>
    <n v="-8509.5"/>
    <n v="-8.5094999999999992"/>
  </r>
  <r>
    <s v="S13"/>
    <x v="13"/>
    <s v="AJ"/>
    <n v="10348186"/>
    <d v="2020-04-09T00:00:00"/>
    <n v="202101"/>
    <s v="1"/>
    <s v="EXP"/>
    <s v="D3701"/>
    <s v="EK27"/>
    <s v="Connection Support - Supported Lettings Q4 1920"/>
    <n v="-6450"/>
    <n v="-6.45"/>
  </r>
  <r>
    <s v="S13"/>
    <x v="13"/>
    <s v="AJ"/>
    <n v="10348352"/>
    <d v="2020-04-21T00:00:00"/>
    <n v="202101"/>
    <s v="1"/>
    <s v="INC"/>
    <s v="K9141"/>
    <s v="EK13"/>
    <s v="RSI Countywide Strategic Post - Contribution paid in advance"/>
    <n v="-42672.53"/>
    <n v="-42.672530000000002"/>
  </r>
  <r>
    <s v="S13"/>
    <x v="13"/>
    <s v="AJ"/>
    <n v="10348352"/>
    <d v="2020-04-21T00:00:00"/>
    <n v="202101"/>
    <s v="1"/>
    <s v="INC"/>
    <s v="K9141"/>
    <s v="EK13"/>
    <s v="RSI Countywide Strategic Post - Contribution paid in advance (correction)"/>
    <n v="44672.93"/>
    <n v="44.672930000000001"/>
  </r>
  <r>
    <s v="S13"/>
    <x v="13"/>
    <s v="AJ"/>
    <n v="10347977"/>
    <d v="2020-04-03T00:00:00"/>
    <n v="202101"/>
    <s v="1"/>
    <s v="EXP"/>
    <s v="B1502"/>
    <s v="EK21"/>
    <s v="19/20 Gas Accrual - Forsythia Close 26 - TA [OCC]"/>
    <n v="-45"/>
    <n v="-4.4999999999999998E-2"/>
  </r>
  <r>
    <s v="S13"/>
    <x v="13"/>
    <s v="AJ"/>
    <n v="10347977"/>
    <d v="2020-04-03T00:00:00"/>
    <n v="202101"/>
    <s v="1"/>
    <s v="EXP"/>
    <s v="B1501"/>
    <s v="EK21"/>
    <s v="19/20 Electricity Accrual - Pauling Road 60 - TA [OCC]"/>
    <n v="-155"/>
    <n v="-0.155"/>
  </r>
  <r>
    <s v="S13"/>
    <x v="13"/>
    <s v="AJ"/>
    <n v="10347977"/>
    <d v="2020-04-03T00:00:00"/>
    <n v="202101"/>
    <s v="1"/>
    <s v="EXP"/>
    <s v="B1501"/>
    <s v="EK21"/>
    <s v="19/20 Electricity Accrual - Lancaster Close 20 - TA [OCC]"/>
    <n v="-33"/>
    <n v="-3.3000000000000002E-2"/>
  </r>
  <r>
    <s v="S13"/>
    <x v="13"/>
    <s v="AJ"/>
    <n v="10347977"/>
    <d v="2020-04-03T00:00:00"/>
    <n v="202101"/>
    <s v="1"/>
    <s v="EXP"/>
    <s v="B1501"/>
    <s v="EK03"/>
    <s v="19/20 Electricity Accrual - Field Avenue 183 - TA [PRS]"/>
    <n v="-139"/>
    <n v="-0.13900000000000001"/>
  </r>
  <r>
    <s v="S13"/>
    <x v="13"/>
    <s v="AJ"/>
    <n v="10347977"/>
    <d v="2020-04-03T00:00:00"/>
    <n v="202101"/>
    <s v="1"/>
    <s v="EXP"/>
    <s v="B1830"/>
    <s v="EK21"/>
    <s v="19/20 Water Accrual - Fettiplace Road 24 - TA [OCC]"/>
    <n v="-124"/>
    <n v="-0.124"/>
  </r>
  <r>
    <s v="S13"/>
    <x v="13"/>
    <s v="AJ"/>
    <n v="10347977"/>
    <d v="2020-04-03T00:00:00"/>
    <n v="202101"/>
    <s v="1"/>
    <s v="EXP"/>
    <s v="B1830"/>
    <s v="EK21"/>
    <s v="19/20 Water Accrual - Bryony Close 22 - TA [OCC]"/>
    <n v="-40"/>
    <n v="-0.04"/>
  </r>
  <r>
    <s v="S13"/>
    <x v="13"/>
    <s v="AJ"/>
    <n v="10347977"/>
    <d v="2020-04-03T00:00:00"/>
    <n v="202101"/>
    <s v="1"/>
    <s v="EXP"/>
    <s v="B1502"/>
    <s v="EK21"/>
    <s v="19/20 Gas Accrual - Kersington Crescent 47 - TA [OCC]"/>
    <n v="-77"/>
    <n v="-7.6999999999999999E-2"/>
  </r>
  <r>
    <s v="S13"/>
    <x v="13"/>
    <s v="AJ"/>
    <n v="10347977"/>
    <d v="2020-04-03T00:00:00"/>
    <n v="202101"/>
    <s v="1"/>
    <s v="EXP"/>
    <s v="B1502"/>
    <s v="EK21"/>
    <s v="19/20 Gas Accrual - Pauling Road 60 - TA [OCC]"/>
    <n v="-66"/>
    <n v="-6.6000000000000003E-2"/>
  </r>
  <r>
    <s v="S13"/>
    <x v="13"/>
    <s v="AJ"/>
    <n v="10347977"/>
    <d v="2020-04-03T00:00:00"/>
    <n v="202101"/>
    <s v="1"/>
    <s v="EXP"/>
    <s v="B1501"/>
    <s v="EK21"/>
    <s v="19/20 Electricity Accrual - Forsythia Close 26 - TA [OCC]"/>
    <n v="-43"/>
    <n v="-4.2999999999999997E-2"/>
  </r>
  <r>
    <s v="S13"/>
    <x v="13"/>
    <s v="AJ"/>
    <n v="10347977"/>
    <d v="2020-04-03T00:00:00"/>
    <n v="202101"/>
    <s v="1"/>
    <s v="EXP"/>
    <s v="B1501"/>
    <s v="EK21"/>
    <s v="19/20 Electricity Accrual - Foresters Tower Flat 60 - TA [OCC]"/>
    <n v="-110"/>
    <n v="-0.11"/>
  </r>
  <r>
    <s v="S13"/>
    <x v="13"/>
    <s v="AJ"/>
    <n v="10347977"/>
    <d v="2020-04-03T00:00:00"/>
    <n v="202101"/>
    <s v="1"/>
    <s v="EXP"/>
    <s v="B1501"/>
    <s v="EK03"/>
    <s v="19/20 Electricity Accrual - Kelburne Road 34A Flat 3 - TA [PRS]"/>
    <n v="-194"/>
    <n v="-0.19400000000000001"/>
  </r>
  <r>
    <s v="S13"/>
    <x v="13"/>
    <s v="AJ"/>
    <n v="10347977"/>
    <d v="2020-04-03T00:00:00"/>
    <n v="202101"/>
    <s v="1"/>
    <s v="EXP"/>
    <s v="B1501"/>
    <s v="EK03"/>
    <s v="19/20 Electricity Accrual - Kelburne Road 34A Flat 2 - TA [PRS]"/>
    <n v="-180"/>
    <n v="-0.18"/>
  </r>
  <r>
    <s v="S13"/>
    <x v="13"/>
    <s v="AJ"/>
    <n v="10347977"/>
    <d v="2020-04-03T00:00:00"/>
    <n v="202101"/>
    <s v="1"/>
    <s v="EXP"/>
    <s v="B1501"/>
    <s v="EK03"/>
    <s v="19/20 Electricity Accrual - Kelburne Road 34A Flat 1 - TA [PRS]"/>
    <n v="-244"/>
    <n v="-0.24399999999999999"/>
  </r>
  <r>
    <s v="S13"/>
    <x v="13"/>
    <s v="AJ"/>
    <n v="10347977"/>
    <d v="2020-04-03T00:00:00"/>
    <n v="202101"/>
    <s v="1"/>
    <s v="EXP"/>
    <s v="B1501"/>
    <s v="EK21"/>
    <s v="19/20 Electricity Accrual - Blackbird Leys Road 76 - TA [OCC]"/>
    <n v="-46"/>
    <n v="-4.5999999999999999E-2"/>
  </r>
  <r>
    <s v="S13"/>
    <x v="13"/>
    <s v="AJ"/>
    <n v="10347977"/>
    <d v="2020-04-03T00:00:00"/>
    <n v="202101"/>
    <s v="1"/>
    <s v="EXP"/>
    <s v="B1502"/>
    <s v="EK21"/>
    <s v="19/20 Gas Accrual - Blackbird Leys Road 76 - TA [OCC]"/>
    <n v="-106"/>
    <n v="-0.106"/>
  </r>
  <r>
    <s v="S13"/>
    <x v="13"/>
    <s v="AJ"/>
    <n v="10348473"/>
    <d v="2020-04-27T00:00:00"/>
    <n v="202101"/>
    <s v="1"/>
    <s v="EXP"/>
    <s v="D3701"/>
    <s v="EK13"/>
    <s v="YEACC03PS - Homelessness Oxfordshire 1920 SWEP - Reverse - Inv already paid"/>
    <n v="11769.5"/>
    <n v="11.769500000000001"/>
  </r>
  <r>
    <s v="S13"/>
    <x v="13"/>
    <s v="AJ"/>
    <n v="10347977"/>
    <d v="2020-04-03T00:00:00"/>
    <n v="202101"/>
    <s v="1"/>
    <s v="EXP"/>
    <s v="B1502"/>
    <s v="EK21"/>
    <s v="19/20 Gas Accrual - Pennywell Drive 79 - TA [OCC]"/>
    <n v="-48"/>
    <n v="-4.8000000000000001E-2"/>
  </r>
  <r>
    <s v="S13"/>
    <x v="12"/>
    <s v="AJ"/>
    <n v="10348237"/>
    <d v="2020-04-15T00:00:00"/>
    <n v="202101"/>
    <s v="1"/>
    <s v="EXP"/>
    <s v="D3703"/>
    <s v="BN43"/>
    <s v="I.H.S. Global - CIS Core/SIMO Subs Jan20-Jan21 9mths PP"/>
    <n v="10421.780000000001"/>
    <n v="10.42178"/>
  </r>
  <r>
    <s v="S13"/>
    <x v="13"/>
    <s v="AJ"/>
    <n v="10347977"/>
    <d v="2020-04-03T00:00:00"/>
    <n v="202101"/>
    <s v="1"/>
    <s v="EXP"/>
    <s v="B1502"/>
    <s v="EK21"/>
    <s v="19/20 Gas Accrual - Bryony Close 22 - TA [OCC]"/>
    <n v="-75"/>
    <n v="-7.4999999999999997E-2"/>
  </r>
  <r>
    <s v="S13"/>
    <x v="13"/>
    <s v="AJ"/>
    <n v="10347977"/>
    <d v="2020-04-03T00:00:00"/>
    <n v="202101"/>
    <s v="1"/>
    <s v="EXP"/>
    <s v="B1502"/>
    <s v="EK21"/>
    <s v="19/20 Gas Accrual - Fettiplace Road 24 - TA [OCC]"/>
    <n v="-109"/>
    <n v="-0.109"/>
  </r>
  <r>
    <s v="S13"/>
    <x v="13"/>
    <s v="AJ"/>
    <n v="10347977"/>
    <d v="2020-04-03T00:00:00"/>
    <n v="202101"/>
    <s v="1"/>
    <s v="EXP"/>
    <s v="B1501"/>
    <s v="EK21"/>
    <s v="19/20 Electricity Accrual - Heather Road 13 - TA [OCC]"/>
    <n v="-31"/>
    <n v="-3.1E-2"/>
  </r>
  <r>
    <s v="S13"/>
    <x v="13"/>
    <s v="AJ"/>
    <n v="10347977"/>
    <d v="2020-04-03T00:00:00"/>
    <n v="202101"/>
    <s v="1"/>
    <s v="EXP"/>
    <s v="B1501"/>
    <s v="EK21"/>
    <s v="19/20 Electricity Accrual - Greenwood Way 130 - TA [OCC]"/>
    <n v="-109"/>
    <n v="-0.109"/>
  </r>
  <r>
    <s v="S13"/>
    <x v="13"/>
    <s v="AJ"/>
    <n v="10347977"/>
    <d v="2020-04-03T00:00:00"/>
    <n v="202101"/>
    <s v="1"/>
    <s v="EXP"/>
    <s v="B1502"/>
    <s v="EK21"/>
    <s v="19/20 Gas Accrual - Little Bury 57 - TA [OCC]"/>
    <n v="-73"/>
    <n v="-7.2999999999999995E-2"/>
  </r>
  <r>
    <s v="S13"/>
    <x v="13"/>
    <s v="AJ"/>
    <n v="10347977"/>
    <d v="2020-04-03T00:00:00"/>
    <n v="202101"/>
    <s v="1"/>
    <s v="EXP"/>
    <s v="B1830"/>
    <s v="EK21"/>
    <s v="19/20 Water Accrual - Little Bury 57 - TA [OCC]"/>
    <n v="-49"/>
    <n v="-4.9000000000000002E-2"/>
  </r>
  <r>
    <s v="S13"/>
    <x v="13"/>
    <s v="AJ"/>
    <n v="10347977"/>
    <d v="2020-04-03T00:00:00"/>
    <n v="202101"/>
    <s v="1"/>
    <s v="EXP"/>
    <s v="B1501"/>
    <s v="EK21"/>
    <s v="19/20 Electricity Accrual - Lobelia Road 2 - TA [OCC]"/>
    <n v="-643"/>
    <n v="-0.64300000000000002"/>
  </r>
  <r>
    <s v="S13"/>
    <x v="13"/>
    <s v="AJ"/>
    <n v="10347977"/>
    <d v="2020-04-03T00:00:00"/>
    <n v="202101"/>
    <s v="1"/>
    <s v="EXP"/>
    <s v="B1501"/>
    <s v="EK21"/>
    <s v="19/20 Electricity Accrual - Greenwood Way 112 - TA [OCC]"/>
    <n v="-476"/>
    <n v="-0.47599999999999998"/>
  </r>
  <r>
    <s v="S13"/>
    <x v="13"/>
    <s v="AJ"/>
    <n v="10347977"/>
    <d v="2020-04-03T00:00:00"/>
    <n v="202101"/>
    <s v="1"/>
    <s v="EXP"/>
    <s v="B1501"/>
    <s v="EK03"/>
    <s v="19/20 Electricity Accrual - Banbury Road 336 - TA [PRS]"/>
    <n v="-918"/>
    <n v="-0.91800000000000004"/>
  </r>
  <r>
    <s v="S13"/>
    <x v="13"/>
    <s v="AJ"/>
    <n v="10347977"/>
    <d v="2020-04-03T00:00:00"/>
    <n v="202101"/>
    <s v="1"/>
    <s v="EXP"/>
    <s v="B1502"/>
    <s v="EK03"/>
    <s v="19/20 Gas Accrual - Banbury Road 336 - TA [PRS]"/>
    <n v="-990"/>
    <n v="-0.99"/>
  </r>
  <r>
    <s v="S13"/>
    <x v="13"/>
    <s v="AJ"/>
    <n v="10347977"/>
    <d v="2020-04-03T00:00:00"/>
    <n v="202101"/>
    <s v="1"/>
    <s v="EXP"/>
    <s v="B1830"/>
    <s v="EK21"/>
    <s v="19/20 Water Accrual - Greenwood Way 130 - TA [OCC]"/>
    <n v="-28"/>
    <n v="-2.8000000000000001E-2"/>
  </r>
  <r>
    <s v="S13"/>
    <x v="13"/>
    <s v="AJ"/>
    <n v="10347977"/>
    <d v="2020-04-03T00:00:00"/>
    <n v="202101"/>
    <s v="1"/>
    <s v="EXP"/>
    <s v="B1502"/>
    <s v="EK21"/>
    <s v="19/20 Gas Accrual - Priory Road 023 - TA [OCC]"/>
    <n v="-108"/>
    <n v="-0.108"/>
  </r>
  <r>
    <s v="S13"/>
    <x v="13"/>
    <s v="AJ"/>
    <n v="10347977"/>
    <d v="2020-04-03T00:00:00"/>
    <n v="202101"/>
    <s v="1"/>
    <s v="EXP"/>
    <s v="B1501"/>
    <s v="EK21"/>
    <s v="19/20 Electricity Accrual - Priory Road 047 - TA [OCC]"/>
    <n v="-72"/>
    <n v="-7.1999999999999995E-2"/>
  </r>
  <r>
    <s v="S13"/>
    <x v="13"/>
    <s v="AJ"/>
    <n v="10347977"/>
    <d v="2020-04-03T00:00:00"/>
    <n v="202101"/>
    <s v="1"/>
    <s v="EXP"/>
    <s v="B1830"/>
    <s v="EK21"/>
    <s v="19/20 Water Accrual - Lerwick Croft 26 - TA [OCC]"/>
    <n v="-62"/>
    <n v="-6.2E-2"/>
  </r>
  <r>
    <s v="S13"/>
    <x v="12"/>
    <s v="AJ"/>
    <n v="10347977"/>
    <d v="2020-04-03T00:00:00"/>
    <n v="202101"/>
    <s v="1"/>
    <s v="EXP"/>
    <s v="B1501"/>
    <s v="BN44"/>
    <s v="19/20 Electricity Accrual - Unmetered Public Space Lighting"/>
    <n v="-7"/>
    <n v="-7.0000000000000001E-3"/>
  </r>
  <r>
    <s v="S13"/>
    <x v="13"/>
    <s v="AJ"/>
    <n v="10347977"/>
    <d v="2020-04-03T00:00:00"/>
    <n v="202101"/>
    <s v="1"/>
    <s v="EXP"/>
    <s v="B1830"/>
    <s v="EK21"/>
    <s v="19/20 Water Accrual - Rivermead Road 07 - TA [OCC]"/>
    <n v="-38"/>
    <n v="-3.7999999999999999E-2"/>
  </r>
  <r>
    <s v="S13"/>
    <x v="13"/>
    <s v="AJ"/>
    <n v="10347977"/>
    <d v="2020-04-03T00:00:00"/>
    <n v="202101"/>
    <s v="1"/>
    <s v="EXP"/>
    <s v="B1830"/>
    <s v="EK21"/>
    <s v="19/20 Water Accrual - Blackbird Leys Road 54 - TA [OCC]"/>
    <n v="-178"/>
    <n v="-0.17799999999999999"/>
  </r>
  <r>
    <s v="S13"/>
    <x v="12"/>
    <s v="AJ"/>
    <n v="10347981"/>
    <d v="2020-04-03T00:00:00"/>
    <n v="202101"/>
    <s v="1"/>
    <s v="EXP"/>
    <s v="B1302"/>
    <s v="BN44"/>
    <s v="P12 P2P accruals 2019/20, 8038493, OXFORD DIRECT SERVICES LTD"/>
    <n v="-1530"/>
    <n v="-1.53"/>
  </r>
  <r>
    <s v="S13"/>
    <x v="12"/>
    <s v="AJ"/>
    <n v="10347981"/>
    <d v="2020-04-03T00:00:00"/>
    <n v="202101"/>
    <s v="1"/>
    <s v="EXP"/>
    <s v="B1101"/>
    <s v="BN44"/>
    <s v="P12 P2P accruals 2019/20, 8039335, IAN WEBB ENGINEERING LTD"/>
    <n v="-231.8"/>
    <n v="-0.23180000000000001"/>
  </r>
  <r>
    <s v="S13"/>
    <x v="12"/>
    <s v="AJ"/>
    <n v="10347981"/>
    <d v="2020-04-03T00:00:00"/>
    <n v="202101"/>
    <s v="1"/>
    <s v="EXP"/>
    <s v="B1101"/>
    <s v="BN44"/>
    <s v="P12 P2P accruals 2019/20, 8038784, TRUTH LTD T/A KJC FELT ROOFING"/>
    <n v="-380"/>
    <n v="-0.38"/>
  </r>
  <r>
    <s v="S13"/>
    <x v="12"/>
    <s v="AJ"/>
    <n v="10347981"/>
    <d v="2020-04-03T00:00:00"/>
    <n v="202101"/>
    <s v="1"/>
    <s v="EXP"/>
    <s v="B1101"/>
    <s v="BN44"/>
    <s v="P12 P2P accruals 2019/20, 8039122, CHRISTY LIGHTING LTD"/>
    <n v="-525"/>
    <n v="-0.52500000000000002"/>
  </r>
  <r>
    <s v="S13"/>
    <x v="12"/>
    <s v="AJ"/>
    <n v="10347981"/>
    <d v="2020-04-03T00:00:00"/>
    <n v="202101"/>
    <s v="1"/>
    <s v="EXP"/>
    <s v="B1101"/>
    <s v="BN44"/>
    <s v="P12 P2P accruals 2019/20, 8036657, CROFT BUILDING &amp; CONSERVATION LTD"/>
    <n v="-227.2"/>
    <n v="-0.22719999999999999"/>
  </r>
  <r>
    <s v="S13"/>
    <x v="12"/>
    <s v="AJ"/>
    <n v="10347981"/>
    <d v="2020-04-03T00:00:00"/>
    <n v="202101"/>
    <s v="1"/>
    <s v="EXP"/>
    <s v="B1302"/>
    <s v="BN44"/>
    <s v="P12 P2P accruals 2019/20, 8038377, OXFORD DIRECT SERVICES LTD"/>
    <n v="-1530"/>
    <n v="-1.53"/>
  </r>
  <r>
    <s v="S13"/>
    <x v="12"/>
    <s v="AJ"/>
    <n v="10347981"/>
    <d v="2020-04-03T00:00:00"/>
    <n v="202101"/>
    <s v="1"/>
    <s v="EXP"/>
    <s v="B1101"/>
    <s v="BN44"/>
    <s v="P12 P2P accruals 2019/20, 8038352, D A MILES &amp; SONS"/>
    <n v="-450"/>
    <n v="-0.45"/>
  </r>
  <r>
    <s v="S13"/>
    <x v="12"/>
    <s v="AJ"/>
    <n v="10347981"/>
    <d v="2020-04-03T00:00:00"/>
    <n v="202101"/>
    <s v="1"/>
    <s v="EXP"/>
    <s v="B1101"/>
    <s v="BN44"/>
    <s v="P12 P2P accruals 2019/20, 8037818, SAFESITE LTD"/>
    <n v="-719"/>
    <n v="-0.71899999999999997"/>
  </r>
  <r>
    <s v="S13"/>
    <x v="12"/>
    <s v="AJ"/>
    <n v="10347981"/>
    <d v="2020-04-03T00:00:00"/>
    <n v="202101"/>
    <s v="1"/>
    <s v="EXP"/>
    <s v="B1101"/>
    <s v="BN44"/>
    <s v="P12 P2P accruals 2019/20, 8038109, E W BEARD LTD"/>
    <n v="-754.48"/>
    <n v="-0.75448000000000004"/>
  </r>
  <r>
    <s v="S13"/>
    <x v="12"/>
    <s v="AJ"/>
    <n v="10347981"/>
    <d v="2020-04-03T00:00:00"/>
    <n v="202101"/>
    <s v="1"/>
    <s v="EXP"/>
    <s v="B1101"/>
    <s v="BN44"/>
    <s v="P12 P2P accruals 2019/20, 8038824, EXECUTIVE FIRE PROTECTION LTD"/>
    <n v="-306.89"/>
    <n v="-0.30689"/>
  </r>
  <r>
    <s v="S13"/>
    <x v="12"/>
    <s v="AJ"/>
    <n v="10347981"/>
    <d v="2020-04-03T00:00:00"/>
    <n v="202101"/>
    <s v="1"/>
    <s v="EXP"/>
    <s v="B1101"/>
    <s v="BN44"/>
    <s v="P12 P2P accruals 2019/20, 8039334, IAN WEBB ENGINEERING LTD"/>
    <n v="-252.1"/>
    <n v="-0.25209999999999999"/>
  </r>
  <r>
    <s v="S13"/>
    <x v="12"/>
    <s v="AJ"/>
    <n v="10347981"/>
    <d v="2020-04-03T00:00:00"/>
    <n v="202101"/>
    <s v="1"/>
    <s v="EXP"/>
    <s v="B1101"/>
    <s v="BN44"/>
    <s v="P12 P2P accruals 2019/20, 8038161, GEORGE HENRY &amp; CO RELAY LTD"/>
    <n v="-366.6"/>
    <n v="-0.36660000000000004"/>
  </r>
  <r>
    <s v="S13"/>
    <x v="12"/>
    <s v="AJ"/>
    <n v="10347981"/>
    <d v="2020-04-03T00:00:00"/>
    <n v="202101"/>
    <s v="1"/>
    <s v="EXP"/>
    <s v="B1302"/>
    <s v="BN44"/>
    <s v="P12 P2P accruals 2019/20, 8038528, OXFORD DIRECT SERVICES LTD"/>
    <n v="-776.63"/>
    <n v="-0.77663000000000004"/>
  </r>
  <r>
    <s v="S13"/>
    <x v="12"/>
    <s v="AJ"/>
    <n v="10347981"/>
    <d v="2020-04-03T00:00:00"/>
    <n v="202101"/>
    <s v="1"/>
    <s v="EXP"/>
    <s v="B1302"/>
    <s v="BN44"/>
    <s v="P12 P2P accruals 2019/20, 8039204, OXFORD DIRECT SERVICES LTD"/>
    <n v="-500"/>
    <n v="-0.5"/>
  </r>
  <r>
    <s v="S13"/>
    <x v="12"/>
    <s v="AJ"/>
    <n v="10347981"/>
    <d v="2020-04-03T00:00:00"/>
    <n v="202101"/>
    <s v="1"/>
    <s v="EXP"/>
    <s v="B2002"/>
    <s v="BN44"/>
    <s v="P12 P2P accruals 2019/20, 8038558, IAN WEBB ENGINEERING LTD"/>
    <n v="-1193"/>
    <n v="-1.1930000000000001"/>
  </r>
  <r>
    <s v="S13"/>
    <x v="12"/>
    <s v="AJ"/>
    <n v="10347981"/>
    <d v="2020-04-03T00:00:00"/>
    <n v="202101"/>
    <s v="1"/>
    <s v="EXP"/>
    <s v="B1101"/>
    <s v="BN44"/>
    <s v="P12 P2P accruals 2019/20, 8039275, ISIS SCAFFOLDING LTD"/>
    <n v="-250"/>
    <n v="-0.25"/>
  </r>
  <r>
    <s v="S13"/>
    <x v="12"/>
    <s v="AJ"/>
    <n v="10347981"/>
    <d v="2020-04-03T00:00:00"/>
    <n v="202101"/>
    <s v="1"/>
    <s v="EXP"/>
    <s v="B1101"/>
    <s v="BN44"/>
    <s v="P12 P2P accruals 2019/20, 8037923, PRICE &amp; MYERS LLP"/>
    <n v="-400"/>
    <n v="-0.4"/>
  </r>
  <r>
    <s v="S13"/>
    <x v="13"/>
    <s v="AJ"/>
    <n v="10347977"/>
    <d v="2020-04-03T00:00:00"/>
    <n v="202101"/>
    <s v="1"/>
    <s v="EXP"/>
    <s v="B1502"/>
    <s v="EK21"/>
    <s v="19/20 Gas Accrual - Lobelia Road 2 - TA [OCC]"/>
    <n v="-131"/>
    <n v="-0.13100000000000001"/>
  </r>
  <r>
    <s v="S13"/>
    <x v="13"/>
    <s v="AJ"/>
    <n v="10347977"/>
    <d v="2020-04-03T00:00:00"/>
    <n v="202101"/>
    <s v="1"/>
    <s v="EXP"/>
    <s v="B1830"/>
    <s v="EK21"/>
    <s v="19/20 Water Accrual - St Nicholas Road 47 - TA [OCC]"/>
    <n v="-111"/>
    <n v="-0.111"/>
  </r>
  <r>
    <s v="S13"/>
    <x v="12"/>
    <s v="AJ"/>
    <n v="10347948"/>
    <d v="2020-04-02T00:00:00"/>
    <n v="202101"/>
    <s v="1"/>
    <s v="EXP"/>
    <s v="B7008"/>
    <s v="BN44"/>
    <s v="BLACKBIRD LEYS COMMUNITY CTR"/>
    <n v="-128.83000000000001"/>
    <n v="-0.12883"/>
  </r>
  <r>
    <s v="S13"/>
    <x v="13"/>
    <s v="AJ"/>
    <n v="10347977"/>
    <d v="2020-04-03T00:00:00"/>
    <n v="202101"/>
    <s v="1"/>
    <s v="EXP"/>
    <s v="B1502"/>
    <s v="EK21"/>
    <s v="19/20 Gas Accrual - Rivermead Road 07 - TA [OCC]"/>
    <n v="-54"/>
    <n v="-5.3999999999999999E-2"/>
  </r>
  <r>
    <s v="S13"/>
    <x v="13"/>
    <s v="AJ"/>
    <n v="10348547"/>
    <d v="2020-05-01T00:00:00"/>
    <n v="202101"/>
    <s v="1"/>
    <s v="EXP"/>
    <s v="D3611"/>
    <s v="EK03"/>
    <s v="Move Q1 Rental Credits re OCC Leased Properties"/>
    <n v="4107.84"/>
    <n v="4.1078400000000004"/>
  </r>
  <r>
    <s v="S13"/>
    <x v="13"/>
    <s v="AJ"/>
    <n v="10348547"/>
    <d v="2020-05-01T00:00:00"/>
    <n v="202101"/>
    <s v="1"/>
    <s v="EXP"/>
    <s v="D3611"/>
    <s v="EK03"/>
    <s v="Reverse accrual of invoice processed in P1 - 10348137"/>
    <n v="-1157.04"/>
    <n v="-1.1570400000000001"/>
  </r>
  <r>
    <s v="S13"/>
    <x v="13"/>
    <s v="AJ"/>
    <n v="10348547"/>
    <d v="2020-05-01T00:00:00"/>
    <n v="202101"/>
    <s v="1"/>
    <s v="EXP"/>
    <s v="D3611"/>
    <s v="EK03"/>
    <s v="Reverse accrual of invoice processed in P1 - 10348137"/>
    <n v="-49143.9"/>
    <n v="-49.143900000000002"/>
  </r>
  <r>
    <s v="S13"/>
    <x v="13"/>
    <s v="AJ"/>
    <n v="10348547"/>
    <d v="2020-05-01T00:00:00"/>
    <n v="202101"/>
    <s v="1"/>
    <s v="EXP"/>
    <s v="D3611"/>
    <s v="EK03"/>
    <s v="Accrual for income due from OCHIL"/>
    <n v="1157.04"/>
    <n v="1.1570400000000001"/>
  </r>
  <r>
    <s v="S13"/>
    <x v="13"/>
    <s v="AJ"/>
    <n v="10348547"/>
    <d v="2020-05-01T00:00:00"/>
    <n v="202101"/>
    <s v="1"/>
    <s v="EXP"/>
    <s v="D3611"/>
    <s v="EK03"/>
    <s v="Accrual for income due from OCHIL"/>
    <n v="49143.9"/>
    <n v="49.143900000000002"/>
  </r>
  <r>
    <s v="S13"/>
    <x v="13"/>
    <s v="AJ"/>
    <n v="10347977"/>
    <d v="2020-04-03T00:00:00"/>
    <n v="202101"/>
    <s v="1"/>
    <s v="EXP"/>
    <s v="B1501"/>
    <s v="EK21"/>
    <s v="19/20 Electricity Accrual - Beaufort Close 13 - TA [OCC]"/>
    <n v="-114"/>
    <n v="-0.114"/>
  </r>
  <r>
    <s v="S13"/>
    <x v="12"/>
    <s v="AJ"/>
    <n v="10347948"/>
    <d v="2020-04-02T00:00:00"/>
    <n v="202101"/>
    <s v="1"/>
    <s v="EXP"/>
    <s v="B7008"/>
    <s v="BN44"/>
    <s v="BARTON NEIGHBOURHOOD CENTRE"/>
    <n v="-2499.2800000000002"/>
    <n v="-2.4992800000000002"/>
  </r>
  <r>
    <s v="S13"/>
    <x v="12"/>
    <s v="AJ"/>
    <n v="10347954"/>
    <d v="2020-04-02T00:00:00"/>
    <n v="202101"/>
    <s v="1"/>
    <s v="EXP"/>
    <s v="B7008"/>
    <s v="BN44"/>
    <s v="ROSE HILL COMMUNITY CENTRE"/>
    <n v="-267.68"/>
    <n v="-0.26768000000000003"/>
  </r>
  <r>
    <s v="S13"/>
    <x v="12"/>
    <s v="AJ"/>
    <n v="10347954"/>
    <d v="2020-04-02T00:00:00"/>
    <n v="202101"/>
    <s v="1"/>
    <s v="EXP"/>
    <s v="B7008"/>
    <s v="BN44"/>
    <s v="15-16 BROAD STREET"/>
    <n v="-3931.09"/>
    <n v="-3.9310900000000002"/>
  </r>
  <r>
    <s v="S13"/>
    <x v="12"/>
    <s v="AJ"/>
    <n v="10347954"/>
    <d v="2020-04-02T00:00:00"/>
    <n v="202101"/>
    <s v="1"/>
    <s v="EXP"/>
    <s v="B7008"/>
    <s v="BN44"/>
    <s v="TOWN HALL"/>
    <n v="-376.11"/>
    <n v="-0.37611"/>
  </r>
  <r>
    <s v="S13"/>
    <x v="12"/>
    <s v="AJ"/>
    <n v="10347954"/>
    <d v="2020-04-02T00:00:00"/>
    <n v="202101"/>
    <s v="1"/>
    <s v="EXP"/>
    <s v="B7008"/>
    <s v="BN44"/>
    <s v="SOUTH OXFORD COMMUNITY CENTRE"/>
    <n v="-97.25"/>
    <n v="-9.7250000000000003E-2"/>
  </r>
  <r>
    <s v="S13"/>
    <x v="12"/>
    <s v="AJ"/>
    <n v="10347954"/>
    <d v="2020-04-02T00:00:00"/>
    <n v="202101"/>
    <s v="1"/>
    <s v="EXP"/>
    <s v="B7008"/>
    <s v="BN44"/>
    <s v="BARTON NEIGHBOURHOOD CENTRE"/>
    <n v="-119.99"/>
    <n v="-0.11999"/>
  </r>
  <r>
    <s v="S13"/>
    <x v="12"/>
    <s v="AJ"/>
    <n v="10347954"/>
    <d v="2020-04-02T00:00:00"/>
    <n v="202101"/>
    <s v="1"/>
    <s v="EXP"/>
    <s v="B7008"/>
    <s v="BN44"/>
    <s v="COVERED MARKET"/>
    <n v="-1126.53"/>
    <n v="-1.12653"/>
  </r>
  <r>
    <s v="S13"/>
    <x v="12"/>
    <s v="AJ"/>
    <n v="10347954"/>
    <d v="2020-04-02T00:00:00"/>
    <n v="202101"/>
    <s v="1"/>
    <s v="EXP"/>
    <s v="B7008"/>
    <s v="BN44"/>
    <s v="TOWN HALL"/>
    <n v="-4907.53"/>
    <n v="-4.9075299999999995"/>
  </r>
  <r>
    <s v="S13"/>
    <x v="12"/>
    <s v="AJ"/>
    <n v="10347954"/>
    <d v="2020-04-02T00:00:00"/>
    <n v="202101"/>
    <s v="1"/>
    <s v="EXP"/>
    <s v="B7008"/>
    <s v="BN44"/>
    <s v="46A GEORGE STREET"/>
    <n v="-550.44000000000005"/>
    <n v="-0.55044000000000004"/>
  </r>
  <r>
    <s v="S13"/>
    <x v="12"/>
    <s v="AJ"/>
    <n v="10347954"/>
    <d v="2020-04-02T00:00:00"/>
    <n v="202101"/>
    <s v="1"/>
    <s v="EXP"/>
    <s v="B7008"/>
    <s v="BN44"/>
    <s v="ROSE HILL COMMUNITY CENTRE"/>
    <n v="-965.72"/>
    <n v="-0.96572000000000002"/>
  </r>
  <r>
    <s v="S13"/>
    <x v="12"/>
    <s v="AJ"/>
    <n v="10347954"/>
    <d v="2020-04-02T00:00:00"/>
    <n v="202101"/>
    <s v="1"/>
    <s v="EXP"/>
    <s v="B7008"/>
    <s v="BN44"/>
    <s v="EAST OXFORD GAMES HALL"/>
    <n v="-235.18"/>
    <n v="-0.23518"/>
  </r>
  <r>
    <s v="S13"/>
    <x v="12"/>
    <s v="AJ"/>
    <n v="10347954"/>
    <d v="2020-04-02T00:00:00"/>
    <n v="202101"/>
    <s v="1"/>
    <s v="EXP"/>
    <s v="B7008"/>
    <s v="BN44"/>
    <s v="ST ALDATE´S CHAMBERS"/>
    <n v="-58.08"/>
    <n v="-5.808E-2"/>
  </r>
  <r>
    <s v="S13"/>
    <x v="12"/>
    <s v="AJ"/>
    <n v="10347954"/>
    <d v="2020-04-02T00:00:00"/>
    <n v="202101"/>
    <s v="1"/>
    <s v="EXP"/>
    <s v="B7008"/>
    <s v="BN44"/>
    <s v="BURY KNOWLE PARK"/>
    <n v="-1904.89"/>
    <n v="-1.9048900000000002"/>
  </r>
  <r>
    <s v="S13"/>
    <x v="12"/>
    <s v="AJ"/>
    <n v="10347954"/>
    <d v="2020-04-02T00:00:00"/>
    <n v="202101"/>
    <s v="1"/>
    <s v="EXP"/>
    <s v="B7008"/>
    <s v="BN44"/>
    <s v="ROSE HILL COMMUNITY CENTRE"/>
    <n v="-314.17"/>
    <n v="-0.31417"/>
  </r>
  <r>
    <s v="S13"/>
    <x v="12"/>
    <s v="AJ"/>
    <n v="10347954"/>
    <d v="2020-04-02T00:00:00"/>
    <n v="202101"/>
    <s v="1"/>
    <s v="EXP"/>
    <s v="B7008"/>
    <s v="BN44"/>
    <s v="ST ALDATES CHAMBERS"/>
    <n v="-159.80000000000001"/>
    <n v="-0.1598"/>
  </r>
  <r>
    <s v="S13"/>
    <x v="12"/>
    <s v="AJ"/>
    <n v="10347954"/>
    <d v="2020-04-02T00:00:00"/>
    <n v="202101"/>
    <s v="1"/>
    <s v="EXP"/>
    <s v="B7005"/>
    <s v="BN44"/>
    <s v="COVERED MARKET"/>
    <n v="-1.86"/>
    <n v="-1.8600000000000001E-3"/>
  </r>
  <r>
    <s v="S13"/>
    <x v="12"/>
    <s v="AJ"/>
    <n v="10348237"/>
    <d v="2020-04-15T00:00:00"/>
    <n v="202101"/>
    <s v="1"/>
    <s v="INC"/>
    <s v="K9141"/>
    <s v="BN44"/>
    <s v="SOCA - Contrib to DOJO works 1718"/>
    <n v="14195.57"/>
    <n v="14.19557"/>
  </r>
  <r>
    <s v="S13"/>
    <x v="12"/>
    <s v="AJ"/>
    <n v="10347956"/>
    <d v="2020-04-02T00:00:00"/>
    <n v="202101"/>
    <s v="1"/>
    <s v="EXP"/>
    <s v="B7007"/>
    <s v="BN44"/>
    <s v="24 &amp; 26 GEORGE STREET"/>
    <n v="-185.85"/>
    <n v="-0.18584999999999999"/>
  </r>
  <r>
    <s v="S13"/>
    <x v="12"/>
    <s v="AJ"/>
    <n v="10347956"/>
    <d v="2020-04-02T00:00:00"/>
    <n v="202101"/>
    <s v="1"/>
    <s v="EXP"/>
    <s v="B7007"/>
    <s v="BN44"/>
    <s v="ST ALDATES CHAMBERS"/>
    <n v="-128.51"/>
    <n v="-0.12850999999999999"/>
  </r>
  <r>
    <s v="S13"/>
    <x v="12"/>
    <s v="AJ"/>
    <n v="10347956"/>
    <d v="2020-04-02T00:00:00"/>
    <n v="202101"/>
    <s v="1"/>
    <s v="EXP"/>
    <s v="B7007"/>
    <s v="BN44"/>
    <s v="COVERED MARKET"/>
    <n v="-1136.97"/>
    <n v="-1.13697"/>
  </r>
  <r>
    <s v="S13"/>
    <x v="12"/>
    <s v="AJ"/>
    <n v="10347956"/>
    <d v="2020-04-02T00:00:00"/>
    <n v="202101"/>
    <s v="1"/>
    <s v="EXP"/>
    <s v="B7005"/>
    <s v="BN44"/>
    <s v="OXFORD ICE RINK"/>
    <n v="-257.25"/>
    <n v="-0.25724999999999998"/>
  </r>
  <r>
    <s v="S13"/>
    <x v="12"/>
    <s v="AJ"/>
    <n v="10347956"/>
    <d v="2020-04-02T00:00:00"/>
    <n v="202101"/>
    <s v="1"/>
    <s v="EXP"/>
    <s v="B7005"/>
    <s v="BN44"/>
    <s v="ST CLEMENTS CAR PARK"/>
    <n v="-117.33"/>
    <n v="-0.11733"/>
  </r>
  <r>
    <s v="S13"/>
    <x v="12"/>
    <s v="AJ"/>
    <n v="10347956"/>
    <d v="2020-04-02T00:00:00"/>
    <n v="202101"/>
    <s v="1"/>
    <s v="EXP"/>
    <s v="B7007"/>
    <s v="BN44"/>
    <s v="LITTLEMORE COMMUNITY CENTRE"/>
    <n v="-166.87"/>
    <n v="-0.16687000000000002"/>
  </r>
  <r>
    <s v="S13"/>
    <x v="12"/>
    <s v="AJ"/>
    <n v="10347956"/>
    <d v="2020-04-02T00:00:00"/>
    <n v="202101"/>
    <s v="1"/>
    <s v="EXP"/>
    <s v="B7007"/>
    <s v="BN44"/>
    <s v="TOWN HALL"/>
    <n v="-69.7"/>
    <n v="-6.9699999999999998E-2"/>
  </r>
  <r>
    <s v="S13"/>
    <x v="12"/>
    <s v="AJ"/>
    <n v="10347956"/>
    <d v="2020-04-02T00:00:00"/>
    <n v="202101"/>
    <s v="1"/>
    <s v="EXP"/>
    <s v="B7007"/>
    <s v="BN44"/>
    <s v="COVERED MARKET"/>
    <n v="-200.02"/>
    <n v="-0.20002"/>
  </r>
  <r>
    <s v="S13"/>
    <x v="12"/>
    <s v="AJ"/>
    <n v="10347956"/>
    <d v="2020-04-02T00:00:00"/>
    <n v="202101"/>
    <s v="1"/>
    <s v="EXP"/>
    <s v="B7008"/>
    <s v="BN44"/>
    <s v="BARTON REC GROUND PAVILION"/>
    <n v="-129.69"/>
    <n v="-0.12969"/>
  </r>
  <r>
    <s v="S13"/>
    <x v="12"/>
    <s v="AJ"/>
    <n v="10347956"/>
    <d v="2020-04-02T00:00:00"/>
    <n v="202101"/>
    <s v="1"/>
    <s v="EXP"/>
    <s v="B7008"/>
    <s v="BN44"/>
    <s v="42 GEORGE STREET"/>
    <n v="-77.13"/>
    <n v="-7.712999999999999E-2"/>
  </r>
  <r>
    <s v="S13"/>
    <x v="12"/>
    <s v="AJ"/>
    <n v="10347956"/>
    <d v="2020-04-02T00:00:00"/>
    <n v="202101"/>
    <s v="1"/>
    <s v="EXP"/>
    <s v="B7008"/>
    <s v="BN44"/>
    <s v="ROSE HILL COMMUNITY CENTRE"/>
    <n v="-116.16"/>
    <n v="-0.11616"/>
  </r>
  <r>
    <s v="S13"/>
    <x v="12"/>
    <s v="AJ"/>
    <n v="10347956"/>
    <d v="2020-04-02T00:00:00"/>
    <n v="202101"/>
    <s v="1"/>
    <s v="EXP"/>
    <s v="B7007"/>
    <s v="BN44"/>
    <s v="TOWN HALL"/>
    <n v="-177.55"/>
    <n v="-0.17755000000000001"/>
  </r>
  <r>
    <s v="S13"/>
    <x v="12"/>
    <s v="AJ"/>
    <n v="10347954"/>
    <d v="2020-04-02T00:00:00"/>
    <n v="202101"/>
    <s v="1"/>
    <s v="EXP"/>
    <s v="B7008"/>
    <s v="BN44"/>
    <s v="EAST OXFORD COMMUNITY CENTRE"/>
    <n v="-267.17"/>
    <n v="-0.26717000000000002"/>
  </r>
  <r>
    <s v="S13"/>
    <x v="12"/>
    <s v="AJ"/>
    <n v="10347954"/>
    <d v="2020-04-02T00:00:00"/>
    <n v="202101"/>
    <s v="1"/>
    <s v="EXP"/>
    <s v="B7008"/>
    <s v="BN44"/>
    <s v="ROSE HILL COMMUNITY CENTRE"/>
    <n v="-58.61"/>
    <n v="-5.8610000000000002E-2"/>
  </r>
  <r>
    <s v="S13"/>
    <x v="12"/>
    <s v="AJ"/>
    <n v="10347954"/>
    <d v="2020-04-02T00:00:00"/>
    <n v="202101"/>
    <s v="1"/>
    <s v="EXP"/>
    <s v="B7008"/>
    <s v="BN44"/>
    <s v="EAST OXFORD COMMUNITY CENTRE"/>
    <n v="-58.61"/>
    <n v="-5.8610000000000002E-2"/>
  </r>
  <r>
    <s v="S13"/>
    <x v="12"/>
    <s v="AJ"/>
    <n v="10347954"/>
    <d v="2020-04-02T00:00:00"/>
    <n v="202101"/>
    <s v="1"/>
    <s v="EXP"/>
    <s v="B7008"/>
    <s v="BN44"/>
    <s v="BURY KNOWLE PARK"/>
    <n v="-232.32"/>
    <n v="-0.23232"/>
  </r>
  <r>
    <s v="S13"/>
    <x v="12"/>
    <s v="AJ"/>
    <n v="10347954"/>
    <d v="2020-04-02T00:00:00"/>
    <n v="202101"/>
    <s v="1"/>
    <s v="EXP"/>
    <s v="B7008"/>
    <s v="BN44"/>
    <s v="BLACKBIRD LEYS COMMUNITY CTR"/>
    <n v="-231.85"/>
    <n v="-0.23185"/>
  </r>
  <r>
    <s v="S13"/>
    <x v="12"/>
    <s v="AJ"/>
    <n v="10348539"/>
    <d v="2020-04-30T00:00:00"/>
    <n v="202101"/>
    <s v="1"/>
    <s v="EXP"/>
    <s v="B1302"/>
    <s v="BN44"/>
    <s v="reverse 10347980 PO 8039204 not required"/>
    <n v="500"/>
    <n v="0.5"/>
  </r>
  <r>
    <s v="S13"/>
    <x v="12"/>
    <s v="AJ"/>
    <n v="10348539"/>
    <d v="2020-04-30T00:00:00"/>
    <n v="202101"/>
    <s v="1"/>
    <s v="EXP"/>
    <s v="B1302"/>
    <s v="BN44"/>
    <s v="reverse 10347980 PO 8038528 not required"/>
    <n v="776.63"/>
    <n v="0.77663000000000004"/>
  </r>
  <r>
    <s v="S13"/>
    <x v="13"/>
    <s v="AJ"/>
    <n v="10348461"/>
    <d v="2020-04-27T00:00:00"/>
    <n v="202101"/>
    <s v="1"/>
    <s v="INC"/>
    <s v="K6663"/>
    <s v="EK10"/>
    <s v="Reverse accrual 10348162 made: income entered separately"/>
    <n v="-1320"/>
    <n v="-1.32"/>
  </r>
  <r>
    <s v="S13"/>
    <x v="12"/>
    <s v="AJ"/>
    <n v="10347948"/>
    <d v="2020-04-02T00:00:00"/>
    <n v="202101"/>
    <s v="1"/>
    <s v="EXP"/>
    <s v="B7005"/>
    <s v="BN44"/>
    <s v="COVERED MARKET"/>
    <n v="-44.52"/>
    <n v="-4.4520000000000004E-2"/>
  </r>
  <r>
    <s v="S13"/>
    <x v="12"/>
    <s v="AJ"/>
    <n v="10347948"/>
    <d v="2020-04-02T00:00:00"/>
    <n v="202101"/>
    <s v="1"/>
    <s v="EXP"/>
    <s v="B7008"/>
    <s v="BN44"/>
    <s v="ST ALDATES CHAMBERS"/>
    <n v="-27.07"/>
    <n v="-2.707E-2"/>
  </r>
  <r>
    <s v="S13"/>
    <x v="12"/>
    <s v="AJ"/>
    <n v="10348345"/>
    <d v="2020-04-21T00:00:00"/>
    <n v="202101"/>
    <s v="1"/>
    <s v="EXP"/>
    <s v="B7007"/>
    <s v="BN44"/>
    <s v="Bbleys Community Centre"/>
    <n v="-277.10000000000002"/>
    <n v="-0.27710000000000001"/>
  </r>
  <r>
    <s v="S13"/>
    <x v="12"/>
    <s v="AJ"/>
    <n v="10348429"/>
    <d v="2020-04-24T00:00:00"/>
    <n v="202101"/>
    <s v="1"/>
    <s v="EXP"/>
    <s v="B1106"/>
    <s v="BN44"/>
    <s v="Accrual: Managment Surveys, Sept 19 -Mar 20, ASBESTOS CONSULTANTS EUROPE LTD"/>
    <n v="-8195"/>
    <n v="-8.1950000000000003"/>
  </r>
  <r>
    <s v="S13"/>
    <x v="12"/>
    <s v="AJ"/>
    <n v="10347948"/>
    <d v="2020-04-02T00:00:00"/>
    <n v="202101"/>
    <s v="1"/>
    <s v="EXP"/>
    <s v="B7008"/>
    <s v="BN44"/>
    <s v="BARTON NEIGHBOURHOOD CENTRE"/>
    <n v="-245.7"/>
    <n v="-0.2457"/>
  </r>
  <r>
    <s v="S13"/>
    <x v="13"/>
    <s v="AJ"/>
    <n v="10347977"/>
    <d v="2020-04-03T00:00:00"/>
    <n v="202101"/>
    <s v="1"/>
    <s v="EXP"/>
    <s v="B1501"/>
    <s v="EK21"/>
    <s v="19/20 Electricity Accrual - Roman Way 72 - TA [OCC]"/>
    <n v="-820"/>
    <n v="-0.82"/>
  </r>
  <r>
    <s v="S13"/>
    <x v="13"/>
    <s v="AJ"/>
    <n v="10348136"/>
    <d v="2020-04-09T00:00:00"/>
    <n v="202101"/>
    <s v="1"/>
    <s v="EXP"/>
    <s v="J9019"/>
    <s v="EK13"/>
    <s v="St Mungo´s - Addiitonal staffing due to COVID-19"/>
    <n v="-9663.2099999999991"/>
    <n v="-9.6632099999999994"/>
  </r>
  <r>
    <s v="S13"/>
    <x v="13"/>
    <s v="AJ"/>
    <n v="10347977"/>
    <d v="2020-04-03T00:00:00"/>
    <n v="202101"/>
    <s v="1"/>
    <s v="EXP"/>
    <s v="B1502"/>
    <s v="EK21"/>
    <s v="19/20 Gas Accrual - Beaufort Close 13 - TA [OCC]"/>
    <n v="-77"/>
    <n v="-7.6999999999999999E-2"/>
  </r>
  <r>
    <s v="S13"/>
    <x v="13"/>
    <s v="AJ"/>
    <n v="10348163"/>
    <d v="2020-04-09T00:00:00"/>
    <n v="202101"/>
    <s v="1"/>
    <s v="INC"/>
    <s v="K6663"/>
    <s v="EK10"/>
    <s v="Ref HCo P2P AJ 44000490,44000491.Prof&amp;Cons Fees:Re-lets-ChoiceBasedLettings Apr18-Mar19,22Properties"/>
    <n v="1320"/>
    <n v="1.32"/>
  </r>
  <r>
    <s v="S13"/>
    <x v="13"/>
    <s v="AJ"/>
    <n v="10347977"/>
    <d v="2020-04-03T00:00:00"/>
    <n v="202101"/>
    <s v="1"/>
    <s v="EXP"/>
    <s v="B1830"/>
    <s v="EK21"/>
    <s v="19/20 Water Accrual - Beaufort Close 13 - TA [OCC]"/>
    <n v="-84"/>
    <n v="-8.4000000000000005E-2"/>
  </r>
  <r>
    <s v="S13"/>
    <x v="13"/>
    <s v="AJ"/>
    <n v="10347977"/>
    <d v="2020-04-03T00:00:00"/>
    <n v="202101"/>
    <s v="1"/>
    <s v="EXP"/>
    <s v="B1830"/>
    <s v="EK21"/>
    <s v="19/20 Water Accrual - Forsythia Close 26 - TA [OCC]"/>
    <n v="-130"/>
    <n v="-0.13"/>
  </r>
  <r>
    <s v="S13"/>
    <x v="13"/>
    <s v="AJ"/>
    <n v="10347977"/>
    <d v="2020-04-03T00:00:00"/>
    <n v="202101"/>
    <s v="1"/>
    <s v="EXP"/>
    <s v="B1830"/>
    <s v="EK21"/>
    <s v="19/20 Water Accrual - Rowan Grove 10 - TA [OCC]"/>
    <n v="-103"/>
    <n v="-0.10299999999999999"/>
  </r>
  <r>
    <s v="S13"/>
    <x v="12"/>
    <s v="AJ"/>
    <n v="10348429"/>
    <d v="2020-04-24T00:00:00"/>
    <n v="202101"/>
    <s v="1"/>
    <s v="EXP"/>
    <s v="D3401"/>
    <s v="BN44"/>
    <s v="Accrual: connection with the defective ceilings at The Town Hall - Interim Fee, March works, IAN BRIDGE CONSULTANCY LIMITED"/>
    <n v="-6280"/>
    <n v="-6.28"/>
  </r>
  <r>
    <s v="S13"/>
    <x v="13"/>
    <s v="AJ"/>
    <n v="10347977"/>
    <d v="2020-04-03T00:00:00"/>
    <n v="202101"/>
    <s v="1"/>
    <s v="EXP"/>
    <s v="B1502"/>
    <s v="EK21"/>
    <s v="19/20 Gas Accrual - Lerwick Croft 26 - TA [OCC]"/>
    <n v="-88"/>
    <n v="-8.7999999999999995E-2"/>
  </r>
  <r>
    <s v="S13"/>
    <x v="13"/>
    <s v="AJ"/>
    <n v="10348136"/>
    <d v="2020-04-09T00:00:00"/>
    <n v="202101"/>
    <s v="1"/>
    <s v="EXP"/>
    <s v="J9019"/>
    <s v="EK13"/>
    <s v="Tower House Hotel - 21st-31st Mar20. 10days@£542. 1 day@£250."/>
    <n v="-5670"/>
    <n v="-5.67"/>
  </r>
  <r>
    <s v="S13"/>
    <x v="13"/>
    <s v="AJ"/>
    <n v="10348136"/>
    <d v="2020-04-09T00:00:00"/>
    <n v="202101"/>
    <s v="1"/>
    <s v="EXP"/>
    <s v="J9019"/>
    <s v="EK13"/>
    <s v="Buttery Hotel - 24/3-31/320 -  8days @ £600 p/day"/>
    <n v="-4800"/>
    <n v="-4.8"/>
  </r>
  <r>
    <s v="S13"/>
    <x v="13"/>
    <s v="AJ"/>
    <n v="10348136"/>
    <d v="2020-04-09T00:00:00"/>
    <n v="202101"/>
    <s v="1"/>
    <s v="EXP"/>
    <s v="J9019"/>
    <s v="EK13"/>
    <s v="Travelodge- 50% Deposit paid in advance less £1.5k p/day 27/3-31/3/20"/>
    <n v="24000"/>
    <n v="24"/>
  </r>
  <r>
    <s v="S13"/>
    <x v="13"/>
    <s v="AJ"/>
    <n v="10347977"/>
    <d v="2020-04-03T00:00:00"/>
    <n v="202101"/>
    <s v="1"/>
    <s v="EXP"/>
    <s v="B1501"/>
    <s v="EK03"/>
    <s v="19/20 Electricity Accrual - Kelburne Road 34 Flat 1 - TA [PRS]"/>
    <n v="-463"/>
    <n v="-0.46300000000000002"/>
  </r>
  <r>
    <s v="S13"/>
    <x v="13"/>
    <s v="AJ"/>
    <n v="10348136"/>
    <d v="2020-04-09T00:00:00"/>
    <n v="202101"/>
    <s v="1"/>
    <s v="EXP"/>
    <s v="J9019"/>
    <s v="EK13"/>
    <s v="Halo - Security staff used to supplement St Mungo´s staff on 31.03.2020"/>
    <n v="-119.92"/>
    <n v="-0.11992"/>
  </r>
  <r>
    <s v="S13"/>
    <x v="13"/>
    <s v="AJ"/>
    <n v="10348136"/>
    <d v="2020-04-09T00:00:00"/>
    <n v="202101"/>
    <s v="1"/>
    <s v="EXP"/>
    <s v="J9019"/>
    <s v="EK13"/>
    <s v="LEON - Food provision 27.03.2020-31.03.2020"/>
    <n v="-2157.3000000000002"/>
    <n v="-2.1573000000000002"/>
  </r>
  <r>
    <s v="S13"/>
    <x v="13"/>
    <s v="AJ"/>
    <n v="10348136"/>
    <d v="2020-04-09T00:00:00"/>
    <n v="202101"/>
    <s v="1"/>
    <s v="INC"/>
    <s v="K9511"/>
    <s v="EK10"/>
    <s v="Catalyst - CBL Advert Re-Charge for 2018/19 due (awaiting PO number)"/>
    <n v="1800"/>
    <n v="1.8"/>
  </r>
  <r>
    <s v="S13"/>
    <x v="13"/>
    <s v="AJ"/>
    <n v="10347977"/>
    <d v="2020-04-03T00:00:00"/>
    <n v="202101"/>
    <s v="1"/>
    <s v="EXP"/>
    <s v="B1501"/>
    <s v="EK21"/>
    <s v="19/20 Electricity Accrual - Lerwick Croft 26 - TA [OCC]"/>
    <n v="-12"/>
    <n v="-1.2E-2"/>
  </r>
  <r>
    <s v="S13"/>
    <x v="13"/>
    <s v="AJ"/>
    <n v="10348034"/>
    <d v="2020-04-07T00:00:00"/>
    <n v="202101"/>
    <s v="1"/>
    <s v="EXP"/>
    <s v="A0108"/>
    <s v="EK13"/>
    <s v="P12 Bell W (Reed)"/>
    <n v="-1653.06"/>
    <n v="-1.65306"/>
  </r>
  <r>
    <s v="S13"/>
    <x v="13"/>
    <s v="AJ"/>
    <n v="10347977"/>
    <d v="2020-04-03T00:00:00"/>
    <n v="202101"/>
    <s v="1"/>
    <s v="EXP"/>
    <s v="B1501"/>
    <s v="EK21"/>
    <s v="19/20 Electricity Accrual - Shackleton Close 05 - TA [OCC]"/>
    <n v="-27"/>
    <n v="-2.7E-2"/>
  </r>
  <r>
    <s v="S13"/>
    <x v="13"/>
    <s v="AJ"/>
    <n v="10347977"/>
    <d v="2020-04-03T00:00:00"/>
    <n v="202101"/>
    <s v="1"/>
    <s v="EXP"/>
    <s v="B1502"/>
    <s v="EK21"/>
    <s v="19/20 Gas Accrual - Heather Road 13 - TA [OCC]"/>
    <n v="-64"/>
    <n v="-6.4000000000000001E-2"/>
  </r>
  <r>
    <s v="S13"/>
    <x v="13"/>
    <s v="AJ"/>
    <n v="10347977"/>
    <d v="2020-04-03T00:00:00"/>
    <n v="202101"/>
    <s v="1"/>
    <s v="EXP"/>
    <s v="B1830"/>
    <s v="EK21"/>
    <s v="19/20 Water Accrual - Heather Road 13 - TA [OCC]"/>
    <n v="-28"/>
    <n v="-2.8000000000000001E-2"/>
  </r>
  <r>
    <s v="S13"/>
    <x v="12"/>
    <s v="AJ"/>
    <n v="10347977"/>
    <d v="2020-04-03T00:00:00"/>
    <n v="202101"/>
    <s v="1"/>
    <s v="EXP"/>
    <s v="B1830"/>
    <s v="EK17"/>
    <s v="19/20 Water Accrual - Banbury Road Garages"/>
    <n v="-6"/>
    <n v="-6.0000000000000001E-3"/>
  </r>
  <r>
    <s v="S13"/>
    <x v="13"/>
    <s v="AJ"/>
    <n v="10347977"/>
    <d v="2020-04-03T00:00:00"/>
    <n v="202101"/>
    <s v="1"/>
    <s v="EXP"/>
    <s v="B1501"/>
    <s v="EK21"/>
    <s v="19/20 Electricity Accrual - Amory Close 02 - TA [OCC]"/>
    <n v="-29"/>
    <n v="-2.9000000000000001E-2"/>
  </r>
  <r>
    <s v="S13"/>
    <x v="13"/>
    <s v="AJ"/>
    <n v="10347977"/>
    <d v="2020-04-03T00:00:00"/>
    <n v="202101"/>
    <s v="1"/>
    <s v="EXP"/>
    <s v="B1502"/>
    <s v="EK21"/>
    <s v="19/20 Gas Accrual - Amory Close 02 - TA [OCC]"/>
    <n v="-119"/>
    <n v="-0.11899999999999999"/>
  </r>
  <r>
    <s v="S13"/>
    <x v="13"/>
    <s v="AJ"/>
    <n v="10347977"/>
    <d v="2020-04-03T00:00:00"/>
    <n v="202101"/>
    <s v="1"/>
    <s v="EXP"/>
    <s v="B1502"/>
    <s v="EK21"/>
    <s v="19/20 Gas Accrual - St Nicholas Road 47 - TA [OCC]"/>
    <n v="-101"/>
    <n v="-0.10100000000000001"/>
  </r>
  <r>
    <s v="S13"/>
    <x v="13"/>
    <s v="AJ"/>
    <n v="10347977"/>
    <d v="2020-04-03T00:00:00"/>
    <n v="202101"/>
    <s v="1"/>
    <s v="EXP"/>
    <s v="B1830"/>
    <s v="EK21"/>
    <s v="19/20 Water Accrual - Partridge Walk 18 - TA [OCC]"/>
    <n v="-45"/>
    <n v="-4.4999999999999998E-2"/>
  </r>
  <r>
    <s v="S13"/>
    <x v="13"/>
    <s v="AJ"/>
    <n v="10347977"/>
    <d v="2020-04-03T00:00:00"/>
    <n v="202101"/>
    <s v="1"/>
    <s v="EXP"/>
    <s v="B1501"/>
    <s v="EK21"/>
    <s v="19/20 Electricity Accrual - St Nicholas Road 47 - TA [OCC]"/>
    <n v="-206"/>
    <n v="-0.20599999999999999"/>
  </r>
  <r>
    <s v="S13"/>
    <x v="12"/>
    <s v="AJ"/>
    <n v="10347977"/>
    <d v="2020-04-03T00:00:00"/>
    <n v="202101"/>
    <s v="1"/>
    <s v="EXP"/>
    <s v="B1501"/>
    <s v="BN24"/>
    <s v="19/20 Electricity Accrual - Quarry Hollow Pumping Station"/>
    <n v="-9"/>
    <n v="-8.9999999999999993E-3"/>
  </r>
  <r>
    <s v="S13"/>
    <x v="13"/>
    <s v="AJ"/>
    <n v="10347977"/>
    <d v="2020-04-03T00:00:00"/>
    <n v="202101"/>
    <s v="1"/>
    <s v="EXP"/>
    <s v="B1501"/>
    <s v="EK21"/>
    <s v="19/20 Electricity Accrual - Greenwood Way 120 - TA [OCC]"/>
    <n v="-252"/>
    <n v="-0.252"/>
  </r>
  <r>
    <s v="S13"/>
    <x v="13"/>
    <s v="AJ"/>
    <n v="10347977"/>
    <d v="2020-04-03T00:00:00"/>
    <n v="202101"/>
    <s v="1"/>
    <s v="EXP"/>
    <s v="B1501"/>
    <s v="EK21"/>
    <s v="19/20 Electricity Accrual - Bryony Close 22 - TA [OCC]"/>
    <n v="-68"/>
    <n v="-6.8000000000000005E-2"/>
  </r>
  <r>
    <s v="S13"/>
    <x v="13"/>
    <s v="AJ"/>
    <n v="10347977"/>
    <d v="2020-04-03T00:00:00"/>
    <n v="202101"/>
    <s v="1"/>
    <s v="EXP"/>
    <s v="B1830"/>
    <s v="EK21"/>
    <s v="19/20 Water Accrual - Greenwood Way 118 - TA [OCC]"/>
    <n v="-27"/>
    <n v="-2.7E-2"/>
  </r>
  <r>
    <s v="S13"/>
    <x v="13"/>
    <s v="AJ"/>
    <n v="10347977"/>
    <d v="2020-04-03T00:00:00"/>
    <n v="202101"/>
    <s v="1"/>
    <s v="EXP"/>
    <s v="B1501"/>
    <s v="EK21"/>
    <s v="19/20 Electricity Accrual - Greenwood Way 118 - TA [OCC]"/>
    <n v="-152"/>
    <n v="-0.152"/>
  </r>
  <r>
    <s v="S13"/>
    <x v="13"/>
    <s v="AJ"/>
    <n v="10347977"/>
    <d v="2020-04-03T00:00:00"/>
    <n v="202101"/>
    <s v="1"/>
    <s v="EXP"/>
    <s v="B1502"/>
    <s v="EK21"/>
    <s v="19/20 Gas Accrual - Southfield Park 137 - TA [OCC]"/>
    <n v="-27"/>
    <n v="-2.7E-2"/>
  </r>
  <r>
    <s v="S13"/>
    <x v="13"/>
    <s v="AJ"/>
    <n v="10347977"/>
    <d v="2020-04-03T00:00:00"/>
    <n v="202101"/>
    <s v="1"/>
    <s v="EXP"/>
    <s v="B1830"/>
    <s v="EK21"/>
    <s v="19/20 Water Accrual - Southfield Park 137 - TA [OCC]"/>
    <n v="-35"/>
    <n v="-3.5000000000000003E-2"/>
  </r>
  <r>
    <s v="S13"/>
    <x v="13"/>
    <s v="AJ"/>
    <n v="10347977"/>
    <d v="2020-04-03T00:00:00"/>
    <n v="202101"/>
    <s v="1"/>
    <s v="EXP"/>
    <s v="B1501"/>
    <s v="EK21"/>
    <s v="19/20 Electricity Accrual - Evenlode Tower Flat 07 - TA [OCC]"/>
    <n v="-180"/>
    <n v="-0.18"/>
  </r>
  <r>
    <s v="S13"/>
    <x v="13"/>
    <s v="AJ"/>
    <n v="10348513"/>
    <d v="2020-04-28T00:00:00"/>
    <n v="202101"/>
    <s v="1"/>
    <s v="INC"/>
    <s v="K9140"/>
    <s v="EK27"/>
    <s v="MHCLG - 19/20 RRP 50% o/s awarded for Floyds Row"/>
    <n v="241850"/>
    <n v="241.85"/>
  </r>
  <r>
    <s v="S13"/>
    <x v="12"/>
    <s v="AJ"/>
    <n v="10347956"/>
    <d v="2020-04-02T00:00:00"/>
    <n v="202101"/>
    <s v="1"/>
    <s v="EXP"/>
    <s v="B7008"/>
    <s v="BN44"/>
    <s v="JUBILEE 77 COMMUNITY CENTRE"/>
    <n v="-46.46"/>
    <n v="-4.6460000000000001E-2"/>
  </r>
  <r>
    <s v="S13"/>
    <x v="12"/>
    <s v="AJ"/>
    <n v="10347956"/>
    <d v="2020-04-02T00:00:00"/>
    <n v="202101"/>
    <s v="1"/>
    <s v="EXP"/>
    <s v="B7008"/>
    <s v="BN44"/>
    <s v="TOWN HALL"/>
    <n v="-93.36"/>
    <n v="-9.3359999999999999E-2"/>
  </r>
  <r>
    <s v="S13"/>
    <x v="13"/>
    <s v="AJ"/>
    <n v="10347977"/>
    <d v="2020-04-03T00:00:00"/>
    <n v="202101"/>
    <s v="1"/>
    <s v="EXP"/>
    <s v="B1502"/>
    <s v="EK21"/>
    <s v="19/20 Gas Accrual - Rowan Grove 10 - TA [OCC]"/>
    <n v="-103"/>
    <n v="-0.10299999999999999"/>
  </r>
  <r>
    <s v="S13"/>
    <x v="12"/>
    <s v="AJ"/>
    <n v="10347956"/>
    <d v="2020-04-02T00:00:00"/>
    <n v="202101"/>
    <s v="1"/>
    <s v="EXP"/>
    <s v="B7008"/>
    <s v="BN44"/>
    <s v="BARTON NEIGHBOURHOOD CENTRE"/>
    <n v="-69.7"/>
    <n v="-6.9699999999999998E-2"/>
  </r>
  <r>
    <s v="S13"/>
    <x v="13"/>
    <s v="AJ"/>
    <n v="10347977"/>
    <d v="2020-04-03T00:00:00"/>
    <n v="202101"/>
    <s v="1"/>
    <s v="EXP"/>
    <s v="B1501"/>
    <s v="EK21"/>
    <s v="19/20 Electricity Accrual - Evenlode Tower Flat 38 - TA [OCC]"/>
    <n v="-142"/>
    <n v="-0.14199999999999999"/>
  </r>
  <r>
    <s v="S13"/>
    <x v="13"/>
    <s v="AJ"/>
    <n v="10347977"/>
    <d v="2020-04-03T00:00:00"/>
    <n v="202101"/>
    <s v="1"/>
    <s v="EXP"/>
    <s v="B1502"/>
    <s v="EK21"/>
    <s v="19/20 Gas Accrual - Warburg Crescent 56 - TA [OCC]"/>
    <n v="-257"/>
    <n v="-0.25700000000000001"/>
  </r>
  <r>
    <s v="S13"/>
    <x v="13"/>
    <s v="AJ"/>
    <n v="10347977"/>
    <d v="2020-04-03T00:00:00"/>
    <n v="202101"/>
    <s v="1"/>
    <s v="EXP"/>
    <s v="B1501"/>
    <s v="EK21"/>
    <s v="19/20 Electricity Accrual - Fettiplace Road 24 - TA [OCC]"/>
    <n v="-31"/>
    <n v="-3.1E-2"/>
  </r>
  <r>
    <s v="S13"/>
    <x v="12"/>
    <s v="AJ"/>
    <n v="10347956"/>
    <d v="2020-04-02T00:00:00"/>
    <n v="202101"/>
    <s v="1"/>
    <s v="EXP"/>
    <s v="B7016"/>
    <s v="BN44"/>
    <s v="COVERED MARKET"/>
    <n v="-49.29"/>
    <n v="-4.929E-2"/>
  </r>
  <r>
    <s v="S13"/>
    <x v="13"/>
    <s v="AJ"/>
    <n v="10347977"/>
    <d v="2020-04-03T00:00:00"/>
    <n v="202101"/>
    <s v="1"/>
    <s v="EXP"/>
    <s v="B1501"/>
    <s v="EK03"/>
    <s v="19/20 Electricity Accrual - Kelburne Road 34 - TA [PRS]"/>
    <n v="-138"/>
    <n v="-0.13800000000000001"/>
  </r>
  <r>
    <s v="S13"/>
    <x v="13"/>
    <s v="AJ"/>
    <n v="10347977"/>
    <d v="2020-04-03T00:00:00"/>
    <n v="202101"/>
    <s v="1"/>
    <s v="EXP"/>
    <s v="B1502"/>
    <s v="EK21"/>
    <s v="19/20 Gas Accrual - Manston Close 35 - TA [OCC]"/>
    <n v="-83"/>
    <n v="-8.3000000000000004E-2"/>
  </r>
  <r>
    <s v="S13"/>
    <x v="12"/>
    <s v="AJ"/>
    <n v="10347956"/>
    <d v="2020-04-02T00:00:00"/>
    <n v="202101"/>
    <s v="1"/>
    <s v="EXP"/>
    <s v="B7016"/>
    <s v="BN44"/>
    <s v="COVERED MARKET"/>
    <n v="-824.72"/>
    <n v="-0.82472000000000001"/>
  </r>
  <r>
    <s v="S13"/>
    <x v="13"/>
    <s v="AJ"/>
    <n v="10347977"/>
    <d v="2020-04-03T00:00:00"/>
    <n v="202101"/>
    <s v="1"/>
    <s v="EXP"/>
    <s v="B1502"/>
    <s v="EK21"/>
    <s v="19/20 Gas Accrual - Bracegirdle Road 22 - TA [OCC]"/>
    <n v="-48"/>
    <n v="-4.8000000000000001E-2"/>
  </r>
  <r>
    <s v="S13"/>
    <x v="12"/>
    <s v="AJ"/>
    <n v="10347956"/>
    <d v="2020-04-02T00:00:00"/>
    <n v="202101"/>
    <s v="1"/>
    <s v="EXP"/>
    <s v="B7016"/>
    <s v="BN44"/>
    <s v="COVERED MARKET"/>
    <n v="-678.5"/>
    <n v="-0.67849999999999999"/>
  </r>
  <r>
    <s v="S13"/>
    <x v="13"/>
    <s v="AJ"/>
    <n v="10347977"/>
    <d v="2020-04-03T00:00:00"/>
    <n v="202101"/>
    <s v="1"/>
    <s v="EXP"/>
    <s v="B1501"/>
    <s v="EK21"/>
    <s v="19/20 Electricity Accrual - Priory Road 023 - TA [OCC]"/>
    <n v="-120"/>
    <n v="-0.12"/>
  </r>
  <r>
    <s v="S13"/>
    <x v="13"/>
    <s v="AJ"/>
    <n v="10347977"/>
    <d v="2020-04-03T00:00:00"/>
    <n v="202101"/>
    <s v="1"/>
    <s v="EXP"/>
    <s v="B1501"/>
    <s v="EK21"/>
    <s v="19/20 Electricity Accrual - Bracegirdle Road 22 - TA [OCC]"/>
    <n v="-146"/>
    <n v="-0.14599999999999999"/>
  </r>
  <r>
    <s v="S13"/>
    <x v="12"/>
    <s v="AJ"/>
    <n v="10347956"/>
    <d v="2020-04-02T00:00:00"/>
    <n v="202101"/>
    <s v="1"/>
    <s v="EXP"/>
    <s v="B7008"/>
    <s v="BN44"/>
    <s v="ST ALDATE´S CHAMBERS"/>
    <n v="-46.46"/>
    <n v="-4.6460000000000001E-2"/>
  </r>
  <r>
    <s v="S13"/>
    <x v="13"/>
    <s v="AJ"/>
    <n v="10347977"/>
    <d v="2020-04-03T00:00:00"/>
    <n v="202101"/>
    <s v="1"/>
    <s v="EXP"/>
    <s v="B1830"/>
    <s v="EK21"/>
    <s v="19/20 Water Accrual - Manston Close 35 - TA [OCC]"/>
    <n v="-51"/>
    <n v="-5.0999999999999997E-2"/>
  </r>
  <r>
    <s v="S13"/>
    <x v="13"/>
    <s v="AJ"/>
    <n v="10347977"/>
    <d v="2020-04-03T00:00:00"/>
    <n v="202101"/>
    <s v="1"/>
    <s v="EXP"/>
    <s v="B1501"/>
    <s v="EK21"/>
    <s v="19/20 Electricity Accrual - Manston Close 35 - TA [OCC]"/>
    <n v="-21"/>
    <n v="-2.1000000000000001E-2"/>
  </r>
  <r>
    <s v="S13"/>
    <x v="13"/>
    <s v="AJ"/>
    <n v="10347977"/>
    <d v="2020-04-03T00:00:00"/>
    <n v="202101"/>
    <s v="1"/>
    <s v="EXP"/>
    <s v="B1501"/>
    <s v="EK21"/>
    <s v="19/20 Electricity Accrual - Greenwood Way 114 - TA [OCC]"/>
    <n v="-150"/>
    <n v="-0.15"/>
  </r>
  <r>
    <s v="S13"/>
    <x v="13"/>
    <s v="AJ"/>
    <n v="10347977"/>
    <d v="2020-04-03T00:00:00"/>
    <n v="202101"/>
    <s v="1"/>
    <s v="EXP"/>
    <s v="B1830"/>
    <s v="EK21"/>
    <s v="19/20 Water Accrual - Greenwood Way 114 - TA [OCC]"/>
    <n v="-51"/>
    <n v="-5.0999999999999997E-2"/>
  </r>
  <r>
    <s v="S13"/>
    <x v="13"/>
    <s v="AJ"/>
    <n v="10347977"/>
    <d v="2020-04-03T00:00:00"/>
    <n v="202101"/>
    <s v="1"/>
    <s v="EXP"/>
    <s v="B1502"/>
    <s v="EK21"/>
    <s v="19/20 Gas Accrual - Pickett Avenue 29B - TA [OCC]"/>
    <n v="-56"/>
    <n v="-5.6000000000000001E-2"/>
  </r>
  <r>
    <s v="S13"/>
    <x v="13"/>
    <s v="AJ"/>
    <n v="10347977"/>
    <d v="2020-04-03T00:00:00"/>
    <n v="202101"/>
    <s v="1"/>
    <s v="EXP"/>
    <s v="B1830"/>
    <s v="EK21"/>
    <s v="19/20 Water Accrual - Greenwood Way 112-130 Landlords - TA [OCC]"/>
    <n v="-17"/>
    <n v="-1.7000000000000001E-2"/>
  </r>
  <r>
    <s v="S13"/>
    <x v="13"/>
    <s v="AJ"/>
    <n v="10347977"/>
    <d v="2020-04-03T00:00:00"/>
    <n v="202101"/>
    <s v="1"/>
    <s v="EXP"/>
    <s v="B1501"/>
    <s v="EK21"/>
    <s v="19/20 Electricity Accrual - Blackbird Leys Road 54 - TA [OCC]"/>
    <n v="-146"/>
    <n v="-0.14599999999999999"/>
  </r>
  <r>
    <s v="S13"/>
    <x v="13"/>
    <s v="AJ"/>
    <n v="10347977"/>
    <d v="2020-04-03T00:00:00"/>
    <n v="202101"/>
    <s v="1"/>
    <s v="EXP"/>
    <s v="B1501"/>
    <s v="EK21"/>
    <s v="19/20 Electricity Accrual - Warburg Crescent 56 - TA [OCC]"/>
    <n v="-228"/>
    <n v="-0.22800000000000001"/>
  </r>
  <r>
    <s v="S13"/>
    <x v="13"/>
    <s v="AJ"/>
    <n v="10347977"/>
    <d v="2020-04-03T00:00:00"/>
    <n v="202101"/>
    <s v="1"/>
    <s v="EXP"/>
    <s v="B1502"/>
    <s v="EK21"/>
    <s v="19/20 Gas Accrual - Blackbird Leys Road 54 - TA [OCC]"/>
    <n v="-130"/>
    <n v="-0.13"/>
  </r>
  <r>
    <s v="S13"/>
    <x v="13"/>
    <s v="AJ"/>
    <n v="10347977"/>
    <d v="2020-04-03T00:00:00"/>
    <n v="202101"/>
    <s v="1"/>
    <s v="EXP"/>
    <s v="B1830"/>
    <s v="EK21"/>
    <s v="19/20 Water Accrual - Blackbird Leys Road 76 - TA [OCC]"/>
    <n v="-109"/>
    <n v="-0.109"/>
  </r>
  <r>
    <s v="S13"/>
    <x v="13"/>
    <s v="AJ"/>
    <n v="10347977"/>
    <d v="2020-04-03T00:00:00"/>
    <n v="202101"/>
    <s v="1"/>
    <s v="EXP"/>
    <s v="B1830"/>
    <s v="EK21"/>
    <s v="19/20 Water Accrual - Greenwood Way 120 - TA [OCC]"/>
    <n v="-30"/>
    <n v="-0.03"/>
  </r>
  <r>
    <s v="S13"/>
    <x v="13"/>
    <s v="AJ"/>
    <n v="10347977"/>
    <d v="2020-04-03T00:00:00"/>
    <n v="202101"/>
    <s v="1"/>
    <s v="EXP"/>
    <s v="B1501"/>
    <s v="EK21"/>
    <s v="19/20 Electricity Accrual - Greenwood Way 128 - TA [OCC]"/>
    <n v="-81"/>
    <n v="-8.1000000000000003E-2"/>
  </r>
  <r>
    <s v="S13"/>
    <x v="13"/>
    <s v="AJ"/>
    <n v="10347977"/>
    <d v="2020-04-03T00:00:00"/>
    <n v="202101"/>
    <s v="1"/>
    <s v="EXP"/>
    <s v="B1501"/>
    <s v="EK03"/>
    <s v="19/20 Electricity Accrual - Kelburne Road 34 - TA [PRS]"/>
    <n v="-355"/>
    <n v="-0.35499999999999998"/>
  </r>
  <r>
    <s v="S13"/>
    <x v="13"/>
    <s v="AJ"/>
    <n v="10347977"/>
    <d v="2020-04-03T00:00:00"/>
    <n v="202101"/>
    <s v="1"/>
    <s v="EXP"/>
    <s v="B1830"/>
    <s v="EK21"/>
    <s v="19/20 Water Accrual - Greenwood Way 128 - TA [OCC]"/>
    <n v="-26"/>
    <n v="-2.5999999999999999E-2"/>
  </r>
  <r>
    <s v="S13"/>
    <x v="12"/>
    <s v="AJ"/>
    <n v="10348034"/>
    <d v="2020-04-07T00:00:00"/>
    <n v="202101"/>
    <s v="1"/>
    <s v="EXP"/>
    <s v="A0108"/>
    <s v="BN43"/>
    <s v="P12 Kozlova V (Reed)"/>
    <n v="-1406"/>
    <n v="-1.4059999999999999"/>
  </r>
  <r>
    <s v="S13"/>
    <x v="13"/>
    <s v="AJ"/>
    <n v="10347977"/>
    <d v="2020-04-03T00:00:00"/>
    <n v="202101"/>
    <s v="1"/>
    <s v="EXP"/>
    <s v="B1830"/>
    <s v="EK21"/>
    <s v="19/20 Water Accrual - Lancaster Close 20 - TA [OCC]"/>
    <n v="-86"/>
    <n v="-8.5999999999999993E-2"/>
  </r>
  <r>
    <s v="S13"/>
    <x v="13"/>
    <s v="AJ"/>
    <n v="10347977"/>
    <d v="2020-04-03T00:00:00"/>
    <n v="202101"/>
    <s v="1"/>
    <s v="EXP"/>
    <s v="B1830"/>
    <s v="EK21"/>
    <s v="19/20 Water Accrual - Greenwood Way 122 - TA [OCC]"/>
    <n v="-30"/>
    <n v="-0.03"/>
  </r>
  <r>
    <s v="S13"/>
    <x v="12"/>
    <s v="AJ"/>
    <n v="10347956"/>
    <d v="2020-04-02T00:00:00"/>
    <n v="202101"/>
    <s v="1"/>
    <s v="EXP"/>
    <s v="B7008"/>
    <s v="BN44"/>
    <s v="WESTHILL FARMHOUSE"/>
    <n v="-139.38999999999999"/>
    <n v="-0.13938999999999999"/>
  </r>
  <r>
    <s v="S13"/>
    <x v="12"/>
    <s v="AJ"/>
    <n v="10348034"/>
    <d v="2020-04-07T00:00:00"/>
    <n v="202101"/>
    <s v="1"/>
    <s v="EXP"/>
    <s v="A0108"/>
    <s v="BN43"/>
    <s v="P12 Hodges S (Reed)"/>
    <n v="-10833.09"/>
    <n v="-10.83309"/>
  </r>
  <r>
    <s v="S13"/>
    <x v="13"/>
    <s v="AJ"/>
    <n v="10347977"/>
    <d v="2020-04-03T00:00:00"/>
    <n v="202101"/>
    <s v="1"/>
    <s v="EXP"/>
    <s v="B1501"/>
    <s v="EK21"/>
    <s v="19/20 Electricity Accrual - Kersington Crescent 47 - TA [OCC]"/>
    <n v="-233"/>
    <n v="-0.23300000000000001"/>
  </r>
  <r>
    <s v="S13"/>
    <x v="12"/>
    <s v="AJ"/>
    <n v="10347956"/>
    <d v="2020-04-02T00:00:00"/>
    <n v="202101"/>
    <s v="1"/>
    <s v="EXP"/>
    <s v="B7008"/>
    <s v="BN44"/>
    <s v="ST ALDATES CHAMBERS"/>
    <n v="-46.46"/>
    <n v="-4.6460000000000001E-2"/>
  </r>
  <r>
    <s v="S13"/>
    <x v="12"/>
    <s v="AJ"/>
    <n v="10347956"/>
    <d v="2020-04-02T00:00:00"/>
    <n v="202101"/>
    <s v="1"/>
    <s v="EXP"/>
    <s v="B7008"/>
    <s v="BN44"/>
    <s v="ROSE HILL COMMUNITY CENTRE"/>
    <n v="-69.7"/>
    <n v="-6.9699999999999998E-2"/>
  </r>
  <r>
    <s v="S13"/>
    <x v="12"/>
    <s v="AJ"/>
    <n v="10347956"/>
    <d v="2020-04-02T00:00:00"/>
    <n v="202101"/>
    <s v="1"/>
    <s v="EXP"/>
    <s v="B7008"/>
    <s v="BN44"/>
    <s v="WEST OXFORD COMMUNITY CENTRE"/>
    <n v="-38.909999999999997"/>
    <n v="-3.8909999999999993E-2"/>
  </r>
  <r>
    <s v="S13"/>
    <x v="13"/>
    <s v="AJ"/>
    <n v="10347977"/>
    <d v="2020-04-03T00:00:00"/>
    <n v="202101"/>
    <s v="1"/>
    <s v="EXP"/>
    <s v="B1501"/>
    <s v="EK21"/>
    <s v="19/20 Electricity Accrual - Greenwood Way 124 - TA [OCC]"/>
    <n v="-205"/>
    <n v="-0.20499999999999999"/>
  </r>
  <r>
    <s v="S13"/>
    <x v="13"/>
    <s v="AJ"/>
    <n v="10347977"/>
    <d v="2020-04-03T00:00:00"/>
    <n v="202101"/>
    <s v="1"/>
    <s v="EXP"/>
    <s v="B1501"/>
    <s v="EK21"/>
    <s v="19/20 Electricity Accrual - Greenwood Way 122 - TA [OCC]"/>
    <n v="-154"/>
    <n v="-0.154"/>
  </r>
  <r>
    <s v="S13"/>
    <x v="12"/>
    <s v="AJ"/>
    <n v="10347956"/>
    <d v="2020-04-02T00:00:00"/>
    <n v="202101"/>
    <s v="1"/>
    <s v="EXP"/>
    <s v="B7008"/>
    <s v="BN44"/>
    <s v="CUTTESLOWE COMMUNITY CENTRE"/>
    <n v="-90.79"/>
    <n v="-9.079000000000001E-2"/>
  </r>
  <r>
    <s v="S13"/>
    <x v="12"/>
    <s v="AJ"/>
    <n v="10348402"/>
    <d v="2020-04-22T00:00:00"/>
    <n v="202101"/>
    <s v="1"/>
    <s v="EXP"/>
    <s v="B2000"/>
    <s v="BN44"/>
    <s v="ODS Reversal of Inv#530849469 16 Ship St (TN 1065900)"/>
    <n v="-22736.98"/>
    <n v="-22.736979999999999"/>
  </r>
  <r>
    <s v="S13"/>
    <x v="12"/>
    <s v="AJ"/>
    <n v="10348402"/>
    <d v="2020-04-22T00:00:00"/>
    <n v="202101"/>
    <s v="1"/>
    <s v="EXP"/>
    <s v="B2000"/>
    <s v="BN44"/>
    <s v="ODS Reversal of TN#3090943 - 14&amp;15 Ship St (Job#10296013)"/>
    <n v="-83933.03"/>
    <n v="-83.933030000000002"/>
  </r>
  <r>
    <s v="S13"/>
    <x v="12"/>
    <s v="AJ"/>
    <n v="10348402"/>
    <d v="2020-04-22T00:00:00"/>
    <n v="202101"/>
    <s v="1"/>
    <s v="EXP"/>
    <s v="B2000"/>
    <s v="BN44"/>
    <s v="ODS Reversal of Inv#530849469 16 Ship St (TN 1065900)"/>
    <n v="22736.98"/>
    <n v="22.736979999999999"/>
  </r>
  <r>
    <s v="S13"/>
    <x v="12"/>
    <s v="AJ"/>
    <n v="10348402"/>
    <d v="2020-04-22T00:00:00"/>
    <n v="202101"/>
    <s v="1"/>
    <s v="EXP"/>
    <s v="B2000"/>
    <s v="BN44"/>
    <s v="ODS Reversal of TN#3090943 - 14&amp;15 Ship St (Job#10296013)"/>
    <n v="83933.03"/>
    <n v="83.933030000000002"/>
  </r>
  <r>
    <s v="S13"/>
    <x v="12"/>
    <s v="AJ"/>
    <n v="10348237"/>
    <d v="2020-04-15T00:00:00"/>
    <n v="202101"/>
    <s v="1"/>
    <s v="EXP"/>
    <s v="B2000"/>
    <s v="BN44"/>
    <s v="ODS Reversal of Inv#530849469 16 Ship St (TN 1065900)"/>
    <n v="22736.98"/>
    <n v="22.736979999999999"/>
  </r>
  <r>
    <s v="S13"/>
    <x v="12"/>
    <s v="AJ"/>
    <n v="10348237"/>
    <d v="2020-04-15T00:00:00"/>
    <n v="202101"/>
    <s v="1"/>
    <s v="EXP"/>
    <s v="B7008"/>
    <s v="BN44"/>
    <s v="ODS - Credit due for overcharged Gl Green Car Park WIP 09287438"/>
    <n v="12977.1"/>
    <n v="12.9771"/>
  </r>
  <r>
    <s v="S13"/>
    <x v="12"/>
    <s v="AJ"/>
    <n v="10348237"/>
    <d v="2020-04-15T00:00:00"/>
    <n v="202101"/>
    <s v="1"/>
    <s v="EXP"/>
    <s v="B2000"/>
    <s v="BN44"/>
    <s v="ODS Reversal of TN#3090943 - 14&amp;15 Ship St (Job#10296013)"/>
    <n v="83933.03"/>
    <n v="83.933030000000002"/>
  </r>
  <r>
    <s v="S15"/>
    <x v="14"/>
    <s v="AJ"/>
    <n v="10348420"/>
    <d v="2020-04-24T00:00:00"/>
    <n v="202101"/>
    <s v="1"/>
    <s v="EXP"/>
    <s v="B1605"/>
    <s v="ED04"/>
    <s v="Unpaid waste invoice 56015707"/>
    <n v="-21.93"/>
    <n v="-2.1929999999999998E-2"/>
  </r>
  <r>
    <s v="S15"/>
    <x v="15"/>
    <s v="AJ"/>
    <n v="10348243"/>
    <d v="2020-04-16T00:00:00"/>
    <n v="202101"/>
    <s v="1"/>
    <s v="INC"/>
    <s v="K9401"/>
    <s v="BN64"/>
    <s v="Income relating to 2020-21 RIA"/>
    <n v="-61683.79"/>
    <n v="-61.683790000000002"/>
  </r>
  <r>
    <s v="S15"/>
    <x v="14"/>
    <s v="AJ"/>
    <n v="10348175"/>
    <d v="2020-04-10T00:00:00"/>
    <n v="202101"/>
    <s v="1"/>
    <s v="EXP"/>
    <s v="D3418"/>
    <s v="ED19"/>
    <s v="City Ambassadors Feb 20 5040076"/>
    <n v="-4307"/>
    <n v="-4.3070000000000004"/>
  </r>
  <r>
    <s v="S15"/>
    <x v="14"/>
    <s v="AJ"/>
    <n v="10348420"/>
    <d v="2020-04-24T00:00:00"/>
    <n v="202101"/>
    <s v="1"/>
    <s v="EXP"/>
    <s v="B1605"/>
    <s v="ED04"/>
    <s v="Unpaid waste invoice 56015384"/>
    <n v="-20.85"/>
    <n v="-2.085E-2"/>
  </r>
  <r>
    <s v="S15"/>
    <x v="15"/>
    <s v="AJ"/>
    <n v="10348200"/>
    <d v="2020-04-14T00:00:00"/>
    <n v="202101"/>
    <s v="1"/>
    <s v="EXP"/>
    <s v="D3411"/>
    <s v="ED38"/>
    <s v="Geldards - 1st invoice"/>
    <n v="-7997"/>
    <n v="-7.9969999999999999"/>
  </r>
  <r>
    <s v="S15"/>
    <x v="15"/>
    <s v="AJ"/>
    <n v="10348200"/>
    <d v="2020-04-14T00:00:00"/>
    <n v="202101"/>
    <s v="1"/>
    <s v="EXP"/>
    <s v="D3411"/>
    <s v="ED38"/>
    <s v="Geldards - 2nd invoice  (as per Anita Bradley)"/>
    <n v="-9403"/>
    <n v="-9.4030000000000005"/>
  </r>
  <r>
    <s v="S15"/>
    <x v="15"/>
    <s v="AJ"/>
    <n v="10348200"/>
    <d v="2020-04-14T00:00:00"/>
    <n v="202101"/>
    <s v="1"/>
    <s v="EXP"/>
    <s v="D3513"/>
    <s v="ED22"/>
    <s v="Subs Verso Online License App(23445) 1/4/20 - 31/3/21 (1061335)"/>
    <n v="13000"/>
    <n v="13"/>
  </r>
  <r>
    <s v="S15"/>
    <x v="14"/>
    <s v="AJ"/>
    <n v="10348431"/>
    <d v="2020-04-24T00:00:00"/>
    <n v="202101"/>
    <s v="1"/>
    <s v="EXP"/>
    <s v="D3401"/>
    <s v="ED04"/>
    <s v="Reverse 10347980 PO 8038711 not required"/>
    <n v="60"/>
    <n v="0.06"/>
  </r>
  <r>
    <s v="S15"/>
    <x v="14"/>
    <s v="AJ"/>
    <n v="10348152"/>
    <d v="2020-04-09T00:00:00"/>
    <n v="202101"/>
    <s v="1"/>
    <s v="INC"/>
    <s v="K9198"/>
    <s v="ED15"/>
    <s v="VAWG 18/19 RIA"/>
    <n v="-1742"/>
    <n v="-1.742"/>
  </r>
  <r>
    <s v="S15"/>
    <x v="14"/>
    <s v="AJ"/>
    <n v="10348152"/>
    <d v="2020-04-09T00:00:00"/>
    <n v="202101"/>
    <s v="1"/>
    <s v="INC"/>
    <s v="K9198"/>
    <s v="KV05"/>
    <s v="VAWG BAMER 18/19 RIA"/>
    <n v="-22000"/>
    <n v="-22"/>
  </r>
  <r>
    <s v="S15"/>
    <x v="15"/>
    <s v="AJ"/>
    <n v="10347981"/>
    <d v="2020-04-03T00:00:00"/>
    <n v="202101"/>
    <s v="1"/>
    <s v="EXP"/>
    <s v="D3401"/>
    <s v="ED05"/>
    <s v="P12 P2P accruals 2019/20, 8026593, ASELFORD PLUMBING &amp; HEATING"/>
    <n v="-1000"/>
    <n v="-1"/>
  </r>
  <r>
    <s v="S15"/>
    <x v="15"/>
    <s v="AJ"/>
    <n v="10347981"/>
    <d v="2020-04-03T00:00:00"/>
    <n v="202101"/>
    <s v="1"/>
    <s v="EXP"/>
    <s v="D3401"/>
    <s v="ED33"/>
    <s v="P12 P2P accruals 2019/20, 8027771, ASELFORD PLUMBING &amp; HEATING"/>
    <n v="-22"/>
    <n v="-2.1999999999999999E-2"/>
  </r>
  <r>
    <s v="S15"/>
    <x v="15"/>
    <s v="AJ"/>
    <n v="10347981"/>
    <d v="2020-04-03T00:00:00"/>
    <n v="202101"/>
    <s v="1"/>
    <s v="EXP"/>
    <s v="D3401"/>
    <s v="ED33"/>
    <s v="P12 P2P accruals 2019/20, 8030264, ASELFORD PLUMBING &amp; HEATING"/>
    <n v="-14"/>
    <n v="-1.4E-2"/>
  </r>
  <r>
    <s v="S15"/>
    <x v="15"/>
    <s v="AJ"/>
    <n v="10347981"/>
    <d v="2020-04-03T00:00:00"/>
    <n v="202101"/>
    <s v="1"/>
    <s v="EXP"/>
    <s v="D3401"/>
    <s v="ED05"/>
    <s v="P12 P2P accruals 2019/20, 8038293, CRITIQOM LTD"/>
    <n v="-630"/>
    <n v="-0.63"/>
  </r>
  <r>
    <s v="S15"/>
    <x v="14"/>
    <s v="AJ"/>
    <n v="10347981"/>
    <d v="2020-04-03T00:00:00"/>
    <n v="202101"/>
    <s v="1"/>
    <s v="EXP"/>
    <s v="D3429"/>
    <s v="ED15"/>
    <s v="P12 P2P accruals 2019/20, 8037677, CANTIUM BUSINESS SOLUTIONS LTD"/>
    <n v="-47"/>
    <n v="-4.7E-2"/>
  </r>
  <r>
    <s v="S15"/>
    <x v="15"/>
    <s v="AJ"/>
    <n v="10347979"/>
    <d v="2020-04-03T00:00:00"/>
    <n v="202101"/>
    <s v="1"/>
    <s v="INC"/>
    <s v="K9571"/>
    <s v="ED22"/>
    <s v="19/20 Cash in 20/21"/>
    <n v="180"/>
    <n v="0.18"/>
  </r>
  <r>
    <s v="S15"/>
    <x v="15"/>
    <s v="AJ"/>
    <n v="10347979"/>
    <d v="2020-04-03T00:00:00"/>
    <n v="202101"/>
    <s v="1"/>
    <s v="INC"/>
    <s v="K9401"/>
    <s v="BN64"/>
    <s v="19/20 Cash in 20/21"/>
    <n v="166.67"/>
    <n v="0.16666999999999998"/>
  </r>
  <r>
    <s v="S15"/>
    <x v="14"/>
    <s v="AJ"/>
    <n v="10347981"/>
    <d v="2020-04-03T00:00:00"/>
    <n v="202101"/>
    <s v="1"/>
    <s v="EXP"/>
    <s v="D3429"/>
    <s v="ED15"/>
    <s v="P12 P2P accruals 2019/20, 8039358, CANTIUM BUSINESS SOLUTIONS LTD"/>
    <n v="-47"/>
    <n v="-4.7E-2"/>
  </r>
  <r>
    <s v="S15"/>
    <x v="15"/>
    <s v="AJ"/>
    <n v="10347981"/>
    <d v="2020-04-03T00:00:00"/>
    <n v="202101"/>
    <s v="1"/>
    <s v="EXP"/>
    <s v="D3401"/>
    <s v="ED33"/>
    <s v="P12 P2P accruals 2019/20, 8030262, ASELFORD PLUMBING &amp; HEATING"/>
    <n v="-66.92"/>
    <n v="-6.6920000000000007E-2"/>
  </r>
  <r>
    <s v="S15"/>
    <x v="15"/>
    <s v="AJ"/>
    <n v="10347981"/>
    <d v="2020-04-03T00:00:00"/>
    <n v="202101"/>
    <s v="1"/>
    <s v="EXP"/>
    <s v="D3302"/>
    <s v="ED18"/>
    <s v="P12 P2P accruals 2019/20, 8036254, CORNWALL STREET BARRISTERS"/>
    <n v="-90"/>
    <n v="-0.09"/>
  </r>
  <r>
    <s v="S15"/>
    <x v="15"/>
    <s v="AJ"/>
    <n v="10347981"/>
    <d v="2020-04-03T00:00:00"/>
    <n v="202101"/>
    <s v="1"/>
    <s v="EXP"/>
    <s v="D3401"/>
    <s v="BN64"/>
    <s v="P12 P2P accruals 2019/20, 8039107, SOUTH OXFORDSHIRE DISTRICT COUNCIL"/>
    <n v="-463.65"/>
    <n v="-0.46364999999999995"/>
  </r>
  <r>
    <s v="S15"/>
    <x v="15"/>
    <s v="AJ"/>
    <n v="10347981"/>
    <d v="2020-04-03T00:00:00"/>
    <n v="202101"/>
    <s v="1"/>
    <s v="EXP"/>
    <s v="C2501"/>
    <s v="ED16"/>
    <s v="P12 P2P accruals 2019/20, 8037966, OXFORD BUS COMPANY LTD"/>
    <n v="-536.75"/>
    <n v="-0.53674999999999995"/>
  </r>
  <r>
    <s v="S15"/>
    <x v="14"/>
    <s v="AJ"/>
    <n v="10347981"/>
    <d v="2020-04-03T00:00:00"/>
    <n v="202101"/>
    <s v="1"/>
    <s v="EXP"/>
    <s v="D3401"/>
    <s v="ED24"/>
    <s v="P12 P2P accruals 2019/20, 8038330, OXFORD DIRECT SERVICES LTD"/>
    <n v="-810"/>
    <n v="-0.81"/>
  </r>
  <r>
    <s v="S15"/>
    <x v="15"/>
    <s v="AJ"/>
    <n v="10347981"/>
    <d v="2020-04-03T00:00:00"/>
    <n v="202101"/>
    <s v="1"/>
    <s v="EXP"/>
    <s v="D3401"/>
    <s v="ED18"/>
    <s v="P12 P2P accruals 2019/20, 8029211, COMMUNITY ACTION DACORUM/DCVS"/>
    <n v="-250"/>
    <n v="-0.25"/>
  </r>
  <r>
    <s v="S15"/>
    <x v="15"/>
    <s v="AJ"/>
    <n v="10347981"/>
    <d v="2020-04-03T00:00:00"/>
    <n v="202101"/>
    <s v="1"/>
    <s v="EXP"/>
    <s v="D3401"/>
    <s v="ED05"/>
    <s v="P12 P2P accruals 2019/20, 8029970, ABLE LIVING SOLUTIONS"/>
    <n v="-20"/>
    <n v="-0.02"/>
  </r>
  <r>
    <s v="S15"/>
    <x v="15"/>
    <s v="AJ"/>
    <n v="10347981"/>
    <d v="2020-04-03T00:00:00"/>
    <n v="202101"/>
    <s v="1"/>
    <s v="EXP"/>
    <s v="D3401"/>
    <s v="ED33"/>
    <s v="P12 P2P accruals 2019/20, 8023237, ASELFORD PLUMBING &amp; HEATING"/>
    <n v="-185.6"/>
    <n v="-0.18559999999999999"/>
  </r>
  <r>
    <s v="S15"/>
    <x v="15"/>
    <s v="AJ"/>
    <n v="10347981"/>
    <d v="2020-04-03T00:00:00"/>
    <n v="202101"/>
    <s v="1"/>
    <s v="EXP"/>
    <s v="D3703"/>
    <s v="ED07"/>
    <s v="P12 P2P accruals 2019/20, 8026249, EXOVA  (UK) LTD"/>
    <n v="-348.39"/>
    <n v="-0.34838999999999998"/>
  </r>
  <r>
    <s v="S15"/>
    <x v="15"/>
    <s v="AJ"/>
    <n v="10347981"/>
    <d v="2020-04-03T00:00:00"/>
    <n v="202101"/>
    <s v="1"/>
    <s v="EXP"/>
    <s v="D3401"/>
    <s v="ED18"/>
    <s v="P12 P2P accruals 2019/20, 8032693, EPIQ EUROPE LTD"/>
    <n v="-19.600000000000001"/>
    <n v="-1.9600000000000003E-2"/>
  </r>
  <r>
    <s v="S15"/>
    <x v="15"/>
    <s v="AJ"/>
    <n v="10347981"/>
    <d v="2020-04-03T00:00:00"/>
    <n v="202101"/>
    <s v="1"/>
    <s v="EXP"/>
    <s v="D3429"/>
    <s v="ED05"/>
    <s v="P12 P2P accruals 2019/20, 8035657, CANTIUM BUSINESS SOLUTIONS LTD"/>
    <n v="-51"/>
    <n v="-5.0999999999999997E-2"/>
  </r>
  <r>
    <s v="S15"/>
    <x v="15"/>
    <s v="AJ"/>
    <n v="10347981"/>
    <d v="2020-04-03T00:00:00"/>
    <n v="202101"/>
    <s v="1"/>
    <s v="EXP"/>
    <s v="D3001"/>
    <s v="ED16"/>
    <s v="P12 P2P accruals 2019/20, 8029282, KLIPSPRINGER LIMITED"/>
    <n v="-228"/>
    <n v="-0.22800000000000001"/>
  </r>
  <r>
    <s v="S15"/>
    <x v="14"/>
    <s v="AJ"/>
    <n v="10348431"/>
    <d v="2020-04-24T00:00:00"/>
    <n v="202101"/>
    <s v="1"/>
    <s v="EXP"/>
    <s v="D3420"/>
    <s v="ED04"/>
    <s v="Reverse 10347980 PO 8032927 not required"/>
    <n v="189"/>
    <n v="0.189"/>
  </r>
  <r>
    <s v="S15"/>
    <x v="15"/>
    <s v="AJ"/>
    <n v="10347981"/>
    <d v="2020-04-03T00:00:00"/>
    <n v="202101"/>
    <s v="1"/>
    <s v="EXP"/>
    <s v="D3701"/>
    <s v="ED05"/>
    <s v="P12 P2P accruals 2019/20, 8037182, ASELFORD PLUMBING &amp; HEATING"/>
    <n v="-11.54"/>
    <n v="-1.154E-2"/>
  </r>
  <r>
    <s v="S15"/>
    <x v="15"/>
    <s v="AJ"/>
    <n v="10347981"/>
    <d v="2020-04-03T00:00:00"/>
    <n v="202101"/>
    <s v="1"/>
    <s v="EXP"/>
    <s v="D3401"/>
    <s v="ED18"/>
    <s v="P12 P2P accruals 2019/20, 8039133, TREMARK ASSOCIATES LIMITED"/>
    <n v="-100"/>
    <n v="-0.1"/>
  </r>
  <r>
    <s v="S15"/>
    <x v="15"/>
    <s v="AJ"/>
    <n v="10347981"/>
    <d v="2020-04-03T00:00:00"/>
    <n v="202101"/>
    <s v="1"/>
    <s v="EXP"/>
    <s v="D3401"/>
    <s v="ED33"/>
    <s v="P12 P2P accruals 2019/20, 8034430, ASELFORD PLUMBING &amp; HEATING"/>
    <n v="-500"/>
    <n v="-0.5"/>
  </r>
  <r>
    <s v="S15"/>
    <x v="15"/>
    <s v="AJ"/>
    <n v="10347981"/>
    <d v="2020-04-03T00:00:00"/>
    <n v="202101"/>
    <s v="1"/>
    <s v="EXP"/>
    <s v="D3401"/>
    <s v="BN64"/>
    <s v="P12 P2P accruals 2019/20, 8037409, SOUTH OXFORDSHIRE DISTRICT COUNCIL"/>
    <n v="-41.91"/>
    <n v="-4.1909999999999996E-2"/>
  </r>
  <r>
    <s v="S15"/>
    <x v="14"/>
    <s v="AJ"/>
    <n v="10347981"/>
    <d v="2020-04-03T00:00:00"/>
    <n v="202101"/>
    <s v="1"/>
    <s v="EXP"/>
    <s v="D3401"/>
    <s v="ED24"/>
    <s v="P12 P2P accruals 2019/20, 8032626, EPIQ EUROPE LTD"/>
    <n v="-221.6"/>
    <n v="-0.22159999999999999"/>
  </r>
  <r>
    <s v="S15"/>
    <x v="15"/>
    <s v="AJ"/>
    <n v="10347981"/>
    <d v="2020-04-03T00:00:00"/>
    <n v="202101"/>
    <s v="1"/>
    <s v="EXP"/>
    <s v="D3401"/>
    <s v="ED16"/>
    <s v="P12 P2P accruals 2019/20, 8027904, WEST BAR VETERINARY HOSPITAL"/>
    <n v="-29.76"/>
    <n v="-2.9760000000000002E-2"/>
  </r>
  <r>
    <s v="S15"/>
    <x v="15"/>
    <s v="AJ"/>
    <n v="10348200"/>
    <d v="2020-04-14T00:00:00"/>
    <n v="202101"/>
    <s v="1"/>
    <s v="INC"/>
    <s v="K9501"/>
    <s v="ED05"/>
    <s v="Oxford HIA Funding Agreement Jan-Mar 20"/>
    <n v="36250"/>
    <n v="36.25"/>
  </r>
  <r>
    <s v="S15"/>
    <x v="15"/>
    <s v="AJ"/>
    <n v="10348200"/>
    <d v="2020-04-14T00:00:00"/>
    <n v="202101"/>
    <s v="1"/>
    <s v="INC"/>
    <s v="K9908"/>
    <s v="ED33"/>
    <s v="Gas Safe RIA"/>
    <n v="-8489.89"/>
    <n v="-8.489889999999999"/>
  </r>
  <r>
    <s v="S15"/>
    <x v="15"/>
    <s v="AJ"/>
    <n v="10348200"/>
    <d v="2020-04-14T00:00:00"/>
    <n v="202101"/>
    <s v="1"/>
    <s v="INC"/>
    <s v="K9908"/>
    <s v="ED36"/>
    <s v="BEIS Grant RIA"/>
    <n v="-16680.419999999998"/>
    <n v="-16.680419999999998"/>
  </r>
  <r>
    <s v="S15"/>
    <x v="15"/>
    <s v="AJ"/>
    <n v="10348200"/>
    <d v="2020-04-14T00:00:00"/>
    <n v="202101"/>
    <s v="1"/>
    <s v="INC"/>
    <s v="K9140"/>
    <s v="ED38"/>
    <s v="Rouge Landlord Fund  - RIA"/>
    <n v="-40921.21"/>
    <n v="-40.921210000000002"/>
  </r>
  <r>
    <s v="S15"/>
    <x v="15"/>
    <s v="AJ"/>
    <n v="10347981"/>
    <d v="2020-04-03T00:00:00"/>
    <n v="202101"/>
    <s v="1"/>
    <s v="EXP"/>
    <s v="D3401"/>
    <s v="BN64"/>
    <s v="P12 P2P accruals 2019/20, 8035955, MATCHTECH GROUP PLC"/>
    <n v="-310"/>
    <n v="-0.31"/>
  </r>
  <r>
    <s v="S15"/>
    <x v="14"/>
    <s v="AJ"/>
    <n v="10348539"/>
    <d v="2020-04-30T00:00:00"/>
    <n v="202101"/>
    <s v="1"/>
    <s v="EXP"/>
    <s v="D3401"/>
    <s v="ED24"/>
    <s v="reverse 10347980 PO 8038330 not required"/>
    <n v="810"/>
    <n v="0.81"/>
  </r>
  <r>
    <s v="S15"/>
    <x v="15"/>
    <s v="AJ"/>
    <n v="10347981"/>
    <d v="2020-04-03T00:00:00"/>
    <n v="202101"/>
    <s v="1"/>
    <s v="EXP"/>
    <s v="D3703"/>
    <s v="ED18"/>
    <s v="P12 P2P accruals 2019/20, 8031988, TAMESIDE MBC"/>
    <n v="-21.56"/>
    <n v="-2.1559999999999999E-2"/>
  </r>
  <r>
    <s v="S15"/>
    <x v="15"/>
    <s v="AJ"/>
    <n v="10347979"/>
    <d v="2020-04-03T00:00:00"/>
    <n v="202101"/>
    <s v="1"/>
    <s v="EXP"/>
    <s v="D3415"/>
    <s v="ED07"/>
    <s v="19/20 Cash in 20/21"/>
    <n v="-24"/>
    <n v="-2.4E-2"/>
  </r>
  <r>
    <s v="S15"/>
    <x v="14"/>
    <s v="AJ"/>
    <n v="10347973"/>
    <d v="2020-04-03T00:00:00"/>
    <n v="202101"/>
    <s v="1"/>
    <s v="EXP"/>
    <s v="C2201"/>
    <s v="ED04"/>
    <s v=""/>
    <n v="-123.27"/>
    <n v="-0.12326999999999999"/>
  </r>
  <r>
    <s v="S15"/>
    <x v="15"/>
    <s v="AJ"/>
    <n v="10347981"/>
    <d v="2020-04-03T00:00:00"/>
    <n v="202101"/>
    <s v="1"/>
    <s v="EXP"/>
    <s v="D3416"/>
    <s v="ED18"/>
    <s v="P12 P2P accruals 2019/20, 8028560, HM COURTS AND TRIBUNALS"/>
    <n v="-20"/>
    <n v="-0.02"/>
  </r>
  <r>
    <s v="S15"/>
    <x v="14"/>
    <s v="AJ"/>
    <n v="10348018"/>
    <d v="2020-04-06T00:00:00"/>
    <n v="202101"/>
    <s v="1"/>
    <s v="EXP"/>
    <s v="D3420"/>
    <s v="ED04"/>
    <s v="March waste collections"/>
    <n v="-21.93"/>
    <n v="-2.1929999999999998E-2"/>
  </r>
  <r>
    <s v="S15"/>
    <x v="15"/>
    <s v="AJ"/>
    <n v="10347981"/>
    <d v="2020-04-03T00:00:00"/>
    <n v="202101"/>
    <s v="1"/>
    <s v="EXP"/>
    <s v="D3001"/>
    <s v="ED16"/>
    <s v="P12 P2P accruals 2019/20, 8029282, KLIPSPRINGER LIMITED"/>
    <n v="-25.2"/>
    <n v="-2.52E-2"/>
  </r>
  <r>
    <s v="S15"/>
    <x v="15"/>
    <s v="AJ"/>
    <n v="10347981"/>
    <d v="2020-04-03T00:00:00"/>
    <n v="202101"/>
    <s v="1"/>
    <s v="EXP"/>
    <s v="D3401"/>
    <s v="ED16"/>
    <s v="P12 P2P accruals 2019/20, 8033495, INSTITUTE OF LICENSING (EVENTS) LTD"/>
    <n v="-32"/>
    <n v="-3.2000000000000001E-2"/>
  </r>
  <r>
    <s v="S15"/>
    <x v="15"/>
    <s v="AJ"/>
    <n v="10347981"/>
    <d v="2020-04-03T00:00:00"/>
    <n v="202101"/>
    <s v="1"/>
    <s v="EXP"/>
    <s v="D3401"/>
    <s v="ED33"/>
    <s v="P12 P2P accruals 2019/20, 8030263, ASELFORD PLUMBING &amp; HEATING"/>
    <n v="-98"/>
    <n v="-9.8000000000000004E-2"/>
  </r>
  <r>
    <s v="S15"/>
    <x v="14"/>
    <s v="AJ"/>
    <n v="10347981"/>
    <d v="2020-04-03T00:00:00"/>
    <n v="202101"/>
    <s v="1"/>
    <s v="EXP"/>
    <s v="C2501"/>
    <s v="ED04"/>
    <s v="P12 P2P accruals 2019/20, 8031845, OXFORD BUS COMPANY LTD"/>
    <n v="-108"/>
    <n v="-0.108"/>
  </r>
  <r>
    <s v="S15"/>
    <x v="15"/>
    <s v="AJ"/>
    <n v="10347981"/>
    <d v="2020-04-03T00:00:00"/>
    <n v="202101"/>
    <s v="1"/>
    <s v="EXP"/>
    <s v="D3401"/>
    <s v="ED33"/>
    <s v="P12 P2P accruals 2019/20, 8027514, ASELFORD PLUMBING &amp; HEATING"/>
    <n v="-22"/>
    <n v="-2.1999999999999999E-2"/>
  </r>
  <r>
    <s v="S15"/>
    <x v="15"/>
    <s v="AJ"/>
    <n v="10347981"/>
    <d v="2020-04-03T00:00:00"/>
    <n v="202101"/>
    <s v="1"/>
    <s v="EXP"/>
    <s v="D3411"/>
    <s v="ED18"/>
    <s v="P12 P2P accruals 2019/20, 8039226, TREMARK ASSOCIATES LIMITED"/>
    <n v="-23.36"/>
    <n v="-2.3359999999999999E-2"/>
  </r>
  <r>
    <s v="S15"/>
    <x v="15"/>
    <s v="AJ"/>
    <n v="10347981"/>
    <d v="2020-04-03T00:00:00"/>
    <n v="202101"/>
    <s v="1"/>
    <s v="EXP"/>
    <s v="D3401"/>
    <s v="ED33"/>
    <s v="P12 P2P accruals 2019/20, 8027797, ASELFORD PLUMBING &amp; HEATING"/>
    <n v="-80.53"/>
    <n v="-8.0530000000000004E-2"/>
  </r>
  <r>
    <s v="S15"/>
    <x v="14"/>
    <s v="AJ"/>
    <n v="10347981"/>
    <d v="2020-04-03T00:00:00"/>
    <n v="202101"/>
    <s v="1"/>
    <s v="EXP"/>
    <s v="D3401"/>
    <s v="ED04"/>
    <s v="P12 P2P accruals 2019/20, 8038711, OXFORD DIRECT SERVICES TRADING LTD"/>
    <n v="-60"/>
    <n v="-0.06"/>
  </r>
  <r>
    <s v="S15"/>
    <x v="15"/>
    <s v="AJ"/>
    <n v="10347981"/>
    <d v="2020-04-03T00:00:00"/>
    <n v="202101"/>
    <s v="1"/>
    <s v="EXP"/>
    <s v="D3401"/>
    <s v="ED16"/>
    <s v="P12 P2P accruals 2019/20, 8033746, OSBORNE RICHARDSON LTD"/>
    <n v="-135"/>
    <n v="-0.13500000000000001"/>
  </r>
  <r>
    <s v="S15"/>
    <x v="15"/>
    <s v="AJ"/>
    <n v="10347981"/>
    <d v="2020-04-03T00:00:00"/>
    <n v="202101"/>
    <s v="1"/>
    <s v="EXP"/>
    <s v="D3401"/>
    <s v="ED06"/>
    <s v="P12 P2P accruals 2019/20, 8038975, SANDRA HOMEWOOD FUNERALS LTD"/>
    <n v="-1639.5"/>
    <n v="-1.6395"/>
  </r>
  <r>
    <s v="S15"/>
    <x v="15"/>
    <s v="AJ"/>
    <n v="10347981"/>
    <d v="2020-04-03T00:00:00"/>
    <n v="202101"/>
    <s v="1"/>
    <s v="EXP"/>
    <s v="D3401"/>
    <s v="ED05"/>
    <s v="P12 P2P accruals 2019/20, 8026428, ASELFORD PLUMBING &amp; HEATING"/>
    <n v="-14"/>
    <n v="-1.4E-2"/>
  </r>
  <r>
    <s v="S15"/>
    <x v="15"/>
    <s v="AJ"/>
    <n v="10347981"/>
    <d v="2020-04-03T00:00:00"/>
    <n v="202101"/>
    <s v="1"/>
    <s v="EXP"/>
    <s v="D3201"/>
    <s v="ED17"/>
    <s v="P12 P2P accruals 2019/20, 8036612, ARCO LTD"/>
    <n v="-7.07"/>
    <n v="-7.0699999999999999E-3"/>
  </r>
  <r>
    <s v="S15"/>
    <x v="15"/>
    <s v="AJ"/>
    <n v="10347981"/>
    <d v="2020-04-03T00:00:00"/>
    <n v="202101"/>
    <s v="1"/>
    <s v="EXP"/>
    <s v="D3401"/>
    <s v="ED16"/>
    <s v="P12 P2P accruals 2019/20, 8033746, OSBORNE RICHARDSON LTD"/>
    <n v="-2240"/>
    <n v="-2.2400000000000002"/>
  </r>
  <r>
    <s v="S15"/>
    <x v="15"/>
    <s v="AJ"/>
    <n v="10348126"/>
    <d v="2019-04-10T00:00:00"/>
    <n v="202101"/>
    <s v="1"/>
    <s v="EXP"/>
    <s v="D3021"/>
    <s v="ED05"/>
    <s v="Keysafe  Stock as at 31/03/2020"/>
    <n v="1400"/>
    <n v="1.4"/>
  </r>
  <r>
    <s v="S15"/>
    <x v="15"/>
    <s v="AJ"/>
    <n v="10347981"/>
    <d v="2020-04-03T00:00:00"/>
    <n v="202101"/>
    <s v="1"/>
    <s v="EXP"/>
    <s v="D3416"/>
    <s v="ED18"/>
    <s v="P12 P2P accruals 2019/20, 8028559, HM COURTS AND TRIBUNALS"/>
    <n v="-20"/>
    <n v="-0.02"/>
  </r>
  <r>
    <s v="S15"/>
    <x v="15"/>
    <s v="AJ"/>
    <n v="10347981"/>
    <d v="2020-04-03T00:00:00"/>
    <n v="202101"/>
    <s v="1"/>
    <s v="EXP"/>
    <s v="D3001"/>
    <s v="ED16"/>
    <s v="P12 P2P accruals 2019/20, 8029282, KLIPSPRINGER LIMITED"/>
    <n v="-39"/>
    <n v="-3.9E-2"/>
  </r>
  <r>
    <s v="S15"/>
    <x v="14"/>
    <s v="AJ"/>
    <n v="10347981"/>
    <d v="2020-04-03T00:00:00"/>
    <n v="202101"/>
    <s v="1"/>
    <s v="EXP"/>
    <s v="D3802"/>
    <s v="KN13"/>
    <s v="P12 P2P accruals 2019/20, 8036206, CLEAR CHANNEL UK LTD"/>
    <n v="-500"/>
    <n v="-0.5"/>
  </r>
  <r>
    <s v="S15"/>
    <x v="15"/>
    <s v="AJ"/>
    <n v="10347981"/>
    <d v="2020-04-03T00:00:00"/>
    <n v="202101"/>
    <s v="1"/>
    <s v="EXP"/>
    <s v="D3401"/>
    <s v="ED16"/>
    <s v="P12 P2P accruals 2019/20, 8026758, COMMUNITY ACTION DACORUM/DCVS"/>
    <n v="-12.8"/>
    <n v="-1.2800000000000001E-2"/>
  </r>
  <r>
    <s v="S15"/>
    <x v="15"/>
    <s v="AJ"/>
    <n v="10347981"/>
    <d v="2020-04-03T00:00:00"/>
    <n v="202101"/>
    <s v="1"/>
    <s v="EXP"/>
    <s v="D3703"/>
    <s v="ED18"/>
    <s v="P12 P2P accruals 2019/20, 8031315, TAMESIDE MBC"/>
    <n v="-82.66"/>
    <n v="-8.2659999999999997E-2"/>
  </r>
  <r>
    <s v="S15"/>
    <x v="15"/>
    <s v="AJ"/>
    <n v="10347981"/>
    <d v="2020-04-03T00:00:00"/>
    <n v="202101"/>
    <s v="1"/>
    <s v="EXP"/>
    <s v="D3401"/>
    <s v="ED05"/>
    <s v="P12 P2P accruals 2019/20, 8023237, ASELFORD PLUMBING &amp; HEATING"/>
    <n v="-546"/>
    <n v="-0.54600000000000004"/>
  </r>
  <r>
    <s v="S15"/>
    <x v="15"/>
    <s v="AJ"/>
    <n v="10347981"/>
    <d v="2020-04-03T00:00:00"/>
    <n v="202101"/>
    <s v="1"/>
    <s v="EXP"/>
    <s v="D3001"/>
    <s v="ED16"/>
    <s v="P12 P2P accruals 2019/20, 8036369, POSTURITE LTD"/>
    <n v="-142.26"/>
    <n v="-0.14226"/>
  </r>
  <r>
    <s v="S15"/>
    <x v="15"/>
    <s v="AJ"/>
    <n v="10347981"/>
    <d v="2020-04-03T00:00:00"/>
    <n v="202101"/>
    <s v="1"/>
    <s v="EXP"/>
    <s v="D3416"/>
    <s v="ED18"/>
    <s v="P12 P2P accruals 2019/20, 8028583, HM COURTS AND TRIBUNALS"/>
    <n v="-20"/>
    <n v="-0.02"/>
  </r>
  <r>
    <s v="S15"/>
    <x v="15"/>
    <s v="AJ"/>
    <n v="10347981"/>
    <d v="2020-04-03T00:00:00"/>
    <n v="202101"/>
    <s v="1"/>
    <s v="EXP"/>
    <s v="D3401"/>
    <s v="ED05"/>
    <s v="P12 P2P accruals 2019/20, 8030106, ASELFORD PLUMBING &amp; HEATING"/>
    <n v="-47.2"/>
    <n v="-4.7200000000000006E-2"/>
  </r>
  <r>
    <s v="S15"/>
    <x v="15"/>
    <s v="AJ"/>
    <n v="10347981"/>
    <d v="2020-04-03T00:00:00"/>
    <n v="202101"/>
    <s v="1"/>
    <s v="EXP"/>
    <s v="D3401"/>
    <s v="ED05"/>
    <s v="P12 P2P accruals 2019/20, 8025335, ASELFORD PLUMBING &amp; HEATING"/>
    <n v="-500"/>
    <n v="-0.5"/>
  </r>
  <r>
    <s v="S15"/>
    <x v="14"/>
    <s v="AJ"/>
    <n v="10347981"/>
    <d v="2020-04-03T00:00:00"/>
    <n v="202101"/>
    <s v="1"/>
    <s v="EXP"/>
    <s v="D3413"/>
    <s v="ED24"/>
    <s v="P12 P2P accruals 2019/20, 8030733, OXFORDSHIRE COUNTY COUNCIL"/>
    <n v="-3300"/>
    <n v="-3.3"/>
  </r>
  <r>
    <s v="S15"/>
    <x v="15"/>
    <s v="AJ"/>
    <n v="10347981"/>
    <d v="2020-04-03T00:00:00"/>
    <n v="202101"/>
    <s v="1"/>
    <s v="EXP"/>
    <s v="D3401"/>
    <s v="ED33"/>
    <s v="P12 P2P accruals 2019/20, 8028836, ASELFORD PLUMBING &amp; HEATING"/>
    <n v="-45.9"/>
    <n v="-4.5899999999999996E-2"/>
  </r>
  <r>
    <s v="S15"/>
    <x v="15"/>
    <s v="AJ"/>
    <n v="10347981"/>
    <d v="2020-04-03T00:00:00"/>
    <n v="202101"/>
    <s v="1"/>
    <s v="EXP"/>
    <s v="D3201"/>
    <s v="ED17"/>
    <s v="P12 P2P accruals 2019/20, 8037817, ARCO LTD"/>
    <n v="-61.29"/>
    <n v="-6.1289999999999997E-2"/>
  </r>
  <r>
    <s v="S15"/>
    <x v="15"/>
    <s v="AJ"/>
    <n v="10347981"/>
    <d v="2020-04-03T00:00:00"/>
    <n v="202101"/>
    <s v="1"/>
    <s v="EXP"/>
    <s v="D3401"/>
    <s v="ED33"/>
    <s v="P12 P2P accruals 2019/20, 8028604, ASELFORD PLUMBING &amp; HEATING"/>
    <n v="-28.68"/>
    <n v="-2.8680000000000001E-2"/>
  </r>
  <r>
    <s v="S15"/>
    <x v="15"/>
    <s v="AJ"/>
    <n v="10347981"/>
    <d v="2020-04-03T00:00:00"/>
    <n v="202101"/>
    <s v="1"/>
    <s v="EXP"/>
    <s v="D3401"/>
    <s v="ED05"/>
    <s v="P12 P2P accruals 2019/20, 8030090, SOUTHERN ELECTRIC POWER DISTRIBUTION PLC"/>
    <n v="-35.42"/>
    <n v="-3.542E-2"/>
  </r>
  <r>
    <s v="S15"/>
    <x v="15"/>
    <s v="AJ"/>
    <n v="10347981"/>
    <d v="2020-04-03T00:00:00"/>
    <n v="202101"/>
    <s v="1"/>
    <s v="EXP"/>
    <s v="D3401"/>
    <s v="ED05"/>
    <s v="P12 P2P accruals 2019/20, 8027046, CLOSOMAT LTD"/>
    <n v="-62"/>
    <n v="-6.2E-2"/>
  </r>
  <r>
    <s v="S15"/>
    <x v="15"/>
    <s v="AJ"/>
    <n v="10347981"/>
    <d v="2020-04-03T00:00:00"/>
    <n v="202101"/>
    <s v="1"/>
    <s v="EXP"/>
    <s v="D3001"/>
    <s v="ED16"/>
    <s v="P12 P2P accruals 2019/20, 8029282, KLIPSPRINGER LIMITED"/>
    <n v="-9"/>
    <n v="-8.9999999999999993E-3"/>
  </r>
  <r>
    <s v="S15"/>
    <x v="15"/>
    <s v="AJ"/>
    <n v="10347981"/>
    <d v="2020-04-03T00:00:00"/>
    <n v="202101"/>
    <s v="1"/>
    <s v="EXP"/>
    <s v="D3416"/>
    <s v="ED18"/>
    <s v="P12 P2P accruals 2019/20, 8028045, HM COURTS AND TRIBUNALS"/>
    <n v="-20"/>
    <n v="-0.02"/>
  </r>
  <r>
    <s v="S15"/>
    <x v="15"/>
    <s v="AJ"/>
    <n v="10347981"/>
    <d v="2020-04-03T00:00:00"/>
    <n v="202101"/>
    <s v="1"/>
    <s v="EXP"/>
    <s v="D3401"/>
    <s v="ED16"/>
    <s v="P12 P2P accruals 2019/20, 8035586, WEST BAR VETERINARY HOSPITAL"/>
    <n v="-46.36"/>
    <n v="-4.6359999999999998E-2"/>
  </r>
  <r>
    <s v="S15"/>
    <x v="15"/>
    <s v="AJ"/>
    <n v="10347981"/>
    <d v="2020-04-03T00:00:00"/>
    <n v="202101"/>
    <s v="1"/>
    <s v="EXP"/>
    <s v="D3401"/>
    <s v="ED33"/>
    <s v="P12 P2P accruals 2019/20, 8027772, ATHEY &amp; MASON PLUMBING &amp; HEATING LTD"/>
    <n v="-43.79"/>
    <n v="-4.3790000000000003E-2"/>
  </r>
  <r>
    <s v="S15"/>
    <x v="15"/>
    <s v="AJ"/>
    <n v="10347981"/>
    <d v="2020-04-03T00:00:00"/>
    <n v="202101"/>
    <s v="1"/>
    <s v="EXP"/>
    <s v="D3401"/>
    <s v="ED33"/>
    <s v="P12 P2P accruals 2019/20, 8030549, ASELFORD PLUMBING &amp; HEATING"/>
    <n v="-166.66"/>
    <n v="-0.16666"/>
  </r>
  <r>
    <s v="S15"/>
    <x v="15"/>
    <s v="AJ"/>
    <n v="10347981"/>
    <d v="2020-04-03T00:00:00"/>
    <n v="202101"/>
    <s v="1"/>
    <s v="EXP"/>
    <s v="D3401"/>
    <s v="ED33"/>
    <s v="P12 P2P accruals 2019/20, 8029942, ASELFORD PLUMBING &amp; HEATING"/>
    <n v="-28"/>
    <n v="-2.8000000000000001E-2"/>
  </r>
  <r>
    <s v="S15"/>
    <x v="14"/>
    <s v="AJ"/>
    <n v="10347981"/>
    <d v="2020-04-03T00:00:00"/>
    <n v="202101"/>
    <s v="1"/>
    <s v="EXP"/>
    <s v="D3001"/>
    <s v="ED24"/>
    <s v="P12 P2P accruals 2019/20, 8031465, NEWAUTO LTD"/>
    <n v="-270"/>
    <n v="-0.27"/>
  </r>
  <r>
    <s v="S15"/>
    <x v="15"/>
    <s v="AJ"/>
    <n v="10347981"/>
    <d v="2020-04-03T00:00:00"/>
    <n v="202101"/>
    <s v="1"/>
    <s v="EXP"/>
    <s v="D3401"/>
    <s v="ED05"/>
    <s v="P12 P2P accruals 2019/20, 8028612, FERRET INFORMATION SYSTEMS LTD"/>
    <n v="-38"/>
    <n v="-3.7999999999999999E-2"/>
  </r>
  <r>
    <s v="S15"/>
    <x v="15"/>
    <s v="AJ"/>
    <n v="10347981"/>
    <d v="2020-04-03T00:00:00"/>
    <n v="202101"/>
    <s v="1"/>
    <s v="EXP"/>
    <s v="D3401"/>
    <s v="ED33"/>
    <s v="P12 P2P accruals 2019/20, 8030261, GAS SERVICES"/>
    <n v="-16.399999999999999"/>
    <n v="-1.6399999999999998E-2"/>
  </r>
  <r>
    <s v="S15"/>
    <x v="15"/>
    <s v="AJ"/>
    <n v="10347981"/>
    <d v="2020-04-03T00:00:00"/>
    <n v="202101"/>
    <s v="1"/>
    <s v="EXP"/>
    <s v="D3401"/>
    <s v="ED05"/>
    <s v="P12 P2P accruals 2019/20, 8032245, ASTRAL PS LTD., T/A FOUNDATIONS"/>
    <n v="-2.5"/>
    <n v="-2.5000000000000001E-3"/>
  </r>
  <r>
    <s v="S15"/>
    <x v="15"/>
    <s v="AJ"/>
    <n v="10347981"/>
    <d v="2020-04-03T00:00:00"/>
    <n v="202101"/>
    <s v="1"/>
    <s v="EXP"/>
    <s v="D3401"/>
    <s v="ED05"/>
    <s v="P12 P2P accruals 2019/20, 8026584, FREECHOICE GROUP"/>
    <n v="-16"/>
    <n v="-1.6E-2"/>
  </r>
  <r>
    <s v="S15"/>
    <x v="15"/>
    <s v="AJ"/>
    <n v="10347981"/>
    <d v="2020-04-03T00:00:00"/>
    <n v="202101"/>
    <s v="1"/>
    <s v="EXP"/>
    <s v="D3401"/>
    <s v="ED33"/>
    <s v="P12 P2P accruals 2019/20, 8031536, ASELFORD PLUMBING &amp; HEATING"/>
    <n v="-45.53"/>
    <n v="-4.5530000000000001E-2"/>
  </r>
  <r>
    <s v="S15"/>
    <x v="15"/>
    <s v="AJ"/>
    <n v="10347981"/>
    <d v="2020-04-03T00:00:00"/>
    <n v="202101"/>
    <s v="1"/>
    <s v="EXP"/>
    <s v="D3416"/>
    <s v="ED18"/>
    <s v="P12 P2P accruals 2019/20, 8028584, HM COURTS AND TRIBUNALS"/>
    <n v="-20"/>
    <n v="-0.02"/>
  </r>
  <r>
    <s v="S15"/>
    <x v="14"/>
    <s v="AJ"/>
    <n v="10347981"/>
    <d v="2020-04-03T00:00:00"/>
    <n v="202101"/>
    <s v="1"/>
    <s v="EXP"/>
    <s v="D3420"/>
    <s v="ED04"/>
    <s v="P12 P2P accruals 2019/20, 8032927, OXFORD DIRECT SERVICES TRADING LTD"/>
    <n v="-189"/>
    <n v="-0.189"/>
  </r>
  <r>
    <s v="S15"/>
    <x v="15"/>
    <s v="AJ"/>
    <n v="10347981"/>
    <d v="2020-04-03T00:00:00"/>
    <n v="202101"/>
    <s v="1"/>
    <s v="EXP"/>
    <s v="D3703"/>
    <s v="ED18"/>
    <s v="P12 P2P accruals 2019/20, 8034015, TAMESIDE MBC"/>
    <n v="-19.600000000000001"/>
    <n v="-1.9600000000000003E-2"/>
  </r>
  <r>
    <s v="S15"/>
    <x v="14"/>
    <s v="AJ"/>
    <n v="10347981"/>
    <d v="2020-04-03T00:00:00"/>
    <n v="202101"/>
    <s v="1"/>
    <s v="EXP"/>
    <s v="D3401"/>
    <s v="ED08"/>
    <s v="P12 P2P accruals 2019/20, 8032875, JNE MARKETING LTD"/>
    <n v="-9.9499999999999993"/>
    <n v="-9.9499999999999988E-3"/>
  </r>
  <r>
    <s v="S15"/>
    <x v="15"/>
    <s v="AJ"/>
    <n v="10347981"/>
    <d v="2020-04-03T00:00:00"/>
    <n v="202101"/>
    <s v="1"/>
    <s v="EXP"/>
    <s v="D3401"/>
    <s v="ED16"/>
    <s v="P12 P2P accruals 2019/20, 8031619, SOUTH OXFORDSHIRE DISTRICT COUNCIL"/>
    <n v="-480"/>
    <n v="-0.48"/>
  </r>
  <r>
    <s v="S15"/>
    <x v="14"/>
    <s v="AJ"/>
    <n v="10348152"/>
    <d v="2020-04-09T00:00:00"/>
    <n v="202101"/>
    <s v="1"/>
    <s v="EXP"/>
    <s v="D3401"/>
    <s v="ED08"/>
    <s v="SAFE - grant pymt for Blueprint Project"/>
    <n v="-5538.4"/>
    <n v="-5.5383999999999993"/>
  </r>
  <r>
    <s v="S15"/>
    <x v="15"/>
    <s v="AJ"/>
    <n v="10347981"/>
    <d v="2020-04-03T00:00:00"/>
    <n v="202101"/>
    <s v="1"/>
    <s v="EXP"/>
    <s v="D3001"/>
    <s v="ED16"/>
    <s v="P12 P2P accruals 2019/20, 8036370, POSTURITE LTD"/>
    <n v="-139.1"/>
    <n v="-0.1391"/>
  </r>
  <r>
    <s v="S15"/>
    <x v="15"/>
    <s v="AJ"/>
    <n v="10347981"/>
    <d v="2020-04-03T00:00:00"/>
    <n v="202101"/>
    <s v="1"/>
    <s v="EXP"/>
    <s v="D3201"/>
    <s v="ED17"/>
    <s v="P12 P2P accruals 2019/20, 8032432, ARCO LTD"/>
    <n v="-5.2"/>
    <n v="-5.1999999999999998E-3"/>
  </r>
  <r>
    <s v="S15"/>
    <x v="14"/>
    <s v="AJ"/>
    <n v="10347981"/>
    <d v="2020-04-03T00:00:00"/>
    <n v="202101"/>
    <s v="1"/>
    <s v="EXP"/>
    <s v="D3401"/>
    <s v="ED24"/>
    <s v="P12 P2P accruals 2019/20, 8032929, M-R-S COMMUNICATIONS LTD"/>
    <n v="-154.5"/>
    <n v="-0.1545"/>
  </r>
  <r>
    <s v="S15"/>
    <x v="15"/>
    <s v="AJ"/>
    <n v="10347981"/>
    <d v="2020-04-03T00:00:00"/>
    <n v="202101"/>
    <s v="1"/>
    <s v="EXP"/>
    <s v="D3703"/>
    <s v="ED18"/>
    <s v="P12 P2P accruals 2019/20, 8028476, TAMESIDE MBC"/>
    <n v="-31.36"/>
    <n v="-3.1359999999999999E-2"/>
  </r>
  <r>
    <s v="S15"/>
    <x v="14"/>
    <s v="AJ"/>
    <n v="10347981"/>
    <d v="2020-04-03T00:00:00"/>
    <n v="202101"/>
    <s v="1"/>
    <s v="EXP"/>
    <s v="D3429"/>
    <s v="ED15"/>
    <s v="P12 P2P accruals 2019/20, 8037216, CANTIUM BUSINESS SOLUTIONS LTD"/>
    <n v="-47"/>
    <n v="-4.7E-2"/>
  </r>
  <r>
    <s v="S15"/>
    <x v="15"/>
    <s v="AJ"/>
    <n v="10347981"/>
    <d v="2020-04-03T00:00:00"/>
    <n v="202101"/>
    <s v="1"/>
    <s v="EXP"/>
    <s v="D3416"/>
    <s v="ED18"/>
    <s v="P12 P2P accruals 2019/20, 8028083, HM COURTS AND TRIBUNALS"/>
    <n v="-20"/>
    <n v="-0.02"/>
  </r>
  <r>
    <s v="S15"/>
    <x v="15"/>
    <s v="AJ"/>
    <n v="10347981"/>
    <d v="2020-04-03T00:00:00"/>
    <n v="202101"/>
    <s v="1"/>
    <s v="EXP"/>
    <s v="D3306"/>
    <s v="BN64"/>
    <s v="P12 P2P accruals 2019/20, 8033797, CANON (UK) lTD"/>
    <n v="-671.88"/>
    <n v="-0.67188000000000003"/>
  </r>
  <r>
    <s v="S15"/>
    <x v="15"/>
    <s v="AJ"/>
    <n v="10347981"/>
    <d v="2020-04-03T00:00:00"/>
    <n v="202101"/>
    <s v="1"/>
    <s v="EXP"/>
    <s v="D3401"/>
    <s v="ED33"/>
    <s v="P12 P2P accruals 2019/20, 8026593, ASELFORD PLUMBING &amp; HEATING"/>
    <n v="-34.799999999999997"/>
    <n v="-3.4799999999999998E-2"/>
  </r>
  <r>
    <s v="S15"/>
    <x v="15"/>
    <s v="AJ"/>
    <n v="10347981"/>
    <d v="2020-04-03T00:00:00"/>
    <n v="202101"/>
    <s v="1"/>
    <s v="EXP"/>
    <s v="D3401"/>
    <s v="ED05"/>
    <s v="P12 P2P accruals 2019/20, 8032914, ASELFORD PLUMBING &amp; HEATING"/>
    <n v="-230"/>
    <n v="-0.23"/>
  </r>
  <r>
    <s v="S15"/>
    <x v="14"/>
    <s v="AJ"/>
    <n v="10347981"/>
    <d v="2020-04-03T00:00:00"/>
    <n v="202101"/>
    <s v="1"/>
    <s v="EXP"/>
    <s v="D3001"/>
    <s v="ED24"/>
    <s v="P12 P2P accruals 2019/20, 8029959, NEWAUTO LTD"/>
    <n v="-210.1"/>
    <n v="-0.21009999999999998"/>
  </r>
  <r>
    <s v="S15"/>
    <x v="15"/>
    <s v="AJ"/>
    <n v="10347981"/>
    <d v="2020-04-03T00:00:00"/>
    <n v="202101"/>
    <s v="1"/>
    <s v="EXP"/>
    <s v="D3401"/>
    <s v="BN64"/>
    <s v="P12 P2P accruals 2019/20, 8029841, COVERGOLD LTD"/>
    <n v="-90"/>
    <n v="-0.09"/>
  </r>
  <r>
    <s v="S15"/>
    <x v="15"/>
    <s v="AJ"/>
    <n v="10347981"/>
    <d v="2020-04-03T00:00:00"/>
    <n v="202101"/>
    <s v="1"/>
    <s v="EXP"/>
    <s v="D3001"/>
    <s v="ED16"/>
    <s v="P12 P2P accruals 2019/20, 8029282, KLIPSPRINGER LIMITED"/>
    <n v="-21.96"/>
    <n v="-2.196E-2"/>
  </r>
  <r>
    <s v="S15"/>
    <x v="15"/>
    <s v="AJ"/>
    <n v="10347981"/>
    <d v="2020-04-03T00:00:00"/>
    <n v="202101"/>
    <s v="1"/>
    <s v="EXP"/>
    <s v="D3703"/>
    <s v="ED18"/>
    <s v="P12 P2P accruals 2019/20, 8027630, TAMESIDE MBC"/>
    <n v="-29.4"/>
    <n v="-2.9399999999999999E-2"/>
  </r>
  <r>
    <s v="S15"/>
    <x v="14"/>
    <s v="AJ"/>
    <n v="10347981"/>
    <d v="2020-04-03T00:00:00"/>
    <n v="202101"/>
    <s v="1"/>
    <s v="EXP"/>
    <s v="D3401"/>
    <s v="ED04"/>
    <s v="P12 P2P accruals 2019/20, 8037801, OXFORDSHIRE COUNTY COUNCIL"/>
    <n v="-50"/>
    <n v="-0.05"/>
  </r>
  <r>
    <s v="S15"/>
    <x v="14"/>
    <s v="AJ"/>
    <n v="10347981"/>
    <d v="2020-04-03T00:00:00"/>
    <n v="202101"/>
    <s v="1"/>
    <s v="EXP"/>
    <s v="D3401"/>
    <s v="KN03"/>
    <s v="P12 P2P accruals 2019/20, 8032785, OXFORDSHIRE COUNTY COUNCIL"/>
    <n v="-347.88"/>
    <n v="-0.34788000000000002"/>
  </r>
  <r>
    <s v="S15"/>
    <x v="14"/>
    <s v="AJ"/>
    <n v="10347981"/>
    <d v="2020-04-03T00:00:00"/>
    <n v="202101"/>
    <s v="1"/>
    <s v="EXP"/>
    <s v="D3802"/>
    <s v="KN13"/>
    <s v="P12 P2P accruals 2019/20, 8036889, CLEAR CHANNEL UK LTD"/>
    <n v="-3000"/>
    <n v="-3"/>
  </r>
  <r>
    <s v="S15"/>
    <x v="15"/>
    <s v="AJ"/>
    <n v="10347981"/>
    <d v="2020-04-03T00:00:00"/>
    <n v="202101"/>
    <s v="1"/>
    <s v="EXP"/>
    <s v="D3201"/>
    <s v="ED17"/>
    <s v="P12 P2P accruals 2019/20, 8026323, ARCO LTD"/>
    <n v="-8.93"/>
    <n v="-8.9300000000000004E-3"/>
  </r>
  <r>
    <s v="S15"/>
    <x v="15"/>
    <s v="AJ"/>
    <n v="10347981"/>
    <d v="2020-04-03T00:00:00"/>
    <n v="202101"/>
    <s v="1"/>
    <s v="EXP"/>
    <s v="D3701"/>
    <s v="ED05"/>
    <s v="P12 P2P accruals 2019/20, 8034430, ASELFORD PLUMBING &amp; HEATING"/>
    <n v="-1000"/>
    <n v="-1"/>
  </r>
  <r>
    <s v="S15"/>
    <x v="15"/>
    <s v="AJ"/>
    <n v="10347981"/>
    <d v="2020-04-03T00:00:00"/>
    <n v="202101"/>
    <s v="1"/>
    <s v="EXP"/>
    <s v="D3401"/>
    <s v="ED33"/>
    <s v="P12 P2P accruals 2019/20, 8037182, ASELFORD PLUMBING &amp; HEATING"/>
    <n v="-136.15"/>
    <n v="-0.13614999999999999"/>
  </r>
  <r>
    <s v="S15"/>
    <x v="15"/>
    <s v="AJ"/>
    <n v="10347981"/>
    <d v="2020-04-03T00:00:00"/>
    <n v="202101"/>
    <s v="1"/>
    <s v="EXP"/>
    <s v="D3401"/>
    <s v="ED05"/>
    <s v="P12 P2P accruals 2019/20, 8027686, FERRET INFORMATION SYSTEMS LTD"/>
    <n v="-19.8"/>
    <n v="-1.9800000000000002E-2"/>
  </r>
  <r>
    <s v="S15"/>
    <x v="14"/>
    <s v="AJ"/>
    <n v="10347981"/>
    <d v="2020-04-03T00:00:00"/>
    <n v="202101"/>
    <s v="1"/>
    <s v="EXP"/>
    <s v="D3429"/>
    <s v="ED04"/>
    <s v="P12 P2P accruals 2019/20, 8037677, CANTIUM BUSINESS SOLUTIONS LTD"/>
    <n v="-47"/>
    <n v="-4.7E-2"/>
  </r>
  <r>
    <s v="S15"/>
    <x v="15"/>
    <s v="AJ"/>
    <n v="10347981"/>
    <d v="2020-04-03T00:00:00"/>
    <n v="202101"/>
    <s v="1"/>
    <s v="EXP"/>
    <s v="A0646"/>
    <s v="ED16"/>
    <s v="P12 P2P accruals 2019/20, 8029091, ROYAL SOCIETY FOR PUBLIC HEALTH"/>
    <n v="-150"/>
    <n v="-0.15"/>
  </r>
  <r>
    <s v="S15"/>
    <x v="15"/>
    <s v="AJ"/>
    <n v="10347981"/>
    <d v="2020-04-03T00:00:00"/>
    <n v="202101"/>
    <s v="1"/>
    <s v="EXP"/>
    <s v="A0622"/>
    <s v="BN64"/>
    <s v="P12 P2P accruals 2019/20, 8037320, ACTIVATE LEARNING"/>
    <n v="-200"/>
    <n v="-0.2"/>
  </r>
  <r>
    <s v="S15"/>
    <x v="15"/>
    <s v="AJ"/>
    <n v="10347981"/>
    <d v="2020-04-03T00:00:00"/>
    <n v="202101"/>
    <s v="1"/>
    <s v="EXP"/>
    <s v="A0646"/>
    <s v="ED16"/>
    <s v="P12 P2P accruals 2019/20, 8038899, ROYAL SOCIETY FOR PUBLIC HEALTH"/>
    <n v="-15"/>
    <n v="-1.4999999999999999E-2"/>
  </r>
  <r>
    <s v="S15"/>
    <x v="15"/>
    <s v="AJ"/>
    <n v="10348052"/>
    <d v="2020-04-07T00:00:00"/>
    <n v="202101"/>
    <s v="1"/>
    <s v="EXP"/>
    <s v="A0116"/>
    <s v="ED22"/>
    <s v="P12 APPS TEAM Recharge"/>
    <n v="-15860"/>
    <n v="-15.86"/>
  </r>
  <r>
    <s v="S15"/>
    <x v="15"/>
    <s v="AJ"/>
    <n v="10348385"/>
    <d v="2020-04-22T00:00:00"/>
    <n v="202101"/>
    <s v="1"/>
    <s v="EXP"/>
    <s v="A0116"/>
    <s v="ED22"/>
    <s v="P12 APPS TEAM Recharge reversal"/>
    <n v="15860"/>
    <n v="15.86"/>
  </r>
  <r>
    <s v="S15"/>
    <x v="14"/>
    <s v="AJ"/>
    <n v="10347981"/>
    <d v="2020-04-03T00:00:00"/>
    <n v="202101"/>
    <s v="1"/>
    <s v="EXP"/>
    <s v="A0622"/>
    <s v="ED15"/>
    <s v="P12 P2P accruals 2019/20, 8038329, REDUCING THE RISK OF DOMESTIC ABUSE"/>
    <n v="-110"/>
    <n v="-0.11"/>
  </r>
  <r>
    <s v="S15"/>
    <x v="15"/>
    <s v="AJ"/>
    <n v="10347981"/>
    <d v="2020-04-03T00:00:00"/>
    <n v="202101"/>
    <s v="1"/>
    <s v="EXP"/>
    <s v="A0702"/>
    <s v="BN64"/>
    <s v="P12 P2P accruals 2019/20, 8033744, SYON MEDIA LTD"/>
    <n v="-845"/>
    <n v="-0.84499999999999997"/>
  </r>
  <r>
    <s v="S15"/>
    <x v="15"/>
    <s v="AJ"/>
    <n v="10348034"/>
    <d v="2020-04-07T00:00:00"/>
    <n v="202101"/>
    <s v="1"/>
    <s v="EXP"/>
    <s v="A0108"/>
    <s v="BN64"/>
    <s v="P12 Broughton A (Reed)"/>
    <n v="-15179.9"/>
    <n v="-15.1799"/>
  </r>
  <r>
    <s v="S15"/>
    <x v="15"/>
    <s v="AJ"/>
    <n v="10348034"/>
    <d v="2020-04-07T00:00:00"/>
    <n v="202101"/>
    <s v="1"/>
    <s v="EXP"/>
    <s v="A0108"/>
    <s v="BN64"/>
    <s v="P12 Kane J (Reed)"/>
    <n v="-8414"/>
    <n v="-8.4139999999999997"/>
  </r>
  <r>
    <s v="S15"/>
    <x v="15"/>
    <s v="AJ"/>
    <n v="10347981"/>
    <d v="2020-04-03T00:00:00"/>
    <n v="202101"/>
    <s v="1"/>
    <s v="EXP"/>
    <s v="A0702"/>
    <s v="ED16"/>
    <s v="P12 P2P accruals 2019/20, 8030661, CHARTERED INSTITUTE OF ENVIRONMENTAL HEALTH"/>
    <n v="-750"/>
    <n v="-0.75"/>
  </r>
  <r>
    <s v="S15"/>
    <x v="15"/>
    <s v="AJ"/>
    <n v="10348034"/>
    <d v="2020-04-07T00:00:00"/>
    <n v="202101"/>
    <s v="1"/>
    <s v="EXP"/>
    <s v="A0108"/>
    <s v="ED16"/>
    <s v="P12 Brewer P (Reed)"/>
    <n v="-3962.09"/>
    <n v="-3.9620900000000003"/>
  </r>
  <r>
    <s v="S15"/>
    <x v="15"/>
    <s v="AJ"/>
    <n v="10348034"/>
    <d v="2020-04-07T00:00:00"/>
    <n v="202101"/>
    <s v="1"/>
    <s v="EXP"/>
    <s v="A0108"/>
    <s v="ED38"/>
    <s v="P12 Hume C (Reed)"/>
    <n v="-2930.33"/>
    <n v="-2.9303300000000001"/>
  </r>
  <r>
    <s v="S15"/>
    <x v="15"/>
    <s v="AJ"/>
    <n v="10348034"/>
    <d v="2020-04-07T00:00:00"/>
    <n v="202101"/>
    <s v="1"/>
    <s v="EXP"/>
    <s v="A0108"/>
    <s v="ED38"/>
    <s v="P12 Lateckova A (Reed)"/>
    <n v="-3268.25"/>
    <n v="-3.2682500000000001"/>
  </r>
  <r>
    <s v="S15"/>
    <x v="15"/>
    <s v="AJ"/>
    <n v="10348034"/>
    <d v="2020-04-07T00:00:00"/>
    <n v="202101"/>
    <s v="1"/>
    <s v="EXP"/>
    <s v="A0108"/>
    <s v="ED38"/>
    <s v="P12 Dietz M (Reed)"/>
    <n v="-3309.11"/>
    <n v="-3.30911"/>
  </r>
  <r>
    <s v="S15"/>
    <x v="15"/>
    <s v="AJ"/>
    <n v="10348034"/>
    <d v="2020-04-07T00:00:00"/>
    <n v="202101"/>
    <s v="1"/>
    <s v="EXP"/>
    <s v="A0108"/>
    <s v="ED36"/>
    <s v="P12 John D (Reed)"/>
    <n v="-5433.69"/>
    <n v="-5.4336899999999995"/>
  </r>
  <r>
    <s v="S15"/>
    <x v="15"/>
    <s v="AJ"/>
    <n v="10348034"/>
    <d v="2020-04-07T00:00:00"/>
    <n v="202101"/>
    <s v="1"/>
    <s v="EXP"/>
    <s v="A0108"/>
    <s v="ED36"/>
    <s v="P12 Sall L (Reed)"/>
    <n v="-1611.07"/>
    <n v="-1.61107"/>
  </r>
  <r>
    <s v="S15"/>
    <x v="15"/>
    <s v="AJ"/>
    <n v="10348034"/>
    <d v="2020-04-07T00:00:00"/>
    <n v="202101"/>
    <s v="1"/>
    <s v="EXP"/>
    <s v="A0108"/>
    <s v="ED36"/>
    <s v="P12 Sall L (Reed)"/>
    <n v="-2414"/>
    <n v="-2.4140000000000001"/>
  </r>
  <r>
    <s v="S16"/>
    <x v="16"/>
    <s v="AJ"/>
    <n v="10348148"/>
    <d v="2020-04-09T00:00:00"/>
    <n v="202101"/>
    <s v="1"/>
    <s v="INC"/>
    <s v="K9140"/>
    <s v="HJ11"/>
    <s v="RIA - MHCLG review, revision and republishing of the brownfield land register in accordance with the new data standards"/>
    <n v="-887"/>
    <n v="-0.88700000000000001"/>
  </r>
  <r>
    <s v="S16"/>
    <x v="16"/>
    <s v="AJ"/>
    <n v="10348148"/>
    <d v="2020-04-09T00:00:00"/>
    <n v="202101"/>
    <s v="1"/>
    <s v="INC"/>
    <s v="K9140"/>
    <s v="HJ11"/>
    <s v="RIA - MHCLG – Custom Build Grant"/>
    <n v="-15000"/>
    <n v="-15"/>
  </r>
  <r>
    <s v="S16"/>
    <x v="17"/>
    <s v="AJ"/>
    <n v="10348148"/>
    <d v="2020-04-09T00:00:00"/>
    <n v="202101"/>
    <s v="1"/>
    <s v="INC"/>
    <s v="K9501"/>
    <s v="HK11"/>
    <s v="Planning Income - major works not completed"/>
    <n v="-45345.5"/>
    <n v="-45.345500000000001"/>
  </r>
  <r>
    <s v="S16"/>
    <x v="18"/>
    <s v="AJ"/>
    <n v="10348157"/>
    <d v="2020-04-09T00:00:00"/>
    <n v="202101"/>
    <s v="1"/>
    <s v="INC"/>
    <s v="K9140"/>
    <s v="HA04"/>
    <s v="JSSP Contribution 2019-20"/>
    <n v="1219000"/>
    <n v="1219"/>
  </r>
  <r>
    <s v="S16"/>
    <x v="18"/>
    <s v="AJ"/>
    <n v="10348150"/>
    <d v="2020-04-09T00:00:00"/>
    <n v="202101"/>
    <s v="1"/>
    <s v="EXP"/>
    <s v="D3401"/>
    <s v="HA04"/>
    <s v="West Oxon  - staff costs"/>
    <n v="-11965.38"/>
    <n v="-11.96538"/>
  </r>
  <r>
    <s v="S16"/>
    <x v="16"/>
    <s v="AJ"/>
    <n v="10348150"/>
    <d v="2020-04-09T00:00:00"/>
    <n v="202101"/>
    <s v="1"/>
    <s v="EXP"/>
    <s v="D3411"/>
    <s v="HJ12"/>
    <s v="Boundary Review &amp; Stakeholder Workshop 14/2/19"/>
    <n v="-10750"/>
    <n v="-10.75"/>
  </r>
  <r>
    <s v="S16"/>
    <x v="16"/>
    <s v="AJ"/>
    <n v="10348150"/>
    <d v="2020-04-09T00:00:00"/>
    <n v="202101"/>
    <s v="1"/>
    <s v="EXP"/>
    <s v="D3411"/>
    <s v="HJ11"/>
    <s v="OCC CIL Examination"/>
    <n v="-8559.66"/>
    <n v="-8.5596599999999992"/>
  </r>
  <r>
    <s v="S16"/>
    <x v="16"/>
    <s v="AJ"/>
    <n v="10348150"/>
    <d v="2020-04-09T00:00:00"/>
    <n v="202101"/>
    <s v="1"/>
    <s v="EXP"/>
    <s v="D3411"/>
    <s v="HJ11"/>
    <s v="2019/20 Planning Inspectorate - Oxford Local Plan"/>
    <n v="-133000"/>
    <n v="-133"/>
  </r>
  <r>
    <s v="S16"/>
    <x v="16"/>
    <s v="AJ"/>
    <n v="10348148"/>
    <d v="2020-04-09T00:00:00"/>
    <n v="202101"/>
    <s v="1"/>
    <s v="INC"/>
    <s v="K9140"/>
    <s v="HJ11"/>
    <s v="RIA - NEIGHBOURHOOD PLANNING FOR LPA"/>
    <n v="-15000"/>
    <n v="-15"/>
  </r>
  <r>
    <s v="S16"/>
    <x v="16"/>
    <s v="AJ"/>
    <n v="10347981"/>
    <d v="2020-04-03T00:00:00"/>
    <n v="202101"/>
    <s v="1"/>
    <s v="EXP"/>
    <s v="D3001"/>
    <s v="HK12"/>
    <s v="P12 P2P accruals 2019/20, 8035711, POSTURITE LTD"/>
    <n v="-95.13"/>
    <n v="-9.5129999999999992E-2"/>
  </r>
  <r>
    <s v="S16"/>
    <x v="17"/>
    <s v="AJ"/>
    <n v="10347981"/>
    <d v="2020-04-03T00:00:00"/>
    <n v="202101"/>
    <s v="1"/>
    <s v="EXP"/>
    <s v="D3411"/>
    <s v="HK11"/>
    <s v="P12 P2P accruals 2019/20, 8030655, WHITE LAND STRATEGIES LTD"/>
    <n v="-1650"/>
    <n v="-1.65"/>
  </r>
  <r>
    <s v="S16"/>
    <x v="16"/>
    <s v="AJ"/>
    <n v="10347981"/>
    <d v="2020-04-03T00:00:00"/>
    <n v="202101"/>
    <s v="1"/>
    <s v="EXP"/>
    <s v="D3401"/>
    <s v="HJ11"/>
    <s v="P12 P2P accruals 2019/20, 8036480, THE KING´S CENTRE"/>
    <n v="-4344.5"/>
    <n v="-4.3445"/>
  </r>
  <r>
    <s v="S16"/>
    <x v="16"/>
    <s v="AJ"/>
    <n v="10347981"/>
    <d v="2020-04-03T00:00:00"/>
    <n v="202101"/>
    <s v="1"/>
    <s v="EXP"/>
    <s v="D3401"/>
    <s v="HJ11"/>
    <s v="P12 P2P accruals 2019/20, 8037611, ST ALDATES PCC"/>
    <n v="-125"/>
    <n v="-0.125"/>
  </r>
  <r>
    <s v="S16"/>
    <x v="17"/>
    <s v="AJ"/>
    <n v="10347981"/>
    <d v="2020-04-03T00:00:00"/>
    <n v="202101"/>
    <s v="1"/>
    <s v="EXP"/>
    <s v="D3411"/>
    <s v="HK11"/>
    <s v="P12 P2P accruals 2019/20, 8034484, GVA Grimley Ltd., t/a Avison Young"/>
    <n v="-2833.4"/>
    <n v="-2.8334000000000001"/>
  </r>
  <r>
    <s v="S16"/>
    <x v="18"/>
    <s v="AJ"/>
    <n v="10347981"/>
    <d v="2020-04-03T00:00:00"/>
    <n v="202101"/>
    <s v="1"/>
    <s v="EXP"/>
    <s v="D3411"/>
    <s v="HA04"/>
    <s v="P12 P2P accruals 2019/20, 8039242, COMMUNITY FIRST OXFORDSHIRE"/>
    <n v="-36113"/>
    <n v="-36.113"/>
  </r>
  <r>
    <s v="S16"/>
    <x v="17"/>
    <s v="AJ"/>
    <n v="10347981"/>
    <d v="2020-04-03T00:00:00"/>
    <n v="202101"/>
    <s v="1"/>
    <s v="EXP"/>
    <s v="D3703"/>
    <s v="HK11"/>
    <s v="P12 P2P accruals 2019/20, 8033472, TOWN &amp; COUNTRY PLANNING ASSOCI"/>
    <n v="-500"/>
    <n v="-0.5"/>
  </r>
  <r>
    <s v="S16"/>
    <x v="17"/>
    <s v="AJ"/>
    <n v="10347981"/>
    <d v="2020-04-03T00:00:00"/>
    <n v="202101"/>
    <s v="1"/>
    <s v="EXP"/>
    <s v="D3306"/>
    <s v="HK11"/>
    <s v="P12 P2P accruals 2019/20, 8033797, CANON (UK) lTD"/>
    <n v="-671.88"/>
    <n v="-0.67188000000000003"/>
  </r>
  <r>
    <s v="S16"/>
    <x v="18"/>
    <s v="AJ"/>
    <n v="10347981"/>
    <d v="2020-04-03T00:00:00"/>
    <n v="202101"/>
    <s v="1"/>
    <s v="EXP"/>
    <s v="D3411"/>
    <s v="HA04"/>
    <s v="P12 P2P accruals 2019/20, 8035018, JEREMY BENN ASSOCIATES LTD t/a JBA CONSULTING"/>
    <n v="-2000"/>
    <n v="-2"/>
  </r>
  <r>
    <s v="S16"/>
    <x v="17"/>
    <s v="AJ"/>
    <n v="10347981"/>
    <d v="2020-04-03T00:00:00"/>
    <n v="202101"/>
    <s v="1"/>
    <s v="EXP"/>
    <s v="D3006"/>
    <s v="HK11"/>
    <s v="P12 P2P accruals 2019/20, 8036479, CITY AUDIO VISUAL"/>
    <n v="-1158"/>
    <n v="-1.1579999999999999"/>
  </r>
  <r>
    <s v="S16"/>
    <x v="19"/>
    <s v="AJ"/>
    <n v="10347981"/>
    <d v="2020-04-03T00:00:00"/>
    <n v="202101"/>
    <s v="1"/>
    <s v="EXP"/>
    <s v="D3415"/>
    <s v="HL11"/>
    <s v="P12 P2P accruals 2019/20, 8038467, OXFORDSHIRE COUNTY COUNCIL"/>
    <n v="-1425.6"/>
    <n v="-1.4256"/>
  </r>
  <r>
    <s v="S16"/>
    <x v="16"/>
    <s v="AJ"/>
    <n v="10347981"/>
    <d v="2020-04-03T00:00:00"/>
    <n v="202101"/>
    <s v="1"/>
    <s v="EXP"/>
    <s v="D3411"/>
    <s v="HJ11"/>
    <s v="P12 P2P accruals 2019/20, 8038680, Francis Taylor Building"/>
    <n v="-3700"/>
    <n v="-3.7"/>
  </r>
  <r>
    <s v="S16"/>
    <x v="16"/>
    <s v="AJ"/>
    <n v="10347981"/>
    <d v="2020-04-03T00:00:00"/>
    <n v="202101"/>
    <s v="1"/>
    <s v="EXP"/>
    <s v="A0108"/>
    <s v="HK12"/>
    <s v="P12 P2P accruals 2019/20, 8038494, PUBLIC PRACTICE"/>
    <n v="-8400"/>
    <n v="-8.4"/>
  </r>
  <r>
    <s v="S16"/>
    <x v="18"/>
    <s v="AJ"/>
    <n v="10347981"/>
    <d v="2020-04-03T00:00:00"/>
    <n v="202101"/>
    <s v="1"/>
    <s v="EXP"/>
    <s v="D3520"/>
    <s v="HA19"/>
    <s v="P12 P2P accruals 2019/20, 8037342, BT BUSINESS DIRECT"/>
    <n v="-117.03"/>
    <n v="-0.11703"/>
  </r>
  <r>
    <s v="S16"/>
    <x v="18"/>
    <s v="AJ"/>
    <n v="10347981"/>
    <d v="2020-04-03T00:00:00"/>
    <n v="202101"/>
    <s v="1"/>
    <s v="EXP"/>
    <s v="D3411"/>
    <s v="HA04"/>
    <s v="P12 P2P accruals 2019/20, 8039200, ENVIRONMENT AGENCY"/>
    <n v="-800"/>
    <n v="-0.8"/>
  </r>
  <r>
    <s v="S16"/>
    <x v="17"/>
    <s v="AJ"/>
    <n v="10347981"/>
    <d v="2020-04-03T00:00:00"/>
    <n v="202101"/>
    <s v="1"/>
    <s v="EXP"/>
    <s v="D3411"/>
    <s v="HK14"/>
    <s v="P12 P2P accruals 2019/20, 8035611, JONES LANG LASALLE LTD"/>
    <n v="-1650"/>
    <n v="-1.65"/>
  </r>
  <r>
    <s v="S16"/>
    <x v="18"/>
    <s v="AJ"/>
    <n v="10347981"/>
    <d v="2020-04-03T00:00:00"/>
    <n v="202101"/>
    <s v="1"/>
    <s v="EXP"/>
    <s v="D3101"/>
    <s v="HA19"/>
    <s v="P12 P2P accruals 2019/20, 8039058, CRISIS"/>
    <n v="-137.9"/>
    <n v="-0.13789999999999999"/>
  </r>
  <r>
    <s v="S16"/>
    <x v="18"/>
    <s v="AJ"/>
    <n v="10348150"/>
    <d v="2020-04-09T00:00:00"/>
    <n v="202101"/>
    <s v="1"/>
    <s v="EXP"/>
    <s v="A0116"/>
    <s v="HA04"/>
    <s v="South Oxfordshire - Staff Costs to JSSP - 2018-19"/>
    <n v="-13232.75"/>
    <n v="-13.232749999999999"/>
  </r>
  <r>
    <s v="S16"/>
    <x v="17"/>
    <s v="AJ"/>
    <n v="10347981"/>
    <d v="2020-04-03T00:00:00"/>
    <n v="202101"/>
    <s v="1"/>
    <s v="EXP"/>
    <s v="A0634"/>
    <s v="HK11"/>
    <s v="P12 P2P accruals 2019/20, 8038092, OXFORD BROOKES UNIVERSITY"/>
    <n v="-3339"/>
    <n v="-3.339"/>
  </r>
  <r>
    <s v="S16"/>
    <x v="18"/>
    <s v="AJ"/>
    <n v="10347981"/>
    <d v="2020-04-03T00:00:00"/>
    <n v="202101"/>
    <s v="1"/>
    <s v="EXP"/>
    <s v="D3401"/>
    <s v="HA01"/>
    <s v="P12 P2P accruals 2019/20, 8035829, ASSERTIVE MEDIA SOLUTIONS LTD"/>
    <n v="-1800"/>
    <n v="-1.8"/>
  </r>
  <r>
    <s v="S16"/>
    <x v="17"/>
    <s v="AJ"/>
    <n v="10347981"/>
    <d v="2020-04-03T00:00:00"/>
    <n v="202101"/>
    <s v="1"/>
    <s v="EXP"/>
    <s v="D3703"/>
    <s v="HK11"/>
    <s v="P12 P2P accruals 2019/20, 8036979, HAYMARKET MEDIA GROUP"/>
    <n v="-468"/>
    <n v="-0.46800000000000003"/>
  </r>
  <r>
    <s v="S16"/>
    <x v="18"/>
    <s v="AJ"/>
    <n v="10348150"/>
    <d v="2020-04-09T00:00:00"/>
    <n v="202101"/>
    <s v="1"/>
    <s v="EXP"/>
    <s v="A0116"/>
    <s v="HA04"/>
    <s v="South Oxfordshire - Staff Costs to JSSP - 2019-20"/>
    <n v="-85118.77"/>
    <n v="-85.118769999999998"/>
  </r>
  <r>
    <s v="S16"/>
    <x v="17"/>
    <s v="AJ"/>
    <n v="10347979"/>
    <d v="2020-04-03T00:00:00"/>
    <n v="202101"/>
    <s v="1"/>
    <s v="INC"/>
    <s v="K9501"/>
    <s v="HK11"/>
    <s v="19/20 Cash in 20/21"/>
    <n v="4907"/>
    <n v="4.907"/>
  </r>
  <r>
    <s v="S16"/>
    <x v="17"/>
    <s v="AJ"/>
    <n v="10347981"/>
    <d v="2020-04-03T00:00:00"/>
    <n v="202101"/>
    <s v="1"/>
    <s v="EXP"/>
    <s v="D3411"/>
    <s v="HK11"/>
    <s v="P12 P2P accruals 2019/20, 8037252, JONES LANG LASALLE LTD"/>
    <n v="-1300"/>
    <n v="-1.3"/>
  </r>
  <r>
    <s v="S16"/>
    <x v="18"/>
    <s v="AJ"/>
    <n v="10347981"/>
    <d v="2020-04-03T00:00:00"/>
    <n v="202101"/>
    <s v="1"/>
    <s v="EXP"/>
    <s v="A0622"/>
    <s v="HA19"/>
    <s v="P12 P2P accruals 2019/20, 8039057, PERSONAL STRENGTHS (UK) LTD"/>
    <n v="-535"/>
    <n v="-0.53500000000000003"/>
  </r>
  <r>
    <s v="S20"/>
    <x v="20"/>
    <s v="AJ"/>
    <n v="10348539"/>
    <d v="2020-04-30T00:00:00"/>
    <n v="202101"/>
    <s v="1"/>
    <s v="EXP"/>
    <s v="B1002"/>
    <s v="ED13"/>
    <s v="reverse 10347980 PO 8038997 not required"/>
    <n v="530"/>
    <n v="0.53"/>
  </r>
  <r>
    <s v="S20"/>
    <x v="20"/>
    <s v="AJ"/>
    <n v="10347981"/>
    <d v="2020-04-03T00:00:00"/>
    <n v="202101"/>
    <s v="1"/>
    <s v="EXP"/>
    <s v="B1002"/>
    <s v="ED13"/>
    <s v="P12 P2P accruals 2019/20, 8038997, OXFORD DIRECT SERVICES LTD"/>
    <n v="-530"/>
    <n v="-0.53"/>
  </r>
  <r>
    <s v="S20"/>
    <x v="21"/>
    <s v="AJ"/>
    <n v="10348034"/>
    <d v="2020-04-07T00:00:00"/>
    <n v="202101"/>
    <s v="1"/>
    <s v="EXP"/>
    <s v="A0108"/>
    <s v="ED14"/>
    <s v="P12 Anagor U (Reed)"/>
    <n v="-2156.52"/>
    <n v="-2.15652"/>
  </r>
  <r>
    <s v="S20"/>
    <x v="21"/>
    <s v="AJ"/>
    <n v="10348034"/>
    <d v="2020-04-07T00:00:00"/>
    <n v="202101"/>
    <s v="1"/>
    <s v="EXP"/>
    <s v="A0108"/>
    <s v="ED14"/>
    <s v="P12 Colledge-price K (Reed)"/>
    <n v="-2165.46"/>
    <n v="-2.1654599999999999"/>
  </r>
  <r>
    <s v="S20"/>
    <x v="20"/>
    <s v="AJ"/>
    <n v="10347954"/>
    <d v="2020-04-02T00:00:00"/>
    <n v="202101"/>
    <s v="1"/>
    <s v="EXP"/>
    <s v="B7008"/>
    <s v="ES99"/>
    <s v="TOWN HALL"/>
    <n v="-5824.46"/>
    <n v="-5.8244600000000002"/>
  </r>
  <r>
    <s v="S20"/>
    <x v="20"/>
    <s v="AJ"/>
    <n v="10347948"/>
    <d v="2020-04-02T00:00:00"/>
    <n v="202101"/>
    <s v="1"/>
    <s v="EXP"/>
    <s v="B7008"/>
    <s v="ES99"/>
    <s v="GLOUCESTER GREEN CAR PARK"/>
    <n v="-12144.72"/>
    <n v="-12.14472"/>
  </r>
  <r>
    <s v="S20"/>
    <x v="20"/>
    <s v="AJ"/>
    <n v="10347948"/>
    <d v="2020-04-02T00:00:00"/>
    <n v="202101"/>
    <s v="1"/>
    <s v="EXP"/>
    <s v="B7009"/>
    <s v="ED13"/>
    <s v="TOWN HALL"/>
    <n v="-367.49"/>
    <n v="-0.36748999999999998"/>
  </r>
  <r>
    <s v="S20"/>
    <x v="20"/>
    <s v="AJ"/>
    <n v="10347954"/>
    <d v="2020-04-02T00:00:00"/>
    <n v="202101"/>
    <s v="1"/>
    <s v="EXP"/>
    <s v="B7008"/>
    <s v="ES99"/>
    <s v="TOWN HALL"/>
    <n v="-2551.0500000000002"/>
    <n v="-2.55105"/>
  </r>
  <r>
    <s v="S20"/>
    <x v="22"/>
    <s v="AJ"/>
    <n v="10347981"/>
    <d v="2020-04-03T00:00:00"/>
    <n v="202101"/>
    <s v="1"/>
    <s v="EXP"/>
    <s v="D3401"/>
    <s v="ED11"/>
    <s v="P12 P2P accruals 2019/20, 8039063, OXFORD DIRECT SERVICES LTD"/>
    <n v="-150"/>
    <n v="-0.15"/>
  </r>
  <r>
    <s v="S20"/>
    <x v="21"/>
    <s v="AJ"/>
    <n v="10347981"/>
    <d v="2020-04-03T00:00:00"/>
    <n v="202101"/>
    <s v="1"/>
    <s v="EXP"/>
    <s v="D3802"/>
    <s v="ED14"/>
    <s v="P12 P2P accruals 2019/20, 8033651, DAILY INFORMATION LTD"/>
    <n v="-24"/>
    <n v="-2.4E-2"/>
  </r>
  <r>
    <s v="S20"/>
    <x v="21"/>
    <s v="AJ"/>
    <n v="10347981"/>
    <d v="2020-04-03T00:00:00"/>
    <n v="202101"/>
    <s v="1"/>
    <s v="EXP"/>
    <s v="D3303"/>
    <s v="ES20"/>
    <s v="P12 P2P accruals 2019/20, 8039305, OXFORD DIRECT SERVICES LTD"/>
    <n v="-450"/>
    <n v="-0.45"/>
  </r>
  <r>
    <s v="S20"/>
    <x v="20"/>
    <s v="AJ"/>
    <n v="10347981"/>
    <d v="2020-04-03T00:00:00"/>
    <n v="202101"/>
    <s v="1"/>
    <s v="EXP"/>
    <s v="D3401"/>
    <s v="ED13"/>
    <s v="P12 P2P accruals 2019/20, 8035996, TEAM (ENERGY AUDITING AGENCY LTD)"/>
    <n v="-250"/>
    <n v="-0.25"/>
  </r>
  <r>
    <s v="S20"/>
    <x v="21"/>
    <s v="AJ"/>
    <n v="10347981"/>
    <d v="2020-04-03T00:00:00"/>
    <n v="202101"/>
    <s v="1"/>
    <s v="EXP"/>
    <s v="D8008"/>
    <s v="ED35"/>
    <s v="P12 P2P accruals 2019/20, 8039390, KAPACITI LIMITED"/>
    <n v="-5000"/>
    <n v="-5"/>
  </r>
  <r>
    <s v="S20"/>
    <x v="21"/>
    <s v="AJ"/>
    <n v="10348363"/>
    <d v="2020-04-21T00:00:00"/>
    <n v="202101"/>
    <s v="1"/>
    <s v="EXP"/>
    <s v="D3401"/>
    <s v="ED14"/>
    <s v="EV Taxi Project Support (ESO) Mar"/>
    <n v="-1170"/>
    <n v="-1.17"/>
  </r>
  <r>
    <s v="S20"/>
    <x v="21"/>
    <s v="AJ"/>
    <n v="10347981"/>
    <d v="2020-04-03T00:00:00"/>
    <n v="202101"/>
    <s v="1"/>
    <s v="EXP"/>
    <s v="D8008"/>
    <s v="ED14"/>
    <s v="P12 P2P accruals 2019/20, 8039386, PURPOSE BUILT CONSULTING LTD"/>
    <n v="-6000"/>
    <n v="-6"/>
  </r>
  <r>
    <s v="S20"/>
    <x v="20"/>
    <s v="AJ"/>
    <n v="10347971"/>
    <d v="2020-04-03T00:00:00"/>
    <n v="202101"/>
    <s v="1"/>
    <s v="EXP"/>
    <s v="D8007"/>
    <s v="ED13"/>
    <s v="2019/20 P12 accruals, 8039322, OXFORD DIRECT SERVICES LTD - (SERVITOR ONLY), Project management services - Leys Pools Solar Car port - payment 2, accrue as per P Spencer"/>
    <n v="-3000"/>
    <n v="-3"/>
  </r>
  <r>
    <s v="S20"/>
    <x v="21"/>
    <s v="AJ"/>
    <n v="10347981"/>
    <d v="2020-04-03T00:00:00"/>
    <n v="202101"/>
    <s v="1"/>
    <s v="EXP"/>
    <s v="D3411"/>
    <s v="ED14"/>
    <s v="P12 P2P accruals 2019/20, 8035698, KAPACITI LIMITED"/>
    <n v="-12319"/>
    <n v="-12.319000000000001"/>
  </r>
  <r>
    <s v="S20"/>
    <x v="21"/>
    <s v="AJ"/>
    <n v="10348179"/>
    <d v="2020-04-10T00:00:00"/>
    <n v="202101"/>
    <s v="1"/>
    <s v="INC"/>
    <s v="K9140"/>
    <s v="ED14"/>
    <s v="LEO claim Q4"/>
    <n v="14410"/>
    <n v="14.41"/>
  </r>
  <r>
    <s v="S20"/>
    <x v="21"/>
    <s v="AJ"/>
    <n v="10348179"/>
    <d v="2020-04-10T00:00:00"/>
    <n v="202101"/>
    <s v="1"/>
    <s v="INC"/>
    <s v="K9140"/>
    <s v="ED14"/>
    <s v="OxPops claim Q7"/>
    <n v="1779"/>
    <n v="1.7789999999999999"/>
  </r>
  <r>
    <s v="S20"/>
    <x v="21"/>
    <s v="AJ"/>
    <n v="10348179"/>
    <d v="2020-04-10T00:00:00"/>
    <n v="202101"/>
    <s v="1"/>
    <s v="INC"/>
    <s v="K9140"/>
    <s v="ES20"/>
    <s v="Canal &amp; River Trust contribution  RIA"/>
    <n v="-13418.34"/>
    <n v="-13.418340000000001"/>
  </r>
  <r>
    <s v="S20"/>
    <x v="21"/>
    <s v="AJ"/>
    <n v="10348179"/>
    <d v="2020-04-10T00:00:00"/>
    <n v="202101"/>
    <s v="1"/>
    <s v="INC"/>
    <s v="K9140"/>
    <s v="ES21"/>
    <s v="INNOVATE ESO Q4 claim"/>
    <n v="52478.92"/>
    <n v="52.478919999999995"/>
  </r>
  <r>
    <s v="S22"/>
    <x v="23"/>
    <s v="AJ"/>
    <n v="10348420"/>
    <d v="2020-04-24T00:00:00"/>
    <n v="202101"/>
    <s v="1"/>
    <s v="EXP"/>
    <s v="B1001"/>
    <s v="AC18"/>
    <s v="Reverse 10347980 PO 8039025 not required"/>
    <n v="942.45"/>
    <n v="0.94245000000000001"/>
  </r>
  <r>
    <s v="S22"/>
    <x v="23"/>
    <s v="AJ"/>
    <n v="10348420"/>
    <d v="2020-04-24T00:00:00"/>
    <n v="202101"/>
    <s v="1"/>
    <s v="EXP"/>
    <s v="B1605"/>
    <s v="AC20"/>
    <s v="Unpaid waste invoice 56009023"/>
    <n v="-160.18"/>
    <n v="-0.16018000000000002"/>
  </r>
  <r>
    <s v="S22"/>
    <x v="24"/>
    <s v="AJ"/>
    <n v="10348429"/>
    <d v="2020-04-24T00:00:00"/>
    <n v="202101"/>
    <s v="1"/>
    <s v="EXP"/>
    <s v="B1502"/>
    <s v="AB03"/>
    <s v="Accrual: Hinksey Outdoor Pool &amp; Splash Feature Acc: 3004980770  Gas 01/03/20 - 31/03/20, TOTAL GAS &amp; POWER LTD"/>
    <n v="-6760.62"/>
    <n v="-6.7606200000000003"/>
  </r>
  <r>
    <s v="S22"/>
    <x v="23"/>
    <s v="AJ"/>
    <n v="10348420"/>
    <d v="2020-04-24T00:00:00"/>
    <n v="202101"/>
    <s v="1"/>
    <s v="EXP"/>
    <s v="B1605"/>
    <s v="HT60"/>
    <s v="Unpaid waste invoice 56012874"/>
    <n v="-151.80000000000001"/>
    <n v="-0.15180000000000002"/>
  </r>
  <r>
    <s v="S22"/>
    <x v="23"/>
    <s v="AJ"/>
    <n v="10348420"/>
    <d v="2020-04-24T00:00:00"/>
    <n v="202101"/>
    <s v="1"/>
    <s v="EXP"/>
    <s v="B1605"/>
    <s v="HT60"/>
    <s v="Unpaid waste invoice 56010402"/>
    <n v="-45.58"/>
    <n v="-4.5579999999999996E-2"/>
  </r>
  <r>
    <s v="S22"/>
    <x v="23"/>
    <s v="AJ"/>
    <n v="10348420"/>
    <d v="2020-04-24T00:00:00"/>
    <n v="202101"/>
    <s v="1"/>
    <s v="EXP"/>
    <s v="B1001"/>
    <s v="AC14"/>
    <s v="Reverse 10347980 PO 8039024 not required"/>
    <n v="581.95000000000005"/>
    <n v="0.58195000000000008"/>
  </r>
  <r>
    <s v="S22"/>
    <x v="25"/>
    <s v="AJ"/>
    <n v="10348420"/>
    <d v="2020-04-24T00:00:00"/>
    <n v="202101"/>
    <s v="1"/>
    <s v="EXP"/>
    <s v="B1606"/>
    <s v="BL16"/>
    <s v="Reverse 10347980 PO 8036376 not required"/>
    <n v="480"/>
    <n v="0.48"/>
  </r>
  <r>
    <s v="S22"/>
    <x v="23"/>
    <s v="AJ"/>
    <n v="10348420"/>
    <d v="2020-04-24T00:00:00"/>
    <n v="202101"/>
    <s v="1"/>
    <s v="EXP"/>
    <s v="B1605"/>
    <s v="HT60"/>
    <s v="Unpaid waste invoice 56010813"/>
    <n v="-45.58"/>
    <n v="-4.5579999999999996E-2"/>
  </r>
  <r>
    <s v="S22"/>
    <x v="23"/>
    <s v="AJ"/>
    <n v="10348431"/>
    <d v="2020-04-24T00:00:00"/>
    <n v="202101"/>
    <s v="1"/>
    <s v="EXP"/>
    <s v="B1001"/>
    <s v="AC20"/>
    <s v="Reverse 10347980 PO 8039028 not required"/>
    <n v="1067.9000000000001"/>
    <n v="1.0679000000000001"/>
  </r>
  <r>
    <s v="S22"/>
    <x v="23"/>
    <s v="AJ"/>
    <n v="10348431"/>
    <d v="2020-04-24T00:00:00"/>
    <n v="202101"/>
    <s v="1"/>
    <s v="EXP"/>
    <s v="B1101"/>
    <s v="HT60"/>
    <s v="Reverse 10347980 PO 8038917 not required"/>
    <n v="1775.8"/>
    <n v="1.7758"/>
  </r>
  <r>
    <s v="S22"/>
    <x v="23"/>
    <s v="AJ"/>
    <n v="10348420"/>
    <d v="2020-04-24T00:00:00"/>
    <n v="202101"/>
    <s v="1"/>
    <s v="EXP"/>
    <s v="B1605"/>
    <s v="HT60"/>
    <s v="Unpaid waste invoice 56008830"/>
    <n v="-44.46"/>
    <n v="-4.446E-2"/>
  </r>
  <r>
    <s v="S22"/>
    <x v="23"/>
    <s v="AJ"/>
    <n v="10348420"/>
    <d v="2020-04-24T00:00:00"/>
    <n v="202101"/>
    <s v="1"/>
    <s v="EXP"/>
    <s v="B1001"/>
    <s v="AC19"/>
    <s v="Reverse 10347980 PO 8039026 not required"/>
    <n v="185.4"/>
    <n v="0.18540000000000001"/>
  </r>
  <r>
    <s v="S22"/>
    <x v="24"/>
    <s v="AJ"/>
    <n v="10347954"/>
    <d v="2020-04-02T00:00:00"/>
    <n v="202101"/>
    <s v="1"/>
    <s v="EXP"/>
    <s v="B7008"/>
    <s v="AB05"/>
    <s v="HINKSEY POOLS"/>
    <n v="-13173.74"/>
    <n v="-13.17374"/>
  </r>
  <r>
    <s v="S22"/>
    <x v="26"/>
    <s v="AJ"/>
    <n v="10348539"/>
    <d v="2020-04-30T00:00:00"/>
    <n v="202101"/>
    <s v="1"/>
    <s v="EXP"/>
    <s v="B7006"/>
    <s v="AG13"/>
    <s v="reverse 10347970 PO 8039034 not required"/>
    <n v="1720"/>
    <n v="1.72"/>
  </r>
  <r>
    <s v="S22"/>
    <x v="27"/>
    <s v="AJ"/>
    <n v="10348431"/>
    <d v="2020-04-24T00:00:00"/>
    <n v="202101"/>
    <s v="1"/>
    <s v="EXP"/>
    <s v="B1610"/>
    <s v="BJ13"/>
    <s v="Reverse 10347980 PO 8035293 not required"/>
    <n v="1721"/>
    <n v="1.7210000000000001"/>
  </r>
  <r>
    <s v="S22"/>
    <x v="23"/>
    <s v="AJ"/>
    <n v="10348420"/>
    <d v="2020-04-24T00:00:00"/>
    <n v="202101"/>
    <s v="1"/>
    <s v="EXP"/>
    <s v="B1001"/>
    <s v="AC19"/>
    <s v="Reverse 10347980 PO 8039027 not required"/>
    <n v="705.55"/>
    <n v="0.7055499999999999"/>
  </r>
  <r>
    <s v="S22"/>
    <x v="23"/>
    <s v="AJ"/>
    <n v="10347981"/>
    <d v="2020-04-03T00:00:00"/>
    <n v="202101"/>
    <s v="1"/>
    <s v="EXP"/>
    <s v="B1001"/>
    <s v="HT60"/>
    <s v="P12 P2P accruals 2019/20, 8036052, OXFORD DIRECT SERVICES LTD"/>
    <n v="-1170"/>
    <n v="-1.17"/>
  </r>
  <r>
    <s v="S22"/>
    <x v="25"/>
    <s v="AJ"/>
    <n v="10347981"/>
    <d v="2020-04-03T00:00:00"/>
    <n v="202101"/>
    <s v="1"/>
    <s v="EXP"/>
    <s v="B1601"/>
    <s v="BL16"/>
    <s v="P12 P2P accruals 2019/20, 8038960, ALLIANCE DISPOSABLES LTD"/>
    <n v="-39"/>
    <n v="-3.9E-2"/>
  </r>
  <r>
    <s v="S22"/>
    <x v="25"/>
    <s v="AJ"/>
    <n v="10347981"/>
    <d v="2020-04-03T00:00:00"/>
    <n v="202101"/>
    <s v="1"/>
    <s v="EXP"/>
    <s v="B1601"/>
    <s v="BL16"/>
    <s v="P12 P2P accruals 2019/20, 8034439, ALLIANCE DISPOSABLES LTD"/>
    <n v="-57"/>
    <n v="-5.7000000000000002E-2"/>
  </r>
  <r>
    <s v="S22"/>
    <x v="25"/>
    <s v="AJ"/>
    <n v="10347981"/>
    <d v="2020-04-03T00:00:00"/>
    <n v="202101"/>
    <s v="1"/>
    <s v="EXP"/>
    <s v="B1601"/>
    <s v="BL16"/>
    <s v="P12 P2P accruals 2019/20, 8039323, ALLIANCE DISPOSABLES LTD"/>
    <n v="-35.700000000000003"/>
    <n v="-3.5700000000000003E-2"/>
  </r>
  <r>
    <s v="S22"/>
    <x v="25"/>
    <s v="AJ"/>
    <n v="10347981"/>
    <d v="2020-04-03T00:00:00"/>
    <n v="202101"/>
    <s v="1"/>
    <s v="EXP"/>
    <s v="B1601"/>
    <s v="BL16"/>
    <s v="P12 P2P accruals 2019/20, 8038960, ALLIANCE DISPOSABLES LTD"/>
    <n v="-2.46"/>
    <n v="-2.4599999999999999E-3"/>
  </r>
  <r>
    <s v="S22"/>
    <x v="25"/>
    <s v="AJ"/>
    <n v="10347981"/>
    <d v="2020-04-03T00:00:00"/>
    <n v="202101"/>
    <s v="1"/>
    <s v="EXP"/>
    <s v="B1601"/>
    <s v="BL16"/>
    <s v="P12 P2P accruals 2019/20, 8033500, ALLIANCE DISPOSABLES LTD"/>
    <n v="-59.15"/>
    <n v="-5.9150000000000001E-2"/>
  </r>
  <r>
    <s v="S22"/>
    <x v="26"/>
    <s v="AJ"/>
    <n v="10348504"/>
    <d v="2020-04-28T00:00:00"/>
    <n v="202101"/>
    <s v="1"/>
    <s v="EXP"/>
    <s v="D3410"/>
    <s v="AG13"/>
    <s v="NAF02 Replacing a broken bench - contribution to AG13"/>
    <n v="-1500"/>
    <n v="-1.5"/>
  </r>
  <r>
    <s v="S22"/>
    <x v="25"/>
    <s v="AJ"/>
    <n v="10347981"/>
    <d v="2020-04-03T00:00:00"/>
    <n v="202101"/>
    <s v="1"/>
    <s v="EXP"/>
    <s v="B1601"/>
    <s v="BL16"/>
    <s v="P12 P2P accruals 2019/20, 8038960, ALLIANCE DISPOSABLES LTD"/>
    <n v="-82.8"/>
    <n v="-8.2799999999999999E-2"/>
  </r>
  <r>
    <s v="S22"/>
    <x v="28"/>
    <s v="AJ"/>
    <n v="10348504"/>
    <d v="2020-04-28T00:00:00"/>
    <n v="202101"/>
    <s v="1"/>
    <s v="EXP"/>
    <s v="D3702"/>
    <s v="KK14"/>
    <s v="NAF02 Replacing a broken bench - contribution to AG13"/>
    <n v="1500"/>
    <n v="1.5"/>
  </r>
  <r>
    <s v="S22"/>
    <x v="23"/>
    <s v="AJ"/>
    <n v="10347981"/>
    <d v="2020-04-03T00:00:00"/>
    <n v="202101"/>
    <s v="1"/>
    <s v="EXP"/>
    <s v="B1601"/>
    <s v="AC14"/>
    <s v="P12 P2P accruals 2019/20, 8035419, ALLIANCE DISPOSABLES LTD"/>
    <n v="-23.28"/>
    <n v="-2.3280000000000002E-2"/>
  </r>
  <r>
    <s v="S22"/>
    <x v="28"/>
    <s v="AJ"/>
    <n v="10348478"/>
    <d v="2020-04-28T00:00:00"/>
    <n v="202101"/>
    <s v="1"/>
    <s v="EXP"/>
    <s v="B7034"/>
    <s v="KK14"/>
    <s v="Morrell Ave zebra crossing double charged - refund due"/>
    <n v="4166.67"/>
    <n v="4.1666699999999999"/>
  </r>
  <r>
    <s v="S22"/>
    <x v="23"/>
    <s v="AJ"/>
    <n v="10347981"/>
    <d v="2020-04-03T00:00:00"/>
    <n v="202101"/>
    <s v="1"/>
    <s v="EXP"/>
    <s v="B1601"/>
    <s v="AC20"/>
    <s v="P12 P2P accruals 2019/20, 8039146, LYRECO UK LTD"/>
    <n v="-1.56"/>
    <n v="-1.56E-3"/>
  </r>
  <r>
    <s v="S22"/>
    <x v="25"/>
    <s v="AJ"/>
    <n v="10348090"/>
    <d v="2020-04-08T00:00:00"/>
    <n v="202101"/>
    <s v="1"/>
    <s v="EXP"/>
    <s v="B7003"/>
    <s v="BL16"/>
    <s v="SAC waste Mar 20"/>
    <n v="-700"/>
    <n v="-0.7"/>
  </r>
  <r>
    <s v="S22"/>
    <x v="25"/>
    <s v="AJ"/>
    <n v="10348090"/>
    <d v="2020-04-08T00:00:00"/>
    <n v="202101"/>
    <s v="1"/>
    <s v="EXP"/>
    <s v="B1830"/>
    <s v="BR12"/>
    <s v="SAC Water Dec 19 - Mar 20"/>
    <n v="-2200"/>
    <n v="-2.2000000000000002"/>
  </r>
  <r>
    <s v="S22"/>
    <x v="25"/>
    <s v="AJ"/>
    <n v="10348090"/>
    <d v="2020-04-08T00:00:00"/>
    <n v="202101"/>
    <s v="1"/>
    <s v="EXP"/>
    <s v="B1502"/>
    <s v="BR12"/>
    <s v="SAC Gas Mar  20"/>
    <n v="-1000"/>
    <n v="-1"/>
  </r>
  <r>
    <s v="S22"/>
    <x v="25"/>
    <s v="AJ"/>
    <n v="10348090"/>
    <d v="2020-04-08T00:00:00"/>
    <n v="202101"/>
    <s v="1"/>
    <s v="EXP"/>
    <s v="B1502"/>
    <s v="BR11"/>
    <s v="TH Gas Mar 20"/>
    <n v="-3800"/>
    <n v="-3.8"/>
  </r>
  <r>
    <s v="S22"/>
    <x v="25"/>
    <s v="AJ"/>
    <n v="10347981"/>
    <d v="2020-04-03T00:00:00"/>
    <n v="202101"/>
    <s v="1"/>
    <s v="EXP"/>
    <s v="B1601"/>
    <s v="BL16"/>
    <s v="P12 P2P accruals 2019/20, 8031622, ALLIANCE DISPOSABLES LTD"/>
    <n v="-48.89"/>
    <n v="-4.8890000000000003E-2"/>
  </r>
  <r>
    <s v="S22"/>
    <x v="25"/>
    <s v="AJ"/>
    <n v="10348090"/>
    <d v="2020-04-08T00:00:00"/>
    <n v="202101"/>
    <s v="1"/>
    <s v="EXP"/>
    <s v="B1830"/>
    <s v="BR11"/>
    <s v="Water  Dec  19 - Mar 20"/>
    <n v="-2800"/>
    <n v="-2.8"/>
  </r>
  <r>
    <s v="S22"/>
    <x v="25"/>
    <s v="AJ"/>
    <n v="10348090"/>
    <d v="2020-04-08T00:00:00"/>
    <n v="202101"/>
    <s v="1"/>
    <s v="EXP"/>
    <s v="B1501"/>
    <s v="BR12"/>
    <s v="SAC Electricity Mar 20"/>
    <n v="-4200"/>
    <n v="-4.2"/>
  </r>
  <r>
    <s v="S22"/>
    <x v="25"/>
    <s v="AJ"/>
    <n v="10348090"/>
    <d v="2020-04-08T00:00:00"/>
    <n v="202101"/>
    <s v="1"/>
    <s v="EXP"/>
    <s v="B1501"/>
    <s v="BR11"/>
    <s v="TH Electricity Mar  20"/>
    <n v="-5100"/>
    <n v="-5.0999999999999996"/>
  </r>
  <r>
    <s v="S22"/>
    <x v="25"/>
    <s v="AJ"/>
    <n v="10347981"/>
    <d v="2020-04-03T00:00:00"/>
    <n v="202101"/>
    <s v="1"/>
    <s v="EXP"/>
    <s v="B1103"/>
    <s v="BL16"/>
    <s v="P12 P2P accruals 2019/20, 8036385, ACTIVE SERVICINGUK LTD T/A ACTIVE WASHROOMS"/>
    <n v="-43.5"/>
    <n v="-4.3499999999999997E-2"/>
  </r>
  <r>
    <s v="S22"/>
    <x v="28"/>
    <s v="AJ"/>
    <n v="10348478"/>
    <d v="2020-04-28T00:00:00"/>
    <n v="202101"/>
    <s v="1"/>
    <s v="EXP"/>
    <s v="D3401"/>
    <s v="KK14"/>
    <s v="reverse transaction 10348274"/>
    <n v="-5000"/>
    <n v="-5"/>
  </r>
  <r>
    <s v="S22"/>
    <x v="28"/>
    <s v="AJ"/>
    <n v="10348478"/>
    <d v="2020-04-28T00:00:00"/>
    <n v="202101"/>
    <s v="1"/>
    <s v="EXP"/>
    <s v="D3401"/>
    <s v="KK14"/>
    <s v="Morrell Ave zebra crossing double charged - refund due"/>
    <n v="5000"/>
    <n v="5"/>
  </r>
  <r>
    <s v="S22"/>
    <x v="28"/>
    <s v="AJ"/>
    <n v="10348478"/>
    <d v="2020-04-28T00:00:00"/>
    <n v="202101"/>
    <s v="1"/>
    <s v="EXP"/>
    <s v="B7034"/>
    <s v="KK14"/>
    <s v="reverse transaction 10348274"/>
    <n v="-8400"/>
    <n v="-8.4"/>
  </r>
  <r>
    <s v="S22"/>
    <x v="28"/>
    <s v="AJ"/>
    <n v="10348478"/>
    <d v="2020-04-28T00:00:00"/>
    <n v="202101"/>
    <s v="1"/>
    <s v="EXP"/>
    <s v="B7034"/>
    <s v="KK14"/>
    <s v="reverse transaction 10348274"/>
    <n v="-4166.67"/>
    <n v="-4.1666699999999999"/>
  </r>
  <r>
    <s v="S22"/>
    <x v="28"/>
    <s v="AJ"/>
    <n v="10348478"/>
    <d v="2020-04-28T00:00:00"/>
    <n v="202101"/>
    <s v="1"/>
    <s v="EXP"/>
    <s v="B7034"/>
    <s v="KK14"/>
    <s v="Croft Rd pram crossings double charged - refund due"/>
    <n v="8400"/>
    <n v="8.4"/>
  </r>
  <r>
    <s v="S22"/>
    <x v="25"/>
    <s v="AJ"/>
    <n v="10347981"/>
    <d v="2020-04-03T00:00:00"/>
    <n v="202101"/>
    <s v="1"/>
    <s v="EXP"/>
    <s v="B1606"/>
    <s v="BL16"/>
    <s v="P12 P2P accruals 2019/20, 8036376, OXFORD DIRECT SERVICES TRADING LTD"/>
    <n v="-480"/>
    <n v="-0.48"/>
  </r>
  <r>
    <s v="S22"/>
    <x v="26"/>
    <s v="AJ"/>
    <n v="10348494"/>
    <d v="2020-04-28T00:00:00"/>
    <n v="202101"/>
    <s v="1"/>
    <s v="EXP"/>
    <s v="B7045"/>
    <s v="AG13"/>
    <s v="10348066 New table tennis base South Park REV"/>
    <n v="1825.52"/>
    <n v="1.82552"/>
  </r>
  <r>
    <s v="S22"/>
    <x v="26"/>
    <s v="AJ"/>
    <n v="10348494"/>
    <d v="2020-04-28T00:00:00"/>
    <n v="202101"/>
    <s v="1"/>
    <s v="EXP"/>
    <s v="B7045"/>
    <s v="AG10"/>
    <s v="10348066 install selection of balance beam trails croft rd  ERV"/>
    <n v="7362.74"/>
    <n v="7.3627399999999996"/>
  </r>
  <r>
    <s v="S22"/>
    <x v="26"/>
    <s v="AJ"/>
    <n v="10348494"/>
    <d v="2020-04-28T00:00:00"/>
    <n v="202101"/>
    <s v="1"/>
    <s v="EXP"/>
    <s v="B7045"/>
    <s v="AG10"/>
    <s v="10348066 replace rotten bench Aristotle REV"/>
    <n v="850"/>
    <n v="0.85"/>
  </r>
  <r>
    <s v="S22"/>
    <x v="23"/>
    <s v="AJ"/>
    <n v="10347981"/>
    <d v="2020-04-03T00:00:00"/>
    <n v="202101"/>
    <s v="1"/>
    <s v="EXP"/>
    <s v="B1601"/>
    <s v="AC18"/>
    <s v="P12 P2P accruals 2019/20, 8030099, ALLIANCE DISPOSABLES LTD"/>
    <n v="-14.61"/>
    <n v="-1.461E-2"/>
  </r>
  <r>
    <s v="S22"/>
    <x v="23"/>
    <s v="AJ"/>
    <n v="10347981"/>
    <d v="2020-04-03T00:00:00"/>
    <n v="202101"/>
    <s v="1"/>
    <s v="EXP"/>
    <s v="B1001"/>
    <s v="HT60"/>
    <s v="P12 P2P accruals 2019/20, 8036053, OXFORD DIRECT SERVICES LTD"/>
    <n v="-1240"/>
    <n v="-1.24"/>
  </r>
  <r>
    <s v="S22"/>
    <x v="26"/>
    <s v="AJ"/>
    <n v="10348494"/>
    <d v="2020-04-28T00:00:00"/>
    <n v="202101"/>
    <s v="1"/>
    <s v="EXP"/>
    <s v="D3401"/>
    <s v="AG10"/>
    <s v="10348066 PLAY AREA MAINTENANCE REV"/>
    <n v="500"/>
    <n v="0.5"/>
  </r>
  <r>
    <s v="S22"/>
    <x v="23"/>
    <s v="AJ"/>
    <n v="10347981"/>
    <d v="2020-04-03T00:00:00"/>
    <n v="202101"/>
    <s v="1"/>
    <s v="EXP"/>
    <s v="B1601"/>
    <s v="AC19"/>
    <s v="P12 P2P accruals 2019/20, 8031902, ALLIANCE DISPOSABLES LTD"/>
    <n v="-36.51"/>
    <n v="-3.6510000000000001E-2"/>
  </r>
  <r>
    <s v="S22"/>
    <x v="25"/>
    <s v="AJ"/>
    <n v="10347981"/>
    <d v="2020-04-03T00:00:00"/>
    <n v="202101"/>
    <s v="1"/>
    <s v="EXP"/>
    <s v="B1601"/>
    <s v="BL16"/>
    <s v="P12 P2P accruals 2019/20, 8038507, ARCO LTD"/>
    <n v="-3.28"/>
    <n v="-3.2799999999999999E-3"/>
  </r>
  <r>
    <s v="S22"/>
    <x v="23"/>
    <s v="AJ"/>
    <n v="10347981"/>
    <d v="2020-04-03T00:00:00"/>
    <n v="202101"/>
    <s v="1"/>
    <s v="EXP"/>
    <s v="B1601"/>
    <s v="AC20"/>
    <s v="P12 P2P accruals 2019/20, 8039021, ALLIANCE DISPOSABLES LTD"/>
    <n v="-10.84"/>
    <n v="-1.0840000000000001E-2"/>
  </r>
  <r>
    <s v="S22"/>
    <x v="25"/>
    <s v="AJ"/>
    <n v="10347981"/>
    <d v="2020-04-03T00:00:00"/>
    <n v="202101"/>
    <s v="1"/>
    <s v="EXP"/>
    <s v="B1601"/>
    <s v="BL16"/>
    <s v="P12 P2P accruals 2019/20, 8039306, ALLIANCE DISPOSABLES LTD"/>
    <n v="-55"/>
    <n v="-5.5E-2"/>
  </r>
  <r>
    <s v="S22"/>
    <x v="26"/>
    <s v="AJ"/>
    <n v="10348519"/>
    <d v="2020-04-29T00:00:00"/>
    <n v="202101"/>
    <s v="1"/>
    <s v="EXP"/>
    <s v="B7045"/>
    <s v="AG13"/>
    <s v="reverse 10348493 as duplicated"/>
    <n v="-1825.52"/>
    <n v="-1.82552"/>
  </r>
  <r>
    <s v="S22"/>
    <x v="25"/>
    <s v="AJ"/>
    <n v="10347981"/>
    <d v="2020-04-03T00:00:00"/>
    <n v="202101"/>
    <s v="1"/>
    <s v="EXP"/>
    <s v="B1101"/>
    <s v="BL16"/>
    <s v="P12 P2P accruals 2019/20, 8036167, GEZE UK LTD"/>
    <n v="-1040"/>
    <n v="-1.04"/>
  </r>
  <r>
    <s v="S22"/>
    <x v="25"/>
    <s v="AJ"/>
    <n v="10347981"/>
    <d v="2020-04-03T00:00:00"/>
    <n v="202101"/>
    <s v="1"/>
    <s v="EXP"/>
    <s v="B1601"/>
    <s v="BL16"/>
    <s v="P12 P2P accruals 2019/20, 8035343, DULUX DECORATOR CENTRE 360"/>
    <n v="-16"/>
    <n v="-1.6E-2"/>
  </r>
  <r>
    <s v="S22"/>
    <x v="23"/>
    <s v="AJ"/>
    <n v="10347981"/>
    <d v="2020-04-03T00:00:00"/>
    <n v="202101"/>
    <s v="1"/>
    <s v="EXP"/>
    <s v="B1103"/>
    <s v="AC14"/>
    <s v="P12 P2P accruals 2019/20, 8035184, ACTIVE SERVICINGUK LTD T/A ACTIVE WASHROOMS"/>
    <n v="-147"/>
    <n v="-0.14699999999999999"/>
  </r>
  <r>
    <s v="S22"/>
    <x v="23"/>
    <s v="AJ"/>
    <n v="10347981"/>
    <d v="2020-04-03T00:00:00"/>
    <n v="202101"/>
    <s v="1"/>
    <s v="EXP"/>
    <s v="B1103"/>
    <s v="AC19"/>
    <s v="P12 P2P accruals 2019/20, 8035185, ACTIVE SERVICINGUK LTD T/A ACTIVE WASHROOMS"/>
    <n v="-22.5"/>
    <n v="-2.2499999999999999E-2"/>
  </r>
  <r>
    <s v="S22"/>
    <x v="23"/>
    <s v="AJ"/>
    <n v="10347981"/>
    <d v="2020-04-03T00:00:00"/>
    <n v="202101"/>
    <s v="1"/>
    <s v="EXP"/>
    <s v="B1001"/>
    <s v="HT60"/>
    <s v="P12 P2P accruals 2019/20, 8036134, OXFORD DIRECT SERVICES LTD"/>
    <n v="-2095"/>
    <n v="-2.0950000000000002"/>
  </r>
  <r>
    <s v="S22"/>
    <x v="26"/>
    <s v="AJ"/>
    <n v="10347971"/>
    <d v="2020-04-03T00:00:00"/>
    <n v="202101"/>
    <s v="1"/>
    <s v="EXP"/>
    <s v="B7006"/>
    <s v="AG13"/>
    <s v="2019/20 P12 accruals, 8039034, OXFORD DIRECT SERVICES LTD - (SERVITOR ONLY), remove and log pin the climber at BBL Park as agreed with Matt Beckley, accrue as per M Woods"/>
    <n v="-1720"/>
    <n v="-1.72"/>
  </r>
  <r>
    <s v="S22"/>
    <x v="28"/>
    <s v="AJ"/>
    <n v="10348172"/>
    <d v="2020-04-08T00:00:00"/>
    <n v="202101"/>
    <s v="1"/>
    <s v="EXP"/>
    <s v="D3702"/>
    <s v="KK06"/>
    <s v="SEAF08 (07) TEACHERS TRIP TO WROCLAW"/>
    <n v="250"/>
    <n v="0.25"/>
  </r>
  <r>
    <s v="S22"/>
    <x v="28"/>
    <s v="AJ"/>
    <n v="10348172"/>
    <d v="2020-04-08T00:00:00"/>
    <n v="202101"/>
    <s v="1"/>
    <s v="EXP"/>
    <s v="D3702"/>
    <s v="KK06"/>
    <s v="NAF03(02) Cllr Fry - Ferry creche 20-21"/>
    <n v="300"/>
    <n v="0.3"/>
  </r>
  <r>
    <s v="S22"/>
    <x v="28"/>
    <s v="AJ"/>
    <n v="10348172"/>
    <d v="2020-04-08T00:00:00"/>
    <n v="202101"/>
    <s v="1"/>
    <s v="EXP"/>
    <s v="D3702"/>
    <s v="KK06"/>
    <s v="SEAF01(07) TEACHERS TRIP TO WROCLAW 20-21"/>
    <n v="250"/>
    <n v="0.25"/>
  </r>
  <r>
    <s v="S22"/>
    <x v="28"/>
    <s v="AJ"/>
    <n v="10348172"/>
    <d v="2020-04-08T00:00:00"/>
    <n v="202101"/>
    <s v="1"/>
    <s v="EXP"/>
    <s v="D3702"/>
    <s v="KK06"/>
    <s v="NAF04(02) Cllr Gotch - Ferry creche 20-21"/>
    <n v="350"/>
    <n v="0.35"/>
  </r>
  <r>
    <s v="S22"/>
    <x v="26"/>
    <s v="AJ"/>
    <n v="10348469"/>
    <d v="2020-04-27T00:00:00"/>
    <n v="202101"/>
    <s v="1"/>
    <s v="EXP"/>
    <s v="D3401"/>
    <s v="AG10"/>
    <s v="PLAY AREA MAINTENANCE"/>
    <n v="500"/>
    <n v="0.5"/>
  </r>
  <r>
    <s v="S22"/>
    <x v="26"/>
    <s v="AJ"/>
    <n v="10348469"/>
    <d v="2020-04-27T00:00:00"/>
    <n v="202101"/>
    <s v="1"/>
    <s v="EXP"/>
    <s v="B7045"/>
    <s v="AG10"/>
    <s v="replace rotten bench Aristotle"/>
    <n v="850"/>
    <n v="0.85"/>
  </r>
  <r>
    <s v="S22"/>
    <x v="26"/>
    <s v="AJ"/>
    <n v="10348469"/>
    <d v="2020-04-27T00:00:00"/>
    <n v="202101"/>
    <s v="1"/>
    <s v="EXP"/>
    <s v="B7045"/>
    <s v="AG10"/>
    <s v="install selection of balance beam trails croft rd"/>
    <n v="7362.74"/>
    <n v="7.3627399999999996"/>
  </r>
  <r>
    <s v="S22"/>
    <x v="26"/>
    <s v="AJ"/>
    <n v="10348469"/>
    <d v="2020-04-27T00:00:00"/>
    <n v="202101"/>
    <s v="1"/>
    <s v="EXP"/>
    <s v="B7045"/>
    <s v="AG13"/>
    <s v="New table tennis base South Park"/>
    <n v="1825.52"/>
    <n v="1.82552"/>
  </r>
  <r>
    <s v="S22"/>
    <x v="24"/>
    <s v="AJ"/>
    <n v="10348043"/>
    <d v="2020-04-07T00:00:00"/>
    <n v="202101"/>
    <s v="1"/>
    <s v="EXP"/>
    <s v="B1501"/>
    <s v="AB03"/>
    <s v="BLC Elec Mar 2020"/>
    <n v="-2800"/>
    <n v="-2.8"/>
  </r>
  <r>
    <s v="S22"/>
    <x v="24"/>
    <s v="AJ"/>
    <n v="10348043"/>
    <d v="2020-04-07T00:00:00"/>
    <n v="202101"/>
    <s v="1"/>
    <s v="EXP"/>
    <s v="B1501"/>
    <s v="AB03"/>
    <s v="OIR Elec Mar 2020"/>
    <n v="-12600"/>
    <n v="-12.6"/>
  </r>
  <r>
    <s v="S22"/>
    <x v="24"/>
    <s v="AJ"/>
    <n v="10348043"/>
    <d v="2020-04-07T00:00:00"/>
    <n v="202101"/>
    <s v="1"/>
    <s v="EXP"/>
    <s v="B1502"/>
    <s v="AB03"/>
    <s v="OIR Gas Mar 2020"/>
    <n v="-1400"/>
    <n v="-1.4"/>
  </r>
  <r>
    <s v="S22"/>
    <x v="24"/>
    <s v="AJ"/>
    <n v="10348043"/>
    <d v="2020-04-07T00:00:00"/>
    <n v="202101"/>
    <s v="1"/>
    <s v="EXP"/>
    <s v="B1502"/>
    <s v="AB03"/>
    <s v="19-20 LPLC Woodchip recharge to Fusion"/>
    <n v="-6000"/>
    <n v="-6"/>
  </r>
  <r>
    <s v="S22"/>
    <x v="24"/>
    <s v="AJ"/>
    <n v="10348043"/>
    <d v="2020-04-07T00:00:00"/>
    <n v="202101"/>
    <s v="1"/>
    <s v="EXP"/>
    <s v="B1502"/>
    <s v="AB03"/>
    <s v="BLC Gas Mar 2020"/>
    <n v="-2500"/>
    <n v="-2.5"/>
  </r>
  <r>
    <s v="S22"/>
    <x v="24"/>
    <s v="AJ"/>
    <n v="10348043"/>
    <d v="2020-04-07T00:00:00"/>
    <n v="202101"/>
    <s v="1"/>
    <s v="EXP"/>
    <s v="B1502"/>
    <s v="AB03"/>
    <s v="LPLC Gas Mar 2020"/>
    <n v="-6300"/>
    <n v="-6.3"/>
  </r>
  <r>
    <s v="S22"/>
    <x v="24"/>
    <s v="AJ"/>
    <n v="10348043"/>
    <d v="2020-04-07T00:00:00"/>
    <n v="202101"/>
    <s v="1"/>
    <s v="EXP"/>
    <s v="B1502"/>
    <s v="AB03"/>
    <s v="HNK Gas Mar 2020"/>
    <n v="-3000"/>
    <n v="-3"/>
  </r>
  <r>
    <s v="S22"/>
    <x v="24"/>
    <s v="AJ"/>
    <n v="10348043"/>
    <d v="2020-04-07T00:00:00"/>
    <n v="202101"/>
    <s v="1"/>
    <s v="EXP"/>
    <s v="B1502"/>
    <s v="AB03"/>
    <s v="FLC Gas Mar 2020"/>
    <n v="-4200"/>
    <n v="-4.2"/>
  </r>
  <r>
    <s v="S22"/>
    <x v="24"/>
    <s v="AJ"/>
    <n v="10348043"/>
    <d v="2020-04-07T00:00:00"/>
    <n v="202101"/>
    <s v="1"/>
    <s v="EXP"/>
    <s v="B1501"/>
    <s v="AB03"/>
    <s v="LPLC Elec Mar 2020"/>
    <n v="-10000"/>
    <n v="-10"/>
  </r>
  <r>
    <s v="S22"/>
    <x v="24"/>
    <s v="AJ"/>
    <n v="10348043"/>
    <d v="2020-04-07T00:00:00"/>
    <n v="202101"/>
    <s v="1"/>
    <s v="EXP"/>
    <s v="B1501"/>
    <s v="AB03"/>
    <s v="HNK Elec Mar 2020"/>
    <n v="-2000"/>
    <n v="-2"/>
  </r>
  <r>
    <s v="S22"/>
    <x v="24"/>
    <s v="AJ"/>
    <n v="10348043"/>
    <d v="2020-04-07T00:00:00"/>
    <n v="202101"/>
    <s v="1"/>
    <s v="EXP"/>
    <s v="B1501"/>
    <s v="AB03"/>
    <s v="FLC Elec Mar 2020"/>
    <n v="-5700"/>
    <n v="-5.7"/>
  </r>
  <r>
    <s v="S22"/>
    <x v="23"/>
    <s v="AJ"/>
    <n v="10348018"/>
    <d v="2020-04-06T00:00:00"/>
    <n v="202101"/>
    <s v="1"/>
    <s v="EXP"/>
    <s v="B1605"/>
    <s v="AC14"/>
    <s v="March waste collections"/>
    <n v="-190.9"/>
    <n v="-0.19090000000000001"/>
  </r>
  <r>
    <s v="S22"/>
    <x v="28"/>
    <s v="AJ"/>
    <n v="10348172"/>
    <d v="2020-04-08T00:00:00"/>
    <n v="202101"/>
    <s v="1"/>
    <s v="EXP"/>
    <s v="D3702"/>
    <s v="KK06"/>
    <s v="NEAF11 Healthy school fun run, July 5th 2020"/>
    <n v="250"/>
    <n v="0.25"/>
  </r>
  <r>
    <s v="S22"/>
    <x v="26"/>
    <s v="AJ"/>
    <n v="10348393"/>
    <d v="2020-04-22T00:00:00"/>
    <n v="202101"/>
    <s v="1"/>
    <s v="EXP"/>
    <s v="D3202"/>
    <s v="AG13"/>
    <s v="P12 P2P 19/20, 8033532, ARCO LTD"/>
    <n v="50.39"/>
    <n v="5.0389999999999997E-2"/>
  </r>
  <r>
    <s v="S22"/>
    <x v="26"/>
    <s v="AJ"/>
    <n v="10348393"/>
    <d v="2020-04-22T00:00:00"/>
    <n v="202101"/>
    <s v="1"/>
    <s v="EXP"/>
    <s v="D3202"/>
    <s v="AG10"/>
    <s v="P12 P2P 19/20, 8033532, ARCO LTD"/>
    <n v="-50.39"/>
    <n v="-5.0389999999999997E-2"/>
  </r>
  <r>
    <s v="S22"/>
    <x v="26"/>
    <s v="AJ"/>
    <n v="10348393"/>
    <d v="2020-04-22T00:00:00"/>
    <n v="202101"/>
    <s v="1"/>
    <s v="EXP"/>
    <s v="D3429"/>
    <s v="AG10"/>
    <s v="P12 P2P  19/20, 8035657, CANTIUM BUSINESS SOLUTIONS LTD"/>
    <n v="51"/>
    <n v="5.0999999999999997E-2"/>
  </r>
  <r>
    <s v="S22"/>
    <x v="26"/>
    <s v="AJ"/>
    <n v="10348393"/>
    <d v="2020-04-22T00:00:00"/>
    <n v="202101"/>
    <s v="1"/>
    <s v="EXP"/>
    <s v="D3429"/>
    <s v="AG10"/>
    <s v="P12 P2P  19/20, 8035657, CANTIUM BUSINESS SOLUTIONS LTD"/>
    <n v="-51"/>
    <n v="-5.0999999999999997E-2"/>
  </r>
  <r>
    <s v="S22"/>
    <x v="25"/>
    <s v="AJ"/>
    <n v="10348090"/>
    <d v="2020-04-08T00:00:00"/>
    <n v="202101"/>
    <s v="1"/>
    <s v="EXP"/>
    <s v="B1101"/>
    <s v="BL16"/>
    <s v="Weekly Scaffolding checks 1/1/20 - 31/3/20"/>
    <n v="-4800"/>
    <n v="-4.8"/>
  </r>
  <r>
    <s v="S22"/>
    <x v="26"/>
    <s v="AJ"/>
    <n v="10347971"/>
    <d v="2020-04-03T00:00:00"/>
    <n v="202101"/>
    <s v="1"/>
    <s v="EXP"/>
    <s v="B1003"/>
    <s v="AG13"/>
    <s v="2019/20 P12 accruals, 8038894, PLAYGROUND WORKS LTD, DDA pathway at Sandfield Road Park 33m x 1.5m, accrue as per M Woods"/>
    <n v="-6745"/>
    <n v="-6.7450000000000001"/>
  </r>
  <r>
    <s v="S22"/>
    <x v="26"/>
    <s v="AJ"/>
    <n v="10347971"/>
    <d v="2020-04-03T00:00:00"/>
    <n v="202101"/>
    <s v="1"/>
    <s v="EXP"/>
    <s v="B1101"/>
    <s v="AG13"/>
    <s v="2019/20 P12 accruals, 8038236, OXFORD DIRECT SERVICES LTD - (SERVITOR ONLY), NC_REPAIRS &amp; MAINTENANCE: PLAY AREA MAINTENANCE, accrue as per M Woods"/>
    <n v="-4000"/>
    <n v="-4"/>
  </r>
  <r>
    <s v="S22"/>
    <x v="25"/>
    <s v="AJ"/>
    <n v="10347981"/>
    <d v="2020-04-03T00:00:00"/>
    <n v="202101"/>
    <s v="1"/>
    <s v="EXP"/>
    <s v="B1601"/>
    <s v="BL16"/>
    <s v="P12 P2P accruals 2019/20, 8034138, ALLIANCE DISPOSABLES LTD"/>
    <n v="-8.84"/>
    <n v="-8.8400000000000006E-3"/>
  </r>
  <r>
    <s v="S22"/>
    <x v="28"/>
    <s v="AJ"/>
    <n v="10348172"/>
    <d v="2020-04-08T00:00:00"/>
    <n v="202101"/>
    <s v="1"/>
    <s v="EXP"/>
    <s v="D3702"/>
    <s v="KK06"/>
    <s v="NAF08(01) Cllr Landell Mills  - Ferry creche 20-21"/>
    <n v="300"/>
    <n v="0.3"/>
  </r>
  <r>
    <s v="S22"/>
    <x v="25"/>
    <s v="AJ"/>
    <n v="10347981"/>
    <d v="2020-04-03T00:00:00"/>
    <n v="202101"/>
    <s v="1"/>
    <s v="EXP"/>
    <s v="B1103"/>
    <s v="BL16"/>
    <s v="P12 P2P accruals 2019/20, 8036385, ACTIVE SERVICINGUK LTD T/A ACTIVE WASHROOMS"/>
    <n v="-43.5"/>
    <n v="-4.3499999999999997E-2"/>
  </r>
  <r>
    <s v="S22"/>
    <x v="25"/>
    <s v="AJ"/>
    <n v="10347981"/>
    <d v="2020-04-03T00:00:00"/>
    <n v="202101"/>
    <s v="1"/>
    <s v="EXP"/>
    <s v="B1601"/>
    <s v="BL16"/>
    <s v="P12 P2P accruals 2019/20, 8038960, ALLIANCE DISPOSABLES LTD"/>
    <n v="-109.7"/>
    <n v="-0.10970000000000001"/>
  </r>
  <r>
    <s v="S22"/>
    <x v="25"/>
    <s v="AJ"/>
    <n v="10347981"/>
    <d v="2020-04-03T00:00:00"/>
    <n v="202101"/>
    <s v="1"/>
    <s v="EXP"/>
    <s v="B1601"/>
    <s v="BL16"/>
    <s v="P12 P2P accruals 2019/20, 8035861, DULUX DECORATOR CENTRE 360"/>
    <n v="-137.44"/>
    <n v="-0.13744000000000001"/>
  </r>
  <r>
    <s v="S22"/>
    <x v="25"/>
    <s v="AJ"/>
    <n v="10347981"/>
    <d v="2020-04-03T00:00:00"/>
    <n v="202101"/>
    <s v="1"/>
    <s v="EXP"/>
    <s v="B1103"/>
    <s v="BL16"/>
    <s v="P12 P2P accruals 2019/20, 8036385, ACTIVE SERVICINGUK LTD T/A ACTIVE WASHROOMS"/>
    <n v="-486.6"/>
    <n v="-0.48660000000000003"/>
  </r>
  <r>
    <s v="S22"/>
    <x v="25"/>
    <s v="AJ"/>
    <n v="10347981"/>
    <d v="2020-04-03T00:00:00"/>
    <n v="202101"/>
    <s v="1"/>
    <s v="EXP"/>
    <s v="B1601"/>
    <s v="BL16"/>
    <s v="P12 P2P accruals 2019/20, 8039306, ALLIANCE DISPOSABLES LTD"/>
    <n v="-87.76"/>
    <n v="-8.7760000000000005E-2"/>
  </r>
  <r>
    <s v="S22"/>
    <x v="23"/>
    <s v="AJ"/>
    <n v="10347981"/>
    <d v="2020-04-03T00:00:00"/>
    <n v="202101"/>
    <s v="1"/>
    <s v="EXP"/>
    <s v="B1103"/>
    <s v="AC18"/>
    <s v="P12 P2P accruals 2019/20, 8035577, ACTIVE SERVICINGUK LTD T/A ACTIVE WASHROOMS"/>
    <n v="-52.2"/>
    <n v="-5.2200000000000003E-2"/>
  </r>
  <r>
    <s v="S22"/>
    <x v="25"/>
    <s v="AJ"/>
    <n v="10347981"/>
    <d v="2020-04-03T00:00:00"/>
    <n v="202101"/>
    <s v="1"/>
    <s v="EXP"/>
    <s v="B1601"/>
    <s v="BL16"/>
    <s v="P12 P2P accruals 2019/20, 8038960, ALLIANCE DISPOSABLES LTD"/>
    <n v="-21.8"/>
    <n v="-2.18E-2"/>
  </r>
  <r>
    <s v="S22"/>
    <x v="23"/>
    <s v="AJ"/>
    <n v="10347981"/>
    <d v="2020-04-03T00:00:00"/>
    <n v="202101"/>
    <s v="1"/>
    <s v="EXP"/>
    <s v="B1601"/>
    <s v="AC20"/>
    <s v="P12 P2P accruals 2019/20, 8039019, LYRECO UK LTD"/>
    <n v="-40.72"/>
    <n v="-4.0719999999999999E-2"/>
  </r>
  <r>
    <s v="S22"/>
    <x v="25"/>
    <s v="AJ"/>
    <n v="10347981"/>
    <d v="2020-04-03T00:00:00"/>
    <n v="202101"/>
    <s v="1"/>
    <s v="EXP"/>
    <s v="B1601"/>
    <s v="BL16"/>
    <s v="P12 P2P accruals 2019/20, 8038960, ALLIANCE DISPOSABLES LTD"/>
    <n v="-33"/>
    <n v="-3.3000000000000002E-2"/>
  </r>
  <r>
    <s v="S22"/>
    <x v="27"/>
    <s v="AJ"/>
    <n v="10347981"/>
    <d v="2020-04-03T00:00:00"/>
    <n v="202101"/>
    <s v="1"/>
    <s v="EXP"/>
    <s v="B1610"/>
    <s v="BJ13"/>
    <s v="P12 P2P accruals 2019/20, 8035293, OXFORD DIRECT SERVICES TRADING LTD"/>
    <n v="-1721"/>
    <n v="-1.7210000000000001"/>
  </r>
  <r>
    <s v="S22"/>
    <x v="25"/>
    <s v="AJ"/>
    <n v="10347981"/>
    <d v="2020-04-03T00:00:00"/>
    <n v="202101"/>
    <s v="1"/>
    <s v="EXP"/>
    <s v="B1601"/>
    <s v="BL16"/>
    <s v="P12 P2P accruals 2019/20, 8038960, ALLIANCE DISPOSABLES LTD"/>
    <n v="-17.850000000000001"/>
    <n v="-1.7850000000000001E-2"/>
  </r>
  <r>
    <s v="S22"/>
    <x v="23"/>
    <s v="AJ"/>
    <n v="10347981"/>
    <d v="2020-04-03T00:00:00"/>
    <n v="202101"/>
    <s v="1"/>
    <s v="EXP"/>
    <s v="B1601"/>
    <s v="AC14"/>
    <s v="P12 P2P accruals 2019/20, 8039103, ALLIANCE DISPOSABLES LTD"/>
    <n v="-296.86"/>
    <n v="-0.29686000000000001"/>
  </r>
  <r>
    <s v="S22"/>
    <x v="25"/>
    <s v="AJ"/>
    <n v="10347981"/>
    <d v="2020-04-03T00:00:00"/>
    <n v="202101"/>
    <s v="1"/>
    <s v="EXP"/>
    <s v="B1103"/>
    <s v="BL16"/>
    <s v="P12 P2P accruals 2019/20, 8036385, ACTIVE SERVICINGUK LTD T/A ACTIVE WASHROOMS"/>
    <n v="-22.5"/>
    <n v="-2.2499999999999999E-2"/>
  </r>
  <r>
    <s v="S22"/>
    <x v="27"/>
    <s v="AJ"/>
    <n v="10348119"/>
    <d v="2020-04-09T00:00:00"/>
    <n v="202101"/>
    <s v="1"/>
    <s v="EXP"/>
    <s v="D3011"/>
    <s v="AJ01"/>
    <s v="Museum Shop stock balance @ 31st March 2020"/>
    <n v="4593.17"/>
    <n v="4.5931699999999998"/>
  </r>
  <r>
    <s v="S22"/>
    <x v="25"/>
    <s v="AJ"/>
    <n v="10347981"/>
    <d v="2020-04-03T00:00:00"/>
    <n v="202101"/>
    <s v="1"/>
    <s v="EXP"/>
    <s v="B1601"/>
    <s v="BL16"/>
    <s v="P12 P2P accruals 2019/20, 8032773, ALLIANCE DISPOSABLES LTD"/>
    <n v="-148.41"/>
    <n v="-0.14840999999999999"/>
  </r>
  <r>
    <s v="S22"/>
    <x v="23"/>
    <s v="AJ"/>
    <n v="10347981"/>
    <d v="2020-04-03T00:00:00"/>
    <n v="202101"/>
    <s v="1"/>
    <s v="EXP"/>
    <s v="B1103"/>
    <s v="AC20"/>
    <s v="P12 P2P accruals 2019/20, 8035181, ACTIVE SERVICINGUK LTD T/A ACTIVE WASHROOMS"/>
    <n v="-486.6"/>
    <n v="-0.48660000000000003"/>
  </r>
  <r>
    <s v="S22"/>
    <x v="23"/>
    <s v="AJ"/>
    <n v="10347981"/>
    <d v="2020-04-03T00:00:00"/>
    <n v="202101"/>
    <s v="1"/>
    <s v="EXP"/>
    <s v="B1601"/>
    <s v="AC19"/>
    <s v="P12 P2P accruals 2019/20, 8032817, ALLIANCE DISPOSABLES LTD"/>
    <n v="-26.06"/>
    <n v="-2.606E-2"/>
  </r>
  <r>
    <s v="S22"/>
    <x v="23"/>
    <s v="AJ"/>
    <n v="10347981"/>
    <d v="2020-04-03T00:00:00"/>
    <n v="202101"/>
    <s v="1"/>
    <s v="EXP"/>
    <s v="B1103"/>
    <s v="AC19"/>
    <s v="P12 P2P accruals 2019/20, 8035183, ACTIVE SERVICINGUK LTD T/A ACTIVE WASHROOMS"/>
    <n v="-43.5"/>
    <n v="-4.3499999999999997E-2"/>
  </r>
  <r>
    <s v="S22"/>
    <x v="27"/>
    <s v="AJ"/>
    <n v="10348128"/>
    <d v="2020-04-08T00:00:00"/>
    <n v="202101"/>
    <s v="1"/>
    <s v="EXP"/>
    <s v="D3807"/>
    <s v="KA20"/>
    <s v="2019/20 BCOS DEPOSIT PAID FOR FLIGHTS TO RAMALLAH"/>
    <n v="1140"/>
    <n v="1.1399999999999999"/>
  </r>
  <r>
    <s v="S22"/>
    <x v="27"/>
    <s v="AJ"/>
    <n v="10348128"/>
    <d v="2020-04-08T00:00:00"/>
    <n v="202101"/>
    <s v="1"/>
    <s v="EXP"/>
    <s v="D3401"/>
    <s v="AJ01"/>
    <s v="P12 P2P accruals 19/20, 8033508, OX COUNTY COUNCIL"/>
    <n v="3202.72"/>
    <n v="3.2027199999999998"/>
  </r>
  <r>
    <s v="S22"/>
    <x v="27"/>
    <s v="AJ"/>
    <n v="10348128"/>
    <d v="2020-04-08T00:00:00"/>
    <n v="202101"/>
    <s v="1"/>
    <s v="EXP"/>
    <s v="D3401"/>
    <s v="AE15"/>
    <s v="Venue guide (incl photography)"/>
    <n v="-4500"/>
    <n v="-4.5"/>
  </r>
  <r>
    <s v="S22"/>
    <x v="27"/>
    <s v="AJ"/>
    <n v="10348128"/>
    <d v="2020-04-08T00:00:00"/>
    <n v="202101"/>
    <s v="1"/>
    <s v="EXP"/>
    <s v="D3702"/>
    <s v="AE15"/>
    <s v="5% to Green Spaces Team for events in parks"/>
    <n v="-2563.75"/>
    <n v="-2.5637500000000002"/>
  </r>
  <r>
    <s v="S22"/>
    <x v="27"/>
    <s v="AJ"/>
    <n v="10348128"/>
    <d v="2020-04-08T00:00:00"/>
    <n v="202101"/>
    <s v="1"/>
    <s v="EXP"/>
    <s v="D3702"/>
    <s v="AE15"/>
    <s v="5% to ODS Parks Team for events in parks"/>
    <n v="-2563.75"/>
    <n v="-2.5637500000000002"/>
  </r>
  <r>
    <s v="S22"/>
    <x v="26"/>
    <s v="AJ"/>
    <n v="10348519"/>
    <d v="2020-04-29T00:00:00"/>
    <n v="202101"/>
    <s v="1"/>
    <s v="EXP"/>
    <s v="D3401"/>
    <s v="AG10"/>
    <s v="reverse 10348493 as duplicated"/>
    <n v="-500"/>
    <n v="-0.5"/>
  </r>
  <r>
    <s v="S22"/>
    <x v="25"/>
    <s v="AJ"/>
    <n v="10347981"/>
    <d v="2020-04-03T00:00:00"/>
    <n v="202101"/>
    <s v="1"/>
    <s v="EXP"/>
    <s v="B1601"/>
    <s v="BL16"/>
    <s v="P12 P2P accruals 2019/20, 8039306, ALLIANCE DISPOSABLES LTD"/>
    <n v="-7.3"/>
    <n v="-7.3000000000000001E-3"/>
  </r>
  <r>
    <s v="S22"/>
    <x v="25"/>
    <s v="AJ"/>
    <n v="10347981"/>
    <d v="2020-04-03T00:00:00"/>
    <n v="202101"/>
    <s v="1"/>
    <s v="EXP"/>
    <s v="B1601"/>
    <s v="BL16"/>
    <s v="P12 P2P accruals 2019/20, 8038960, ALLIANCE DISPOSABLES LTD"/>
    <n v="-5.89"/>
    <n v="-5.8899999999999994E-3"/>
  </r>
  <r>
    <s v="S22"/>
    <x v="25"/>
    <s v="AJ"/>
    <n v="10347981"/>
    <d v="2020-04-03T00:00:00"/>
    <n v="202101"/>
    <s v="1"/>
    <s v="EXP"/>
    <s v="B1601"/>
    <s v="BL16"/>
    <s v="P12 P2P accruals 2019/20, 8038994, ALLIANCE DISPOSABLES LTD"/>
    <n v="-186.84"/>
    <n v="-0.18684000000000001"/>
  </r>
  <r>
    <s v="S22"/>
    <x v="25"/>
    <s v="AJ"/>
    <n v="10347981"/>
    <d v="2020-04-03T00:00:00"/>
    <n v="202101"/>
    <s v="1"/>
    <s v="EXP"/>
    <s v="B1103"/>
    <s v="BL16"/>
    <s v="P12 P2P accruals 2019/20, 8036385, ACTIVE SERVICINGUK LTD T/A ACTIVE WASHROOMS"/>
    <n v="-495.6"/>
    <n v="-0.49560000000000004"/>
  </r>
  <r>
    <s v="S22"/>
    <x v="25"/>
    <s v="AJ"/>
    <n v="10347981"/>
    <d v="2020-04-03T00:00:00"/>
    <n v="202101"/>
    <s v="1"/>
    <s v="EXP"/>
    <s v="B1601"/>
    <s v="BL16"/>
    <s v="P12 P2P accruals 2019/20, 8038960, ALLIANCE DISPOSABLES LTD"/>
    <n v="-59.9"/>
    <n v="-5.9900000000000002E-2"/>
  </r>
  <r>
    <s v="S22"/>
    <x v="25"/>
    <s v="AJ"/>
    <n v="10347981"/>
    <d v="2020-04-03T00:00:00"/>
    <n v="202101"/>
    <s v="1"/>
    <s v="EXP"/>
    <s v="B1601"/>
    <s v="BL16"/>
    <s v="P12 P2P accruals 2019/20, 8034140, DULUX DECORATOR CENTRE 360"/>
    <n v="-16"/>
    <n v="-1.6E-2"/>
  </r>
  <r>
    <s v="S22"/>
    <x v="23"/>
    <s v="AJ"/>
    <n v="10347981"/>
    <d v="2020-04-03T00:00:00"/>
    <n v="202101"/>
    <s v="1"/>
    <s v="EXP"/>
    <s v="B1601"/>
    <s v="AC20"/>
    <s v="P12 P2P accruals 2019/20, 8039020, ALLIANCE DISPOSABLES LTD"/>
    <n v="-10.98"/>
    <n v="-1.098E-2"/>
  </r>
  <r>
    <s v="S22"/>
    <x v="23"/>
    <s v="AJ"/>
    <n v="10347981"/>
    <d v="2020-04-03T00:00:00"/>
    <n v="202101"/>
    <s v="1"/>
    <s v="EXP"/>
    <s v="B1001"/>
    <s v="HT60"/>
    <s v="P12 P2P accruals 2019/20, 8035783, OXFORD DIRECT SERVICES LTD"/>
    <n v="-820"/>
    <n v="-0.82"/>
  </r>
  <r>
    <s v="S22"/>
    <x v="25"/>
    <s v="AJ"/>
    <n v="10347981"/>
    <d v="2020-04-03T00:00:00"/>
    <n v="202101"/>
    <s v="1"/>
    <s v="EXP"/>
    <s v="B1103"/>
    <s v="BL16"/>
    <s v="P12 P2P accruals 2019/20, 8036385, ACTIVE SERVICINGUK LTD T/A ACTIVE WASHROOMS"/>
    <n v="-244.5"/>
    <n v="-0.2445"/>
  </r>
  <r>
    <s v="S22"/>
    <x v="27"/>
    <s v="AJ"/>
    <n v="10348521"/>
    <d v="2020-04-28T00:00:00"/>
    <n v="202101"/>
    <s v="1"/>
    <s v="EXP"/>
    <s v="D3418"/>
    <s v="AE22"/>
    <s v="10348428 Event Mgt fee May Morning 20 instalment 1, SYGMA SAFETY &amp; EVENTS LTD"/>
    <n v="-12218"/>
    <n v="-12.218"/>
  </r>
  <r>
    <s v="S22"/>
    <x v="23"/>
    <s v="AJ"/>
    <n v="10348539"/>
    <d v="2020-04-30T00:00:00"/>
    <n v="202101"/>
    <s v="1"/>
    <s v="EXP"/>
    <s v="B1001"/>
    <s v="HT60"/>
    <s v="reverse 10347980 PO 8035783 not required"/>
    <n v="820"/>
    <n v="0.82"/>
  </r>
  <r>
    <s v="S22"/>
    <x v="23"/>
    <s v="AJ"/>
    <n v="10348539"/>
    <d v="2020-04-30T00:00:00"/>
    <n v="202101"/>
    <s v="1"/>
    <s v="EXP"/>
    <s v="B1001"/>
    <s v="HT60"/>
    <s v="reverse 10347980 PO 8036052 not required"/>
    <n v="1170"/>
    <n v="1.17"/>
  </r>
  <r>
    <s v="S22"/>
    <x v="23"/>
    <s v="AJ"/>
    <n v="10348539"/>
    <d v="2020-04-30T00:00:00"/>
    <n v="202101"/>
    <s v="1"/>
    <s v="EXP"/>
    <s v="B1001"/>
    <s v="HT60"/>
    <s v="reverse 10347980 PO 8036053 not required"/>
    <n v="1240"/>
    <n v="1.24"/>
  </r>
  <r>
    <s v="S22"/>
    <x v="23"/>
    <s v="AJ"/>
    <n v="10348539"/>
    <d v="2020-04-30T00:00:00"/>
    <n v="202101"/>
    <s v="1"/>
    <s v="EXP"/>
    <s v="B1001"/>
    <s v="HT60"/>
    <s v="reverse 10347980 PO 8036050 not required"/>
    <n v="1240"/>
    <n v="1.24"/>
  </r>
  <r>
    <s v="S22"/>
    <x v="23"/>
    <s v="AJ"/>
    <n v="10348539"/>
    <d v="2020-04-30T00:00:00"/>
    <n v="202101"/>
    <s v="1"/>
    <s v="EXP"/>
    <s v="B1001"/>
    <s v="HT60"/>
    <s v="reverse 10347980 PO 8036051 not required"/>
    <n v="1520"/>
    <n v="1.52"/>
  </r>
  <r>
    <s v="S22"/>
    <x v="23"/>
    <s v="AJ"/>
    <n v="10348539"/>
    <d v="2020-04-30T00:00:00"/>
    <n v="202101"/>
    <s v="1"/>
    <s v="EXP"/>
    <s v="B1001"/>
    <s v="HT60"/>
    <s v="reverse 10347980 PO 8036134 not required"/>
    <n v="2095"/>
    <n v="2.0950000000000002"/>
  </r>
  <r>
    <s v="S22"/>
    <x v="23"/>
    <s v="AJ"/>
    <n v="10347981"/>
    <d v="2020-04-03T00:00:00"/>
    <n v="202101"/>
    <s v="1"/>
    <s v="EXP"/>
    <s v="B1101"/>
    <s v="HT60"/>
    <s v="P12 P2P accruals 2019/20, 8038917, OXFORD DIRECT SERVICES TRADING LTD"/>
    <n v="-1775.8"/>
    <n v="-1.7758"/>
  </r>
  <r>
    <s v="S22"/>
    <x v="23"/>
    <s v="AJ"/>
    <n v="10347981"/>
    <d v="2020-04-03T00:00:00"/>
    <n v="202101"/>
    <s v="1"/>
    <s v="EXP"/>
    <s v="B1001"/>
    <s v="AC14"/>
    <s v="P12 P2P accruals 2019/20, 8039024, OXFORD DIRECT SERVICES TRADING LTD"/>
    <n v="-581.95000000000005"/>
    <n v="-0.58195000000000008"/>
  </r>
  <r>
    <s v="S22"/>
    <x v="25"/>
    <s v="AJ"/>
    <n v="10347981"/>
    <d v="2020-04-03T00:00:00"/>
    <n v="202101"/>
    <s v="1"/>
    <s v="EXP"/>
    <s v="B1601"/>
    <s v="BL16"/>
    <s v="P12 P2P accruals 2019/20, 8039323, ALLIANCE DISPOSABLES LTD"/>
    <n v="-71.400000000000006"/>
    <n v="-7.1400000000000005E-2"/>
  </r>
  <r>
    <s v="S22"/>
    <x v="23"/>
    <s v="AJ"/>
    <n v="10347981"/>
    <d v="2020-04-03T00:00:00"/>
    <n v="202101"/>
    <s v="1"/>
    <s v="EXP"/>
    <s v="B1601"/>
    <s v="AC14"/>
    <s v="P12 P2P accruals 2019/20, 8034174, BARTON COMMUNITY ASSOCIATION"/>
    <n v="-21.08"/>
    <n v="-2.1079999999999998E-2"/>
  </r>
  <r>
    <s v="S22"/>
    <x v="25"/>
    <s v="AJ"/>
    <n v="10347981"/>
    <d v="2020-04-03T00:00:00"/>
    <n v="202101"/>
    <s v="1"/>
    <s v="EXP"/>
    <s v="B1601"/>
    <s v="BL16"/>
    <s v="P12 P2P accruals 2019/20, 8039306, ALLIANCE DISPOSABLES LTD"/>
    <n v="-16.260000000000002"/>
    <n v="-1.626E-2"/>
  </r>
  <r>
    <s v="S22"/>
    <x v="23"/>
    <s v="AJ"/>
    <n v="10347981"/>
    <d v="2020-04-03T00:00:00"/>
    <n v="202101"/>
    <s v="1"/>
    <s v="EXP"/>
    <s v="B1103"/>
    <s v="AC20"/>
    <s v="P12 P2P accruals 2019/20, 8035187, ACTIVE SERVICINGUK LTD T/A ACTIVE WASHROOMS"/>
    <n v="-30"/>
    <n v="-0.03"/>
  </r>
  <r>
    <s v="S22"/>
    <x v="25"/>
    <s v="AJ"/>
    <n v="10347981"/>
    <d v="2020-04-03T00:00:00"/>
    <n v="202101"/>
    <s v="1"/>
    <s v="EXP"/>
    <s v="B1601"/>
    <s v="BL16"/>
    <s v="P12 P2P accruals 2019/20, 8036518, ALLIANCE DISPOSABLES LTD"/>
    <n v="-18.14"/>
    <n v="-1.814E-2"/>
  </r>
  <r>
    <s v="S22"/>
    <x v="28"/>
    <s v="AJ"/>
    <n v="10348172"/>
    <d v="2020-04-08T00:00:00"/>
    <n v="202101"/>
    <s v="1"/>
    <s v="EXP"/>
    <s v="D3702"/>
    <s v="KK06"/>
    <s v="EAF06 Cowley Road Carnival, July 2020"/>
    <n v="1000"/>
    <n v="1"/>
  </r>
  <r>
    <s v="S22"/>
    <x v="23"/>
    <s v="AJ"/>
    <n v="10347981"/>
    <d v="2020-04-03T00:00:00"/>
    <n v="202101"/>
    <s v="1"/>
    <s v="EXP"/>
    <s v="B1601"/>
    <s v="AC18"/>
    <s v="P12 P2P accruals 2019/20, 8031908, ALLIANCE DISPOSABLES LTD"/>
    <n v="-28.68"/>
    <n v="-2.8680000000000001E-2"/>
  </r>
  <r>
    <s v="S22"/>
    <x v="23"/>
    <s v="AJ"/>
    <n v="10347981"/>
    <d v="2020-04-03T00:00:00"/>
    <n v="202101"/>
    <s v="1"/>
    <s v="EXP"/>
    <s v="B1001"/>
    <s v="HT60"/>
    <s v="P12 P2P accruals 2019/20, 8036051, OXFORD DIRECT SERVICES LTD"/>
    <n v="-1520"/>
    <n v="-1.52"/>
  </r>
  <r>
    <s v="S22"/>
    <x v="23"/>
    <s v="AJ"/>
    <n v="10347981"/>
    <d v="2020-04-03T00:00:00"/>
    <n v="202101"/>
    <s v="1"/>
    <s v="EXP"/>
    <s v="B1601"/>
    <s v="AC20"/>
    <s v="P12 P2P accruals 2019/20, 8032697, ALLIANCE DISPOSABLES LTD"/>
    <n v="-14.95"/>
    <n v="-1.495E-2"/>
  </r>
  <r>
    <s v="S22"/>
    <x v="23"/>
    <s v="AJ"/>
    <n v="10347981"/>
    <d v="2020-04-03T00:00:00"/>
    <n v="202101"/>
    <s v="1"/>
    <s v="EXP"/>
    <s v="B1001"/>
    <s v="AC19"/>
    <s v="P12 P2P accruals 2019/20, 8039027, OXFORD DIRECT SERVICES TRADING LTD"/>
    <n v="-705.55"/>
    <n v="-0.7055499999999999"/>
  </r>
  <r>
    <s v="S22"/>
    <x v="25"/>
    <s v="AJ"/>
    <n v="10347981"/>
    <d v="2020-04-03T00:00:00"/>
    <n v="202101"/>
    <s v="1"/>
    <s v="EXP"/>
    <s v="B1101"/>
    <s v="BL16"/>
    <s v="P12 P2P accruals 2019/20, 8038906, EXECUTIVE SECURITY LOCKSMITHS LTD"/>
    <n v="-42"/>
    <n v="-4.2000000000000003E-2"/>
  </r>
  <r>
    <s v="S22"/>
    <x v="23"/>
    <s v="AJ"/>
    <n v="10347981"/>
    <d v="2020-04-03T00:00:00"/>
    <n v="202101"/>
    <s v="1"/>
    <s v="EXP"/>
    <s v="B1601"/>
    <s v="AC18"/>
    <s v="P12 P2P accruals 2019/20, 8031018, ALLIANCE DISPOSABLES LTD"/>
    <n v="-57.24"/>
    <n v="-5.7239999999999999E-2"/>
  </r>
  <r>
    <s v="S22"/>
    <x v="23"/>
    <s v="AJ"/>
    <n v="10347981"/>
    <d v="2020-04-03T00:00:00"/>
    <n v="202101"/>
    <s v="1"/>
    <s v="EXP"/>
    <s v="B1001"/>
    <s v="AC18"/>
    <s v="P12 P2P accruals 2019/20, 8039025, OXFORD DIRECT SERVICES TRADING LTD"/>
    <n v="-942.45"/>
    <n v="-0.94245000000000001"/>
  </r>
  <r>
    <s v="S22"/>
    <x v="23"/>
    <s v="AJ"/>
    <n v="10347981"/>
    <d v="2020-04-03T00:00:00"/>
    <n v="202101"/>
    <s v="1"/>
    <s v="EXP"/>
    <s v="B1103"/>
    <s v="AC18"/>
    <s v="P12 P2P accruals 2019/20, 8031021, GET SUPPORT IT SERVICES LIMITED"/>
    <n v="-20"/>
    <n v="-0.02"/>
  </r>
  <r>
    <s v="S22"/>
    <x v="23"/>
    <s v="AJ"/>
    <n v="10347981"/>
    <d v="2020-04-03T00:00:00"/>
    <n v="202101"/>
    <s v="1"/>
    <s v="EXP"/>
    <s v="B1001"/>
    <s v="AC19"/>
    <s v="P12 P2P accruals 2019/20, 8039026, OXFORD DIRECT SERVICES TRADING LTD"/>
    <n v="-185.4"/>
    <n v="-0.18540000000000001"/>
  </r>
  <r>
    <s v="S22"/>
    <x v="25"/>
    <s v="AJ"/>
    <n v="10347981"/>
    <d v="2020-04-03T00:00:00"/>
    <n v="202101"/>
    <s v="1"/>
    <s v="EXP"/>
    <s v="B1101"/>
    <s v="BL16"/>
    <s v="P12 P2P accruals 2019/20, 8037834, BARKER &amp; EVANS LTD"/>
    <n v="-174"/>
    <n v="-0.17399999999999999"/>
  </r>
  <r>
    <s v="S22"/>
    <x v="25"/>
    <s v="AJ"/>
    <n v="10347981"/>
    <d v="2020-04-03T00:00:00"/>
    <n v="202101"/>
    <s v="1"/>
    <s v="EXP"/>
    <s v="B1103"/>
    <s v="BL16"/>
    <s v="P12 P2P accruals 2019/20, 8036385, ACTIVE SERVICINGUK LTD T/A ACTIVE WASHROOMS"/>
    <n v="-28.5"/>
    <n v="-2.8500000000000001E-2"/>
  </r>
  <r>
    <s v="S22"/>
    <x v="27"/>
    <s v="AJ"/>
    <n v="10348128"/>
    <d v="2020-04-08T00:00:00"/>
    <n v="202101"/>
    <s v="1"/>
    <s v="EXP"/>
    <s v="D3811"/>
    <s v="KA20"/>
    <s v="2019/20 BCOS -Ramallah - deposit for 13th person"/>
    <n v="120"/>
    <n v="0.12"/>
  </r>
  <r>
    <s v="S22"/>
    <x v="23"/>
    <s v="AJ"/>
    <n v="10347981"/>
    <d v="2020-04-03T00:00:00"/>
    <n v="202101"/>
    <s v="1"/>
    <s v="EXP"/>
    <s v="B1001"/>
    <s v="AC20"/>
    <s v="P12 P2P accruals 2019/20, 8039028, OXFORD DIRECT SERVICES TRADING LTD"/>
    <n v="-1067.9000000000001"/>
    <n v="-1.0679000000000001"/>
  </r>
  <r>
    <s v="S22"/>
    <x v="23"/>
    <s v="AJ"/>
    <n v="10347981"/>
    <d v="2020-04-03T00:00:00"/>
    <n v="202101"/>
    <s v="1"/>
    <s v="EXP"/>
    <s v="B1001"/>
    <s v="HT60"/>
    <s v="P12 P2P accruals 2019/20, 8036050, OXFORD DIRECT SERVICES LTD"/>
    <n v="-1240"/>
    <n v="-1.24"/>
  </r>
  <r>
    <s v="S22"/>
    <x v="25"/>
    <s v="AJ"/>
    <n v="10347981"/>
    <d v="2020-04-03T00:00:00"/>
    <n v="202101"/>
    <s v="1"/>
    <s v="EXP"/>
    <s v="B1601"/>
    <s v="BL16"/>
    <s v="P12 P2P accruals 2019/20, 8038503, BUNZL CLEANING &amp; HYGIENE SUPPLIES"/>
    <n v="-112.44"/>
    <n v="-0.11244"/>
  </r>
  <r>
    <s v="S22"/>
    <x v="25"/>
    <s v="AJ"/>
    <n v="10347981"/>
    <d v="2020-04-03T00:00:00"/>
    <n v="202101"/>
    <s v="1"/>
    <s v="EXP"/>
    <s v="B1601"/>
    <s v="BL16"/>
    <s v="P12 P2P accruals 2019/20, 8039323, ALLIANCE DISPOSABLES LTD"/>
    <n v="-71.400000000000006"/>
    <n v="-7.1400000000000005E-2"/>
  </r>
  <r>
    <s v="S22"/>
    <x v="23"/>
    <s v="AJ"/>
    <n v="10347981"/>
    <d v="2020-04-03T00:00:00"/>
    <n v="202101"/>
    <s v="1"/>
    <s v="EXP"/>
    <s v="B1601"/>
    <s v="AC18"/>
    <s v="P12 P2P accruals 2019/20, 8038274, ALLIANCE DISPOSABLES LTD"/>
    <n v="-91.14"/>
    <n v="-9.1139999999999999E-2"/>
  </r>
  <r>
    <s v="S22"/>
    <x v="25"/>
    <s v="AJ"/>
    <n v="10347981"/>
    <d v="2020-04-03T00:00:00"/>
    <n v="202101"/>
    <s v="1"/>
    <s v="EXP"/>
    <s v="B1101"/>
    <s v="BL16"/>
    <s v="P12 P2P accruals 2019/20, 8039132, EXECUTIVE SECURITY LOCKSMITHS LTD"/>
    <n v="-73.3"/>
    <n v="-7.3300000000000004E-2"/>
  </r>
  <r>
    <s v="S22"/>
    <x v="25"/>
    <s v="AJ"/>
    <n v="10347981"/>
    <d v="2020-04-03T00:00:00"/>
    <n v="202101"/>
    <s v="1"/>
    <s v="EXP"/>
    <s v="B1601"/>
    <s v="BL16"/>
    <s v="P12 P2P accruals 2019/20, 8039306, ALLIANCE DISPOSABLES LTD"/>
    <n v="-16.260000000000002"/>
    <n v="-1.626E-2"/>
  </r>
  <r>
    <s v="S22"/>
    <x v="26"/>
    <s v="AJ"/>
    <n v="10348519"/>
    <d v="2020-04-29T00:00:00"/>
    <n v="202101"/>
    <s v="1"/>
    <s v="EXP"/>
    <s v="B7045"/>
    <s v="AG10"/>
    <s v="reverse 10348493 as duplicated"/>
    <n v="-7362.74"/>
    <n v="-7.3627399999999996"/>
  </r>
  <r>
    <s v="S22"/>
    <x v="23"/>
    <s v="AJ"/>
    <n v="10347981"/>
    <d v="2020-04-03T00:00:00"/>
    <n v="202101"/>
    <s v="1"/>
    <s v="EXP"/>
    <s v="B1601"/>
    <s v="AC18"/>
    <s v="P12 P2P accruals 2019/20, 8037248, ALLIANCE DISPOSABLES LTD"/>
    <n v="-43.75"/>
    <n v="-4.3749999999999997E-2"/>
  </r>
  <r>
    <s v="S22"/>
    <x v="23"/>
    <s v="AJ"/>
    <n v="10347981"/>
    <d v="2020-04-03T00:00:00"/>
    <n v="202101"/>
    <s v="1"/>
    <s v="EXP"/>
    <s v="B1103"/>
    <s v="AC20"/>
    <s v="P12 P2P accruals 2019/20, 8035182, ACTIVE SERVICINGUK LTD T/A ACTIVE WASHROOMS"/>
    <n v="-14.08"/>
    <n v="-1.4080000000000001E-2"/>
  </r>
  <r>
    <s v="S22"/>
    <x v="24"/>
    <s v="AJ"/>
    <n v="10347981"/>
    <d v="2020-04-03T00:00:00"/>
    <n v="202101"/>
    <s v="1"/>
    <s v="EXP"/>
    <s v="B1101"/>
    <s v="AB05"/>
    <s v="P12 P2P accruals 2019/20, 8037932, PRICE &amp; MYERS LLP"/>
    <n v="-680"/>
    <n v="-0.68"/>
  </r>
  <r>
    <s v="S22"/>
    <x v="25"/>
    <s v="AJ"/>
    <n v="10347981"/>
    <d v="2020-04-03T00:00:00"/>
    <n v="202101"/>
    <s v="1"/>
    <s v="EXP"/>
    <s v="B1601"/>
    <s v="BL16"/>
    <s v="P12 P2P accruals 2019/20, 8038960, ALLIANCE DISPOSABLES LTD"/>
    <n v="-10.71"/>
    <n v="-1.0710000000000001E-2"/>
  </r>
  <r>
    <s v="S22"/>
    <x v="25"/>
    <s v="AJ"/>
    <n v="10347981"/>
    <d v="2020-04-03T00:00:00"/>
    <n v="202101"/>
    <s v="1"/>
    <s v="EXP"/>
    <s v="B1601"/>
    <s v="BL16"/>
    <s v="P12 P2P accruals 2019/20, 8028221, ALLIANCE DISPOSABLES LTD"/>
    <n v="-20.52"/>
    <n v="-2.052E-2"/>
  </r>
  <r>
    <s v="S22"/>
    <x v="24"/>
    <s v="AJ"/>
    <n v="10347981"/>
    <d v="2020-04-03T00:00:00"/>
    <n v="202101"/>
    <s v="1"/>
    <s v="EXP"/>
    <s v="B1701"/>
    <s v="AB03"/>
    <s v="P12 P2P accruals 2019/20, 8039329, OXFORD SPORTING FACILITIES TRUST"/>
    <n v="-22509.1"/>
    <n v="-22.5091"/>
  </r>
  <r>
    <s v="S22"/>
    <x v="26"/>
    <s v="AJ"/>
    <n v="10348519"/>
    <d v="2020-04-29T00:00:00"/>
    <n v="202101"/>
    <s v="1"/>
    <s v="EXP"/>
    <s v="B7045"/>
    <s v="AG10"/>
    <s v="reverse 10348493 as duplicated"/>
    <n v="-850"/>
    <n v="-0.85"/>
  </r>
  <r>
    <s v="S22"/>
    <x v="25"/>
    <s v="AJ"/>
    <n v="10347981"/>
    <d v="2020-04-03T00:00:00"/>
    <n v="202101"/>
    <s v="1"/>
    <s v="EXP"/>
    <s v="B1601"/>
    <s v="BL16"/>
    <s v="P12 P2P accruals 2019/20, 8035861, DULUX DECORATOR CENTRE 360"/>
    <n v="-35.1"/>
    <n v="-3.5099999999999999E-2"/>
  </r>
  <r>
    <s v="S22"/>
    <x v="25"/>
    <s v="AJ"/>
    <n v="10347981"/>
    <d v="2020-04-03T00:00:00"/>
    <n v="202101"/>
    <s v="1"/>
    <s v="EXP"/>
    <s v="B1103"/>
    <s v="BL16"/>
    <s v="P12 P2P accruals 2019/20, 8039315, ACTIVE SERVICINGUK LTD T/A ACTIVE WASHROOMS"/>
    <n v="-68.5"/>
    <n v="-6.8500000000000005E-2"/>
  </r>
  <r>
    <s v="S22"/>
    <x v="23"/>
    <s v="AJ"/>
    <n v="10348077"/>
    <d v="2020-04-08T00:00:00"/>
    <n v="202101"/>
    <s v="1"/>
    <s v="INC"/>
    <s v="K9546"/>
    <s v="AC14"/>
    <s v="OXFORDSHIRE COMMUNITY WORK AGENCY LTD 25/3-23/6/20"/>
    <n v="-1500"/>
    <n v="-1.5"/>
  </r>
  <r>
    <s v="S22"/>
    <x v="23"/>
    <s v="AJ"/>
    <n v="10348077"/>
    <d v="2020-04-08T00:00:00"/>
    <n v="202101"/>
    <s v="1"/>
    <s v="INC"/>
    <s v="K9550"/>
    <s v="AC14"/>
    <s v="Jan18-Mar20 Rent Hedena Health"/>
    <n v="15808"/>
    <n v="15.808"/>
  </r>
  <r>
    <s v="S22"/>
    <x v="23"/>
    <s v="AJ"/>
    <n v="10348077"/>
    <d v="2020-04-08T00:00:00"/>
    <n v="202101"/>
    <s v="1"/>
    <s v="INC"/>
    <s v="K9550"/>
    <s v="AC14"/>
    <s v="OXFORD COMMUNITY WORK AGENCY L 25/3-23/6/20"/>
    <n v="-2025"/>
    <n v="-2.0249999999999999"/>
  </r>
  <r>
    <s v="S22"/>
    <x v="23"/>
    <s v="AJ"/>
    <n v="10348077"/>
    <d v="2020-04-08T00:00:00"/>
    <n v="202101"/>
    <s v="1"/>
    <s v="INC"/>
    <s v="K9550"/>
    <s v="AC20"/>
    <s v="OUH NHS FOUNDATION TRUST 25/3-23/6/20"/>
    <n v="-12000"/>
    <n v="-12"/>
  </r>
  <r>
    <s v="S22"/>
    <x v="23"/>
    <s v="AJ"/>
    <n v="10348077"/>
    <d v="2020-04-08T00:00:00"/>
    <n v="202101"/>
    <s v="1"/>
    <s v="INC"/>
    <s v="K9550"/>
    <s v="AC20"/>
    <s v="ROSE HILL COMMUNITY ASSOCIATION SOCIAL CLUB April"/>
    <n v="-3116.5"/>
    <n v="-3.1164999999999998"/>
  </r>
  <r>
    <s v="S22"/>
    <x v="23"/>
    <s v="AJ"/>
    <n v="10348077"/>
    <d v="2020-04-08T00:00:00"/>
    <n v="202101"/>
    <s v="1"/>
    <s v="INC"/>
    <s v="K9546"/>
    <s v="AC20"/>
    <s v="OUH NHS FOUNDATION TRUST 25/3-23/6/20"/>
    <n v="-3512.5"/>
    <n v="-3.5125000000000002"/>
  </r>
  <r>
    <s v="S22"/>
    <x v="28"/>
    <s v="AJ"/>
    <n v="10348034"/>
    <d v="2020-04-07T00:00:00"/>
    <n v="202101"/>
    <s v="1"/>
    <s v="EXP"/>
    <s v="A0108"/>
    <s v="KF03"/>
    <s v="P12 Newall C (Reed)"/>
    <n v="-6499"/>
    <n v="-6.4989999999999997"/>
  </r>
  <r>
    <s v="S22"/>
    <x v="27"/>
    <s v="AJ"/>
    <n v="10348191"/>
    <d v="2020-04-08T00:00:00"/>
    <n v="202101"/>
    <s v="1"/>
    <s v="EXP"/>
    <s v="D3401"/>
    <s v="AE18"/>
    <s v="Euton expenses Oct19 - Mar"/>
    <n v="-170.9"/>
    <n v="-0.1709"/>
  </r>
  <r>
    <s v="S22"/>
    <x v="23"/>
    <s v="AJ"/>
    <n v="10348429"/>
    <d v="2020-04-24T00:00:00"/>
    <n v="202101"/>
    <s v="1"/>
    <s v="INC"/>
    <s v="K9501"/>
    <s v="AC19"/>
    <s v="Accrued income 19/20: 30002088, FUSION OXFORDS COMMUNITY ARTS AGENCY LTD"/>
    <n v="13243.99"/>
    <n v="13.24399"/>
  </r>
  <r>
    <s v="S22"/>
    <x v="23"/>
    <s v="AJ"/>
    <n v="10348429"/>
    <d v="2020-04-24T00:00:00"/>
    <n v="202101"/>
    <s v="1"/>
    <s v="INC"/>
    <s v="K9550"/>
    <s v="AC14"/>
    <s v="Accrued income 19/20: Rent Barton Neighbourhood Centre, HEADENA HEALTH LTD"/>
    <n v="22500"/>
    <n v="22.5"/>
  </r>
  <r>
    <s v="S22"/>
    <x v="24"/>
    <s v="AJ"/>
    <n v="10348043"/>
    <d v="2020-04-07T00:00:00"/>
    <n v="202101"/>
    <s v="1"/>
    <s v="INC"/>
    <s v="K9159"/>
    <s v="AB03"/>
    <s v="Utilities adj 19-20"/>
    <n v="160000"/>
    <n v="160"/>
  </r>
  <r>
    <s v="S22"/>
    <x v="24"/>
    <s v="AJ"/>
    <n v="10348043"/>
    <d v="2020-04-07T00:00:00"/>
    <n v="202101"/>
    <s v="1"/>
    <s v="INC"/>
    <s v="K9159"/>
    <s v="AB03"/>
    <s v="19-20 Lake Street Nursery HNK utility recharge"/>
    <n v="2200"/>
    <n v="2.2000000000000002"/>
  </r>
  <r>
    <s v="S22"/>
    <x v="24"/>
    <s v="AJ"/>
    <n v="10348043"/>
    <d v="2020-04-07T00:00:00"/>
    <n v="202101"/>
    <s v="1"/>
    <s v="INC"/>
    <s v="K9159"/>
    <s v="AB03"/>
    <s v="19-20 FLC JUA recharge from County Council"/>
    <n v="42580"/>
    <n v="42.58"/>
  </r>
  <r>
    <s v="S22"/>
    <x v="24"/>
    <s v="AJ"/>
    <n v="10348043"/>
    <d v="2020-04-07T00:00:00"/>
    <n v="202101"/>
    <s v="1"/>
    <s v="INC"/>
    <s v="K9159"/>
    <s v="AB03"/>
    <s v="FLC Squash lease recharges (OSFT) Jan to Mar 2020"/>
    <n v="5600"/>
    <n v="5.6"/>
  </r>
  <r>
    <s v="S22"/>
    <x v="24"/>
    <s v="AJ"/>
    <n v="10348043"/>
    <d v="2020-04-07T00:00:00"/>
    <n v="202101"/>
    <s v="1"/>
    <s v="INC"/>
    <s v="K9159"/>
    <s v="AB03"/>
    <s v="19-20 BSAC HNK utility recharge"/>
    <n v="560"/>
    <n v="0.56000000000000005"/>
  </r>
  <r>
    <s v="S22"/>
    <x v="24"/>
    <s v="AJ"/>
    <n v="10348043"/>
    <d v="2020-04-07T00:00:00"/>
    <n v="202101"/>
    <s v="1"/>
    <s v="INC"/>
    <s v="K9159"/>
    <s v="AB03"/>
    <s v="Squash Court Reimbursement Jan - Dec 19"/>
    <n v="22509.1"/>
    <n v="22.5091"/>
  </r>
  <r>
    <s v="S22"/>
    <x v="25"/>
    <s v="AJ"/>
    <n v="10348038"/>
    <d v="2020-04-07T00:00:00"/>
    <n v="202101"/>
    <s v="1"/>
    <s v="INC"/>
    <s v="K9404"/>
    <s v="BL10"/>
    <s v="58888 - 06/07/202019 WEDDING CEREMONY"/>
    <n v="-227.08"/>
    <n v="-0.22708"/>
  </r>
  <r>
    <s v="S22"/>
    <x v="25"/>
    <s v="AJ"/>
    <n v="10348038"/>
    <d v="2020-04-07T00:00:00"/>
    <n v="202101"/>
    <s v="1"/>
    <s v="INC"/>
    <s v="K9404"/>
    <s v="BL10"/>
    <s v="63434 30/08/2020 - Ceremony"/>
    <n v="-625"/>
    <n v="-0.625"/>
  </r>
  <r>
    <s v="S22"/>
    <x v="25"/>
    <s v="AJ"/>
    <n v="10348038"/>
    <d v="2020-04-07T00:00:00"/>
    <n v="202101"/>
    <s v="1"/>
    <s v="INC"/>
    <s v="K9540"/>
    <s v="BL10"/>
    <s v="65595 22/10/2020 - DipSi Students"/>
    <n v="-375"/>
    <n v="-0.375"/>
  </r>
  <r>
    <s v="S22"/>
    <x v="25"/>
    <s v="AJ"/>
    <n v="10348038"/>
    <d v="2020-04-07T00:00:00"/>
    <n v="202101"/>
    <s v="1"/>
    <s v="INC"/>
    <s v="K9540"/>
    <s v="BL10"/>
    <s v="14/11/2020 Reversal of 51361448"/>
    <n v="1089"/>
    <n v="1.089"/>
  </r>
  <r>
    <s v="S22"/>
    <x v="25"/>
    <s v="AJ"/>
    <n v="10348038"/>
    <d v="2020-04-07T00:00:00"/>
    <n v="202101"/>
    <s v="1"/>
    <s v="INC"/>
    <s v="K9540"/>
    <s v="BL10"/>
    <s v="66114 30/04/2020 - Global Justice"/>
    <n v="-112.5"/>
    <n v="-0.1125"/>
  </r>
  <r>
    <s v="S22"/>
    <x v="25"/>
    <s v="AJ"/>
    <n v="10348038"/>
    <d v="2020-04-07T00:00:00"/>
    <n v="202101"/>
    <s v="1"/>
    <s v="INC"/>
    <s v="K9404"/>
    <s v="BL10"/>
    <s v="61715 31/08/2020 - Wedding Ceremony"/>
    <n v="-262.5"/>
    <n v="-0.26250000000000001"/>
  </r>
  <r>
    <s v="S22"/>
    <x v="25"/>
    <s v="AJ"/>
    <n v="10348038"/>
    <d v="2020-04-07T00:00:00"/>
    <n v="202101"/>
    <s v="1"/>
    <s v="INC"/>
    <s v="K9404"/>
    <s v="BL10"/>
    <s v="62584 22/08/2020 - Ceremony"/>
    <n v="-262.5"/>
    <n v="-0.26250000000000001"/>
  </r>
  <r>
    <s v="S22"/>
    <x v="25"/>
    <s v="AJ"/>
    <n v="10348038"/>
    <d v="2020-04-07T00:00:00"/>
    <n v="202101"/>
    <s v="1"/>
    <s v="INC"/>
    <s v="K9404"/>
    <s v="BL10"/>
    <s v="62556 04/07/2020 -Ceremony"/>
    <n v="-262.5"/>
    <n v="-0.26250000000000001"/>
  </r>
  <r>
    <s v="S22"/>
    <x v="25"/>
    <s v="AJ"/>
    <n v="10348038"/>
    <d v="2020-04-07T00:00:00"/>
    <n v="202101"/>
    <s v="1"/>
    <s v="INC"/>
    <s v="K9404"/>
    <s v="BL10"/>
    <s v="62180 11/07/2020 - Ceremony"/>
    <n v="-1353.75"/>
    <n v="-1.35375"/>
  </r>
  <r>
    <s v="S22"/>
    <x v="25"/>
    <s v="AJ"/>
    <n v="10348038"/>
    <d v="2020-04-07T00:00:00"/>
    <n v="202101"/>
    <s v="1"/>
    <s v="INC"/>
    <s v="K9404"/>
    <s v="BL10"/>
    <s v="62922 13/06/2020 - Ceremony"/>
    <n v="-262.5"/>
    <n v="-0.26250000000000001"/>
  </r>
  <r>
    <s v="S22"/>
    <x v="25"/>
    <s v="AJ"/>
    <n v="10348038"/>
    <d v="2020-04-07T00:00:00"/>
    <n v="202101"/>
    <s v="1"/>
    <s v="INC"/>
    <s v="K9540"/>
    <s v="BL10"/>
    <s v="65174 07/04/2020 - Oxford Cowley Congregation"/>
    <n v="-187.5"/>
    <n v="-0.1875"/>
  </r>
  <r>
    <s v="S22"/>
    <x v="25"/>
    <s v="AJ"/>
    <n v="10348034"/>
    <d v="2020-04-07T00:00:00"/>
    <n v="202101"/>
    <s v="1"/>
    <s v="EXP"/>
    <s v="A0108"/>
    <s v="BL16"/>
    <s v="P12 Howlett V (Reed)"/>
    <n v="-445.45"/>
    <n v="-0.44545000000000001"/>
  </r>
  <r>
    <s v="S22"/>
    <x v="26"/>
    <s v="AJ"/>
    <n v="10348539"/>
    <d v="2020-04-30T00:00:00"/>
    <n v="202101"/>
    <s v="1"/>
    <s v="EXP"/>
    <s v="B7045"/>
    <s v="AG10"/>
    <s v="reverse 10347970 PO 8039373 not required"/>
    <n v="850"/>
    <n v="0.85"/>
  </r>
  <r>
    <s v="S22"/>
    <x v="25"/>
    <s v="AJ"/>
    <n v="10348038"/>
    <d v="2020-04-07T00:00:00"/>
    <n v="202101"/>
    <s v="1"/>
    <s v="INC"/>
    <s v="K9401"/>
    <s v="BL10"/>
    <s v="16/05/2020 Refund of 51320774"/>
    <n v="337.5"/>
    <n v="0.33750000000000002"/>
  </r>
  <r>
    <s v="S22"/>
    <x v="26"/>
    <s v="AJ"/>
    <n v="10348539"/>
    <d v="2020-04-30T00:00:00"/>
    <n v="202101"/>
    <s v="1"/>
    <s v="EXP"/>
    <s v="B7045"/>
    <s v="AG10"/>
    <s v="reverse 10347970 PO 8039373 not required"/>
    <n v="200"/>
    <n v="0.2"/>
  </r>
  <r>
    <s v="S22"/>
    <x v="26"/>
    <s v="AJ"/>
    <n v="10348539"/>
    <d v="2020-04-30T00:00:00"/>
    <n v="202101"/>
    <s v="1"/>
    <s v="EXP"/>
    <s v="B7045"/>
    <s v="AG10"/>
    <s v="reverse 10347970 PO 8039044 not required"/>
    <n v="2049.75"/>
    <n v="2.04975"/>
  </r>
  <r>
    <s v="S22"/>
    <x v="25"/>
    <s v="AJ"/>
    <n v="10348038"/>
    <d v="2020-04-07T00:00:00"/>
    <n v="202101"/>
    <s v="1"/>
    <s v="INC"/>
    <s v="K9401"/>
    <s v="BL10"/>
    <s v="62454 16/04/2020 - BASK Coference"/>
    <n v="-150"/>
    <n v="-0.15"/>
  </r>
  <r>
    <s v="S22"/>
    <x v="26"/>
    <s v="AJ"/>
    <n v="10348539"/>
    <d v="2020-04-30T00:00:00"/>
    <n v="202101"/>
    <s v="1"/>
    <s v="EXP"/>
    <s v="D3401"/>
    <s v="AG13"/>
    <s v="reverse 10347970 PO 8038313 not required"/>
    <n v="1705"/>
    <n v="1.7050000000000001"/>
  </r>
  <r>
    <s v="S22"/>
    <x v="26"/>
    <s v="AJ"/>
    <n v="10348539"/>
    <d v="2020-04-30T00:00:00"/>
    <n v="202101"/>
    <s v="1"/>
    <s v="EXP"/>
    <s v="D3401"/>
    <s v="AG13"/>
    <s v="reverse 10347970 PO 8038313 not required"/>
    <n v="2480"/>
    <n v="2.48"/>
  </r>
  <r>
    <s v="S22"/>
    <x v="25"/>
    <s v="AJ"/>
    <n v="10348038"/>
    <d v="2020-04-07T00:00:00"/>
    <n v="202101"/>
    <s v="1"/>
    <s v="INC"/>
    <s v="K9401"/>
    <s v="BL10"/>
    <s v="63838 18/04/2020 - ThamesCon"/>
    <n v="-420"/>
    <n v="-0.42"/>
  </r>
  <r>
    <s v="S22"/>
    <x v="25"/>
    <s v="AJ"/>
    <n v="10348038"/>
    <d v="2020-04-07T00:00:00"/>
    <n v="202101"/>
    <s v="1"/>
    <s v="INC"/>
    <s v="K9401"/>
    <s v="BL10"/>
    <s v="22/08/2020 Reverse 51338782"/>
    <n v="262.5"/>
    <n v="0.26250000000000001"/>
  </r>
  <r>
    <s v="S22"/>
    <x v="25"/>
    <s v="AJ"/>
    <n v="10348038"/>
    <d v="2020-04-07T00:00:00"/>
    <n v="202101"/>
    <s v="1"/>
    <s v="INC"/>
    <s v="K9540"/>
    <s v="BL10"/>
    <s v="64601 14/03/2021 - Oxford Bach Shoir Concert"/>
    <n v="-1551.25"/>
    <n v="-1.55125"/>
  </r>
  <r>
    <s v="S22"/>
    <x v="25"/>
    <s v="AJ"/>
    <n v="10348038"/>
    <d v="2020-04-07T00:00:00"/>
    <n v="202101"/>
    <s v="1"/>
    <s v="INC"/>
    <s v="K9540"/>
    <s v="BL10"/>
    <s v="65938 16/11/2020 - Started in Oxford"/>
    <n v="-257.5"/>
    <n v="-0.25750000000000001"/>
  </r>
  <r>
    <s v="S22"/>
    <x v="28"/>
    <s v="AJ"/>
    <n v="10348539"/>
    <d v="2020-04-30T00:00:00"/>
    <n v="202101"/>
    <s v="1"/>
    <s v="EXP"/>
    <s v="D3001"/>
    <s v="KK06"/>
    <s v="reverse 10347980 PO 8027190 not required"/>
    <n v="60"/>
    <n v="0.06"/>
  </r>
  <r>
    <s v="S22"/>
    <x v="25"/>
    <s v="AJ"/>
    <n v="10348038"/>
    <d v="2020-04-07T00:00:00"/>
    <n v="202101"/>
    <s v="1"/>
    <s v="INC"/>
    <s v="K9540"/>
    <s v="BL10"/>
    <s v="65988 12/06/2020 - Oxfordshire Reuses"/>
    <n v="-3045"/>
    <n v="-3.0449999999999999"/>
  </r>
  <r>
    <s v="S22"/>
    <x v="25"/>
    <s v="AJ"/>
    <n v="10348038"/>
    <d v="2020-04-07T00:00:00"/>
    <n v="202101"/>
    <s v="1"/>
    <s v="INC"/>
    <s v="K9540"/>
    <s v="BL10"/>
    <s v="65782 01/04/2020 - Mercy Corps Meeting"/>
    <n v="-320"/>
    <n v="-0.32"/>
  </r>
  <r>
    <s v="S22"/>
    <x v="25"/>
    <s v="AJ"/>
    <n v="10348038"/>
    <d v="2020-04-07T00:00:00"/>
    <n v="202101"/>
    <s v="1"/>
    <s v="INC"/>
    <s v="K9540"/>
    <s v="BL10"/>
    <s v="14/05/2021Reversal of 51361761"/>
    <n v="2040"/>
    <n v="2.04"/>
  </r>
  <r>
    <s v="S22"/>
    <x v="25"/>
    <s v="AJ"/>
    <n v="10348038"/>
    <d v="2020-04-07T00:00:00"/>
    <n v="202101"/>
    <s v="1"/>
    <s v="INC"/>
    <s v="K9540"/>
    <s v="BL10"/>
    <s v="62454 16/04/2020 - BASK Coference"/>
    <n v="-1085"/>
    <n v="-1.085"/>
  </r>
  <r>
    <s v="S22"/>
    <x v="27"/>
    <s v="AJ"/>
    <n v="10348539"/>
    <d v="2020-04-30T00:00:00"/>
    <n v="202101"/>
    <s v="1"/>
    <s v="EXP"/>
    <s v="D3401"/>
    <s v="AE15"/>
    <s v="reverse 10347980 PO 8038441 not required"/>
    <n v="45"/>
    <n v="4.4999999999999998E-2"/>
  </r>
  <r>
    <s v="S22"/>
    <x v="27"/>
    <s v="AJ"/>
    <n v="10348128"/>
    <d v="2020-04-08T00:00:00"/>
    <n v="202101"/>
    <s v="1"/>
    <s v="EXP"/>
    <s v="D3401"/>
    <s v="AE16"/>
    <s v="Contracts"/>
    <n v="-5000"/>
    <n v="-5"/>
  </r>
  <r>
    <s v="S22"/>
    <x v="25"/>
    <s v="AJ"/>
    <n v="10347981"/>
    <d v="2020-04-03T00:00:00"/>
    <n v="202101"/>
    <s v="1"/>
    <s v="EXP"/>
    <s v="A0108"/>
    <s v="BL16"/>
    <s v="P12 P2P accruals 2019/20, 8037117, CHAMPION EMPLOYMENT LTD"/>
    <n v="-179.63"/>
    <n v="-0.17962999999999998"/>
  </r>
  <r>
    <s v="S22"/>
    <x v="28"/>
    <s v="AJ"/>
    <n v="10348277"/>
    <d v="2020-04-08T00:00:00"/>
    <n v="202101"/>
    <s v="1"/>
    <s v="EXP"/>
    <s v="D3401"/>
    <s v="KK14"/>
    <s v="10347980 EAF03 P12 P2P accruals 2019/20, 8027702, OXFORD DIRECT SERVICES LTD"/>
    <n v="5000"/>
    <n v="5"/>
  </r>
  <r>
    <s v="S22"/>
    <x v="28"/>
    <s v="AJ"/>
    <n v="10348275"/>
    <d v="2020-04-08T00:00:00"/>
    <n v="202101"/>
    <s v="1"/>
    <s v="EXP"/>
    <s v="D3702"/>
    <s v="KK14"/>
    <s v="46304448 NAF01 Shelly Road - Dropped kerb - dupl"/>
    <n v="1000"/>
    <n v="1"/>
  </r>
  <r>
    <s v="S22"/>
    <x v="28"/>
    <s v="AJ"/>
    <n v="10348275"/>
    <d v="2020-04-08T00:00:00"/>
    <n v="202101"/>
    <s v="1"/>
    <s v="EXP"/>
    <s v="B7034"/>
    <s v="KK14"/>
    <s v="10348170 EAF02 MORRELL AVENUE ZEBRA CROSSING WORK JOB NUMBER:11166603 dupl"/>
    <n v="4166.67"/>
    <n v="4.1666699999999999"/>
  </r>
  <r>
    <s v="S22"/>
    <x v="28"/>
    <s v="AJ"/>
    <n v="10348275"/>
    <d v="2020-04-08T00:00:00"/>
    <n v="202101"/>
    <s v="1"/>
    <s v="EXP"/>
    <s v="B7034"/>
    <s v="KK14"/>
    <s v="10348169 NEAF03 CONSTRUCT 3 PAIRS OF PRAM CROSSINGS ON CROFT ROAD dupl"/>
    <n v="8400"/>
    <n v="8.4"/>
  </r>
  <r>
    <s v="S22"/>
    <x v="25"/>
    <s v="AJ"/>
    <n v="10347981"/>
    <d v="2020-04-03T00:00:00"/>
    <n v="202101"/>
    <s v="1"/>
    <s v="EXP"/>
    <s v="A0108"/>
    <s v="BL16"/>
    <s v="P12 P2P accruals 2019/20, 8037117, CHAMPION EMPLOYMENT LTD"/>
    <n v="-179.63"/>
    <n v="-0.17962999999999998"/>
  </r>
  <r>
    <s v="S22"/>
    <x v="28"/>
    <s v="AJ"/>
    <n v="10348275"/>
    <d v="2020-04-08T00:00:00"/>
    <n v="202101"/>
    <s v="1"/>
    <s v="EXP"/>
    <s v="D3401"/>
    <s v="KK14"/>
    <s v="10347980 P12 P2P accruals 2019/20, 8027454, OXFORD DIRECT SERVICES LTD dupl"/>
    <n v="5000"/>
    <n v="5"/>
  </r>
  <r>
    <s v="S22"/>
    <x v="28"/>
    <s v="AJ"/>
    <n v="10348275"/>
    <d v="2020-04-08T00:00:00"/>
    <n v="202101"/>
    <s v="1"/>
    <s v="EXP"/>
    <s v="D3401"/>
    <s v="KK14"/>
    <s v="3094711 MORRELL AVENUE ZEBRA CROSSING WORK - CIL REF: EAF02 dupl"/>
    <n v="5000"/>
    <n v="5"/>
  </r>
  <r>
    <s v="S22"/>
    <x v="25"/>
    <s v="AJ"/>
    <n v="10347981"/>
    <d v="2020-04-03T00:00:00"/>
    <n v="202101"/>
    <s v="1"/>
    <s v="EXP"/>
    <s v="A0108"/>
    <s v="BL16"/>
    <s v="P12 P2P accruals 2019/20, 8037117, CHAMPION EMPLOYMENT LTD"/>
    <n v="-179.63"/>
    <n v="-0.17962999999999998"/>
  </r>
  <r>
    <s v="S22"/>
    <x v="24"/>
    <s v="AJ"/>
    <n v="10348539"/>
    <d v="2020-04-30T00:00:00"/>
    <n v="202101"/>
    <s v="1"/>
    <s v="EXP"/>
    <s v="D3202"/>
    <s v="AB01"/>
    <s v="reverse 10347980 PO 8039311 not required"/>
    <n v="782"/>
    <n v="0.78200000000000003"/>
  </r>
  <r>
    <s v="S22"/>
    <x v="28"/>
    <s v="AJ"/>
    <n v="10347981"/>
    <d v="2020-04-03T00:00:00"/>
    <n v="202101"/>
    <s v="1"/>
    <s v="EXP"/>
    <s v="D3401"/>
    <s v="KK14"/>
    <s v="P12 P2P accruals 2019/20, 8027702, OXFORD DIRECT SERVICES LTD"/>
    <n v="-5000"/>
    <n v="-5"/>
  </r>
  <r>
    <s v="S22"/>
    <x v="25"/>
    <s v="AJ"/>
    <n v="10347981"/>
    <d v="2020-04-03T00:00:00"/>
    <n v="202101"/>
    <s v="1"/>
    <s v="EXP"/>
    <s v="D3418"/>
    <s v="BL16"/>
    <s v="P12 P2P accruals 2019/20, 8033592, SHOWSEC INTERNATIONAL LTD"/>
    <n v="-480"/>
    <n v="-0.48"/>
  </r>
  <r>
    <s v="S22"/>
    <x v="25"/>
    <s v="AJ"/>
    <n v="10347981"/>
    <d v="2020-04-03T00:00:00"/>
    <n v="202101"/>
    <s v="1"/>
    <s v="EXP"/>
    <s v="D3418"/>
    <s v="BL16"/>
    <s v="P12 P2P accruals 2019/20, 8039325, SHOWSEC INTERNATIONAL LTD"/>
    <n v="-600"/>
    <n v="-0.6"/>
  </r>
  <r>
    <s v="S22"/>
    <x v="24"/>
    <s v="AJ"/>
    <n v="10347981"/>
    <d v="2020-04-03T00:00:00"/>
    <n v="202101"/>
    <s v="1"/>
    <s v="EXP"/>
    <s v="D3301"/>
    <s v="AB01"/>
    <s v="P12 P2P accruals 2019/20, 8031026, LYRECO UK LTD"/>
    <n v="-45.44"/>
    <n v="-4.5439999999999994E-2"/>
  </r>
  <r>
    <s v="S22"/>
    <x v="23"/>
    <s v="AJ"/>
    <n v="10347981"/>
    <d v="2020-04-03T00:00:00"/>
    <n v="202101"/>
    <s v="1"/>
    <s v="EXP"/>
    <s v="D3401"/>
    <s v="AC20"/>
    <s v="P12 P2P accruals 2019/20, 8039152, HORIZON FOODSERVICE EQUIPMENT LTD"/>
    <n v="-309"/>
    <n v="-0.309"/>
  </r>
  <r>
    <s v="S22"/>
    <x v="29"/>
    <s v="AJ"/>
    <n v="10347981"/>
    <d v="2020-04-03T00:00:00"/>
    <n v="202101"/>
    <s v="1"/>
    <s v="EXP"/>
    <s v="D3001"/>
    <s v="KV06"/>
    <s v="P12 P2P accruals 2019/20, 8037871, LYRECO UK LTD"/>
    <n v="-59.06"/>
    <n v="-5.9060000000000001E-2"/>
  </r>
  <r>
    <s v="S22"/>
    <x v="28"/>
    <s v="AJ"/>
    <n v="10347981"/>
    <d v="2020-04-03T00:00:00"/>
    <n v="202101"/>
    <s v="1"/>
    <s v="EXP"/>
    <s v="D3401"/>
    <s v="EL15"/>
    <s v="P12 P2P accruals 2019/20, 8032063, RESTORE LTD"/>
    <n v="-900"/>
    <n v="-0.9"/>
  </r>
  <r>
    <s v="S22"/>
    <x v="27"/>
    <s v="AJ"/>
    <n v="10347981"/>
    <d v="2020-04-03T00:00:00"/>
    <n v="202101"/>
    <s v="1"/>
    <s v="EXP"/>
    <s v="D3401"/>
    <s v="AJ03"/>
    <s v="P12 P2P accruals 2019/20, 8029122, ANGELA CONLAN"/>
    <n v="-50"/>
    <n v="-0.05"/>
  </r>
  <r>
    <s v="S22"/>
    <x v="23"/>
    <s v="AJ"/>
    <n v="10347981"/>
    <d v="2020-04-03T00:00:00"/>
    <n v="202101"/>
    <s v="1"/>
    <s v="EXP"/>
    <s v="D3001"/>
    <s v="AC20"/>
    <s v="P12 P2P accruals 2019/20, 8039003, LIFE FITNESS UK LTD"/>
    <n v="-7540.27"/>
    <n v="-7.5402700000000005"/>
  </r>
  <r>
    <s v="S22"/>
    <x v="26"/>
    <s v="AJ"/>
    <n v="10347948"/>
    <d v="2020-04-02T00:00:00"/>
    <n v="202101"/>
    <s v="1"/>
    <s v="EXP"/>
    <s v="D8007"/>
    <s v="AG10"/>
    <s v="OXFORD CITY"/>
    <n v="-188.45"/>
    <n v="-0.18844999999999998"/>
  </r>
  <r>
    <s v="S22"/>
    <x v="23"/>
    <s v="AJ"/>
    <n v="10347981"/>
    <d v="2020-04-03T00:00:00"/>
    <n v="202101"/>
    <s v="1"/>
    <s v="EXP"/>
    <s v="D3418"/>
    <s v="AC19"/>
    <s v="P12 P2P accruals 2019/20, 8039088, OXFORD SECURITY SERVICES LTD"/>
    <n v="-157.5"/>
    <n v="-0.1575"/>
  </r>
  <r>
    <s v="S22"/>
    <x v="23"/>
    <s v="AJ"/>
    <n v="10347981"/>
    <d v="2020-04-03T00:00:00"/>
    <n v="202101"/>
    <s v="1"/>
    <s v="EXP"/>
    <s v="D3420"/>
    <s v="HT60"/>
    <s v="P12 P2P accruals 2019/20, 8038065, OXFORD DIRECT SERVICES TRADING LTD"/>
    <n v="-42.13"/>
    <n v="-4.2130000000000001E-2"/>
  </r>
  <r>
    <s v="S22"/>
    <x v="25"/>
    <s v="AJ"/>
    <n v="10347981"/>
    <d v="2020-04-03T00:00:00"/>
    <n v="202101"/>
    <s v="1"/>
    <s v="EXP"/>
    <s v="D3006"/>
    <s v="BL16"/>
    <s v="P12 P2P accruals 2019/20, 8036329, CITY AUDIO VISUAL"/>
    <n v="-100"/>
    <n v="-0.1"/>
  </r>
  <r>
    <s v="S22"/>
    <x v="26"/>
    <s v="AJ"/>
    <n v="10347981"/>
    <d v="2020-04-03T00:00:00"/>
    <n v="202101"/>
    <s v="1"/>
    <s v="EXP"/>
    <s v="D3202"/>
    <s v="AG10"/>
    <s v="P12 P2P accruals 2019/20, 8033532, ARCO LTD"/>
    <n v="-50.39"/>
    <n v="-5.0389999999999997E-2"/>
  </r>
  <r>
    <s v="S22"/>
    <x v="29"/>
    <s v="AJ"/>
    <n v="10347981"/>
    <d v="2020-04-03T00:00:00"/>
    <n v="202101"/>
    <s v="1"/>
    <s v="EXP"/>
    <s v="D3401"/>
    <s v="KV06"/>
    <s v="P12 P2P accruals 2019/20, 8028650, LITTLEMORE COMMUNITY ASSOCIATION"/>
    <n v="-56"/>
    <n v="-5.6000000000000001E-2"/>
  </r>
  <r>
    <s v="S22"/>
    <x v="29"/>
    <s v="AJ"/>
    <n v="10347981"/>
    <d v="2020-04-03T00:00:00"/>
    <n v="202101"/>
    <s v="1"/>
    <s v="EXP"/>
    <s v="D3001"/>
    <s v="KV06"/>
    <s v="P12 P2P accruals 2019/20, 8038763, LYRECO UK LTD"/>
    <n v="-229.8"/>
    <n v="-0.2298"/>
  </r>
  <r>
    <s v="S22"/>
    <x v="25"/>
    <s v="AJ"/>
    <n v="10347981"/>
    <d v="2020-04-03T00:00:00"/>
    <n v="202101"/>
    <s v="1"/>
    <s v="EXP"/>
    <s v="D3202"/>
    <s v="BL16"/>
    <s v="P12 P2P accruals 2019/20, 8038589, ARCO LTD"/>
    <n v="-11.59"/>
    <n v="-1.159E-2"/>
  </r>
  <r>
    <s v="S22"/>
    <x v="29"/>
    <s v="AJ"/>
    <n v="10347981"/>
    <d v="2020-04-03T00:00:00"/>
    <n v="202101"/>
    <s v="1"/>
    <s v="EXP"/>
    <s v="D3401"/>
    <s v="KV06"/>
    <s v="P12 P2P accruals 2019/20, 8035719, ENRICHED 4 LIFE"/>
    <n v="-140"/>
    <n v="-0.14000000000000001"/>
  </r>
  <r>
    <s v="S22"/>
    <x v="23"/>
    <s v="AJ"/>
    <n v="10347981"/>
    <d v="2020-04-03T00:00:00"/>
    <n v="202101"/>
    <s v="1"/>
    <s v="EXP"/>
    <s v="D3303"/>
    <s v="AC18"/>
    <s v="P12 P2P accruals 2019/20, 8034173, RICOH UK LTD"/>
    <n v="-228.17"/>
    <n v="-0.22816999999999998"/>
  </r>
  <r>
    <s v="S22"/>
    <x v="27"/>
    <s v="AJ"/>
    <n v="10347981"/>
    <d v="2020-04-03T00:00:00"/>
    <n v="202101"/>
    <s v="1"/>
    <s v="EXP"/>
    <s v="D3011"/>
    <s v="AJ01"/>
    <s v="P12 P2P accruals 2019/20, 8038694, RHODAWN LTD T/AS BOOKSPEED"/>
    <n v="-13.83"/>
    <n v="-1.383E-2"/>
  </r>
  <r>
    <s v="S22"/>
    <x v="23"/>
    <s v="AJ"/>
    <n v="10347981"/>
    <d v="2020-04-03T00:00:00"/>
    <n v="202101"/>
    <s v="1"/>
    <s v="EXP"/>
    <s v="D3001"/>
    <s v="AC20"/>
    <s v="P12 P2P accruals 2019/20, 8038913, LYRECO UK LTD"/>
    <n v="-103.07"/>
    <n v="-0.10306999999999999"/>
  </r>
  <r>
    <s v="S22"/>
    <x v="27"/>
    <s v="AJ"/>
    <n v="10347981"/>
    <d v="2020-04-03T00:00:00"/>
    <n v="202101"/>
    <s v="1"/>
    <s v="EXP"/>
    <s v="D3401"/>
    <s v="KA20"/>
    <s v="P12 P2P accruals 2019/20, 8039233, PETE RUSSELL"/>
    <n v="-320"/>
    <n v="-0.32"/>
  </r>
  <r>
    <s v="S22"/>
    <x v="25"/>
    <s v="AJ"/>
    <n v="10347981"/>
    <d v="2020-04-03T00:00:00"/>
    <n v="202101"/>
    <s v="1"/>
    <s v="EXP"/>
    <s v="D3001"/>
    <s v="BL16"/>
    <s v="P12 P2P accruals 2019/20, 8038842, OXFORD OFFICE FURNITURE LIMITED"/>
    <n v="-525"/>
    <n v="-0.52500000000000002"/>
  </r>
  <r>
    <s v="S22"/>
    <x v="25"/>
    <s v="AJ"/>
    <n v="10347981"/>
    <d v="2020-04-03T00:00:00"/>
    <n v="202101"/>
    <s v="1"/>
    <s v="EXP"/>
    <s v="D3006"/>
    <s v="BL16"/>
    <s v="P12 P2P accruals 2019/20, 8036329, CITY AUDIO VISUAL"/>
    <n v="-100"/>
    <n v="-0.1"/>
  </r>
  <r>
    <s v="S22"/>
    <x v="25"/>
    <s v="AJ"/>
    <n v="10347981"/>
    <d v="2020-04-03T00:00:00"/>
    <n v="202101"/>
    <s v="1"/>
    <s v="EXP"/>
    <s v="D3418"/>
    <s v="BL16"/>
    <s v="P12 P2P accruals 2019/20, 8037976, SHOWSEC INTERNATIONAL LTD"/>
    <n v="-240"/>
    <n v="-0.24"/>
  </r>
  <r>
    <s v="S22"/>
    <x v="26"/>
    <s v="AJ"/>
    <n v="10347981"/>
    <d v="2020-04-03T00:00:00"/>
    <n v="202101"/>
    <s v="1"/>
    <s v="EXP"/>
    <s v="D3429"/>
    <s v="AG10"/>
    <s v="P12 P2P accruals 2019/20, 8035657, CANTIUM BUSINESS SOLUTIONS LTD"/>
    <n v="-51"/>
    <n v="-5.0999999999999997E-2"/>
  </r>
  <r>
    <s v="S22"/>
    <x v="25"/>
    <s v="AJ"/>
    <n v="10347981"/>
    <d v="2020-04-03T00:00:00"/>
    <n v="202101"/>
    <s v="1"/>
    <s v="EXP"/>
    <s v="D3202"/>
    <s v="BL16"/>
    <s v="P12 P2P accruals 2019/20, 8038589, ARCO LTD"/>
    <n v="-11.59"/>
    <n v="-1.159E-2"/>
  </r>
  <r>
    <s v="S22"/>
    <x v="25"/>
    <s v="AJ"/>
    <n v="10347981"/>
    <d v="2020-04-03T00:00:00"/>
    <n v="202101"/>
    <s v="1"/>
    <s v="EXP"/>
    <s v="D3420"/>
    <s v="BL16"/>
    <s v="P12 P2P accruals 2019/20, 8035003, RESTORE DATASHRED LTD"/>
    <n v="-54"/>
    <n v="-5.3999999999999999E-2"/>
  </r>
  <r>
    <s v="S22"/>
    <x v="27"/>
    <s v="AJ"/>
    <n v="10347981"/>
    <d v="2020-04-03T00:00:00"/>
    <n v="202101"/>
    <s v="1"/>
    <s v="EXP"/>
    <s v="D3401"/>
    <s v="AE19"/>
    <s v="P12 P2P accruals 2019/20, 8038445, ROLAND CARLINE"/>
    <n v="-480"/>
    <n v="-0.48"/>
  </r>
  <r>
    <s v="S22"/>
    <x v="27"/>
    <s v="AJ"/>
    <n v="10347981"/>
    <d v="2020-04-03T00:00:00"/>
    <n v="202101"/>
    <s v="1"/>
    <s v="EXP"/>
    <s v="D3804"/>
    <s v="AJ01"/>
    <s v="P12 P2P accruals 2019/20, 8036289, COMPLETE IT LTD"/>
    <n v="-115.6"/>
    <n v="-0.11559999999999999"/>
  </r>
  <r>
    <s v="S22"/>
    <x v="23"/>
    <s v="AJ"/>
    <n v="10347981"/>
    <d v="2020-04-03T00:00:00"/>
    <n v="202101"/>
    <s v="1"/>
    <s v="EXP"/>
    <s v="D3401"/>
    <s v="HT60"/>
    <s v="P12 P2P accruals 2019/20, 8036055, RIGHT DIRECTIONS (MANAGEMENT) LTD"/>
    <n v="-595"/>
    <n v="-0.59499999999999997"/>
  </r>
  <r>
    <s v="S22"/>
    <x v="23"/>
    <s v="AJ"/>
    <n v="10347981"/>
    <d v="2020-04-03T00:00:00"/>
    <n v="202101"/>
    <s v="1"/>
    <s v="EXP"/>
    <s v="D3418"/>
    <s v="AC18"/>
    <s v="P12 P2P accruals 2019/20, 8039089, OXFORD SECURITY SERVICES LTD"/>
    <n v="-25"/>
    <n v="-2.5000000000000001E-2"/>
  </r>
  <r>
    <s v="S22"/>
    <x v="23"/>
    <s v="AJ"/>
    <n v="10347981"/>
    <d v="2020-04-03T00:00:00"/>
    <n v="202101"/>
    <s v="1"/>
    <s v="EXP"/>
    <s v="D3401"/>
    <s v="AC14"/>
    <s v="P12 P2P accruals 2019/20, 8038664, WARRIOR DOORS LTD"/>
    <n v="-402.85"/>
    <n v="-0.40285000000000004"/>
  </r>
  <r>
    <s v="S22"/>
    <x v="27"/>
    <s v="AJ"/>
    <n v="10347981"/>
    <d v="2020-04-03T00:00:00"/>
    <n v="202101"/>
    <s v="1"/>
    <s v="EXP"/>
    <s v="D3401"/>
    <s v="AE15"/>
    <s v="P12 P2P accruals 2019/20, 8038441, OXFORD DIRECT SERVICES LTD"/>
    <n v="-45"/>
    <n v="-4.4999999999999998E-2"/>
  </r>
  <r>
    <s v="S22"/>
    <x v="28"/>
    <s v="AJ"/>
    <n v="10347981"/>
    <d v="2020-04-03T00:00:00"/>
    <n v="202101"/>
    <s v="1"/>
    <s v="EXP"/>
    <s v="D3811"/>
    <s v="KF03"/>
    <s v="P12 P2P accruals 2019/20, 8038113, OXFORD BUS COMPANY LTD"/>
    <n v="-54"/>
    <n v="-5.3999999999999999E-2"/>
  </r>
  <r>
    <s v="S22"/>
    <x v="28"/>
    <s v="AJ"/>
    <n v="10348539"/>
    <d v="2020-04-30T00:00:00"/>
    <n v="202101"/>
    <s v="1"/>
    <s v="EXP"/>
    <s v="D3401"/>
    <s v="KK06"/>
    <s v="reverse 10347980 PO 8027183 not required"/>
    <n v="750"/>
    <n v="0.75"/>
  </r>
  <r>
    <s v="S22"/>
    <x v="23"/>
    <s v="AJ"/>
    <n v="10348420"/>
    <d v="2020-04-24T00:00:00"/>
    <n v="202101"/>
    <s v="1"/>
    <s v="EXP"/>
    <s v="D3420"/>
    <s v="HT60"/>
    <s v="Reverse 10347980 PO 8038065 not required"/>
    <n v="42.13"/>
    <n v="4.2130000000000001E-2"/>
  </r>
  <r>
    <s v="S22"/>
    <x v="25"/>
    <s v="AJ"/>
    <n v="10348420"/>
    <d v="2020-04-24T00:00:00"/>
    <n v="202101"/>
    <s v="1"/>
    <s v="EXP"/>
    <s v="D3401"/>
    <s v="BL16"/>
    <s v="Reverse 10347980 PO 8038316 not required"/>
    <n v="310.13"/>
    <n v="0.31013000000000002"/>
  </r>
  <r>
    <s v="S22"/>
    <x v="23"/>
    <s v="AJ"/>
    <n v="10348420"/>
    <d v="2020-04-24T00:00:00"/>
    <n v="202101"/>
    <s v="1"/>
    <s v="EXP"/>
    <s v="D3420"/>
    <s v="HT60"/>
    <s v="Reverse 10347980 PO 8038064 not required"/>
    <n v="38.17"/>
    <n v="3.8170000000000003E-2"/>
  </r>
  <r>
    <s v="S22"/>
    <x v="23"/>
    <s v="AJ"/>
    <n v="10348420"/>
    <d v="2020-04-24T00:00:00"/>
    <n v="202101"/>
    <s v="1"/>
    <s v="EXP"/>
    <s v="D3420"/>
    <s v="HT60"/>
    <s v="Reverse 10347980 PO 8031904 not required"/>
    <n v="200"/>
    <n v="0.2"/>
  </r>
  <r>
    <s v="S22"/>
    <x v="23"/>
    <s v="AJ"/>
    <n v="10348420"/>
    <d v="2020-04-24T00:00:00"/>
    <n v="202101"/>
    <s v="1"/>
    <s v="EXP"/>
    <s v="D3420"/>
    <s v="HT60"/>
    <s v="Reverse 10347980 PO 8038066 not required"/>
    <n v="211.06"/>
    <n v="0.21106"/>
  </r>
  <r>
    <s v="S22"/>
    <x v="23"/>
    <s v="AJ"/>
    <n v="10348420"/>
    <d v="2020-04-24T00:00:00"/>
    <n v="202101"/>
    <s v="1"/>
    <s v="EXP"/>
    <s v="D3420"/>
    <s v="HT60"/>
    <s v="Reverse 10347980 PO 8038063 not required"/>
    <n v="90.16"/>
    <n v="9.015999999999999E-2"/>
  </r>
  <r>
    <s v="S22"/>
    <x v="23"/>
    <s v="AJ"/>
    <n v="10348420"/>
    <d v="2020-04-24T00:00:00"/>
    <n v="202101"/>
    <s v="1"/>
    <s v="EXP"/>
    <s v="D3420"/>
    <s v="AC19"/>
    <s v="Reverse 10347980 PO 8037173 not required"/>
    <n v="1387.27"/>
    <n v="1.38727"/>
  </r>
  <r>
    <s v="S22"/>
    <x v="23"/>
    <s v="AJ"/>
    <n v="10348420"/>
    <d v="2020-04-24T00:00:00"/>
    <n v="202101"/>
    <s v="1"/>
    <s v="EXP"/>
    <s v="D3420"/>
    <s v="AC14"/>
    <s v="Reverse 10347980 PO 8037169 not required"/>
    <n v="165.88"/>
    <n v="0.16588"/>
  </r>
  <r>
    <s v="S22"/>
    <x v="23"/>
    <s v="AJ"/>
    <n v="10348420"/>
    <d v="2020-04-24T00:00:00"/>
    <n v="202101"/>
    <s v="1"/>
    <s v="EXP"/>
    <s v="D3420"/>
    <s v="AC18"/>
    <s v="Reverse 10347980 PO 8037172 not required"/>
    <n v="1092.8800000000001"/>
    <n v="1.0928800000000001"/>
  </r>
  <r>
    <s v="S22"/>
    <x v="25"/>
    <s v="AJ"/>
    <n v="10348420"/>
    <d v="2020-04-24T00:00:00"/>
    <n v="202101"/>
    <s v="1"/>
    <s v="EXP"/>
    <s v="D3420"/>
    <s v="BL16"/>
    <s v="Unpaid waste invoice 56017253"/>
    <n v="-2302.7600000000002"/>
    <n v="-2.3027600000000001"/>
  </r>
  <r>
    <s v="S22"/>
    <x v="25"/>
    <s v="AJ"/>
    <n v="10348420"/>
    <d v="2020-04-24T00:00:00"/>
    <n v="202101"/>
    <s v="1"/>
    <s v="EXP"/>
    <s v="D3021"/>
    <s v="BL16"/>
    <s v="Reverse 10347980 PO 8038242 not required"/>
    <n v="75"/>
    <n v="7.4999999999999997E-2"/>
  </r>
  <r>
    <s v="S22"/>
    <x v="27"/>
    <s v="AJ"/>
    <n v="10348429"/>
    <d v="2020-04-24T00:00:00"/>
    <n v="202101"/>
    <s v="1"/>
    <s v="EXP"/>
    <s v="D3418"/>
    <s v="AE22"/>
    <s v="Prepayment: Event Management fee for May Morning 2020 instalment 1, SYGMA SAFETY &amp; EVENTS LTD"/>
    <n v="12218"/>
    <n v="12.218"/>
  </r>
  <r>
    <s v="S22"/>
    <x v="23"/>
    <s v="AJ"/>
    <n v="10348431"/>
    <d v="2020-04-24T00:00:00"/>
    <n v="202101"/>
    <s v="1"/>
    <s v="EXP"/>
    <s v="D3420"/>
    <s v="AC20"/>
    <s v="Reverse 10347980 PO 8038201 not required"/>
    <n v="191.27"/>
    <n v="0.19127000000000002"/>
  </r>
  <r>
    <s v="S22"/>
    <x v="23"/>
    <s v="AJ"/>
    <n v="10348431"/>
    <d v="2020-04-24T00:00:00"/>
    <n v="202101"/>
    <s v="1"/>
    <s v="EXP"/>
    <s v="D3420"/>
    <s v="AC20"/>
    <s v="Reverse 10347980 PO 8032977 not required"/>
    <n v="160.18"/>
    <n v="0.16018000000000002"/>
  </r>
  <r>
    <s v="S22"/>
    <x v="23"/>
    <s v="AJ"/>
    <n v="10348431"/>
    <d v="2020-04-24T00:00:00"/>
    <n v="202101"/>
    <s v="1"/>
    <s v="EXP"/>
    <s v="D3420"/>
    <s v="AC20"/>
    <s v="Reverse 10347980 PO 8037167 not required"/>
    <n v="1854"/>
    <n v="1.8540000000000001"/>
  </r>
  <r>
    <s v="S22"/>
    <x v="27"/>
    <s v="AJ"/>
    <n v="10348431"/>
    <d v="2020-04-24T00:00:00"/>
    <n v="202101"/>
    <s v="1"/>
    <s v="EXP"/>
    <s v="D3401"/>
    <s v="AE16"/>
    <s v="Reverse 10347980 PO 8036835 not required"/>
    <n v="446"/>
    <n v="0.44600000000000001"/>
  </r>
  <r>
    <s v="S22"/>
    <x v="25"/>
    <s v="AJ"/>
    <n v="10348273"/>
    <d v="2020-04-08T00:00:00"/>
    <n v="202101"/>
    <s v="1"/>
    <s v="INC"/>
    <s v="K9550"/>
    <s v="BL10"/>
    <s v="Q4 19-20  Profit &amp; Share Oxford Innovation Ltd rev"/>
    <n v="20687"/>
    <n v="20.687000000000001"/>
  </r>
  <r>
    <s v="S22"/>
    <x v="25"/>
    <s v="AJ"/>
    <n v="10348273"/>
    <d v="2020-04-08T00:00:00"/>
    <n v="202101"/>
    <s v="1"/>
    <s v="INC"/>
    <s v="K9550"/>
    <s v="BL10"/>
    <s v="Q4 19-20  Profit &amp; Share Oxford Innovation Ltd rev"/>
    <n v="-12500"/>
    <n v="-12.5"/>
  </r>
  <r>
    <s v="S22"/>
    <x v="25"/>
    <s v="AJ"/>
    <n v="10348038"/>
    <d v="2020-04-07T00:00:00"/>
    <n v="202101"/>
    <s v="1"/>
    <s v="INC"/>
    <s v="K9404"/>
    <s v="BL10"/>
    <s v="65097 01/08/2020 - Wedding"/>
    <n v="-137.5"/>
    <n v="-0.13750000000000001"/>
  </r>
  <r>
    <s v="S22"/>
    <x v="25"/>
    <s v="AJ"/>
    <n v="10348038"/>
    <d v="2020-04-07T00:00:00"/>
    <n v="202101"/>
    <s v="1"/>
    <s v="INC"/>
    <s v="K9404"/>
    <s v="BL10"/>
    <s v="65246 01/08/2020 - Wedding"/>
    <n v="-262.5"/>
    <n v="-0.26250000000000001"/>
  </r>
  <r>
    <s v="S22"/>
    <x v="25"/>
    <s v="AJ"/>
    <n v="10348038"/>
    <d v="2020-04-07T00:00:00"/>
    <n v="202101"/>
    <s v="1"/>
    <s v="INC"/>
    <s v="K9401"/>
    <s v="BL10"/>
    <s v="65839 03/04/2020 - Oxford Brookes Real Estate Ball"/>
    <n v="-180"/>
    <n v="-0.18"/>
  </r>
  <r>
    <s v="S22"/>
    <x v="25"/>
    <s v="AJ"/>
    <n v="10348038"/>
    <d v="2020-04-07T00:00:00"/>
    <n v="202101"/>
    <s v="1"/>
    <s v="INC"/>
    <s v="K9208"/>
    <s v="BL10"/>
    <s v="63601 19/06/202019 DILIGENCE GLOBAL"/>
    <n v="-81"/>
    <n v="-8.1000000000000003E-2"/>
  </r>
  <r>
    <s v="S22"/>
    <x v="25"/>
    <s v="AJ"/>
    <n v="10348038"/>
    <d v="2020-04-07T00:00:00"/>
    <n v="202101"/>
    <s v="1"/>
    <s v="INC"/>
    <s v="K9401"/>
    <s v="BL10"/>
    <s v="64341 29/05/2020 - Party"/>
    <n v="-315"/>
    <n v="-0.315"/>
  </r>
  <r>
    <s v="S22"/>
    <x v="25"/>
    <s v="AJ"/>
    <n v="10348038"/>
    <d v="2020-04-07T00:00:00"/>
    <n v="202101"/>
    <s v="1"/>
    <s v="INC"/>
    <s v="K9401"/>
    <s v="BL10"/>
    <s v="18/04/2020 Reversal of 51364035"/>
    <n v="420"/>
    <n v="0.42"/>
  </r>
  <r>
    <s v="S22"/>
    <x v="25"/>
    <s v="AJ"/>
    <n v="10348038"/>
    <d v="2020-04-07T00:00:00"/>
    <n v="202101"/>
    <s v="1"/>
    <s v="INC"/>
    <s v="K9403"/>
    <s v="BL10"/>
    <s v="20/12/202019 SHARED CHRISTMAS PARTY"/>
    <n v="-247.5"/>
    <n v="-0.2475"/>
  </r>
  <r>
    <s v="S22"/>
    <x v="25"/>
    <s v="AJ"/>
    <n v="10348038"/>
    <d v="2020-04-07T00:00:00"/>
    <n v="202101"/>
    <s v="1"/>
    <s v="INC"/>
    <s v="K9403"/>
    <s v="BL10"/>
    <s v="65878 11/12/2020 - Christmas Party"/>
    <n v="-3000"/>
    <n v="-3"/>
  </r>
  <r>
    <s v="S22"/>
    <x v="25"/>
    <s v="AJ"/>
    <n v="10348038"/>
    <d v="2020-04-07T00:00:00"/>
    <n v="202101"/>
    <s v="1"/>
    <s v="INC"/>
    <s v="K9540"/>
    <s v="BL10"/>
    <s v="65843 09/04/2020 - CTS Reisen Classrooms"/>
    <n v="-1800"/>
    <n v="-1.8"/>
  </r>
  <r>
    <s v="S22"/>
    <x v="25"/>
    <s v="AJ"/>
    <n v="10348038"/>
    <d v="2020-04-07T00:00:00"/>
    <n v="202101"/>
    <s v="1"/>
    <s v="INC"/>
    <s v="K9540"/>
    <s v="BL10"/>
    <s v="65677 01/11/2020 - Johnsons Coaches"/>
    <n v="-1000"/>
    <n v="-1"/>
  </r>
  <r>
    <s v="S22"/>
    <x v="25"/>
    <s v="AJ"/>
    <n v="10348038"/>
    <d v="2020-04-07T00:00:00"/>
    <n v="202101"/>
    <s v="1"/>
    <s v="INC"/>
    <s v="K9540"/>
    <s v="BL10"/>
    <s v="60799 20/06/2020 - Oxford Symphony Orchestra"/>
    <n v="-787.75"/>
    <n v="-0.78774999999999995"/>
  </r>
  <r>
    <s v="S22"/>
    <x v="25"/>
    <s v="AJ"/>
    <n v="10348038"/>
    <d v="2020-04-07T00:00:00"/>
    <n v="202101"/>
    <s v="1"/>
    <s v="INC"/>
    <s v="K9540"/>
    <s v="BL10"/>
    <s v="62201 13/03/2021 - Oxford Symphony Orchestra"/>
    <n v="-393.88"/>
    <n v="-0.39388000000000001"/>
  </r>
  <r>
    <s v="S22"/>
    <x v="25"/>
    <s v="AJ"/>
    <n v="10348038"/>
    <d v="2020-04-07T00:00:00"/>
    <n v="202101"/>
    <s v="1"/>
    <s v="INC"/>
    <s v="K9540"/>
    <s v="BL10"/>
    <s v="62829 07/08/2020 - The Job Fair"/>
    <n v="-560"/>
    <n v="-0.56000000000000005"/>
  </r>
  <r>
    <s v="S22"/>
    <x v="25"/>
    <s v="AJ"/>
    <n v="10348038"/>
    <d v="2020-04-07T00:00:00"/>
    <n v="202101"/>
    <s v="1"/>
    <s v="INC"/>
    <s v="K9540"/>
    <s v="BL10"/>
    <s v="62828 06/05/2020 - The Job Fair"/>
    <n v="-560"/>
    <n v="-0.56000000000000005"/>
  </r>
  <r>
    <s v="S22"/>
    <x v="25"/>
    <s v="AJ"/>
    <n v="10348038"/>
    <d v="2020-04-07T00:00:00"/>
    <n v="202101"/>
    <s v="1"/>
    <s v="INC"/>
    <s v="K9540"/>
    <s v="BL10"/>
    <s v="65919 28/10/2020 - Crank Start at Oxford"/>
    <n v="-379"/>
    <n v="-0.379"/>
  </r>
  <r>
    <s v="S22"/>
    <x v="25"/>
    <s v="AJ"/>
    <n v="10348038"/>
    <d v="2020-04-07T00:00:00"/>
    <n v="202101"/>
    <s v="1"/>
    <s v="INC"/>
    <s v="K9404"/>
    <s v="BL10"/>
    <s v="65630 05/09/2020 - Wedding Reception"/>
    <n v="-945"/>
    <n v="-0.94499999999999995"/>
  </r>
  <r>
    <s v="S22"/>
    <x v="25"/>
    <s v="AJ"/>
    <n v="10348038"/>
    <d v="2020-04-07T00:00:00"/>
    <n v="202101"/>
    <s v="1"/>
    <s v="INC"/>
    <s v="K9404"/>
    <s v="BL10"/>
    <s v="64022 24/10/2020 - Ceremony"/>
    <n v="-137.5"/>
    <n v="-0.13750000000000001"/>
  </r>
  <r>
    <s v="S22"/>
    <x v="25"/>
    <s v="AJ"/>
    <n v="10348038"/>
    <d v="2020-04-07T00:00:00"/>
    <n v="202101"/>
    <s v="1"/>
    <s v="INC"/>
    <s v="K9404"/>
    <s v="BL10"/>
    <s v="63534 23/05/2020 - Ceremony"/>
    <n v="-262.5"/>
    <n v="-0.26250000000000001"/>
  </r>
  <r>
    <s v="S22"/>
    <x v="25"/>
    <s v="AJ"/>
    <n v="10348038"/>
    <d v="2020-04-07T00:00:00"/>
    <n v="202101"/>
    <s v="1"/>
    <s v="INC"/>
    <s v="K9404"/>
    <s v="BL10"/>
    <s v="24/10/2020 Reversal of 51361441"/>
    <n v="137.5"/>
    <n v="0.13750000000000001"/>
  </r>
  <r>
    <s v="S22"/>
    <x v="25"/>
    <s v="AJ"/>
    <n v="10348038"/>
    <d v="2020-04-07T00:00:00"/>
    <n v="202101"/>
    <s v="1"/>
    <s v="INC"/>
    <s v="K9404"/>
    <s v="BL10"/>
    <s v="65965 06/11/2020 - Wedding"/>
    <n v="-262.5"/>
    <n v="-0.26250000000000001"/>
  </r>
  <r>
    <s v="S22"/>
    <x v="25"/>
    <s v="AJ"/>
    <n v="10348038"/>
    <d v="2020-04-07T00:00:00"/>
    <n v="202101"/>
    <s v="1"/>
    <s v="INC"/>
    <s v="K9404"/>
    <s v="BL10"/>
    <s v="66145 28/08/2021 - Wedding"/>
    <n v="-262.5"/>
    <n v="-0.26250000000000001"/>
  </r>
  <r>
    <s v="S22"/>
    <x v="25"/>
    <s v="AJ"/>
    <n v="10348038"/>
    <d v="2020-04-07T00:00:00"/>
    <n v="202101"/>
    <s v="1"/>
    <s v="INC"/>
    <s v="K9540"/>
    <s v="BL10"/>
    <s v="65030 15/05/2020 - The Bacchus Ball"/>
    <n v="-1064"/>
    <n v="-1.0640000000000001"/>
  </r>
  <r>
    <s v="S22"/>
    <x v="25"/>
    <s v="AJ"/>
    <n v="10348038"/>
    <d v="2020-04-07T00:00:00"/>
    <n v="202101"/>
    <s v="1"/>
    <s v="INC"/>
    <s v="K9540"/>
    <s v="BL10"/>
    <s v="64633 30/06/2020 - St Gregory the Great"/>
    <n v="-896.5"/>
    <n v="-0.89649999999999996"/>
  </r>
  <r>
    <s v="S22"/>
    <x v="25"/>
    <s v="AJ"/>
    <n v="10348038"/>
    <d v="2020-04-07T00:00:00"/>
    <n v="202101"/>
    <s v="1"/>
    <s v="INC"/>
    <s v="K9540"/>
    <s v="BL10"/>
    <s v="62173 01/07/2020 - Oxford Philharmonic Orchestra"/>
    <n v="-715"/>
    <n v="-0.71499999999999997"/>
  </r>
  <r>
    <s v="S22"/>
    <x v="25"/>
    <s v="AJ"/>
    <n v="10348038"/>
    <d v="2020-04-07T00:00:00"/>
    <n v="202101"/>
    <s v="1"/>
    <s v="INC"/>
    <s v="K9540"/>
    <s v="BL10"/>
    <s v="25/11/2020 Reverse 51339009"/>
    <n v="560"/>
    <n v="0.56000000000000005"/>
  </r>
  <r>
    <s v="S22"/>
    <x v="25"/>
    <s v="AJ"/>
    <n v="10348038"/>
    <d v="2020-04-07T00:00:00"/>
    <n v="202101"/>
    <s v="1"/>
    <s v="INC"/>
    <s v="K9540"/>
    <s v="BL10"/>
    <s v="63465 - 07/06/202019 DRIVING FORCE OFFICE"/>
    <n v="-450"/>
    <n v="-0.45"/>
  </r>
  <r>
    <s v="S22"/>
    <x v="25"/>
    <s v="AJ"/>
    <n v="10348038"/>
    <d v="2020-04-07T00:00:00"/>
    <n v="202101"/>
    <s v="1"/>
    <s v="INC"/>
    <s v="K9430"/>
    <s v="BL10"/>
    <s v="65782 01/04/2020 - Mercy Corps Meeting"/>
    <n v="-196"/>
    <n v="-0.19600000000000001"/>
  </r>
  <r>
    <s v="S22"/>
    <x v="25"/>
    <s v="AJ"/>
    <n v="10348038"/>
    <d v="2020-04-07T00:00:00"/>
    <n v="202101"/>
    <s v="1"/>
    <s v="INC"/>
    <s v="K9430"/>
    <s v="BL10"/>
    <s v="66104 02/04/2020 - Mercy Corps"/>
    <n v="-196"/>
    <n v="-0.19600000000000001"/>
  </r>
  <r>
    <s v="S22"/>
    <x v="25"/>
    <s v="AJ"/>
    <n v="10348038"/>
    <d v="2020-04-07T00:00:00"/>
    <n v="202101"/>
    <s v="1"/>
    <s v="INC"/>
    <s v="K9404"/>
    <s v="BL10"/>
    <s v="66097 20/06/2020 - Ceremony"/>
    <n v="-212.5"/>
    <n v="-0.21249999999999999"/>
  </r>
  <r>
    <s v="S22"/>
    <x v="25"/>
    <s v="AJ"/>
    <n v="10348038"/>
    <d v="2020-04-07T00:00:00"/>
    <n v="202101"/>
    <s v="1"/>
    <s v="INC"/>
    <s v="K9404"/>
    <s v="BL10"/>
    <s v="66304 10/10/2020 - Wedding"/>
    <n v="-212.5"/>
    <n v="-0.21249999999999999"/>
  </r>
  <r>
    <s v="S22"/>
    <x v="25"/>
    <s v="AJ"/>
    <n v="10348038"/>
    <d v="2020-04-07T00:00:00"/>
    <n v="202101"/>
    <s v="1"/>
    <s v="INC"/>
    <s v="K9404"/>
    <s v="BL10"/>
    <s v="66400 24/07/2020 - Wedding"/>
    <n v="-137.5"/>
    <n v="-0.13750000000000001"/>
  </r>
  <r>
    <s v="S22"/>
    <x v="25"/>
    <s v="AJ"/>
    <n v="10348038"/>
    <d v="2020-04-07T00:00:00"/>
    <n v="202101"/>
    <s v="1"/>
    <s v="INC"/>
    <s v="K9404"/>
    <s v="BL10"/>
    <s v="66019 02/10/2020 - Wedding"/>
    <n v="-137.5"/>
    <n v="-0.13750000000000001"/>
  </r>
  <r>
    <s v="S22"/>
    <x v="25"/>
    <s v="AJ"/>
    <n v="10348038"/>
    <d v="2020-04-07T00:00:00"/>
    <n v="202101"/>
    <s v="1"/>
    <s v="INC"/>
    <s v="K9404"/>
    <s v="BL10"/>
    <s v="64971 04/09/2021 - Ceremony"/>
    <n v="-131.25"/>
    <n v="-0.13125000000000001"/>
  </r>
  <r>
    <s v="S22"/>
    <x v="25"/>
    <s v="AJ"/>
    <n v="10348038"/>
    <d v="2020-04-07T00:00:00"/>
    <n v="202101"/>
    <s v="1"/>
    <s v="INC"/>
    <s v="K9404"/>
    <s v="BL10"/>
    <s v="65173 10/10/2020 - Ceremony"/>
    <n v="-131.25"/>
    <n v="-0.13125000000000001"/>
  </r>
  <r>
    <s v="S22"/>
    <x v="25"/>
    <s v="AJ"/>
    <n v="10348038"/>
    <d v="2020-04-07T00:00:00"/>
    <n v="202101"/>
    <s v="1"/>
    <s v="INC"/>
    <s v="K9404"/>
    <s v="BL10"/>
    <s v="64381 31/07/2021 - Ceremony"/>
    <n v="-262.5"/>
    <n v="-0.26250000000000001"/>
  </r>
  <r>
    <s v="S22"/>
    <x v="25"/>
    <s v="AJ"/>
    <n v="10348038"/>
    <d v="2020-04-07T00:00:00"/>
    <n v="202101"/>
    <s v="1"/>
    <s v="INC"/>
    <s v="K9540"/>
    <s v="BL10"/>
    <s v="60392 - 04/10/202019 GIN FESTIVAL"/>
    <n v="-1930"/>
    <n v="-1.93"/>
  </r>
  <r>
    <s v="S22"/>
    <x v="25"/>
    <s v="AJ"/>
    <n v="10348038"/>
    <d v="2020-04-07T00:00:00"/>
    <n v="202101"/>
    <s v="1"/>
    <s v="INC"/>
    <s v="K9540"/>
    <s v="BL10"/>
    <s v="61079 - 29/11/202019 BIG COUNTRY CONCERT"/>
    <n v="-875"/>
    <n v="-0.875"/>
  </r>
  <r>
    <s v="S22"/>
    <x v="25"/>
    <s v="AJ"/>
    <n v="10348038"/>
    <d v="2020-04-07T00:00:00"/>
    <n v="202101"/>
    <s v="1"/>
    <s v="INC"/>
    <s v="K9540"/>
    <s v="BL10"/>
    <s v="63291 - 11/04/2020 TANGO FESTIVAL"/>
    <n v="-870"/>
    <n v="-0.87"/>
  </r>
  <r>
    <s v="S22"/>
    <x v="25"/>
    <s v="AJ"/>
    <n v="10348038"/>
    <d v="2020-04-07T00:00:00"/>
    <n v="202101"/>
    <s v="1"/>
    <s v="INC"/>
    <s v="K9540"/>
    <s v="BL10"/>
    <s v="01/05/2020 Reversal of 51362524"/>
    <n v="720"/>
    <n v="0.72"/>
  </r>
  <r>
    <s v="S22"/>
    <x v="25"/>
    <s v="AJ"/>
    <n v="10348038"/>
    <d v="2020-04-07T00:00:00"/>
    <n v="202101"/>
    <s v="1"/>
    <s v="INC"/>
    <s v="K9540"/>
    <s v="BL10"/>
    <s v="15/05/2020 Refund of 51362511"/>
    <n v="1064"/>
    <n v="1.0640000000000001"/>
  </r>
  <r>
    <s v="S22"/>
    <x v="25"/>
    <s v="AJ"/>
    <n v="10348038"/>
    <d v="2020-04-07T00:00:00"/>
    <n v="202101"/>
    <s v="1"/>
    <s v="INC"/>
    <s v="K9540"/>
    <s v="BL10"/>
    <s v="59160 16/05/2020 - OURFC - Dinner"/>
    <n v="-1332"/>
    <n v="-1.3320000000000001"/>
  </r>
  <r>
    <s v="S22"/>
    <x v="25"/>
    <s v="AJ"/>
    <n v="10348038"/>
    <d v="2020-04-07T00:00:00"/>
    <n v="202101"/>
    <s v="1"/>
    <s v="INC"/>
    <s v="K9540"/>
    <s v="BL10"/>
    <s v="65919 28/10/2020 - Crank Start in Oxford"/>
    <n v="-379"/>
    <n v="-0.379"/>
  </r>
  <r>
    <s v="S22"/>
    <x v="25"/>
    <s v="AJ"/>
    <n v="10348038"/>
    <d v="2020-04-07T00:00:00"/>
    <n v="202101"/>
    <s v="1"/>
    <s v="INC"/>
    <s v="K9540"/>
    <s v="BL10"/>
    <s v="64881 06/07/2020 - 14/08/2020 - Classrooms"/>
    <n v="-18225"/>
    <n v="-18.225000000000001"/>
  </r>
  <r>
    <s v="S22"/>
    <x v="25"/>
    <s v="AJ"/>
    <n v="10348038"/>
    <d v="2020-04-07T00:00:00"/>
    <n v="202101"/>
    <s v="1"/>
    <s v="INC"/>
    <s v="K9540"/>
    <s v="BL10"/>
    <s v="12/05/2020 - APSE"/>
    <n v="-400"/>
    <n v="-0.4"/>
  </r>
  <r>
    <s v="S22"/>
    <x v="25"/>
    <s v="AJ"/>
    <n v="10348038"/>
    <d v="2020-04-07T00:00:00"/>
    <n v="202101"/>
    <s v="1"/>
    <s v="INC"/>
    <s v="K9430"/>
    <s v="BL10"/>
    <s v="65174 07/04/2020 - Oxford Cowley Congregation"/>
    <n v="-100"/>
    <n v="-0.1"/>
  </r>
  <r>
    <s v="S22"/>
    <x v="25"/>
    <s v="AJ"/>
    <n v="10348038"/>
    <d v="2020-04-07T00:00:00"/>
    <n v="202101"/>
    <s v="1"/>
    <s v="INC"/>
    <s v="K9430"/>
    <s v="BL10"/>
    <s v="63280 24/04/2020 - E F Graduation"/>
    <n v="-350"/>
    <n v="-0.35"/>
  </r>
  <r>
    <s v="S22"/>
    <x v="25"/>
    <s v="AJ"/>
    <n v="10348038"/>
    <d v="2020-04-07T00:00:00"/>
    <n v="202101"/>
    <s v="1"/>
    <s v="INC"/>
    <s v="K9430"/>
    <s v="BL10"/>
    <s v="17/06/2020 Reversal of 51363779"/>
    <n v="100"/>
    <n v="0.1"/>
  </r>
  <r>
    <s v="S22"/>
    <x v="25"/>
    <s v="AJ"/>
    <n v="10348038"/>
    <d v="2020-04-07T00:00:00"/>
    <n v="202101"/>
    <s v="1"/>
    <s v="INC"/>
    <s v="K9208"/>
    <s v="BL10"/>
    <s v="63465 - 07/06/202019 DRIVING FORCE OFFICE"/>
    <n v="-57"/>
    <n v="-5.7000000000000002E-2"/>
  </r>
  <r>
    <s v="S22"/>
    <x v="25"/>
    <s v="AJ"/>
    <n v="10348038"/>
    <d v="2020-04-07T00:00:00"/>
    <n v="202101"/>
    <s v="1"/>
    <s v="INC"/>
    <s v="K9208"/>
    <s v="BL10"/>
    <s v="63465 11/06/202019 NASA CATERING"/>
    <n v="-189.75"/>
    <n v="-0.18975"/>
  </r>
  <r>
    <s v="S22"/>
    <x v="25"/>
    <s v="AJ"/>
    <n v="10348038"/>
    <d v="2020-04-07T00:00:00"/>
    <n v="202101"/>
    <s v="1"/>
    <s v="INC"/>
    <s v="K9208"/>
    <s v="BL10"/>
    <s v="63491 10/06/202019 OXFORD UK EXCELLENCE"/>
    <n v="-54.6"/>
    <n v="-5.4600000000000003E-2"/>
  </r>
  <r>
    <s v="S22"/>
    <x v="25"/>
    <s v="AJ"/>
    <n v="10348038"/>
    <d v="2020-04-07T00:00:00"/>
    <n v="202101"/>
    <s v="1"/>
    <s v="INC"/>
    <s v="K9401"/>
    <s v="BL10"/>
    <s v="Refund of 51348127 10/05/2020"/>
    <n v="625"/>
    <n v="0.625"/>
  </r>
  <r>
    <s v="S22"/>
    <x v="25"/>
    <s v="AJ"/>
    <n v="10348038"/>
    <d v="2020-04-07T00:00:00"/>
    <n v="202101"/>
    <s v="1"/>
    <s v="INC"/>
    <s v="K9401"/>
    <s v="BL10"/>
    <s v="Reversal of 51356830 64563 22/08/2020"/>
    <n v="262.5"/>
    <n v="0.26250000000000001"/>
  </r>
  <r>
    <s v="S22"/>
    <x v="25"/>
    <s v="AJ"/>
    <n v="10348038"/>
    <d v="2020-04-07T00:00:00"/>
    <n v="202101"/>
    <s v="1"/>
    <s v="INC"/>
    <s v="K9404"/>
    <s v="BL10"/>
    <s v="64617 30/07/2020 - Civil Ceremony"/>
    <n v="-114.59"/>
    <n v="-0.11459"/>
  </r>
  <r>
    <s v="S22"/>
    <x v="25"/>
    <s v="AJ"/>
    <n v="10348038"/>
    <d v="2020-04-07T00:00:00"/>
    <n v="202101"/>
    <s v="1"/>
    <s v="INC"/>
    <s v="K9404"/>
    <s v="BL10"/>
    <s v="64347 18/07/2020 - Ceremony / Reception"/>
    <n v="-1073.75"/>
    <n v="-1.07375"/>
  </r>
  <r>
    <s v="S22"/>
    <x v="25"/>
    <s v="AJ"/>
    <n v="10348038"/>
    <d v="2020-04-07T00:00:00"/>
    <n v="202101"/>
    <s v="1"/>
    <s v="INC"/>
    <s v="K9540"/>
    <s v="BL10"/>
    <s v="65621 01/05/2020 - Engagement Party"/>
    <n v="-720"/>
    <n v="-0.72"/>
  </r>
  <r>
    <s v="S22"/>
    <x v="25"/>
    <s v="AJ"/>
    <n v="10348038"/>
    <d v="2020-04-07T00:00:00"/>
    <n v="202101"/>
    <s v="1"/>
    <s v="INC"/>
    <s v="K9540"/>
    <s v="BL10"/>
    <s v="65919 28/10/2020 - Crank Start"/>
    <n v="-379"/>
    <n v="-0.379"/>
  </r>
  <r>
    <s v="S22"/>
    <x v="25"/>
    <s v="AJ"/>
    <n v="10348038"/>
    <d v="2020-04-07T00:00:00"/>
    <n v="202101"/>
    <s v="1"/>
    <s v="INC"/>
    <s v="K9540"/>
    <s v="BL10"/>
    <s v="65754 08/11/2020 - Vegan Market"/>
    <n v="-500"/>
    <n v="-0.5"/>
  </r>
  <r>
    <s v="S22"/>
    <x v="25"/>
    <s v="AJ"/>
    <n v="10348038"/>
    <d v="2020-04-07T00:00:00"/>
    <n v="202101"/>
    <s v="1"/>
    <s v="INC"/>
    <s v="K9540"/>
    <s v="BL10"/>
    <s v="18/04/2020 Reversal of 51364035"/>
    <n v="2500"/>
    <n v="2.5"/>
  </r>
  <r>
    <s v="S22"/>
    <x v="25"/>
    <s v="AJ"/>
    <n v="10348038"/>
    <d v="2020-04-07T00:00:00"/>
    <n v="202101"/>
    <s v="1"/>
    <s v="INC"/>
    <s v="K9540"/>
    <s v="BL10"/>
    <s v="07/04/2020 Refund of 51361597"/>
    <n v="307.5"/>
    <n v="0.3075"/>
  </r>
  <r>
    <s v="S22"/>
    <x v="25"/>
    <s v="AJ"/>
    <n v="10348038"/>
    <d v="2020-04-07T00:00:00"/>
    <n v="202101"/>
    <s v="1"/>
    <s v="INC"/>
    <s v="K9540"/>
    <s v="BL10"/>
    <s v="07/04/2020 Reversal of 51364038"/>
    <n v="187.5"/>
    <n v="0.1875"/>
  </r>
  <r>
    <s v="S22"/>
    <x v="25"/>
    <s v="AJ"/>
    <n v="10348038"/>
    <d v="2020-04-07T00:00:00"/>
    <n v="202101"/>
    <s v="1"/>
    <s v="INC"/>
    <s v="K9540"/>
    <s v="BL10"/>
    <s v="65810 24/06/2020 - Oxford Spires Academy"/>
    <n v="-797"/>
    <n v="-0.79700000000000004"/>
  </r>
  <r>
    <s v="S22"/>
    <x v="25"/>
    <s v="AJ"/>
    <n v="10348038"/>
    <d v="2020-04-07T00:00:00"/>
    <n v="202101"/>
    <s v="1"/>
    <s v="INC"/>
    <s v="K9540"/>
    <s v="BL10"/>
    <s v="65385 20/11/2020 - MCS Concert"/>
    <n v="-975"/>
    <n v="-0.97499999999999998"/>
  </r>
  <r>
    <s v="S22"/>
    <x v="25"/>
    <s v="AJ"/>
    <n v="10348038"/>
    <d v="2020-04-07T00:00:00"/>
    <n v="202101"/>
    <s v="1"/>
    <s v="INC"/>
    <s v="K9540"/>
    <s v="BL10"/>
    <s v="66164 27/11/2020 - Oxford Hindu"/>
    <n v="-1560"/>
    <n v="-1.56"/>
  </r>
  <r>
    <s v="S22"/>
    <x v="25"/>
    <s v="AJ"/>
    <n v="10348038"/>
    <d v="2020-04-07T00:00:00"/>
    <n v="202101"/>
    <s v="1"/>
    <s v="INC"/>
    <s v="K9411"/>
    <s v="BL10"/>
    <s v="10/10/2020 Reversal of 51359336"/>
    <n v="131.25"/>
    <n v="0.13125000000000001"/>
  </r>
  <r>
    <s v="S22"/>
    <x v="25"/>
    <s v="AJ"/>
    <n v="10348038"/>
    <d v="2020-04-07T00:00:00"/>
    <n v="202101"/>
    <s v="1"/>
    <s v="INC"/>
    <s v="K9411"/>
    <s v="BL10"/>
    <s v="04/09/2021 Reversal 51359335"/>
    <n v="131.25"/>
    <n v="0.13125000000000001"/>
  </r>
  <r>
    <s v="S22"/>
    <x v="25"/>
    <s v="AJ"/>
    <n v="10348038"/>
    <d v="2020-04-07T00:00:00"/>
    <n v="202101"/>
    <s v="1"/>
    <s v="INC"/>
    <s v="K9430"/>
    <s v="BL10"/>
    <s v="63465 - 07/06/202019 DRIVING FORCE OFFICE"/>
    <n v="-100"/>
    <n v="-0.1"/>
  </r>
  <r>
    <s v="S22"/>
    <x v="25"/>
    <s v="AJ"/>
    <n v="10348038"/>
    <d v="2020-04-07T00:00:00"/>
    <n v="202101"/>
    <s v="1"/>
    <s v="INC"/>
    <s v="K9430"/>
    <s v="BL10"/>
    <s v="63102 - 26/06/202019 CO-OPERATIVES FORTNIGHT CELEBRATION"/>
    <n v="-50"/>
    <n v="-0.05"/>
  </r>
  <r>
    <s v="S22"/>
    <x v="25"/>
    <s v="AJ"/>
    <n v="10348038"/>
    <d v="2020-04-07T00:00:00"/>
    <n v="202101"/>
    <s v="1"/>
    <s v="INC"/>
    <s v="K9430"/>
    <s v="BL10"/>
    <s v="63151 - 01/08/202019 OASIS BROTHERS CEREMONY"/>
    <n v="-50"/>
    <n v="-0.05"/>
  </r>
  <r>
    <s v="S22"/>
    <x v="25"/>
    <s v="AJ"/>
    <n v="10348038"/>
    <d v="2020-04-07T00:00:00"/>
    <n v="202101"/>
    <s v="1"/>
    <s v="INC"/>
    <s v="K9430"/>
    <s v="BL10"/>
    <s v="12/05/2020 - APSE"/>
    <n v="-100"/>
    <n v="-0.1"/>
  </r>
  <r>
    <s v="S22"/>
    <x v="25"/>
    <s v="AJ"/>
    <n v="10348038"/>
    <d v="2020-04-07T00:00:00"/>
    <n v="202101"/>
    <s v="1"/>
    <s v="INC"/>
    <s v="K9430"/>
    <s v="BL10"/>
    <s v="65782 01/04/2020 - Mercy  Corps"/>
    <n v="-196"/>
    <n v="-0.19600000000000001"/>
  </r>
  <r>
    <s v="S22"/>
    <x v="25"/>
    <s v="AJ"/>
    <n v="10348038"/>
    <d v="2020-04-07T00:00:00"/>
    <n v="202101"/>
    <s v="1"/>
    <s v="INC"/>
    <s v="K9430"/>
    <s v="BL10"/>
    <s v="01/04/2020Reversal of 51362479"/>
    <n v="196"/>
    <n v="0.19600000000000001"/>
  </r>
  <r>
    <s v="S22"/>
    <x v="25"/>
    <s v="AJ"/>
    <n v="10348038"/>
    <d v="2020-04-07T00:00:00"/>
    <n v="202101"/>
    <s v="1"/>
    <s v="INC"/>
    <s v="K9404"/>
    <s v="BL10"/>
    <s v="65382 12/09/2020 - Ceremony"/>
    <n v="-262.5"/>
    <n v="-0.26250000000000001"/>
  </r>
  <r>
    <s v="S22"/>
    <x v="25"/>
    <s v="AJ"/>
    <n v="10348038"/>
    <d v="2020-04-07T00:00:00"/>
    <n v="202101"/>
    <s v="1"/>
    <s v="INC"/>
    <s v="K9540"/>
    <s v="BL10"/>
    <s v="14/08/2020 Reversal of 51361092"/>
    <n v="18225"/>
    <n v="18.225000000000001"/>
  </r>
  <r>
    <s v="S22"/>
    <x v="25"/>
    <s v="AJ"/>
    <n v="10348038"/>
    <d v="2020-04-07T00:00:00"/>
    <n v="202101"/>
    <s v="1"/>
    <s v="INC"/>
    <s v="K9540"/>
    <s v="BL10"/>
    <s v="27/06/2020 Refund od 51326360"/>
    <n v="365"/>
    <n v="0.36499999999999999"/>
  </r>
  <r>
    <s v="S22"/>
    <x v="25"/>
    <s v="AJ"/>
    <n v="10348038"/>
    <d v="2020-04-07T00:00:00"/>
    <n v="202101"/>
    <s v="1"/>
    <s v="INC"/>
    <s v="K9540"/>
    <s v="BL10"/>
    <s v="28/10/2020 Reversal of 51364300"/>
    <n v="379"/>
    <n v="0.379"/>
  </r>
  <r>
    <s v="S22"/>
    <x v="25"/>
    <s v="AJ"/>
    <n v="10348038"/>
    <d v="2020-04-07T00:00:00"/>
    <n v="202101"/>
    <s v="1"/>
    <s v="INC"/>
    <s v="K9404"/>
    <s v="BL10"/>
    <s v="63371 - 13/06/202020 WEDDING CEREMONY"/>
    <n v="-325"/>
    <n v="-0.32500000000000001"/>
  </r>
  <r>
    <s v="S22"/>
    <x v="25"/>
    <s v="AJ"/>
    <n v="10348038"/>
    <d v="2020-04-07T00:00:00"/>
    <n v="202101"/>
    <s v="1"/>
    <s v="INC"/>
    <s v="K9404"/>
    <s v="BL10"/>
    <s v="63111 - 18/09/2020 WEDDING CEREMONY"/>
    <n v="-293.75"/>
    <n v="-0.29375000000000001"/>
  </r>
  <r>
    <s v="S22"/>
    <x v="25"/>
    <s v="AJ"/>
    <n v="10348038"/>
    <d v="2020-04-07T00:00:00"/>
    <n v="202101"/>
    <s v="1"/>
    <s v="INC"/>
    <s v="K9403"/>
    <s v="BL10"/>
    <s v="65878 11/12/2020 - Christmas Party"/>
    <n v="-3000"/>
    <n v="-3"/>
  </r>
  <r>
    <s v="S22"/>
    <x v="25"/>
    <s v="AJ"/>
    <n v="10348038"/>
    <d v="2020-04-07T00:00:00"/>
    <n v="202101"/>
    <s v="1"/>
    <s v="INC"/>
    <s v="K9404"/>
    <s v="BL10"/>
    <s v="62108 17/07/2020 - Ceremony"/>
    <n v="-262.5"/>
    <n v="-0.26250000000000001"/>
  </r>
  <r>
    <s v="S22"/>
    <x v="25"/>
    <s v="AJ"/>
    <n v="10348038"/>
    <d v="2020-04-07T00:00:00"/>
    <n v="202101"/>
    <s v="1"/>
    <s v="INC"/>
    <s v="K9404"/>
    <s v="BL10"/>
    <s v="61899 25/04/2020 - Ceremony"/>
    <n v="-262.5"/>
    <n v="-0.26250000000000001"/>
  </r>
  <r>
    <s v="S22"/>
    <x v="25"/>
    <s v="AJ"/>
    <n v="10348038"/>
    <d v="2020-04-07T00:00:00"/>
    <n v="202101"/>
    <s v="1"/>
    <s v="INC"/>
    <s v="K9404"/>
    <s v="BL10"/>
    <s v="63541 18/07/2020 - Ceremony"/>
    <n v="-262.5"/>
    <n v="-0.26250000000000001"/>
  </r>
  <r>
    <s v="S22"/>
    <x v="25"/>
    <s v="AJ"/>
    <n v="10348038"/>
    <d v="2020-04-07T00:00:00"/>
    <n v="202101"/>
    <s v="1"/>
    <s v="INC"/>
    <s v="K9404"/>
    <s v="BL10"/>
    <s v="63428 10/05/2020 - Ceremony"/>
    <n v="-625"/>
    <n v="-0.625"/>
  </r>
  <r>
    <s v="S22"/>
    <x v="25"/>
    <s v="AJ"/>
    <n v="10348038"/>
    <d v="2020-04-07T00:00:00"/>
    <n v="202101"/>
    <s v="1"/>
    <s v="INC"/>
    <s v="K9540"/>
    <s v="BL10"/>
    <s v="66025 29/08/2020 - Private Dining"/>
    <n v="-320"/>
    <n v="-0.32"/>
  </r>
  <r>
    <s v="S22"/>
    <x v="25"/>
    <s v="AJ"/>
    <n v="10348038"/>
    <d v="2020-04-07T00:00:00"/>
    <n v="202101"/>
    <s v="1"/>
    <s v="INC"/>
    <s v="K9540"/>
    <s v="BL10"/>
    <s v="63280 24/04/2020 - E F Graduation"/>
    <n v="-1872.5"/>
    <n v="-1.8725000000000001"/>
  </r>
  <r>
    <s v="S22"/>
    <x v="25"/>
    <s v="AJ"/>
    <n v="10348038"/>
    <d v="2020-04-07T00:00:00"/>
    <n v="202101"/>
    <s v="1"/>
    <s v="INC"/>
    <s v="K9540"/>
    <s v="BL10"/>
    <s v="63878 01/04/2020 - Soundshift"/>
    <n v="-1416"/>
    <n v="-1.4159999999999999"/>
  </r>
  <r>
    <s v="S22"/>
    <x v="25"/>
    <s v="AJ"/>
    <n v="10348038"/>
    <d v="2020-04-07T00:00:00"/>
    <n v="202101"/>
    <s v="1"/>
    <s v="INC"/>
    <s v="K9540"/>
    <s v="BL10"/>
    <s v="27/06/2020 Refund of 51323318 Oxford Harmonic Choir"/>
    <n v="365"/>
    <n v="0.36499999999999999"/>
  </r>
  <r>
    <s v="S22"/>
    <x v="25"/>
    <s v="AJ"/>
    <n v="10348038"/>
    <d v="2020-04-07T00:00:00"/>
    <n v="202101"/>
    <s v="1"/>
    <s v="INC"/>
    <s v="K9540"/>
    <s v="BL10"/>
    <s v="65745 17/05/2020 - Vegan Market"/>
    <n v="-1415"/>
    <n v="-1.415"/>
  </r>
  <r>
    <s v="S22"/>
    <x v="25"/>
    <s v="AJ"/>
    <n v="10348038"/>
    <d v="2020-04-07T00:00:00"/>
    <n v="202101"/>
    <s v="1"/>
    <s v="INC"/>
    <s v="K9540"/>
    <s v="BL10"/>
    <s v="62454 16/04/2020 - BASK Conference Dinner"/>
    <n v="-1265"/>
    <n v="-1.2649999999999999"/>
  </r>
  <r>
    <s v="S22"/>
    <x v="25"/>
    <s v="AJ"/>
    <n v="10348038"/>
    <d v="2020-04-07T00:00:00"/>
    <n v="202101"/>
    <s v="1"/>
    <s v="INC"/>
    <s v="K9540"/>
    <s v="BL10"/>
    <s v="63280 24/04/2020 - EF Graduation Ceremony"/>
    <n v="-2292.5"/>
    <n v="-2.2925"/>
  </r>
  <r>
    <s v="S22"/>
    <x v="25"/>
    <s v="AJ"/>
    <n v="10348038"/>
    <d v="2020-04-07T00:00:00"/>
    <n v="202101"/>
    <s v="1"/>
    <s v="INC"/>
    <s v="K9540"/>
    <s v="BL10"/>
    <s v="63300 26/05/2020 - St Clares Graduation"/>
    <n v="-3306"/>
    <n v="-3.306"/>
  </r>
  <r>
    <s v="S22"/>
    <x v="25"/>
    <s v="AJ"/>
    <n v="10348038"/>
    <d v="2020-04-07T00:00:00"/>
    <n v="202101"/>
    <s v="1"/>
    <s v="INC"/>
    <s v="K9540"/>
    <s v="BL10"/>
    <s v="63350 - 21/11/202019 DIWALI BALL"/>
    <n v="-1400"/>
    <n v="-1.4"/>
  </r>
  <r>
    <s v="S22"/>
    <x v="25"/>
    <s v="AJ"/>
    <n v="10348038"/>
    <d v="2020-04-07T00:00:00"/>
    <n v="202101"/>
    <s v="1"/>
    <s v="INC"/>
    <s v="K9404"/>
    <s v="BL10"/>
    <s v="63680 06/06/2020 - Ceremony"/>
    <n v="-262.5"/>
    <n v="-0.26250000000000001"/>
  </r>
  <r>
    <s v="S22"/>
    <x v="25"/>
    <s v="AJ"/>
    <n v="10348038"/>
    <d v="2020-04-07T00:00:00"/>
    <n v="202101"/>
    <s v="1"/>
    <s v="INC"/>
    <s v="K9404"/>
    <s v="BL10"/>
    <s v="64203 31/07/2020 - Wedding"/>
    <n v="-262.5"/>
    <n v="-0.26250000000000001"/>
  </r>
  <r>
    <s v="S22"/>
    <x v="25"/>
    <s v="AJ"/>
    <n v="10348038"/>
    <d v="2020-04-07T00:00:00"/>
    <n v="202101"/>
    <s v="1"/>
    <s v="INC"/>
    <s v="K9404"/>
    <s v="BL10"/>
    <s v="63741 26/06/2020 - Reception"/>
    <n v="-1108.3399999999999"/>
    <n v="-1.1083399999999999"/>
  </r>
  <r>
    <s v="S22"/>
    <x v="25"/>
    <s v="AJ"/>
    <n v="10348038"/>
    <d v="2020-04-07T00:00:00"/>
    <n v="202101"/>
    <s v="1"/>
    <s v="INC"/>
    <s v="K9404"/>
    <s v="BL10"/>
    <s v="65059 09/08/2020 - Wedding"/>
    <n v="-982.5"/>
    <n v="-0.98250000000000004"/>
  </r>
  <r>
    <s v="S22"/>
    <x v="25"/>
    <s v="AJ"/>
    <n v="10348038"/>
    <d v="2020-04-07T00:00:00"/>
    <n v="202101"/>
    <s v="1"/>
    <s v="INC"/>
    <s v="K9404"/>
    <s v="BL10"/>
    <s v="65611 08/08/2020 - Wedding"/>
    <n v="-1680"/>
    <n v="-1.68"/>
  </r>
  <r>
    <s v="S22"/>
    <x v="25"/>
    <s v="AJ"/>
    <n v="10348038"/>
    <d v="2020-04-07T00:00:00"/>
    <n v="202101"/>
    <s v="1"/>
    <s v="INC"/>
    <s v="K9540"/>
    <s v="BL10"/>
    <s v="65113 30/10/2020 - Oxford Brookes Caledonian Society"/>
    <n v="-2096"/>
    <n v="-2.0960000000000001"/>
  </r>
  <r>
    <s v="S22"/>
    <x v="25"/>
    <s v="AJ"/>
    <n v="10348038"/>
    <d v="2020-04-07T00:00:00"/>
    <n v="202101"/>
    <s v="1"/>
    <s v="INC"/>
    <s v="K9540"/>
    <s v="BL10"/>
    <s v="65440 09/07/2020 - Nature Based Solution"/>
    <n v="-520"/>
    <n v="-0.52"/>
  </r>
  <r>
    <s v="S22"/>
    <x v="25"/>
    <s v="AJ"/>
    <n v="10348038"/>
    <d v="2020-04-07T00:00:00"/>
    <n v="202101"/>
    <s v="1"/>
    <s v="INC"/>
    <s v="K9540"/>
    <s v="BL10"/>
    <s v="02/06/2020 Refund of 51360585"/>
    <n v="225"/>
    <n v="0.22500000000000001"/>
  </r>
  <r>
    <s v="S22"/>
    <x v="25"/>
    <s v="AJ"/>
    <n v="10348038"/>
    <d v="2020-04-07T00:00:00"/>
    <n v="202101"/>
    <s v="1"/>
    <s v="INC"/>
    <s v="K9540"/>
    <s v="BL10"/>
    <s v="63708 06/07/2020 Oxford Tradition Classrooms"/>
    <n v="-12540"/>
    <n v="-12.54"/>
  </r>
  <r>
    <s v="S22"/>
    <x v="25"/>
    <s v="AJ"/>
    <n v="10348038"/>
    <d v="2020-04-07T00:00:00"/>
    <n v="202101"/>
    <s v="1"/>
    <s v="INC"/>
    <s v="K9540"/>
    <s v="BL10"/>
    <s v="62003 03/10/2020 - Cancer Research UK"/>
    <n v="-1090"/>
    <n v="-1.0900000000000001"/>
  </r>
  <r>
    <s v="S22"/>
    <x v="25"/>
    <s v="AJ"/>
    <n v="10348038"/>
    <d v="2020-04-07T00:00:00"/>
    <n v="202101"/>
    <s v="1"/>
    <s v="INC"/>
    <s v="K9540"/>
    <s v="BL10"/>
    <s v="63556 - 13/07/202019 VINTAGE KILO SALE"/>
    <n v="-1430"/>
    <n v="-1.43"/>
  </r>
  <r>
    <s v="S22"/>
    <x v="25"/>
    <s v="AJ"/>
    <n v="10348038"/>
    <d v="2020-04-07T00:00:00"/>
    <n v="202101"/>
    <s v="1"/>
    <s v="INC"/>
    <s v="K9540"/>
    <s v="BL10"/>
    <s v="60084 27/06/2020 - Oxford Harmonic Choir"/>
    <n v="-365"/>
    <n v="-0.36499999999999999"/>
  </r>
  <r>
    <s v="S22"/>
    <x v="25"/>
    <s v="AJ"/>
    <n v="10348038"/>
    <d v="2020-04-07T00:00:00"/>
    <n v="202101"/>
    <s v="1"/>
    <s v="INC"/>
    <s v="K9540"/>
    <s v="BL10"/>
    <s v="63151 - 01/08/202019 OASIS BROTHERS CEREMONY"/>
    <n v="-800"/>
    <n v="-0.8"/>
  </r>
  <r>
    <s v="S22"/>
    <x v="25"/>
    <s v="AJ"/>
    <n v="10348038"/>
    <d v="2020-04-07T00:00:00"/>
    <n v="202101"/>
    <s v="1"/>
    <s v="INC"/>
    <s v="K9540"/>
    <s v="BL10"/>
    <s v="63151 - 05/08/202019 &amp; 22/08/202019 CEREMONY"/>
    <n v="-880"/>
    <n v="-0.88"/>
  </r>
  <r>
    <s v="S22"/>
    <x v="25"/>
    <s v="AJ"/>
    <n v="10348038"/>
    <d v="2020-04-07T00:00:00"/>
    <n v="202101"/>
    <s v="1"/>
    <s v="INC"/>
    <s v="K9540"/>
    <s v="BL10"/>
    <s v="61060 08/07/202019 - 02/08/202019 OXBRIDGE TRADITION"/>
    <n v="-11880"/>
    <n v="-11.88"/>
  </r>
  <r>
    <s v="S22"/>
    <x v="29"/>
    <s v="AJ"/>
    <n v="10348094"/>
    <d v="2020-04-08T00:00:00"/>
    <n v="202101"/>
    <s v="1"/>
    <s v="INC"/>
    <s v="K9140"/>
    <s v="KV07"/>
    <s v="TVP funding  RIA"/>
    <n v="-9078"/>
    <n v="-9.0779999999999994"/>
  </r>
  <r>
    <s v="S22"/>
    <x v="29"/>
    <s v="AJ"/>
    <n v="10348094"/>
    <d v="2020-04-08T00:00:00"/>
    <n v="202101"/>
    <s v="1"/>
    <s v="INC"/>
    <s v="K9140"/>
    <s v="KV07"/>
    <s v="TVP Funding Contributions Quarter 2, 3 and 4"/>
    <n v="4500"/>
    <n v="4.5"/>
  </r>
  <r>
    <s v="S22"/>
    <x v="25"/>
    <s v="AJ"/>
    <n v="10348090"/>
    <d v="2020-04-08T00:00:00"/>
    <n v="202101"/>
    <s v="1"/>
    <s v="INC"/>
    <s v="K9550"/>
    <s v="BL10"/>
    <s v="Q4 19-20  Profit &amp; Share Oxford Innovation Ltd"/>
    <n v="12500"/>
    <n v="12.5"/>
  </r>
  <r>
    <s v="S22"/>
    <x v="25"/>
    <s v="AJ"/>
    <n v="10348090"/>
    <d v="2020-04-08T00:00:00"/>
    <n v="202101"/>
    <s v="1"/>
    <s v="INC"/>
    <s v="K9546"/>
    <s v="BL10"/>
    <s v="330501301  25/3/20  - 23/6/20"/>
    <n v="-5819.62"/>
    <n v="-5.8196199999999996"/>
  </r>
  <r>
    <s v="S22"/>
    <x v="25"/>
    <s v="AJ"/>
    <n v="10348090"/>
    <d v="2020-04-08T00:00:00"/>
    <n v="202101"/>
    <s v="1"/>
    <s v="INC"/>
    <s v="K9550"/>
    <s v="BL10"/>
    <s v="330501320 rent 01/04/20- 30/06/20"/>
    <n v="-16627.5"/>
    <n v="-16.627500000000001"/>
  </r>
  <r>
    <s v="S22"/>
    <x v="23"/>
    <s v="AJ"/>
    <n v="10348077"/>
    <d v="2020-04-08T00:00:00"/>
    <n v="202101"/>
    <s v="1"/>
    <s v="INC"/>
    <s v="K9501"/>
    <s v="AC19"/>
    <s v="FUSION OXFORDS COM ARTS AGENCY LTD 2/4-1/5/20"/>
    <n v="-736.45"/>
    <n v="-0.73645000000000005"/>
  </r>
  <r>
    <s v="S22"/>
    <x v="23"/>
    <s v="AJ"/>
    <n v="10348521"/>
    <d v="2020-04-28T00:00:00"/>
    <n v="202101"/>
    <s v="1"/>
    <s v="INC"/>
    <s v="K9550"/>
    <s v="AC14"/>
    <s v="10348076 Jan18-Mar20 Rent Hedena Health REV"/>
    <n v="-15808"/>
    <n v="-15.808"/>
  </r>
  <r>
    <s v="S22"/>
    <x v="27"/>
    <s v="AJ"/>
    <n v="10348128"/>
    <d v="2020-04-08T00:00:00"/>
    <n v="202101"/>
    <s v="1"/>
    <s v="INC"/>
    <s v="K9140"/>
    <s v="AE19"/>
    <s v="CEP funds for the Early Years Project 2020/2021."/>
    <n v="-36475"/>
    <n v="-36.475000000000001"/>
  </r>
  <r>
    <s v="S22"/>
    <x v="27"/>
    <s v="AJ"/>
    <n v="10348128"/>
    <d v="2020-04-08T00:00:00"/>
    <n v="202101"/>
    <s v="1"/>
    <s v="INC"/>
    <s v="K9140"/>
    <s v="AE19"/>
    <s v="Arts Council - Dancing Oxford 20-21"/>
    <n v="-15843"/>
    <n v="-15.843"/>
  </r>
  <r>
    <s v="S22"/>
    <x v="27"/>
    <s v="AJ"/>
    <n v="10348128"/>
    <d v="2020-04-08T00:00:00"/>
    <n v="202101"/>
    <s v="1"/>
    <s v="INC"/>
    <s v="K9411"/>
    <s v="KR02"/>
    <s v="Carfax tower Mgt Fee Feb 20"/>
    <n v="4585.9399999999996"/>
    <n v="4.5859399999999999"/>
  </r>
  <r>
    <s v="S22"/>
    <x v="27"/>
    <s v="AJ"/>
    <n v="10348128"/>
    <d v="2020-04-08T00:00:00"/>
    <n v="202101"/>
    <s v="1"/>
    <s v="INC"/>
    <s v="K9411"/>
    <s v="KR02"/>
    <s v="Carfax tower Mgt Fee up to 23rd Mar"/>
    <n v="3402.47"/>
    <n v="3.4024699999999997"/>
  </r>
  <r>
    <s v="S22"/>
    <x v="27"/>
    <s v="AJ"/>
    <n v="10348128"/>
    <d v="2020-04-08T00:00:00"/>
    <n v="202101"/>
    <s v="1"/>
    <s v="INC"/>
    <s v="K9141"/>
    <s v="AJ03"/>
    <s v="The University Museums Q4"/>
    <n v="9795.27"/>
    <n v="9.7952700000000004"/>
  </r>
  <r>
    <s v="S22"/>
    <x v="27"/>
    <s v="AJ"/>
    <n v="10348128"/>
    <d v="2020-04-08T00:00:00"/>
    <n v="202101"/>
    <s v="1"/>
    <s v="INC"/>
    <s v="K9141"/>
    <s v="AJ11"/>
    <s v="ACE Grant RIA 2019-20"/>
    <n v="-27457.98"/>
    <n v="-27.457979999999999"/>
  </r>
  <r>
    <s v="S22"/>
    <x v="27"/>
    <s v="AJ"/>
    <n v="10348128"/>
    <d v="2020-04-08T00:00:00"/>
    <n v="202101"/>
    <s v="1"/>
    <s v="INC"/>
    <s v="K9140"/>
    <s v="AE18"/>
    <s v="CEP  funding 2020-21"/>
    <n v="-49646.41"/>
    <n v="-49.646410000000003"/>
  </r>
  <r>
    <s v="S22"/>
    <x v="27"/>
    <s v="AJ"/>
    <n v="10348128"/>
    <d v="2020-04-08T00:00:00"/>
    <n v="202101"/>
    <s v="1"/>
    <s v="INC"/>
    <s v="K9159"/>
    <s v="AJ03"/>
    <s v="Older People ´s services - ring fenced"/>
    <n v="-630"/>
    <n v="-0.63"/>
  </r>
  <r>
    <s v="S22"/>
    <x v="27"/>
    <s v="AJ"/>
    <n v="10348128"/>
    <d v="2020-04-08T00:00:00"/>
    <n v="202101"/>
    <s v="1"/>
    <s v="INC"/>
    <s v="K9534"/>
    <s v="ZG07"/>
    <s v="Events deposits as at 31.03.20"/>
    <n v="-5844.5"/>
    <n v="-5.8445"/>
  </r>
  <r>
    <s v="S22"/>
    <x v="27"/>
    <s v="AJ"/>
    <n v="10348128"/>
    <d v="2020-04-08T00:00:00"/>
    <n v="202101"/>
    <s v="1"/>
    <s v="INC"/>
    <s v="K9141"/>
    <s v="AE16"/>
    <s v="Arts Council funding 19-20"/>
    <n v="4600"/>
    <n v="4.5999999999999996"/>
  </r>
  <r>
    <s v="S22"/>
    <x v="30"/>
    <s v="AJ"/>
    <n v="10348134"/>
    <d v="2020-04-08T00:00:00"/>
    <n v="202101"/>
    <s v="1"/>
    <s v="INC"/>
    <s v="K9141"/>
    <s v="AM19"/>
    <s v="San Remo contract"/>
    <n v="6000"/>
    <n v="6"/>
  </r>
  <r>
    <s v="S22"/>
    <x v="30"/>
    <s v="AJ"/>
    <n v="10348134"/>
    <d v="2020-04-08T00:00:00"/>
    <n v="202101"/>
    <s v="1"/>
    <s v="INC"/>
    <s v="K9141"/>
    <s v="AM05"/>
    <s v="GAGH &amp; NDPP Q1 funding 20-21 RIA"/>
    <n v="-2051.12"/>
    <n v="-2.0511200000000001"/>
  </r>
  <r>
    <s v="S22"/>
    <x v="25"/>
    <s v="AJ"/>
    <n v="10348038"/>
    <d v="2020-04-07T00:00:00"/>
    <n v="202101"/>
    <s v="1"/>
    <s v="INC"/>
    <s v="K9404"/>
    <s v="BL10"/>
    <s v="65635 03/10/2020 - Wedding"/>
    <n v="-137.5"/>
    <n v="-0.13750000000000001"/>
  </r>
  <r>
    <s v="S22"/>
    <x v="25"/>
    <s v="AJ"/>
    <n v="10348038"/>
    <d v="2020-04-07T00:00:00"/>
    <n v="202101"/>
    <s v="1"/>
    <s v="INC"/>
    <s v="K9404"/>
    <s v="BL10"/>
    <s v="62995 29/05/2020 - Wedding"/>
    <n v="-262.5"/>
    <n v="-0.26250000000000001"/>
  </r>
  <r>
    <s v="S22"/>
    <x v="25"/>
    <s v="AJ"/>
    <n v="10348038"/>
    <d v="2020-04-07T00:00:00"/>
    <n v="202101"/>
    <s v="1"/>
    <s v="INC"/>
    <s v="K9404"/>
    <s v="BL10"/>
    <s v="66339 19/09/2020 - Wedding"/>
    <n v="-262.5"/>
    <n v="-0.26250000000000001"/>
  </r>
  <r>
    <s v="S22"/>
    <x v="25"/>
    <s v="AJ"/>
    <n v="10348038"/>
    <d v="2020-04-07T00:00:00"/>
    <n v="202101"/>
    <s v="1"/>
    <s v="INC"/>
    <s v="K9404"/>
    <s v="BL10"/>
    <s v="62633 15/04/2020 - Wedding"/>
    <n v="-262.5"/>
    <n v="-0.26250000000000001"/>
  </r>
  <r>
    <s v="S22"/>
    <x v="25"/>
    <s v="AJ"/>
    <n v="10348038"/>
    <d v="2020-04-07T00:00:00"/>
    <n v="202101"/>
    <s v="1"/>
    <s v="INC"/>
    <s v="K9404"/>
    <s v="BL10"/>
    <s v="64961 11/04/2020 - Wedding"/>
    <n v="-817.5"/>
    <n v="-0.8175"/>
  </r>
  <r>
    <s v="S22"/>
    <x v="23"/>
    <s v="AJ"/>
    <n v="10348077"/>
    <d v="2020-04-08T00:00:00"/>
    <n v="202101"/>
    <s v="1"/>
    <s v="INC"/>
    <s v="K9550"/>
    <s v="AC18"/>
    <s v="CATCH 22 CHARITY LTD 25/3-23/6/20"/>
    <n v="-1625"/>
    <n v="-1.625"/>
  </r>
  <r>
    <s v="S22"/>
    <x v="25"/>
    <s v="AJ"/>
    <n v="10348038"/>
    <d v="2020-04-07T00:00:00"/>
    <n v="202101"/>
    <s v="1"/>
    <s v="INC"/>
    <s v="K9404"/>
    <s v="BL10"/>
    <s v="65940 09/10/2020 - Wedding"/>
    <n v="-137.5"/>
    <n v="-0.13750000000000001"/>
  </r>
  <r>
    <s v="S22"/>
    <x v="25"/>
    <s v="AJ"/>
    <n v="10348038"/>
    <d v="2020-04-07T00:00:00"/>
    <n v="202101"/>
    <s v="1"/>
    <s v="INC"/>
    <s v="K9540"/>
    <s v="BL10"/>
    <s v="64048 27/11/2021 - Oxford Harmonic Choir"/>
    <n v="-365"/>
    <n v="-0.36499999999999999"/>
  </r>
  <r>
    <s v="S22"/>
    <x v="25"/>
    <s v="AJ"/>
    <n v="10348038"/>
    <d v="2020-04-07T00:00:00"/>
    <n v="202101"/>
    <s v="1"/>
    <s v="INC"/>
    <s v="K9540"/>
    <s v="BL10"/>
    <s v="60728 05/06/2020 - Oxford Philharmonic Concert"/>
    <n v="-715"/>
    <n v="-0.71499999999999997"/>
  </r>
  <r>
    <s v="S22"/>
    <x v="25"/>
    <s v="AJ"/>
    <n v="10348038"/>
    <d v="2020-04-07T00:00:00"/>
    <n v="202101"/>
    <s v="1"/>
    <s v="INC"/>
    <s v="K9540"/>
    <s v="BL10"/>
    <s v="63396 18/06/202019 IVEY SECURITY INTERVIEWS"/>
    <n v="-150"/>
    <n v="-0.15"/>
  </r>
  <r>
    <s v="S22"/>
    <x v="25"/>
    <s v="AJ"/>
    <n v="10348038"/>
    <d v="2020-04-07T00:00:00"/>
    <n v="202101"/>
    <s v="1"/>
    <s v="INC"/>
    <s v="K9540"/>
    <s v="BL10"/>
    <s v="63601 19/06/202019 DILIGENCE GLOBAL"/>
    <n v="-300"/>
    <n v="-0.3"/>
  </r>
  <r>
    <s v="S22"/>
    <x v="25"/>
    <s v="AJ"/>
    <n v="10348038"/>
    <d v="2020-04-07T00:00:00"/>
    <n v="202101"/>
    <s v="1"/>
    <s v="INC"/>
    <s v="K9540"/>
    <s v="BL10"/>
    <s v="63424 02/05/2020 - Schola Cantorum"/>
    <n v="-1319"/>
    <n v="-1.319"/>
  </r>
  <r>
    <s v="S22"/>
    <x v="25"/>
    <s v="AJ"/>
    <n v="10348038"/>
    <d v="2020-04-07T00:00:00"/>
    <n v="202101"/>
    <s v="1"/>
    <s v="INC"/>
    <s v="K9540"/>
    <s v="BL10"/>
    <s v="28/11/2020 Reverse 51345150"/>
    <n v="733.75"/>
    <n v="0.73375000000000001"/>
  </r>
  <r>
    <s v="S22"/>
    <x v="25"/>
    <s v="AJ"/>
    <n v="10348038"/>
    <d v="2020-04-07T00:00:00"/>
    <n v="202101"/>
    <s v="1"/>
    <s v="INC"/>
    <s v="K9540"/>
    <s v="BL10"/>
    <s v="63838 18/04/2020 - Thamescon"/>
    <n v="-2500"/>
    <n v="-2.5"/>
  </r>
  <r>
    <s v="S22"/>
    <x v="25"/>
    <s v="AJ"/>
    <n v="10348038"/>
    <d v="2020-04-07T00:00:00"/>
    <n v="202101"/>
    <s v="1"/>
    <s v="INC"/>
    <s v="K9540"/>
    <s v="BL10"/>
    <s v="63673 23/05/2020 - OUSS SALSA BALL"/>
    <n v="-1604"/>
    <n v="-1.6040000000000001"/>
  </r>
  <r>
    <s v="S22"/>
    <x v="25"/>
    <s v="AJ"/>
    <n v="10348038"/>
    <d v="2020-04-07T00:00:00"/>
    <n v="202101"/>
    <s v="1"/>
    <s v="INC"/>
    <s v="K9540"/>
    <s v="BL10"/>
    <s v="65782 01/04/2020 - Mercy  Corps"/>
    <n v="-597.6"/>
    <n v="-0.59760000000000002"/>
  </r>
  <r>
    <s v="S22"/>
    <x v="25"/>
    <s v="AJ"/>
    <n v="10348038"/>
    <d v="2020-04-07T00:00:00"/>
    <n v="202101"/>
    <s v="1"/>
    <s v="INC"/>
    <s v="K9540"/>
    <s v="BL10"/>
    <s v="66155 30/04/2020 - Iftar Dinner"/>
    <n v="-1000"/>
    <n v="-1"/>
  </r>
  <r>
    <s v="S22"/>
    <x v="25"/>
    <s v="AJ"/>
    <n v="10348038"/>
    <d v="2020-04-07T00:00:00"/>
    <n v="202101"/>
    <s v="1"/>
    <s v="INC"/>
    <s v="K9540"/>
    <s v="BL10"/>
    <s v="17/06/2020 Reversal of 51363779"/>
    <n v="2132.5"/>
    <n v="2.1324999999999998"/>
  </r>
  <r>
    <s v="S22"/>
    <x v="25"/>
    <s v="AJ"/>
    <n v="10348038"/>
    <d v="2020-04-07T00:00:00"/>
    <n v="202101"/>
    <s v="1"/>
    <s v="INC"/>
    <s v="K9404"/>
    <s v="BL10"/>
    <s v="63857 02/05/2020 - Ceremony"/>
    <n v="-137.5"/>
    <n v="-0.13750000000000001"/>
  </r>
  <r>
    <s v="S22"/>
    <x v="30"/>
    <s v="AJ"/>
    <n v="10348469"/>
    <d v="2020-04-27T00:00:00"/>
    <n v="202101"/>
    <s v="1"/>
    <s v="INC"/>
    <s v="K6664"/>
    <s v="AM19"/>
    <s v="Vertidrain contribution from ODS"/>
    <n v="5000"/>
    <n v="5"/>
  </r>
  <r>
    <s v="S22"/>
    <x v="25"/>
    <s v="AJ"/>
    <n v="10348038"/>
    <d v="2020-04-07T00:00:00"/>
    <n v="202101"/>
    <s v="1"/>
    <s v="INC"/>
    <s v="K9404"/>
    <s v="BL10"/>
    <s v="64100 19/09/2020 - Ceremony"/>
    <n v="-262.5"/>
    <n v="-0.26250000000000001"/>
  </r>
  <r>
    <s v="S22"/>
    <x v="25"/>
    <s v="AJ"/>
    <n v="10348038"/>
    <d v="2020-04-07T00:00:00"/>
    <n v="202101"/>
    <s v="1"/>
    <s v="INC"/>
    <s v="K9404"/>
    <s v="BL10"/>
    <s v="63978 22/08/2020 - Ceremony"/>
    <n v="-262.5"/>
    <n v="-0.26250000000000001"/>
  </r>
  <r>
    <s v="S22"/>
    <x v="25"/>
    <s v="AJ"/>
    <n v="10348038"/>
    <d v="2020-04-07T00:00:00"/>
    <n v="202101"/>
    <s v="1"/>
    <s v="INC"/>
    <s v="K9404"/>
    <s v="BL10"/>
    <s v="22/08/2020 - Ceremony"/>
    <n v="-262.5"/>
    <n v="-0.26250000000000001"/>
  </r>
  <r>
    <s v="S22"/>
    <x v="25"/>
    <s v="AJ"/>
    <n v="10348038"/>
    <d v="2020-04-07T00:00:00"/>
    <n v="202101"/>
    <s v="1"/>
    <s v="INC"/>
    <s v="K9404"/>
    <s v="BL10"/>
    <s v="65641 10/07/2020 - Wedding"/>
    <n v="-1510"/>
    <n v="-1.51"/>
  </r>
  <r>
    <s v="S22"/>
    <x v="25"/>
    <s v="AJ"/>
    <n v="10348038"/>
    <d v="2020-04-07T00:00:00"/>
    <n v="202101"/>
    <s v="1"/>
    <s v="INC"/>
    <s v="K9404"/>
    <s v="BL10"/>
    <s v="64022 24/10/2020 - wedding"/>
    <n v="-137.5"/>
    <n v="-0.13750000000000001"/>
  </r>
  <r>
    <s v="S22"/>
    <x v="25"/>
    <s v="AJ"/>
    <n v="10348038"/>
    <d v="2020-04-07T00:00:00"/>
    <n v="202101"/>
    <s v="1"/>
    <s v="INC"/>
    <s v="K9540"/>
    <s v="BL10"/>
    <s v="63135 04/04/2020 - Heritage Crafts Conference"/>
    <n v="-1170"/>
    <n v="-1.17"/>
  </r>
  <r>
    <s v="S22"/>
    <x v="25"/>
    <s v="AJ"/>
    <n v="10348038"/>
    <d v="2020-04-07T00:00:00"/>
    <n v="202101"/>
    <s v="1"/>
    <s v="INC"/>
    <s v="K9540"/>
    <s v="BL10"/>
    <s v="62646 27/03/2021 - Oxford Harmonic Choir"/>
    <n v="-365"/>
    <n v="-0.36499999999999999"/>
  </r>
  <r>
    <s v="S22"/>
    <x v="25"/>
    <s v="AJ"/>
    <n v="10348038"/>
    <d v="2020-04-07T00:00:00"/>
    <n v="202101"/>
    <s v="1"/>
    <s v="INC"/>
    <s v="K9540"/>
    <s v="BL10"/>
    <s v="64050 26/06/2021 - Oxford Harmonic Choir"/>
    <n v="-365"/>
    <n v="-0.36499999999999999"/>
  </r>
  <r>
    <s v="S22"/>
    <x v="25"/>
    <s v="AJ"/>
    <n v="10348038"/>
    <d v="2020-04-07T00:00:00"/>
    <n v="202101"/>
    <s v="1"/>
    <s v="INC"/>
    <s v="K9540"/>
    <s v="BL10"/>
    <s v="63230 16/10/2021 - Oxford Welsh Male Voice"/>
    <n v="-556"/>
    <n v="-0.55600000000000005"/>
  </r>
  <r>
    <s v="S22"/>
    <x v="25"/>
    <s v="AJ"/>
    <n v="10348038"/>
    <d v="2020-04-07T00:00:00"/>
    <n v="202101"/>
    <s v="1"/>
    <s v="INC"/>
    <s v="K9540"/>
    <s v="BL10"/>
    <s v="63044 22/12/2020 - G4 Christmas Concert"/>
    <n v="-1785"/>
    <n v="-1.7849999999999999"/>
  </r>
  <r>
    <s v="S22"/>
    <x v="25"/>
    <s v="AJ"/>
    <n v="10348038"/>
    <d v="2020-04-07T00:00:00"/>
    <n v="202101"/>
    <s v="1"/>
    <s v="INC"/>
    <s v="K9540"/>
    <s v="BL10"/>
    <s v="Refund of 51348951 63143 28/11/2020"/>
    <n v="366.88"/>
    <n v="0.36687999999999998"/>
  </r>
  <r>
    <s v="S22"/>
    <x v="25"/>
    <s v="AJ"/>
    <n v="10348038"/>
    <d v="2020-04-07T00:00:00"/>
    <n v="202101"/>
    <s v="1"/>
    <s v="INC"/>
    <s v="K9540"/>
    <s v="BL10"/>
    <s v="Refund of 51334369 60799 20/06/2020"/>
    <n v="787.75"/>
    <n v="0.78774999999999995"/>
  </r>
  <r>
    <s v="S22"/>
    <x v="25"/>
    <s v="AJ"/>
    <n v="10348038"/>
    <d v="2020-04-07T00:00:00"/>
    <n v="202101"/>
    <s v="1"/>
    <s v="INC"/>
    <s v="K9540"/>
    <s v="BL10"/>
    <s v="Reversal of 51355081 29/05/2020"/>
    <n v="1554"/>
    <n v="1.554"/>
  </r>
  <r>
    <s v="S22"/>
    <x v="25"/>
    <s v="AJ"/>
    <n v="10348038"/>
    <d v="2020-04-07T00:00:00"/>
    <n v="202101"/>
    <s v="1"/>
    <s v="INC"/>
    <s v="K9540"/>
    <s v="BL10"/>
    <s v="64431 19/06/2020 - Caledonian Society"/>
    <n v="-1872"/>
    <n v="-1.8720000000000001"/>
  </r>
  <r>
    <s v="S22"/>
    <x v="25"/>
    <s v="AJ"/>
    <n v="10348038"/>
    <d v="2020-04-07T00:00:00"/>
    <n v="202101"/>
    <s v="1"/>
    <s v="INC"/>
    <s v="K9540"/>
    <s v="BL10"/>
    <s v="64555 02/07/2020 - GWR Conference"/>
    <n v="-2256.38"/>
    <n v="-2.2563800000000001"/>
  </r>
  <r>
    <s v="S22"/>
    <x v="25"/>
    <s v="AJ"/>
    <n v="10348038"/>
    <d v="2020-04-07T00:00:00"/>
    <n v="202101"/>
    <s v="1"/>
    <s v="INC"/>
    <s v="K9540"/>
    <s v="BL10"/>
    <s v="64858 06/07/2020 - The Brilliant Club"/>
    <n v="-350"/>
    <n v="-0.35"/>
  </r>
  <r>
    <s v="S22"/>
    <x v="25"/>
    <s v="AJ"/>
    <n v="10348038"/>
    <d v="2020-04-07T00:00:00"/>
    <n v="202101"/>
    <s v="1"/>
    <s v="INC"/>
    <s v="K9540"/>
    <s v="BL10"/>
    <s v="63878 01/04/2020 - Soundshift"/>
    <n v="-1704"/>
    <n v="-1.704"/>
  </r>
  <r>
    <s v="S22"/>
    <x v="25"/>
    <s v="AJ"/>
    <n v="10348038"/>
    <d v="2020-04-07T00:00:00"/>
    <n v="202101"/>
    <s v="1"/>
    <s v="INC"/>
    <s v="K9540"/>
    <s v="BL10"/>
    <s v="64993 15/12/2020 - EBA Conference"/>
    <n v="-5480.5"/>
    <n v="-5.4805000000000001"/>
  </r>
  <r>
    <s v="S22"/>
    <x v="25"/>
    <s v="AJ"/>
    <n v="10348038"/>
    <d v="2020-04-07T00:00:00"/>
    <n v="202101"/>
    <s v="1"/>
    <s v="INC"/>
    <s v="K9540"/>
    <s v="BL10"/>
    <s v="62717 05/03/2021 - Academy Conference"/>
    <n v="-787.5"/>
    <n v="-0.78749999999999998"/>
  </r>
  <r>
    <s v="S22"/>
    <x v="25"/>
    <s v="AJ"/>
    <n v="10348038"/>
    <d v="2020-04-07T00:00:00"/>
    <n v="202101"/>
    <s v="1"/>
    <s v="INC"/>
    <s v="K9540"/>
    <s v="BL10"/>
    <s v="62830 25/11/2020 - The Job Fair"/>
    <n v="-560"/>
    <n v="-0.56000000000000005"/>
  </r>
  <r>
    <s v="S22"/>
    <x v="25"/>
    <s v="AJ"/>
    <n v="10348038"/>
    <d v="2020-04-07T00:00:00"/>
    <n v="202101"/>
    <s v="1"/>
    <s v="INC"/>
    <s v="K9540"/>
    <s v="BL10"/>
    <s v="30/04/2020 Reversal of 51364013"/>
    <n v="112.5"/>
    <n v="0.1125"/>
  </r>
  <r>
    <s v="S22"/>
    <x v="25"/>
    <s v="AJ"/>
    <n v="10348038"/>
    <d v="2020-04-07T00:00:00"/>
    <n v="202101"/>
    <s v="1"/>
    <s v="INC"/>
    <s v="K9540"/>
    <s v="BL10"/>
    <s v="63143 28/11/2020 - Oxford Symphony Orchestra"/>
    <n v="-366.88"/>
    <n v="-0.36687999999999998"/>
  </r>
  <r>
    <s v="S22"/>
    <x v="25"/>
    <s v="AJ"/>
    <n v="10348038"/>
    <d v="2020-04-07T00:00:00"/>
    <n v="202101"/>
    <s v="1"/>
    <s v="INC"/>
    <s v="K9540"/>
    <s v="BL10"/>
    <s v="65618 16-18/06/2020 - Oxford University"/>
    <n v="-1900"/>
    <n v="-1.9"/>
  </r>
  <r>
    <s v="S22"/>
    <x v="25"/>
    <s v="AJ"/>
    <n v="10348038"/>
    <d v="2020-04-07T00:00:00"/>
    <n v="202101"/>
    <s v="1"/>
    <s v="INC"/>
    <s v="K9404"/>
    <s v="BL10"/>
    <s v="64183 25/07/2020 - Ceremony"/>
    <n v="-337.5"/>
    <n v="-0.33750000000000002"/>
  </r>
  <r>
    <s v="S22"/>
    <x v="25"/>
    <s v="AJ"/>
    <n v="10348038"/>
    <d v="2020-04-07T00:00:00"/>
    <n v="202101"/>
    <s v="1"/>
    <s v="INC"/>
    <s v="K9540"/>
    <s v="BL10"/>
    <s v="65627 17/06/2020 - OUCS Summer Fair"/>
    <n v="-2132.5"/>
    <n v="-2.1324999999999998"/>
  </r>
  <r>
    <s v="S22"/>
    <x v="25"/>
    <s v="AJ"/>
    <n v="10348038"/>
    <d v="2020-04-07T00:00:00"/>
    <n v="202101"/>
    <s v="1"/>
    <s v="INC"/>
    <s v="K9540"/>
    <s v="BL10"/>
    <s v="01/04/2020 Reversal of 51362479"/>
    <n v="597.6"/>
    <n v="0.59760000000000002"/>
  </r>
  <r>
    <s v="S22"/>
    <x v="25"/>
    <s v="AJ"/>
    <n v="10348038"/>
    <d v="2020-04-07T00:00:00"/>
    <n v="202101"/>
    <s v="1"/>
    <s v="INC"/>
    <s v="K9540"/>
    <s v="BL10"/>
    <s v="27/07/2020 Refund of 51361900"/>
    <n v="1319.25"/>
    <n v="1.31925"/>
  </r>
  <r>
    <s v="S22"/>
    <x v="25"/>
    <s v="AJ"/>
    <n v="10348038"/>
    <d v="2020-04-07T00:00:00"/>
    <n v="202101"/>
    <s v="1"/>
    <s v="INC"/>
    <s v="K9540"/>
    <s v="BL10"/>
    <s v="63143 - 28/11/2020 OXFORD SYMPHONY ORCHESTRA CONCERT"/>
    <n v="-733.75"/>
    <n v="-0.73375000000000001"/>
  </r>
  <r>
    <s v="S22"/>
    <x v="25"/>
    <s v="AJ"/>
    <n v="10348038"/>
    <d v="2020-04-07T00:00:00"/>
    <n v="202101"/>
    <s v="1"/>
    <s v="INC"/>
    <s v="K9540"/>
    <s v="BL10"/>
    <s v="63484 - 05/06/202019 FIRST AID TRAINING"/>
    <n v="-150"/>
    <n v="-0.15"/>
  </r>
  <r>
    <s v="S22"/>
    <x v="25"/>
    <s v="AJ"/>
    <n v="10348038"/>
    <d v="2020-04-07T00:00:00"/>
    <n v="202101"/>
    <s v="1"/>
    <s v="INC"/>
    <s v="K9540"/>
    <s v="BL10"/>
    <s v="63550 - 21/06/202019 OXFORD LINDY EXCHANGE"/>
    <n v="-715"/>
    <n v="-0.71499999999999997"/>
  </r>
  <r>
    <s v="S22"/>
    <x v="25"/>
    <s v="AJ"/>
    <n v="10348038"/>
    <d v="2020-04-07T00:00:00"/>
    <n v="202101"/>
    <s v="1"/>
    <s v="INC"/>
    <s v="K9540"/>
    <s v="BL10"/>
    <s v="63102 - 26/06/202019 CO-OPERATIVES FORTNIGHT CELEBRATION"/>
    <n v="-90"/>
    <n v="-0.09"/>
  </r>
  <r>
    <s v="S22"/>
    <x v="25"/>
    <s v="AJ"/>
    <n v="10348038"/>
    <d v="2020-04-07T00:00:00"/>
    <n v="202101"/>
    <s v="1"/>
    <s v="INC"/>
    <s v="K9540"/>
    <s v="BL10"/>
    <s v="56197 24/06/202019 - 12/08/202019 OSE CLASSROOMS"/>
    <n v="-1365"/>
    <n v="-1.365"/>
  </r>
  <r>
    <s v="S22"/>
    <x v="25"/>
    <s v="AJ"/>
    <n v="10348038"/>
    <d v="2020-04-07T00:00:00"/>
    <n v="202101"/>
    <s v="1"/>
    <s v="INC"/>
    <s v="K9540"/>
    <s v="BL10"/>
    <s v="61055 05/07/202019 - 09/08/202019 OXFORD SCHOLASTICA"/>
    <n v="-810"/>
    <n v="-0.81"/>
  </r>
  <r>
    <s v="S22"/>
    <x v="25"/>
    <s v="AJ"/>
    <n v="10348038"/>
    <d v="2020-04-07T00:00:00"/>
    <n v="202101"/>
    <s v="1"/>
    <s v="INC"/>
    <s v="K9540"/>
    <s v="BL10"/>
    <s v="61176 20/10/2020 - The Church of Jesus Christ"/>
    <n v="-1395"/>
    <n v="-1.395"/>
  </r>
  <r>
    <s v="S22"/>
    <x v="25"/>
    <s v="AJ"/>
    <n v="10348038"/>
    <d v="2020-04-07T00:00:00"/>
    <n v="202101"/>
    <s v="1"/>
    <s v="INC"/>
    <s v="K9404"/>
    <s v="BL10"/>
    <s v="29/05/2020 Refund of 51316120"/>
    <n v="137.5"/>
    <n v="0.13750000000000001"/>
  </r>
  <r>
    <s v="S22"/>
    <x v="25"/>
    <s v="AJ"/>
    <n v="10348038"/>
    <d v="2020-04-07T00:00:00"/>
    <n v="202101"/>
    <s v="1"/>
    <s v="INC"/>
    <s v="K9404"/>
    <s v="BL10"/>
    <s v="63411 16/05/2020 - Ceremony"/>
    <n v="-137.5"/>
    <n v="-0.13750000000000001"/>
  </r>
  <r>
    <s v="S22"/>
    <x v="25"/>
    <s v="AJ"/>
    <n v="10348038"/>
    <d v="2020-04-07T00:00:00"/>
    <n v="202101"/>
    <s v="1"/>
    <s v="INC"/>
    <s v="K9401"/>
    <s v="BL10"/>
    <s v="64961 11/04/2020 - Wedding"/>
    <n v="-240"/>
    <n v="-0.24"/>
  </r>
  <r>
    <s v="S22"/>
    <x v="25"/>
    <s v="AJ"/>
    <n v="10348038"/>
    <d v="2020-04-07T00:00:00"/>
    <n v="202101"/>
    <s v="1"/>
    <s v="INC"/>
    <s v="K9540"/>
    <s v="BL10"/>
    <s v="66064 25/06/2020 - General Medical Council"/>
    <n v="-1053.06"/>
    <n v="-1.0530599999999999"/>
  </r>
  <r>
    <s v="S22"/>
    <x v="25"/>
    <s v="AJ"/>
    <n v="10348038"/>
    <d v="2020-04-07T00:00:00"/>
    <n v="202101"/>
    <s v="1"/>
    <s v="INC"/>
    <s v="K9540"/>
    <s v="BL10"/>
    <s v="65723 01/04/2020 - Creation Theatre"/>
    <n v="-320"/>
    <n v="-0.32"/>
  </r>
  <r>
    <s v="S22"/>
    <x v="25"/>
    <s v="AJ"/>
    <n v="10348038"/>
    <d v="2020-04-07T00:00:00"/>
    <n v="202101"/>
    <s v="1"/>
    <s v="INC"/>
    <s v="K9540"/>
    <s v="BL10"/>
    <s v="63796 20/04/2020 - BSOA Spring Scientific"/>
    <n v="-1995"/>
    <n v="-1.9950000000000001"/>
  </r>
  <r>
    <s v="S22"/>
    <x v="25"/>
    <s v="AJ"/>
    <n v="10348038"/>
    <d v="2020-04-07T00:00:00"/>
    <n v="202101"/>
    <s v="1"/>
    <s v="INC"/>
    <s v="K9540"/>
    <s v="BL10"/>
    <s v="01/04/2020 Refund of 51363079"/>
    <n v="320"/>
    <n v="0.32"/>
  </r>
  <r>
    <s v="S22"/>
    <x v="25"/>
    <s v="AJ"/>
    <n v="10348038"/>
    <d v="2020-04-07T00:00:00"/>
    <n v="202101"/>
    <s v="1"/>
    <s v="INC"/>
    <s v="K9540"/>
    <s v="BL10"/>
    <s v="61422 14/11/2020 - Oxfam One World Fair"/>
    <n v="-1089"/>
    <n v="-1.089"/>
  </r>
  <r>
    <s v="S22"/>
    <x v="25"/>
    <s v="AJ"/>
    <n v="10348038"/>
    <d v="2020-04-07T00:00:00"/>
    <n v="202101"/>
    <s v="1"/>
    <s v="INC"/>
    <s v="K9540"/>
    <s v="BL10"/>
    <s v="62203 19/06/2021 - Oxford Symphony Orchestra"/>
    <n v="-393.88"/>
    <n v="-0.39388000000000001"/>
  </r>
  <r>
    <s v="S22"/>
    <x v="25"/>
    <s v="AJ"/>
    <n v="10348038"/>
    <d v="2020-04-07T00:00:00"/>
    <n v="202101"/>
    <s v="1"/>
    <s v="INC"/>
    <s v="K9540"/>
    <s v="BL10"/>
    <s v="59160 20/06/2020 - Oxford University Rugby"/>
    <n v="-1332"/>
    <n v="-1.3320000000000001"/>
  </r>
  <r>
    <s v="S22"/>
    <x v="25"/>
    <s v="AJ"/>
    <n v="10348038"/>
    <d v="2020-04-07T00:00:00"/>
    <n v="202101"/>
    <s v="1"/>
    <s v="INC"/>
    <s v="K9540"/>
    <s v="BL10"/>
    <s v="63491 10/06/202019 OXFORD UK EXCELLENCE"/>
    <n v="-75"/>
    <n v="-7.4999999999999997E-2"/>
  </r>
  <r>
    <s v="S22"/>
    <x v="25"/>
    <s v="AJ"/>
    <n v="10348038"/>
    <d v="2020-04-07T00:00:00"/>
    <n v="202101"/>
    <s v="1"/>
    <s v="INC"/>
    <s v="K9540"/>
    <s v="BL10"/>
    <s v="63623 17/06/202019 INASP MEETING"/>
    <n v="-150"/>
    <n v="-0.15"/>
  </r>
  <r>
    <s v="S22"/>
    <x v="25"/>
    <s v="AJ"/>
    <n v="10348038"/>
    <d v="2020-04-07T00:00:00"/>
    <n v="202101"/>
    <s v="1"/>
    <s v="INC"/>
    <s v="K9401"/>
    <s v="BL10"/>
    <s v="16/04/2020 Reduction of 51364036"/>
    <n v="150"/>
    <n v="0.15"/>
  </r>
  <r>
    <s v="S22"/>
    <x v="25"/>
    <s v="AJ"/>
    <n v="10348038"/>
    <d v="2020-04-07T00:00:00"/>
    <n v="202101"/>
    <s v="1"/>
    <s v="INC"/>
    <s v="K9404"/>
    <s v="BL10"/>
    <s v="63566 16/05/2020 - Ceremony"/>
    <n v="-262.5"/>
    <n v="-0.26250000000000001"/>
  </r>
  <r>
    <s v="S22"/>
    <x v="25"/>
    <s v="AJ"/>
    <n v="10348038"/>
    <d v="2020-04-07T00:00:00"/>
    <n v="202101"/>
    <s v="1"/>
    <s v="INC"/>
    <s v="K9404"/>
    <s v="BL10"/>
    <s v="59810 16/05/2020 - Wedding Ceremony"/>
    <n v="-337.5"/>
    <n v="-0.33750000000000002"/>
  </r>
  <r>
    <s v="S22"/>
    <x v="25"/>
    <s v="AJ"/>
    <n v="10348038"/>
    <d v="2020-04-07T00:00:00"/>
    <n v="202101"/>
    <s v="1"/>
    <s v="INC"/>
    <s v="K9404"/>
    <s v="BL10"/>
    <s v="61899 25/04/2020 - Wedding Ceremony"/>
    <n v="-262.5"/>
    <n v="-0.26250000000000001"/>
  </r>
  <r>
    <s v="S22"/>
    <x v="25"/>
    <s v="AJ"/>
    <n v="10348038"/>
    <d v="2020-04-07T00:00:00"/>
    <n v="202101"/>
    <s v="1"/>
    <s v="INC"/>
    <s v="K9404"/>
    <s v="BL10"/>
    <s v="62352 20/06/2020 - Ceremony"/>
    <n v="-262.5"/>
    <n v="-0.26250000000000001"/>
  </r>
  <r>
    <s v="S22"/>
    <x v="25"/>
    <s v="AJ"/>
    <n v="10348038"/>
    <d v="2020-04-07T00:00:00"/>
    <n v="202101"/>
    <s v="1"/>
    <s v="INC"/>
    <s v="K9404"/>
    <s v="BL10"/>
    <s v="62633 15/04/2020 - Ceremony"/>
    <n v="-262.5"/>
    <n v="-0.26250000000000001"/>
  </r>
  <r>
    <s v="S22"/>
    <x v="25"/>
    <s v="AJ"/>
    <n v="10348038"/>
    <d v="2020-04-07T00:00:00"/>
    <n v="202101"/>
    <s v="1"/>
    <s v="INC"/>
    <s v="K9540"/>
    <s v="BL10"/>
    <s v="63838 18/04/2020 - ThamesCon"/>
    <n v="-2500"/>
    <n v="-2.5"/>
  </r>
  <r>
    <s v="S22"/>
    <x v="25"/>
    <s v="AJ"/>
    <n v="10348038"/>
    <d v="2020-04-07T00:00:00"/>
    <n v="202101"/>
    <s v="1"/>
    <s v="INC"/>
    <s v="K9540"/>
    <s v="BL10"/>
    <s v="62595 05/12/2020 - Oxfordshire Green Fair"/>
    <n v="-1344"/>
    <n v="-1.3440000000000001"/>
  </r>
  <r>
    <s v="S22"/>
    <x v="25"/>
    <s v="AJ"/>
    <n v="10348038"/>
    <d v="2020-04-07T00:00:00"/>
    <n v="202101"/>
    <s v="1"/>
    <s v="INC"/>
    <s v="K9540"/>
    <s v="BL10"/>
    <s v="28/10/2020 Reversal of 51362525"/>
    <n v="379"/>
    <n v="0.379"/>
  </r>
  <r>
    <s v="S22"/>
    <x v="25"/>
    <s v="AJ"/>
    <n v="10348038"/>
    <d v="2020-04-07T00:00:00"/>
    <n v="202101"/>
    <s v="1"/>
    <s v="INC"/>
    <s v="K9540"/>
    <s v="BL10"/>
    <s v="63655 12/05/2020 - Royal Philharmonic"/>
    <n v="-1495"/>
    <n v="-1.4950000000000001"/>
  </r>
  <r>
    <s v="S22"/>
    <x v="25"/>
    <s v="AJ"/>
    <n v="10348038"/>
    <d v="2020-04-07T00:00:00"/>
    <n v="202101"/>
    <s v="1"/>
    <s v="INC"/>
    <s v="K9540"/>
    <s v="BL10"/>
    <s v="63619 13/11/2021 - Oxford Symphony Orchestra"/>
    <n v="-366.88"/>
    <n v="-0.36687999999999998"/>
  </r>
  <r>
    <s v="S22"/>
    <x v="25"/>
    <s v="AJ"/>
    <n v="10348038"/>
    <d v="2020-04-07T00:00:00"/>
    <n v="202101"/>
    <s v="1"/>
    <s v="INC"/>
    <s v="K9540"/>
    <s v="BL10"/>
    <s v="60084 27/06/2020 - Oxford Harmonic Choir"/>
    <n v="-365"/>
    <n v="-0.36499999999999999"/>
  </r>
  <r>
    <s v="S22"/>
    <x v="28"/>
    <s v="AJ"/>
    <n v="10348537"/>
    <d v="2020-04-30T00:00:00"/>
    <n v="202101"/>
    <s v="1"/>
    <s v="EXP"/>
    <s v="D3701"/>
    <s v="EL01"/>
    <s v="Housing Needs Project Oct 19 - Mar 20"/>
    <n v="-10818.02"/>
    <n v="-10.818020000000001"/>
  </r>
  <r>
    <s v="S22"/>
    <x v="25"/>
    <s v="AJ"/>
    <n v="10348038"/>
    <d v="2020-04-07T00:00:00"/>
    <n v="202101"/>
    <s v="1"/>
    <s v="INC"/>
    <s v="K9540"/>
    <s v="BL10"/>
    <s v="65984 04/05/2020 - Oxford Brookes Business Society"/>
    <n v="-1012"/>
    <n v="-1.012"/>
  </r>
  <r>
    <s v="S22"/>
    <x v="25"/>
    <s v="AJ"/>
    <n v="10348038"/>
    <d v="2020-04-07T00:00:00"/>
    <n v="202101"/>
    <s v="1"/>
    <s v="INC"/>
    <s v="K9403"/>
    <s v="BL10"/>
    <s v="11/12/2020 Reversal of 51364042"/>
    <n v="3000"/>
    <n v="3"/>
  </r>
  <r>
    <s v="S22"/>
    <x v="25"/>
    <s v="AJ"/>
    <n v="10348038"/>
    <d v="2020-04-07T00:00:00"/>
    <n v="202101"/>
    <s v="1"/>
    <s v="INC"/>
    <s v="K9404"/>
    <s v="BL10"/>
    <s v="63551 05/09/2020 - Ceremony"/>
    <n v="-262.5"/>
    <n v="-0.26250000000000001"/>
  </r>
  <r>
    <s v="S22"/>
    <x v="25"/>
    <s v="AJ"/>
    <n v="10348038"/>
    <d v="2020-04-07T00:00:00"/>
    <n v="202101"/>
    <s v="1"/>
    <s v="INC"/>
    <s v="K9404"/>
    <s v="BL10"/>
    <s v="64383 31/07/2021 - Ceremony"/>
    <n v="-262.5"/>
    <n v="-0.26250000000000001"/>
  </r>
  <r>
    <s v="S22"/>
    <x v="25"/>
    <s v="AJ"/>
    <n v="10348038"/>
    <d v="2020-04-07T00:00:00"/>
    <n v="202101"/>
    <s v="1"/>
    <s v="INC"/>
    <s v="K9404"/>
    <s v="BL10"/>
    <s v="64563 22/08/2020 - Wedding"/>
    <n v="-262.5"/>
    <n v="-0.26250000000000001"/>
  </r>
  <r>
    <s v="S22"/>
    <x v="25"/>
    <s v="AJ"/>
    <n v="10348038"/>
    <d v="2020-04-07T00:00:00"/>
    <n v="202101"/>
    <s v="1"/>
    <s v="INC"/>
    <s v="K9430"/>
    <s v="BL10"/>
    <s v="65988 12/06/2020 - Oxfordshire Reuses"/>
    <n v="-100"/>
    <n v="-0.1"/>
  </r>
  <r>
    <s v="S22"/>
    <x v="25"/>
    <s v="AJ"/>
    <n v="10348038"/>
    <d v="2020-04-07T00:00:00"/>
    <n v="202101"/>
    <s v="1"/>
    <s v="INC"/>
    <s v="K9430"/>
    <s v="BL10"/>
    <s v="65627 17/06/2020 - OUCS Summer Fair"/>
    <n v="-100"/>
    <n v="-0.1"/>
  </r>
  <r>
    <s v="S22"/>
    <x v="25"/>
    <s v="AJ"/>
    <n v="10348038"/>
    <d v="2020-04-07T00:00:00"/>
    <n v="202101"/>
    <s v="1"/>
    <s v="INC"/>
    <s v="K9430"/>
    <s v="BL10"/>
    <s v="07/04/2020 Reversal of 51364038"/>
    <n v="100"/>
    <n v="0.1"/>
  </r>
  <r>
    <s v="S22"/>
    <x v="25"/>
    <s v="AJ"/>
    <n v="10348038"/>
    <d v="2020-04-07T00:00:00"/>
    <n v="202101"/>
    <s v="1"/>
    <s v="INC"/>
    <s v="K9404"/>
    <s v="BL10"/>
    <s v="65016 10/04/2021 - Wedding Ceremony"/>
    <n v="-262.5"/>
    <n v="-0.26250000000000001"/>
  </r>
  <r>
    <s v="S22"/>
    <x v="25"/>
    <s v="AJ"/>
    <n v="10348038"/>
    <d v="2020-04-07T00:00:00"/>
    <n v="202101"/>
    <s v="1"/>
    <s v="INC"/>
    <s v="K9404"/>
    <s v="BL10"/>
    <s v="64961 11/04/2020 - Wedding"/>
    <n v="-1057.5"/>
    <n v="-1.0575000000000001"/>
  </r>
  <r>
    <s v="S22"/>
    <x v="25"/>
    <s v="AJ"/>
    <n v="10348038"/>
    <d v="2020-04-07T00:00:00"/>
    <n v="202101"/>
    <s v="1"/>
    <s v="INC"/>
    <s v="K9404"/>
    <s v="BL10"/>
    <s v="63986 29/08/2020 - Ceremony"/>
    <n v="-262.5"/>
    <n v="-0.26250000000000001"/>
  </r>
  <r>
    <s v="S22"/>
    <x v="25"/>
    <s v="AJ"/>
    <n v="10348038"/>
    <d v="2020-04-07T00:00:00"/>
    <n v="202101"/>
    <s v="1"/>
    <s v="INC"/>
    <s v="K9404"/>
    <s v="BL10"/>
    <s v="64735 04/07/2020 - Ceremony"/>
    <n v="-236.25"/>
    <n v="-0.23624999999999999"/>
  </r>
  <r>
    <s v="S22"/>
    <x v="25"/>
    <s v="AJ"/>
    <n v="10348038"/>
    <d v="2020-04-07T00:00:00"/>
    <n v="202101"/>
    <s v="1"/>
    <s v="INC"/>
    <s v="K9404"/>
    <s v="BL10"/>
    <s v="65592 07/07/2020 - Ceremony"/>
    <n v="-137.5"/>
    <n v="-0.13750000000000001"/>
  </r>
  <r>
    <s v="S22"/>
    <x v="25"/>
    <s v="AJ"/>
    <n v="10348038"/>
    <d v="2020-04-07T00:00:00"/>
    <n v="202101"/>
    <s v="1"/>
    <s v="INC"/>
    <s v="K9540"/>
    <s v="BL10"/>
    <s v="16/04/2020 Reversal of 51364036"/>
    <n v="1085"/>
    <n v="1.085"/>
  </r>
  <r>
    <s v="S22"/>
    <x v="25"/>
    <s v="AJ"/>
    <n v="10348038"/>
    <d v="2020-04-07T00:00:00"/>
    <n v="202101"/>
    <s v="1"/>
    <s v="INC"/>
    <s v="K9540"/>
    <s v="BL10"/>
    <s v="59449 30/09/2020 - Conference Dinner"/>
    <n v="-1126"/>
    <n v="-1.1259999999999999"/>
  </r>
  <r>
    <s v="S22"/>
    <x v="25"/>
    <s v="AJ"/>
    <n v="10348038"/>
    <d v="2020-04-07T00:00:00"/>
    <n v="202101"/>
    <s v="1"/>
    <s v="INC"/>
    <s v="K9540"/>
    <s v="BL10"/>
    <s v="60084 27/06/2020 - Oxford Harmonic Choir"/>
    <n v="-365"/>
    <n v="-0.36499999999999999"/>
  </r>
  <r>
    <s v="S22"/>
    <x v="25"/>
    <s v="AJ"/>
    <n v="10348038"/>
    <d v="2020-04-07T00:00:00"/>
    <n v="202101"/>
    <s v="1"/>
    <s v="INC"/>
    <s v="K9540"/>
    <s v="BL10"/>
    <s v="60085 21/11/2020 - Oxford Harmonic Choir"/>
    <n v="-365"/>
    <n v="-0.36499999999999999"/>
  </r>
  <r>
    <s v="S22"/>
    <x v="25"/>
    <s v="AJ"/>
    <n v="10348038"/>
    <d v="2020-04-07T00:00:00"/>
    <n v="202101"/>
    <s v="1"/>
    <s v="INC"/>
    <s v="K9540"/>
    <s v="BL10"/>
    <s v="60085 21/11/2020 - OXFORD HARMONIC CHOIR"/>
    <n v="-365"/>
    <n v="-0.36499999999999999"/>
  </r>
  <r>
    <s v="S22"/>
    <x v="25"/>
    <s v="AJ"/>
    <n v="10348038"/>
    <d v="2020-04-07T00:00:00"/>
    <n v="202101"/>
    <s v="1"/>
    <s v="INC"/>
    <s v="K9540"/>
    <s v="BL10"/>
    <s v="61424 06/06/2020 - Cothill House 150th Anniversary"/>
    <n v="-1310"/>
    <n v="-1.31"/>
  </r>
  <r>
    <s v="S22"/>
    <x v="25"/>
    <s v="AJ"/>
    <n v="10348038"/>
    <d v="2020-04-07T00:00:00"/>
    <n v="202101"/>
    <s v="1"/>
    <s v="INC"/>
    <s v="K9540"/>
    <s v="BL10"/>
    <s v="64346 23/06/2020 - Oxford BRC Open Event"/>
    <n v="-1500"/>
    <n v="-1.5"/>
  </r>
  <r>
    <s v="S22"/>
    <x v="25"/>
    <s v="AJ"/>
    <n v="10348038"/>
    <d v="2020-04-07T00:00:00"/>
    <n v="202101"/>
    <s v="1"/>
    <s v="INC"/>
    <s v="K9540"/>
    <s v="BL10"/>
    <s v="65048 03/07/2020 - Oxford Transplant Centre"/>
    <n v="-2410"/>
    <n v="-2.41"/>
  </r>
  <r>
    <s v="S22"/>
    <x v="25"/>
    <s v="AJ"/>
    <n v="10348038"/>
    <d v="2020-04-07T00:00:00"/>
    <n v="202101"/>
    <s v="1"/>
    <s v="INC"/>
    <s v="K9540"/>
    <s v="BL10"/>
    <s v="66057 12/03/2022 - Oxford Symphony Orchestra"/>
    <n v="-351.88"/>
    <n v="-0.35187999999999997"/>
  </r>
  <r>
    <s v="S22"/>
    <x v="25"/>
    <s v="AJ"/>
    <n v="10348038"/>
    <d v="2020-04-07T00:00:00"/>
    <n v="202101"/>
    <s v="1"/>
    <s v="INC"/>
    <s v="K9540"/>
    <s v="BL10"/>
    <s v="62414 13/11/2020 - Oxford Global Home Conference"/>
    <n v="-1145"/>
    <n v="-1.145"/>
  </r>
  <r>
    <s v="S22"/>
    <x v="25"/>
    <s v="AJ"/>
    <n v="10348038"/>
    <d v="2020-04-07T00:00:00"/>
    <n v="202101"/>
    <s v="1"/>
    <s v="INC"/>
    <s v="K9540"/>
    <s v="BL10"/>
    <s v="Reversal of 51359342 65048 03/07/2020"/>
    <n v="2410"/>
    <n v="2.41"/>
  </r>
  <r>
    <s v="S22"/>
    <x v="25"/>
    <s v="AJ"/>
    <n v="10348038"/>
    <d v="2020-04-07T00:00:00"/>
    <n v="202101"/>
    <s v="1"/>
    <s v="INC"/>
    <s v="K9404"/>
    <s v="BL10"/>
    <s v="63319 22/08/2020 - Ceremony"/>
    <n v="-262.5"/>
    <n v="-0.26250000000000001"/>
  </r>
  <r>
    <s v="S22"/>
    <x v="25"/>
    <s v="AJ"/>
    <n v="10348038"/>
    <d v="2020-04-07T00:00:00"/>
    <n v="202101"/>
    <s v="1"/>
    <s v="INC"/>
    <s v="K9404"/>
    <s v="BL10"/>
    <s v="66171 04/09/2020 - Wedding"/>
    <n v="-1563.75"/>
    <n v="-1.56375"/>
  </r>
  <r>
    <s v="S22"/>
    <x v="25"/>
    <s v="AJ"/>
    <n v="10348038"/>
    <d v="2020-04-07T00:00:00"/>
    <n v="202101"/>
    <s v="1"/>
    <s v="INC"/>
    <s v="K9404"/>
    <s v="BL10"/>
    <s v="65605 01/05/2021 - Wedding"/>
    <n v="-836.25"/>
    <n v="-0.83625000000000005"/>
  </r>
  <r>
    <s v="S22"/>
    <x v="25"/>
    <s v="AJ"/>
    <n v="10348038"/>
    <d v="2020-04-07T00:00:00"/>
    <n v="202101"/>
    <s v="1"/>
    <s v="INC"/>
    <s v="K9540"/>
    <s v="BL10"/>
    <s v="64870 02/10/2021 - The Church of Jesus Christ of Latter Day"/>
    <n v="-1350"/>
    <n v="-1.35"/>
  </r>
  <r>
    <s v="S22"/>
    <x v="25"/>
    <s v="AJ"/>
    <n v="10348038"/>
    <d v="2020-04-07T00:00:00"/>
    <n v="202101"/>
    <s v="1"/>
    <s v="INC"/>
    <s v="K9540"/>
    <s v="BL10"/>
    <s v="65070 02/06/2020 - The Wine Society"/>
    <n v="-225"/>
    <n v="-0.22500000000000001"/>
  </r>
  <r>
    <s v="S22"/>
    <x v="25"/>
    <s v="AJ"/>
    <n v="10348038"/>
    <d v="2020-04-07T00:00:00"/>
    <n v="202101"/>
    <s v="1"/>
    <s v="INC"/>
    <s v="K9540"/>
    <s v="BL10"/>
    <s v="65616 15-17/01/2021 - Oxford Lindy Hoppers"/>
    <n v="-3725"/>
    <n v="-3.7250000000000001"/>
  </r>
  <r>
    <s v="S22"/>
    <x v="25"/>
    <s v="AJ"/>
    <n v="10348038"/>
    <d v="2020-04-07T00:00:00"/>
    <n v="202101"/>
    <s v="1"/>
    <s v="INC"/>
    <s v="K9540"/>
    <s v="BL10"/>
    <s v="65749 29/04/2020 - APSE"/>
    <n v="-187.5"/>
    <n v="-0.1875"/>
  </r>
  <r>
    <s v="S22"/>
    <x v="25"/>
    <s v="AJ"/>
    <n v="10348038"/>
    <d v="2020-04-07T00:00:00"/>
    <n v="202101"/>
    <s v="1"/>
    <s v="INC"/>
    <s v="K9540"/>
    <s v="BL10"/>
    <s v="65789 27/07/2020 - CTS Reisen"/>
    <n v="-1319.25"/>
    <n v="-1.31925"/>
  </r>
  <r>
    <s v="S22"/>
    <x v="25"/>
    <s v="AJ"/>
    <n v="10348038"/>
    <d v="2020-04-07T00:00:00"/>
    <n v="202101"/>
    <s v="1"/>
    <s v="INC"/>
    <s v="K9540"/>
    <s v="BL10"/>
    <s v="66104 02/04/2020 - Mercy Corps"/>
    <n v="-400"/>
    <n v="-0.4"/>
  </r>
  <r>
    <s v="S22"/>
    <x v="25"/>
    <s v="AJ"/>
    <n v="10348038"/>
    <d v="2020-04-07T00:00:00"/>
    <n v="202101"/>
    <s v="1"/>
    <s v="INC"/>
    <s v="K9540"/>
    <s v="BL10"/>
    <s v="64645 15/08/2020 - See World"/>
    <n v="-4600"/>
    <n v="-4.5999999999999996"/>
  </r>
  <r>
    <s v="S22"/>
    <x v="25"/>
    <s v="AJ"/>
    <n v="10348038"/>
    <d v="2020-04-07T00:00:00"/>
    <n v="202101"/>
    <s v="1"/>
    <s v="INC"/>
    <s v="K9540"/>
    <s v="BL10"/>
    <s v="Reversal of 51357094 63878 01/04/2020"/>
    <n v="1704"/>
    <n v="1.704"/>
  </r>
  <r>
    <s v="S22"/>
    <x v="25"/>
    <s v="AJ"/>
    <n v="10348038"/>
    <d v="2020-04-07T00:00:00"/>
    <n v="202101"/>
    <s v="1"/>
    <s v="INC"/>
    <s v="K9540"/>
    <s v="BL10"/>
    <s v="Reversal of 51354429 64355 27/11/2020"/>
    <n v="1795"/>
    <n v="1.7949999999999999"/>
  </r>
  <r>
    <s v="S22"/>
    <x v="25"/>
    <s v="AJ"/>
    <n v="10348038"/>
    <d v="2020-04-07T00:00:00"/>
    <n v="202101"/>
    <s v="1"/>
    <s v="INC"/>
    <s v="K9404"/>
    <s v="BL10"/>
    <s v="64935 23/05/2020 - Wedding Ceremony"/>
    <n v="-262.5"/>
    <n v="-0.26250000000000001"/>
  </r>
  <r>
    <s v="S22"/>
    <x v="25"/>
    <s v="AJ"/>
    <n v="10348038"/>
    <d v="2020-04-07T00:00:00"/>
    <n v="202101"/>
    <s v="1"/>
    <s v="INC"/>
    <s v="K9404"/>
    <s v="BL10"/>
    <s v="65173 10/10/2020 - Wedding"/>
    <n v="-262.5"/>
    <n v="-0.26250000000000001"/>
  </r>
  <r>
    <s v="S22"/>
    <x v="25"/>
    <s v="AJ"/>
    <n v="10348038"/>
    <d v="2020-04-07T00:00:00"/>
    <n v="202101"/>
    <s v="1"/>
    <s v="INC"/>
    <s v="K9404"/>
    <s v="BL10"/>
    <s v="64937 30/10/2020 - Wedding"/>
    <n v="-137.5"/>
    <n v="-0.13750000000000001"/>
  </r>
  <r>
    <s v="S22"/>
    <x v="25"/>
    <s v="AJ"/>
    <n v="10348038"/>
    <d v="2020-04-07T00:00:00"/>
    <n v="202101"/>
    <s v="1"/>
    <s v="INC"/>
    <s v="K9404"/>
    <s v="BL10"/>
    <s v="64971 04/09/2021 - Wedding"/>
    <n v="-262.5"/>
    <n v="-0.26250000000000001"/>
  </r>
  <r>
    <s v="S22"/>
    <x v="25"/>
    <s v="AJ"/>
    <n v="10348038"/>
    <d v="2020-04-07T00:00:00"/>
    <n v="202101"/>
    <s v="1"/>
    <s v="INC"/>
    <s v="K9540"/>
    <s v="BL10"/>
    <s v="65236 13/10/2020 - Find A University"/>
    <n v="-1322.85"/>
    <n v="-1.3228499999999999"/>
  </r>
  <r>
    <s v="S22"/>
    <x v="25"/>
    <s v="AJ"/>
    <n v="10348038"/>
    <d v="2020-04-07T00:00:00"/>
    <n v="202101"/>
    <s v="1"/>
    <s v="INC"/>
    <s v="K9540"/>
    <s v="BL10"/>
    <s v="65174 07/04/2020  - Oxford Cowley Congregation"/>
    <n v="-307.5"/>
    <n v="-0.3075"/>
  </r>
  <r>
    <s v="S22"/>
    <x v="25"/>
    <s v="AJ"/>
    <n v="10348038"/>
    <d v="2020-04-07T00:00:00"/>
    <n v="202101"/>
    <s v="1"/>
    <s v="INC"/>
    <s v="K9540"/>
    <s v="BL10"/>
    <s v="65294 15/06/2020 - Formal Dinner"/>
    <n v="-640"/>
    <n v="-0.64"/>
  </r>
  <r>
    <s v="S22"/>
    <x v="25"/>
    <s v="AJ"/>
    <n v="10348038"/>
    <d v="2020-04-07T00:00:00"/>
    <n v="202101"/>
    <s v="1"/>
    <s v="INC"/>
    <s v="K9540"/>
    <s v="BL10"/>
    <s v="09/04/2020 Refund of 51362514"/>
    <n v="1800"/>
    <n v="1.8"/>
  </r>
  <r>
    <s v="S22"/>
    <x v="27"/>
    <s v="AJ"/>
    <n v="10348168"/>
    <d v="2020-04-08T00:00:00"/>
    <n v="202101"/>
    <s v="1"/>
    <s v="INC"/>
    <s v="K9140"/>
    <s v="AJ12"/>
    <s v="ACE grant ´Young Voices´ RIA"/>
    <n v="-13678.63"/>
    <n v="-13.67863"/>
  </r>
  <r>
    <s v="S22"/>
    <x v="27"/>
    <s v="AJ"/>
    <n v="10348168"/>
    <d v="2020-04-08T00:00:00"/>
    <n v="202101"/>
    <s v="1"/>
    <s v="INC"/>
    <s v="K9140"/>
    <s v="AJ12"/>
    <s v="TORCH grant RIA"/>
    <n v="-4000"/>
    <n v="-4"/>
  </r>
  <r>
    <s v="S22"/>
    <x v="27"/>
    <s v="AJ"/>
    <n v="10348168"/>
    <d v="2020-04-08T00:00:00"/>
    <n v="202101"/>
    <s v="1"/>
    <s v="INC"/>
    <s v="K9140"/>
    <s v="AJ12"/>
    <s v="ACE grant  ´Digital Makers Space´  RIA"/>
    <n v="-19200"/>
    <n v="-19.2"/>
  </r>
  <r>
    <s v="S22"/>
    <x v="27"/>
    <s v="AJ"/>
    <n v="10348168"/>
    <d v="2020-04-08T00:00:00"/>
    <n v="202101"/>
    <s v="1"/>
    <s v="INC"/>
    <s v="K9140"/>
    <s v="AJ12"/>
    <s v="HLF claims Aug 29 - Mar 20"/>
    <n v="64342.27"/>
    <n v="64.342269999999999"/>
  </r>
  <r>
    <s v="S22"/>
    <x v="27"/>
    <s v="AJ"/>
    <n v="10348168"/>
    <d v="2020-04-08T00:00:00"/>
    <n v="202101"/>
    <s v="1"/>
    <s v="INC"/>
    <s v="K9140"/>
    <s v="AJ12"/>
    <s v="HLF claims Aug 29 - Mar 20 RIA"/>
    <n v="-19710"/>
    <n v="-19.71"/>
  </r>
  <r>
    <s v="S22"/>
    <x v="25"/>
    <s v="AJ"/>
    <n v="10348038"/>
    <d v="2020-04-07T00:00:00"/>
    <n v="202101"/>
    <s v="1"/>
    <s v="INC"/>
    <s v="K9540"/>
    <s v="BL10"/>
    <s v="63796 20/04/2020 - Conference"/>
    <n v="-1995"/>
    <n v="-1.9950000000000001"/>
  </r>
  <r>
    <s v="S22"/>
    <x v="25"/>
    <s v="AJ"/>
    <n v="10348038"/>
    <d v="2020-04-07T00:00:00"/>
    <n v="202101"/>
    <s v="1"/>
    <s v="INC"/>
    <s v="K9540"/>
    <s v="BL10"/>
    <s v="64341 29/05/2020 - Party"/>
    <n v="-2730"/>
    <n v="-2.73"/>
  </r>
  <r>
    <s v="S22"/>
    <x v="25"/>
    <s v="AJ"/>
    <n v="10348038"/>
    <d v="2020-04-07T00:00:00"/>
    <n v="202101"/>
    <s v="1"/>
    <s v="INC"/>
    <s v="K9540"/>
    <s v="BL10"/>
    <s v="63708 06/07/2020 - Oxford Tradition Classrooms"/>
    <n v="-9360"/>
    <n v="-9.36"/>
  </r>
  <r>
    <s v="S22"/>
    <x v="25"/>
    <s v="AJ"/>
    <n v="10348038"/>
    <d v="2020-04-07T00:00:00"/>
    <n v="202101"/>
    <s v="1"/>
    <s v="INC"/>
    <s v="K9540"/>
    <s v="BL10"/>
    <s v="64397 29/07/2020 - Oxbridge Academic"/>
    <n v="-949"/>
    <n v="-0.94899999999999995"/>
  </r>
  <r>
    <s v="S22"/>
    <x v="25"/>
    <s v="AJ"/>
    <n v="10348038"/>
    <d v="2020-04-07T00:00:00"/>
    <n v="202101"/>
    <s v="1"/>
    <s v="INC"/>
    <s v="K9540"/>
    <s v="BL10"/>
    <s v="63855 12/09/2020 - Rum &amp; Reggae Festival"/>
    <n v="-1610"/>
    <n v="-1.61"/>
  </r>
  <r>
    <s v="S22"/>
    <x v="25"/>
    <s v="AJ"/>
    <n v="10348038"/>
    <d v="2020-04-07T00:00:00"/>
    <n v="202101"/>
    <s v="1"/>
    <s v="INC"/>
    <s v="K9540"/>
    <s v="BL10"/>
    <s v="65467 12/07/2020 - Summer School Opening Night"/>
    <n v="-910"/>
    <n v="-0.91"/>
  </r>
  <r>
    <s v="S22"/>
    <x v="25"/>
    <s v="AJ"/>
    <n v="10348038"/>
    <d v="2020-04-07T00:00:00"/>
    <n v="202101"/>
    <s v="1"/>
    <s v="INC"/>
    <s v="K9540"/>
    <s v="BL10"/>
    <s v="63878 01/04/2020 - Soundshift"/>
    <n v="-1704"/>
    <n v="-1.704"/>
  </r>
  <r>
    <s v="S22"/>
    <x v="25"/>
    <s v="AJ"/>
    <n v="10348038"/>
    <d v="2020-04-07T00:00:00"/>
    <n v="202101"/>
    <s v="1"/>
    <s v="INC"/>
    <s v="K9540"/>
    <s v="BL10"/>
    <s v="63939 14/05/2021 - Refugee Week Exhibition"/>
    <n v="-2040"/>
    <n v="-2.04"/>
  </r>
  <r>
    <s v="S22"/>
    <x v="25"/>
    <s v="AJ"/>
    <n v="10348038"/>
    <d v="2020-04-07T00:00:00"/>
    <n v="202101"/>
    <s v="1"/>
    <s v="INC"/>
    <s v="K9540"/>
    <s v="BL10"/>
    <s v="65839 03/04/2020 - Oxford Brookes Real Estate Ball"/>
    <n v="-1435"/>
    <n v="-1.4350000000000001"/>
  </r>
  <r>
    <s v="S22"/>
    <x v="25"/>
    <s v="AJ"/>
    <n v="10348038"/>
    <d v="2020-04-07T00:00:00"/>
    <n v="202101"/>
    <s v="1"/>
    <s v="INC"/>
    <s v="K9540"/>
    <s v="BL10"/>
    <s v="65638 15/07/2020 - St Joseph´s Catholic"/>
    <n v="-455"/>
    <n v="-0.45500000000000002"/>
  </r>
  <r>
    <s v="S22"/>
    <x v="25"/>
    <s v="AJ"/>
    <n v="10348038"/>
    <d v="2020-04-07T00:00:00"/>
    <n v="202101"/>
    <s v="1"/>
    <s v="INC"/>
    <s v="K9540"/>
    <s v="BL10"/>
    <s v="62787 31/10/2020 - Oxford Welsh Male Voice"/>
    <n v="-556"/>
    <n v="-0.55600000000000005"/>
  </r>
  <r>
    <s v="S22"/>
    <x v="25"/>
    <s v="AJ"/>
    <n v="10348038"/>
    <d v="2020-04-07T00:00:00"/>
    <n v="202101"/>
    <s v="1"/>
    <s v="INC"/>
    <s v="K9404"/>
    <s v="BL10"/>
    <s v="65704 17/04/2021 - Wedding"/>
    <n v="-1767.5"/>
    <n v="-1.7675000000000001"/>
  </r>
  <r>
    <s v="S22"/>
    <x v="25"/>
    <s v="AJ"/>
    <n v="10348038"/>
    <d v="2020-04-07T00:00:00"/>
    <n v="202101"/>
    <s v="1"/>
    <s v="INC"/>
    <s v="K9540"/>
    <s v="BL10"/>
    <s v="64355 27/11/2020 - Prosecco Festival"/>
    <n v="-1795"/>
    <n v="-1.7949999999999999"/>
  </r>
  <r>
    <s v="S22"/>
    <x v="25"/>
    <s v="AJ"/>
    <n v="10348038"/>
    <d v="2020-04-07T00:00:00"/>
    <n v="202101"/>
    <s v="1"/>
    <s v="INC"/>
    <s v="K9540"/>
    <s v="BL10"/>
    <s v="64341 29/05/2020 - Party"/>
    <n v="-1554"/>
    <n v="-1.554"/>
  </r>
  <r>
    <s v="S22"/>
    <x v="25"/>
    <s v="AJ"/>
    <n v="10348038"/>
    <d v="2020-04-07T00:00:00"/>
    <n v="202101"/>
    <s v="1"/>
    <s v="INC"/>
    <s v="K9540"/>
    <s v="BL10"/>
    <s v="18/04/2020 Refund of 51349842"/>
    <n v="2500"/>
    <n v="2.5"/>
  </r>
  <r>
    <s v="S22"/>
    <x v="25"/>
    <s v="AJ"/>
    <n v="10348038"/>
    <d v="2020-04-07T00:00:00"/>
    <n v="202101"/>
    <s v="1"/>
    <s v="INC"/>
    <s v="K9540"/>
    <s v="BL10"/>
    <s v="05/06/2020 Refund of 51350672"/>
    <n v="715"/>
    <n v="0.71499999999999997"/>
  </r>
  <r>
    <s v="S22"/>
    <x v="27"/>
    <s v="AJ"/>
    <n v="10348539"/>
    <d v="2020-04-30T00:00:00"/>
    <n v="202101"/>
    <s v="1"/>
    <s v="EXP"/>
    <s v="D3002"/>
    <s v="KA20"/>
    <s v="reverse 10347980 PO 8038171 not required"/>
    <n v="2350"/>
    <n v="2.35"/>
  </r>
  <r>
    <s v="S22"/>
    <x v="23"/>
    <s v="AJ"/>
    <n v="10348077"/>
    <d v="2020-04-08T00:00:00"/>
    <n v="202101"/>
    <s v="1"/>
    <s v="INC"/>
    <s v="K9550"/>
    <s v="AC18"/>
    <s v="CATCH 22 CHARITY LTD 25/3-23/6/20"/>
    <n v="-3604.08"/>
    <n v="-3.6040799999999997"/>
  </r>
  <r>
    <s v="S22"/>
    <x v="29"/>
    <s v="AJ"/>
    <n v="10347981"/>
    <d v="2020-04-03T00:00:00"/>
    <n v="202101"/>
    <s v="1"/>
    <s v="EXP"/>
    <s v="D3401"/>
    <s v="KV06"/>
    <s v="P12 P2P accruals 2019/20, 8027667, PETE RUSSELL"/>
    <n v="-40"/>
    <n v="-0.04"/>
  </r>
  <r>
    <s v="S22"/>
    <x v="25"/>
    <s v="AJ"/>
    <n v="10347981"/>
    <d v="2020-04-03T00:00:00"/>
    <n v="202101"/>
    <s v="1"/>
    <s v="EXP"/>
    <s v="D3802"/>
    <s v="BL10"/>
    <s v="P12 P2P accruals 2019/20, 8034921, OCEAN MEDIA GROUP LTD"/>
    <n v="-447.5"/>
    <n v="-0.44750000000000001"/>
  </r>
  <r>
    <s v="S22"/>
    <x v="29"/>
    <s v="AJ"/>
    <n v="10347981"/>
    <d v="2020-04-03T00:00:00"/>
    <n v="202101"/>
    <s v="1"/>
    <s v="EXP"/>
    <s v="D3001"/>
    <s v="KV07"/>
    <s v="P12 P2P accruals 2019/20, 8027888, BISHOP SPORTS &amp; LEISURE LTD"/>
    <n v="-131.49"/>
    <n v="-0.13149"/>
  </r>
  <r>
    <s v="S22"/>
    <x v="23"/>
    <s v="AJ"/>
    <n v="10347981"/>
    <d v="2020-04-03T00:00:00"/>
    <n v="202101"/>
    <s v="1"/>
    <s v="EXP"/>
    <s v="D3023"/>
    <s v="AC19"/>
    <s v="P12 P2P accruals 2019/20, 8036508, BMA VARSITY LTD"/>
    <n v="-13.8"/>
    <n v="-1.3800000000000002E-2"/>
  </r>
  <r>
    <s v="S22"/>
    <x v="27"/>
    <s v="AJ"/>
    <n v="10347981"/>
    <d v="2020-04-03T00:00:00"/>
    <n v="202101"/>
    <s v="1"/>
    <s v="EXP"/>
    <s v="D3401"/>
    <s v="BJ13"/>
    <s v="P12 P2P accruals 2019/20, 8037542, WERNICK HIRE LTD"/>
    <n v="-2105"/>
    <n v="-2.105"/>
  </r>
  <r>
    <s v="S22"/>
    <x v="29"/>
    <s v="AJ"/>
    <n v="10347981"/>
    <d v="2020-04-03T00:00:00"/>
    <n v="202101"/>
    <s v="1"/>
    <s v="EXP"/>
    <s v="D3807"/>
    <s v="KV06"/>
    <s v="P12 P2P accruals 2019/20, 8038662, PGL TRAVEL LTD"/>
    <n v="-546"/>
    <n v="-0.54600000000000004"/>
  </r>
  <r>
    <s v="S22"/>
    <x v="27"/>
    <s v="AJ"/>
    <n v="10347981"/>
    <d v="2020-04-03T00:00:00"/>
    <n v="202101"/>
    <s v="1"/>
    <s v="EXP"/>
    <s v="D3401"/>
    <s v="AE16"/>
    <s v="P12 P2P accruals 2019/20, 8036835, OXFORD DIRECT SERVICES TRADING LTD"/>
    <n v="-446"/>
    <n v="-0.44600000000000001"/>
  </r>
  <r>
    <s v="S22"/>
    <x v="27"/>
    <s v="AJ"/>
    <n v="10347981"/>
    <d v="2020-04-03T00:00:00"/>
    <n v="202101"/>
    <s v="1"/>
    <s v="EXP"/>
    <s v="D3401"/>
    <s v="AE19"/>
    <s v="P12 P2P accruals 2019/20, 8038857, ROLAND CARLINE"/>
    <n v="-420"/>
    <n v="-0.42"/>
  </r>
  <r>
    <s v="S22"/>
    <x v="27"/>
    <s v="AJ"/>
    <n v="10347981"/>
    <d v="2020-04-03T00:00:00"/>
    <n v="202101"/>
    <s v="1"/>
    <s v="EXP"/>
    <s v="D3401"/>
    <s v="AE19"/>
    <s v="P12 P2P accruals 2019/20, 8034412, ARTS AT THE OLD FIRE STATION"/>
    <n v="-17.61"/>
    <n v="-1.7610000000000001E-2"/>
  </r>
  <r>
    <s v="S22"/>
    <x v="27"/>
    <s v="AJ"/>
    <n v="10347981"/>
    <d v="2020-04-03T00:00:00"/>
    <n v="202101"/>
    <s v="1"/>
    <s v="EXP"/>
    <s v="D3401"/>
    <s v="AJ03"/>
    <s v="P12 P2P accruals 2019/20, 8031661, OXFORDSHIRE COUNTY COUNCIL"/>
    <n v="-160"/>
    <n v="-0.16"/>
  </r>
  <r>
    <s v="S22"/>
    <x v="25"/>
    <s v="AJ"/>
    <n v="10347981"/>
    <d v="2020-04-03T00:00:00"/>
    <n v="202101"/>
    <s v="1"/>
    <s v="EXP"/>
    <s v="D3420"/>
    <s v="BL16"/>
    <s v="P12 P2P accruals 2019/20, 8035003, RESTORE DATASHRED LTD"/>
    <n v="-18.48"/>
    <n v="-1.848E-2"/>
  </r>
  <r>
    <s v="S22"/>
    <x v="23"/>
    <s v="AJ"/>
    <n v="10347981"/>
    <d v="2020-04-03T00:00:00"/>
    <n v="202101"/>
    <s v="1"/>
    <s v="EXP"/>
    <s v="D3418"/>
    <s v="AC19"/>
    <s v="P12 P2P accruals 2019/20, 8032355, OXFORD SECURITY SERVICES LTD"/>
    <n v="-150"/>
    <n v="-0.15"/>
  </r>
  <r>
    <s v="S22"/>
    <x v="25"/>
    <s v="AJ"/>
    <n v="10347981"/>
    <d v="2020-04-03T00:00:00"/>
    <n v="202101"/>
    <s v="1"/>
    <s v="EXP"/>
    <s v="D3425"/>
    <s v="BL16"/>
    <s v="P12 P2P accruals 2019/20, 8035416, CHARLES WOOD &amp; SONS"/>
    <n v="-225.12"/>
    <n v="-0.22512000000000001"/>
  </r>
  <r>
    <s v="S22"/>
    <x v="27"/>
    <s v="AJ"/>
    <n v="10347981"/>
    <d v="2020-04-03T00:00:00"/>
    <n v="202101"/>
    <s v="1"/>
    <s v="EXP"/>
    <s v="D3802"/>
    <s v="KA20"/>
    <s v="P12 P2P accruals 2019/20, 8039170, BOUNCE DESIGN LTD"/>
    <n v="-185"/>
    <n v="-0.185"/>
  </r>
  <r>
    <s v="S22"/>
    <x v="29"/>
    <s v="AJ"/>
    <n v="10347981"/>
    <d v="2020-04-03T00:00:00"/>
    <n v="202101"/>
    <s v="1"/>
    <s v="EXP"/>
    <s v="D3401"/>
    <s v="KV06"/>
    <s v="P12 P2P accruals 2019/20, 8034453, REBOUND REVOLUTION (BICESTER) LTD"/>
    <n v="-103.5"/>
    <n v="-0.10349999999999999"/>
  </r>
  <r>
    <s v="S22"/>
    <x v="24"/>
    <s v="AJ"/>
    <n v="10347981"/>
    <d v="2020-04-03T00:00:00"/>
    <n v="202101"/>
    <s v="1"/>
    <s v="EXP"/>
    <s v="D3429"/>
    <s v="AB01"/>
    <s v="P12 P2P accruals 2019/20, 8036064, CANTIUM BUSINESS SOLUTIONS LTD"/>
    <n v="-51"/>
    <n v="-5.0999999999999997E-2"/>
  </r>
  <r>
    <s v="S22"/>
    <x v="27"/>
    <s v="AJ"/>
    <n v="10347981"/>
    <d v="2020-04-03T00:00:00"/>
    <n v="202101"/>
    <s v="1"/>
    <s v="EXP"/>
    <s v="D3011"/>
    <s v="AJ01"/>
    <s v="P12 P2P accruals 2019/20, 8038694, RHODAWN LTD T/AS BOOKSPEED"/>
    <n v="-36.700000000000003"/>
    <n v="-3.6700000000000003E-2"/>
  </r>
  <r>
    <s v="S22"/>
    <x v="29"/>
    <s v="AJ"/>
    <n v="10347981"/>
    <d v="2020-04-03T00:00:00"/>
    <n v="202101"/>
    <s v="1"/>
    <s v="EXP"/>
    <s v="D3807"/>
    <s v="KV06"/>
    <s v="P12 P2P accruals 2019/20, 8033061, FLORENCE PARK COMMUNITY ASSOCIATION"/>
    <n v="-70"/>
    <n v="-7.0000000000000007E-2"/>
  </r>
  <r>
    <s v="S22"/>
    <x v="29"/>
    <s v="AJ"/>
    <n v="10347981"/>
    <d v="2020-04-03T00:00:00"/>
    <n v="202101"/>
    <s v="1"/>
    <s v="EXP"/>
    <s v="D3401"/>
    <s v="KV06"/>
    <s v="P12 P2P accruals 2019/20, 8026976, OXFORD CITY FC (TRADING) LTD"/>
    <n v="-57.6"/>
    <n v="-5.7599999999999998E-2"/>
  </r>
  <r>
    <s v="S22"/>
    <x v="23"/>
    <s v="AJ"/>
    <n v="10347981"/>
    <d v="2020-04-03T00:00:00"/>
    <n v="202101"/>
    <s v="1"/>
    <s v="EXP"/>
    <s v="D3418"/>
    <s v="AC20"/>
    <s v="P12 P2P accruals 2019/20, 8037805, OXFORD SECURITY SERVICES LTD"/>
    <n v="-50"/>
    <n v="-0.05"/>
  </r>
  <r>
    <s v="S22"/>
    <x v="25"/>
    <s v="AJ"/>
    <n v="10347981"/>
    <d v="2020-04-03T00:00:00"/>
    <n v="202101"/>
    <s v="1"/>
    <s v="EXP"/>
    <s v="D3006"/>
    <s v="BL16"/>
    <s v="P12 P2P accruals 2019/20, 8036329, CITY AUDIO VISUAL"/>
    <n v="-100"/>
    <n v="-0.1"/>
  </r>
  <r>
    <s v="S22"/>
    <x v="29"/>
    <s v="AJ"/>
    <n v="10347981"/>
    <d v="2020-04-03T00:00:00"/>
    <n v="202101"/>
    <s v="1"/>
    <s v="EXP"/>
    <s v="D3429"/>
    <s v="KV06"/>
    <s v="P12 P2P accruals 2019/20, 8037216, CANTIUM BUSINESS SOLUTIONS LTD"/>
    <n v="-47"/>
    <n v="-4.7E-2"/>
  </r>
  <r>
    <s v="S22"/>
    <x v="29"/>
    <s v="AJ"/>
    <n v="10347973"/>
    <d v="2020-04-03T00:00:00"/>
    <n v="202101"/>
    <s v="1"/>
    <s v="EXP"/>
    <s v="C2201"/>
    <s v="KV06"/>
    <s v=""/>
    <n v="-147.62"/>
    <n v="-0.14762"/>
  </r>
  <r>
    <s v="S22"/>
    <x v="30"/>
    <s v="AJ"/>
    <n v="10348400"/>
    <d v="2020-04-22T00:00:00"/>
    <n v="202101"/>
    <s v="1"/>
    <s v="EXP"/>
    <s v="B1001"/>
    <s v="AM19"/>
    <s v="Barton Park Grounds Maintenance 19-20  corr"/>
    <n v="26080.75"/>
    <n v="26.080749999999998"/>
  </r>
  <r>
    <s v="S22"/>
    <x v="27"/>
    <s v="AJ"/>
    <n v="10347981"/>
    <d v="2020-04-03T00:00:00"/>
    <n v="202101"/>
    <s v="1"/>
    <s v="EXP"/>
    <s v="D3401"/>
    <s v="AJ03"/>
    <s v="P12 P2P accruals 2019/20, 8037544, FRAN MONKS"/>
    <n v="-300"/>
    <n v="-0.3"/>
  </r>
  <r>
    <s v="S22"/>
    <x v="27"/>
    <s v="AJ"/>
    <n v="10347981"/>
    <d v="2020-04-03T00:00:00"/>
    <n v="202101"/>
    <s v="1"/>
    <s v="EXP"/>
    <s v="D3401"/>
    <s v="AE16"/>
    <s v="P12 P2P accruals 2019/20, 8036062, EMC MEDICAL SERVICES LTD"/>
    <n v="-1360"/>
    <n v="-1.36"/>
  </r>
  <r>
    <s v="S22"/>
    <x v="28"/>
    <s v="AJ"/>
    <n v="10347981"/>
    <d v="2020-04-03T00:00:00"/>
    <n v="202101"/>
    <s v="1"/>
    <s v="EXP"/>
    <s v="D3811"/>
    <s v="KF03"/>
    <s v="P12 P2P accruals 2019/20, 8037967, OXFORD BUS COMPANY LTD"/>
    <n v="-54"/>
    <n v="-5.3999999999999999E-2"/>
  </r>
  <r>
    <s v="S22"/>
    <x v="29"/>
    <s v="AJ"/>
    <n v="10347981"/>
    <d v="2020-04-03T00:00:00"/>
    <n v="202101"/>
    <s v="1"/>
    <s v="EXP"/>
    <s v="C2501"/>
    <s v="KV06"/>
    <s v="P12 P2P accruals 2019/20, 8027849, THE OXFORDSHIRE TAXI COMPANY LIMITED"/>
    <n v="-20.13"/>
    <n v="-2.0129999999999999E-2"/>
  </r>
  <r>
    <s v="S22"/>
    <x v="29"/>
    <s v="AJ"/>
    <n v="10347981"/>
    <d v="2020-04-03T00:00:00"/>
    <n v="202101"/>
    <s v="1"/>
    <s v="EXP"/>
    <s v="D3807"/>
    <s v="KV06"/>
    <s v="P12 P2P accruals 2019/20, 8037945, RUSH UK"/>
    <n v="-23.13"/>
    <n v="-2.3129999999999998E-2"/>
  </r>
  <r>
    <s v="S22"/>
    <x v="23"/>
    <s v="AJ"/>
    <n v="10347981"/>
    <d v="2020-04-03T00:00:00"/>
    <n v="202101"/>
    <s v="1"/>
    <s v="EXP"/>
    <s v="D3420"/>
    <s v="AC19"/>
    <s v="P12 P2P accruals 2019/20, 8037173, OXFORD DIRECT SERVICES TRADING LTD"/>
    <n v="-1387.27"/>
    <n v="-1.38727"/>
  </r>
  <r>
    <s v="S22"/>
    <x v="27"/>
    <s v="AJ"/>
    <n v="10347981"/>
    <d v="2020-04-03T00:00:00"/>
    <n v="202101"/>
    <s v="1"/>
    <s v="EXP"/>
    <s v="D3401"/>
    <s v="AE15"/>
    <s v="P12 P2P accruals 2019/20, 8032133, CARBON COLOUR COMPANY LTD"/>
    <n v="-20"/>
    <n v="-0.02"/>
  </r>
  <r>
    <s v="S22"/>
    <x v="23"/>
    <s v="AJ"/>
    <n v="10348077"/>
    <d v="2020-04-08T00:00:00"/>
    <n v="202101"/>
    <s v="1"/>
    <s v="EXP"/>
    <s v="D3001"/>
    <s v="AC20"/>
    <s v="LIFE FITNESS UK LTD 8039419"/>
    <n v="-4995.5200000000004"/>
    <n v="-4.9955200000000008"/>
  </r>
  <r>
    <s v="S22"/>
    <x v="27"/>
    <s v="AJ"/>
    <n v="10347981"/>
    <d v="2020-04-03T00:00:00"/>
    <n v="202101"/>
    <s v="1"/>
    <s v="EXP"/>
    <s v="D3804"/>
    <s v="AJ01"/>
    <s v="P12 P2P accruals 2019/20, 8036289, COMPLETE IT LTD"/>
    <n v="-99"/>
    <n v="-9.9000000000000005E-2"/>
  </r>
  <r>
    <s v="S22"/>
    <x v="25"/>
    <s v="AJ"/>
    <n v="10347981"/>
    <d v="2020-04-03T00:00:00"/>
    <n v="202101"/>
    <s v="1"/>
    <s v="EXP"/>
    <s v="D3202"/>
    <s v="BL16"/>
    <s v="P12 P2P accruals 2019/20, 8038589, ARCO LTD"/>
    <n v="-11.59"/>
    <n v="-1.159E-2"/>
  </r>
  <r>
    <s v="S22"/>
    <x v="25"/>
    <s v="AJ"/>
    <n v="10347981"/>
    <d v="2020-04-03T00:00:00"/>
    <n v="202101"/>
    <s v="1"/>
    <s v="EXP"/>
    <s v="D3006"/>
    <s v="BL10"/>
    <s v="P12 P2P accruals 2019/20, 8036272, THAT EVENT COMPANY LTD"/>
    <n v="-66.25"/>
    <n v="-6.6250000000000003E-2"/>
  </r>
  <r>
    <s v="S22"/>
    <x v="27"/>
    <s v="AJ"/>
    <n v="10347981"/>
    <d v="2020-04-03T00:00:00"/>
    <n v="202101"/>
    <s v="1"/>
    <s v="EXP"/>
    <s v="D3011"/>
    <s v="AJ01"/>
    <s v="P12 P2P accruals 2019/20, 8026628, BHARAT PATEL"/>
    <n v="-87.5"/>
    <n v="-8.7499999999999994E-2"/>
  </r>
  <r>
    <s v="S22"/>
    <x v="23"/>
    <s v="AJ"/>
    <n v="10347981"/>
    <d v="2020-04-03T00:00:00"/>
    <n v="202101"/>
    <s v="1"/>
    <s v="EXP"/>
    <s v="D3001"/>
    <s v="AC14"/>
    <s v="P12 P2P accruals 2019/20, 8036338, OXFORD OFFICE FURNITURE LIMITED"/>
    <n v="-1503.4"/>
    <n v="-1.5034000000000001"/>
  </r>
  <r>
    <s v="S22"/>
    <x v="25"/>
    <s v="AJ"/>
    <n v="10347981"/>
    <d v="2020-04-03T00:00:00"/>
    <n v="202101"/>
    <s v="1"/>
    <s v="EXP"/>
    <s v="D3021"/>
    <s v="BL16"/>
    <s v="P12 P2P accruals 2019/20, 8038469, ADDACARD LTD"/>
    <n v="-76"/>
    <n v="-7.5999999999999998E-2"/>
  </r>
  <r>
    <s v="S22"/>
    <x v="25"/>
    <s v="AJ"/>
    <n v="10347981"/>
    <d v="2020-04-03T00:00:00"/>
    <n v="202101"/>
    <s v="1"/>
    <s v="EXP"/>
    <s v="D3021"/>
    <s v="BL16"/>
    <s v="P12 P2P accruals 2019/20, 8038759, ADDACARD LTD"/>
    <n v="-76"/>
    <n v="-7.5999999999999998E-2"/>
  </r>
  <r>
    <s v="S22"/>
    <x v="25"/>
    <s v="AJ"/>
    <n v="10347981"/>
    <d v="2020-04-03T00:00:00"/>
    <n v="202101"/>
    <s v="1"/>
    <s v="EXP"/>
    <s v="D3006"/>
    <s v="BL16"/>
    <s v="P12 P2P accruals 2019/20, 8036329, CITY AUDIO VISUAL"/>
    <n v="-100"/>
    <n v="-0.1"/>
  </r>
  <r>
    <s v="S22"/>
    <x v="23"/>
    <s v="AJ"/>
    <n v="10347981"/>
    <d v="2020-04-03T00:00:00"/>
    <n v="202101"/>
    <s v="1"/>
    <s v="EXP"/>
    <s v="D3413"/>
    <s v="AC20"/>
    <s v="P12 P2P accruals 2019/20, 8037985, ST JOHN AMBULANCE"/>
    <n v="-310"/>
    <n v="-0.31"/>
  </r>
  <r>
    <s v="S22"/>
    <x v="23"/>
    <s v="AJ"/>
    <n v="10347981"/>
    <d v="2020-04-03T00:00:00"/>
    <n v="202101"/>
    <s v="1"/>
    <s v="EXP"/>
    <s v="D3420"/>
    <s v="AC14"/>
    <s v="P12 P2P accruals 2019/20, 8037169, OXFORD DIRECT SERVICES TRADING LTD"/>
    <n v="-165.88"/>
    <n v="-0.16588"/>
  </r>
  <r>
    <s v="S22"/>
    <x v="27"/>
    <s v="AJ"/>
    <n v="10347981"/>
    <d v="2020-04-03T00:00:00"/>
    <n v="202101"/>
    <s v="1"/>
    <s v="EXP"/>
    <s v="D3401"/>
    <s v="AJ03"/>
    <s v="P12 P2P accruals 2019/20, 8036660, OXFORDSHIRE COUNTY COUNCIL"/>
    <n v="-18"/>
    <n v="-1.7999999999999999E-2"/>
  </r>
  <r>
    <s v="S22"/>
    <x v="23"/>
    <s v="AJ"/>
    <n v="10348077"/>
    <d v="2020-04-08T00:00:00"/>
    <n v="202101"/>
    <s v="1"/>
    <s v="EXP"/>
    <s v="D3401"/>
    <s v="AC14"/>
    <s v="Cleaning / Caretaking Mar 20"/>
    <n v="-1840"/>
    <n v="-1.84"/>
  </r>
  <r>
    <s v="S22"/>
    <x v="27"/>
    <s v="AJ"/>
    <n v="10347981"/>
    <d v="2020-04-03T00:00:00"/>
    <n v="202101"/>
    <s v="1"/>
    <s v="EXP"/>
    <s v="D3011"/>
    <s v="AJ01"/>
    <s v="P12 P2P accruals 2019/20, 8038694, RHODAWN LTD T/AS BOOKSPEED"/>
    <n v="-26.07"/>
    <n v="-2.6069999999999999E-2"/>
  </r>
  <r>
    <s v="S22"/>
    <x v="25"/>
    <s v="AJ"/>
    <n v="10347981"/>
    <d v="2020-04-03T00:00:00"/>
    <n v="202101"/>
    <s v="1"/>
    <s v="EXP"/>
    <s v="D3202"/>
    <s v="BL16"/>
    <s v="P12 P2P accruals 2019/20, 8038507, ARCO LTD"/>
    <n v="-11.38"/>
    <n v="-1.1380000000000001E-2"/>
  </r>
  <r>
    <s v="S22"/>
    <x v="23"/>
    <s v="AJ"/>
    <n v="10347981"/>
    <d v="2020-04-03T00:00:00"/>
    <n v="202101"/>
    <s v="1"/>
    <s v="EXP"/>
    <s v="D3001"/>
    <s v="AC20"/>
    <s v="P12 P2P accruals 2019/20, 8033042, ROSE HILL JUNIOR YOUTH CLUB"/>
    <n v="-555.41"/>
    <n v="-0.55540999999999996"/>
  </r>
  <r>
    <s v="S22"/>
    <x v="27"/>
    <s v="AJ"/>
    <n v="10347981"/>
    <d v="2020-04-03T00:00:00"/>
    <n v="202101"/>
    <s v="1"/>
    <s v="EXP"/>
    <s v="D3401"/>
    <s v="AJ03"/>
    <s v="P12 P2P accruals 2019/20, 8037567, ROSE HILL JUNIOR YOUTH CLUB"/>
    <n v="-75"/>
    <n v="-7.4999999999999997E-2"/>
  </r>
  <r>
    <s v="S22"/>
    <x v="25"/>
    <s v="AJ"/>
    <n v="10347981"/>
    <d v="2020-04-03T00:00:00"/>
    <n v="202101"/>
    <s v="1"/>
    <s v="EXP"/>
    <s v="D3420"/>
    <s v="BL16"/>
    <s v="P12 P2P accruals 2019/20, 8035003, RESTORE DATASHRED LTD"/>
    <n v="-54"/>
    <n v="-5.3999999999999999E-2"/>
  </r>
  <r>
    <s v="S22"/>
    <x v="27"/>
    <s v="AJ"/>
    <n v="10347981"/>
    <d v="2020-04-03T00:00:00"/>
    <n v="202101"/>
    <s v="1"/>
    <s v="EXP"/>
    <s v="D3021"/>
    <s v="AE16"/>
    <s v="P12 P2P accruals 2019/20, 8036788, GAP GROUP LTD"/>
    <n v="-372"/>
    <n v="-0.372"/>
  </r>
  <r>
    <s v="S22"/>
    <x v="28"/>
    <s v="AJ"/>
    <n v="10347981"/>
    <d v="2020-04-03T00:00:00"/>
    <n v="202101"/>
    <s v="1"/>
    <s v="EXP"/>
    <s v="C2501"/>
    <s v="KF03"/>
    <s v="P12 P2P accruals 2019/20, 8030388, OXFORD BUS COMPANY LTD"/>
    <n v="-36"/>
    <n v="-3.5999999999999997E-2"/>
  </r>
  <r>
    <s v="S22"/>
    <x v="29"/>
    <s v="AJ"/>
    <n v="10347981"/>
    <d v="2020-04-03T00:00:00"/>
    <n v="202101"/>
    <s v="1"/>
    <s v="EXP"/>
    <s v="D3001"/>
    <s v="KV07"/>
    <s v="P12 P2P accruals 2019/20, 8030161, ARGOS BUSINESS SOLUTIONS"/>
    <n v="-41.12"/>
    <n v="-4.1119999999999997E-2"/>
  </r>
  <r>
    <s v="S22"/>
    <x v="29"/>
    <s v="AJ"/>
    <n v="10347981"/>
    <d v="2020-04-03T00:00:00"/>
    <n v="202101"/>
    <s v="1"/>
    <s v="EXP"/>
    <s v="D3807"/>
    <s v="KV06"/>
    <s v="P12 P2P accruals 2019/20, 8038079, PGL TRAVEL LTD"/>
    <n v="-420"/>
    <n v="-0.42"/>
  </r>
  <r>
    <s v="S22"/>
    <x v="24"/>
    <s v="AJ"/>
    <n v="10347981"/>
    <d v="2020-04-03T00:00:00"/>
    <n v="202101"/>
    <s v="1"/>
    <s v="EXP"/>
    <s v="D3001"/>
    <s v="AB01"/>
    <s v="P12 P2P accruals 2019/20, 8034670, LYRECO UK LTD"/>
    <n v="-57.26"/>
    <n v="-5.7259999999999998E-2"/>
  </r>
  <r>
    <s v="S22"/>
    <x v="23"/>
    <s v="AJ"/>
    <n v="10347981"/>
    <d v="2020-04-03T00:00:00"/>
    <n v="202101"/>
    <s v="1"/>
    <s v="EXP"/>
    <s v="D3401"/>
    <s v="AC20"/>
    <s v="P12 P2P accruals 2019/20, 8039303, MERLIN PORTER"/>
    <n v="-875"/>
    <n v="-0.875"/>
  </r>
  <r>
    <s v="S22"/>
    <x v="25"/>
    <s v="AJ"/>
    <n v="10347981"/>
    <d v="2020-04-03T00:00:00"/>
    <n v="202101"/>
    <s v="1"/>
    <s v="EXP"/>
    <s v="D3418"/>
    <s v="BL16"/>
    <s v="P12 P2P accruals 2019/20, 8039324, SHOWSEC INTERNATIONAL LTD"/>
    <n v="-600"/>
    <n v="-0.6"/>
  </r>
  <r>
    <s v="S22"/>
    <x v="25"/>
    <s v="AJ"/>
    <n v="10347981"/>
    <d v="2020-04-03T00:00:00"/>
    <n v="202101"/>
    <s v="1"/>
    <s v="EXP"/>
    <s v="D3001"/>
    <s v="BL16"/>
    <s v="P12 P2P accruals 2019/20, 8035342, OXFORD OFFICE FURNITURE LIMITED"/>
    <n v="-100"/>
    <n v="-0.1"/>
  </r>
  <r>
    <s v="S22"/>
    <x v="25"/>
    <s v="AJ"/>
    <n v="10347981"/>
    <d v="2020-04-03T00:00:00"/>
    <n v="202101"/>
    <s v="1"/>
    <s v="EXP"/>
    <s v="D3420"/>
    <s v="BL16"/>
    <s v="P12 P2P accruals 2019/20, 8035003, RESTORE DATASHRED LTD"/>
    <n v="-5.46"/>
    <n v="-5.4599999999999996E-3"/>
  </r>
  <r>
    <s v="S22"/>
    <x v="27"/>
    <s v="AJ"/>
    <n v="10347981"/>
    <d v="2020-04-03T00:00:00"/>
    <n v="202101"/>
    <s v="1"/>
    <s v="EXP"/>
    <s v="D3401"/>
    <s v="KA20"/>
    <s v="P12 P2P accruals 2019/20, 8039231, PETE RUSSELL"/>
    <n v="-580"/>
    <n v="-0.57999999999999996"/>
  </r>
  <r>
    <s v="S22"/>
    <x v="27"/>
    <s v="AJ"/>
    <n v="10347981"/>
    <d v="2020-04-03T00:00:00"/>
    <n v="202101"/>
    <s v="1"/>
    <s v="EXP"/>
    <s v="D3401"/>
    <s v="KA20"/>
    <s v="P12 P2P accruals 2019/20, 8039094, SIMON BOURNE  (RIGHT ANGLE DESIGN)"/>
    <n v="-60"/>
    <n v="-0.06"/>
  </r>
  <r>
    <s v="S22"/>
    <x v="25"/>
    <s v="AJ"/>
    <n v="10347981"/>
    <d v="2020-04-03T00:00:00"/>
    <n v="202101"/>
    <s v="1"/>
    <s v="EXP"/>
    <s v="A0638"/>
    <s v="BL10"/>
    <s v="P12 P2P accruals 2019/20, 8036000, ARTIFAX SOFTWARE LTD"/>
    <n v="-78.59"/>
    <n v="-7.8590000000000007E-2"/>
  </r>
  <r>
    <s v="S22"/>
    <x v="24"/>
    <s v="AJ"/>
    <n v="10347981"/>
    <d v="2020-04-03T00:00:00"/>
    <n v="202101"/>
    <s v="1"/>
    <s v="EXP"/>
    <s v="D3411"/>
    <s v="AB01"/>
    <s v="P12 P2P accruals 2019/20, 8039382, OXFORD HUB"/>
    <n v="-8000"/>
    <n v="-8"/>
  </r>
  <r>
    <s v="S22"/>
    <x v="27"/>
    <s v="AJ"/>
    <n v="10347981"/>
    <d v="2020-04-03T00:00:00"/>
    <n v="202101"/>
    <s v="1"/>
    <s v="EXP"/>
    <s v="D3401"/>
    <s v="KA20"/>
    <s v="P12 P2P accruals 2019/20, 8039167, SIMON BOURNE  (RIGHT ANGLE DESIGN)"/>
    <n v="-150"/>
    <n v="-0.15"/>
  </r>
  <r>
    <s v="S22"/>
    <x v="28"/>
    <s v="AJ"/>
    <n v="10347981"/>
    <d v="2020-04-03T00:00:00"/>
    <n v="202101"/>
    <s v="1"/>
    <s v="EXP"/>
    <s v="D3401"/>
    <s v="KK14"/>
    <s v="P12 P2P accruals 2019/20, 8027454, OXFORD DIRECT SERVICES LTD"/>
    <n v="-5000"/>
    <n v="-5"/>
  </r>
  <r>
    <s v="S22"/>
    <x v="24"/>
    <s v="AJ"/>
    <n v="10348140"/>
    <d v="2020-04-08T00:00:00"/>
    <n v="202101"/>
    <s v="1"/>
    <s v="EXP"/>
    <s v="D3702"/>
    <s v="AB01"/>
    <s v="HPLA - ref J. Baughan"/>
    <n v="-1813.5"/>
    <n v="-1.8134999999999999"/>
  </r>
  <r>
    <s v="S22"/>
    <x v="29"/>
    <s v="AJ"/>
    <n v="10347981"/>
    <d v="2020-04-03T00:00:00"/>
    <n v="202101"/>
    <s v="1"/>
    <s v="EXP"/>
    <s v="D3401"/>
    <s v="KV06"/>
    <s v="P12 P2P accruals 2019/20, 8028650, LITTLEMORE COMMUNITY ASSOCIATION"/>
    <n v="-84"/>
    <n v="-8.4000000000000005E-2"/>
  </r>
  <r>
    <s v="S22"/>
    <x v="25"/>
    <s v="AJ"/>
    <n v="10348038"/>
    <d v="2020-04-07T00:00:00"/>
    <n v="202101"/>
    <s v="1"/>
    <s v="INC"/>
    <s v="K9540"/>
    <s v="BL10"/>
    <s v="64129 11/11/2020 - The Job Fair"/>
    <n v="-560"/>
    <n v="-0.56000000000000005"/>
  </r>
  <r>
    <s v="S22"/>
    <x v="23"/>
    <s v="AJ"/>
    <n v="10347981"/>
    <d v="2020-04-03T00:00:00"/>
    <n v="202101"/>
    <s v="1"/>
    <s v="EXP"/>
    <s v="D3401"/>
    <s v="AC14"/>
    <s v="P12 P2P accruals 2019/20, 8038850, WARRIOR DOORS LTD"/>
    <n v="-80"/>
    <n v="-0.08"/>
  </r>
  <r>
    <s v="S22"/>
    <x v="25"/>
    <s v="AJ"/>
    <n v="10347981"/>
    <d v="2020-04-03T00:00:00"/>
    <n v="202101"/>
    <s v="1"/>
    <s v="EXP"/>
    <s v="A0702"/>
    <s v="BL10"/>
    <s v="P12 P2P accruals 2019/20, 8030814, LEISUREJOBS"/>
    <n v="-350"/>
    <n v="-0.35"/>
  </r>
  <r>
    <s v="S22"/>
    <x v="27"/>
    <s v="AJ"/>
    <n v="10347981"/>
    <d v="2020-04-03T00:00:00"/>
    <n v="202101"/>
    <s v="1"/>
    <s v="EXP"/>
    <s v="D3011"/>
    <s v="AJ01"/>
    <s v="P12 P2P accruals 2019/20, 8038694, RHODAWN LTD T/AS BOOKSPEED"/>
    <n v="-32.409999999999997"/>
    <n v="-3.2409999999999994E-2"/>
  </r>
  <r>
    <s v="S22"/>
    <x v="29"/>
    <s v="AJ"/>
    <n v="10347981"/>
    <d v="2020-04-03T00:00:00"/>
    <n v="202101"/>
    <s v="1"/>
    <s v="EXP"/>
    <s v="D3401"/>
    <s v="KV06"/>
    <s v="P12 P2P accruals 2019/20, 8036043, LITTLEMORE COMMUNITY ASSOCIATION"/>
    <n v="-1785"/>
    <n v="-1.7849999999999999"/>
  </r>
  <r>
    <s v="S22"/>
    <x v="25"/>
    <s v="AJ"/>
    <n v="10347981"/>
    <d v="2020-04-03T00:00:00"/>
    <n v="202101"/>
    <s v="1"/>
    <s v="EXP"/>
    <s v="D3501"/>
    <s v="BL16"/>
    <s v="P12 P2P accruals 2019/20, 8035861, DULUX DECORATOR CENTRE 360"/>
    <n v="-15"/>
    <n v="-1.4999999999999999E-2"/>
  </r>
  <r>
    <s v="S22"/>
    <x v="27"/>
    <s v="AJ"/>
    <n v="10347981"/>
    <d v="2020-04-03T00:00:00"/>
    <n v="202101"/>
    <s v="1"/>
    <s v="EXP"/>
    <s v="D3401"/>
    <s v="AE19"/>
    <s v="P12 P2P accruals 2019/20, 8038449, EUTON DALEY"/>
    <n v="-459.75"/>
    <n v="-0.45974999999999999"/>
  </r>
  <r>
    <s v="S22"/>
    <x v="27"/>
    <s v="AJ"/>
    <n v="10347981"/>
    <d v="2020-04-03T00:00:00"/>
    <n v="202101"/>
    <s v="1"/>
    <s v="EXP"/>
    <s v="D3401"/>
    <s v="AJ03"/>
    <s v="P12 P2P accruals 2019/20, 8029122, ANGELA CONLAN"/>
    <n v="-50"/>
    <n v="-0.05"/>
  </r>
  <r>
    <s v="S22"/>
    <x v="24"/>
    <s v="AJ"/>
    <n v="10347981"/>
    <d v="2020-04-03T00:00:00"/>
    <n v="202101"/>
    <s v="1"/>
    <s v="EXP"/>
    <s v="A0636"/>
    <s v="AB01"/>
    <s v="P12 P2P accruals 2019/20, 8039064, APSE"/>
    <n v="-179"/>
    <n v="-0.17899999999999999"/>
  </r>
  <r>
    <s v="S22"/>
    <x v="29"/>
    <s v="AJ"/>
    <n v="10347981"/>
    <d v="2020-04-03T00:00:00"/>
    <n v="202101"/>
    <s v="1"/>
    <s v="EXP"/>
    <s v="D3429"/>
    <s v="KV06"/>
    <s v="P12 P2P accruals 2019/20, 8037216, CANTIUM BUSINESS SOLUTIONS LTD"/>
    <n v="-47"/>
    <n v="-4.7E-2"/>
  </r>
  <r>
    <s v="S22"/>
    <x v="23"/>
    <s v="AJ"/>
    <n v="10347981"/>
    <d v="2020-04-03T00:00:00"/>
    <n v="202101"/>
    <s v="1"/>
    <s v="EXP"/>
    <s v="A0622"/>
    <s v="AC20"/>
    <s v="P12 P2P accruals 2019/20, 8039375, BIOREGIONAL DEVELOPMENT GROUP"/>
    <n v="-3700"/>
    <n v="-3.7"/>
  </r>
  <r>
    <s v="S22"/>
    <x v="23"/>
    <s v="AJ"/>
    <n v="10347981"/>
    <d v="2020-04-03T00:00:00"/>
    <n v="202101"/>
    <s v="1"/>
    <s v="EXP"/>
    <s v="D3401"/>
    <s v="HT60"/>
    <s v="P12 P2P accruals 2019/20, 8036057, RIGHT DIRECTIONS (MANAGEMENT) LTD"/>
    <n v="-595"/>
    <n v="-0.59499999999999997"/>
  </r>
  <r>
    <s v="S22"/>
    <x v="27"/>
    <s v="AJ"/>
    <n v="10347981"/>
    <d v="2020-04-03T00:00:00"/>
    <n v="202101"/>
    <s v="1"/>
    <s v="EXP"/>
    <s v="D3401"/>
    <s v="AE19"/>
    <s v="P12 P2P accruals 2019/20, 8038443, ROLAND CARLINE"/>
    <n v="-480"/>
    <n v="-0.48"/>
  </r>
  <r>
    <s v="S22"/>
    <x v="29"/>
    <s v="AJ"/>
    <n v="10347981"/>
    <d v="2020-04-03T00:00:00"/>
    <n v="202101"/>
    <s v="1"/>
    <s v="EXP"/>
    <s v="D3802"/>
    <s v="KV06"/>
    <s v="P12 P2P accruals 2019/20, 8030526, PETE RUSSELL"/>
    <n v="-12"/>
    <n v="-1.2E-2"/>
  </r>
  <r>
    <s v="S22"/>
    <x v="23"/>
    <s v="AJ"/>
    <n v="10347981"/>
    <d v="2020-04-03T00:00:00"/>
    <n v="202101"/>
    <s v="1"/>
    <s v="EXP"/>
    <s v="D3420"/>
    <s v="AC20"/>
    <s v="P12 P2P accruals 2019/20, 8038201, OXFORD DIRECT SERVICES TRADING LTD"/>
    <n v="-191.27"/>
    <n v="-0.19127000000000002"/>
  </r>
  <r>
    <s v="S22"/>
    <x v="25"/>
    <s v="AJ"/>
    <n v="10347981"/>
    <d v="2020-04-03T00:00:00"/>
    <n v="202101"/>
    <s v="1"/>
    <s v="EXP"/>
    <s v="D3418"/>
    <s v="BL16"/>
    <s v="P12 P2P accruals 2019/20, 8037977, SHOWSEC INTERNATIONAL LTD"/>
    <n v="-600"/>
    <n v="-0.6"/>
  </r>
  <r>
    <s v="S22"/>
    <x v="29"/>
    <s v="AJ"/>
    <n v="10347981"/>
    <d v="2020-04-03T00:00:00"/>
    <n v="202101"/>
    <s v="1"/>
    <s v="EXP"/>
    <s v="D3001"/>
    <s v="KV07"/>
    <s v="P12 P2P accruals 2019/20, 8030694, WOOD FARM YOUTH CENTRE"/>
    <n v="-90"/>
    <n v="-0.09"/>
  </r>
  <r>
    <s v="S22"/>
    <x v="25"/>
    <s v="AJ"/>
    <n v="10347981"/>
    <d v="2020-04-03T00:00:00"/>
    <n v="202101"/>
    <s v="1"/>
    <s v="EXP"/>
    <s v="D3802"/>
    <s v="BL10"/>
    <s v="P12 P2P accruals 2019/20, 8025608, NEWSQUEST MIDLANDS, WALES &amp; SOUTH WEST"/>
    <n v="-429.6"/>
    <n v="-0.42960000000000004"/>
  </r>
  <r>
    <s v="S22"/>
    <x v="28"/>
    <s v="AJ"/>
    <n v="10347981"/>
    <d v="2020-04-03T00:00:00"/>
    <n v="202101"/>
    <s v="1"/>
    <s v="EXP"/>
    <s v="D3401"/>
    <s v="EL15"/>
    <s v="P12 P2P accruals 2019/20, 8030889, BARTON COMMUNITY ASSOCIATION"/>
    <n v="-50"/>
    <n v="-0.05"/>
  </r>
  <r>
    <s v="S22"/>
    <x v="29"/>
    <s v="AJ"/>
    <n v="10347981"/>
    <d v="2020-04-03T00:00:00"/>
    <n v="202101"/>
    <s v="1"/>
    <s v="EXP"/>
    <s v="D3029"/>
    <s v="KV06"/>
    <s v="P12 P2P accruals 2019/20, 8036336, AQA EDUCATION"/>
    <n v="-1310.05"/>
    <n v="-1.3100499999999999"/>
  </r>
  <r>
    <s v="S22"/>
    <x v="27"/>
    <s v="AJ"/>
    <n v="10347981"/>
    <d v="2020-04-03T00:00:00"/>
    <n v="202101"/>
    <s v="1"/>
    <s v="EXP"/>
    <s v="D3401"/>
    <s v="AJ01"/>
    <s v="P12 P2P accruals 2019/20, 8033508, OXFORDSHIRE COUNTY COUNCIL"/>
    <n v="-3202.72"/>
    <n v="-3.2027199999999998"/>
  </r>
  <r>
    <s v="S22"/>
    <x v="27"/>
    <s v="AJ"/>
    <n v="10347981"/>
    <d v="2020-04-03T00:00:00"/>
    <n v="202101"/>
    <s v="1"/>
    <s v="EXP"/>
    <s v="D3401"/>
    <s v="AE19"/>
    <s v="P12 P2P accruals 2019/20, 8038170, TEI WILLIAMS PRESS &amp; ARTS MARKETING"/>
    <n v="-2400"/>
    <n v="-2.4"/>
  </r>
  <r>
    <s v="S22"/>
    <x v="25"/>
    <s v="AJ"/>
    <n v="10347981"/>
    <d v="2020-04-03T00:00:00"/>
    <n v="202101"/>
    <s v="1"/>
    <s v="EXP"/>
    <s v="D3501"/>
    <s v="BL16"/>
    <s v="P12 P2P accruals 2019/20, 8038759, ADDACARD LTD"/>
    <n v="-10"/>
    <n v="-0.01"/>
  </r>
  <r>
    <s v="S22"/>
    <x v="24"/>
    <s v="AJ"/>
    <n v="10348043"/>
    <d v="2020-04-07T00:00:00"/>
    <n v="202101"/>
    <s v="1"/>
    <s v="EXP"/>
    <s v="D3412"/>
    <s v="AB03"/>
    <s v="2019-20 FLC JUA Agreement recharge to Fusion"/>
    <n v="-42580"/>
    <n v="-42.58"/>
  </r>
  <r>
    <s v="S22"/>
    <x v="30"/>
    <s v="AJ"/>
    <n v="10348400"/>
    <d v="2020-04-22T00:00:00"/>
    <n v="202101"/>
    <s v="1"/>
    <s v="EXP"/>
    <s v="B1001"/>
    <s v="AM19"/>
    <s v="Barton Park Grounds Maintenance 19-20"/>
    <n v="-26080.75"/>
    <n v="-26.080749999999998"/>
  </r>
  <r>
    <s v="S22"/>
    <x v="25"/>
    <s v="AJ"/>
    <n v="10347981"/>
    <d v="2020-04-03T00:00:00"/>
    <n v="202101"/>
    <s v="1"/>
    <s v="EXP"/>
    <s v="D3021"/>
    <s v="BL16"/>
    <s v="P12 P2P accruals 2019/20, 8038242, OXFORD DIRECT SERVICES TRADING LTD"/>
    <n v="-75"/>
    <n v="-7.4999999999999997E-2"/>
  </r>
  <r>
    <s v="S22"/>
    <x v="25"/>
    <s v="AJ"/>
    <n v="10348404"/>
    <d v="2020-04-22T00:00:00"/>
    <n v="202101"/>
    <s v="1"/>
    <s v="EXP"/>
    <s v="B7003"/>
    <s v="BL16"/>
    <s v="10348089 SAC waste Mar 20 rev"/>
    <n v="700"/>
    <n v="0.7"/>
  </r>
  <r>
    <s v="S22"/>
    <x v="25"/>
    <s v="AJ"/>
    <n v="10347981"/>
    <d v="2020-04-03T00:00:00"/>
    <n v="202101"/>
    <s v="1"/>
    <s v="EXP"/>
    <s v="D3802"/>
    <s v="BL10"/>
    <s v="P12 P2P accruals 2019/20, 8037978, VENUE FINDING EXPERT"/>
    <n v="-101.6"/>
    <n v="-0.1016"/>
  </r>
  <r>
    <s v="S22"/>
    <x v="29"/>
    <s v="AJ"/>
    <n v="10347981"/>
    <d v="2020-04-03T00:00:00"/>
    <n v="202101"/>
    <s v="1"/>
    <s v="EXP"/>
    <s v="D3401"/>
    <s v="KV06"/>
    <s v="P12 P2P accruals 2019/20, 8035489, REBOUND REVOLUTION (BICESTER) LTD"/>
    <n v="-157.5"/>
    <n v="-0.1575"/>
  </r>
  <r>
    <s v="S22"/>
    <x v="27"/>
    <s v="AJ"/>
    <n v="10347981"/>
    <d v="2020-04-03T00:00:00"/>
    <n v="202101"/>
    <s v="1"/>
    <s v="EXP"/>
    <s v="D3011"/>
    <s v="AJ01"/>
    <s v="P12 P2P accruals 2019/20, 8038694, RHODAWN LTD T/AS BOOKSPEED"/>
    <n v="-32.44"/>
    <n v="-3.2439999999999997E-2"/>
  </r>
  <r>
    <s v="S22"/>
    <x v="24"/>
    <s v="AJ"/>
    <n v="10348043"/>
    <d v="2020-04-07T00:00:00"/>
    <n v="202101"/>
    <s v="1"/>
    <s v="EXP"/>
    <s v="D3412"/>
    <s v="AB03"/>
    <s v="NAF03(02) Cllr Fry - Ferry creche 20-21"/>
    <n v="-300"/>
    <n v="-0.3"/>
  </r>
  <r>
    <s v="S22"/>
    <x v="24"/>
    <s v="AJ"/>
    <n v="10348043"/>
    <d v="2020-04-07T00:00:00"/>
    <n v="202101"/>
    <s v="1"/>
    <s v="EXP"/>
    <s v="D3412"/>
    <s v="AB03"/>
    <s v="NAF04(02) Cllr Gotch - Ferry creche 20-21"/>
    <n v="-350"/>
    <n v="-0.35"/>
  </r>
  <r>
    <s v="S22"/>
    <x v="27"/>
    <s v="AJ"/>
    <n v="10347981"/>
    <d v="2020-04-03T00:00:00"/>
    <n v="202101"/>
    <s v="1"/>
    <s v="EXP"/>
    <s v="D3807"/>
    <s v="AJ01"/>
    <s v="P12 P2P accruals 2019/20, 8036519, FUSION-OXFORD´S COMMUNITY ARTS AGENCY LIMITED"/>
    <n v="-56"/>
    <n v="-5.6000000000000001E-2"/>
  </r>
  <r>
    <s v="S22"/>
    <x v="25"/>
    <s v="AJ"/>
    <n v="10347981"/>
    <d v="2020-04-03T00:00:00"/>
    <n v="202101"/>
    <s v="1"/>
    <s v="EXP"/>
    <s v="D3804"/>
    <s v="BL16"/>
    <s v="P12 P2P accruals 2019/20, 8036335, OFCOM"/>
    <n v="-75"/>
    <n v="-7.4999999999999997E-2"/>
  </r>
  <r>
    <s v="S22"/>
    <x v="23"/>
    <s v="AJ"/>
    <n v="10347981"/>
    <d v="2020-04-03T00:00:00"/>
    <n v="202101"/>
    <s v="1"/>
    <s v="EXP"/>
    <s v="D3420"/>
    <s v="HT60"/>
    <s v="P12 P2P accruals 2019/20, 8038066, OXFORD DIRECT SERVICES TRADING LTD"/>
    <n v="-211.06"/>
    <n v="-0.21106"/>
  </r>
  <r>
    <s v="S22"/>
    <x v="29"/>
    <s v="AJ"/>
    <n v="10347981"/>
    <d v="2020-04-03T00:00:00"/>
    <n v="202101"/>
    <s v="1"/>
    <s v="EXP"/>
    <s v="C2501"/>
    <s v="KV06"/>
    <s v="P12 P2P accruals 2019/20, 8028894, THE OXFORDSHIRE TAXI COMPANY LIMITED"/>
    <n v="-24.16"/>
    <n v="-2.4160000000000001E-2"/>
  </r>
  <r>
    <s v="S22"/>
    <x v="27"/>
    <s v="AJ"/>
    <n v="10347981"/>
    <d v="2020-04-03T00:00:00"/>
    <n v="202101"/>
    <s v="1"/>
    <s v="EXP"/>
    <s v="D3401"/>
    <s v="AJ03"/>
    <s v="P12 P2P accruals 2019/20, 8037567, ROSE HILL JUNIOR YOUTH CLUB"/>
    <n v="-100"/>
    <n v="-0.1"/>
  </r>
  <r>
    <s v="S22"/>
    <x v="28"/>
    <s v="AJ"/>
    <n v="10347981"/>
    <d v="2020-04-03T00:00:00"/>
    <n v="202101"/>
    <s v="1"/>
    <s v="EXP"/>
    <s v="D3401"/>
    <s v="KF03"/>
    <s v="P12 P2P accruals 2019/20, 8031016, NORTHWAY COMMUNITY ASSOC"/>
    <n v="-30"/>
    <n v="-0.03"/>
  </r>
  <r>
    <s v="S22"/>
    <x v="27"/>
    <s v="AJ"/>
    <n v="10347981"/>
    <d v="2020-04-03T00:00:00"/>
    <n v="202101"/>
    <s v="1"/>
    <s v="EXP"/>
    <s v="D3401"/>
    <s v="AJ01"/>
    <s v="P12 P2P accruals 2019/20, 8037239, OXFORD HINDU TEMPLE &amp; COMMUNITY CENTRE"/>
    <n v="-950"/>
    <n v="-0.95"/>
  </r>
  <r>
    <s v="S22"/>
    <x v="29"/>
    <s v="AJ"/>
    <n v="10347981"/>
    <d v="2020-04-03T00:00:00"/>
    <n v="202101"/>
    <s v="1"/>
    <s v="EXP"/>
    <s v="D3802"/>
    <s v="KV06"/>
    <s v="P12 P2P accruals 2019/20, 8030525, PETE RUSSELL"/>
    <n v="-140"/>
    <n v="-0.14000000000000001"/>
  </r>
  <r>
    <s v="S22"/>
    <x v="23"/>
    <s v="AJ"/>
    <n v="10347981"/>
    <d v="2020-04-03T00:00:00"/>
    <n v="202101"/>
    <s v="1"/>
    <s v="EXP"/>
    <s v="D3413"/>
    <s v="AC18"/>
    <s v="P12 P2P accruals 2019/20, 8037998, ST JOHN AMBULANCE"/>
    <n v="-450"/>
    <n v="-0.45"/>
  </r>
  <r>
    <s v="S22"/>
    <x v="28"/>
    <s v="AJ"/>
    <n v="10347981"/>
    <d v="2020-04-03T00:00:00"/>
    <n v="202101"/>
    <s v="1"/>
    <s v="EXP"/>
    <s v="D3401"/>
    <s v="KF03"/>
    <s v="P12 P2P accruals 2019/20, 8037838, NORTHWAY COMMUNITY ASSOC"/>
    <n v="-78"/>
    <n v="-7.8E-2"/>
  </r>
  <r>
    <s v="S22"/>
    <x v="23"/>
    <s v="AJ"/>
    <n v="10347981"/>
    <d v="2020-04-03T00:00:00"/>
    <n v="202101"/>
    <s v="1"/>
    <s v="EXP"/>
    <s v="D3420"/>
    <s v="AC18"/>
    <s v="P12 P2P accruals 2019/20, 8037172, OXFORD DIRECT SERVICES TRADING LTD"/>
    <n v="-1092.8800000000001"/>
    <n v="-1.0928800000000001"/>
  </r>
  <r>
    <s v="S22"/>
    <x v="25"/>
    <s v="AJ"/>
    <n v="10347981"/>
    <d v="2020-04-03T00:00:00"/>
    <n v="202101"/>
    <s v="1"/>
    <s v="EXP"/>
    <s v="D3021"/>
    <s v="BL16"/>
    <s v="P12 P2P accruals 2019/20, 8035743, ST JOHN AMBULANCE"/>
    <n v="-84"/>
    <n v="-8.4000000000000005E-2"/>
  </r>
  <r>
    <s v="S22"/>
    <x v="27"/>
    <s v="AJ"/>
    <n v="10347981"/>
    <d v="2020-04-03T00:00:00"/>
    <n v="202101"/>
    <s v="1"/>
    <s v="EXP"/>
    <s v="D3401"/>
    <s v="AJ03"/>
    <s v="P12 P2P accruals 2019/20, 8029122, ANGELA CONLAN"/>
    <n v="-50"/>
    <n v="-0.05"/>
  </r>
  <r>
    <s v="S22"/>
    <x v="28"/>
    <s v="AJ"/>
    <n v="10347981"/>
    <d v="2020-04-03T00:00:00"/>
    <n v="202101"/>
    <s v="1"/>
    <s v="EXP"/>
    <s v="D3811"/>
    <s v="KF03"/>
    <s v="P12 P2P accruals 2019/20, 8038860, OXFORD BUS COMPANY LTD"/>
    <n v="-19"/>
    <n v="-1.9E-2"/>
  </r>
  <r>
    <s v="S22"/>
    <x v="27"/>
    <s v="AJ"/>
    <n v="10347981"/>
    <d v="2020-04-03T00:00:00"/>
    <n v="202101"/>
    <s v="1"/>
    <s v="EXP"/>
    <s v="D3401"/>
    <s v="AJ03"/>
    <s v="P12 P2P accruals 2019/20, 8031364, OXFORDSHIRE COUNTY COUNCIL"/>
    <n v="-12"/>
    <n v="-1.2E-2"/>
  </r>
  <r>
    <s v="S22"/>
    <x v="28"/>
    <s v="AJ"/>
    <n v="10347981"/>
    <d v="2020-04-03T00:00:00"/>
    <n v="202101"/>
    <s v="1"/>
    <s v="EXP"/>
    <s v="D3401"/>
    <s v="KF03"/>
    <s v="P12 P2P accruals 2019/20, 8031221, NORTHWAY COMMUNITY ASSOC"/>
    <n v="-48"/>
    <n v="-4.8000000000000001E-2"/>
  </r>
  <r>
    <s v="S22"/>
    <x v="25"/>
    <s v="AJ"/>
    <n v="10347981"/>
    <d v="2020-04-03T00:00:00"/>
    <n v="202101"/>
    <s v="1"/>
    <s v="EXP"/>
    <s v="D3501"/>
    <s v="BL16"/>
    <s v="P12 P2P accruals 2019/20, 8038469, ADDACARD LTD"/>
    <n v="-10"/>
    <n v="-0.01"/>
  </r>
  <r>
    <s v="S22"/>
    <x v="24"/>
    <s v="AJ"/>
    <n v="10347981"/>
    <d v="2020-04-03T00:00:00"/>
    <n v="202101"/>
    <s v="1"/>
    <s v="EXP"/>
    <s v="A0634"/>
    <s v="AB01"/>
    <s v="P12 P2P accruals 2019/20, 8033620, THE MADISON GROUP"/>
    <n v="-384"/>
    <n v="-0.38400000000000001"/>
  </r>
  <r>
    <s v="S22"/>
    <x v="25"/>
    <s v="AJ"/>
    <n v="10347981"/>
    <d v="2020-04-03T00:00:00"/>
    <n v="202101"/>
    <s v="1"/>
    <s v="EXP"/>
    <s v="D3401"/>
    <s v="BL16"/>
    <s v="P12 P2P accruals 2019/20, 8038316, OXFORD DIRECT SERVICES TRADING LTD"/>
    <n v="-310.13"/>
    <n v="-0.31013000000000002"/>
  </r>
  <r>
    <s v="S22"/>
    <x v="26"/>
    <s v="AJ"/>
    <n v="10348155"/>
    <d v="2020-04-08T00:00:00"/>
    <n v="202101"/>
    <s v="1"/>
    <s v="EXP"/>
    <s v="B1101"/>
    <s v="AG13"/>
    <s v="2019/20 P12 8038236, OXFORD DIRECT SERVICES LTD - (SERVITOR ONLY),"/>
    <n v="4000"/>
    <n v="4"/>
  </r>
  <r>
    <s v="S22"/>
    <x v="27"/>
    <s v="AJ"/>
    <n v="10347981"/>
    <d v="2020-04-03T00:00:00"/>
    <n v="202101"/>
    <s v="1"/>
    <s v="EXP"/>
    <s v="D3401"/>
    <s v="AE16"/>
    <s v="P12 P2P accruals 2019/20, 8036783, LYNSEY DOEL"/>
    <n v="-250"/>
    <n v="-0.25"/>
  </r>
  <r>
    <s v="S22"/>
    <x v="29"/>
    <s v="AJ"/>
    <n v="10347981"/>
    <d v="2020-04-03T00:00:00"/>
    <n v="202101"/>
    <s v="1"/>
    <s v="EXP"/>
    <s v="D3429"/>
    <s v="KV06"/>
    <s v="P12 P2P accruals 2019/20, 8034054, CANTIUM BUSINESS SOLUTIONS LTD"/>
    <n v="-51"/>
    <n v="-5.0999999999999997E-2"/>
  </r>
  <r>
    <s v="S22"/>
    <x v="25"/>
    <s v="AJ"/>
    <n v="10348121"/>
    <d v="2019-04-10T00:00:00"/>
    <n v="202101"/>
    <s v="1"/>
    <s v="EXP"/>
    <s v="B1601"/>
    <s v="BL16"/>
    <s v="Cleaning Materials Stock as at 31/03/2020"/>
    <n v="2367.11"/>
    <n v="2.3671100000000003"/>
  </r>
  <r>
    <s v="S22"/>
    <x v="28"/>
    <s v="AJ"/>
    <n v="10347981"/>
    <d v="2020-04-03T00:00:00"/>
    <n v="202101"/>
    <s v="1"/>
    <s v="EXP"/>
    <s v="D3001"/>
    <s v="KK06"/>
    <s v="P12 P2P accruals 2019/20, 8027190, OXFORD DIRECT SERVICES LTD"/>
    <n v="-60"/>
    <n v="-0.06"/>
  </r>
  <r>
    <s v="S22"/>
    <x v="29"/>
    <s v="AJ"/>
    <n v="10347981"/>
    <d v="2020-04-03T00:00:00"/>
    <n v="202101"/>
    <s v="1"/>
    <s v="EXP"/>
    <s v="D3001"/>
    <s v="KV06"/>
    <s v="P12 P2P accruals 2019/20, 8037797, WOOD FARM YOUTH CENTRE"/>
    <n v="-77.48"/>
    <n v="-7.7480000000000007E-2"/>
  </r>
  <r>
    <s v="S22"/>
    <x v="27"/>
    <s v="AJ"/>
    <n v="10347981"/>
    <d v="2020-04-03T00:00:00"/>
    <n v="202101"/>
    <s v="1"/>
    <s v="EXP"/>
    <s v="D3401"/>
    <s v="AE19"/>
    <s v="P12 P2P accruals 2019/20, 8038440, NEWSQUEST MIDLANDS, WALES &amp; SOUTH WEST"/>
    <n v="-300"/>
    <n v="-0.3"/>
  </r>
  <r>
    <s v="S22"/>
    <x v="28"/>
    <s v="AJ"/>
    <n v="10347981"/>
    <d v="2020-04-03T00:00:00"/>
    <n v="202101"/>
    <s v="1"/>
    <s v="EXP"/>
    <s v="D3401"/>
    <s v="EL15"/>
    <s v="P12 P2P accruals 2019/20, 8029593, BARTON COMMUNITY ASSOCIATION"/>
    <n v="-25"/>
    <n v="-2.5000000000000001E-2"/>
  </r>
  <r>
    <s v="S22"/>
    <x v="26"/>
    <s v="AJ"/>
    <n v="10348142"/>
    <d v="2020-04-08T00:00:00"/>
    <n v="202101"/>
    <s v="1"/>
    <s v="EXP"/>
    <s v="B1101"/>
    <s v="AG13"/>
    <s v="Barton Park Grounds Maintenance 19-20"/>
    <n v="-26080.75"/>
    <n v="-26.080749999999998"/>
  </r>
  <r>
    <s v="S22"/>
    <x v="26"/>
    <s v="AJ"/>
    <n v="10348144"/>
    <d v="2020-04-08T00:00:00"/>
    <n v="202101"/>
    <s v="1"/>
    <s v="EXP"/>
    <s v="B1101"/>
    <s v="AG13"/>
    <s v="Barton Park Grounds Maintenance 19-20 REV"/>
    <n v="26080.75"/>
    <n v="26.080749999999998"/>
  </r>
  <r>
    <s v="S22"/>
    <x v="27"/>
    <s v="AJ"/>
    <n v="10347981"/>
    <d v="2020-04-03T00:00:00"/>
    <n v="202101"/>
    <s v="1"/>
    <s v="EXP"/>
    <s v="D3011"/>
    <s v="AJ01"/>
    <s v="P12 P2P accruals 2019/20, 8037655, EXPERIENCE OXFORDSHIRE"/>
    <n v="-18"/>
    <n v="-1.7999999999999999E-2"/>
  </r>
  <r>
    <s v="S22"/>
    <x v="23"/>
    <s v="AJ"/>
    <n v="10347981"/>
    <d v="2020-04-03T00:00:00"/>
    <n v="202101"/>
    <s v="1"/>
    <s v="EXP"/>
    <s v="D3429"/>
    <s v="AC20"/>
    <s v="P12 P2P accruals 2019/20, 8035657, CANTIUM BUSINESS SOLUTIONS LTD"/>
    <n v="-51"/>
    <n v="-5.0999999999999997E-2"/>
  </r>
  <r>
    <s v="S22"/>
    <x v="25"/>
    <s v="AJ"/>
    <n v="10347981"/>
    <d v="2020-04-03T00:00:00"/>
    <n v="202101"/>
    <s v="1"/>
    <s v="EXP"/>
    <s v="D3802"/>
    <s v="BL10"/>
    <s v="P12 P2P accruals 2019/20, 8035858, KD MEDIA PUBLISHING"/>
    <n v="-300"/>
    <n v="-0.3"/>
  </r>
  <r>
    <s v="S22"/>
    <x v="30"/>
    <s v="AJ"/>
    <n v="10348144"/>
    <d v="2020-04-08T00:00:00"/>
    <n v="202101"/>
    <s v="1"/>
    <s v="EXP"/>
    <s v="B1001"/>
    <s v="AM19"/>
    <s v="Barton Park Grounds Maintenance 19-20"/>
    <n v="-26080.75"/>
    <n v="-26.080749999999998"/>
  </r>
  <r>
    <s v="S22"/>
    <x v="27"/>
    <s v="AJ"/>
    <n v="10347981"/>
    <d v="2020-04-03T00:00:00"/>
    <n v="202101"/>
    <s v="1"/>
    <s v="EXP"/>
    <s v="D3401"/>
    <s v="AE19"/>
    <s v="P12 P2P accruals 2019/20, 8038856, RACHEL GILDEA"/>
    <n v="-420"/>
    <n v="-0.42"/>
  </r>
  <r>
    <s v="S22"/>
    <x v="23"/>
    <s v="AJ"/>
    <n v="10347981"/>
    <d v="2020-04-03T00:00:00"/>
    <n v="202101"/>
    <s v="1"/>
    <s v="EXP"/>
    <s v="D3420"/>
    <s v="AC20"/>
    <s v="P12 P2P accruals 2019/20, 8032977, OXFORD DIRECT SERVICES TRADING LTD"/>
    <n v="-160.18"/>
    <n v="-0.16018000000000002"/>
  </r>
  <r>
    <s v="S22"/>
    <x v="29"/>
    <s v="AJ"/>
    <n v="10347981"/>
    <d v="2020-04-03T00:00:00"/>
    <n v="202101"/>
    <s v="1"/>
    <s v="EXP"/>
    <s v="D3401"/>
    <s v="KV06"/>
    <s v="P12 P2P accruals 2019/20, 8034233, REBOUND REVOLUTION (BICESTER) LTD"/>
    <n v="-119"/>
    <n v="-0.11899999999999999"/>
  </r>
  <r>
    <s v="S22"/>
    <x v="26"/>
    <s v="AJ"/>
    <n v="10348067"/>
    <d v="2020-04-07T00:00:00"/>
    <n v="202101"/>
    <s v="1"/>
    <s v="EXP"/>
    <s v="B1101"/>
    <s v="AG13"/>
    <s v="supply and install new wheelchair swing Sanfield"/>
    <n v="-13975"/>
    <n v="-13.975"/>
  </r>
  <r>
    <s v="S22"/>
    <x v="25"/>
    <s v="AJ"/>
    <n v="10347981"/>
    <d v="2020-04-03T00:00:00"/>
    <n v="202101"/>
    <s v="1"/>
    <s v="EXP"/>
    <s v="D3202"/>
    <s v="BL16"/>
    <s v="P12 P2P accruals 2019/20, 8038589, ARCO LTD"/>
    <n v="-11.59"/>
    <n v="-1.159E-2"/>
  </r>
  <r>
    <s v="S22"/>
    <x v="27"/>
    <s v="AJ"/>
    <n v="10347981"/>
    <d v="2020-04-03T00:00:00"/>
    <n v="202101"/>
    <s v="1"/>
    <s v="EXP"/>
    <s v="D3011"/>
    <s v="AJ01"/>
    <s v="P12 P2P accruals 2019/20, 8038694, RHODAWN LTD T/AS BOOKSPEED"/>
    <n v="-28.35"/>
    <n v="-2.835E-2"/>
  </r>
  <r>
    <s v="S22"/>
    <x v="28"/>
    <s v="AJ"/>
    <n v="10347981"/>
    <d v="2020-04-03T00:00:00"/>
    <n v="202101"/>
    <s v="1"/>
    <s v="EXP"/>
    <s v="D3401"/>
    <s v="KK06"/>
    <s v="P12 P2P accruals 2019/20, 8027183, OXFORD DIRECT SERVICES LTD"/>
    <n v="-750"/>
    <n v="-0.75"/>
  </r>
  <r>
    <s v="S22"/>
    <x v="23"/>
    <s v="AJ"/>
    <n v="10347981"/>
    <d v="2020-04-03T00:00:00"/>
    <n v="202101"/>
    <s v="1"/>
    <s v="EXP"/>
    <s v="D3420"/>
    <s v="HT60"/>
    <s v="P12 P2P accruals 2019/20, 8038064, OXFORD DIRECT SERVICES TRADING LTD"/>
    <n v="-38.17"/>
    <n v="-3.8170000000000003E-2"/>
  </r>
  <r>
    <s v="S22"/>
    <x v="27"/>
    <s v="AJ"/>
    <n v="10347981"/>
    <d v="2020-04-03T00:00:00"/>
    <n v="202101"/>
    <s v="1"/>
    <s v="EXP"/>
    <s v="D3401"/>
    <s v="AJ12"/>
    <s v="P12 P2P accruals 2019/20, 8036157, ARK T CENTRE"/>
    <n v="-850"/>
    <n v="-0.85"/>
  </r>
  <r>
    <s v="S22"/>
    <x v="30"/>
    <s v="AJ"/>
    <n v="10347981"/>
    <d v="2020-04-03T00:00:00"/>
    <n v="202101"/>
    <s v="1"/>
    <s v="EXP"/>
    <s v="D3401"/>
    <s v="AM20"/>
    <s v="P12 P2P accruals 2019/20, 8027780, ASA AWARDING BODY"/>
    <n v="-57.5"/>
    <n v="-5.7500000000000002E-2"/>
  </r>
  <r>
    <s v="S22"/>
    <x v="27"/>
    <s v="AJ"/>
    <n v="10347981"/>
    <d v="2020-04-03T00:00:00"/>
    <n v="202101"/>
    <s v="1"/>
    <s v="EXP"/>
    <s v="D3401"/>
    <s v="AJ12"/>
    <s v="P12 P2P accruals 2019/20, 8037625, OCC - WOOD FARM SCHOOL"/>
    <n v="-500"/>
    <n v="-0.5"/>
  </r>
  <r>
    <s v="S22"/>
    <x v="24"/>
    <s v="AJ"/>
    <n v="10347981"/>
    <d v="2020-04-03T00:00:00"/>
    <n v="202101"/>
    <s v="1"/>
    <s v="EXP"/>
    <s v="D3001"/>
    <s v="AB01"/>
    <s v="P12 P2P accruals 2019/20, 8038542, LYRECO UK LTD"/>
    <n v="-66.55"/>
    <n v="-6.6549999999999998E-2"/>
  </r>
  <r>
    <s v="S22"/>
    <x v="29"/>
    <s v="AJ"/>
    <n v="10347981"/>
    <d v="2020-04-03T00:00:00"/>
    <n v="202101"/>
    <s v="1"/>
    <s v="EXP"/>
    <s v="D3429"/>
    <s v="KV06"/>
    <s v="P12 P2P accruals 2019/20, 8036064, CANTIUM BUSINESS SOLUTIONS LTD"/>
    <n v="-51"/>
    <n v="-5.0999999999999997E-2"/>
  </r>
  <r>
    <s v="S22"/>
    <x v="27"/>
    <s v="AJ"/>
    <n v="10347981"/>
    <d v="2020-04-03T00:00:00"/>
    <n v="202101"/>
    <s v="1"/>
    <s v="EXP"/>
    <s v="D3011"/>
    <s v="AJ01"/>
    <s v="P12 P2P accruals 2019/20, 8038694, RHODAWN LTD T/AS BOOKSPEED"/>
    <n v="-17.399999999999999"/>
    <n v="-1.7399999999999999E-2"/>
  </r>
  <r>
    <s v="S22"/>
    <x v="25"/>
    <s v="AJ"/>
    <n v="10347981"/>
    <d v="2020-04-03T00:00:00"/>
    <n v="202101"/>
    <s v="1"/>
    <s v="EXP"/>
    <s v="D3001"/>
    <s v="BL16"/>
    <s v="P12 P2P accruals 2019/20, 8038747, OXFORD OFFICE FURNITURE LIMITED"/>
    <n v="-27.8"/>
    <n v="-2.7800000000000002E-2"/>
  </r>
  <r>
    <s v="S22"/>
    <x v="26"/>
    <s v="AJ"/>
    <n v="10348067"/>
    <d v="2020-04-07T00:00:00"/>
    <n v="202101"/>
    <s v="1"/>
    <s v="EXP"/>
    <s v="B7045"/>
    <s v="AG10"/>
    <s v="install selection of balance beam trails croft rd"/>
    <n v="-7362.74"/>
    <n v="-7.3627399999999996"/>
  </r>
  <r>
    <s v="S22"/>
    <x v="29"/>
    <s v="AJ"/>
    <n v="10347981"/>
    <d v="2020-04-03T00:00:00"/>
    <n v="202101"/>
    <s v="1"/>
    <s v="EXP"/>
    <s v="D3001"/>
    <s v="KV07"/>
    <s v="P12 P2P accruals 2019/20, 8033368, BISHOP SPORTS &amp; LEISURE LTD"/>
    <n v="-90.69"/>
    <n v="-9.0689999999999993E-2"/>
  </r>
  <r>
    <s v="S22"/>
    <x v="26"/>
    <s v="AJ"/>
    <n v="10348067"/>
    <d v="2020-04-07T00:00:00"/>
    <n v="202101"/>
    <s v="1"/>
    <s v="EXP"/>
    <s v="B7045"/>
    <s v="AG10"/>
    <s v="New table tennis base South Park"/>
    <n v="-1000"/>
    <n v="-1"/>
  </r>
  <r>
    <s v="S22"/>
    <x v="26"/>
    <s v="AJ"/>
    <n v="10348067"/>
    <d v="2020-04-07T00:00:00"/>
    <n v="202101"/>
    <s v="1"/>
    <s v="EXP"/>
    <s v="D3401"/>
    <s v="AG10"/>
    <s v="PLAY AREA MAINTENANCE"/>
    <n v="-500"/>
    <n v="-0.5"/>
  </r>
  <r>
    <s v="S22"/>
    <x v="27"/>
    <s v="AJ"/>
    <n v="10347981"/>
    <d v="2020-04-03T00:00:00"/>
    <n v="202101"/>
    <s v="1"/>
    <s v="EXP"/>
    <s v="D3401"/>
    <s v="AE19"/>
    <s v="P12 P2P accruals 2019/20, 8039168, ROLAND CARLINE"/>
    <n v="-450"/>
    <n v="-0.45"/>
  </r>
  <r>
    <s v="S22"/>
    <x v="23"/>
    <s v="AJ"/>
    <n v="10347981"/>
    <d v="2020-04-03T00:00:00"/>
    <n v="202101"/>
    <s v="1"/>
    <s v="EXP"/>
    <s v="D3420"/>
    <s v="AC20"/>
    <s v="P12 P2P accruals 2019/20, 8037167, OXFORD DIRECT SERVICES TRADING LTD"/>
    <n v="-1854"/>
    <n v="-1.8540000000000001"/>
  </r>
  <r>
    <s v="S22"/>
    <x v="26"/>
    <s v="AJ"/>
    <n v="10348067"/>
    <d v="2020-04-07T00:00:00"/>
    <n v="202101"/>
    <s v="1"/>
    <s v="EXP"/>
    <s v="B7045"/>
    <s v="AG10"/>
    <s v="replace rotten bench Aristotle"/>
    <n v="-850"/>
    <n v="-0.85"/>
  </r>
  <r>
    <s v="S22"/>
    <x v="26"/>
    <s v="AJ"/>
    <n v="10348067"/>
    <d v="2020-04-07T00:00:00"/>
    <n v="202101"/>
    <s v="1"/>
    <s v="EXP"/>
    <s v="B7045"/>
    <s v="AG13"/>
    <s v="New table tennis base South Park"/>
    <n v="-1825.52"/>
    <n v="-1.82552"/>
  </r>
  <r>
    <s v="S22"/>
    <x v="27"/>
    <s v="AJ"/>
    <n v="10347981"/>
    <d v="2020-04-03T00:00:00"/>
    <n v="202101"/>
    <s v="1"/>
    <s v="EXP"/>
    <s v="D3002"/>
    <s v="KA20"/>
    <s v="P12 P2P accruals 2019/20, 8038171, OXFORD DIRECT SERVICES LTD"/>
    <n v="-2350"/>
    <n v="-2.35"/>
  </r>
  <r>
    <s v="S22"/>
    <x v="24"/>
    <s v="AJ"/>
    <n v="10347981"/>
    <d v="2020-04-03T00:00:00"/>
    <n v="202101"/>
    <s v="1"/>
    <s v="EXP"/>
    <s v="D3401"/>
    <s v="AB01"/>
    <s v="P12 P2P accruals 2019/20, 8036949, FUSION LIFESTYLE"/>
    <n v="-56.25"/>
    <n v="-5.6250000000000001E-2"/>
  </r>
  <r>
    <s v="S22"/>
    <x v="25"/>
    <s v="AJ"/>
    <n v="10347981"/>
    <d v="2020-04-03T00:00:00"/>
    <n v="202101"/>
    <s v="1"/>
    <s v="EXP"/>
    <s v="D3001"/>
    <s v="BL16"/>
    <s v="P12 P2P accruals 2019/20, 8027250, ALERTER GROUP PLC"/>
    <n v="-103.21"/>
    <n v="-0.10321"/>
  </r>
  <r>
    <s v="S22"/>
    <x v="25"/>
    <s v="AJ"/>
    <n v="10347981"/>
    <d v="2020-04-03T00:00:00"/>
    <n v="202101"/>
    <s v="1"/>
    <s v="EXP"/>
    <s v="D3703"/>
    <s v="BL10"/>
    <s v="P12 P2P accruals 2019/20, 8029466, CONFERENCES UK LIMITED"/>
    <n v="-395"/>
    <n v="-0.39500000000000002"/>
  </r>
  <r>
    <s v="S22"/>
    <x v="23"/>
    <s v="AJ"/>
    <n v="10347981"/>
    <d v="2020-04-03T00:00:00"/>
    <n v="202101"/>
    <s v="1"/>
    <s v="EXP"/>
    <s v="D3803"/>
    <s v="AC19"/>
    <s v="P12 P2P accruals 2019/20, 8036326, OXFORDSHIRE CHINESE COMMUNITY"/>
    <n v="-37.47"/>
    <n v="-3.7469999999999996E-2"/>
  </r>
  <r>
    <s v="S22"/>
    <x v="27"/>
    <s v="AJ"/>
    <n v="10347981"/>
    <d v="2020-04-03T00:00:00"/>
    <n v="202101"/>
    <s v="1"/>
    <s v="EXP"/>
    <s v="D3401"/>
    <s v="AJ03"/>
    <s v="P12 P2P accruals 2019/20, 8033624, OXFORDSHIRE COUNTY COUNCIL"/>
    <n v="-60"/>
    <n v="-0.06"/>
  </r>
  <r>
    <s v="S22"/>
    <x v="23"/>
    <s v="AJ"/>
    <n v="10347981"/>
    <d v="2020-04-03T00:00:00"/>
    <n v="202101"/>
    <s v="1"/>
    <s v="EXP"/>
    <s v="D3418"/>
    <s v="AC19"/>
    <s v="P12 P2P accruals 2019/20, 8037051, OXFORD SECURITY SERVICES LTD"/>
    <n v="-297.5"/>
    <n v="-0.29749999999999999"/>
  </r>
  <r>
    <s v="S22"/>
    <x v="23"/>
    <s v="AJ"/>
    <n v="10347981"/>
    <d v="2020-04-03T00:00:00"/>
    <n v="202101"/>
    <s v="1"/>
    <s v="EXP"/>
    <s v="D3418"/>
    <s v="AC18"/>
    <s v="P12 P2P accruals 2019/20, 8037050, OXFORD SECURITY SERVICES LTD"/>
    <n v="-35"/>
    <n v="-3.5000000000000003E-2"/>
  </r>
  <r>
    <s v="S22"/>
    <x v="29"/>
    <s v="AJ"/>
    <n v="10347981"/>
    <d v="2020-04-03T00:00:00"/>
    <n v="202101"/>
    <s v="1"/>
    <s v="EXP"/>
    <s v="D3429"/>
    <s v="KV06"/>
    <s v="P12 P2P accruals 2019/20, 8035657, CANTIUM BUSINESS SOLUTIONS LTD"/>
    <n v="-51"/>
    <n v="-5.0999999999999997E-2"/>
  </r>
  <r>
    <s v="S22"/>
    <x v="24"/>
    <s v="AJ"/>
    <n v="10347981"/>
    <d v="2020-04-03T00:00:00"/>
    <n v="202101"/>
    <s v="1"/>
    <s v="EXP"/>
    <s v="D3401"/>
    <s v="AB03"/>
    <s v="P12 P2P accruals 2019/20, 8038970, FUSION LIFESTYLE"/>
    <n v="-2648.9"/>
    <n v="-2.6489000000000003"/>
  </r>
  <r>
    <s v="S22"/>
    <x v="23"/>
    <s v="AJ"/>
    <n v="10347981"/>
    <d v="2020-04-03T00:00:00"/>
    <n v="202101"/>
    <s v="1"/>
    <s v="EXP"/>
    <s v="D3418"/>
    <s v="AC19"/>
    <s v="P12 P2P accruals 2019/20, 8032354, OXFORD SECURITY SERVICES LTD"/>
    <n v="-157.5"/>
    <n v="-0.1575"/>
  </r>
  <r>
    <s v="S22"/>
    <x v="25"/>
    <s v="AJ"/>
    <n v="10347981"/>
    <d v="2020-04-03T00:00:00"/>
    <n v="202101"/>
    <s v="1"/>
    <s v="EXP"/>
    <s v="D3006"/>
    <s v="BL16"/>
    <s v="P12 P2P accruals 2019/20, 8036329, CITY AUDIO VISUAL"/>
    <n v="-100"/>
    <n v="-0.1"/>
  </r>
  <r>
    <s v="S22"/>
    <x v="29"/>
    <s v="AJ"/>
    <n v="10347981"/>
    <d v="2020-04-03T00:00:00"/>
    <n v="202101"/>
    <s v="1"/>
    <s v="EXP"/>
    <s v="D3401"/>
    <s v="KV06"/>
    <s v="P12 P2P accruals 2019/20, 8038622, SAFE! SUPPORTING YOUNG VICTIMS"/>
    <n v="-68.709999999999994"/>
    <n v="-6.8709999999999993E-2"/>
  </r>
  <r>
    <s v="S22"/>
    <x v="23"/>
    <s v="AJ"/>
    <n v="10347981"/>
    <d v="2020-04-03T00:00:00"/>
    <n v="202101"/>
    <s v="1"/>
    <s v="EXP"/>
    <s v="D3418"/>
    <s v="AC19"/>
    <s v="P12 P2P accruals 2019/20, 8032444, OXFORD SECURITY SERVICES LTD"/>
    <n v="-192.5"/>
    <n v="-0.1925"/>
  </r>
  <r>
    <s v="S22"/>
    <x v="29"/>
    <s v="AJ"/>
    <n v="10347981"/>
    <d v="2020-04-03T00:00:00"/>
    <n v="202101"/>
    <s v="1"/>
    <s v="EXP"/>
    <s v="D3401"/>
    <s v="KV06"/>
    <s v="P12 P2P accruals 2019/20, 8028864, NORTHWAY COMMUNITY ASSOC"/>
    <n v="-120"/>
    <n v="-0.12"/>
  </r>
  <r>
    <s v="S22"/>
    <x v="25"/>
    <s v="AJ"/>
    <n v="10347981"/>
    <d v="2020-04-03T00:00:00"/>
    <n v="202101"/>
    <s v="1"/>
    <s v="EXP"/>
    <s v="D3001"/>
    <s v="BL16"/>
    <s v="P12 P2P accruals 2019/20, 8028643, CITY AUDIO VISUAL"/>
    <n v="-150"/>
    <n v="-0.15"/>
  </r>
  <r>
    <s v="S22"/>
    <x v="29"/>
    <s v="AJ"/>
    <n v="10347981"/>
    <d v="2020-04-03T00:00:00"/>
    <n v="202101"/>
    <s v="1"/>
    <s v="EXP"/>
    <s v="D3401"/>
    <s v="KV06"/>
    <s v="P12 P2P accruals 2019/20, 8028650, LITTLEMORE COMMUNITY ASSOCIATION"/>
    <n v="-56"/>
    <n v="-5.6000000000000001E-2"/>
  </r>
  <r>
    <s v="S22"/>
    <x v="27"/>
    <s v="AJ"/>
    <n v="10347981"/>
    <d v="2020-04-03T00:00:00"/>
    <n v="202101"/>
    <s v="1"/>
    <s v="EXP"/>
    <s v="D3401"/>
    <s v="AE16"/>
    <s v="P12 P2P accruals 2019/20, 8035787, HEWICK EVENTS"/>
    <n v="-100"/>
    <n v="-0.1"/>
  </r>
  <r>
    <s v="S22"/>
    <x v="27"/>
    <s v="AJ"/>
    <n v="10347981"/>
    <d v="2020-04-03T00:00:00"/>
    <n v="202101"/>
    <s v="1"/>
    <s v="EXP"/>
    <s v="D3011"/>
    <s v="AJ01"/>
    <s v="P12 P2P accruals 2019/20, 8038694, RHODAWN LTD T/AS BOOKSPEED"/>
    <n v="-48.7"/>
    <n v="-4.87E-2"/>
  </r>
  <r>
    <s v="S22"/>
    <x v="25"/>
    <s v="AJ"/>
    <n v="10347981"/>
    <d v="2020-04-03T00:00:00"/>
    <n v="202101"/>
    <s v="1"/>
    <s v="EXP"/>
    <s v="D3202"/>
    <s v="BL16"/>
    <s v="P12 P2P accruals 2019/20, 8038589, ARCO LTD"/>
    <n v="-11.59"/>
    <n v="-1.159E-2"/>
  </r>
  <r>
    <s v="S22"/>
    <x v="24"/>
    <s v="AJ"/>
    <n v="10347981"/>
    <d v="2020-04-03T00:00:00"/>
    <n v="202101"/>
    <s v="1"/>
    <s v="EXP"/>
    <s v="D3202"/>
    <s v="AB01"/>
    <s v="P12 P2P accruals 2019/20, 8039311, OXFORD DIRECT SERVICES LTD"/>
    <n v="-782"/>
    <n v="-0.78200000000000003"/>
  </r>
  <r>
    <s v="S22"/>
    <x v="27"/>
    <s v="AJ"/>
    <n v="10347981"/>
    <d v="2020-04-03T00:00:00"/>
    <n v="202101"/>
    <s v="1"/>
    <s v="EXP"/>
    <s v="D3401"/>
    <s v="AJ03"/>
    <s v="P12 P2P accruals 2019/20, 8039140, OXFORD HINDU TEMPLE &amp; COMMUNITY CENTRE"/>
    <n v="-55"/>
    <n v="-5.5E-2"/>
  </r>
  <r>
    <s v="S22"/>
    <x v="29"/>
    <s v="AJ"/>
    <n v="10347981"/>
    <d v="2020-04-03T00:00:00"/>
    <n v="202101"/>
    <s v="1"/>
    <s v="EXP"/>
    <s v="D3401"/>
    <s v="KV06"/>
    <s v="P12 P2P accruals 2019/20, 8034232, REBOUND REVOLUTION (BICESTER) LTD"/>
    <n v="-161"/>
    <n v="-0.161"/>
  </r>
  <r>
    <s v="S22"/>
    <x v="28"/>
    <s v="AJ"/>
    <n v="10347981"/>
    <d v="2020-04-03T00:00:00"/>
    <n v="202101"/>
    <s v="1"/>
    <s v="EXP"/>
    <s v="D3001"/>
    <s v="KF03"/>
    <s v="P12 P2P accruals 2019/20, 8031014, POSTURITE LTD"/>
    <n v="-124.51"/>
    <n v="-0.12451000000000001"/>
  </r>
  <r>
    <s v="S22"/>
    <x v="28"/>
    <s v="AJ"/>
    <n v="10347981"/>
    <d v="2020-04-03T00:00:00"/>
    <n v="202101"/>
    <s v="1"/>
    <s v="EXP"/>
    <s v="D3401"/>
    <s v="KF03"/>
    <s v="P12 P2P accruals 2019/20, 8029903, GOVNET COMMUNICATIONS"/>
    <n v="-79"/>
    <n v="-7.9000000000000001E-2"/>
  </r>
  <r>
    <s v="S22"/>
    <x v="27"/>
    <s v="AJ"/>
    <n v="10347981"/>
    <d v="2020-04-03T00:00:00"/>
    <n v="202101"/>
    <s v="1"/>
    <s v="EXP"/>
    <s v="D3401"/>
    <s v="KA20"/>
    <s v="P12 P2P accruals 2019/20, 8038506, SIMON BOURNE  (RIGHT ANGLE DESIGN)"/>
    <n v="-60"/>
    <n v="-0.06"/>
  </r>
  <r>
    <s v="S22"/>
    <x v="29"/>
    <s v="AJ"/>
    <n v="10347981"/>
    <d v="2020-04-03T00:00:00"/>
    <n v="202101"/>
    <s v="1"/>
    <s v="EXP"/>
    <s v="D3301"/>
    <s v="KV06"/>
    <s v="P12 P2P accruals 2019/20, 8035856, LYRECO UK LTD"/>
    <n v="-75.03"/>
    <n v="-7.5029999999999999E-2"/>
  </r>
  <r>
    <s v="S22"/>
    <x v="23"/>
    <s v="AJ"/>
    <n v="10347981"/>
    <d v="2020-04-03T00:00:00"/>
    <n v="202101"/>
    <s v="1"/>
    <s v="EXP"/>
    <s v="D3420"/>
    <s v="HT60"/>
    <s v="P12 P2P accruals 2019/20, 8038063, OXFORD DIRECT SERVICES TRADING LTD"/>
    <n v="-90.16"/>
    <n v="-9.015999999999999E-2"/>
  </r>
  <r>
    <s v="S22"/>
    <x v="29"/>
    <s v="AJ"/>
    <n v="10347981"/>
    <d v="2020-04-03T00:00:00"/>
    <n v="202101"/>
    <s v="1"/>
    <s v="EXP"/>
    <s v="D3401"/>
    <s v="KV06"/>
    <s v="P12 P2P accruals 2019/20, 8033059, BARTON COMMUNITY ASSOCIATION"/>
    <n v="-240"/>
    <n v="-0.24"/>
  </r>
  <r>
    <s v="S22"/>
    <x v="26"/>
    <s v="AJ"/>
    <n v="10348155"/>
    <d v="2020-04-08T00:00:00"/>
    <n v="202101"/>
    <s v="1"/>
    <s v="EXP"/>
    <s v="D3429"/>
    <s v="AG10"/>
    <s v="P12 P2P  19/20, 8035657, CANTIUM BUSINESS SOLUTIONS LTD"/>
    <n v="51"/>
    <n v="5.0999999999999997E-2"/>
  </r>
  <r>
    <s v="S22"/>
    <x v="26"/>
    <s v="AJ"/>
    <n v="10348155"/>
    <d v="2020-04-08T00:00:00"/>
    <n v="202101"/>
    <s v="1"/>
    <s v="EXP"/>
    <s v="D3202"/>
    <s v="AG10"/>
    <s v="P12 P2P 19/20, 8033532, ARCO LTD"/>
    <n v="50.39"/>
    <n v="5.0389999999999997E-2"/>
  </r>
  <r>
    <s v="S22"/>
    <x v="23"/>
    <s v="AJ"/>
    <n v="10348077"/>
    <d v="2020-04-08T00:00:00"/>
    <n v="202101"/>
    <s v="1"/>
    <s v="EXP"/>
    <s v="B1501"/>
    <s v="AC14"/>
    <s v="BNC  Elec Mar"/>
    <n v="-1300"/>
    <n v="-1.3"/>
  </r>
  <r>
    <s v="S22"/>
    <x v="29"/>
    <s v="AJ"/>
    <n v="10347981"/>
    <d v="2020-04-03T00:00:00"/>
    <n v="202101"/>
    <s v="1"/>
    <s v="EXP"/>
    <s v="D3401"/>
    <s v="KV06"/>
    <s v="P12 P2P accruals 2019/20, 8026977, NORTHWAY COMMUNITY ASSOC"/>
    <n v="-96"/>
    <n v="-9.6000000000000002E-2"/>
  </r>
  <r>
    <s v="S22"/>
    <x v="23"/>
    <s v="AJ"/>
    <n v="10348077"/>
    <d v="2020-04-08T00:00:00"/>
    <n v="202101"/>
    <s v="1"/>
    <s v="EXP"/>
    <s v="B1502"/>
    <s v="AC14"/>
    <s v="BNC  Gas Mar"/>
    <n v="-600"/>
    <n v="-0.6"/>
  </r>
  <r>
    <s v="S22"/>
    <x v="23"/>
    <s v="AJ"/>
    <n v="10348077"/>
    <d v="2020-04-08T00:00:00"/>
    <n v="202101"/>
    <s v="1"/>
    <s v="EXP"/>
    <s v="B1502"/>
    <s v="AC18"/>
    <s v="BBL  Gas  Feb- Mar"/>
    <n v="-1400"/>
    <n v="-1.4"/>
  </r>
  <r>
    <s v="S22"/>
    <x v="23"/>
    <s v="AJ"/>
    <n v="10348077"/>
    <d v="2020-04-08T00:00:00"/>
    <n v="202101"/>
    <s v="1"/>
    <s v="EXP"/>
    <s v="B1502"/>
    <s v="AC18"/>
    <s v="BBL  Gas  Mar"/>
    <n v="-400"/>
    <n v="-0.4"/>
  </r>
  <r>
    <s v="S22"/>
    <x v="27"/>
    <s v="AJ"/>
    <n v="10347981"/>
    <d v="2020-04-03T00:00:00"/>
    <n v="202101"/>
    <s v="1"/>
    <s v="EXP"/>
    <s v="D3501"/>
    <s v="AJ03"/>
    <s v="P12 P2P accruals 2019/20, 8038957, OXFORD EVENT HIRE LTD"/>
    <n v="-49"/>
    <n v="-4.9000000000000002E-2"/>
  </r>
  <r>
    <s v="S22"/>
    <x v="23"/>
    <s v="AJ"/>
    <n v="10348077"/>
    <d v="2020-04-08T00:00:00"/>
    <n v="202101"/>
    <s v="1"/>
    <s v="EXP"/>
    <s v="B1830"/>
    <s v="AC18"/>
    <s v="BBL  Nov - Mar"/>
    <n v="-2000"/>
    <n v="-2"/>
  </r>
  <r>
    <s v="S22"/>
    <x v="23"/>
    <s v="AJ"/>
    <n v="10348077"/>
    <d v="2020-04-08T00:00:00"/>
    <n v="202101"/>
    <s v="1"/>
    <s v="EXP"/>
    <s v="B1830"/>
    <s v="AC18"/>
    <s v="JCC  Nov - Mar"/>
    <n v="-600"/>
    <n v="-0.6"/>
  </r>
  <r>
    <s v="S22"/>
    <x v="28"/>
    <s v="AJ"/>
    <n v="10347981"/>
    <d v="2020-04-03T00:00:00"/>
    <n v="202101"/>
    <s v="1"/>
    <s v="EXP"/>
    <s v="D3413"/>
    <s v="KF03"/>
    <s v="P12 P2P accruals 2019/20, 8030242, THE KNOWLEDGE ACADEMY LTD."/>
    <n v="-120"/>
    <n v="-0.12"/>
  </r>
  <r>
    <s v="S22"/>
    <x v="25"/>
    <s v="AJ"/>
    <n v="10347981"/>
    <d v="2020-04-03T00:00:00"/>
    <n v="202101"/>
    <s v="1"/>
    <s v="EXP"/>
    <s v="D3418"/>
    <s v="BL16"/>
    <s v="P12 P2P accruals 2019/20, 8033592, SHOWSEC INTERNATIONAL LTD"/>
    <n v="-600"/>
    <n v="-0.6"/>
  </r>
  <r>
    <s v="S22"/>
    <x v="27"/>
    <s v="AJ"/>
    <n v="10347981"/>
    <d v="2020-04-03T00:00:00"/>
    <n v="202101"/>
    <s v="1"/>
    <s v="EXP"/>
    <s v="D3401"/>
    <s v="AE19"/>
    <s v="P12 P2P accruals 2019/20, 8038444, ROLAND CARLINE"/>
    <n v="-320"/>
    <n v="-0.32"/>
  </r>
  <r>
    <s v="S22"/>
    <x v="23"/>
    <s v="AJ"/>
    <n v="10348077"/>
    <d v="2020-04-08T00:00:00"/>
    <n v="202101"/>
    <s v="1"/>
    <s v="EXP"/>
    <s v="B1830"/>
    <s v="AC14"/>
    <s v="BNC  Nov - Mar"/>
    <n v="-1000"/>
    <n v="-1"/>
  </r>
  <r>
    <s v="S22"/>
    <x v="23"/>
    <s v="AJ"/>
    <n v="10348077"/>
    <d v="2020-04-08T00:00:00"/>
    <n v="202101"/>
    <s v="1"/>
    <s v="EXP"/>
    <s v="B1501"/>
    <s v="AC18"/>
    <s v="BBL  Elec Dec - Mar"/>
    <n v="-2800"/>
    <n v="-2.8"/>
  </r>
  <r>
    <s v="S22"/>
    <x v="23"/>
    <s v="AJ"/>
    <n v="10348077"/>
    <d v="2020-04-08T00:00:00"/>
    <n v="202101"/>
    <s v="1"/>
    <s v="EXP"/>
    <s v="B1501"/>
    <s v="AC18"/>
    <s v="JCC  Elec Jan - Mar"/>
    <n v="-1400"/>
    <n v="-1.4"/>
  </r>
  <r>
    <s v="S22"/>
    <x v="23"/>
    <s v="AJ"/>
    <n v="10348077"/>
    <d v="2020-04-08T00:00:00"/>
    <n v="202101"/>
    <s v="1"/>
    <s v="EXP"/>
    <s v="B1501"/>
    <s v="AC19"/>
    <s v="EOCC  Elec Mar"/>
    <n v="-200"/>
    <n v="-0.2"/>
  </r>
  <r>
    <s v="S22"/>
    <x v="23"/>
    <s v="AJ"/>
    <n v="10348077"/>
    <d v="2020-04-08T00:00:00"/>
    <n v="202101"/>
    <s v="1"/>
    <s v="EXP"/>
    <s v="B1501"/>
    <s v="AC20"/>
    <s v="RHCC  Elec Mar"/>
    <n v="-1700"/>
    <n v="-1.7"/>
  </r>
  <r>
    <s v="S22"/>
    <x v="23"/>
    <s v="AJ"/>
    <n v="10348077"/>
    <d v="2020-04-08T00:00:00"/>
    <n v="202101"/>
    <s v="1"/>
    <s v="EXP"/>
    <s v="B1501"/>
    <s v="HT60"/>
    <s v="EOGH Elec Mar"/>
    <n v="-200"/>
    <n v="-0.2"/>
  </r>
  <r>
    <s v="S22"/>
    <x v="23"/>
    <s v="AJ"/>
    <n v="10347981"/>
    <d v="2020-04-03T00:00:00"/>
    <n v="202101"/>
    <s v="1"/>
    <s v="EXP"/>
    <s v="D3401"/>
    <s v="HT60"/>
    <s v="P12 P2P accruals 2019/20, 8036056, RIGHT DIRECTIONS (MANAGEMENT) LTD"/>
    <n v="-595"/>
    <n v="-0.59499999999999997"/>
  </r>
  <r>
    <s v="S22"/>
    <x v="23"/>
    <s v="AJ"/>
    <n v="10347981"/>
    <d v="2020-04-03T00:00:00"/>
    <n v="202101"/>
    <s v="1"/>
    <s v="EXP"/>
    <s v="D3401"/>
    <s v="HT60"/>
    <s v="P12 P2P accruals 2019/20, 8035978, RIGHT DIRECTIONS (MANAGEMENT) LTD"/>
    <n v="-595"/>
    <n v="-0.59499999999999997"/>
  </r>
  <r>
    <s v="S22"/>
    <x v="23"/>
    <s v="AJ"/>
    <n v="10348077"/>
    <d v="2020-04-08T00:00:00"/>
    <n v="202101"/>
    <s v="1"/>
    <s v="EXP"/>
    <s v="B1830"/>
    <s v="AC19"/>
    <s v="EOCC  Nov 18 - Mar 20"/>
    <n v="-1300"/>
    <n v="-1.3"/>
  </r>
  <r>
    <s v="S22"/>
    <x v="23"/>
    <s v="AJ"/>
    <n v="10348077"/>
    <d v="2020-04-08T00:00:00"/>
    <n v="202101"/>
    <s v="1"/>
    <s v="EXP"/>
    <s v="B1830"/>
    <s v="AC20"/>
    <s v="RHCC  Oct - Mar"/>
    <n v="-1800"/>
    <n v="-1.8"/>
  </r>
  <r>
    <s v="S22"/>
    <x v="23"/>
    <s v="AJ"/>
    <n v="10348077"/>
    <d v="2020-04-08T00:00:00"/>
    <n v="202101"/>
    <s v="1"/>
    <s v="EXP"/>
    <s v="B1502"/>
    <s v="AC19"/>
    <s v="EOCC  Gas Mar"/>
    <n v="-600"/>
    <n v="-0.6"/>
  </r>
  <r>
    <s v="S22"/>
    <x v="25"/>
    <s v="AJ"/>
    <n v="10347981"/>
    <d v="2020-04-03T00:00:00"/>
    <n v="202101"/>
    <s v="1"/>
    <s v="EXP"/>
    <s v="D3802"/>
    <s v="BL10"/>
    <s v="P12 P2P accruals 2019/20, 8038955, CHOOSEYOUREVENT.COM LTD"/>
    <n v="-475"/>
    <n v="-0.47499999999999998"/>
  </r>
  <r>
    <s v="S22"/>
    <x v="23"/>
    <s v="AJ"/>
    <n v="10348077"/>
    <d v="2020-04-08T00:00:00"/>
    <n v="202101"/>
    <s v="1"/>
    <s v="EXP"/>
    <s v="B1502"/>
    <s v="AC20"/>
    <s v="RHCC  Gas Mar"/>
    <n v="-1100"/>
    <n v="-1.1000000000000001"/>
  </r>
  <r>
    <s v="S22"/>
    <x v="23"/>
    <s v="AJ"/>
    <n v="10348077"/>
    <d v="2020-04-08T00:00:00"/>
    <n v="202101"/>
    <s v="1"/>
    <s v="EXP"/>
    <s v="B1502"/>
    <s v="HT60"/>
    <s v="EOGH  Gas Mar"/>
    <n v="-100"/>
    <n v="-0.1"/>
  </r>
  <r>
    <s v="S22"/>
    <x v="23"/>
    <s v="AJ"/>
    <n v="10348077"/>
    <d v="2020-04-08T00:00:00"/>
    <n v="202101"/>
    <s v="1"/>
    <s v="EXP"/>
    <s v="B1830"/>
    <s v="HT60"/>
    <s v="EOGH  Nov - Mar"/>
    <n v="-500"/>
    <n v="-0.5"/>
  </r>
  <r>
    <s v="S22"/>
    <x v="28"/>
    <s v="AJ"/>
    <n v="10347981"/>
    <d v="2020-04-03T00:00:00"/>
    <n v="202101"/>
    <s v="1"/>
    <s v="EXP"/>
    <s v="A0622"/>
    <s v="KF03"/>
    <s v="P12 P2P accruals 2019/20, 8032438, COWLEY ROAD WORKS (EAST OXFORD ACTION CHARITY)"/>
    <n v="-10"/>
    <n v="-0.01"/>
  </r>
  <r>
    <s v="S22"/>
    <x v="27"/>
    <s v="AJ"/>
    <n v="10347981"/>
    <d v="2020-04-03T00:00:00"/>
    <n v="202101"/>
    <s v="1"/>
    <s v="EXP"/>
    <s v="D3804"/>
    <s v="AJ01"/>
    <s v="P12 P2P accruals 2019/20, 8036289, COMPLETE IT LTD"/>
    <n v="-127"/>
    <n v="-0.127"/>
  </r>
  <r>
    <s v="S22"/>
    <x v="27"/>
    <s v="AJ"/>
    <n v="10347981"/>
    <d v="2020-04-03T00:00:00"/>
    <n v="202101"/>
    <s v="1"/>
    <s v="EXP"/>
    <s v="D3011"/>
    <s v="AJ01"/>
    <s v="P12 P2P accruals 2019/20, 8038694, RHODAWN LTD T/AS BOOKSPEED"/>
    <n v="-10.41"/>
    <n v="-1.0410000000000001E-2"/>
  </r>
  <r>
    <s v="S22"/>
    <x v="28"/>
    <s v="AJ"/>
    <n v="10347981"/>
    <d v="2020-04-03T00:00:00"/>
    <n v="202101"/>
    <s v="1"/>
    <s v="EXP"/>
    <s v="D3703"/>
    <s v="KF03"/>
    <s v="P12 P2P accruals 2019/20, 8039336, COMMUNITY MATTERS YORKSHIRE"/>
    <n v="-250"/>
    <n v="-0.25"/>
  </r>
  <r>
    <s v="S22"/>
    <x v="27"/>
    <s v="AJ"/>
    <n v="10347981"/>
    <d v="2020-04-03T00:00:00"/>
    <n v="202101"/>
    <s v="1"/>
    <s v="EXP"/>
    <s v="D3802"/>
    <s v="AJ03"/>
    <s v="P12 P2P accruals 2019/20, 8039140, OXFORD HINDU TEMPLE &amp; COMMUNITY CENTRE"/>
    <n v="-100.8"/>
    <n v="-0.1008"/>
  </r>
  <r>
    <s v="S22"/>
    <x v="27"/>
    <s v="AJ"/>
    <n v="10347981"/>
    <d v="2020-04-03T00:00:00"/>
    <n v="202101"/>
    <s v="1"/>
    <s v="EXP"/>
    <s v="D3401"/>
    <s v="AJ03"/>
    <s v="P12 P2P accruals 2019/20, 8038450, OXFORDSHIRE COUNTY COUNCIL"/>
    <n v="-30"/>
    <n v="-0.03"/>
  </r>
  <r>
    <s v="S22"/>
    <x v="27"/>
    <s v="AJ"/>
    <n v="10347981"/>
    <d v="2020-04-03T00:00:00"/>
    <n v="202101"/>
    <s v="1"/>
    <s v="EXP"/>
    <s v="D3418"/>
    <s v="AE22"/>
    <s v="P12 P2P accruals 2019/20, 8032115, SYGMA SAFETY &amp; EVENTS LTD"/>
    <n v="-40"/>
    <n v="-0.04"/>
  </r>
  <r>
    <s v="S22"/>
    <x v="25"/>
    <s v="AJ"/>
    <n v="10347981"/>
    <d v="2020-04-03T00:00:00"/>
    <n v="202101"/>
    <s v="1"/>
    <s v="EXP"/>
    <s v="D3303"/>
    <s v="BL10"/>
    <s v="P12 P2P accruals 2019/20, 8035443, PETE RUSSELL"/>
    <n v="-60"/>
    <n v="-0.06"/>
  </r>
  <r>
    <s v="S22"/>
    <x v="27"/>
    <s v="AJ"/>
    <n v="10347981"/>
    <d v="2020-04-03T00:00:00"/>
    <n v="202101"/>
    <s v="1"/>
    <s v="EXP"/>
    <s v="D3401"/>
    <s v="AE19"/>
    <s v="P12 P2P accruals 2019/20, 8030796, TEI WILLIAMS PRESS &amp; ARTS MARKETING"/>
    <n v="-720"/>
    <n v="-0.72"/>
  </r>
  <r>
    <s v="S22"/>
    <x v="24"/>
    <s v="AJ"/>
    <n v="10347981"/>
    <d v="2020-04-03T00:00:00"/>
    <n v="202101"/>
    <s v="1"/>
    <s v="EXP"/>
    <s v="D3101"/>
    <s v="AB01"/>
    <s v="P12 P2P accruals 2019/20, 8032966, BARTON COMMUNITY ASSOCIATION ( EATWELLS CAFE)"/>
    <n v="-49.5"/>
    <n v="-4.9500000000000002E-2"/>
  </r>
  <r>
    <s v="S22"/>
    <x v="27"/>
    <s v="AJ"/>
    <n v="10347981"/>
    <d v="2020-04-03T00:00:00"/>
    <n v="202101"/>
    <s v="1"/>
    <s v="EXP"/>
    <s v="D3401"/>
    <s v="KA20"/>
    <s v="P12 P2P accruals 2019/20, 8039232, PETE RUSSELL"/>
    <n v="-380"/>
    <n v="-0.38"/>
  </r>
  <r>
    <s v="S22"/>
    <x v="27"/>
    <s v="AJ"/>
    <n v="10347981"/>
    <d v="2020-04-03T00:00:00"/>
    <n v="202101"/>
    <s v="1"/>
    <s v="EXP"/>
    <s v="D3401"/>
    <s v="AE19"/>
    <s v="P12 P2P accruals 2019/20, 8032600, THE MILL ARTS CENTRE TRUST"/>
    <n v="-500"/>
    <n v="-0.5"/>
  </r>
  <r>
    <s v="S22"/>
    <x v="27"/>
    <s v="AJ"/>
    <n v="10347981"/>
    <d v="2020-04-03T00:00:00"/>
    <n v="202101"/>
    <s v="1"/>
    <s v="EXP"/>
    <s v="D3807"/>
    <s v="KA20"/>
    <s v="P12 P2P accruals 2019/20, 8035903, OXFORD GRENOBLE ASSOCIATION"/>
    <n v="-1880.79"/>
    <n v="-1.88079"/>
  </r>
  <r>
    <s v="S22"/>
    <x v="29"/>
    <s v="AJ"/>
    <n v="10347981"/>
    <d v="2020-04-03T00:00:00"/>
    <n v="202101"/>
    <s v="1"/>
    <s v="EXP"/>
    <s v="D3001"/>
    <s v="KV07"/>
    <s v="P12 P2P accruals 2019/20, 8030161, ARGOS BUSINESS SOLUTIONS"/>
    <n v="-188.73"/>
    <n v="-0.18872999999999998"/>
  </r>
  <r>
    <s v="S22"/>
    <x v="23"/>
    <s v="AJ"/>
    <n v="10347981"/>
    <d v="2020-04-03T00:00:00"/>
    <n v="202101"/>
    <s v="1"/>
    <s v="EXP"/>
    <s v="D3420"/>
    <s v="HT60"/>
    <s v="P12 P2P accruals 2019/20, 8031904, OXFORD DIRECT SERVICES TRADING LTD"/>
    <n v="-200"/>
    <n v="-0.2"/>
  </r>
  <r>
    <s v="S22"/>
    <x v="27"/>
    <s v="AJ"/>
    <n v="10347981"/>
    <d v="2020-04-03T00:00:00"/>
    <n v="202101"/>
    <s v="1"/>
    <s v="EXP"/>
    <s v="D3807"/>
    <s v="KA20"/>
    <s v="P12 P2P accruals 2019/20, 8037840, OXFORD GRENOBLE ASSOCIATION"/>
    <n v="-141.97999999999999"/>
    <n v="-0.14198"/>
  </r>
  <r>
    <s v="S22"/>
    <x v="26"/>
    <s v="AJ"/>
    <n v="10348155"/>
    <d v="2020-04-08T00:00:00"/>
    <n v="202101"/>
    <s v="1"/>
    <s v="EXP"/>
    <s v="B7045"/>
    <s v="AG10"/>
    <s v="New table tennis base South Park"/>
    <n v="1000"/>
    <n v="1"/>
  </r>
  <r>
    <s v="S22"/>
    <x v="25"/>
    <s v="AJ"/>
    <n v="10347981"/>
    <d v="2020-04-03T00:00:00"/>
    <n v="202101"/>
    <s v="1"/>
    <s v="EXP"/>
    <s v="D3420"/>
    <s v="BL16"/>
    <s v="P12 P2P accruals 2019/20, 8035004, RESTORE DATASHRED LTD"/>
    <n v="-260"/>
    <n v="-0.26"/>
  </r>
  <r>
    <s v="S22"/>
    <x v="23"/>
    <s v="AJ"/>
    <n v="10348077"/>
    <d v="2020-04-08T00:00:00"/>
    <n v="202101"/>
    <s v="1"/>
    <s v="EXP"/>
    <s v="B1501"/>
    <s v="AC19"/>
    <s v="EOCC  Elec Feb - Mar"/>
    <n v="-1500"/>
    <n v="-1.5"/>
  </r>
  <r>
    <s v="S22"/>
    <x v="26"/>
    <s v="AJ"/>
    <n v="10347971"/>
    <d v="2020-04-03T00:00:00"/>
    <n v="202101"/>
    <s v="1"/>
    <s v="EXP"/>
    <s v="B7045"/>
    <s v="AG10"/>
    <s v="2019/20 P12 accruals, 8039044, OXFORD DIRECT SERVICES LTD - (SERVITOR ONLY), Hedges for Dunstan Park . Labour included by tbc if needed. as agreed with Julian Cooper, accrue as per M Woods"/>
    <n v="-2049.75"/>
    <n v="-2.04975"/>
  </r>
  <r>
    <s v="S22"/>
    <x v="24"/>
    <s v="AJ"/>
    <n v="10348043"/>
    <d v="2020-04-07T00:00:00"/>
    <n v="202101"/>
    <s v="1"/>
    <s v="EXP"/>
    <s v="D3412"/>
    <s v="AB03"/>
    <s v="Jan to Mar 20 OSFT FLC Squash recharge to Fusion"/>
    <n v="-5600"/>
    <n v="-5.6"/>
  </r>
  <r>
    <s v="S22"/>
    <x v="27"/>
    <s v="AJ"/>
    <n v="10347981"/>
    <d v="2020-04-03T00:00:00"/>
    <n v="202101"/>
    <s v="1"/>
    <s v="EXP"/>
    <s v="D3021"/>
    <s v="AE16"/>
    <s v="P12 P2P accruals 2019/20, 8036924, LIGHTHOUSE EVENTS LTD"/>
    <n v="-277.93"/>
    <n v="-0.27793000000000001"/>
  </r>
  <r>
    <s v="S22"/>
    <x v="24"/>
    <s v="AJ"/>
    <n v="10348043"/>
    <d v="2020-04-07T00:00:00"/>
    <n v="202101"/>
    <s v="1"/>
    <s v="EXP"/>
    <s v="D3412"/>
    <s v="AB03"/>
    <s v="NAF08(01) Cllr Landell Mills  - Ferry creche 20-21"/>
    <n v="-300"/>
    <n v="-0.3"/>
  </r>
  <r>
    <s v="S22"/>
    <x v="24"/>
    <s v="AJ"/>
    <n v="10348043"/>
    <d v="2020-04-07T00:00:00"/>
    <n v="202101"/>
    <s v="1"/>
    <s v="EXP"/>
    <s v="D3401"/>
    <s v="AB03"/>
    <s v="2019-20 OLW adjustment to Fusion"/>
    <n v="-8000"/>
    <n v="-8"/>
  </r>
  <r>
    <s v="S22"/>
    <x v="25"/>
    <s v="AJ"/>
    <n v="10348018"/>
    <d v="2020-04-06T00:00:00"/>
    <n v="202101"/>
    <s v="1"/>
    <s v="EXP"/>
    <s v="D3420"/>
    <s v="BL16"/>
    <s v="March waste collections"/>
    <n v="-3125.62"/>
    <n v="-3.1256200000000001"/>
  </r>
  <r>
    <s v="S22"/>
    <x v="26"/>
    <s v="AJ"/>
    <n v="10347971"/>
    <d v="2020-04-03T00:00:00"/>
    <n v="202101"/>
    <s v="1"/>
    <s v="EXP"/>
    <s v="B7045"/>
    <s v="AG10"/>
    <s v="2019/20 P12 accruals, 8039373, OXFORD DIRECT SERVICES LTD - (SERVITOR ONLY), Prep work for Cutteslowe and Bury Knowle inc piping and soakaway, as agreed with Julian Cooper, accrue as per M Woods"/>
    <n v="-850"/>
    <n v="-0.85"/>
  </r>
  <r>
    <s v="S22"/>
    <x v="26"/>
    <s v="AJ"/>
    <n v="10347971"/>
    <d v="2020-04-03T00:00:00"/>
    <n v="202101"/>
    <s v="1"/>
    <s v="EXP"/>
    <s v="D3401"/>
    <s v="AG10"/>
    <s v="2019/20 P12 accruals, 8039060, MIW OFFICE SOLUTIONS LTD, CT_FEES: WATER FOUNTAINS, accrue as per M Woods"/>
    <n v="-2824"/>
    <n v="-2.8239999999999998"/>
  </r>
  <r>
    <s v="S22"/>
    <x v="25"/>
    <s v="AJ"/>
    <n v="10347981"/>
    <d v="2020-04-03T00:00:00"/>
    <n v="202101"/>
    <s v="1"/>
    <s v="EXP"/>
    <s v="D3202"/>
    <s v="BL16"/>
    <s v="P12 P2P accruals 2019/20, 8031433, ARCO LTD"/>
    <n v="-44.34"/>
    <n v="-4.4340000000000004E-2"/>
  </r>
  <r>
    <s v="S22"/>
    <x v="27"/>
    <s v="AJ"/>
    <n v="10347981"/>
    <d v="2020-04-03T00:00:00"/>
    <n v="202101"/>
    <s v="1"/>
    <s v="EXP"/>
    <s v="D3401"/>
    <s v="AE19"/>
    <s v="P12 P2P accruals 2019/20, 8038854, RACHEL GILDEA"/>
    <n v="-140"/>
    <n v="-0.14000000000000001"/>
  </r>
  <r>
    <s v="S22"/>
    <x v="26"/>
    <s v="AJ"/>
    <n v="10347971"/>
    <d v="2020-04-03T00:00:00"/>
    <n v="202101"/>
    <s v="1"/>
    <s v="EXP"/>
    <s v="D3401"/>
    <s v="AG10"/>
    <s v="2019/20 P12 accruals, 8039061, MIW OFFICE SOLUTIONS LTD, CT_FEES: WATER FOUNTAINS, accrue as per M Woods"/>
    <n v="-2824"/>
    <n v="-2.8239999999999998"/>
  </r>
  <r>
    <s v="S22"/>
    <x v="26"/>
    <s v="AJ"/>
    <n v="10347971"/>
    <d v="2020-04-03T00:00:00"/>
    <n v="202101"/>
    <s v="1"/>
    <s v="EXP"/>
    <s v="D3401"/>
    <s v="AG10"/>
    <s v="2019/20 P12 accruals, 8039061, MIW OFFICE SOLUTIONS LTD, Delivery/Carriage for Bury Knowle and Cutteslowe units, accrue as per M Woods"/>
    <n v="-34.5"/>
    <n v="-3.4500000000000003E-2"/>
  </r>
  <r>
    <s v="S22"/>
    <x v="26"/>
    <s v="AJ"/>
    <n v="10347971"/>
    <d v="2020-04-03T00:00:00"/>
    <n v="202101"/>
    <s v="1"/>
    <s v="EXP"/>
    <s v="B7045"/>
    <s v="AG10"/>
    <s v="2019/20 P12 accruals, 8039373, OXFORD DIRECT SERVICES LTD - (SERVITOR ONLY), Slab work for Florence Park as agreed with Julian Cooper, accrue as per M Woods"/>
    <n v="-200"/>
    <n v="-0.2"/>
  </r>
  <r>
    <s v="S22"/>
    <x v="26"/>
    <s v="AJ"/>
    <n v="10347971"/>
    <d v="2020-04-03T00:00:00"/>
    <n v="202101"/>
    <s v="1"/>
    <s v="EXP"/>
    <s v="D3401"/>
    <s v="AG13"/>
    <s v="2019/20 P12 accruals, 8038313, OXFORD DIRECT SERVICES LTD - (SERVITOR ONLY), NC_GENERAL CONTRACTED SERVICES, accrue as per M Woods"/>
    <n v="-1705.5"/>
    <n v="-1.7055"/>
  </r>
  <r>
    <s v="S22"/>
    <x v="26"/>
    <s v="AJ"/>
    <n v="10347971"/>
    <d v="2020-04-03T00:00:00"/>
    <n v="202101"/>
    <s v="1"/>
    <s v="EXP"/>
    <s v="D3401"/>
    <s v="AG13"/>
    <s v="2019/20 P12 accruals, 8038313, OXFORD DIRECT SERVICES LTD - (SERVITOR ONLY), NC_GENERAL CONTRACTED SERVICES, accrue as per M Woods"/>
    <n v="-2480"/>
    <n v="-2.48"/>
  </r>
  <r>
    <s v="S22"/>
    <x v="25"/>
    <s v="AJ"/>
    <n v="10347981"/>
    <d v="2020-04-03T00:00:00"/>
    <n v="202101"/>
    <s v="1"/>
    <s v="EXP"/>
    <s v="D3802"/>
    <s v="BL10"/>
    <s v="P12 P2P accruals 2019/20, 8035860, KD MEDIA PUBLISHING"/>
    <n v="-60"/>
    <n v="-0.06"/>
  </r>
  <r>
    <s v="S22"/>
    <x v="27"/>
    <s v="AJ"/>
    <n v="10347981"/>
    <d v="2020-04-03T00:00:00"/>
    <n v="202101"/>
    <s v="1"/>
    <s v="EXP"/>
    <s v="D3804"/>
    <s v="AJ01"/>
    <s v="P12 P2P accruals 2019/20, 8036289, COMPLETE IT LTD"/>
    <n v="-99"/>
    <n v="-9.9000000000000005E-2"/>
  </r>
  <r>
    <s v="S22"/>
    <x v="25"/>
    <s v="AJ"/>
    <n v="10347973"/>
    <d v="2020-04-03T00:00:00"/>
    <n v="202101"/>
    <s v="1"/>
    <s v="EXP"/>
    <s v="C2201"/>
    <s v="BL17"/>
    <s v="P10-12 Fuel Recharges"/>
    <n v="-827.25"/>
    <n v="-0.82725000000000004"/>
  </r>
  <r>
    <s v="S22"/>
    <x v="23"/>
    <s v="AJ"/>
    <n v="10347981"/>
    <d v="2020-04-03T00:00:00"/>
    <n v="202101"/>
    <s v="1"/>
    <s v="EXP"/>
    <s v="D3418"/>
    <s v="AC19"/>
    <s v="P12 P2P accruals 2019/20, 8032233, OXFORD SECURITY SERVICES LTD"/>
    <n v="-59"/>
    <n v="-5.8999999999999997E-2"/>
  </r>
  <r>
    <s v="S22"/>
    <x v="25"/>
    <s v="AJ"/>
    <n v="10347981"/>
    <d v="2020-04-03T00:00:00"/>
    <n v="202101"/>
    <s v="1"/>
    <s v="EXP"/>
    <s v="D3202"/>
    <s v="BL16"/>
    <s v="P12 P2P accruals 2019/20, 8035915, ARCO LTD"/>
    <n v="-50.46"/>
    <n v="-5.0459999999999998E-2"/>
  </r>
  <r>
    <s v="S26"/>
    <x v="31"/>
    <s v="AJ"/>
    <n v="10348563"/>
    <d v="2020-05-05T00:00:00"/>
    <n v="202101"/>
    <s v="1"/>
    <s v="EXP"/>
    <s v="B1701"/>
    <s v="FC21"/>
    <s v="Reverse 10348556"/>
    <n v="87783"/>
    <n v="87.783000000000001"/>
  </r>
  <r>
    <s v="S26"/>
    <x v="31"/>
    <s v="AJ"/>
    <n v="10348557"/>
    <d v="2020-05-04T00:00:00"/>
    <n v="202101"/>
    <s v="1"/>
    <s v="EXP"/>
    <s v="B1701"/>
    <s v="FC21"/>
    <s v="Oxwed share of parking charges"/>
    <n v="-87783"/>
    <n v="-87.783000000000001"/>
  </r>
  <r>
    <s v="S26"/>
    <x v="31"/>
    <s v="AJ"/>
    <n v="10348563"/>
    <d v="2020-05-05T00:00:00"/>
    <n v="202101"/>
    <s v="1"/>
    <s v="EXP"/>
    <s v="B1701"/>
    <s v="FC21"/>
    <s v="Share of parking charges income due to Oxwed"/>
    <n v="-304204"/>
    <n v="-304.20400000000001"/>
  </r>
  <r>
    <s v="S26"/>
    <x v="32"/>
    <s v="AJ"/>
    <n v="10348085"/>
    <d v="2020-04-02T00:00:00"/>
    <n v="202101"/>
    <s v="1"/>
    <s v="EXP"/>
    <s v="B1830"/>
    <s v="DS33"/>
    <s v="Reverse transaction 10347949"/>
    <n v="-140.81"/>
    <n v="-0.14080999999999999"/>
  </r>
  <r>
    <s v="S26"/>
    <x v="32"/>
    <s v="AJ"/>
    <n v="10348098"/>
    <d v="2020-04-08T00:00:00"/>
    <n v="202101"/>
    <s v="1"/>
    <s v="EXP"/>
    <s v="B1501"/>
    <s v="DS33"/>
    <s v="Utilities to be invoiced to ODS - Barton Park Sports Pavilion Acc: 101777594  Electricity 01/01/20 - 31/01/20"/>
    <n v="1049.0999999999999"/>
    <n v="1.0490999999999999"/>
  </r>
  <r>
    <s v="S26"/>
    <x v="32"/>
    <s v="AJ"/>
    <n v="10348085"/>
    <d v="2020-04-02T00:00:00"/>
    <n v="202101"/>
    <s v="1"/>
    <s v="EXP"/>
    <s v="B1501"/>
    <s v="DS33"/>
    <s v="Reverse transaction 10347949"/>
    <n v="-190.11"/>
    <n v="-0.19011"/>
  </r>
  <r>
    <s v="S26"/>
    <x v="33"/>
    <s v="AJ"/>
    <n v="10348085"/>
    <d v="2020-04-02T00:00:00"/>
    <n v="202101"/>
    <s v="1"/>
    <s v="EXP"/>
    <s v="B1501"/>
    <s v="DS40"/>
    <s v="Reverse transaction 10347949"/>
    <n v="-1786.33"/>
    <n v="-1.78633"/>
  </r>
  <r>
    <s v="S26"/>
    <x v="34"/>
    <s v="AJ"/>
    <n v="10348098"/>
    <d v="2020-04-08T00:00:00"/>
    <n v="202101"/>
    <s v="1"/>
    <s v="EXP"/>
    <s v="B1830"/>
    <s v="DS32"/>
    <s v="Utilities to be invoiced to ODS - Oxpens Car Park Acc: 88888895167  Water 10/08/19 - 09/11/19"/>
    <n v="182.68"/>
    <n v="0.18268000000000001"/>
  </r>
  <r>
    <s v="S26"/>
    <x v="32"/>
    <s v="AJ"/>
    <n v="10348085"/>
    <d v="2020-04-02T00:00:00"/>
    <n v="202101"/>
    <s v="1"/>
    <s v="EXP"/>
    <s v="B1501"/>
    <s v="DS33"/>
    <s v="Reverse transaction 10347949"/>
    <n v="-108.24"/>
    <n v="-0.10823999999999999"/>
  </r>
  <r>
    <s v="S26"/>
    <x v="34"/>
    <s v="AJ"/>
    <n v="10348085"/>
    <d v="2020-04-02T00:00:00"/>
    <n v="202101"/>
    <s v="1"/>
    <s v="EXP"/>
    <s v="B1830"/>
    <s v="DS32"/>
    <s v="Reverse transaction 10347949"/>
    <n v="-2591.0300000000002"/>
    <n v="-2.5910300000000004"/>
  </r>
  <r>
    <s v="S26"/>
    <x v="32"/>
    <s v="AJ"/>
    <n v="10348098"/>
    <d v="2020-04-08T00:00:00"/>
    <n v="202101"/>
    <s v="1"/>
    <s v="EXP"/>
    <s v="B1501"/>
    <s v="DS33"/>
    <s v="Utilities to be invoiced to ODS - Headington Cemetery Chapel &amp; Public Toilets Acc: 831526022  Electricity 02/12/19 - 01/03/20"/>
    <n v="735.18"/>
    <n v="0.73517999999999994"/>
  </r>
  <r>
    <s v="S26"/>
    <x v="32"/>
    <s v="AJ"/>
    <n v="10348098"/>
    <d v="2020-04-08T00:00:00"/>
    <n v="202101"/>
    <s v="1"/>
    <s v="EXP"/>
    <s v="B1830"/>
    <s v="DS33"/>
    <s v="Utilities to be invoiced to ODS - Five Mile Drive Sports Pavilion Acc: 88888893550  Water 14/08/19 - 13/11/19"/>
    <n v="-31.35"/>
    <n v="-3.1350000000000003E-2"/>
  </r>
  <r>
    <s v="S26"/>
    <x v="33"/>
    <s v="AJ"/>
    <n v="10348085"/>
    <d v="2020-04-02T00:00:00"/>
    <n v="202101"/>
    <s v="1"/>
    <s v="EXP"/>
    <s v="B1501"/>
    <s v="DS40"/>
    <s v="Reverse transaction 10347949"/>
    <n v="-93.41"/>
    <n v="-9.3409999999999993E-2"/>
  </r>
  <r>
    <s v="S26"/>
    <x v="33"/>
    <s v="AJ"/>
    <n v="10348085"/>
    <d v="2020-04-02T00:00:00"/>
    <n v="202101"/>
    <s v="1"/>
    <s v="EXP"/>
    <s v="B1501"/>
    <s v="DS40"/>
    <s v="Reverse transaction 10347949"/>
    <n v="-17.010000000000002"/>
    <n v="-1.7010000000000001E-2"/>
  </r>
  <r>
    <s v="S26"/>
    <x v="32"/>
    <s v="AJ"/>
    <n v="10348085"/>
    <d v="2020-04-02T00:00:00"/>
    <n v="202101"/>
    <s v="1"/>
    <s v="EXP"/>
    <s v="B1830"/>
    <s v="DS33"/>
    <s v="Reverse transaction 10347949"/>
    <n v="-531.91"/>
    <n v="-0.53190999999999999"/>
  </r>
  <r>
    <s v="S26"/>
    <x v="32"/>
    <s v="AJ"/>
    <n v="10348085"/>
    <d v="2020-04-02T00:00:00"/>
    <n v="202101"/>
    <s v="1"/>
    <s v="EXP"/>
    <s v="B1501"/>
    <s v="DS33"/>
    <s v="Reverse transaction 10347949"/>
    <n v="-163.27000000000001"/>
    <n v="-0.16327"/>
  </r>
  <r>
    <s v="S26"/>
    <x v="31"/>
    <s v="AJ"/>
    <n v="10348098"/>
    <d v="2020-04-08T00:00:00"/>
    <n v="202101"/>
    <s v="1"/>
    <s v="EXP"/>
    <s v="B1501"/>
    <s v="FC01"/>
    <s v="Utilities to be invoiced to ODS - Oxpens Car Park Offices Acc: 411622181  Electricity 10/10/19 - 01/01/20"/>
    <n v="719.03"/>
    <n v="0.71902999999999995"/>
  </r>
  <r>
    <s v="S26"/>
    <x v="34"/>
    <s v="AJ"/>
    <n v="10348098"/>
    <d v="2020-04-08T00:00:00"/>
    <n v="202101"/>
    <s v="1"/>
    <s v="EXP"/>
    <s v="B1830"/>
    <s v="DS32"/>
    <s v="Utilities to be invoiced to ODS - Gloucester Green Public Toilets &amp; Pump Room Acc: 88888893518  Water 14/08/19 - 13/11/19"/>
    <n v="155.22"/>
    <n v="0.15522"/>
  </r>
  <r>
    <s v="S26"/>
    <x v="32"/>
    <s v="AJ"/>
    <n v="10348098"/>
    <d v="2020-04-08T00:00:00"/>
    <n v="202101"/>
    <s v="1"/>
    <s v="EXP"/>
    <s v="B1501"/>
    <s v="DS33"/>
    <s v="Utilities to be invoiced to ODS - Hollow Way Games Area Floodlights Acc: 261526649  Electricity 02/12/19 - 01/03/20"/>
    <n v="90.95"/>
    <n v="9.0950000000000003E-2"/>
  </r>
  <r>
    <s v="S26"/>
    <x v="32"/>
    <s v="AJ"/>
    <n v="10348085"/>
    <d v="2020-04-02T00:00:00"/>
    <n v="202101"/>
    <s v="1"/>
    <s v="EXP"/>
    <s v="B1830"/>
    <s v="DS33"/>
    <s v="Reverse transaction 10347949"/>
    <n v="-37.11"/>
    <n v="-3.7109999999999997E-2"/>
  </r>
  <r>
    <s v="S26"/>
    <x v="32"/>
    <s v="AJ"/>
    <n v="10348098"/>
    <d v="2020-04-08T00:00:00"/>
    <n v="202101"/>
    <s v="1"/>
    <s v="EXP"/>
    <s v="B1501"/>
    <s v="DS33"/>
    <s v="Utilities to be invoiced to ODS - Quarry Sports Pavilion Acc: 191696539  Electricity 02/11/19 - 01/02/20"/>
    <n v="233.99"/>
    <n v="0.23399"/>
  </r>
  <r>
    <s v="S26"/>
    <x v="32"/>
    <s v="AJ"/>
    <n v="10348098"/>
    <d v="2020-04-08T00:00:00"/>
    <n v="202101"/>
    <s v="1"/>
    <s v="EXP"/>
    <s v="B1501"/>
    <s v="DS33"/>
    <s v="Utilities to be invoiced to ODS - Florence Park Public Toilets Acc: 931526453  Electricity 02/12/19 - 01/03/20"/>
    <n v="62.03"/>
    <n v="6.2030000000000002E-2"/>
  </r>
  <r>
    <s v="S26"/>
    <x v="32"/>
    <s v="AJ"/>
    <n v="10348085"/>
    <d v="2020-04-02T00:00:00"/>
    <n v="202101"/>
    <s v="1"/>
    <s v="EXP"/>
    <s v="B1830"/>
    <s v="DS33"/>
    <s v="Reverse transaction 10347949"/>
    <n v="-1785.25"/>
    <n v="-1.78525"/>
  </r>
  <r>
    <s v="S26"/>
    <x v="32"/>
    <s v="AJ"/>
    <n v="10348085"/>
    <d v="2020-04-02T00:00:00"/>
    <n v="202101"/>
    <s v="1"/>
    <s v="EXP"/>
    <s v="B1830"/>
    <s v="DS33"/>
    <s v="Reverse transaction 10347949"/>
    <n v="-206.91"/>
    <n v="-0.20690999999999998"/>
  </r>
  <r>
    <s v="S26"/>
    <x v="31"/>
    <s v="AJ"/>
    <n v="10348098"/>
    <d v="2020-04-08T00:00:00"/>
    <n v="202101"/>
    <s v="1"/>
    <s v="EXP"/>
    <s v="B1501"/>
    <s v="FC73"/>
    <s v="Utilities to be invoiced to ODS - Pear Tree Park and Ride Acc: 801524283  Electricity 02/12/19 - 01/03/20"/>
    <n v="1083.52"/>
    <n v="1.08352"/>
  </r>
  <r>
    <s v="S26"/>
    <x v="31"/>
    <s v="AJ"/>
    <n v="10348098"/>
    <d v="2020-04-08T00:00:00"/>
    <n v="202101"/>
    <s v="1"/>
    <s v="EXP"/>
    <s v="B1501"/>
    <s v="FC24"/>
    <s v="Utilities to be invoiced to ODS - Gloucester Green Underground Car Park Acc: KS86222Z  Electricity 01/02/20 - 29/02/20"/>
    <n v="2175.81"/>
    <n v="2.1758099999999998"/>
  </r>
  <r>
    <s v="S26"/>
    <x v="32"/>
    <s v="AJ"/>
    <n v="10348098"/>
    <d v="2020-04-08T00:00:00"/>
    <n v="202101"/>
    <s v="1"/>
    <s v="EXP"/>
    <s v="B1502"/>
    <s v="DS33"/>
    <s v="Utilities to be invoiced to ODS - Quarry Sports Pavilion Acc: 441712803  Gas 01/11/19 - 31/01/20"/>
    <n v="463.44"/>
    <n v="0.46344000000000002"/>
  </r>
  <r>
    <s v="S26"/>
    <x v="31"/>
    <s v="AJ"/>
    <n v="10348098"/>
    <d v="2020-04-08T00:00:00"/>
    <n v="202101"/>
    <s v="1"/>
    <s v="EXP"/>
    <s v="B1501"/>
    <s v="FC24"/>
    <s v="Utilities to be invoiced to ODS - Gloucester Green Underground Car Park Acc: KS86222Z  Electricity 01/01/20 - 31/01/20"/>
    <n v="2293.4899999999998"/>
    <n v="2.2934899999999998"/>
  </r>
  <r>
    <s v="S26"/>
    <x v="32"/>
    <s v="AJ"/>
    <n v="10348098"/>
    <d v="2020-04-08T00:00:00"/>
    <n v="202101"/>
    <s v="1"/>
    <s v="EXP"/>
    <s v="B1830"/>
    <s v="DS33"/>
    <s v="Utilities to be invoiced to ODS - Horspath Athletics Pavilion Acc: 88888893546  Water 14/02/19 - 14/05/19"/>
    <n v="-808.7"/>
    <n v="-0.80870000000000009"/>
  </r>
  <r>
    <s v="S26"/>
    <x v="34"/>
    <s v="AJ"/>
    <n v="10348085"/>
    <d v="2020-04-02T00:00:00"/>
    <n v="202101"/>
    <s v="1"/>
    <s v="EXP"/>
    <s v="B1501"/>
    <s v="DS32"/>
    <s v="Reverse transaction 10347949"/>
    <n v="-508.84"/>
    <n v="-0.50883999999999996"/>
  </r>
  <r>
    <s v="S26"/>
    <x v="32"/>
    <s v="AJ"/>
    <n v="10348098"/>
    <d v="2020-04-08T00:00:00"/>
    <n v="202101"/>
    <s v="1"/>
    <s v="EXP"/>
    <s v="B1830"/>
    <s v="DS33"/>
    <s v="Utilities to be invoiced to ODS - Headington Cemetery Chapel &amp; Public Toilets Acc: 88888893512  Water 10/08/19 - 09/11/19"/>
    <n v="66.81"/>
    <n v="6.6810000000000008E-2"/>
  </r>
  <r>
    <s v="S26"/>
    <x v="34"/>
    <s v="AJ"/>
    <n v="10348098"/>
    <d v="2020-04-08T00:00:00"/>
    <n v="202101"/>
    <s v="1"/>
    <s v="EXP"/>
    <s v="B1501"/>
    <s v="DS32"/>
    <s v="Utilities to be invoiced to ODS - Godstow Road Public Toilets Acc: 571527961  Electricity 02/10/19 - 01/01/20"/>
    <n v="49.46"/>
    <n v="4.9460000000000004E-2"/>
  </r>
  <r>
    <s v="S26"/>
    <x v="32"/>
    <s v="AJ"/>
    <n v="10348085"/>
    <d v="2020-04-02T00:00:00"/>
    <n v="202101"/>
    <s v="1"/>
    <s v="EXP"/>
    <s v="B1501"/>
    <s v="DS33"/>
    <s v="Reverse transaction 10347949"/>
    <n v="26004.02"/>
    <n v="26.004020000000001"/>
  </r>
  <r>
    <s v="S26"/>
    <x v="32"/>
    <s v="AJ"/>
    <n v="10348098"/>
    <d v="2020-04-08T00:00:00"/>
    <n v="202101"/>
    <s v="1"/>
    <s v="EXP"/>
    <s v="B1501"/>
    <s v="DS33"/>
    <s v="Utilities to be invoiced to ODS - Five Mile Drive Sports Pavilion Acc: 421527637  Electricity 02/12/19 - 01/03/20"/>
    <n v="332.36"/>
    <n v="0.33235999999999999"/>
  </r>
  <r>
    <s v="S26"/>
    <x v="32"/>
    <s v="AJ"/>
    <n v="10348085"/>
    <d v="2020-04-02T00:00:00"/>
    <n v="202101"/>
    <s v="1"/>
    <s v="EXP"/>
    <s v="B1501"/>
    <s v="DS33"/>
    <s v="Reverse transaction 10347949"/>
    <n v="2347.7600000000002"/>
    <n v="2.3477600000000001"/>
  </r>
  <r>
    <s v="S26"/>
    <x v="32"/>
    <s v="AJ"/>
    <n v="10348085"/>
    <d v="2020-04-02T00:00:00"/>
    <n v="202101"/>
    <s v="1"/>
    <s v="EXP"/>
    <s v="B1501"/>
    <s v="DS33"/>
    <s v="Reverse transaction 10347949"/>
    <n v="-1563.67"/>
    <n v="-1.5636700000000001"/>
  </r>
  <r>
    <s v="S26"/>
    <x v="34"/>
    <s v="AJ"/>
    <n v="10348085"/>
    <d v="2020-04-02T00:00:00"/>
    <n v="202101"/>
    <s v="1"/>
    <s v="EXP"/>
    <s v="B1501"/>
    <s v="DS32"/>
    <s v="Reverse transaction 10347949"/>
    <n v="554.55999999999995"/>
    <n v="0.55455999999999994"/>
  </r>
  <r>
    <s v="S26"/>
    <x v="33"/>
    <s v="AJ"/>
    <n v="10348085"/>
    <d v="2020-04-02T00:00:00"/>
    <n v="202101"/>
    <s v="1"/>
    <s v="EXP"/>
    <s v="B1502"/>
    <s v="DS40"/>
    <s v="Reverse transaction 10347949"/>
    <n v="1323.69"/>
    <n v="1.32369"/>
  </r>
  <r>
    <s v="S26"/>
    <x v="34"/>
    <s v="AJ"/>
    <n v="10348098"/>
    <d v="2020-04-08T00:00:00"/>
    <n v="202101"/>
    <s v="1"/>
    <s v="EXP"/>
    <s v="B1830"/>
    <s v="DS32"/>
    <s v="Utilities to be invoiced to ODS - Godstow Road Public Toilets Acc: 88888893527  Water 14/08/19 - 13/11/19"/>
    <n v="124.52"/>
    <n v="0.12451999999999999"/>
  </r>
  <r>
    <s v="S26"/>
    <x v="31"/>
    <s v="AJ"/>
    <n v="10348098"/>
    <d v="2020-04-08T00:00:00"/>
    <n v="202101"/>
    <s v="1"/>
    <s v="EXP"/>
    <s v="B1502"/>
    <s v="FC01"/>
    <s v="Utilities to be invoiced to ODS - Oxpens Car Park Offices Acc: 451677660  Gas 01/11/19 - 11/02/20"/>
    <n v="292.85000000000002"/>
    <n v="0.29285"/>
  </r>
  <r>
    <s v="S26"/>
    <x v="32"/>
    <s v="AJ"/>
    <n v="10348085"/>
    <d v="2020-04-02T00:00:00"/>
    <n v="202101"/>
    <s v="1"/>
    <s v="EXP"/>
    <s v="B1501"/>
    <s v="DS33"/>
    <s v="Reverse transaction 10347949"/>
    <n v="-40.159999999999997"/>
    <n v="-4.0159999999999994E-2"/>
  </r>
  <r>
    <s v="S26"/>
    <x v="34"/>
    <s v="AJ"/>
    <n v="10348085"/>
    <d v="2020-04-02T00:00:00"/>
    <n v="202101"/>
    <s v="1"/>
    <s v="EXP"/>
    <s v="B1830"/>
    <s v="DS32"/>
    <s v="Reverse transaction 10347949"/>
    <n v="-266.64"/>
    <n v="-0.26663999999999999"/>
  </r>
  <r>
    <s v="S26"/>
    <x v="32"/>
    <s v="AJ"/>
    <n v="10348085"/>
    <d v="2020-04-02T00:00:00"/>
    <n v="202101"/>
    <s v="1"/>
    <s v="EXP"/>
    <s v="B1501"/>
    <s v="DS33"/>
    <s v="Reverse transaction 10347949"/>
    <n v="-345.86"/>
    <n v="-0.34586"/>
  </r>
  <r>
    <s v="S26"/>
    <x v="34"/>
    <s v="AJ"/>
    <n v="10348085"/>
    <d v="2020-04-02T00:00:00"/>
    <n v="202101"/>
    <s v="1"/>
    <s v="EXP"/>
    <s v="B1501"/>
    <s v="DS32"/>
    <s v="Reverse transaction 10347949"/>
    <n v="-554.55999999999995"/>
    <n v="-0.55455999999999994"/>
  </r>
  <r>
    <s v="S26"/>
    <x v="33"/>
    <s v="AJ"/>
    <n v="10348085"/>
    <d v="2020-04-02T00:00:00"/>
    <n v="202101"/>
    <s v="1"/>
    <s v="EXP"/>
    <s v="B1830"/>
    <s v="DS40"/>
    <s v="Reverse transaction 10347949"/>
    <n v="-370.74"/>
    <n v="-0.37074000000000001"/>
  </r>
  <r>
    <s v="S26"/>
    <x v="33"/>
    <s v="AJ"/>
    <n v="10348085"/>
    <d v="2020-04-02T00:00:00"/>
    <n v="202101"/>
    <s v="1"/>
    <s v="EXP"/>
    <s v="B1502"/>
    <s v="DS40"/>
    <s v="Reverse transaction 10347949"/>
    <n v="-91.16"/>
    <n v="-9.1159999999999991E-2"/>
  </r>
  <r>
    <s v="S26"/>
    <x v="34"/>
    <s v="AJ"/>
    <n v="10348098"/>
    <d v="2020-04-08T00:00:00"/>
    <n v="202101"/>
    <s v="1"/>
    <s v="EXP"/>
    <s v="B1830"/>
    <s v="DS32"/>
    <s v="Utilities to be invoiced to ODS - Abingdon Road Public Toilets Acc: 88888893531  Water 14/08/19 - 13/11/19"/>
    <n v="64.42"/>
    <n v="6.4420000000000005E-2"/>
  </r>
  <r>
    <s v="S26"/>
    <x v="35"/>
    <s v="AJ"/>
    <n v="10348063"/>
    <d v="2020-04-08T00:00:00"/>
    <n v="202101"/>
    <s v="1"/>
    <s v="INC"/>
    <s v="K6664"/>
    <s v="DS36"/>
    <s v="PO 8030867 to be invoiced to ODS"/>
    <n v="8262.67"/>
    <n v="8.26267"/>
  </r>
  <r>
    <s v="S26"/>
    <x v="32"/>
    <s v="AJ"/>
    <n v="10348098"/>
    <d v="2020-04-08T00:00:00"/>
    <n v="202101"/>
    <s v="1"/>
    <s v="EXP"/>
    <s v="B1830"/>
    <s v="DS33"/>
    <s v="Utilities to be invoiced to ODS - Grandpont Sports Pavilion Acc: 88888893551  Water 10/07/19 - 09/11/19"/>
    <n v="231.53"/>
    <n v="0.23153000000000001"/>
  </r>
  <r>
    <s v="S26"/>
    <x v="31"/>
    <s v="AJ"/>
    <n v="10348098"/>
    <d v="2020-04-08T00:00:00"/>
    <n v="202101"/>
    <s v="1"/>
    <s v="EXP"/>
    <s v="B1501"/>
    <s v="FC01"/>
    <s v="Utilities to be invoiced to ODS - Unmetered Car Park Lighting Acc: 931528944  Electricity 04/02/20 - 02/03/20"/>
    <n v="1563.67"/>
    <n v="1.5636700000000001"/>
  </r>
  <r>
    <s v="S26"/>
    <x v="31"/>
    <s v="AJ"/>
    <n v="10348098"/>
    <d v="2020-04-08T00:00:00"/>
    <n v="202101"/>
    <s v="1"/>
    <s v="EXP"/>
    <s v="B1501"/>
    <s v="FC01"/>
    <s v="Utilities to be invoiced to ODS - Unmetered Car Park Ticket Machines Acc: 361528966  Electricity 03/01/20 - 03/02/20"/>
    <n v="93.41"/>
    <n v="9.3409999999999993E-2"/>
  </r>
  <r>
    <s v="S26"/>
    <x v="32"/>
    <s v="AJ"/>
    <n v="10348098"/>
    <d v="2020-04-08T00:00:00"/>
    <n v="202101"/>
    <s v="1"/>
    <s v="EXP"/>
    <s v="B1501"/>
    <s v="DS33"/>
    <s v="Utilities to be invoiced to ODS - Wolvercote Cemetery Public Toilets Acc: 301571965  Electricity 02/12/19 - 01/03/20"/>
    <n v="113.13"/>
    <n v="0.11312999999999999"/>
  </r>
  <r>
    <s v="S26"/>
    <x v="32"/>
    <s v="AJ"/>
    <n v="10348098"/>
    <d v="2020-04-08T00:00:00"/>
    <n v="202101"/>
    <s v="1"/>
    <s v="EXP"/>
    <s v="B1501"/>
    <s v="DS33"/>
    <s v="Utilities to be invoiced to ODS - Wolvercote Cemetery Chapel Acc: 051525045  Electricity 02/12/19 - 01/03/20"/>
    <n v="82.17"/>
    <n v="8.2170000000000007E-2"/>
  </r>
  <r>
    <s v="S26"/>
    <x v="32"/>
    <s v="AJ"/>
    <n v="10348098"/>
    <d v="2020-04-08T00:00:00"/>
    <n v="202101"/>
    <s v="1"/>
    <s v="EXP"/>
    <s v="B1501"/>
    <s v="DS33"/>
    <s v="Utilities to be invoiced to ODS - Grandpont Sports Pavilion Acc: 401575867  Electricity 02/11/19 - 01/03/20"/>
    <n v="444.33"/>
    <n v="0.44433"/>
  </r>
  <r>
    <s v="S26"/>
    <x v="32"/>
    <s v="AJ"/>
    <n v="10348098"/>
    <d v="2020-04-08T00:00:00"/>
    <n v="202101"/>
    <s v="1"/>
    <s v="EXP"/>
    <s v="B1501"/>
    <s v="DS33"/>
    <s v="Utilities to be invoiced to ODS - Alexandra Courts Tennis Pavilion Acc: 161527387  Electricity 02/10/19 - 01/01/20"/>
    <n v="64.55"/>
    <n v="6.4549999999999996E-2"/>
  </r>
  <r>
    <s v="S26"/>
    <x v="32"/>
    <s v="AJ"/>
    <n v="10348098"/>
    <d v="2020-04-08T00:00:00"/>
    <n v="202101"/>
    <s v="1"/>
    <s v="EXP"/>
    <s v="B1501"/>
    <s v="DS33"/>
    <s v="Utilities to be invoiced to ODS - Aristotle Lane Surface Water Pumping Station Acc: 921525327  Electricity 02/12/19 - 01/03/20"/>
    <n v="82.28"/>
    <n v="8.2280000000000006E-2"/>
  </r>
  <r>
    <s v="S26"/>
    <x v="32"/>
    <s v="AJ"/>
    <n v="10348098"/>
    <d v="2020-04-08T00:00:00"/>
    <n v="202101"/>
    <s v="1"/>
    <s v="EXP"/>
    <s v="B1830"/>
    <s v="DS33"/>
    <s v="Utilities to be invoiced to ODS - Blackbird Leys Bowls Pavilion &amp; Park Depot Acc: 88888893552  Water 10/08/19 - 09/11/19"/>
    <n v="256.33"/>
    <n v="0.25633"/>
  </r>
  <r>
    <s v="S26"/>
    <x v="32"/>
    <s v="AJ"/>
    <n v="10348098"/>
    <d v="2020-04-08T00:00:00"/>
    <n v="202101"/>
    <s v="1"/>
    <s v="EXP"/>
    <s v="B1501"/>
    <s v="DS33"/>
    <s v="Utilities to be invoiced to ODS - Cutteslowe Upper Sports Pavilion Acc: 591526061  Electricity 02/12/19 - 01/03/20"/>
    <n v="1488.76"/>
    <n v="1.4887600000000001"/>
  </r>
  <r>
    <s v="S26"/>
    <x v="32"/>
    <s v="AJ"/>
    <n v="10348098"/>
    <d v="2020-04-08T00:00:00"/>
    <n v="202101"/>
    <s v="1"/>
    <s v="EXP"/>
    <s v="B1501"/>
    <s v="DS33"/>
    <s v="Utilities to be invoiced to ODS - Botley Cemetery Chapel Acc: 161527262  Electricity 02/12/19 - 01/03/20"/>
    <n v="612.91"/>
    <n v="0.61290999999999995"/>
  </r>
  <r>
    <s v="S26"/>
    <x v="32"/>
    <s v="AJ"/>
    <n v="10348098"/>
    <d v="2020-04-08T00:00:00"/>
    <n v="202101"/>
    <s v="1"/>
    <s v="EXP"/>
    <s v="B1501"/>
    <s v="DS33"/>
    <s v="Utilities to be invoiced to ODS - Blackbird Leys Bowls Pavilion &amp; Park Depot Acc: 771525230  Electricity 02/12/19 - 01/03/20"/>
    <n v="738.09"/>
    <n v="0.73809000000000002"/>
  </r>
  <r>
    <s v="S26"/>
    <x v="32"/>
    <s v="AJ"/>
    <n v="10348098"/>
    <d v="2020-04-08T00:00:00"/>
    <n v="202101"/>
    <s v="1"/>
    <s v="EXP"/>
    <s v="B1501"/>
    <s v="DS33"/>
    <s v="Utilities to be invoiced to ODS - Banbury Road North Sports Ground Acc: 211524908  Electricity 02/12/19 - 01/03/20"/>
    <n v="29.24"/>
    <n v="2.9239999999999999E-2"/>
  </r>
  <r>
    <s v="S26"/>
    <x v="32"/>
    <s v="AJ"/>
    <n v="10348098"/>
    <d v="2020-04-08T00:00:00"/>
    <n v="202101"/>
    <s v="1"/>
    <s v="EXP"/>
    <s v="B1830"/>
    <s v="DS33"/>
    <s v="Utilities to be invoiced to ODS - Cutteslowe Park Acc: 88888893506  Water 14/08/19 - 13/11/19"/>
    <n v="1083.1500000000001"/>
    <n v="1.0831500000000001"/>
  </r>
  <r>
    <s v="S26"/>
    <x v="32"/>
    <s v="AJ"/>
    <n v="10348098"/>
    <d v="2020-04-08T00:00:00"/>
    <n v="202101"/>
    <s v="1"/>
    <s v="EXP"/>
    <s v="B1502"/>
    <s v="DS33"/>
    <s v="Utilities to be invoiced to ODS - Cutteslowe Park Acc: 3005051720  Gas 01/02/20 - 29/02/20"/>
    <n v="337.34"/>
    <n v="0.33733999999999997"/>
  </r>
  <r>
    <s v="S26"/>
    <x v="34"/>
    <s v="AJ"/>
    <n v="10348098"/>
    <d v="2020-04-08T00:00:00"/>
    <n v="202101"/>
    <s v="1"/>
    <s v="EXP"/>
    <s v="B1501"/>
    <s v="DS32"/>
    <s v="Utilities to be invoiced to ODS - Between Towns Road Sweepers Store Acc: 081798790  Electricity 02/01/20 - 01/02/20"/>
    <n v="18.13"/>
    <n v="1.813E-2"/>
  </r>
  <r>
    <s v="S26"/>
    <x v="33"/>
    <s v="AJ"/>
    <n v="10348098"/>
    <d v="2020-04-08T00:00:00"/>
    <n v="202101"/>
    <s v="1"/>
    <s v="EXP"/>
    <s v="B1501"/>
    <s v="DS40"/>
    <s v="Utilities to be invoiced to ODS - Cowley Marsh Depot Acc: KS86222B  Electricity 01/02/20 - 29/02/20"/>
    <n v="4066.18"/>
    <n v="4.0661800000000001"/>
  </r>
  <r>
    <s v="S26"/>
    <x v="33"/>
    <s v="AJ"/>
    <n v="10348098"/>
    <d v="2020-04-08T00:00:00"/>
    <n v="202101"/>
    <s v="1"/>
    <s v="EXP"/>
    <s v="B1502"/>
    <s v="DS40"/>
    <s v="Utilities to be invoiced to ODS - Horspath Depot Stores Building Acc: 3004980781  Gas 01/02/20 - 29/02/20"/>
    <n v="731.7"/>
    <n v="0.73170000000000002"/>
  </r>
  <r>
    <s v="S26"/>
    <x v="33"/>
    <s v="AJ"/>
    <n v="10348098"/>
    <d v="2020-04-08T00:00:00"/>
    <n v="202101"/>
    <s v="1"/>
    <s v="EXP"/>
    <s v="B1502"/>
    <s v="DS40"/>
    <s v="Utilities to be invoiced to ODS - Horspath Depot Stores Building Acc: 3004980781  Gas 01/01/20 - 31/01/20"/>
    <n v="809.43"/>
    <n v="0.80942999999999998"/>
  </r>
  <r>
    <s v="S26"/>
    <x v="33"/>
    <s v="AJ"/>
    <n v="10348098"/>
    <d v="2020-04-08T00:00:00"/>
    <n v="202101"/>
    <s v="1"/>
    <s v="EXP"/>
    <s v="B1502"/>
    <s v="DS40"/>
    <s v="Utilities to be invoiced to ODS - Horspath Depot Main Building Acc: 3004980627  Gas 01/02/20 - 29/02/20"/>
    <n v="522.59"/>
    <n v="0.52259"/>
  </r>
  <r>
    <s v="S26"/>
    <x v="33"/>
    <s v="AJ"/>
    <n v="10348098"/>
    <d v="2020-04-08T00:00:00"/>
    <n v="202101"/>
    <s v="1"/>
    <s v="EXP"/>
    <s v="B1502"/>
    <s v="DS40"/>
    <s v="Utilities to be invoiced to ODS - Horspath Depot Main Building Acc: 3004980627  Gas 01/01/20 - 31/01/20"/>
    <n v="578.07000000000005"/>
    <n v="0.57807000000000008"/>
  </r>
  <r>
    <s v="S26"/>
    <x v="33"/>
    <s v="AJ"/>
    <n v="10348098"/>
    <d v="2020-04-08T00:00:00"/>
    <n v="202101"/>
    <s v="1"/>
    <s v="EXP"/>
    <s v="B1502"/>
    <s v="DS40"/>
    <s v="Utilities to be invoiced to ODS - Cowley Marsh Depot Acc: 3004980726  Gas 01/02/20 - 29/02/20"/>
    <n v="2591.0300000000002"/>
    <n v="2.5910300000000004"/>
  </r>
  <r>
    <s v="S26"/>
    <x v="34"/>
    <s v="AJ"/>
    <n v="10348098"/>
    <d v="2020-04-08T00:00:00"/>
    <n v="202101"/>
    <s v="1"/>
    <s v="EXP"/>
    <s v="B1830"/>
    <s v="DS32"/>
    <s v="Utilities to be invoiced to ODS - Diamond Place Public Toilets Acc: 88888893523  Water 14/08/19 - 13/11/19"/>
    <n v="115.22"/>
    <n v="0.11522"/>
  </r>
  <r>
    <s v="S26"/>
    <x v="32"/>
    <s v="AJ"/>
    <n v="10348098"/>
    <d v="2020-04-08T00:00:00"/>
    <n v="202101"/>
    <s v="1"/>
    <s v="EXP"/>
    <s v="B1830"/>
    <s v="DS33"/>
    <s v="Utilities to be invoiced to ODS - Wolvercote Bathing Place Acc: 88888893514  Water 10/08/19 - 09/11/19"/>
    <n v="-1323.69"/>
    <n v="-1.32369"/>
  </r>
  <r>
    <s v="S26"/>
    <x v="33"/>
    <s v="AJ"/>
    <n v="10348098"/>
    <d v="2020-04-08T00:00:00"/>
    <n v="202101"/>
    <s v="1"/>
    <s v="EXP"/>
    <s v="B1830"/>
    <s v="DS40"/>
    <s v="Utilities to be invoiced to ODS - Cowley Marsh Depot Acc: 88888893496  Water 10/10/19 - 09/01/20"/>
    <n v="2379.9299999999998"/>
    <n v="2.3799299999999999"/>
  </r>
  <r>
    <s v="S26"/>
    <x v="33"/>
    <s v="AJ"/>
    <n v="10348098"/>
    <d v="2020-04-08T00:00:00"/>
    <n v="202101"/>
    <s v="1"/>
    <s v="EXP"/>
    <s v="B1501"/>
    <s v="DS40"/>
    <s v="Utilities to be invoiced to ODS - Cowley Marsh Depot Acc: KS86222B  Electricity 01/01/20 - 31/01/20"/>
    <n v="4684.2700000000004"/>
    <n v="4.6842700000000006"/>
  </r>
  <r>
    <s v="S26"/>
    <x v="32"/>
    <s v="AJ"/>
    <n v="10348098"/>
    <d v="2020-04-08T00:00:00"/>
    <n v="202101"/>
    <s v="1"/>
    <s v="EXP"/>
    <s v="B1501"/>
    <s v="DS33"/>
    <s v="Utilities to be invoiced to ODS - Court Place Farm Sports Pavilion Acc: 051525190  Electricity 02/11/19 - 01/02/20"/>
    <n v="266.64"/>
    <n v="0.26663999999999999"/>
  </r>
  <r>
    <s v="S26"/>
    <x v="32"/>
    <s v="AJ"/>
    <n v="10348098"/>
    <d v="2020-04-08T00:00:00"/>
    <n v="202101"/>
    <s v="1"/>
    <s v="EXP"/>
    <s v="B1501"/>
    <s v="DS33"/>
    <s v="Utilities to be invoiced to ODS - Bury Knowle Tennis Pavilion Acc: 611525559  Electricity 02/10/19 - 01/01/20"/>
    <n v="387.07"/>
    <n v="0.38706999999999997"/>
  </r>
  <r>
    <s v="S26"/>
    <x v="31"/>
    <s v="AJ"/>
    <n v="10348098"/>
    <d v="2020-04-08T00:00:00"/>
    <n v="202101"/>
    <s v="1"/>
    <s v="EXP"/>
    <s v="B1501"/>
    <s v="FC54"/>
    <s v="Utilities to be invoiced to ODS - Ferry Leisure Centre Car Park Acc: 031526966  Electricity 02/12/19 - 01/03/20"/>
    <n v="73.930000000000007"/>
    <n v="7.393000000000001E-2"/>
  </r>
  <r>
    <s v="S26"/>
    <x v="32"/>
    <s v="AJ"/>
    <n v="10348098"/>
    <d v="2020-04-08T00:00:00"/>
    <n v="202101"/>
    <s v="1"/>
    <s v="EXP"/>
    <s v="B1501"/>
    <s v="DS33"/>
    <s v="Utilities to be invoiced to ODS - Botley Park Games Area Floodlights Acc: 731527009  Electricity 02/12/19 - 01/03/20"/>
    <n v="70.34"/>
    <n v="7.034E-2"/>
  </r>
  <r>
    <s v="S26"/>
    <x v="32"/>
    <s v="AJ"/>
    <n v="10348098"/>
    <d v="2020-04-08T00:00:00"/>
    <n v="202101"/>
    <s v="1"/>
    <s v="EXP"/>
    <s v="B1501"/>
    <s v="DS33"/>
    <s v="Utilities to be invoiced to ODS - Barton Park Sports Pavilion Acc: 101777594  Electricity 01/12/19 - 31/12/19"/>
    <n v="1014.81"/>
    <n v="1.01481"/>
  </r>
  <r>
    <s v="S26"/>
    <x v="33"/>
    <s v="AJ"/>
    <n v="10348098"/>
    <d v="2020-04-08T00:00:00"/>
    <n v="202101"/>
    <s v="1"/>
    <s v="EXP"/>
    <s v="B1501"/>
    <s v="DS40"/>
    <s v="Utilities to be invoiced to ODS - Horspath Road Car Park CCTV Camera Acc: 921550688  Electricity 02/11/19 - 01/02/20"/>
    <n v="39.409999999999997"/>
    <n v="3.9409999999999994E-2"/>
  </r>
  <r>
    <s v="S26"/>
    <x v="31"/>
    <s v="AJ"/>
    <n v="10348098"/>
    <d v="2020-04-08T00:00:00"/>
    <n v="202101"/>
    <s v="1"/>
    <s v="EXP"/>
    <s v="B1830"/>
    <s v="FC23"/>
    <s v="Utilities to be invoiced to ODS - Worcester Street Car Park Acc: 88888893408  Water 01/08/18 - 31/03/19"/>
    <n v="35.380000000000003"/>
    <n v="3.5380000000000002E-2"/>
  </r>
  <r>
    <s v="S26"/>
    <x v="31"/>
    <s v="AJ"/>
    <n v="10348098"/>
    <d v="2020-04-08T00:00:00"/>
    <n v="202101"/>
    <s v="1"/>
    <s v="EXP"/>
    <s v="B1830"/>
    <s v="FC23"/>
    <s v="Utilities to be invoiced to ODS - Worcester Street Car Park Acc: 88888893408  Water 01/04/19 - 09/12/19"/>
    <n v="38.56"/>
    <n v="3.8560000000000004E-2"/>
  </r>
  <r>
    <s v="S26"/>
    <x v="32"/>
    <s v="AJ"/>
    <n v="10348098"/>
    <d v="2020-04-08T00:00:00"/>
    <n v="202101"/>
    <s v="1"/>
    <s v="EXP"/>
    <s v="B1830"/>
    <s v="DS33"/>
    <s v="Utilities to be invoiced to ODS - Botley Cemetery Chapel Acc: 88888893505  Water 14/08/19 - 13/11/19"/>
    <n v="-133.26"/>
    <n v="-0.13325999999999999"/>
  </r>
  <r>
    <s v="S26"/>
    <x v="32"/>
    <s v="AJ"/>
    <n v="10348098"/>
    <d v="2020-04-08T00:00:00"/>
    <n v="202101"/>
    <s v="1"/>
    <s v="EXP"/>
    <s v="B1830"/>
    <s v="DS33"/>
    <s v="Utilities to be invoiced to ODS - Wolvercote Cemetery Public Toilets Acc: 88888893530  Water 14/08/19 - 13/11/19"/>
    <n v="-692.25"/>
    <n v="-0.69225000000000003"/>
  </r>
  <r>
    <s v="S26"/>
    <x v="32"/>
    <s v="AJ"/>
    <n v="10348098"/>
    <d v="2020-04-08T00:00:00"/>
    <n v="202101"/>
    <s v="1"/>
    <s v="EXP"/>
    <s v="B1830"/>
    <s v="DS33"/>
    <s v="Utilities to be invoiced to ODS - Cowley Marsh Sports Pavilion Acc: 88888893547  Water 10/08/19 - 09/11/19"/>
    <n v="73.8"/>
    <n v="7.3799999999999991E-2"/>
  </r>
  <r>
    <s v="S26"/>
    <x v="33"/>
    <s v="AJ"/>
    <n v="10348098"/>
    <d v="2020-04-08T00:00:00"/>
    <n v="202101"/>
    <s v="1"/>
    <s v="EXP"/>
    <s v="B1830"/>
    <s v="DS40"/>
    <s v="Utilities to be invoiced to ODS - Horspath Depot Stores Building Acc: 88888893499  Water 14/08/19 - 13/11/19"/>
    <n v="194.32"/>
    <n v="0.19431999999999999"/>
  </r>
  <r>
    <s v="S26"/>
    <x v="32"/>
    <s v="AJ"/>
    <n v="10348098"/>
    <d v="2020-04-08T00:00:00"/>
    <n v="202101"/>
    <s v="1"/>
    <s v="EXP"/>
    <s v="B1502"/>
    <s v="DS33"/>
    <s v="Utilities to be invoiced to ODS - Cutteslowe Park Acc: 3005051720  Gas 01/01/20 - 31/01/20"/>
    <n v="370.13"/>
    <n v="0.37013000000000001"/>
  </r>
  <r>
    <s v="S26"/>
    <x v="33"/>
    <s v="AJ"/>
    <n v="10348098"/>
    <d v="2020-04-08T00:00:00"/>
    <n v="202101"/>
    <s v="1"/>
    <s v="EXP"/>
    <s v="B1501"/>
    <s v="DS40"/>
    <s v="Utilities to be invoiced to ODS - Horspath Depot Stores Building Garage Acc: 821526329  Electricity 16/10/19 - 14/01/20"/>
    <n v="423.45"/>
    <n v="0.42344999999999999"/>
  </r>
  <r>
    <s v="S26"/>
    <x v="33"/>
    <s v="AJ"/>
    <n v="10348098"/>
    <d v="2020-04-08T00:00:00"/>
    <n v="202101"/>
    <s v="1"/>
    <s v="EXP"/>
    <s v="B1501"/>
    <s v="DS40"/>
    <s v="Utilities to be invoiced to ODS - Horspath Depot Storage Yard Acc: 711601077  Electricity 02/11/19 - 01/02/20"/>
    <n v="84.72"/>
    <n v="8.4720000000000004E-2"/>
  </r>
  <r>
    <s v="S26"/>
    <x v="33"/>
    <s v="AJ"/>
    <n v="10348098"/>
    <d v="2020-04-08T00:00:00"/>
    <n v="202101"/>
    <s v="1"/>
    <s v="EXP"/>
    <s v="B1501"/>
    <s v="DS40"/>
    <s v="Utilities to be invoiced to ODS - Horspath Depot Main Building Acc: KS86222S  Electricity 01/02/20 - 29/02/20"/>
    <n v="1640.43"/>
    <n v="1.6404300000000001"/>
  </r>
  <r>
    <s v="S26"/>
    <x v="33"/>
    <s v="AJ"/>
    <n v="10348098"/>
    <d v="2020-04-08T00:00:00"/>
    <n v="202101"/>
    <s v="1"/>
    <s v="EXP"/>
    <s v="B1501"/>
    <s v="DS40"/>
    <s v="Utilities to be invoiced to ODS - Horspath Depot Stores Building Acc: 861749071  Electricity 11/01/20 - 11/02/20"/>
    <n v="1465.21"/>
    <n v="1.4652100000000001"/>
  </r>
  <r>
    <s v="S26"/>
    <x v="32"/>
    <s v="AJ"/>
    <n v="10348098"/>
    <d v="2020-04-08T00:00:00"/>
    <n v="202101"/>
    <s v="1"/>
    <s v="EXP"/>
    <s v="B1501"/>
    <s v="DS33"/>
    <s v="Utilities to be invoiced to ODS - Cutteslowe Lower Sports Pavilion Acc: 791528072  Electricity 02/12/19 - 01/03/20"/>
    <n v="360.95"/>
    <n v="0.36094999999999999"/>
  </r>
  <r>
    <s v="S26"/>
    <x v="34"/>
    <s v="AJ"/>
    <n v="10348098"/>
    <d v="2020-04-08T00:00:00"/>
    <n v="202101"/>
    <s v="1"/>
    <s v="EXP"/>
    <s v="B1501"/>
    <s v="DS32"/>
    <s v="Utilities to be invoiced to ODS - Cowley Road Public Toilets &amp; Sweepers Store Acc: 701542067  Electricity 02/09/19 - 01/01/20"/>
    <n v="518.30999999999995"/>
    <n v="0.51830999999999994"/>
  </r>
  <r>
    <s v="S26"/>
    <x v="32"/>
    <s v="AJ"/>
    <n v="10348098"/>
    <d v="2020-04-08T00:00:00"/>
    <n v="202101"/>
    <s v="1"/>
    <s v="EXP"/>
    <s v="B1501"/>
    <s v="DS33"/>
    <s v="Utilities to be invoiced to ODS - Cowley Marsh Sports Pavilion Acc: 061643899  Electricity 01/12/19 - 31/12/19"/>
    <n v="929.2"/>
    <n v="0.92920000000000003"/>
  </r>
  <r>
    <s v="S26"/>
    <x v="32"/>
    <s v="AJ"/>
    <n v="10348098"/>
    <d v="2020-04-08T00:00:00"/>
    <n v="202101"/>
    <s v="1"/>
    <s v="EXP"/>
    <s v="B1501"/>
    <s v="DS33"/>
    <s v="Utilities to be invoiced to ODS - Cowley Marsh Sports Pavilion Acc: 061643899  Electricity 01/01/20 - 31/01/20"/>
    <n v="754.39"/>
    <n v="0.75439000000000001"/>
  </r>
  <r>
    <s v="S26"/>
    <x v="31"/>
    <s v="AJ"/>
    <n v="10348098"/>
    <d v="2020-04-08T00:00:00"/>
    <n v="202101"/>
    <s v="1"/>
    <s v="EXP"/>
    <s v="B1501"/>
    <s v="FC21"/>
    <s v="Utilities to be invoiced to ODS - Oxpens Car Park Acc: 291525711  Electricity 01/11/19 - 03/02/20"/>
    <n v="2570.12"/>
    <n v="2.5701199999999997"/>
  </r>
  <r>
    <s v="S26"/>
    <x v="32"/>
    <s v="AJ"/>
    <n v="10348098"/>
    <d v="2020-04-08T00:00:00"/>
    <n v="202101"/>
    <s v="1"/>
    <s v="EXP"/>
    <s v="B1502"/>
    <s v="DS33"/>
    <s v="Utilities to be invoiced to ODS - Cutteslowe Upper Sports Pavilion Acc: 851678985  Gas 16/10/19 - 15/01/20"/>
    <n v="354.71"/>
    <n v="0.35470999999999997"/>
  </r>
  <r>
    <s v="S26"/>
    <x v="34"/>
    <s v="AJ"/>
    <n v="10348098"/>
    <d v="2020-04-08T00:00:00"/>
    <n v="202101"/>
    <s v="1"/>
    <s v="EXP"/>
    <s v="B1830"/>
    <s v="DS32"/>
    <s v="Utilities to be invoiced to ODS - London Road Public Toilets Acc: 88888893536  Water 14/08/19 - 13/11/19"/>
    <n v="190.11"/>
    <n v="0.19011"/>
  </r>
  <r>
    <s v="S26"/>
    <x v="32"/>
    <s v="AJ"/>
    <n v="10348085"/>
    <d v="2020-04-02T00:00:00"/>
    <n v="202101"/>
    <s v="1"/>
    <s v="EXP"/>
    <s v="B1830"/>
    <s v="DS33"/>
    <s v="Reverse transaction 10347949"/>
    <n v="-53.06"/>
    <n v="-5.3060000000000003E-2"/>
  </r>
  <r>
    <s v="S26"/>
    <x v="32"/>
    <s v="AJ"/>
    <n v="10348085"/>
    <d v="2020-04-02T00:00:00"/>
    <n v="202101"/>
    <s v="1"/>
    <s v="EXP"/>
    <s v="B1830"/>
    <s v="DS33"/>
    <s v="Reverse transaction 10347949"/>
    <n v="-965.97"/>
    <n v="-0.96597"/>
  </r>
  <r>
    <s v="S26"/>
    <x v="32"/>
    <s v="AJ"/>
    <n v="10348085"/>
    <d v="2020-04-02T00:00:00"/>
    <n v="202101"/>
    <s v="1"/>
    <s v="EXP"/>
    <s v="B1830"/>
    <s v="DS33"/>
    <s v="Reverse transaction 10347949"/>
    <n v="85.45"/>
    <n v="8.5449999999999998E-2"/>
  </r>
  <r>
    <s v="S26"/>
    <x v="32"/>
    <s v="AJ"/>
    <n v="10348085"/>
    <d v="2020-04-02T00:00:00"/>
    <n v="202101"/>
    <s v="1"/>
    <s v="EXP"/>
    <s v="B1830"/>
    <s v="DS33"/>
    <s v="Reverse transaction 10347949"/>
    <n v="-337.35"/>
    <n v="-0.33735000000000004"/>
  </r>
  <r>
    <s v="S26"/>
    <x v="32"/>
    <s v="AJ"/>
    <n v="10348085"/>
    <d v="2020-04-02T00:00:00"/>
    <n v="202101"/>
    <s v="1"/>
    <s v="EXP"/>
    <s v="B1830"/>
    <s v="DS33"/>
    <s v="Reverse transaction 10347949"/>
    <n v="808.7"/>
    <n v="0.80870000000000009"/>
  </r>
  <r>
    <s v="S26"/>
    <x v="32"/>
    <s v="AJ"/>
    <n v="10348085"/>
    <d v="2020-04-02T00:00:00"/>
    <n v="202101"/>
    <s v="1"/>
    <s v="EXP"/>
    <s v="B1830"/>
    <s v="DS33"/>
    <s v="Reverse transaction 10347949"/>
    <n v="-49.46"/>
    <n v="-4.9460000000000004E-2"/>
  </r>
  <r>
    <s v="S26"/>
    <x v="32"/>
    <s v="AJ"/>
    <n v="10348085"/>
    <d v="2020-04-02T00:00:00"/>
    <n v="202101"/>
    <s v="1"/>
    <s v="EXP"/>
    <s v="B1502"/>
    <s v="DS33"/>
    <s v="Reverse transaction 10347949"/>
    <n v="-29.62"/>
    <n v="-2.962E-2"/>
  </r>
  <r>
    <s v="S26"/>
    <x v="32"/>
    <s v="AJ"/>
    <n v="10348085"/>
    <d v="2020-04-02T00:00:00"/>
    <n v="202101"/>
    <s v="1"/>
    <s v="EXP"/>
    <s v="B1502"/>
    <s v="DS33"/>
    <s v="Reverse transaction 10347949"/>
    <n v="-66.81"/>
    <n v="-6.6810000000000008E-2"/>
  </r>
  <r>
    <s v="S26"/>
    <x v="32"/>
    <s v="AJ"/>
    <n v="10348085"/>
    <d v="2020-04-02T00:00:00"/>
    <n v="202101"/>
    <s v="1"/>
    <s v="EXP"/>
    <s v="B1502"/>
    <s v="DS33"/>
    <s v="Reverse transaction 10347949"/>
    <n v="-124.52"/>
    <n v="-0.12451999999999999"/>
  </r>
  <r>
    <s v="S26"/>
    <x v="32"/>
    <s v="AJ"/>
    <n v="10348085"/>
    <d v="2020-04-02T00:00:00"/>
    <n v="202101"/>
    <s v="1"/>
    <s v="EXP"/>
    <s v="B1501"/>
    <s v="DS33"/>
    <s v="Reverse transaction 10347949"/>
    <n v="20.51"/>
    <n v="2.051E-2"/>
  </r>
  <r>
    <s v="S26"/>
    <x v="32"/>
    <s v="AJ"/>
    <n v="10348085"/>
    <d v="2020-04-02T00:00:00"/>
    <n v="202101"/>
    <s v="1"/>
    <s v="EXP"/>
    <s v="B1501"/>
    <s v="DS33"/>
    <s v="Reverse transaction 10347949"/>
    <n v="-231.53"/>
    <n v="-0.23153000000000001"/>
  </r>
  <r>
    <s v="S26"/>
    <x v="31"/>
    <s v="AJ"/>
    <n v="10348085"/>
    <d v="2020-04-02T00:00:00"/>
    <n v="202101"/>
    <s v="1"/>
    <s v="EXP"/>
    <s v="B1501"/>
    <s v="FC52"/>
    <s v="Reverse transaction 10347949"/>
    <n v="-52.41"/>
    <n v="-5.2409999999999998E-2"/>
  </r>
  <r>
    <s v="S26"/>
    <x v="34"/>
    <s v="AJ"/>
    <n v="10348085"/>
    <d v="2020-04-02T00:00:00"/>
    <n v="202101"/>
    <s v="1"/>
    <s v="EXP"/>
    <s v="B1501"/>
    <s v="DS32"/>
    <s v="Reverse transaction 10347949"/>
    <n v="-134.16999999999999"/>
    <n v="-0.13416999999999998"/>
  </r>
  <r>
    <s v="S26"/>
    <x v="34"/>
    <s v="AJ"/>
    <n v="10348085"/>
    <d v="2020-04-02T00:00:00"/>
    <n v="202101"/>
    <s v="1"/>
    <s v="EXP"/>
    <s v="B1501"/>
    <s v="DS32"/>
    <s v="Reverse transaction 10347949"/>
    <n v="-155.22"/>
    <n v="-0.15522"/>
  </r>
  <r>
    <s v="S26"/>
    <x v="34"/>
    <s v="AJ"/>
    <n v="10348085"/>
    <d v="2020-04-02T00:00:00"/>
    <n v="202101"/>
    <s v="1"/>
    <s v="EXP"/>
    <s v="B1830"/>
    <s v="DS32"/>
    <s v="Reverse transaction 10347949"/>
    <n v="-2293.4899999999998"/>
    <n v="-2.2934899999999998"/>
  </r>
  <r>
    <s v="S26"/>
    <x v="31"/>
    <s v="AJ"/>
    <n v="10348085"/>
    <d v="2020-04-02T00:00:00"/>
    <n v="202101"/>
    <s v="1"/>
    <s v="EXP"/>
    <s v="B1830"/>
    <s v="FC23"/>
    <s v="Reverse transaction 10347949"/>
    <n v="-412.85"/>
    <n v="-0.41285000000000005"/>
  </r>
  <r>
    <s v="S26"/>
    <x v="31"/>
    <s v="AJ"/>
    <n v="10348085"/>
    <d v="2020-04-02T00:00:00"/>
    <n v="202101"/>
    <s v="1"/>
    <s v="EXP"/>
    <s v="B1830"/>
    <s v="FC23"/>
    <s v="Reverse transaction 10347949"/>
    <n v="-695.82"/>
    <n v="-0.69582000000000011"/>
  </r>
  <r>
    <s v="S26"/>
    <x v="32"/>
    <s v="AJ"/>
    <n v="10348085"/>
    <d v="2020-04-02T00:00:00"/>
    <n v="202101"/>
    <s v="1"/>
    <s v="EXP"/>
    <s v="B1830"/>
    <s v="DS33"/>
    <s v="Reverse transaction 10347949"/>
    <n v="-82.35"/>
    <n v="-8.2349999999999993E-2"/>
  </r>
  <r>
    <s v="S26"/>
    <x v="31"/>
    <s v="AJ"/>
    <n v="10348117"/>
    <d v="2020-04-09T00:00:00"/>
    <n v="202101"/>
    <s v="1"/>
    <s v="INC"/>
    <s v="K9467"/>
    <s v="FC76"/>
    <s v="Car Park Income Allocation"/>
    <n v="1469.04"/>
    <n v="1.4690399999999999"/>
  </r>
  <r>
    <s v="S26"/>
    <x v="31"/>
    <s v="AJ"/>
    <n v="10348117"/>
    <d v="2020-04-09T00:00:00"/>
    <n v="202101"/>
    <s v="1"/>
    <s v="INC"/>
    <s v="K9467"/>
    <s v="FC08"/>
    <s v="Car Park Income Allocation"/>
    <n v="31.2"/>
    <n v="3.1199999999999999E-2"/>
  </r>
  <r>
    <s v="S26"/>
    <x v="31"/>
    <s v="AJ"/>
    <n v="10348117"/>
    <d v="2020-04-09T00:00:00"/>
    <n v="202101"/>
    <s v="1"/>
    <s v="INC"/>
    <s v="K9467"/>
    <s v="FC26"/>
    <s v="Car Park Income Allocation"/>
    <n v="17899.2"/>
    <n v="17.8992"/>
  </r>
  <r>
    <s v="S26"/>
    <x v="31"/>
    <s v="AJ"/>
    <n v="10348117"/>
    <d v="2020-04-09T00:00:00"/>
    <n v="202101"/>
    <s v="1"/>
    <s v="INC"/>
    <s v="K9467"/>
    <s v="FC23"/>
    <s v="Car Park Income Allocation"/>
    <n v="60360.72"/>
    <n v="60.360720000000001"/>
  </r>
  <r>
    <s v="S26"/>
    <x v="31"/>
    <s v="AJ"/>
    <n v="10348117"/>
    <d v="2020-04-09T00:00:00"/>
    <n v="202101"/>
    <s v="1"/>
    <s v="INC"/>
    <s v="K9467"/>
    <s v="FC24"/>
    <s v="Car Park Income Allocation"/>
    <n v="35634"/>
    <n v="35.634"/>
  </r>
  <r>
    <s v="S26"/>
    <x v="31"/>
    <s v="AJ"/>
    <n v="10348117"/>
    <d v="2020-04-09T00:00:00"/>
    <n v="202101"/>
    <s v="1"/>
    <s v="INC"/>
    <s v="K9467"/>
    <s v="FC05"/>
    <s v="Car Park Income Allocation"/>
    <n v="617.28"/>
    <n v="0.61727999999999994"/>
  </r>
  <r>
    <s v="S26"/>
    <x v="31"/>
    <s v="AJ"/>
    <n v="10348117"/>
    <d v="2020-04-09T00:00:00"/>
    <n v="202101"/>
    <s v="1"/>
    <s v="INC"/>
    <s v="K9467"/>
    <s v="FC21"/>
    <s v="Car Park Income Allocation"/>
    <n v="22321.919999999998"/>
    <n v="22.321919999999999"/>
  </r>
  <r>
    <s v="S26"/>
    <x v="31"/>
    <s v="AJ"/>
    <n v="10348117"/>
    <d v="2020-04-09T00:00:00"/>
    <n v="202101"/>
    <s v="1"/>
    <s v="INC"/>
    <s v="K9467"/>
    <s v="FC54"/>
    <s v="Car Park Income Allocation"/>
    <n v="4538.6400000000003"/>
    <n v="4.53864"/>
  </r>
  <r>
    <s v="S26"/>
    <x v="31"/>
    <s v="AJ"/>
    <n v="10348117"/>
    <d v="2020-04-09T00:00:00"/>
    <n v="202101"/>
    <s v="1"/>
    <s v="INC"/>
    <s v="K9467"/>
    <s v="FC53"/>
    <s v="Car Park Income Allocation"/>
    <n v="11185.2"/>
    <n v="11.1852"/>
  </r>
  <r>
    <s v="S26"/>
    <x v="31"/>
    <s v="AJ"/>
    <n v="10348117"/>
    <d v="2020-04-09T00:00:00"/>
    <n v="202101"/>
    <s v="1"/>
    <s v="INC"/>
    <s v="K9467"/>
    <s v="FC52"/>
    <s v="Car Park Income Allocation"/>
    <n v="20773.439999999999"/>
    <n v="20.773439999999997"/>
  </r>
  <r>
    <s v="S26"/>
    <x v="31"/>
    <s v="AJ"/>
    <n v="10348117"/>
    <d v="2020-04-09T00:00:00"/>
    <n v="202101"/>
    <s v="1"/>
    <s v="INC"/>
    <s v="K9467"/>
    <s v="FC75"/>
    <s v="Car Park Income Allocation"/>
    <n v="24395.040000000001"/>
    <n v="24.395040000000002"/>
  </r>
  <r>
    <s v="S26"/>
    <x v="31"/>
    <s v="AJ"/>
    <n v="10348117"/>
    <d v="2020-04-09T00:00:00"/>
    <n v="202101"/>
    <s v="1"/>
    <s v="INC"/>
    <s v="K9467"/>
    <s v="FC73"/>
    <s v="Car Park Income Allocation"/>
    <n v="17650.080000000002"/>
    <n v="17.650080000000003"/>
  </r>
  <r>
    <s v="S26"/>
    <x v="31"/>
    <s v="AJ"/>
    <n v="10348117"/>
    <d v="2020-04-09T00:00:00"/>
    <n v="202101"/>
    <s v="1"/>
    <s v="INC"/>
    <s v="K9467"/>
    <s v="FC03"/>
    <s v="Car Park Income Allocation"/>
    <n v="1869.6"/>
    <n v="1.8695999999999999"/>
  </r>
  <r>
    <s v="S26"/>
    <x v="31"/>
    <s v="AJ"/>
    <n v="10348085"/>
    <d v="2020-04-02T00:00:00"/>
    <n v="202101"/>
    <s v="1"/>
    <s v="EXP"/>
    <s v="B1501"/>
    <s v="FC02"/>
    <s v="Reverse transaction 10347949"/>
    <n v="-360.95"/>
    <n v="-0.36094999999999999"/>
  </r>
  <r>
    <s v="S26"/>
    <x v="32"/>
    <s v="AJ"/>
    <n v="10348085"/>
    <d v="2020-04-02T00:00:00"/>
    <n v="202101"/>
    <s v="1"/>
    <s v="EXP"/>
    <s v="B1501"/>
    <s v="DS33"/>
    <s v="Reverse transaction 10347949"/>
    <n v="85.45"/>
    <n v="8.5449999999999998E-2"/>
  </r>
  <r>
    <s v="S26"/>
    <x v="32"/>
    <s v="AJ"/>
    <n v="10348085"/>
    <d v="2020-04-02T00:00:00"/>
    <n v="202101"/>
    <s v="1"/>
    <s v="EXP"/>
    <s v="B1501"/>
    <s v="DS33"/>
    <s v="Reverse transaction 10347949"/>
    <n v="-53.2"/>
    <n v="-5.3200000000000004E-2"/>
  </r>
  <r>
    <s v="S26"/>
    <x v="31"/>
    <s v="AJ"/>
    <n v="10348117"/>
    <d v="2020-04-09T00:00:00"/>
    <n v="202101"/>
    <s v="1"/>
    <s v="INC"/>
    <s v="K9467"/>
    <s v="FC04"/>
    <s v="Car Park Income Allocation"/>
    <n v="4242.24"/>
    <n v="4.2422399999999998"/>
  </r>
  <r>
    <s v="S26"/>
    <x v="31"/>
    <s v="AJ"/>
    <n v="10348117"/>
    <d v="2020-04-09T00:00:00"/>
    <n v="202101"/>
    <s v="1"/>
    <s v="INC"/>
    <s v="K9467"/>
    <s v="FC09"/>
    <s v="Car Park Income Allocation"/>
    <n v="853.92"/>
    <n v="0.85392000000000001"/>
  </r>
  <r>
    <s v="S26"/>
    <x v="31"/>
    <s v="AJ"/>
    <n v="10348117"/>
    <d v="2020-04-09T00:00:00"/>
    <n v="202101"/>
    <s v="1"/>
    <s v="INC"/>
    <s v="K9467"/>
    <s v="FC51"/>
    <s v="Car Park Income Allocation"/>
    <n v="21919.919999999998"/>
    <n v="21.919919999999998"/>
  </r>
  <r>
    <s v="S26"/>
    <x v="31"/>
    <s v="AJ"/>
    <n v="10348117"/>
    <d v="2020-04-09T00:00:00"/>
    <n v="202101"/>
    <s v="1"/>
    <s v="INC"/>
    <s v="K9467"/>
    <s v="FC58"/>
    <s v="Car Park Income Allocation"/>
    <n v="1671.36"/>
    <n v="1.67136"/>
  </r>
  <r>
    <s v="S26"/>
    <x v="31"/>
    <s v="AJ"/>
    <n v="10348117"/>
    <d v="2020-04-09T00:00:00"/>
    <n v="202101"/>
    <s v="1"/>
    <s v="INC"/>
    <s v="K9467"/>
    <s v="FC57"/>
    <s v="Car Park Income Allocation"/>
    <n v="6036.48"/>
    <n v="6.0364799999999992"/>
  </r>
  <r>
    <s v="S26"/>
    <x v="31"/>
    <s v="AJ"/>
    <n v="10348117"/>
    <d v="2020-04-09T00:00:00"/>
    <n v="202101"/>
    <s v="1"/>
    <s v="INC"/>
    <s v="K9467"/>
    <s v="FC55"/>
    <s v="Car Park Income Allocation"/>
    <n v="6907.92"/>
    <n v="6.9079199999999998"/>
  </r>
  <r>
    <s v="S26"/>
    <x v="32"/>
    <s v="AJ"/>
    <n v="10348085"/>
    <d v="2020-04-02T00:00:00"/>
    <n v="202101"/>
    <s v="1"/>
    <s v="EXP"/>
    <s v="B1501"/>
    <s v="DS33"/>
    <s v="Reverse transaction 10347949"/>
    <n v="-41.22"/>
    <n v="-4.122E-2"/>
  </r>
  <r>
    <s v="S26"/>
    <x v="34"/>
    <s v="AJ"/>
    <n v="10348085"/>
    <d v="2020-04-02T00:00:00"/>
    <n v="202101"/>
    <s v="1"/>
    <s v="EXP"/>
    <s v="B1830"/>
    <s v="DS32"/>
    <s v="Reverse transaction 10347949"/>
    <n v="-100.58"/>
    <n v="-0.10058"/>
  </r>
  <r>
    <s v="S26"/>
    <x v="31"/>
    <s v="AJ"/>
    <n v="10348117"/>
    <d v="2020-04-09T00:00:00"/>
    <n v="202101"/>
    <s v="1"/>
    <s v="INC"/>
    <s v="K9467"/>
    <s v="FC74"/>
    <s v="Car Park Income Allocation"/>
    <n v="28409.759999999998"/>
    <n v="28.409759999999999"/>
  </r>
  <r>
    <s v="S26"/>
    <x v="31"/>
    <s v="AJ"/>
    <n v="10348069"/>
    <d v="2020-04-08T00:00:00"/>
    <n v="202101"/>
    <s v="1"/>
    <s v="EXP"/>
    <s v="B1701"/>
    <s v="FC23"/>
    <s v="Prepay March 20 - Worcester Street"/>
    <n v="276983.90000000002"/>
    <n v="276.98390000000001"/>
  </r>
  <r>
    <s v="S26"/>
    <x v="31"/>
    <s v="AJ"/>
    <n v="10348069"/>
    <d v="2020-04-08T00:00:00"/>
    <n v="202101"/>
    <s v="1"/>
    <s v="EXP"/>
    <s v="B1701"/>
    <s v="FC73"/>
    <s v="Prepay March 20 - Peartree Rent"/>
    <n v="22179.599999999999"/>
    <n v="22.179599999999997"/>
  </r>
  <r>
    <s v="S26"/>
    <x v="31"/>
    <s v="AJ"/>
    <n v="10348085"/>
    <d v="2020-04-02T00:00:00"/>
    <n v="202101"/>
    <s v="1"/>
    <s v="EXP"/>
    <s v="B1501"/>
    <s v="FC54"/>
    <s v="Reverse transaction 10347949"/>
    <n v="-423.45"/>
    <n v="-0.42344999999999999"/>
  </r>
  <r>
    <s v="S26"/>
    <x v="31"/>
    <s v="AJ"/>
    <n v="10348085"/>
    <d v="2020-04-02T00:00:00"/>
    <n v="202101"/>
    <s v="1"/>
    <s v="EXP"/>
    <s v="B1501"/>
    <s v="FC23"/>
    <s v="Reverse transaction 10347949"/>
    <n v="-113.13"/>
    <n v="-0.11312999999999999"/>
  </r>
  <r>
    <s v="S26"/>
    <x v="32"/>
    <s v="AJ"/>
    <n v="10348085"/>
    <d v="2020-04-02T00:00:00"/>
    <n v="202101"/>
    <s v="1"/>
    <s v="EXP"/>
    <s v="B1501"/>
    <s v="DS33"/>
    <s v="Reverse transaction 10347949"/>
    <n v="-82.17"/>
    <n v="-8.2170000000000007E-2"/>
  </r>
  <r>
    <s v="S26"/>
    <x v="34"/>
    <s v="AJ"/>
    <n v="10348085"/>
    <d v="2020-04-02T00:00:00"/>
    <n v="202101"/>
    <s v="1"/>
    <s v="EXP"/>
    <s v="B1501"/>
    <s v="DS32"/>
    <s v="Reverse transaction 10347949"/>
    <n v="-67.209999999999994"/>
    <n v="-6.7209999999999992E-2"/>
  </r>
  <r>
    <s v="S26"/>
    <x v="34"/>
    <s v="AJ"/>
    <n v="10348085"/>
    <d v="2020-04-02T00:00:00"/>
    <n v="202101"/>
    <s v="1"/>
    <s v="EXP"/>
    <s v="B1501"/>
    <s v="DS32"/>
    <s v="Reverse transaction 10347949"/>
    <n v="-78.83"/>
    <n v="-7.8829999999999997E-2"/>
  </r>
  <r>
    <s v="S26"/>
    <x v="34"/>
    <s v="AJ"/>
    <n v="10348085"/>
    <d v="2020-04-02T00:00:00"/>
    <n v="202101"/>
    <s v="1"/>
    <s v="EXP"/>
    <s v="B1501"/>
    <s v="DS32"/>
    <s v="Reverse transaction 10347949"/>
    <n v="-173.81"/>
    <n v="-0.17380999999999999"/>
  </r>
  <r>
    <s v="S26"/>
    <x v="34"/>
    <s v="AJ"/>
    <n v="10348085"/>
    <d v="2020-04-02T00:00:00"/>
    <n v="202101"/>
    <s v="1"/>
    <s v="EXP"/>
    <s v="B1501"/>
    <s v="DS32"/>
    <s v="Reverse transaction 10347949"/>
    <n v="-39.409999999999997"/>
    <n v="-3.9409999999999994E-2"/>
  </r>
  <r>
    <s v="S26"/>
    <x v="34"/>
    <s v="AJ"/>
    <n v="10348085"/>
    <d v="2020-04-02T00:00:00"/>
    <n v="202101"/>
    <s v="1"/>
    <s v="EXP"/>
    <s v="B1830"/>
    <s v="DS32"/>
    <s v="Reverse transaction 10347949"/>
    <n v="-731.7"/>
    <n v="-0.73170000000000002"/>
  </r>
  <r>
    <s v="S26"/>
    <x v="34"/>
    <s v="AJ"/>
    <n v="10348085"/>
    <d v="2020-04-02T00:00:00"/>
    <n v="202101"/>
    <s v="1"/>
    <s v="EXP"/>
    <s v="B1830"/>
    <s v="DS32"/>
    <s v="Reverse transaction 10347949"/>
    <n v="-194.32"/>
    <n v="-0.19431999999999999"/>
  </r>
  <r>
    <s v="S26"/>
    <x v="32"/>
    <s v="AJ"/>
    <n v="10348085"/>
    <d v="2020-04-02T00:00:00"/>
    <n v="202101"/>
    <s v="1"/>
    <s v="EXP"/>
    <s v="B1502"/>
    <s v="DS33"/>
    <s v="Reverse transaction 10347949"/>
    <n v="-1848.27"/>
    <n v="-1.8482700000000001"/>
  </r>
  <r>
    <s v="S26"/>
    <x v="34"/>
    <s v="AJ"/>
    <n v="10348085"/>
    <d v="2020-04-02T00:00:00"/>
    <n v="202101"/>
    <s v="1"/>
    <s v="EXP"/>
    <s v="B1501"/>
    <s v="DS32"/>
    <s v="Reverse transaction 10347949"/>
    <n v="-84.72"/>
    <n v="-8.4720000000000004E-2"/>
  </r>
  <r>
    <s v="S26"/>
    <x v="34"/>
    <s v="AJ"/>
    <n v="10348085"/>
    <d v="2020-04-02T00:00:00"/>
    <n v="202101"/>
    <s v="1"/>
    <s v="EXP"/>
    <s v="B1501"/>
    <s v="DS32"/>
    <s v="Reverse transaction 10347949"/>
    <n v="-4066.18"/>
    <n v="-4.0661800000000001"/>
  </r>
  <r>
    <s v="S26"/>
    <x v="34"/>
    <s v="AJ"/>
    <n v="10348085"/>
    <d v="2020-04-02T00:00:00"/>
    <n v="202101"/>
    <s v="1"/>
    <s v="EXP"/>
    <s v="B1501"/>
    <s v="DS32"/>
    <s v="Reverse transaction 10347949"/>
    <n v="-1259.52"/>
    <n v="-1.25952"/>
  </r>
  <r>
    <s v="S26"/>
    <x v="34"/>
    <s v="AJ"/>
    <n v="10348085"/>
    <d v="2020-04-02T00:00:00"/>
    <n v="202101"/>
    <s v="1"/>
    <s v="EXP"/>
    <s v="B1501"/>
    <s v="DS32"/>
    <s v="Reverse transaction 10347949"/>
    <n v="-809.43"/>
    <n v="-0.80942999999999998"/>
  </r>
  <r>
    <s v="S26"/>
    <x v="32"/>
    <s v="AJ"/>
    <n v="10348085"/>
    <d v="2020-04-02T00:00:00"/>
    <n v="202101"/>
    <s v="1"/>
    <s v="EXP"/>
    <s v="B1501"/>
    <s v="DS33"/>
    <s v="Reverse transaction 10347949"/>
    <n v="-29.76"/>
    <n v="-2.9760000000000002E-2"/>
  </r>
  <r>
    <s v="S26"/>
    <x v="32"/>
    <s v="AJ"/>
    <n v="10348085"/>
    <d v="2020-04-02T00:00:00"/>
    <n v="202101"/>
    <s v="1"/>
    <s v="EXP"/>
    <s v="B1501"/>
    <s v="DS33"/>
    <s v="Reverse transaction 10347949"/>
    <n v="18.61"/>
    <n v="1.8609999999999998E-2"/>
  </r>
  <r>
    <s v="S26"/>
    <x v="32"/>
    <s v="AJ"/>
    <n v="10348085"/>
    <d v="2020-04-02T00:00:00"/>
    <n v="202101"/>
    <s v="1"/>
    <s v="EXP"/>
    <s v="B1501"/>
    <s v="DS33"/>
    <s v="Reverse transaction 10347949"/>
    <n v="-578.07000000000005"/>
    <n v="-0.57807000000000008"/>
  </r>
  <r>
    <s v="S26"/>
    <x v="31"/>
    <s v="AJ"/>
    <n v="10348117"/>
    <d v="2020-04-09T00:00:00"/>
    <n v="202101"/>
    <s v="1"/>
    <s v="INC"/>
    <s v="K9467"/>
    <s v="FC02"/>
    <s v="Car Park Income Allocation"/>
    <n v="1536.24"/>
    <n v="1.53624"/>
  </r>
  <r>
    <s v="S26"/>
    <x v="34"/>
    <s v="AJ"/>
    <n v="10348085"/>
    <d v="2020-04-02T00:00:00"/>
    <n v="202101"/>
    <s v="1"/>
    <s v="EXP"/>
    <s v="B1830"/>
    <s v="DS32"/>
    <s v="Reverse transaction 10347949"/>
    <n v="-612.91"/>
    <n v="-0.61290999999999995"/>
  </r>
  <r>
    <s v="S26"/>
    <x v="32"/>
    <s v="AJ"/>
    <n v="10348085"/>
    <d v="2020-04-02T00:00:00"/>
    <n v="202101"/>
    <s v="1"/>
    <s v="EXP"/>
    <s v="B1501"/>
    <s v="DS33"/>
    <s v="Reverse transaction 10347949"/>
    <n v="-518.30999999999995"/>
    <n v="-0.51830999999999994"/>
  </r>
  <r>
    <s v="S26"/>
    <x v="32"/>
    <s v="AJ"/>
    <n v="10348085"/>
    <d v="2020-04-02T00:00:00"/>
    <n v="202101"/>
    <s v="1"/>
    <s v="EXP"/>
    <s v="B1501"/>
    <s v="DS33"/>
    <s v="Reverse transaction 10347949"/>
    <n v="-929.2"/>
    <n v="-0.92920000000000003"/>
  </r>
  <r>
    <s v="S26"/>
    <x v="36"/>
    <s v="AJ"/>
    <n v="10348034"/>
    <d v="2020-04-07T00:00:00"/>
    <n v="202101"/>
    <s v="1"/>
    <s v="EXP"/>
    <s v="A0108"/>
    <s v="MD25"/>
    <s v="P12 Rabson D (Reed)"/>
    <n v="-3028.5"/>
    <n v="-3.0285000000000002"/>
  </r>
  <r>
    <s v="S26"/>
    <x v="34"/>
    <s v="AJ"/>
    <n v="10348085"/>
    <d v="2020-04-02T00:00:00"/>
    <n v="202101"/>
    <s v="1"/>
    <s v="EXP"/>
    <s v="B1501"/>
    <s v="DS32"/>
    <s v="Reverse transaction 10347949"/>
    <n v="-738.09"/>
    <n v="-0.73809000000000002"/>
  </r>
  <r>
    <s v="S26"/>
    <x v="32"/>
    <s v="AJ"/>
    <n v="10348085"/>
    <d v="2020-04-02T00:00:00"/>
    <n v="202101"/>
    <s v="1"/>
    <s v="EXP"/>
    <s v="B1830"/>
    <s v="DS33"/>
    <s v="Reverse transaction 10347949"/>
    <n v="-73.8"/>
    <n v="-7.3799999999999991E-2"/>
  </r>
  <r>
    <s v="S26"/>
    <x v="34"/>
    <s v="AJ"/>
    <n v="10348085"/>
    <d v="2020-04-02T00:00:00"/>
    <n v="202101"/>
    <s v="1"/>
    <s v="EXP"/>
    <s v="B1830"/>
    <s v="DS32"/>
    <s v="Reverse transaction 10347949"/>
    <n v="-70.34"/>
    <n v="-7.034E-2"/>
  </r>
  <r>
    <s v="S26"/>
    <x v="32"/>
    <s v="AJ"/>
    <n v="10348085"/>
    <d v="2020-04-02T00:00:00"/>
    <n v="202101"/>
    <s v="1"/>
    <s v="EXP"/>
    <s v="B1502"/>
    <s v="DS33"/>
    <s v="Reverse transaction 10347949"/>
    <n v="-370.13"/>
    <n v="-0.37013000000000001"/>
  </r>
  <r>
    <s v="S26"/>
    <x v="32"/>
    <s v="AJ"/>
    <n v="10348085"/>
    <d v="2020-04-02T00:00:00"/>
    <n v="202101"/>
    <s v="1"/>
    <s v="EXP"/>
    <s v="B1502"/>
    <s v="DS33"/>
    <s v="Reverse transaction 10347949"/>
    <n v="-331.38"/>
    <n v="-0.33138000000000001"/>
  </r>
  <r>
    <s v="S26"/>
    <x v="33"/>
    <s v="AJ"/>
    <n v="10348085"/>
    <d v="2020-04-02T00:00:00"/>
    <n v="202101"/>
    <s v="1"/>
    <s v="EXP"/>
    <s v="B1502"/>
    <s v="DS40"/>
    <s v="Reverse transaction 10347949"/>
    <n v="692.25"/>
    <n v="0.69225000000000003"/>
  </r>
  <r>
    <s v="S26"/>
    <x v="33"/>
    <s v="AJ"/>
    <n v="10348085"/>
    <d v="2020-04-02T00:00:00"/>
    <n v="202101"/>
    <s v="1"/>
    <s v="EXP"/>
    <s v="B1830"/>
    <s v="DS40"/>
    <s v="Reverse transaction 10347949"/>
    <n v="-82.28"/>
    <n v="-8.2280000000000006E-2"/>
  </r>
  <r>
    <s v="S26"/>
    <x v="32"/>
    <s v="AJ"/>
    <n v="10348085"/>
    <d v="2020-04-02T00:00:00"/>
    <n v="202101"/>
    <s v="1"/>
    <s v="EXP"/>
    <s v="B1830"/>
    <s v="DS33"/>
    <s v="Reverse transaction 10347949"/>
    <n v="-18.13"/>
    <n v="-1.813E-2"/>
  </r>
  <r>
    <s v="S26"/>
    <x v="32"/>
    <s v="AJ"/>
    <n v="10348085"/>
    <d v="2020-04-02T00:00:00"/>
    <n v="202101"/>
    <s v="1"/>
    <s v="EXP"/>
    <s v="B1830"/>
    <s v="DS33"/>
    <s v="Reverse transaction 10347949"/>
    <n v="-522.59"/>
    <n v="-0.52259"/>
  </r>
  <r>
    <s v="S26"/>
    <x v="31"/>
    <s v="AJ"/>
    <n v="10348085"/>
    <d v="2020-04-02T00:00:00"/>
    <n v="202101"/>
    <s v="1"/>
    <s v="EXP"/>
    <s v="B1501"/>
    <s v="FC74"/>
    <s v="Reverse transaction 10347949"/>
    <n v="-1640.43"/>
    <n v="-1.6404300000000001"/>
  </r>
  <r>
    <s v="S26"/>
    <x v="33"/>
    <s v="AJ"/>
    <n v="10348085"/>
    <d v="2020-04-02T00:00:00"/>
    <n v="202101"/>
    <s v="1"/>
    <s v="EXP"/>
    <s v="B1501"/>
    <s v="DS40"/>
    <s v="Reverse transaction 10347949"/>
    <n v="-1049.0999999999999"/>
    <n v="-1.0490999999999999"/>
  </r>
  <r>
    <s v="S26"/>
    <x v="33"/>
    <s v="AJ"/>
    <n v="10348085"/>
    <d v="2020-04-02T00:00:00"/>
    <n v="202101"/>
    <s v="1"/>
    <s v="EXP"/>
    <s v="B1501"/>
    <s v="DS40"/>
    <s v="Reverse transaction 10347949"/>
    <n v="-29.24"/>
    <n v="-2.9239999999999999E-2"/>
  </r>
  <r>
    <s v="S26"/>
    <x v="33"/>
    <s v="AJ"/>
    <n v="10348085"/>
    <d v="2020-04-02T00:00:00"/>
    <n v="202101"/>
    <s v="1"/>
    <s v="EXP"/>
    <s v="B1501"/>
    <s v="DS40"/>
    <s v="Reverse transaction 10347949"/>
    <n v="-35.380000000000003"/>
    <n v="-3.5380000000000002E-2"/>
  </r>
  <r>
    <s v="S26"/>
    <x v="33"/>
    <s v="AJ"/>
    <n v="10348085"/>
    <d v="2020-04-02T00:00:00"/>
    <n v="202101"/>
    <s v="1"/>
    <s v="EXP"/>
    <s v="B1501"/>
    <s v="DS40"/>
    <s v="Reverse transaction 10347949"/>
    <n v="-38.56"/>
    <n v="-3.8560000000000004E-2"/>
  </r>
  <r>
    <s v="S26"/>
    <x v="32"/>
    <s v="AJ"/>
    <n v="10348085"/>
    <d v="2020-04-02T00:00:00"/>
    <n v="202101"/>
    <s v="1"/>
    <s v="EXP"/>
    <s v="B1501"/>
    <s v="DS33"/>
    <s v="Reverse transaction 10347949"/>
    <n v="-1499.15"/>
    <n v="-1.49915"/>
  </r>
  <r>
    <s v="S26"/>
    <x v="32"/>
    <s v="AJ"/>
    <n v="10348085"/>
    <d v="2020-04-02T00:00:00"/>
    <n v="202101"/>
    <s v="1"/>
    <s v="EXP"/>
    <s v="B1501"/>
    <s v="DS33"/>
    <s v="Reverse transaction 10347949"/>
    <n v="-735.18"/>
    <n v="-0.73517999999999994"/>
  </r>
  <r>
    <s v="S26"/>
    <x v="32"/>
    <s v="AJ"/>
    <n v="10348085"/>
    <d v="2020-04-02T00:00:00"/>
    <n v="202101"/>
    <s v="1"/>
    <s v="EXP"/>
    <s v="B1501"/>
    <s v="DS33"/>
    <s v="Reverse transaction 10347949"/>
    <n v="-473.92"/>
    <n v="-0.47392000000000001"/>
  </r>
  <r>
    <s v="S26"/>
    <x v="33"/>
    <s v="AJ"/>
    <n v="10348085"/>
    <d v="2020-04-02T00:00:00"/>
    <n v="202101"/>
    <s v="1"/>
    <s v="EXP"/>
    <s v="B1502"/>
    <s v="DS40"/>
    <s v="Reverse transaction 10347949"/>
    <n v="-145.91"/>
    <n v="-0.14590999999999998"/>
  </r>
  <r>
    <s v="S26"/>
    <x v="33"/>
    <s v="AJ"/>
    <n v="10348085"/>
    <d v="2020-04-02T00:00:00"/>
    <n v="202101"/>
    <s v="1"/>
    <s v="EXP"/>
    <s v="B1502"/>
    <s v="DS40"/>
    <s v="Reverse transaction 10347949"/>
    <n v="-354.71"/>
    <n v="-0.35470999999999997"/>
  </r>
  <r>
    <s v="S26"/>
    <x v="33"/>
    <s v="AJ"/>
    <n v="10348085"/>
    <d v="2020-04-02T00:00:00"/>
    <n v="202101"/>
    <s v="1"/>
    <s v="EXP"/>
    <s v="B1502"/>
    <s v="DS40"/>
    <s v="Reverse transaction 10347949"/>
    <n v="-2492.31"/>
    <n v="-2.4923099999999998"/>
  </r>
  <r>
    <s v="S26"/>
    <x v="32"/>
    <s v="AJ"/>
    <n v="10348085"/>
    <d v="2020-04-02T00:00:00"/>
    <n v="202101"/>
    <s v="1"/>
    <s v="EXP"/>
    <s v="B1502"/>
    <s v="DS33"/>
    <s v="Reverse transaction 10347949"/>
    <n v="-1083.1500000000001"/>
    <n v="-1.0831500000000001"/>
  </r>
  <r>
    <s v="S26"/>
    <x v="33"/>
    <s v="AJ"/>
    <n v="10348085"/>
    <d v="2020-04-02T00:00:00"/>
    <n v="202101"/>
    <s v="1"/>
    <s v="EXP"/>
    <s v="B1830"/>
    <s v="DS40"/>
    <s v="Reverse transaction 10347949"/>
    <n v="-38.32"/>
    <n v="-3.832E-2"/>
  </r>
  <r>
    <s v="S26"/>
    <x v="32"/>
    <s v="AJ"/>
    <n v="10348085"/>
    <d v="2020-04-02T00:00:00"/>
    <n v="202101"/>
    <s v="1"/>
    <s v="EXP"/>
    <s v="B1830"/>
    <s v="DS33"/>
    <s v="Reverse transaction 10347949"/>
    <n v="-374.62"/>
    <n v="-0.37462000000000001"/>
  </r>
  <r>
    <s v="S26"/>
    <x v="33"/>
    <s v="AJ"/>
    <n v="10348085"/>
    <d v="2020-04-02T00:00:00"/>
    <n v="202101"/>
    <s v="1"/>
    <s v="EXP"/>
    <s v="B1501"/>
    <s v="DS40"/>
    <s v="Reverse transaction 10347949"/>
    <n v="31.35"/>
    <n v="3.1350000000000003E-2"/>
  </r>
  <r>
    <s v="S26"/>
    <x v="33"/>
    <s v="AJ"/>
    <n v="10348085"/>
    <d v="2020-04-02T00:00:00"/>
    <n v="202101"/>
    <s v="1"/>
    <s v="EXP"/>
    <s v="B1501"/>
    <s v="DS40"/>
    <s v="Reverse transaction 10347949"/>
    <n v="-115.22"/>
    <n v="-0.11522"/>
  </r>
  <r>
    <s v="S26"/>
    <x v="32"/>
    <s v="AJ"/>
    <n v="10348085"/>
    <d v="2020-04-02T00:00:00"/>
    <n v="202101"/>
    <s v="1"/>
    <s v="EXP"/>
    <s v="B1501"/>
    <s v="DS33"/>
    <s v="Reverse transaction 10347949"/>
    <n v="487.66"/>
    <n v="0.48766000000000004"/>
  </r>
  <r>
    <s v="S26"/>
    <x v="32"/>
    <s v="AJ"/>
    <n v="10348085"/>
    <d v="2020-04-02T00:00:00"/>
    <n v="202101"/>
    <s v="1"/>
    <s v="EXP"/>
    <s v="B1501"/>
    <s v="DS33"/>
    <s v="Reverse transaction 10347949"/>
    <n v="-504.53"/>
    <n v="-0.50452999999999992"/>
  </r>
  <r>
    <s v="S26"/>
    <x v="32"/>
    <s v="AJ"/>
    <n v="10348085"/>
    <d v="2020-04-02T00:00:00"/>
    <n v="202101"/>
    <s v="1"/>
    <s v="EXP"/>
    <s v="B1501"/>
    <s v="DS33"/>
    <s v="Reverse transaction 10347949"/>
    <n v="57.14"/>
    <n v="5.7140000000000003E-2"/>
  </r>
  <r>
    <s v="S26"/>
    <x v="33"/>
    <s v="AJ"/>
    <n v="10348063"/>
    <d v="2020-04-08T00:00:00"/>
    <n v="202101"/>
    <s v="1"/>
    <s v="INC"/>
    <s v="K6664"/>
    <s v="DS40"/>
    <s v="Job 10679481 included fuel tank invoiced separately"/>
    <n v="22370"/>
    <n v="22.37"/>
  </r>
  <r>
    <s v="S26"/>
    <x v="35"/>
    <s v="AJ"/>
    <n v="10348063"/>
    <d v="2020-04-08T00:00:00"/>
    <n v="202101"/>
    <s v="1"/>
    <s v="INC"/>
    <s v="K6664"/>
    <s v="DS36"/>
    <s v="PO 8034463 to be invoiced to ODS"/>
    <n v="960.43"/>
    <n v="0.96042999999999989"/>
  </r>
  <r>
    <s v="S26"/>
    <x v="35"/>
    <s v="AJ"/>
    <n v="10348063"/>
    <d v="2020-04-08T00:00:00"/>
    <n v="202101"/>
    <s v="1"/>
    <s v="INC"/>
    <s v="K6664"/>
    <s v="DS36"/>
    <s v="PO 8031691 to be invoiced to ODS"/>
    <n v="1710.49"/>
    <n v="1.7104900000000001"/>
  </r>
  <r>
    <s v="S26"/>
    <x v="35"/>
    <s v="AJ"/>
    <n v="10348063"/>
    <d v="2020-04-08T00:00:00"/>
    <n v="202101"/>
    <s v="1"/>
    <s v="INC"/>
    <s v="K6664"/>
    <s v="DS36"/>
    <s v="PO 8031691 to be invoiced to ODS"/>
    <n v="1616.24"/>
    <n v="1.6162399999999999"/>
  </r>
  <r>
    <s v="S26"/>
    <x v="36"/>
    <s v="AJ"/>
    <n v="10348130"/>
    <d v="2020-04-09T00:00:00"/>
    <n v="202101"/>
    <s v="1"/>
    <s v="INC"/>
    <s v="K6665"/>
    <s v="AG19"/>
    <s v="GIS training course"/>
    <n v="943.71"/>
    <n v="0.94371000000000005"/>
  </r>
  <r>
    <s v="S26"/>
    <x v="34"/>
    <s v="AJ"/>
    <n v="10348085"/>
    <d v="2020-04-02T00:00:00"/>
    <n v="202101"/>
    <s v="1"/>
    <s v="EXP"/>
    <s v="B1501"/>
    <s v="DS32"/>
    <s v="Reverse transaction 10347949"/>
    <n v="-292.85000000000002"/>
    <n v="-0.29285"/>
  </r>
  <r>
    <s v="S26"/>
    <x v="32"/>
    <s v="AJ"/>
    <n v="10348085"/>
    <d v="2020-04-02T00:00:00"/>
    <n v="202101"/>
    <s v="1"/>
    <s v="EXP"/>
    <s v="B1501"/>
    <s v="DS33"/>
    <s v="Reverse transaction 10347949"/>
    <n v="-109.92"/>
    <n v="-0.10992"/>
  </r>
  <r>
    <s v="S26"/>
    <x v="32"/>
    <s v="AJ"/>
    <n v="10348085"/>
    <d v="2020-04-02T00:00:00"/>
    <n v="202101"/>
    <s v="1"/>
    <s v="EXP"/>
    <s v="B1501"/>
    <s v="DS33"/>
    <s v="Reverse transaction 10347949"/>
    <n v="-444.33"/>
    <n v="-0.44433"/>
  </r>
  <r>
    <s v="S26"/>
    <x v="32"/>
    <s v="AJ"/>
    <n v="10348085"/>
    <d v="2020-04-02T00:00:00"/>
    <n v="202101"/>
    <s v="1"/>
    <s v="EXP"/>
    <s v="B1501"/>
    <s v="DS33"/>
    <s v="Reverse transaction 10347949"/>
    <n v="-2175.81"/>
    <n v="-2.1758099999999998"/>
  </r>
  <r>
    <s v="S26"/>
    <x v="32"/>
    <s v="AJ"/>
    <n v="10348085"/>
    <d v="2020-04-02T00:00:00"/>
    <n v="202101"/>
    <s v="1"/>
    <s v="EXP"/>
    <s v="B1501"/>
    <s v="DS33"/>
    <s v="Reverse transaction 10347949"/>
    <n v="-133.04"/>
    <n v="-0.13303999999999999"/>
  </r>
  <r>
    <s v="S26"/>
    <x v="32"/>
    <s v="AJ"/>
    <n v="10348085"/>
    <d v="2020-04-02T00:00:00"/>
    <n v="202101"/>
    <s v="1"/>
    <s v="EXP"/>
    <s v="B1501"/>
    <s v="DS33"/>
    <s v="Reverse transaction 10347949"/>
    <n v="-333.41"/>
    <n v="-0.33341000000000004"/>
  </r>
  <r>
    <s v="S26"/>
    <x v="34"/>
    <s v="AJ"/>
    <n v="10348085"/>
    <d v="2020-04-02T00:00:00"/>
    <n v="202101"/>
    <s v="1"/>
    <s v="EXP"/>
    <s v="B1830"/>
    <s v="DS32"/>
    <s v="Reverse transaction 10347949"/>
    <n v="-1083.52"/>
    <n v="-1.08352"/>
  </r>
  <r>
    <s v="S26"/>
    <x v="32"/>
    <s v="AJ"/>
    <n v="10348085"/>
    <d v="2020-04-02T00:00:00"/>
    <n v="202101"/>
    <s v="1"/>
    <s v="EXP"/>
    <s v="B1830"/>
    <s v="DS33"/>
    <s v="Reverse transaction 10347949"/>
    <n v="-62.03"/>
    <n v="-6.2030000000000002E-2"/>
  </r>
  <r>
    <s v="S26"/>
    <x v="31"/>
    <s v="AJ"/>
    <n v="10348085"/>
    <d v="2020-04-02T00:00:00"/>
    <n v="202101"/>
    <s v="1"/>
    <s v="EXP"/>
    <s v="B1830"/>
    <s v="FC75"/>
    <s v="Reverse transaction 10347949"/>
    <n v="-161.77000000000001"/>
    <n v="-0.16177"/>
  </r>
  <r>
    <s v="S26"/>
    <x v="31"/>
    <s v="AJ"/>
    <n v="10348085"/>
    <d v="2020-04-02T00:00:00"/>
    <n v="202101"/>
    <s v="1"/>
    <s v="EXP"/>
    <s v="B1830"/>
    <s v="FC01"/>
    <s v="Reverse transaction 10347949"/>
    <n v="-1488.76"/>
    <n v="-1.4887600000000001"/>
  </r>
  <r>
    <s v="S26"/>
    <x v="32"/>
    <s v="AJ"/>
    <n v="10348085"/>
    <d v="2020-04-02T00:00:00"/>
    <n v="202101"/>
    <s v="1"/>
    <s v="EXP"/>
    <s v="B1830"/>
    <s v="DS33"/>
    <s v="Reverse transaction 10347949"/>
    <n v="-73.930000000000007"/>
    <n v="-7.393000000000001E-2"/>
  </r>
  <r>
    <s v="S26"/>
    <x v="36"/>
    <s v="AJ"/>
    <n v="10348130"/>
    <d v="2020-04-09T00:00:00"/>
    <n v="202101"/>
    <s v="1"/>
    <s v="INC"/>
    <s v="K6665"/>
    <s v="AG01"/>
    <s v="cost incurred in Council"/>
    <n v="41.66"/>
    <n v="4.1659999999999996E-2"/>
  </r>
  <r>
    <s v="S26"/>
    <x v="36"/>
    <s v="AJ"/>
    <n v="10348130"/>
    <d v="2020-04-09T00:00:00"/>
    <n v="202101"/>
    <s v="1"/>
    <s v="INC"/>
    <s v="K6665"/>
    <s v="AG01"/>
    <s v="St Barnabas grounds maintenance"/>
    <n v="500"/>
    <n v="0.5"/>
  </r>
  <r>
    <s v="S26"/>
    <x v="33"/>
    <s v="AJ"/>
    <n v="10348130"/>
    <d v="2020-04-09T00:00:00"/>
    <n v="202101"/>
    <s v="1"/>
    <s v="INC"/>
    <s v="K6665"/>
    <s v="DS40"/>
    <s v="Water bills not previously recharged"/>
    <n v="8416.75"/>
    <n v="8.4167500000000004"/>
  </r>
  <r>
    <s v="S26"/>
    <x v="32"/>
    <s v="AJ"/>
    <n v="10348130"/>
    <d v="2020-04-09T00:00:00"/>
    <n v="202101"/>
    <s v="1"/>
    <s v="INC"/>
    <s v="K6665"/>
    <s v="DS33"/>
    <s v="Virgin Media"/>
    <n v="171.75"/>
    <n v="0.17175000000000001"/>
  </r>
  <r>
    <s v="S26"/>
    <x v="36"/>
    <s v="AJ"/>
    <n v="10348130"/>
    <d v="2020-04-09T00:00:00"/>
    <n v="202101"/>
    <s v="1"/>
    <s v="INC"/>
    <s v="K6665"/>
    <s v="BA11"/>
    <s v="rental costs paid by OCC"/>
    <n v="187.5"/>
    <n v="0.1875"/>
  </r>
  <r>
    <s v="S26"/>
    <x v="34"/>
    <s v="AJ"/>
    <n v="10348085"/>
    <d v="2020-04-02T00:00:00"/>
    <n v="202101"/>
    <s v="1"/>
    <s v="EXP"/>
    <s v="B1501"/>
    <s v="DS32"/>
    <s v="Reverse transaction 10347949"/>
    <n v="-233.99"/>
    <n v="-0.23399"/>
  </r>
  <r>
    <s v="S26"/>
    <x v="36"/>
    <s v="AJ"/>
    <n v="10348130"/>
    <d v="2020-04-09T00:00:00"/>
    <n v="202101"/>
    <s v="1"/>
    <s v="INC"/>
    <s v="K6665"/>
    <s v="AG12"/>
    <s v="Credit note processed through OCC"/>
    <n v="153.25"/>
    <n v="0.15325"/>
  </r>
  <r>
    <s v="S26"/>
    <x v="36"/>
    <s v="AJ"/>
    <n v="10348130"/>
    <d v="2020-04-09T00:00:00"/>
    <n v="202101"/>
    <s v="1"/>
    <s v="INC"/>
    <s v="K6665"/>
    <s v="AG12"/>
    <s v="Credit note processed through OCC"/>
    <n v="98.7"/>
    <n v="9.8699999999999996E-2"/>
  </r>
  <r>
    <s v="S26"/>
    <x v="36"/>
    <s v="AJ"/>
    <n v="10348130"/>
    <d v="2020-04-09T00:00:00"/>
    <n v="202101"/>
    <s v="1"/>
    <s v="INC"/>
    <s v="K6665"/>
    <s v="AG12"/>
    <s v="Credit note processed through OCC"/>
    <n v="133.33000000000001"/>
    <n v="0.13333"/>
  </r>
  <r>
    <s v="S26"/>
    <x v="36"/>
    <s v="AJ"/>
    <n v="10348130"/>
    <d v="2020-04-09T00:00:00"/>
    <n v="202101"/>
    <s v="1"/>
    <s v="INC"/>
    <s v="K6665"/>
    <s v="AG12"/>
    <s v="Water bills not previously recharged"/>
    <n v="495.63"/>
    <n v="0.49563000000000001"/>
  </r>
  <r>
    <s v="S26"/>
    <x v="36"/>
    <s v="AJ"/>
    <n v="10348130"/>
    <d v="2020-04-09T00:00:00"/>
    <n v="202101"/>
    <s v="1"/>
    <s v="INC"/>
    <s v="K6665"/>
    <s v="BA11"/>
    <s v="cost incurred in Council"/>
    <n v="33.75"/>
    <n v="3.3750000000000002E-2"/>
  </r>
  <r>
    <s v="S26"/>
    <x v="36"/>
    <s v="AJ"/>
    <n v="10348130"/>
    <d v="2020-04-09T00:00:00"/>
    <n v="202101"/>
    <s v="1"/>
    <s v="INC"/>
    <s v="K6665"/>
    <s v="AS01"/>
    <s v="wasps nest removal"/>
    <n v="75"/>
    <n v="7.4999999999999997E-2"/>
  </r>
  <r>
    <s v="S26"/>
    <x v="36"/>
    <s v="AJ"/>
    <n v="10348130"/>
    <d v="2020-04-09T00:00:00"/>
    <n v="202101"/>
    <s v="1"/>
    <s v="INC"/>
    <s v="K6665"/>
    <s v="AG01"/>
    <s v="Virgin Media"/>
    <n v="120.75"/>
    <n v="0.12075"/>
  </r>
  <r>
    <s v="S26"/>
    <x v="36"/>
    <s v="AJ"/>
    <n v="10348130"/>
    <d v="2020-04-09T00:00:00"/>
    <n v="202101"/>
    <s v="1"/>
    <s v="INC"/>
    <s v="K6665"/>
    <s v="MD25"/>
    <s v="Reed - D Rabson P9-P12"/>
    <n v="10503.38"/>
    <n v="10.50338"/>
  </r>
  <r>
    <s v="S26"/>
    <x v="36"/>
    <s v="AJ"/>
    <n v="10348130"/>
    <d v="2020-04-09T00:00:00"/>
    <n v="202101"/>
    <s v="1"/>
    <s v="INC"/>
    <s v="K6665"/>
    <s v="MD77"/>
    <s v="11 garden scheme jobs charged to OCC"/>
    <n v="17684.11"/>
    <n v="17.68411"/>
  </r>
  <r>
    <s v="S26"/>
    <x v="37"/>
    <s v="AJ"/>
    <n v="10348130"/>
    <d v="2020-04-09T00:00:00"/>
    <n v="202101"/>
    <s v="1"/>
    <s v="INC"/>
    <s v="K9151"/>
    <s v="TR63"/>
    <s v="Estimated March recycling credits"/>
    <n v="52000"/>
    <n v="52"/>
  </r>
  <r>
    <s v="S26"/>
    <x v="37"/>
    <s v="AJ"/>
    <n v="10348130"/>
    <d v="2020-04-09T00:00:00"/>
    <n v="202101"/>
    <s v="1"/>
    <s v="INC"/>
    <s v="K9151"/>
    <s v="TR60"/>
    <s v="Q4 excess mileage claim"/>
    <n v="49500"/>
    <n v="49.5"/>
  </r>
  <r>
    <s v="S26"/>
    <x v="31"/>
    <s v="AJ"/>
    <n v="10348085"/>
    <d v="2020-04-02T00:00:00"/>
    <n v="202101"/>
    <s v="1"/>
    <s v="EXP"/>
    <s v="B1502"/>
    <s v="FC01"/>
    <s v="Reverse transaction 10347949"/>
    <n v="-3857.55"/>
    <n v="-3.8575500000000003"/>
  </r>
  <r>
    <s v="S26"/>
    <x v="32"/>
    <s v="AJ"/>
    <n v="10348085"/>
    <d v="2020-04-02T00:00:00"/>
    <n v="202101"/>
    <s v="1"/>
    <s v="EXP"/>
    <s v="B1502"/>
    <s v="DS33"/>
    <s v="Reverse transaction 10347949"/>
    <n v="-332.36"/>
    <n v="-0.33235999999999999"/>
  </r>
  <r>
    <s v="S26"/>
    <x v="34"/>
    <s v="AJ"/>
    <n v="10348085"/>
    <d v="2020-04-02T00:00:00"/>
    <n v="202101"/>
    <s v="1"/>
    <s v="EXP"/>
    <s v="B1830"/>
    <s v="DS32"/>
    <s v="Reverse transaction 10347949"/>
    <n v="-536.41999999999996"/>
    <n v="-0.53642000000000001"/>
  </r>
  <r>
    <s v="S26"/>
    <x v="32"/>
    <s v="AJ"/>
    <n v="10348085"/>
    <d v="2020-04-02T00:00:00"/>
    <n v="202101"/>
    <s v="1"/>
    <s v="EXP"/>
    <s v="B1501"/>
    <s v="DS33"/>
    <s v="Reverse transaction 10347949"/>
    <n v="-73.930000000000007"/>
    <n v="-7.393000000000001E-2"/>
  </r>
  <r>
    <s v="S26"/>
    <x v="31"/>
    <s v="AJ"/>
    <n v="10348085"/>
    <d v="2020-04-02T00:00:00"/>
    <n v="202101"/>
    <s v="1"/>
    <s v="EXP"/>
    <s v="B1501"/>
    <s v="FC73"/>
    <s v="Reverse transaction 10347949"/>
    <n v="-39.340000000000003"/>
    <n v="-3.934E-2"/>
  </r>
  <r>
    <s v="S26"/>
    <x v="31"/>
    <s v="AJ"/>
    <n v="10348085"/>
    <d v="2020-04-02T00:00:00"/>
    <n v="202101"/>
    <s v="1"/>
    <s v="EXP"/>
    <s v="B1501"/>
    <s v="FC01"/>
    <s v="Reverse transaction 10347949"/>
    <n v="-1941.17"/>
    <n v="-1.9411700000000001"/>
  </r>
  <r>
    <s v="S26"/>
    <x v="34"/>
    <s v="AJ"/>
    <n v="10348085"/>
    <d v="2020-04-02T00:00:00"/>
    <n v="202101"/>
    <s v="1"/>
    <s v="EXP"/>
    <s v="B1501"/>
    <s v="DS32"/>
    <s v="Reverse transaction 10347949"/>
    <n v="-228.96"/>
    <n v="-0.22896"/>
  </r>
  <r>
    <s v="S26"/>
    <x v="34"/>
    <s v="AJ"/>
    <n v="10348085"/>
    <d v="2020-04-02T00:00:00"/>
    <n v="202101"/>
    <s v="1"/>
    <s v="EXP"/>
    <s v="B1501"/>
    <s v="DS32"/>
    <s v="Reverse transaction 10347949"/>
    <n v="-754.39"/>
    <n v="-0.75439000000000001"/>
  </r>
  <r>
    <s v="S26"/>
    <x v="32"/>
    <s v="AJ"/>
    <n v="10348085"/>
    <d v="2020-04-02T00:00:00"/>
    <n v="202101"/>
    <s v="1"/>
    <s v="EXP"/>
    <s v="B1501"/>
    <s v="DS33"/>
    <s v="Reverse transaction 10347949"/>
    <n v="-190.75"/>
    <n v="-0.19075"/>
  </r>
  <r>
    <s v="S26"/>
    <x v="31"/>
    <s v="AJ"/>
    <n v="10348085"/>
    <d v="2020-04-02T00:00:00"/>
    <n v="202101"/>
    <s v="1"/>
    <s v="EXP"/>
    <s v="B1501"/>
    <s v="FC24"/>
    <s v="Reverse transaction 10347949"/>
    <n v="-719.03"/>
    <n v="-0.71902999999999995"/>
  </r>
  <r>
    <s v="S26"/>
    <x v="31"/>
    <s v="AJ"/>
    <n v="10348085"/>
    <d v="2020-04-02T00:00:00"/>
    <n v="202101"/>
    <s v="1"/>
    <s v="EXP"/>
    <s v="B1501"/>
    <s v="FC24"/>
    <s v="Reverse transaction 10347949"/>
    <n v="-182.68"/>
    <n v="-0.18268000000000001"/>
  </r>
  <r>
    <s v="S26"/>
    <x v="36"/>
    <s v="AJ"/>
    <n v="10348130"/>
    <d v="2020-04-09T00:00:00"/>
    <n v="202101"/>
    <s v="1"/>
    <s v="EXP"/>
    <s v="D6664"/>
    <s v="AS01"/>
    <s v="transfer of grave space"/>
    <n v="-80"/>
    <n v="-0.08"/>
  </r>
  <r>
    <s v="S26"/>
    <x v="36"/>
    <s v="AJ"/>
    <n v="10348130"/>
    <d v="2020-04-09T00:00:00"/>
    <n v="202101"/>
    <s v="1"/>
    <s v="EXP"/>
    <s v="D6664"/>
    <s v="TU01"/>
    <s v="Net position on MT in OCC"/>
    <n v="-3965.48"/>
    <n v="-3.9654799999999999"/>
  </r>
  <r>
    <s v="S26"/>
    <x v="36"/>
    <s v="AJ"/>
    <n v="10348130"/>
    <d v="2020-04-09T00:00:00"/>
    <n v="202101"/>
    <s v="1"/>
    <s v="EXP"/>
    <s v="D6664"/>
    <s v="BA11"/>
    <s v="rental income due to ODS"/>
    <n v="-85.81"/>
    <n v="-8.5809999999999997E-2"/>
  </r>
  <r>
    <s v="S26"/>
    <x v="36"/>
    <s v="AJ"/>
    <n v="10348130"/>
    <d v="2020-04-09T00:00:00"/>
    <n v="202101"/>
    <s v="1"/>
    <s v="EXP"/>
    <s v="D6664"/>
    <s v="AF11"/>
    <s v="ODS income received in Council"/>
    <n v="-18794.599999999999"/>
    <n v="-18.794599999999999"/>
  </r>
  <r>
    <s v="S26"/>
    <x v="36"/>
    <s v="AJ"/>
    <n v="10348130"/>
    <d v="2020-04-09T00:00:00"/>
    <n v="202101"/>
    <s v="1"/>
    <s v="EXP"/>
    <s v="D6664"/>
    <s v="AF11"/>
    <s v="RPA income due to ODS"/>
    <n v="-20819.599999999999"/>
    <n v="-20.819599999999998"/>
  </r>
  <r>
    <s v="S26"/>
    <x v="31"/>
    <s v="AJ"/>
    <n v="10348132"/>
    <d v="2020-04-09T00:00:00"/>
    <n v="202101"/>
    <s v="1"/>
    <s v="EXP"/>
    <s v="D6664"/>
    <s v="FC01"/>
    <s v="Additonal Revenue Car Park Income"/>
    <n v="-324132.34999999998"/>
    <n v="-324.13234999999997"/>
  </r>
  <r>
    <s v="S26"/>
    <x v="32"/>
    <s v="AJ"/>
    <n v="10348085"/>
    <d v="2020-04-02T00:00:00"/>
    <n v="202101"/>
    <s v="1"/>
    <s v="EXP"/>
    <s v="B1830"/>
    <s v="DS33"/>
    <s v="Reverse transaction 10347949"/>
    <n v="-90.95"/>
    <n v="-9.0950000000000003E-2"/>
  </r>
  <r>
    <s v="S26"/>
    <x v="32"/>
    <s v="AJ"/>
    <n v="10348085"/>
    <d v="2020-04-02T00:00:00"/>
    <n v="202101"/>
    <s v="1"/>
    <s v="EXP"/>
    <s v="B1830"/>
    <s v="DS33"/>
    <s v="Reverse transaction 10347949"/>
    <n v="-8.99"/>
    <n v="-8.9899999999999997E-3"/>
  </r>
  <r>
    <s v="S26"/>
    <x v="34"/>
    <s v="AJ"/>
    <n v="10348085"/>
    <d v="2020-04-02T00:00:00"/>
    <n v="202101"/>
    <s v="1"/>
    <s v="EXP"/>
    <s v="B1830"/>
    <s v="DS32"/>
    <s v="Reverse transaction 10347949"/>
    <n v="582.48"/>
    <n v="0.58248"/>
  </r>
  <r>
    <s v="S26"/>
    <x v="34"/>
    <s v="AJ"/>
    <n v="10348085"/>
    <d v="2020-04-02T00:00:00"/>
    <n v="202101"/>
    <s v="1"/>
    <s v="EXP"/>
    <s v="B1830"/>
    <s v="DS32"/>
    <s v="Reverse transaction 10347949"/>
    <n v="-3858.36"/>
    <n v="-3.8583600000000002"/>
  </r>
  <r>
    <s v="S26"/>
    <x v="32"/>
    <s v="AJ"/>
    <n v="10348085"/>
    <d v="2020-04-02T00:00:00"/>
    <n v="202101"/>
    <s v="1"/>
    <s v="EXP"/>
    <s v="B1830"/>
    <s v="DS33"/>
    <s v="Reverse transaction 10347949"/>
    <n v="-41.42"/>
    <n v="-4.1419999999999998E-2"/>
  </r>
  <r>
    <s v="S26"/>
    <x v="31"/>
    <s v="AJ"/>
    <n v="10348085"/>
    <d v="2020-04-02T00:00:00"/>
    <n v="202101"/>
    <s v="1"/>
    <s v="EXP"/>
    <s v="B1501"/>
    <s v="FC24"/>
    <s v="Reverse transaction 10347949"/>
    <n v="-2570.12"/>
    <n v="-2.5701199999999997"/>
  </r>
  <r>
    <s v="S26"/>
    <x v="32"/>
    <s v="AJ"/>
    <n v="10348085"/>
    <d v="2020-04-02T00:00:00"/>
    <n v="202101"/>
    <s v="1"/>
    <s v="EXP"/>
    <s v="B1501"/>
    <s v="DS33"/>
    <s v="Reverse transaction 10347949"/>
    <n v="-79.87"/>
    <n v="-7.987000000000001E-2"/>
  </r>
  <r>
    <s v="S26"/>
    <x v="32"/>
    <s v="AJ"/>
    <n v="10348085"/>
    <d v="2020-04-02T00:00:00"/>
    <n v="202101"/>
    <s v="1"/>
    <s v="EXP"/>
    <s v="B1501"/>
    <s v="DS33"/>
    <s v="Reverse transaction 10347949"/>
    <n v="-603.76"/>
    <n v="-0.60375999999999996"/>
  </r>
  <r>
    <s v="S26"/>
    <x v="31"/>
    <s v="AJ"/>
    <n v="10348085"/>
    <d v="2020-04-02T00:00:00"/>
    <n v="202101"/>
    <s v="1"/>
    <s v="EXP"/>
    <s v="B1501"/>
    <s v="FC24"/>
    <s v="Reverse transaction 10347949"/>
    <n v="-1737.15"/>
    <n v="-1.7371500000000002"/>
  </r>
  <r>
    <s v="S26"/>
    <x v="32"/>
    <s v="AJ"/>
    <n v="10348085"/>
    <d v="2020-04-02T00:00:00"/>
    <n v="202101"/>
    <s v="1"/>
    <s v="EXP"/>
    <s v="B1501"/>
    <s v="DS33"/>
    <s v="Reverse transaction 10347949"/>
    <n v="78.62"/>
    <n v="7.8620000000000009E-2"/>
  </r>
  <r>
    <s v="S26"/>
    <x v="32"/>
    <s v="AJ"/>
    <n v="10348085"/>
    <d v="2020-04-02T00:00:00"/>
    <n v="202101"/>
    <s v="1"/>
    <s v="EXP"/>
    <s v="B1501"/>
    <s v="DS33"/>
    <s v="Reverse transaction 10347949"/>
    <n v="-251.38"/>
    <n v="-0.25137999999999999"/>
  </r>
  <r>
    <s v="S26"/>
    <x v="31"/>
    <s v="AJ"/>
    <n v="10348085"/>
    <d v="2020-04-02T00:00:00"/>
    <n v="202101"/>
    <s v="1"/>
    <s v="EXP"/>
    <s v="B1501"/>
    <s v="FC01"/>
    <s v="Reverse transaction 10347949"/>
    <n v="-72.45"/>
    <n v="-7.2450000000000001E-2"/>
  </r>
  <r>
    <s v="S26"/>
    <x v="31"/>
    <s v="AJ"/>
    <n v="10348085"/>
    <d v="2020-04-02T00:00:00"/>
    <n v="202101"/>
    <s v="1"/>
    <s v="EXP"/>
    <s v="B1501"/>
    <s v="FC01"/>
    <s v="Reverse transaction 10347949"/>
    <n v="-487.66"/>
    <n v="-0.48766000000000004"/>
  </r>
  <r>
    <s v="S26"/>
    <x v="31"/>
    <s v="AJ"/>
    <n v="10348085"/>
    <d v="2020-04-02T00:00:00"/>
    <n v="202101"/>
    <s v="1"/>
    <s v="EXP"/>
    <s v="B1501"/>
    <s v="FC01"/>
    <s v="Reverse transaction 10347949"/>
    <n v="-53.69"/>
    <n v="-5.3689999999999995E-2"/>
  </r>
  <r>
    <s v="S26"/>
    <x v="31"/>
    <s v="AJ"/>
    <n v="10348085"/>
    <d v="2020-04-02T00:00:00"/>
    <n v="202101"/>
    <s v="1"/>
    <s v="EXP"/>
    <s v="B1501"/>
    <s v="FC01"/>
    <s v="Reverse transaction 10347949"/>
    <n v="-852.01"/>
    <n v="-0.85201000000000005"/>
  </r>
  <r>
    <s v="S26"/>
    <x v="31"/>
    <s v="AJ"/>
    <n v="10348085"/>
    <d v="2020-04-02T00:00:00"/>
    <n v="202101"/>
    <s v="1"/>
    <s v="EXP"/>
    <s v="B1501"/>
    <s v="FC51"/>
    <s v="Reverse transaction 10347949"/>
    <n v="-266.37"/>
    <n v="-0.26637"/>
  </r>
  <r>
    <s v="S26"/>
    <x v="31"/>
    <s v="AJ"/>
    <n v="10348085"/>
    <d v="2020-04-02T00:00:00"/>
    <n v="202101"/>
    <s v="1"/>
    <s v="EXP"/>
    <s v="B1501"/>
    <s v="FC53"/>
    <s v="Reverse transaction 10347949"/>
    <n v="78.62"/>
    <n v="7.8620000000000009E-2"/>
  </r>
  <r>
    <s v="S26"/>
    <x v="34"/>
    <s v="AJ"/>
    <n v="10348085"/>
    <d v="2020-04-02T00:00:00"/>
    <n v="202101"/>
    <s v="1"/>
    <s v="EXP"/>
    <s v="B1501"/>
    <s v="DS32"/>
    <s v="Reverse transaction 10347949"/>
    <n v="-2862.58"/>
    <n v="-2.8625799999999999"/>
  </r>
  <r>
    <s v="S26"/>
    <x v="32"/>
    <s v="AJ"/>
    <n v="10348085"/>
    <d v="2020-04-02T00:00:00"/>
    <n v="202101"/>
    <s v="1"/>
    <s v="EXP"/>
    <s v="B1501"/>
    <s v="DS33"/>
    <s v="Reverse transaction 10347949"/>
    <n v="-2379.9299999999998"/>
    <n v="-2.3799299999999999"/>
  </r>
  <r>
    <s v="S26"/>
    <x v="32"/>
    <s v="AJ"/>
    <n v="10348085"/>
    <d v="2020-04-02T00:00:00"/>
    <n v="202101"/>
    <s v="1"/>
    <s v="EXP"/>
    <s v="B1501"/>
    <s v="DS33"/>
    <s v="Reverse transaction 10347949"/>
    <n v="-387.07"/>
    <n v="-0.38706999999999997"/>
  </r>
  <r>
    <s v="S26"/>
    <x v="32"/>
    <s v="AJ"/>
    <n v="10348085"/>
    <d v="2020-04-02T00:00:00"/>
    <n v="202101"/>
    <s v="1"/>
    <s v="EXP"/>
    <s v="B1501"/>
    <s v="DS33"/>
    <s v="Reverse transaction 10347949"/>
    <n v="133.26"/>
    <n v="0.13325999999999999"/>
  </r>
  <r>
    <s v="S26"/>
    <x v="32"/>
    <s v="AJ"/>
    <n v="10348085"/>
    <d v="2020-04-02T00:00:00"/>
    <n v="202101"/>
    <s v="1"/>
    <s v="EXP"/>
    <s v="B1501"/>
    <s v="DS33"/>
    <s v="Reverse transaction 10347949"/>
    <n v="-256.33"/>
    <n v="-0.25633"/>
  </r>
  <r>
    <s v="S26"/>
    <x v="32"/>
    <s v="AJ"/>
    <n v="10348085"/>
    <d v="2020-04-02T00:00:00"/>
    <n v="202101"/>
    <s v="1"/>
    <s v="EXP"/>
    <s v="B1501"/>
    <s v="DS33"/>
    <s v="Reverse transaction 10347949"/>
    <n v="-1014.81"/>
    <n v="-1.01481"/>
  </r>
  <r>
    <s v="S26"/>
    <x v="32"/>
    <s v="AJ"/>
    <n v="10348085"/>
    <d v="2020-04-02T00:00:00"/>
    <n v="202101"/>
    <s v="1"/>
    <s v="EXP"/>
    <s v="B1830"/>
    <s v="DS33"/>
    <s v="Reverse transaction 10347949"/>
    <n v="-4684.2700000000004"/>
    <n v="-4.6842700000000006"/>
  </r>
  <r>
    <s v="S26"/>
    <x v="34"/>
    <s v="AJ"/>
    <n v="10348085"/>
    <d v="2020-04-02T00:00:00"/>
    <n v="202101"/>
    <s v="1"/>
    <s v="EXP"/>
    <s v="B1830"/>
    <s v="DS32"/>
    <s v="Reverse transaction 10347949"/>
    <n v="78.62"/>
    <n v="7.8620000000000009E-2"/>
  </r>
  <r>
    <s v="S26"/>
    <x v="34"/>
    <s v="AJ"/>
    <n v="10348085"/>
    <d v="2020-04-02T00:00:00"/>
    <n v="202101"/>
    <s v="1"/>
    <s v="EXP"/>
    <s v="B1830"/>
    <s v="DS32"/>
    <s v="Reverse transaction 10347949"/>
    <n v="-64.42"/>
    <n v="-6.4420000000000005E-2"/>
  </r>
  <r>
    <s v="S26"/>
    <x v="32"/>
    <s v="AJ"/>
    <n v="10348085"/>
    <d v="2020-04-02T00:00:00"/>
    <n v="202101"/>
    <s v="1"/>
    <s v="EXP"/>
    <s v="B1501"/>
    <s v="DS33"/>
    <s v="Reverse transaction 10347949"/>
    <n v="-64.55"/>
    <n v="-6.4549999999999996E-2"/>
  </r>
  <r>
    <s v="S26"/>
    <x v="34"/>
    <s v="AJ"/>
    <n v="10348085"/>
    <d v="2020-04-02T00:00:00"/>
    <n v="202101"/>
    <s v="1"/>
    <s v="EXP"/>
    <s v="B1501"/>
    <s v="DS32"/>
    <s v="Reverse transaction 10347949"/>
    <n v="-463.44"/>
    <n v="-0.46344000000000002"/>
  </r>
  <r>
    <s v="S26"/>
    <x v="31"/>
    <s v="AJ"/>
    <n v="10348085"/>
    <d v="2020-04-02T00:00:00"/>
    <n v="202101"/>
    <s v="1"/>
    <s v="EXP"/>
    <s v="B1501"/>
    <s v="FC21"/>
    <s v="Reverse transaction 10347949"/>
    <n v="-337.34"/>
    <n v="-0.33733999999999997"/>
  </r>
  <r>
    <s v="S26"/>
    <x v="31"/>
    <s v="AJ"/>
    <n v="10347950"/>
    <d v="2020-04-02T00:00:00"/>
    <n v="202101"/>
    <s v="1"/>
    <s v="EXP"/>
    <s v="B1501"/>
    <s v="FC01"/>
    <s v="Utilities to be invoiced to ODS - Unmetered Car Park Ticket Machines Acc: 361528966  Electricity 03/01/20 - 03/02/20"/>
    <n v="487.66"/>
    <n v="0.48766000000000004"/>
  </r>
  <r>
    <s v="S26"/>
    <x v="33"/>
    <s v="AJ"/>
    <n v="10347950"/>
    <d v="2020-04-02T00:00:00"/>
    <n v="202101"/>
    <s v="1"/>
    <s v="EXP"/>
    <s v="B1502"/>
    <s v="DS40"/>
    <s v="Utilities to be invoiced to ODS - Cowley Marsh Depot Acc: 3004980726  Gas 01/02/20 - 29/02/20"/>
    <n v="354.71"/>
    <n v="0.35470999999999997"/>
  </r>
  <r>
    <s v="S26"/>
    <x v="34"/>
    <s v="AJ"/>
    <n v="10347950"/>
    <d v="2020-04-02T00:00:00"/>
    <n v="202101"/>
    <s v="1"/>
    <s v="EXP"/>
    <s v="B1830"/>
    <s v="DS32"/>
    <s v="Utilities to be invoiced to ODS - South Parade Female &amp; Disabled Public Toilets Acc: 88888893517  Water 10/08/19 - 09/11/19"/>
    <n v="731.7"/>
    <n v="0.73170000000000002"/>
  </r>
  <r>
    <s v="S26"/>
    <x v="34"/>
    <s v="AJ"/>
    <n v="10347950"/>
    <d v="2020-04-02T00:00:00"/>
    <n v="202101"/>
    <s v="1"/>
    <s v="EXP"/>
    <s v="B1830"/>
    <s v="DS32"/>
    <s v="Utilities to be invoiced to ODS - St Clements Public Toilets Acc: 88888893525  Water 14/08/19 - 13/11/19"/>
    <n v="-78.62"/>
    <n v="-7.8620000000000009E-2"/>
  </r>
  <r>
    <s v="S26"/>
    <x v="34"/>
    <s v="AJ"/>
    <n v="10347950"/>
    <d v="2020-04-02T00:00:00"/>
    <n v="202101"/>
    <s v="1"/>
    <s v="EXP"/>
    <s v="B1501"/>
    <s v="DS32"/>
    <s v="Utilities to be invoiced to ODS - Speedwell Street Public Toilets Acc: 681525917  Electricity 09/05/19 - 08/08/19"/>
    <n v="1465.21"/>
    <n v="1.4652100000000001"/>
  </r>
  <r>
    <s v="S26"/>
    <x v="33"/>
    <s v="AJ"/>
    <n v="10347950"/>
    <d v="2020-04-02T00:00:00"/>
    <n v="202101"/>
    <s v="1"/>
    <s v="EXP"/>
    <s v="B1501"/>
    <s v="DS40"/>
    <s v="Utilities to be invoiced to ODS - Horspath Depot Main Building Acc: KS86222S  Electricity 01/01/20 - 31/01/20"/>
    <n v="1786.33"/>
    <n v="1.78633"/>
  </r>
  <r>
    <s v="S26"/>
    <x v="33"/>
    <s v="AJ"/>
    <n v="10347950"/>
    <d v="2020-04-02T00:00:00"/>
    <n v="202101"/>
    <s v="1"/>
    <s v="EXP"/>
    <s v="B1501"/>
    <s v="DS40"/>
    <s v="Utilities to be invoiced to ODS - Horspath Depot Main Building Acc: KS86222S  Electricity 01/02/20 - 29/02/20"/>
    <n v="93.41"/>
    <n v="9.3409999999999993E-2"/>
  </r>
  <r>
    <s v="S26"/>
    <x v="33"/>
    <s v="AJ"/>
    <n v="10347950"/>
    <d v="2020-04-02T00:00:00"/>
    <n v="202101"/>
    <s v="1"/>
    <s v="EXP"/>
    <s v="B1501"/>
    <s v="DS40"/>
    <s v="Utilities to be invoiced to ODS - Horspath Depot Storage Yard Acc: 711601077  Electricity 02/11/19 - 01/02/20"/>
    <n v="17.010000000000002"/>
    <n v="1.7010000000000001E-2"/>
  </r>
  <r>
    <s v="S26"/>
    <x v="31"/>
    <s v="AJ"/>
    <n v="10347950"/>
    <d v="2020-04-02T00:00:00"/>
    <n v="202101"/>
    <s v="1"/>
    <s v="EXP"/>
    <s v="B1501"/>
    <s v="FC53"/>
    <s v="Utilities to be invoiced to ODS - Union Street Car Park Acc: 351526657  Electricity 02/12/19 - 01/03/20"/>
    <n v="-78.62"/>
    <n v="-7.8620000000000009E-2"/>
  </r>
  <r>
    <s v="S26"/>
    <x v="31"/>
    <s v="AJ"/>
    <n v="10347950"/>
    <d v="2020-04-02T00:00:00"/>
    <n v="202101"/>
    <s v="1"/>
    <s v="EXP"/>
    <s v="B1501"/>
    <s v="FC51"/>
    <s v="Utilities to be invoiced to ODS - Summertown Car Park Acc: 311527536  Electricity 02/12/19 - 01/03/20"/>
    <n v="266.37"/>
    <n v="0.26637"/>
  </r>
  <r>
    <s v="S26"/>
    <x v="31"/>
    <s v="AJ"/>
    <n v="10347950"/>
    <d v="2020-04-02T00:00:00"/>
    <n v="202101"/>
    <s v="1"/>
    <s v="EXP"/>
    <s v="B1501"/>
    <s v="FC01"/>
    <s v="Utilities to be invoiced to ODS - Unmetered Car Park Ticket Machines Acc: 361528966  Electricity 04/02/20 - 02/03/20"/>
    <n v="72.45"/>
    <n v="7.2450000000000001E-2"/>
  </r>
  <r>
    <s v="S26"/>
    <x v="31"/>
    <s v="AJ"/>
    <n v="10347950"/>
    <d v="2020-04-02T00:00:00"/>
    <n v="202101"/>
    <s v="1"/>
    <s v="EXP"/>
    <s v="B1501"/>
    <s v="FC01"/>
    <s v="Utilities to be invoiced to ODS - Unmetered Car Park Lighting Acc: 931528944  Electricity 04/02/20 - 02/03/20"/>
    <n v="53.69"/>
    <n v="5.3689999999999995E-2"/>
  </r>
  <r>
    <s v="S26"/>
    <x v="32"/>
    <s v="AJ"/>
    <n v="10347950"/>
    <d v="2020-04-02T00:00:00"/>
    <n v="202101"/>
    <s v="1"/>
    <s v="EXP"/>
    <s v="B1830"/>
    <s v="DS33"/>
    <s v="Utilities to be invoiced to ODS - Horspath Athletics Pavilion Acc: 88888893546  Water 15/11/18 - 13/02/19"/>
    <n v="53.06"/>
    <n v="5.3060000000000003E-2"/>
  </r>
  <r>
    <s v="S26"/>
    <x v="31"/>
    <s v="AJ"/>
    <n v="10347950"/>
    <d v="2020-04-02T00:00:00"/>
    <n v="202101"/>
    <s v="1"/>
    <s v="EXP"/>
    <s v="B1501"/>
    <s v="FC23"/>
    <s v="Utilities to be invoiced to ODS - Worcester Street Car Park Acc: 431526074  Electricity 02/12/19 - 01/03/20"/>
    <n v="113.13"/>
    <n v="0.11312999999999999"/>
  </r>
  <r>
    <s v="S26"/>
    <x v="32"/>
    <s v="AJ"/>
    <n v="10347950"/>
    <d v="2020-04-02T00:00:00"/>
    <n v="202101"/>
    <s v="1"/>
    <s v="EXP"/>
    <s v="B1501"/>
    <s v="DS33"/>
    <s v="Utilities to be invoiced to ODS - Union Street Sports Floodlights Acc: 721787592  Electricity 02/01/20 - 01/02/20"/>
    <n v="251.38"/>
    <n v="0.25137999999999999"/>
  </r>
  <r>
    <s v="S26"/>
    <x v="32"/>
    <s v="AJ"/>
    <n v="10347950"/>
    <d v="2020-04-02T00:00:00"/>
    <n v="202101"/>
    <s v="1"/>
    <s v="EXP"/>
    <s v="B1501"/>
    <s v="DS33"/>
    <s v="Utilities to be invoiced to ODS - Wolvercote Cemetery Public Toilets Acc: 301571965  Electricity 02/12/19 - 01/03/20"/>
    <n v="1563.67"/>
    <n v="1.5636700000000001"/>
  </r>
  <r>
    <s v="S26"/>
    <x v="32"/>
    <s v="AJ"/>
    <n v="10347950"/>
    <d v="2020-04-02T00:00:00"/>
    <n v="202101"/>
    <s v="1"/>
    <s v="EXP"/>
    <s v="B1501"/>
    <s v="DS33"/>
    <s v="Utilities to be invoiced to ODS - Wolvercote Cemetery Store Acc: 741527050  Electricity 02/12/19 - 01/03/20"/>
    <n v="82.17"/>
    <n v="8.2170000000000007E-2"/>
  </r>
  <r>
    <s v="S26"/>
    <x v="32"/>
    <s v="AJ"/>
    <n v="10347950"/>
    <d v="2020-04-02T00:00:00"/>
    <n v="202101"/>
    <s v="1"/>
    <s v="EXP"/>
    <s v="B1830"/>
    <s v="DS33"/>
    <s v="Utilities to be invoiced to ODS - Wolvercote Cemetery Public Toilets Acc: 88888893530  Water 14/08/19 - 13/11/19"/>
    <n v="82.35"/>
    <n v="8.2349999999999993E-2"/>
  </r>
  <r>
    <s v="S26"/>
    <x v="33"/>
    <s v="AJ"/>
    <n v="10347948"/>
    <d v="2020-04-02T00:00:00"/>
    <n v="202101"/>
    <s v="1"/>
    <s v="EXP"/>
    <s v="B1108"/>
    <s v="DS40"/>
    <s v="MARSH ROAD DEPOT"/>
    <n v="-9258"/>
    <n v="-9.2579999999999991"/>
  </r>
  <r>
    <s v="S26"/>
    <x v="36"/>
    <s v="AJ"/>
    <n v="10347981"/>
    <d v="2020-04-03T00:00:00"/>
    <n v="202101"/>
    <s v="1"/>
    <s v="EXP"/>
    <s v="B1701"/>
    <s v="AG01"/>
    <s v="P12 P2P accruals 2019/20, 8032081, OXFORDSHIRE COUNTY COUNCIL"/>
    <n v="-1868"/>
    <n v="-1.8680000000000001"/>
  </r>
  <r>
    <s v="S26"/>
    <x v="31"/>
    <s v="AJ"/>
    <n v="10347981"/>
    <d v="2020-04-03T00:00:00"/>
    <n v="202101"/>
    <s v="1"/>
    <s v="EXP"/>
    <s v="B1101"/>
    <s v="FC01"/>
    <s v="P12 P2P accruals 2019/20, 8024345, METRIC GROUP LIMITED"/>
    <n v="-55782"/>
    <n v="-55.781999999999996"/>
  </r>
  <r>
    <s v="S26"/>
    <x v="32"/>
    <s v="AJ"/>
    <n v="10347950"/>
    <d v="2020-04-02T00:00:00"/>
    <n v="202101"/>
    <s v="1"/>
    <s v="EXP"/>
    <s v="B1830"/>
    <s v="DS33"/>
    <s v="Utilities to be invoiced to ODS - Horspath Athletics Pavilion Acc: 88888893546  Water 15/05/19 - 13/08/19"/>
    <n v="965.97"/>
    <n v="0.96597"/>
  </r>
  <r>
    <s v="S26"/>
    <x v="31"/>
    <s v="AJ"/>
    <n v="10348429"/>
    <d v="2020-04-24T00:00:00"/>
    <n v="202101"/>
    <s v="1"/>
    <s v="INC"/>
    <s v="K9450"/>
    <s v="FD24"/>
    <s v="Deferred income: 330500970, 01/04/20 - 30/06/20, THAMES TRANSIT LTD"/>
    <n v="-11567"/>
    <n v="-11.567"/>
  </r>
  <r>
    <s v="S26"/>
    <x v="32"/>
    <s v="AJ"/>
    <n v="10348098"/>
    <d v="2020-04-08T00:00:00"/>
    <n v="202101"/>
    <s v="1"/>
    <s v="EXP"/>
    <s v="B1502"/>
    <s v="DS33"/>
    <s v="Utilities to be invoiced to ODS - Cutteslowe Lower Sports Pavilion Acc: 371677927  Gas 26/10/19 - 28/01/20"/>
    <n v="331.38"/>
    <n v="0.33138000000000001"/>
  </r>
  <r>
    <s v="S26"/>
    <x v="34"/>
    <s v="AJ"/>
    <n v="10348098"/>
    <d v="2020-04-08T00:00:00"/>
    <n v="202101"/>
    <s v="1"/>
    <s v="EXP"/>
    <s v="B1830"/>
    <s v="DS32"/>
    <s v="Utilities to be invoiced to ODS - Cowley Road Public Toilets &amp; Sweepers Store Acc: 88888893520  Water 14/08/19 - 13/11/19"/>
    <n v="-57.14"/>
    <n v="-5.7140000000000003E-2"/>
  </r>
  <r>
    <s v="S26"/>
    <x v="32"/>
    <s v="AJ"/>
    <n v="10348098"/>
    <d v="2020-04-08T00:00:00"/>
    <n v="202101"/>
    <s v="1"/>
    <s v="EXP"/>
    <s v="B1830"/>
    <s v="DS33"/>
    <s v="Utilities to be invoiced to ODS - Cutteslowe Bowls Pavilion Acc: 88888893509  Water 14/08/19 - 13/11/19"/>
    <n v="504.53"/>
    <n v="0.50452999999999992"/>
  </r>
  <r>
    <s v="S26"/>
    <x v="31"/>
    <s v="AJ"/>
    <n v="10348098"/>
    <d v="2020-04-08T00:00:00"/>
    <n v="202101"/>
    <s v="1"/>
    <s v="EXP"/>
    <s v="B1830"/>
    <s v="FC75"/>
    <s v="Utilities to be invoiced to ODS - Redbridge Park and Ride Acc: 88888895161  Water 14/08/19 - 13/11/19"/>
    <n v="473.92"/>
    <n v="0.47392000000000001"/>
  </r>
  <r>
    <s v="S26"/>
    <x v="32"/>
    <s v="AJ"/>
    <n v="10348098"/>
    <d v="2020-04-08T00:00:00"/>
    <n v="202101"/>
    <s v="1"/>
    <s v="EXP"/>
    <s v="B1830"/>
    <s v="DS33"/>
    <s v="Utilities to be invoiced to ODS - Cutteslowe Park Splash Feature Acc: 88888893504  Water 14/08/19 - 13/11/19"/>
    <n v="2492.31"/>
    <n v="2.4923099999999998"/>
  </r>
  <r>
    <s v="S26"/>
    <x v="32"/>
    <s v="AJ"/>
    <n v="10348098"/>
    <d v="2020-04-08T00:00:00"/>
    <n v="202101"/>
    <s v="1"/>
    <s v="EXP"/>
    <s v="B1830"/>
    <s v="DS33"/>
    <s v="Utilities to be invoiced to ODS - Rose Hill Cemetery Chapel Acc: 88888893511  Water 14/11/19 - 13/02/20"/>
    <n v="8.99"/>
    <n v="8.9899999999999997E-3"/>
  </r>
  <r>
    <s v="S26"/>
    <x v="32"/>
    <s v="AJ"/>
    <n v="10348098"/>
    <d v="2020-04-08T00:00:00"/>
    <n v="202101"/>
    <s v="1"/>
    <s v="EXP"/>
    <s v="B1830"/>
    <s v="DS33"/>
    <s v="Utilities to be invoiced to ODS - Rose Hill Cemetery Public Toilets Acc: 88888893533  Water 14/08/19 - 13/11/19"/>
    <n v="52.41"/>
    <n v="5.2409999999999998E-2"/>
  </r>
  <r>
    <s v="S26"/>
    <x v="32"/>
    <s v="AJ"/>
    <n v="10348098"/>
    <d v="2020-04-08T00:00:00"/>
    <n v="202101"/>
    <s v="1"/>
    <s v="EXP"/>
    <s v="B1501"/>
    <s v="DS33"/>
    <s v="Utilities to be invoiced to ODS - Cutteslowe Park Workshop &amp; Yard Acc: 691527524  Electricity 02/12/19 - 01/03/20"/>
    <n v="3857.55"/>
    <n v="3.8575500000000003"/>
  </r>
  <r>
    <s v="S26"/>
    <x v="32"/>
    <s v="AJ"/>
    <n v="10348098"/>
    <d v="2020-04-08T00:00:00"/>
    <n v="202101"/>
    <s v="1"/>
    <s v="EXP"/>
    <s v="B1501"/>
    <s v="DS33"/>
    <s v="Utilities to be invoiced to ODS - Rose Hill Cemetery Public Toilets Acc: 261526652  Electricity 01/10/19 - 20/12/19"/>
    <n v="228.96"/>
    <n v="0.22896"/>
  </r>
  <r>
    <s v="S26"/>
    <x v="32"/>
    <s v="AJ"/>
    <n v="10348098"/>
    <d v="2020-04-08T00:00:00"/>
    <n v="202101"/>
    <s v="1"/>
    <s v="EXP"/>
    <s v="B1501"/>
    <s v="DS33"/>
    <s v="Utilities to be invoiced to ODS - Cutteslowe Park Offices Acc: 701526629  Electricity 02/12/19 - 01/03/20"/>
    <n v="1941.17"/>
    <n v="1.9411700000000001"/>
  </r>
  <r>
    <s v="S26"/>
    <x v="31"/>
    <s v="AJ"/>
    <n v="10348429"/>
    <d v="2020-04-24T00:00:00"/>
    <n v="202101"/>
    <s v="1"/>
    <s v="INC"/>
    <s v="K9450"/>
    <s v="FD24"/>
    <s v="Deferred income: 330500931, 01/04/20 - 30/06/20, CITY OF OXFORD MOTOR SERVICE LTD"/>
    <n v="-9270"/>
    <n v="-9.27"/>
  </r>
  <r>
    <s v="S26"/>
    <x v="31"/>
    <s v="AJ"/>
    <n v="10348429"/>
    <d v="2020-04-24T00:00:00"/>
    <n v="202101"/>
    <s v="1"/>
    <s v="INC"/>
    <s v="K9450"/>
    <s v="FD24"/>
    <s v="Deferred income: 330500922, 01/04/20 - 30/06/20, NATIONAL EXPRESS LIMITED"/>
    <n v="-6726"/>
    <n v="-6.726"/>
  </r>
  <r>
    <s v="S26"/>
    <x v="32"/>
    <s v="AJ"/>
    <n v="10348098"/>
    <d v="2020-04-08T00:00:00"/>
    <n v="202101"/>
    <s v="1"/>
    <s v="EXP"/>
    <s v="B1501"/>
    <s v="DS33"/>
    <s v="Utilities to be invoiced to ODS - Rose Hill Cemetery Public Toilets Acc: 261526652  Electricity 29/03/19 - 26/06/19"/>
    <n v="-78.62"/>
    <n v="-7.8620000000000009E-2"/>
  </r>
  <r>
    <s v="S26"/>
    <x v="32"/>
    <s v="AJ"/>
    <n v="10348098"/>
    <d v="2020-04-08T00:00:00"/>
    <n v="202101"/>
    <s v="1"/>
    <s v="EXP"/>
    <s v="B1501"/>
    <s v="DS33"/>
    <s v="Utilities to be invoiced to ODS - Sandy Lane Sports Pavilion Acc: 781525201  Electricity 02/12/19 - 01/03/20"/>
    <n v="852.01"/>
    <n v="0.85201000000000005"/>
  </r>
  <r>
    <s v="S26"/>
    <x v="31"/>
    <s v="AJ"/>
    <n v="10348098"/>
    <d v="2020-04-08T00:00:00"/>
    <n v="202101"/>
    <s v="1"/>
    <s v="EXP"/>
    <s v="B1501"/>
    <s v="FC23"/>
    <s v="Utilities to be invoiced to ODS - Worcester Street Car Park Acc: 431526074  Electricity 02/12/19 - 01/03/20"/>
    <n v="412.85"/>
    <n v="0.41285000000000005"/>
  </r>
  <r>
    <s v="S26"/>
    <x v="32"/>
    <s v="AJ"/>
    <n v="10348098"/>
    <d v="2020-04-08T00:00:00"/>
    <n v="202101"/>
    <s v="1"/>
    <s v="EXP"/>
    <s v="B1501"/>
    <s v="DS33"/>
    <s v="Utilities to be invoiced to ODS - Wolvercote Cemetery Store Acc: 741527050  Electricity 02/12/19 - 01/03/20"/>
    <n v="695.82"/>
    <n v="0.69582000000000011"/>
  </r>
  <r>
    <s v="S26"/>
    <x v="33"/>
    <s v="AJ"/>
    <n v="10348098"/>
    <d v="2020-04-08T00:00:00"/>
    <n v="202101"/>
    <s v="1"/>
    <s v="EXP"/>
    <s v="B1501"/>
    <s v="DS40"/>
    <s v="Utilities to be invoiced to ODS - Horspath Depot Main Building Acc: KS86222S  Electricity 01/01/20 - 31/01/20"/>
    <n v="1848.27"/>
    <n v="1.8482700000000001"/>
  </r>
  <r>
    <s v="S26"/>
    <x v="34"/>
    <s v="AJ"/>
    <n v="10348098"/>
    <d v="2020-04-08T00:00:00"/>
    <n v="202101"/>
    <s v="1"/>
    <s v="EXP"/>
    <s v="B1501"/>
    <s v="DS32"/>
    <s v="Utilities to be invoiced to ODS - Speedwell Street Public Toilets Acc: 681525917  Electricity 09/05/19 - 08/08/19"/>
    <n v="-85.45"/>
    <n v="-8.5449999999999998E-2"/>
  </r>
  <r>
    <s v="S26"/>
    <x v="34"/>
    <s v="AJ"/>
    <n v="10348098"/>
    <d v="2020-04-08T00:00:00"/>
    <n v="202101"/>
    <s v="1"/>
    <s v="EXP"/>
    <s v="B1501"/>
    <s v="DS32"/>
    <s v="Utilities to be invoiced to ODS - Speedwell Street Public Toilets Acc: 681525917  Electricity 09/08/19 - 12/12/19"/>
    <n v="965.97"/>
    <n v="0.96597"/>
  </r>
  <r>
    <s v="S26"/>
    <x v="34"/>
    <s v="AJ"/>
    <n v="10348098"/>
    <d v="2020-04-08T00:00:00"/>
    <n v="202101"/>
    <s v="1"/>
    <s v="EXP"/>
    <s v="B1501"/>
    <s v="DS32"/>
    <s v="Utilities to be invoiced to ODS - Speedwell Street Public Toilets Acc: 681525917  Electricity 12/02/19 - 08/05/19"/>
    <n v="53.06"/>
    <n v="5.3060000000000003E-2"/>
  </r>
  <r>
    <s v="S26"/>
    <x v="32"/>
    <s v="AJ"/>
    <n v="10348098"/>
    <d v="2020-04-08T00:00:00"/>
    <n v="202101"/>
    <s v="1"/>
    <s v="EXP"/>
    <s v="B1501"/>
    <s v="DS33"/>
    <s v="Utilities to be invoiced to ODS - Cutteslowe Park Offices Acc: 021525194  Electricity 02/12/19 - 01/03/20"/>
    <n v="536.41999999999996"/>
    <n v="0.53642000000000001"/>
  </r>
  <r>
    <s v="S26"/>
    <x v="34"/>
    <s v="AJ"/>
    <n v="10348098"/>
    <d v="2020-04-08T00:00:00"/>
    <n v="202101"/>
    <s v="1"/>
    <s v="EXP"/>
    <s v="B1501"/>
    <s v="DS32"/>
    <s v="Utilities to be invoiced to ODS - Diamond Place Public Toilets Acc: 601806366  Electricity 02/01/20 - 01/02/20"/>
    <n v="39.340000000000003"/>
    <n v="3.934E-2"/>
  </r>
  <r>
    <s v="S26"/>
    <x v="34"/>
    <s v="AJ"/>
    <n v="10348098"/>
    <d v="2020-04-08T00:00:00"/>
    <n v="202101"/>
    <s v="1"/>
    <s v="EXP"/>
    <s v="B1501"/>
    <s v="DS32"/>
    <s v="Utilities to be invoiced to ODS - Diamond Place Public Toilets Acc: 601806366  Electricity 02/12/19 - 01/01/20"/>
    <n v="38.32"/>
    <n v="3.832E-2"/>
  </r>
  <r>
    <s v="S26"/>
    <x v="32"/>
    <s v="AJ"/>
    <n v="10348098"/>
    <d v="2020-04-08T00:00:00"/>
    <n v="202101"/>
    <s v="1"/>
    <s v="EXP"/>
    <s v="B1501"/>
    <s v="DS33"/>
    <s v="Utilities to be invoiced to ODS - Florence Park Bowls Pavilion Acc: 221525571  Electricity 02/12/19 - 01/03/20"/>
    <n v="73.930000000000007"/>
    <n v="7.393000000000001E-2"/>
  </r>
  <r>
    <s v="S26"/>
    <x v="32"/>
    <s v="AJ"/>
    <n v="10348098"/>
    <d v="2020-04-08T00:00:00"/>
    <n v="202101"/>
    <s v="1"/>
    <s v="EXP"/>
    <s v="B1501"/>
    <s v="DS33"/>
    <s v="Utilities to be invoiced to ODS - Florence Park Depot Acc: 971526793  Electricity 02/12/19 - 01/03/20"/>
    <n v="161.77000000000001"/>
    <n v="0.16177"/>
  </r>
  <r>
    <s v="S26"/>
    <x v="32"/>
    <s v="AJ"/>
    <n v="10348098"/>
    <d v="2020-04-08T00:00:00"/>
    <n v="202101"/>
    <s v="1"/>
    <s v="EXP"/>
    <s v="B1830"/>
    <s v="DS33"/>
    <s v="Utilities to be invoiced to ODS - Florence Park Depot Acc: 88888893532  Water 14/08/19 - 13/11/19"/>
    <n v="163.27000000000001"/>
    <n v="0.16327"/>
  </r>
  <r>
    <s v="S26"/>
    <x v="32"/>
    <s v="AJ"/>
    <n v="10348098"/>
    <d v="2020-04-08T00:00:00"/>
    <n v="202101"/>
    <s v="1"/>
    <s v="EXP"/>
    <s v="B1830"/>
    <s v="DS33"/>
    <s v="Utilities to be invoiced to ODS - Florence Park Public Toilets Acc: 88888893538  Water 14/08/19 - 13/11/19"/>
    <n v="-487.66"/>
    <n v="-0.48766000000000004"/>
  </r>
  <r>
    <s v="S26"/>
    <x v="32"/>
    <s v="AJ"/>
    <n v="10348098"/>
    <d v="2020-04-08T00:00:00"/>
    <n v="202101"/>
    <s v="1"/>
    <s v="EXP"/>
    <s v="B1502"/>
    <s v="DS33"/>
    <s v="Utilities to be invoiced to ODS - Court Place Farm Sports Pavilion Acc: 931679389  Gas 06/07/19 - 27/09/19"/>
    <n v="554.55999999999995"/>
    <n v="0.55455999999999994"/>
  </r>
  <r>
    <s v="S26"/>
    <x v="32"/>
    <s v="AJ"/>
    <n v="10348098"/>
    <d v="2020-04-08T00:00:00"/>
    <n v="202101"/>
    <s v="1"/>
    <s v="EXP"/>
    <s v="B1502"/>
    <s v="DS33"/>
    <s v="Utilities to be invoiced to ODS - Court Place Farm Sports Pavilion Acc: 931679389  Gas 06/07/19 - 27/09/19"/>
    <n v="-554.55999999999995"/>
    <n v="-0.55455999999999994"/>
  </r>
  <r>
    <s v="S26"/>
    <x v="32"/>
    <s v="AJ"/>
    <n v="10348098"/>
    <d v="2020-04-08T00:00:00"/>
    <n v="202101"/>
    <s v="1"/>
    <s v="EXP"/>
    <s v="B1502"/>
    <s v="DS33"/>
    <s v="Utilities to be invoiced to ODS - Court Place Farm Sports Pavilion Acc: 931679389  Gas 28/09/19 - 08/01/20"/>
    <n v="508.84"/>
    <n v="0.50883999999999996"/>
  </r>
  <r>
    <s v="S26"/>
    <x v="33"/>
    <s v="AJ"/>
    <n v="10348098"/>
    <d v="2020-04-08T00:00:00"/>
    <n v="202101"/>
    <s v="1"/>
    <s v="EXP"/>
    <s v="B1502"/>
    <s v="DS40"/>
    <s v="Utilities to be invoiced to ODS - Cowley Marsh Depot Acc: 3004980726  Gas 01/01/20 - 31/01/20"/>
    <n v="2862.58"/>
    <n v="2.8625799999999999"/>
  </r>
  <r>
    <s v="S26"/>
    <x v="31"/>
    <s v="AJ"/>
    <n v="10348098"/>
    <d v="2020-04-08T00:00:00"/>
    <n v="202101"/>
    <s v="1"/>
    <s v="EXP"/>
    <s v="B1830"/>
    <s v="FC01"/>
    <s v="Utilities to be invoiced to ODS - Oxpens Car Park Offices Acc: 88888893502  Water 14/08/19 - 13/11/19"/>
    <n v="1737.15"/>
    <n v="1.7371500000000002"/>
  </r>
  <r>
    <s v="S26"/>
    <x v="31"/>
    <s v="AJ"/>
    <n v="10348098"/>
    <d v="2020-04-08T00:00:00"/>
    <n v="202101"/>
    <s v="1"/>
    <s v="EXP"/>
    <s v="B1501"/>
    <s v="FC24"/>
    <s v="Utilities to be invoiced to ODS - Gloucester Green Underground Car Park Acc: KS86222J  Electricity 01/01/20 - 31/01/20"/>
    <n v="134.16999999999999"/>
    <n v="0.13416999999999998"/>
  </r>
  <r>
    <s v="S26"/>
    <x v="31"/>
    <s v="AJ"/>
    <n v="10348098"/>
    <d v="2020-04-08T00:00:00"/>
    <n v="202101"/>
    <s v="1"/>
    <s v="EXP"/>
    <s v="B1501"/>
    <s v="FC24"/>
    <s v="Utilities to be invoiced to ODS - Gloucester Green Underground Car Park Acc: KS86222J  Electricity 01/02/20 - 29/02/20"/>
    <n v="133.04"/>
    <n v="0.13303999999999999"/>
  </r>
  <r>
    <s v="S26"/>
    <x v="34"/>
    <s v="AJ"/>
    <n v="10348098"/>
    <d v="2020-04-08T00:00:00"/>
    <n v="202101"/>
    <s v="1"/>
    <s v="EXP"/>
    <s v="B1501"/>
    <s v="DS32"/>
    <s v="Utilities to be invoiced to ODS - Cowley Road Public Toilets &amp; Sweepers Store Acc: 761541423  Electricity 02/11/19 - 01/02/20"/>
    <n v="100.58"/>
    <n v="0.10058"/>
  </r>
  <r>
    <s v="S26"/>
    <x v="32"/>
    <s v="AJ"/>
    <n v="10347950"/>
    <d v="2020-04-02T00:00:00"/>
    <n v="202101"/>
    <s v="1"/>
    <s v="EXP"/>
    <s v="B1830"/>
    <s v="DS33"/>
    <s v="Utilities to be invoiced to ODS - Horspath Athletics Pavilion Acc: 88888893546  Water 14/02/19 - 14/05/19"/>
    <n v="-85.45"/>
    <n v="-8.5449999999999998E-2"/>
  </r>
  <r>
    <s v="S26"/>
    <x v="34"/>
    <s v="AJ"/>
    <n v="10347950"/>
    <d v="2020-04-02T00:00:00"/>
    <n v="202101"/>
    <s v="1"/>
    <s v="EXP"/>
    <s v="B1501"/>
    <s v="DS32"/>
    <s v="Utilities to be invoiced to ODS - Godstow Road Public Toilets Acc: 571527961  Electricity 02/10/19 - 01/01/20"/>
    <n v="463.44"/>
    <n v="0.46344000000000002"/>
  </r>
  <r>
    <s v="S26"/>
    <x v="32"/>
    <s v="AJ"/>
    <n v="10347950"/>
    <d v="2020-04-02T00:00:00"/>
    <n v="202101"/>
    <s v="1"/>
    <s v="EXP"/>
    <s v="B1502"/>
    <s v="DS33"/>
    <s v="Utilities to be invoiced to ODS - Cutteslowe Lower Sports Pavilion Acc: 371677927  Gas 26/10/19 - 28/01/20"/>
    <n v="124.52"/>
    <n v="0.12451999999999999"/>
  </r>
  <r>
    <s v="S26"/>
    <x v="32"/>
    <s v="AJ"/>
    <n v="10347950"/>
    <d v="2020-04-02T00:00:00"/>
    <n v="202101"/>
    <s v="1"/>
    <s v="EXP"/>
    <s v="B1830"/>
    <s v="DS33"/>
    <s v="Utilities to be invoiced to ODS - Cutteslowe Bowls Pavilion Acc: 88888893509  Water 14/08/19 - 13/11/19"/>
    <n v="49.46"/>
    <n v="4.9460000000000004E-2"/>
  </r>
  <r>
    <s v="S26"/>
    <x v="32"/>
    <s v="AJ"/>
    <n v="10347950"/>
    <d v="2020-04-02T00:00:00"/>
    <n v="202101"/>
    <s v="1"/>
    <s v="EXP"/>
    <s v="B1830"/>
    <s v="DS33"/>
    <s v="Utilities to be invoiced to ODS - Cutteslowe Park Splash Feature Acc: 88888893504  Water 14/08/19 - 13/11/19"/>
    <n v="1785.25"/>
    <n v="1.78525"/>
  </r>
  <r>
    <s v="S26"/>
    <x v="32"/>
    <s v="AJ"/>
    <n v="10347950"/>
    <d v="2020-04-02T00:00:00"/>
    <n v="202101"/>
    <s v="1"/>
    <s v="EXP"/>
    <s v="B1501"/>
    <s v="DS33"/>
    <s v="Utilities to be invoiced to ODS - Rose Hill Cemetery Public Toilets Acc: 261526652  Electricity 27/06/19 - 30/09/19"/>
    <n v="2175.81"/>
    <n v="2.1758099999999998"/>
  </r>
  <r>
    <s v="S26"/>
    <x v="32"/>
    <s v="AJ"/>
    <n v="10347950"/>
    <d v="2020-04-02T00:00:00"/>
    <n v="202101"/>
    <s v="1"/>
    <s v="EXP"/>
    <s v="B1501"/>
    <s v="DS33"/>
    <s v="Utilities to be invoiced to ODS - Rose Hill Cemetery Public Toilets Acc: 261526652  Electricity 27/06/19 - 30/09/19"/>
    <n v="444.33"/>
    <n v="0.44433"/>
  </r>
  <r>
    <s v="S26"/>
    <x v="32"/>
    <s v="AJ"/>
    <n v="10347950"/>
    <d v="2020-04-02T00:00:00"/>
    <n v="202101"/>
    <s v="1"/>
    <s v="EXP"/>
    <s v="B1501"/>
    <s v="DS33"/>
    <s v="Utilities to be invoiced to ODS - Cutteslowe Park Offices Acc: 021525194  Electricity 02/12/19 - 01/03/20"/>
    <n v="-2347.7600000000002"/>
    <n v="-2.3477600000000001"/>
  </r>
  <r>
    <s v="S26"/>
    <x v="32"/>
    <s v="AJ"/>
    <n v="10347950"/>
    <d v="2020-04-02T00:00:00"/>
    <n v="202101"/>
    <s v="1"/>
    <s v="EXP"/>
    <s v="B1501"/>
    <s v="DS33"/>
    <s v="Utilities to be invoiced to ODS - Cutteslowe Park Offices Acc: 701526629  Electricity 02/12/19 - 01/03/20"/>
    <n v="-26004.02"/>
    <n v="-26.004020000000001"/>
  </r>
  <r>
    <s v="S26"/>
    <x v="32"/>
    <s v="AJ"/>
    <n v="10347950"/>
    <d v="2020-04-02T00:00:00"/>
    <n v="202101"/>
    <s v="1"/>
    <s v="EXP"/>
    <s v="B1501"/>
    <s v="DS33"/>
    <s v="Utilities to be invoiced to ODS - Cutteslowe Park Workshop &amp; Yard Acc: 691527524  Electricity 02/12/19 - 01/03/20"/>
    <n v="578.07000000000005"/>
    <n v="0.57807000000000008"/>
  </r>
  <r>
    <s v="S26"/>
    <x v="31"/>
    <s v="AJ"/>
    <n v="10347950"/>
    <d v="2020-04-02T00:00:00"/>
    <n v="202101"/>
    <s v="1"/>
    <s v="EXP"/>
    <s v="B1501"/>
    <s v="FC52"/>
    <s v="Utilities to be invoiced to ODS - Headington Car Park Acc: 071526508  Electricity 02/12/19 - 01/03/20"/>
    <n v="52.41"/>
    <n v="5.2409999999999998E-2"/>
  </r>
  <r>
    <s v="S26"/>
    <x v="31"/>
    <s v="AJ"/>
    <n v="10347950"/>
    <d v="2020-04-02T00:00:00"/>
    <n v="202101"/>
    <s v="1"/>
    <s v="EXP"/>
    <s v="B1501"/>
    <s v="FC54"/>
    <s v="Utilities to be invoiced to ODS - Ferry Leisure Centre Car Park Acc: 031526966  Electricity 02/12/19 - 01/03/20"/>
    <n v="423.45"/>
    <n v="0.42344999999999999"/>
  </r>
  <r>
    <s v="S26"/>
    <x v="33"/>
    <s v="AJ"/>
    <n v="10347950"/>
    <d v="2020-04-02T00:00:00"/>
    <n v="202101"/>
    <s v="1"/>
    <s v="EXP"/>
    <s v="B1501"/>
    <s v="DS40"/>
    <s v="Utilities to be invoiced to ODS - Cowley Marsh Depot Acc: KS86222B  Electricity 01/01/20 - 31/01/20"/>
    <n v="115.22"/>
    <n v="0.11522"/>
  </r>
  <r>
    <s v="S26"/>
    <x v="32"/>
    <s v="AJ"/>
    <n v="10347950"/>
    <d v="2020-04-02T00:00:00"/>
    <n v="202101"/>
    <s v="1"/>
    <s v="EXP"/>
    <s v="B1501"/>
    <s v="DS33"/>
    <s v="Utilities to be invoiced to ODS - Headington Cemetery Chapel &amp; Public Toilets Acc: 831526022  Electricity 02/12/19 - 01/03/20"/>
    <n v="-20.51"/>
    <n v="-2.051E-2"/>
  </r>
  <r>
    <s v="S26"/>
    <x v="32"/>
    <s v="AJ"/>
    <n v="10347950"/>
    <d v="2020-04-02T00:00:00"/>
    <n v="202101"/>
    <s v="1"/>
    <s v="EXP"/>
    <s v="B1501"/>
    <s v="DS33"/>
    <s v="Utilities to be invoiced to ODS - Five Mile Drive Sports Pavilion Acc: 421527637  Electricity 02/12/19 - 01/03/20"/>
    <n v="29.76"/>
    <n v="2.9760000000000002E-2"/>
  </r>
  <r>
    <s v="S26"/>
    <x v="33"/>
    <s v="AJ"/>
    <n v="10347950"/>
    <d v="2020-04-02T00:00:00"/>
    <n v="202101"/>
    <s v="1"/>
    <s v="EXP"/>
    <s v="B1830"/>
    <s v="DS40"/>
    <s v="Utilities to be invoiced to ODS - Cowley Marsh Depot Acc: 88888893496  Water 10/10/19 - 09/01/20"/>
    <n v="38.32"/>
    <n v="3.832E-2"/>
  </r>
  <r>
    <s v="S26"/>
    <x v="34"/>
    <s v="AJ"/>
    <n v="10347950"/>
    <d v="2020-04-02T00:00:00"/>
    <n v="202101"/>
    <s v="1"/>
    <s v="EXP"/>
    <s v="B1830"/>
    <s v="DS32"/>
    <s v="Utilities to be invoiced to ODS - Diamond Place Public Toilets Acc: 88888893523  Water 14/08/19 - 13/11/19"/>
    <n v="194.32"/>
    <n v="0.19431999999999999"/>
  </r>
  <r>
    <s v="S26"/>
    <x v="32"/>
    <s v="AJ"/>
    <n v="10347950"/>
    <d v="2020-04-02T00:00:00"/>
    <n v="202101"/>
    <s v="1"/>
    <s v="EXP"/>
    <s v="B1830"/>
    <s v="DS33"/>
    <s v="Utilities to be invoiced to ODS - Grandpont Sports Pavilion Acc: 88888893551  Water 10/07/19 - 09/11/19"/>
    <n v="8.99"/>
    <n v="8.9899999999999997E-3"/>
  </r>
  <r>
    <s v="S26"/>
    <x v="32"/>
    <s v="AJ"/>
    <n v="10347950"/>
    <d v="2020-04-02T00:00:00"/>
    <n v="202101"/>
    <s v="1"/>
    <s v="EXP"/>
    <s v="B1830"/>
    <s v="DS33"/>
    <s v="Utilities to be invoiced to ODS - Five Mile Drive Sports Pavilion Acc: 88888893550  Water 14/08/19 - 13/11/19"/>
    <n v="37.11"/>
    <n v="3.7109999999999997E-2"/>
  </r>
  <r>
    <s v="S26"/>
    <x v="34"/>
    <s v="AJ"/>
    <n v="10347950"/>
    <d v="2020-04-02T00:00:00"/>
    <n v="202101"/>
    <s v="1"/>
    <s v="EXP"/>
    <s v="B1830"/>
    <s v="DS32"/>
    <s v="Utilities to be invoiced to ODS - Gloucester Green Public Toilets &amp; Pump Room Acc: 88888893518  Water 14/08/19 - 13/11/19"/>
    <n v="3858.36"/>
    <n v="3.8583600000000002"/>
  </r>
  <r>
    <s v="S26"/>
    <x v="34"/>
    <s v="AJ"/>
    <n v="10347950"/>
    <d v="2020-04-02T00:00:00"/>
    <n v="202101"/>
    <s v="1"/>
    <s v="EXP"/>
    <s v="B1830"/>
    <s v="DS32"/>
    <s v="Utilities to be invoiced to ODS - Godstow Road Public Toilets Acc: 88888893527  Water 14/08/19 - 13/11/19"/>
    <n v="-582.48"/>
    <n v="-0.58248"/>
  </r>
  <r>
    <s v="S26"/>
    <x v="32"/>
    <s v="AJ"/>
    <n v="10347950"/>
    <d v="2020-04-02T00:00:00"/>
    <n v="202101"/>
    <s v="1"/>
    <s v="EXP"/>
    <s v="B1502"/>
    <s v="DS33"/>
    <s v="Utilities to be invoiced to ODS - Quarry Sports Pavilion Acc: 441712803  Gas 01/11/19 - 31/01/20"/>
    <n v="332.36"/>
    <n v="0.33235999999999999"/>
  </r>
  <r>
    <s v="S26"/>
    <x v="32"/>
    <s v="AJ"/>
    <n v="10347950"/>
    <d v="2020-04-02T00:00:00"/>
    <n v="202101"/>
    <s v="1"/>
    <s v="EXP"/>
    <s v="B1501"/>
    <s v="DS33"/>
    <s v="Utilities to be invoiced to ODS - Florence Park Public Toilets Acc: 931526453  Electricity 02/12/19 - 01/03/20"/>
    <n v="190.75"/>
    <n v="0.19075"/>
  </r>
  <r>
    <s v="S26"/>
    <x v="32"/>
    <s v="AJ"/>
    <n v="10347950"/>
    <d v="2020-04-02T00:00:00"/>
    <n v="202101"/>
    <s v="1"/>
    <s v="EXP"/>
    <s v="B1501"/>
    <s v="DS33"/>
    <s v="Utilities to be invoiced to ODS - Florence Park Tennis Courts Floodlights Acc: 201716262  Electricity 02/10/19 - 01/01/20"/>
    <n v="603.76"/>
    <n v="0.60375999999999996"/>
  </r>
  <r>
    <s v="S26"/>
    <x v="32"/>
    <s v="AJ"/>
    <n v="10347950"/>
    <d v="2020-04-02T00:00:00"/>
    <n v="202101"/>
    <s v="1"/>
    <s v="EXP"/>
    <s v="B1501"/>
    <s v="DS33"/>
    <s v="Utilities to be invoiced to ODS - Fry´s Hill Games Area Floodlights  Acc: 751586752  Electricity 02/12/19 - 01/03/20"/>
    <n v="79.87"/>
    <n v="7.987000000000001E-2"/>
  </r>
  <r>
    <s v="S26"/>
    <x v="32"/>
    <s v="AJ"/>
    <n v="10347950"/>
    <d v="2020-04-02T00:00:00"/>
    <n v="202101"/>
    <s v="1"/>
    <s v="EXP"/>
    <s v="B1501"/>
    <s v="DS33"/>
    <s v="Utilities to be invoiced to ODS - Grandpont Sports Pavilion Acc: 401575867  Electricity 02/11/19 - 01/03/20"/>
    <n v="473.92"/>
    <n v="0.47392000000000001"/>
  </r>
  <r>
    <s v="S26"/>
    <x v="33"/>
    <s v="AJ"/>
    <n v="10347950"/>
    <d v="2020-04-02T00:00:00"/>
    <n v="202101"/>
    <s v="1"/>
    <s v="EXP"/>
    <s v="B1501"/>
    <s v="DS40"/>
    <s v="Utilities to be invoiced to ODS - Horspath Depot Stores Building Acc: 861749071  Electricity 11/01/20 - 11/02/20"/>
    <n v="38.56"/>
    <n v="3.8560000000000004E-2"/>
  </r>
  <r>
    <s v="S26"/>
    <x v="32"/>
    <s v="AJ"/>
    <n v="10347950"/>
    <d v="2020-04-02T00:00:00"/>
    <n v="202101"/>
    <s v="1"/>
    <s v="EXP"/>
    <s v="B1501"/>
    <s v="DS33"/>
    <s v="Utilities to be invoiced to ODS - Cutteslowe Lower Sports Pavilion Acc: 791528072  Electricity 02/12/19 - 01/03/20"/>
    <n v="231.53"/>
    <n v="0.23153000000000001"/>
  </r>
  <r>
    <s v="S26"/>
    <x v="34"/>
    <s v="AJ"/>
    <n v="10347950"/>
    <d v="2020-04-02T00:00:00"/>
    <n v="202101"/>
    <s v="1"/>
    <s v="EXP"/>
    <s v="B1501"/>
    <s v="DS32"/>
    <s v="Utilities to be invoiced to ODS - Cowley Road Public Toilets &amp; Sweepers Store Acc: 701542067  Electricity 02/09/19 - 01/01/20"/>
    <n v="155.22"/>
    <n v="0.15522"/>
  </r>
  <r>
    <s v="S26"/>
    <x v="33"/>
    <s v="AJ"/>
    <n v="10347950"/>
    <d v="2020-04-02T00:00:00"/>
    <n v="202101"/>
    <s v="1"/>
    <s v="EXP"/>
    <s v="B1502"/>
    <s v="DS40"/>
    <s v="Utilities to be invoiced to ODS - Horspath Depot Stores Building Acc: 3004980781  Gas 01/02/20 - 29/02/20"/>
    <n v="-692.25"/>
    <n v="-0.69225000000000003"/>
  </r>
  <r>
    <s v="S26"/>
    <x v="32"/>
    <s v="AJ"/>
    <n v="10347950"/>
    <d v="2020-04-02T00:00:00"/>
    <n v="202101"/>
    <s v="1"/>
    <s v="EXP"/>
    <s v="B1502"/>
    <s v="DS33"/>
    <s v="Utilities to be invoiced to ODS - Cutteslowe Park Acc: 3005051720  Gas 01/01/20 - 31/01/20"/>
    <n v="66.81"/>
    <n v="6.6810000000000008E-2"/>
  </r>
  <r>
    <s v="S26"/>
    <x v="31"/>
    <s v="AJ"/>
    <n v="10347950"/>
    <d v="2020-04-02T00:00:00"/>
    <n v="202101"/>
    <s v="1"/>
    <s v="EXP"/>
    <s v="B1830"/>
    <s v="FC23"/>
    <s v="Utilities to be invoiced to ODS - Worcester Street Car Park Acc: 88888893408  Water 01/04/19 - 09/12/19"/>
    <n v="695.82"/>
    <n v="0.69582000000000011"/>
  </r>
  <r>
    <s v="S26"/>
    <x v="36"/>
    <s v="AJ"/>
    <n v="10348270"/>
    <d v="2020-04-16T00:00:00"/>
    <n v="202101"/>
    <s v="1"/>
    <s v="INC"/>
    <s v="K6664"/>
    <s v="QA99"/>
    <s v="2019/20 Insurance Charges"/>
    <n v="380150.26"/>
    <n v="380.15026"/>
  </r>
  <r>
    <s v="S26"/>
    <x v="31"/>
    <s v="AJ"/>
    <n v="10347950"/>
    <d v="2020-04-02T00:00:00"/>
    <n v="202101"/>
    <s v="1"/>
    <s v="EXP"/>
    <s v="B1830"/>
    <s v="FC23"/>
    <s v="Utilities to be invoiced to ODS - Worcester Street Car Park Acc: 88888893408  Water 01/08/18 - 31/03/19"/>
    <n v="412.85"/>
    <n v="0.41285000000000005"/>
  </r>
  <r>
    <s v="S26"/>
    <x v="34"/>
    <s v="AJ"/>
    <n v="10347950"/>
    <d v="2020-04-02T00:00:00"/>
    <n v="202101"/>
    <s v="1"/>
    <s v="EXP"/>
    <s v="B1830"/>
    <s v="DS32"/>
    <s v="Utilities to be invoiced to ODS - Speedwell Street Public Toilets Acc: 88888893519  Water 14/08/19 - 13/11/19"/>
    <n v="1083.52"/>
    <n v="1.08352"/>
  </r>
  <r>
    <s v="S26"/>
    <x v="32"/>
    <s v="AJ"/>
    <n v="10347950"/>
    <d v="2020-04-02T00:00:00"/>
    <n v="202101"/>
    <s v="1"/>
    <s v="EXP"/>
    <s v="B1830"/>
    <s v="DS33"/>
    <s v="Utilities to be invoiced to ODS - Wolvercote Bathing Place Acc: 88888893514  Water 10/08/19 - 09/11/19"/>
    <n v="206.91"/>
    <n v="0.20690999999999998"/>
  </r>
  <r>
    <s v="S26"/>
    <x v="34"/>
    <s v="AJ"/>
    <n v="10347950"/>
    <d v="2020-04-02T00:00:00"/>
    <n v="202101"/>
    <s v="1"/>
    <s v="EXP"/>
    <s v="B1501"/>
    <s v="DS32"/>
    <s v="Utilities to be invoiced to ODS - Market Street Public Toilets Acc: 491803540  Electricity 02/12/19 - 01/01/20"/>
    <n v="754.39"/>
    <n v="0.75439000000000001"/>
  </r>
  <r>
    <s v="S26"/>
    <x v="34"/>
    <s v="AJ"/>
    <n v="10347950"/>
    <d v="2020-04-02T00:00:00"/>
    <n v="202101"/>
    <s v="1"/>
    <s v="EXP"/>
    <s v="B1501"/>
    <s v="DS32"/>
    <s v="Utilities to be invoiced to ODS - Speedwell Street Public Toilets Acc: 681525917  Electricity 13/12/19 - 01/01/20"/>
    <n v="292.85000000000002"/>
    <n v="0.29285"/>
  </r>
  <r>
    <s v="S26"/>
    <x v="34"/>
    <s v="AJ"/>
    <n v="10347950"/>
    <d v="2020-04-02T00:00:00"/>
    <n v="202101"/>
    <s v="1"/>
    <s v="EXP"/>
    <s v="B1830"/>
    <s v="DS32"/>
    <s v="Utilities to be invoiced to ODS - Market Street Public Toilets Acc: 88888893528  Water 14/08/19 - 13/11/19"/>
    <n v="100.58"/>
    <n v="0.10058"/>
  </r>
  <r>
    <s v="S26"/>
    <x v="34"/>
    <s v="AJ"/>
    <n v="10347950"/>
    <d v="2020-04-02T00:00:00"/>
    <n v="202101"/>
    <s v="1"/>
    <s v="EXP"/>
    <s v="B1501"/>
    <s v="DS32"/>
    <s v="Utilities to be invoiced to ODS - St Clements Car Park Acc: 641587027  Electricity 02/12/19 - 01/03/20"/>
    <n v="233.99"/>
    <n v="0.23399"/>
  </r>
  <r>
    <s v="S26"/>
    <x v="34"/>
    <s v="AJ"/>
    <n v="10347950"/>
    <d v="2020-04-02T00:00:00"/>
    <n v="202101"/>
    <s v="1"/>
    <s v="EXP"/>
    <s v="B1830"/>
    <s v="DS32"/>
    <s v="Utilities to be invoiced to ODS - Abingdon Road Public Toilets Acc: 88888893531  Water 14/08/19 - 13/11/19"/>
    <n v="64.42"/>
    <n v="6.4420000000000005E-2"/>
  </r>
  <r>
    <s v="S26"/>
    <x v="32"/>
    <s v="AJ"/>
    <n v="10347950"/>
    <d v="2020-04-02T00:00:00"/>
    <n v="202101"/>
    <s v="1"/>
    <s v="EXP"/>
    <s v="B1501"/>
    <s v="DS33"/>
    <s v="Utilities to be invoiced to ODS - Cowley Marsh Sports Pavilion Acc: 061643899  Electricity 01/01/20 - 31/01/20"/>
    <n v="163.27000000000001"/>
    <n v="0.16327"/>
  </r>
  <r>
    <s v="S26"/>
    <x v="32"/>
    <s v="AJ"/>
    <n v="10347950"/>
    <d v="2020-04-02T00:00:00"/>
    <n v="202101"/>
    <s v="1"/>
    <s v="EXP"/>
    <s v="B1501"/>
    <s v="DS33"/>
    <s v="Utilities to be invoiced to ODS - Cowley Marsh Sports Pavilion Acc: 061643899  Electricity 01/12/19 - 31/12/19"/>
    <n v="-487.66"/>
    <n v="-0.48766000000000004"/>
  </r>
  <r>
    <s v="S26"/>
    <x v="33"/>
    <s v="AJ"/>
    <n v="10347950"/>
    <d v="2020-04-02T00:00:00"/>
    <n v="202101"/>
    <s v="1"/>
    <s v="EXP"/>
    <s v="B1502"/>
    <s v="DS40"/>
    <s v="Utilities to be invoiced to ODS - Cowley Marsh Depot Acc: 3004980726  Gas 01/01/20 - 31/01/20"/>
    <n v="2492.31"/>
    <n v="2.4923099999999998"/>
  </r>
  <r>
    <s v="S26"/>
    <x v="33"/>
    <s v="AJ"/>
    <n v="10347950"/>
    <d v="2020-04-02T00:00:00"/>
    <n v="202101"/>
    <s v="1"/>
    <s v="EXP"/>
    <s v="B1830"/>
    <s v="DS40"/>
    <s v="Utilities to be invoiced to ODS - Horspath Depot Stores Building Acc: 88888893499  Water 14/08/19 - 13/11/19"/>
    <n v="82.28"/>
    <n v="8.2280000000000006E-2"/>
  </r>
  <r>
    <s v="S26"/>
    <x v="32"/>
    <s v="AJ"/>
    <n v="10347950"/>
    <d v="2020-04-02T00:00:00"/>
    <n v="202101"/>
    <s v="1"/>
    <s v="EXP"/>
    <s v="B1830"/>
    <s v="DS33"/>
    <s v="Utilities to be invoiced to ODS - Cowley Marsh Sports Pavilion Acc: 88888893547  Water 10/08/19 - 09/11/19"/>
    <n v="374.62"/>
    <n v="0.37462000000000001"/>
  </r>
  <r>
    <s v="S26"/>
    <x v="32"/>
    <s v="AJ"/>
    <n v="10347950"/>
    <d v="2020-04-02T00:00:00"/>
    <n v="202101"/>
    <s v="1"/>
    <s v="EXP"/>
    <s v="B1830"/>
    <s v="DS33"/>
    <s v="Utilities to be invoiced to ODS - Horspath Road Sports Pitches Acc: 88888893553  Water 10/08/19 - 09/11/19"/>
    <n v="18.13"/>
    <n v="1.813E-2"/>
  </r>
  <r>
    <s v="S26"/>
    <x v="34"/>
    <s v="AJ"/>
    <n v="10347950"/>
    <d v="2020-04-02T00:00:00"/>
    <n v="202101"/>
    <s v="1"/>
    <s v="EXP"/>
    <s v="B1830"/>
    <s v="DS32"/>
    <s v="Utilities to be invoiced to ODS - Magdalen Street Female Public Toilets Acc: 88888893521  Water 14/08/19 - 13/11/19"/>
    <n v="2591.0300000000002"/>
    <n v="2.5910300000000004"/>
  </r>
  <r>
    <s v="S26"/>
    <x v="33"/>
    <s v="AJ"/>
    <n v="10347950"/>
    <d v="2020-04-02T00:00:00"/>
    <n v="202101"/>
    <s v="1"/>
    <s v="EXP"/>
    <s v="B1501"/>
    <s v="DS40"/>
    <s v="Utilities to be invoiced to ODS - Horspath Depot Stores Building Garage Acc: 821526329  Electricity 16/10/19 - 14/01/20"/>
    <n v="29.24"/>
    <n v="2.9239999999999999E-2"/>
  </r>
  <r>
    <s v="S26"/>
    <x v="33"/>
    <s v="AJ"/>
    <n v="10347950"/>
    <d v="2020-04-02T00:00:00"/>
    <n v="202101"/>
    <s v="1"/>
    <s v="EXP"/>
    <s v="B1501"/>
    <s v="DS40"/>
    <s v="Utilities to be invoiced to ODS - Horspath Road Car Park CCTV Camera Acc: 921550688  Electricity 02/11/19 - 01/02/20"/>
    <n v="1049.0999999999999"/>
    <n v="1.0490999999999999"/>
  </r>
  <r>
    <s v="S26"/>
    <x v="34"/>
    <s v="AJ"/>
    <n v="10347950"/>
    <d v="2020-04-02T00:00:00"/>
    <n v="202101"/>
    <s v="1"/>
    <s v="EXP"/>
    <s v="B1501"/>
    <s v="DS32"/>
    <s v="Utilities to be invoiced to ODS - Magdalen Street Female Public Toilets Acc: 401526577  Electricity 02/11/19 - 01/02/20"/>
    <n v="554.55999999999995"/>
    <n v="0.55455999999999994"/>
  </r>
  <r>
    <s v="S26"/>
    <x v="34"/>
    <s v="AJ"/>
    <n v="10347950"/>
    <d v="2020-04-02T00:00:00"/>
    <n v="202101"/>
    <s v="1"/>
    <s v="EXP"/>
    <s v="B1501"/>
    <s v="DS32"/>
    <s v="Utilities to be invoiced to ODS - Magdalen Street Female Public Toilets Acc: 401526577  Electricity 11/10/19 - 01/11/19"/>
    <n v="-554.55999999999995"/>
    <n v="-0.55455999999999994"/>
  </r>
  <r>
    <s v="S26"/>
    <x v="34"/>
    <s v="AJ"/>
    <n v="10347950"/>
    <d v="2020-04-02T00:00:00"/>
    <n v="202101"/>
    <s v="1"/>
    <s v="EXP"/>
    <s v="B1501"/>
    <s v="DS32"/>
    <s v="Utilities to be invoiced to ODS - Magdalen Street Female Public Toilets Acc: 401526577  Electricity 12/04/19 - 10/10/19"/>
    <n v="508.84"/>
    <n v="0.50883999999999996"/>
  </r>
  <r>
    <s v="S26"/>
    <x v="34"/>
    <s v="AJ"/>
    <n v="10347950"/>
    <d v="2020-04-02T00:00:00"/>
    <n v="202101"/>
    <s v="1"/>
    <s v="EXP"/>
    <s v="B1501"/>
    <s v="DS32"/>
    <s v="Utilities to be invoiced to ODS - Market Street Public Toilets Acc: 491803540  Electricity 02/01/20 - 01/02/20"/>
    <n v="4066.18"/>
    <n v="4.0661800000000001"/>
  </r>
  <r>
    <s v="S26"/>
    <x v="32"/>
    <s v="AJ"/>
    <n v="10347950"/>
    <d v="2020-04-02T00:00:00"/>
    <n v="202101"/>
    <s v="1"/>
    <s v="EXP"/>
    <s v="B1501"/>
    <s v="DS33"/>
    <s v="Utilities to be invoiced to ODS - Rose Hill Cemetery Public Toilets Acc: 261526652  Electricity 29/03/19 - 26/06/19"/>
    <n v="109.92"/>
    <n v="0.10992"/>
  </r>
  <r>
    <s v="S26"/>
    <x v="32"/>
    <s v="AJ"/>
    <n v="10347950"/>
    <d v="2020-04-02T00:00:00"/>
    <n v="202101"/>
    <s v="1"/>
    <s v="EXP"/>
    <s v="B1501"/>
    <s v="DS33"/>
    <s v="Utilities to be invoiced to ODS - Alexandra Courts Tennis Pavilion Acc: 161527387  Electricity 02/10/19 - 01/01/20"/>
    <n v="64.55"/>
    <n v="6.4549999999999996E-2"/>
  </r>
  <r>
    <s v="S26"/>
    <x v="32"/>
    <s v="AJ"/>
    <n v="10347950"/>
    <d v="2020-04-02T00:00:00"/>
    <n v="202101"/>
    <s v="1"/>
    <s v="EXP"/>
    <s v="B1501"/>
    <s v="DS33"/>
    <s v="Utilities to be invoiced to ODS - Aristotle Lane Surface Water Pumping Station Acc: 921525327  Electricity 02/12/19 - 01/03/20"/>
    <n v="1014.81"/>
    <n v="1.01481"/>
  </r>
  <r>
    <s v="S26"/>
    <x v="32"/>
    <s v="AJ"/>
    <n v="10347950"/>
    <d v="2020-04-02T00:00:00"/>
    <n v="202101"/>
    <s v="1"/>
    <s v="EXP"/>
    <s v="B1501"/>
    <s v="DS33"/>
    <s v="Utilities to be invoiced to ODS - Banbury Road North Sports Ground Acc: 211524908  Electricity 02/12/19 - 01/03/20"/>
    <n v="256.33"/>
    <n v="0.25633"/>
  </r>
  <r>
    <s v="S26"/>
    <x v="32"/>
    <s v="AJ"/>
    <n v="10347950"/>
    <d v="2020-04-02T00:00:00"/>
    <n v="202101"/>
    <s v="1"/>
    <s v="EXP"/>
    <s v="B1501"/>
    <s v="DS33"/>
    <s v="Utilities to be invoiced to ODS - Horspath Athletics Pavilion Acc: KS86222C  Electricity 01/02/20 - 29/02/20"/>
    <n v="40.159999999999997"/>
    <n v="4.0159999999999994E-2"/>
  </r>
  <r>
    <s v="S26"/>
    <x v="32"/>
    <s v="AJ"/>
    <n v="10347950"/>
    <d v="2020-04-02T00:00:00"/>
    <n v="202101"/>
    <s v="1"/>
    <s v="EXP"/>
    <s v="B1501"/>
    <s v="DS33"/>
    <s v="Utilities to be invoiced to ODS - Union Street Sports Floodlights Acc: 721787592  Electricity 02/12/19 - 01/01/20"/>
    <n v="-78.62"/>
    <n v="-7.8620000000000009E-2"/>
  </r>
  <r>
    <s v="S26"/>
    <x v="33"/>
    <s v="AJ"/>
    <n v="10347950"/>
    <d v="2020-04-02T00:00:00"/>
    <n v="202101"/>
    <s v="1"/>
    <s v="EXP"/>
    <s v="B1502"/>
    <s v="DS40"/>
    <s v="Utilities to be invoiced to ODS - Horspath Depot Main Building Acc: 3004980627  Gas 01/01/20 - 31/01/20"/>
    <n v="145.91"/>
    <n v="0.14590999999999998"/>
  </r>
  <r>
    <s v="S26"/>
    <x v="33"/>
    <s v="AJ"/>
    <n v="10347950"/>
    <d v="2020-04-02T00:00:00"/>
    <n v="202101"/>
    <s v="1"/>
    <s v="EXP"/>
    <s v="B1502"/>
    <s v="DS40"/>
    <s v="Utilities to be invoiced to ODS - Horspath Depot Main Building Acc: 3004980627  Gas 01/02/20 - 29/02/20"/>
    <n v="91.16"/>
    <n v="9.1159999999999991E-2"/>
  </r>
  <r>
    <s v="S26"/>
    <x v="33"/>
    <s v="AJ"/>
    <n v="10347950"/>
    <d v="2020-04-02T00:00:00"/>
    <n v="202101"/>
    <s v="1"/>
    <s v="EXP"/>
    <s v="B1502"/>
    <s v="DS40"/>
    <s v="Utilities to be invoiced to ODS - Horspath Depot Stores Building Acc: 3004980781  Gas 01/01/20 - 31/01/20"/>
    <n v="-1323.69"/>
    <n v="-1.32369"/>
  </r>
  <r>
    <s v="S26"/>
    <x v="31"/>
    <s v="AJ"/>
    <n v="10347950"/>
    <d v="2020-04-02T00:00:00"/>
    <n v="202101"/>
    <s v="1"/>
    <s v="EXP"/>
    <s v="B1502"/>
    <s v="FC01"/>
    <s v="Utilities to be invoiced to ODS - Oxpens Car Park Offices Acc: 451677660  Gas 01/11/19 - 11/02/20"/>
    <n v="3857.55"/>
    <n v="3.8575500000000003"/>
  </r>
  <r>
    <s v="S26"/>
    <x v="31"/>
    <s v="AJ"/>
    <n v="10347950"/>
    <d v="2020-04-02T00:00:00"/>
    <n v="202101"/>
    <s v="1"/>
    <s v="EXP"/>
    <s v="B1501"/>
    <s v="FC01"/>
    <s v="Utilities to be invoiced to ODS - Unmetered Car Park Lighting Acc: 931528944  Electricity 03/01/20 - 03/02/20"/>
    <n v="852.01"/>
    <n v="0.85201000000000005"/>
  </r>
  <r>
    <s v="S26"/>
    <x v="34"/>
    <s v="AJ"/>
    <n v="10347950"/>
    <d v="2020-04-02T00:00:00"/>
    <n v="202101"/>
    <s v="1"/>
    <s v="EXP"/>
    <s v="B1501"/>
    <s v="DS32"/>
    <s v="Utilities to be invoiced to ODS - South Parade Female &amp; Disabled Public Toilets Acc: 501527874  Electricity 03/10/19 - 01/02/20"/>
    <n v="84.72"/>
    <n v="8.4720000000000004E-2"/>
  </r>
  <r>
    <s v="S26"/>
    <x v="32"/>
    <s v="AJ"/>
    <n v="10347950"/>
    <d v="2020-04-02T00:00:00"/>
    <n v="202101"/>
    <s v="1"/>
    <s v="EXP"/>
    <s v="B1501"/>
    <s v="DS33"/>
    <s v="Utilities to be invoiced to ODS - Rose Hill Cemetery Public Toilets Acc: 261526652  Electricity 01/10/19 - 20/12/19"/>
    <n v="333.41"/>
    <n v="0.33341000000000004"/>
  </r>
  <r>
    <s v="S26"/>
    <x v="32"/>
    <s v="AJ"/>
    <n v="10347950"/>
    <d v="2020-04-02T00:00:00"/>
    <n v="202101"/>
    <s v="1"/>
    <s v="EXP"/>
    <s v="B1830"/>
    <s v="DS33"/>
    <s v="Utilities to be invoiced to ODS - Raleigh Park Cattle Trough Acc: 88888893508  Water 14/08/19 - 13/11/19"/>
    <n v="73.930000000000007"/>
    <n v="7.393000000000001E-2"/>
  </r>
  <r>
    <s v="S26"/>
    <x v="32"/>
    <s v="AJ"/>
    <n v="10347950"/>
    <d v="2020-04-02T00:00:00"/>
    <n v="202101"/>
    <s v="1"/>
    <s v="EXP"/>
    <s v="B1830"/>
    <s v="DS33"/>
    <s v="Utilities to be invoiced to ODS - Rose Hill Cemetery Chapel Acc: 88888893511  Water 14/11/19 - 13/02/20"/>
    <n v="62.03"/>
    <n v="6.2030000000000002E-2"/>
  </r>
  <r>
    <s v="S26"/>
    <x v="31"/>
    <s v="AJ"/>
    <n v="10347950"/>
    <d v="2020-04-02T00:00:00"/>
    <n v="202101"/>
    <s v="1"/>
    <s v="EXP"/>
    <s v="B1830"/>
    <s v="FC75"/>
    <s v="Utilities to be invoiced to ODS - Redbridge Park and Ride Acc: 88888895161  Water 14/08/19 - 13/11/19"/>
    <n v="161.77000000000001"/>
    <n v="0.16177"/>
  </r>
  <r>
    <s v="S26"/>
    <x v="32"/>
    <s v="AJ"/>
    <n v="10347950"/>
    <d v="2020-04-02T00:00:00"/>
    <n v="202101"/>
    <s v="1"/>
    <s v="EXP"/>
    <s v="B1830"/>
    <s v="DS33"/>
    <s v="Utilities to be invoiced to ODS - Rose Hill Cemetery Public Toilets Acc: 88888893533  Water 14/08/19 - 13/11/19"/>
    <n v="90.95"/>
    <n v="9.0950000000000003E-2"/>
  </r>
  <r>
    <s v="S26"/>
    <x v="32"/>
    <s v="AJ"/>
    <n v="10347950"/>
    <d v="2020-04-02T00:00:00"/>
    <n v="202101"/>
    <s v="1"/>
    <s v="EXP"/>
    <s v="B1830"/>
    <s v="DS33"/>
    <s v="Utilities to be invoiced to ODS - Sandy Lane Sports Pavilion Acc: 88888893554  Water 14/08/19 - 13/11/19"/>
    <n v="522.59"/>
    <n v="0.52259"/>
  </r>
  <r>
    <s v="S26"/>
    <x v="32"/>
    <s v="AJ"/>
    <n v="10347950"/>
    <d v="2020-04-02T00:00:00"/>
    <n v="202101"/>
    <s v="1"/>
    <s v="EXP"/>
    <s v="B1501"/>
    <s v="DS33"/>
    <s v="Utilities to be invoiced to ODS - Rose Hill Cemetery Public Toilets Acc: 261526652  Electricity 29/03/19 - 26/06/19"/>
    <n v="735.18"/>
    <n v="0.73517999999999994"/>
  </r>
  <r>
    <s v="S26"/>
    <x v="32"/>
    <s v="AJ"/>
    <n v="10347950"/>
    <d v="2020-04-02T00:00:00"/>
    <n v="202101"/>
    <s v="1"/>
    <s v="EXP"/>
    <s v="B1501"/>
    <s v="DS33"/>
    <s v="Utilities to be invoiced to ODS - Sandy Lane Sports Pavilion Acc: 781525201  Electricity 02/12/19 - 01/03/20"/>
    <n v="1499.15"/>
    <n v="1.49915"/>
  </r>
  <r>
    <s v="S26"/>
    <x v="31"/>
    <s v="AJ"/>
    <n v="10347950"/>
    <d v="2020-04-02T00:00:00"/>
    <n v="202101"/>
    <s v="1"/>
    <s v="EXP"/>
    <s v="B1501"/>
    <s v="FC02"/>
    <s v="Utilities to be invoiced to ODS - Oatlands Road Recreation Ground Car Park Acc: 951716435  Electricity 02/12/19 - 01/03/20"/>
    <n v="360.95"/>
    <n v="0.36094999999999999"/>
  </r>
  <r>
    <s v="S26"/>
    <x v="31"/>
    <s v="AJ"/>
    <n v="10347950"/>
    <d v="2020-04-02T00:00:00"/>
    <n v="202101"/>
    <s v="1"/>
    <s v="EXP"/>
    <s v="B1501"/>
    <s v="FC73"/>
    <s v="Utilities to be invoiced to ODS - Pear Tree Park and Ride Acc: 801524283  Electricity 02/12/19 - 01/03/20"/>
    <n v="39.340000000000003"/>
    <n v="3.934E-2"/>
  </r>
  <r>
    <s v="S26"/>
    <x v="34"/>
    <s v="AJ"/>
    <n v="10347950"/>
    <d v="2020-04-02T00:00:00"/>
    <n v="202101"/>
    <s v="1"/>
    <s v="EXP"/>
    <s v="B1501"/>
    <s v="DS32"/>
    <s v="Utilities to be invoiced to ODS - Speedwell Street Public Toilets Acc: 681525917  Electricity 09/05/19 - 08/08/19"/>
    <n v="39.409999999999997"/>
    <n v="3.9409999999999994E-2"/>
  </r>
  <r>
    <s v="S26"/>
    <x v="32"/>
    <s v="AJ"/>
    <n v="10347950"/>
    <d v="2020-04-02T00:00:00"/>
    <n v="202101"/>
    <s v="1"/>
    <s v="EXP"/>
    <s v="B1501"/>
    <s v="DS33"/>
    <s v="Utilities to be invoiced to ODS - Quarry Sports Pavilion Acc: 191696539  Electricity 02/11/19 - 01/02/20"/>
    <n v="73.930000000000007"/>
    <n v="7.393000000000001E-2"/>
  </r>
  <r>
    <s v="S26"/>
    <x v="32"/>
    <s v="AJ"/>
    <n v="10347950"/>
    <d v="2020-04-02T00:00:00"/>
    <n v="202101"/>
    <s v="1"/>
    <s v="EXP"/>
    <s v="B1501"/>
    <s v="DS33"/>
    <s v="Utilities to be invoiced to ODS - Rose Hill Cemetery Public Toilets Acc: 261526652  Electricity 01/10/19 - 20/12/19"/>
    <n v="133.04"/>
    <n v="0.13303999999999999"/>
  </r>
  <r>
    <s v="S26"/>
    <x v="31"/>
    <s v="AJ"/>
    <n v="10347950"/>
    <d v="2020-04-02T00:00:00"/>
    <n v="202101"/>
    <s v="1"/>
    <s v="EXP"/>
    <s v="B1830"/>
    <s v="FC01"/>
    <s v="Utilities to be invoiced to ODS - Oxpens Car Park Offices Acc: 88888893502  Water 14/08/19 - 13/11/19"/>
    <n v="1488.76"/>
    <n v="1.4887600000000001"/>
  </r>
  <r>
    <s v="S26"/>
    <x v="32"/>
    <s v="AJ"/>
    <n v="10347950"/>
    <d v="2020-04-02T00:00:00"/>
    <n v="202101"/>
    <s v="1"/>
    <s v="EXP"/>
    <s v="B1501"/>
    <s v="DS33"/>
    <s v="Utilities to be invoiced to ODS - Wolvercote Cemetery Chapel Acc: 051525045  Electricity 02/12/19 - 01/03/20"/>
    <n v="345.86"/>
    <n v="0.34586"/>
  </r>
  <r>
    <s v="S26"/>
    <x v="32"/>
    <s v="AJ"/>
    <n v="10347950"/>
    <d v="2020-04-02T00:00:00"/>
    <n v="202101"/>
    <s v="1"/>
    <s v="EXP"/>
    <s v="B1501"/>
    <s v="DS33"/>
    <s v="Utilities to be invoiced to ODS - Horspath Athletics Pavilion Acc: KS86222C  Electricity 01/01/20 - 31/01/20"/>
    <n v="-85.45"/>
    <n v="-8.5449999999999998E-2"/>
  </r>
  <r>
    <s v="S26"/>
    <x v="33"/>
    <s v="AJ"/>
    <n v="10347950"/>
    <d v="2020-04-02T00:00:00"/>
    <n v="202101"/>
    <s v="1"/>
    <s v="EXP"/>
    <s v="B1501"/>
    <s v="DS40"/>
    <s v="Utilities to be invoiced to ODS - Cowley Marsh Depot Acc: KS86222B  Electricity 01/02/20 - 29/02/20"/>
    <n v="-31.35"/>
    <n v="-3.1350000000000003E-2"/>
  </r>
  <r>
    <s v="S26"/>
    <x v="33"/>
    <s v="AJ"/>
    <n v="10347950"/>
    <d v="2020-04-02T00:00:00"/>
    <n v="202101"/>
    <s v="1"/>
    <s v="EXP"/>
    <s v="B1501"/>
    <s v="DS40"/>
    <s v="Utilities to be invoiced to ODS - Horspath Depot Stores Building Acc: 861749071  Electricity 11/12/19 - 10/01/20"/>
    <n v="35.380000000000003"/>
    <n v="3.5380000000000002E-2"/>
  </r>
  <r>
    <s v="S26"/>
    <x v="31"/>
    <s v="AJ"/>
    <n v="10347950"/>
    <d v="2020-04-02T00:00:00"/>
    <n v="202101"/>
    <s v="1"/>
    <s v="EXP"/>
    <s v="B1501"/>
    <s v="FC01"/>
    <s v="Utilities to be invoiced to ODS - Oxpens Car Park Offices Acc: 411622181  Electricity 10/10/19 - 01/01/20"/>
    <n v="1941.17"/>
    <n v="1.9411700000000001"/>
  </r>
  <r>
    <s v="S26"/>
    <x v="32"/>
    <s v="AJ"/>
    <n v="10347950"/>
    <d v="2020-04-02T00:00:00"/>
    <n v="202101"/>
    <s v="1"/>
    <s v="EXP"/>
    <s v="B1501"/>
    <s v="DS33"/>
    <s v="Utilities to be invoiced to ODS - Blackbird Leys Bowls Pavilion &amp; Park Depot Acc: 771525230  Electricity 02/12/19 - 01/03/20"/>
    <n v="2379.9299999999998"/>
    <n v="2.3799299999999999"/>
  </r>
  <r>
    <s v="S26"/>
    <x v="34"/>
    <s v="AJ"/>
    <n v="10347950"/>
    <d v="2020-04-02T00:00:00"/>
    <n v="202101"/>
    <s v="1"/>
    <s v="EXP"/>
    <s v="B1501"/>
    <s v="DS32"/>
    <s v="Utilities to be invoiced to ODS - Speedwell Street Public Toilets Acc: 681525917  Electricity 09/08/19 - 12/12/19"/>
    <n v="173.81"/>
    <n v="0.17380999999999999"/>
  </r>
  <r>
    <s v="S26"/>
    <x v="34"/>
    <s v="AJ"/>
    <n v="10347950"/>
    <d v="2020-04-02T00:00:00"/>
    <n v="202101"/>
    <s v="1"/>
    <s v="EXP"/>
    <s v="B1501"/>
    <s v="DS32"/>
    <s v="Utilities to be invoiced to ODS - Speedwell Street Public Toilets Acc: 681525917  Electricity 12/02/19 - 08/05/19"/>
    <n v="78.83"/>
    <n v="7.8829999999999997E-2"/>
  </r>
  <r>
    <s v="S26"/>
    <x v="34"/>
    <s v="AJ"/>
    <n v="10347950"/>
    <d v="2020-04-02T00:00:00"/>
    <n v="202101"/>
    <s v="1"/>
    <s v="EXP"/>
    <s v="B1501"/>
    <s v="DS32"/>
    <s v="Utilities to be invoiced to ODS - Cowley Road Public Toilets &amp; Sweepers Store Acc: 761541423  Electricity 02/11/19 - 01/02/20"/>
    <n v="134.16999999999999"/>
    <n v="0.13416999999999998"/>
  </r>
  <r>
    <s v="S26"/>
    <x v="32"/>
    <s v="AJ"/>
    <n v="10347950"/>
    <d v="2020-04-02T00:00:00"/>
    <n v="202101"/>
    <s v="1"/>
    <s v="EXP"/>
    <s v="B1830"/>
    <s v="DS33"/>
    <s v="Utilities to be invoiced to ODS - Blackbird Leys Bowls Pavilion &amp; Park Depot Acc: 88888893552  Water 10/08/19 - 09/11/19"/>
    <n v="4684.2700000000004"/>
    <n v="4.6842700000000006"/>
  </r>
  <r>
    <s v="S26"/>
    <x v="34"/>
    <s v="AJ"/>
    <n v="10347950"/>
    <d v="2020-04-02T00:00:00"/>
    <n v="202101"/>
    <s v="1"/>
    <s v="EXP"/>
    <s v="B1830"/>
    <s v="DS32"/>
    <s v="Utilities to be invoiced to ODS - Cowley Road Public Toilets &amp; Sweepers Store Acc: 88888893520  Water 14/08/19 - 13/11/19"/>
    <n v="2293.4899999999998"/>
    <n v="2.2934899999999998"/>
  </r>
  <r>
    <s v="S26"/>
    <x v="34"/>
    <s v="AJ"/>
    <n v="10347950"/>
    <d v="2020-04-02T00:00:00"/>
    <n v="202101"/>
    <s v="1"/>
    <s v="EXP"/>
    <s v="B1830"/>
    <s v="DS32"/>
    <s v="Utilities to be invoiced to ODS - Knights Road Public Toilets Acc: 88888893524  Water 14/08/19 - 13/11/19"/>
    <n v="612.91"/>
    <n v="0.61290999999999995"/>
  </r>
  <r>
    <s v="S26"/>
    <x v="34"/>
    <s v="AJ"/>
    <n v="10347950"/>
    <d v="2020-04-02T00:00:00"/>
    <n v="202101"/>
    <s v="1"/>
    <s v="EXP"/>
    <s v="B1830"/>
    <s v="DS32"/>
    <s v="Utilities to be invoiced to ODS - Littlemore Public Toilets Acc: 88888893534  Water 10/08/19 - 09/11/19"/>
    <n v="70.34"/>
    <n v="7.034E-2"/>
  </r>
  <r>
    <s v="S26"/>
    <x v="32"/>
    <s v="AJ"/>
    <n v="10347950"/>
    <d v="2020-04-02T00:00:00"/>
    <n v="202101"/>
    <s v="1"/>
    <s v="EXP"/>
    <s v="B1830"/>
    <s v="DS33"/>
    <s v="Utilities to be invoiced to ODS - Headington Cemetery Chapel &amp; Public Toilets Acc: 88888893512  Water 10/08/19 - 09/11/19"/>
    <n v="337.35"/>
    <n v="0.33735000000000004"/>
  </r>
  <r>
    <s v="S26"/>
    <x v="32"/>
    <s v="AJ"/>
    <n v="10347950"/>
    <d v="2020-04-02T00:00:00"/>
    <n v="202101"/>
    <s v="1"/>
    <s v="EXP"/>
    <s v="B1502"/>
    <s v="DS33"/>
    <s v="Utilities to be invoiced to ODS - Court Place Farm Sports Pavilion Acc: 931679389  Gas 06/07/19 - 27/09/19"/>
    <n v="331.38"/>
    <n v="0.33138000000000001"/>
  </r>
  <r>
    <s v="S26"/>
    <x v="32"/>
    <s v="AJ"/>
    <n v="10347950"/>
    <d v="2020-04-02T00:00:00"/>
    <n v="202101"/>
    <s v="1"/>
    <s v="EXP"/>
    <s v="B1502"/>
    <s v="DS33"/>
    <s v="Utilities to be invoiced to ODS - Court Place Farm Sports Pavilion Acc: 931679389  Gas 06/07/19 - 27/09/19"/>
    <n v="370.13"/>
    <n v="0.37013000000000001"/>
  </r>
  <r>
    <s v="S26"/>
    <x v="34"/>
    <s v="AJ"/>
    <n v="10347950"/>
    <d v="2020-04-02T00:00:00"/>
    <n v="202101"/>
    <s v="1"/>
    <s v="EXP"/>
    <s v="B1501"/>
    <s v="DS32"/>
    <s v="Utilities to be invoiced to ODS - Knights Road Public Toilets Acc: 461525486  Electricity 12/10/19 - 22/01/20"/>
    <n v="738.09"/>
    <n v="0.73809000000000002"/>
  </r>
  <r>
    <s v="S26"/>
    <x v="32"/>
    <s v="AJ"/>
    <n v="10347950"/>
    <d v="2020-04-02T00:00:00"/>
    <n v="202101"/>
    <s v="1"/>
    <s v="EXP"/>
    <s v="B1501"/>
    <s v="DS33"/>
    <s v="Utilities to be invoiced to ODS - Botley Cemetery Chapel Acc: 161527262  Electricity 02/12/19 - 01/03/20"/>
    <n v="929.2"/>
    <n v="0.92920000000000003"/>
  </r>
  <r>
    <s v="S26"/>
    <x v="32"/>
    <s v="AJ"/>
    <n v="10347950"/>
    <d v="2020-04-02T00:00:00"/>
    <n v="202101"/>
    <s v="1"/>
    <s v="EXP"/>
    <s v="B1501"/>
    <s v="DS33"/>
    <s v="Utilities to be invoiced to ODS - Hinksey Park Attendant´s Hut Acc: 761526268  Electricity 02/10/19 - 01/01/20"/>
    <n v="41.22"/>
    <n v="4.122E-2"/>
  </r>
  <r>
    <s v="S26"/>
    <x v="32"/>
    <s v="AJ"/>
    <n v="10347950"/>
    <d v="2020-04-02T00:00:00"/>
    <n v="202101"/>
    <s v="1"/>
    <s v="EXP"/>
    <s v="B1501"/>
    <s v="DS33"/>
    <s v="Utilities to be invoiced to ODS - Cutteslowe Upper Sports Pavilion Acc: 591526061  Electricity 02/12/19 - 01/03/20"/>
    <n v="-18.61"/>
    <n v="-1.8609999999999998E-2"/>
  </r>
  <r>
    <s v="S26"/>
    <x v="32"/>
    <s v="AJ"/>
    <n v="10347950"/>
    <d v="2020-04-02T00:00:00"/>
    <n v="202101"/>
    <s v="1"/>
    <s v="EXP"/>
    <s v="B1502"/>
    <s v="DS33"/>
    <s v="Utilities to be invoiced to ODS - Cutteslowe Park Acc: 3005051720  Gas 01/02/20 - 29/02/20"/>
    <n v="29.62"/>
    <n v="2.962E-2"/>
  </r>
  <r>
    <s v="S26"/>
    <x v="32"/>
    <s v="AJ"/>
    <n v="10347950"/>
    <d v="2020-04-02T00:00:00"/>
    <n v="202101"/>
    <s v="1"/>
    <s v="EXP"/>
    <s v="B1830"/>
    <s v="DS33"/>
    <s v="Utilities to be invoiced to ODS - Cutteslowe Park Acc: 88888893506  Water 14/08/19 - 13/11/19"/>
    <n v="-808.7"/>
    <n v="-0.80870000000000009"/>
  </r>
  <r>
    <s v="S26"/>
    <x v="32"/>
    <s v="AJ"/>
    <n v="10347950"/>
    <d v="2020-04-02T00:00:00"/>
    <n v="202101"/>
    <s v="1"/>
    <s v="EXP"/>
    <s v="B1830"/>
    <s v="DS33"/>
    <s v="Utilities to be invoiced to ODS - West Hill Farm Acc: 88888893482  Water 14/08/19 - 13/11/19"/>
    <n v="531.91"/>
    <n v="0.53190999999999999"/>
  </r>
  <r>
    <s v="S26"/>
    <x v="32"/>
    <s v="AJ"/>
    <n v="10347950"/>
    <d v="2020-04-02T00:00:00"/>
    <n v="202101"/>
    <s v="1"/>
    <s v="EXP"/>
    <s v="B1830"/>
    <s v="DS33"/>
    <s v="Utilities to be invoiced to ODS - Botley Cemetery Chapel Acc: 88888893505  Water 14/08/19 - 13/11/19"/>
    <n v="73.8"/>
    <n v="7.3799999999999991E-2"/>
  </r>
  <r>
    <s v="S26"/>
    <x v="31"/>
    <s v="AJ"/>
    <n v="10347950"/>
    <d v="2020-04-02T00:00:00"/>
    <n v="202101"/>
    <s v="1"/>
    <s v="EXP"/>
    <s v="B1501"/>
    <s v="FC24"/>
    <s v="Utilities to be invoiced to ODS - Gloucester Green Underground Car Park Acc: KS86222Z  Electricity 01/02/20 - 29/02/20"/>
    <n v="1737.15"/>
    <n v="1.7371500000000002"/>
  </r>
  <r>
    <s v="S26"/>
    <x v="32"/>
    <s v="AJ"/>
    <n v="10347950"/>
    <d v="2020-04-02T00:00:00"/>
    <n v="202101"/>
    <s v="1"/>
    <s v="EXP"/>
    <s v="B1501"/>
    <s v="DS33"/>
    <s v="Utilities to be invoiced to ODS - Barton Park Sports Pavilion Acc: 101777594  Electricity 01/01/20 - 31/01/20"/>
    <n v="-133.26"/>
    <n v="-0.13325999999999999"/>
  </r>
  <r>
    <s v="S26"/>
    <x v="32"/>
    <s v="AJ"/>
    <n v="10347950"/>
    <d v="2020-04-02T00:00:00"/>
    <n v="202101"/>
    <s v="1"/>
    <s v="EXP"/>
    <s v="B1501"/>
    <s v="DS33"/>
    <s v="Utilities to be invoiced to ODS - Barton Park Sports Pavilion Acc: 101777594  Electricity 01/12/19 - 31/12/19"/>
    <n v="387.07"/>
    <n v="0.38706999999999997"/>
  </r>
  <r>
    <s v="S26"/>
    <x v="32"/>
    <s v="AJ"/>
    <n v="10347950"/>
    <d v="2020-04-02T00:00:00"/>
    <n v="202101"/>
    <s v="1"/>
    <s v="EXP"/>
    <s v="B1501"/>
    <s v="DS33"/>
    <s v="Utilities to be invoiced to ODS - Botley Park Games Area Floodlights Acc: 731527009  Electricity 02/12/19 - 01/03/20"/>
    <n v="518.30999999999995"/>
    <n v="0.51830999999999994"/>
  </r>
  <r>
    <s v="S26"/>
    <x v="32"/>
    <s v="AJ"/>
    <n v="10347950"/>
    <d v="2020-04-02T00:00:00"/>
    <n v="202101"/>
    <s v="1"/>
    <s v="EXP"/>
    <s v="B1501"/>
    <s v="DS33"/>
    <s v="Utilities to be invoiced to ODS - Bury Knowle Tennis Pavilion Acc: 611525559  Electricity 02/10/19 - 01/01/20"/>
    <n v="-57.14"/>
    <n v="-5.7140000000000003E-2"/>
  </r>
  <r>
    <s v="S26"/>
    <x v="32"/>
    <s v="AJ"/>
    <n v="10347950"/>
    <d v="2020-04-02T00:00:00"/>
    <n v="202101"/>
    <s v="1"/>
    <s v="EXP"/>
    <s v="B1501"/>
    <s v="DS33"/>
    <s v="Utilities to be invoiced to ODS - Court Place Farm Sports Pavilion Acc: 051525190  Electricity 02/11/19 - 01/02/20"/>
    <n v="504.53"/>
    <n v="0.50452999999999992"/>
  </r>
  <r>
    <s v="S26"/>
    <x v="32"/>
    <s v="AJ"/>
    <n v="10347950"/>
    <d v="2020-04-02T00:00:00"/>
    <n v="202101"/>
    <s v="1"/>
    <s v="EXP"/>
    <s v="B1501"/>
    <s v="DS33"/>
    <s v="Utilities to be invoiced to ODS - Hollow Way Games Area Floodlights Acc: 261526649  Electricity 02/12/19 - 01/03/20"/>
    <n v="53.2"/>
    <n v="5.3200000000000004E-2"/>
  </r>
  <r>
    <s v="S26"/>
    <x v="34"/>
    <s v="AJ"/>
    <n v="10347950"/>
    <d v="2020-04-02T00:00:00"/>
    <n v="202101"/>
    <s v="1"/>
    <s v="EXP"/>
    <s v="B1501"/>
    <s v="DS32"/>
    <s v="Utilities to be invoiced to ODS - Speedwell Street Public Toilets Acc: 681525917  Electricity 12/02/19 - 08/05/19"/>
    <n v="67.209999999999994"/>
    <n v="6.7209999999999992E-2"/>
  </r>
  <r>
    <s v="S26"/>
    <x v="34"/>
    <s v="AJ"/>
    <n v="10347950"/>
    <d v="2020-04-02T00:00:00"/>
    <n v="202101"/>
    <s v="1"/>
    <s v="EXP"/>
    <s v="B1501"/>
    <s v="DS32"/>
    <s v="Utilities to be invoiced to ODS - St Clements Public Toilets Acc: 681588274  Electricity 02/11/19 - 01/02/20"/>
    <n v="228.96"/>
    <n v="0.22896"/>
  </r>
  <r>
    <s v="S26"/>
    <x v="34"/>
    <s v="AJ"/>
    <n v="10347950"/>
    <d v="2020-04-02T00:00:00"/>
    <n v="202101"/>
    <s v="1"/>
    <s v="EXP"/>
    <s v="B1501"/>
    <s v="DS32"/>
    <s v="Utilities to be invoiced to ODS - Diamond Place Public Toilets Acc: 601806366  Electricity 02/01/20 - 01/02/20"/>
    <n v="809.43"/>
    <n v="0.80942999999999998"/>
  </r>
  <r>
    <s v="S26"/>
    <x v="34"/>
    <s v="AJ"/>
    <n v="10347950"/>
    <d v="2020-04-02T00:00:00"/>
    <n v="202101"/>
    <s v="1"/>
    <s v="EXP"/>
    <s v="B1501"/>
    <s v="DS32"/>
    <s v="Utilities to be invoiced to ODS - Diamond Place Public Toilets Acc: 601806366  Electricity 02/12/19 - 01/01/20"/>
    <n v="1259.52"/>
    <n v="1.25952"/>
  </r>
  <r>
    <s v="S26"/>
    <x v="32"/>
    <s v="AJ"/>
    <n v="10347950"/>
    <d v="2020-04-02T00:00:00"/>
    <n v="202101"/>
    <s v="1"/>
    <s v="EXP"/>
    <s v="B1501"/>
    <s v="DS33"/>
    <s v="Utilities to be invoiced to ODS - Florence Park Bowls Pavilion Acc: 221525571  Electricity 02/12/19 - 01/03/20"/>
    <n v="108.24"/>
    <n v="0.10823999999999999"/>
  </r>
  <r>
    <s v="S26"/>
    <x v="32"/>
    <s v="AJ"/>
    <n v="10347950"/>
    <d v="2020-04-02T00:00:00"/>
    <n v="202101"/>
    <s v="1"/>
    <s v="EXP"/>
    <s v="B1502"/>
    <s v="DS33"/>
    <s v="Utilities to be invoiced to ODS - Court Place Farm Sports Pavilion Acc: 931679389  Gas 28/09/19 - 08/01/20"/>
    <n v="1083.1500000000001"/>
    <n v="1.0831500000000001"/>
  </r>
  <r>
    <s v="S26"/>
    <x v="32"/>
    <s v="AJ"/>
    <n v="10347950"/>
    <d v="2020-04-02T00:00:00"/>
    <n v="202101"/>
    <s v="1"/>
    <s v="EXP"/>
    <s v="B1502"/>
    <s v="DS33"/>
    <s v="Utilities to be invoiced to ODS - Cutteslowe Upper Sports Pavilion Acc: 851678985  Gas 16/10/19 - 15/01/20"/>
    <n v="1848.27"/>
    <n v="1.8482700000000001"/>
  </r>
  <r>
    <s v="S26"/>
    <x v="32"/>
    <s v="AJ"/>
    <n v="10347950"/>
    <d v="2020-04-02T00:00:00"/>
    <n v="202101"/>
    <s v="1"/>
    <s v="EXP"/>
    <s v="B1830"/>
    <s v="DS33"/>
    <s v="Utilities to be invoiced to ODS - Florence Park Depot Acc: 88888893532  Water 14/08/19 - 13/11/19"/>
    <n v="140.81"/>
    <n v="0.14080999999999999"/>
  </r>
  <r>
    <s v="S26"/>
    <x v="34"/>
    <s v="AJ"/>
    <n v="10347950"/>
    <d v="2020-04-02T00:00:00"/>
    <n v="202101"/>
    <s v="1"/>
    <s v="EXP"/>
    <s v="B1830"/>
    <s v="DS32"/>
    <s v="Utilities to be invoiced to ODS - London Road Public Toilets Acc: 88888893536  Water 14/08/19 - 13/11/19"/>
    <n v="266.64"/>
    <n v="0.26663999999999999"/>
  </r>
  <r>
    <s v="S26"/>
    <x v="34"/>
    <s v="AJ"/>
    <n v="10347950"/>
    <d v="2020-04-02T00:00:00"/>
    <n v="202101"/>
    <s v="1"/>
    <s v="EXP"/>
    <s v="B1830"/>
    <s v="DS32"/>
    <s v="Utilities to be invoiced to ODS - Oxpens Car Park Acc: 88888895167  Water 10/08/19 - 09/11/19"/>
    <n v="536.41999999999996"/>
    <n v="0.53642000000000001"/>
  </r>
  <r>
    <s v="S26"/>
    <x v="32"/>
    <s v="AJ"/>
    <n v="10347950"/>
    <d v="2020-04-02T00:00:00"/>
    <n v="202101"/>
    <s v="1"/>
    <s v="EXP"/>
    <s v="B1830"/>
    <s v="DS33"/>
    <s v="Utilities to be invoiced to ODS - Florence Park Public Toilets Acc: 88888893538  Water 14/08/19 - 13/11/19"/>
    <n v="41.42"/>
    <n v="4.1419999999999998E-2"/>
  </r>
  <r>
    <s v="S26"/>
    <x v="34"/>
    <s v="AJ"/>
    <n v="10347950"/>
    <d v="2020-04-02T00:00:00"/>
    <n v="202101"/>
    <s v="1"/>
    <s v="EXP"/>
    <s v="B1501"/>
    <s v="DS32"/>
    <s v="Utilities to be invoiced to ODS - Between Towns Road Sweepers Store Acc: 081798790  Electricity 02/01/20 - 01/02/20"/>
    <n v="2862.58"/>
    <n v="2.8625799999999999"/>
  </r>
  <r>
    <s v="S26"/>
    <x v="32"/>
    <s v="AJ"/>
    <n v="10347950"/>
    <d v="2020-04-02T00:00:00"/>
    <n v="202101"/>
    <s v="1"/>
    <s v="EXP"/>
    <s v="B1501"/>
    <s v="DS33"/>
    <s v="Utilities to be invoiced to ODS - Florence Park Depot Acc: 971526793  Electricity 02/12/19 - 01/03/20"/>
    <n v="190.11"/>
    <n v="0.19011"/>
  </r>
  <r>
    <s v="S26"/>
    <x v="31"/>
    <s v="AJ"/>
    <n v="10347950"/>
    <d v="2020-04-02T00:00:00"/>
    <n v="202101"/>
    <s v="1"/>
    <s v="EXP"/>
    <s v="B1501"/>
    <s v="FC21"/>
    <s v="Utilities to be invoiced to ODS - Oxpens Car Park Acc: 291525711  Electricity 01/11/19 - 03/02/20"/>
    <n v="337.34"/>
    <n v="0.33733999999999997"/>
  </r>
  <r>
    <s v="S26"/>
    <x v="31"/>
    <s v="AJ"/>
    <n v="10347950"/>
    <d v="2020-04-02T00:00:00"/>
    <n v="202101"/>
    <s v="1"/>
    <s v="EXP"/>
    <s v="B1501"/>
    <s v="FC24"/>
    <s v="Utilities to be invoiced to ODS - Gloucester Green Underground Car Park Acc: KS86222J  Electricity 01/01/20 - 31/01/20"/>
    <n v="2570.12"/>
    <n v="2.5701199999999997"/>
  </r>
  <r>
    <s v="S26"/>
    <x v="31"/>
    <s v="AJ"/>
    <n v="10347950"/>
    <d v="2020-04-02T00:00:00"/>
    <n v="202101"/>
    <s v="1"/>
    <s v="EXP"/>
    <s v="B1501"/>
    <s v="FC24"/>
    <s v="Utilities to be invoiced to ODS - Gloucester Green Underground Car Park Acc: KS86222J  Electricity 01/02/20 - 29/02/20"/>
    <n v="182.68"/>
    <n v="0.18268000000000001"/>
  </r>
  <r>
    <s v="S26"/>
    <x v="31"/>
    <s v="AJ"/>
    <n v="10347950"/>
    <d v="2020-04-02T00:00:00"/>
    <n v="202101"/>
    <s v="1"/>
    <s v="EXP"/>
    <s v="B1501"/>
    <s v="FC24"/>
    <s v="Utilities to be invoiced to ODS - Gloucester Green Underground Car Park Acc: KS86222Z  Electricity 01/01/20 - 31/01/20"/>
    <n v="719.03"/>
    <n v="0.71902999999999995"/>
  </r>
  <r>
    <s v="S26"/>
    <x v="31"/>
    <s v="AJ"/>
    <n v="10347950"/>
    <d v="2020-04-02T00:00:00"/>
    <n v="202101"/>
    <s v="1"/>
    <s v="EXP"/>
    <s v="B1501"/>
    <s v="FC74"/>
    <s v="Utilities to be invoiced to ODS - Seacourt Park and Ride Acc: 21523999  Electricity 01/11/19 - 05/02/20"/>
    <n v="1640.43"/>
    <n v="1.6404300000000001"/>
  </r>
  <r>
    <s v="S26"/>
    <x v="33"/>
    <s v="AJ"/>
    <n v="10347950"/>
    <d v="2020-04-02T00:00:00"/>
    <n v="202101"/>
    <s v="1"/>
    <s v="EXP"/>
    <s v="B1830"/>
    <s v="DS40"/>
    <s v="Utilities to be invoiced to ODS - Horspath Depot Main Building Acc: 88888893500  Water 14/08/19 - 13/11/19"/>
    <n v="370.74"/>
    <n v="0.37074000000000001"/>
  </r>
  <r>
    <s v="S26"/>
    <x v="36"/>
    <s v="AJ"/>
    <n v="10348130"/>
    <d v="2020-04-09T00:00:00"/>
    <n v="202101"/>
    <s v="1"/>
    <s v="EXP"/>
    <s v="D6664"/>
    <s v="AG19"/>
    <s v="refund due to ODS"/>
    <n v="-188.84"/>
    <n v="-0.18884000000000001"/>
  </r>
  <r>
    <s v="S26"/>
    <x v="32"/>
    <s v="AJ"/>
    <n v="10348098"/>
    <d v="2020-04-08T00:00:00"/>
    <n v="202101"/>
    <s v="1"/>
    <s v="EXP"/>
    <s v="B1501"/>
    <s v="DS33"/>
    <s v="Utilities to be invoiced to ODS - Union Street Sports Floodlights Acc: 721787592  Electricity 02/12/19 - 01/01/20"/>
    <n v="370.74"/>
    <n v="0.37074000000000001"/>
  </r>
  <r>
    <s v="S26"/>
    <x v="31"/>
    <s v="AJ"/>
    <n v="10348098"/>
    <d v="2020-04-08T00:00:00"/>
    <n v="202101"/>
    <s v="1"/>
    <s v="EXP"/>
    <s v="B1501"/>
    <s v="FC02"/>
    <s v="Utilities to be invoiced to ODS - Oatlands Road Recreation Ground Car Park Acc: 951716435  Electricity 02/12/19 - 01/03/20"/>
    <n v="67.209999999999994"/>
    <n v="6.7209999999999992E-2"/>
  </r>
  <r>
    <s v="S26"/>
    <x v="31"/>
    <s v="AJ"/>
    <n v="10348098"/>
    <d v="2020-04-08T00:00:00"/>
    <n v="202101"/>
    <s v="1"/>
    <s v="EXP"/>
    <s v="B1501"/>
    <s v="FC01"/>
    <s v="Utilities to be invoiced to ODS - Unmetered Car Park Lighting Acc: 931528944  Electricity 03/01/20 - 03/02/20"/>
    <n v="1786.33"/>
    <n v="1.78633"/>
  </r>
  <r>
    <s v="S26"/>
    <x v="32"/>
    <s v="AJ"/>
    <n v="10348098"/>
    <d v="2020-04-08T00:00:00"/>
    <n v="202101"/>
    <s v="1"/>
    <s v="EXP"/>
    <s v="B1830"/>
    <s v="DS33"/>
    <s v="Utilities to be invoiced to ODS - Raleigh Park Cattle Trough Acc: 88888893508  Water 14/08/19 - 13/11/19"/>
    <n v="-582.48"/>
    <n v="-0.58248"/>
  </r>
  <r>
    <s v="S26"/>
    <x v="34"/>
    <s v="AJ"/>
    <n v="10348098"/>
    <d v="2020-04-08T00:00:00"/>
    <n v="202101"/>
    <s v="1"/>
    <s v="EXP"/>
    <s v="B1830"/>
    <s v="DS32"/>
    <s v="Utilities to be invoiced to ODS - Speedwell Street Public Toilets Acc: 88888893519  Water 14/08/19 - 13/11/19"/>
    <n v="145.91"/>
    <n v="0.14590999999999998"/>
  </r>
  <r>
    <s v="S26"/>
    <x v="34"/>
    <s v="AJ"/>
    <n v="10348098"/>
    <d v="2020-04-08T00:00:00"/>
    <n v="202101"/>
    <s v="1"/>
    <s v="EXP"/>
    <s v="B1501"/>
    <s v="DS32"/>
    <s v="Utilities to be invoiced to ODS - Knights Road Public Toilets Acc: 461525486  Electricity 12/10/19 - 22/01/20"/>
    <n v="37.11"/>
    <n v="3.7109999999999997E-2"/>
  </r>
  <r>
    <s v="S26"/>
    <x v="33"/>
    <s v="AJ"/>
    <n v="10348098"/>
    <d v="2020-04-08T00:00:00"/>
    <n v="202101"/>
    <s v="1"/>
    <s v="EXP"/>
    <s v="B1501"/>
    <s v="DS40"/>
    <s v="Utilities to be invoiced to ODS - Horspath Depot Stores Building Acc: 861749071  Electricity 11/12/19 - 10/01/20"/>
    <n v="1259.52"/>
    <n v="1.25952"/>
  </r>
  <r>
    <s v="S26"/>
    <x v="32"/>
    <s v="AJ"/>
    <n v="10348098"/>
    <d v="2020-04-08T00:00:00"/>
    <n v="202101"/>
    <s v="1"/>
    <s v="EXP"/>
    <s v="B1501"/>
    <s v="DS33"/>
    <s v="Utilities to be invoiced to ODS - Fry´s Hill Games Area Floodlights  Acc: 751586752  Electricity 02/12/19 - 01/03/20"/>
    <n v="333.41"/>
    <n v="0.33341000000000004"/>
  </r>
  <r>
    <s v="S26"/>
    <x v="32"/>
    <s v="AJ"/>
    <n v="10348098"/>
    <d v="2020-04-08T00:00:00"/>
    <n v="202101"/>
    <s v="1"/>
    <s v="EXP"/>
    <s v="B1501"/>
    <s v="DS33"/>
    <s v="Utilities to be invoiced to ODS - Union Street Sports Floodlights Acc: 721787592  Electricity 02/01/20 - 01/02/20"/>
    <n v="345.86"/>
    <n v="0.34586"/>
  </r>
  <r>
    <s v="S26"/>
    <x v="31"/>
    <s v="AJ"/>
    <n v="10348098"/>
    <d v="2020-04-08T00:00:00"/>
    <n v="202101"/>
    <s v="1"/>
    <s v="EXP"/>
    <s v="B1501"/>
    <s v="FC53"/>
    <s v="Utilities to be invoiced to ODS - Union Street Car Park Acc: 351526657  Electricity 02/12/19 - 01/03/20"/>
    <n v="206.91"/>
    <n v="0.20690999999999998"/>
  </r>
  <r>
    <s v="S26"/>
    <x v="31"/>
    <s v="AJ"/>
    <n v="10348098"/>
    <d v="2020-04-08T00:00:00"/>
    <n v="202101"/>
    <s v="1"/>
    <s v="EXP"/>
    <s v="B1501"/>
    <s v="FC51"/>
    <s v="Utilities to be invoiced to ODS - Summertown Car Park Acc: 311527536  Electricity 02/12/19 - 01/03/20"/>
    <n v="531.91"/>
    <n v="0.53190999999999999"/>
  </r>
  <r>
    <s v="S26"/>
    <x v="31"/>
    <s v="AJ"/>
    <n v="10348098"/>
    <d v="2020-04-08T00:00:00"/>
    <n v="202101"/>
    <s v="1"/>
    <s v="EXP"/>
    <s v="B1501"/>
    <s v="FC01"/>
    <s v="Utilities to be invoiced to ODS - Unmetered Car Park Ticket Machines Acc: 361528966  Electricity 04/02/20 - 02/03/20"/>
    <n v="82.35"/>
    <n v="8.2349999999999993E-2"/>
  </r>
  <r>
    <s v="S26"/>
    <x v="32"/>
    <s v="AJ"/>
    <n v="10348098"/>
    <d v="2020-04-08T00:00:00"/>
    <n v="202101"/>
    <s v="1"/>
    <s v="EXP"/>
    <s v="B1501"/>
    <s v="DS33"/>
    <s v="Utilities to be invoiced to ODS - Rose Hill Cemetery Public Toilets Acc: 261526652  Electricity 01/10/19 - 20/12/19"/>
    <n v="-78.62"/>
    <n v="-7.8620000000000009E-2"/>
  </r>
  <r>
    <s v="S26"/>
    <x v="32"/>
    <s v="AJ"/>
    <n v="10348098"/>
    <d v="2020-04-08T00:00:00"/>
    <n v="202101"/>
    <s v="1"/>
    <s v="EXP"/>
    <s v="B1501"/>
    <s v="DS33"/>
    <s v="Utilities to be invoiced to ODS - Rose Hill Cemetery Public Toilets Acc: 261526652  Electricity 27/06/19 - 30/09/19"/>
    <n v="266.37"/>
    <n v="0.26637"/>
  </r>
  <r>
    <s v="S26"/>
    <x v="34"/>
    <s v="AJ"/>
    <n v="10348098"/>
    <d v="2020-04-08T00:00:00"/>
    <n v="202101"/>
    <s v="1"/>
    <s v="EXP"/>
    <s v="B1501"/>
    <s v="DS32"/>
    <s v="Utilities to be invoiced to ODS - Market Street Public Toilets Acc: 491803540  Electricity 02/01/20 - 01/02/20"/>
    <n v="78.83"/>
    <n v="7.8829999999999997E-2"/>
  </r>
  <r>
    <s v="S26"/>
    <x v="32"/>
    <s v="AJ"/>
    <n v="10348098"/>
    <d v="2020-04-08T00:00:00"/>
    <n v="202101"/>
    <s v="1"/>
    <s v="EXP"/>
    <s v="B1830"/>
    <s v="DS33"/>
    <s v="Utilities to be invoiced to ODS - Sandy Lane Sports Pavilion Acc: 88888893554  Water 14/08/19 - 13/11/19"/>
    <n v="-20.51"/>
    <n v="-2.051E-2"/>
  </r>
  <r>
    <s v="S26"/>
    <x v="34"/>
    <s v="AJ"/>
    <n v="10348098"/>
    <d v="2020-04-08T00:00:00"/>
    <n v="202101"/>
    <s v="1"/>
    <s v="EXP"/>
    <s v="B1830"/>
    <s v="DS32"/>
    <s v="Utilities to be invoiced to ODS - St Clements Public Toilets Acc: 88888893525  Water 14/08/19 - 13/11/19"/>
    <n v="91.16"/>
    <n v="9.1159999999999991E-2"/>
  </r>
  <r>
    <s v="S26"/>
    <x v="34"/>
    <s v="AJ"/>
    <n v="10348098"/>
    <d v="2020-04-08T00:00:00"/>
    <n v="202101"/>
    <s v="1"/>
    <s v="EXP"/>
    <s v="B1830"/>
    <s v="DS32"/>
    <s v="Utilities to be invoiced to ODS - Market Street Public Toilets Acc: 88888893528  Water 14/08/19 - 13/11/19"/>
    <n v="3858.36"/>
    <n v="3.8583600000000002"/>
  </r>
  <r>
    <s v="S26"/>
    <x v="34"/>
    <s v="AJ"/>
    <n v="10348098"/>
    <d v="2020-04-08T00:00:00"/>
    <n v="202101"/>
    <s v="1"/>
    <s v="EXP"/>
    <s v="B1501"/>
    <s v="DS32"/>
    <s v="Utilities to be invoiced to ODS - Market Street Public Toilets Acc: 491803540  Electricity 02/12/19 - 01/01/20"/>
    <n v="79.87"/>
    <n v="7.987000000000001E-2"/>
  </r>
  <r>
    <s v="S26"/>
    <x v="32"/>
    <s v="AJ"/>
    <n v="10348098"/>
    <d v="2020-04-08T00:00:00"/>
    <n v="202101"/>
    <s v="1"/>
    <s v="EXP"/>
    <s v="B1501"/>
    <s v="DS33"/>
    <s v="Utilities to be invoiced to ODS - Hinksey Park Attendant´s Hut Acc: 761526268  Electricity 02/10/19 - 01/01/20"/>
    <n v="29.62"/>
    <n v="2.962E-2"/>
  </r>
  <r>
    <s v="S26"/>
    <x v="32"/>
    <s v="AJ"/>
    <n v="10348098"/>
    <d v="2020-04-08T00:00:00"/>
    <n v="202101"/>
    <s v="1"/>
    <s v="EXP"/>
    <s v="B1501"/>
    <s v="DS33"/>
    <s v="Utilities to be invoiced to ODS - Horspath Athletics Pavilion Acc: KS86222C  Electricity 01/01/20 - 31/01/20"/>
    <n v="1785.25"/>
    <n v="1.78525"/>
  </r>
  <r>
    <s v="S26"/>
    <x v="32"/>
    <s v="AJ"/>
    <n v="10348098"/>
    <d v="2020-04-08T00:00:00"/>
    <n v="202101"/>
    <s v="1"/>
    <s v="EXP"/>
    <s v="B1501"/>
    <s v="DS33"/>
    <s v="Utilities to be invoiced to ODS - Horspath Athletics Pavilion Acc: KS86222C  Electricity 01/02/20 - 29/02/20"/>
    <n v="1499.15"/>
    <n v="1.49915"/>
  </r>
  <r>
    <s v="S26"/>
    <x v="34"/>
    <s v="AJ"/>
    <n v="10348098"/>
    <d v="2020-04-08T00:00:00"/>
    <n v="202101"/>
    <s v="1"/>
    <s v="EXP"/>
    <s v="B1501"/>
    <s v="DS32"/>
    <s v="Utilities to be invoiced to ODS - Magdalen Street Female Public Toilets Acc: 401526577  Electricity 02/11/19 - 01/02/20"/>
    <n v="173.81"/>
    <n v="0.17380999999999999"/>
  </r>
  <r>
    <s v="S26"/>
    <x v="34"/>
    <s v="AJ"/>
    <n v="10348098"/>
    <d v="2020-04-08T00:00:00"/>
    <n v="202101"/>
    <s v="1"/>
    <s v="EXP"/>
    <s v="B1501"/>
    <s v="DS32"/>
    <s v="Utilities to be invoiced to ODS - Magdalen Street Female Public Toilets Acc: 401526577  Electricity 11/10/19 - 01/11/19"/>
    <n v="41.42"/>
    <n v="4.1419999999999998E-2"/>
  </r>
  <r>
    <s v="S26"/>
    <x v="34"/>
    <s v="AJ"/>
    <n v="10348098"/>
    <d v="2020-04-08T00:00:00"/>
    <n v="202101"/>
    <s v="1"/>
    <s v="EXP"/>
    <s v="B1501"/>
    <s v="DS32"/>
    <s v="Utilities to be invoiced to ODS - Magdalen Street Female Public Toilets Acc: 401526577  Electricity 12/04/19 - 10/10/19"/>
    <n v="190.75"/>
    <n v="0.19075"/>
  </r>
  <r>
    <s v="S26"/>
    <x v="32"/>
    <s v="AJ"/>
    <n v="10348098"/>
    <d v="2020-04-08T00:00:00"/>
    <n v="202101"/>
    <s v="1"/>
    <s v="EXP"/>
    <s v="B1830"/>
    <s v="DS33"/>
    <s v="Utilities to be invoiced to ODS - Horspath Road Sports Pitches Acc: 88888893553  Water 10/08/19 - 09/11/19"/>
    <n v="29.76"/>
    <n v="2.9760000000000002E-2"/>
  </r>
  <r>
    <s v="S26"/>
    <x v="34"/>
    <s v="AJ"/>
    <n v="10348098"/>
    <d v="2020-04-08T00:00:00"/>
    <n v="202101"/>
    <s v="1"/>
    <s v="EXP"/>
    <s v="B1830"/>
    <s v="DS32"/>
    <s v="Utilities to be invoiced to ODS - Magdalen Street Female Public Toilets Acc: 88888893521  Water 14/08/19 - 13/11/19"/>
    <n v="603.76"/>
    <n v="0.60375999999999996"/>
  </r>
  <r>
    <s v="S26"/>
    <x v="34"/>
    <s v="AJ"/>
    <n v="10348098"/>
    <d v="2020-04-08T00:00:00"/>
    <n v="202101"/>
    <s v="1"/>
    <s v="EXP"/>
    <s v="B1830"/>
    <s v="DS32"/>
    <s v="Utilities to be invoiced to ODS - South Parade Female &amp; Disabled Public Toilets Acc: 88888893517  Water 10/08/19 - 09/11/19"/>
    <n v="41.22"/>
    <n v="4.122E-2"/>
  </r>
  <r>
    <s v="S26"/>
    <x v="31"/>
    <s v="AJ"/>
    <n v="10348098"/>
    <d v="2020-04-08T00:00:00"/>
    <n v="202101"/>
    <s v="1"/>
    <s v="EXP"/>
    <s v="B1501"/>
    <s v="FC52"/>
    <s v="Utilities to be invoiced to ODS - Headington Car Park Acc: 071526508  Electricity 02/12/19 - 01/03/20"/>
    <n v="109.92"/>
    <n v="0.10992"/>
  </r>
  <r>
    <s v="S26"/>
    <x v="31"/>
    <s v="AJ"/>
    <n v="10348098"/>
    <d v="2020-04-08T00:00:00"/>
    <n v="202101"/>
    <s v="1"/>
    <s v="EXP"/>
    <s v="B1501"/>
    <s v="FC74"/>
    <s v="Utilities to be invoiced to ODS - Seacourt Park and Ride Acc: 21523999  Electricity 01/11/19 - 05/02/20"/>
    <n v="337.35"/>
    <n v="0.33735000000000004"/>
  </r>
  <r>
    <s v="S26"/>
    <x v="32"/>
    <s v="AJ"/>
    <n v="10348098"/>
    <d v="2020-04-08T00:00:00"/>
    <n v="202101"/>
    <s v="1"/>
    <s v="EXP"/>
    <s v="B1501"/>
    <s v="DS33"/>
    <s v="Utilities to be invoiced to ODS - Rose Hill Cemetery Public Toilets Acc: 261526652  Electricity 27/06/19 - 30/09/19"/>
    <n v="-78.62"/>
    <n v="-7.8620000000000009E-2"/>
  </r>
  <r>
    <s v="S26"/>
    <x v="32"/>
    <s v="AJ"/>
    <n v="10348098"/>
    <d v="2020-04-08T00:00:00"/>
    <n v="202101"/>
    <s v="1"/>
    <s v="EXP"/>
    <s v="B1501"/>
    <s v="DS33"/>
    <s v="Utilities to be invoiced to ODS - Rose Hill Cemetery Public Toilets Acc: 261526652  Electricity 29/03/19 - 26/06/19"/>
    <n v="251.38"/>
    <n v="0.25137999999999999"/>
  </r>
  <r>
    <s v="S26"/>
    <x v="34"/>
    <s v="AJ"/>
    <n v="10348098"/>
    <d v="2020-04-08T00:00:00"/>
    <n v="202101"/>
    <s v="1"/>
    <s v="EXP"/>
    <s v="B1501"/>
    <s v="DS32"/>
    <s v="Utilities to be invoiced to ODS - South Parade Female &amp; Disabled Public Toilets Acc: 501527874  Electricity 03/10/19 - 01/02/20"/>
    <n v="53.69"/>
    <n v="5.3689999999999995E-2"/>
  </r>
  <r>
    <s v="S26"/>
    <x v="34"/>
    <s v="AJ"/>
    <n v="10348098"/>
    <d v="2020-04-08T00:00:00"/>
    <n v="202101"/>
    <s v="1"/>
    <s v="EXP"/>
    <s v="B1501"/>
    <s v="DS32"/>
    <s v="Utilities to be invoiced to ODS - Speedwell Street Public Toilets Acc: 681525917  Electricity 09/05/19 - 08/08/19"/>
    <n v="53.2"/>
    <n v="5.3200000000000004E-2"/>
  </r>
  <r>
    <s v="S26"/>
    <x v="34"/>
    <s v="AJ"/>
    <n v="10348098"/>
    <d v="2020-04-08T00:00:00"/>
    <n v="202101"/>
    <s v="1"/>
    <s v="EXP"/>
    <s v="B1501"/>
    <s v="DS32"/>
    <s v="Utilities to be invoiced to ODS - Speedwell Street Public Toilets Acc: 681525917  Electricity 13/12/19 - 01/01/20"/>
    <n v="40.159999999999997"/>
    <n v="4.0159999999999994E-2"/>
  </r>
  <r>
    <s v="S26"/>
    <x v="34"/>
    <s v="AJ"/>
    <n v="10348098"/>
    <d v="2020-04-08T00:00:00"/>
    <n v="202101"/>
    <s v="1"/>
    <s v="EXP"/>
    <s v="B1501"/>
    <s v="DS32"/>
    <s v="Utilities to be invoiced to ODS - Speedwell Street Public Toilets Acc: 681525917  Electricity 12/02/19 - 08/05/19"/>
    <n v="-85.45"/>
    <n v="-8.5449999999999998E-2"/>
  </r>
  <r>
    <s v="S26"/>
    <x v="34"/>
    <s v="AJ"/>
    <n v="10348098"/>
    <d v="2020-04-08T00:00:00"/>
    <n v="202101"/>
    <s v="1"/>
    <s v="EXP"/>
    <s v="B1501"/>
    <s v="DS32"/>
    <s v="Utilities to be invoiced to ODS - St Clements Car Park Acc: 641587027  Electricity 02/12/19 - 01/03/20"/>
    <n v="487.66"/>
    <n v="0.48766000000000004"/>
  </r>
  <r>
    <s v="S26"/>
    <x v="34"/>
    <s v="AJ"/>
    <n v="10348098"/>
    <d v="2020-04-08T00:00:00"/>
    <n v="202101"/>
    <s v="1"/>
    <s v="EXP"/>
    <s v="B1501"/>
    <s v="DS32"/>
    <s v="Utilities to be invoiced to ODS - St Clements Public Toilets Acc: 681588274  Electricity 02/11/19 - 01/02/20"/>
    <n v="72.45"/>
    <n v="7.2450000000000001E-2"/>
  </r>
  <r>
    <s v="S26"/>
    <x v="33"/>
    <s v="AJ"/>
    <n v="10348098"/>
    <d v="2020-04-08T00:00:00"/>
    <n v="202101"/>
    <s v="1"/>
    <s v="EXP"/>
    <s v="B1830"/>
    <s v="DS40"/>
    <s v="Utilities to be invoiced to ODS - Horspath Depot Main Building Acc: 88888893500  Water 14/08/19 - 13/11/19"/>
    <n v="-18.61"/>
    <n v="-1.8609999999999998E-2"/>
  </r>
  <r>
    <s v="S26"/>
    <x v="37"/>
    <s v="AJ"/>
    <n v="10347979"/>
    <d v="2020-04-03T00:00:00"/>
    <n v="202101"/>
    <s v="1"/>
    <s v="INC"/>
    <s v="K9511"/>
    <s v="TR65"/>
    <s v="19/20 Cash in 20/21"/>
    <n v="108"/>
    <n v="0.108"/>
  </r>
  <r>
    <s v="S26"/>
    <x v="32"/>
    <s v="AJ"/>
    <n v="10348098"/>
    <d v="2020-04-08T00:00:00"/>
    <n v="202101"/>
    <s v="1"/>
    <s v="EXP"/>
    <s v="B1830"/>
    <s v="DS33"/>
    <s v="Utilities to be invoiced to ODS - West Hill Farm Acc: 88888893482  Water 14/08/19 - 13/11/19"/>
    <n v="17.010000000000002"/>
    <n v="1.7010000000000001E-2"/>
  </r>
  <r>
    <s v="S26"/>
    <x v="32"/>
    <s v="AJ"/>
    <n v="10348098"/>
    <d v="2020-04-08T00:00:00"/>
    <n v="202101"/>
    <s v="1"/>
    <s v="EXP"/>
    <s v="B1830"/>
    <s v="DS33"/>
    <s v="Utilities to be invoiced to ODS - Horspath Athletics Pavilion Acc: 88888893546  Water 15/05/19 - 13/08/19"/>
    <n v="-2347.7600000000002"/>
    <n v="-2.3477600000000001"/>
  </r>
  <r>
    <s v="S26"/>
    <x v="32"/>
    <s v="AJ"/>
    <n v="10348098"/>
    <d v="2020-04-08T00:00:00"/>
    <n v="202101"/>
    <s v="1"/>
    <s v="EXP"/>
    <s v="B1830"/>
    <s v="DS33"/>
    <s v="Utilities to be invoiced to ODS - Horspath Athletics Pavilion Acc: 88888893546  Water 15/11/18 - 13/02/19"/>
    <n v="-26004.02"/>
    <n v="-26.004020000000001"/>
  </r>
  <r>
    <s v="S26"/>
    <x v="31"/>
    <s v="AJ"/>
    <n v="10347966"/>
    <d v="2020-04-03T00:00:00"/>
    <n v="202101"/>
    <s v="1"/>
    <s v="INC"/>
    <s v="K9467"/>
    <s v="FC75"/>
    <s v="P12 Jade Accrual"/>
    <n v="2097.17"/>
    <n v="2.0971700000000002"/>
  </r>
  <r>
    <s v="S26"/>
    <x v="31"/>
    <s v="AJ"/>
    <n v="10347966"/>
    <d v="2020-04-03T00:00:00"/>
    <n v="202101"/>
    <s v="1"/>
    <s v="INC"/>
    <s v="K9467"/>
    <s v="FC51"/>
    <s v="P12 Jade Accrual"/>
    <n v="802.83"/>
    <n v="0.80283000000000004"/>
  </r>
  <r>
    <s v="S26"/>
    <x v="31"/>
    <s v="AJ"/>
    <n v="10347966"/>
    <d v="2020-04-03T00:00:00"/>
    <n v="202101"/>
    <s v="1"/>
    <s v="INC"/>
    <s v="K9467"/>
    <s v="FC23"/>
    <s v="P12 Jade Accrual"/>
    <n v="2507.08"/>
    <n v="2.5070799999999998"/>
  </r>
  <r>
    <s v="S26"/>
    <x v="31"/>
    <s v="AJ"/>
    <n v="10347966"/>
    <d v="2020-04-03T00:00:00"/>
    <n v="202101"/>
    <s v="1"/>
    <s v="INC"/>
    <s v="K9467"/>
    <s v="FC24"/>
    <s v="P12 Jade Accrual"/>
    <n v="2137"/>
    <n v="2.137"/>
  </r>
  <r>
    <s v="S26"/>
    <x v="31"/>
    <s v="AJ"/>
    <n v="10347966"/>
    <d v="2020-04-03T00:00:00"/>
    <n v="202101"/>
    <s v="1"/>
    <s v="INC"/>
    <s v="K9467"/>
    <s v="FC53"/>
    <s v="P12 Jade Accrual"/>
    <n v="1755"/>
    <n v="1.7549999999999999"/>
  </r>
  <r>
    <s v="S26"/>
    <x v="31"/>
    <s v="AJ"/>
    <n v="10347966"/>
    <d v="2020-04-03T00:00:00"/>
    <n v="202101"/>
    <s v="1"/>
    <s v="INC"/>
    <s v="K9467"/>
    <s v="FC52"/>
    <s v="P12 Jade Accrual"/>
    <n v="1294.42"/>
    <n v="1.2944200000000001"/>
  </r>
  <r>
    <s v="S26"/>
    <x v="31"/>
    <s v="AJ"/>
    <n v="10347966"/>
    <d v="2020-04-03T00:00:00"/>
    <n v="202101"/>
    <s v="1"/>
    <s v="INC"/>
    <s v="K9467"/>
    <s v="FC54"/>
    <s v="P12 Jade Accrual"/>
    <n v="1368.83"/>
    <n v="1.36883"/>
  </r>
  <r>
    <s v="S26"/>
    <x v="34"/>
    <s v="AJ"/>
    <n v="10348098"/>
    <d v="2020-04-08T00:00:00"/>
    <n v="202101"/>
    <s v="1"/>
    <s v="EXP"/>
    <s v="B1830"/>
    <s v="DS32"/>
    <s v="Utilities to be invoiced to ODS - Knights Road Public Toilets Acc: 88888893524  Water 14/08/19 - 13/11/19"/>
    <n v="108.24"/>
    <n v="0.10823999999999999"/>
  </r>
  <r>
    <s v="S26"/>
    <x v="34"/>
    <s v="AJ"/>
    <n v="10348098"/>
    <d v="2020-04-08T00:00:00"/>
    <n v="202101"/>
    <s v="1"/>
    <s v="EXP"/>
    <s v="B1830"/>
    <s v="DS32"/>
    <s v="Utilities to be invoiced to ODS - Littlemore Public Toilets Acc: 88888893534  Water 10/08/19 - 09/11/19"/>
    <n v="140.81"/>
    <n v="0.14080999999999999"/>
  </r>
  <r>
    <s v="S26"/>
    <x v="32"/>
    <s v="AJ"/>
    <n v="10348098"/>
    <d v="2020-04-08T00:00:00"/>
    <n v="202101"/>
    <s v="1"/>
    <s v="EXP"/>
    <s v="B1501"/>
    <s v="DS33"/>
    <s v="Utilities to be invoiced to ODS - Florence Park Tennis Courts Floodlights Acc: 201716262  Electricity 02/10/19 - 01/01/20"/>
    <n v="374.62"/>
    <n v="0.37462000000000001"/>
  </r>
  <r>
    <s v="S26"/>
    <x v="31"/>
    <s v="AJ"/>
    <n v="10347981"/>
    <d v="2020-04-03T00:00:00"/>
    <n v="202101"/>
    <s v="1"/>
    <s v="EXP"/>
    <s v="D3001"/>
    <s v="FC21"/>
    <s v="P12 P2P accruals 2019/20, 8039228, JADE SECURITY SERVICES LTD"/>
    <n v="-2000"/>
    <n v="-2"/>
  </r>
  <r>
    <s v="S26"/>
    <x v="31"/>
    <s v="AJ"/>
    <n v="10347981"/>
    <d v="2020-04-03T00:00:00"/>
    <n v="202101"/>
    <s v="1"/>
    <s v="EXP"/>
    <s v="D6664"/>
    <s v="DS30"/>
    <s v="P12 P2P accruals 2019/20, 8032252, OXFORD DIRECT SERVICES LTD"/>
    <n v="-164771.75"/>
    <n v="-164.77175"/>
  </r>
  <r>
    <s v="S26"/>
    <x v="31"/>
    <s v="AJ"/>
    <n v="10347981"/>
    <d v="2020-04-03T00:00:00"/>
    <n v="202101"/>
    <s v="1"/>
    <s v="EXP"/>
    <s v="D3513"/>
    <s v="FC01"/>
    <s v="P12 P2P accruals 2019/20, 8033249, IMPERIAL CIVIL ENFORCEMENT SOLUTIONS LTD"/>
    <n v="-26.25"/>
    <n v="-2.6249999999999999E-2"/>
  </r>
  <r>
    <s v="S26"/>
    <x v="34"/>
    <s v="AJ"/>
    <n v="10348085"/>
    <d v="2020-04-02T00:00:00"/>
    <n v="202101"/>
    <s v="1"/>
    <s v="EXP"/>
    <s v="B1501"/>
    <s v="DS32"/>
    <s v="Reverse transaction 10347949"/>
    <n v="-1465.21"/>
    <n v="-1.4652100000000001"/>
  </r>
  <r>
    <s v="S26"/>
    <x v="31"/>
    <s v="AJ"/>
    <n v="10347979"/>
    <d v="2020-04-03T00:00:00"/>
    <n v="202101"/>
    <s v="1"/>
    <s v="EXP"/>
    <s v="D3433"/>
    <s v="FC01"/>
    <s v="19/20 Cash in 20/21"/>
    <n v="-2048.8000000000002"/>
    <n v="-2.0488000000000004"/>
  </r>
  <r>
    <s v="S32"/>
    <x v="38"/>
    <s v="AJ"/>
    <n v="10347981"/>
    <d v="2020-04-03T00:00:00"/>
    <n v="202101"/>
    <s v="1"/>
    <s v="EXP"/>
    <s v="D3429"/>
    <s v="CD22"/>
    <s v="P12 P2P accruals 2019/20, 8036064, CANTIUM BUSINESS SOLUTIONS LTD"/>
    <n v="-32"/>
    <n v="-3.2000000000000001E-2"/>
  </r>
  <r>
    <s v="S32"/>
    <x v="39"/>
    <s v="AJ"/>
    <n v="10347981"/>
    <d v="2020-04-03T00:00:00"/>
    <n v="202101"/>
    <s v="1"/>
    <s v="EXP"/>
    <s v="D3429"/>
    <s v="CD43"/>
    <s v="P12 P2P accruals 2019/20, 8039358, CANTIUM BUSINESS SOLUTIONS LTD"/>
    <n v="-90"/>
    <n v="-0.09"/>
  </r>
  <r>
    <s v="S32"/>
    <x v="40"/>
    <s v="AJ"/>
    <n v="10347981"/>
    <d v="2020-04-03T00:00:00"/>
    <n v="202101"/>
    <s v="1"/>
    <s v="EXP"/>
    <s v="D3411"/>
    <s v="CD11"/>
    <s v="P12 P2P accruals 2019/20, 8036965, CARTER JONAS"/>
    <n v="-4980"/>
    <n v="-4.9800000000000004"/>
  </r>
  <r>
    <s v="S32"/>
    <x v="41"/>
    <s v="AJ"/>
    <n v="10347981"/>
    <d v="2020-04-03T00:00:00"/>
    <n v="202101"/>
    <s v="1"/>
    <s v="EXP"/>
    <s v="D3429"/>
    <s v="CD61"/>
    <s v="P12 P2P accruals 2019/20, 8037677, CANTIUM BUSINESS SOLUTIONS LTD"/>
    <n v="-30"/>
    <n v="-0.03"/>
  </r>
  <r>
    <s v="S32"/>
    <x v="38"/>
    <s v="AJ"/>
    <n v="10347981"/>
    <d v="2020-04-03T00:00:00"/>
    <n v="202101"/>
    <s v="1"/>
    <s v="EXP"/>
    <s v="D3703"/>
    <s v="CD22"/>
    <s v="P12 P2P accruals 2019/20, 8039271, TAMESIDE MBC"/>
    <n v="-1600"/>
    <n v="-1.6"/>
  </r>
  <r>
    <s v="S32"/>
    <x v="41"/>
    <s v="AJ"/>
    <n v="10347981"/>
    <d v="2020-04-03T00:00:00"/>
    <n v="202101"/>
    <s v="1"/>
    <s v="EXP"/>
    <s v="D3703"/>
    <s v="CD61"/>
    <s v="P12 P2P accruals 2019/20, 8038807, THE LOTTERIES COUNCIL"/>
    <n v="-385"/>
    <n v="-0.38500000000000001"/>
  </r>
  <r>
    <s v="S32"/>
    <x v="40"/>
    <s v="AJ"/>
    <n v="10348435"/>
    <d v="2020-04-24T00:00:00"/>
    <n v="202101"/>
    <s v="1"/>
    <s v="INC"/>
    <s v="K6661"/>
    <s v="CD11"/>
    <s v="Reverse SLA Income Accrual"/>
    <n v="-112000"/>
    <n v="-112"/>
  </r>
  <r>
    <s v="S32"/>
    <x v="40"/>
    <s v="AJ"/>
    <n v="10348220"/>
    <d v="2020-04-15T00:00:00"/>
    <n v="202101"/>
    <s v="1"/>
    <s v="EXP"/>
    <s v="D3411"/>
    <s v="CD11"/>
    <s v="Love Accounting OX20194 March 2020"/>
    <n v="-2557.5"/>
    <n v="-2.5575000000000001"/>
  </r>
  <r>
    <s v="S32"/>
    <x v="39"/>
    <s v="AJ"/>
    <n v="10347981"/>
    <d v="2020-04-03T00:00:00"/>
    <n v="202101"/>
    <s v="1"/>
    <s v="EXP"/>
    <s v="D3401"/>
    <s v="CD43"/>
    <s v="P12 P2P accruals 2019/20, 8029530, IRRV"/>
    <n v="-70"/>
    <n v="-7.0000000000000007E-2"/>
  </r>
  <r>
    <s v="S32"/>
    <x v="38"/>
    <s v="AJ"/>
    <n v="10347981"/>
    <d v="2020-04-03T00:00:00"/>
    <n v="202101"/>
    <s v="1"/>
    <s v="EXP"/>
    <s v="D3401"/>
    <s v="CD22"/>
    <s v="P12 P2P accruals 2019/20, 8023149, EPIQ EUROPE LTD"/>
    <n v="-6"/>
    <n v="-6.0000000000000001E-3"/>
  </r>
  <r>
    <s v="S32"/>
    <x v="40"/>
    <s v="AJ"/>
    <n v="10347981"/>
    <d v="2020-04-03T00:00:00"/>
    <n v="202101"/>
    <s v="1"/>
    <s v="EXP"/>
    <s v="A0622"/>
    <s v="CD11"/>
    <s v="P12 P2P accruals 2019/20, 8037698, BPP PROFESSIONAL EDUCATION LTD"/>
    <n v="-1104.17"/>
    <n v="-1.1041700000000001"/>
  </r>
  <r>
    <s v="S32"/>
    <x v="39"/>
    <s v="AJ"/>
    <n v="10347979"/>
    <d v="2020-04-03T00:00:00"/>
    <n v="202101"/>
    <s v="1"/>
    <s v="EXP"/>
    <s v="D3415"/>
    <s v="CD42"/>
    <s v="19/20 Cash in 20/21"/>
    <n v="-39"/>
    <n v="-3.9E-2"/>
  </r>
  <r>
    <s v="S32"/>
    <x v="40"/>
    <s v="AJ"/>
    <n v="10347981"/>
    <d v="2020-04-03T00:00:00"/>
    <n v="202101"/>
    <s v="1"/>
    <s v="EXP"/>
    <s v="D3602"/>
    <s v="CD11"/>
    <s v="P12 P2P accruals 2019/20, 8036710, ERNST &amp; YOUNG LLP"/>
    <n v="-295"/>
    <n v="-0.29499999999999998"/>
  </r>
  <r>
    <s v="S32"/>
    <x v="38"/>
    <s v="AJ"/>
    <n v="10347981"/>
    <d v="2020-04-03T00:00:00"/>
    <n v="202101"/>
    <s v="1"/>
    <s v="EXP"/>
    <s v="D3703"/>
    <s v="CD22"/>
    <s v="P12 P2P accruals 2019/20, 8033805, CIFAS"/>
    <n v="-400"/>
    <n v="-0.4"/>
  </r>
  <r>
    <s v="S32"/>
    <x v="39"/>
    <s v="AJ"/>
    <n v="10347981"/>
    <d v="2020-04-03T00:00:00"/>
    <n v="202101"/>
    <s v="1"/>
    <s v="EXP"/>
    <s v="D3520"/>
    <s v="CD42"/>
    <s v="P12 P2P accruals 2019/20, 8036986, BT BUSINESS DIRECT"/>
    <n v="-228.04"/>
    <n v="-0.22803999999999999"/>
  </r>
  <r>
    <s v="S32"/>
    <x v="38"/>
    <s v="AJ"/>
    <n v="10347981"/>
    <d v="2020-04-03T00:00:00"/>
    <n v="202101"/>
    <s v="1"/>
    <s v="EXP"/>
    <s v="D3401"/>
    <s v="CD22"/>
    <s v="P12 P2P accruals 2019/20, 8038988, INTEC FOR BUSINESS LTD"/>
    <n v="-8000"/>
    <n v="-8"/>
  </r>
  <r>
    <s v="S32"/>
    <x v="39"/>
    <s v="AJ"/>
    <n v="10347981"/>
    <d v="2020-04-03T00:00:00"/>
    <n v="202101"/>
    <s v="1"/>
    <s v="EXP"/>
    <s v="D3802"/>
    <s v="CD66"/>
    <s v="P12 P2P accruals 2019/20, 8035990, CLEAR AND CREATIVE COMMUNICATIONS"/>
    <n v="-60"/>
    <n v="-0.06"/>
  </r>
  <r>
    <s v="S32"/>
    <x v="39"/>
    <s v="AJ"/>
    <n v="10347981"/>
    <d v="2020-04-03T00:00:00"/>
    <n v="202101"/>
    <s v="1"/>
    <s v="EXP"/>
    <s v="D3520"/>
    <s v="CD43"/>
    <s v="P12 P2P accruals 2019/20, 8036986, BT BUSINESS DIRECT"/>
    <n v="-114.02"/>
    <n v="-0.11402"/>
  </r>
  <r>
    <s v="S32"/>
    <x v="42"/>
    <s v="AJ"/>
    <n v="10347981"/>
    <d v="2020-04-03T00:00:00"/>
    <n v="202101"/>
    <s v="1"/>
    <s v="EXP"/>
    <s v="D3401"/>
    <s v="CD10"/>
    <s v="P12 P2P accruals 2019/20, 8026166, JADE SECURITY SERVICES LTD"/>
    <n v="-222.1"/>
    <n v="-0.22209999999999999"/>
  </r>
  <r>
    <s v="S32"/>
    <x v="40"/>
    <s v="AJ"/>
    <n v="10347981"/>
    <d v="2020-04-03T00:00:00"/>
    <n v="202101"/>
    <s v="1"/>
    <s v="EXP"/>
    <s v="D3417"/>
    <s v="CD11"/>
    <s v="P12 P2P accruals 2019/20, 8039256, BROWNE JACOBSON LLP"/>
    <n v="-7500"/>
    <n v="-7.5"/>
  </r>
  <r>
    <s v="S32"/>
    <x v="43"/>
    <s v="AJ"/>
    <n v="10347981"/>
    <d v="2020-04-03T00:00:00"/>
    <n v="202101"/>
    <s v="1"/>
    <s v="EXP"/>
    <s v="D3411"/>
    <s v="CM12"/>
    <s v="P12 P2P accruals 2019/20, 8037104, ERNST &amp; YOUNG LLP"/>
    <n v="-16589"/>
    <n v="-16.588999999999999"/>
  </r>
  <r>
    <s v="S32"/>
    <x v="40"/>
    <s v="AJ"/>
    <n v="10347981"/>
    <d v="2020-04-03T00:00:00"/>
    <n v="202101"/>
    <s v="1"/>
    <s v="EXP"/>
    <s v="D3520"/>
    <s v="CD11"/>
    <s v="P12 P2P accruals 2019/20, 8037512, BT BUSINESS DIRECT"/>
    <n v="-117.03"/>
    <n v="-0.11703"/>
  </r>
  <r>
    <s v="S32"/>
    <x v="42"/>
    <s v="AJ"/>
    <n v="10347981"/>
    <d v="2020-04-03T00:00:00"/>
    <n v="202101"/>
    <s v="1"/>
    <s v="EXP"/>
    <s v="D3411"/>
    <s v="CD10"/>
    <s v="P12 P2P accruals 2019/20, 8036359, ALLPAY"/>
    <n v="-1050"/>
    <n v="-1.05"/>
  </r>
  <r>
    <s v="S32"/>
    <x v="43"/>
    <s v="AJ"/>
    <n v="10347981"/>
    <d v="2020-04-03T00:00:00"/>
    <n v="202101"/>
    <s v="1"/>
    <s v="EXP"/>
    <s v="D3411"/>
    <s v="CD21"/>
    <s v="P12 P2P accruals 2019/20, 8033792, BDO LLP"/>
    <n v="-1993.75"/>
    <n v="-1.9937499999999999"/>
  </r>
  <r>
    <s v="S32"/>
    <x v="38"/>
    <s v="AJ"/>
    <n v="10347981"/>
    <d v="2020-04-03T00:00:00"/>
    <n v="202101"/>
    <s v="1"/>
    <s v="EXP"/>
    <s v="D3703"/>
    <s v="CD22"/>
    <s v="P12 P2P accruals 2019/20, 8038647, HOOYU LIMITED"/>
    <n v="-4700"/>
    <n v="-4.7"/>
  </r>
  <r>
    <s v="S32"/>
    <x v="43"/>
    <s v="AJ"/>
    <n v="10347981"/>
    <d v="2020-04-03T00:00:00"/>
    <n v="202101"/>
    <s v="1"/>
    <s v="EXP"/>
    <s v="D3411"/>
    <s v="CD21"/>
    <s v="P12 P2P accruals 2019/20, 8033791, BDO LLP"/>
    <n v="-15950"/>
    <n v="-15.95"/>
  </r>
  <r>
    <s v="S32"/>
    <x v="38"/>
    <s v="AJ"/>
    <n v="10347981"/>
    <d v="2020-04-03T00:00:00"/>
    <n v="202101"/>
    <s v="1"/>
    <s v="EXP"/>
    <s v="D3401"/>
    <s v="CD22"/>
    <s v="P12 P2P accruals 2019/20, 8037041, NATIONAL CRIME AGENCY"/>
    <n v="-2061"/>
    <n v="-2.0609999999999999"/>
  </r>
  <r>
    <s v="S32"/>
    <x v="40"/>
    <s v="AJ"/>
    <n v="10347981"/>
    <d v="2020-04-03T00:00:00"/>
    <n v="202101"/>
    <s v="1"/>
    <s v="EXP"/>
    <s v="D3319"/>
    <s v="CD11"/>
    <s v="P12 P2P accruals 2019/20, 8038463, ASHDALE ENGINEERING UK LTD"/>
    <n v="-2160.98"/>
    <n v="-2.1609799999999999"/>
  </r>
  <r>
    <s v="S32"/>
    <x v="40"/>
    <s v="AJ"/>
    <n v="10347981"/>
    <d v="2020-04-03T00:00:00"/>
    <n v="202101"/>
    <s v="1"/>
    <s v="EXP"/>
    <s v="D3319"/>
    <s v="CD11"/>
    <s v="P12 P2P accruals 2019/20, 8038463, ASHDALE ENGINEERING UK LTD"/>
    <n v="-2160.98"/>
    <n v="-2.1609799999999999"/>
  </r>
  <r>
    <s v="S32"/>
    <x v="38"/>
    <s v="AJ"/>
    <n v="10347981"/>
    <d v="2020-04-03T00:00:00"/>
    <n v="202101"/>
    <s v="1"/>
    <s v="EXP"/>
    <s v="B1702"/>
    <s v="CD22"/>
    <s v="P12 P2P accruals 2019/20, 8039035, TAMESIDE MBC"/>
    <n v="-287.25"/>
    <n v="-0.28725000000000001"/>
  </r>
  <r>
    <s v="S32"/>
    <x v="38"/>
    <s v="AJ"/>
    <n v="10347981"/>
    <d v="2020-04-03T00:00:00"/>
    <n v="202101"/>
    <s v="1"/>
    <s v="EXP"/>
    <s v="B1702"/>
    <s v="CD22"/>
    <s v="P12 P2P accruals 2019/20, 8032433, TAMESIDE MBC"/>
    <n v="-489.1"/>
    <n v="-0.48910000000000003"/>
  </r>
  <r>
    <s v="S32"/>
    <x v="39"/>
    <s v="AJ"/>
    <n v="10348034"/>
    <d v="2020-04-07T00:00:00"/>
    <n v="202101"/>
    <s v="1"/>
    <s v="EXP"/>
    <s v="A0108"/>
    <s v="CD43"/>
    <s v="P12 Streeter W (Reed)"/>
    <n v="-3616.78"/>
    <n v="-3.6167800000000003"/>
  </r>
  <r>
    <s v="S32"/>
    <x v="38"/>
    <s v="AJ"/>
    <n v="10348034"/>
    <d v="2020-04-07T00:00:00"/>
    <n v="202101"/>
    <s v="1"/>
    <s v="EXP"/>
    <s v="A0108"/>
    <s v="CD22"/>
    <s v="P12 Farrow R (Reed)"/>
    <n v="-3779.01"/>
    <n v="-3.7790100000000004"/>
  </r>
  <r>
    <s v="S32"/>
    <x v="40"/>
    <s v="AJ"/>
    <n v="10348034"/>
    <d v="2020-04-07T00:00:00"/>
    <n v="202101"/>
    <s v="1"/>
    <s v="EXP"/>
    <s v="A0108"/>
    <s v="CD11"/>
    <s v="P12 Budde G (Reed)"/>
    <n v="-16050"/>
    <n v="-16.05"/>
  </r>
  <r>
    <s v="S32"/>
    <x v="40"/>
    <s v="AJ"/>
    <n v="10348034"/>
    <d v="2020-04-07T00:00:00"/>
    <n v="202101"/>
    <s v="1"/>
    <s v="EXP"/>
    <s v="A0108"/>
    <s v="CD11"/>
    <s v="P12 Elliott P (Reed)"/>
    <n v="-4538.82"/>
    <n v="-4.5388199999999994"/>
  </r>
  <r>
    <s v="S32"/>
    <x v="40"/>
    <s v="AJ"/>
    <n v="10348034"/>
    <d v="2020-04-07T00:00:00"/>
    <n v="202101"/>
    <s v="1"/>
    <s v="EXP"/>
    <s v="A0108"/>
    <s v="CD11"/>
    <s v="P12 Anrude-chambers E (Reed)"/>
    <n v="-10075"/>
    <n v="-10.074999999999999"/>
  </r>
  <r>
    <s v="S32"/>
    <x v="42"/>
    <s v="AJ"/>
    <n v="10348034"/>
    <d v="2020-04-07T00:00:00"/>
    <n v="202101"/>
    <s v="1"/>
    <s v="EXP"/>
    <s v="A0108"/>
    <s v="CD10"/>
    <s v="P12 Hamilton H (Reed)"/>
    <n v="-3407.14"/>
    <n v="-3.4071400000000001"/>
  </r>
  <r>
    <s v="S32"/>
    <x v="39"/>
    <s v="AJ"/>
    <n v="10348159"/>
    <d v="2020-04-09T00:00:00"/>
    <n v="202101"/>
    <s v="1"/>
    <s v="EXP"/>
    <s v="D3401"/>
    <s v="CD43"/>
    <s v="Northgate Resilience contract March"/>
    <n v="-3407.5"/>
    <n v="-3.4075000000000002"/>
  </r>
  <r>
    <s v="S32"/>
    <x v="39"/>
    <s v="AJ"/>
    <n v="10348159"/>
    <d v="2020-04-09T00:00:00"/>
    <n v="202101"/>
    <s v="1"/>
    <s v="EXP"/>
    <s v="D3401"/>
    <s v="CD42"/>
    <s v="Northgate Resilience contract February- invoice awaited as in dispute"/>
    <n v="-4000"/>
    <n v="-4"/>
  </r>
  <r>
    <s v="S32"/>
    <x v="40"/>
    <s v="AJ"/>
    <n v="10348159"/>
    <d v="2020-04-09T00:00:00"/>
    <n v="202101"/>
    <s v="1"/>
    <s v="EXP"/>
    <s v="D3319"/>
    <s v="CD11"/>
    <s v="P12 P2P 8038463 not required"/>
    <n v="2160.98"/>
    <n v="2.1609799999999999"/>
  </r>
  <r>
    <s v="S32"/>
    <x v="40"/>
    <s v="AJ"/>
    <n v="10348159"/>
    <d v="2020-04-09T00:00:00"/>
    <n v="202101"/>
    <s v="1"/>
    <s v="EXP"/>
    <s v="D3703"/>
    <s v="CD11"/>
    <s v="CIPFA Stats Full Internet Access 01/04/20 - 31/03/21"/>
    <n v="2800"/>
    <n v="2.8"/>
  </r>
  <r>
    <s v="S32"/>
    <x v="40"/>
    <s v="AJ"/>
    <n v="10348159"/>
    <d v="2020-04-09T00:00:00"/>
    <n v="202101"/>
    <s v="1"/>
    <s v="EXP"/>
    <s v="D3703"/>
    <s v="CD11"/>
    <s v="CIPFA Alternative Service Delivery 01/04/20 - 31/03/21"/>
    <n v="1230"/>
    <n v="1.23"/>
  </r>
  <r>
    <s v="S32"/>
    <x v="40"/>
    <s v="AJ"/>
    <n v="10348159"/>
    <d v="2020-04-09T00:00:00"/>
    <n v="202101"/>
    <s v="1"/>
    <s v="EXP"/>
    <s v="D3703"/>
    <s v="CD11"/>
    <s v="TIS Online full subscription 31/03/20 - 31/03/21"/>
    <n v="2975"/>
    <n v="2.9750000000000001"/>
  </r>
  <r>
    <s v="S32"/>
    <x v="40"/>
    <s v="AJ"/>
    <n v="10348159"/>
    <d v="2020-04-09T00:00:00"/>
    <n v="202101"/>
    <s v="1"/>
    <s v="EXP"/>
    <s v="D3703"/>
    <s v="CD11"/>
    <s v="CIPFA Publications subscription 31/03/20 - 31/03/21"/>
    <n v="3700"/>
    <n v="3.7"/>
  </r>
  <r>
    <s v="S32"/>
    <x v="38"/>
    <s v="AJ"/>
    <n v="10348159"/>
    <d v="2020-04-09T00:00:00"/>
    <n v="202101"/>
    <s v="1"/>
    <s v="EXP"/>
    <s v="D3703"/>
    <s v="CD22"/>
    <s v="National Anti-Fraud Network 01/04/20 - 31/03/21"/>
    <n v="1600"/>
    <n v="1.6"/>
  </r>
  <r>
    <s v="S32"/>
    <x v="39"/>
    <s v="AJ"/>
    <n v="10348159"/>
    <d v="2020-04-09T00:00:00"/>
    <n v="202101"/>
    <s v="1"/>
    <s v="EXP"/>
    <s v="D3703"/>
    <s v="CD43"/>
    <s v="CIPFA Revenues &amp; Benefits Service 01/04/20 - 31/03/21"/>
    <n v="1470"/>
    <n v="1.47"/>
  </r>
  <r>
    <s v="S32"/>
    <x v="39"/>
    <s v="AJ"/>
    <n v="10348159"/>
    <d v="2020-04-09T00:00:00"/>
    <n v="202101"/>
    <s v="1"/>
    <s v="EXP"/>
    <s v="D3703"/>
    <s v="CD42"/>
    <s v="CIPFA Revenues &amp; Benefits Service 01/04/20 - 31/03/21"/>
    <n v="1470"/>
    <n v="1.47"/>
  </r>
  <r>
    <s v="S32"/>
    <x v="42"/>
    <s v="AJ"/>
    <n v="10348159"/>
    <d v="2020-04-09T00:00:00"/>
    <n v="202101"/>
    <s v="1"/>
    <s v="EXP"/>
    <s v="D3513"/>
    <s v="KT14"/>
    <s v="Subscription Pro Contract 01/05/20 - 30/04/21"/>
    <n v="7051"/>
    <n v="7.0510000000000002"/>
  </r>
  <r>
    <s v="S32"/>
    <x v="39"/>
    <s v="AJ"/>
    <n v="10348159"/>
    <d v="2020-04-09T00:00:00"/>
    <n v="202101"/>
    <s v="1"/>
    <s v="EXP"/>
    <s v="D3703"/>
    <s v="CD43"/>
    <s v="Analyse LOCAL 20/21"/>
    <n v="2500"/>
    <n v="2.5"/>
  </r>
  <r>
    <s v="S32"/>
    <x v="38"/>
    <s v="AJ"/>
    <n v="10348159"/>
    <d v="2020-04-09T00:00:00"/>
    <n v="202101"/>
    <s v="1"/>
    <s v="EXP"/>
    <s v="D3703"/>
    <s v="CD22"/>
    <s v="P12 P2P 8039271 not required"/>
    <n v="1600"/>
    <n v="1.6"/>
  </r>
  <r>
    <s v="S32"/>
    <x v="40"/>
    <s v="AJ"/>
    <n v="10348159"/>
    <d v="2020-04-09T00:00:00"/>
    <n v="202101"/>
    <s v="1"/>
    <s v="EXP"/>
    <s v="D3703"/>
    <s v="CD11"/>
    <s v="Finance Advisory Network 01/04/20 - 31/03/21"/>
    <n v="4530"/>
    <n v="4.53"/>
  </r>
  <r>
    <s v="S32"/>
    <x v="40"/>
    <s v="AJ"/>
    <n v="10348159"/>
    <d v="2020-04-09T00:00:00"/>
    <n v="202101"/>
    <s v="1"/>
    <s v="EXP"/>
    <s v="D3703"/>
    <s v="CD11"/>
    <s v="Finance Intelligence Toolkit subscription 01/04/20 - 31/03/21"/>
    <n v="4340"/>
    <n v="4.34"/>
  </r>
  <r>
    <s v="S32"/>
    <x v="40"/>
    <s v="AJ"/>
    <n v="10348159"/>
    <d v="2020-04-09T00:00:00"/>
    <n v="202101"/>
    <s v="1"/>
    <s v="EXP"/>
    <s v="D3319"/>
    <s v="CD11"/>
    <s v="P12 P2P 8038463 not required"/>
    <n v="2160.98"/>
    <n v="2.1609799999999999"/>
  </r>
  <r>
    <s v="S32"/>
    <x v="38"/>
    <s v="AJ"/>
    <n v="10348209"/>
    <d v="2020-04-14T00:00:00"/>
    <n v="202101"/>
    <s v="1"/>
    <s v="INC"/>
    <s v="K9401"/>
    <s v="CD22"/>
    <s v="South Northants &amp; Cherwell 1April to 15 July 2020"/>
    <n v="-48356.29"/>
    <n v="-48.356290000000001"/>
  </r>
  <r>
    <s v="S32"/>
    <x v="38"/>
    <s v="AJ"/>
    <n v="10348213"/>
    <d v="2020-04-14T00:00:00"/>
    <n v="202101"/>
    <s v="1"/>
    <s v="INC"/>
    <s v="K9401"/>
    <s v="CD22"/>
    <s v="London Councils"/>
    <n v="6993"/>
    <n v="6.9930000000000003"/>
  </r>
  <r>
    <s v="S32"/>
    <x v="38"/>
    <s v="AJ"/>
    <n v="10348213"/>
    <d v="2020-04-14T00:00:00"/>
    <n v="202101"/>
    <s v="1"/>
    <s v="INC"/>
    <s v="K9401"/>
    <s v="CD22"/>
    <s v="Wandle Housing Association (estimate)"/>
    <n v="1900"/>
    <n v="1.9"/>
  </r>
  <r>
    <s v="S32"/>
    <x v="38"/>
    <s v="AJ"/>
    <n v="10348213"/>
    <d v="2020-04-14T00:00:00"/>
    <n v="202101"/>
    <s v="1"/>
    <s v="INC"/>
    <s v="K9401"/>
    <s v="CD22"/>
    <s v="Warwick District Council (estimate)"/>
    <n v="15500"/>
    <n v="15.5"/>
  </r>
  <r>
    <s v="S32"/>
    <x v="38"/>
    <s v="AJ"/>
    <n v="10348213"/>
    <d v="2020-04-14T00:00:00"/>
    <n v="202101"/>
    <s v="1"/>
    <s v="INC"/>
    <s v="K9401"/>
    <s v="CD22"/>
    <s v="Riverside Housing Association (estimate)"/>
    <n v="10000"/>
    <n v="10"/>
  </r>
  <r>
    <s v="S32"/>
    <x v="40"/>
    <s v="AJ"/>
    <n v="10348163"/>
    <d v="2020-04-09T00:00:00"/>
    <n v="202101"/>
    <s v="1"/>
    <s v="INC"/>
    <s v="K6661"/>
    <s v="CD11"/>
    <s v="Ref Hco P2P AJ 44000488, 44000489). Financial Services: 19/20 SLA from OCC Financial Services."/>
    <n v="112000"/>
    <n v="112"/>
  </r>
  <r>
    <s v="S32"/>
    <x v="40"/>
    <s v="AJ"/>
    <n v="10348159"/>
    <d v="2020-04-09T00:00:00"/>
    <n v="202101"/>
    <s v="1"/>
    <s v="INC"/>
    <s v="K9001"/>
    <s v="CD11"/>
    <s v="BR Reliefs Section 31 20/21"/>
    <n v="-110247"/>
    <n v="-110.247"/>
  </r>
  <r>
    <s v="S32"/>
    <x v="40"/>
    <s v="AJ"/>
    <n v="10348138"/>
    <d v="2020-04-09T00:00:00"/>
    <n v="202101"/>
    <s v="1"/>
    <s v="INC"/>
    <s v="K6661"/>
    <s v="CD11"/>
    <s v="Accrue reversal invoice processed in 2020/21"/>
    <n v="36000"/>
    <n v="36"/>
  </r>
  <r>
    <s v="S34"/>
    <x v="44"/>
    <s v="AJ"/>
    <n v="10347981"/>
    <d v="2020-04-03T00:00:00"/>
    <n v="202101"/>
    <s v="1"/>
    <s v="EXP"/>
    <s v="D3703"/>
    <s v="KS02"/>
    <s v="P12 P2P accruals 2019/20, 8035800, MBL (SEMINARS) LIMITED"/>
    <n v="-96"/>
    <n v="-9.6000000000000002E-2"/>
  </r>
  <r>
    <s v="S34"/>
    <x v="44"/>
    <s v="AJ"/>
    <n v="10347979"/>
    <d v="2020-04-03T00:00:00"/>
    <n v="202101"/>
    <s v="1"/>
    <s v="EXP"/>
    <s v="D3415"/>
    <s v="KS04"/>
    <s v="19/20 Cash in 20/21"/>
    <n v="-35"/>
    <n v="-3.5000000000000003E-2"/>
  </r>
  <r>
    <s v="S34"/>
    <x v="44"/>
    <s v="AJ"/>
    <n v="10347981"/>
    <d v="2020-04-03T00:00:00"/>
    <n v="202101"/>
    <s v="1"/>
    <s v="EXP"/>
    <s v="D3417"/>
    <s v="KS04"/>
    <s v="P12 P2P accruals 2019/20, 8033228, BOND DICKINSON LLP"/>
    <n v="-1299"/>
    <n v="-1.2989999999999999"/>
  </r>
  <r>
    <s v="S34"/>
    <x v="45"/>
    <s v="AJ"/>
    <n v="10347981"/>
    <d v="2020-04-03T00:00:00"/>
    <n v="202101"/>
    <s v="1"/>
    <s v="EXP"/>
    <s v="D3401"/>
    <s v="KK01"/>
    <s v="P12 P2P accruals 2019/20, 8038908, Q.LEARNING LTD"/>
    <n v="-337.5"/>
    <n v="-0.33750000000000002"/>
  </r>
  <r>
    <s v="S34"/>
    <x v="45"/>
    <s v="AJ"/>
    <n v="10347981"/>
    <d v="2020-04-03T00:00:00"/>
    <n v="202101"/>
    <s v="1"/>
    <s v="EXP"/>
    <s v="D3413"/>
    <s v="KK01"/>
    <s v="P12 P2P accruals 2019/20, 8031076, THE MADISON GROUP"/>
    <n v="-1240"/>
    <n v="-1.24"/>
  </r>
  <r>
    <s v="S34"/>
    <x v="46"/>
    <s v="AJ"/>
    <n v="10347981"/>
    <d v="2020-04-03T00:00:00"/>
    <n v="202101"/>
    <s v="1"/>
    <s v="EXP"/>
    <s v="D3303"/>
    <s v="KB11"/>
    <s v="P12 P2P accruals 2019/20, 8019854, ELECTORAL REFORM SERVICES LTD"/>
    <n v="-1672.75"/>
    <n v="-1.67275"/>
  </r>
  <r>
    <s v="S34"/>
    <x v="46"/>
    <s v="AJ"/>
    <n v="10347981"/>
    <d v="2020-04-03T00:00:00"/>
    <n v="202101"/>
    <s v="1"/>
    <s v="EXP"/>
    <s v="D3303"/>
    <s v="KC11"/>
    <s v="P12 P2P accruals 2019/20, 8026469, ELECTORAL REFORM SERVICES LTD"/>
    <n v="-1356.74"/>
    <n v="-1.3567400000000001"/>
  </r>
  <r>
    <s v="S34"/>
    <x v="47"/>
    <s v="AJ"/>
    <n v="10347981"/>
    <d v="2020-04-03T00:00:00"/>
    <n v="202101"/>
    <s v="1"/>
    <s v="EXP"/>
    <s v="C2501"/>
    <s v="KD01"/>
    <s v="P12 P2P accruals 2019/20, 8028071, ROYAL CARS (OXFORD)"/>
    <n v="-100.86"/>
    <n v="-0.10086000000000001"/>
  </r>
  <r>
    <s v="S34"/>
    <x v="44"/>
    <s v="AJ"/>
    <n v="10347981"/>
    <d v="2020-04-03T00:00:00"/>
    <n v="202101"/>
    <s v="1"/>
    <s v="EXP"/>
    <s v="D3417"/>
    <s v="KS04"/>
    <s v="P12 P2P accruals 2019/20, 8034319, CORNERSTONE BARRISTERS"/>
    <n v="-350"/>
    <n v="-0.35"/>
  </r>
  <r>
    <s v="S34"/>
    <x v="46"/>
    <s v="AJ"/>
    <n v="10347981"/>
    <d v="2020-04-03T00:00:00"/>
    <n v="202101"/>
    <s v="1"/>
    <s v="EXP"/>
    <s v="D3303"/>
    <s v="KC11"/>
    <s v="P12 P2P accruals 2019/20, 8028455, FINANCIAL DATA MANAGEMENT PLC"/>
    <n v="-16160.13"/>
    <n v="-16.160129999999999"/>
  </r>
  <r>
    <s v="S34"/>
    <x v="44"/>
    <s v="AJ"/>
    <n v="10347981"/>
    <d v="2020-04-03T00:00:00"/>
    <n v="202101"/>
    <s v="1"/>
    <s v="EXP"/>
    <s v="D3417"/>
    <s v="KS04"/>
    <s v="P12 P2P accruals 2019/20, 8029105, MS JANE HODGSON"/>
    <n v="-809.75"/>
    <n v="-0.80974999999999997"/>
  </r>
  <r>
    <s v="S34"/>
    <x v="47"/>
    <s v="AJ"/>
    <n v="10347981"/>
    <d v="2020-04-03T00:00:00"/>
    <n v="202101"/>
    <s v="1"/>
    <s v="EXP"/>
    <s v="D3302"/>
    <s v="KS08"/>
    <s v="P12 P2P accruals 2019/20, 8039098, KEMP HALL BINDERY LTD T/AS MALTBY´S THE BOOKBINDERS"/>
    <n v="-1300"/>
    <n v="-1.3"/>
  </r>
  <r>
    <s v="S34"/>
    <x v="44"/>
    <s v="AJ"/>
    <n v="10347981"/>
    <d v="2020-04-03T00:00:00"/>
    <n v="202101"/>
    <s v="1"/>
    <s v="EXP"/>
    <s v="D3417"/>
    <s v="KS04"/>
    <s v="P12 P2P accruals 2019/20, 8033001, Francis Taylor Building"/>
    <n v="-8975"/>
    <n v="-8.9749999999999996"/>
  </r>
  <r>
    <s v="S34"/>
    <x v="45"/>
    <s v="AJ"/>
    <n v="10347981"/>
    <d v="2020-04-03T00:00:00"/>
    <n v="202101"/>
    <s v="1"/>
    <s v="EXP"/>
    <s v="D3401"/>
    <s v="KK01"/>
    <s v="P12 P2P accruals 2019/20, 8038908, Q.LEARNING LTD"/>
    <n v="-23"/>
    <n v="-2.3E-2"/>
  </r>
  <r>
    <s v="S34"/>
    <x v="44"/>
    <s v="AJ"/>
    <n v="10347981"/>
    <d v="2020-04-03T00:00:00"/>
    <n v="202101"/>
    <s v="1"/>
    <s v="EXP"/>
    <s v="D3417"/>
    <s v="KS04"/>
    <s v="P12 P2P accruals 2019/20, 8039352, BROWNE JACOBSON LLP"/>
    <n v="-995"/>
    <n v="-0.995"/>
  </r>
  <r>
    <s v="S34"/>
    <x v="44"/>
    <s v="AJ"/>
    <n v="10347981"/>
    <d v="2020-04-03T00:00:00"/>
    <n v="202101"/>
    <s v="1"/>
    <s v="EXP"/>
    <s v="D3417"/>
    <s v="KS04"/>
    <s v="P12 P2P accruals 2019/20, 8032586, BEVAN BRITTAN LLP"/>
    <n v="-250"/>
    <n v="-0.25"/>
  </r>
  <r>
    <s v="S34"/>
    <x v="46"/>
    <s v="AJ"/>
    <n v="10348194"/>
    <d v="2020-04-14T00:00:00"/>
    <n v="202101"/>
    <s v="1"/>
    <s v="INC"/>
    <s v="K9159"/>
    <s v="KB11"/>
    <s v="Reimburement of 2019 Election costs for European and General elections"/>
    <n v="247563.31"/>
    <n v="247.56331"/>
  </r>
  <r>
    <s v="S34"/>
    <x v="44"/>
    <s v="AJ"/>
    <n v="10348194"/>
    <d v="2020-04-14T00:00:00"/>
    <n v="202101"/>
    <s v="1"/>
    <s v="INC"/>
    <s v="K9481"/>
    <s v="KS04"/>
    <s v="AA0014433 - Angela Bovell v Reading Borough Council"/>
    <n v="4685.78"/>
    <n v="4.6857799999999994"/>
  </r>
  <r>
    <s v="S34"/>
    <x v="44"/>
    <s v="AJ"/>
    <n v="10348194"/>
    <d v="2020-04-14T00:00:00"/>
    <n v="202101"/>
    <s v="1"/>
    <s v="EXP"/>
    <s v="D3413"/>
    <s v="KS02"/>
    <s v="Chameleon - Coaching for Anita Bradley with Manjeet Gill x 6 sessions"/>
    <n v="-6000"/>
    <n v="-6"/>
  </r>
  <r>
    <s v="S34"/>
    <x v="44"/>
    <s v="AJ"/>
    <n v="10348194"/>
    <d v="2020-04-14T00:00:00"/>
    <n v="202101"/>
    <s v="1"/>
    <s v="EXP"/>
    <s v="D3410"/>
    <s v="KS04"/>
    <s v="Turpin &amp; Miller - Ayez Award of Costs"/>
    <n v="-14500"/>
    <n v="-14.5"/>
  </r>
  <r>
    <s v="S34"/>
    <x v="45"/>
    <s v="AJ"/>
    <n v="10348194"/>
    <d v="2020-04-14T00:00:00"/>
    <n v="202101"/>
    <s v="1"/>
    <s v="EXP"/>
    <s v="A0108"/>
    <s v="KK01"/>
    <s v="Paul Leo March Costs"/>
    <n v="-11000"/>
    <n v="-11"/>
  </r>
  <r>
    <s v="S34"/>
    <x v="44"/>
    <s v="AJ"/>
    <n v="10348034"/>
    <d v="2020-04-07T00:00:00"/>
    <n v="202101"/>
    <s v="1"/>
    <s v="EXP"/>
    <s v="A0108"/>
    <s v="KS04"/>
    <s v="P12 Vickers P (Reed)"/>
    <n v="-8927.51"/>
    <n v="-8.9275099999999998"/>
  </r>
  <r>
    <s v="S34"/>
    <x v="44"/>
    <s v="AJ"/>
    <n v="10348034"/>
    <d v="2020-04-07T00:00:00"/>
    <n v="202101"/>
    <s v="1"/>
    <s v="EXP"/>
    <s v="A0108"/>
    <s v="KS04"/>
    <s v="P12 Meek R (Reed)"/>
    <n v="-10844.16"/>
    <n v="-10.84416"/>
  </r>
  <r>
    <s v="S34"/>
    <x v="44"/>
    <s v="AJ"/>
    <n v="10347981"/>
    <d v="2020-04-03T00:00:00"/>
    <n v="202101"/>
    <s v="1"/>
    <s v="EXP"/>
    <s v="A0108"/>
    <s v="KS04"/>
    <s v="P12 P2P accruals 2019/20, 8037562, SELLICK PARTNERSHIP LTD"/>
    <n v="-12204.74"/>
    <n v="-12.204739999999999"/>
  </r>
  <r>
    <s v="S34"/>
    <x v="44"/>
    <s v="AJ"/>
    <n v="10348163"/>
    <d v="2020-04-09T00:00:00"/>
    <n v="202101"/>
    <s v="1"/>
    <s v="INC"/>
    <s v="K6661"/>
    <s v="KS04"/>
    <s v="Ref HCo P2P AJ 44000488, 44000489. Law and Governance: SLA for 2019-20 as agreed."/>
    <n v="39000"/>
    <n v="39"/>
  </r>
  <r>
    <s v="S34"/>
    <x v="45"/>
    <s v="AJ"/>
    <n v="10348034"/>
    <d v="2020-04-07T00:00:00"/>
    <n v="202101"/>
    <s v="1"/>
    <s v="EXP"/>
    <s v="A0108"/>
    <s v="KK01"/>
    <s v="P12 Winfield K (Reed)"/>
    <n v="-2562.8200000000002"/>
    <n v="-2.5628200000000003"/>
  </r>
  <r>
    <s v="S34"/>
    <x v="44"/>
    <s v="AJ"/>
    <n v="10347981"/>
    <d v="2020-04-03T00:00:00"/>
    <n v="202101"/>
    <s v="1"/>
    <s v="EXP"/>
    <s v="D3417"/>
    <s v="KS04"/>
    <s v="P12 P2P accruals 2019/20, 8034968, RUARDAIDH FITZPATRICK"/>
    <n v="-6601.6"/>
    <n v="-6.6016000000000004"/>
  </r>
  <r>
    <s v="S34"/>
    <x v="44"/>
    <s v="AJ"/>
    <n v="10347981"/>
    <d v="2020-04-03T00:00:00"/>
    <n v="202101"/>
    <s v="1"/>
    <s v="EXP"/>
    <s v="D3417"/>
    <s v="KS04"/>
    <s v="P12 P2P accruals 2019/20, 8034860, CHARLES STREETEN"/>
    <n v="-400"/>
    <n v="-0.4"/>
  </r>
  <r>
    <s v="S34"/>
    <x v="44"/>
    <s v="AJ"/>
    <n v="10347981"/>
    <d v="2020-04-03T00:00:00"/>
    <n v="202101"/>
    <s v="1"/>
    <s v="EXP"/>
    <s v="D3417"/>
    <s v="KS04"/>
    <s v="P12 P2P accruals 2019/20, 8031327, CORNERSTONE BARRISTERS"/>
    <n v="-300"/>
    <n v="-0.3"/>
  </r>
  <r>
    <s v="S34"/>
    <x v="44"/>
    <s v="AJ"/>
    <n v="10347981"/>
    <d v="2020-04-03T00:00:00"/>
    <n v="202101"/>
    <s v="1"/>
    <s v="EXP"/>
    <s v="D3417"/>
    <s v="KS04"/>
    <s v="P12 P2P accruals 2019/20, 8030721, JOSEPHINE HENDERSON"/>
    <n v="-480.85"/>
    <n v="-0.48085"/>
  </r>
  <r>
    <s v="S34"/>
    <x v="44"/>
    <s v="AJ"/>
    <n v="10347981"/>
    <d v="2020-04-03T00:00:00"/>
    <n v="202101"/>
    <s v="1"/>
    <s v="EXP"/>
    <s v="D3417"/>
    <s v="KS04"/>
    <s v="P12 P2P accruals 2019/20, 8037479, JOSEPHINE HENDERSON"/>
    <n v="-120"/>
    <n v="-0.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3"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E3:F52" firstHeaderRow="1" firstDataRow="1" firstDataCol="1"/>
  <pivotFields count="13">
    <pivotField showAll="0"/>
    <pivotField axis="axisRow" showAll="0">
      <items count="49">
        <item x="2"/>
        <item x="1"/>
        <item x="0"/>
        <item x="5"/>
        <item x="7"/>
        <item x="4"/>
        <item x="3"/>
        <item x="6"/>
        <item x="9"/>
        <item x="8"/>
        <item x="11"/>
        <item x="10"/>
        <item x="13"/>
        <item x="12"/>
        <item x="15"/>
        <item x="14"/>
        <item x="17"/>
        <item x="18"/>
        <item x="19"/>
        <item x="16"/>
        <item x="22"/>
        <item x="20"/>
        <item x="21"/>
        <item x="24"/>
        <item x="30"/>
        <item x="26"/>
        <item x="23"/>
        <item x="29"/>
        <item x="25"/>
        <item x="27"/>
        <item x="28"/>
        <item x="31"/>
        <item x="37"/>
        <item x="34"/>
        <item x="32"/>
        <item x="35"/>
        <item x="33"/>
        <item x="36"/>
        <item x="40"/>
        <item x="43"/>
        <item x="38"/>
        <item x="42"/>
        <item x="39"/>
        <item x="41"/>
        <item x="47"/>
        <item x="46"/>
        <item x="44"/>
        <item x="45"/>
        <item t="default"/>
      </items>
    </pivotField>
    <pivotField showAll="0"/>
    <pivotField numFmtId="167" showAll="0"/>
    <pivotField numFmtId="14" showAll="0"/>
    <pivotField numFmtId="167" showAll="0"/>
    <pivotField showAll="0"/>
    <pivotField showAll="0"/>
    <pivotField showAll="0"/>
    <pivotField showAll="0"/>
    <pivotField showAll="0"/>
    <pivotField numFmtId="40" showAll="0"/>
    <pivotField dataField="1" numFmtId="40"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dataFields count="1">
    <dataField name="Sum of Amount /1000" fld="12" baseField="0" baseItem="0"/>
  </dataFields>
  <formats count="2">
    <format dxfId="10">
      <pivotArea outline="0" collapsedLevelsAreSubtotals="1" fieldPosition="0"/>
    </format>
    <format dxfId="9">
      <pivotArea dataOnly="0" labelOnly="1" outline="0" axis="axisValues"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4" dT="2024-02-05T10:17:02.12" personId="{CA3D07A3-DCF9-40F5-A64F-3455823A1C56}" id="{16FB7B73-EA4A-4E4F-ADAC-13725BDDDFF4}">
    <text>Not changing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5" Type="http://schemas.openxmlformats.org/officeDocument/2006/relationships/printerSettings" Target="../printerSettings/printerSettings49.bin"/><Relationship Id="rId10" Type="http://schemas.openxmlformats.org/officeDocument/2006/relationships/printerSettings" Target="../printerSettings/printerSettings54.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5" Type="http://schemas.openxmlformats.org/officeDocument/2006/relationships/printerSettings" Target="../printerSettings/printerSettings60.bin"/><Relationship Id="rId10" Type="http://schemas.openxmlformats.org/officeDocument/2006/relationships/printerSettings" Target="../printerSettings/printerSettings65.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5" Type="http://schemas.openxmlformats.org/officeDocument/2006/relationships/printerSettings" Target="../printerSettings/printerSettings71.bin"/><Relationship Id="rId10" Type="http://schemas.openxmlformats.org/officeDocument/2006/relationships/printerSettings" Target="../printerSettings/printerSettings76.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87.bin"/><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0" Type="http://schemas.openxmlformats.org/officeDocument/2006/relationships/printerSettings" Target="../printerSettings/printerSettings89.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bin"/><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5" Type="http://schemas.openxmlformats.org/officeDocument/2006/relationships/printerSettings" Target="../printerSettings/printerSettings96.bin"/><Relationship Id="rId10" Type="http://schemas.openxmlformats.org/officeDocument/2006/relationships/printerSettings" Target="../printerSettings/printerSettings101.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10.bin"/><Relationship Id="rId3" Type="http://schemas.openxmlformats.org/officeDocument/2006/relationships/printerSettings" Target="../printerSettings/printerSettings105.bin"/><Relationship Id="rId7" Type="http://schemas.openxmlformats.org/officeDocument/2006/relationships/printerSettings" Target="../printerSettings/printerSettings109.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11" Type="http://schemas.openxmlformats.org/officeDocument/2006/relationships/printerSettings" Target="../printerSettings/printerSettings113.bin"/><Relationship Id="rId5" Type="http://schemas.openxmlformats.org/officeDocument/2006/relationships/printerSettings" Target="../printerSettings/printerSettings107.bin"/><Relationship Id="rId10" Type="http://schemas.openxmlformats.org/officeDocument/2006/relationships/printerSettings" Target="../printerSettings/printerSettings112.bin"/><Relationship Id="rId4" Type="http://schemas.openxmlformats.org/officeDocument/2006/relationships/printerSettings" Target="../printerSettings/printerSettings106.bin"/><Relationship Id="rId9" Type="http://schemas.openxmlformats.org/officeDocument/2006/relationships/printerSettings" Target="../printerSettings/printerSettings11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121.bin"/><Relationship Id="rId3" Type="http://schemas.openxmlformats.org/officeDocument/2006/relationships/printerSettings" Target="../printerSettings/printerSettings116.bin"/><Relationship Id="rId7" Type="http://schemas.openxmlformats.org/officeDocument/2006/relationships/printerSettings" Target="../printerSettings/printerSettings120.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0" Type="http://schemas.openxmlformats.org/officeDocument/2006/relationships/printerSettings" Target="../printerSettings/printerSettings123.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5.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12" Type="http://schemas.openxmlformats.org/officeDocument/2006/relationships/printerSettings" Target="../printerSettings/printerSettings19.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printerSettings" Target="../printerSettings/printerSettings18.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7.bin"/><Relationship Id="rId4" Type="http://schemas.openxmlformats.org/officeDocument/2006/relationships/printerSettings" Target="../printerSettings/printerSettings11.bin"/><Relationship Id="rId9"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0" Type="http://schemas.openxmlformats.org/officeDocument/2006/relationships/printerSettings" Target="../printerSettings/printerSettings29.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AK436"/>
  <sheetViews>
    <sheetView zoomScale="90" zoomScaleNormal="90" workbookViewId="0">
      <pane xSplit="2" ySplit="3" topLeftCell="W66" activePane="bottomRight" state="frozen"/>
      <selection pane="topRight" activeCell="C1" sqref="C1"/>
      <selection pane="bottomLeft" activeCell="A4" sqref="A4"/>
      <selection pane="bottomRight" activeCell="W66" sqref="W66"/>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hidden="1" customWidth="1" outlineLevel="1"/>
    <col min="14" max="14" width="13.54296875" customWidth="1" collapsed="1"/>
    <col min="15" max="16" width="13.54296875" hidden="1" customWidth="1" outlineLevel="1"/>
    <col min="17" max="17" width="13.54296875" customWidth="1" collapsed="1"/>
    <col min="18" max="20" width="13.54296875" customWidth="1" outlineLevel="1"/>
    <col min="21" max="22" width="13.54296875" customWidth="1"/>
    <col min="23" max="23" width="52" customWidth="1" outlineLevel="1"/>
    <col min="24" max="24" width="13.54296875" customWidth="1" outlineLevel="1"/>
    <col min="25" max="25" width="13.54296875" customWidth="1"/>
    <col min="26" max="29" width="13.54296875" customWidth="1" outlineLevel="1"/>
    <col min="30" max="30" width="1.54296875" customWidth="1"/>
    <col min="31" max="35" width="13.54296875" customWidth="1" outlineLevel="1"/>
    <col min="36" max="36" width="1.54296875" customWidth="1"/>
    <col min="37" max="46" width="11.54296875" customWidth="1"/>
  </cols>
  <sheetData>
    <row r="1" spans="2:37" s="6" customFormat="1" ht="18.5" thickBot="1" x14ac:dyDescent="0.45">
      <c r="B1" s="17"/>
      <c r="D1" s="18" t="s">
        <v>0</v>
      </c>
      <c r="F1" s="17"/>
    </row>
    <row r="2" spans="2:37" ht="72" customHeight="1" thickBot="1" x14ac:dyDescent="0.3">
      <c r="B2" s="28" t="s">
        <v>1</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752" t="s">
        <v>21</v>
      </c>
      <c r="W2" s="752" t="s">
        <v>22</v>
      </c>
      <c r="X2" s="752" t="s">
        <v>23</v>
      </c>
      <c r="Y2" s="48" t="s">
        <v>24</v>
      </c>
      <c r="Z2" s="48" t="s">
        <v>25</v>
      </c>
      <c r="AA2" s="48" t="s">
        <v>26</v>
      </c>
      <c r="AB2" s="48" t="s">
        <v>27</v>
      </c>
      <c r="AC2" s="48" t="s">
        <v>28</v>
      </c>
      <c r="AD2" s="60"/>
      <c r="AE2" s="48" t="s">
        <v>29</v>
      </c>
      <c r="AF2" s="48" t="s">
        <v>30</v>
      </c>
      <c r="AG2" s="48" t="s">
        <v>31</v>
      </c>
      <c r="AH2" s="48" t="s">
        <v>32</v>
      </c>
      <c r="AI2" s="48" t="s">
        <v>33</v>
      </c>
      <c r="AK2" s="626"/>
    </row>
    <row r="3" spans="2:37"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753"/>
      <c r="W3" s="753"/>
      <c r="X3" s="753"/>
      <c r="Y3" s="55" t="s">
        <v>34</v>
      </c>
      <c r="Z3" s="55" t="s">
        <v>34</v>
      </c>
      <c r="AA3" s="55" t="s">
        <v>34</v>
      </c>
      <c r="AB3" s="55" t="s">
        <v>34</v>
      </c>
      <c r="AC3" s="26" t="s">
        <v>34</v>
      </c>
      <c r="AD3" s="60"/>
      <c r="AE3" s="96" t="s">
        <v>34</v>
      </c>
      <c r="AF3" s="55" t="s">
        <v>34</v>
      </c>
      <c r="AG3" s="55" t="s">
        <v>34</v>
      </c>
      <c r="AH3" s="55" t="s">
        <v>34</v>
      </c>
      <c r="AI3" s="97" t="s">
        <v>34</v>
      </c>
    </row>
    <row r="4" spans="2:37" ht="13" x14ac:dyDescent="0.3">
      <c r="B4" s="29"/>
      <c r="C4" s="36"/>
      <c r="D4" s="36"/>
      <c r="E4" s="22"/>
      <c r="F4" s="22"/>
      <c r="G4" s="22"/>
      <c r="H4" s="22"/>
      <c r="I4" s="22"/>
      <c r="J4" s="22"/>
      <c r="K4" s="22"/>
      <c r="L4" s="36"/>
      <c r="M4" s="36"/>
      <c r="N4" s="36"/>
      <c r="O4" s="36"/>
      <c r="P4" s="36"/>
      <c r="Q4" s="36"/>
      <c r="R4" s="36"/>
      <c r="S4" s="36"/>
      <c r="T4" s="36"/>
      <c r="U4" s="58"/>
      <c r="V4" s="754"/>
      <c r="W4" s="754"/>
      <c r="X4" s="754"/>
      <c r="Y4" s="36"/>
      <c r="Z4" s="36"/>
      <c r="AA4" s="36"/>
      <c r="AB4" s="36"/>
      <c r="AC4" s="40"/>
      <c r="AD4" s="60"/>
      <c r="AE4" s="98"/>
      <c r="AF4" s="36"/>
      <c r="AG4" s="36"/>
      <c r="AH4" s="36"/>
      <c r="AI4" s="99"/>
    </row>
    <row r="5" spans="2:37" ht="13" outlineLevel="2" x14ac:dyDescent="0.3">
      <c r="B5" s="31" t="s">
        <v>36</v>
      </c>
      <c r="C5" s="33">
        <v>885</v>
      </c>
      <c r="D5" s="33">
        <v>905</v>
      </c>
      <c r="E5" s="23">
        <v>0</v>
      </c>
      <c r="F5" s="23">
        <v>304</v>
      </c>
      <c r="G5" s="23">
        <v>20</v>
      </c>
      <c r="H5" s="23">
        <v>-30</v>
      </c>
      <c r="I5" s="23">
        <v>0</v>
      </c>
      <c r="J5" s="23">
        <v>10</v>
      </c>
      <c r="K5" s="23">
        <v>304</v>
      </c>
      <c r="L5" s="33">
        <v>285</v>
      </c>
      <c r="M5" s="33">
        <v>305</v>
      </c>
      <c r="N5" s="33">
        <v>1190</v>
      </c>
      <c r="O5" s="33">
        <v>2829</v>
      </c>
      <c r="P5" s="33">
        <v>-1423</v>
      </c>
      <c r="Q5" s="33">
        <v>1406</v>
      </c>
      <c r="R5" s="33">
        <v>1190</v>
      </c>
      <c r="S5" s="33">
        <v>216</v>
      </c>
      <c r="T5" s="38">
        <v>1.1815126050420168</v>
      </c>
      <c r="U5" s="59">
        <v>1120</v>
      </c>
      <c r="V5" s="755">
        <f>Q5-U5</f>
        <v>286</v>
      </c>
      <c r="W5" s="755"/>
      <c r="X5" s="755"/>
      <c r="Y5" s="33">
        <v>-70</v>
      </c>
      <c r="Z5" s="33">
        <v>-70</v>
      </c>
      <c r="AA5" s="33"/>
      <c r="AB5" s="33"/>
      <c r="AC5" s="42"/>
      <c r="AD5" s="60"/>
      <c r="AE5" s="105"/>
      <c r="AF5" s="93"/>
      <c r="AG5" s="33">
        <v>0</v>
      </c>
      <c r="AH5" s="33">
        <v>1406</v>
      </c>
      <c r="AI5" s="101">
        <v>216</v>
      </c>
      <c r="AK5" s="19"/>
    </row>
    <row r="6" spans="2:37" ht="13" outlineLevel="2" x14ac:dyDescent="0.3">
      <c r="B6" s="31" t="s">
        <v>37</v>
      </c>
      <c r="C6" s="33">
        <v>54</v>
      </c>
      <c r="D6" s="33">
        <v>57</v>
      </c>
      <c r="E6" s="23">
        <v>0</v>
      </c>
      <c r="F6" s="23">
        <v>0</v>
      </c>
      <c r="G6" s="23">
        <v>3</v>
      </c>
      <c r="H6" s="23">
        <v>-3</v>
      </c>
      <c r="I6" s="23">
        <v>0</v>
      </c>
      <c r="J6" s="23">
        <v>0</v>
      </c>
      <c r="K6" s="23">
        <v>0</v>
      </c>
      <c r="L6" s="33">
        <v>-3</v>
      </c>
      <c r="M6" s="33">
        <v>0</v>
      </c>
      <c r="N6" s="33">
        <v>54</v>
      </c>
      <c r="O6" s="33">
        <v>62</v>
      </c>
      <c r="P6" s="33">
        <v>0</v>
      </c>
      <c r="Q6" s="33">
        <v>62</v>
      </c>
      <c r="R6" s="33">
        <v>54</v>
      </c>
      <c r="S6" s="33">
        <v>8</v>
      </c>
      <c r="T6" s="38">
        <v>1.1481481481481481</v>
      </c>
      <c r="U6" s="59">
        <v>54</v>
      </c>
      <c r="V6" s="755">
        <f t="shared" ref="V6:V69" si="0">Q6-U6</f>
        <v>8</v>
      </c>
      <c r="W6" s="755"/>
      <c r="X6" s="755"/>
      <c r="Y6" s="33">
        <v>0</v>
      </c>
      <c r="Z6" s="33">
        <v>0</v>
      </c>
      <c r="AA6" s="33"/>
      <c r="AB6" s="33"/>
      <c r="AC6" s="42"/>
      <c r="AD6" s="60"/>
      <c r="AE6" s="105"/>
      <c r="AF6" s="93"/>
      <c r="AG6" s="33">
        <v>0</v>
      </c>
      <c r="AH6" s="33">
        <v>62</v>
      </c>
      <c r="AI6" s="101">
        <v>8</v>
      </c>
      <c r="AK6" s="19"/>
    </row>
    <row r="7" spans="2:37" ht="13" outlineLevel="2" x14ac:dyDescent="0.3">
      <c r="B7" s="31" t="s">
        <v>38</v>
      </c>
      <c r="C7" s="33">
        <v>278</v>
      </c>
      <c r="D7" s="33">
        <v>297</v>
      </c>
      <c r="E7" s="23">
        <v>0</v>
      </c>
      <c r="F7" s="23">
        <v>0</v>
      </c>
      <c r="G7" s="23">
        <v>19</v>
      </c>
      <c r="H7" s="23">
        <v>-20</v>
      </c>
      <c r="I7" s="23">
        <v>0</v>
      </c>
      <c r="J7" s="23">
        <v>114</v>
      </c>
      <c r="K7" s="23">
        <v>113</v>
      </c>
      <c r="L7" s="33">
        <v>94</v>
      </c>
      <c r="M7" s="33">
        <v>113</v>
      </c>
      <c r="N7" s="33">
        <v>391</v>
      </c>
      <c r="O7" s="33">
        <v>2932</v>
      </c>
      <c r="P7" s="33">
        <v>-1546</v>
      </c>
      <c r="Q7" s="33">
        <v>1386</v>
      </c>
      <c r="R7" s="33">
        <v>391</v>
      </c>
      <c r="S7" s="33">
        <v>995</v>
      </c>
      <c r="T7" s="38">
        <v>3.5447570332480818</v>
      </c>
      <c r="U7" s="59">
        <v>1251</v>
      </c>
      <c r="V7" s="755">
        <f t="shared" si="0"/>
        <v>135</v>
      </c>
      <c r="W7" s="755"/>
      <c r="X7" s="755"/>
      <c r="Y7" s="33">
        <v>860</v>
      </c>
      <c r="Z7" s="33">
        <v>860</v>
      </c>
      <c r="AA7" s="33"/>
      <c r="AB7" s="33"/>
      <c r="AC7" s="42"/>
      <c r="AD7" s="60"/>
      <c r="AE7" s="105"/>
      <c r="AF7" s="93"/>
      <c r="AG7" s="33">
        <v>0</v>
      </c>
      <c r="AH7" s="33">
        <v>1386</v>
      </c>
      <c r="AI7" s="101">
        <v>995</v>
      </c>
      <c r="AK7" s="19"/>
    </row>
    <row r="8" spans="2:37" ht="13" outlineLevel="2" x14ac:dyDescent="0.3">
      <c r="B8" s="31" t="s">
        <v>39</v>
      </c>
      <c r="C8" s="33">
        <v>1472</v>
      </c>
      <c r="D8" s="33">
        <v>1521</v>
      </c>
      <c r="E8" s="23">
        <v>0</v>
      </c>
      <c r="F8" s="23">
        <v>10</v>
      </c>
      <c r="G8" s="23">
        <v>49</v>
      </c>
      <c r="H8" s="23">
        <v>60</v>
      </c>
      <c r="I8" s="23">
        <v>0</v>
      </c>
      <c r="J8" s="23">
        <v>0</v>
      </c>
      <c r="K8" s="23">
        <v>119</v>
      </c>
      <c r="L8" s="33">
        <v>69</v>
      </c>
      <c r="M8" s="33">
        <v>118</v>
      </c>
      <c r="N8" s="33">
        <v>1590</v>
      </c>
      <c r="O8" s="33">
        <v>5407</v>
      </c>
      <c r="P8" s="33">
        <v>-3336</v>
      </c>
      <c r="Q8" s="33">
        <v>2071</v>
      </c>
      <c r="R8" s="33">
        <v>1590</v>
      </c>
      <c r="S8" s="33">
        <v>481</v>
      </c>
      <c r="T8" s="38">
        <v>1.3025157232704403</v>
      </c>
      <c r="U8" s="59">
        <v>1700</v>
      </c>
      <c r="V8" s="755">
        <f t="shared" si="0"/>
        <v>371</v>
      </c>
      <c r="W8" s="755"/>
      <c r="X8" s="755"/>
      <c r="Y8" s="33">
        <v>110</v>
      </c>
      <c r="Z8" s="33">
        <v>110</v>
      </c>
      <c r="AA8" s="33"/>
      <c r="AB8" s="33"/>
      <c r="AC8" s="42"/>
      <c r="AD8" s="60"/>
      <c r="AE8" s="105"/>
      <c r="AF8" s="93"/>
      <c r="AG8" s="33">
        <v>0</v>
      </c>
      <c r="AH8" s="33">
        <v>2071</v>
      </c>
      <c r="AI8" s="101">
        <v>481</v>
      </c>
      <c r="AK8" s="19"/>
    </row>
    <row r="9" spans="2:37" ht="13" outlineLevel="1" x14ac:dyDescent="0.3">
      <c r="B9" s="32" t="s">
        <v>40</v>
      </c>
      <c r="C9" s="34">
        <v>1576</v>
      </c>
      <c r="D9" s="34">
        <v>1589</v>
      </c>
      <c r="E9" s="24">
        <v>0</v>
      </c>
      <c r="F9" s="24">
        <v>-2133</v>
      </c>
      <c r="G9" s="24">
        <v>13</v>
      </c>
      <c r="H9" s="24">
        <v>-12</v>
      </c>
      <c r="I9" s="24">
        <v>0</v>
      </c>
      <c r="J9" s="24">
        <v>-1</v>
      </c>
      <c r="K9" s="24">
        <v>-2133</v>
      </c>
      <c r="L9" s="34">
        <v>-2146</v>
      </c>
      <c r="M9" s="34">
        <v>-2133</v>
      </c>
      <c r="N9" s="34">
        <v>-557</v>
      </c>
      <c r="O9" s="34">
        <v>4667</v>
      </c>
      <c r="P9" s="34">
        <v>-3558</v>
      </c>
      <c r="Q9" s="34">
        <v>1109</v>
      </c>
      <c r="R9" s="34">
        <v>-557</v>
      </c>
      <c r="S9" s="34">
        <v>1666</v>
      </c>
      <c r="T9" s="38">
        <v>-1.9910233393177739</v>
      </c>
      <c r="U9" s="59">
        <v>-557</v>
      </c>
      <c r="V9" s="755">
        <f t="shared" si="0"/>
        <v>1666</v>
      </c>
      <c r="W9" s="755"/>
      <c r="X9" s="755"/>
      <c r="Y9" s="34">
        <v>0</v>
      </c>
      <c r="Z9" s="34">
        <v>0</v>
      </c>
      <c r="AA9" s="34"/>
      <c r="AB9" s="34"/>
      <c r="AC9" s="41"/>
      <c r="AD9" s="60"/>
      <c r="AE9" s="102"/>
      <c r="AF9" s="34"/>
      <c r="AG9" s="34">
        <v>0</v>
      </c>
      <c r="AH9" s="34">
        <v>1109</v>
      </c>
      <c r="AI9" s="103">
        <v>1666</v>
      </c>
      <c r="AK9" s="19"/>
    </row>
    <row r="10" spans="2:37" ht="14.5" outlineLevel="2" x14ac:dyDescent="0.35">
      <c r="B10" s="31" t="s">
        <v>41</v>
      </c>
      <c r="C10" s="33">
        <v>118</v>
      </c>
      <c r="D10" s="33">
        <v>129</v>
      </c>
      <c r="E10" s="23">
        <v>0</v>
      </c>
      <c r="F10" s="23">
        <v>0</v>
      </c>
      <c r="G10" s="23">
        <v>11</v>
      </c>
      <c r="H10" s="23">
        <v>-16</v>
      </c>
      <c r="I10" s="23">
        <v>0</v>
      </c>
      <c r="J10" s="23">
        <v>-113</v>
      </c>
      <c r="K10" s="23">
        <v>-118</v>
      </c>
      <c r="L10" s="33">
        <v>-129</v>
      </c>
      <c r="M10" s="33">
        <v>-118</v>
      </c>
      <c r="N10" s="33">
        <v>0</v>
      </c>
      <c r="O10" s="33">
        <v>1</v>
      </c>
      <c r="P10" s="33">
        <v>0</v>
      </c>
      <c r="Q10" s="33">
        <v>1</v>
      </c>
      <c r="R10" s="33">
        <v>0</v>
      </c>
      <c r="S10" s="33">
        <v>1</v>
      </c>
      <c r="T10" s="38" t="s">
        <v>42</v>
      </c>
      <c r="U10" s="59">
        <v>0</v>
      </c>
      <c r="V10" s="755">
        <f t="shared" si="0"/>
        <v>1</v>
      </c>
      <c r="W10" s="756"/>
      <c r="X10" s="756"/>
      <c r="Y10" s="33">
        <v>0</v>
      </c>
      <c r="Z10" s="33">
        <v>0</v>
      </c>
      <c r="AA10" s="33"/>
      <c r="AB10" s="33"/>
      <c r="AC10" s="42"/>
      <c r="AD10" s="60"/>
      <c r="AE10" s="105"/>
      <c r="AF10" s="93"/>
      <c r="AG10" s="33">
        <v>0</v>
      </c>
      <c r="AH10" s="33">
        <v>1</v>
      </c>
      <c r="AI10" s="101">
        <v>1</v>
      </c>
      <c r="AK10" s="19"/>
    </row>
    <row r="11" spans="2:37" ht="13" outlineLevel="2" x14ac:dyDescent="0.3">
      <c r="B11" s="31" t="s">
        <v>43</v>
      </c>
      <c r="C11" s="33">
        <v>4383</v>
      </c>
      <c r="D11" s="33">
        <v>4498</v>
      </c>
      <c r="E11" s="23">
        <v>0</v>
      </c>
      <c r="F11" s="23">
        <v>-1819</v>
      </c>
      <c r="G11" s="23">
        <v>115</v>
      </c>
      <c r="H11" s="23">
        <v>-21</v>
      </c>
      <c r="I11" s="23">
        <v>0</v>
      </c>
      <c r="J11" s="23">
        <v>10</v>
      </c>
      <c r="K11" s="23">
        <v>-1715</v>
      </c>
      <c r="L11" s="33">
        <v>-1830</v>
      </c>
      <c r="M11" s="33">
        <v>-1715</v>
      </c>
      <c r="N11" s="33">
        <v>2668</v>
      </c>
      <c r="O11" s="33">
        <v>15898</v>
      </c>
      <c r="P11" s="33">
        <v>-9863</v>
      </c>
      <c r="Q11" s="33">
        <v>6035</v>
      </c>
      <c r="R11" s="33">
        <v>2668</v>
      </c>
      <c r="S11" s="33">
        <v>3367</v>
      </c>
      <c r="T11" s="38">
        <v>2.2619940029985006</v>
      </c>
      <c r="U11" s="59">
        <v>3568</v>
      </c>
      <c r="V11" s="755">
        <f t="shared" si="0"/>
        <v>2467</v>
      </c>
      <c r="W11" s="754"/>
      <c r="X11" s="754"/>
      <c r="Y11" s="33">
        <v>900</v>
      </c>
      <c r="Z11" s="33">
        <v>900</v>
      </c>
      <c r="AA11" s="33"/>
      <c r="AB11" s="33"/>
      <c r="AC11" s="42"/>
      <c r="AD11" s="60"/>
      <c r="AE11" s="105">
        <v>0</v>
      </c>
      <c r="AF11" s="93">
        <v>0</v>
      </c>
      <c r="AG11" s="33"/>
      <c r="AH11" s="33"/>
      <c r="AI11" s="101"/>
      <c r="AK11" s="19"/>
    </row>
    <row r="12" spans="2:37" ht="13" outlineLevel="1" x14ac:dyDescent="0.3">
      <c r="B12" s="32" t="s">
        <v>44</v>
      </c>
      <c r="C12" s="34">
        <v>710</v>
      </c>
      <c r="D12" s="34">
        <v>764</v>
      </c>
      <c r="E12" s="24">
        <v>0</v>
      </c>
      <c r="F12" s="24">
        <v>41</v>
      </c>
      <c r="G12" s="24">
        <v>54</v>
      </c>
      <c r="H12" s="24">
        <v>-71</v>
      </c>
      <c r="I12" s="24">
        <v>0</v>
      </c>
      <c r="J12" s="24">
        <v>21</v>
      </c>
      <c r="K12" s="24">
        <v>45</v>
      </c>
      <c r="L12" s="34">
        <v>-9</v>
      </c>
      <c r="M12" s="34">
        <v>45</v>
      </c>
      <c r="N12" s="34">
        <v>755</v>
      </c>
      <c r="O12" s="34">
        <v>1881</v>
      </c>
      <c r="P12" s="34">
        <v>-884</v>
      </c>
      <c r="Q12" s="34">
        <v>997</v>
      </c>
      <c r="R12" s="34">
        <v>755</v>
      </c>
      <c r="S12" s="34">
        <v>242</v>
      </c>
      <c r="T12" s="38">
        <v>1.3205298013245033</v>
      </c>
      <c r="U12" s="59">
        <v>840</v>
      </c>
      <c r="V12" s="755">
        <f t="shared" si="0"/>
        <v>157</v>
      </c>
      <c r="W12" s="754"/>
      <c r="X12" s="754"/>
      <c r="Y12" s="34">
        <v>85</v>
      </c>
      <c r="Z12" s="34">
        <v>85</v>
      </c>
      <c r="AA12" s="34"/>
      <c r="AB12" s="34"/>
      <c r="AC12" s="41"/>
      <c r="AD12" s="60"/>
      <c r="AE12" s="102"/>
      <c r="AF12" s="34"/>
      <c r="AG12" s="34">
        <v>0</v>
      </c>
      <c r="AH12" s="34">
        <v>997</v>
      </c>
      <c r="AI12" s="103">
        <v>242</v>
      </c>
      <c r="AK12" s="19"/>
    </row>
    <row r="13" spans="2:37" ht="13" outlineLevel="2" x14ac:dyDescent="0.3">
      <c r="B13" s="31" t="s">
        <v>45</v>
      </c>
      <c r="C13" s="33">
        <v>710</v>
      </c>
      <c r="D13" s="33">
        <v>764</v>
      </c>
      <c r="E13" s="23">
        <v>0</v>
      </c>
      <c r="F13" s="23">
        <v>41</v>
      </c>
      <c r="G13" s="23">
        <v>54</v>
      </c>
      <c r="H13" s="23">
        <v>-71</v>
      </c>
      <c r="I13" s="23">
        <v>0</v>
      </c>
      <c r="J13" s="23">
        <v>21</v>
      </c>
      <c r="K13" s="23">
        <v>45</v>
      </c>
      <c r="L13" s="33">
        <v>-9</v>
      </c>
      <c r="M13" s="33">
        <v>45</v>
      </c>
      <c r="N13" s="33">
        <v>755</v>
      </c>
      <c r="O13" s="33">
        <v>1881</v>
      </c>
      <c r="P13" s="33">
        <v>-884</v>
      </c>
      <c r="Q13" s="33">
        <v>997</v>
      </c>
      <c r="R13" s="33">
        <v>755</v>
      </c>
      <c r="S13" s="33">
        <v>242</v>
      </c>
      <c r="T13" s="38">
        <v>1.3205298013245033</v>
      </c>
      <c r="U13" s="59">
        <v>840</v>
      </c>
      <c r="V13" s="755">
        <f t="shared" si="0"/>
        <v>157</v>
      </c>
      <c r="W13" s="754"/>
      <c r="X13" s="754"/>
      <c r="Y13" s="33">
        <v>85</v>
      </c>
      <c r="Z13" s="33">
        <v>85</v>
      </c>
      <c r="AA13" s="33"/>
      <c r="AB13" s="33"/>
      <c r="AC13" s="42"/>
      <c r="AD13" s="60"/>
      <c r="AE13" s="105">
        <v>0</v>
      </c>
      <c r="AF13" s="93">
        <v>0</v>
      </c>
      <c r="AG13" s="33"/>
      <c r="AH13" s="33"/>
      <c r="AI13" s="101"/>
      <c r="AK13" s="19"/>
    </row>
    <row r="14" spans="2:37" ht="13" outlineLevel="2" x14ac:dyDescent="0.3">
      <c r="B14" s="31" t="s">
        <v>46</v>
      </c>
      <c r="C14" s="33">
        <v>721</v>
      </c>
      <c r="D14" s="33">
        <v>733</v>
      </c>
      <c r="E14" s="23">
        <v>0</v>
      </c>
      <c r="F14" s="23">
        <v>12</v>
      </c>
      <c r="G14" s="23">
        <v>12</v>
      </c>
      <c r="H14" s="23">
        <v>496</v>
      </c>
      <c r="I14" s="23">
        <v>0</v>
      </c>
      <c r="J14" s="23">
        <v>3</v>
      </c>
      <c r="K14" s="23">
        <v>523</v>
      </c>
      <c r="L14" s="33">
        <v>511</v>
      </c>
      <c r="M14" s="33">
        <v>523</v>
      </c>
      <c r="N14" s="33">
        <v>1244</v>
      </c>
      <c r="O14" s="33">
        <v>2024</v>
      </c>
      <c r="P14" s="33">
        <v>-1038</v>
      </c>
      <c r="Q14" s="33">
        <v>986</v>
      </c>
      <c r="R14" s="33">
        <v>1244</v>
      </c>
      <c r="S14" s="33">
        <v>-258</v>
      </c>
      <c r="T14" s="38">
        <v>0.792604501607717</v>
      </c>
      <c r="U14" s="59">
        <v>1232</v>
      </c>
      <c r="V14" s="755">
        <f t="shared" si="0"/>
        <v>-246</v>
      </c>
      <c r="W14" s="754"/>
      <c r="X14" s="754"/>
      <c r="Y14" s="33">
        <v>-12</v>
      </c>
      <c r="Z14" s="33">
        <v>-12</v>
      </c>
      <c r="AA14" s="33"/>
      <c r="AB14" s="33"/>
      <c r="AC14" s="42"/>
      <c r="AD14" s="60"/>
      <c r="AE14" s="105"/>
      <c r="AF14" s="93"/>
      <c r="AG14" s="33">
        <v>0</v>
      </c>
      <c r="AH14" s="33">
        <v>986</v>
      </c>
      <c r="AI14" s="101">
        <v>-258</v>
      </c>
      <c r="AK14" s="19"/>
    </row>
    <row r="15" spans="2:37" ht="13" outlineLevel="2" x14ac:dyDescent="0.3">
      <c r="B15" s="31" t="s">
        <v>47</v>
      </c>
      <c r="C15" s="33">
        <v>138</v>
      </c>
      <c r="D15" s="33">
        <v>145</v>
      </c>
      <c r="E15" s="23">
        <v>0</v>
      </c>
      <c r="F15" s="23">
        <v>0</v>
      </c>
      <c r="G15" s="23">
        <v>7</v>
      </c>
      <c r="H15" s="23">
        <v>-10</v>
      </c>
      <c r="I15" s="23">
        <v>0</v>
      </c>
      <c r="J15" s="23">
        <v>0</v>
      </c>
      <c r="K15" s="23">
        <v>-3</v>
      </c>
      <c r="L15" s="33">
        <v>-10</v>
      </c>
      <c r="M15" s="33">
        <v>-3</v>
      </c>
      <c r="N15" s="33">
        <v>135</v>
      </c>
      <c r="O15" s="33">
        <v>479</v>
      </c>
      <c r="P15" s="33">
        <v>-334</v>
      </c>
      <c r="Q15" s="33">
        <v>145</v>
      </c>
      <c r="R15" s="33">
        <v>135</v>
      </c>
      <c r="S15" s="33">
        <v>10</v>
      </c>
      <c r="T15" s="38">
        <v>1.0740740740740742</v>
      </c>
      <c r="U15" s="59">
        <v>161</v>
      </c>
      <c r="V15" s="755">
        <f t="shared" si="0"/>
        <v>-16</v>
      </c>
      <c r="W15" s="754"/>
      <c r="X15" s="754"/>
      <c r="Y15" s="33">
        <v>26</v>
      </c>
      <c r="Z15" s="33">
        <v>26</v>
      </c>
      <c r="AA15" s="33"/>
      <c r="AB15" s="33"/>
      <c r="AC15" s="42"/>
      <c r="AD15" s="60"/>
      <c r="AE15" s="105"/>
      <c r="AF15" s="93"/>
      <c r="AG15" s="33">
        <v>0</v>
      </c>
      <c r="AH15" s="33">
        <v>145</v>
      </c>
      <c r="AI15" s="101">
        <v>10</v>
      </c>
      <c r="AK15" s="19"/>
    </row>
    <row r="16" spans="2:37" ht="13" outlineLevel="2" x14ac:dyDescent="0.3">
      <c r="B16" s="31" t="s">
        <v>48</v>
      </c>
      <c r="C16" s="33">
        <v>443</v>
      </c>
      <c r="D16" s="33">
        <v>451</v>
      </c>
      <c r="E16" s="23">
        <v>0</v>
      </c>
      <c r="F16" s="23">
        <v>0</v>
      </c>
      <c r="G16" s="23">
        <v>8</v>
      </c>
      <c r="H16" s="23">
        <v>-10</v>
      </c>
      <c r="I16" s="23">
        <v>0</v>
      </c>
      <c r="J16" s="23">
        <v>-5</v>
      </c>
      <c r="K16" s="23">
        <v>-7</v>
      </c>
      <c r="L16" s="33">
        <v>-15</v>
      </c>
      <c r="M16" s="33">
        <v>-7</v>
      </c>
      <c r="N16" s="33">
        <v>436</v>
      </c>
      <c r="O16" s="33">
        <v>440</v>
      </c>
      <c r="P16" s="33">
        <v>-118</v>
      </c>
      <c r="Q16" s="33">
        <v>322</v>
      </c>
      <c r="R16" s="33">
        <v>436</v>
      </c>
      <c r="S16" s="33">
        <v>-114</v>
      </c>
      <c r="T16" s="38">
        <v>0.73853211009174313</v>
      </c>
      <c r="U16" s="59">
        <v>436</v>
      </c>
      <c r="V16" s="755">
        <f t="shared" si="0"/>
        <v>-114</v>
      </c>
      <c r="W16" s="644"/>
      <c r="X16" s="644"/>
      <c r="Y16" s="33">
        <v>0</v>
      </c>
      <c r="Z16" s="33">
        <v>0</v>
      </c>
      <c r="AA16" s="33"/>
      <c r="AB16" s="33"/>
      <c r="AC16" s="42"/>
      <c r="AD16" s="60"/>
      <c r="AE16" s="105"/>
      <c r="AF16" s="93"/>
      <c r="AG16" s="33">
        <v>0</v>
      </c>
      <c r="AH16" s="33">
        <v>322</v>
      </c>
      <c r="AI16" s="101">
        <v>-114</v>
      </c>
      <c r="AK16" s="19"/>
    </row>
    <row r="17" spans="2:37" ht="13" outlineLevel="2" x14ac:dyDescent="0.3">
      <c r="B17" s="31" t="s">
        <v>49</v>
      </c>
      <c r="C17" s="33">
        <v>506</v>
      </c>
      <c r="D17" s="33">
        <v>527</v>
      </c>
      <c r="E17" s="23">
        <v>0</v>
      </c>
      <c r="F17" s="23">
        <v>-5</v>
      </c>
      <c r="G17" s="23">
        <v>22</v>
      </c>
      <c r="H17" s="23">
        <v>5</v>
      </c>
      <c r="I17" s="23">
        <v>0</v>
      </c>
      <c r="J17" s="23">
        <v>0</v>
      </c>
      <c r="K17" s="23">
        <v>22</v>
      </c>
      <c r="L17" s="33">
        <v>0</v>
      </c>
      <c r="M17" s="33">
        <v>21</v>
      </c>
      <c r="N17" s="33">
        <v>527</v>
      </c>
      <c r="O17" s="33">
        <v>835</v>
      </c>
      <c r="P17" s="33">
        <v>-308</v>
      </c>
      <c r="Q17" s="33">
        <v>527</v>
      </c>
      <c r="R17" s="33">
        <v>527</v>
      </c>
      <c r="S17" s="33">
        <v>0</v>
      </c>
      <c r="T17" s="38">
        <v>1</v>
      </c>
      <c r="U17" s="59">
        <v>425</v>
      </c>
      <c r="V17" s="755">
        <f t="shared" si="0"/>
        <v>102</v>
      </c>
      <c r="W17" s="754"/>
      <c r="X17" s="754"/>
      <c r="Y17" s="33">
        <v>-102</v>
      </c>
      <c r="Z17" s="33">
        <v>-102</v>
      </c>
      <c r="AA17" s="33"/>
      <c r="AB17" s="33"/>
      <c r="AC17" s="42"/>
      <c r="AD17" s="60"/>
      <c r="AE17" s="105"/>
      <c r="AF17" s="93"/>
      <c r="AG17" s="33">
        <v>0</v>
      </c>
      <c r="AH17" s="33">
        <v>527</v>
      </c>
      <c r="AI17" s="101">
        <v>0</v>
      </c>
      <c r="AK17" s="19"/>
    </row>
    <row r="18" spans="2:37" ht="13" outlineLevel="2" x14ac:dyDescent="0.3">
      <c r="B18" s="31" t="s">
        <v>50</v>
      </c>
      <c r="C18" s="33">
        <v>151</v>
      </c>
      <c r="D18" s="33">
        <v>159</v>
      </c>
      <c r="E18" s="23">
        <v>0</v>
      </c>
      <c r="F18" s="23">
        <v>0</v>
      </c>
      <c r="G18" s="23">
        <v>9</v>
      </c>
      <c r="H18" s="23">
        <v>-9</v>
      </c>
      <c r="I18" s="23">
        <v>0</v>
      </c>
      <c r="J18" s="23">
        <v>0</v>
      </c>
      <c r="K18" s="23">
        <v>0</v>
      </c>
      <c r="L18" s="33">
        <v>-9</v>
      </c>
      <c r="M18" s="33">
        <v>-1</v>
      </c>
      <c r="N18" s="33">
        <v>150</v>
      </c>
      <c r="O18" s="33">
        <v>166</v>
      </c>
      <c r="P18" s="33">
        <v>-69</v>
      </c>
      <c r="Q18" s="33">
        <v>97</v>
      </c>
      <c r="R18" s="33">
        <v>150</v>
      </c>
      <c r="S18" s="33">
        <v>-53</v>
      </c>
      <c r="T18" s="38">
        <v>0.64666666666666661</v>
      </c>
      <c r="U18" s="59">
        <v>96</v>
      </c>
      <c r="V18" s="755">
        <f t="shared" si="0"/>
        <v>1</v>
      </c>
      <c r="W18" s="754"/>
      <c r="X18" s="754"/>
      <c r="Y18" s="33">
        <v>-54</v>
      </c>
      <c r="Z18" s="33">
        <v>-54</v>
      </c>
      <c r="AA18" s="33"/>
      <c r="AB18" s="33"/>
      <c r="AC18" s="42"/>
      <c r="AD18" s="60"/>
      <c r="AE18" s="105"/>
      <c r="AF18" s="93"/>
      <c r="AG18" s="33">
        <v>0</v>
      </c>
      <c r="AH18" s="33">
        <v>97</v>
      </c>
      <c r="AI18" s="101">
        <v>-53</v>
      </c>
      <c r="AK18" s="19"/>
    </row>
    <row r="19" spans="2:37" ht="13" outlineLevel="2" x14ac:dyDescent="0.3">
      <c r="B19" s="31" t="s">
        <v>51</v>
      </c>
      <c r="C19" s="33">
        <v>471</v>
      </c>
      <c r="D19" s="33">
        <v>507</v>
      </c>
      <c r="E19" s="23">
        <v>0</v>
      </c>
      <c r="F19" s="23">
        <v>0</v>
      </c>
      <c r="G19" s="23">
        <v>36</v>
      </c>
      <c r="H19" s="23">
        <v>4</v>
      </c>
      <c r="I19" s="23">
        <v>0</v>
      </c>
      <c r="J19" s="23">
        <v>-39</v>
      </c>
      <c r="K19" s="23">
        <v>1</v>
      </c>
      <c r="L19" s="33">
        <v>-34</v>
      </c>
      <c r="M19" s="33">
        <v>2</v>
      </c>
      <c r="N19" s="33">
        <v>473</v>
      </c>
      <c r="O19" s="33">
        <v>1843</v>
      </c>
      <c r="P19" s="33">
        <v>-1091</v>
      </c>
      <c r="Q19" s="33">
        <v>752</v>
      </c>
      <c r="R19" s="33">
        <v>473</v>
      </c>
      <c r="S19" s="33">
        <v>279</v>
      </c>
      <c r="T19" s="38">
        <v>1.5898520084566596</v>
      </c>
      <c r="U19" s="59">
        <v>743</v>
      </c>
      <c r="V19" s="755">
        <f t="shared" si="0"/>
        <v>9</v>
      </c>
      <c r="W19" s="754"/>
      <c r="X19" s="754"/>
      <c r="Y19" s="33">
        <v>270</v>
      </c>
      <c r="Z19" s="33">
        <v>270</v>
      </c>
      <c r="AA19" s="33"/>
      <c r="AB19" s="33"/>
      <c r="AC19" s="42"/>
      <c r="AD19" s="60"/>
      <c r="AE19" s="105"/>
      <c r="AF19" s="93"/>
      <c r="AG19" s="33">
        <v>0</v>
      </c>
      <c r="AH19" s="33">
        <v>752</v>
      </c>
      <c r="AI19" s="101">
        <v>279</v>
      </c>
      <c r="AK19" s="19"/>
    </row>
    <row r="20" spans="2:37" ht="13" outlineLevel="2" x14ac:dyDescent="0.3">
      <c r="B20" s="31" t="s">
        <v>52</v>
      </c>
      <c r="C20" s="33">
        <v>365</v>
      </c>
      <c r="D20" s="33">
        <v>384</v>
      </c>
      <c r="E20" s="23">
        <v>0</v>
      </c>
      <c r="F20" s="23">
        <v>0</v>
      </c>
      <c r="G20" s="23">
        <v>19</v>
      </c>
      <c r="H20" s="23">
        <v>-27</v>
      </c>
      <c r="I20" s="23">
        <v>0</v>
      </c>
      <c r="J20" s="23">
        <v>39</v>
      </c>
      <c r="K20" s="23">
        <v>31</v>
      </c>
      <c r="L20" s="33">
        <v>12</v>
      </c>
      <c r="M20" s="33">
        <v>31</v>
      </c>
      <c r="N20" s="33">
        <v>396</v>
      </c>
      <c r="O20" s="33">
        <v>1031</v>
      </c>
      <c r="P20" s="33">
        <v>-644</v>
      </c>
      <c r="Q20" s="33">
        <v>387</v>
      </c>
      <c r="R20" s="33">
        <v>396</v>
      </c>
      <c r="S20" s="33">
        <v>-9</v>
      </c>
      <c r="T20" s="38">
        <v>0.97727272727272729</v>
      </c>
      <c r="U20" s="59">
        <v>406</v>
      </c>
      <c r="V20" s="755">
        <f t="shared" si="0"/>
        <v>-19</v>
      </c>
      <c r="W20" s="754"/>
      <c r="X20" s="754"/>
      <c r="Y20" s="33">
        <v>10</v>
      </c>
      <c r="Z20" s="33">
        <v>10</v>
      </c>
      <c r="AA20" s="33"/>
      <c r="AB20" s="33"/>
      <c r="AC20" s="42"/>
      <c r="AD20" s="60"/>
      <c r="AE20" s="105"/>
      <c r="AF20" s="93"/>
      <c r="AG20" s="33">
        <v>0</v>
      </c>
      <c r="AH20" s="33">
        <v>387</v>
      </c>
      <c r="AI20" s="101">
        <v>-9</v>
      </c>
      <c r="AK20" s="19"/>
    </row>
    <row r="21" spans="2:37" ht="13" outlineLevel="2" x14ac:dyDescent="0.3">
      <c r="B21" s="31" t="s">
        <v>53</v>
      </c>
      <c r="C21" s="33">
        <v>1480</v>
      </c>
      <c r="D21" s="33">
        <v>1493</v>
      </c>
      <c r="E21" s="23">
        <v>0</v>
      </c>
      <c r="F21" s="23">
        <v>0</v>
      </c>
      <c r="G21" s="23">
        <v>13</v>
      </c>
      <c r="H21" s="23">
        <v>-29</v>
      </c>
      <c r="I21" s="23">
        <v>0</v>
      </c>
      <c r="J21" s="23">
        <v>0</v>
      </c>
      <c r="K21" s="23">
        <v>-16</v>
      </c>
      <c r="L21" s="33">
        <v>-29</v>
      </c>
      <c r="M21" s="33">
        <v>-16</v>
      </c>
      <c r="N21" s="33">
        <v>1464</v>
      </c>
      <c r="O21" s="33">
        <v>1384</v>
      </c>
      <c r="P21" s="33">
        <v>-92</v>
      </c>
      <c r="Q21" s="33">
        <v>1292</v>
      </c>
      <c r="R21" s="33">
        <v>1464</v>
      </c>
      <c r="S21" s="33">
        <v>-172</v>
      </c>
      <c r="T21" s="38">
        <v>0.88251366120218577</v>
      </c>
      <c r="U21" s="59">
        <v>1424</v>
      </c>
      <c r="V21" s="755">
        <f t="shared" si="0"/>
        <v>-132</v>
      </c>
      <c r="W21" s="644"/>
      <c r="X21" s="644"/>
      <c r="Y21" s="33">
        <v>-40</v>
      </c>
      <c r="Z21" s="33">
        <v>-40</v>
      </c>
      <c r="AA21" s="33"/>
      <c r="AB21" s="33"/>
      <c r="AC21" s="42"/>
      <c r="AD21" s="60"/>
      <c r="AE21" s="105"/>
      <c r="AF21" s="93"/>
      <c r="AG21" s="33">
        <v>0</v>
      </c>
      <c r="AH21" s="33">
        <v>1292</v>
      </c>
      <c r="AI21" s="101">
        <v>-172</v>
      </c>
      <c r="AK21" s="19"/>
    </row>
    <row r="22" spans="2:37" ht="13" outlineLevel="2" x14ac:dyDescent="0.3">
      <c r="B22" s="31" t="s">
        <v>54</v>
      </c>
      <c r="C22" s="33">
        <v>0</v>
      </c>
      <c r="D22" s="33">
        <v>0</v>
      </c>
      <c r="E22" s="23">
        <v>0</v>
      </c>
      <c r="F22" s="23">
        <v>9</v>
      </c>
      <c r="G22" s="23">
        <v>0</v>
      </c>
      <c r="H22" s="23">
        <v>0</v>
      </c>
      <c r="I22" s="23">
        <v>0</v>
      </c>
      <c r="J22" s="23">
        <v>0</v>
      </c>
      <c r="K22" s="23">
        <v>9</v>
      </c>
      <c r="L22" s="33">
        <v>9</v>
      </c>
      <c r="M22" s="33">
        <v>9</v>
      </c>
      <c r="N22" s="33">
        <v>9</v>
      </c>
      <c r="O22" s="33">
        <v>301</v>
      </c>
      <c r="P22" s="33">
        <v>-271</v>
      </c>
      <c r="Q22" s="33">
        <v>31</v>
      </c>
      <c r="R22" s="33">
        <v>9</v>
      </c>
      <c r="S22" s="33">
        <v>22</v>
      </c>
      <c r="T22" s="38">
        <v>3.4444444444444446</v>
      </c>
      <c r="U22" s="59">
        <v>9</v>
      </c>
      <c r="V22" s="755">
        <f t="shared" si="0"/>
        <v>22</v>
      </c>
      <c r="W22" s="644"/>
      <c r="X22" s="644"/>
      <c r="Y22" s="33">
        <v>0</v>
      </c>
      <c r="Z22" s="33">
        <v>0</v>
      </c>
      <c r="AA22" s="33"/>
      <c r="AB22" s="33"/>
      <c r="AC22" s="42"/>
      <c r="AD22" s="60"/>
      <c r="AE22" s="105"/>
      <c r="AF22" s="93"/>
      <c r="AG22" s="33">
        <v>0</v>
      </c>
      <c r="AH22" s="33">
        <v>31</v>
      </c>
      <c r="AI22" s="101">
        <v>22</v>
      </c>
      <c r="AK22" s="19"/>
    </row>
    <row r="23" spans="2:37" ht="13" outlineLevel="1" x14ac:dyDescent="0.3">
      <c r="B23" s="32" t="s">
        <v>55</v>
      </c>
      <c r="C23" s="34">
        <v>4275</v>
      </c>
      <c r="D23" s="34">
        <v>4399</v>
      </c>
      <c r="E23" s="24">
        <v>0</v>
      </c>
      <c r="F23" s="24">
        <v>16</v>
      </c>
      <c r="G23" s="24">
        <v>126</v>
      </c>
      <c r="H23" s="24">
        <v>420</v>
      </c>
      <c r="I23" s="24">
        <v>0</v>
      </c>
      <c r="J23" s="24">
        <v>-2</v>
      </c>
      <c r="K23" s="24">
        <v>560</v>
      </c>
      <c r="L23" s="34">
        <v>435</v>
      </c>
      <c r="M23" s="34">
        <v>559</v>
      </c>
      <c r="N23" s="34">
        <v>4834</v>
      </c>
      <c r="O23" s="34">
        <v>8503</v>
      </c>
      <c r="P23" s="34">
        <v>-3965</v>
      </c>
      <c r="Q23" s="34">
        <v>4539</v>
      </c>
      <c r="R23" s="34">
        <v>4834</v>
      </c>
      <c r="S23" s="34">
        <v>-295</v>
      </c>
      <c r="T23" s="38">
        <v>0.93897393462970624</v>
      </c>
      <c r="U23" s="59">
        <v>4932</v>
      </c>
      <c r="V23" s="755">
        <f t="shared" si="0"/>
        <v>-393</v>
      </c>
      <c r="W23" s="644"/>
      <c r="X23" s="644"/>
      <c r="Y23" s="34">
        <v>98</v>
      </c>
      <c r="Z23" s="34">
        <v>98</v>
      </c>
      <c r="AA23" s="34"/>
      <c r="AB23" s="34"/>
      <c r="AC23" s="41"/>
      <c r="AD23" s="60"/>
      <c r="AE23" s="102">
        <v>0</v>
      </c>
      <c r="AF23" s="34">
        <v>0</v>
      </c>
      <c r="AG23" s="34"/>
      <c r="AH23" s="34"/>
      <c r="AI23" s="103"/>
      <c r="AK23" s="19"/>
    </row>
    <row r="24" spans="2:37" ht="13.5" customHeight="1" thickBot="1" x14ac:dyDescent="0.35">
      <c r="B24" s="53" t="s">
        <v>56</v>
      </c>
      <c r="C24" s="35">
        <v>9368</v>
      </c>
      <c r="D24" s="35">
        <v>9661</v>
      </c>
      <c r="E24" s="25">
        <v>0</v>
      </c>
      <c r="F24" s="25">
        <v>-1762</v>
      </c>
      <c r="G24" s="25">
        <v>295</v>
      </c>
      <c r="H24" s="25">
        <v>328</v>
      </c>
      <c r="I24" s="25">
        <v>0</v>
      </c>
      <c r="J24" s="25">
        <v>29</v>
      </c>
      <c r="K24" s="25">
        <v>-1110</v>
      </c>
      <c r="L24" s="35">
        <v>-1404</v>
      </c>
      <c r="M24" s="35">
        <v>-1111</v>
      </c>
      <c r="N24" s="35">
        <v>8257</v>
      </c>
      <c r="O24" s="35">
        <v>26282</v>
      </c>
      <c r="P24" s="35">
        <v>-14712</v>
      </c>
      <c r="Q24" s="35">
        <v>11571</v>
      </c>
      <c r="R24" s="35">
        <v>8257</v>
      </c>
      <c r="S24" s="35">
        <v>3314</v>
      </c>
      <c r="T24" s="39">
        <v>1.401356424851641</v>
      </c>
      <c r="U24" s="54">
        <v>9340</v>
      </c>
      <c r="V24" s="755">
        <f t="shared" si="0"/>
        <v>2231</v>
      </c>
      <c r="W24" s="754"/>
      <c r="X24" s="754"/>
      <c r="Y24" s="35">
        <v>1083</v>
      </c>
      <c r="Z24" s="35">
        <v>1083</v>
      </c>
      <c r="AA24" s="35"/>
      <c r="AB24" s="35"/>
      <c r="AC24" s="43"/>
      <c r="AD24" s="60"/>
      <c r="AE24" s="104">
        <v>0</v>
      </c>
      <c r="AF24" s="104">
        <v>0</v>
      </c>
      <c r="AG24" s="35">
        <v>0</v>
      </c>
      <c r="AH24" s="35">
        <v>11571</v>
      </c>
      <c r="AI24" s="43">
        <v>3314</v>
      </c>
      <c r="AK24" s="19"/>
    </row>
    <row r="25" spans="2:37" ht="13.5" outlineLevel="2" thickTop="1" x14ac:dyDescent="0.3">
      <c r="B25" s="31" t="s">
        <v>57</v>
      </c>
      <c r="C25" s="33">
        <v>939</v>
      </c>
      <c r="D25" s="33">
        <v>1000</v>
      </c>
      <c r="E25" s="23">
        <v>0</v>
      </c>
      <c r="F25" s="23">
        <v>0</v>
      </c>
      <c r="G25" s="23">
        <v>61</v>
      </c>
      <c r="H25" s="23">
        <v>-92</v>
      </c>
      <c r="I25" s="23">
        <v>0</v>
      </c>
      <c r="J25" s="23">
        <v>332</v>
      </c>
      <c r="K25" s="23">
        <v>301</v>
      </c>
      <c r="L25" s="33">
        <v>239</v>
      </c>
      <c r="M25" s="33">
        <v>300</v>
      </c>
      <c r="N25" s="33">
        <v>1239</v>
      </c>
      <c r="O25" s="33">
        <v>2618</v>
      </c>
      <c r="P25" s="33">
        <v>-1072</v>
      </c>
      <c r="Q25" s="33">
        <v>1546</v>
      </c>
      <c r="R25" s="33">
        <v>1239</v>
      </c>
      <c r="S25" s="33">
        <v>307</v>
      </c>
      <c r="T25" s="38">
        <v>1.2477804681194511</v>
      </c>
      <c r="U25" s="59">
        <v>1489</v>
      </c>
      <c r="V25" s="755">
        <f t="shared" si="0"/>
        <v>57</v>
      </c>
      <c r="W25" s="755"/>
      <c r="X25" s="755"/>
      <c r="Y25" s="33">
        <v>250</v>
      </c>
      <c r="Z25" s="33">
        <v>250</v>
      </c>
      <c r="AA25" s="33"/>
      <c r="AB25" s="33"/>
      <c r="AC25" s="42"/>
      <c r="AD25" s="60"/>
      <c r="AE25" s="105"/>
      <c r="AF25" s="93"/>
      <c r="AG25" s="33">
        <v>0</v>
      </c>
      <c r="AH25" s="33">
        <v>1546</v>
      </c>
      <c r="AI25" s="101">
        <v>307</v>
      </c>
      <c r="AK25" s="19"/>
    </row>
    <row r="26" spans="2:37" ht="13" outlineLevel="2" x14ac:dyDescent="0.3">
      <c r="B26" s="31" t="s">
        <v>58</v>
      </c>
      <c r="C26" s="33">
        <v>-9177</v>
      </c>
      <c r="D26" s="33">
        <v>-9135</v>
      </c>
      <c r="E26" s="23">
        <v>0</v>
      </c>
      <c r="F26" s="23">
        <v>5</v>
      </c>
      <c r="G26" s="23">
        <v>42</v>
      </c>
      <c r="H26" s="23">
        <v>137</v>
      </c>
      <c r="I26" s="23">
        <v>0</v>
      </c>
      <c r="J26" s="23">
        <v>-353</v>
      </c>
      <c r="K26" s="23">
        <v>-169</v>
      </c>
      <c r="L26" s="33">
        <v>-212</v>
      </c>
      <c r="M26" s="33">
        <v>-170</v>
      </c>
      <c r="N26" s="33">
        <v>-9347</v>
      </c>
      <c r="O26" s="33">
        <v>2955</v>
      </c>
      <c r="P26" s="33">
        <v>-13596</v>
      </c>
      <c r="Q26" s="33">
        <v>-10641</v>
      </c>
      <c r="R26" s="33">
        <v>-9347</v>
      </c>
      <c r="S26" s="33">
        <v>-1294</v>
      </c>
      <c r="T26" s="38">
        <v>1.1384401412217824</v>
      </c>
      <c r="U26" s="59">
        <v>-8707</v>
      </c>
      <c r="V26" s="755">
        <f t="shared" si="0"/>
        <v>-1934</v>
      </c>
      <c r="W26" s="755"/>
      <c r="X26" s="755"/>
      <c r="Y26" s="33">
        <v>640</v>
      </c>
      <c r="Z26" s="33">
        <v>640</v>
      </c>
      <c r="AA26" s="33"/>
      <c r="AB26" s="33"/>
      <c r="AC26" s="42"/>
      <c r="AD26" s="60"/>
      <c r="AE26" s="105"/>
      <c r="AF26" s="93"/>
      <c r="AG26" s="33">
        <v>0</v>
      </c>
      <c r="AH26" s="33">
        <v>-10641</v>
      </c>
      <c r="AI26" s="101">
        <v>-1294</v>
      </c>
      <c r="AK26" s="19"/>
    </row>
    <row r="27" spans="2:37" ht="14.5" outlineLevel="2" x14ac:dyDescent="0.35">
      <c r="B27" s="31" t="s">
        <v>59</v>
      </c>
      <c r="C27" s="33">
        <v>211</v>
      </c>
      <c r="D27" s="33">
        <v>214</v>
      </c>
      <c r="E27" s="23">
        <v>0</v>
      </c>
      <c r="F27" s="23">
        <v>0</v>
      </c>
      <c r="G27" s="23">
        <v>4</v>
      </c>
      <c r="H27" s="23">
        <v>-7</v>
      </c>
      <c r="I27" s="23">
        <v>0</v>
      </c>
      <c r="J27" s="23">
        <v>0</v>
      </c>
      <c r="K27" s="23">
        <v>-3</v>
      </c>
      <c r="L27" s="33">
        <v>-7</v>
      </c>
      <c r="M27" s="33">
        <v>-4</v>
      </c>
      <c r="N27" s="33">
        <v>207</v>
      </c>
      <c r="O27" s="33">
        <v>329</v>
      </c>
      <c r="P27" s="33">
        <v>0</v>
      </c>
      <c r="Q27" s="33">
        <v>329</v>
      </c>
      <c r="R27" s="33">
        <v>207</v>
      </c>
      <c r="S27" s="33">
        <v>122</v>
      </c>
      <c r="T27" s="38">
        <v>1.5893719806763285</v>
      </c>
      <c r="U27" s="59">
        <v>207</v>
      </c>
      <c r="V27" s="755">
        <f t="shared" si="0"/>
        <v>122</v>
      </c>
      <c r="W27" s="756"/>
      <c r="X27" s="756"/>
      <c r="Y27" s="33">
        <v>0</v>
      </c>
      <c r="Z27" s="33">
        <v>0</v>
      </c>
      <c r="AA27" s="33"/>
      <c r="AB27" s="33"/>
      <c r="AC27" s="42"/>
      <c r="AD27" s="60"/>
      <c r="AE27" s="105"/>
      <c r="AF27" s="93"/>
      <c r="AG27" s="33">
        <v>0</v>
      </c>
      <c r="AH27" s="33">
        <v>329</v>
      </c>
      <c r="AI27" s="101">
        <v>122</v>
      </c>
      <c r="AK27" s="19"/>
    </row>
    <row r="28" spans="2:37" ht="13" outlineLevel="2" x14ac:dyDescent="0.3">
      <c r="B28" s="31" t="s">
        <v>60</v>
      </c>
      <c r="C28" s="33">
        <v>0</v>
      </c>
      <c r="D28" s="33">
        <v>0</v>
      </c>
      <c r="E28" s="23">
        <v>0</v>
      </c>
      <c r="F28" s="23">
        <v>0</v>
      </c>
      <c r="G28" s="23">
        <v>0</v>
      </c>
      <c r="H28" s="23">
        <v>0</v>
      </c>
      <c r="I28" s="23">
        <v>0</v>
      </c>
      <c r="J28" s="23">
        <v>0</v>
      </c>
      <c r="K28" s="23">
        <v>0</v>
      </c>
      <c r="L28" s="33">
        <v>0</v>
      </c>
      <c r="M28" s="33">
        <v>0</v>
      </c>
      <c r="N28" s="33">
        <v>0</v>
      </c>
      <c r="O28" s="33">
        <v>1</v>
      </c>
      <c r="P28" s="33">
        <v>0</v>
      </c>
      <c r="Q28" s="33">
        <v>1</v>
      </c>
      <c r="R28" s="33">
        <v>0</v>
      </c>
      <c r="S28" s="33">
        <v>1</v>
      </c>
      <c r="T28" s="38" t="s">
        <v>42</v>
      </c>
      <c r="U28" s="59">
        <v>0</v>
      </c>
      <c r="V28" s="755">
        <f t="shared" si="0"/>
        <v>1</v>
      </c>
      <c r="W28" s="754"/>
      <c r="X28" s="754"/>
      <c r="Y28" s="33">
        <v>0</v>
      </c>
      <c r="Z28" s="33">
        <v>0</v>
      </c>
      <c r="AA28" s="33"/>
      <c r="AB28" s="33"/>
      <c r="AC28" s="42"/>
      <c r="AD28" s="60"/>
      <c r="AE28" s="105"/>
      <c r="AF28" s="93"/>
      <c r="AG28" s="33">
        <v>0</v>
      </c>
      <c r="AH28" s="33">
        <v>1</v>
      </c>
      <c r="AI28" s="101">
        <v>1</v>
      </c>
      <c r="AK28" s="19"/>
    </row>
    <row r="29" spans="2:37" ht="13" outlineLevel="1" x14ac:dyDescent="0.3">
      <c r="B29" s="32" t="s">
        <v>61</v>
      </c>
      <c r="C29" s="34">
        <v>-8027</v>
      </c>
      <c r="D29" s="34">
        <v>-7921</v>
      </c>
      <c r="E29" s="24">
        <v>0</v>
      </c>
      <c r="F29" s="24">
        <v>5</v>
      </c>
      <c r="G29" s="24">
        <v>107</v>
      </c>
      <c r="H29" s="24">
        <v>38</v>
      </c>
      <c r="I29" s="24">
        <v>0</v>
      </c>
      <c r="J29" s="24">
        <v>-21</v>
      </c>
      <c r="K29" s="24">
        <v>129</v>
      </c>
      <c r="L29" s="34">
        <v>20</v>
      </c>
      <c r="M29" s="34">
        <v>126</v>
      </c>
      <c r="N29" s="34">
        <v>-7901</v>
      </c>
      <c r="O29" s="34">
        <v>5903</v>
      </c>
      <c r="P29" s="34">
        <v>-14668</v>
      </c>
      <c r="Q29" s="34">
        <v>-8765</v>
      </c>
      <c r="R29" s="34">
        <v>-7901</v>
      </c>
      <c r="S29" s="34">
        <v>-864</v>
      </c>
      <c r="T29" s="38">
        <v>1.1093532464245033</v>
      </c>
      <c r="U29" s="59">
        <v>-7011</v>
      </c>
      <c r="V29" s="755">
        <f t="shared" si="0"/>
        <v>-1754</v>
      </c>
      <c r="W29" s="754"/>
      <c r="X29" s="754"/>
      <c r="Y29" s="34">
        <v>890</v>
      </c>
      <c r="Z29" s="34">
        <v>890</v>
      </c>
      <c r="AA29" s="34"/>
      <c r="AB29" s="34"/>
      <c r="AC29" s="41"/>
      <c r="AD29" s="60"/>
      <c r="AE29" s="102">
        <v>0</v>
      </c>
      <c r="AF29" s="34">
        <v>0</v>
      </c>
      <c r="AG29" s="34"/>
      <c r="AH29" s="34"/>
      <c r="AI29" s="103"/>
      <c r="AK29" s="19"/>
    </row>
    <row r="30" spans="2:37" ht="13" outlineLevel="2" x14ac:dyDescent="0.3">
      <c r="B30" s="31" t="s">
        <v>62</v>
      </c>
      <c r="C30" s="33">
        <v>369</v>
      </c>
      <c r="D30" s="33">
        <v>386</v>
      </c>
      <c r="E30" s="23">
        <v>0</v>
      </c>
      <c r="F30" s="23">
        <v>0</v>
      </c>
      <c r="G30" s="23">
        <v>16</v>
      </c>
      <c r="H30" s="23">
        <v>-21</v>
      </c>
      <c r="I30" s="23">
        <v>0</v>
      </c>
      <c r="J30" s="23">
        <v>85</v>
      </c>
      <c r="K30" s="23">
        <v>80</v>
      </c>
      <c r="L30" s="33">
        <v>63</v>
      </c>
      <c r="M30" s="33">
        <v>80</v>
      </c>
      <c r="N30" s="33">
        <v>449</v>
      </c>
      <c r="O30" s="33">
        <v>946</v>
      </c>
      <c r="P30" s="33">
        <v>-213</v>
      </c>
      <c r="Q30" s="33">
        <v>733</v>
      </c>
      <c r="R30" s="33">
        <v>449</v>
      </c>
      <c r="S30" s="33">
        <v>284</v>
      </c>
      <c r="T30" s="38">
        <v>1.6325167037861916</v>
      </c>
      <c r="U30" s="59">
        <v>449</v>
      </c>
      <c r="V30" s="755">
        <f t="shared" si="0"/>
        <v>284</v>
      </c>
      <c r="W30" s="754"/>
      <c r="X30" s="754"/>
      <c r="Y30" s="33">
        <v>0</v>
      </c>
      <c r="Z30" s="33">
        <v>0</v>
      </c>
      <c r="AA30" s="33"/>
      <c r="AB30" s="33"/>
      <c r="AC30" s="42"/>
      <c r="AD30" s="60"/>
      <c r="AE30" s="105"/>
      <c r="AF30" s="93"/>
      <c r="AG30" s="33">
        <v>0</v>
      </c>
      <c r="AH30" s="33">
        <v>733</v>
      </c>
      <c r="AI30" s="101">
        <v>284</v>
      </c>
      <c r="AK30" s="19"/>
    </row>
    <row r="31" spans="2:37" ht="13" outlineLevel="2" x14ac:dyDescent="0.3">
      <c r="B31" s="31" t="s">
        <v>63</v>
      </c>
      <c r="C31" s="33">
        <v>382</v>
      </c>
      <c r="D31" s="33">
        <v>412</v>
      </c>
      <c r="E31" s="23">
        <v>0</v>
      </c>
      <c r="F31" s="23">
        <v>0</v>
      </c>
      <c r="G31" s="23">
        <v>30</v>
      </c>
      <c r="H31" s="23">
        <v>-52</v>
      </c>
      <c r="I31" s="23">
        <v>0</v>
      </c>
      <c r="J31" s="23">
        <v>-80</v>
      </c>
      <c r="K31" s="23">
        <v>-102</v>
      </c>
      <c r="L31" s="33">
        <v>-132</v>
      </c>
      <c r="M31" s="33">
        <v>-102</v>
      </c>
      <c r="N31" s="33">
        <v>280</v>
      </c>
      <c r="O31" s="33">
        <v>93</v>
      </c>
      <c r="P31" s="33">
        <v>0</v>
      </c>
      <c r="Q31" s="33">
        <v>93</v>
      </c>
      <c r="R31" s="33">
        <v>280</v>
      </c>
      <c r="S31" s="33">
        <v>-187</v>
      </c>
      <c r="T31" s="38">
        <v>0.33214285714285713</v>
      </c>
      <c r="U31" s="59">
        <v>280</v>
      </c>
      <c r="V31" s="755">
        <f t="shared" si="0"/>
        <v>-187</v>
      </c>
      <c r="W31" s="754"/>
      <c r="X31" s="754"/>
      <c r="Y31" s="33">
        <v>0</v>
      </c>
      <c r="Z31" s="33">
        <v>0</v>
      </c>
      <c r="AA31" s="33"/>
      <c r="AB31" s="33"/>
      <c r="AC31" s="42"/>
      <c r="AD31" s="60"/>
      <c r="AE31" s="105"/>
      <c r="AF31" s="93"/>
      <c r="AG31" s="33">
        <v>0</v>
      </c>
      <c r="AH31" s="33">
        <v>93</v>
      </c>
      <c r="AI31" s="101">
        <v>-187</v>
      </c>
      <c r="AK31" s="19"/>
    </row>
    <row r="32" spans="2:37" ht="13" outlineLevel="1" x14ac:dyDescent="0.3">
      <c r="B32" s="32" t="s">
        <v>64</v>
      </c>
      <c r="C32" s="34">
        <v>59</v>
      </c>
      <c r="D32" s="34">
        <v>68</v>
      </c>
      <c r="E32" s="24">
        <v>0</v>
      </c>
      <c r="F32" s="24">
        <v>0</v>
      </c>
      <c r="G32" s="24">
        <v>8</v>
      </c>
      <c r="H32" s="24">
        <v>-12</v>
      </c>
      <c r="I32" s="24">
        <v>0</v>
      </c>
      <c r="J32" s="24">
        <v>0</v>
      </c>
      <c r="K32" s="24">
        <v>-4</v>
      </c>
      <c r="L32" s="34">
        <v>-12</v>
      </c>
      <c r="M32" s="34">
        <v>-3</v>
      </c>
      <c r="N32" s="34">
        <v>56</v>
      </c>
      <c r="O32" s="34">
        <v>78</v>
      </c>
      <c r="P32" s="34">
        <v>-16</v>
      </c>
      <c r="Q32" s="34">
        <v>62</v>
      </c>
      <c r="R32" s="34">
        <v>56</v>
      </c>
      <c r="S32" s="34">
        <v>6</v>
      </c>
      <c r="T32" s="38">
        <v>1.1071428571428572</v>
      </c>
      <c r="U32" s="59">
        <v>56</v>
      </c>
      <c r="V32" s="755">
        <f t="shared" si="0"/>
        <v>6</v>
      </c>
      <c r="W32" s="754"/>
      <c r="X32" s="754"/>
      <c r="Y32" s="34">
        <v>0</v>
      </c>
      <c r="Z32" s="34">
        <v>0</v>
      </c>
      <c r="AA32" s="34"/>
      <c r="AB32" s="34"/>
      <c r="AC32" s="41"/>
      <c r="AD32" s="60"/>
      <c r="AE32" s="102"/>
      <c r="AF32" s="34"/>
      <c r="AG32" s="34">
        <v>0</v>
      </c>
      <c r="AH32" s="34">
        <v>62</v>
      </c>
      <c r="AI32" s="103">
        <v>6</v>
      </c>
      <c r="AK32" s="19"/>
    </row>
    <row r="33" spans="2:37" ht="13" outlineLevel="2" x14ac:dyDescent="0.3">
      <c r="B33" s="31" t="s">
        <v>65</v>
      </c>
      <c r="C33" s="33">
        <v>810</v>
      </c>
      <c r="D33" s="33">
        <v>866</v>
      </c>
      <c r="E33" s="23">
        <v>0</v>
      </c>
      <c r="F33" s="23">
        <v>0</v>
      </c>
      <c r="G33" s="23">
        <v>54</v>
      </c>
      <c r="H33" s="23">
        <v>-85</v>
      </c>
      <c r="I33" s="23">
        <v>0</v>
      </c>
      <c r="J33" s="23">
        <v>5</v>
      </c>
      <c r="K33" s="23">
        <v>-26</v>
      </c>
      <c r="L33" s="33">
        <v>-81</v>
      </c>
      <c r="M33" s="33">
        <v>-25</v>
      </c>
      <c r="N33" s="33">
        <v>785</v>
      </c>
      <c r="O33" s="33">
        <v>1117</v>
      </c>
      <c r="P33" s="33">
        <v>-229</v>
      </c>
      <c r="Q33" s="33">
        <v>888</v>
      </c>
      <c r="R33" s="33">
        <v>785</v>
      </c>
      <c r="S33" s="33">
        <v>103</v>
      </c>
      <c r="T33" s="38">
        <v>1.1312101910828025</v>
      </c>
      <c r="U33" s="59">
        <v>785</v>
      </c>
      <c r="V33" s="755">
        <f t="shared" si="0"/>
        <v>103</v>
      </c>
      <c r="W33" s="754"/>
      <c r="X33" s="754"/>
      <c r="Y33" s="33">
        <v>0</v>
      </c>
      <c r="Z33" s="33">
        <v>0</v>
      </c>
      <c r="AA33" s="33"/>
      <c r="AB33" s="33"/>
      <c r="AC33" s="42"/>
      <c r="AD33" s="60"/>
      <c r="AE33" s="105">
        <v>0</v>
      </c>
      <c r="AF33" s="93">
        <v>0</v>
      </c>
      <c r="AG33" s="33"/>
      <c r="AH33" s="33"/>
      <c r="AI33" s="101"/>
      <c r="AK33" s="19"/>
    </row>
    <row r="34" spans="2:37" ht="13" outlineLevel="2" x14ac:dyDescent="0.3">
      <c r="B34" s="31" t="s">
        <v>66</v>
      </c>
      <c r="C34" s="33">
        <v>-711</v>
      </c>
      <c r="D34" s="33">
        <v>-668</v>
      </c>
      <c r="E34" s="23">
        <v>0</v>
      </c>
      <c r="F34" s="23">
        <v>0</v>
      </c>
      <c r="G34" s="23">
        <v>43</v>
      </c>
      <c r="H34" s="23">
        <v>-63</v>
      </c>
      <c r="I34" s="23">
        <v>0</v>
      </c>
      <c r="J34" s="23">
        <v>0</v>
      </c>
      <c r="K34" s="23">
        <v>-20</v>
      </c>
      <c r="L34" s="33">
        <v>-63</v>
      </c>
      <c r="M34" s="33">
        <v>-20</v>
      </c>
      <c r="N34" s="33">
        <v>-731</v>
      </c>
      <c r="O34" s="33">
        <v>1185</v>
      </c>
      <c r="P34" s="33">
        <v>-1608</v>
      </c>
      <c r="Q34" s="33">
        <v>-424</v>
      </c>
      <c r="R34" s="33">
        <v>-731</v>
      </c>
      <c r="S34" s="33">
        <v>307</v>
      </c>
      <c r="T34" s="38">
        <v>0.58002735978112174</v>
      </c>
      <c r="U34" s="59">
        <v>-505</v>
      </c>
      <c r="V34" s="755">
        <f t="shared" si="0"/>
        <v>81</v>
      </c>
      <c r="W34" s="644"/>
      <c r="X34" s="644"/>
      <c r="Y34" s="33">
        <v>226</v>
      </c>
      <c r="Z34" s="33">
        <v>226</v>
      </c>
      <c r="AA34" s="33"/>
      <c r="AB34" s="33"/>
      <c r="AC34" s="42"/>
      <c r="AD34" s="60"/>
      <c r="AE34" s="105"/>
      <c r="AF34" s="93"/>
      <c r="AG34" s="33">
        <v>0</v>
      </c>
      <c r="AH34" s="33">
        <v>-424</v>
      </c>
      <c r="AI34" s="101">
        <v>307</v>
      </c>
      <c r="AK34" s="19"/>
    </row>
    <row r="35" spans="2:37" ht="13" outlineLevel="2" x14ac:dyDescent="0.3">
      <c r="B35" s="31" t="s">
        <v>67</v>
      </c>
      <c r="C35" s="33">
        <v>162</v>
      </c>
      <c r="D35" s="33">
        <v>166</v>
      </c>
      <c r="E35" s="23">
        <v>0</v>
      </c>
      <c r="F35" s="23">
        <v>0</v>
      </c>
      <c r="G35" s="23">
        <v>4</v>
      </c>
      <c r="H35" s="23">
        <v>-8</v>
      </c>
      <c r="I35" s="23">
        <v>0</v>
      </c>
      <c r="J35" s="23">
        <v>20</v>
      </c>
      <c r="K35" s="23">
        <v>16</v>
      </c>
      <c r="L35" s="33">
        <v>13</v>
      </c>
      <c r="M35" s="33">
        <v>17</v>
      </c>
      <c r="N35" s="33">
        <v>179</v>
      </c>
      <c r="O35" s="33">
        <v>145</v>
      </c>
      <c r="P35" s="33">
        <v>-12</v>
      </c>
      <c r="Q35" s="33">
        <v>133</v>
      </c>
      <c r="R35" s="33">
        <v>179</v>
      </c>
      <c r="S35" s="33">
        <v>-46</v>
      </c>
      <c r="T35" s="38">
        <v>0.74301675977653636</v>
      </c>
      <c r="U35" s="59">
        <v>129</v>
      </c>
      <c r="V35" s="755">
        <f t="shared" si="0"/>
        <v>4</v>
      </c>
      <c r="W35" s="754"/>
      <c r="X35" s="754"/>
      <c r="Y35" s="33">
        <v>-50</v>
      </c>
      <c r="Z35" s="33">
        <v>-50</v>
      </c>
      <c r="AA35" s="33"/>
      <c r="AB35" s="33"/>
      <c r="AC35" s="42"/>
      <c r="AD35" s="60"/>
      <c r="AE35" s="105"/>
      <c r="AF35" s="93"/>
      <c r="AG35" s="33">
        <v>0</v>
      </c>
      <c r="AH35" s="33">
        <v>133</v>
      </c>
      <c r="AI35" s="101">
        <v>-46</v>
      </c>
      <c r="AK35" s="19"/>
    </row>
    <row r="36" spans="2:37" ht="13" outlineLevel="2" x14ac:dyDescent="0.3">
      <c r="B36" s="31" t="s">
        <v>68</v>
      </c>
      <c r="C36" s="33">
        <v>-192</v>
      </c>
      <c r="D36" s="33">
        <v>-191</v>
      </c>
      <c r="E36" s="23">
        <v>0</v>
      </c>
      <c r="F36" s="23">
        <v>0</v>
      </c>
      <c r="G36" s="23">
        <v>2</v>
      </c>
      <c r="H36" s="23">
        <v>-4</v>
      </c>
      <c r="I36" s="23">
        <v>0</v>
      </c>
      <c r="J36" s="23">
        <v>0</v>
      </c>
      <c r="K36" s="23">
        <v>-2</v>
      </c>
      <c r="L36" s="33">
        <v>-4</v>
      </c>
      <c r="M36" s="33">
        <v>-3</v>
      </c>
      <c r="N36" s="33">
        <v>-195</v>
      </c>
      <c r="O36" s="33">
        <v>57</v>
      </c>
      <c r="P36" s="33">
        <v>-244</v>
      </c>
      <c r="Q36" s="33">
        <v>-187</v>
      </c>
      <c r="R36" s="33">
        <v>-195</v>
      </c>
      <c r="S36" s="33">
        <v>8</v>
      </c>
      <c r="T36" s="38">
        <v>0.95897435897435901</v>
      </c>
      <c r="U36" s="59">
        <v>-195</v>
      </c>
      <c r="V36" s="755">
        <f t="shared" si="0"/>
        <v>8</v>
      </c>
      <c r="W36" s="754"/>
      <c r="X36" s="754"/>
      <c r="Y36" s="33">
        <v>0</v>
      </c>
      <c r="Z36" s="33">
        <v>0</v>
      </c>
      <c r="AA36" s="33"/>
      <c r="AB36" s="33"/>
      <c r="AC36" s="42"/>
      <c r="AD36" s="60"/>
      <c r="AE36" s="105"/>
      <c r="AF36" s="93"/>
      <c r="AG36" s="33">
        <v>0</v>
      </c>
      <c r="AH36" s="33">
        <v>-187</v>
      </c>
      <c r="AI36" s="101">
        <v>8</v>
      </c>
      <c r="AK36" s="19"/>
    </row>
    <row r="37" spans="2:37" ht="13" outlineLevel="1" x14ac:dyDescent="0.3">
      <c r="B37" s="32" t="s">
        <v>69</v>
      </c>
      <c r="C37" s="34">
        <v>1207</v>
      </c>
      <c r="D37" s="34">
        <v>1250</v>
      </c>
      <c r="E37" s="24">
        <v>0</v>
      </c>
      <c r="F37" s="24">
        <v>0</v>
      </c>
      <c r="G37" s="24">
        <v>44</v>
      </c>
      <c r="H37" s="24">
        <v>-65</v>
      </c>
      <c r="I37" s="24">
        <v>0</v>
      </c>
      <c r="J37" s="24">
        <v>-16</v>
      </c>
      <c r="K37" s="24">
        <v>-37</v>
      </c>
      <c r="L37" s="34">
        <v>-81</v>
      </c>
      <c r="M37" s="34">
        <v>-38</v>
      </c>
      <c r="N37" s="34">
        <v>1169</v>
      </c>
      <c r="O37" s="34">
        <v>1366</v>
      </c>
      <c r="P37" s="34">
        <v>-279</v>
      </c>
      <c r="Q37" s="34">
        <v>1088</v>
      </c>
      <c r="R37" s="34">
        <v>1169</v>
      </c>
      <c r="S37" s="34">
        <v>-81</v>
      </c>
      <c r="T37" s="38">
        <v>0.93071000855431996</v>
      </c>
      <c r="U37" s="59">
        <v>1109</v>
      </c>
      <c r="V37" s="755">
        <f t="shared" si="0"/>
        <v>-21</v>
      </c>
      <c r="W37" s="754"/>
      <c r="X37" s="754"/>
      <c r="Y37" s="34">
        <v>-60</v>
      </c>
      <c r="Z37" s="34">
        <v>-60</v>
      </c>
      <c r="AA37" s="34"/>
      <c r="AB37" s="34"/>
      <c r="AC37" s="41"/>
      <c r="AD37" s="60"/>
      <c r="AE37" s="102"/>
      <c r="AF37" s="34"/>
      <c r="AG37" s="34">
        <v>0</v>
      </c>
      <c r="AH37" s="34">
        <v>1088</v>
      </c>
      <c r="AI37" s="103">
        <v>-81</v>
      </c>
      <c r="AK37" s="19"/>
    </row>
    <row r="38" spans="2:37" ht="13.5" customHeight="1" thickBot="1" x14ac:dyDescent="0.35">
      <c r="B38" s="53" t="s">
        <v>70</v>
      </c>
      <c r="C38" s="35">
        <v>-117</v>
      </c>
      <c r="D38" s="35">
        <v>-42</v>
      </c>
      <c r="E38" s="25">
        <v>0</v>
      </c>
      <c r="F38" s="25">
        <v>0</v>
      </c>
      <c r="G38" s="25">
        <v>74</v>
      </c>
      <c r="H38" s="25">
        <v>-96</v>
      </c>
      <c r="I38" s="25">
        <v>0</v>
      </c>
      <c r="J38" s="25">
        <v>47</v>
      </c>
      <c r="K38" s="25">
        <v>25</v>
      </c>
      <c r="L38" s="35">
        <v>-49</v>
      </c>
      <c r="M38" s="35">
        <v>26</v>
      </c>
      <c r="N38" s="35">
        <v>-91</v>
      </c>
      <c r="O38" s="35">
        <v>3371</v>
      </c>
      <c r="P38" s="35">
        <v>-3515</v>
      </c>
      <c r="Q38" s="35">
        <v>-144</v>
      </c>
      <c r="R38" s="35">
        <v>-91</v>
      </c>
      <c r="S38" s="35">
        <v>-53</v>
      </c>
      <c r="T38" s="39">
        <v>1.5824175824175823</v>
      </c>
      <c r="U38" s="54">
        <v>9</v>
      </c>
      <c r="V38" s="755">
        <f t="shared" si="0"/>
        <v>-153</v>
      </c>
      <c r="W38" s="644"/>
      <c r="X38" s="644"/>
      <c r="Y38" s="35">
        <v>100</v>
      </c>
      <c r="Z38" s="35">
        <v>100</v>
      </c>
      <c r="AA38" s="35"/>
      <c r="AB38" s="35"/>
      <c r="AC38" s="43"/>
      <c r="AD38" s="60"/>
      <c r="AE38" s="104"/>
      <c r="AF38" s="104"/>
      <c r="AG38" s="35">
        <v>0</v>
      </c>
      <c r="AH38" s="35">
        <v>-144</v>
      </c>
      <c r="AI38" s="43">
        <v>-53</v>
      </c>
      <c r="AK38" s="19"/>
    </row>
    <row r="39" spans="2:37" ht="13.5" outlineLevel="2" thickTop="1" x14ac:dyDescent="0.3">
      <c r="B39" s="31" t="s">
        <v>71</v>
      </c>
      <c r="C39" s="33">
        <v>349</v>
      </c>
      <c r="D39" s="33">
        <v>515</v>
      </c>
      <c r="E39" s="23">
        <v>0</v>
      </c>
      <c r="F39" s="23">
        <v>0</v>
      </c>
      <c r="G39" s="23">
        <v>167</v>
      </c>
      <c r="H39" s="23">
        <v>-236</v>
      </c>
      <c r="I39" s="23">
        <v>0</v>
      </c>
      <c r="J39" s="23">
        <v>51</v>
      </c>
      <c r="K39" s="23">
        <v>-18</v>
      </c>
      <c r="L39" s="33">
        <v>-184</v>
      </c>
      <c r="M39" s="33">
        <v>-18</v>
      </c>
      <c r="N39" s="33">
        <v>331</v>
      </c>
      <c r="O39" s="33">
        <v>6124</v>
      </c>
      <c r="P39" s="33">
        <v>-5658</v>
      </c>
      <c r="Q39" s="33">
        <v>466</v>
      </c>
      <c r="R39" s="33">
        <v>331</v>
      </c>
      <c r="S39" s="33">
        <v>135</v>
      </c>
      <c r="T39" s="38">
        <v>1.4078549848942599</v>
      </c>
      <c r="U39" s="59">
        <v>547</v>
      </c>
      <c r="V39" s="755">
        <f t="shared" si="0"/>
        <v>-81</v>
      </c>
      <c r="W39" s="644"/>
      <c r="X39" s="644"/>
      <c r="Y39" s="33">
        <v>216</v>
      </c>
      <c r="Z39" s="33">
        <v>216</v>
      </c>
      <c r="AA39" s="33"/>
      <c r="AB39" s="33"/>
      <c r="AC39" s="42"/>
      <c r="AD39" s="60"/>
      <c r="AE39" s="105">
        <v>0</v>
      </c>
      <c r="AF39" s="93">
        <v>0</v>
      </c>
      <c r="AG39" s="33"/>
      <c r="AH39" s="33"/>
      <c r="AI39" s="101"/>
      <c r="AK39" s="19"/>
    </row>
    <row r="40" spans="2:37" ht="13" outlineLevel="2" x14ac:dyDescent="0.3">
      <c r="B40" s="31" t="s">
        <v>72</v>
      </c>
      <c r="C40" s="33">
        <v>-6868</v>
      </c>
      <c r="D40" s="33">
        <v>-6540</v>
      </c>
      <c r="E40" s="23">
        <v>0</v>
      </c>
      <c r="F40" s="23">
        <v>5</v>
      </c>
      <c r="G40" s="23">
        <v>328</v>
      </c>
      <c r="H40" s="23">
        <v>-283</v>
      </c>
      <c r="I40" s="23">
        <v>0</v>
      </c>
      <c r="J40" s="23">
        <v>35</v>
      </c>
      <c r="K40" s="23">
        <v>85</v>
      </c>
      <c r="L40" s="33">
        <v>-245</v>
      </c>
      <c r="M40" s="33">
        <v>83</v>
      </c>
      <c r="N40" s="33">
        <v>-6785</v>
      </c>
      <c r="O40" s="33">
        <v>13144</v>
      </c>
      <c r="P40" s="33">
        <v>-20555</v>
      </c>
      <c r="Q40" s="33">
        <v>-7411</v>
      </c>
      <c r="R40" s="33">
        <v>-6785</v>
      </c>
      <c r="S40" s="33">
        <v>-626</v>
      </c>
      <c r="T40" s="38">
        <v>1.0922623434045688</v>
      </c>
      <c r="U40" s="59">
        <v>-5679</v>
      </c>
      <c r="V40" s="755">
        <f t="shared" si="0"/>
        <v>-1732</v>
      </c>
      <c r="W40" s="644"/>
      <c r="X40" s="644"/>
      <c r="Y40" s="33">
        <v>1106</v>
      </c>
      <c r="Z40" s="33">
        <v>1106</v>
      </c>
      <c r="AA40" s="33"/>
      <c r="AB40" s="33"/>
      <c r="AC40" s="42"/>
      <c r="AD40" s="60"/>
      <c r="AE40" s="105">
        <v>0</v>
      </c>
      <c r="AF40" s="93">
        <v>0</v>
      </c>
      <c r="AG40" s="33">
        <v>0</v>
      </c>
      <c r="AH40" s="33">
        <v>-7411</v>
      </c>
      <c r="AI40" s="101">
        <v>-626</v>
      </c>
      <c r="AK40" s="19"/>
    </row>
    <row r="41" spans="2:37" ht="13" outlineLevel="2" x14ac:dyDescent="0.3">
      <c r="B41" s="31" t="s">
        <v>73</v>
      </c>
      <c r="C41" s="33">
        <v>131</v>
      </c>
      <c r="D41" s="33">
        <v>135</v>
      </c>
      <c r="E41" s="23">
        <v>0</v>
      </c>
      <c r="F41" s="23">
        <v>0</v>
      </c>
      <c r="G41" s="23">
        <v>4</v>
      </c>
      <c r="H41" s="23">
        <v>-8</v>
      </c>
      <c r="I41" s="23">
        <v>0</v>
      </c>
      <c r="J41" s="23">
        <v>0</v>
      </c>
      <c r="K41" s="23">
        <v>-4</v>
      </c>
      <c r="L41" s="33">
        <v>-9</v>
      </c>
      <c r="M41" s="33">
        <v>-5</v>
      </c>
      <c r="N41" s="33">
        <v>126</v>
      </c>
      <c r="O41" s="33">
        <v>134</v>
      </c>
      <c r="P41" s="33">
        <v>0</v>
      </c>
      <c r="Q41" s="33">
        <v>134</v>
      </c>
      <c r="R41" s="33">
        <v>126</v>
      </c>
      <c r="S41" s="33">
        <v>8</v>
      </c>
      <c r="T41" s="38">
        <v>1.0634920634920635</v>
      </c>
      <c r="U41" s="59">
        <v>128</v>
      </c>
      <c r="V41" s="755">
        <f t="shared" si="0"/>
        <v>6</v>
      </c>
      <c r="W41" s="754"/>
      <c r="X41" s="754"/>
      <c r="Y41" s="33">
        <v>2</v>
      </c>
      <c r="Z41" s="33">
        <v>2</v>
      </c>
      <c r="AA41" s="33"/>
      <c r="AB41" s="33"/>
      <c r="AC41" s="42"/>
      <c r="AD41" s="60"/>
      <c r="AE41" s="105"/>
      <c r="AF41" s="93"/>
      <c r="AG41" s="33">
        <v>0</v>
      </c>
      <c r="AH41" s="33">
        <v>134</v>
      </c>
      <c r="AI41" s="101">
        <v>8</v>
      </c>
      <c r="AK41" s="19"/>
    </row>
    <row r="42" spans="2:37" ht="13" outlineLevel="1" x14ac:dyDescent="0.3">
      <c r="B42" s="32" t="s">
        <v>74</v>
      </c>
      <c r="C42" s="34">
        <v>428</v>
      </c>
      <c r="D42" s="34">
        <v>445</v>
      </c>
      <c r="E42" s="24">
        <v>0</v>
      </c>
      <c r="F42" s="24">
        <v>0</v>
      </c>
      <c r="G42" s="24">
        <v>17</v>
      </c>
      <c r="H42" s="24">
        <v>-24</v>
      </c>
      <c r="I42" s="24">
        <v>0</v>
      </c>
      <c r="J42" s="24">
        <v>0</v>
      </c>
      <c r="K42" s="24">
        <v>-7</v>
      </c>
      <c r="L42" s="34">
        <v>-24</v>
      </c>
      <c r="M42" s="34">
        <v>-7</v>
      </c>
      <c r="N42" s="34">
        <v>421</v>
      </c>
      <c r="O42" s="34">
        <v>455</v>
      </c>
      <c r="P42" s="34">
        <v>-30</v>
      </c>
      <c r="Q42" s="34">
        <v>425</v>
      </c>
      <c r="R42" s="34">
        <v>421</v>
      </c>
      <c r="S42" s="34">
        <v>4</v>
      </c>
      <c r="T42" s="38">
        <v>1.0095011876484561</v>
      </c>
      <c r="U42" s="59">
        <v>427</v>
      </c>
      <c r="V42" s="755">
        <f t="shared" si="0"/>
        <v>-2</v>
      </c>
      <c r="W42" s="755"/>
      <c r="X42" s="755"/>
      <c r="Y42" s="34">
        <v>6</v>
      </c>
      <c r="Z42" s="34">
        <v>6</v>
      </c>
      <c r="AA42" s="34"/>
      <c r="AB42" s="34"/>
      <c r="AC42" s="41"/>
      <c r="AD42" s="60"/>
      <c r="AE42" s="102"/>
      <c r="AF42" s="34"/>
      <c r="AG42" s="34">
        <v>0</v>
      </c>
      <c r="AH42" s="34">
        <v>425</v>
      </c>
      <c r="AI42" s="103">
        <v>4</v>
      </c>
      <c r="AK42" s="19"/>
    </row>
    <row r="43" spans="2:37" ht="13" outlineLevel="2" x14ac:dyDescent="0.3">
      <c r="B43" s="31" t="s">
        <v>75</v>
      </c>
      <c r="C43" s="33">
        <v>346</v>
      </c>
      <c r="D43" s="33">
        <v>357</v>
      </c>
      <c r="E43" s="23">
        <v>0</v>
      </c>
      <c r="F43" s="23">
        <v>0</v>
      </c>
      <c r="G43" s="23">
        <v>11</v>
      </c>
      <c r="H43" s="23">
        <v>-17</v>
      </c>
      <c r="I43" s="23">
        <v>0</v>
      </c>
      <c r="J43" s="23">
        <v>-38</v>
      </c>
      <c r="K43" s="23">
        <v>-44</v>
      </c>
      <c r="L43" s="33">
        <v>-55</v>
      </c>
      <c r="M43" s="33">
        <v>-44</v>
      </c>
      <c r="N43" s="33">
        <v>302</v>
      </c>
      <c r="O43" s="33">
        <v>286</v>
      </c>
      <c r="P43" s="33">
        <v>-23</v>
      </c>
      <c r="Q43" s="33">
        <v>263</v>
      </c>
      <c r="R43" s="33">
        <v>302</v>
      </c>
      <c r="S43" s="33">
        <v>-39</v>
      </c>
      <c r="T43" s="38">
        <v>0.87086092715231789</v>
      </c>
      <c r="U43" s="59">
        <v>250</v>
      </c>
      <c r="V43" s="755">
        <f t="shared" si="0"/>
        <v>13</v>
      </c>
      <c r="W43" s="755"/>
      <c r="X43" s="755"/>
      <c r="Y43" s="33">
        <v>-52</v>
      </c>
      <c r="Z43" s="33">
        <v>-52</v>
      </c>
      <c r="AA43" s="33"/>
      <c r="AB43" s="33"/>
      <c r="AC43" s="42"/>
      <c r="AD43" s="60"/>
      <c r="AE43" s="105"/>
      <c r="AF43" s="93"/>
      <c r="AG43" s="33">
        <v>0</v>
      </c>
      <c r="AH43" s="33">
        <v>263</v>
      </c>
      <c r="AI43" s="101">
        <v>-39</v>
      </c>
      <c r="AK43" s="19"/>
    </row>
    <row r="44" spans="2:37" ht="13" outlineLevel="2" x14ac:dyDescent="0.3">
      <c r="B44" s="31" t="s">
        <v>76</v>
      </c>
      <c r="C44" s="33">
        <v>905</v>
      </c>
      <c r="D44" s="33">
        <v>937</v>
      </c>
      <c r="E44" s="23">
        <v>0</v>
      </c>
      <c r="F44" s="23">
        <v>0</v>
      </c>
      <c r="G44" s="23">
        <v>32</v>
      </c>
      <c r="H44" s="23">
        <v>-49</v>
      </c>
      <c r="I44" s="23">
        <v>0</v>
      </c>
      <c r="J44" s="23">
        <v>-38</v>
      </c>
      <c r="K44" s="23">
        <v>-55</v>
      </c>
      <c r="L44" s="33">
        <v>-88</v>
      </c>
      <c r="M44" s="33">
        <v>-56</v>
      </c>
      <c r="N44" s="33">
        <v>849</v>
      </c>
      <c r="O44" s="33">
        <v>875</v>
      </c>
      <c r="P44" s="33">
        <v>-53</v>
      </c>
      <c r="Q44" s="33">
        <v>822</v>
      </c>
      <c r="R44" s="33">
        <v>849</v>
      </c>
      <c r="S44" s="33">
        <v>-27</v>
      </c>
      <c r="T44" s="38">
        <v>0.96819787985865724</v>
      </c>
      <c r="U44" s="59">
        <v>805</v>
      </c>
      <c r="V44" s="755">
        <f t="shared" si="0"/>
        <v>17</v>
      </c>
      <c r="W44" s="755"/>
      <c r="X44" s="755"/>
      <c r="Y44" s="33">
        <v>-44</v>
      </c>
      <c r="Z44" s="33">
        <v>-44</v>
      </c>
      <c r="AA44" s="33"/>
      <c r="AB44" s="33"/>
      <c r="AC44" s="42"/>
      <c r="AD44" s="60"/>
      <c r="AE44" s="105">
        <v>0</v>
      </c>
      <c r="AF44" s="93">
        <v>0</v>
      </c>
      <c r="AG44" s="33"/>
      <c r="AH44" s="33"/>
      <c r="AI44" s="101"/>
      <c r="AK44" s="19"/>
    </row>
    <row r="45" spans="2:37" ht="13" outlineLevel="2" x14ac:dyDescent="0.3">
      <c r="B45" s="31" t="s">
        <v>77</v>
      </c>
      <c r="C45" s="33">
        <v>316</v>
      </c>
      <c r="D45" s="33">
        <v>328</v>
      </c>
      <c r="E45" s="23">
        <v>0</v>
      </c>
      <c r="F45" s="23">
        <v>23</v>
      </c>
      <c r="G45" s="23">
        <v>12</v>
      </c>
      <c r="H45" s="23">
        <v>-20</v>
      </c>
      <c r="I45" s="23">
        <v>0</v>
      </c>
      <c r="J45" s="23">
        <v>-1</v>
      </c>
      <c r="K45" s="23">
        <v>14</v>
      </c>
      <c r="L45" s="33">
        <v>2</v>
      </c>
      <c r="M45" s="33">
        <v>14</v>
      </c>
      <c r="N45" s="33">
        <v>330</v>
      </c>
      <c r="O45" s="33">
        <v>397</v>
      </c>
      <c r="P45" s="33">
        <v>-449</v>
      </c>
      <c r="Q45" s="33">
        <v>-52</v>
      </c>
      <c r="R45" s="33">
        <v>330</v>
      </c>
      <c r="S45" s="33">
        <v>-382</v>
      </c>
      <c r="T45" s="38">
        <v>-0.15757575757575756</v>
      </c>
      <c r="U45" s="59">
        <v>-44</v>
      </c>
      <c r="V45" s="755">
        <f t="shared" si="0"/>
        <v>-8</v>
      </c>
      <c r="W45" s="755"/>
      <c r="X45" s="755"/>
      <c r="Y45" s="33">
        <v>-374</v>
      </c>
      <c r="Z45" s="33">
        <v>-374</v>
      </c>
      <c r="AA45" s="33"/>
      <c r="AB45" s="33"/>
      <c r="AC45" s="42"/>
      <c r="AD45" s="60"/>
      <c r="AE45" s="105"/>
      <c r="AF45" s="93"/>
      <c r="AG45" s="33">
        <v>0</v>
      </c>
      <c r="AH45" s="33">
        <v>-52</v>
      </c>
      <c r="AI45" s="101">
        <v>-382</v>
      </c>
      <c r="AK45" s="19"/>
    </row>
    <row r="46" spans="2:37" ht="13" outlineLevel="1" x14ac:dyDescent="0.3">
      <c r="B46" s="32" t="s">
        <v>78</v>
      </c>
      <c r="C46" s="34">
        <v>356</v>
      </c>
      <c r="D46" s="34">
        <v>363</v>
      </c>
      <c r="E46" s="24">
        <v>0</v>
      </c>
      <c r="F46" s="24">
        <v>-213</v>
      </c>
      <c r="G46" s="24">
        <v>7</v>
      </c>
      <c r="H46" s="24">
        <v>-10</v>
      </c>
      <c r="I46" s="24">
        <v>0</v>
      </c>
      <c r="J46" s="24">
        <v>-10</v>
      </c>
      <c r="K46" s="24">
        <v>-226</v>
      </c>
      <c r="L46" s="34">
        <v>-233</v>
      </c>
      <c r="M46" s="34">
        <v>-226</v>
      </c>
      <c r="N46" s="34">
        <v>130</v>
      </c>
      <c r="O46" s="34">
        <v>347</v>
      </c>
      <c r="P46" s="34">
        <v>-115</v>
      </c>
      <c r="Q46" s="34">
        <v>232</v>
      </c>
      <c r="R46" s="34">
        <v>130</v>
      </c>
      <c r="S46" s="34">
        <v>102</v>
      </c>
      <c r="T46" s="38">
        <v>1.7846153846153847</v>
      </c>
      <c r="U46" s="59">
        <v>130</v>
      </c>
      <c r="V46" s="755">
        <f t="shared" si="0"/>
        <v>102</v>
      </c>
      <c r="W46" s="755"/>
      <c r="X46" s="755"/>
      <c r="Y46" s="34">
        <v>0</v>
      </c>
      <c r="Z46" s="34">
        <v>0</v>
      </c>
      <c r="AA46" s="34"/>
      <c r="AB46" s="34"/>
      <c r="AC46" s="41"/>
      <c r="AD46" s="60"/>
      <c r="AE46" s="102"/>
      <c r="AF46" s="34"/>
      <c r="AG46" s="34">
        <v>0</v>
      </c>
      <c r="AH46" s="34">
        <v>232</v>
      </c>
      <c r="AI46" s="103">
        <v>102</v>
      </c>
      <c r="AK46" s="19"/>
    </row>
    <row r="47" spans="2:37" ht="13.5" customHeight="1" thickBot="1" x14ac:dyDescent="0.35">
      <c r="B47" s="53" t="s">
        <v>79</v>
      </c>
      <c r="C47" s="35">
        <v>274</v>
      </c>
      <c r="D47" s="35">
        <v>286</v>
      </c>
      <c r="E47" s="25">
        <v>0</v>
      </c>
      <c r="F47" s="25">
        <v>177</v>
      </c>
      <c r="G47" s="25">
        <v>12</v>
      </c>
      <c r="H47" s="25">
        <v>-14</v>
      </c>
      <c r="I47" s="25">
        <v>0</v>
      </c>
      <c r="J47" s="25">
        <v>26</v>
      </c>
      <c r="K47" s="25">
        <v>201</v>
      </c>
      <c r="L47" s="35">
        <v>189</v>
      </c>
      <c r="M47" s="35">
        <v>201</v>
      </c>
      <c r="N47" s="35">
        <v>475</v>
      </c>
      <c r="O47" s="35">
        <v>722</v>
      </c>
      <c r="P47" s="35">
        <v>-221</v>
      </c>
      <c r="Q47" s="35">
        <v>501</v>
      </c>
      <c r="R47" s="35">
        <v>475</v>
      </c>
      <c r="S47" s="35">
        <v>26</v>
      </c>
      <c r="T47" s="39">
        <v>1.0547368421052632</v>
      </c>
      <c r="U47" s="54">
        <v>475</v>
      </c>
      <c r="V47" s="755">
        <f t="shared" si="0"/>
        <v>26</v>
      </c>
      <c r="W47" s="755"/>
      <c r="X47" s="755"/>
      <c r="Y47" s="35">
        <v>0</v>
      </c>
      <c r="Z47" s="35">
        <v>0</v>
      </c>
      <c r="AA47" s="35"/>
      <c r="AB47" s="35"/>
      <c r="AC47" s="43"/>
      <c r="AD47" s="60"/>
      <c r="AE47" s="104"/>
      <c r="AF47" s="104"/>
      <c r="AG47" s="35">
        <v>0</v>
      </c>
      <c r="AH47" s="35">
        <v>501</v>
      </c>
      <c r="AI47" s="43">
        <v>26</v>
      </c>
      <c r="AK47" s="19"/>
    </row>
    <row r="48" spans="2:37" ht="13.5" outlineLevel="2" thickTop="1" x14ac:dyDescent="0.3">
      <c r="B48" s="31" t="s">
        <v>80</v>
      </c>
      <c r="C48" s="33">
        <v>946</v>
      </c>
      <c r="D48" s="33">
        <v>977</v>
      </c>
      <c r="E48" s="23">
        <v>0</v>
      </c>
      <c r="F48" s="23">
        <v>-13</v>
      </c>
      <c r="G48" s="23">
        <v>31</v>
      </c>
      <c r="H48" s="23">
        <v>-44</v>
      </c>
      <c r="I48" s="23">
        <v>0</v>
      </c>
      <c r="J48" s="23">
        <v>15</v>
      </c>
      <c r="K48" s="23">
        <v>-11</v>
      </c>
      <c r="L48" s="33">
        <v>-42</v>
      </c>
      <c r="M48" s="33">
        <v>-11</v>
      </c>
      <c r="N48" s="33">
        <v>935</v>
      </c>
      <c r="O48" s="33">
        <v>1466</v>
      </c>
      <c r="P48" s="33">
        <v>-785</v>
      </c>
      <c r="Q48" s="33">
        <v>681</v>
      </c>
      <c r="R48" s="33">
        <v>935</v>
      </c>
      <c r="S48" s="33">
        <v>-254</v>
      </c>
      <c r="T48" s="38">
        <v>0.72834224598930486</v>
      </c>
      <c r="U48" s="59">
        <v>561</v>
      </c>
      <c r="V48" s="755">
        <f t="shared" si="0"/>
        <v>120</v>
      </c>
      <c r="W48" s="755"/>
      <c r="X48" s="755"/>
      <c r="Y48" s="33">
        <v>-374</v>
      </c>
      <c r="Z48" s="33">
        <v>-374</v>
      </c>
      <c r="AA48" s="33"/>
      <c r="AB48" s="33"/>
      <c r="AC48" s="42"/>
      <c r="AD48" s="60"/>
      <c r="AE48" s="105">
        <v>0</v>
      </c>
      <c r="AF48" s="93">
        <v>0</v>
      </c>
      <c r="AG48" s="33"/>
      <c r="AH48" s="33"/>
      <c r="AI48" s="101"/>
      <c r="AK48" s="19"/>
    </row>
    <row r="49" spans="2:37" ht="13" outlineLevel="2" x14ac:dyDescent="0.3">
      <c r="B49" s="31" t="s">
        <v>81</v>
      </c>
      <c r="C49" s="33">
        <v>1851</v>
      </c>
      <c r="D49" s="33">
        <v>1914</v>
      </c>
      <c r="E49" s="23">
        <v>0</v>
      </c>
      <c r="F49" s="23">
        <v>-13</v>
      </c>
      <c r="G49" s="23">
        <v>63</v>
      </c>
      <c r="H49" s="23">
        <v>-93</v>
      </c>
      <c r="I49" s="23">
        <v>0</v>
      </c>
      <c r="J49" s="23">
        <v>-23</v>
      </c>
      <c r="K49" s="23">
        <v>-66</v>
      </c>
      <c r="L49" s="33">
        <v>-130</v>
      </c>
      <c r="M49" s="33">
        <v>-67</v>
      </c>
      <c r="N49" s="33">
        <v>1784</v>
      </c>
      <c r="O49" s="33">
        <v>2341</v>
      </c>
      <c r="P49" s="33">
        <v>-838</v>
      </c>
      <c r="Q49" s="33">
        <v>1503</v>
      </c>
      <c r="R49" s="33">
        <v>1784</v>
      </c>
      <c r="S49" s="33">
        <v>-281</v>
      </c>
      <c r="T49" s="38">
        <v>0.84248878923766812</v>
      </c>
      <c r="U49" s="59">
        <v>1366</v>
      </c>
      <c r="V49" s="755">
        <f t="shared" si="0"/>
        <v>137</v>
      </c>
      <c r="W49" s="755"/>
      <c r="X49" s="755"/>
      <c r="Y49" s="33">
        <v>-418</v>
      </c>
      <c r="Z49" s="33">
        <v>-418</v>
      </c>
      <c r="AA49" s="33"/>
      <c r="AB49" s="33"/>
      <c r="AC49" s="42"/>
      <c r="AD49" s="60"/>
      <c r="AE49" s="105">
        <v>0</v>
      </c>
      <c r="AF49" s="93">
        <v>0</v>
      </c>
      <c r="AG49" s="33">
        <v>0</v>
      </c>
      <c r="AH49" s="33">
        <v>1503</v>
      </c>
      <c r="AI49" s="101">
        <v>-281</v>
      </c>
      <c r="AK49" s="19"/>
    </row>
    <row r="50" spans="2:37" ht="13" outlineLevel="2" x14ac:dyDescent="0.3">
      <c r="B50" s="31" t="s">
        <v>82</v>
      </c>
      <c r="C50" s="33">
        <v>-2076</v>
      </c>
      <c r="D50" s="33">
        <v>-2076</v>
      </c>
      <c r="E50" s="23">
        <v>0</v>
      </c>
      <c r="F50" s="23">
        <v>0</v>
      </c>
      <c r="G50" s="23">
        <v>0</v>
      </c>
      <c r="H50" s="23">
        <v>11</v>
      </c>
      <c r="I50" s="23">
        <v>0</v>
      </c>
      <c r="J50" s="23">
        <v>0</v>
      </c>
      <c r="K50" s="23">
        <v>11</v>
      </c>
      <c r="L50" s="33">
        <v>11</v>
      </c>
      <c r="M50" s="33">
        <v>11</v>
      </c>
      <c r="N50" s="33">
        <v>-2065</v>
      </c>
      <c r="O50" s="33">
        <v>5030</v>
      </c>
      <c r="P50" s="33">
        <v>-6681</v>
      </c>
      <c r="Q50" s="33">
        <v>-1651</v>
      </c>
      <c r="R50" s="33">
        <v>-2065</v>
      </c>
      <c r="S50" s="33">
        <v>414</v>
      </c>
      <c r="T50" s="38">
        <v>0.79951573849878932</v>
      </c>
      <c r="U50" s="59">
        <v>-2287</v>
      </c>
      <c r="V50" s="755">
        <f t="shared" si="0"/>
        <v>636</v>
      </c>
      <c r="W50" s="755"/>
      <c r="X50" s="755"/>
      <c r="Y50" s="33">
        <v>-222</v>
      </c>
      <c r="Z50" s="33">
        <v>-222</v>
      </c>
      <c r="AA50" s="33"/>
      <c r="AB50" s="33"/>
      <c r="AC50" s="42"/>
      <c r="AD50" s="60"/>
      <c r="AE50" s="105"/>
      <c r="AF50" s="93"/>
      <c r="AG50" s="33">
        <v>0</v>
      </c>
      <c r="AH50" s="33">
        <v>-1651</v>
      </c>
      <c r="AI50" s="101">
        <v>414</v>
      </c>
      <c r="AK50" s="19"/>
    </row>
    <row r="51" spans="2:37" ht="13" outlineLevel="2" x14ac:dyDescent="0.3">
      <c r="B51" s="31" t="s">
        <v>83</v>
      </c>
      <c r="C51" s="33">
        <v>6070</v>
      </c>
      <c r="D51" s="33">
        <v>6070</v>
      </c>
      <c r="E51" s="23">
        <v>0</v>
      </c>
      <c r="F51" s="23">
        <v>0</v>
      </c>
      <c r="G51" s="23">
        <v>0</v>
      </c>
      <c r="H51" s="23">
        <v>90</v>
      </c>
      <c r="I51" s="23">
        <v>0</v>
      </c>
      <c r="J51" s="23">
        <v>0</v>
      </c>
      <c r="K51" s="23">
        <v>90</v>
      </c>
      <c r="L51" s="33">
        <v>90</v>
      </c>
      <c r="M51" s="33">
        <v>90</v>
      </c>
      <c r="N51" s="33">
        <v>6160</v>
      </c>
      <c r="O51" s="33">
        <v>8058</v>
      </c>
      <c r="P51" s="33">
        <v>-2053</v>
      </c>
      <c r="Q51" s="33">
        <v>6005</v>
      </c>
      <c r="R51" s="33">
        <v>6160</v>
      </c>
      <c r="S51" s="33">
        <v>-155</v>
      </c>
      <c r="T51" s="38">
        <v>0.97483766233766234</v>
      </c>
      <c r="U51" s="59">
        <v>6160</v>
      </c>
      <c r="V51" s="755">
        <f t="shared" si="0"/>
        <v>-155</v>
      </c>
      <c r="W51" s="755"/>
      <c r="X51" s="755"/>
      <c r="Y51" s="33">
        <v>0</v>
      </c>
      <c r="Z51" s="33">
        <v>0</v>
      </c>
      <c r="AA51" s="33"/>
      <c r="AB51" s="33"/>
      <c r="AC51" s="42"/>
      <c r="AD51" s="60"/>
      <c r="AE51" s="105"/>
      <c r="AF51" s="93"/>
      <c r="AG51" s="33">
        <v>0</v>
      </c>
      <c r="AH51" s="33">
        <v>6005</v>
      </c>
      <c r="AI51" s="101">
        <v>-155</v>
      </c>
      <c r="AK51" s="19"/>
    </row>
    <row r="52" spans="2:37" ht="14.5" outlineLevel="2" x14ac:dyDescent="0.35">
      <c r="B52" s="31" t="s">
        <v>84</v>
      </c>
      <c r="C52" s="33">
        <v>6079</v>
      </c>
      <c r="D52" s="33">
        <v>6079</v>
      </c>
      <c r="E52" s="23">
        <v>0</v>
      </c>
      <c r="F52" s="23">
        <v>0</v>
      </c>
      <c r="G52" s="23">
        <v>0</v>
      </c>
      <c r="H52" s="23">
        <v>81</v>
      </c>
      <c r="I52" s="23">
        <v>0</v>
      </c>
      <c r="J52" s="23">
        <v>0</v>
      </c>
      <c r="K52" s="23">
        <v>81</v>
      </c>
      <c r="L52" s="33">
        <v>81</v>
      </c>
      <c r="M52" s="33">
        <v>81</v>
      </c>
      <c r="N52" s="33">
        <v>6160</v>
      </c>
      <c r="O52" s="33">
        <v>6146</v>
      </c>
      <c r="P52" s="33">
        <v>-16</v>
      </c>
      <c r="Q52" s="33">
        <v>6130</v>
      </c>
      <c r="R52" s="33">
        <v>6160</v>
      </c>
      <c r="S52" s="33">
        <v>-30</v>
      </c>
      <c r="T52" s="38">
        <v>0.99512987012987009</v>
      </c>
      <c r="U52" s="59">
        <v>6160</v>
      </c>
      <c r="V52" s="755">
        <f t="shared" si="0"/>
        <v>-30</v>
      </c>
      <c r="W52" s="756"/>
      <c r="X52" s="756"/>
      <c r="Y52" s="33">
        <v>0</v>
      </c>
      <c r="Z52" s="33">
        <v>0</v>
      </c>
      <c r="AA52" s="33"/>
      <c r="AB52" s="33"/>
      <c r="AC52" s="42"/>
      <c r="AD52" s="60"/>
      <c r="AE52" s="105"/>
      <c r="AF52" s="93"/>
      <c r="AG52" s="33">
        <v>0</v>
      </c>
      <c r="AH52" s="33">
        <v>6130</v>
      </c>
      <c r="AI52" s="101">
        <v>-30</v>
      </c>
      <c r="AK52" s="19"/>
    </row>
    <row r="53" spans="2:37" ht="15" outlineLevel="2" thickBot="1" x14ac:dyDescent="0.4">
      <c r="B53" s="31" t="s">
        <v>85</v>
      </c>
      <c r="C53" s="33">
        <v>3424</v>
      </c>
      <c r="D53" s="33">
        <v>3424</v>
      </c>
      <c r="E53" s="23">
        <v>0</v>
      </c>
      <c r="F53" s="23">
        <v>0</v>
      </c>
      <c r="G53" s="23">
        <v>0</v>
      </c>
      <c r="H53" s="23">
        <v>58</v>
      </c>
      <c r="I53" s="23">
        <v>0</v>
      </c>
      <c r="J53" s="23">
        <v>0</v>
      </c>
      <c r="K53" s="23">
        <v>58</v>
      </c>
      <c r="L53" s="33">
        <v>59</v>
      </c>
      <c r="M53" s="33">
        <v>59</v>
      </c>
      <c r="N53" s="33">
        <v>3483</v>
      </c>
      <c r="O53" s="33">
        <v>3741</v>
      </c>
      <c r="P53" s="33">
        <v>-224</v>
      </c>
      <c r="Q53" s="33">
        <v>3517</v>
      </c>
      <c r="R53" s="33">
        <v>3483</v>
      </c>
      <c r="S53" s="33">
        <v>34</v>
      </c>
      <c r="T53" s="38">
        <v>1.0097616996841803</v>
      </c>
      <c r="U53" s="59">
        <v>3483</v>
      </c>
      <c r="V53" s="755">
        <f t="shared" si="0"/>
        <v>34</v>
      </c>
      <c r="W53" s="757"/>
      <c r="X53" s="757"/>
      <c r="Y53" s="33">
        <v>0</v>
      </c>
      <c r="Z53" s="33">
        <v>0</v>
      </c>
      <c r="AA53" s="33"/>
      <c r="AB53" s="33"/>
      <c r="AC53" s="42"/>
      <c r="AD53" s="60"/>
      <c r="AE53" s="105"/>
      <c r="AF53" s="93"/>
      <c r="AG53" s="33">
        <v>0</v>
      </c>
      <c r="AH53" s="33">
        <v>3517</v>
      </c>
      <c r="AI53" s="101">
        <v>34</v>
      </c>
      <c r="AK53" s="19"/>
    </row>
    <row r="54" spans="2:37" ht="13.5" outlineLevel="2" thickTop="1" x14ac:dyDescent="0.3">
      <c r="B54" s="31" t="s">
        <v>86</v>
      </c>
      <c r="C54" s="33">
        <v>258</v>
      </c>
      <c r="D54" s="33">
        <v>258</v>
      </c>
      <c r="E54" s="23">
        <v>0</v>
      </c>
      <c r="F54" s="23">
        <v>0</v>
      </c>
      <c r="G54" s="23">
        <v>0</v>
      </c>
      <c r="H54" s="23">
        <v>5</v>
      </c>
      <c r="I54" s="23">
        <v>0</v>
      </c>
      <c r="J54" s="23">
        <v>0</v>
      </c>
      <c r="K54" s="23">
        <v>5</v>
      </c>
      <c r="L54" s="33">
        <v>5</v>
      </c>
      <c r="M54" s="33">
        <v>5</v>
      </c>
      <c r="N54" s="33">
        <v>263</v>
      </c>
      <c r="O54" s="33">
        <v>265</v>
      </c>
      <c r="P54" s="33">
        <v>-2</v>
      </c>
      <c r="Q54" s="33">
        <v>263</v>
      </c>
      <c r="R54" s="33">
        <v>263</v>
      </c>
      <c r="S54" s="33">
        <v>0</v>
      </c>
      <c r="T54" s="38">
        <v>1</v>
      </c>
      <c r="U54" s="59">
        <v>263</v>
      </c>
      <c r="V54" s="755">
        <f t="shared" si="0"/>
        <v>0</v>
      </c>
      <c r="W54" s="754"/>
      <c r="X54" s="754"/>
      <c r="Y54" s="33">
        <v>0</v>
      </c>
      <c r="Z54" s="33">
        <v>0</v>
      </c>
      <c r="AA54" s="33"/>
      <c r="AB54" s="33"/>
      <c r="AC54" s="42"/>
      <c r="AD54" s="60"/>
      <c r="AE54" s="105"/>
      <c r="AF54" s="93"/>
      <c r="AG54" s="33">
        <v>0</v>
      </c>
      <c r="AH54" s="33">
        <v>263</v>
      </c>
      <c r="AI54" s="101">
        <v>0</v>
      </c>
      <c r="AK54" s="19"/>
    </row>
    <row r="55" spans="2:37" ht="13" outlineLevel="2" x14ac:dyDescent="0.3">
      <c r="B55" s="31" t="s">
        <v>87</v>
      </c>
      <c r="C55" s="33">
        <v>0</v>
      </c>
      <c r="D55" s="33">
        <v>0</v>
      </c>
      <c r="E55" s="23">
        <v>0</v>
      </c>
      <c r="F55" s="23">
        <v>0</v>
      </c>
      <c r="G55" s="23">
        <v>0</v>
      </c>
      <c r="H55" s="23">
        <v>0</v>
      </c>
      <c r="I55" s="23">
        <v>0</v>
      </c>
      <c r="J55" s="23">
        <v>0</v>
      </c>
      <c r="K55" s="23">
        <v>0</v>
      </c>
      <c r="L55" s="33">
        <v>0</v>
      </c>
      <c r="M55" s="33">
        <v>0</v>
      </c>
      <c r="N55" s="33">
        <v>0</v>
      </c>
      <c r="O55" s="33">
        <v>1318</v>
      </c>
      <c r="P55" s="33">
        <v>-1714</v>
      </c>
      <c r="Q55" s="33">
        <v>-396</v>
      </c>
      <c r="R55" s="33">
        <v>0</v>
      </c>
      <c r="S55" s="33">
        <v>-396</v>
      </c>
      <c r="T55" s="38" t="s">
        <v>42</v>
      </c>
      <c r="U55" s="59">
        <v>0</v>
      </c>
      <c r="V55" s="755">
        <f t="shared" si="0"/>
        <v>-396</v>
      </c>
      <c r="W55" s="754"/>
      <c r="X55" s="754"/>
      <c r="Y55" s="33">
        <v>0</v>
      </c>
      <c r="Z55" s="33">
        <v>0</v>
      </c>
      <c r="AA55" s="33"/>
      <c r="AB55" s="33"/>
      <c r="AC55" s="42"/>
      <c r="AD55" s="60"/>
      <c r="AE55" s="105"/>
      <c r="AF55" s="93"/>
      <c r="AG55" s="33">
        <v>0</v>
      </c>
      <c r="AH55" s="33">
        <v>-396</v>
      </c>
      <c r="AI55" s="101">
        <v>-396</v>
      </c>
      <c r="AK55" s="19"/>
    </row>
    <row r="56" spans="2:37" ht="13" outlineLevel="2" x14ac:dyDescent="0.3">
      <c r="B56" s="31" t="s">
        <v>88</v>
      </c>
      <c r="C56" s="33">
        <v>497</v>
      </c>
      <c r="D56" s="33">
        <v>497</v>
      </c>
      <c r="E56" s="23">
        <v>0</v>
      </c>
      <c r="F56" s="23">
        <v>0</v>
      </c>
      <c r="G56" s="23">
        <v>0</v>
      </c>
      <c r="H56" s="23">
        <v>27</v>
      </c>
      <c r="I56" s="23">
        <v>0</v>
      </c>
      <c r="J56" s="23">
        <v>0</v>
      </c>
      <c r="K56" s="23">
        <v>27</v>
      </c>
      <c r="L56" s="33">
        <v>28</v>
      </c>
      <c r="M56" s="33">
        <v>28</v>
      </c>
      <c r="N56" s="33">
        <v>525</v>
      </c>
      <c r="O56" s="33">
        <v>375</v>
      </c>
      <c r="P56" s="33">
        <v>0</v>
      </c>
      <c r="Q56" s="33">
        <v>375</v>
      </c>
      <c r="R56" s="33">
        <v>525</v>
      </c>
      <c r="S56" s="33">
        <v>-150</v>
      </c>
      <c r="T56" s="38">
        <v>0.7142857142857143</v>
      </c>
      <c r="U56" s="59">
        <v>525</v>
      </c>
      <c r="V56" s="755">
        <f t="shared" si="0"/>
        <v>-150</v>
      </c>
      <c r="W56" s="754"/>
      <c r="X56" s="754"/>
      <c r="Y56" s="33">
        <v>0</v>
      </c>
      <c r="Z56" s="33">
        <v>0</v>
      </c>
      <c r="AA56" s="33"/>
      <c r="AB56" s="33"/>
      <c r="AC56" s="42"/>
      <c r="AD56" s="60"/>
      <c r="AE56" s="105"/>
      <c r="AF56" s="93"/>
      <c r="AG56" s="33">
        <v>0</v>
      </c>
      <c r="AH56" s="33">
        <v>375</v>
      </c>
      <c r="AI56" s="101">
        <v>-150</v>
      </c>
      <c r="AK56" s="19"/>
    </row>
    <row r="57" spans="2:37" ht="13" outlineLevel="2" x14ac:dyDescent="0.3">
      <c r="B57" s="31" t="s">
        <v>89</v>
      </c>
      <c r="C57" s="33">
        <v>-1507</v>
      </c>
      <c r="D57" s="33">
        <v>-1507</v>
      </c>
      <c r="E57" s="23">
        <v>0</v>
      </c>
      <c r="F57" s="23">
        <v>0</v>
      </c>
      <c r="G57" s="23">
        <v>0</v>
      </c>
      <c r="H57" s="23">
        <v>0</v>
      </c>
      <c r="I57" s="23">
        <v>0</v>
      </c>
      <c r="J57" s="23">
        <v>0</v>
      </c>
      <c r="K57" s="23">
        <v>0</v>
      </c>
      <c r="L57" s="33">
        <v>0</v>
      </c>
      <c r="M57" s="33">
        <v>0</v>
      </c>
      <c r="N57" s="33">
        <v>-1507</v>
      </c>
      <c r="O57" s="33">
        <v>73</v>
      </c>
      <c r="P57" s="33">
        <v>-7388</v>
      </c>
      <c r="Q57" s="33">
        <v>-7316</v>
      </c>
      <c r="R57" s="33">
        <v>-1507</v>
      </c>
      <c r="S57" s="33">
        <v>-5809</v>
      </c>
      <c r="T57" s="38">
        <v>4.8546781685467817</v>
      </c>
      <c r="U57" s="59">
        <v>-1507</v>
      </c>
      <c r="V57" s="755">
        <f t="shared" si="0"/>
        <v>-5809</v>
      </c>
      <c r="W57" s="754"/>
      <c r="X57" s="754"/>
      <c r="Y57" s="33">
        <v>0</v>
      </c>
      <c r="Z57" s="33">
        <v>0</v>
      </c>
      <c r="AA57" s="33"/>
      <c r="AB57" s="33"/>
      <c r="AC57" s="42"/>
      <c r="AD57" s="60"/>
      <c r="AE57" s="105"/>
      <c r="AF57" s="93"/>
      <c r="AG57" s="33">
        <v>0</v>
      </c>
      <c r="AH57" s="33">
        <v>-7316</v>
      </c>
      <c r="AI57" s="101">
        <v>-5809</v>
      </c>
      <c r="AK57" s="19"/>
    </row>
    <row r="58" spans="2:37" ht="13" outlineLevel="1" x14ac:dyDescent="0.3">
      <c r="B58" s="32" t="s">
        <v>90</v>
      </c>
      <c r="C58" s="34">
        <v>337</v>
      </c>
      <c r="D58" s="34">
        <v>337</v>
      </c>
      <c r="E58" s="24">
        <v>0</v>
      </c>
      <c r="F58" s="24">
        <v>0</v>
      </c>
      <c r="G58" s="24">
        <v>0</v>
      </c>
      <c r="H58" s="24">
        <v>72</v>
      </c>
      <c r="I58" s="24">
        <v>0</v>
      </c>
      <c r="J58" s="24">
        <v>0</v>
      </c>
      <c r="K58" s="24">
        <v>72</v>
      </c>
      <c r="L58" s="34">
        <v>73</v>
      </c>
      <c r="M58" s="34">
        <v>73</v>
      </c>
      <c r="N58" s="34">
        <v>410</v>
      </c>
      <c r="O58" s="34">
        <v>449</v>
      </c>
      <c r="P58" s="34">
        <v>-205</v>
      </c>
      <c r="Q58" s="34">
        <v>244</v>
      </c>
      <c r="R58" s="34">
        <v>410</v>
      </c>
      <c r="S58" s="34">
        <v>-166</v>
      </c>
      <c r="T58" s="38">
        <v>0.59512195121951217</v>
      </c>
      <c r="U58" s="59">
        <v>410</v>
      </c>
      <c r="V58" s="755">
        <f t="shared" si="0"/>
        <v>-166</v>
      </c>
      <c r="W58" s="754"/>
      <c r="X58" s="754"/>
      <c r="Y58" s="34">
        <v>0</v>
      </c>
      <c r="Z58" s="34">
        <v>0</v>
      </c>
      <c r="AA58" s="34"/>
      <c r="AB58" s="34"/>
      <c r="AC58" s="41"/>
      <c r="AD58" s="60"/>
      <c r="AE58" s="102"/>
      <c r="AF58" s="34"/>
      <c r="AG58" s="34">
        <v>0</v>
      </c>
      <c r="AH58" s="34">
        <v>244</v>
      </c>
      <c r="AI58" s="103">
        <v>-166</v>
      </c>
      <c r="AK58" s="19"/>
    </row>
    <row r="59" spans="2:37" ht="13.5" customHeight="1" thickBot="1" x14ac:dyDescent="0.35">
      <c r="B59" s="53" t="s">
        <v>91</v>
      </c>
      <c r="C59" s="35">
        <v>9</v>
      </c>
      <c r="D59" s="35">
        <v>9</v>
      </c>
      <c r="E59" s="25">
        <v>0</v>
      </c>
      <c r="F59" s="25">
        <v>0</v>
      </c>
      <c r="G59" s="25">
        <v>0</v>
      </c>
      <c r="H59" s="25">
        <v>0</v>
      </c>
      <c r="I59" s="25">
        <v>0</v>
      </c>
      <c r="J59" s="25">
        <v>0</v>
      </c>
      <c r="K59" s="25">
        <v>0</v>
      </c>
      <c r="L59" s="35">
        <v>0</v>
      </c>
      <c r="M59" s="35">
        <v>0</v>
      </c>
      <c r="N59" s="35">
        <v>9</v>
      </c>
      <c r="O59" s="35">
        <v>580</v>
      </c>
      <c r="P59" s="35">
        <v>-675</v>
      </c>
      <c r="Q59" s="35">
        <v>-95</v>
      </c>
      <c r="R59" s="35">
        <v>9</v>
      </c>
      <c r="S59" s="35">
        <v>-104</v>
      </c>
      <c r="T59" s="39">
        <v>-10.555555555555555</v>
      </c>
      <c r="U59" s="54">
        <v>9</v>
      </c>
      <c r="V59" s="755">
        <f t="shared" si="0"/>
        <v>-104</v>
      </c>
      <c r="W59" s="644"/>
      <c r="X59" s="644"/>
      <c r="Y59" s="35">
        <v>0</v>
      </c>
      <c r="Z59" s="35">
        <v>0</v>
      </c>
      <c r="AA59" s="35"/>
      <c r="AB59" s="35"/>
      <c r="AC59" s="43"/>
      <c r="AD59" s="60"/>
      <c r="AE59" s="104"/>
      <c r="AF59" s="104"/>
      <c r="AG59" s="35">
        <v>0</v>
      </c>
      <c r="AH59" s="35">
        <v>-95</v>
      </c>
      <c r="AI59" s="43">
        <v>-104</v>
      </c>
      <c r="AK59" s="19"/>
    </row>
    <row r="60" spans="2:37" ht="13.5" outlineLevel="2" thickTop="1" x14ac:dyDescent="0.3">
      <c r="B60" s="31" t="s">
        <v>92</v>
      </c>
      <c r="C60" s="33">
        <v>13091</v>
      </c>
      <c r="D60" s="33">
        <v>13091</v>
      </c>
      <c r="E60" s="23">
        <v>0</v>
      </c>
      <c r="F60" s="23">
        <v>0</v>
      </c>
      <c r="G60" s="23">
        <v>0</v>
      </c>
      <c r="H60" s="23">
        <v>344</v>
      </c>
      <c r="I60" s="23">
        <v>0</v>
      </c>
      <c r="J60" s="23">
        <v>0</v>
      </c>
      <c r="K60" s="23">
        <v>344</v>
      </c>
      <c r="L60" s="33">
        <v>347</v>
      </c>
      <c r="M60" s="33">
        <v>347</v>
      </c>
      <c r="N60" s="33">
        <v>13438</v>
      </c>
      <c r="O60" s="33">
        <v>26035</v>
      </c>
      <c r="P60" s="33">
        <v>-18958</v>
      </c>
      <c r="Q60" s="33">
        <v>7076</v>
      </c>
      <c r="R60" s="33">
        <v>13438</v>
      </c>
      <c r="S60" s="33">
        <v>-6362</v>
      </c>
      <c r="T60" s="38">
        <v>0.52656645334127106</v>
      </c>
      <c r="U60" s="59">
        <v>13216</v>
      </c>
      <c r="V60" s="755">
        <f t="shared" si="0"/>
        <v>-6140</v>
      </c>
      <c r="W60" s="754"/>
      <c r="X60" s="754"/>
      <c r="Y60" s="33">
        <v>-222</v>
      </c>
      <c r="Z60" s="33">
        <v>-222</v>
      </c>
      <c r="AA60" s="33"/>
      <c r="AB60" s="33"/>
      <c r="AC60" s="42"/>
      <c r="AD60" s="60"/>
      <c r="AE60" s="105">
        <v>0</v>
      </c>
      <c r="AF60" s="93">
        <v>0</v>
      </c>
      <c r="AG60" s="33"/>
      <c r="AH60" s="33"/>
      <c r="AI60" s="101"/>
      <c r="AK60" s="19"/>
    </row>
    <row r="61" spans="2:37" ht="13" outlineLevel="2" x14ac:dyDescent="0.3">
      <c r="B61" s="31" t="s">
        <v>93</v>
      </c>
      <c r="C61" s="33">
        <v>13091</v>
      </c>
      <c r="D61" s="33">
        <v>13091</v>
      </c>
      <c r="E61" s="23">
        <v>0</v>
      </c>
      <c r="F61" s="23">
        <v>0</v>
      </c>
      <c r="G61" s="23">
        <v>0</v>
      </c>
      <c r="H61" s="23">
        <v>344</v>
      </c>
      <c r="I61" s="23">
        <v>0</v>
      </c>
      <c r="J61" s="23">
        <v>0</v>
      </c>
      <c r="K61" s="23">
        <v>344</v>
      </c>
      <c r="L61" s="33">
        <v>347</v>
      </c>
      <c r="M61" s="33">
        <v>347</v>
      </c>
      <c r="N61" s="33">
        <v>13438</v>
      </c>
      <c r="O61" s="33">
        <v>26035</v>
      </c>
      <c r="P61" s="33">
        <v>-18958</v>
      </c>
      <c r="Q61" s="33">
        <v>7076</v>
      </c>
      <c r="R61" s="33">
        <v>13438</v>
      </c>
      <c r="S61" s="33">
        <v>-6362</v>
      </c>
      <c r="T61" s="38">
        <v>0.52656645334127106</v>
      </c>
      <c r="U61" s="59">
        <v>13216</v>
      </c>
      <c r="V61" s="755">
        <f t="shared" si="0"/>
        <v>-6140</v>
      </c>
      <c r="W61" s="754"/>
      <c r="X61" s="754"/>
      <c r="Y61" s="33">
        <v>-222</v>
      </c>
      <c r="Z61" s="33">
        <v>-222</v>
      </c>
      <c r="AA61" s="33"/>
      <c r="AB61" s="33"/>
      <c r="AC61" s="42"/>
      <c r="AD61" s="60"/>
      <c r="AE61" s="105">
        <v>0</v>
      </c>
      <c r="AF61" s="93">
        <v>0</v>
      </c>
      <c r="AG61" s="33">
        <v>0</v>
      </c>
      <c r="AH61" s="33">
        <v>7076</v>
      </c>
      <c r="AI61" s="101">
        <v>-6362</v>
      </c>
      <c r="AK61" s="19"/>
    </row>
    <row r="62" spans="2:37" ht="13" outlineLevel="2" x14ac:dyDescent="0.3">
      <c r="B62" s="31" t="s">
        <v>94</v>
      </c>
      <c r="C62" s="33">
        <v>387</v>
      </c>
      <c r="D62" s="33">
        <v>389</v>
      </c>
      <c r="E62" s="23">
        <v>0</v>
      </c>
      <c r="F62" s="23">
        <v>0</v>
      </c>
      <c r="G62" s="23">
        <v>2</v>
      </c>
      <c r="H62" s="23">
        <v>-3</v>
      </c>
      <c r="I62" s="23">
        <v>0</v>
      </c>
      <c r="J62" s="23">
        <v>0</v>
      </c>
      <c r="K62" s="23">
        <v>-1</v>
      </c>
      <c r="L62" s="33">
        <v>-3</v>
      </c>
      <c r="M62" s="33">
        <v>-1</v>
      </c>
      <c r="N62" s="33">
        <v>386</v>
      </c>
      <c r="O62" s="33">
        <v>589</v>
      </c>
      <c r="P62" s="33">
        <v>-3</v>
      </c>
      <c r="Q62" s="33">
        <v>586</v>
      </c>
      <c r="R62" s="33">
        <v>386</v>
      </c>
      <c r="S62" s="33">
        <v>200</v>
      </c>
      <c r="T62" s="38">
        <v>1.5181347150259068</v>
      </c>
      <c r="U62" s="59">
        <v>426</v>
      </c>
      <c r="V62" s="755">
        <f t="shared" si="0"/>
        <v>160</v>
      </c>
      <c r="W62" s="754"/>
      <c r="X62" s="754"/>
      <c r="Y62" s="33">
        <v>40</v>
      </c>
      <c r="Z62" s="33">
        <v>40</v>
      </c>
      <c r="AA62" s="33"/>
      <c r="AB62" s="33"/>
      <c r="AC62" s="42"/>
      <c r="AD62" s="60"/>
      <c r="AE62" s="105"/>
      <c r="AF62" s="93"/>
      <c r="AG62" s="33">
        <v>0</v>
      </c>
      <c r="AH62" s="33">
        <v>586</v>
      </c>
      <c r="AI62" s="101">
        <v>200</v>
      </c>
      <c r="AK62" s="19"/>
    </row>
    <row r="63" spans="2:37" ht="13" outlineLevel="2" x14ac:dyDescent="0.3">
      <c r="B63" s="31" t="s">
        <v>95</v>
      </c>
      <c r="C63" s="33">
        <v>131</v>
      </c>
      <c r="D63" s="33">
        <v>135</v>
      </c>
      <c r="E63" s="23">
        <v>0</v>
      </c>
      <c r="F63" s="23">
        <v>0</v>
      </c>
      <c r="G63" s="23">
        <v>4</v>
      </c>
      <c r="H63" s="23">
        <v>-7</v>
      </c>
      <c r="I63" s="23">
        <v>0</v>
      </c>
      <c r="J63" s="23">
        <v>0</v>
      </c>
      <c r="K63" s="23">
        <v>-3</v>
      </c>
      <c r="L63" s="33">
        <v>-8</v>
      </c>
      <c r="M63" s="33">
        <v>-4</v>
      </c>
      <c r="N63" s="33">
        <v>127</v>
      </c>
      <c r="O63" s="33">
        <v>133</v>
      </c>
      <c r="P63" s="33">
        <v>0</v>
      </c>
      <c r="Q63" s="33">
        <v>133</v>
      </c>
      <c r="R63" s="33">
        <v>127</v>
      </c>
      <c r="S63" s="33">
        <v>6</v>
      </c>
      <c r="T63" s="38">
        <v>1.0472440944881889</v>
      </c>
      <c r="U63" s="59">
        <v>127</v>
      </c>
      <c r="V63" s="755">
        <f t="shared" si="0"/>
        <v>6</v>
      </c>
      <c r="W63" s="754"/>
      <c r="X63" s="754"/>
      <c r="Y63" s="33">
        <v>0</v>
      </c>
      <c r="Z63" s="33">
        <v>0</v>
      </c>
      <c r="AA63" s="33"/>
      <c r="AB63" s="33"/>
      <c r="AC63" s="42"/>
      <c r="AD63" s="60"/>
      <c r="AE63" s="105"/>
      <c r="AF63" s="93"/>
      <c r="AG63" s="33">
        <v>0</v>
      </c>
      <c r="AH63" s="33">
        <v>133</v>
      </c>
      <c r="AI63" s="101">
        <v>6</v>
      </c>
      <c r="AK63" s="19"/>
    </row>
    <row r="64" spans="2:37" ht="13" outlineLevel="2" x14ac:dyDescent="0.3">
      <c r="B64" s="31" t="s">
        <v>96</v>
      </c>
      <c r="C64" s="33">
        <v>4182</v>
      </c>
      <c r="D64" s="33">
        <v>4250</v>
      </c>
      <c r="E64" s="23">
        <v>0</v>
      </c>
      <c r="F64" s="23">
        <v>89</v>
      </c>
      <c r="G64" s="23">
        <v>68</v>
      </c>
      <c r="H64" s="23">
        <v>-93</v>
      </c>
      <c r="I64" s="23">
        <v>0</v>
      </c>
      <c r="J64" s="23">
        <v>0</v>
      </c>
      <c r="K64" s="23">
        <v>64</v>
      </c>
      <c r="L64" s="33">
        <v>-4</v>
      </c>
      <c r="M64" s="33">
        <v>64</v>
      </c>
      <c r="N64" s="33">
        <v>4246</v>
      </c>
      <c r="O64" s="33">
        <v>4690</v>
      </c>
      <c r="P64" s="33">
        <v>-30</v>
      </c>
      <c r="Q64" s="33">
        <v>4660</v>
      </c>
      <c r="R64" s="33">
        <v>4246</v>
      </c>
      <c r="S64" s="33">
        <v>414</v>
      </c>
      <c r="T64" s="38">
        <v>1.0975035327366933</v>
      </c>
      <c r="U64" s="59">
        <v>4246</v>
      </c>
      <c r="V64" s="755">
        <f t="shared" si="0"/>
        <v>414</v>
      </c>
      <c r="W64" s="644"/>
      <c r="X64" s="644"/>
      <c r="Y64" s="33">
        <v>0</v>
      </c>
      <c r="Z64" s="33">
        <v>0</v>
      </c>
      <c r="AA64" s="33"/>
      <c r="AB64" s="33"/>
      <c r="AC64" s="42"/>
      <c r="AD64" s="60"/>
      <c r="AE64" s="105"/>
      <c r="AF64" s="93"/>
      <c r="AG64" s="33">
        <v>0</v>
      </c>
      <c r="AH64" s="33">
        <v>4660</v>
      </c>
      <c r="AI64" s="101">
        <v>414</v>
      </c>
      <c r="AK64" s="19"/>
    </row>
    <row r="65" spans="2:37" ht="13" outlineLevel="1" x14ac:dyDescent="0.3">
      <c r="B65" s="32" t="s">
        <v>97</v>
      </c>
      <c r="C65" s="34">
        <v>2715</v>
      </c>
      <c r="D65" s="34">
        <v>2840</v>
      </c>
      <c r="E65" s="24">
        <v>0</v>
      </c>
      <c r="F65" s="24">
        <v>0</v>
      </c>
      <c r="G65" s="24">
        <v>125</v>
      </c>
      <c r="H65" s="24">
        <v>-150</v>
      </c>
      <c r="I65" s="24">
        <v>0</v>
      </c>
      <c r="J65" s="24">
        <v>0</v>
      </c>
      <c r="K65" s="24">
        <v>-25</v>
      </c>
      <c r="L65" s="34">
        <v>-150</v>
      </c>
      <c r="M65" s="34">
        <v>-25</v>
      </c>
      <c r="N65" s="34">
        <v>2690</v>
      </c>
      <c r="O65" s="34">
        <v>3120</v>
      </c>
      <c r="P65" s="34">
        <v>-19</v>
      </c>
      <c r="Q65" s="34">
        <v>3101</v>
      </c>
      <c r="R65" s="34">
        <v>2690</v>
      </c>
      <c r="S65" s="34">
        <v>411</v>
      </c>
      <c r="T65" s="38">
        <v>1.1527881040892194</v>
      </c>
      <c r="U65" s="59">
        <v>2960</v>
      </c>
      <c r="V65" s="755">
        <f t="shared" si="0"/>
        <v>141</v>
      </c>
      <c r="W65" s="644"/>
      <c r="X65" s="644"/>
      <c r="Y65" s="34">
        <v>270</v>
      </c>
      <c r="Z65" s="34">
        <v>270</v>
      </c>
      <c r="AA65" s="34"/>
      <c r="AB65" s="34"/>
      <c r="AC65" s="41"/>
      <c r="AD65" s="60"/>
      <c r="AE65" s="102"/>
      <c r="AF65" s="34"/>
      <c r="AG65" s="34">
        <v>0</v>
      </c>
      <c r="AH65" s="34">
        <v>3101</v>
      </c>
      <c r="AI65" s="103">
        <v>411</v>
      </c>
      <c r="AK65" s="19"/>
    </row>
    <row r="66" spans="2:37" ht="188" outlineLevel="2" x14ac:dyDescent="0.3">
      <c r="B66" s="31" t="s">
        <v>98</v>
      </c>
      <c r="C66" s="33">
        <v>1827</v>
      </c>
      <c r="D66" s="33">
        <v>1871</v>
      </c>
      <c r="E66" s="23">
        <v>0</v>
      </c>
      <c r="F66" s="23">
        <v>0</v>
      </c>
      <c r="G66" s="23">
        <v>44</v>
      </c>
      <c r="H66" s="23">
        <v>-54</v>
      </c>
      <c r="I66" s="23">
        <v>0</v>
      </c>
      <c r="J66" s="23">
        <v>-39</v>
      </c>
      <c r="K66" s="23">
        <v>-49</v>
      </c>
      <c r="L66" s="33">
        <v>-93</v>
      </c>
      <c r="M66" s="33">
        <v>-49</v>
      </c>
      <c r="N66" s="33">
        <v>1778</v>
      </c>
      <c r="O66" s="33">
        <v>1832</v>
      </c>
      <c r="P66" s="33">
        <v>-13</v>
      </c>
      <c r="Q66" s="33">
        <v>1820</v>
      </c>
      <c r="R66" s="33">
        <v>1778</v>
      </c>
      <c r="S66" s="33">
        <v>42</v>
      </c>
      <c r="T66" s="38">
        <v>1.0236220472440944</v>
      </c>
      <c r="U66" s="59">
        <v>1738</v>
      </c>
      <c r="V66" s="755">
        <f t="shared" si="0"/>
        <v>82</v>
      </c>
      <c r="W66" s="766" t="s">
        <v>99</v>
      </c>
      <c r="X66" s="644"/>
      <c r="Y66" s="33">
        <v>-40</v>
      </c>
      <c r="Z66" s="33">
        <v>-40</v>
      </c>
      <c r="AA66" s="33"/>
      <c r="AB66" s="33"/>
      <c r="AC66" s="42"/>
      <c r="AD66" s="60"/>
      <c r="AE66" s="105"/>
      <c r="AF66" s="93"/>
      <c r="AG66" s="33">
        <v>0</v>
      </c>
      <c r="AH66" s="33">
        <v>1820</v>
      </c>
      <c r="AI66" s="101">
        <v>42</v>
      </c>
      <c r="AK66" s="19"/>
    </row>
    <row r="67" spans="2:37" ht="13" outlineLevel="2" x14ac:dyDescent="0.3">
      <c r="B67" s="31" t="s">
        <v>100</v>
      </c>
      <c r="C67" s="33">
        <v>9242</v>
      </c>
      <c r="D67" s="33">
        <v>9485</v>
      </c>
      <c r="E67" s="23">
        <v>0</v>
      </c>
      <c r="F67" s="23">
        <v>89</v>
      </c>
      <c r="G67" s="23">
        <v>243</v>
      </c>
      <c r="H67" s="23">
        <v>-307</v>
      </c>
      <c r="I67" s="23">
        <v>0</v>
      </c>
      <c r="J67" s="23">
        <v>-39</v>
      </c>
      <c r="K67" s="23">
        <v>-14</v>
      </c>
      <c r="L67" s="33">
        <v>-258</v>
      </c>
      <c r="M67" s="33">
        <v>-15</v>
      </c>
      <c r="N67" s="33">
        <v>9227</v>
      </c>
      <c r="O67" s="33">
        <v>10364</v>
      </c>
      <c r="P67" s="33">
        <v>-65</v>
      </c>
      <c r="Q67" s="33">
        <v>10300</v>
      </c>
      <c r="R67" s="33">
        <v>9227</v>
      </c>
      <c r="S67" s="33">
        <v>1073</v>
      </c>
      <c r="T67" s="38">
        <v>1.1162891514034898</v>
      </c>
      <c r="U67" s="59">
        <v>9497</v>
      </c>
      <c r="V67" s="755">
        <f t="shared" si="0"/>
        <v>803</v>
      </c>
      <c r="W67" s="754"/>
      <c r="X67" s="754"/>
      <c r="Y67" s="33">
        <v>270</v>
      </c>
      <c r="Z67" s="33">
        <v>270</v>
      </c>
      <c r="AA67" s="33"/>
      <c r="AB67" s="33"/>
      <c r="AC67" s="42"/>
      <c r="AD67" s="60"/>
      <c r="AE67" s="105">
        <v>0</v>
      </c>
      <c r="AF67" s="93">
        <v>0</v>
      </c>
      <c r="AG67" s="33"/>
      <c r="AH67" s="33"/>
      <c r="AI67" s="101"/>
      <c r="AK67" s="19"/>
    </row>
    <row r="68" spans="2:37" ht="13" outlineLevel="2" x14ac:dyDescent="0.3">
      <c r="B68" s="31" t="s">
        <v>101</v>
      </c>
      <c r="C68" s="33">
        <v>1081</v>
      </c>
      <c r="D68" s="33">
        <v>1126</v>
      </c>
      <c r="E68" s="23">
        <v>0</v>
      </c>
      <c r="F68" s="23">
        <v>0</v>
      </c>
      <c r="G68" s="23">
        <v>44</v>
      </c>
      <c r="H68" s="23">
        <v>-25</v>
      </c>
      <c r="I68" s="23">
        <v>0</v>
      </c>
      <c r="J68" s="23">
        <v>4</v>
      </c>
      <c r="K68" s="23">
        <v>23</v>
      </c>
      <c r="L68" s="33">
        <v>-22</v>
      </c>
      <c r="M68" s="33">
        <v>23</v>
      </c>
      <c r="N68" s="33">
        <v>1104</v>
      </c>
      <c r="O68" s="33">
        <v>1425</v>
      </c>
      <c r="P68" s="33">
        <v>-264</v>
      </c>
      <c r="Q68" s="33">
        <v>1161</v>
      </c>
      <c r="R68" s="33">
        <v>1104</v>
      </c>
      <c r="S68" s="33">
        <v>57</v>
      </c>
      <c r="T68" s="38">
        <v>1.0516304347826086</v>
      </c>
      <c r="U68" s="59">
        <v>1104</v>
      </c>
      <c r="V68" s="755">
        <f t="shared" si="0"/>
        <v>57</v>
      </c>
      <c r="W68" s="755"/>
      <c r="X68" s="755"/>
      <c r="Y68" s="33">
        <v>0</v>
      </c>
      <c r="Z68" s="33">
        <v>0</v>
      </c>
      <c r="AA68" s="33"/>
      <c r="AB68" s="33"/>
      <c r="AC68" s="42"/>
      <c r="AD68" s="60"/>
      <c r="AE68" s="105"/>
      <c r="AF68" s="93"/>
      <c r="AG68" s="33">
        <v>0</v>
      </c>
      <c r="AH68" s="33">
        <v>1161</v>
      </c>
      <c r="AI68" s="101">
        <v>57</v>
      </c>
      <c r="AK68" s="19"/>
    </row>
    <row r="69" spans="2:37" ht="13" outlineLevel="2" x14ac:dyDescent="0.3">
      <c r="B69" s="31" t="s">
        <v>102</v>
      </c>
      <c r="C69" s="33">
        <v>391</v>
      </c>
      <c r="D69" s="33">
        <v>391</v>
      </c>
      <c r="E69" s="23">
        <v>0</v>
      </c>
      <c r="F69" s="23">
        <v>0</v>
      </c>
      <c r="G69" s="23">
        <v>0</v>
      </c>
      <c r="H69" s="23">
        <v>0</v>
      </c>
      <c r="I69" s="23">
        <v>0</v>
      </c>
      <c r="J69" s="23">
        <v>29</v>
      </c>
      <c r="K69" s="23">
        <v>29</v>
      </c>
      <c r="L69" s="33">
        <v>29</v>
      </c>
      <c r="M69" s="33">
        <v>29</v>
      </c>
      <c r="N69" s="33">
        <v>420</v>
      </c>
      <c r="O69" s="33">
        <v>547</v>
      </c>
      <c r="P69" s="33">
        <v>-1</v>
      </c>
      <c r="Q69" s="33">
        <v>546</v>
      </c>
      <c r="R69" s="33">
        <v>420</v>
      </c>
      <c r="S69" s="33">
        <v>126</v>
      </c>
      <c r="T69" s="38">
        <v>1.3</v>
      </c>
      <c r="U69" s="59">
        <v>420</v>
      </c>
      <c r="V69" s="755">
        <f t="shared" si="0"/>
        <v>126</v>
      </c>
      <c r="W69" s="755"/>
      <c r="X69" s="755"/>
      <c r="Y69" s="33">
        <v>0</v>
      </c>
      <c r="Z69" s="33">
        <v>0</v>
      </c>
      <c r="AA69" s="33"/>
      <c r="AB69" s="33"/>
      <c r="AC69" s="42"/>
      <c r="AD69" s="60"/>
      <c r="AE69" s="105"/>
      <c r="AF69" s="93"/>
      <c r="AG69" s="33">
        <v>0</v>
      </c>
      <c r="AH69" s="33">
        <v>546</v>
      </c>
      <c r="AI69" s="101">
        <v>126</v>
      </c>
      <c r="AK69" s="19"/>
    </row>
    <row r="70" spans="2:37" ht="13" outlineLevel="2" x14ac:dyDescent="0.3">
      <c r="B70" s="31" t="s">
        <v>103</v>
      </c>
      <c r="C70" s="33">
        <v>261</v>
      </c>
      <c r="D70" s="33">
        <v>282</v>
      </c>
      <c r="E70" s="23">
        <v>0</v>
      </c>
      <c r="F70" s="23">
        <v>0</v>
      </c>
      <c r="G70" s="23">
        <v>21</v>
      </c>
      <c r="H70" s="23">
        <v>-26</v>
      </c>
      <c r="I70" s="23">
        <v>0</v>
      </c>
      <c r="J70" s="23">
        <v>8</v>
      </c>
      <c r="K70" s="23">
        <v>3</v>
      </c>
      <c r="L70" s="33">
        <v>-19</v>
      </c>
      <c r="M70" s="33">
        <v>2</v>
      </c>
      <c r="N70" s="33">
        <v>263</v>
      </c>
      <c r="O70" s="33">
        <v>655</v>
      </c>
      <c r="P70" s="33">
        <v>-470</v>
      </c>
      <c r="Q70" s="33">
        <v>184</v>
      </c>
      <c r="R70" s="33">
        <v>263</v>
      </c>
      <c r="S70" s="33">
        <v>-79</v>
      </c>
      <c r="T70" s="38">
        <v>0.69961977186311786</v>
      </c>
      <c r="U70" s="59">
        <v>263</v>
      </c>
      <c r="V70" s="755">
        <f t="shared" ref="V70:V133" si="1">Q70-U70</f>
        <v>-79</v>
      </c>
      <c r="W70" s="755"/>
      <c r="X70" s="755"/>
      <c r="Y70" s="33">
        <v>0</v>
      </c>
      <c r="Z70" s="33">
        <v>0</v>
      </c>
      <c r="AA70" s="33"/>
      <c r="AB70" s="33"/>
      <c r="AC70" s="42"/>
      <c r="AD70" s="60"/>
      <c r="AE70" s="105"/>
      <c r="AF70" s="93"/>
      <c r="AG70" s="33">
        <v>0</v>
      </c>
      <c r="AH70" s="33">
        <v>184</v>
      </c>
      <c r="AI70" s="101">
        <v>-79</v>
      </c>
      <c r="AK70" s="19"/>
    </row>
    <row r="71" spans="2:37" ht="14.5" outlineLevel="2" x14ac:dyDescent="0.35">
      <c r="B71" s="31" t="s">
        <v>104</v>
      </c>
      <c r="C71" s="33">
        <v>467</v>
      </c>
      <c r="D71" s="33">
        <v>487</v>
      </c>
      <c r="E71" s="23">
        <v>0</v>
      </c>
      <c r="F71" s="23">
        <v>33</v>
      </c>
      <c r="G71" s="23">
        <v>20</v>
      </c>
      <c r="H71" s="23">
        <v>-28</v>
      </c>
      <c r="I71" s="23">
        <v>0</v>
      </c>
      <c r="J71" s="23">
        <v>0</v>
      </c>
      <c r="K71" s="23">
        <v>25</v>
      </c>
      <c r="L71" s="33">
        <v>5</v>
      </c>
      <c r="M71" s="33">
        <v>25</v>
      </c>
      <c r="N71" s="33">
        <v>492</v>
      </c>
      <c r="O71" s="33">
        <v>661</v>
      </c>
      <c r="P71" s="33">
        <v>-2</v>
      </c>
      <c r="Q71" s="33">
        <v>659</v>
      </c>
      <c r="R71" s="33">
        <v>492</v>
      </c>
      <c r="S71" s="33">
        <v>167</v>
      </c>
      <c r="T71" s="38">
        <v>1.339430894308943</v>
      </c>
      <c r="U71" s="59">
        <v>554</v>
      </c>
      <c r="V71" s="755">
        <f t="shared" si="1"/>
        <v>105</v>
      </c>
      <c r="W71" s="756"/>
      <c r="X71" s="756"/>
      <c r="Y71" s="33">
        <v>62</v>
      </c>
      <c r="Z71" s="33">
        <v>62</v>
      </c>
      <c r="AA71" s="33"/>
      <c r="AB71" s="33"/>
      <c r="AC71" s="42"/>
      <c r="AD71" s="60"/>
      <c r="AE71" s="105"/>
      <c r="AF71" s="93"/>
      <c r="AG71" s="33">
        <v>0</v>
      </c>
      <c r="AH71" s="33">
        <v>659</v>
      </c>
      <c r="AI71" s="101">
        <v>167</v>
      </c>
      <c r="AK71" s="19"/>
    </row>
    <row r="72" spans="2:37" ht="13" outlineLevel="1" x14ac:dyDescent="0.3">
      <c r="B72" s="32" t="s">
        <v>105</v>
      </c>
      <c r="C72" s="34">
        <v>1060</v>
      </c>
      <c r="D72" s="34">
        <v>1143</v>
      </c>
      <c r="E72" s="24">
        <v>0</v>
      </c>
      <c r="F72" s="24">
        <v>0</v>
      </c>
      <c r="G72" s="24">
        <v>83</v>
      </c>
      <c r="H72" s="24">
        <v>-4</v>
      </c>
      <c r="I72" s="24">
        <v>0</v>
      </c>
      <c r="J72" s="24">
        <v>-29</v>
      </c>
      <c r="K72" s="24">
        <v>50</v>
      </c>
      <c r="L72" s="34">
        <v>-33</v>
      </c>
      <c r="M72" s="34">
        <v>50</v>
      </c>
      <c r="N72" s="34">
        <v>1110</v>
      </c>
      <c r="O72" s="34">
        <v>2485</v>
      </c>
      <c r="P72" s="34">
        <v>-1578</v>
      </c>
      <c r="Q72" s="34">
        <v>907</v>
      </c>
      <c r="R72" s="34">
        <v>1110</v>
      </c>
      <c r="S72" s="34">
        <v>-203</v>
      </c>
      <c r="T72" s="38">
        <v>0.8171171171171171</v>
      </c>
      <c r="U72" s="59">
        <v>1110</v>
      </c>
      <c r="V72" s="755">
        <f t="shared" si="1"/>
        <v>-203</v>
      </c>
      <c r="W72" s="754"/>
      <c r="X72" s="754"/>
      <c r="Y72" s="34">
        <v>0</v>
      </c>
      <c r="Z72" s="34">
        <v>0</v>
      </c>
      <c r="AA72" s="34"/>
      <c r="AB72" s="34"/>
      <c r="AC72" s="41"/>
      <c r="AD72" s="60"/>
      <c r="AE72" s="102"/>
      <c r="AF72" s="34"/>
      <c r="AG72" s="34">
        <v>0</v>
      </c>
      <c r="AH72" s="34">
        <v>907</v>
      </c>
      <c r="AI72" s="103">
        <v>-203</v>
      </c>
      <c r="AK72" s="19"/>
    </row>
    <row r="73" spans="2:37" ht="13" outlineLevel="2" x14ac:dyDescent="0.3">
      <c r="B73" s="31" t="s">
        <v>106</v>
      </c>
      <c r="C73" s="33">
        <v>120</v>
      </c>
      <c r="D73" s="33">
        <v>126</v>
      </c>
      <c r="E73" s="23">
        <v>0</v>
      </c>
      <c r="F73" s="23">
        <v>0</v>
      </c>
      <c r="G73" s="23">
        <v>7</v>
      </c>
      <c r="H73" s="23">
        <v>-7</v>
      </c>
      <c r="I73" s="23">
        <v>0</v>
      </c>
      <c r="J73" s="23">
        <v>0</v>
      </c>
      <c r="K73" s="23">
        <v>0</v>
      </c>
      <c r="L73" s="33">
        <v>-6</v>
      </c>
      <c r="M73" s="33">
        <v>0</v>
      </c>
      <c r="N73" s="33">
        <v>120</v>
      </c>
      <c r="O73" s="33">
        <v>183</v>
      </c>
      <c r="P73" s="33">
        <v>0</v>
      </c>
      <c r="Q73" s="33">
        <v>183</v>
      </c>
      <c r="R73" s="33">
        <v>120</v>
      </c>
      <c r="S73" s="33">
        <v>63</v>
      </c>
      <c r="T73" s="38">
        <v>1.5249999999999999</v>
      </c>
      <c r="U73" s="59">
        <v>120</v>
      </c>
      <c r="V73" s="755">
        <f t="shared" si="1"/>
        <v>63</v>
      </c>
      <c r="W73" s="754"/>
      <c r="X73" s="754"/>
      <c r="Y73" s="33">
        <v>0</v>
      </c>
      <c r="Z73" s="33">
        <v>0</v>
      </c>
      <c r="AA73" s="33"/>
      <c r="AB73" s="33"/>
      <c r="AC73" s="42"/>
      <c r="AD73" s="60"/>
      <c r="AE73" s="105"/>
      <c r="AF73" s="93"/>
      <c r="AG73" s="33">
        <v>0</v>
      </c>
      <c r="AH73" s="33">
        <v>183</v>
      </c>
      <c r="AI73" s="101">
        <v>63</v>
      </c>
      <c r="AK73" s="19"/>
    </row>
    <row r="74" spans="2:37" ht="13" outlineLevel="2" x14ac:dyDescent="0.3">
      <c r="B74" s="31" t="s">
        <v>107</v>
      </c>
      <c r="C74" s="33">
        <v>3380</v>
      </c>
      <c r="D74" s="33">
        <v>3555</v>
      </c>
      <c r="E74" s="23">
        <v>0</v>
      </c>
      <c r="F74" s="23">
        <v>33</v>
      </c>
      <c r="G74" s="23">
        <v>175</v>
      </c>
      <c r="H74" s="23">
        <v>-90</v>
      </c>
      <c r="I74" s="23">
        <v>0</v>
      </c>
      <c r="J74" s="23">
        <v>12</v>
      </c>
      <c r="K74" s="23">
        <v>130</v>
      </c>
      <c r="L74" s="33">
        <v>-46</v>
      </c>
      <c r="M74" s="33">
        <v>129</v>
      </c>
      <c r="N74" s="33">
        <v>3509</v>
      </c>
      <c r="O74" s="33">
        <v>5956</v>
      </c>
      <c r="P74" s="33">
        <v>-2315</v>
      </c>
      <c r="Q74" s="33">
        <v>3640</v>
      </c>
      <c r="R74" s="33">
        <v>3509</v>
      </c>
      <c r="S74" s="33">
        <v>131</v>
      </c>
      <c r="T74" s="38">
        <v>1.0373325733827301</v>
      </c>
      <c r="U74" s="59">
        <v>3571</v>
      </c>
      <c r="V74" s="755">
        <f t="shared" si="1"/>
        <v>69</v>
      </c>
      <c r="W74" s="754"/>
      <c r="X74" s="754"/>
      <c r="Y74" s="33">
        <v>62</v>
      </c>
      <c r="Z74" s="33">
        <v>62</v>
      </c>
      <c r="AA74" s="33"/>
      <c r="AB74" s="33"/>
      <c r="AC74" s="42"/>
      <c r="AD74" s="60"/>
      <c r="AE74" s="105">
        <v>0</v>
      </c>
      <c r="AF74" s="93">
        <v>0</v>
      </c>
      <c r="AG74" s="33"/>
      <c r="AH74" s="33"/>
      <c r="AI74" s="101"/>
      <c r="AK74" s="19"/>
    </row>
    <row r="75" spans="2:37" ht="13" outlineLevel="2" x14ac:dyDescent="0.3">
      <c r="B75" s="31" t="s">
        <v>108</v>
      </c>
      <c r="C75" s="33">
        <v>753</v>
      </c>
      <c r="D75" s="33">
        <v>773</v>
      </c>
      <c r="E75" s="23">
        <v>0</v>
      </c>
      <c r="F75" s="23">
        <v>0</v>
      </c>
      <c r="G75" s="23">
        <v>20</v>
      </c>
      <c r="H75" s="23">
        <v>-40</v>
      </c>
      <c r="I75" s="23">
        <v>0</v>
      </c>
      <c r="J75" s="23">
        <v>0</v>
      </c>
      <c r="K75" s="23">
        <v>-20</v>
      </c>
      <c r="L75" s="33">
        <v>-40</v>
      </c>
      <c r="M75" s="33">
        <v>-20</v>
      </c>
      <c r="N75" s="33">
        <v>733</v>
      </c>
      <c r="O75" s="33">
        <v>810</v>
      </c>
      <c r="P75" s="33">
        <v>-8</v>
      </c>
      <c r="Q75" s="33">
        <v>802</v>
      </c>
      <c r="R75" s="33">
        <v>733</v>
      </c>
      <c r="S75" s="33">
        <v>69</v>
      </c>
      <c r="T75" s="38">
        <v>1.0941336971350615</v>
      </c>
      <c r="U75" s="59">
        <v>775</v>
      </c>
      <c r="V75" s="755">
        <f t="shared" si="1"/>
        <v>27</v>
      </c>
      <c r="W75" s="754"/>
      <c r="X75" s="754"/>
      <c r="Y75" s="33">
        <v>42</v>
      </c>
      <c r="Z75" s="33">
        <v>42</v>
      </c>
      <c r="AA75" s="33"/>
      <c r="AB75" s="33"/>
      <c r="AC75" s="42"/>
      <c r="AD75" s="60"/>
      <c r="AE75" s="105"/>
      <c r="AF75" s="93"/>
      <c r="AG75" s="33">
        <v>0</v>
      </c>
      <c r="AH75" s="33">
        <v>802</v>
      </c>
      <c r="AI75" s="101">
        <v>69</v>
      </c>
      <c r="AK75" s="19"/>
    </row>
    <row r="76" spans="2:37" ht="13" outlineLevel="2" x14ac:dyDescent="0.3">
      <c r="B76" s="31" t="s">
        <v>109</v>
      </c>
      <c r="C76" s="33">
        <v>333</v>
      </c>
      <c r="D76" s="33">
        <v>347</v>
      </c>
      <c r="E76" s="23">
        <v>0</v>
      </c>
      <c r="F76" s="23">
        <v>0</v>
      </c>
      <c r="G76" s="23">
        <v>13</v>
      </c>
      <c r="H76" s="23">
        <v>-19</v>
      </c>
      <c r="I76" s="23">
        <v>0</v>
      </c>
      <c r="J76" s="23">
        <v>0</v>
      </c>
      <c r="K76" s="23">
        <v>-6</v>
      </c>
      <c r="L76" s="33">
        <v>-19</v>
      </c>
      <c r="M76" s="33">
        <v>-5</v>
      </c>
      <c r="N76" s="33">
        <v>328</v>
      </c>
      <c r="O76" s="33">
        <v>358</v>
      </c>
      <c r="P76" s="33">
        <v>0</v>
      </c>
      <c r="Q76" s="33">
        <v>358</v>
      </c>
      <c r="R76" s="33">
        <v>328</v>
      </c>
      <c r="S76" s="33">
        <v>30</v>
      </c>
      <c r="T76" s="38">
        <v>1.0914634146341464</v>
      </c>
      <c r="U76" s="59">
        <v>350</v>
      </c>
      <c r="V76" s="755">
        <f t="shared" si="1"/>
        <v>8</v>
      </c>
      <c r="W76" s="754"/>
      <c r="X76" s="754"/>
      <c r="Y76" s="33">
        <v>22</v>
      </c>
      <c r="Z76" s="33">
        <v>22</v>
      </c>
      <c r="AA76" s="33"/>
      <c r="AB76" s="33"/>
      <c r="AC76" s="42"/>
      <c r="AD76" s="60"/>
      <c r="AE76" s="105"/>
      <c r="AF76" s="93"/>
      <c r="AG76" s="33">
        <v>0</v>
      </c>
      <c r="AH76" s="33">
        <v>358</v>
      </c>
      <c r="AI76" s="101">
        <v>30</v>
      </c>
      <c r="AK76" s="19"/>
    </row>
    <row r="77" spans="2:37" ht="13" outlineLevel="2" x14ac:dyDescent="0.3">
      <c r="B77" s="31" t="s">
        <v>110</v>
      </c>
      <c r="C77" s="33">
        <v>1086</v>
      </c>
      <c r="D77" s="33">
        <v>1120</v>
      </c>
      <c r="E77" s="23">
        <v>0</v>
      </c>
      <c r="F77" s="23">
        <v>0</v>
      </c>
      <c r="G77" s="23">
        <v>33</v>
      </c>
      <c r="H77" s="23">
        <v>-59</v>
      </c>
      <c r="I77" s="23">
        <v>0</v>
      </c>
      <c r="J77" s="23">
        <v>0</v>
      </c>
      <c r="K77" s="23">
        <v>-26</v>
      </c>
      <c r="L77" s="33">
        <v>-59</v>
      </c>
      <c r="M77" s="33">
        <v>-25</v>
      </c>
      <c r="N77" s="33">
        <v>1061</v>
      </c>
      <c r="O77" s="33">
        <v>1168</v>
      </c>
      <c r="P77" s="33">
        <v>-8</v>
      </c>
      <c r="Q77" s="33">
        <v>1160</v>
      </c>
      <c r="R77" s="33">
        <v>1061</v>
      </c>
      <c r="S77" s="33">
        <v>99</v>
      </c>
      <c r="T77" s="38">
        <v>1.0933081998114986</v>
      </c>
      <c r="U77" s="59">
        <v>1125</v>
      </c>
      <c r="V77" s="755">
        <f t="shared" si="1"/>
        <v>35</v>
      </c>
      <c r="W77" s="644"/>
      <c r="X77" s="644"/>
      <c r="Y77" s="33">
        <v>64</v>
      </c>
      <c r="Z77" s="33">
        <v>64</v>
      </c>
      <c r="AA77" s="33"/>
      <c r="AB77" s="33"/>
      <c r="AC77" s="42"/>
      <c r="AD77" s="60"/>
      <c r="AE77" s="105">
        <v>0</v>
      </c>
      <c r="AF77" s="93">
        <v>0</v>
      </c>
      <c r="AG77" s="33"/>
      <c r="AH77" s="33"/>
      <c r="AI77" s="101"/>
      <c r="AK77" s="19"/>
    </row>
    <row r="78" spans="2:37" ht="13" outlineLevel="1" x14ac:dyDescent="0.3">
      <c r="B78" s="32" t="s">
        <v>111</v>
      </c>
      <c r="C78" s="34">
        <v>714</v>
      </c>
      <c r="D78" s="34">
        <v>724</v>
      </c>
      <c r="E78" s="24">
        <v>0</v>
      </c>
      <c r="F78" s="24">
        <v>0</v>
      </c>
      <c r="G78" s="24">
        <v>11</v>
      </c>
      <c r="H78" s="24">
        <v>-16</v>
      </c>
      <c r="I78" s="24">
        <v>0</v>
      </c>
      <c r="J78" s="24">
        <v>-1</v>
      </c>
      <c r="K78" s="24">
        <v>-6</v>
      </c>
      <c r="L78" s="34">
        <v>-17</v>
      </c>
      <c r="M78" s="34">
        <v>-7</v>
      </c>
      <c r="N78" s="34">
        <v>707</v>
      </c>
      <c r="O78" s="34">
        <v>732</v>
      </c>
      <c r="P78" s="34">
        <v>-13</v>
      </c>
      <c r="Q78" s="34">
        <v>719</v>
      </c>
      <c r="R78" s="34">
        <v>707</v>
      </c>
      <c r="S78" s="34">
        <v>12</v>
      </c>
      <c r="T78" s="38">
        <v>1.0169731258840169</v>
      </c>
      <c r="U78" s="59">
        <v>707</v>
      </c>
      <c r="V78" s="755">
        <f t="shared" si="1"/>
        <v>12</v>
      </c>
      <c r="W78" s="754"/>
      <c r="X78" s="754"/>
      <c r="Y78" s="34">
        <v>0</v>
      </c>
      <c r="Z78" s="34">
        <v>0</v>
      </c>
      <c r="AA78" s="34"/>
      <c r="AB78" s="34"/>
      <c r="AC78" s="41"/>
      <c r="AD78" s="60"/>
      <c r="AE78" s="102"/>
      <c r="AF78" s="34"/>
      <c r="AG78" s="34">
        <v>0</v>
      </c>
      <c r="AH78" s="34">
        <v>719</v>
      </c>
      <c r="AI78" s="103">
        <v>12</v>
      </c>
      <c r="AK78" s="19"/>
    </row>
    <row r="79" spans="2:37" ht="13.5" customHeight="1" thickBot="1" x14ac:dyDescent="0.35">
      <c r="B79" s="53" t="s">
        <v>112</v>
      </c>
      <c r="C79" s="35">
        <v>385</v>
      </c>
      <c r="D79" s="35">
        <v>393</v>
      </c>
      <c r="E79" s="25">
        <v>0</v>
      </c>
      <c r="F79" s="25">
        <v>0</v>
      </c>
      <c r="G79" s="25">
        <v>8</v>
      </c>
      <c r="H79" s="25">
        <v>-12</v>
      </c>
      <c r="I79" s="25">
        <v>0</v>
      </c>
      <c r="J79" s="25">
        <v>0</v>
      </c>
      <c r="K79" s="25">
        <v>-4</v>
      </c>
      <c r="L79" s="35">
        <v>-12</v>
      </c>
      <c r="M79" s="35">
        <v>-4</v>
      </c>
      <c r="N79" s="35">
        <v>381</v>
      </c>
      <c r="O79" s="35">
        <v>245</v>
      </c>
      <c r="P79" s="35">
        <v>-201</v>
      </c>
      <c r="Q79" s="35">
        <v>44</v>
      </c>
      <c r="R79" s="35">
        <v>381</v>
      </c>
      <c r="S79" s="35">
        <v>-337</v>
      </c>
      <c r="T79" s="39">
        <v>0.11548556430446194</v>
      </c>
      <c r="U79" s="54">
        <v>381</v>
      </c>
      <c r="V79" s="755">
        <f t="shared" si="1"/>
        <v>-337</v>
      </c>
      <c r="W79" s="754"/>
      <c r="X79" s="754"/>
      <c r="Y79" s="35">
        <v>0</v>
      </c>
      <c r="Z79" s="35">
        <v>0</v>
      </c>
      <c r="AA79" s="35"/>
      <c r="AB79" s="35"/>
      <c r="AC79" s="43"/>
      <c r="AD79" s="60"/>
      <c r="AE79" s="104"/>
      <c r="AF79" s="104"/>
      <c r="AG79" s="35">
        <v>0</v>
      </c>
      <c r="AH79" s="35">
        <v>44</v>
      </c>
      <c r="AI79" s="43">
        <v>-337</v>
      </c>
      <c r="AK79" s="19"/>
    </row>
    <row r="80" spans="2:37" ht="14" thickTop="1" thickBot="1" x14ac:dyDescent="0.35">
      <c r="B80" s="61" t="s">
        <v>113</v>
      </c>
      <c r="C80" s="62">
        <v>1508</v>
      </c>
      <c r="D80" s="62">
        <v>1568</v>
      </c>
      <c r="E80" s="65">
        <v>0</v>
      </c>
      <c r="F80" s="65">
        <v>0</v>
      </c>
      <c r="G80" s="65">
        <v>60</v>
      </c>
      <c r="H80" s="65">
        <v>-92</v>
      </c>
      <c r="I80" s="65">
        <v>0</v>
      </c>
      <c r="J80" s="65">
        <v>-15</v>
      </c>
      <c r="K80" s="65">
        <v>-47</v>
      </c>
      <c r="L80" s="62">
        <v>-107</v>
      </c>
      <c r="M80" s="62">
        <v>-47</v>
      </c>
      <c r="N80" s="62">
        <v>1461</v>
      </c>
      <c r="O80" s="62">
        <v>1676</v>
      </c>
      <c r="P80" s="62">
        <v>-322</v>
      </c>
      <c r="Q80" s="62">
        <v>1354</v>
      </c>
      <c r="R80" s="62">
        <v>1461</v>
      </c>
      <c r="S80" s="62">
        <v>-107</v>
      </c>
      <c r="T80" s="62">
        <v>0.9267624914442163</v>
      </c>
      <c r="U80" s="64">
        <v>1461</v>
      </c>
      <c r="V80" s="755">
        <f t="shared" si="1"/>
        <v>-107</v>
      </c>
      <c r="W80" s="754"/>
      <c r="X80" s="754"/>
      <c r="Y80" s="62">
        <v>0</v>
      </c>
      <c r="Z80" s="62">
        <v>0</v>
      </c>
      <c r="AA80" s="62"/>
      <c r="AB80" s="62"/>
      <c r="AC80" s="63"/>
      <c r="AD80" s="60"/>
      <c r="AE80" s="61"/>
      <c r="AF80" s="62"/>
      <c r="AG80" s="62">
        <v>0</v>
      </c>
      <c r="AH80" s="62">
        <v>1354</v>
      </c>
      <c r="AI80" s="63">
        <v>-107</v>
      </c>
      <c r="AK80" s="19"/>
    </row>
    <row r="81" spans="2:37" ht="13.5" thickBot="1" x14ac:dyDescent="0.35">
      <c r="B81" s="50" t="s">
        <v>114</v>
      </c>
      <c r="C81" s="51">
        <v>2607</v>
      </c>
      <c r="D81" s="51">
        <v>2685</v>
      </c>
      <c r="E81" s="51">
        <v>0</v>
      </c>
      <c r="F81" s="51">
        <v>0</v>
      </c>
      <c r="G81" s="51">
        <v>79</v>
      </c>
      <c r="H81" s="51">
        <v>-120</v>
      </c>
      <c r="I81" s="51">
        <v>0</v>
      </c>
      <c r="J81" s="51">
        <v>-16</v>
      </c>
      <c r="K81" s="51">
        <v>-57</v>
      </c>
      <c r="L81" s="51">
        <v>-136</v>
      </c>
      <c r="M81" s="51">
        <v>-58</v>
      </c>
      <c r="N81" s="51">
        <v>2549</v>
      </c>
      <c r="O81" s="51">
        <v>2653</v>
      </c>
      <c r="P81" s="51">
        <v>-536</v>
      </c>
      <c r="Q81" s="51">
        <v>2117</v>
      </c>
      <c r="R81" s="51">
        <v>2549</v>
      </c>
      <c r="S81" s="51">
        <v>-432</v>
      </c>
      <c r="T81" s="52">
        <v>0.83052177324440957</v>
      </c>
      <c r="U81" s="51">
        <v>2549</v>
      </c>
      <c r="V81" s="755">
        <f t="shared" si="1"/>
        <v>-432</v>
      </c>
      <c r="W81" s="754"/>
      <c r="X81" s="754"/>
      <c r="Y81" s="51">
        <v>0</v>
      </c>
      <c r="Z81" s="51">
        <v>0</v>
      </c>
      <c r="AA81" s="51"/>
      <c r="AB81" s="51"/>
      <c r="AC81" s="51"/>
      <c r="AD81" s="60"/>
      <c r="AE81" s="51">
        <v>0</v>
      </c>
      <c r="AF81" s="51">
        <v>0</v>
      </c>
      <c r="AG81" s="51"/>
      <c r="AH81" s="51"/>
      <c r="AI81" s="51"/>
      <c r="AK81" s="19"/>
    </row>
    <row r="82" spans="2:37" ht="13.5" thickTop="1" x14ac:dyDescent="0.3">
      <c r="B82" s="71" t="s">
        <v>115</v>
      </c>
      <c r="C82" s="72">
        <v>16315</v>
      </c>
      <c r="D82" s="72">
        <v>16845</v>
      </c>
      <c r="E82" s="73">
        <v>0</v>
      </c>
      <c r="F82" s="73">
        <v>122</v>
      </c>
      <c r="G82" s="73">
        <v>530</v>
      </c>
      <c r="H82" s="73">
        <v>-576</v>
      </c>
      <c r="I82" s="73">
        <v>0</v>
      </c>
      <c r="J82" s="73">
        <v>-43</v>
      </c>
      <c r="K82" s="73">
        <v>33</v>
      </c>
      <c r="L82" s="72">
        <v>-499</v>
      </c>
      <c r="M82" s="72">
        <v>31</v>
      </c>
      <c r="N82" s="72">
        <v>16346</v>
      </c>
      <c r="O82" s="72">
        <v>20141</v>
      </c>
      <c r="P82" s="72">
        <v>-2924</v>
      </c>
      <c r="Q82" s="72">
        <v>17217</v>
      </c>
      <c r="R82" s="72">
        <v>16346</v>
      </c>
      <c r="S82" s="72">
        <v>871</v>
      </c>
      <c r="T82" s="72">
        <v>1.0532852073901873</v>
      </c>
      <c r="U82" s="74">
        <v>16742</v>
      </c>
      <c r="V82" s="755">
        <f t="shared" si="1"/>
        <v>475</v>
      </c>
      <c r="W82" s="644"/>
      <c r="X82" s="644"/>
      <c r="Y82" s="72">
        <v>396</v>
      </c>
      <c r="Z82" s="72">
        <v>396</v>
      </c>
      <c r="AA82" s="72"/>
      <c r="AB82" s="72"/>
      <c r="AC82" s="75"/>
      <c r="AD82" s="60"/>
      <c r="AE82" s="71">
        <v>0</v>
      </c>
      <c r="AF82" s="72">
        <v>0</v>
      </c>
      <c r="AG82" s="72">
        <v>0</v>
      </c>
      <c r="AH82" s="72">
        <v>17217</v>
      </c>
      <c r="AI82" s="75">
        <v>871</v>
      </c>
      <c r="AK82" s="19"/>
    </row>
    <row r="83" spans="2:37" ht="13" outlineLevel="1" x14ac:dyDescent="0.3">
      <c r="B83" s="31"/>
      <c r="C83" s="33"/>
      <c r="D83" s="33"/>
      <c r="E83" s="23"/>
      <c r="F83" s="23"/>
      <c r="G83" s="23"/>
      <c r="H83" s="23"/>
      <c r="I83" s="23"/>
      <c r="J83" s="23"/>
      <c r="K83" s="23"/>
      <c r="L83" s="33"/>
      <c r="M83" s="33"/>
      <c r="N83" s="33"/>
      <c r="O83" s="33"/>
      <c r="P83" s="33"/>
      <c r="Q83" s="33"/>
      <c r="R83" s="33"/>
      <c r="S83" s="33"/>
      <c r="T83" s="38"/>
      <c r="U83" s="59"/>
      <c r="V83" s="755">
        <f t="shared" si="1"/>
        <v>0</v>
      </c>
      <c r="W83" s="644"/>
      <c r="X83" s="644"/>
      <c r="Y83" s="33"/>
      <c r="Z83" s="33"/>
      <c r="AA83" s="33"/>
      <c r="AB83" s="33"/>
      <c r="AC83" s="42"/>
      <c r="AD83" s="60"/>
      <c r="AE83" s="105"/>
      <c r="AF83" s="93"/>
      <c r="AG83" s="33"/>
      <c r="AH83" s="33"/>
      <c r="AI83" s="101"/>
      <c r="AK83" s="19"/>
    </row>
    <row r="84" spans="2:37" ht="13" outlineLevel="1" x14ac:dyDescent="0.3">
      <c r="B84" s="31" t="s">
        <v>116</v>
      </c>
      <c r="C84" s="33">
        <v>33757</v>
      </c>
      <c r="D84" s="33">
        <v>34971</v>
      </c>
      <c r="E84" s="23">
        <v>0</v>
      </c>
      <c r="F84" s="23">
        <v>-1648</v>
      </c>
      <c r="G84" s="23">
        <v>1216</v>
      </c>
      <c r="H84" s="23">
        <v>-280</v>
      </c>
      <c r="I84" s="23">
        <v>0</v>
      </c>
      <c r="J84" s="23">
        <v>-2</v>
      </c>
      <c r="K84" s="23">
        <v>-714</v>
      </c>
      <c r="L84" s="33">
        <v>-1931</v>
      </c>
      <c r="M84" s="33">
        <v>-717</v>
      </c>
      <c r="N84" s="33">
        <v>33040</v>
      </c>
      <c r="O84" s="33">
        <v>87943</v>
      </c>
      <c r="P84" s="33">
        <v>-57987</v>
      </c>
      <c r="Q84" s="33">
        <v>29956</v>
      </c>
      <c r="R84" s="33">
        <v>33040</v>
      </c>
      <c r="S84" s="33">
        <v>-3084</v>
      </c>
      <c r="T84" s="38">
        <v>0.90665859564164653</v>
      </c>
      <c r="U84" s="59">
        <v>34985</v>
      </c>
      <c r="V84" s="755">
        <f t="shared" si="1"/>
        <v>-5029</v>
      </c>
      <c r="W84" s="644"/>
      <c r="X84" s="644"/>
      <c r="Y84" s="33">
        <v>1945</v>
      </c>
      <c r="Z84" s="33">
        <v>1945</v>
      </c>
      <c r="AA84" s="33">
        <v>0</v>
      </c>
      <c r="AB84" s="33">
        <v>0</v>
      </c>
      <c r="AC84" s="42">
        <v>0</v>
      </c>
      <c r="AD84" s="60"/>
      <c r="AE84" s="105">
        <v>0</v>
      </c>
      <c r="AF84" s="93">
        <v>0</v>
      </c>
      <c r="AG84" s="33">
        <v>0</v>
      </c>
      <c r="AH84" s="33">
        <v>29956</v>
      </c>
      <c r="AI84" s="101">
        <v>-3084</v>
      </c>
      <c r="AK84" s="19"/>
    </row>
    <row r="85" spans="2:37" ht="13" outlineLevel="1" x14ac:dyDescent="0.3">
      <c r="B85" s="31"/>
      <c r="C85" s="33"/>
      <c r="D85" s="33"/>
      <c r="E85" s="23"/>
      <c r="F85" s="23"/>
      <c r="G85" s="23"/>
      <c r="H85" s="23"/>
      <c r="I85" s="23"/>
      <c r="J85" s="23"/>
      <c r="K85" s="23"/>
      <c r="L85" s="33"/>
      <c r="M85" s="33"/>
      <c r="N85" s="33"/>
      <c r="O85" s="33"/>
      <c r="P85" s="33"/>
      <c r="Q85" s="33"/>
      <c r="R85" s="33"/>
      <c r="S85" s="33"/>
      <c r="T85" s="38"/>
      <c r="U85" s="59"/>
      <c r="V85" s="755">
        <f t="shared" si="1"/>
        <v>0</v>
      </c>
      <c r="W85" s="754"/>
      <c r="X85" s="754"/>
      <c r="Y85" s="33"/>
      <c r="Z85" s="33"/>
      <c r="AA85" s="33"/>
      <c r="AB85" s="33"/>
      <c r="AC85" s="42"/>
      <c r="AD85" s="60"/>
      <c r="AE85" s="105"/>
      <c r="AF85" s="93"/>
      <c r="AG85" s="33"/>
      <c r="AH85" s="33"/>
      <c r="AI85" s="101"/>
      <c r="AK85" s="19"/>
    </row>
    <row r="86" spans="2:37" ht="13" outlineLevel="1" x14ac:dyDescent="0.3">
      <c r="B86" s="31" t="s">
        <v>117</v>
      </c>
      <c r="C86" s="33">
        <v>5662</v>
      </c>
      <c r="D86" s="33">
        <v>5662</v>
      </c>
      <c r="E86" s="23">
        <v>0</v>
      </c>
      <c r="F86" s="23">
        <v>0</v>
      </c>
      <c r="G86" s="23">
        <v>0</v>
      </c>
      <c r="H86" s="23">
        <v>0</v>
      </c>
      <c r="I86" s="23">
        <v>0</v>
      </c>
      <c r="J86" s="23">
        <v>0</v>
      </c>
      <c r="K86" s="23">
        <v>0</v>
      </c>
      <c r="L86" s="33">
        <v>0</v>
      </c>
      <c r="M86" s="33">
        <v>0</v>
      </c>
      <c r="N86" s="33">
        <v>5662</v>
      </c>
      <c r="O86" s="33">
        <v>0</v>
      </c>
      <c r="P86" s="33">
        <v>0</v>
      </c>
      <c r="Q86" s="33">
        <v>0</v>
      </c>
      <c r="R86" s="33">
        <v>5662</v>
      </c>
      <c r="S86" s="33">
        <v>-5662</v>
      </c>
      <c r="T86" s="38">
        <v>0</v>
      </c>
      <c r="U86" s="59">
        <v>5662</v>
      </c>
      <c r="V86" s="755">
        <f t="shared" si="1"/>
        <v>-5662</v>
      </c>
      <c r="W86" s="755"/>
      <c r="X86" s="755"/>
      <c r="Y86" s="33">
        <v>0</v>
      </c>
      <c r="Z86" s="33">
        <v>0</v>
      </c>
      <c r="AA86" s="33"/>
      <c r="AB86" s="33"/>
      <c r="AC86" s="42"/>
      <c r="AD86" s="60"/>
      <c r="AE86" s="105"/>
      <c r="AF86" s="93"/>
      <c r="AG86" s="33">
        <v>0</v>
      </c>
      <c r="AH86" s="33">
        <v>0</v>
      </c>
      <c r="AI86" s="101">
        <v>-5662</v>
      </c>
      <c r="AK86" s="19"/>
    </row>
    <row r="87" spans="2:37" ht="13" outlineLevel="1" x14ac:dyDescent="0.3">
      <c r="B87" s="31" t="s">
        <v>118</v>
      </c>
      <c r="C87" s="33">
        <v>-5662</v>
      </c>
      <c r="D87" s="33">
        <v>-5662</v>
      </c>
      <c r="E87" s="23">
        <v>0</v>
      </c>
      <c r="F87" s="23">
        <v>0</v>
      </c>
      <c r="G87" s="23">
        <v>0</v>
      </c>
      <c r="H87" s="23">
        <v>0</v>
      </c>
      <c r="I87" s="23">
        <v>0</v>
      </c>
      <c r="J87" s="23">
        <v>0</v>
      </c>
      <c r="K87" s="23">
        <v>0</v>
      </c>
      <c r="L87" s="33">
        <v>0</v>
      </c>
      <c r="M87" s="33">
        <v>0</v>
      </c>
      <c r="N87" s="33">
        <v>-5662</v>
      </c>
      <c r="O87" s="33">
        <v>0</v>
      </c>
      <c r="P87" s="33">
        <v>0</v>
      </c>
      <c r="Q87" s="33">
        <v>0</v>
      </c>
      <c r="R87" s="33">
        <v>-5662</v>
      </c>
      <c r="S87" s="33">
        <v>5662</v>
      </c>
      <c r="T87" s="38">
        <v>0</v>
      </c>
      <c r="U87" s="59">
        <v>-5662</v>
      </c>
      <c r="V87" s="755">
        <f t="shared" si="1"/>
        <v>5662</v>
      </c>
      <c r="W87" s="755"/>
      <c r="X87" s="755"/>
      <c r="Y87" s="33">
        <v>0</v>
      </c>
      <c r="Z87" s="33">
        <v>0</v>
      </c>
      <c r="AA87" s="33"/>
      <c r="AB87" s="33"/>
      <c r="AC87" s="42"/>
      <c r="AD87" s="60"/>
      <c r="AE87" s="105"/>
      <c r="AF87" s="93"/>
      <c r="AG87" s="33">
        <v>0</v>
      </c>
      <c r="AH87" s="33">
        <v>0</v>
      </c>
      <c r="AI87" s="101">
        <v>5662</v>
      </c>
      <c r="AK87" s="19"/>
    </row>
    <row r="88" spans="2:37" ht="13" outlineLevel="1" x14ac:dyDescent="0.3">
      <c r="B88" s="31" t="s">
        <v>119</v>
      </c>
      <c r="C88" s="33">
        <v>0</v>
      </c>
      <c r="D88" s="33">
        <v>0</v>
      </c>
      <c r="E88" s="23">
        <v>0</v>
      </c>
      <c r="F88" s="23">
        <v>0</v>
      </c>
      <c r="G88" s="23">
        <v>0</v>
      </c>
      <c r="H88" s="23">
        <v>0</v>
      </c>
      <c r="I88" s="23">
        <v>0</v>
      </c>
      <c r="J88" s="23">
        <v>0</v>
      </c>
      <c r="K88" s="23">
        <v>0</v>
      </c>
      <c r="L88" s="33">
        <v>0</v>
      </c>
      <c r="M88" s="33">
        <v>0</v>
      </c>
      <c r="N88" s="33">
        <v>0</v>
      </c>
      <c r="O88" s="33">
        <v>0</v>
      </c>
      <c r="P88" s="33">
        <v>0</v>
      </c>
      <c r="Q88" s="33">
        <v>0</v>
      </c>
      <c r="R88" s="33">
        <v>0</v>
      </c>
      <c r="S88" s="33">
        <v>0</v>
      </c>
      <c r="T88" s="38" t="s">
        <v>42</v>
      </c>
      <c r="U88" s="59">
        <v>0</v>
      </c>
      <c r="V88" s="755">
        <f t="shared" si="1"/>
        <v>0</v>
      </c>
      <c r="W88" s="755"/>
      <c r="X88" s="755"/>
      <c r="Y88" s="33">
        <v>0</v>
      </c>
      <c r="Z88" s="33">
        <v>0</v>
      </c>
      <c r="AA88" s="33"/>
      <c r="AB88" s="33"/>
      <c r="AC88" s="42"/>
      <c r="AD88" s="60"/>
      <c r="AE88" s="105"/>
      <c r="AF88" s="93"/>
      <c r="AG88" s="33">
        <v>0</v>
      </c>
      <c r="AH88" s="33">
        <v>0</v>
      </c>
      <c r="AI88" s="101">
        <v>0</v>
      </c>
      <c r="AK88" s="19"/>
    </row>
    <row r="89" spans="2:37" ht="13" outlineLevel="1" x14ac:dyDescent="0.3">
      <c r="B89" s="31" t="s">
        <v>120</v>
      </c>
      <c r="C89" s="33">
        <v>0</v>
      </c>
      <c r="D89" s="33">
        <v>0</v>
      </c>
      <c r="E89" s="23">
        <v>0</v>
      </c>
      <c r="F89" s="23">
        <v>0</v>
      </c>
      <c r="G89" s="23">
        <v>0</v>
      </c>
      <c r="H89" s="23">
        <v>0</v>
      </c>
      <c r="I89" s="23">
        <v>0</v>
      </c>
      <c r="J89" s="23">
        <v>0</v>
      </c>
      <c r="K89" s="23">
        <v>0</v>
      </c>
      <c r="L89" s="33">
        <v>0</v>
      </c>
      <c r="M89" s="33">
        <v>0</v>
      </c>
      <c r="N89" s="33">
        <v>0</v>
      </c>
      <c r="O89" s="33">
        <v>0</v>
      </c>
      <c r="P89" s="33">
        <v>0</v>
      </c>
      <c r="Q89" s="33">
        <v>0</v>
      </c>
      <c r="R89" s="33">
        <v>0</v>
      </c>
      <c r="S89" s="33">
        <v>0</v>
      </c>
      <c r="T89" s="38" t="s">
        <v>42</v>
      </c>
      <c r="U89" s="59">
        <v>0</v>
      </c>
      <c r="V89" s="755">
        <f t="shared" si="1"/>
        <v>0</v>
      </c>
      <c r="W89" s="755"/>
      <c r="X89" s="755"/>
      <c r="Y89" s="33">
        <v>0</v>
      </c>
      <c r="Z89" s="33">
        <v>0</v>
      </c>
      <c r="AA89" s="33"/>
      <c r="AB89" s="33"/>
      <c r="AC89" s="42"/>
      <c r="AD89" s="60"/>
      <c r="AE89" s="105"/>
      <c r="AF89" s="93"/>
      <c r="AG89" s="33">
        <v>0</v>
      </c>
      <c r="AH89" s="33">
        <v>0</v>
      </c>
      <c r="AI89" s="101">
        <v>0</v>
      </c>
      <c r="AK89" s="19"/>
    </row>
    <row r="90" spans="2:37" ht="14.5" outlineLevel="1" x14ac:dyDescent="0.35">
      <c r="B90" s="31" t="s">
        <v>121</v>
      </c>
      <c r="C90" s="33">
        <v>0</v>
      </c>
      <c r="D90" s="33">
        <v>0</v>
      </c>
      <c r="E90" s="23">
        <v>0</v>
      </c>
      <c r="F90" s="23">
        <v>0</v>
      </c>
      <c r="G90" s="23">
        <v>0</v>
      </c>
      <c r="H90" s="23">
        <v>0</v>
      </c>
      <c r="I90" s="23">
        <v>0</v>
      </c>
      <c r="J90" s="23">
        <v>0</v>
      </c>
      <c r="K90" s="23">
        <v>0</v>
      </c>
      <c r="L90" s="33">
        <v>0</v>
      </c>
      <c r="M90" s="33">
        <v>0</v>
      </c>
      <c r="N90" s="33">
        <v>0</v>
      </c>
      <c r="O90" s="33">
        <v>-3611</v>
      </c>
      <c r="P90" s="33">
        <v>0</v>
      </c>
      <c r="Q90" s="33">
        <v>-3611</v>
      </c>
      <c r="R90" s="33">
        <v>0</v>
      </c>
      <c r="S90" s="33">
        <v>-3611</v>
      </c>
      <c r="T90" s="38" t="s">
        <v>42</v>
      </c>
      <c r="U90" s="59">
        <v>0</v>
      </c>
      <c r="V90" s="755">
        <f t="shared" si="1"/>
        <v>-3611</v>
      </c>
      <c r="W90" s="756"/>
      <c r="X90" s="756"/>
      <c r="Y90" s="33">
        <v>0</v>
      </c>
      <c r="Z90" s="33">
        <v>0</v>
      </c>
      <c r="AA90" s="33"/>
      <c r="AB90" s="33"/>
      <c r="AC90" s="42"/>
      <c r="AD90" s="60"/>
      <c r="AE90" s="105"/>
      <c r="AF90" s="93"/>
      <c r="AG90" s="33">
        <v>0</v>
      </c>
      <c r="AH90" s="33">
        <v>-3611</v>
      </c>
      <c r="AI90" s="101">
        <v>-3611</v>
      </c>
      <c r="AK90" s="19"/>
    </row>
    <row r="91" spans="2:37" ht="13" outlineLevel="1" x14ac:dyDescent="0.3">
      <c r="B91" s="31" t="s">
        <v>122</v>
      </c>
      <c r="C91" s="33">
        <v>0</v>
      </c>
      <c r="D91" s="33">
        <v>0</v>
      </c>
      <c r="E91" s="23">
        <v>0</v>
      </c>
      <c r="F91" s="23">
        <v>0</v>
      </c>
      <c r="G91" s="23">
        <v>0</v>
      </c>
      <c r="H91" s="23">
        <v>0</v>
      </c>
      <c r="I91" s="23">
        <v>0</v>
      </c>
      <c r="J91" s="23">
        <v>0</v>
      </c>
      <c r="K91" s="23">
        <v>0</v>
      </c>
      <c r="L91" s="33">
        <v>0</v>
      </c>
      <c r="M91" s="33">
        <v>0</v>
      </c>
      <c r="N91" s="33">
        <v>0</v>
      </c>
      <c r="O91" s="33">
        <v>3611</v>
      </c>
      <c r="P91" s="33">
        <v>0</v>
      </c>
      <c r="Q91" s="33">
        <v>3611</v>
      </c>
      <c r="R91" s="33">
        <v>0</v>
      </c>
      <c r="S91" s="33">
        <v>3611</v>
      </c>
      <c r="T91" s="38" t="s">
        <v>42</v>
      </c>
      <c r="U91" s="59">
        <v>0</v>
      </c>
      <c r="V91" s="755">
        <f t="shared" si="1"/>
        <v>3611</v>
      </c>
      <c r="W91" s="754"/>
      <c r="X91" s="754"/>
      <c r="Y91" s="33">
        <v>0</v>
      </c>
      <c r="Z91" s="33">
        <v>0</v>
      </c>
      <c r="AA91" s="33"/>
      <c r="AB91" s="33"/>
      <c r="AC91" s="42"/>
      <c r="AD91" s="60"/>
      <c r="AE91" s="105"/>
      <c r="AF91" s="93"/>
      <c r="AG91" s="33">
        <v>0</v>
      </c>
      <c r="AH91" s="33">
        <v>3611</v>
      </c>
      <c r="AI91" s="101">
        <v>3611</v>
      </c>
      <c r="AK91" s="19"/>
    </row>
    <row r="92" spans="2:37" ht="13" outlineLevel="1" x14ac:dyDescent="0.3">
      <c r="B92" s="31" t="s">
        <v>123</v>
      </c>
      <c r="C92" s="33">
        <v>0</v>
      </c>
      <c r="D92" s="33">
        <v>0</v>
      </c>
      <c r="E92" s="23">
        <v>0</v>
      </c>
      <c r="F92" s="23">
        <v>0</v>
      </c>
      <c r="G92" s="23">
        <v>0</v>
      </c>
      <c r="H92" s="23">
        <v>0</v>
      </c>
      <c r="I92" s="23">
        <v>0</v>
      </c>
      <c r="J92" s="23">
        <v>0</v>
      </c>
      <c r="K92" s="23">
        <v>0</v>
      </c>
      <c r="L92" s="33">
        <v>0</v>
      </c>
      <c r="M92" s="33">
        <v>0</v>
      </c>
      <c r="N92" s="33">
        <v>0</v>
      </c>
      <c r="O92" s="33">
        <v>54</v>
      </c>
      <c r="P92" s="33">
        <v>0</v>
      </c>
      <c r="Q92" s="33">
        <v>54</v>
      </c>
      <c r="R92" s="33">
        <v>0</v>
      </c>
      <c r="S92" s="33">
        <v>54</v>
      </c>
      <c r="T92" s="38" t="s">
        <v>42</v>
      </c>
      <c r="U92" s="59">
        <v>0</v>
      </c>
      <c r="V92" s="755">
        <f t="shared" si="1"/>
        <v>54</v>
      </c>
      <c r="W92" s="754"/>
      <c r="X92" s="754"/>
      <c r="Y92" s="33">
        <v>0</v>
      </c>
      <c r="Z92" s="33">
        <v>0</v>
      </c>
      <c r="AA92" s="33"/>
      <c r="AB92" s="33"/>
      <c r="AC92" s="42"/>
      <c r="AD92" s="60"/>
      <c r="AE92" s="105"/>
      <c r="AF92" s="93"/>
      <c r="AG92" s="33">
        <v>0</v>
      </c>
      <c r="AH92" s="33">
        <v>54</v>
      </c>
      <c r="AI92" s="101">
        <v>54</v>
      </c>
      <c r="AK92" s="19"/>
    </row>
    <row r="93" spans="2:37" ht="13" outlineLevel="1" x14ac:dyDescent="0.3">
      <c r="B93" s="31" t="s">
        <v>124</v>
      </c>
      <c r="C93" s="33">
        <v>0</v>
      </c>
      <c r="D93" s="33">
        <v>0</v>
      </c>
      <c r="E93" s="23">
        <v>0</v>
      </c>
      <c r="F93" s="23">
        <v>0</v>
      </c>
      <c r="G93" s="23">
        <v>0</v>
      </c>
      <c r="H93" s="23">
        <v>0</v>
      </c>
      <c r="I93" s="23">
        <v>0</v>
      </c>
      <c r="J93" s="23">
        <v>0</v>
      </c>
      <c r="K93" s="23">
        <v>0</v>
      </c>
      <c r="L93" s="33">
        <v>0</v>
      </c>
      <c r="M93" s="33">
        <v>0</v>
      </c>
      <c r="N93" s="33">
        <v>0</v>
      </c>
      <c r="O93" s="33">
        <v>-54</v>
      </c>
      <c r="P93" s="33">
        <v>0</v>
      </c>
      <c r="Q93" s="33">
        <v>-54</v>
      </c>
      <c r="R93" s="33">
        <v>0</v>
      </c>
      <c r="S93" s="33">
        <v>-54</v>
      </c>
      <c r="T93" s="38" t="s">
        <v>42</v>
      </c>
      <c r="U93" s="59">
        <v>0</v>
      </c>
      <c r="V93" s="755">
        <f t="shared" si="1"/>
        <v>-54</v>
      </c>
      <c r="W93" s="754"/>
      <c r="X93" s="754"/>
      <c r="Y93" s="33">
        <v>0</v>
      </c>
      <c r="Z93" s="33">
        <v>0</v>
      </c>
      <c r="AA93" s="33"/>
      <c r="AB93" s="33"/>
      <c r="AC93" s="42"/>
      <c r="AD93" s="60"/>
      <c r="AE93" s="105"/>
      <c r="AF93" s="93"/>
      <c r="AG93" s="33">
        <v>0</v>
      </c>
      <c r="AH93" s="33">
        <v>-54</v>
      </c>
      <c r="AI93" s="101">
        <v>-54</v>
      </c>
      <c r="AK93" s="19"/>
    </row>
    <row r="94" spans="2:37" ht="13" outlineLevel="1" x14ac:dyDescent="0.3">
      <c r="B94" s="31" t="s">
        <v>125</v>
      </c>
      <c r="C94" s="33">
        <v>0</v>
      </c>
      <c r="D94" s="33">
        <v>0</v>
      </c>
      <c r="E94" s="23">
        <v>0</v>
      </c>
      <c r="F94" s="23">
        <v>0</v>
      </c>
      <c r="G94" s="23">
        <v>0</v>
      </c>
      <c r="H94" s="23">
        <v>0</v>
      </c>
      <c r="I94" s="23">
        <v>0</v>
      </c>
      <c r="J94" s="23">
        <v>0</v>
      </c>
      <c r="K94" s="23">
        <v>0</v>
      </c>
      <c r="L94" s="33">
        <v>0</v>
      </c>
      <c r="M94" s="33">
        <v>0</v>
      </c>
      <c r="N94" s="33">
        <v>0</v>
      </c>
      <c r="O94" s="33">
        <v>-173</v>
      </c>
      <c r="P94" s="33">
        <v>0</v>
      </c>
      <c r="Q94" s="33">
        <v>-173</v>
      </c>
      <c r="R94" s="33">
        <v>0</v>
      </c>
      <c r="S94" s="33">
        <v>-173</v>
      </c>
      <c r="T94" s="38" t="s">
        <v>42</v>
      </c>
      <c r="U94" s="59">
        <v>0</v>
      </c>
      <c r="V94" s="755">
        <f t="shared" si="1"/>
        <v>-173</v>
      </c>
      <c r="W94" s="754"/>
      <c r="X94" s="754"/>
      <c r="Y94" s="33">
        <v>0</v>
      </c>
      <c r="Z94" s="33">
        <v>0</v>
      </c>
      <c r="AA94" s="33"/>
      <c r="AB94" s="33"/>
      <c r="AC94" s="42"/>
      <c r="AD94" s="60"/>
      <c r="AE94" s="105"/>
      <c r="AF94" s="93"/>
      <c r="AG94" s="33">
        <v>0</v>
      </c>
      <c r="AH94" s="33">
        <v>-173</v>
      </c>
      <c r="AI94" s="101">
        <v>-173</v>
      </c>
      <c r="AK94" s="19"/>
    </row>
    <row r="95" spans="2:37" ht="13" outlineLevel="1" x14ac:dyDescent="0.3">
      <c r="B95" s="31" t="s">
        <v>126</v>
      </c>
      <c r="C95" s="33">
        <v>0</v>
      </c>
      <c r="D95" s="33">
        <v>0</v>
      </c>
      <c r="E95" s="23">
        <v>0</v>
      </c>
      <c r="F95" s="23">
        <v>0</v>
      </c>
      <c r="G95" s="23">
        <v>0</v>
      </c>
      <c r="H95" s="23">
        <v>0</v>
      </c>
      <c r="I95" s="23">
        <v>0</v>
      </c>
      <c r="J95" s="23">
        <v>0</v>
      </c>
      <c r="K95" s="23">
        <v>0</v>
      </c>
      <c r="L95" s="33">
        <v>0</v>
      </c>
      <c r="M95" s="33">
        <v>0</v>
      </c>
      <c r="N95" s="33">
        <v>0</v>
      </c>
      <c r="O95" s="33">
        <v>173</v>
      </c>
      <c r="P95" s="33">
        <v>0</v>
      </c>
      <c r="Q95" s="33">
        <v>173</v>
      </c>
      <c r="R95" s="33">
        <v>0</v>
      </c>
      <c r="S95" s="33">
        <v>173</v>
      </c>
      <c r="T95" s="38" t="s">
        <v>42</v>
      </c>
      <c r="U95" s="59">
        <v>0</v>
      </c>
      <c r="V95" s="755">
        <f t="shared" si="1"/>
        <v>173</v>
      </c>
      <c r="W95" s="754"/>
      <c r="X95" s="754"/>
      <c r="Y95" s="33">
        <v>0</v>
      </c>
      <c r="Z95" s="33">
        <v>0</v>
      </c>
      <c r="AA95" s="33"/>
      <c r="AB95" s="33"/>
      <c r="AC95" s="42"/>
      <c r="AD95" s="60"/>
      <c r="AE95" s="105"/>
      <c r="AF95" s="93"/>
      <c r="AG95" s="33">
        <v>0</v>
      </c>
      <c r="AH95" s="33">
        <v>173</v>
      </c>
      <c r="AI95" s="101">
        <v>173</v>
      </c>
      <c r="AK95" s="19"/>
    </row>
    <row r="96" spans="2:37" ht="13" outlineLevel="1" x14ac:dyDescent="0.3">
      <c r="B96" s="31" t="s">
        <v>127</v>
      </c>
      <c r="C96" s="33">
        <v>0</v>
      </c>
      <c r="D96" s="33">
        <v>0</v>
      </c>
      <c r="E96" s="23">
        <v>0</v>
      </c>
      <c r="F96" s="23">
        <v>0</v>
      </c>
      <c r="G96" s="23">
        <v>0</v>
      </c>
      <c r="H96" s="23">
        <v>0</v>
      </c>
      <c r="I96" s="23">
        <v>0</v>
      </c>
      <c r="J96" s="23">
        <v>0</v>
      </c>
      <c r="K96" s="23">
        <v>0</v>
      </c>
      <c r="L96" s="33">
        <v>0</v>
      </c>
      <c r="M96" s="33">
        <v>0</v>
      </c>
      <c r="N96" s="33">
        <v>0</v>
      </c>
      <c r="O96" s="33">
        <v>0</v>
      </c>
      <c r="P96" s="33">
        <v>0</v>
      </c>
      <c r="Q96" s="33">
        <v>0</v>
      </c>
      <c r="R96" s="33">
        <v>0</v>
      </c>
      <c r="S96" s="33">
        <v>0</v>
      </c>
      <c r="T96" s="38" t="s">
        <v>42</v>
      </c>
      <c r="U96" s="59">
        <v>0</v>
      </c>
      <c r="V96" s="755">
        <f t="shared" si="1"/>
        <v>0</v>
      </c>
      <c r="W96" s="644"/>
      <c r="X96" s="644"/>
      <c r="Y96" s="33">
        <v>0</v>
      </c>
      <c r="Z96" s="33">
        <v>0</v>
      </c>
      <c r="AA96" s="33"/>
      <c r="AB96" s="33"/>
      <c r="AC96" s="42"/>
      <c r="AD96" s="60"/>
      <c r="AE96" s="105"/>
      <c r="AF96" s="93"/>
      <c r="AG96" s="33">
        <v>0</v>
      </c>
      <c r="AH96" s="33">
        <v>0</v>
      </c>
      <c r="AI96" s="101">
        <v>0</v>
      </c>
      <c r="AK96" s="19"/>
    </row>
    <row r="97" spans="2:37" ht="13" outlineLevel="1" x14ac:dyDescent="0.3">
      <c r="B97" s="31" t="s">
        <v>128</v>
      </c>
      <c r="C97" s="33">
        <v>0</v>
      </c>
      <c r="D97" s="33">
        <v>0</v>
      </c>
      <c r="E97" s="23">
        <v>0</v>
      </c>
      <c r="F97" s="23">
        <v>0</v>
      </c>
      <c r="G97" s="23">
        <v>0</v>
      </c>
      <c r="H97" s="23">
        <v>0</v>
      </c>
      <c r="I97" s="23">
        <v>0</v>
      </c>
      <c r="J97" s="23">
        <v>0</v>
      </c>
      <c r="K97" s="23">
        <v>0</v>
      </c>
      <c r="L97" s="33">
        <v>0</v>
      </c>
      <c r="M97" s="33">
        <v>0</v>
      </c>
      <c r="N97" s="33">
        <v>0</v>
      </c>
      <c r="O97" s="33">
        <v>0</v>
      </c>
      <c r="P97" s="33">
        <v>0</v>
      </c>
      <c r="Q97" s="33">
        <v>0</v>
      </c>
      <c r="R97" s="33">
        <v>0</v>
      </c>
      <c r="S97" s="33">
        <v>0</v>
      </c>
      <c r="T97" s="38" t="s">
        <v>42</v>
      </c>
      <c r="U97" s="59">
        <v>0</v>
      </c>
      <c r="V97" s="755">
        <f t="shared" si="1"/>
        <v>0</v>
      </c>
      <c r="W97" s="754"/>
      <c r="X97" s="754"/>
      <c r="Y97" s="33">
        <v>0</v>
      </c>
      <c r="Z97" s="33">
        <v>0</v>
      </c>
      <c r="AA97" s="33"/>
      <c r="AB97" s="33"/>
      <c r="AC97" s="42"/>
      <c r="AD97" s="60"/>
      <c r="AE97" s="105"/>
      <c r="AF97" s="93"/>
      <c r="AG97" s="33">
        <v>0</v>
      </c>
      <c r="AH97" s="33">
        <v>0</v>
      </c>
      <c r="AI97" s="101">
        <v>0</v>
      </c>
      <c r="AK97" s="19"/>
    </row>
    <row r="98" spans="2:37" ht="13" outlineLevel="1" x14ac:dyDescent="0.3">
      <c r="B98" s="31" t="s">
        <v>129</v>
      </c>
      <c r="C98" s="33">
        <v>0</v>
      </c>
      <c r="D98" s="33">
        <v>0</v>
      </c>
      <c r="E98" s="23">
        <v>0</v>
      </c>
      <c r="F98" s="23">
        <v>0</v>
      </c>
      <c r="G98" s="23">
        <v>0</v>
      </c>
      <c r="H98" s="23">
        <v>0</v>
      </c>
      <c r="I98" s="23">
        <v>0</v>
      </c>
      <c r="J98" s="23">
        <v>0</v>
      </c>
      <c r="K98" s="23">
        <v>0</v>
      </c>
      <c r="L98" s="33">
        <v>0</v>
      </c>
      <c r="M98" s="33">
        <v>0</v>
      </c>
      <c r="N98" s="33">
        <v>0</v>
      </c>
      <c r="O98" s="33">
        <v>0</v>
      </c>
      <c r="P98" s="33">
        <v>0</v>
      </c>
      <c r="Q98" s="33">
        <v>0</v>
      </c>
      <c r="R98" s="33">
        <v>0</v>
      </c>
      <c r="S98" s="33">
        <v>0</v>
      </c>
      <c r="T98" s="38" t="s">
        <v>42</v>
      </c>
      <c r="U98" s="59">
        <v>0</v>
      </c>
      <c r="V98" s="755">
        <f t="shared" si="1"/>
        <v>0</v>
      </c>
      <c r="W98" s="754"/>
      <c r="X98" s="754"/>
      <c r="Y98" s="33">
        <v>0</v>
      </c>
      <c r="Z98" s="33">
        <v>0</v>
      </c>
      <c r="AA98" s="33"/>
      <c r="AB98" s="33"/>
      <c r="AC98" s="42"/>
      <c r="AD98" s="60"/>
      <c r="AE98" s="105"/>
      <c r="AF98" s="93"/>
      <c r="AG98" s="33">
        <v>0</v>
      </c>
      <c r="AH98" s="33">
        <v>0</v>
      </c>
      <c r="AI98" s="101">
        <v>0</v>
      </c>
      <c r="AK98" s="19"/>
    </row>
    <row r="99" spans="2:37" ht="13" outlineLevel="1" x14ac:dyDescent="0.3">
      <c r="B99" s="31" t="s">
        <v>130</v>
      </c>
      <c r="C99" s="33">
        <v>0</v>
      </c>
      <c r="D99" s="33">
        <v>0</v>
      </c>
      <c r="E99" s="23">
        <v>0</v>
      </c>
      <c r="F99" s="23">
        <v>0</v>
      </c>
      <c r="G99" s="23">
        <v>0</v>
      </c>
      <c r="H99" s="23">
        <v>0</v>
      </c>
      <c r="I99" s="23">
        <v>0</v>
      </c>
      <c r="J99" s="23">
        <v>0</v>
      </c>
      <c r="K99" s="23">
        <v>0</v>
      </c>
      <c r="L99" s="33">
        <v>0</v>
      </c>
      <c r="M99" s="33">
        <v>0</v>
      </c>
      <c r="N99" s="33">
        <v>0</v>
      </c>
      <c r="O99" s="33">
        <v>0</v>
      </c>
      <c r="P99" s="33">
        <v>0</v>
      </c>
      <c r="Q99" s="33">
        <v>0</v>
      </c>
      <c r="R99" s="33">
        <v>0</v>
      </c>
      <c r="S99" s="33">
        <v>0</v>
      </c>
      <c r="T99" s="38" t="s">
        <v>42</v>
      </c>
      <c r="U99" s="59">
        <v>0</v>
      </c>
      <c r="V99" s="755">
        <f t="shared" si="1"/>
        <v>0</v>
      </c>
      <c r="W99" s="754"/>
      <c r="X99" s="754"/>
      <c r="Y99" s="33">
        <v>0</v>
      </c>
      <c r="Z99" s="33">
        <v>0</v>
      </c>
      <c r="AA99" s="33"/>
      <c r="AB99" s="33"/>
      <c r="AC99" s="42"/>
      <c r="AD99" s="60"/>
      <c r="AE99" s="105"/>
      <c r="AF99" s="93"/>
      <c r="AG99" s="33">
        <v>0</v>
      </c>
      <c r="AH99" s="33">
        <v>0</v>
      </c>
      <c r="AI99" s="101">
        <v>0</v>
      </c>
      <c r="AK99" s="19"/>
    </row>
    <row r="100" spans="2:37" ht="13" outlineLevel="1" x14ac:dyDescent="0.3">
      <c r="B100" s="31" t="s">
        <v>131</v>
      </c>
      <c r="C100" s="33">
        <v>0</v>
      </c>
      <c r="D100" s="33">
        <v>0</v>
      </c>
      <c r="E100" s="23">
        <v>0</v>
      </c>
      <c r="F100" s="23">
        <v>0</v>
      </c>
      <c r="G100" s="23">
        <v>0</v>
      </c>
      <c r="H100" s="23">
        <v>0</v>
      </c>
      <c r="I100" s="23">
        <v>0</v>
      </c>
      <c r="J100" s="23">
        <v>0</v>
      </c>
      <c r="K100" s="23">
        <v>0</v>
      </c>
      <c r="L100" s="33">
        <v>0</v>
      </c>
      <c r="M100" s="33">
        <v>0</v>
      </c>
      <c r="N100" s="33">
        <v>0</v>
      </c>
      <c r="O100" s="33">
        <v>0</v>
      </c>
      <c r="P100" s="33">
        <v>0</v>
      </c>
      <c r="Q100" s="33">
        <v>0</v>
      </c>
      <c r="R100" s="33">
        <v>0</v>
      </c>
      <c r="S100" s="33">
        <v>0</v>
      </c>
      <c r="T100" s="38" t="s">
        <v>42</v>
      </c>
      <c r="U100" s="59">
        <v>0</v>
      </c>
      <c r="V100" s="755">
        <f t="shared" si="1"/>
        <v>0</v>
      </c>
      <c r="W100" s="754"/>
      <c r="X100" s="754"/>
      <c r="Y100" s="33">
        <v>0</v>
      </c>
      <c r="Z100" s="33">
        <v>0</v>
      </c>
      <c r="AA100" s="33"/>
      <c r="AB100" s="33"/>
      <c r="AC100" s="42"/>
      <c r="AD100" s="60"/>
      <c r="AE100" s="105"/>
      <c r="AF100" s="93"/>
      <c r="AG100" s="33">
        <v>0</v>
      </c>
      <c r="AH100" s="33">
        <v>0</v>
      </c>
      <c r="AI100" s="101">
        <v>0</v>
      </c>
      <c r="AK100" s="19"/>
    </row>
    <row r="101" spans="2:37" ht="13.5" outlineLevel="1" thickBot="1" x14ac:dyDescent="0.35">
      <c r="B101" s="80" t="s">
        <v>132</v>
      </c>
      <c r="C101" s="81">
        <v>14098</v>
      </c>
      <c r="D101" s="81">
        <v>14098</v>
      </c>
      <c r="E101" s="82">
        <v>0</v>
      </c>
      <c r="F101" s="82">
        <v>0</v>
      </c>
      <c r="G101" s="82">
        <v>0</v>
      </c>
      <c r="H101" s="82">
        <v>0</v>
      </c>
      <c r="I101" s="82">
        <v>0</v>
      </c>
      <c r="J101" s="82">
        <v>0</v>
      </c>
      <c r="K101" s="82">
        <v>0</v>
      </c>
      <c r="L101" s="81">
        <v>0</v>
      </c>
      <c r="M101" s="81">
        <v>0</v>
      </c>
      <c r="N101" s="81">
        <v>14098</v>
      </c>
      <c r="O101" s="81">
        <v>30571</v>
      </c>
      <c r="P101" s="81">
        <v>0</v>
      </c>
      <c r="Q101" s="81">
        <v>30571</v>
      </c>
      <c r="R101" s="81">
        <v>14098</v>
      </c>
      <c r="S101" s="81">
        <v>16473</v>
      </c>
      <c r="T101" s="81">
        <v>2.1684636118598384</v>
      </c>
      <c r="U101" s="83">
        <v>14098</v>
      </c>
      <c r="V101" s="755">
        <f t="shared" si="1"/>
        <v>16473</v>
      </c>
      <c r="W101" s="644"/>
      <c r="X101" s="644"/>
      <c r="Y101" s="81">
        <v>0</v>
      </c>
      <c r="Z101" s="81">
        <v>0</v>
      </c>
      <c r="AA101" s="81"/>
      <c r="AB101" s="81"/>
      <c r="AC101" s="84"/>
      <c r="AD101" s="60"/>
      <c r="AE101" s="98"/>
      <c r="AF101" s="36"/>
      <c r="AG101" s="36">
        <v>0</v>
      </c>
      <c r="AH101" s="36">
        <v>30571</v>
      </c>
      <c r="AI101" s="99">
        <v>16473</v>
      </c>
      <c r="AK101" s="19"/>
    </row>
    <row r="102" spans="2:37" ht="13.5" thickBot="1" x14ac:dyDescent="0.35">
      <c r="B102" s="68" t="s">
        <v>133</v>
      </c>
      <c r="C102" s="69">
        <v>-20581</v>
      </c>
      <c r="D102" s="69">
        <v>-20581</v>
      </c>
      <c r="E102" s="77">
        <v>0</v>
      </c>
      <c r="F102" s="77">
        <v>0</v>
      </c>
      <c r="G102" s="77">
        <v>0</v>
      </c>
      <c r="H102" s="77">
        <v>0</v>
      </c>
      <c r="I102" s="77">
        <v>0</v>
      </c>
      <c r="J102" s="77">
        <v>0</v>
      </c>
      <c r="K102" s="77">
        <v>0</v>
      </c>
      <c r="L102" s="69">
        <v>0</v>
      </c>
      <c r="M102" s="69">
        <v>0</v>
      </c>
      <c r="N102" s="69">
        <v>-20581</v>
      </c>
      <c r="O102" s="69">
        <v>-27534</v>
      </c>
      <c r="P102" s="69">
        <v>0</v>
      </c>
      <c r="Q102" s="69">
        <v>-27534</v>
      </c>
      <c r="R102" s="69">
        <v>-20581</v>
      </c>
      <c r="S102" s="69">
        <v>-6953</v>
      </c>
      <c r="T102" s="70">
        <v>1.3378358680336233</v>
      </c>
      <c r="U102" s="76">
        <v>-20581</v>
      </c>
      <c r="V102" s="755">
        <f t="shared" si="1"/>
        <v>-6953</v>
      </c>
      <c r="W102" s="644"/>
      <c r="X102" s="644"/>
      <c r="Y102" s="69">
        <v>0</v>
      </c>
      <c r="Z102" s="69">
        <v>0</v>
      </c>
      <c r="AA102" s="69"/>
      <c r="AB102" s="69"/>
      <c r="AC102" s="69"/>
      <c r="AD102" s="60"/>
      <c r="AE102" s="69"/>
      <c r="AF102" s="69"/>
      <c r="AG102" s="69">
        <v>0</v>
      </c>
      <c r="AH102" s="69">
        <v>-27534</v>
      </c>
      <c r="AI102" s="69">
        <v>-6953</v>
      </c>
      <c r="AK102" s="19"/>
    </row>
    <row r="103" spans="2:37" ht="13.5" thickTop="1" x14ac:dyDescent="0.3">
      <c r="B103" s="71" t="s">
        <v>134</v>
      </c>
      <c r="C103" s="72">
        <v>-3149</v>
      </c>
      <c r="D103" s="72">
        <v>-3149</v>
      </c>
      <c r="E103" s="73">
        <v>0</v>
      </c>
      <c r="F103" s="73">
        <v>0</v>
      </c>
      <c r="G103" s="73">
        <v>0</v>
      </c>
      <c r="H103" s="73">
        <v>0</v>
      </c>
      <c r="I103" s="73">
        <v>0</v>
      </c>
      <c r="J103" s="73">
        <v>0</v>
      </c>
      <c r="K103" s="73">
        <v>0</v>
      </c>
      <c r="L103" s="72">
        <v>0</v>
      </c>
      <c r="M103" s="72">
        <v>0</v>
      </c>
      <c r="N103" s="72">
        <v>-3149</v>
      </c>
      <c r="O103" s="72">
        <v>0</v>
      </c>
      <c r="P103" s="72">
        <v>-3426</v>
      </c>
      <c r="Q103" s="72">
        <v>-3426</v>
      </c>
      <c r="R103" s="72">
        <v>-3149</v>
      </c>
      <c r="S103" s="72">
        <v>-277</v>
      </c>
      <c r="T103" s="72">
        <v>1.087964433153382</v>
      </c>
      <c r="U103" s="74">
        <v>-3149</v>
      </c>
      <c r="V103" s="755">
        <f t="shared" si="1"/>
        <v>-277</v>
      </c>
      <c r="W103" s="644"/>
      <c r="X103" s="644"/>
      <c r="Y103" s="72">
        <v>0</v>
      </c>
      <c r="Z103" s="72">
        <v>0</v>
      </c>
      <c r="AA103" s="72"/>
      <c r="AB103" s="72"/>
      <c r="AC103" s="75"/>
      <c r="AD103" s="60"/>
      <c r="AE103" s="71"/>
      <c r="AF103" s="72"/>
      <c r="AG103" s="72">
        <v>0</v>
      </c>
      <c r="AH103" s="72">
        <v>-3426</v>
      </c>
      <c r="AI103" s="75">
        <v>-277</v>
      </c>
      <c r="AK103" s="19"/>
    </row>
    <row r="104" spans="2:37" ht="13" x14ac:dyDescent="0.3">
      <c r="B104" s="78"/>
      <c r="C104" s="34"/>
      <c r="D104" s="34"/>
      <c r="E104" s="24"/>
      <c r="F104" s="24"/>
      <c r="G104" s="24"/>
      <c r="H104" s="24"/>
      <c r="I104" s="24"/>
      <c r="J104" s="24"/>
      <c r="K104" s="24"/>
      <c r="L104" s="34"/>
      <c r="M104" s="34"/>
      <c r="N104" s="34"/>
      <c r="O104" s="34"/>
      <c r="P104" s="34"/>
      <c r="Q104" s="34"/>
      <c r="R104" s="34"/>
      <c r="S104" s="34"/>
      <c r="T104" s="94"/>
      <c r="U104" s="95"/>
      <c r="V104" s="755">
        <f t="shared" si="1"/>
        <v>0</v>
      </c>
      <c r="W104" s="754"/>
      <c r="X104" s="754"/>
      <c r="Y104" s="34"/>
      <c r="Z104" s="34"/>
      <c r="AA104" s="34"/>
      <c r="AB104" s="34"/>
      <c r="AC104" s="41"/>
      <c r="AD104" s="60"/>
      <c r="AE104" s="100"/>
      <c r="AF104" s="33"/>
      <c r="AG104" s="33"/>
      <c r="AH104" s="33"/>
      <c r="AI104" s="101"/>
      <c r="AK104" s="19"/>
    </row>
    <row r="105" spans="2:37" ht="13" outlineLevel="1" x14ac:dyDescent="0.3">
      <c r="B105" s="79" t="s">
        <v>135</v>
      </c>
      <c r="C105" s="33">
        <v>-9632</v>
      </c>
      <c r="D105" s="33">
        <v>-9632</v>
      </c>
      <c r="E105" s="23">
        <v>0</v>
      </c>
      <c r="F105" s="23">
        <v>0</v>
      </c>
      <c r="G105" s="23">
        <v>0</v>
      </c>
      <c r="H105" s="23">
        <v>0</v>
      </c>
      <c r="I105" s="23">
        <v>0</v>
      </c>
      <c r="J105" s="23">
        <v>0</v>
      </c>
      <c r="K105" s="23">
        <v>0</v>
      </c>
      <c r="L105" s="33">
        <v>0</v>
      </c>
      <c r="M105" s="33">
        <v>0</v>
      </c>
      <c r="N105" s="33">
        <v>-9632</v>
      </c>
      <c r="O105" s="33">
        <v>3037</v>
      </c>
      <c r="P105" s="33">
        <v>-3426</v>
      </c>
      <c r="Q105" s="33">
        <v>-389</v>
      </c>
      <c r="R105" s="33">
        <v>-9632</v>
      </c>
      <c r="S105" s="33">
        <v>9243</v>
      </c>
      <c r="T105" s="38">
        <v>4.0386212624584715E-2</v>
      </c>
      <c r="U105" s="59">
        <v>-9632</v>
      </c>
      <c r="V105" s="755">
        <f t="shared" si="1"/>
        <v>9243</v>
      </c>
      <c r="W105" s="755"/>
      <c r="X105" s="755"/>
      <c r="Y105" s="33">
        <v>0</v>
      </c>
      <c r="Z105" s="33">
        <v>0</v>
      </c>
      <c r="AA105" s="33">
        <v>0</v>
      </c>
      <c r="AB105" s="33">
        <v>0</v>
      </c>
      <c r="AC105" s="42">
        <v>0</v>
      </c>
      <c r="AD105" s="60"/>
      <c r="AE105" s="105">
        <v>0</v>
      </c>
      <c r="AF105" s="93">
        <v>0</v>
      </c>
      <c r="AG105" s="33">
        <v>0</v>
      </c>
      <c r="AH105" s="33">
        <v>-389</v>
      </c>
      <c r="AI105" s="101">
        <v>9243</v>
      </c>
      <c r="AK105" s="19"/>
    </row>
    <row r="106" spans="2:37" ht="13" outlineLevel="1" x14ac:dyDescent="0.3">
      <c r="B106" s="79"/>
      <c r="C106" s="33"/>
      <c r="D106" s="33"/>
      <c r="E106" s="23"/>
      <c r="F106" s="23"/>
      <c r="G106" s="23"/>
      <c r="H106" s="23"/>
      <c r="I106" s="23"/>
      <c r="J106" s="23"/>
      <c r="K106" s="23"/>
      <c r="L106" s="33"/>
      <c r="M106" s="33"/>
      <c r="N106" s="33"/>
      <c r="O106" s="33"/>
      <c r="P106" s="33"/>
      <c r="Q106" s="33"/>
      <c r="R106" s="33"/>
      <c r="S106" s="33"/>
      <c r="T106" s="38"/>
      <c r="U106" s="59"/>
      <c r="V106" s="755">
        <f t="shared" si="1"/>
        <v>0</v>
      </c>
      <c r="W106" s="755"/>
      <c r="X106" s="755"/>
      <c r="Y106" s="33"/>
      <c r="Z106" s="33"/>
      <c r="AA106" s="33"/>
      <c r="AB106" s="33"/>
      <c r="AC106" s="42"/>
      <c r="AD106" s="60"/>
      <c r="AE106" s="105"/>
      <c r="AF106" s="93"/>
      <c r="AG106" s="33"/>
      <c r="AH106" s="33"/>
      <c r="AI106" s="101"/>
      <c r="AK106" s="19"/>
    </row>
    <row r="107" spans="2:37" ht="13" outlineLevel="1" x14ac:dyDescent="0.3">
      <c r="B107" s="79" t="s">
        <v>136</v>
      </c>
      <c r="C107" s="33">
        <v>-2540</v>
      </c>
      <c r="D107" s="33">
        <v>-2540</v>
      </c>
      <c r="E107" s="23">
        <v>0</v>
      </c>
      <c r="F107" s="23">
        <v>0</v>
      </c>
      <c r="G107" s="23">
        <v>0</v>
      </c>
      <c r="H107" s="23">
        <v>0</v>
      </c>
      <c r="I107" s="23">
        <v>0</v>
      </c>
      <c r="J107" s="23">
        <v>0</v>
      </c>
      <c r="K107" s="23">
        <v>0</v>
      </c>
      <c r="L107" s="33">
        <v>0</v>
      </c>
      <c r="M107" s="33">
        <v>0</v>
      </c>
      <c r="N107" s="33">
        <v>-2540</v>
      </c>
      <c r="O107" s="33">
        <v>67220</v>
      </c>
      <c r="P107" s="33">
        <v>-67520</v>
      </c>
      <c r="Q107" s="33">
        <v>-300</v>
      </c>
      <c r="R107" s="33">
        <v>-2540</v>
      </c>
      <c r="S107" s="33">
        <v>2240</v>
      </c>
      <c r="T107" s="38">
        <v>0.11811023622047244</v>
      </c>
      <c r="U107" s="59">
        <v>-2540</v>
      </c>
      <c r="V107" s="755">
        <f t="shared" si="1"/>
        <v>2240</v>
      </c>
      <c r="W107" s="755"/>
      <c r="X107" s="755"/>
      <c r="Y107" s="33">
        <v>0</v>
      </c>
      <c r="Z107" s="33">
        <v>0</v>
      </c>
      <c r="AA107" s="33"/>
      <c r="AB107" s="33"/>
      <c r="AC107" s="42"/>
      <c r="AD107" s="60"/>
      <c r="AE107" s="105">
        <v>0</v>
      </c>
      <c r="AF107" s="93">
        <v>0</v>
      </c>
      <c r="AG107" s="33">
        <v>0</v>
      </c>
      <c r="AH107" s="33">
        <v>-300</v>
      </c>
      <c r="AI107" s="101">
        <v>2240</v>
      </c>
      <c r="AK107" s="19"/>
    </row>
    <row r="108" spans="2:37" ht="13" outlineLevel="1" x14ac:dyDescent="0.3">
      <c r="B108" s="79" t="s">
        <v>137</v>
      </c>
      <c r="C108" s="33">
        <v>380</v>
      </c>
      <c r="D108" s="33">
        <v>380</v>
      </c>
      <c r="E108" s="23">
        <v>0</v>
      </c>
      <c r="F108" s="23">
        <v>0</v>
      </c>
      <c r="G108" s="23">
        <v>0</v>
      </c>
      <c r="H108" s="23">
        <v>0</v>
      </c>
      <c r="I108" s="23">
        <v>0</v>
      </c>
      <c r="J108" s="23">
        <v>0</v>
      </c>
      <c r="K108" s="23">
        <v>0</v>
      </c>
      <c r="L108" s="33">
        <v>0</v>
      </c>
      <c r="M108" s="33">
        <v>0</v>
      </c>
      <c r="N108" s="33">
        <v>380</v>
      </c>
      <c r="O108" s="33">
        <v>39510</v>
      </c>
      <c r="P108" s="33">
        <v>-37350</v>
      </c>
      <c r="Q108" s="33">
        <v>2160</v>
      </c>
      <c r="R108" s="33">
        <v>380</v>
      </c>
      <c r="S108" s="33">
        <v>1780</v>
      </c>
      <c r="T108" s="38">
        <v>5.6842105263157894</v>
      </c>
      <c r="U108" s="59">
        <v>380</v>
      </c>
      <c r="V108" s="755">
        <f t="shared" si="1"/>
        <v>1780</v>
      </c>
      <c r="W108" s="755"/>
      <c r="X108" s="755"/>
      <c r="Y108" s="33">
        <v>0</v>
      </c>
      <c r="Z108" s="33">
        <v>0</v>
      </c>
      <c r="AA108" s="33"/>
      <c r="AB108" s="33"/>
      <c r="AC108" s="42"/>
      <c r="AD108" s="60"/>
      <c r="AE108" s="105"/>
      <c r="AF108" s="93"/>
      <c r="AG108" s="33">
        <v>0</v>
      </c>
      <c r="AH108" s="33">
        <v>2160</v>
      </c>
      <c r="AI108" s="101">
        <v>1780</v>
      </c>
      <c r="AK108" s="19"/>
    </row>
    <row r="109" spans="2:37" ht="13" outlineLevel="1" x14ac:dyDescent="0.3">
      <c r="B109" s="79" t="s">
        <v>138</v>
      </c>
      <c r="C109" s="33">
        <v>3062</v>
      </c>
      <c r="D109" s="33">
        <v>3062</v>
      </c>
      <c r="E109" s="23">
        <v>0</v>
      </c>
      <c r="F109" s="23">
        <v>0</v>
      </c>
      <c r="G109" s="23">
        <v>0</v>
      </c>
      <c r="H109" s="23">
        <v>0</v>
      </c>
      <c r="I109" s="23">
        <v>0</v>
      </c>
      <c r="J109" s="23">
        <v>0</v>
      </c>
      <c r="K109" s="23">
        <v>0</v>
      </c>
      <c r="L109" s="33">
        <v>0</v>
      </c>
      <c r="M109" s="33">
        <v>0</v>
      </c>
      <c r="N109" s="33">
        <v>3062</v>
      </c>
      <c r="O109" s="33">
        <v>3659</v>
      </c>
      <c r="P109" s="33">
        <v>0</v>
      </c>
      <c r="Q109" s="33">
        <v>3659</v>
      </c>
      <c r="R109" s="33">
        <v>3062</v>
      </c>
      <c r="S109" s="33">
        <v>597</v>
      </c>
      <c r="T109" s="38">
        <v>1.1949706074461137</v>
      </c>
      <c r="U109" s="59">
        <v>3062</v>
      </c>
      <c r="V109" s="755">
        <f t="shared" si="1"/>
        <v>597</v>
      </c>
      <c r="W109" s="755"/>
      <c r="X109" s="755"/>
      <c r="Y109" s="33">
        <v>0</v>
      </c>
      <c r="Z109" s="33">
        <v>0</v>
      </c>
      <c r="AA109" s="33"/>
      <c r="AB109" s="33"/>
      <c r="AC109" s="42"/>
      <c r="AD109" s="60"/>
      <c r="AE109" s="105"/>
      <c r="AF109" s="93"/>
      <c r="AG109" s="33">
        <v>0</v>
      </c>
      <c r="AH109" s="33">
        <v>3659</v>
      </c>
      <c r="AI109" s="101">
        <v>597</v>
      </c>
      <c r="AK109" s="19"/>
    </row>
    <row r="110" spans="2:37" ht="14.5" outlineLevel="1" x14ac:dyDescent="0.35">
      <c r="B110" s="79" t="s">
        <v>139</v>
      </c>
      <c r="C110" s="33">
        <v>602</v>
      </c>
      <c r="D110" s="33">
        <v>602</v>
      </c>
      <c r="E110" s="23">
        <v>0</v>
      </c>
      <c r="F110" s="23">
        <v>0</v>
      </c>
      <c r="G110" s="23">
        <v>0</v>
      </c>
      <c r="H110" s="23">
        <v>0</v>
      </c>
      <c r="I110" s="23">
        <v>0</v>
      </c>
      <c r="J110" s="23">
        <v>0</v>
      </c>
      <c r="K110" s="23">
        <v>0</v>
      </c>
      <c r="L110" s="33">
        <v>0</v>
      </c>
      <c r="M110" s="33">
        <v>0</v>
      </c>
      <c r="N110" s="33">
        <v>602</v>
      </c>
      <c r="O110" s="33">
        <v>496</v>
      </c>
      <c r="P110" s="33">
        <v>0</v>
      </c>
      <c r="Q110" s="33">
        <v>496</v>
      </c>
      <c r="R110" s="33">
        <v>602</v>
      </c>
      <c r="S110" s="33">
        <v>-106</v>
      </c>
      <c r="T110" s="38">
        <v>0.82392026578073085</v>
      </c>
      <c r="U110" s="59">
        <v>602</v>
      </c>
      <c r="V110" s="755">
        <f t="shared" si="1"/>
        <v>-106</v>
      </c>
      <c r="W110" s="756"/>
      <c r="X110" s="756"/>
      <c r="Y110" s="33">
        <v>0</v>
      </c>
      <c r="Z110" s="33">
        <v>0</v>
      </c>
      <c r="AA110" s="33"/>
      <c r="AB110" s="33"/>
      <c r="AC110" s="42"/>
      <c r="AD110" s="60"/>
      <c r="AE110" s="105"/>
      <c r="AF110" s="93"/>
      <c r="AG110" s="33">
        <v>0</v>
      </c>
      <c r="AH110" s="33">
        <v>496</v>
      </c>
      <c r="AI110" s="101">
        <v>-106</v>
      </c>
      <c r="AK110" s="19"/>
    </row>
    <row r="111" spans="2:37" ht="15" outlineLevel="1" thickBot="1" x14ac:dyDescent="0.4">
      <c r="B111" s="79" t="s">
        <v>140</v>
      </c>
      <c r="C111" s="33">
        <v>-463</v>
      </c>
      <c r="D111" s="33">
        <v>-463</v>
      </c>
      <c r="E111" s="23">
        <v>0</v>
      </c>
      <c r="F111" s="23">
        <v>0</v>
      </c>
      <c r="G111" s="23">
        <v>0</v>
      </c>
      <c r="H111" s="23">
        <v>0</v>
      </c>
      <c r="I111" s="23">
        <v>0</v>
      </c>
      <c r="J111" s="23">
        <v>0</v>
      </c>
      <c r="K111" s="23">
        <v>0</v>
      </c>
      <c r="L111" s="33">
        <v>0</v>
      </c>
      <c r="M111" s="33">
        <v>0</v>
      </c>
      <c r="N111" s="33">
        <v>-463</v>
      </c>
      <c r="O111" s="33">
        <v>0</v>
      </c>
      <c r="P111" s="33">
        <v>0</v>
      </c>
      <c r="Q111" s="33">
        <v>0</v>
      </c>
      <c r="R111" s="33">
        <v>-463</v>
      </c>
      <c r="S111" s="33">
        <v>463</v>
      </c>
      <c r="T111" s="38">
        <v>0</v>
      </c>
      <c r="U111" s="59">
        <v>-463</v>
      </c>
      <c r="V111" s="755">
        <f t="shared" si="1"/>
        <v>463</v>
      </c>
      <c r="W111" s="757"/>
      <c r="X111" s="757"/>
      <c r="Y111" s="33">
        <v>0</v>
      </c>
      <c r="Z111" s="33">
        <v>0</v>
      </c>
      <c r="AA111" s="33"/>
      <c r="AB111" s="33"/>
      <c r="AC111" s="42"/>
      <c r="AD111" s="60"/>
      <c r="AE111" s="105"/>
      <c r="AF111" s="93"/>
      <c r="AG111" s="33">
        <v>0</v>
      </c>
      <c r="AH111" s="33">
        <v>0</v>
      </c>
      <c r="AI111" s="101">
        <v>463</v>
      </c>
      <c r="AK111" s="19"/>
    </row>
    <row r="112" spans="2:37" ht="13.5" outlineLevel="1" thickTop="1" x14ac:dyDescent="0.3">
      <c r="B112" s="79" t="s">
        <v>141</v>
      </c>
      <c r="C112" s="33">
        <v>12167</v>
      </c>
      <c r="D112" s="33">
        <v>12167</v>
      </c>
      <c r="E112" s="23">
        <v>0</v>
      </c>
      <c r="F112" s="23">
        <v>0</v>
      </c>
      <c r="G112" s="23">
        <v>0</v>
      </c>
      <c r="H112" s="23">
        <v>0</v>
      </c>
      <c r="I112" s="23">
        <v>0</v>
      </c>
      <c r="J112" s="23">
        <v>0</v>
      </c>
      <c r="K112" s="23">
        <v>0</v>
      </c>
      <c r="L112" s="33">
        <v>0</v>
      </c>
      <c r="M112" s="33">
        <v>0</v>
      </c>
      <c r="N112" s="33">
        <v>12167</v>
      </c>
      <c r="O112" s="33">
        <v>7838</v>
      </c>
      <c r="P112" s="33">
        <v>0</v>
      </c>
      <c r="Q112" s="33">
        <v>7838</v>
      </c>
      <c r="R112" s="33">
        <v>12167</v>
      </c>
      <c r="S112" s="33">
        <v>-4329</v>
      </c>
      <c r="T112" s="38">
        <v>0.64420152872524039</v>
      </c>
      <c r="U112" s="59">
        <v>12167</v>
      </c>
      <c r="V112" s="755">
        <f t="shared" si="1"/>
        <v>-4329</v>
      </c>
      <c r="W112" s="754"/>
      <c r="X112" s="754"/>
      <c r="Y112" s="33">
        <v>0</v>
      </c>
      <c r="Z112" s="33">
        <v>0</v>
      </c>
      <c r="AA112" s="33"/>
      <c r="AB112" s="33"/>
      <c r="AC112" s="42"/>
      <c r="AD112" s="60"/>
      <c r="AE112" s="105"/>
      <c r="AF112" s="93"/>
      <c r="AG112" s="33">
        <v>0</v>
      </c>
      <c r="AH112" s="33">
        <v>7838</v>
      </c>
      <c r="AI112" s="101">
        <v>-4329</v>
      </c>
      <c r="AK112" s="19"/>
    </row>
    <row r="113" spans="2:37" ht="13" outlineLevel="1" x14ac:dyDescent="0.3">
      <c r="B113" s="79" t="s">
        <v>142</v>
      </c>
      <c r="C113" s="33">
        <v>-8794</v>
      </c>
      <c r="D113" s="33">
        <v>-8794</v>
      </c>
      <c r="E113" s="23">
        <v>0</v>
      </c>
      <c r="F113" s="23">
        <v>0</v>
      </c>
      <c r="G113" s="23">
        <v>0</v>
      </c>
      <c r="H113" s="23">
        <v>0</v>
      </c>
      <c r="I113" s="23">
        <v>0</v>
      </c>
      <c r="J113" s="23">
        <v>0</v>
      </c>
      <c r="K113" s="23">
        <v>0</v>
      </c>
      <c r="L113" s="33">
        <v>0</v>
      </c>
      <c r="M113" s="33">
        <v>0</v>
      </c>
      <c r="N113" s="33">
        <v>-8794</v>
      </c>
      <c r="O113" s="33">
        <v>991</v>
      </c>
      <c r="P113" s="33">
        <v>-6506</v>
      </c>
      <c r="Q113" s="33">
        <v>-5515</v>
      </c>
      <c r="R113" s="33">
        <v>-8794</v>
      </c>
      <c r="S113" s="33">
        <v>3279</v>
      </c>
      <c r="T113" s="38">
        <v>0.62713213554696379</v>
      </c>
      <c r="U113" s="59">
        <v>-8794</v>
      </c>
      <c r="V113" s="755">
        <f t="shared" si="1"/>
        <v>3279</v>
      </c>
      <c r="W113" s="754"/>
      <c r="X113" s="754"/>
      <c r="Y113" s="33">
        <v>0</v>
      </c>
      <c r="Z113" s="33">
        <v>0</v>
      </c>
      <c r="AA113" s="33"/>
      <c r="AB113" s="33"/>
      <c r="AC113" s="42"/>
      <c r="AD113" s="60"/>
      <c r="AE113" s="105"/>
      <c r="AF113" s="93"/>
      <c r="AG113" s="33">
        <v>0</v>
      </c>
      <c r="AH113" s="33">
        <v>-5515</v>
      </c>
      <c r="AI113" s="101">
        <v>3279</v>
      </c>
      <c r="AK113" s="19"/>
    </row>
    <row r="114" spans="2:37" ht="13" outlineLevel="1" x14ac:dyDescent="0.3">
      <c r="B114" s="79" t="s">
        <v>143</v>
      </c>
      <c r="C114" s="33">
        <v>-11416</v>
      </c>
      <c r="D114" s="33">
        <v>-11416</v>
      </c>
      <c r="E114" s="23">
        <v>0</v>
      </c>
      <c r="F114" s="23">
        <v>0</v>
      </c>
      <c r="G114" s="23">
        <v>0</v>
      </c>
      <c r="H114" s="23">
        <v>0</v>
      </c>
      <c r="I114" s="23">
        <v>0</v>
      </c>
      <c r="J114" s="23">
        <v>0</v>
      </c>
      <c r="K114" s="23">
        <v>0</v>
      </c>
      <c r="L114" s="33">
        <v>0</v>
      </c>
      <c r="M114" s="33">
        <v>0</v>
      </c>
      <c r="N114" s="33">
        <v>-11416</v>
      </c>
      <c r="O114" s="33">
        <v>0</v>
      </c>
      <c r="P114" s="33">
        <v>-7994</v>
      </c>
      <c r="Q114" s="33">
        <v>-7994</v>
      </c>
      <c r="R114" s="33">
        <v>-11416</v>
      </c>
      <c r="S114" s="33">
        <v>3422</v>
      </c>
      <c r="T114" s="38">
        <v>0.70024526979677648</v>
      </c>
      <c r="U114" s="59">
        <v>-11416</v>
      </c>
      <c r="V114" s="755">
        <f t="shared" si="1"/>
        <v>3422</v>
      </c>
      <c r="W114" s="754"/>
      <c r="X114" s="754"/>
      <c r="Y114" s="33">
        <v>0</v>
      </c>
      <c r="Z114" s="33">
        <v>0</v>
      </c>
      <c r="AA114" s="33"/>
      <c r="AB114" s="33"/>
      <c r="AC114" s="42"/>
      <c r="AD114" s="60"/>
      <c r="AE114" s="105"/>
      <c r="AF114" s="93"/>
      <c r="AG114" s="33">
        <v>0</v>
      </c>
      <c r="AH114" s="33">
        <v>-7994</v>
      </c>
      <c r="AI114" s="101">
        <v>3422</v>
      </c>
      <c r="AK114" s="19"/>
    </row>
    <row r="115" spans="2:37" ht="13" outlineLevel="1" x14ac:dyDescent="0.3">
      <c r="B115" s="79" t="s">
        <v>144</v>
      </c>
      <c r="C115" s="33">
        <v>-719</v>
      </c>
      <c r="D115" s="33">
        <v>-719</v>
      </c>
      <c r="E115" s="23">
        <v>0</v>
      </c>
      <c r="F115" s="23">
        <v>0</v>
      </c>
      <c r="G115" s="23">
        <v>0</v>
      </c>
      <c r="H115" s="23">
        <v>0</v>
      </c>
      <c r="I115" s="23">
        <v>0</v>
      </c>
      <c r="J115" s="23">
        <v>0</v>
      </c>
      <c r="K115" s="23">
        <v>0</v>
      </c>
      <c r="L115" s="33">
        <v>0</v>
      </c>
      <c r="M115" s="33">
        <v>0</v>
      </c>
      <c r="N115" s="33">
        <v>-719</v>
      </c>
      <c r="O115" s="33">
        <v>0</v>
      </c>
      <c r="P115" s="33">
        <v>-463</v>
      </c>
      <c r="Q115" s="33">
        <v>-463</v>
      </c>
      <c r="R115" s="33">
        <v>-719</v>
      </c>
      <c r="S115" s="33">
        <v>256</v>
      </c>
      <c r="T115" s="38">
        <v>0.64394993045897075</v>
      </c>
      <c r="U115" s="59">
        <v>-719</v>
      </c>
      <c r="V115" s="755">
        <f t="shared" si="1"/>
        <v>256</v>
      </c>
      <c r="W115" s="754"/>
      <c r="X115" s="754"/>
      <c r="Y115" s="33">
        <v>0</v>
      </c>
      <c r="Z115" s="33">
        <v>0</v>
      </c>
      <c r="AA115" s="33"/>
      <c r="AB115" s="33"/>
      <c r="AC115" s="42"/>
      <c r="AD115" s="60"/>
      <c r="AE115" s="105"/>
      <c r="AF115" s="93"/>
      <c r="AG115" s="33">
        <v>0</v>
      </c>
      <c r="AH115" s="33">
        <v>-463</v>
      </c>
      <c r="AI115" s="101">
        <v>256</v>
      </c>
      <c r="AK115" s="19"/>
    </row>
    <row r="116" spans="2:37" ht="13" x14ac:dyDescent="0.3">
      <c r="B116" s="85" t="s">
        <v>145</v>
      </c>
      <c r="C116" s="86">
        <v>2000</v>
      </c>
      <c r="D116" s="86">
        <v>2000</v>
      </c>
      <c r="E116" s="87">
        <v>0</v>
      </c>
      <c r="F116" s="87">
        <v>0</v>
      </c>
      <c r="G116" s="87">
        <v>0</v>
      </c>
      <c r="H116" s="87">
        <v>0</v>
      </c>
      <c r="I116" s="87">
        <v>0</v>
      </c>
      <c r="J116" s="87">
        <v>0</v>
      </c>
      <c r="K116" s="87">
        <v>0</v>
      </c>
      <c r="L116" s="86">
        <v>0</v>
      </c>
      <c r="M116" s="86">
        <v>0</v>
      </c>
      <c r="N116" s="86">
        <v>2000</v>
      </c>
      <c r="O116" s="86">
        <v>0</v>
      </c>
      <c r="P116" s="86">
        <v>0</v>
      </c>
      <c r="Q116" s="86">
        <v>0</v>
      </c>
      <c r="R116" s="86">
        <v>2000</v>
      </c>
      <c r="S116" s="86">
        <v>-2000</v>
      </c>
      <c r="T116" s="86">
        <v>0</v>
      </c>
      <c r="U116" s="88">
        <v>2000</v>
      </c>
      <c r="V116" s="755">
        <f t="shared" si="1"/>
        <v>-2000</v>
      </c>
      <c r="W116" s="754"/>
      <c r="X116" s="754"/>
      <c r="Y116" s="86">
        <v>0</v>
      </c>
      <c r="Z116" s="86">
        <v>0</v>
      </c>
      <c r="AA116" s="86"/>
      <c r="AB116" s="86"/>
      <c r="AC116" s="89"/>
      <c r="AD116" s="60"/>
      <c r="AE116" s="98"/>
      <c r="AF116" s="36"/>
      <c r="AG116" s="36">
        <v>0</v>
      </c>
      <c r="AH116" s="36">
        <v>0</v>
      </c>
      <c r="AI116" s="99">
        <v>-2000</v>
      </c>
      <c r="AK116" s="19"/>
    </row>
    <row r="117" spans="2:37" ht="13" x14ac:dyDescent="0.3">
      <c r="B117" s="78" t="s">
        <v>146</v>
      </c>
      <c r="C117" s="34">
        <v>1304</v>
      </c>
      <c r="D117" s="34">
        <v>1304</v>
      </c>
      <c r="E117" s="24">
        <v>0</v>
      </c>
      <c r="F117" s="24">
        <v>0</v>
      </c>
      <c r="G117" s="24">
        <v>0</v>
      </c>
      <c r="H117" s="24">
        <v>0</v>
      </c>
      <c r="I117" s="24">
        <v>0</v>
      </c>
      <c r="J117" s="24">
        <v>0</v>
      </c>
      <c r="K117" s="24">
        <v>0</v>
      </c>
      <c r="L117" s="34">
        <v>0</v>
      </c>
      <c r="M117" s="34">
        <v>0</v>
      </c>
      <c r="N117" s="34">
        <v>1304</v>
      </c>
      <c r="O117" s="34">
        <v>182</v>
      </c>
      <c r="P117" s="34">
        <v>0</v>
      </c>
      <c r="Q117" s="34">
        <v>182</v>
      </c>
      <c r="R117" s="34">
        <v>1304</v>
      </c>
      <c r="S117" s="34">
        <v>-1122</v>
      </c>
      <c r="T117" s="94">
        <v>0.13957055214723926</v>
      </c>
      <c r="U117" s="95">
        <v>1304</v>
      </c>
      <c r="V117" s="755">
        <f t="shared" si="1"/>
        <v>-1122</v>
      </c>
      <c r="W117" s="644"/>
      <c r="X117" s="644"/>
      <c r="Y117" s="34">
        <v>0</v>
      </c>
      <c r="Z117" s="34">
        <v>0</v>
      </c>
      <c r="AA117" s="34"/>
      <c r="AB117" s="34"/>
      <c r="AC117" s="41"/>
      <c r="AD117" s="60"/>
      <c r="AE117" s="100"/>
      <c r="AF117" s="33"/>
      <c r="AG117" s="33">
        <v>0</v>
      </c>
      <c r="AH117" s="33">
        <v>182</v>
      </c>
      <c r="AI117" s="101">
        <v>-1122</v>
      </c>
      <c r="AK117" s="19"/>
    </row>
    <row r="118" spans="2:37" ht="13" outlineLevel="1" x14ac:dyDescent="0.3">
      <c r="B118" s="79" t="s">
        <v>147</v>
      </c>
      <c r="C118" s="33">
        <v>0</v>
      </c>
      <c r="D118" s="33">
        <v>0</v>
      </c>
      <c r="E118" s="23">
        <v>0</v>
      </c>
      <c r="F118" s="23">
        <v>0</v>
      </c>
      <c r="G118" s="23">
        <v>0</v>
      </c>
      <c r="H118" s="23">
        <v>0</v>
      </c>
      <c r="I118" s="23">
        <v>0</v>
      </c>
      <c r="J118" s="23">
        <v>0</v>
      </c>
      <c r="K118" s="23">
        <v>0</v>
      </c>
      <c r="L118" s="33">
        <v>0</v>
      </c>
      <c r="M118" s="33">
        <v>0</v>
      </c>
      <c r="N118" s="33">
        <v>0</v>
      </c>
      <c r="O118" s="33">
        <v>14544</v>
      </c>
      <c r="P118" s="33">
        <v>-14544</v>
      </c>
      <c r="Q118" s="33">
        <v>0</v>
      </c>
      <c r="R118" s="33">
        <v>0</v>
      </c>
      <c r="S118" s="33">
        <v>0</v>
      </c>
      <c r="T118" s="38" t="s">
        <v>42</v>
      </c>
      <c r="U118" s="59">
        <v>0</v>
      </c>
      <c r="V118" s="755">
        <f t="shared" si="1"/>
        <v>0</v>
      </c>
      <c r="W118" s="754"/>
      <c r="X118" s="754"/>
      <c r="Y118" s="33">
        <v>0</v>
      </c>
      <c r="Z118" s="33">
        <v>0</v>
      </c>
      <c r="AA118" s="33"/>
      <c r="AB118" s="33"/>
      <c r="AC118" s="42"/>
      <c r="AD118" s="60"/>
      <c r="AE118" s="105"/>
      <c r="AF118" s="93"/>
      <c r="AG118" s="33">
        <v>0</v>
      </c>
      <c r="AH118" s="33">
        <v>0</v>
      </c>
      <c r="AI118" s="101">
        <v>0</v>
      </c>
      <c r="AK118" s="19"/>
    </row>
    <row r="119" spans="2:37" ht="13" outlineLevel="1" x14ac:dyDescent="0.3">
      <c r="B119" s="79" t="s">
        <v>148</v>
      </c>
      <c r="C119" s="33">
        <v>-663</v>
      </c>
      <c r="D119" s="33">
        <v>-663</v>
      </c>
      <c r="E119" s="23">
        <v>0</v>
      </c>
      <c r="F119" s="23">
        <v>0</v>
      </c>
      <c r="G119" s="23">
        <v>0</v>
      </c>
      <c r="H119" s="23">
        <v>0</v>
      </c>
      <c r="I119" s="23">
        <v>0</v>
      </c>
      <c r="J119" s="23">
        <v>0</v>
      </c>
      <c r="K119" s="23">
        <v>0</v>
      </c>
      <c r="L119" s="33">
        <v>0</v>
      </c>
      <c r="M119" s="33">
        <v>0</v>
      </c>
      <c r="N119" s="33">
        <v>-663</v>
      </c>
      <c r="O119" s="33">
        <v>0</v>
      </c>
      <c r="P119" s="33">
        <v>-663</v>
      </c>
      <c r="Q119" s="33">
        <v>-663</v>
      </c>
      <c r="R119" s="33">
        <v>-663</v>
      </c>
      <c r="S119" s="33">
        <v>0</v>
      </c>
      <c r="T119" s="38">
        <v>1</v>
      </c>
      <c r="U119" s="59">
        <v>-663</v>
      </c>
      <c r="V119" s="755">
        <f t="shared" si="1"/>
        <v>0</v>
      </c>
      <c r="W119" s="754"/>
      <c r="X119" s="754"/>
      <c r="Y119" s="33">
        <v>0</v>
      </c>
      <c r="Z119" s="33">
        <v>0</v>
      </c>
      <c r="AA119" s="33"/>
      <c r="AB119" s="33"/>
      <c r="AC119" s="42"/>
      <c r="AD119" s="60"/>
      <c r="AE119" s="105"/>
      <c r="AF119" s="93"/>
      <c r="AG119" s="33">
        <v>0</v>
      </c>
      <c r="AH119" s="33">
        <v>-663</v>
      </c>
      <c r="AI119" s="101">
        <v>0</v>
      </c>
      <c r="AK119" s="19"/>
    </row>
    <row r="120" spans="2:37" ht="13" outlineLevel="1" x14ac:dyDescent="0.3">
      <c r="B120" s="79"/>
      <c r="C120" s="33"/>
      <c r="D120" s="33"/>
      <c r="E120" s="23"/>
      <c r="F120" s="23"/>
      <c r="G120" s="23"/>
      <c r="H120" s="23"/>
      <c r="I120" s="23"/>
      <c r="J120" s="23"/>
      <c r="K120" s="23"/>
      <c r="L120" s="33"/>
      <c r="M120" s="33"/>
      <c r="N120" s="33"/>
      <c r="O120" s="33"/>
      <c r="P120" s="33"/>
      <c r="Q120" s="33"/>
      <c r="R120" s="33"/>
      <c r="S120" s="33"/>
      <c r="T120" s="38"/>
      <c r="U120" s="59"/>
      <c r="V120" s="755">
        <f t="shared" si="1"/>
        <v>0</v>
      </c>
      <c r="W120" s="754"/>
      <c r="X120" s="754"/>
      <c r="Y120" s="33"/>
      <c r="Z120" s="33"/>
      <c r="AA120" s="33"/>
      <c r="AB120" s="33"/>
      <c r="AC120" s="42"/>
      <c r="AD120" s="60"/>
      <c r="AE120" s="105"/>
      <c r="AF120" s="93"/>
      <c r="AG120" s="33"/>
      <c r="AH120" s="33"/>
      <c r="AI120" s="101"/>
      <c r="AK120" s="19"/>
    </row>
    <row r="121" spans="2:37" ht="13" outlineLevel="1" x14ac:dyDescent="0.3">
      <c r="B121" s="79" t="s">
        <v>149</v>
      </c>
      <c r="C121" s="33">
        <v>3817</v>
      </c>
      <c r="D121" s="33">
        <v>2603</v>
      </c>
      <c r="E121" s="23">
        <v>0</v>
      </c>
      <c r="F121" s="23">
        <v>0</v>
      </c>
      <c r="G121" s="23">
        <v>-1214</v>
      </c>
      <c r="H121" s="23">
        <v>420</v>
      </c>
      <c r="I121" s="23">
        <v>0</v>
      </c>
      <c r="J121" s="23">
        <v>0</v>
      </c>
      <c r="K121" s="23">
        <v>-794</v>
      </c>
      <c r="L121" s="33">
        <v>419</v>
      </c>
      <c r="M121" s="33">
        <v>-795</v>
      </c>
      <c r="N121" s="33">
        <v>3022</v>
      </c>
      <c r="O121" s="33">
        <v>0</v>
      </c>
      <c r="P121" s="33">
        <v>0</v>
      </c>
      <c r="Q121" s="33">
        <v>0</v>
      </c>
      <c r="R121" s="33">
        <v>3022</v>
      </c>
      <c r="S121" s="33">
        <v>-3022</v>
      </c>
      <c r="T121" s="38">
        <v>0</v>
      </c>
      <c r="U121" s="59">
        <v>3022</v>
      </c>
      <c r="V121" s="755">
        <f t="shared" si="1"/>
        <v>-3022</v>
      </c>
      <c r="W121" s="754"/>
      <c r="X121" s="754"/>
      <c r="Y121" s="33">
        <v>0</v>
      </c>
      <c r="Z121" s="33">
        <v>0</v>
      </c>
      <c r="AA121" s="33"/>
      <c r="AB121" s="33"/>
      <c r="AC121" s="42"/>
      <c r="AD121" s="60"/>
      <c r="AE121" s="105">
        <v>0</v>
      </c>
      <c r="AF121" s="93">
        <v>0</v>
      </c>
      <c r="AG121" s="33">
        <v>0</v>
      </c>
      <c r="AH121" s="33">
        <v>0</v>
      </c>
      <c r="AI121" s="101">
        <v>-3022</v>
      </c>
      <c r="AK121" s="19"/>
    </row>
    <row r="122" spans="2:37" ht="13" outlineLevel="1" x14ac:dyDescent="0.3">
      <c r="B122" s="79" t="s">
        <v>150</v>
      </c>
      <c r="C122" s="33">
        <v>1200</v>
      </c>
      <c r="D122" s="33">
        <v>1200</v>
      </c>
      <c r="E122" s="23">
        <v>0</v>
      </c>
      <c r="F122" s="23">
        <v>0</v>
      </c>
      <c r="G122" s="23">
        <v>0</v>
      </c>
      <c r="H122" s="23">
        <v>-937</v>
      </c>
      <c r="I122" s="23">
        <v>0</v>
      </c>
      <c r="J122" s="23">
        <v>0</v>
      </c>
      <c r="K122" s="23">
        <v>-937</v>
      </c>
      <c r="L122" s="33">
        <v>-937</v>
      </c>
      <c r="M122" s="33">
        <v>-937</v>
      </c>
      <c r="N122" s="33">
        <v>263</v>
      </c>
      <c r="O122" s="33">
        <v>0</v>
      </c>
      <c r="P122" s="33">
        <v>0</v>
      </c>
      <c r="Q122" s="33">
        <v>0</v>
      </c>
      <c r="R122" s="33">
        <v>263</v>
      </c>
      <c r="S122" s="33">
        <v>-263</v>
      </c>
      <c r="T122" s="38">
        <v>0</v>
      </c>
      <c r="U122" s="59">
        <v>263</v>
      </c>
      <c r="V122" s="755">
        <f t="shared" si="1"/>
        <v>-263</v>
      </c>
      <c r="W122" s="644"/>
      <c r="X122" s="644"/>
      <c r="Y122" s="33">
        <v>0</v>
      </c>
      <c r="Z122" s="33">
        <v>0</v>
      </c>
      <c r="AA122" s="33"/>
      <c r="AB122" s="33"/>
      <c r="AC122" s="42"/>
      <c r="AD122" s="60"/>
      <c r="AE122" s="105"/>
      <c r="AF122" s="93"/>
      <c r="AG122" s="33">
        <v>0</v>
      </c>
      <c r="AH122" s="33">
        <v>0</v>
      </c>
      <c r="AI122" s="101">
        <v>-263</v>
      </c>
      <c r="AK122" s="19"/>
    </row>
    <row r="123" spans="2:37" ht="13" outlineLevel="1" x14ac:dyDescent="0.3">
      <c r="B123" s="79" t="s">
        <v>151</v>
      </c>
      <c r="C123" s="33">
        <v>-400</v>
      </c>
      <c r="D123" s="33">
        <v>-400</v>
      </c>
      <c r="E123" s="23">
        <v>0</v>
      </c>
      <c r="F123" s="23">
        <v>0</v>
      </c>
      <c r="G123" s="23">
        <v>0</v>
      </c>
      <c r="H123" s="23">
        <v>1702</v>
      </c>
      <c r="I123" s="23">
        <v>0</v>
      </c>
      <c r="J123" s="23">
        <v>0</v>
      </c>
      <c r="K123" s="23">
        <v>1702</v>
      </c>
      <c r="L123" s="33">
        <v>1702</v>
      </c>
      <c r="M123" s="33">
        <v>1702</v>
      </c>
      <c r="N123" s="33">
        <v>1302</v>
      </c>
      <c r="O123" s="33">
        <v>0</v>
      </c>
      <c r="P123" s="33">
        <v>0</v>
      </c>
      <c r="Q123" s="33">
        <v>0</v>
      </c>
      <c r="R123" s="33">
        <v>1302</v>
      </c>
      <c r="S123" s="33">
        <v>-1302</v>
      </c>
      <c r="T123" s="38">
        <v>0</v>
      </c>
      <c r="U123" s="59">
        <v>1302</v>
      </c>
      <c r="V123" s="755">
        <f t="shared" si="1"/>
        <v>-1302</v>
      </c>
      <c r="W123" s="644"/>
      <c r="X123" s="644"/>
      <c r="Y123" s="33">
        <v>0</v>
      </c>
      <c r="Z123" s="33">
        <v>0</v>
      </c>
      <c r="AA123" s="33"/>
      <c r="AB123" s="33"/>
      <c r="AC123" s="42"/>
      <c r="AD123" s="60"/>
      <c r="AE123" s="105"/>
      <c r="AF123" s="93"/>
      <c r="AG123" s="33">
        <v>0</v>
      </c>
      <c r="AH123" s="33">
        <v>0</v>
      </c>
      <c r="AI123" s="101">
        <v>-1302</v>
      </c>
      <c r="AK123" s="19"/>
    </row>
    <row r="124" spans="2:37" ht="13" outlineLevel="1" x14ac:dyDescent="0.3">
      <c r="B124" s="79" t="s">
        <v>152</v>
      </c>
      <c r="C124" s="33">
        <v>1895</v>
      </c>
      <c r="D124" s="33">
        <v>681</v>
      </c>
      <c r="E124" s="23">
        <v>0</v>
      </c>
      <c r="F124" s="23">
        <v>0</v>
      </c>
      <c r="G124" s="23">
        <v>-1214</v>
      </c>
      <c r="H124" s="23">
        <v>-345</v>
      </c>
      <c r="I124" s="23">
        <v>0</v>
      </c>
      <c r="J124" s="23">
        <v>0</v>
      </c>
      <c r="K124" s="23">
        <v>-1559</v>
      </c>
      <c r="L124" s="33">
        <v>-346</v>
      </c>
      <c r="M124" s="33">
        <v>-1560</v>
      </c>
      <c r="N124" s="33">
        <v>335</v>
      </c>
      <c r="O124" s="33">
        <v>0</v>
      </c>
      <c r="P124" s="33">
        <v>0</v>
      </c>
      <c r="Q124" s="33">
        <v>0</v>
      </c>
      <c r="R124" s="33">
        <v>335</v>
      </c>
      <c r="S124" s="33">
        <v>-335</v>
      </c>
      <c r="T124" s="38">
        <v>0</v>
      </c>
      <c r="U124" s="59">
        <v>335</v>
      </c>
      <c r="V124" s="755">
        <f t="shared" si="1"/>
        <v>-335</v>
      </c>
      <c r="W124" s="644"/>
      <c r="X124" s="644"/>
      <c r="Y124" s="33">
        <v>0</v>
      </c>
      <c r="Z124" s="33">
        <v>0</v>
      </c>
      <c r="AA124" s="33"/>
      <c r="AB124" s="33"/>
      <c r="AC124" s="42"/>
      <c r="AD124" s="60"/>
      <c r="AE124" s="105"/>
      <c r="AF124" s="93"/>
      <c r="AG124" s="33">
        <v>0</v>
      </c>
      <c r="AH124" s="33">
        <v>0</v>
      </c>
      <c r="AI124" s="101">
        <v>-335</v>
      </c>
      <c r="AK124" s="19"/>
    </row>
    <row r="125" spans="2:37" ht="13" outlineLevel="1" x14ac:dyDescent="0.3">
      <c r="B125" s="79" t="s">
        <v>153</v>
      </c>
      <c r="C125" s="33">
        <v>525</v>
      </c>
      <c r="D125" s="33">
        <v>525</v>
      </c>
      <c r="E125" s="23">
        <v>0</v>
      </c>
      <c r="F125" s="23">
        <v>0</v>
      </c>
      <c r="G125" s="23">
        <v>0</v>
      </c>
      <c r="H125" s="23">
        <v>0</v>
      </c>
      <c r="I125" s="23">
        <v>0</v>
      </c>
      <c r="J125" s="23">
        <v>0</v>
      </c>
      <c r="K125" s="23">
        <v>0</v>
      </c>
      <c r="L125" s="33">
        <v>0</v>
      </c>
      <c r="M125" s="33">
        <v>0</v>
      </c>
      <c r="N125" s="33">
        <v>525</v>
      </c>
      <c r="O125" s="33">
        <v>0</v>
      </c>
      <c r="P125" s="33">
        <v>0</v>
      </c>
      <c r="Q125" s="33">
        <v>0</v>
      </c>
      <c r="R125" s="33">
        <v>525</v>
      </c>
      <c r="S125" s="33">
        <v>-525</v>
      </c>
      <c r="T125" s="38">
        <v>0</v>
      </c>
      <c r="U125" s="59">
        <v>525</v>
      </c>
      <c r="V125" s="755">
        <f t="shared" si="1"/>
        <v>-525</v>
      </c>
      <c r="W125" s="754"/>
      <c r="X125" s="754"/>
      <c r="Y125" s="33">
        <v>0</v>
      </c>
      <c r="Z125" s="33">
        <v>0</v>
      </c>
      <c r="AA125" s="33"/>
      <c r="AB125" s="33"/>
      <c r="AC125" s="42"/>
      <c r="AD125" s="60"/>
      <c r="AE125" s="105"/>
      <c r="AF125" s="93"/>
      <c r="AG125" s="33">
        <v>0</v>
      </c>
      <c r="AH125" s="33">
        <v>0</v>
      </c>
      <c r="AI125" s="101">
        <v>-525</v>
      </c>
      <c r="AK125" s="19"/>
    </row>
    <row r="126" spans="2:37" ht="13" outlineLevel="1" x14ac:dyDescent="0.3">
      <c r="B126" s="79" t="s">
        <v>154</v>
      </c>
      <c r="C126" s="33">
        <v>597</v>
      </c>
      <c r="D126" s="33">
        <v>597</v>
      </c>
      <c r="E126" s="23">
        <v>0</v>
      </c>
      <c r="F126" s="23">
        <v>0</v>
      </c>
      <c r="G126" s="23">
        <v>0</v>
      </c>
      <c r="H126" s="23">
        <v>0</v>
      </c>
      <c r="I126" s="23">
        <v>0</v>
      </c>
      <c r="J126" s="23">
        <v>0</v>
      </c>
      <c r="K126" s="23">
        <v>0</v>
      </c>
      <c r="L126" s="33">
        <v>0</v>
      </c>
      <c r="M126" s="33">
        <v>0</v>
      </c>
      <c r="N126" s="33">
        <v>597</v>
      </c>
      <c r="O126" s="33">
        <v>0</v>
      </c>
      <c r="P126" s="33">
        <v>0</v>
      </c>
      <c r="Q126" s="33">
        <v>0</v>
      </c>
      <c r="R126" s="33">
        <v>597</v>
      </c>
      <c r="S126" s="33">
        <v>-597</v>
      </c>
      <c r="T126" s="38">
        <v>0</v>
      </c>
      <c r="U126" s="59">
        <v>597</v>
      </c>
      <c r="V126" s="755">
        <f t="shared" si="1"/>
        <v>-597</v>
      </c>
      <c r="W126" s="755"/>
      <c r="X126" s="755"/>
      <c r="Y126" s="33">
        <v>0</v>
      </c>
      <c r="Z126" s="33">
        <v>0</v>
      </c>
      <c r="AA126" s="33"/>
      <c r="AB126" s="33"/>
      <c r="AC126" s="42"/>
      <c r="AD126" s="60"/>
      <c r="AE126" s="105"/>
      <c r="AF126" s="93"/>
      <c r="AG126" s="33">
        <v>0</v>
      </c>
      <c r="AH126" s="33">
        <v>0</v>
      </c>
      <c r="AI126" s="101">
        <v>-597</v>
      </c>
      <c r="AK126" s="19"/>
    </row>
    <row r="127" spans="2:37" ht="13.5" thickBot="1" x14ac:dyDescent="0.35">
      <c r="B127" s="80"/>
      <c r="C127" s="81"/>
      <c r="D127" s="81"/>
      <c r="E127" s="82"/>
      <c r="F127" s="82"/>
      <c r="G127" s="82"/>
      <c r="H127" s="82"/>
      <c r="I127" s="82"/>
      <c r="J127" s="82"/>
      <c r="K127" s="82"/>
      <c r="L127" s="81"/>
      <c r="M127" s="81"/>
      <c r="N127" s="81"/>
      <c r="O127" s="81"/>
      <c r="P127" s="81"/>
      <c r="Q127" s="81"/>
      <c r="R127" s="81"/>
      <c r="S127" s="81"/>
      <c r="T127" s="81"/>
      <c r="U127" s="83"/>
      <c r="V127" s="755">
        <f t="shared" si="1"/>
        <v>0</v>
      </c>
      <c r="W127" s="755"/>
      <c r="X127" s="755"/>
      <c r="Y127" s="81"/>
      <c r="Z127" s="81"/>
      <c r="AA127" s="81"/>
      <c r="AB127" s="81"/>
      <c r="AC127" s="84"/>
      <c r="AD127" s="60"/>
      <c r="AE127" s="100"/>
      <c r="AF127" s="33"/>
      <c r="AG127" s="33"/>
      <c r="AH127" s="33"/>
      <c r="AI127" s="101"/>
      <c r="AK127" s="19"/>
    </row>
    <row r="128" spans="2:37" ht="13.5" thickBot="1" x14ac:dyDescent="0.35">
      <c r="B128" s="91" t="s">
        <v>155</v>
      </c>
      <c r="C128" s="76">
        <v>1277</v>
      </c>
      <c r="D128" s="76">
        <v>63</v>
      </c>
      <c r="E128" s="76">
        <v>0</v>
      </c>
      <c r="F128" s="76">
        <v>0</v>
      </c>
      <c r="G128" s="76">
        <v>-1214</v>
      </c>
      <c r="H128" s="76">
        <v>420</v>
      </c>
      <c r="I128" s="76">
        <v>0</v>
      </c>
      <c r="J128" s="76">
        <v>0</v>
      </c>
      <c r="K128" s="76">
        <v>-794</v>
      </c>
      <c r="L128" s="76">
        <v>419</v>
      </c>
      <c r="M128" s="76">
        <v>-795</v>
      </c>
      <c r="N128" s="76">
        <v>482</v>
      </c>
      <c r="O128" s="76">
        <v>67220</v>
      </c>
      <c r="P128" s="76">
        <v>-67520</v>
      </c>
      <c r="Q128" s="76">
        <v>-300</v>
      </c>
      <c r="R128" s="76">
        <v>482</v>
      </c>
      <c r="S128" s="76">
        <v>-782</v>
      </c>
      <c r="T128" s="92">
        <v>-0.62240663900414939</v>
      </c>
      <c r="U128" s="76">
        <v>482</v>
      </c>
      <c r="V128" s="755">
        <f t="shared" si="1"/>
        <v>-782</v>
      </c>
      <c r="W128" s="755"/>
      <c r="X128" s="755"/>
      <c r="Y128" s="76">
        <v>0</v>
      </c>
      <c r="Z128" s="76">
        <v>0</v>
      </c>
      <c r="AA128" s="76">
        <v>0</v>
      </c>
      <c r="AB128" s="76">
        <v>0</v>
      </c>
      <c r="AC128" s="76">
        <v>0</v>
      </c>
      <c r="AD128" s="60"/>
      <c r="AE128" s="76">
        <v>0</v>
      </c>
      <c r="AF128" s="76">
        <v>0</v>
      </c>
      <c r="AG128" s="76">
        <v>0</v>
      </c>
      <c r="AH128" s="76">
        <v>-300</v>
      </c>
      <c r="AI128" s="76">
        <v>-782</v>
      </c>
      <c r="AK128" s="19"/>
    </row>
    <row r="129" spans="2:37" ht="15.5" thickTop="1" thickBot="1" x14ac:dyDescent="0.4">
      <c r="B129" s="80"/>
      <c r="C129" s="81"/>
      <c r="D129" s="81"/>
      <c r="E129" s="82"/>
      <c r="F129" s="82"/>
      <c r="G129" s="82"/>
      <c r="H129" s="82"/>
      <c r="I129" s="82"/>
      <c r="J129" s="82"/>
      <c r="K129" s="82"/>
      <c r="L129" s="81"/>
      <c r="M129" s="81"/>
      <c r="N129" s="81"/>
      <c r="O129" s="81"/>
      <c r="P129" s="81"/>
      <c r="Q129" s="81"/>
      <c r="R129" s="81"/>
      <c r="S129" s="81"/>
      <c r="T129" s="81"/>
      <c r="U129" s="83"/>
      <c r="V129" s="755">
        <f t="shared" si="1"/>
        <v>0</v>
      </c>
      <c r="W129" s="756"/>
      <c r="X129" s="756"/>
      <c r="Y129" s="81"/>
      <c r="Z129" s="81"/>
      <c r="AA129" s="81"/>
      <c r="AB129" s="81"/>
      <c r="AC129" s="84"/>
      <c r="AD129" s="60"/>
      <c r="AE129" s="100"/>
      <c r="AF129" s="33"/>
      <c r="AG129" s="33"/>
      <c r="AH129" s="33"/>
      <c r="AI129" s="101"/>
      <c r="AK129" s="19"/>
    </row>
    <row r="130" spans="2:37" ht="15" thickBot="1" x14ac:dyDescent="0.4">
      <c r="B130" s="91" t="s">
        <v>156</v>
      </c>
      <c r="C130" s="76">
        <v>25402</v>
      </c>
      <c r="D130" s="76">
        <v>25402</v>
      </c>
      <c r="E130" s="76">
        <v>0</v>
      </c>
      <c r="F130" s="76">
        <v>-1648</v>
      </c>
      <c r="G130" s="76">
        <v>2</v>
      </c>
      <c r="H130" s="76">
        <v>140</v>
      </c>
      <c r="I130" s="76">
        <v>0</v>
      </c>
      <c r="J130" s="76">
        <v>-2</v>
      </c>
      <c r="K130" s="76">
        <v>-1508</v>
      </c>
      <c r="L130" s="76">
        <v>-1512</v>
      </c>
      <c r="M130" s="76">
        <v>-1512</v>
      </c>
      <c r="N130" s="76">
        <v>23890</v>
      </c>
      <c r="O130" s="76">
        <v>158200</v>
      </c>
      <c r="P130" s="76">
        <v>-128933</v>
      </c>
      <c r="Q130" s="76">
        <v>29267</v>
      </c>
      <c r="R130" s="76">
        <v>23890</v>
      </c>
      <c r="S130" s="76">
        <v>5377</v>
      </c>
      <c r="T130" s="92">
        <v>1.2250732524068648</v>
      </c>
      <c r="U130" s="76">
        <v>25835</v>
      </c>
      <c r="V130" s="755">
        <f t="shared" si="1"/>
        <v>3432</v>
      </c>
      <c r="W130" s="757"/>
      <c r="X130" s="757"/>
      <c r="Y130" s="76">
        <v>1945</v>
      </c>
      <c r="Z130" s="76">
        <v>1945</v>
      </c>
      <c r="AA130" s="76">
        <v>0</v>
      </c>
      <c r="AB130" s="76">
        <v>0</v>
      </c>
      <c r="AC130" s="76">
        <v>0</v>
      </c>
      <c r="AD130" s="60"/>
      <c r="AE130" s="76">
        <v>0</v>
      </c>
      <c r="AF130" s="76">
        <v>0</v>
      </c>
      <c r="AG130" s="76">
        <v>0</v>
      </c>
      <c r="AH130" s="76">
        <v>29267</v>
      </c>
      <c r="AI130" s="76">
        <v>5377</v>
      </c>
      <c r="AK130" s="19"/>
    </row>
    <row r="131" spans="2:37" ht="13.5" thickTop="1" x14ac:dyDescent="0.3">
      <c r="B131" s="71"/>
      <c r="C131" s="72"/>
      <c r="D131" s="72"/>
      <c r="E131" s="73"/>
      <c r="F131" s="73"/>
      <c r="G131" s="73"/>
      <c r="H131" s="73"/>
      <c r="I131" s="73"/>
      <c r="J131" s="73"/>
      <c r="K131" s="73"/>
      <c r="L131" s="72"/>
      <c r="M131" s="72"/>
      <c r="N131" s="72"/>
      <c r="O131" s="72"/>
      <c r="P131" s="72"/>
      <c r="Q131" s="72"/>
      <c r="R131" s="72"/>
      <c r="S131" s="72"/>
      <c r="T131" s="72"/>
      <c r="U131" s="74"/>
      <c r="V131" s="755">
        <f t="shared" si="1"/>
        <v>0</v>
      </c>
      <c r="W131" s="754"/>
      <c r="X131" s="754"/>
      <c r="Y131" s="72"/>
      <c r="Z131" s="72"/>
      <c r="AA131" s="72"/>
      <c r="AB131" s="72"/>
      <c r="AC131" s="75"/>
      <c r="AD131" s="60"/>
      <c r="AE131" s="100"/>
      <c r="AF131" s="33"/>
      <c r="AG131" s="33"/>
      <c r="AH131" s="33"/>
      <c r="AI131" s="101"/>
      <c r="AK131" s="19"/>
    </row>
    <row r="132" spans="2:37" ht="13" x14ac:dyDescent="0.3">
      <c r="B132" s="79" t="s">
        <v>157</v>
      </c>
      <c r="C132" s="33">
        <v>-1271</v>
      </c>
      <c r="D132" s="33">
        <v>-1271</v>
      </c>
      <c r="E132" s="23">
        <v>0</v>
      </c>
      <c r="F132" s="23">
        <v>1648</v>
      </c>
      <c r="G132" s="23">
        <v>0</v>
      </c>
      <c r="H132" s="23">
        <v>0</v>
      </c>
      <c r="I132" s="23">
        <v>0</v>
      </c>
      <c r="J132" s="23">
        <v>0</v>
      </c>
      <c r="K132" s="23">
        <v>1648</v>
      </c>
      <c r="L132" s="33">
        <v>1648</v>
      </c>
      <c r="M132" s="33">
        <v>1648</v>
      </c>
      <c r="N132" s="33">
        <v>377</v>
      </c>
      <c r="O132" s="33">
        <v>7047</v>
      </c>
      <c r="P132" s="33">
        <v>0</v>
      </c>
      <c r="Q132" s="33">
        <v>7047</v>
      </c>
      <c r="R132" s="33">
        <v>377</v>
      </c>
      <c r="S132" s="33">
        <v>6670</v>
      </c>
      <c r="T132" s="38">
        <v>18.692307692307693</v>
      </c>
      <c r="U132" s="59">
        <v>377</v>
      </c>
      <c r="V132" s="755">
        <f t="shared" si="1"/>
        <v>6670</v>
      </c>
      <c r="W132" s="754"/>
      <c r="X132" s="754"/>
      <c r="Y132" s="33">
        <v>0</v>
      </c>
      <c r="Z132" s="33">
        <v>0</v>
      </c>
      <c r="AA132" s="33"/>
      <c r="AB132" s="33"/>
      <c r="AC132" s="42"/>
      <c r="AD132" s="60"/>
      <c r="AE132" s="105"/>
      <c r="AF132" s="93"/>
      <c r="AG132" s="33">
        <v>0</v>
      </c>
      <c r="AH132" s="33">
        <v>7047</v>
      </c>
      <c r="AI132" s="101">
        <v>6670</v>
      </c>
      <c r="AK132" s="19"/>
    </row>
    <row r="133" spans="2:37" ht="13.5" thickBot="1" x14ac:dyDescent="0.35">
      <c r="B133" s="80"/>
      <c r="C133" s="81"/>
      <c r="D133" s="81"/>
      <c r="E133" s="82"/>
      <c r="F133" s="82"/>
      <c r="G133" s="82"/>
      <c r="H133" s="82"/>
      <c r="I133" s="82"/>
      <c r="J133" s="82"/>
      <c r="K133" s="82"/>
      <c r="L133" s="81"/>
      <c r="M133" s="81"/>
      <c r="N133" s="81"/>
      <c r="O133" s="81"/>
      <c r="P133" s="81"/>
      <c r="Q133" s="81"/>
      <c r="R133" s="81"/>
      <c r="S133" s="81"/>
      <c r="T133" s="81"/>
      <c r="U133" s="83"/>
      <c r="V133" s="755">
        <f t="shared" si="1"/>
        <v>0</v>
      </c>
      <c r="W133" s="754"/>
      <c r="X133" s="754"/>
      <c r="Y133" s="81"/>
      <c r="Z133" s="81"/>
      <c r="AA133" s="81"/>
      <c r="AB133" s="81"/>
      <c r="AC133" s="84"/>
      <c r="AD133" s="60"/>
      <c r="AE133" s="100"/>
      <c r="AF133" s="33"/>
      <c r="AG133" s="33"/>
      <c r="AH133" s="33"/>
      <c r="AI133" s="101"/>
      <c r="AK133" s="19"/>
    </row>
    <row r="134" spans="2:37" ht="13.5" thickBot="1" x14ac:dyDescent="0.35">
      <c r="B134" s="91" t="s">
        <v>158</v>
      </c>
      <c r="C134" s="76">
        <v>24131</v>
      </c>
      <c r="D134" s="76">
        <v>24131</v>
      </c>
      <c r="E134" s="76">
        <v>0</v>
      </c>
      <c r="F134" s="76">
        <v>0</v>
      </c>
      <c r="G134" s="76">
        <v>2</v>
      </c>
      <c r="H134" s="76">
        <v>140</v>
      </c>
      <c r="I134" s="76">
        <v>0</v>
      </c>
      <c r="J134" s="76">
        <v>-2</v>
      </c>
      <c r="K134" s="76">
        <v>140</v>
      </c>
      <c r="L134" s="76">
        <v>136</v>
      </c>
      <c r="M134" s="76">
        <v>136</v>
      </c>
      <c r="N134" s="76">
        <v>24267</v>
      </c>
      <c r="O134" s="76">
        <v>165247</v>
      </c>
      <c r="P134" s="76">
        <v>-128933</v>
      </c>
      <c r="Q134" s="76">
        <v>36314</v>
      </c>
      <c r="R134" s="76">
        <v>24267</v>
      </c>
      <c r="S134" s="76">
        <v>12047</v>
      </c>
      <c r="T134" s="92">
        <v>1.4964354885235094</v>
      </c>
      <c r="U134" s="76">
        <v>26212</v>
      </c>
      <c r="V134" s="755">
        <f t="shared" ref="V134:V145" si="2">Q134-U134</f>
        <v>10102</v>
      </c>
      <c r="W134" s="754"/>
      <c r="X134" s="754"/>
      <c r="Y134" s="76">
        <v>1945</v>
      </c>
      <c r="Z134" s="76">
        <v>1945</v>
      </c>
      <c r="AA134" s="76">
        <v>0</v>
      </c>
      <c r="AB134" s="76">
        <v>0</v>
      </c>
      <c r="AC134" s="76">
        <v>0</v>
      </c>
      <c r="AD134" s="60"/>
      <c r="AE134" s="76">
        <v>0</v>
      </c>
      <c r="AF134" s="76">
        <v>0</v>
      </c>
      <c r="AG134" s="76">
        <v>0</v>
      </c>
      <c r="AH134" s="76">
        <v>36314</v>
      </c>
      <c r="AI134" s="76">
        <v>12047</v>
      </c>
      <c r="AK134" s="19"/>
    </row>
    <row r="135" spans="2:37" ht="13.5" thickTop="1" x14ac:dyDescent="0.3">
      <c r="B135" s="71"/>
      <c r="C135" s="72"/>
      <c r="D135" s="72"/>
      <c r="E135" s="73"/>
      <c r="F135" s="73"/>
      <c r="G135" s="73"/>
      <c r="H135" s="73"/>
      <c r="I135" s="73"/>
      <c r="J135" s="73"/>
      <c r="K135" s="73"/>
      <c r="L135" s="72"/>
      <c r="M135" s="72"/>
      <c r="N135" s="72"/>
      <c r="O135" s="72"/>
      <c r="P135" s="72"/>
      <c r="Q135" s="72"/>
      <c r="R135" s="72"/>
      <c r="S135" s="72"/>
      <c r="T135" s="72"/>
      <c r="U135" s="74"/>
      <c r="V135" s="755">
        <f t="shared" si="2"/>
        <v>0</v>
      </c>
      <c r="W135" s="754"/>
      <c r="X135" s="754"/>
      <c r="Y135" s="72"/>
      <c r="Z135" s="72"/>
      <c r="AA135" s="72"/>
      <c r="AB135" s="72"/>
      <c r="AC135" s="75"/>
      <c r="AD135" s="60"/>
      <c r="AE135" s="100"/>
      <c r="AF135" s="33"/>
      <c r="AG135" s="33"/>
      <c r="AH135" s="33"/>
      <c r="AI135" s="101"/>
      <c r="AK135" s="19"/>
    </row>
    <row r="136" spans="2:37" ht="13" x14ac:dyDescent="0.3">
      <c r="B136" s="85"/>
      <c r="C136" s="86"/>
      <c r="D136" s="86"/>
      <c r="E136" s="87"/>
      <c r="F136" s="87"/>
      <c r="G136" s="87"/>
      <c r="H136" s="87"/>
      <c r="I136" s="87"/>
      <c r="J136" s="87"/>
      <c r="K136" s="87"/>
      <c r="L136" s="86"/>
      <c r="M136" s="86"/>
      <c r="N136" s="86"/>
      <c r="O136" s="86"/>
      <c r="P136" s="86"/>
      <c r="Q136" s="86"/>
      <c r="R136" s="86"/>
      <c r="S136" s="86"/>
      <c r="T136" s="86"/>
      <c r="U136" s="88"/>
      <c r="V136" s="755">
        <f t="shared" si="2"/>
        <v>0</v>
      </c>
      <c r="W136" s="644"/>
      <c r="X136" s="644"/>
      <c r="Y136" s="86"/>
      <c r="Z136" s="86"/>
      <c r="AA136" s="86"/>
      <c r="AB136" s="86"/>
      <c r="AC136" s="89"/>
      <c r="AD136" s="60"/>
      <c r="AE136" s="100"/>
      <c r="AF136" s="33"/>
      <c r="AG136" s="33"/>
      <c r="AH136" s="33"/>
      <c r="AI136" s="101"/>
      <c r="AK136" s="19"/>
    </row>
    <row r="137" spans="2:37" ht="13" x14ac:dyDescent="0.3">
      <c r="B137" s="78" t="s">
        <v>159</v>
      </c>
      <c r="C137" s="33"/>
      <c r="D137" s="33"/>
      <c r="E137" s="23"/>
      <c r="F137" s="23"/>
      <c r="G137" s="23"/>
      <c r="H137" s="23"/>
      <c r="I137" s="23"/>
      <c r="J137" s="23"/>
      <c r="K137" s="23"/>
      <c r="L137" s="33"/>
      <c r="M137" s="33"/>
      <c r="N137" s="33"/>
      <c r="O137" s="33"/>
      <c r="P137" s="33"/>
      <c r="Q137" s="33"/>
      <c r="R137" s="33"/>
      <c r="S137" s="33"/>
      <c r="T137" s="38"/>
      <c r="U137" s="59"/>
      <c r="V137" s="755">
        <f t="shared" si="2"/>
        <v>0</v>
      </c>
      <c r="W137" s="754"/>
      <c r="X137" s="754"/>
      <c r="Y137" s="33"/>
      <c r="Z137" s="33"/>
      <c r="AA137" s="33"/>
      <c r="AB137" s="33"/>
      <c r="AC137" s="42"/>
      <c r="AD137" s="60"/>
      <c r="AE137" s="100"/>
      <c r="AF137" s="33"/>
      <c r="AG137" s="33"/>
      <c r="AH137" s="33"/>
      <c r="AI137" s="101"/>
      <c r="AK137" s="19"/>
    </row>
    <row r="138" spans="2:37" ht="13" x14ac:dyDescent="0.3">
      <c r="B138" s="79" t="s">
        <v>160</v>
      </c>
      <c r="C138" s="33">
        <v>197</v>
      </c>
      <c r="D138" s="33">
        <v>197</v>
      </c>
      <c r="E138" s="23">
        <v>0</v>
      </c>
      <c r="F138" s="23">
        <v>0</v>
      </c>
      <c r="G138" s="23">
        <v>0</v>
      </c>
      <c r="H138" s="23">
        <v>0</v>
      </c>
      <c r="I138" s="23">
        <v>0</v>
      </c>
      <c r="J138" s="23">
        <v>0</v>
      </c>
      <c r="K138" s="23">
        <v>0</v>
      </c>
      <c r="L138" s="33">
        <v>0</v>
      </c>
      <c r="M138" s="33">
        <v>0</v>
      </c>
      <c r="N138" s="33">
        <v>197</v>
      </c>
      <c r="O138" s="33">
        <v>0</v>
      </c>
      <c r="P138" s="33">
        <v>661</v>
      </c>
      <c r="Q138" s="33">
        <v>661</v>
      </c>
      <c r="R138" s="33">
        <v>197</v>
      </c>
      <c r="S138" s="33">
        <v>464</v>
      </c>
      <c r="T138" s="38">
        <v>3.3553299492385786</v>
      </c>
      <c r="U138" s="59">
        <v>197</v>
      </c>
      <c r="V138" s="755">
        <f t="shared" si="2"/>
        <v>464</v>
      </c>
      <c r="W138" s="754"/>
      <c r="X138" s="754"/>
      <c r="Y138" s="33">
        <v>0</v>
      </c>
      <c r="Z138" s="33">
        <v>0</v>
      </c>
      <c r="AA138" s="33"/>
      <c r="AB138" s="33"/>
      <c r="AC138" s="42"/>
      <c r="AD138" s="60"/>
      <c r="AE138" s="105"/>
      <c r="AF138" s="93"/>
      <c r="AG138" s="33">
        <v>0</v>
      </c>
      <c r="AH138" s="33">
        <v>661</v>
      </c>
      <c r="AI138" s="101">
        <v>464</v>
      </c>
      <c r="AK138" s="19"/>
    </row>
    <row r="139" spans="2:37" ht="13" x14ac:dyDescent="0.3">
      <c r="B139" s="79" t="s">
        <v>161</v>
      </c>
      <c r="C139" s="33">
        <v>15693</v>
      </c>
      <c r="D139" s="33">
        <v>15693</v>
      </c>
      <c r="E139" s="23">
        <v>0</v>
      </c>
      <c r="F139" s="23">
        <v>0</v>
      </c>
      <c r="G139" s="23">
        <v>0</v>
      </c>
      <c r="H139" s="23">
        <v>0</v>
      </c>
      <c r="I139" s="23">
        <v>0</v>
      </c>
      <c r="J139" s="23">
        <v>0</v>
      </c>
      <c r="K139" s="23">
        <v>0</v>
      </c>
      <c r="L139" s="33">
        <v>0</v>
      </c>
      <c r="M139" s="33">
        <v>0</v>
      </c>
      <c r="N139" s="33">
        <v>15693</v>
      </c>
      <c r="O139" s="33">
        <v>15833</v>
      </c>
      <c r="P139" s="33">
        <v>0</v>
      </c>
      <c r="Q139" s="33">
        <v>15833</v>
      </c>
      <c r="R139" s="33">
        <v>15693</v>
      </c>
      <c r="S139" s="33">
        <v>140</v>
      </c>
      <c r="T139" s="38">
        <v>1.008921175046199</v>
      </c>
      <c r="U139" s="59">
        <v>15693</v>
      </c>
      <c r="V139" s="755">
        <f t="shared" si="2"/>
        <v>140</v>
      </c>
      <c r="W139" s="754"/>
      <c r="X139" s="754"/>
      <c r="Y139" s="33">
        <v>0</v>
      </c>
      <c r="Z139" s="33">
        <v>0</v>
      </c>
      <c r="AA139" s="33"/>
      <c r="AB139" s="33"/>
      <c r="AC139" s="42"/>
      <c r="AD139" s="60"/>
      <c r="AE139" s="105"/>
      <c r="AF139" s="93"/>
      <c r="AG139" s="33">
        <v>0</v>
      </c>
      <c r="AH139" s="33">
        <v>15833</v>
      </c>
      <c r="AI139" s="101">
        <v>140</v>
      </c>
      <c r="AK139" s="19"/>
    </row>
    <row r="140" spans="2:37" ht="13" x14ac:dyDescent="0.3">
      <c r="B140" s="79" t="s">
        <v>162</v>
      </c>
      <c r="C140" s="33">
        <v>-277</v>
      </c>
      <c r="D140" s="33">
        <v>-277</v>
      </c>
      <c r="E140" s="23">
        <v>0</v>
      </c>
      <c r="F140" s="23">
        <v>0</v>
      </c>
      <c r="G140" s="23">
        <v>0</v>
      </c>
      <c r="H140" s="23">
        <v>0</v>
      </c>
      <c r="I140" s="23">
        <v>0</v>
      </c>
      <c r="J140" s="23">
        <v>0</v>
      </c>
      <c r="K140" s="23">
        <v>0</v>
      </c>
      <c r="L140" s="33">
        <v>0</v>
      </c>
      <c r="M140" s="33">
        <v>0</v>
      </c>
      <c r="N140" s="33">
        <v>-277</v>
      </c>
      <c r="O140" s="33">
        <v>-277</v>
      </c>
      <c r="P140" s="33">
        <v>0</v>
      </c>
      <c r="Q140" s="33">
        <v>-277</v>
      </c>
      <c r="R140" s="33">
        <v>-277</v>
      </c>
      <c r="S140" s="33">
        <v>0</v>
      </c>
      <c r="T140" s="38">
        <v>1</v>
      </c>
      <c r="U140" s="59">
        <v>-277</v>
      </c>
      <c r="V140" s="755">
        <f t="shared" si="2"/>
        <v>0</v>
      </c>
      <c r="W140" s="754"/>
      <c r="X140" s="754"/>
      <c r="Y140" s="33">
        <v>0</v>
      </c>
      <c r="Z140" s="33">
        <v>0</v>
      </c>
      <c r="AA140" s="33"/>
      <c r="AB140" s="33"/>
      <c r="AC140" s="42"/>
      <c r="AD140" s="60"/>
      <c r="AE140" s="105"/>
      <c r="AF140" s="93"/>
      <c r="AG140" s="33">
        <v>0</v>
      </c>
      <c r="AH140" s="33">
        <v>-277</v>
      </c>
      <c r="AI140" s="101">
        <v>0</v>
      </c>
      <c r="AK140" s="19"/>
    </row>
    <row r="141" spans="2:37" ht="13" x14ac:dyDescent="0.3">
      <c r="B141" s="79" t="s">
        <v>163</v>
      </c>
      <c r="C141" s="33">
        <v>8517</v>
      </c>
      <c r="D141" s="33">
        <v>8517</v>
      </c>
      <c r="E141" s="23">
        <v>0</v>
      </c>
      <c r="F141" s="23">
        <v>0</v>
      </c>
      <c r="G141" s="23">
        <v>0</v>
      </c>
      <c r="H141" s="23">
        <v>140</v>
      </c>
      <c r="I141" s="23">
        <v>0</v>
      </c>
      <c r="J141" s="23">
        <v>0</v>
      </c>
      <c r="K141" s="23">
        <v>140</v>
      </c>
      <c r="L141" s="33">
        <v>140</v>
      </c>
      <c r="M141" s="33">
        <v>140</v>
      </c>
      <c r="N141" s="33">
        <v>8657</v>
      </c>
      <c r="O141" s="33">
        <v>2958</v>
      </c>
      <c r="P141" s="33">
        <v>11453</v>
      </c>
      <c r="Q141" s="33">
        <v>14411</v>
      </c>
      <c r="R141" s="33">
        <v>8657</v>
      </c>
      <c r="S141" s="33">
        <v>5754</v>
      </c>
      <c r="T141" s="38">
        <v>1.664664433406492</v>
      </c>
      <c r="U141" s="59">
        <v>8657</v>
      </c>
      <c r="V141" s="755">
        <f t="shared" si="2"/>
        <v>5754</v>
      </c>
      <c r="W141" s="644"/>
      <c r="X141" s="644"/>
      <c r="Y141" s="33">
        <v>0</v>
      </c>
      <c r="Z141" s="33">
        <v>0</v>
      </c>
      <c r="AA141" s="33"/>
      <c r="AB141" s="33"/>
      <c r="AC141" s="42"/>
      <c r="AD141" s="60"/>
      <c r="AE141" s="105"/>
      <c r="AF141" s="93"/>
      <c r="AG141" s="33">
        <v>0</v>
      </c>
      <c r="AH141" s="33">
        <v>14411</v>
      </c>
      <c r="AI141" s="101">
        <v>5754</v>
      </c>
      <c r="AK141" s="19"/>
    </row>
    <row r="142" spans="2:37" ht="13.5" thickBot="1" x14ac:dyDescent="0.35">
      <c r="B142" s="80"/>
      <c r="C142" s="81"/>
      <c r="D142" s="81"/>
      <c r="E142" s="82"/>
      <c r="F142" s="82"/>
      <c r="G142" s="82"/>
      <c r="H142" s="82"/>
      <c r="I142" s="82"/>
      <c r="J142" s="82"/>
      <c r="K142" s="82"/>
      <c r="L142" s="81"/>
      <c r="M142" s="81"/>
      <c r="N142" s="81"/>
      <c r="O142" s="81"/>
      <c r="P142" s="81"/>
      <c r="Q142" s="81"/>
      <c r="R142" s="81"/>
      <c r="S142" s="81"/>
      <c r="T142" s="81"/>
      <c r="U142" s="83"/>
      <c r="V142" s="755">
        <f t="shared" si="2"/>
        <v>0</v>
      </c>
      <c r="W142" s="644"/>
      <c r="X142" s="644"/>
      <c r="Y142" s="81"/>
      <c r="Z142" s="81"/>
      <c r="AA142" s="81"/>
      <c r="AB142" s="81"/>
      <c r="AC142" s="84"/>
      <c r="AD142" s="60"/>
      <c r="AE142" s="100"/>
      <c r="AF142" s="33"/>
      <c r="AG142" s="33"/>
      <c r="AH142" s="33"/>
      <c r="AI142" s="101"/>
      <c r="AK142" s="19"/>
    </row>
    <row r="143" spans="2:37" ht="13.5" thickBot="1" x14ac:dyDescent="0.35">
      <c r="B143" s="91" t="s">
        <v>164</v>
      </c>
      <c r="C143" s="76">
        <v>24130</v>
      </c>
      <c r="D143" s="76">
        <v>24130</v>
      </c>
      <c r="E143" s="76">
        <v>0</v>
      </c>
      <c r="F143" s="76">
        <v>0</v>
      </c>
      <c r="G143" s="76">
        <v>0</v>
      </c>
      <c r="H143" s="76">
        <v>140</v>
      </c>
      <c r="I143" s="76">
        <v>0</v>
      </c>
      <c r="J143" s="76">
        <v>0</v>
      </c>
      <c r="K143" s="76">
        <v>140</v>
      </c>
      <c r="L143" s="76">
        <v>140</v>
      </c>
      <c r="M143" s="76">
        <v>140</v>
      </c>
      <c r="N143" s="76">
        <v>24270</v>
      </c>
      <c r="O143" s="76">
        <v>18514</v>
      </c>
      <c r="P143" s="76">
        <v>12114</v>
      </c>
      <c r="Q143" s="76">
        <v>30628</v>
      </c>
      <c r="R143" s="76">
        <v>24270</v>
      </c>
      <c r="S143" s="76">
        <v>6358</v>
      </c>
      <c r="T143" s="92">
        <v>1.2619695096827359</v>
      </c>
      <c r="U143" s="76">
        <v>24270</v>
      </c>
      <c r="V143" s="755">
        <f t="shared" si="2"/>
        <v>6358</v>
      </c>
      <c r="W143" s="644"/>
      <c r="X143" s="644"/>
      <c r="Y143" s="76">
        <v>0</v>
      </c>
      <c r="Z143" s="76">
        <v>0</v>
      </c>
      <c r="AA143" s="76">
        <v>0</v>
      </c>
      <c r="AB143" s="76">
        <v>0</v>
      </c>
      <c r="AC143" s="76">
        <v>0</v>
      </c>
      <c r="AD143" s="60"/>
      <c r="AE143" s="76">
        <v>0</v>
      </c>
      <c r="AF143" s="76">
        <v>0</v>
      </c>
      <c r="AG143" s="76">
        <v>0</v>
      </c>
      <c r="AH143" s="76">
        <v>30628</v>
      </c>
      <c r="AI143" s="76">
        <v>6358</v>
      </c>
      <c r="AK143" s="19"/>
    </row>
    <row r="144" spans="2:37" ht="14" thickTop="1" thickBot="1" x14ac:dyDescent="0.35">
      <c r="B144" s="80"/>
      <c r="C144" s="81"/>
      <c r="D144" s="81"/>
      <c r="E144" s="82"/>
      <c r="F144" s="82"/>
      <c r="G144" s="82"/>
      <c r="H144" s="82"/>
      <c r="I144" s="82"/>
      <c r="J144" s="82"/>
      <c r="K144" s="82"/>
      <c r="L144" s="81"/>
      <c r="M144" s="81"/>
      <c r="N144" s="81"/>
      <c r="O144" s="81"/>
      <c r="P144" s="81"/>
      <c r="Q144" s="81"/>
      <c r="R144" s="81"/>
      <c r="S144" s="81"/>
      <c r="T144" s="81"/>
      <c r="U144" s="83"/>
      <c r="V144" s="755">
        <f t="shared" si="2"/>
        <v>0</v>
      </c>
      <c r="W144" s="754"/>
      <c r="X144" s="754"/>
      <c r="Y144" s="81"/>
      <c r="Z144" s="81"/>
      <c r="AA144" s="81"/>
      <c r="AB144" s="81"/>
      <c r="AC144" s="84"/>
      <c r="AD144" s="60"/>
      <c r="AE144" s="100"/>
      <c r="AF144" s="33"/>
      <c r="AG144" s="33"/>
      <c r="AH144" s="33"/>
      <c r="AI144" s="101"/>
      <c r="AK144" s="19"/>
    </row>
    <row r="145" spans="2:37" ht="13.5" thickBot="1" x14ac:dyDescent="0.35">
      <c r="B145" s="91" t="s">
        <v>165</v>
      </c>
      <c r="C145" s="76">
        <v>1</v>
      </c>
      <c r="D145" s="76">
        <v>1</v>
      </c>
      <c r="E145" s="76">
        <v>0</v>
      </c>
      <c r="F145" s="76">
        <v>0</v>
      </c>
      <c r="G145" s="76">
        <v>2</v>
      </c>
      <c r="H145" s="76">
        <v>0</v>
      </c>
      <c r="I145" s="76">
        <v>0</v>
      </c>
      <c r="J145" s="76">
        <v>-2</v>
      </c>
      <c r="K145" s="76">
        <v>0</v>
      </c>
      <c r="L145" s="76">
        <v>-4</v>
      </c>
      <c r="M145" s="76">
        <v>-4</v>
      </c>
      <c r="N145" s="76">
        <v>-3</v>
      </c>
      <c r="O145" s="76">
        <v>146733</v>
      </c>
      <c r="P145" s="76">
        <v>-141047</v>
      </c>
      <c r="Q145" s="76">
        <v>5686</v>
      </c>
      <c r="R145" s="76">
        <v>-3</v>
      </c>
      <c r="S145" s="76">
        <v>5689</v>
      </c>
      <c r="T145" s="92">
        <v>-1895.3333333333333</v>
      </c>
      <c r="U145" s="76">
        <v>1942</v>
      </c>
      <c r="V145" s="755">
        <f t="shared" si="2"/>
        <v>3744</v>
      </c>
      <c r="W145" s="755"/>
      <c r="X145" s="755"/>
      <c r="Y145" s="76">
        <v>1945</v>
      </c>
      <c r="Z145" s="76">
        <v>1945</v>
      </c>
      <c r="AA145" s="76">
        <v>0</v>
      </c>
      <c r="AB145" s="76">
        <v>0</v>
      </c>
      <c r="AC145" s="76">
        <v>0</v>
      </c>
      <c r="AD145" s="60"/>
      <c r="AE145" s="76">
        <v>0</v>
      </c>
      <c r="AF145" s="76">
        <v>0</v>
      </c>
      <c r="AG145" s="76">
        <v>0</v>
      </c>
      <c r="AH145" s="76">
        <v>5686</v>
      </c>
      <c r="AI145" s="76">
        <v>5689</v>
      </c>
      <c r="AK145" s="19"/>
    </row>
    <row r="146" spans="2:37" ht="13" thickTop="1" x14ac:dyDescent="0.25">
      <c r="V146" s="760">
        <f>'Comments Feeder'!N145-'Comments Feeder'!U145</f>
        <v>0</v>
      </c>
      <c r="W146" s="760"/>
      <c r="X146" s="760"/>
    </row>
    <row r="147" spans="2:37" x14ac:dyDescent="0.25">
      <c r="Q147" s="19"/>
      <c r="V147" s="760">
        <f>'Comments Feeder'!N146-'Comments Feeder'!U146</f>
        <v>0</v>
      </c>
      <c r="W147" s="760"/>
      <c r="X147" s="760"/>
    </row>
    <row r="148" spans="2:37" x14ac:dyDescent="0.25">
      <c r="V148" s="760">
        <f>'Comments Feeder'!N148-'Comments Feeder'!U148</f>
        <v>0</v>
      </c>
      <c r="W148" s="760"/>
      <c r="X148" s="760"/>
    </row>
    <row r="149" spans="2:37" x14ac:dyDescent="0.25">
      <c r="V149" s="760">
        <f>'Comments Feeder'!N149-'Comments Feeder'!U149</f>
        <v>0</v>
      </c>
      <c r="W149" s="760"/>
      <c r="X149" s="760"/>
    </row>
    <row r="150" spans="2:37" ht="14.5" x14ac:dyDescent="0.35">
      <c r="V150" s="760">
        <f>'Comments Feeder'!N150-'Comments Feeder'!U150</f>
        <v>0</v>
      </c>
      <c r="W150" s="761"/>
      <c r="X150" s="761"/>
    </row>
    <row r="151" spans="2:37" x14ac:dyDescent="0.25">
      <c r="V151" s="760">
        <f>'Comments Feeder'!N151-'Comments Feeder'!U151</f>
        <v>0</v>
      </c>
      <c r="W151" s="762"/>
      <c r="X151" s="762"/>
    </row>
    <row r="152" spans="2:37" x14ac:dyDescent="0.25">
      <c r="V152" s="760">
        <f>'Comments Feeder'!N152-'Comments Feeder'!U152</f>
        <v>0</v>
      </c>
      <c r="W152" s="762"/>
      <c r="X152" s="762"/>
    </row>
    <row r="153" spans="2:37" x14ac:dyDescent="0.25">
      <c r="V153" s="760">
        <f>'Comments Feeder'!N153-'Comments Feeder'!U153</f>
        <v>0</v>
      </c>
      <c r="W153" s="762"/>
      <c r="X153" s="762"/>
    </row>
    <row r="154" spans="2:37" x14ac:dyDescent="0.25">
      <c r="V154" s="760">
        <f>'Comments Feeder'!N154-'Comments Feeder'!U154</f>
        <v>0</v>
      </c>
      <c r="W154" s="762"/>
      <c r="X154" s="762"/>
    </row>
    <row r="155" spans="2:37" x14ac:dyDescent="0.25">
      <c r="V155" s="760">
        <f>'Comments Feeder'!N155-'Comments Feeder'!U155</f>
        <v>0</v>
      </c>
      <c r="W155" s="762"/>
      <c r="X155" s="762"/>
    </row>
    <row r="156" spans="2:37" x14ac:dyDescent="0.25">
      <c r="V156" s="760">
        <f>'Comments Feeder'!N156-'Comments Feeder'!U156</f>
        <v>0</v>
      </c>
    </row>
    <row r="157" spans="2:37" x14ac:dyDescent="0.25">
      <c r="V157" s="760">
        <f>'Comments Feeder'!N157-'Comments Feeder'!U157</f>
        <v>0</v>
      </c>
      <c r="W157" s="762"/>
      <c r="X157" s="762"/>
    </row>
    <row r="158" spans="2:37" x14ac:dyDescent="0.25">
      <c r="V158" s="760">
        <f>'Comments Feeder'!N158-'Comments Feeder'!U158</f>
        <v>0</v>
      </c>
      <c r="W158" s="762"/>
      <c r="X158" s="762"/>
    </row>
    <row r="159" spans="2:37" x14ac:dyDescent="0.25">
      <c r="V159" s="760">
        <f>'Comments Feeder'!N159-'Comments Feeder'!U159</f>
        <v>0</v>
      </c>
      <c r="W159" s="762"/>
      <c r="X159" s="762"/>
    </row>
    <row r="160" spans="2:37" x14ac:dyDescent="0.25">
      <c r="V160" s="760">
        <f>'Comments Feeder'!N160-'Comments Feeder'!U160</f>
        <v>0</v>
      </c>
      <c r="W160" s="762"/>
      <c r="X160" s="762"/>
    </row>
    <row r="161" spans="22:24" x14ac:dyDescent="0.25">
      <c r="V161" s="760">
        <f>'Comments Feeder'!N161-'Comments Feeder'!U161</f>
        <v>0</v>
      </c>
    </row>
    <row r="162" spans="22:24" x14ac:dyDescent="0.25">
      <c r="V162" s="760">
        <f>'Comments Feeder'!N162-'Comments Feeder'!U162</f>
        <v>0</v>
      </c>
    </row>
    <row r="163" spans="22:24" x14ac:dyDescent="0.25">
      <c r="V163" s="760">
        <f>'Comments Feeder'!N163-'Comments Feeder'!U163</f>
        <v>0</v>
      </c>
    </row>
    <row r="164" spans="22:24" x14ac:dyDescent="0.25">
      <c r="V164" s="760">
        <f>'Comments Feeder'!N164-'Comments Feeder'!U164</f>
        <v>0</v>
      </c>
      <c r="W164" s="762"/>
      <c r="X164" s="762"/>
    </row>
    <row r="165" spans="22:24" x14ac:dyDescent="0.25">
      <c r="V165" s="760">
        <f>'Comments Feeder'!N165-'Comments Feeder'!U165</f>
        <v>0</v>
      </c>
      <c r="W165" s="760"/>
      <c r="X165" s="760"/>
    </row>
    <row r="166" spans="22:24" ht="14.5" x14ac:dyDescent="0.35">
      <c r="V166" s="760">
        <f>'Comments Feeder'!N166-'Comments Feeder'!U166</f>
        <v>0</v>
      </c>
      <c r="W166" s="761"/>
      <c r="X166" s="761"/>
    </row>
    <row r="167" spans="22:24" ht="15" thickBot="1" x14ac:dyDescent="0.4">
      <c r="V167" s="760">
        <f>'Comments Feeder'!N167-'Comments Feeder'!U167</f>
        <v>0</v>
      </c>
      <c r="W167" s="763"/>
      <c r="X167" s="763"/>
    </row>
    <row r="168" spans="22:24" ht="13" thickTop="1" x14ac:dyDescent="0.25">
      <c r="V168" s="760">
        <f>'Comments Feeder'!N168-'Comments Feeder'!U168</f>
        <v>0</v>
      </c>
      <c r="W168" s="762"/>
      <c r="X168" s="762"/>
    </row>
    <row r="169" spans="22:24" x14ac:dyDescent="0.25">
      <c r="V169" s="760">
        <f>'Comments Feeder'!N169-'Comments Feeder'!U169</f>
        <v>0</v>
      </c>
      <c r="W169" s="762"/>
      <c r="X169" s="762"/>
    </row>
    <row r="170" spans="22:24" x14ac:dyDescent="0.25">
      <c r="V170" s="760">
        <f>'Comments Feeder'!N170-'Comments Feeder'!U170</f>
        <v>0</v>
      </c>
      <c r="W170" s="762"/>
      <c r="X170" s="762"/>
    </row>
    <row r="171" spans="22:24" x14ac:dyDescent="0.25">
      <c r="V171" s="760">
        <f>'Comments Feeder'!N171-'Comments Feeder'!U171</f>
        <v>0</v>
      </c>
      <c r="W171" s="762"/>
      <c r="X171" s="762"/>
    </row>
    <row r="172" spans="22:24" x14ac:dyDescent="0.25">
      <c r="V172" s="760">
        <f>'Comments Feeder'!N172-'Comments Feeder'!U172</f>
        <v>0</v>
      </c>
      <c r="W172" s="762"/>
      <c r="X172" s="762"/>
    </row>
    <row r="173" spans="22:24" x14ac:dyDescent="0.25">
      <c r="V173" s="760">
        <f>'Comments Feeder'!N173-'Comments Feeder'!U173</f>
        <v>0</v>
      </c>
    </row>
    <row r="174" spans="22:24" x14ac:dyDescent="0.25">
      <c r="V174" s="760">
        <f>'Comments Feeder'!N174-'Comments Feeder'!U174</f>
        <v>0</v>
      </c>
      <c r="W174" s="762"/>
      <c r="X174" s="762"/>
    </row>
    <row r="175" spans="22:24" x14ac:dyDescent="0.25">
      <c r="V175" s="760">
        <f>'Comments Feeder'!N175-'Comments Feeder'!U175</f>
        <v>0</v>
      </c>
      <c r="W175" s="762"/>
      <c r="X175" s="762"/>
    </row>
    <row r="176" spans="22:24" x14ac:dyDescent="0.25">
      <c r="V176" s="760">
        <f>'Comments Feeder'!N176-'Comments Feeder'!U176</f>
        <v>0</v>
      </c>
      <c r="W176" s="762"/>
      <c r="X176" s="762"/>
    </row>
    <row r="177" spans="22:24" x14ac:dyDescent="0.25">
      <c r="V177" s="760">
        <f>'Comments Feeder'!N177-'Comments Feeder'!U177</f>
        <v>0</v>
      </c>
      <c r="W177" s="762"/>
      <c r="X177" s="762"/>
    </row>
    <row r="178" spans="22:24" x14ac:dyDescent="0.25">
      <c r="V178" s="760">
        <f>'Comments Feeder'!N178-'Comments Feeder'!U178</f>
        <v>0</v>
      </c>
    </row>
    <row r="179" spans="22:24" x14ac:dyDescent="0.25">
      <c r="V179" s="760">
        <f>'Comments Feeder'!N179-'Comments Feeder'!U179</f>
        <v>0</v>
      </c>
    </row>
    <row r="180" spans="22:24" x14ac:dyDescent="0.25">
      <c r="V180" s="760">
        <f>'Comments Feeder'!N180-'Comments Feeder'!U180</f>
        <v>0</v>
      </c>
    </row>
    <row r="181" spans="22:24" x14ac:dyDescent="0.25">
      <c r="V181" s="760">
        <f>'Comments Feeder'!N181-'Comments Feeder'!U181</f>
        <v>0</v>
      </c>
      <c r="W181" s="762"/>
      <c r="X181" s="762"/>
    </row>
    <row r="182" spans="22:24" x14ac:dyDescent="0.25">
      <c r="V182" s="760">
        <f>'Comments Feeder'!N182-'Comments Feeder'!U182</f>
        <v>0</v>
      </c>
      <c r="W182" s="760"/>
      <c r="X182" s="760"/>
    </row>
    <row r="183" spans="22:24" x14ac:dyDescent="0.25">
      <c r="V183" s="760">
        <f>'Comments Feeder'!N183-'Comments Feeder'!U183</f>
        <v>0</v>
      </c>
      <c r="W183" s="760"/>
      <c r="X183" s="760"/>
    </row>
    <row r="184" spans="22:24" x14ac:dyDescent="0.25">
      <c r="V184" s="760">
        <f>'Comments Feeder'!N184-'Comments Feeder'!U184</f>
        <v>0</v>
      </c>
      <c r="W184" s="760"/>
      <c r="X184" s="760"/>
    </row>
    <row r="185" spans="22:24" ht="14.5" x14ac:dyDescent="0.35">
      <c r="V185" s="760">
        <f>'Comments Feeder'!N185-'Comments Feeder'!U185</f>
        <v>0</v>
      </c>
      <c r="W185" s="761"/>
      <c r="X185" s="761"/>
    </row>
    <row r="186" spans="22:24" x14ac:dyDescent="0.25">
      <c r="V186" s="760">
        <f>'Comments Feeder'!N186-'Comments Feeder'!U186</f>
        <v>0</v>
      </c>
      <c r="W186" s="762"/>
      <c r="X186" s="762"/>
    </row>
    <row r="187" spans="22:24" x14ac:dyDescent="0.25">
      <c r="V187" s="760">
        <f>'Comments Feeder'!N187-'Comments Feeder'!U187</f>
        <v>0</v>
      </c>
      <c r="W187" s="762"/>
      <c r="X187" s="762"/>
    </row>
    <row r="188" spans="22:24" x14ac:dyDescent="0.25">
      <c r="V188" s="760">
        <f>'Comments Feeder'!N188-'Comments Feeder'!U188</f>
        <v>0</v>
      </c>
      <c r="W188" s="762"/>
      <c r="X188" s="762"/>
    </row>
    <row r="189" spans="22:24" x14ac:dyDescent="0.25">
      <c r="V189" s="760">
        <f>'Comments Feeder'!N189-'Comments Feeder'!U189</f>
        <v>0</v>
      </c>
      <c r="W189" s="762"/>
      <c r="X189" s="762"/>
    </row>
    <row r="190" spans="22:24" x14ac:dyDescent="0.25">
      <c r="V190" s="760">
        <f>'Comments Feeder'!N190-'Comments Feeder'!U190</f>
        <v>0</v>
      </c>
      <c r="W190" s="762"/>
      <c r="X190" s="762"/>
    </row>
    <row r="191" spans="22:24" x14ac:dyDescent="0.25">
      <c r="V191" s="760">
        <f>'Comments Feeder'!N191-'Comments Feeder'!U191</f>
        <v>0</v>
      </c>
    </row>
    <row r="192" spans="22:24" x14ac:dyDescent="0.25">
      <c r="V192" s="760">
        <f>'Comments Feeder'!N192-'Comments Feeder'!U192</f>
        <v>0</v>
      </c>
      <c r="W192" s="762"/>
      <c r="X192" s="762"/>
    </row>
    <row r="193" spans="22:24" x14ac:dyDescent="0.25">
      <c r="V193" s="760">
        <f>'Comments Feeder'!N193-'Comments Feeder'!U193</f>
        <v>0</v>
      </c>
      <c r="W193" s="762"/>
      <c r="X193" s="762"/>
    </row>
    <row r="194" spans="22:24" x14ac:dyDescent="0.25">
      <c r="V194" s="760">
        <f>'Comments Feeder'!N194-'Comments Feeder'!U194</f>
        <v>0</v>
      </c>
      <c r="W194" s="762"/>
      <c r="X194" s="762"/>
    </row>
    <row r="195" spans="22:24" x14ac:dyDescent="0.25">
      <c r="V195" s="760">
        <f>'Comments Feeder'!N195-'Comments Feeder'!U195</f>
        <v>0</v>
      </c>
      <c r="W195" s="762"/>
      <c r="X195" s="762"/>
    </row>
    <row r="196" spans="22:24" x14ac:dyDescent="0.25">
      <c r="V196" s="760">
        <f>'Comments Feeder'!N196-'Comments Feeder'!U196</f>
        <v>0</v>
      </c>
    </row>
    <row r="197" spans="22:24" x14ac:dyDescent="0.25">
      <c r="V197" s="760">
        <f>'Comments Feeder'!N197-'Comments Feeder'!U197</f>
        <v>0</v>
      </c>
    </row>
    <row r="198" spans="22:24" x14ac:dyDescent="0.25">
      <c r="V198" s="760">
        <f>'Comments Feeder'!N198-'Comments Feeder'!U198</f>
        <v>0</v>
      </c>
    </row>
    <row r="199" spans="22:24" x14ac:dyDescent="0.25">
      <c r="V199" s="760">
        <f>'Comments Feeder'!N199-'Comments Feeder'!U199</f>
        <v>0</v>
      </c>
      <c r="W199" s="762"/>
      <c r="X199" s="762"/>
    </row>
    <row r="200" spans="22:24" x14ac:dyDescent="0.25">
      <c r="V200" s="760">
        <f>'Comments Feeder'!N200-'Comments Feeder'!U200</f>
        <v>0</v>
      </c>
      <c r="W200" s="760"/>
      <c r="X200" s="760"/>
    </row>
    <row r="201" spans="22:24" x14ac:dyDescent="0.25">
      <c r="V201" s="760">
        <f>'Comments Feeder'!N201-'Comments Feeder'!U201</f>
        <v>0</v>
      </c>
      <c r="W201" s="760"/>
      <c r="X201" s="760"/>
    </row>
    <row r="202" spans="22:24" x14ac:dyDescent="0.25">
      <c r="V202" s="760">
        <f>'Comments Feeder'!N202-'Comments Feeder'!U202</f>
        <v>0</v>
      </c>
      <c r="W202" s="760"/>
      <c r="X202" s="760"/>
    </row>
    <row r="203" spans="22:24" x14ac:dyDescent="0.25">
      <c r="V203" s="760">
        <f>'Comments Feeder'!N203-'Comments Feeder'!U203</f>
        <v>0</v>
      </c>
      <c r="W203" s="760"/>
      <c r="X203" s="760"/>
    </row>
    <row r="204" spans="22:24" x14ac:dyDescent="0.25">
      <c r="V204" s="760">
        <f>'Comments Feeder'!N204-'Comments Feeder'!U204</f>
        <v>0</v>
      </c>
      <c r="W204" s="760"/>
      <c r="X204" s="760"/>
    </row>
    <row r="205" spans="22:24" x14ac:dyDescent="0.25">
      <c r="V205" s="760">
        <f>'Comments Feeder'!N205-'Comments Feeder'!U205</f>
        <v>0</v>
      </c>
      <c r="W205" s="760"/>
      <c r="X205" s="760"/>
    </row>
    <row r="206" spans="22:24" x14ac:dyDescent="0.25">
      <c r="V206" s="760">
        <f>'Comments Feeder'!N206-'Comments Feeder'!U206</f>
        <v>0</v>
      </c>
      <c r="W206" s="760"/>
      <c r="X206" s="760"/>
    </row>
    <row r="207" spans="22:24" x14ac:dyDescent="0.25">
      <c r="V207" s="760">
        <f>'Comments Feeder'!N207-'Comments Feeder'!U207</f>
        <v>0</v>
      </c>
      <c r="W207" s="760"/>
      <c r="X207" s="760"/>
    </row>
    <row r="208" spans="22:24" x14ac:dyDescent="0.25">
      <c r="V208" s="760">
        <f>'Comments Feeder'!N208-'Comments Feeder'!U208</f>
        <v>0</v>
      </c>
      <c r="W208" s="760"/>
      <c r="X208" s="760"/>
    </row>
    <row r="209" spans="22:24" x14ac:dyDescent="0.25">
      <c r="V209" s="760">
        <f>'Comments Feeder'!N209-'Comments Feeder'!U209</f>
        <v>0</v>
      </c>
      <c r="W209" s="760"/>
      <c r="X209" s="760"/>
    </row>
    <row r="210" spans="22:24" ht="14.5" x14ac:dyDescent="0.35">
      <c r="V210" s="760">
        <f>'Comments Feeder'!N210-'Comments Feeder'!U210</f>
        <v>0</v>
      </c>
      <c r="W210" s="761"/>
      <c r="X210" s="761"/>
    </row>
    <row r="211" spans="22:24" ht="15" thickBot="1" x14ac:dyDescent="0.4">
      <c r="V211" s="760">
        <f>'Comments Feeder'!N211-'Comments Feeder'!U211</f>
        <v>0</v>
      </c>
      <c r="W211" s="763"/>
      <c r="X211" s="763"/>
    </row>
    <row r="212" spans="22:24" ht="13" thickTop="1" x14ac:dyDescent="0.25">
      <c r="V212" s="760">
        <f>'Comments Feeder'!N212-'Comments Feeder'!U212</f>
        <v>0</v>
      </c>
      <c r="W212" s="762"/>
      <c r="X212" s="762"/>
    </row>
    <row r="213" spans="22:24" x14ac:dyDescent="0.25">
      <c r="V213" s="760">
        <f>'Comments Feeder'!N213-'Comments Feeder'!U213</f>
        <v>0</v>
      </c>
      <c r="W213" s="762"/>
      <c r="X213" s="762"/>
    </row>
    <row r="214" spans="22:24" x14ac:dyDescent="0.25">
      <c r="V214" s="760">
        <f>'Comments Feeder'!N214-'Comments Feeder'!U214</f>
        <v>0</v>
      </c>
      <c r="W214" s="762"/>
      <c r="X214" s="762"/>
    </row>
    <row r="215" spans="22:24" x14ac:dyDescent="0.25">
      <c r="V215" s="760">
        <f>'Comments Feeder'!N215-'Comments Feeder'!U215</f>
        <v>0</v>
      </c>
      <c r="W215" s="762"/>
      <c r="X215" s="762"/>
    </row>
    <row r="216" spans="22:24" x14ac:dyDescent="0.25">
      <c r="V216" s="760">
        <f>'Comments Feeder'!N216-'Comments Feeder'!U216</f>
        <v>0</v>
      </c>
      <c r="W216" s="762"/>
      <c r="X216" s="762"/>
    </row>
    <row r="217" spans="22:24" x14ac:dyDescent="0.25">
      <c r="V217" s="760">
        <f>'Comments Feeder'!N217-'Comments Feeder'!U217</f>
        <v>0</v>
      </c>
    </row>
    <row r="218" spans="22:24" x14ac:dyDescent="0.25">
      <c r="V218" s="760">
        <f>'Comments Feeder'!N218-'Comments Feeder'!U218</f>
        <v>0</v>
      </c>
      <c r="W218" s="762"/>
      <c r="X218" s="762"/>
    </row>
    <row r="219" spans="22:24" x14ac:dyDescent="0.25">
      <c r="V219" s="760">
        <f>'Comments Feeder'!N219-'Comments Feeder'!U219</f>
        <v>0</v>
      </c>
      <c r="W219" s="762"/>
      <c r="X219" s="762"/>
    </row>
    <row r="220" spans="22:24" x14ac:dyDescent="0.25">
      <c r="V220" s="760">
        <f>'Comments Feeder'!N220-'Comments Feeder'!U220</f>
        <v>0</v>
      </c>
      <c r="W220" s="762"/>
      <c r="X220" s="762"/>
    </row>
    <row r="221" spans="22:24" x14ac:dyDescent="0.25">
      <c r="V221" s="760">
        <f>'Comments Feeder'!N221-'Comments Feeder'!U221</f>
        <v>0</v>
      </c>
      <c r="W221" s="762"/>
      <c r="X221" s="762"/>
    </row>
    <row r="222" spans="22:24" x14ac:dyDescent="0.25">
      <c r="V222" s="760">
        <f>'Comments Feeder'!N222-'Comments Feeder'!U222</f>
        <v>0</v>
      </c>
    </row>
    <row r="223" spans="22:24" x14ac:dyDescent="0.25">
      <c r="V223" s="760">
        <f>'Comments Feeder'!N223-'Comments Feeder'!U223</f>
        <v>0</v>
      </c>
    </row>
    <row r="224" spans="22:24" x14ac:dyDescent="0.25">
      <c r="V224" s="760">
        <f>'Comments Feeder'!N224-'Comments Feeder'!U224</f>
        <v>0</v>
      </c>
    </row>
    <row r="225" spans="22:24" x14ac:dyDescent="0.25">
      <c r="V225" s="760">
        <f>'Comments Feeder'!N225-'Comments Feeder'!U225</f>
        <v>0</v>
      </c>
      <c r="W225" s="762"/>
      <c r="X225" s="762"/>
    </row>
    <row r="226" spans="22:24" x14ac:dyDescent="0.25">
      <c r="V226" s="760">
        <f>'Comments Feeder'!N226-'Comments Feeder'!U226</f>
        <v>0</v>
      </c>
      <c r="W226" s="760"/>
      <c r="X226" s="760"/>
    </row>
    <row r="227" spans="22:24" x14ac:dyDescent="0.25">
      <c r="V227" s="760">
        <f>'Comments Feeder'!N227-'Comments Feeder'!U227</f>
        <v>0</v>
      </c>
      <c r="W227" s="760"/>
      <c r="X227" s="760"/>
    </row>
    <row r="228" spans="22:24" x14ac:dyDescent="0.25">
      <c r="V228" s="760">
        <f>'Comments Feeder'!N228-'Comments Feeder'!U228</f>
        <v>0</v>
      </c>
      <c r="W228" s="760"/>
      <c r="X228" s="760"/>
    </row>
    <row r="229" spans="22:24" x14ac:dyDescent="0.25">
      <c r="V229" s="760">
        <f>'Comments Feeder'!N229-'Comments Feeder'!U229</f>
        <v>0</v>
      </c>
      <c r="W229" s="760"/>
      <c r="X229" s="760"/>
    </row>
    <row r="230" spans="22:24" x14ac:dyDescent="0.25">
      <c r="V230" s="760">
        <f>'Comments Feeder'!N230-'Comments Feeder'!U230</f>
        <v>0</v>
      </c>
      <c r="W230" s="760"/>
      <c r="X230" s="760"/>
    </row>
    <row r="231" spans="22:24" x14ac:dyDescent="0.25">
      <c r="V231" s="760">
        <f>'Comments Feeder'!N231-'Comments Feeder'!U231</f>
        <v>0</v>
      </c>
      <c r="W231" s="760"/>
      <c r="X231" s="760"/>
    </row>
    <row r="232" spans="22:24" ht="14.5" x14ac:dyDescent="0.35">
      <c r="V232" s="760">
        <f>'Comments Feeder'!N232-'Comments Feeder'!U232</f>
        <v>0</v>
      </c>
      <c r="W232" s="761"/>
      <c r="X232" s="761"/>
    </row>
    <row r="233" spans="22:24" x14ac:dyDescent="0.25">
      <c r="V233" s="760">
        <f>'Comments Feeder'!N233-'Comments Feeder'!U233</f>
        <v>0</v>
      </c>
      <c r="W233" s="762"/>
      <c r="X233" s="762"/>
    </row>
    <row r="234" spans="22:24" x14ac:dyDescent="0.25">
      <c r="V234" s="760">
        <f>'Comments Feeder'!N234-'Comments Feeder'!U234</f>
        <v>0</v>
      </c>
      <c r="W234" s="762"/>
      <c r="X234" s="762"/>
    </row>
    <row r="235" spans="22:24" x14ac:dyDescent="0.25">
      <c r="V235" s="760">
        <f>'Comments Feeder'!N235-'Comments Feeder'!U235</f>
        <v>0</v>
      </c>
      <c r="W235" s="762"/>
      <c r="X235" s="762"/>
    </row>
    <row r="236" spans="22:24" x14ac:dyDescent="0.25">
      <c r="V236" s="760">
        <f>'Comments Feeder'!N236-'Comments Feeder'!U236</f>
        <v>0</v>
      </c>
      <c r="W236" s="762"/>
      <c r="X236" s="762"/>
    </row>
    <row r="237" spans="22:24" x14ac:dyDescent="0.25">
      <c r="V237" s="760">
        <f>'Comments Feeder'!N237-'Comments Feeder'!U237</f>
        <v>0</v>
      </c>
      <c r="W237" s="762"/>
      <c r="X237" s="762"/>
    </row>
    <row r="238" spans="22:24" x14ac:dyDescent="0.25">
      <c r="V238" s="760">
        <f>'Comments Feeder'!N238-'Comments Feeder'!U238</f>
        <v>0</v>
      </c>
    </row>
    <row r="239" spans="22:24" x14ac:dyDescent="0.25">
      <c r="V239" s="760">
        <f>'Comments Feeder'!N239-'Comments Feeder'!U239</f>
        <v>0</v>
      </c>
      <c r="W239" s="762"/>
      <c r="X239" s="762"/>
    </row>
    <row r="240" spans="22:24" x14ac:dyDescent="0.25">
      <c r="V240" s="760">
        <f>'Comments Feeder'!N240-'Comments Feeder'!U240</f>
        <v>0</v>
      </c>
      <c r="W240" s="762"/>
      <c r="X240" s="762"/>
    </row>
    <row r="241" spans="22:24" x14ac:dyDescent="0.25">
      <c r="V241" s="760">
        <f>'Comments Feeder'!N241-'Comments Feeder'!U241</f>
        <v>0</v>
      </c>
      <c r="W241" s="762"/>
      <c r="X241" s="762"/>
    </row>
    <row r="242" spans="22:24" x14ac:dyDescent="0.25">
      <c r="V242" s="760">
        <f>'Comments Feeder'!N242-'Comments Feeder'!U242</f>
        <v>0</v>
      </c>
      <c r="W242" s="762"/>
      <c r="X242" s="762"/>
    </row>
    <row r="243" spans="22:24" x14ac:dyDescent="0.25">
      <c r="V243" s="760">
        <f>'Comments Feeder'!N243-'Comments Feeder'!U243</f>
        <v>0</v>
      </c>
    </row>
    <row r="244" spans="22:24" x14ac:dyDescent="0.25">
      <c r="V244" s="760">
        <f>'Comments Feeder'!N244-'Comments Feeder'!U244</f>
        <v>0</v>
      </c>
    </row>
    <row r="245" spans="22:24" x14ac:dyDescent="0.25">
      <c r="V245" s="760">
        <f>'Comments Feeder'!N245-'Comments Feeder'!U245</f>
        <v>0</v>
      </c>
    </row>
    <row r="246" spans="22:24" x14ac:dyDescent="0.25">
      <c r="V246" s="760">
        <f>'Comments Feeder'!N246-'Comments Feeder'!U246</f>
        <v>0</v>
      </c>
      <c r="W246" s="762"/>
      <c r="X246" s="762"/>
    </row>
    <row r="247" spans="22:24" x14ac:dyDescent="0.25">
      <c r="V247" s="760">
        <f>'Comments Feeder'!N247-'Comments Feeder'!U247</f>
        <v>0</v>
      </c>
      <c r="W247" s="760"/>
      <c r="X247" s="760"/>
    </row>
    <row r="248" spans="22:24" x14ac:dyDescent="0.25">
      <c r="V248" s="760">
        <f>'Comments Feeder'!N248-'Comments Feeder'!U248</f>
        <v>0</v>
      </c>
      <c r="W248" s="760"/>
      <c r="X248" s="760"/>
    </row>
    <row r="249" spans="22:24" x14ac:dyDescent="0.25">
      <c r="V249" s="760">
        <f>'Comments Feeder'!N249-'Comments Feeder'!U249</f>
        <v>0</v>
      </c>
      <c r="W249" s="760"/>
      <c r="X249" s="760"/>
    </row>
    <row r="250" spans="22:24" ht="14.5" x14ac:dyDescent="0.35">
      <c r="V250" s="760">
        <f>'Comments Feeder'!N250-'Comments Feeder'!U250</f>
        <v>0</v>
      </c>
      <c r="W250" s="761"/>
      <c r="X250" s="761"/>
    </row>
    <row r="251" spans="22:24" ht="15" thickBot="1" x14ac:dyDescent="0.4">
      <c r="V251" s="760">
        <f>'Comments Feeder'!N251-'Comments Feeder'!U251</f>
        <v>0</v>
      </c>
      <c r="W251" s="763"/>
      <c r="X251" s="763"/>
    </row>
    <row r="252" spans="22:24" ht="15" thickTop="1" x14ac:dyDescent="0.35">
      <c r="V252" s="760">
        <f>'Comments Feeder'!N252-'Comments Feeder'!U252</f>
        <v>0</v>
      </c>
      <c r="W252" s="764"/>
      <c r="X252" s="764"/>
    </row>
    <row r="253" spans="22:24" ht="15" thickBot="1" x14ac:dyDescent="0.4">
      <c r="V253" s="760">
        <f>'Comments Feeder'!N253-'Comments Feeder'!U253</f>
        <v>0</v>
      </c>
      <c r="W253" s="765"/>
      <c r="X253" s="765"/>
    </row>
    <row r="254" spans="22:24" ht="15" thickTop="1" x14ac:dyDescent="0.35">
      <c r="V254" s="760">
        <f>'Comments Feeder'!N254-'Comments Feeder'!U254</f>
        <v>0</v>
      </c>
      <c r="W254" s="764"/>
      <c r="X254" s="764"/>
    </row>
    <row r="255" spans="22:24" x14ac:dyDescent="0.25">
      <c r="V255" s="760">
        <f>'Comments Feeder'!N255-'Comments Feeder'!U255</f>
        <v>0</v>
      </c>
      <c r="W255" s="762"/>
      <c r="X255" s="762"/>
    </row>
    <row r="256" spans="22:24" x14ac:dyDescent="0.25">
      <c r="V256" s="760">
        <f>'Comments Feeder'!N256-'Comments Feeder'!U256</f>
        <v>0</v>
      </c>
      <c r="W256" s="762"/>
      <c r="X256" s="762"/>
    </row>
    <row r="257" spans="22:24" x14ac:dyDescent="0.25">
      <c r="V257" s="760">
        <f>'Comments Feeder'!N257-'Comments Feeder'!U257</f>
        <v>0</v>
      </c>
      <c r="W257" s="762"/>
      <c r="X257" s="762"/>
    </row>
    <row r="258" spans="22:24" x14ac:dyDescent="0.25">
      <c r="V258" s="760">
        <f>'Comments Feeder'!N258-'Comments Feeder'!U258</f>
        <v>0</v>
      </c>
      <c r="W258" s="762"/>
      <c r="X258" s="762"/>
    </row>
    <row r="259" spans="22:24" x14ac:dyDescent="0.25">
      <c r="V259" s="760">
        <f>'Comments Feeder'!N259-'Comments Feeder'!U259</f>
        <v>0</v>
      </c>
      <c r="W259" s="762"/>
      <c r="X259" s="762"/>
    </row>
    <row r="260" spans="22:24" x14ac:dyDescent="0.25">
      <c r="V260" s="760">
        <f>'Comments Feeder'!N260-'Comments Feeder'!U260</f>
        <v>0</v>
      </c>
    </row>
    <row r="261" spans="22:24" x14ac:dyDescent="0.25">
      <c r="V261" s="760">
        <f>'Comments Feeder'!N261-'Comments Feeder'!U261</f>
        <v>0</v>
      </c>
      <c r="W261" s="762"/>
      <c r="X261" s="762"/>
    </row>
    <row r="262" spans="22:24" x14ac:dyDescent="0.25">
      <c r="V262" s="760">
        <f>'Comments Feeder'!N262-'Comments Feeder'!U262</f>
        <v>0</v>
      </c>
      <c r="W262" s="762"/>
      <c r="X262" s="762"/>
    </row>
    <row r="263" spans="22:24" x14ac:dyDescent="0.25">
      <c r="V263" s="760">
        <f>'Comments Feeder'!N263-'Comments Feeder'!U263</f>
        <v>0</v>
      </c>
      <c r="W263" s="762"/>
      <c r="X263" s="762"/>
    </row>
    <row r="264" spans="22:24" x14ac:dyDescent="0.25">
      <c r="V264" s="760">
        <f>'Comments Feeder'!N264-'Comments Feeder'!U264</f>
        <v>0</v>
      </c>
      <c r="W264" s="762"/>
      <c r="X264" s="762"/>
    </row>
    <row r="265" spans="22:24" x14ac:dyDescent="0.25">
      <c r="V265" s="760">
        <f>'Comments Feeder'!N265-'Comments Feeder'!U265</f>
        <v>0</v>
      </c>
    </row>
    <row r="266" spans="22:24" x14ac:dyDescent="0.25">
      <c r="V266" s="760">
        <f>'Comments Feeder'!N266-'Comments Feeder'!U266</f>
        <v>0</v>
      </c>
    </row>
    <row r="267" spans="22:24" x14ac:dyDescent="0.25">
      <c r="V267" s="760">
        <f>'Comments Feeder'!N267-'Comments Feeder'!U267</f>
        <v>0</v>
      </c>
    </row>
    <row r="268" spans="22:24" x14ac:dyDescent="0.25">
      <c r="V268" s="760">
        <f>'Comments Feeder'!N268-'Comments Feeder'!U268</f>
        <v>0</v>
      </c>
      <c r="W268" s="762"/>
      <c r="X268" s="762"/>
    </row>
    <row r="269" spans="22:24" x14ac:dyDescent="0.25">
      <c r="V269" s="760">
        <f>'Comments Feeder'!N269-'Comments Feeder'!U269</f>
        <v>0</v>
      </c>
      <c r="W269" s="760"/>
      <c r="X269" s="760"/>
    </row>
    <row r="270" spans="22:24" x14ac:dyDescent="0.25">
      <c r="V270" s="760">
        <f>'Comments Feeder'!N270-'Comments Feeder'!U270</f>
        <v>0</v>
      </c>
      <c r="W270" s="760"/>
      <c r="X270" s="760"/>
    </row>
    <row r="271" spans="22:24" x14ac:dyDescent="0.25">
      <c r="V271" s="760">
        <f>'Comments Feeder'!N271-'Comments Feeder'!U271</f>
        <v>0</v>
      </c>
      <c r="W271" s="760"/>
      <c r="X271" s="760"/>
    </row>
    <row r="272" spans="22:24" x14ac:dyDescent="0.25">
      <c r="V272" s="760">
        <f>'Comments Feeder'!N272-'Comments Feeder'!U272</f>
        <v>0</v>
      </c>
      <c r="W272" s="760"/>
      <c r="X272" s="760"/>
    </row>
    <row r="273" spans="22:24" x14ac:dyDescent="0.25">
      <c r="V273" s="760">
        <f>'Comments Feeder'!N273-'Comments Feeder'!U273</f>
        <v>0</v>
      </c>
      <c r="W273" s="760"/>
      <c r="X273" s="760"/>
    </row>
    <row r="274" spans="22:24" x14ac:dyDescent="0.25">
      <c r="V274" s="760">
        <f>'Comments Feeder'!N274-'Comments Feeder'!U274</f>
        <v>0</v>
      </c>
      <c r="W274" s="760"/>
      <c r="X274" s="760"/>
    </row>
    <row r="275" spans="22:24" x14ac:dyDescent="0.25">
      <c r="V275" s="760">
        <f>'Comments Feeder'!N275-'Comments Feeder'!U275</f>
        <v>0</v>
      </c>
      <c r="W275" s="760"/>
      <c r="X275" s="760"/>
    </row>
    <row r="276" spans="22:24" x14ac:dyDescent="0.25">
      <c r="V276" s="760">
        <f>'Comments Feeder'!N276-'Comments Feeder'!U276</f>
        <v>0</v>
      </c>
      <c r="W276" s="760"/>
      <c r="X276" s="760"/>
    </row>
    <row r="277" spans="22:24" x14ac:dyDescent="0.25">
      <c r="V277" s="760">
        <f>'Comments Feeder'!N277-'Comments Feeder'!U277</f>
        <v>0</v>
      </c>
      <c r="W277" s="760"/>
      <c r="X277" s="760"/>
    </row>
    <row r="278" spans="22:24" x14ac:dyDescent="0.25">
      <c r="V278" s="760">
        <f>'Comments Feeder'!N278-'Comments Feeder'!U278</f>
        <v>0</v>
      </c>
      <c r="W278" s="760"/>
      <c r="X278" s="760"/>
    </row>
    <row r="279" spans="22:24" x14ac:dyDescent="0.25">
      <c r="V279" s="760">
        <f>'Comments Feeder'!N279-'Comments Feeder'!U279</f>
        <v>0</v>
      </c>
      <c r="W279" s="760"/>
      <c r="X279" s="760"/>
    </row>
    <row r="280" spans="22:24" x14ac:dyDescent="0.25">
      <c r="V280" s="760">
        <f>'Comments Feeder'!N280-'Comments Feeder'!U280</f>
        <v>0</v>
      </c>
      <c r="W280" s="760"/>
      <c r="X280" s="760"/>
    </row>
    <row r="281" spans="22:24" x14ac:dyDescent="0.25">
      <c r="V281" s="760">
        <f>'Comments Feeder'!N281-'Comments Feeder'!U281</f>
        <v>0</v>
      </c>
      <c r="W281" s="760"/>
      <c r="X281" s="760"/>
    </row>
    <row r="282" spans="22:24" x14ac:dyDescent="0.25">
      <c r="V282" s="760">
        <f>'Comments Feeder'!N282-'Comments Feeder'!U282</f>
        <v>0</v>
      </c>
      <c r="W282" s="760"/>
      <c r="X282" s="760"/>
    </row>
    <row r="283" spans="22:24" x14ac:dyDescent="0.25">
      <c r="V283" s="760">
        <f>'Comments Feeder'!N283-'Comments Feeder'!U283</f>
        <v>0</v>
      </c>
      <c r="W283" s="760"/>
      <c r="X283" s="760"/>
    </row>
    <row r="284" spans="22:24" x14ac:dyDescent="0.25">
      <c r="V284" s="760">
        <f>'Comments Feeder'!N284-'Comments Feeder'!U284</f>
        <v>0</v>
      </c>
      <c r="W284" s="760"/>
      <c r="X284" s="760"/>
    </row>
    <row r="285" spans="22:24" x14ac:dyDescent="0.25">
      <c r="V285" s="760">
        <f>'Comments Feeder'!N285-'Comments Feeder'!U285</f>
        <v>0</v>
      </c>
      <c r="W285" s="760"/>
      <c r="X285" s="760"/>
    </row>
    <row r="286" spans="22:24" x14ac:dyDescent="0.25">
      <c r="V286" s="760">
        <f>'Comments Feeder'!N286-'Comments Feeder'!U286</f>
        <v>0</v>
      </c>
      <c r="W286" s="760"/>
      <c r="X286" s="760"/>
    </row>
    <row r="287" spans="22:24" x14ac:dyDescent="0.25">
      <c r="V287" s="760">
        <f>'Comments Feeder'!N287-'Comments Feeder'!U287</f>
        <v>0</v>
      </c>
      <c r="W287" s="760"/>
      <c r="X287" s="760"/>
    </row>
    <row r="288" spans="22:24" x14ac:dyDescent="0.25">
      <c r="V288" s="760">
        <f>'Comments Feeder'!N288-'Comments Feeder'!U288</f>
        <v>0</v>
      </c>
      <c r="W288" s="760"/>
      <c r="X288" s="760"/>
    </row>
    <row r="289" spans="22:24" x14ac:dyDescent="0.25">
      <c r="V289" s="760">
        <f>'Comments Feeder'!N289-'Comments Feeder'!U289</f>
        <v>0</v>
      </c>
      <c r="W289" s="760"/>
      <c r="X289" s="760"/>
    </row>
    <row r="290" spans="22:24" x14ac:dyDescent="0.25">
      <c r="V290" s="760">
        <f>'Comments Feeder'!N290-'Comments Feeder'!U290</f>
        <v>0</v>
      </c>
      <c r="W290" s="760"/>
      <c r="X290" s="760"/>
    </row>
    <row r="291" spans="22:24" x14ac:dyDescent="0.25">
      <c r="V291" s="760">
        <f>'Comments Feeder'!N291-'Comments Feeder'!U291</f>
        <v>0</v>
      </c>
      <c r="W291" s="760"/>
      <c r="X291" s="760"/>
    </row>
    <row r="292" spans="22:24" x14ac:dyDescent="0.25">
      <c r="V292" s="760">
        <f>'Comments Feeder'!N292-'Comments Feeder'!U292</f>
        <v>0</v>
      </c>
      <c r="W292" s="760"/>
      <c r="X292" s="760"/>
    </row>
    <row r="293" spans="22:24" x14ac:dyDescent="0.25">
      <c r="V293" s="760">
        <f>'Comments Feeder'!N293-'Comments Feeder'!U293</f>
        <v>0</v>
      </c>
      <c r="W293" s="760"/>
      <c r="X293" s="760"/>
    </row>
    <row r="294" spans="22:24" x14ac:dyDescent="0.25">
      <c r="V294" s="760">
        <f>'Comments Feeder'!N294-'Comments Feeder'!U294</f>
        <v>0</v>
      </c>
      <c r="W294" s="760"/>
      <c r="X294" s="760"/>
    </row>
    <row r="295" spans="22:24" x14ac:dyDescent="0.25">
      <c r="V295" s="760">
        <f>'Comments Feeder'!N295-'Comments Feeder'!U295</f>
        <v>0</v>
      </c>
      <c r="W295" s="760"/>
      <c r="X295" s="760"/>
    </row>
    <row r="296" spans="22:24" x14ac:dyDescent="0.25">
      <c r="V296" s="760">
        <f>'Comments Feeder'!N296-'Comments Feeder'!U296</f>
        <v>0</v>
      </c>
      <c r="W296" s="760"/>
      <c r="X296" s="760"/>
    </row>
    <row r="297" spans="22:24" x14ac:dyDescent="0.25">
      <c r="V297" s="760">
        <f>'Comments Feeder'!N297-'Comments Feeder'!U297</f>
        <v>0</v>
      </c>
      <c r="W297" s="760"/>
      <c r="X297" s="760"/>
    </row>
    <row r="298" spans="22:24" x14ac:dyDescent="0.25">
      <c r="V298" s="760">
        <f>'Comments Feeder'!N298-'Comments Feeder'!U298</f>
        <v>0</v>
      </c>
      <c r="W298" s="760"/>
      <c r="X298" s="760"/>
    </row>
    <row r="299" spans="22:24" x14ac:dyDescent="0.25">
      <c r="V299" s="760">
        <f>'Comments Feeder'!N299-'Comments Feeder'!U299</f>
        <v>0</v>
      </c>
      <c r="W299" s="760"/>
      <c r="X299" s="760"/>
    </row>
    <row r="300" spans="22:24" x14ac:dyDescent="0.25">
      <c r="V300" s="760">
        <f>'Comments Feeder'!N300-'Comments Feeder'!U300</f>
        <v>0</v>
      </c>
      <c r="W300" s="760"/>
      <c r="X300" s="760"/>
    </row>
    <row r="301" spans="22:24" x14ac:dyDescent="0.25">
      <c r="V301" s="760">
        <f>'Comments Feeder'!N301-'Comments Feeder'!U301</f>
        <v>0</v>
      </c>
      <c r="W301" s="760"/>
      <c r="X301" s="760"/>
    </row>
    <row r="302" spans="22:24" x14ac:dyDescent="0.25">
      <c r="V302" s="760">
        <f>'Comments Feeder'!N302-'Comments Feeder'!U302</f>
        <v>0</v>
      </c>
      <c r="W302" s="760"/>
      <c r="X302" s="760"/>
    </row>
    <row r="303" spans="22:24" x14ac:dyDescent="0.25">
      <c r="V303" s="760">
        <f>'Comments Feeder'!N303-'Comments Feeder'!U303</f>
        <v>0</v>
      </c>
      <c r="W303" s="760"/>
      <c r="X303" s="760"/>
    </row>
    <row r="304" spans="22:24" x14ac:dyDescent="0.25">
      <c r="V304" s="760"/>
      <c r="W304" s="760"/>
      <c r="X304" s="760"/>
    </row>
    <row r="305" spans="22:24" x14ac:dyDescent="0.25">
      <c r="V305" s="760"/>
      <c r="W305" s="760"/>
      <c r="X305" s="760"/>
    </row>
    <row r="306" spans="22:24" x14ac:dyDescent="0.25">
      <c r="V306" s="760"/>
      <c r="W306" s="760"/>
      <c r="X306" s="760"/>
    </row>
    <row r="307" spans="22:24" x14ac:dyDescent="0.25">
      <c r="V307" s="760"/>
      <c r="W307" s="760"/>
      <c r="X307" s="760"/>
    </row>
    <row r="308" spans="22:24" x14ac:dyDescent="0.25">
      <c r="V308" s="760"/>
      <c r="W308" s="760"/>
      <c r="X308" s="760"/>
    </row>
    <row r="309" spans="22:24" x14ac:dyDescent="0.25">
      <c r="V309" s="760"/>
      <c r="W309" s="760"/>
      <c r="X309" s="760"/>
    </row>
    <row r="310" spans="22:24" x14ac:dyDescent="0.25">
      <c r="V310" s="760"/>
      <c r="W310" s="760"/>
      <c r="X310" s="760"/>
    </row>
    <row r="311" spans="22:24" x14ac:dyDescent="0.25">
      <c r="V311" s="760"/>
      <c r="W311" s="760"/>
      <c r="X311" s="760"/>
    </row>
    <row r="312" spans="22:24" x14ac:dyDescent="0.25">
      <c r="V312" s="760"/>
      <c r="W312" s="760"/>
      <c r="X312" s="760"/>
    </row>
    <row r="313" spans="22:24" x14ac:dyDescent="0.25">
      <c r="V313" s="760">
        <f>'Comments Feeder'!N313-'Comments Feeder'!U313</f>
        <v>0</v>
      </c>
      <c r="W313" s="760"/>
      <c r="X313" s="760"/>
    </row>
    <row r="314" spans="22:24" x14ac:dyDescent="0.25">
      <c r="V314" s="760">
        <f>'Comments Feeder'!N314-'Comments Feeder'!U314</f>
        <v>0</v>
      </c>
      <c r="W314" s="760"/>
      <c r="X314" s="760"/>
    </row>
    <row r="315" spans="22:24" x14ac:dyDescent="0.25">
      <c r="V315" s="760">
        <f>'Comments Feeder'!N315-'Comments Feeder'!U315</f>
        <v>0</v>
      </c>
      <c r="W315" s="760"/>
      <c r="X315" s="760"/>
    </row>
    <row r="316" spans="22:24" x14ac:dyDescent="0.25">
      <c r="V316" s="760">
        <f>'Comments Feeder'!N316-'Comments Feeder'!U316</f>
        <v>0</v>
      </c>
      <c r="W316" s="760"/>
      <c r="X316" s="760"/>
    </row>
    <row r="317" spans="22:24" x14ac:dyDescent="0.25">
      <c r="V317" s="760">
        <f>'Comments Feeder'!N317-'Comments Feeder'!U317</f>
        <v>0</v>
      </c>
      <c r="W317" s="760"/>
      <c r="X317" s="760"/>
    </row>
    <row r="318" spans="22:24" x14ac:dyDescent="0.25">
      <c r="V318" s="760">
        <f>'Comments Feeder'!N318-'Comments Feeder'!U318</f>
        <v>0</v>
      </c>
      <c r="W318" s="760"/>
      <c r="X318" s="760"/>
    </row>
    <row r="319" spans="22:24" x14ac:dyDescent="0.25">
      <c r="V319" s="755">
        <f>'Comments Feeder'!N319-'Comments Feeder'!U319</f>
        <v>0</v>
      </c>
      <c r="W319" s="755"/>
      <c r="X319" s="755"/>
    </row>
    <row r="320" spans="22:24" x14ac:dyDescent="0.25">
      <c r="V320" s="755">
        <f>'Comments Feeder'!N320-'Comments Feeder'!U320</f>
        <v>0</v>
      </c>
      <c r="W320" s="755"/>
      <c r="X320" s="755"/>
    </row>
    <row r="321" spans="22:24" x14ac:dyDescent="0.25">
      <c r="V321" s="755">
        <f>'Comments Feeder'!N321-'Comments Feeder'!U321</f>
        <v>0</v>
      </c>
      <c r="W321" s="755"/>
      <c r="X321" s="755"/>
    </row>
    <row r="322" spans="22:24" x14ac:dyDescent="0.25">
      <c r="V322" s="755">
        <f>'Comments Feeder'!N322-'Comments Feeder'!U322</f>
        <v>0</v>
      </c>
      <c r="W322" s="755"/>
      <c r="X322" s="755"/>
    </row>
    <row r="323" spans="22:24" x14ac:dyDescent="0.25">
      <c r="V323" s="755">
        <f>'Comments Feeder'!N323-'Comments Feeder'!U323</f>
        <v>0</v>
      </c>
      <c r="W323" s="755"/>
      <c r="X323" s="755"/>
    </row>
    <row r="324" spans="22:24" x14ac:dyDescent="0.25">
      <c r="V324" s="755">
        <f>'Comments Feeder'!N324-'Comments Feeder'!U324</f>
        <v>0</v>
      </c>
      <c r="W324" s="755"/>
      <c r="X324" s="755"/>
    </row>
    <row r="325" spans="22:24" x14ac:dyDescent="0.25">
      <c r="V325" s="755">
        <f>'Comments Feeder'!N325-'Comments Feeder'!U325</f>
        <v>0</v>
      </c>
      <c r="W325" s="755"/>
      <c r="X325" s="755"/>
    </row>
    <row r="326" spans="22:24" x14ac:dyDescent="0.25">
      <c r="V326" s="755">
        <f>'Comments Feeder'!N326-'Comments Feeder'!U326</f>
        <v>0</v>
      </c>
      <c r="W326" s="755"/>
      <c r="X326" s="755"/>
    </row>
    <row r="327" spans="22:24" x14ac:dyDescent="0.25">
      <c r="V327" s="755">
        <f>'Comments Feeder'!N327-'Comments Feeder'!U327</f>
        <v>0</v>
      </c>
      <c r="W327" s="755"/>
      <c r="X327" s="755"/>
    </row>
    <row r="328" spans="22:24" x14ac:dyDescent="0.25">
      <c r="V328" s="755">
        <f>'Comments Feeder'!N328-'Comments Feeder'!U328</f>
        <v>0</v>
      </c>
      <c r="W328" s="755"/>
      <c r="X328" s="755"/>
    </row>
    <row r="329" spans="22:24" ht="14.5" x14ac:dyDescent="0.35">
      <c r="V329" s="755">
        <f>'Comments Feeder'!N329-'Comments Feeder'!U329</f>
        <v>0</v>
      </c>
      <c r="W329" s="758"/>
      <c r="X329" s="758"/>
    </row>
    <row r="330" spans="22:24" ht="14.5" x14ac:dyDescent="0.35">
      <c r="V330" s="755">
        <f>'Comments Feeder'!N330-'Comments Feeder'!U330</f>
        <v>0</v>
      </c>
      <c r="W330" s="756"/>
      <c r="X330" s="756"/>
    </row>
    <row r="331" spans="22:24" x14ac:dyDescent="0.25">
      <c r="V331" s="755">
        <f>'Comments Feeder'!N331-'Comments Feeder'!U331</f>
        <v>0</v>
      </c>
      <c r="W331" s="754"/>
      <c r="X331" s="754"/>
    </row>
    <row r="332" spans="22:24" x14ac:dyDescent="0.25">
      <c r="V332" s="755">
        <f>'Comments Feeder'!N332-'Comments Feeder'!U332</f>
        <v>0</v>
      </c>
      <c r="W332" s="754"/>
      <c r="X332" s="754"/>
    </row>
    <row r="333" spans="22:24" x14ac:dyDescent="0.25">
      <c r="V333" s="755">
        <f>'Comments Feeder'!N333-'Comments Feeder'!U333</f>
        <v>0</v>
      </c>
      <c r="W333" s="754"/>
      <c r="X333" s="754"/>
    </row>
    <row r="334" spans="22:24" x14ac:dyDescent="0.25">
      <c r="V334" s="755">
        <f>'Comments Feeder'!N334-'Comments Feeder'!U334</f>
        <v>0</v>
      </c>
      <c r="W334" s="754"/>
      <c r="X334" s="754"/>
    </row>
    <row r="335" spans="22:24" x14ac:dyDescent="0.25">
      <c r="V335" s="755">
        <f>'Comments Feeder'!N335-'Comments Feeder'!U335</f>
        <v>0</v>
      </c>
      <c r="W335" s="754"/>
      <c r="X335" s="754"/>
    </row>
    <row r="336" spans="22:24" x14ac:dyDescent="0.25">
      <c r="V336" s="755">
        <f>'Comments Feeder'!N336-'Comments Feeder'!U336</f>
        <v>0</v>
      </c>
      <c r="W336" s="754"/>
      <c r="X336" s="754"/>
    </row>
    <row r="337" spans="22:24" x14ac:dyDescent="0.25">
      <c r="V337" s="755">
        <f>'Comments Feeder'!N337-'Comments Feeder'!U337</f>
        <v>0</v>
      </c>
      <c r="W337" s="754"/>
      <c r="X337" s="754"/>
    </row>
    <row r="338" spans="22:24" x14ac:dyDescent="0.25">
      <c r="V338" s="755">
        <f>'Comments Feeder'!N338-'Comments Feeder'!U338</f>
        <v>0</v>
      </c>
      <c r="W338" s="754"/>
      <c r="X338" s="754"/>
    </row>
    <row r="339" spans="22:24" x14ac:dyDescent="0.25">
      <c r="V339" s="755">
        <f>'Comments Feeder'!N339-'Comments Feeder'!U339</f>
        <v>0</v>
      </c>
      <c r="W339" s="754"/>
      <c r="X339" s="754"/>
    </row>
    <row r="340" spans="22:24" x14ac:dyDescent="0.25">
      <c r="V340" s="755">
        <f>'Comments Feeder'!N340-'Comments Feeder'!U340</f>
        <v>0</v>
      </c>
      <c r="W340" s="644"/>
      <c r="X340" s="644"/>
    </row>
    <row r="341" spans="22:24" x14ac:dyDescent="0.25">
      <c r="V341" s="755">
        <f>'Comments Feeder'!N341-'Comments Feeder'!U341</f>
        <v>0</v>
      </c>
      <c r="W341" s="644"/>
      <c r="X341" s="644"/>
    </row>
    <row r="342" spans="22:24" x14ac:dyDescent="0.25">
      <c r="V342" s="755">
        <f>'Comments Feeder'!N342-'Comments Feeder'!U342</f>
        <v>0</v>
      </c>
      <c r="W342" s="644"/>
      <c r="X342" s="644"/>
    </row>
    <row r="343" spans="22:24" x14ac:dyDescent="0.25">
      <c r="V343" s="755">
        <f>'Comments Feeder'!N343-'Comments Feeder'!U343</f>
        <v>0</v>
      </c>
      <c r="W343" s="754"/>
      <c r="X343" s="754"/>
    </row>
    <row r="344" spans="22:24" x14ac:dyDescent="0.25">
      <c r="V344" s="755">
        <f>'Comments Feeder'!N344-'Comments Feeder'!U344</f>
        <v>0</v>
      </c>
      <c r="W344" s="755"/>
      <c r="X344" s="755"/>
    </row>
    <row r="345" spans="22:24" ht="14.5" x14ac:dyDescent="0.35">
      <c r="V345" s="755">
        <f>'Comments Feeder'!N345-'Comments Feeder'!U345</f>
        <v>0</v>
      </c>
      <c r="W345" s="756"/>
      <c r="X345" s="756"/>
    </row>
    <row r="346" spans="22:24" x14ac:dyDescent="0.25">
      <c r="V346" s="755">
        <f>'Comments Feeder'!N346-'Comments Feeder'!U346</f>
        <v>0</v>
      </c>
      <c r="W346" s="754"/>
      <c r="X346" s="754"/>
    </row>
    <row r="347" spans="22:24" x14ac:dyDescent="0.25">
      <c r="V347" s="755">
        <f>'Comments Feeder'!N347-'Comments Feeder'!U347</f>
        <v>0</v>
      </c>
      <c r="W347" s="754"/>
      <c r="X347" s="754"/>
    </row>
    <row r="348" spans="22:24" x14ac:dyDescent="0.25">
      <c r="V348" s="755">
        <f>'Comments Feeder'!N348-'Comments Feeder'!U348</f>
        <v>0</v>
      </c>
      <c r="W348" s="754"/>
      <c r="X348" s="754"/>
    </row>
    <row r="349" spans="22:24" x14ac:dyDescent="0.25">
      <c r="V349" s="755">
        <f>'Comments Feeder'!N349-'Comments Feeder'!U349</f>
        <v>0</v>
      </c>
      <c r="W349" s="754"/>
      <c r="X349" s="754"/>
    </row>
    <row r="350" spans="22:24" x14ac:dyDescent="0.25">
      <c r="V350" s="755">
        <f>'Comments Feeder'!N350-'Comments Feeder'!U350</f>
        <v>0</v>
      </c>
      <c r="W350" s="754"/>
      <c r="X350" s="754"/>
    </row>
    <row r="351" spans="22:24" x14ac:dyDescent="0.25">
      <c r="V351" s="755">
        <f>'Comments Feeder'!N351-'Comments Feeder'!U351</f>
        <v>0</v>
      </c>
      <c r="W351" s="754"/>
      <c r="X351" s="754"/>
    </row>
    <row r="352" spans="22:24" x14ac:dyDescent="0.25">
      <c r="V352" s="755">
        <f>'Comments Feeder'!N352-'Comments Feeder'!U352</f>
        <v>0</v>
      </c>
      <c r="W352" s="754"/>
      <c r="X352" s="754"/>
    </row>
    <row r="353" spans="22:24" x14ac:dyDescent="0.25">
      <c r="V353" s="755">
        <f>'Comments Feeder'!N353-'Comments Feeder'!U353</f>
        <v>0</v>
      </c>
      <c r="W353" s="754"/>
      <c r="X353" s="754"/>
    </row>
    <row r="354" spans="22:24" x14ac:dyDescent="0.25">
      <c r="V354" s="755">
        <f>'Comments Feeder'!N354-'Comments Feeder'!U354</f>
        <v>0</v>
      </c>
      <c r="W354" s="754"/>
      <c r="X354" s="754"/>
    </row>
    <row r="355" spans="22:24" x14ac:dyDescent="0.25">
      <c r="V355" s="755">
        <f>'Comments Feeder'!N355-'Comments Feeder'!U355</f>
        <v>0</v>
      </c>
      <c r="W355" s="644"/>
      <c r="X355" s="644"/>
    </row>
    <row r="356" spans="22:24" x14ac:dyDescent="0.25">
      <c r="V356" s="755">
        <f>'Comments Feeder'!N356-'Comments Feeder'!U356</f>
        <v>0</v>
      </c>
      <c r="W356" s="644"/>
      <c r="X356" s="644"/>
    </row>
    <row r="357" spans="22:24" x14ac:dyDescent="0.25">
      <c r="V357" s="755">
        <f>'Comments Feeder'!N357-'Comments Feeder'!U357</f>
        <v>0</v>
      </c>
      <c r="W357" s="644"/>
      <c r="X357" s="644"/>
    </row>
    <row r="358" spans="22:24" x14ac:dyDescent="0.25">
      <c r="V358" s="755">
        <f>'Comments Feeder'!N358-'Comments Feeder'!U358</f>
        <v>0</v>
      </c>
      <c r="W358" s="754"/>
      <c r="X358" s="754"/>
    </row>
    <row r="359" spans="22:24" x14ac:dyDescent="0.25">
      <c r="V359" s="755">
        <f>'Comments Feeder'!N359-'Comments Feeder'!U359</f>
        <v>0</v>
      </c>
      <c r="W359" s="755"/>
      <c r="X359" s="755"/>
    </row>
    <row r="360" spans="22:24" x14ac:dyDescent="0.25">
      <c r="V360" s="755">
        <f>'Comments Feeder'!N360-'Comments Feeder'!U360</f>
        <v>0</v>
      </c>
      <c r="W360" s="755"/>
      <c r="X360" s="755"/>
    </row>
    <row r="361" spans="22:24" x14ac:dyDescent="0.25">
      <c r="V361" s="755">
        <f>'Comments Feeder'!N361-'Comments Feeder'!U361</f>
        <v>0</v>
      </c>
      <c r="W361" s="755"/>
      <c r="X361" s="755"/>
    </row>
    <row r="362" spans="22:24" x14ac:dyDescent="0.25">
      <c r="V362" s="755">
        <f>'Comments Feeder'!N362-'Comments Feeder'!U362</f>
        <v>0</v>
      </c>
      <c r="W362" s="755"/>
      <c r="X362" s="755"/>
    </row>
    <row r="363" spans="22:24" ht="14.5" x14ac:dyDescent="0.35">
      <c r="V363" s="755">
        <f>'Comments Feeder'!N363-'Comments Feeder'!U363</f>
        <v>0</v>
      </c>
      <c r="W363" s="756"/>
      <c r="X363" s="756"/>
    </row>
    <row r="364" spans="22:24" x14ac:dyDescent="0.25">
      <c r="V364" s="755">
        <f>'Comments Feeder'!N364-'Comments Feeder'!U364</f>
        <v>0</v>
      </c>
      <c r="W364" s="754"/>
      <c r="X364" s="754"/>
    </row>
    <row r="365" spans="22:24" x14ac:dyDescent="0.25">
      <c r="V365" s="755">
        <f>'Comments Feeder'!N365-'Comments Feeder'!U365</f>
        <v>0</v>
      </c>
      <c r="W365" s="754"/>
      <c r="X365" s="754"/>
    </row>
    <row r="366" spans="22:24" x14ac:dyDescent="0.25">
      <c r="V366" s="755">
        <f>'Comments Feeder'!N366-'Comments Feeder'!U366</f>
        <v>0</v>
      </c>
      <c r="W366" s="754"/>
      <c r="X366" s="754"/>
    </row>
    <row r="367" spans="22:24" x14ac:dyDescent="0.25">
      <c r="V367" s="755">
        <f>'Comments Feeder'!N367-'Comments Feeder'!U367</f>
        <v>0</v>
      </c>
      <c r="W367" s="754"/>
      <c r="X367" s="754"/>
    </row>
    <row r="368" spans="22:24" x14ac:dyDescent="0.25">
      <c r="V368" s="755">
        <f>'Comments Feeder'!N368-'Comments Feeder'!U368</f>
        <v>0</v>
      </c>
      <c r="W368" s="754"/>
      <c r="X368" s="754"/>
    </row>
    <row r="369" spans="22:24" x14ac:dyDescent="0.25">
      <c r="V369" s="755">
        <f>'Comments Feeder'!N369-'Comments Feeder'!U369</f>
        <v>0</v>
      </c>
      <c r="W369" s="754"/>
      <c r="X369" s="754"/>
    </row>
    <row r="370" spans="22:24" x14ac:dyDescent="0.25">
      <c r="V370" s="755">
        <f>'Comments Feeder'!N370-'Comments Feeder'!U370</f>
        <v>0</v>
      </c>
      <c r="W370" s="754"/>
      <c r="X370" s="754"/>
    </row>
    <row r="371" spans="22:24" x14ac:dyDescent="0.25">
      <c r="V371" s="755">
        <f>'Comments Feeder'!N371-'Comments Feeder'!U371</f>
        <v>0</v>
      </c>
      <c r="W371" s="754"/>
      <c r="X371" s="754"/>
    </row>
    <row r="372" spans="22:24" x14ac:dyDescent="0.25">
      <c r="V372" s="755">
        <f>'Comments Feeder'!N372-'Comments Feeder'!U372</f>
        <v>0</v>
      </c>
      <c r="W372" s="644"/>
      <c r="X372" s="644"/>
    </row>
    <row r="373" spans="22:24" x14ac:dyDescent="0.25">
      <c r="V373" s="755">
        <f>'Comments Feeder'!N373-'Comments Feeder'!U373</f>
        <v>0</v>
      </c>
      <c r="W373" s="644"/>
      <c r="X373" s="644"/>
    </row>
    <row r="374" spans="22:24" x14ac:dyDescent="0.25">
      <c r="V374" s="755">
        <f>'Comments Feeder'!N374-'Comments Feeder'!U374</f>
        <v>0</v>
      </c>
      <c r="W374" s="644"/>
      <c r="X374" s="644"/>
    </row>
    <row r="375" spans="22:24" x14ac:dyDescent="0.25">
      <c r="V375" s="755">
        <f>'Comments Feeder'!N375-'Comments Feeder'!U375</f>
        <v>0</v>
      </c>
      <c r="W375" s="754"/>
      <c r="X375" s="754"/>
    </row>
    <row r="376" spans="22:24" x14ac:dyDescent="0.25">
      <c r="V376" s="755">
        <f>'Comments Feeder'!N376-'Comments Feeder'!U376</f>
        <v>0</v>
      </c>
      <c r="W376" s="755"/>
      <c r="X376" s="755"/>
    </row>
    <row r="377" spans="22:24" ht="14.5" x14ac:dyDescent="0.35">
      <c r="V377" s="755">
        <f>'Comments Feeder'!N377-'Comments Feeder'!U377</f>
        <v>0</v>
      </c>
      <c r="W377" s="756"/>
      <c r="X377" s="756"/>
    </row>
    <row r="378" spans="22:24" x14ac:dyDescent="0.25">
      <c r="V378" s="755">
        <f>'Comments Feeder'!N378-'Comments Feeder'!U378</f>
        <v>0</v>
      </c>
      <c r="W378" s="754"/>
      <c r="X378" s="754"/>
    </row>
    <row r="379" spans="22:24" x14ac:dyDescent="0.25">
      <c r="V379" s="755">
        <f>'Comments Feeder'!N379-'Comments Feeder'!U379</f>
        <v>0</v>
      </c>
      <c r="W379" s="754"/>
      <c r="X379" s="754"/>
    </row>
    <row r="380" spans="22:24" x14ac:dyDescent="0.25">
      <c r="V380" s="755">
        <f>'Comments Feeder'!N380-'Comments Feeder'!U380</f>
        <v>0</v>
      </c>
      <c r="W380" s="754"/>
      <c r="X380" s="754"/>
    </row>
    <row r="381" spans="22:24" x14ac:dyDescent="0.25">
      <c r="V381" s="755">
        <f>'Comments Feeder'!N381-'Comments Feeder'!U381</f>
        <v>0</v>
      </c>
      <c r="W381" s="754"/>
      <c r="X381" s="754"/>
    </row>
    <row r="382" spans="22:24" x14ac:dyDescent="0.25">
      <c r="V382" s="755">
        <f>'Comments Feeder'!N382-'Comments Feeder'!U382</f>
        <v>0</v>
      </c>
      <c r="W382" s="754"/>
      <c r="X382" s="754"/>
    </row>
    <row r="383" spans="22:24" x14ac:dyDescent="0.25">
      <c r="V383" s="755">
        <f>'Comments Feeder'!N383-'Comments Feeder'!U383</f>
        <v>0</v>
      </c>
      <c r="W383" s="754"/>
      <c r="X383" s="754"/>
    </row>
    <row r="384" spans="22:24" x14ac:dyDescent="0.25">
      <c r="V384" s="755">
        <f>'Comments Feeder'!N384-'Comments Feeder'!U384</f>
        <v>0</v>
      </c>
      <c r="W384" s="754"/>
      <c r="X384" s="754"/>
    </row>
    <row r="385" spans="22:24" x14ac:dyDescent="0.25">
      <c r="V385" s="755">
        <f>'Comments Feeder'!N385-'Comments Feeder'!U385</f>
        <v>0</v>
      </c>
      <c r="W385" s="754"/>
      <c r="X385" s="754"/>
    </row>
    <row r="386" spans="22:24" x14ac:dyDescent="0.25">
      <c r="V386" s="755">
        <f>'Comments Feeder'!N386-'Comments Feeder'!U386</f>
        <v>0</v>
      </c>
      <c r="W386" s="644"/>
      <c r="X386" s="644"/>
    </row>
    <row r="387" spans="22:24" x14ac:dyDescent="0.25">
      <c r="V387" s="755">
        <f>'Comments Feeder'!N387-'Comments Feeder'!U387</f>
        <v>0</v>
      </c>
      <c r="W387" s="644"/>
      <c r="X387" s="644"/>
    </row>
    <row r="388" spans="22:24" x14ac:dyDescent="0.25">
      <c r="V388" s="755">
        <f>'Comments Feeder'!N388-'Comments Feeder'!U388</f>
        <v>0</v>
      </c>
      <c r="W388" s="644"/>
      <c r="X388" s="644"/>
    </row>
    <row r="389" spans="22:24" x14ac:dyDescent="0.25">
      <c r="V389" s="755">
        <f>'Comments Feeder'!N389-'Comments Feeder'!U389</f>
        <v>0</v>
      </c>
      <c r="W389" s="754"/>
      <c r="X389" s="754"/>
    </row>
    <row r="390" spans="22:24" x14ac:dyDescent="0.25">
      <c r="V390" s="755">
        <f>'Comments Feeder'!N390-'Comments Feeder'!U390</f>
        <v>0</v>
      </c>
      <c r="W390" s="755"/>
      <c r="X390" s="755"/>
    </row>
    <row r="391" spans="22:24" x14ac:dyDescent="0.25">
      <c r="V391" s="755">
        <f>'Comments Feeder'!N391-'Comments Feeder'!U391</f>
        <v>0</v>
      </c>
      <c r="W391" s="755"/>
      <c r="X391" s="755"/>
    </row>
    <row r="392" spans="22:24" x14ac:dyDescent="0.25">
      <c r="V392" s="755">
        <f>'Comments Feeder'!N392-'Comments Feeder'!U392</f>
        <v>0</v>
      </c>
      <c r="W392" s="755"/>
      <c r="X392" s="755"/>
    </row>
    <row r="393" spans="22:24" x14ac:dyDescent="0.25">
      <c r="V393" s="755">
        <f>'Comments Feeder'!N393-'Comments Feeder'!U393</f>
        <v>0</v>
      </c>
      <c r="W393" s="755"/>
      <c r="X393" s="755"/>
    </row>
    <row r="394" spans="22:24" ht="14.5" x14ac:dyDescent="0.35">
      <c r="V394" s="755">
        <f>'Comments Feeder'!N394-'Comments Feeder'!U394</f>
        <v>0</v>
      </c>
      <c r="W394" s="756"/>
      <c r="X394" s="756"/>
    </row>
    <row r="395" spans="22:24" x14ac:dyDescent="0.25">
      <c r="V395" s="755">
        <f>'Comments Feeder'!N395-'Comments Feeder'!U395</f>
        <v>0</v>
      </c>
      <c r="W395" s="754"/>
      <c r="X395" s="754"/>
    </row>
    <row r="396" spans="22:24" x14ac:dyDescent="0.25">
      <c r="V396" s="755">
        <f>'Comments Feeder'!N396-'Comments Feeder'!U396</f>
        <v>0</v>
      </c>
      <c r="W396" s="754"/>
      <c r="X396" s="754"/>
    </row>
    <row r="397" spans="22:24" x14ac:dyDescent="0.25">
      <c r="V397" s="755">
        <f>'Comments Feeder'!N397-'Comments Feeder'!U397</f>
        <v>0</v>
      </c>
      <c r="W397" s="754"/>
      <c r="X397" s="754"/>
    </row>
    <row r="398" spans="22:24" x14ac:dyDescent="0.25">
      <c r="V398" s="755">
        <f>'Comments Feeder'!N398-'Comments Feeder'!U398</f>
        <v>0</v>
      </c>
      <c r="W398" s="754"/>
      <c r="X398" s="754"/>
    </row>
    <row r="399" spans="22:24" x14ac:dyDescent="0.25">
      <c r="V399" s="755">
        <f>'Comments Feeder'!N399-'Comments Feeder'!U399</f>
        <v>0</v>
      </c>
      <c r="W399" s="754"/>
      <c r="X399" s="754"/>
    </row>
    <row r="400" spans="22:24" x14ac:dyDescent="0.25">
      <c r="V400" s="755">
        <f>'Comments Feeder'!N400-'Comments Feeder'!U400</f>
        <v>0</v>
      </c>
      <c r="W400" s="754"/>
      <c r="X400" s="754"/>
    </row>
    <row r="401" spans="22:24" x14ac:dyDescent="0.25">
      <c r="V401" s="755">
        <f>'Comments Feeder'!N401-'Comments Feeder'!U401</f>
        <v>0</v>
      </c>
      <c r="W401" s="754"/>
      <c r="X401" s="754"/>
    </row>
    <row r="402" spans="22:24" x14ac:dyDescent="0.25">
      <c r="V402" s="755">
        <f>'Comments Feeder'!N402-'Comments Feeder'!U402</f>
        <v>0</v>
      </c>
      <c r="W402" s="754"/>
      <c r="X402" s="754"/>
    </row>
    <row r="403" spans="22:24" x14ac:dyDescent="0.25">
      <c r="V403" s="755">
        <f>'Comments Feeder'!N403-'Comments Feeder'!U403</f>
        <v>0</v>
      </c>
      <c r="W403" s="644"/>
      <c r="X403" s="644"/>
    </row>
    <row r="404" spans="22:24" x14ac:dyDescent="0.25">
      <c r="V404" s="755">
        <f>'Comments Feeder'!N404-'Comments Feeder'!U404</f>
        <v>0</v>
      </c>
      <c r="W404" s="644"/>
      <c r="X404" s="644"/>
    </row>
    <row r="405" spans="22:24" x14ac:dyDescent="0.25">
      <c r="V405" s="755">
        <f>'Comments Feeder'!N405-'Comments Feeder'!U405</f>
        <v>0</v>
      </c>
      <c r="W405" s="644"/>
      <c r="X405" s="644"/>
    </row>
    <row r="406" spans="22:24" x14ac:dyDescent="0.25">
      <c r="V406" s="755">
        <f>'Comments Feeder'!N406-'Comments Feeder'!U406</f>
        <v>0</v>
      </c>
      <c r="W406" s="754"/>
      <c r="X406" s="754"/>
    </row>
    <row r="407" spans="22:24" x14ac:dyDescent="0.25">
      <c r="V407" s="755">
        <f>'Comments Feeder'!N407-'Comments Feeder'!U407</f>
        <v>0</v>
      </c>
      <c r="W407" s="755"/>
      <c r="X407" s="755"/>
    </row>
    <row r="408" spans="22:24" x14ac:dyDescent="0.25">
      <c r="V408" s="755">
        <f>'Comments Feeder'!N408-'Comments Feeder'!U408</f>
        <v>0</v>
      </c>
      <c r="W408" s="755"/>
      <c r="X408" s="755"/>
    </row>
    <row r="409" spans="22:24" x14ac:dyDescent="0.25">
      <c r="V409" s="755">
        <f>'Comments Feeder'!N409-'Comments Feeder'!U409</f>
        <v>0</v>
      </c>
      <c r="W409" s="755"/>
      <c r="X409" s="755"/>
    </row>
    <row r="410" spans="22:24" x14ac:dyDescent="0.25">
      <c r="V410" s="755">
        <f>'Comments Feeder'!N410-'Comments Feeder'!U410</f>
        <v>0</v>
      </c>
      <c r="W410" s="755"/>
      <c r="X410" s="755"/>
    </row>
    <row r="411" spans="22:24" x14ac:dyDescent="0.25">
      <c r="V411" s="755">
        <f>'Comments Feeder'!N411-'Comments Feeder'!U411</f>
        <v>0</v>
      </c>
      <c r="W411" s="755"/>
      <c r="X411" s="755"/>
    </row>
    <row r="412" spans="22:24" ht="14.5" x14ac:dyDescent="0.35">
      <c r="V412" s="755">
        <f>'Comments Feeder'!N412-'Comments Feeder'!U412</f>
        <v>0</v>
      </c>
      <c r="W412" s="756"/>
      <c r="X412" s="756"/>
    </row>
    <row r="413" spans="22:24" x14ac:dyDescent="0.25">
      <c r="V413" s="755">
        <f>'Comments Feeder'!N413-'Comments Feeder'!U413</f>
        <v>0</v>
      </c>
      <c r="W413" s="754"/>
      <c r="X413" s="754"/>
    </row>
    <row r="414" spans="22:24" x14ac:dyDescent="0.25">
      <c r="V414" s="755">
        <f>'Comments Feeder'!N414-'Comments Feeder'!U414</f>
        <v>0</v>
      </c>
      <c r="W414" s="754"/>
      <c r="X414" s="754"/>
    </row>
    <row r="415" spans="22:24" x14ac:dyDescent="0.25">
      <c r="V415" s="755">
        <f>'Comments Feeder'!N415-'Comments Feeder'!U415</f>
        <v>0</v>
      </c>
      <c r="W415" s="754"/>
      <c r="X415" s="754"/>
    </row>
    <row r="416" spans="22:24" x14ac:dyDescent="0.25">
      <c r="V416" s="755">
        <f>'Comments Feeder'!N416-'Comments Feeder'!U416</f>
        <v>0</v>
      </c>
      <c r="W416" s="754"/>
      <c r="X416" s="754"/>
    </row>
    <row r="417" spans="22:24" x14ac:dyDescent="0.25">
      <c r="V417" s="755">
        <f>'Comments Feeder'!N417-'Comments Feeder'!U417</f>
        <v>0</v>
      </c>
      <c r="W417" s="754"/>
      <c r="X417" s="754"/>
    </row>
    <row r="418" spans="22:24" x14ac:dyDescent="0.25">
      <c r="V418" s="755">
        <f>'Comments Feeder'!N418-'Comments Feeder'!U418</f>
        <v>0</v>
      </c>
      <c r="W418" s="754"/>
      <c r="X418" s="754"/>
    </row>
    <row r="419" spans="22:24" x14ac:dyDescent="0.25">
      <c r="V419" s="755">
        <f>'Comments Feeder'!N419-'Comments Feeder'!U419</f>
        <v>0</v>
      </c>
      <c r="W419" s="754"/>
      <c r="X419" s="754"/>
    </row>
    <row r="420" spans="22:24" x14ac:dyDescent="0.25">
      <c r="V420" s="755">
        <f>'Comments Feeder'!N420-'Comments Feeder'!U420</f>
        <v>0</v>
      </c>
      <c r="W420" s="754"/>
      <c r="X420" s="754"/>
    </row>
    <row r="421" spans="22:24" x14ac:dyDescent="0.25">
      <c r="V421" s="755">
        <f>'Comments Feeder'!N421-'Comments Feeder'!U421</f>
        <v>0</v>
      </c>
      <c r="W421" s="644"/>
      <c r="X421" s="644"/>
    </row>
    <row r="422" spans="22:24" x14ac:dyDescent="0.25">
      <c r="V422" s="755">
        <f>'Comments Feeder'!N422-'Comments Feeder'!U422</f>
        <v>0</v>
      </c>
      <c r="W422" s="644"/>
      <c r="X422" s="644"/>
    </row>
    <row r="423" spans="22:24" x14ac:dyDescent="0.25">
      <c r="V423" s="755">
        <f>'Comments Feeder'!N423-'Comments Feeder'!U423</f>
        <v>0</v>
      </c>
      <c r="W423" s="644"/>
      <c r="X423" s="644"/>
    </row>
    <row r="424" spans="22:24" x14ac:dyDescent="0.25">
      <c r="V424" s="755">
        <f>'Comments Feeder'!N424-'Comments Feeder'!U424</f>
        <v>0</v>
      </c>
      <c r="W424" s="754"/>
      <c r="X424" s="754"/>
    </row>
    <row r="425" spans="22:24" x14ac:dyDescent="0.25">
      <c r="V425" s="755">
        <f>'Comments Feeder'!N425-'Comments Feeder'!U425</f>
        <v>0</v>
      </c>
      <c r="W425" s="755"/>
      <c r="X425" s="755"/>
    </row>
    <row r="426" spans="22:24" x14ac:dyDescent="0.25">
      <c r="V426" s="755">
        <f>'Comments Feeder'!N426-'Comments Feeder'!U426</f>
        <v>0</v>
      </c>
      <c r="W426" s="755"/>
      <c r="X426" s="755"/>
    </row>
    <row r="427" spans="22:24" x14ac:dyDescent="0.25">
      <c r="V427" s="755">
        <f>'Comments Feeder'!N427-'Comments Feeder'!U427</f>
        <v>0</v>
      </c>
      <c r="W427" s="755"/>
      <c r="X427" s="755"/>
    </row>
    <row r="428" spans="22:24" x14ac:dyDescent="0.25">
      <c r="V428" s="755">
        <f>'Comments Feeder'!N428-'Comments Feeder'!U428</f>
        <v>0</v>
      </c>
      <c r="W428" s="755"/>
      <c r="X428" s="755"/>
    </row>
    <row r="429" spans="22:24" x14ac:dyDescent="0.25">
      <c r="V429" s="755">
        <f>'Comments Feeder'!N429-'Comments Feeder'!U429</f>
        <v>0</v>
      </c>
      <c r="W429" s="755"/>
      <c r="X429" s="755"/>
    </row>
    <row r="430" spans="22:24" x14ac:dyDescent="0.25">
      <c r="V430" s="755">
        <f>'Comments Feeder'!N430-'Comments Feeder'!U430</f>
        <v>0</v>
      </c>
      <c r="W430" s="755"/>
      <c r="X430" s="755"/>
    </row>
    <row r="431" spans="22:24" x14ac:dyDescent="0.25">
      <c r="V431" s="755">
        <f>'Comments Feeder'!N431-'Comments Feeder'!U431</f>
        <v>0</v>
      </c>
      <c r="W431" s="755"/>
      <c r="X431" s="755"/>
    </row>
    <row r="432" spans="22:24" ht="14.5" x14ac:dyDescent="0.35">
      <c r="V432" s="755">
        <f>'Comments Feeder'!N432-'Comments Feeder'!U432</f>
        <v>0</v>
      </c>
      <c r="W432" s="756"/>
      <c r="X432" s="756"/>
    </row>
    <row r="433" spans="22:24" ht="15" thickBot="1" x14ac:dyDescent="0.4">
      <c r="V433" s="755">
        <f>'Comments Feeder'!N433-'Comments Feeder'!U433</f>
        <v>0</v>
      </c>
      <c r="W433" s="759"/>
      <c r="X433" s="759"/>
    </row>
    <row r="434" spans="22:24" ht="13" thickTop="1" x14ac:dyDescent="0.25">
      <c r="V434" s="755">
        <f>'Comments Feeder'!N434-'Comments Feeder'!U434</f>
        <v>0</v>
      </c>
      <c r="W434" s="644"/>
      <c r="X434" s="644"/>
    </row>
    <row r="435" spans="22:24" ht="15" thickBot="1" x14ac:dyDescent="0.4">
      <c r="V435" s="755">
        <f>'Comments Feeder'!N435-'Comments Feeder'!U435</f>
        <v>0</v>
      </c>
      <c r="W435" s="759"/>
      <c r="X435" s="759"/>
    </row>
    <row r="436" spans="22:24" ht="13" thickTop="1" x14ac:dyDescent="0.25"/>
  </sheetData>
  <dataConsolidate/>
  <customSheetViews>
    <customSheetView guid="{E4F22399-07D5-465E-AFB1-A36259E00328}" scale="90" hiddenColumns="1">
      <pane xSplit="2" ySplit="3" topLeftCell="C106" activePane="bottomRight" state="frozen"/>
      <selection pane="bottomRight" activeCell="Q116" sqref="Q116"/>
      <pageMargins left="0" right="0" top="0" bottom="0" header="0" footer="0"/>
      <pageSetup paperSize="8" scale="74" orientation="landscape" r:id="rId1"/>
    </customSheetView>
  </customSheetViews>
  <pageMargins left="0.23622047244094491" right="0.23622047244094491" top="0.74803149606299213" bottom="0.74803149606299213"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N174"/>
  <sheetViews>
    <sheetView zoomScale="80" zoomScaleNormal="80" workbookViewId="0">
      <pane xSplit="2" ySplit="3" topLeftCell="R28" activePane="bottomRight" state="frozen"/>
      <selection pane="topRight" activeCell="C1" sqref="C1"/>
      <selection pane="bottomLeft" activeCell="A4" sqref="A4"/>
      <selection pane="bottomRight" activeCell="AH59" sqref="AH48:AH59"/>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customWidth="1" outlineLevel="1"/>
    <col min="14" max="14" width="13.54296875" customWidth="1"/>
    <col min="15" max="16" width="13.54296875" customWidth="1" outlineLevel="1"/>
    <col min="17" max="17" width="13.54296875" customWidth="1"/>
    <col min="18" max="20" width="13.54296875" customWidth="1" outlineLevel="1"/>
    <col min="21" max="22" width="13.54296875" customWidth="1"/>
    <col min="23" max="26" width="13.54296875" customWidth="1" outlineLevel="1"/>
    <col min="27" max="27" width="1.54296875" customWidth="1"/>
    <col min="28" max="32" width="13.54296875" customWidth="1" outlineLevel="1"/>
    <col min="33" max="33" width="1.54296875" customWidth="1"/>
    <col min="34" max="43" width="11.54296875" customWidth="1"/>
  </cols>
  <sheetData>
    <row r="1" spans="2:35" s="6" customFormat="1" ht="18.5" thickBot="1" x14ac:dyDescent="0.45">
      <c r="B1" s="17"/>
      <c r="D1" s="18" t="s">
        <v>0</v>
      </c>
      <c r="F1" s="17"/>
    </row>
    <row r="2" spans="2:35"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c r="AH2" s="626" t="s">
        <v>166</v>
      </c>
    </row>
    <row r="3" spans="2:35"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5"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5" ht="13" outlineLevel="2" x14ac:dyDescent="0.3">
      <c r="B5" s="31" t="s">
        <v>167</v>
      </c>
      <c r="C5" s="33">
        <v>812</v>
      </c>
      <c r="D5" s="33">
        <v>723</v>
      </c>
      <c r="E5" s="23">
        <v>0</v>
      </c>
      <c r="F5" s="23">
        <v>0</v>
      </c>
      <c r="G5" s="23">
        <v>-15</v>
      </c>
      <c r="H5" s="23">
        <v>0</v>
      </c>
      <c r="I5" s="23">
        <v>-74</v>
      </c>
      <c r="J5" s="23">
        <v>0</v>
      </c>
      <c r="K5" s="23">
        <f t="shared" ref="K5:K68" si="0">SUM(E5:J5)</f>
        <v>-89</v>
      </c>
      <c r="L5" s="33">
        <f t="shared" ref="L5:L68" si="1">N5-D5</f>
        <v>0</v>
      </c>
      <c r="M5" s="33">
        <f t="shared" ref="M5:M68" si="2">N5-C5</f>
        <v>-89</v>
      </c>
      <c r="N5" s="33">
        <v>723</v>
      </c>
      <c r="O5" s="33">
        <v>1089</v>
      </c>
      <c r="P5" s="33">
        <v>-475</v>
      </c>
      <c r="Q5" s="33">
        <v>614</v>
      </c>
      <c r="R5" s="33">
        <v>723</v>
      </c>
      <c r="S5" s="33">
        <f t="shared" ref="S5:S68" si="3">Q5-R5</f>
        <v>-109</v>
      </c>
      <c r="T5" s="38">
        <f t="shared" ref="T5:T68" si="4">IFERROR((Q5/N5)*100%,"∞")</f>
        <v>0.84923928077455046</v>
      </c>
      <c r="U5" s="59">
        <f t="shared" ref="U5:U68" si="5">N5+V5</f>
        <v>723</v>
      </c>
      <c r="V5" s="33">
        <v>0</v>
      </c>
      <c r="W5" s="33">
        <v>0</v>
      </c>
      <c r="X5" s="33"/>
      <c r="Y5" s="33"/>
      <c r="Z5" s="42"/>
      <c r="AA5" s="60"/>
      <c r="AB5" s="662"/>
      <c r="AC5" s="580"/>
      <c r="AD5" s="33">
        <f t="shared" ref="AD5:AD68" si="6">SUM(AB5:AC5)</f>
        <v>0</v>
      </c>
      <c r="AE5" s="33">
        <f t="shared" ref="AE5:AE68" si="7">Q5+AD5</f>
        <v>614</v>
      </c>
      <c r="AF5" s="101">
        <f t="shared" ref="AF5:AF68" si="8">AE5-N5</f>
        <v>-109</v>
      </c>
      <c r="AH5" s="19"/>
    </row>
    <row r="6" spans="2:35" ht="13" outlineLevel="2" x14ac:dyDescent="0.3">
      <c r="B6" s="31" t="s">
        <v>168</v>
      </c>
      <c r="C6" s="33">
        <v>4611</v>
      </c>
      <c r="D6" s="33">
        <v>1733</v>
      </c>
      <c r="E6" s="23">
        <v>-2762</v>
      </c>
      <c r="F6" s="23">
        <v>1530</v>
      </c>
      <c r="G6" s="23">
        <v>-56</v>
      </c>
      <c r="H6" s="23">
        <v>17</v>
      </c>
      <c r="I6" s="23">
        <v>-60</v>
      </c>
      <c r="J6" s="23">
        <v>-15</v>
      </c>
      <c r="K6" s="23">
        <f t="shared" si="0"/>
        <v>-1346</v>
      </c>
      <c r="L6" s="33">
        <f t="shared" si="1"/>
        <v>1515</v>
      </c>
      <c r="M6" s="33">
        <f t="shared" si="2"/>
        <v>-1363</v>
      </c>
      <c r="N6" s="33">
        <v>3248</v>
      </c>
      <c r="O6" s="33">
        <v>10536</v>
      </c>
      <c r="P6" s="33">
        <v>-7840</v>
      </c>
      <c r="Q6" s="33">
        <v>2697</v>
      </c>
      <c r="R6" s="33">
        <v>3248</v>
      </c>
      <c r="S6" s="33">
        <f t="shared" si="3"/>
        <v>-551</v>
      </c>
      <c r="T6" s="38">
        <f t="shared" si="4"/>
        <v>0.8303571428571429</v>
      </c>
      <c r="U6" s="59">
        <f t="shared" si="5"/>
        <v>2778</v>
      </c>
      <c r="V6" s="33">
        <v>-470</v>
      </c>
      <c r="W6" s="33">
        <v>-470</v>
      </c>
      <c r="X6" s="33"/>
      <c r="Y6" s="33"/>
      <c r="Z6" s="42"/>
      <c r="AA6" s="60"/>
      <c r="AB6" s="662"/>
      <c r="AC6" s="580"/>
      <c r="AD6" s="33">
        <f t="shared" si="6"/>
        <v>0</v>
      </c>
      <c r="AE6" s="33">
        <f t="shared" si="7"/>
        <v>2697</v>
      </c>
      <c r="AF6" s="663">
        <f t="shared" si="8"/>
        <v>-551</v>
      </c>
      <c r="AG6" s="644"/>
      <c r="AH6" s="19"/>
      <c r="AI6" s="644" t="s">
        <v>630</v>
      </c>
    </row>
    <row r="7" spans="2:35" ht="13" outlineLevel="2" x14ac:dyDescent="0.3">
      <c r="B7" s="31" t="s">
        <v>169</v>
      </c>
      <c r="C7" s="33">
        <v>-986</v>
      </c>
      <c r="D7" s="33">
        <v>52</v>
      </c>
      <c r="E7" s="23">
        <v>0</v>
      </c>
      <c r="F7" s="23">
        <v>0</v>
      </c>
      <c r="G7" s="23">
        <v>-1</v>
      </c>
      <c r="H7" s="23">
        <v>0</v>
      </c>
      <c r="I7" s="23">
        <v>1039</v>
      </c>
      <c r="J7" s="23">
        <v>0</v>
      </c>
      <c r="K7" s="23">
        <f t="shared" si="0"/>
        <v>1038</v>
      </c>
      <c r="L7" s="33">
        <f t="shared" si="1"/>
        <v>0</v>
      </c>
      <c r="M7" s="33">
        <f t="shared" si="2"/>
        <v>1038</v>
      </c>
      <c r="N7" s="33">
        <v>52</v>
      </c>
      <c r="O7" s="33">
        <v>55</v>
      </c>
      <c r="P7" s="33">
        <v>0</v>
      </c>
      <c r="Q7" s="33">
        <v>55</v>
      </c>
      <c r="R7" s="33">
        <v>52</v>
      </c>
      <c r="S7" s="33">
        <f t="shared" si="3"/>
        <v>3</v>
      </c>
      <c r="T7" s="38">
        <f t="shared" si="4"/>
        <v>1.0576923076923077</v>
      </c>
      <c r="U7" s="59">
        <f t="shared" si="5"/>
        <v>52</v>
      </c>
      <c r="V7" s="33">
        <v>0</v>
      </c>
      <c r="W7" s="33">
        <v>0</v>
      </c>
      <c r="X7" s="33"/>
      <c r="Y7" s="33"/>
      <c r="Z7" s="42"/>
      <c r="AA7" s="60"/>
      <c r="AB7" s="662"/>
      <c r="AC7" s="580"/>
      <c r="AD7" s="33">
        <f t="shared" si="6"/>
        <v>0</v>
      </c>
      <c r="AE7" s="33">
        <f t="shared" si="7"/>
        <v>55</v>
      </c>
      <c r="AF7" s="663">
        <f t="shared" si="8"/>
        <v>3</v>
      </c>
      <c r="AH7" s="19"/>
    </row>
    <row r="8" spans="2:35" ht="13" outlineLevel="2" x14ac:dyDescent="0.3">
      <c r="B8" s="31" t="s">
        <v>170</v>
      </c>
      <c r="C8" s="33">
        <v>121</v>
      </c>
      <c r="D8" s="33">
        <v>159</v>
      </c>
      <c r="E8" s="23">
        <v>0</v>
      </c>
      <c r="F8" s="23">
        <v>0</v>
      </c>
      <c r="G8" s="23">
        <v>-4</v>
      </c>
      <c r="H8" s="23">
        <v>0</v>
      </c>
      <c r="I8" s="23">
        <v>42</v>
      </c>
      <c r="J8" s="23">
        <v>0</v>
      </c>
      <c r="K8" s="23">
        <f t="shared" si="0"/>
        <v>38</v>
      </c>
      <c r="L8" s="33">
        <f t="shared" si="1"/>
        <v>0</v>
      </c>
      <c r="M8" s="33">
        <f t="shared" si="2"/>
        <v>38</v>
      </c>
      <c r="N8" s="33">
        <v>159</v>
      </c>
      <c r="O8" s="33">
        <v>484</v>
      </c>
      <c r="P8" s="33">
        <v>-254</v>
      </c>
      <c r="Q8" s="33">
        <v>230</v>
      </c>
      <c r="R8" s="33">
        <v>159</v>
      </c>
      <c r="S8" s="33">
        <f t="shared" si="3"/>
        <v>71</v>
      </c>
      <c r="T8" s="38">
        <f t="shared" si="4"/>
        <v>1.4465408805031446</v>
      </c>
      <c r="U8" s="59">
        <f t="shared" si="5"/>
        <v>159</v>
      </c>
      <c r="V8" s="33">
        <v>0</v>
      </c>
      <c r="W8" s="33">
        <v>0</v>
      </c>
      <c r="X8" s="33"/>
      <c r="Y8" s="33"/>
      <c r="Z8" s="42"/>
      <c r="AA8" s="60"/>
      <c r="AB8" s="662"/>
      <c r="AC8" s="580"/>
      <c r="AD8" s="33">
        <f t="shared" si="6"/>
        <v>0</v>
      </c>
      <c r="AE8" s="33">
        <f t="shared" si="7"/>
        <v>230</v>
      </c>
      <c r="AF8" s="663">
        <f t="shared" si="8"/>
        <v>71</v>
      </c>
      <c r="AH8" s="19"/>
    </row>
    <row r="9" spans="2:35" ht="13" outlineLevel="1" x14ac:dyDescent="0.3">
      <c r="B9" s="32" t="s">
        <v>43</v>
      </c>
      <c r="C9" s="34">
        <f t="shared" ref="C9:J9" si="9">SUBTOTAL(9,C5:C8)</f>
        <v>4558</v>
      </c>
      <c r="D9" s="34">
        <f t="shared" si="9"/>
        <v>2667</v>
      </c>
      <c r="E9" s="24">
        <f t="shared" si="9"/>
        <v>-2762</v>
      </c>
      <c r="F9" s="24">
        <f t="shared" si="9"/>
        <v>1530</v>
      </c>
      <c r="G9" s="24">
        <f t="shared" si="9"/>
        <v>-76</v>
      </c>
      <c r="H9" s="24">
        <f t="shared" si="9"/>
        <v>17</v>
      </c>
      <c r="I9" s="24">
        <f t="shared" si="9"/>
        <v>947</v>
      </c>
      <c r="J9" s="24">
        <f t="shared" si="9"/>
        <v>-15</v>
      </c>
      <c r="K9" s="24">
        <f>SUM(E9:J9)</f>
        <v>-359</v>
      </c>
      <c r="L9" s="34">
        <f t="shared" si="1"/>
        <v>1515</v>
      </c>
      <c r="M9" s="34">
        <f t="shared" si="2"/>
        <v>-376</v>
      </c>
      <c r="N9" s="34">
        <f>SUBTOTAL(9,N5:N8)</f>
        <v>4182</v>
      </c>
      <c r="O9" s="34">
        <f>SUBTOTAL(9,O5:O8)</f>
        <v>12164</v>
      </c>
      <c r="P9" s="34">
        <f>SUBTOTAL(9,P5:P8)</f>
        <v>-8569</v>
      </c>
      <c r="Q9" s="34">
        <f>SUBTOTAL(9,Q5:Q8)</f>
        <v>3596</v>
      </c>
      <c r="R9" s="34">
        <f>SUBTOTAL(9,R5:R8)</f>
        <v>4182</v>
      </c>
      <c r="S9" s="34">
        <f>Q9-R9</f>
        <v>-586</v>
      </c>
      <c r="T9" s="38">
        <f>IFERROR((Q9/N9)*100%,"∞")</f>
        <v>0.8598756575801052</v>
      </c>
      <c r="U9" s="59">
        <f>N9+V9</f>
        <v>3712</v>
      </c>
      <c r="V9" s="34">
        <f>SUBTOTAL(9,V5:V8)</f>
        <v>-470</v>
      </c>
      <c r="W9" s="34">
        <f t="shared" ref="W9:AF9" si="10">SUBTOTAL(9,W5:W8)</f>
        <v>-470</v>
      </c>
      <c r="X9" s="34">
        <f t="shared" si="10"/>
        <v>0</v>
      </c>
      <c r="Y9" s="34">
        <f t="shared" si="10"/>
        <v>0</v>
      </c>
      <c r="Z9" s="34">
        <f t="shared" si="10"/>
        <v>0</v>
      </c>
      <c r="AA9" s="34">
        <f t="shared" si="10"/>
        <v>0</v>
      </c>
      <c r="AB9" s="641">
        <f t="shared" si="10"/>
        <v>0</v>
      </c>
      <c r="AC9" s="641">
        <f t="shared" si="10"/>
        <v>0</v>
      </c>
      <c r="AD9" s="34">
        <f t="shared" si="10"/>
        <v>0</v>
      </c>
      <c r="AE9" s="34">
        <f t="shared" si="10"/>
        <v>3596</v>
      </c>
      <c r="AF9" s="641">
        <f t="shared" si="10"/>
        <v>-586</v>
      </c>
      <c r="AH9" s="19"/>
    </row>
    <row r="10" spans="2:35" ht="13" outlineLevel="2" x14ac:dyDescent="0.3">
      <c r="B10" s="31" t="s">
        <v>171</v>
      </c>
      <c r="C10" s="33">
        <v>544</v>
      </c>
      <c r="D10" s="33">
        <v>512</v>
      </c>
      <c r="E10" s="23">
        <v>0</v>
      </c>
      <c r="F10" s="23">
        <v>-147</v>
      </c>
      <c r="G10" s="23">
        <v>-32</v>
      </c>
      <c r="H10" s="23">
        <v>0</v>
      </c>
      <c r="I10" s="23">
        <v>0</v>
      </c>
      <c r="J10" s="23">
        <v>-15</v>
      </c>
      <c r="K10" s="23">
        <f t="shared" si="0"/>
        <v>-194</v>
      </c>
      <c r="L10" s="33">
        <f t="shared" si="1"/>
        <v>-162</v>
      </c>
      <c r="M10" s="33">
        <f t="shared" si="2"/>
        <v>-194</v>
      </c>
      <c r="N10" s="33">
        <v>350</v>
      </c>
      <c r="O10" s="33">
        <v>2561</v>
      </c>
      <c r="P10" s="33">
        <v>-2145</v>
      </c>
      <c r="Q10" s="33">
        <v>417</v>
      </c>
      <c r="R10" s="33">
        <v>350</v>
      </c>
      <c r="S10" s="33">
        <f t="shared" si="3"/>
        <v>67</v>
      </c>
      <c r="T10" s="38">
        <f t="shared" si="4"/>
        <v>1.1914285714285715</v>
      </c>
      <c r="U10" s="59">
        <f t="shared" si="5"/>
        <v>508</v>
      </c>
      <c r="V10" s="33">
        <v>158</v>
      </c>
      <c r="W10" s="33">
        <v>158</v>
      </c>
      <c r="X10" s="33"/>
      <c r="Y10" s="33"/>
      <c r="Z10" s="42"/>
      <c r="AA10" s="60"/>
      <c r="AB10" s="662"/>
      <c r="AC10" s="580"/>
      <c r="AD10" s="33">
        <f t="shared" si="6"/>
        <v>0</v>
      </c>
      <c r="AE10" s="33">
        <f t="shared" si="7"/>
        <v>417</v>
      </c>
      <c r="AF10" s="663">
        <f t="shared" si="8"/>
        <v>67</v>
      </c>
      <c r="AH10" s="19"/>
    </row>
    <row r="11" spans="2:35" ht="13" outlineLevel="2" x14ac:dyDescent="0.3">
      <c r="B11" s="31" t="s">
        <v>44</v>
      </c>
      <c r="C11" s="33">
        <v>815</v>
      </c>
      <c r="D11" s="33">
        <v>849</v>
      </c>
      <c r="E11" s="23">
        <v>45</v>
      </c>
      <c r="F11" s="23">
        <v>89</v>
      </c>
      <c r="G11" s="23">
        <v>-28</v>
      </c>
      <c r="H11" s="23">
        <v>0</v>
      </c>
      <c r="I11" s="23">
        <v>18</v>
      </c>
      <c r="J11" s="23">
        <v>0</v>
      </c>
      <c r="K11" s="23">
        <f t="shared" si="0"/>
        <v>124</v>
      </c>
      <c r="L11" s="33">
        <f t="shared" si="1"/>
        <v>90</v>
      </c>
      <c r="M11" s="33">
        <f t="shared" si="2"/>
        <v>124</v>
      </c>
      <c r="N11" s="33">
        <v>939</v>
      </c>
      <c r="O11" s="33">
        <v>1859</v>
      </c>
      <c r="P11" s="33">
        <v>-960</v>
      </c>
      <c r="Q11" s="33">
        <v>899</v>
      </c>
      <c r="R11" s="33">
        <v>939</v>
      </c>
      <c r="S11" s="33">
        <f t="shared" si="3"/>
        <v>-40</v>
      </c>
      <c r="T11" s="38">
        <f t="shared" si="4"/>
        <v>0.95740149094781679</v>
      </c>
      <c r="U11" s="59">
        <f t="shared" si="5"/>
        <v>915</v>
      </c>
      <c r="V11" s="33">
        <v>-24</v>
      </c>
      <c r="W11" s="33">
        <v>-24</v>
      </c>
      <c r="X11" s="33"/>
      <c r="Y11" s="33"/>
      <c r="Z11" s="42"/>
      <c r="AA11" s="60"/>
      <c r="AB11" s="662"/>
      <c r="AC11" s="580"/>
      <c r="AD11" s="33">
        <f t="shared" si="6"/>
        <v>0</v>
      </c>
      <c r="AE11" s="33">
        <f t="shared" si="7"/>
        <v>899</v>
      </c>
      <c r="AF11" s="663">
        <f t="shared" si="8"/>
        <v>-40</v>
      </c>
      <c r="AH11" s="19"/>
    </row>
    <row r="12" spans="2:35" ht="13" outlineLevel="1" x14ac:dyDescent="0.3">
      <c r="B12" s="32" t="s">
        <v>172</v>
      </c>
      <c r="C12" s="34">
        <f t="shared" ref="C12:J12" si="11">SUBTOTAL(9,C10:C11)</f>
        <v>1359</v>
      </c>
      <c r="D12" s="34">
        <f t="shared" si="11"/>
        <v>1361</v>
      </c>
      <c r="E12" s="24">
        <f t="shared" si="11"/>
        <v>45</v>
      </c>
      <c r="F12" s="24">
        <f t="shared" si="11"/>
        <v>-58</v>
      </c>
      <c r="G12" s="24">
        <f t="shared" si="11"/>
        <v>-60</v>
      </c>
      <c r="H12" s="24">
        <f t="shared" si="11"/>
        <v>0</v>
      </c>
      <c r="I12" s="24">
        <f t="shared" si="11"/>
        <v>18</v>
      </c>
      <c r="J12" s="24">
        <f t="shared" si="11"/>
        <v>-15</v>
      </c>
      <c r="K12" s="24">
        <f>SUM(E12:J12)</f>
        <v>-70</v>
      </c>
      <c r="L12" s="34">
        <f t="shared" ref="L12" si="12">N12-D12</f>
        <v>-72</v>
      </c>
      <c r="M12" s="34">
        <f t="shared" ref="M12" si="13">N12-C12</f>
        <v>-70</v>
      </c>
      <c r="N12" s="34">
        <f>SUBTOTAL(9,N10:N11)</f>
        <v>1289</v>
      </c>
      <c r="O12" s="34">
        <f>SUBTOTAL(9,O10:O11)</f>
        <v>4420</v>
      </c>
      <c r="P12" s="34">
        <f>SUBTOTAL(9,P10:P11)</f>
        <v>-3105</v>
      </c>
      <c r="Q12" s="34">
        <f>SUBTOTAL(9,Q10:Q11)</f>
        <v>1316</v>
      </c>
      <c r="R12" s="34">
        <f>SUBTOTAL(9,R10:R11)</f>
        <v>1289</v>
      </c>
      <c r="S12" s="34">
        <f>Q12-R12</f>
        <v>27</v>
      </c>
      <c r="T12" s="38">
        <f>IFERROR((Q12/N12)*100%,"∞")</f>
        <v>1.0209464701318851</v>
      </c>
      <c r="U12" s="59">
        <f>N12+V12</f>
        <v>1423</v>
      </c>
      <c r="V12" s="34">
        <f>SUBTOTAL(9,V10:V11)</f>
        <v>134</v>
      </c>
      <c r="W12" s="34">
        <f t="shared" ref="W12:AF12" si="14">SUBTOTAL(9,W10:W11)</f>
        <v>134</v>
      </c>
      <c r="X12" s="34">
        <f t="shared" si="14"/>
        <v>0</v>
      </c>
      <c r="Y12" s="34">
        <f t="shared" si="14"/>
        <v>0</v>
      </c>
      <c r="Z12" s="34">
        <f t="shared" si="14"/>
        <v>0</v>
      </c>
      <c r="AA12" s="34">
        <f t="shared" si="14"/>
        <v>0</v>
      </c>
      <c r="AB12" s="641">
        <f t="shared" si="14"/>
        <v>0</v>
      </c>
      <c r="AC12" s="641">
        <f t="shared" si="14"/>
        <v>0</v>
      </c>
      <c r="AD12" s="34">
        <f t="shared" si="14"/>
        <v>0</v>
      </c>
      <c r="AE12" s="34">
        <f t="shared" si="14"/>
        <v>1316</v>
      </c>
      <c r="AF12" s="641">
        <f t="shared" si="14"/>
        <v>27</v>
      </c>
      <c r="AH12" s="19"/>
    </row>
    <row r="13" spans="2:35" ht="13" outlineLevel="2" x14ac:dyDescent="0.3">
      <c r="B13" s="31" t="s">
        <v>46</v>
      </c>
      <c r="C13" s="33">
        <v>1088</v>
      </c>
      <c r="D13" s="33">
        <v>1315</v>
      </c>
      <c r="E13" s="23">
        <v>261</v>
      </c>
      <c r="F13" s="23">
        <v>45</v>
      </c>
      <c r="G13" s="23">
        <v>-7</v>
      </c>
      <c r="H13" s="23">
        <v>0</v>
      </c>
      <c r="I13" s="23">
        <v>-26</v>
      </c>
      <c r="J13" s="23">
        <v>0</v>
      </c>
      <c r="K13" s="23">
        <f t="shared" si="0"/>
        <v>273</v>
      </c>
      <c r="L13" s="33">
        <f t="shared" si="1"/>
        <v>45</v>
      </c>
      <c r="M13" s="33">
        <f t="shared" si="2"/>
        <v>272</v>
      </c>
      <c r="N13" s="33">
        <v>1360</v>
      </c>
      <c r="O13" s="33">
        <v>1512</v>
      </c>
      <c r="P13" s="33">
        <v>-137</v>
      </c>
      <c r="Q13" s="33">
        <v>1374</v>
      </c>
      <c r="R13" s="33">
        <v>1360</v>
      </c>
      <c r="S13" s="33">
        <f t="shared" si="3"/>
        <v>14</v>
      </c>
      <c r="T13" s="38">
        <f t="shared" si="4"/>
        <v>1.0102941176470588</v>
      </c>
      <c r="U13" s="59">
        <f t="shared" si="5"/>
        <v>1483</v>
      </c>
      <c r="V13" s="33">
        <v>123</v>
      </c>
      <c r="W13" s="33">
        <v>123</v>
      </c>
      <c r="X13" s="33"/>
      <c r="Y13" s="33"/>
      <c r="Z13" s="42"/>
      <c r="AA13" s="60"/>
      <c r="AB13" s="662">
        <v>28</v>
      </c>
      <c r="AC13" s="580"/>
      <c r="AD13" s="33">
        <f t="shared" si="6"/>
        <v>28</v>
      </c>
      <c r="AE13" s="33">
        <f t="shared" si="7"/>
        <v>1402</v>
      </c>
      <c r="AF13" s="663">
        <f t="shared" si="8"/>
        <v>42</v>
      </c>
      <c r="AH13" s="19"/>
    </row>
    <row r="14" spans="2:35" ht="13" outlineLevel="2" x14ac:dyDescent="0.3">
      <c r="B14" s="31" t="s">
        <v>173</v>
      </c>
      <c r="C14" s="33">
        <v>0</v>
      </c>
      <c r="D14" s="33">
        <v>0</v>
      </c>
      <c r="E14" s="23">
        <v>0</v>
      </c>
      <c r="F14" s="23">
        <v>0</v>
      </c>
      <c r="G14" s="23">
        <v>0</v>
      </c>
      <c r="H14" s="23">
        <v>0</v>
      </c>
      <c r="I14" s="23">
        <v>0</v>
      </c>
      <c r="J14" s="23">
        <v>0</v>
      </c>
      <c r="K14" s="23">
        <f t="shared" si="0"/>
        <v>0</v>
      </c>
      <c r="L14" s="33">
        <f t="shared" si="1"/>
        <v>0</v>
      </c>
      <c r="M14" s="33">
        <f t="shared" si="2"/>
        <v>0</v>
      </c>
      <c r="N14" s="33">
        <v>0</v>
      </c>
      <c r="O14" s="33">
        <v>0</v>
      </c>
      <c r="P14" s="33">
        <v>0</v>
      </c>
      <c r="Q14" s="33">
        <v>0</v>
      </c>
      <c r="R14" s="33">
        <v>0</v>
      </c>
      <c r="S14" s="33">
        <f t="shared" si="3"/>
        <v>0</v>
      </c>
      <c r="T14" s="38" t="str">
        <f t="shared" si="4"/>
        <v>∞</v>
      </c>
      <c r="U14" s="59">
        <f t="shared" si="5"/>
        <v>0</v>
      </c>
      <c r="V14" s="33">
        <v>0</v>
      </c>
      <c r="W14" s="33">
        <v>0</v>
      </c>
      <c r="X14" s="33"/>
      <c r="Y14" s="33"/>
      <c r="Z14" s="42"/>
      <c r="AA14" s="60"/>
      <c r="AB14" s="662"/>
      <c r="AC14" s="580"/>
      <c r="AD14" s="33">
        <f t="shared" si="6"/>
        <v>0</v>
      </c>
      <c r="AE14" s="33">
        <f t="shared" si="7"/>
        <v>0</v>
      </c>
      <c r="AF14" s="663">
        <f t="shared" si="8"/>
        <v>0</v>
      </c>
      <c r="AH14" s="19"/>
    </row>
    <row r="15" spans="2:35" ht="13" outlineLevel="2" x14ac:dyDescent="0.3">
      <c r="B15" s="31" t="s">
        <v>47</v>
      </c>
      <c r="C15" s="33">
        <v>185</v>
      </c>
      <c r="D15" s="33">
        <v>181</v>
      </c>
      <c r="E15" s="23">
        <v>0</v>
      </c>
      <c r="F15" s="23">
        <v>2</v>
      </c>
      <c r="G15" s="23">
        <v>-4</v>
      </c>
      <c r="H15" s="23">
        <v>0</v>
      </c>
      <c r="I15" s="23">
        <v>0</v>
      </c>
      <c r="J15" s="23">
        <v>0</v>
      </c>
      <c r="K15" s="23">
        <f t="shared" si="0"/>
        <v>-2</v>
      </c>
      <c r="L15" s="33">
        <f t="shared" si="1"/>
        <v>3</v>
      </c>
      <c r="M15" s="33">
        <f t="shared" si="2"/>
        <v>-1</v>
      </c>
      <c r="N15" s="33">
        <v>184</v>
      </c>
      <c r="O15" s="33">
        <v>297</v>
      </c>
      <c r="P15" s="33">
        <v>-141</v>
      </c>
      <c r="Q15" s="33">
        <v>156</v>
      </c>
      <c r="R15" s="33">
        <v>184</v>
      </c>
      <c r="S15" s="33">
        <f t="shared" si="3"/>
        <v>-28</v>
      </c>
      <c r="T15" s="38">
        <f t="shared" si="4"/>
        <v>0.84782608695652173</v>
      </c>
      <c r="U15" s="59">
        <f t="shared" si="5"/>
        <v>206</v>
      </c>
      <c r="V15" s="33">
        <v>22</v>
      </c>
      <c r="W15" s="33">
        <v>22</v>
      </c>
      <c r="X15" s="33"/>
      <c r="Y15" s="33"/>
      <c r="Z15" s="42"/>
      <c r="AA15" s="60"/>
      <c r="AB15" s="662"/>
      <c r="AC15" s="580"/>
      <c r="AD15" s="580">
        <f t="shared" si="6"/>
        <v>0</v>
      </c>
      <c r="AE15" s="580">
        <f t="shared" si="7"/>
        <v>156</v>
      </c>
      <c r="AF15" s="663">
        <f t="shared" si="8"/>
        <v>-28</v>
      </c>
      <c r="AH15" s="19"/>
    </row>
    <row r="16" spans="2:35" ht="13" outlineLevel="2" x14ac:dyDescent="0.3">
      <c r="B16" s="31" t="s">
        <v>48</v>
      </c>
      <c r="C16" s="33">
        <v>365</v>
      </c>
      <c r="D16" s="33">
        <v>362</v>
      </c>
      <c r="E16" s="23">
        <v>0</v>
      </c>
      <c r="F16" s="23">
        <v>0</v>
      </c>
      <c r="G16" s="23">
        <v>-2</v>
      </c>
      <c r="H16" s="23">
        <v>0</v>
      </c>
      <c r="I16" s="23">
        <v>0</v>
      </c>
      <c r="J16" s="23">
        <v>0</v>
      </c>
      <c r="K16" s="23">
        <f t="shared" si="0"/>
        <v>-2</v>
      </c>
      <c r="L16" s="33">
        <f t="shared" si="1"/>
        <v>0</v>
      </c>
      <c r="M16" s="33">
        <f t="shared" si="2"/>
        <v>-3</v>
      </c>
      <c r="N16" s="33">
        <v>362</v>
      </c>
      <c r="O16" s="33">
        <v>386</v>
      </c>
      <c r="P16" s="33">
        <v>-44</v>
      </c>
      <c r="Q16" s="33">
        <v>342</v>
      </c>
      <c r="R16" s="33">
        <v>362</v>
      </c>
      <c r="S16" s="33">
        <f t="shared" si="3"/>
        <v>-20</v>
      </c>
      <c r="T16" s="38">
        <f t="shared" si="4"/>
        <v>0.94475138121546964</v>
      </c>
      <c r="U16" s="59">
        <f t="shared" si="5"/>
        <v>338</v>
      </c>
      <c r="V16" s="33">
        <v>-24</v>
      </c>
      <c r="W16" s="33">
        <v>-24</v>
      </c>
      <c r="X16" s="33"/>
      <c r="Y16" s="33"/>
      <c r="Z16" s="42"/>
      <c r="AA16" s="60"/>
      <c r="AB16" s="662"/>
      <c r="AC16" s="580"/>
      <c r="AD16" s="580">
        <f t="shared" si="6"/>
        <v>0</v>
      </c>
      <c r="AE16" s="580">
        <f t="shared" si="7"/>
        <v>342</v>
      </c>
      <c r="AF16" s="663">
        <f t="shared" si="8"/>
        <v>-20</v>
      </c>
      <c r="AH16" s="19"/>
    </row>
    <row r="17" spans="2:35" ht="13" outlineLevel="2" x14ac:dyDescent="0.3">
      <c r="B17" s="31" t="s">
        <v>49</v>
      </c>
      <c r="C17" s="33">
        <v>519</v>
      </c>
      <c r="D17" s="33">
        <v>502</v>
      </c>
      <c r="E17" s="23">
        <v>-14</v>
      </c>
      <c r="F17" s="23">
        <v>0</v>
      </c>
      <c r="G17" s="23">
        <v>-3</v>
      </c>
      <c r="H17" s="23">
        <v>0</v>
      </c>
      <c r="I17" s="23">
        <v>0</v>
      </c>
      <c r="J17" s="23">
        <v>0</v>
      </c>
      <c r="K17" s="23">
        <f t="shared" si="0"/>
        <v>-17</v>
      </c>
      <c r="L17" s="33">
        <f t="shared" si="1"/>
        <v>0</v>
      </c>
      <c r="M17" s="33">
        <f t="shared" si="2"/>
        <v>-17</v>
      </c>
      <c r="N17" s="33">
        <v>502</v>
      </c>
      <c r="O17" s="33">
        <v>805</v>
      </c>
      <c r="P17" s="33">
        <v>-341</v>
      </c>
      <c r="Q17" s="33">
        <v>464</v>
      </c>
      <c r="R17" s="33">
        <v>502</v>
      </c>
      <c r="S17" s="33">
        <f t="shared" si="3"/>
        <v>-38</v>
      </c>
      <c r="T17" s="38">
        <f t="shared" si="4"/>
        <v>0.92430278884462147</v>
      </c>
      <c r="U17" s="59">
        <f t="shared" si="5"/>
        <v>460</v>
      </c>
      <c r="V17" s="33">
        <v>-42</v>
      </c>
      <c r="W17" s="33">
        <v>-42</v>
      </c>
      <c r="X17" s="33"/>
      <c r="Y17" s="33"/>
      <c r="Z17" s="42"/>
      <c r="AA17" s="60"/>
      <c r="AB17" s="662">
        <v>50</v>
      </c>
      <c r="AC17" s="580"/>
      <c r="AD17" s="580">
        <f t="shared" si="6"/>
        <v>50</v>
      </c>
      <c r="AE17" s="580">
        <f t="shared" si="7"/>
        <v>514</v>
      </c>
      <c r="AF17" s="663">
        <f t="shared" si="8"/>
        <v>12</v>
      </c>
      <c r="AH17" s="19"/>
    </row>
    <row r="18" spans="2:35" ht="13" outlineLevel="2" x14ac:dyDescent="0.3">
      <c r="B18" s="31" t="s">
        <v>50</v>
      </c>
      <c r="C18" s="33">
        <v>389</v>
      </c>
      <c r="D18" s="33">
        <v>386</v>
      </c>
      <c r="E18" s="23">
        <v>0</v>
      </c>
      <c r="F18" s="23">
        <v>0</v>
      </c>
      <c r="G18" s="23">
        <v>-3</v>
      </c>
      <c r="H18" s="23">
        <v>0</v>
      </c>
      <c r="I18" s="23">
        <v>0</v>
      </c>
      <c r="J18" s="23">
        <v>-30</v>
      </c>
      <c r="K18" s="23">
        <f t="shared" si="0"/>
        <v>-33</v>
      </c>
      <c r="L18" s="33">
        <f t="shared" si="1"/>
        <v>-30</v>
      </c>
      <c r="M18" s="33">
        <f t="shared" si="2"/>
        <v>-33</v>
      </c>
      <c r="N18" s="33">
        <v>356</v>
      </c>
      <c r="O18" s="33">
        <v>400</v>
      </c>
      <c r="P18" s="33">
        <v>-80</v>
      </c>
      <c r="Q18" s="33">
        <v>320</v>
      </c>
      <c r="R18" s="33">
        <v>356</v>
      </c>
      <c r="S18" s="33">
        <f t="shared" si="3"/>
        <v>-36</v>
      </c>
      <c r="T18" s="38">
        <f t="shared" si="4"/>
        <v>0.898876404494382</v>
      </c>
      <c r="U18" s="59">
        <f t="shared" si="5"/>
        <v>370</v>
      </c>
      <c r="V18" s="33">
        <v>14</v>
      </c>
      <c r="W18" s="33">
        <v>14</v>
      </c>
      <c r="X18" s="33"/>
      <c r="Y18" s="33"/>
      <c r="Z18" s="42"/>
      <c r="AA18" s="60"/>
      <c r="AB18" s="662"/>
      <c r="AC18" s="580"/>
      <c r="AD18" s="580">
        <f t="shared" si="6"/>
        <v>0</v>
      </c>
      <c r="AE18" s="580">
        <f t="shared" si="7"/>
        <v>320</v>
      </c>
      <c r="AF18" s="663">
        <f t="shared" si="8"/>
        <v>-36</v>
      </c>
      <c r="AH18" s="19"/>
    </row>
    <row r="19" spans="2:35" ht="13" outlineLevel="2" x14ac:dyDescent="0.3">
      <c r="B19" s="31" t="s">
        <v>51</v>
      </c>
      <c r="C19" s="33">
        <v>1303</v>
      </c>
      <c r="D19" s="33">
        <v>1270</v>
      </c>
      <c r="E19" s="23">
        <v>-15</v>
      </c>
      <c r="F19" s="23">
        <v>0</v>
      </c>
      <c r="G19" s="23">
        <v>-17</v>
      </c>
      <c r="H19" s="23">
        <v>0</v>
      </c>
      <c r="I19" s="23">
        <v>0</v>
      </c>
      <c r="J19" s="23">
        <v>0</v>
      </c>
      <c r="K19" s="23">
        <f t="shared" si="0"/>
        <v>-32</v>
      </c>
      <c r="L19" s="33">
        <f t="shared" si="1"/>
        <v>0</v>
      </c>
      <c r="M19" s="33">
        <f t="shared" si="2"/>
        <v>-33</v>
      </c>
      <c r="N19" s="33">
        <v>1270</v>
      </c>
      <c r="O19" s="33">
        <v>1614</v>
      </c>
      <c r="P19" s="33">
        <v>-647</v>
      </c>
      <c r="Q19" s="33">
        <v>968</v>
      </c>
      <c r="R19" s="33">
        <v>1270</v>
      </c>
      <c r="S19" s="33">
        <f t="shared" si="3"/>
        <v>-302</v>
      </c>
      <c r="T19" s="38">
        <f t="shared" si="4"/>
        <v>0.76220472440944886</v>
      </c>
      <c r="U19" s="59">
        <f t="shared" si="5"/>
        <v>1029</v>
      </c>
      <c r="V19" s="33">
        <v>-241</v>
      </c>
      <c r="W19" s="33">
        <v>-241</v>
      </c>
      <c r="X19" s="33"/>
      <c r="Y19" s="33"/>
      <c r="Z19" s="42"/>
      <c r="AA19" s="60"/>
      <c r="AB19" s="662">
        <v>17</v>
      </c>
      <c r="AC19" s="580"/>
      <c r="AD19" s="580">
        <f t="shared" si="6"/>
        <v>17</v>
      </c>
      <c r="AE19" s="580">
        <f t="shared" si="7"/>
        <v>985</v>
      </c>
      <c r="AF19" s="663">
        <f t="shared" si="8"/>
        <v>-285</v>
      </c>
      <c r="AH19" s="19"/>
      <c r="AI19" t="s">
        <v>631</v>
      </c>
    </row>
    <row r="20" spans="2:35" ht="13" outlineLevel="2" x14ac:dyDescent="0.3">
      <c r="B20" s="31" t="s">
        <v>52</v>
      </c>
      <c r="C20" s="33">
        <v>516</v>
      </c>
      <c r="D20" s="33">
        <v>532</v>
      </c>
      <c r="E20" s="23">
        <v>0</v>
      </c>
      <c r="F20" s="23">
        <v>0</v>
      </c>
      <c r="G20" s="23">
        <v>-7</v>
      </c>
      <c r="H20" s="23">
        <v>0</v>
      </c>
      <c r="I20" s="23">
        <v>22</v>
      </c>
      <c r="J20" s="23">
        <v>0</v>
      </c>
      <c r="K20" s="23">
        <f t="shared" si="0"/>
        <v>15</v>
      </c>
      <c r="L20" s="33">
        <f t="shared" si="1"/>
        <v>0</v>
      </c>
      <c r="M20" s="33">
        <f t="shared" si="2"/>
        <v>16</v>
      </c>
      <c r="N20" s="33">
        <v>532</v>
      </c>
      <c r="O20" s="33">
        <v>995</v>
      </c>
      <c r="P20" s="33">
        <v>-617</v>
      </c>
      <c r="Q20" s="33">
        <v>379</v>
      </c>
      <c r="R20" s="33">
        <v>532</v>
      </c>
      <c r="S20" s="33">
        <f t="shared" si="3"/>
        <v>-153</v>
      </c>
      <c r="T20" s="38">
        <f t="shared" si="4"/>
        <v>0.71240601503759393</v>
      </c>
      <c r="U20" s="59">
        <f t="shared" si="5"/>
        <v>420</v>
      </c>
      <c r="V20" s="33">
        <v>-112</v>
      </c>
      <c r="W20" s="33">
        <v>-112</v>
      </c>
      <c r="X20" s="33"/>
      <c r="Y20" s="33"/>
      <c r="Z20" s="42"/>
      <c r="AA20" s="60"/>
      <c r="AB20" s="662">
        <f>65-52</f>
        <v>13</v>
      </c>
      <c r="AC20" s="580"/>
      <c r="AD20" s="580">
        <f t="shared" si="6"/>
        <v>13</v>
      </c>
      <c r="AE20" s="580">
        <f t="shared" si="7"/>
        <v>392</v>
      </c>
      <c r="AF20" s="663">
        <f t="shared" si="8"/>
        <v>-140</v>
      </c>
      <c r="AH20" s="19"/>
    </row>
    <row r="21" spans="2:35" ht="13" outlineLevel="2" x14ac:dyDescent="0.3">
      <c r="B21" s="31" t="s">
        <v>53</v>
      </c>
      <c r="C21" s="33">
        <v>1456</v>
      </c>
      <c r="D21" s="33">
        <v>1481</v>
      </c>
      <c r="E21" s="23">
        <v>0</v>
      </c>
      <c r="F21" s="23">
        <v>-57</v>
      </c>
      <c r="G21" s="23">
        <v>-2</v>
      </c>
      <c r="H21" s="23">
        <v>0</v>
      </c>
      <c r="I21" s="23">
        <v>27</v>
      </c>
      <c r="J21" s="23">
        <v>-15</v>
      </c>
      <c r="K21" s="23">
        <f t="shared" si="0"/>
        <v>-47</v>
      </c>
      <c r="L21" s="33">
        <f t="shared" si="1"/>
        <v>-72</v>
      </c>
      <c r="M21" s="33">
        <f t="shared" si="2"/>
        <v>-47</v>
      </c>
      <c r="N21" s="33">
        <v>1409</v>
      </c>
      <c r="O21" s="33">
        <v>1299</v>
      </c>
      <c r="P21" s="33">
        <v>-104</v>
      </c>
      <c r="Q21" s="33">
        <v>1195</v>
      </c>
      <c r="R21" s="33">
        <v>1409</v>
      </c>
      <c r="S21" s="33">
        <f t="shared" si="3"/>
        <v>-214</v>
      </c>
      <c r="T21" s="38">
        <f t="shared" si="4"/>
        <v>0.84811923349893537</v>
      </c>
      <c r="U21" s="59">
        <f t="shared" si="5"/>
        <v>1259</v>
      </c>
      <c r="V21" s="33">
        <v>-150</v>
      </c>
      <c r="W21" s="33">
        <v>-150</v>
      </c>
      <c r="X21" s="33"/>
      <c r="Y21" s="33"/>
      <c r="Z21" s="42"/>
      <c r="AA21" s="60"/>
      <c r="AB21" s="662">
        <v>98</v>
      </c>
      <c r="AC21" s="580"/>
      <c r="AD21" s="580">
        <f t="shared" si="6"/>
        <v>98</v>
      </c>
      <c r="AE21" s="580">
        <f t="shared" si="7"/>
        <v>1293</v>
      </c>
      <c r="AF21" s="663">
        <f t="shared" si="8"/>
        <v>-116</v>
      </c>
      <c r="AH21" s="19"/>
    </row>
    <row r="22" spans="2:35" ht="13" outlineLevel="2" x14ac:dyDescent="0.3">
      <c r="B22" s="31" t="s">
        <v>54</v>
      </c>
      <c r="C22" s="33">
        <v>0</v>
      </c>
      <c r="D22" s="33">
        <v>-13</v>
      </c>
      <c r="E22" s="23">
        <v>0</v>
      </c>
      <c r="F22" s="23">
        <v>0</v>
      </c>
      <c r="G22" s="23">
        <v>-13</v>
      </c>
      <c r="H22" s="23">
        <v>0</v>
      </c>
      <c r="I22" s="23">
        <v>0</v>
      </c>
      <c r="J22" s="23">
        <v>0</v>
      </c>
      <c r="K22" s="23">
        <f t="shared" si="0"/>
        <v>-13</v>
      </c>
      <c r="L22" s="33">
        <f t="shared" si="1"/>
        <v>0</v>
      </c>
      <c r="M22" s="33">
        <f t="shared" si="2"/>
        <v>-13</v>
      </c>
      <c r="N22" s="33">
        <v>-13</v>
      </c>
      <c r="O22" s="33">
        <v>1461</v>
      </c>
      <c r="P22" s="33">
        <v>-1451</v>
      </c>
      <c r="Q22" s="33">
        <v>10</v>
      </c>
      <c r="R22" s="33">
        <v>-13</v>
      </c>
      <c r="S22" s="33">
        <f t="shared" si="3"/>
        <v>23</v>
      </c>
      <c r="T22" s="38">
        <f t="shared" si="4"/>
        <v>-0.76923076923076927</v>
      </c>
      <c r="U22" s="59">
        <f t="shared" si="5"/>
        <v>9</v>
      </c>
      <c r="V22" s="33">
        <v>22</v>
      </c>
      <c r="W22" s="33">
        <v>22</v>
      </c>
      <c r="X22" s="33"/>
      <c r="Y22" s="33"/>
      <c r="Z22" s="42"/>
      <c r="AA22" s="60"/>
      <c r="AB22" s="662"/>
      <c r="AC22" s="580"/>
      <c r="AD22" s="580">
        <f t="shared" si="6"/>
        <v>0</v>
      </c>
      <c r="AE22" s="580">
        <f t="shared" si="7"/>
        <v>10</v>
      </c>
      <c r="AF22" s="663">
        <f t="shared" si="8"/>
        <v>23</v>
      </c>
      <c r="AH22" s="19"/>
    </row>
    <row r="23" spans="2:35" ht="13" outlineLevel="1" x14ac:dyDescent="0.3">
      <c r="B23" s="32" t="s">
        <v>55</v>
      </c>
      <c r="C23" s="34">
        <f t="shared" ref="C23:J23" si="15">SUBTOTAL(9,C13:C22)</f>
        <v>5821</v>
      </c>
      <c r="D23" s="34">
        <f t="shared" si="15"/>
        <v>6016</v>
      </c>
      <c r="E23" s="24">
        <f t="shared" si="15"/>
        <v>232</v>
      </c>
      <c r="F23" s="24">
        <f t="shared" si="15"/>
        <v>-10</v>
      </c>
      <c r="G23" s="24">
        <f t="shared" si="15"/>
        <v>-58</v>
      </c>
      <c r="H23" s="24">
        <f t="shared" si="15"/>
        <v>0</v>
      </c>
      <c r="I23" s="24">
        <f t="shared" si="15"/>
        <v>23</v>
      </c>
      <c r="J23" s="24">
        <f t="shared" si="15"/>
        <v>-45</v>
      </c>
      <c r="K23" s="24">
        <f>SUM(E23:J23)</f>
        <v>142</v>
      </c>
      <c r="L23" s="34">
        <f t="shared" ref="L23:L24" si="16">N23-D23</f>
        <v>-54</v>
      </c>
      <c r="M23" s="34">
        <f t="shared" ref="M23:M24" si="17">N23-C23</f>
        <v>141</v>
      </c>
      <c r="N23" s="34">
        <f>SUBTOTAL(9,N13:N22)</f>
        <v>5962</v>
      </c>
      <c r="O23" s="34">
        <f>SUBTOTAL(9,O13:O22)</f>
        <v>8769</v>
      </c>
      <c r="P23" s="34">
        <f>SUBTOTAL(9,P13:P22)</f>
        <v>-3562</v>
      </c>
      <c r="Q23" s="34">
        <f>SUBTOTAL(9,Q13:Q22)</f>
        <v>5208</v>
      </c>
      <c r="R23" s="34">
        <f>SUBTOTAL(9,R13:R22)</f>
        <v>5962</v>
      </c>
      <c r="S23" s="34">
        <f>Q23-R23</f>
        <v>-754</v>
      </c>
      <c r="T23" s="38">
        <f>IFERROR((Q23/N23)*100%,"∞")</f>
        <v>0.8735323716873532</v>
      </c>
      <c r="U23" s="59">
        <f>N23+V23</f>
        <v>5574</v>
      </c>
      <c r="V23" s="34">
        <f>SUBTOTAL(9,V13:V22)</f>
        <v>-388</v>
      </c>
      <c r="W23" s="34">
        <f>SUBTOTAL(9,W13:W22)</f>
        <v>-388</v>
      </c>
      <c r="X23" s="34"/>
      <c r="Y23" s="34"/>
      <c r="Z23" s="41"/>
      <c r="AA23" s="60"/>
      <c r="AB23" s="641">
        <f t="shared" ref="AB23:AF23" si="18">SUBTOTAL(9,AB13:AB22)</f>
        <v>206</v>
      </c>
      <c r="AC23" s="641">
        <f t="shared" si="18"/>
        <v>0</v>
      </c>
      <c r="AD23" s="641">
        <f t="shared" si="18"/>
        <v>206</v>
      </c>
      <c r="AE23" s="641">
        <f t="shared" si="18"/>
        <v>5414</v>
      </c>
      <c r="AF23" s="641">
        <f t="shared" si="18"/>
        <v>-548</v>
      </c>
      <c r="AH23" s="19"/>
    </row>
    <row r="24" spans="2:35" ht="13.5" customHeight="1" thickBot="1" x14ac:dyDescent="0.35">
      <c r="B24" s="53" t="s">
        <v>56</v>
      </c>
      <c r="C24" s="35">
        <f t="shared" ref="C24:J24" si="19">SUBTOTAL(9,C5:C23)</f>
        <v>11738</v>
      </c>
      <c r="D24" s="35">
        <f t="shared" si="19"/>
        <v>10044</v>
      </c>
      <c r="E24" s="25">
        <f t="shared" si="19"/>
        <v>-2485</v>
      </c>
      <c r="F24" s="25">
        <f t="shared" si="19"/>
        <v>1462</v>
      </c>
      <c r="G24" s="25">
        <f t="shared" si="19"/>
        <v>-194</v>
      </c>
      <c r="H24" s="25">
        <f t="shared" si="19"/>
        <v>17</v>
      </c>
      <c r="I24" s="25">
        <f t="shared" si="19"/>
        <v>988</v>
      </c>
      <c r="J24" s="25">
        <f t="shared" si="19"/>
        <v>-75</v>
      </c>
      <c r="K24" s="25">
        <f>SUM(E24:J24)</f>
        <v>-287</v>
      </c>
      <c r="L24" s="35">
        <f t="shared" si="16"/>
        <v>1389</v>
      </c>
      <c r="M24" s="35">
        <f t="shared" si="17"/>
        <v>-305</v>
      </c>
      <c r="N24" s="35">
        <f>SUBTOTAL(9,N5:N23)</f>
        <v>11433</v>
      </c>
      <c r="O24" s="35">
        <f>SUBTOTAL(9,O5:O23)</f>
        <v>25353</v>
      </c>
      <c r="P24" s="35">
        <f>SUBTOTAL(9,P5:P23)</f>
        <v>-15236</v>
      </c>
      <c r="Q24" s="35">
        <f>SUBTOTAL(9,Q5:Q23)</f>
        <v>10120</v>
      </c>
      <c r="R24" s="35">
        <f>SUBTOTAL(9,R5:R23)</f>
        <v>11433</v>
      </c>
      <c r="S24" s="35">
        <f>Q24-R24</f>
        <v>-1313</v>
      </c>
      <c r="T24" s="39">
        <f>IFERROR((Q24/N24)*100%,"∞")</f>
        <v>0.88515700166185607</v>
      </c>
      <c r="U24" s="54">
        <f>N24+V24</f>
        <v>10709</v>
      </c>
      <c r="V24" s="35">
        <f>SUBTOTAL(9,V5:V23)</f>
        <v>-724</v>
      </c>
      <c r="W24" s="35">
        <f t="shared" ref="W24:AF24" si="20">SUBTOTAL(9,W5:W23)</f>
        <v>-724</v>
      </c>
      <c r="X24" s="35">
        <f t="shared" si="20"/>
        <v>0</v>
      </c>
      <c r="Y24" s="35">
        <f t="shared" si="20"/>
        <v>0</v>
      </c>
      <c r="Z24" s="35">
        <f t="shared" si="20"/>
        <v>0</v>
      </c>
      <c r="AA24" s="35">
        <f t="shared" si="20"/>
        <v>0</v>
      </c>
      <c r="AB24" s="664">
        <f t="shared" si="20"/>
        <v>206</v>
      </c>
      <c r="AC24" s="664">
        <f t="shared" si="20"/>
        <v>0</v>
      </c>
      <c r="AD24" s="664">
        <f t="shared" si="20"/>
        <v>206</v>
      </c>
      <c r="AE24" s="664">
        <f t="shared" si="20"/>
        <v>10326</v>
      </c>
      <c r="AF24" s="664">
        <f t="shared" si="20"/>
        <v>-1107</v>
      </c>
      <c r="AH24" s="19">
        <f>AF24-V24</f>
        <v>-383</v>
      </c>
    </row>
    <row r="25" spans="2:35" ht="13.5" outlineLevel="2" thickTop="1" x14ac:dyDescent="0.3">
      <c r="B25" s="31" t="s">
        <v>57</v>
      </c>
      <c r="C25" s="33">
        <v>2381</v>
      </c>
      <c r="D25" s="33">
        <v>1420</v>
      </c>
      <c r="E25" s="23">
        <v>0</v>
      </c>
      <c r="F25" s="23">
        <v>100</v>
      </c>
      <c r="G25" s="23">
        <v>-26</v>
      </c>
      <c r="H25" s="23">
        <v>0</v>
      </c>
      <c r="I25" s="23">
        <v>-935</v>
      </c>
      <c r="J25" s="23">
        <v>0</v>
      </c>
      <c r="K25" s="23">
        <f t="shared" si="0"/>
        <v>-861</v>
      </c>
      <c r="L25" s="33">
        <f t="shared" si="1"/>
        <v>100</v>
      </c>
      <c r="M25" s="33">
        <f t="shared" si="2"/>
        <v>-861</v>
      </c>
      <c r="N25" s="33">
        <v>1520</v>
      </c>
      <c r="O25" s="33">
        <v>2593</v>
      </c>
      <c r="P25" s="33">
        <v>-1454</v>
      </c>
      <c r="Q25" s="33">
        <v>1138</v>
      </c>
      <c r="R25" s="33">
        <v>1520</v>
      </c>
      <c r="S25" s="33">
        <f t="shared" si="3"/>
        <v>-382</v>
      </c>
      <c r="T25" s="38">
        <f t="shared" si="4"/>
        <v>0.74868421052631584</v>
      </c>
      <c r="U25" s="59">
        <f t="shared" si="5"/>
        <v>1677</v>
      </c>
      <c r="V25" s="33">
        <v>157</v>
      </c>
      <c r="W25" s="33">
        <v>157</v>
      </c>
      <c r="X25" s="33"/>
      <c r="Y25" s="33"/>
      <c r="Z25" s="42"/>
      <c r="AA25" s="60"/>
      <c r="AB25" s="662"/>
      <c r="AC25" s="580"/>
      <c r="AD25" s="580">
        <f t="shared" si="6"/>
        <v>0</v>
      </c>
      <c r="AE25" s="580">
        <f t="shared" si="7"/>
        <v>1138</v>
      </c>
      <c r="AF25" s="663">
        <f t="shared" si="8"/>
        <v>-382</v>
      </c>
      <c r="AH25" s="19"/>
    </row>
    <row r="26" spans="2:35" ht="13" outlineLevel="2" x14ac:dyDescent="0.3">
      <c r="B26" s="31" t="s">
        <v>58</v>
      </c>
      <c r="C26" s="33">
        <v>-8277</v>
      </c>
      <c r="D26" s="33">
        <v>-8369</v>
      </c>
      <c r="E26" s="23">
        <v>-1</v>
      </c>
      <c r="F26" s="23">
        <v>0</v>
      </c>
      <c r="G26" s="23">
        <v>-20</v>
      </c>
      <c r="H26" s="23">
        <v>0</v>
      </c>
      <c r="I26" s="23">
        <v>-72</v>
      </c>
      <c r="J26" s="23">
        <v>-30</v>
      </c>
      <c r="K26" s="23">
        <f t="shared" si="0"/>
        <v>-123</v>
      </c>
      <c r="L26" s="33">
        <f t="shared" si="1"/>
        <v>-30</v>
      </c>
      <c r="M26" s="33">
        <f t="shared" si="2"/>
        <v>-122</v>
      </c>
      <c r="N26" s="33">
        <v>-8399</v>
      </c>
      <c r="O26" s="33">
        <v>2304</v>
      </c>
      <c r="P26" s="33">
        <v>-9773</v>
      </c>
      <c r="Q26" s="33">
        <v>-7469</v>
      </c>
      <c r="R26" s="33">
        <v>-8399</v>
      </c>
      <c r="S26" s="33">
        <f t="shared" si="3"/>
        <v>930</v>
      </c>
      <c r="T26" s="38">
        <f t="shared" si="4"/>
        <v>0.88927253244433857</v>
      </c>
      <c r="U26" s="59">
        <f t="shared" si="5"/>
        <v>-8399</v>
      </c>
      <c r="V26" s="33">
        <v>0</v>
      </c>
      <c r="W26" s="33">
        <v>0</v>
      </c>
      <c r="X26" s="33"/>
      <c r="Y26" s="33"/>
      <c r="Z26" s="42"/>
      <c r="AA26" s="60"/>
      <c r="AB26" s="662"/>
      <c r="AC26" s="580"/>
      <c r="AD26" s="580">
        <f t="shared" si="6"/>
        <v>0</v>
      </c>
      <c r="AE26" s="580">
        <f t="shared" si="7"/>
        <v>-7469</v>
      </c>
      <c r="AF26" s="663">
        <f t="shared" si="8"/>
        <v>930</v>
      </c>
      <c r="AH26" s="19"/>
      <c r="AI26" t="s">
        <v>632</v>
      </c>
    </row>
    <row r="27" spans="2:35" ht="13" outlineLevel="2" x14ac:dyDescent="0.3">
      <c r="B27" s="31" t="s">
        <v>59</v>
      </c>
      <c r="C27" s="33">
        <v>287</v>
      </c>
      <c r="D27" s="33">
        <v>207</v>
      </c>
      <c r="E27" s="23">
        <v>0</v>
      </c>
      <c r="F27" s="23">
        <v>0</v>
      </c>
      <c r="G27" s="23">
        <v>-2</v>
      </c>
      <c r="H27" s="23">
        <v>0</v>
      </c>
      <c r="I27" s="23">
        <v>-78</v>
      </c>
      <c r="J27" s="23">
        <v>0</v>
      </c>
      <c r="K27" s="23">
        <f t="shared" si="0"/>
        <v>-80</v>
      </c>
      <c r="L27" s="33">
        <f t="shared" si="1"/>
        <v>0</v>
      </c>
      <c r="M27" s="33">
        <f t="shared" si="2"/>
        <v>-80</v>
      </c>
      <c r="N27" s="33">
        <v>207</v>
      </c>
      <c r="O27" s="33">
        <v>131</v>
      </c>
      <c r="P27" s="33">
        <v>0</v>
      </c>
      <c r="Q27" s="33">
        <v>131</v>
      </c>
      <c r="R27" s="33">
        <v>207</v>
      </c>
      <c r="S27" s="33">
        <f t="shared" si="3"/>
        <v>-76</v>
      </c>
      <c r="T27" s="38">
        <f t="shared" si="4"/>
        <v>0.63285024154589375</v>
      </c>
      <c r="U27" s="59">
        <f t="shared" si="5"/>
        <v>207</v>
      </c>
      <c r="V27" s="33">
        <v>0</v>
      </c>
      <c r="W27" s="33">
        <v>0</v>
      </c>
      <c r="X27" s="33"/>
      <c r="Y27" s="33"/>
      <c r="Z27" s="42"/>
      <c r="AA27" s="60"/>
      <c r="AB27" s="662"/>
      <c r="AC27" s="580"/>
      <c r="AD27" s="580">
        <f t="shared" si="6"/>
        <v>0</v>
      </c>
      <c r="AE27" s="580">
        <f t="shared" si="7"/>
        <v>131</v>
      </c>
      <c r="AF27" s="663">
        <f t="shared" si="8"/>
        <v>-76</v>
      </c>
      <c r="AH27" s="19"/>
    </row>
    <row r="28" spans="2:35" ht="13" outlineLevel="2" x14ac:dyDescent="0.3">
      <c r="B28" s="31" t="s">
        <v>60</v>
      </c>
      <c r="C28" s="33">
        <v>0</v>
      </c>
      <c r="D28" s="33">
        <v>0</v>
      </c>
      <c r="E28" s="23">
        <v>0</v>
      </c>
      <c r="F28" s="23">
        <v>0</v>
      </c>
      <c r="G28" s="23">
        <v>0</v>
      </c>
      <c r="H28" s="23">
        <v>0</v>
      </c>
      <c r="I28" s="23">
        <v>0</v>
      </c>
      <c r="J28" s="23">
        <v>0</v>
      </c>
      <c r="K28" s="23">
        <f t="shared" si="0"/>
        <v>0</v>
      </c>
      <c r="L28" s="33">
        <f t="shared" si="1"/>
        <v>0</v>
      </c>
      <c r="M28" s="33">
        <f t="shared" si="2"/>
        <v>0</v>
      </c>
      <c r="N28" s="33">
        <v>0</v>
      </c>
      <c r="O28" s="33">
        <v>-1</v>
      </c>
      <c r="P28" s="33">
        <v>-11</v>
      </c>
      <c r="Q28" s="33">
        <v>-12</v>
      </c>
      <c r="R28" s="33">
        <v>0</v>
      </c>
      <c r="S28" s="33">
        <f t="shared" si="3"/>
        <v>-12</v>
      </c>
      <c r="T28" s="38" t="str">
        <f t="shared" si="4"/>
        <v>∞</v>
      </c>
      <c r="U28" s="59">
        <f t="shared" si="5"/>
        <v>0</v>
      </c>
      <c r="V28" s="33">
        <v>0</v>
      </c>
      <c r="W28" s="33">
        <v>0</v>
      </c>
      <c r="X28" s="33"/>
      <c r="Y28" s="33"/>
      <c r="Z28" s="42"/>
      <c r="AA28" s="60"/>
      <c r="AB28" s="662"/>
      <c r="AC28" s="580"/>
      <c r="AD28" s="580">
        <f t="shared" si="6"/>
        <v>0</v>
      </c>
      <c r="AE28" s="580">
        <f t="shared" si="7"/>
        <v>-12</v>
      </c>
      <c r="AF28" s="663">
        <f t="shared" si="8"/>
        <v>-12</v>
      </c>
      <c r="AH28" s="19"/>
    </row>
    <row r="29" spans="2:35" ht="13" outlineLevel="1" x14ac:dyDescent="0.3">
      <c r="B29" s="32" t="s">
        <v>61</v>
      </c>
      <c r="C29" s="34">
        <f t="shared" ref="C29:J29" si="21">SUBTOTAL(9,C25:C28)</f>
        <v>-5609</v>
      </c>
      <c r="D29" s="34">
        <f t="shared" si="21"/>
        <v>-6742</v>
      </c>
      <c r="E29" s="24">
        <f t="shared" si="21"/>
        <v>-1</v>
      </c>
      <c r="F29" s="24">
        <f t="shared" si="21"/>
        <v>100</v>
      </c>
      <c r="G29" s="24">
        <f t="shared" si="21"/>
        <v>-48</v>
      </c>
      <c r="H29" s="24">
        <f t="shared" si="21"/>
        <v>0</v>
      </c>
      <c r="I29" s="24">
        <f t="shared" si="21"/>
        <v>-1085</v>
      </c>
      <c r="J29" s="24">
        <f t="shared" si="21"/>
        <v>-30</v>
      </c>
      <c r="K29" s="24">
        <f>SUM(E29:J29)</f>
        <v>-1064</v>
      </c>
      <c r="L29" s="34">
        <f t="shared" ref="L29" si="22">N29-D29</f>
        <v>70</v>
      </c>
      <c r="M29" s="34">
        <f t="shared" ref="M29" si="23">N29-C29</f>
        <v>-1063</v>
      </c>
      <c r="N29" s="34">
        <f>SUBTOTAL(9,N25:N28)</f>
        <v>-6672</v>
      </c>
      <c r="O29" s="34">
        <f>SUBTOTAL(9,O25:O28)</f>
        <v>5027</v>
      </c>
      <c r="P29" s="34">
        <f>SUBTOTAL(9,P25:P28)</f>
        <v>-11238</v>
      </c>
      <c r="Q29" s="34">
        <f>SUBTOTAL(9,Q25:Q28)</f>
        <v>-6212</v>
      </c>
      <c r="R29" s="34">
        <f>SUBTOTAL(9,R25:R28)</f>
        <v>-6672</v>
      </c>
      <c r="S29" s="34">
        <f>Q29-R29</f>
        <v>460</v>
      </c>
      <c r="T29" s="38">
        <f>IFERROR((Q29/N29)*100%,"∞")</f>
        <v>0.93105515587529974</v>
      </c>
      <c r="U29" s="59">
        <f>N29+V29</f>
        <v>-6515</v>
      </c>
      <c r="V29" s="34">
        <f>SUBTOTAL(9,V25:V28)</f>
        <v>157</v>
      </c>
      <c r="W29" s="34">
        <f t="shared" ref="W29:AF29" si="24">SUBTOTAL(9,W25:W28)</f>
        <v>157</v>
      </c>
      <c r="X29" s="34">
        <f t="shared" si="24"/>
        <v>0</v>
      </c>
      <c r="Y29" s="34">
        <f t="shared" si="24"/>
        <v>0</v>
      </c>
      <c r="Z29" s="34">
        <f t="shared" si="24"/>
        <v>0</v>
      </c>
      <c r="AA29" s="34">
        <f t="shared" si="24"/>
        <v>0</v>
      </c>
      <c r="AB29" s="641">
        <f t="shared" si="24"/>
        <v>0</v>
      </c>
      <c r="AC29" s="641">
        <f t="shared" si="24"/>
        <v>0</v>
      </c>
      <c r="AD29" s="641">
        <f t="shared" si="24"/>
        <v>0</v>
      </c>
      <c r="AE29" s="641">
        <f t="shared" si="24"/>
        <v>-6212</v>
      </c>
      <c r="AF29" s="641">
        <f t="shared" si="24"/>
        <v>460</v>
      </c>
      <c r="AH29" s="19"/>
    </row>
    <row r="30" spans="2:35" ht="13" outlineLevel="2" x14ac:dyDescent="0.3">
      <c r="B30" s="31" t="s">
        <v>62</v>
      </c>
      <c r="C30" s="33">
        <v>251</v>
      </c>
      <c r="D30" s="33">
        <v>359</v>
      </c>
      <c r="E30" s="23">
        <v>11</v>
      </c>
      <c r="F30" s="23">
        <v>254</v>
      </c>
      <c r="G30" s="23">
        <v>19</v>
      </c>
      <c r="H30" s="23">
        <v>0</v>
      </c>
      <c r="I30" s="23">
        <v>79</v>
      </c>
      <c r="J30" s="23">
        <v>0</v>
      </c>
      <c r="K30" s="23">
        <f t="shared" si="0"/>
        <v>363</v>
      </c>
      <c r="L30" s="33">
        <f t="shared" si="1"/>
        <v>254</v>
      </c>
      <c r="M30" s="33">
        <f t="shared" si="2"/>
        <v>362</v>
      </c>
      <c r="N30" s="33">
        <v>613</v>
      </c>
      <c r="O30" s="33">
        <v>1114</v>
      </c>
      <c r="P30" s="33">
        <v>-471</v>
      </c>
      <c r="Q30" s="33">
        <v>643</v>
      </c>
      <c r="R30" s="33">
        <v>613</v>
      </c>
      <c r="S30" s="33">
        <f t="shared" si="3"/>
        <v>30</v>
      </c>
      <c r="T30" s="38">
        <f t="shared" si="4"/>
        <v>1.0489396411092986</v>
      </c>
      <c r="U30" s="59">
        <f t="shared" si="5"/>
        <v>613</v>
      </c>
      <c r="V30" s="33">
        <v>0</v>
      </c>
      <c r="W30" s="33">
        <v>0</v>
      </c>
      <c r="X30" s="33"/>
      <c r="Y30" s="33"/>
      <c r="Z30" s="42"/>
      <c r="AA30" s="60"/>
      <c r="AB30" s="662"/>
      <c r="AC30" s="580"/>
      <c r="AD30" s="580">
        <f t="shared" si="6"/>
        <v>0</v>
      </c>
      <c r="AE30" s="580">
        <f t="shared" si="7"/>
        <v>643</v>
      </c>
      <c r="AF30" s="663">
        <f t="shared" si="8"/>
        <v>30</v>
      </c>
      <c r="AH30" s="19"/>
    </row>
    <row r="31" spans="2:35" ht="13" outlineLevel="2" x14ac:dyDescent="0.3">
      <c r="B31" s="31" t="s">
        <v>63</v>
      </c>
      <c r="C31" s="33">
        <v>355</v>
      </c>
      <c r="D31" s="33">
        <v>396</v>
      </c>
      <c r="E31" s="23">
        <v>0</v>
      </c>
      <c r="F31" s="23">
        <v>0</v>
      </c>
      <c r="G31" s="23">
        <v>-16</v>
      </c>
      <c r="H31" s="23">
        <v>0</v>
      </c>
      <c r="I31" s="23">
        <v>57</v>
      </c>
      <c r="J31" s="23">
        <v>0</v>
      </c>
      <c r="K31" s="23">
        <f t="shared" si="0"/>
        <v>41</v>
      </c>
      <c r="L31" s="33">
        <f t="shared" si="1"/>
        <v>0</v>
      </c>
      <c r="M31" s="33">
        <f t="shared" si="2"/>
        <v>41</v>
      </c>
      <c r="N31" s="33">
        <v>396</v>
      </c>
      <c r="O31" s="33">
        <v>377</v>
      </c>
      <c r="P31" s="33">
        <v>-9</v>
      </c>
      <c r="Q31" s="33">
        <v>367</v>
      </c>
      <c r="R31" s="33">
        <v>396</v>
      </c>
      <c r="S31" s="33">
        <f t="shared" si="3"/>
        <v>-29</v>
      </c>
      <c r="T31" s="38">
        <f t="shared" si="4"/>
        <v>0.9267676767676768</v>
      </c>
      <c r="U31" s="59">
        <f t="shared" si="5"/>
        <v>396</v>
      </c>
      <c r="V31" s="33">
        <v>0</v>
      </c>
      <c r="W31" s="33">
        <v>0</v>
      </c>
      <c r="X31" s="33"/>
      <c r="Y31" s="33"/>
      <c r="Z31" s="42"/>
      <c r="AA31" s="60"/>
      <c r="AB31" s="662"/>
      <c r="AC31" s="580"/>
      <c r="AD31" s="580">
        <f t="shared" si="6"/>
        <v>0</v>
      </c>
      <c r="AE31" s="580">
        <f t="shared" si="7"/>
        <v>367</v>
      </c>
      <c r="AF31" s="663">
        <f t="shared" si="8"/>
        <v>-29</v>
      </c>
      <c r="AH31" s="19"/>
    </row>
    <row r="32" spans="2:35" ht="13" outlineLevel="1" x14ac:dyDescent="0.3">
      <c r="B32" s="32" t="s">
        <v>65</v>
      </c>
      <c r="C32" s="34">
        <f t="shared" ref="C32:J32" si="25">SUBTOTAL(9,C30:C31)</f>
        <v>606</v>
      </c>
      <c r="D32" s="34">
        <f t="shared" si="25"/>
        <v>755</v>
      </c>
      <c r="E32" s="24">
        <f t="shared" si="25"/>
        <v>11</v>
      </c>
      <c r="F32" s="24">
        <f t="shared" si="25"/>
        <v>254</v>
      </c>
      <c r="G32" s="24">
        <f t="shared" si="25"/>
        <v>3</v>
      </c>
      <c r="H32" s="24">
        <f t="shared" si="25"/>
        <v>0</v>
      </c>
      <c r="I32" s="24">
        <f t="shared" si="25"/>
        <v>136</v>
      </c>
      <c r="J32" s="24">
        <f t="shared" si="25"/>
        <v>0</v>
      </c>
      <c r="K32" s="24">
        <f>SUM(E32:J32)</f>
        <v>404</v>
      </c>
      <c r="L32" s="34">
        <f t="shared" ref="L32" si="26">N32-D32</f>
        <v>254</v>
      </c>
      <c r="M32" s="34">
        <f t="shared" ref="M32" si="27">N32-C32</f>
        <v>403</v>
      </c>
      <c r="N32" s="34">
        <f>SUBTOTAL(9,N30:N31)</f>
        <v>1009</v>
      </c>
      <c r="O32" s="34">
        <f>SUBTOTAL(9,O30:O31)</f>
        <v>1491</v>
      </c>
      <c r="P32" s="34">
        <f>SUBTOTAL(9,P30:P31)</f>
        <v>-480</v>
      </c>
      <c r="Q32" s="34">
        <f>SUBTOTAL(9,Q30:Q31)</f>
        <v>1010</v>
      </c>
      <c r="R32" s="34">
        <f>SUBTOTAL(9,R30:R31)</f>
        <v>1009</v>
      </c>
      <c r="S32" s="34">
        <f>Q32-R32</f>
        <v>1</v>
      </c>
      <c r="T32" s="38">
        <f>IFERROR((Q32/N32)*100%,"∞")</f>
        <v>1.0009910802775024</v>
      </c>
      <c r="U32" s="59">
        <f>N32+V32</f>
        <v>1009</v>
      </c>
      <c r="V32" s="34">
        <f>SUBTOTAL(9,V30:V31)</f>
        <v>0</v>
      </c>
      <c r="W32" s="34">
        <f>SUBTOTAL(9,W30:W31)</f>
        <v>0</v>
      </c>
      <c r="X32" s="34"/>
      <c r="Y32" s="34"/>
      <c r="Z32" s="41"/>
      <c r="AA32" s="60"/>
      <c r="AB32" s="641">
        <f t="shared" ref="AB32" si="28">SUBTOTAL(9,AB30:AB31)</f>
        <v>0</v>
      </c>
      <c r="AC32" s="641">
        <f>SUBTOTAL(9,AC1:AC31)</f>
        <v>0</v>
      </c>
      <c r="AD32" s="641"/>
      <c r="AE32" s="641"/>
      <c r="AF32" s="665"/>
      <c r="AH32" s="19"/>
    </row>
    <row r="33" spans="2:35" ht="13" outlineLevel="2" x14ac:dyDescent="0.3">
      <c r="B33" s="31" t="s">
        <v>66</v>
      </c>
      <c r="C33" s="33">
        <v>-552</v>
      </c>
      <c r="D33" s="33">
        <v>-668</v>
      </c>
      <c r="E33" s="23">
        <v>0</v>
      </c>
      <c r="F33" s="23">
        <v>0</v>
      </c>
      <c r="G33" s="23">
        <v>-25</v>
      </c>
      <c r="H33" s="23">
        <v>0</v>
      </c>
      <c r="I33" s="23">
        <v>-90</v>
      </c>
      <c r="J33" s="23">
        <v>0</v>
      </c>
      <c r="K33" s="23">
        <f t="shared" si="0"/>
        <v>-115</v>
      </c>
      <c r="L33" s="33">
        <f t="shared" si="1"/>
        <v>0</v>
      </c>
      <c r="M33" s="33">
        <f t="shared" si="2"/>
        <v>-116</v>
      </c>
      <c r="N33" s="33">
        <v>-668</v>
      </c>
      <c r="O33" s="33">
        <v>1163</v>
      </c>
      <c r="P33" s="33">
        <v>-1876</v>
      </c>
      <c r="Q33" s="33">
        <v>-712</v>
      </c>
      <c r="R33" s="33">
        <v>-668</v>
      </c>
      <c r="S33" s="33">
        <f t="shared" si="3"/>
        <v>-44</v>
      </c>
      <c r="T33" s="38">
        <f t="shared" si="4"/>
        <v>1.0658682634730539</v>
      </c>
      <c r="U33" s="59">
        <f t="shared" si="5"/>
        <v>-757</v>
      </c>
      <c r="V33" s="33">
        <v>-89</v>
      </c>
      <c r="W33" s="33">
        <v>-89</v>
      </c>
      <c r="X33" s="33"/>
      <c r="Y33" s="33"/>
      <c r="Z33" s="42"/>
      <c r="AA33" s="60"/>
      <c r="AB33" s="662">
        <v>44</v>
      </c>
      <c r="AC33" s="580"/>
      <c r="AD33" s="580">
        <f t="shared" si="6"/>
        <v>44</v>
      </c>
      <c r="AE33" s="580">
        <f t="shared" si="7"/>
        <v>-668</v>
      </c>
      <c r="AF33" s="663">
        <f t="shared" si="8"/>
        <v>0</v>
      </c>
      <c r="AH33" s="19"/>
    </row>
    <row r="34" spans="2:35" ht="13" outlineLevel="2" x14ac:dyDescent="0.3">
      <c r="B34" s="31" t="s">
        <v>67</v>
      </c>
      <c r="C34" s="33">
        <v>170</v>
      </c>
      <c r="D34" s="33">
        <v>131</v>
      </c>
      <c r="E34" s="23">
        <v>0</v>
      </c>
      <c r="F34" s="23">
        <v>-8</v>
      </c>
      <c r="G34" s="23">
        <v>-5</v>
      </c>
      <c r="H34" s="23">
        <v>0</v>
      </c>
      <c r="I34" s="23">
        <v>-34</v>
      </c>
      <c r="J34" s="23">
        <v>0</v>
      </c>
      <c r="K34" s="23">
        <f t="shared" si="0"/>
        <v>-47</v>
      </c>
      <c r="L34" s="33">
        <f t="shared" si="1"/>
        <v>-8</v>
      </c>
      <c r="M34" s="33">
        <f t="shared" si="2"/>
        <v>-47</v>
      </c>
      <c r="N34" s="33">
        <v>123</v>
      </c>
      <c r="O34" s="33">
        <v>144</v>
      </c>
      <c r="P34" s="33">
        <v>-35</v>
      </c>
      <c r="Q34" s="33">
        <v>109</v>
      </c>
      <c r="R34" s="33">
        <v>123</v>
      </c>
      <c r="S34" s="33">
        <f t="shared" si="3"/>
        <v>-14</v>
      </c>
      <c r="T34" s="38">
        <f t="shared" si="4"/>
        <v>0.88617886178861793</v>
      </c>
      <c r="U34" s="59">
        <f t="shared" si="5"/>
        <v>123</v>
      </c>
      <c r="V34" s="33">
        <v>0</v>
      </c>
      <c r="W34" s="33">
        <v>0</v>
      </c>
      <c r="X34" s="33"/>
      <c r="Y34" s="33"/>
      <c r="Z34" s="42"/>
      <c r="AA34" s="60"/>
      <c r="AB34" s="662">
        <v>14</v>
      </c>
      <c r="AC34" s="580"/>
      <c r="AD34" s="580">
        <f t="shared" si="6"/>
        <v>14</v>
      </c>
      <c r="AE34" s="580">
        <f t="shared" si="7"/>
        <v>123</v>
      </c>
      <c r="AF34" s="663">
        <f t="shared" si="8"/>
        <v>0</v>
      </c>
      <c r="AH34" s="19"/>
    </row>
    <row r="35" spans="2:35"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17</v>
      </c>
      <c r="P35" s="33">
        <v>-223</v>
      </c>
      <c r="Q35" s="33">
        <v>-207</v>
      </c>
      <c r="R35" s="33">
        <v>-192</v>
      </c>
      <c r="S35" s="33">
        <f t="shared" si="3"/>
        <v>-15</v>
      </c>
      <c r="T35" s="38">
        <f t="shared" si="4"/>
        <v>1.078125</v>
      </c>
      <c r="U35" s="59">
        <f t="shared" si="5"/>
        <v>-200</v>
      </c>
      <c r="V35" s="33">
        <v>-8</v>
      </c>
      <c r="W35" s="33">
        <v>-8</v>
      </c>
      <c r="X35" s="33"/>
      <c r="Y35" s="33"/>
      <c r="Z35" s="42"/>
      <c r="AA35" s="60"/>
      <c r="AB35" s="662">
        <v>15</v>
      </c>
      <c r="AC35" s="580"/>
      <c r="AD35" s="580">
        <f t="shared" si="6"/>
        <v>15</v>
      </c>
      <c r="AE35" s="580">
        <f t="shared" si="7"/>
        <v>-192</v>
      </c>
      <c r="AF35" s="663">
        <f t="shared" si="8"/>
        <v>0</v>
      </c>
      <c r="AH35" s="19"/>
    </row>
    <row r="36" spans="2:35" ht="13" outlineLevel="2" x14ac:dyDescent="0.3">
      <c r="B36" s="31" t="s">
        <v>69</v>
      </c>
      <c r="C36" s="33">
        <v>951</v>
      </c>
      <c r="D36" s="33">
        <v>1135</v>
      </c>
      <c r="E36" s="23">
        <v>0</v>
      </c>
      <c r="F36" s="23">
        <v>40</v>
      </c>
      <c r="G36" s="23">
        <v>-23</v>
      </c>
      <c r="H36" s="23">
        <v>0</v>
      </c>
      <c r="I36" s="23">
        <v>207</v>
      </c>
      <c r="J36" s="23">
        <v>15</v>
      </c>
      <c r="K36" s="23">
        <f t="shared" si="0"/>
        <v>239</v>
      </c>
      <c r="L36" s="33">
        <f t="shared" si="1"/>
        <v>55</v>
      </c>
      <c r="M36" s="33">
        <f t="shared" si="2"/>
        <v>239</v>
      </c>
      <c r="N36" s="33">
        <v>1190</v>
      </c>
      <c r="O36" s="33">
        <v>1280</v>
      </c>
      <c r="P36" s="33">
        <v>-208</v>
      </c>
      <c r="Q36" s="33">
        <v>1072</v>
      </c>
      <c r="R36" s="33">
        <v>1190</v>
      </c>
      <c r="S36" s="33">
        <f t="shared" si="3"/>
        <v>-118</v>
      </c>
      <c r="T36" s="38">
        <f t="shared" si="4"/>
        <v>0.9008403361344538</v>
      </c>
      <c r="U36" s="59">
        <f t="shared" si="5"/>
        <v>1101</v>
      </c>
      <c r="V36" s="33">
        <v>-89</v>
      </c>
      <c r="W36" s="33">
        <v>-93</v>
      </c>
      <c r="X36" s="33"/>
      <c r="Y36" s="33"/>
      <c r="Z36" s="42"/>
      <c r="AA36" s="60"/>
      <c r="AB36" s="662">
        <v>118</v>
      </c>
      <c r="AC36" s="580"/>
      <c r="AD36" s="580">
        <f t="shared" si="6"/>
        <v>118</v>
      </c>
      <c r="AE36" s="580">
        <f t="shared" si="7"/>
        <v>1190</v>
      </c>
      <c r="AF36" s="663">
        <f t="shared" si="8"/>
        <v>0</v>
      </c>
      <c r="AH36" s="19"/>
    </row>
    <row r="37" spans="2:35" ht="13" outlineLevel="1" x14ac:dyDescent="0.3">
      <c r="B37" s="32" t="s">
        <v>71</v>
      </c>
      <c r="C37" s="34">
        <f t="shared" ref="C37:J37" si="29">SUBTOTAL(9,C33:C36)</f>
        <v>377</v>
      </c>
      <c r="D37" s="34">
        <f t="shared" si="29"/>
        <v>406</v>
      </c>
      <c r="E37" s="24">
        <f t="shared" si="29"/>
        <v>0</v>
      </c>
      <c r="F37" s="24">
        <f t="shared" si="29"/>
        <v>32</v>
      </c>
      <c r="G37" s="24">
        <f t="shared" si="29"/>
        <v>-53</v>
      </c>
      <c r="H37" s="24">
        <f t="shared" si="29"/>
        <v>0</v>
      </c>
      <c r="I37" s="24">
        <f t="shared" si="29"/>
        <v>83</v>
      </c>
      <c r="J37" s="24">
        <f t="shared" si="29"/>
        <v>15</v>
      </c>
      <c r="K37" s="24">
        <f>SUM(E37:J37)</f>
        <v>77</v>
      </c>
      <c r="L37" s="34">
        <f t="shared" ref="L37:L38" si="30">N37-D37</f>
        <v>47</v>
      </c>
      <c r="M37" s="34">
        <f t="shared" ref="M37:M38" si="31">N37-C37</f>
        <v>76</v>
      </c>
      <c r="N37" s="34">
        <f>SUBTOTAL(9,N33:N36)</f>
        <v>453</v>
      </c>
      <c r="O37" s="34">
        <f>SUBTOTAL(9,O33:O36)</f>
        <v>2604</v>
      </c>
      <c r="P37" s="34">
        <f>SUBTOTAL(9,P33:P36)</f>
        <v>-2342</v>
      </c>
      <c r="Q37" s="34">
        <f>SUBTOTAL(9,Q33:Q36)</f>
        <v>262</v>
      </c>
      <c r="R37" s="34">
        <f>SUBTOTAL(9,R33:R36)</f>
        <v>453</v>
      </c>
      <c r="S37" s="34">
        <f>Q37-R37</f>
        <v>-191</v>
      </c>
      <c r="T37" s="38">
        <f>IFERROR((Q37/N37)*100%,"∞")</f>
        <v>0.57836644591611475</v>
      </c>
      <c r="U37" s="59">
        <f>N37+V37</f>
        <v>267</v>
      </c>
      <c r="V37" s="34">
        <f>SUBTOTAL(9,V33:V36)</f>
        <v>-186</v>
      </c>
      <c r="W37" s="34">
        <f t="shared" ref="W37:AF37" si="32">SUBTOTAL(9,W33:W36)</f>
        <v>-190</v>
      </c>
      <c r="X37" s="34">
        <f t="shared" si="32"/>
        <v>0</v>
      </c>
      <c r="Y37" s="34">
        <f t="shared" si="32"/>
        <v>0</v>
      </c>
      <c r="Z37" s="34">
        <f t="shared" si="32"/>
        <v>0</v>
      </c>
      <c r="AA37" s="34">
        <f t="shared" si="32"/>
        <v>0</v>
      </c>
      <c r="AB37" s="641">
        <f t="shared" si="32"/>
        <v>191</v>
      </c>
      <c r="AC37" s="641">
        <f t="shared" si="32"/>
        <v>0</v>
      </c>
      <c r="AD37" s="641">
        <f t="shared" si="32"/>
        <v>191</v>
      </c>
      <c r="AE37" s="641">
        <f t="shared" si="32"/>
        <v>453</v>
      </c>
      <c r="AF37" s="641">
        <f t="shared" si="32"/>
        <v>0</v>
      </c>
      <c r="AH37" s="19"/>
    </row>
    <row r="38" spans="2:35" ht="13.5" customHeight="1" thickBot="1" x14ac:dyDescent="0.35">
      <c r="B38" s="53" t="s">
        <v>72</v>
      </c>
      <c r="C38" s="35">
        <f t="shared" ref="C38:J38" si="33">SUBTOTAL(9,C25:C37)</f>
        <v>-4626</v>
      </c>
      <c r="D38" s="35">
        <f t="shared" si="33"/>
        <v>-5581</v>
      </c>
      <c r="E38" s="25">
        <f t="shared" si="33"/>
        <v>10</v>
      </c>
      <c r="F38" s="25">
        <f t="shared" si="33"/>
        <v>386</v>
      </c>
      <c r="G38" s="25">
        <f t="shared" si="33"/>
        <v>-98</v>
      </c>
      <c r="H38" s="25">
        <f t="shared" si="33"/>
        <v>0</v>
      </c>
      <c r="I38" s="25">
        <f t="shared" si="33"/>
        <v>-866</v>
      </c>
      <c r="J38" s="25">
        <f t="shared" si="33"/>
        <v>-15</v>
      </c>
      <c r="K38" s="25">
        <f>SUM(E38:J38)</f>
        <v>-583</v>
      </c>
      <c r="L38" s="35">
        <f t="shared" si="30"/>
        <v>371</v>
      </c>
      <c r="M38" s="35">
        <f t="shared" si="31"/>
        <v>-584</v>
      </c>
      <c r="N38" s="35">
        <f>SUBTOTAL(9,N25:N37)</f>
        <v>-5210</v>
      </c>
      <c r="O38" s="35">
        <f>SUBTOTAL(9,O25:O37)</f>
        <v>9122</v>
      </c>
      <c r="P38" s="35">
        <f>SUBTOTAL(9,P25:P37)</f>
        <v>-14060</v>
      </c>
      <c r="Q38" s="35">
        <f>SUBTOTAL(9,Q25:Q37)</f>
        <v>-4940</v>
      </c>
      <c r="R38" s="35">
        <f>SUBTOTAL(9,R25:R37)</f>
        <v>-5210</v>
      </c>
      <c r="S38" s="35">
        <f>Q38-R38</f>
        <v>270</v>
      </c>
      <c r="T38" s="39">
        <f>IFERROR((Q38/N38)*100%,"∞")</f>
        <v>0.94817658349328215</v>
      </c>
      <c r="U38" s="54">
        <f>N38+V38</f>
        <v>-5239</v>
      </c>
      <c r="V38" s="35">
        <f>SUBTOTAL(9,V25:V37)</f>
        <v>-29</v>
      </c>
      <c r="W38" s="35">
        <f t="shared" ref="W38:AF38" si="34">SUBTOTAL(9,W25:W37)</f>
        <v>-33</v>
      </c>
      <c r="X38" s="35">
        <f t="shared" si="34"/>
        <v>0</v>
      </c>
      <c r="Y38" s="35">
        <f t="shared" si="34"/>
        <v>0</v>
      </c>
      <c r="Z38" s="35">
        <f t="shared" si="34"/>
        <v>0</v>
      </c>
      <c r="AA38" s="35">
        <f t="shared" si="34"/>
        <v>0</v>
      </c>
      <c r="AB38" s="664">
        <f t="shared" si="34"/>
        <v>191</v>
      </c>
      <c r="AC38" s="664">
        <f t="shared" si="34"/>
        <v>0</v>
      </c>
      <c r="AD38" s="664">
        <f t="shared" si="34"/>
        <v>191</v>
      </c>
      <c r="AE38" s="664">
        <f t="shared" si="34"/>
        <v>-4749</v>
      </c>
      <c r="AF38" s="664">
        <f t="shared" si="34"/>
        <v>461</v>
      </c>
      <c r="AH38" s="19">
        <f t="shared" ref="AH38:AH59" si="35">AF38-V38</f>
        <v>490</v>
      </c>
    </row>
    <row r="39" spans="2:35" ht="13.5" outlineLevel="2" thickTop="1" x14ac:dyDescent="0.3">
      <c r="B39" s="31" t="s">
        <v>73</v>
      </c>
      <c r="C39" s="33">
        <v>226</v>
      </c>
      <c r="D39" s="33">
        <v>163</v>
      </c>
      <c r="E39" s="23">
        <v>0</v>
      </c>
      <c r="F39" s="23">
        <v>0</v>
      </c>
      <c r="G39" s="23">
        <v>-4</v>
      </c>
      <c r="H39" s="23">
        <v>0</v>
      </c>
      <c r="I39" s="23">
        <v>-60</v>
      </c>
      <c r="J39" s="23">
        <v>0</v>
      </c>
      <c r="K39" s="23">
        <f t="shared" si="0"/>
        <v>-64</v>
      </c>
      <c r="L39" s="33">
        <f t="shared" si="1"/>
        <v>0</v>
      </c>
      <c r="M39" s="33">
        <f t="shared" si="2"/>
        <v>-63</v>
      </c>
      <c r="N39" s="33">
        <v>163</v>
      </c>
      <c r="O39" s="33">
        <v>125</v>
      </c>
      <c r="P39" s="33">
        <v>0</v>
      </c>
      <c r="Q39" s="33">
        <v>125</v>
      </c>
      <c r="R39" s="33">
        <v>163</v>
      </c>
      <c r="S39" s="33">
        <f t="shared" si="3"/>
        <v>-38</v>
      </c>
      <c r="T39" s="38">
        <f t="shared" si="4"/>
        <v>0.76687116564417179</v>
      </c>
      <c r="U39" s="59">
        <f t="shared" si="5"/>
        <v>125</v>
      </c>
      <c r="V39" s="33">
        <v>-38</v>
      </c>
      <c r="W39" s="33">
        <v>-38</v>
      </c>
      <c r="X39" s="33"/>
      <c r="Y39" s="33"/>
      <c r="Z39" s="42"/>
      <c r="AA39" s="60"/>
      <c r="AB39" s="662"/>
      <c r="AC39" s="580"/>
      <c r="AD39" s="580">
        <f t="shared" si="6"/>
        <v>0</v>
      </c>
      <c r="AE39" s="580">
        <f t="shared" si="7"/>
        <v>125</v>
      </c>
      <c r="AF39" s="663">
        <f t="shared" si="8"/>
        <v>-38</v>
      </c>
      <c r="AH39" s="19"/>
    </row>
    <row r="40" spans="2:35" ht="13" outlineLevel="2" x14ac:dyDescent="0.3">
      <c r="B40" s="31" t="s">
        <v>74</v>
      </c>
      <c r="C40" s="33">
        <v>387</v>
      </c>
      <c r="D40" s="33">
        <v>378</v>
      </c>
      <c r="E40" s="23">
        <v>0</v>
      </c>
      <c r="F40" s="23">
        <v>17</v>
      </c>
      <c r="G40" s="23">
        <v>-9</v>
      </c>
      <c r="H40" s="23">
        <v>0</v>
      </c>
      <c r="I40" s="23">
        <v>0</v>
      </c>
      <c r="J40" s="23">
        <v>0</v>
      </c>
      <c r="K40" s="23">
        <f t="shared" si="0"/>
        <v>8</v>
      </c>
      <c r="L40" s="33">
        <f t="shared" si="1"/>
        <v>17</v>
      </c>
      <c r="M40" s="33">
        <f t="shared" si="2"/>
        <v>8</v>
      </c>
      <c r="N40" s="33">
        <v>395</v>
      </c>
      <c r="O40" s="33">
        <v>566</v>
      </c>
      <c r="P40" s="33">
        <v>-191</v>
      </c>
      <c r="Q40" s="33">
        <v>376</v>
      </c>
      <c r="R40" s="33">
        <v>395</v>
      </c>
      <c r="S40" s="33">
        <f t="shared" si="3"/>
        <v>-19</v>
      </c>
      <c r="T40" s="38">
        <f t="shared" si="4"/>
        <v>0.95189873417721516</v>
      </c>
      <c r="U40" s="59">
        <f t="shared" si="5"/>
        <v>414</v>
      </c>
      <c r="V40" s="33">
        <v>19</v>
      </c>
      <c r="W40" s="33">
        <v>19</v>
      </c>
      <c r="X40" s="33"/>
      <c r="Y40" s="33"/>
      <c r="Z40" s="42"/>
      <c r="AA40" s="60"/>
      <c r="AB40" s="662"/>
      <c r="AC40" s="580"/>
      <c r="AD40" s="580">
        <f t="shared" si="6"/>
        <v>0</v>
      </c>
      <c r="AE40" s="580">
        <f t="shared" si="7"/>
        <v>376</v>
      </c>
      <c r="AF40" s="663">
        <f t="shared" si="8"/>
        <v>-19</v>
      </c>
      <c r="AH40" s="19"/>
    </row>
    <row r="41" spans="2:35" ht="13" outlineLevel="2" x14ac:dyDescent="0.3">
      <c r="B41" s="31" t="s">
        <v>75</v>
      </c>
      <c r="C41" s="33">
        <v>258</v>
      </c>
      <c r="D41" s="33">
        <v>254</v>
      </c>
      <c r="E41" s="23">
        <v>0</v>
      </c>
      <c r="F41" s="23">
        <v>115</v>
      </c>
      <c r="G41" s="23">
        <v>-4</v>
      </c>
      <c r="H41" s="23">
        <v>0</v>
      </c>
      <c r="I41" s="23">
        <v>0</v>
      </c>
      <c r="J41" s="23">
        <v>0</v>
      </c>
      <c r="K41" s="23">
        <f t="shared" si="0"/>
        <v>111</v>
      </c>
      <c r="L41" s="33">
        <f t="shared" si="1"/>
        <v>116</v>
      </c>
      <c r="M41" s="33">
        <f t="shared" si="2"/>
        <v>112</v>
      </c>
      <c r="N41" s="33">
        <v>370</v>
      </c>
      <c r="O41" s="33">
        <v>348</v>
      </c>
      <c r="P41" s="33">
        <v>-86</v>
      </c>
      <c r="Q41" s="33">
        <v>262</v>
      </c>
      <c r="R41" s="33">
        <v>370</v>
      </c>
      <c r="S41" s="33">
        <f t="shared" si="3"/>
        <v>-108</v>
      </c>
      <c r="T41" s="38">
        <f t="shared" si="4"/>
        <v>0.70810810810810809</v>
      </c>
      <c r="U41" s="59">
        <f t="shared" si="5"/>
        <v>258</v>
      </c>
      <c r="V41" s="33">
        <v>-112</v>
      </c>
      <c r="W41" s="33">
        <v>-112</v>
      </c>
      <c r="X41" s="33"/>
      <c r="Y41" s="33"/>
      <c r="Z41" s="42"/>
      <c r="AA41" s="60"/>
      <c r="AB41" s="662"/>
      <c r="AC41" s="580"/>
      <c r="AD41" s="580">
        <f t="shared" si="6"/>
        <v>0</v>
      </c>
      <c r="AE41" s="580">
        <f t="shared" si="7"/>
        <v>262</v>
      </c>
      <c r="AF41" s="663">
        <f t="shared" si="8"/>
        <v>-108</v>
      </c>
      <c r="AH41" s="19"/>
    </row>
    <row r="42" spans="2:35" ht="13" outlineLevel="1" x14ac:dyDescent="0.3">
      <c r="B42" s="32" t="s">
        <v>76</v>
      </c>
      <c r="C42" s="34">
        <f t="shared" ref="C42:J42" si="36">SUBTOTAL(9,C39:C41)</f>
        <v>871</v>
      </c>
      <c r="D42" s="34">
        <f t="shared" si="36"/>
        <v>795</v>
      </c>
      <c r="E42" s="24">
        <f t="shared" si="36"/>
        <v>0</v>
      </c>
      <c r="F42" s="24">
        <f t="shared" si="36"/>
        <v>132</v>
      </c>
      <c r="G42" s="24">
        <f t="shared" si="36"/>
        <v>-17</v>
      </c>
      <c r="H42" s="24">
        <f t="shared" si="36"/>
        <v>0</v>
      </c>
      <c r="I42" s="24">
        <f t="shared" si="36"/>
        <v>-60</v>
      </c>
      <c r="J42" s="24">
        <f t="shared" si="36"/>
        <v>0</v>
      </c>
      <c r="K42" s="24">
        <f>SUM(E42:J42)</f>
        <v>55</v>
      </c>
      <c r="L42" s="34">
        <f t="shared" ref="L42" si="37">N42-D42</f>
        <v>133</v>
      </c>
      <c r="M42" s="34">
        <f t="shared" ref="M42" si="38">N42-C42</f>
        <v>57</v>
      </c>
      <c r="N42" s="34">
        <f>SUBTOTAL(9,N39:N41)</f>
        <v>928</v>
      </c>
      <c r="O42" s="34">
        <f>SUBTOTAL(9,O39:O41)</f>
        <v>1039</v>
      </c>
      <c r="P42" s="34">
        <f>SUBTOTAL(9,P39:P41)</f>
        <v>-277</v>
      </c>
      <c r="Q42" s="34">
        <f>SUBTOTAL(9,Q39:Q41)</f>
        <v>763</v>
      </c>
      <c r="R42" s="34">
        <f>SUBTOTAL(9,R39:R41)</f>
        <v>928</v>
      </c>
      <c r="S42" s="34">
        <f>Q42-R42</f>
        <v>-165</v>
      </c>
      <c r="T42" s="38">
        <f>IFERROR((Q42/N42)*100%,"∞")</f>
        <v>0.82219827586206895</v>
      </c>
      <c r="U42" s="59">
        <f>N42+V42</f>
        <v>797</v>
      </c>
      <c r="V42" s="34">
        <f>SUBTOTAL(9,V39:V41)</f>
        <v>-131</v>
      </c>
      <c r="W42" s="34">
        <f t="shared" ref="W42:AF42" si="39">SUBTOTAL(9,W39:W41)</f>
        <v>-131</v>
      </c>
      <c r="X42" s="34">
        <f t="shared" si="39"/>
        <v>0</v>
      </c>
      <c r="Y42" s="34">
        <f t="shared" si="39"/>
        <v>0</v>
      </c>
      <c r="Z42" s="34">
        <f t="shared" si="39"/>
        <v>0</v>
      </c>
      <c r="AA42" s="34">
        <f t="shared" si="39"/>
        <v>0</v>
      </c>
      <c r="AB42" s="641">
        <f t="shared" si="39"/>
        <v>0</v>
      </c>
      <c r="AC42" s="641">
        <f t="shared" si="39"/>
        <v>0</v>
      </c>
      <c r="AD42" s="641">
        <f t="shared" si="39"/>
        <v>0</v>
      </c>
      <c r="AE42" s="641">
        <f t="shared" si="39"/>
        <v>763</v>
      </c>
      <c r="AF42" s="641">
        <f t="shared" si="39"/>
        <v>-165</v>
      </c>
      <c r="AH42" s="19"/>
    </row>
    <row r="43" spans="2:35" ht="13" outlineLevel="2" x14ac:dyDescent="0.3">
      <c r="B43" s="31" t="s">
        <v>77</v>
      </c>
      <c r="C43" s="33">
        <v>463</v>
      </c>
      <c r="D43" s="33">
        <v>216</v>
      </c>
      <c r="E43" s="23">
        <v>-156</v>
      </c>
      <c r="F43" s="23">
        <v>1</v>
      </c>
      <c r="G43" s="23">
        <v>-7</v>
      </c>
      <c r="H43" s="23">
        <v>0</v>
      </c>
      <c r="I43" s="23">
        <v>-83</v>
      </c>
      <c r="J43" s="23">
        <v>0</v>
      </c>
      <c r="K43" s="23">
        <f t="shared" si="0"/>
        <v>-245</v>
      </c>
      <c r="L43" s="33">
        <f t="shared" si="1"/>
        <v>1</v>
      </c>
      <c r="M43" s="33">
        <f t="shared" si="2"/>
        <v>-246</v>
      </c>
      <c r="N43" s="33">
        <v>217</v>
      </c>
      <c r="O43" s="33">
        <v>404</v>
      </c>
      <c r="P43" s="33">
        <v>-272</v>
      </c>
      <c r="Q43" s="33">
        <v>132</v>
      </c>
      <c r="R43" s="33">
        <v>217</v>
      </c>
      <c r="S43" s="33">
        <f t="shared" si="3"/>
        <v>-85</v>
      </c>
      <c r="T43" s="38">
        <f t="shared" si="4"/>
        <v>0.60829493087557607</v>
      </c>
      <c r="U43" s="59">
        <f t="shared" si="5"/>
        <v>155</v>
      </c>
      <c r="V43" s="33">
        <v>-62</v>
      </c>
      <c r="W43" s="33">
        <v>-62</v>
      </c>
      <c r="X43" s="33"/>
      <c r="Y43" s="33"/>
      <c r="Z43" s="42"/>
      <c r="AA43" s="60"/>
      <c r="AB43" s="662"/>
      <c r="AC43" s="580"/>
      <c r="AD43" s="580">
        <f t="shared" si="6"/>
        <v>0</v>
      </c>
      <c r="AE43" s="580">
        <f t="shared" si="7"/>
        <v>132</v>
      </c>
      <c r="AF43" s="663">
        <f t="shared" si="8"/>
        <v>-85</v>
      </c>
      <c r="AH43" s="19"/>
    </row>
    <row r="44" spans="2:35" ht="13" outlineLevel="2" x14ac:dyDescent="0.3">
      <c r="B44" s="31" t="s">
        <v>78</v>
      </c>
      <c r="C44" s="33">
        <v>305</v>
      </c>
      <c r="D44" s="33">
        <v>282</v>
      </c>
      <c r="E44" s="23">
        <v>-4</v>
      </c>
      <c r="F44" s="23">
        <v>99</v>
      </c>
      <c r="G44" s="23">
        <v>-4</v>
      </c>
      <c r="H44" s="23">
        <v>0</v>
      </c>
      <c r="I44" s="23">
        <v>-15</v>
      </c>
      <c r="J44" s="23">
        <v>0</v>
      </c>
      <c r="K44" s="23">
        <f t="shared" si="0"/>
        <v>76</v>
      </c>
      <c r="L44" s="33">
        <f t="shared" si="1"/>
        <v>98</v>
      </c>
      <c r="M44" s="33">
        <f t="shared" si="2"/>
        <v>75</v>
      </c>
      <c r="N44" s="33">
        <v>380</v>
      </c>
      <c r="O44" s="33">
        <v>481</v>
      </c>
      <c r="P44" s="33">
        <v>-99</v>
      </c>
      <c r="Q44" s="33">
        <v>382</v>
      </c>
      <c r="R44" s="33">
        <v>380</v>
      </c>
      <c r="S44" s="33">
        <f t="shared" si="3"/>
        <v>2</v>
      </c>
      <c r="T44" s="38">
        <f t="shared" si="4"/>
        <v>1.0052631578947369</v>
      </c>
      <c r="U44" s="59">
        <f t="shared" si="5"/>
        <v>380</v>
      </c>
      <c r="V44" s="33">
        <v>0</v>
      </c>
      <c r="W44" s="33">
        <v>0</v>
      </c>
      <c r="X44" s="33"/>
      <c r="Y44" s="33"/>
      <c r="Z44" s="42"/>
      <c r="AA44" s="60"/>
      <c r="AB44" s="662">
        <v>26</v>
      </c>
      <c r="AC44" s="580"/>
      <c r="AD44" s="580">
        <f t="shared" si="6"/>
        <v>26</v>
      </c>
      <c r="AE44" s="580">
        <f t="shared" si="7"/>
        <v>408</v>
      </c>
      <c r="AF44" s="663">
        <f t="shared" si="8"/>
        <v>28</v>
      </c>
      <c r="AH44" s="19"/>
    </row>
    <row r="45" spans="2:35" ht="13" outlineLevel="2" x14ac:dyDescent="0.3">
      <c r="B45" s="31" t="s">
        <v>79</v>
      </c>
      <c r="C45" s="33">
        <v>279</v>
      </c>
      <c r="D45" s="33">
        <v>317</v>
      </c>
      <c r="E45" s="23">
        <v>36</v>
      </c>
      <c r="F45" s="23">
        <v>27</v>
      </c>
      <c r="G45" s="23">
        <v>-7</v>
      </c>
      <c r="H45" s="23">
        <v>0</v>
      </c>
      <c r="I45" s="23">
        <v>10</v>
      </c>
      <c r="J45" s="23">
        <v>0</v>
      </c>
      <c r="K45" s="23">
        <f t="shared" si="0"/>
        <v>66</v>
      </c>
      <c r="L45" s="33">
        <f t="shared" si="1"/>
        <v>27</v>
      </c>
      <c r="M45" s="33">
        <f t="shared" si="2"/>
        <v>65</v>
      </c>
      <c r="N45" s="33">
        <v>344</v>
      </c>
      <c r="O45" s="33">
        <v>764</v>
      </c>
      <c r="P45" s="33">
        <v>-426</v>
      </c>
      <c r="Q45" s="33">
        <v>338</v>
      </c>
      <c r="R45" s="33">
        <v>344</v>
      </c>
      <c r="S45" s="33">
        <f t="shared" si="3"/>
        <v>-6</v>
      </c>
      <c r="T45" s="38">
        <f t="shared" si="4"/>
        <v>0.98255813953488369</v>
      </c>
      <c r="U45" s="59">
        <f t="shared" si="5"/>
        <v>337</v>
      </c>
      <c r="V45" s="33">
        <v>-7</v>
      </c>
      <c r="W45" s="33">
        <v>-7</v>
      </c>
      <c r="X45" s="33"/>
      <c r="Y45" s="33"/>
      <c r="Z45" s="42"/>
      <c r="AA45" s="60"/>
      <c r="AB45" s="662"/>
      <c r="AC45" s="580"/>
      <c r="AD45" s="580">
        <f t="shared" si="6"/>
        <v>0</v>
      </c>
      <c r="AE45" s="580">
        <f t="shared" si="7"/>
        <v>338</v>
      </c>
      <c r="AF45" s="663">
        <f t="shared" si="8"/>
        <v>-6</v>
      </c>
      <c r="AH45" s="19"/>
    </row>
    <row r="46" spans="2:35" ht="13" outlineLevel="1" x14ac:dyDescent="0.3">
      <c r="B46" s="32" t="s">
        <v>80</v>
      </c>
      <c r="C46" s="34">
        <f t="shared" ref="C46:J46" si="40">SUBTOTAL(9,C43:C45)</f>
        <v>1047</v>
      </c>
      <c r="D46" s="34">
        <f t="shared" si="40"/>
        <v>815</v>
      </c>
      <c r="E46" s="24">
        <f t="shared" si="40"/>
        <v>-124</v>
      </c>
      <c r="F46" s="24">
        <f t="shared" si="40"/>
        <v>127</v>
      </c>
      <c r="G46" s="24">
        <f t="shared" si="40"/>
        <v>-18</v>
      </c>
      <c r="H46" s="24">
        <f t="shared" si="40"/>
        <v>0</v>
      </c>
      <c r="I46" s="24">
        <f t="shared" si="40"/>
        <v>-88</v>
      </c>
      <c r="J46" s="24">
        <f t="shared" si="40"/>
        <v>0</v>
      </c>
      <c r="K46" s="24">
        <f>SUM(E46:J46)</f>
        <v>-103</v>
      </c>
      <c r="L46" s="34">
        <f t="shared" ref="L46:L47" si="41">N46-D46</f>
        <v>126</v>
      </c>
      <c r="M46" s="34">
        <f t="shared" ref="M46:M47" si="42">N46-C46</f>
        <v>-106</v>
      </c>
      <c r="N46" s="34">
        <f>SUBTOTAL(9,N43:N45)</f>
        <v>941</v>
      </c>
      <c r="O46" s="34">
        <f>SUBTOTAL(9,O43:O45)</f>
        <v>1649</v>
      </c>
      <c r="P46" s="34">
        <f>SUBTOTAL(9,P43:P45)</f>
        <v>-797</v>
      </c>
      <c r="Q46" s="34">
        <f>SUBTOTAL(9,Q43:Q45)</f>
        <v>852</v>
      </c>
      <c r="R46" s="34">
        <f>SUBTOTAL(9,R43:R45)</f>
        <v>941</v>
      </c>
      <c r="S46" s="34">
        <f>Q46-R46</f>
        <v>-89</v>
      </c>
      <c r="T46" s="38">
        <f>IFERROR((Q46/N46)*100%,"∞")</f>
        <v>0.9054197662061636</v>
      </c>
      <c r="U46" s="59">
        <f>N46+V46</f>
        <v>872</v>
      </c>
      <c r="V46" s="34">
        <f>SUBTOTAL(9,V43:V45)</f>
        <v>-69</v>
      </c>
      <c r="W46" s="34">
        <f t="shared" ref="W46:AF46" si="43">SUBTOTAL(9,W43:W45)</f>
        <v>-69</v>
      </c>
      <c r="X46" s="34">
        <f t="shared" si="43"/>
        <v>0</v>
      </c>
      <c r="Y46" s="34">
        <f t="shared" si="43"/>
        <v>0</v>
      </c>
      <c r="Z46" s="34">
        <f t="shared" si="43"/>
        <v>0</v>
      </c>
      <c r="AA46" s="34">
        <f t="shared" si="43"/>
        <v>0</v>
      </c>
      <c r="AB46" s="641">
        <f t="shared" si="43"/>
        <v>26</v>
      </c>
      <c r="AC46" s="641">
        <f t="shared" si="43"/>
        <v>0</v>
      </c>
      <c r="AD46" s="641">
        <f t="shared" si="43"/>
        <v>26</v>
      </c>
      <c r="AE46" s="641">
        <f t="shared" si="43"/>
        <v>878</v>
      </c>
      <c r="AF46" s="641">
        <f t="shared" si="43"/>
        <v>-63</v>
      </c>
      <c r="AH46" s="19"/>
    </row>
    <row r="47" spans="2:35" ht="13.5" customHeight="1" thickBot="1" x14ac:dyDescent="0.35">
      <c r="B47" s="53" t="s">
        <v>81</v>
      </c>
      <c r="C47" s="35">
        <f t="shared" ref="C47:J47" si="44">SUBTOTAL(9,C39:C46)</f>
        <v>1918</v>
      </c>
      <c r="D47" s="35">
        <f t="shared" si="44"/>
        <v>1610</v>
      </c>
      <c r="E47" s="25">
        <f t="shared" si="44"/>
        <v>-124</v>
      </c>
      <c r="F47" s="25">
        <f t="shared" si="44"/>
        <v>259</v>
      </c>
      <c r="G47" s="25">
        <f t="shared" si="44"/>
        <v>-35</v>
      </c>
      <c r="H47" s="25">
        <f t="shared" si="44"/>
        <v>0</v>
      </c>
      <c r="I47" s="25">
        <f t="shared" si="44"/>
        <v>-148</v>
      </c>
      <c r="J47" s="25">
        <f t="shared" si="44"/>
        <v>0</v>
      </c>
      <c r="K47" s="25">
        <f>SUM(E47:J47)</f>
        <v>-48</v>
      </c>
      <c r="L47" s="35">
        <f t="shared" si="41"/>
        <v>259</v>
      </c>
      <c r="M47" s="35">
        <f t="shared" si="42"/>
        <v>-49</v>
      </c>
      <c r="N47" s="35">
        <f>SUBTOTAL(9,N39:N46)</f>
        <v>1869</v>
      </c>
      <c r="O47" s="35">
        <f>SUBTOTAL(9,O39:O46)</f>
        <v>2688</v>
      </c>
      <c r="P47" s="35">
        <f>SUBTOTAL(9,P39:P46)</f>
        <v>-1074</v>
      </c>
      <c r="Q47" s="35">
        <f>SUBTOTAL(9,Q39:Q46)</f>
        <v>1615</v>
      </c>
      <c r="R47" s="35">
        <f>SUBTOTAL(9,R39:R46)</f>
        <v>1869</v>
      </c>
      <c r="S47" s="35">
        <f>Q47-R47</f>
        <v>-254</v>
      </c>
      <c r="T47" s="39">
        <f>IFERROR((Q47/N47)*100%,"∞")</f>
        <v>0.86409844836811134</v>
      </c>
      <c r="U47" s="54">
        <f>N47+V47</f>
        <v>1669</v>
      </c>
      <c r="V47" s="35">
        <f>SUBTOTAL(9,V39:V46)</f>
        <v>-200</v>
      </c>
      <c r="W47" s="35">
        <f t="shared" ref="W47:AF47" si="45">SUBTOTAL(9,W39:W46)</f>
        <v>-200</v>
      </c>
      <c r="X47" s="35">
        <f t="shared" si="45"/>
        <v>0</v>
      </c>
      <c r="Y47" s="35">
        <f t="shared" si="45"/>
        <v>0</v>
      </c>
      <c r="Z47" s="35">
        <f t="shared" si="45"/>
        <v>0</v>
      </c>
      <c r="AA47" s="35">
        <f t="shared" si="45"/>
        <v>0</v>
      </c>
      <c r="AB47" s="664">
        <f t="shared" si="45"/>
        <v>26</v>
      </c>
      <c r="AC47" s="664">
        <f t="shared" si="45"/>
        <v>0</v>
      </c>
      <c r="AD47" s="664">
        <f t="shared" si="45"/>
        <v>26</v>
      </c>
      <c r="AE47" s="664">
        <f t="shared" si="45"/>
        <v>1641</v>
      </c>
      <c r="AF47" s="664">
        <f t="shared" si="45"/>
        <v>-228</v>
      </c>
      <c r="AH47" s="19">
        <f t="shared" si="35"/>
        <v>-28</v>
      </c>
    </row>
    <row r="48" spans="2:35" ht="13.5" outlineLevel="2" thickTop="1" x14ac:dyDescent="0.3">
      <c r="B48" s="31" t="s">
        <v>82</v>
      </c>
      <c r="C48" s="33">
        <v>-677</v>
      </c>
      <c r="D48" s="33">
        <v>-677</v>
      </c>
      <c r="E48" s="23">
        <v>0</v>
      </c>
      <c r="F48" s="23">
        <v>0</v>
      </c>
      <c r="G48" s="23">
        <v>0</v>
      </c>
      <c r="H48" s="23">
        <v>0</v>
      </c>
      <c r="I48" s="23">
        <v>0</v>
      </c>
      <c r="J48" s="23">
        <v>0</v>
      </c>
      <c r="K48" s="23">
        <f t="shared" si="0"/>
        <v>0</v>
      </c>
      <c r="L48" s="33">
        <f t="shared" si="1"/>
        <v>0</v>
      </c>
      <c r="M48" s="33">
        <f t="shared" si="2"/>
        <v>0</v>
      </c>
      <c r="N48" s="33">
        <v>-677</v>
      </c>
      <c r="O48" s="33">
        <v>4758</v>
      </c>
      <c r="P48" s="33">
        <v>-5683</v>
      </c>
      <c r="Q48" s="33">
        <v>-925</v>
      </c>
      <c r="R48" s="33">
        <v>-677</v>
      </c>
      <c r="S48" s="33">
        <f t="shared" si="3"/>
        <v>-248</v>
      </c>
      <c r="T48" s="38">
        <f t="shared" si="4"/>
        <v>1.3663220088626293</v>
      </c>
      <c r="U48" s="59">
        <f t="shared" si="5"/>
        <v>-900</v>
      </c>
      <c r="V48" s="33">
        <v>-223</v>
      </c>
      <c r="W48" s="33">
        <v>-223</v>
      </c>
      <c r="X48" s="33"/>
      <c r="Y48" s="33"/>
      <c r="Z48" s="42"/>
      <c r="AA48" s="60"/>
      <c r="AB48" s="662"/>
      <c r="AC48" s="580"/>
      <c r="AD48" s="580">
        <f t="shared" si="6"/>
        <v>0</v>
      </c>
      <c r="AE48" s="580">
        <f t="shared" si="7"/>
        <v>-925</v>
      </c>
      <c r="AF48" s="663">
        <f t="shared" si="8"/>
        <v>-248</v>
      </c>
      <c r="AH48" s="19">
        <f t="shared" si="35"/>
        <v>-25</v>
      </c>
      <c r="AI48" t="s">
        <v>633</v>
      </c>
    </row>
    <row r="49" spans="2:37" ht="13" outlineLevel="2" x14ac:dyDescent="0.3">
      <c r="B49" s="31" t="s">
        <v>83</v>
      </c>
      <c r="C49" s="33">
        <v>5803</v>
      </c>
      <c r="D49" s="33">
        <v>5803</v>
      </c>
      <c r="E49" s="23">
        <v>0</v>
      </c>
      <c r="F49" s="23">
        <v>100</v>
      </c>
      <c r="G49" s="23">
        <v>0</v>
      </c>
      <c r="H49" s="23">
        <v>0</v>
      </c>
      <c r="I49" s="23">
        <v>0</v>
      </c>
      <c r="J49" s="23">
        <v>0</v>
      </c>
      <c r="K49" s="23">
        <f t="shared" si="0"/>
        <v>100</v>
      </c>
      <c r="L49" s="33">
        <f t="shared" si="1"/>
        <v>100</v>
      </c>
      <c r="M49" s="33">
        <f t="shared" si="2"/>
        <v>100</v>
      </c>
      <c r="N49" s="33">
        <v>5903</v>
      </c>
      <c r="O49" s="33">
        <v>7893</v>
      </c>
      <c r="P49" s="33">
        <v>-1879</v>
      </c>
      <c r="Q49" s="33">
        <v>6014</v>
      </c>
      <c r="R49" s="33">
        <v>5903</v>
      </c>
      <c r="S49" s="33">
        <f t="shared" si="3"/>
        <v>111</v>
      </c>
      <c r="T49" s="38">
        <f t="shared" si="4"/>
        <v>1.0188039979671353</v>
      </c>
      <c r="U49" s="59">
        <f t="shared" si="5"/>
        <v>6053</v>
      </c>
      <c r="V49" s="33">
        <v>150</v>
      </c>
      <c r="W49" s="33">
        <v>150</v>
      </c>
      <c r="X49" s="33"/>
      <c r="Y49" s="33"/>
      <c r="Z49" s="42"/>
      <c r="AA49" s="60"/>
      <c r="AB49" s="662"/>
      <c r="AC49" s="580"/>
      <c r="AD49" s="580">
        <f t="shared" si="6"/>
        <v>0</v>
      </c>
      <c r="AE49" s="580">
        <f t="shared" si="7"/>
        <v>6014</v>
      </c>
      <c r="AF49" s="663">
        <f t="shared" si="8"/>
        <v>111</v>
      </c>
      <c r="AH49" s="19">
        <f t="shared" si="35"/>
        <v>-39</v>
      </c>
    </row>
    <row r="50" spans="2:37" ht="13" outlineLevel="2" x14ac:dyDescent="0.3">
      <c r="B50" s="31" t="s">
        <v>84</v>
      </c>
      <c r="C50" s="33">
        <v>6021</v>
      </c>
      <c r="D50" s="33">
        <v>6021</v>
      </c>
      <c r="E50" s="23">
        <v>0</v>
      </c>
      <c r="F50" s="23">
        <v>0</v>
      </c>
      <c r="G50" s="23">
        <v>0</v>
      </c>
      <c r="H50" s="23">
        <v>0</v>
      </c>
      <c r="I50" s="23">
        <v>0</v>
      </c>
      <c r="J50" s="23">
        <v>0</v>
      </c>
      <c r="K50" s="23">
        <f t="shared" si="0"/>
        <v>0</v>
      </c>
      <c r="L50" s="33">
        <f t="shared" si="1"/>
        <v>0</v>
      </c>
      <c r="M50" s="33">
        <f t="shared" si="2"/>
        <v>0</v>
      </c>
      <c r="N50" s="33">
        <v>6021</v>
      </c>
      <c r="O50" s="33">
        <v>5985</v>
      </c>
      <c r="P50" s="33">
        <v>3</v>
      </c>
      <c r="Q50" s="33">
        <v>5988</v>
      </c>
      <c r="R50" s="33">
        <v>6021</v>
      </c>
      <c r="S50" s="33">
        <f t="shared" si="3"/>
        <v>-33</v>
      </c>
      <c r="T50" s="38">
        <f t="shared" si="4"/>
        <v>0.99451918285999008</v>
      </c>
      <c r="U50" s="59">
        <f t="shared" si="5"/>
        <v>6054</v>
      </c>
      <c r="V50" s="33">
        <v>33</v>
      </c>
      <c r="W50" s="33">
        <v>33</v>
      </c>
      <c r="X50" s="33"/>
      <c r="Y50" s="33"/>
      <c r="Z50" s="42"/>
      <c r="AA50" s="60"/>
      <c r="AB50" s="662"/>
      <c r="AC50" s="580"/>
      <c r="AD50" s="580">
        <f t="shared" si="6"/>
        <v>0</v>
      </c>
      <c r="AE50" s="580">
        <f t="shared" si="7"/>
        <v>5988</v>
      </c>
      <c r="AF50" s="663">
        <f t="shared" si="8"/>
        <v>-33</v>
      </c>
      <c r="AH50" s="19">
        <f t="shared" si="35"/>
        <v>-66</v>
      </c>
    </row>
    <row r="51" spans="2:37" ht="13" outlineLevel="2" x14ac:dyDescent="0.3">
      <c r="B51" s="31" t="s">
        <v>85</v>
      </c>
      <c r="C51" s="33">
        <v>3196</v>
      </c>
      <c r="D51" s="33">
        <v>3196</v>
      </c>
      <c r="E51" s="23">
        <v>0</v>
      </c>
      <c r="F51" s="23">
        <v>0</v>
      </c>
      <c r="G51" s="23">
        <v>0</v>
      </c>
      <c r="H51" s="23">
        <v>0</v>
      </c>
      <c r="I51" s="23">
        <v>0</v>
      </c>
      <c r="J51" s="23">
        <v>0</v>
      </c>
      <c r="K51" s="23">
        <f t="shared" si="0"/>
        <v>0</v>
      </c>
      <c r="L51" s="33">
        <f t="shared" si="1"/>
        <v>0</v>
      </c>
      <c r="M51" s="33">
        <f t="shared" si="2"/>
        <v>0</v>
      </c>
      <c r="N51" s="33">
        <v>3196</v>
      </c>
      <c r="O51" s="33">
        <v>3309</v>
      </c>
      <c r="P51" s="33">
        <v>-89</v>
      </c>
      <c r="Q51" s="33">
        <v>3220</v>
      </c>
      <c r="R51" s="33">
        <v>3196</v>
      </c>
      <c r="S51" s="33">
        <f t="shared" si="3"/>
        <v>24</v>
      </c>
      <c r="T51" s="38">
        <f t="shared" si="4"/>
        <v>1.0075093867334168</v>
      </c>
      <c r="U51" s="59">
        <f t="shared" si="5"/>
        <v>3196</v>
      </c>
      <c r="V51" s="33">
        <v>0</v>
      </c>
      <c r="W51" s="33">
        <v>0</v>
      </c>
      <c r="X51" s="33"/>
      <c r="Y51" s="33"/>
      <c r="Z51" s="42"/>
      <c r="AA51" s="60"/>
      <c r="AB51" s="662"/>
      <c r="AC51" s="580"/>
      <c r="AD51" s="580">
        <f t="shared" si="6"/>
        <v>0</v>
      </c>
      <c r="AE51" s="580">
        <f t="shared" si="7"/>
        <v>3220</v>
      </c>
      <c r="AF51" s="663">
        <f t="shared" si="8"/>
        <v>24</v>
      </c>
      <c r="AH51" s="19">
        <f t="shared" si="35"/>
        <v>24</v>
      </c>
    </row>
    <row r="52" spans="2:37" ht="13" outlineLevel="2" x14ac:dyDescent="0.3">
      <c r="B52" s="31" t="s">
        <v>86</v>
      </c>
      <c r="C52" s="33">
        <v>263</v>
      </c>
      <c r="D52" s="33">
        <v>263</v>
      </c>
      <c r="E52" s="23">
        <v>0</v>
      </c>
      <c r="F52" s="23">
        <v>0</v>
      </c>
      <c r="G52" s="23">
        <v>0</v>
      </c>
      <c r="H52" s="23">
        <v>0</v>
      </c>
      <c r="I52" s="23">
        <v>0</v>
      </c>
      <c r="J52" s="23">
        <v>0</v>
      </c>
      <c r="K52" s="23">
        <f t="shared" si="0"/>
        <v>0</v>
      </c>
      <c r="L52" s="33">
        <f t="shared" si="1"/>
        <v>0</v>
      </c>
      <c r="M52" s="33">
        <f t="shared" si="2"/>
        <v>0</v>
      </c>
      <c r="N52" s="33">
        <v>263</v>
      </c>
      <c r="O52" s="33">
        <v>262</v>
      </c>
      <c r="P52" s="33">
        <v>1</v>
      </c>
      <c r="Q52" s="33">
        <v>263</v>
      </c>
      <c r="R52" s="33">
        <v>263</v>
      </c>
      <c r="S52" s="33">
        <f t="shared" si="3"/>
        <v>0</v>
      </c>
      <c r="T52" s="38">
        <f t="shared" si="4"/>
        <v>1</v>
      </c>
      <c r="U52" s="59">
        <f t="shared" si="5"/>
        <v>263</v>
      </c>
      <c r="V52" s="33">
        <v>0</v>
      </c>
      <c r="W52" s="33">
        <v>0</v>
      </c>
      <c r="X52" s="33"/>
      <c r="Y52" s="33"/>
      <c r="Z52" s="42"/>
      <c r="AA52" s="60"/>
      <c r="AB52" s="662"/>
      <c r="AC52" s="580"/>
      <c r="AD52" s="580">
        <f t="shared" si="6"/>
        <v>0</v>
      </c>
      <c r="AE52" s="580">
        <f t="shared" si="7"/>
        <v>263</v>
      </c>
      <c r="AF52" s="663">
        <f t="shared" si="8"/>
        <v>0</v>
      </c>
      <c r="AH52" s="19">
        <f t="shared" si="35"/>
        <v>0</v>
      </c>
    </row>
    <row r="53" spans="2:37" ht="13" outlineLevel="2" x14ac:dyDescent="0.3">
      <c r="B53" s="31" t="s">
        <v>87</v>
      </c>
      <c r="C53" s="33">
        <v>0</v>
      </c>
      <c r="D53" s="33">
        <v>0</v>
      </c>
      <c r="E53" s="23">
        <v>0</v>
      </c>
      <c r="F53" s="23">
        <v>0</v>
      </c>
      <c r="G53" s="23">
        <v>0</v>
      </c>
      <c r="H53" s="23">
        <v>0</v>
      </c>
      <c r="I53" s="23">
        <v>0</v>
      </c>
      <c r="J53" s="23">
        <v>0</v>
      </c>
      <c r="K53" s="23">
        <f t="shared" si="0"/>
        <v>0</v>
      </c>
      <c r="L53" s="33">
        <f t="shared" si="1"/>
        <v>0</v>
      </c>
      <c r="M53" s="33">
        <f t="shared" si="2"/>
        <v>0</v>
      </c>
      <c r="N53" s="33">
        <v>0</v>
      </c>
      <c r="O53" s="33">
        <v>2080</v>
      </c>
      <c r="P53" s="33">
        <v>-2080</v>
      </c>
      <c r="Q53" s="33">
        <v>0</v>
      </c>
      <c r="R53" s="33">
        <v>0</v>
      </c>
      <c r="S53" s="33">
        <f t="shared" si="3"/>
        <v>0</v>
      </c>
      <c r="T53" s="38" t="str">
        <f t="shared" si="4"/>
        <v>∞</v>
      </c>
      <c r="U53" s="59">
        <f t="shared" si="5"/>
        <v>0</v>
      </c>
      <c r="V53" s="33">
        <v>0</v>
      </c>
      <c r="W53" s="33">
        <v>0</v>
      </c>
      <c r="X53" s="33"/>
      <c r="Y53" s="33"/>
      <c r="Z53" s="42"/>
      <c r="AA53" s="60"/>
      <c r="AB53" s="662"/>
      <c r="AC53" s="580"/>
      <c r="AD53" s="580">
        <f t="shared" si="6"/>
        <v>0</v>
      </c>
      <c r="AE53" s="580">
        <f t="shared" si="7"/>
        <v>0</v>
      </c>
      <c r="AF53" s="663">
        <f t="shared" si="8"/>
        <v>0</v>
      </c>
      <c r="AH53" s="19">
        <f t="shared" si="35"/>
        <v>0</v>
      </c>
    </row>
    <row r="54" spans="2:37" ht="13" outlineLevel="2" x14ac:dyDescent="0.3">
      <c r="B54" s="31" t="s">
        <v>88</v>
      </c>
      <c r="C54" s="33">
        <v>-1960</v>
      </c>
      <c r="D54" s="33">
        <v>-1960</v>
      </c>
      <c r="E54" s="23">
        <v>0</v>
      </c>
      <c r="F54" s="23">
        <v>0</v>
      </c>
      <c r="G54" s="23">
        <v>0</v>
      </c>
      <c r="H54" s="23">
        <v>0</v>
      </c>
      <c r="I54" s="23">
        <v>0</v>
      </c>
      <c r="J54" s="23">
        <v>0</v>
      </c>
      <c r="K54" s="23">
        <f t="shared" si="0"/>
        <v>0</v>
      </c>
      <c r="L54" s="33">
        <f t="shared" si="1"/>
        <v>2149</v>
      </c>
      <c r="M54" s="33">
        <f t="shared" si="2"/>
        <v>2149</v>
      </c>
      <c r="N54" s="33">
        <f>-1960+2149</f>
        <v>189</v>
      </c>
      <c r="O54" s="33">
        <v>113</v>
      </c>
      <c r="P54" s="33">
        <v>0</v>
      </c>
      <c r="Q54" s="33">
        <v>113</v>
      </c>
      <c r="R54" s="33">
        <f>-1960+2149</f>
        <v>189</v>
      </c>
      <c r="S54" s="33">
        <f t="shared" si="3"/>
        <v>-76</v>
      </c>
      <c r="T54" s="38">
        <f t="shared" si="4"/>
        <v>0.59788359788359791</v>
      </c>
      <c r="U54" s="59">
        <f t="shared" si="5"/>
        <v>189</v>
      </c>
      <c r="V54" s="33">
        <v>0</v>
      </c>
      <c r="W54" s="33">
        <v>0</v>
      </c>
      <c r="X54" s="33"/>
      <c r="Y54" s="33"/>
      <c r="Z54" s="42"/>
      <c r="AA54" s="60"/>
      <c r="AB54" s="662"/>
      <c r="AC54" s="580"/>
      <c r="AD54" s="580">
        <f t="shared" si="6"/>
        <v>0</v>
      </c>
      <c r="AE54" s="580">
        <f t="shared" si="7"/>
        <v>113</v>
      </c>
      <c r="AF54" s="663">
        <f t="shared" si="8"/>
        <v>-76</v>
      </c>
      <c r="AH54" s="19">
        <f t="shared" si="35"/>
        <v>-76</v>
      </c>
      <c r="AK54" t="s">
        <v>634</v>
      </c>
    </row>
    <row r="55" spans="2:37" ht="13" outlineLevel="2" x14ac:dyDescent="0.3">
      <c r="B55" s="31" t="s">
        <v>89</v>
      </c>
      <c r="C55" s="33">
        <v>-1086</v>
      </c>
      <c r="D55" s="33">
        <v>-1086</v>
      </c>
      <c r="E55" s="23">
        <v>0</v>
      </c>
      <c r="F55" s="23">
        <v>0</v>
      </c>
      <c r="G55" s="23">
        <v>0</v>
      </c>
      <c r="H55" s="23">
        <v>0</v>
      </c>
      <c r="I55" s="23">
        <v>0</v>
      </c>
      <c r="J55" s="23">
        <v>0</v>
      </c>
      <c r="K55" s="23">
        <f t="shared" si="0"/>
        <v>0</v>
      </c>
      <c r="L55" s="33">
        <f t="shared" si="1"/>
        <v>0</v>
      </c>
      <c r="M55" s="33">
        <f t="shared" si="2"/>
        <v>0</v>
      </c>
      <c r="N55" s="33">
        <v>-1086</v>
      </c>
      <c r="O55" s="33">
        <v>818</v>
      </c>
      <c r="P55" s="33">
        <v>-12</v>
      </c>
      <c r="Q55" s="33">
        <v>806</v>
      </c>
      <c r="R55" s="33">
        <v>-1086</v>
      </c>
      <c r="S55" s="33">
        <f t="shared" si="3"/>
        <v>1892</v>
      </c>
      <c r="T55" s="38">
        <f t="shared" si="4"/>
        <v>-0.74217311233885819</v>
      </c>
      <c r="U55" s="59">
        <f t="shared" si="5"/>
        <v>-1086</v>
      </c>
      <c r="V55" s="33">
        <v>0</v>
      </c>
      <c r="W55" s="33">
        <v>0</v>
      </c>
      <c r="X55" s="33"/>
      <c r="Y55" s="33"/>
      <c r="Z55" s="42"/>
      <c r="AA55" s="60"/>
      <c r="AB55" s="662"/>
      <c r="AC55" s="580"/>
      <c r="AD55" s="580">
        <f t="shared" si="6"/>
        <v>0</v>
      </c>
      <c r="AE55" s="580">
        <f t="shared" si="7"/>
        <v>806</v>
      </c>
      <c r="AF55" s="663">
        <f t="shared" si="8"/>
        <v>1892</v>
      </c>
      <c r="AH55" s="19">
        <f t="shared" si="35"/>
        <v>1892</v>
      </c>
      <c r="AI55" s="19" t="s">
        <v>175</v>
      </c>
    </row>
    <row r="56" spans="2:37" ht="13" outlineLevel="2" x14ac:dyDescent="0.3">
      <c r="B56" s="31" t="s">
        <v>90</v>
      </c>
      <c r="C56" s="33">
        <v>71</v>
      </c>
      <c r="D56" s="33">
        <v>71</v>
      </c>
      <c r="E56" s="23">
        <v>0</v>
      </c>
      <c r="F56" s="23">
        <v>0</v>
      </c>
      <c r="G56" s="23">
        <v>0</v>
      </c>
      <c r="H56" s="23">
        <v>0</v>
      </c>
      <c r="I56" s="23">
        <v>0</v>
      </c>
      <c r="J56" s="23">
        <v>0</v>
      </c>
      <c r="K56" s="23">
        <f t="shared" si="0"/>
        <v>0</v>
      </c>
      <c r="L56" s="33">
        <f t="shared" si="1"/>
        <v>0</v>
      </c>
      <c r="M56" s="33">
        <f t="shared" si="2"/>
        <v>0</v>
      </c>
      <c r="N56" s="33">
        <v>71</v>
      </c>
      <c r="O56" s="33">
        <v>162</v>
      </c>
      <c r="P56" s="33">
        <v>-90</v>
      </c>
      <c r="Q56" s="33">
        <v>72</v>
      </c>
      <c r="R56" s="33">
        <v>71</v>
      </c>
      <c r="S56" s="33">
        <f t="shared" si="3"/>
        <v>1</v>
      </c>
      <c r="T56" s="38">
        <f t="shared" si="4"/>
        <v>1.0140845070422535</v>
      </c>
      <c r="U56" s="59">
        <f t="shared" si="5"/>
        <v>71</v>
      </c>
      <c r="V56" s="33">
        <v>0</v>
      </c>
      <c r="W56" s="33">
        <v>0</v>
      </c>
      <c r="X56" s="33"/>
      <c r="Y56" s="33"/>
      <c r="Z56" s="42"/>
      <c r="AA56" s="60"/>
      <c r="AB56" s="662"/>
      <c r="AC56" s="580"/>
      <c r="AD56" s="580">
        <f t="shared" si="6"/>
        <v>0</v>
      </c>
      <c r="AE56" s="580">
        <f t="shared" si="7"/>
        <v>72</v>
      </c>
      <c r="AF56" s="663">
        <f t="shared" si="8"/>
        <v>1</v>
      </c>
      <c r="AH56" s="19">
        <f t="shared" si="35"/>
        <v>1</v>
      </c>
    </row>
    <row r="57" spans="2:37" ht="13" outlineLevel="2" x14ac:dyDescent="0.3">
      <c r="B57" s="31" t="s">
        <v>91</v>
      </c>
      <c r="C57" s="33">
        <v>-226</v>
      </c>
      <c r="D57" s="33">
        <v>83</v>
      </c>
      <c r="E57" s="23">
        <v>0</v>
      </c>
      <c r="F57" s="23">
        <v>0</v>
      </c>
      <c r="G57" s="23">
        <v>309</v>
      </c>
      <c r="H57" s="23">
        <v>0</v>
      </c>
      <c r="I57" s="23">
        <v>0</v>
      </c>
      <c r="J57" s="23">
        <v>0</v>
      </c>
      <c r="K57" s="23">
        <f t="shared" si="0"/>
        <v>309</v>
      </c>
      <c r="L57" s="33">
        <f t="shared" si="1"/>
        <v>0</v>
      </c>
      <c r="M57" s="33">
        <f t="shared" si="2"/>
        <v>309</v>
      </c>
      <c r="N57" s="33">
        <v>83</v>
      </c>
      <c r="O57" s="33">
        <v>637</v>
      </c>
      <c r="P57" s="33">
        <v>-398</v>
      </c>
      <c r="Q57" s="33">
        <v>239</v>
      </c>
      <c r="R57" s="33">
        <v>83</v>
      </c>
      <c r="S57" s="33">
        <f t="shared" si="3"/>
        <v>156</v>
      </c>
      <c r="T57" s="38">
        <f t="shared" si="4"/>
        <v>2.8795180722891565</v>
      </c>
      <c r="U57" s="59">
        <f t="shared" si="5"/>
        <v>72</v>
      </c>
      <c r="V57" s="33">
        <v>-11</v>
      </c>
      <c r="W57" s="33">
        <v>-11</v>
      </c>
      <c r="X57" s="33"/>
      <c r="Y57" s="33"/>
      <c r="Z57" s="42"/>
      <c r="AA57" s="60"/>
      <c r="AB57" s="662"/>
      <c r="AC57" s="580"/>
      <c r="AD57" s="580">
        <f t="shared" si="6"/>
        <v>0</v>
      </c>
      <c r="AE57" s="580">
        <f t="shared" si="7"/>
        <v>239</v>
      </c>
      <c r="AF57" s="663">
        <f t="shared" si="8"/>
        <v>156</v>
      </c>
      <c r="AH57" s="19">
        <f t="shared" si="35"/>
        <v>167</v>
      </c>
    </row>
    <row r="58" spans="2:37" ht="13" outlineLevel="1" x14ac:dyDescent="0.3">
      <c r="B58" s="32" t="s">
        <v>92</v>
      </c>
      <c r="C58" s="34">
        <f t="shared" ref="C58:J58" si="46">SUBTOTAL(9,C48:C57)</f>
        <v>11405</v>
      </c>
      <c r="D58" s="34">
        <f t="shared" si="46"/>
        <v>11714</v>
      </c>
      <c r="E58" s="24">
        <f t="shared" si="46"/>
        <v>0</v>
      </c>
      <c r="F58" s="24">
        <f t="shared" si="46"/>
        <v>100</v>
      </c>
      <c r="G58" s="24">
        <f t="shared" si="46"/>
        <v>309</v>
      </c>
      <c r="H58" s="24">
        <f t="shared" si="46"/>
        <v>0</v>
      </c>
      <c r="I58" s="24">
        <f t="shared" si="46"/>
        <v>0</v>
      </c>
      <c r="J58" s="24">
        <f t="shared" si="46"/>
        <v>0</v>
      </c>
      <c r="K58" s="24">
        <f>SUM(E58:J58)</f>
        <v>409</v>
      </c>
      <c r="L58" s="34">
        <f t="shared" ref="L58:L59" si="47">N58-D58</f>
        <v>2249</v>
      </c>
      <c r="M58" s="34">
        <f t="shared" ref="M58:M59" si="48">N58-C58</f>
        <v>2558</v>
      </c>
      <c r="N58" s="34">
        <f>SUBTOTAL(9,N48:N57)</f>
        <v>13963</v>
      </c>
      <c r="O58" s="34">
        <f>SUBTOTAL(9,O48:O57)</f>
        <v>26017</v>
      </c>
      <c r="P58" s="34">
        <f>SUBTOTAL(9,P48:P57)</f>
        <v>-10227</v>
      </c>
      <c r="Q58" s="34">
        <f>SUBTOTAL(9,Q48:Q57)</f>
        <v>15790</v>
      </c>
      <c r="R58" s="34">
        <f>SUBTOTAL(9,R48:R57)</f>
        <v>13963</v>
      </c>
      <c r="S58" s="34">
        <f>Q58-R58</f>
        <v>1827</v>
      </c>
      <c r="T58" s="38">
        <f>IFERROR((Q58/N58)*100%,"∞")</f>
        <v>1.1308458067750484</v>
      </c>
      <c r="U58" s="59">
        <f>N58+V58</f>
        <v>13912</v>
      </c>
      <c r="V58" s="34">
        <f>SUBTOTAL(9,V48:V57)</f>
        <v>-51</v>
      </c>
      <c r="W58" s="34">
        <f t="shared" ref="W58:AF58" si="49">SUBTOTAL(9,W48:W57)</f>
        <v>-51</v>
      </c>
      <c r="X58" s="34">
        <f t="shared" si="49"/>
        <v>0</v>
      </c>
      <c r="Y58" s="34">
        <f t="shared" si="49"/>
        <v>0</v>
      </c>
      <c r="Z58" s="34">
        <f t="shared" si="49"/>
        <v>0</v>
      </c>
      <c r="AA58" s="34">
        <f t="shared" si="49"/>
        <v>0</v>
      </c>
      <c r="AB58" s="641">
        <f t="shared" si="49"/>
        <v>0</v>
      </c>
      <c r="AC58" s="641">
        <f t="shared" si="49"/>
        <v>0</v>
      </c>
      <c r="AD58" s="641">
        <f t="shared" si="49"/>
        <v>0</v>
      </c>
      <c r="AE58" s="641">
        <f t="shared" si="49"/>
        <v>15790</v>
      </c>
      <c r="AF58" s="641">
        <f t="shared" si="49"/>
        <v>1827</v>
      </c>
      <c r="AH58" s="19">
        <f t="shared" si="35"/>
        <v>1878</v>
      </c>
    </row>
    <row r="59" spans="2:37" ht="13.5" customHeight="1" thickBot="1" x14ac:dyDescent="0.35">
      <c r="B59" s="53" t="s">
        <v>93</v>
      </c>
      <c r="C59" s="35">
        <f t="shared" ref="C59:J59" si="50">SUBTOTAL(9,C48:C58)</f>
        <v>11405</v>
      </c>
      <c r="D59" s="35">
        <f t="shared" si="50"/>
        <v>11714</v>
      </c>
      <c r="E59" s="25">
        <f t="shared" si="50"/>
        <v>0</v>
      </c>
      <c r="F59" s="25">
        <f t="shared" si="50"/>
        <v>100</v>
      </c>
      <c r="G59" s="25">
        <f t="shared" si="50"/>
        <v>309</v>
      </c>
      <c r="H59" s="25">
        <f t="shared" si="50"/>
        <v>0</v>
      </c>
      <c r="I59" s="25">
        <f t="shared" si="50"/>
        <v>0</v>
      </c>
      <c r="J59" s="25">
        <f t="shared" si="50"/>
        <v>0</v>
      </c>
      <c r="K59" s="25">
        <f>SUM(E59:J59)</f>
        <v>409</v>
      </c>
      <c r="L59" s="35">
        <f t="shared" si="47"/>
        <v>2249</v>
      </c>
      <c r="M59" s="35">
        <f t="shared" si="48"/>
        <v>2558</v>
      </c>
      <c r="N59" s="35">
        <f>SUBTOTAL(9,N48:N58)</f>
        <v>13963</v>
      </c>
      <c r="O59" s="35">
        <f>SUBTOTAL(9,O48:O58)</f>
        <v>26017</v>
      </c>
      <c r="P59" s="35">
        <f>SUBTOTAL(9,P48:P58)</f>
        <v>-10227</v>
      </c>
      <c r="Q59" s="35">
        <f>SUBTOTAL(9,Q48:Q58)</f>
        <v>15790</v>
      </c>
      <c r="R59" s="35">
        <f>SUBTOTAL(9,R48:R58)</f>
        <v>13963</v>
      </c>
      <c r="S59" s="35">
        <f>Q59-R59</f>
        <v>1827</v>
      </c>
      <c r="T59" s="39">
        <f>IFERROR((Q59/N59)*100%,"∞")</f>
        <v>1.1308458067750484</v>
      </c>
      <c r="U59" s="54">
        <f>N59+V59</f>
        <v>13912</v>
      </c>
      <c r="V59" s="35">
        <f>SUBTOTAL(9,V48:V58)</f>
        <v>-51</v>
      </c>
      <c r="W59" s="35">
        <f t="shared" ref="W59:AF59" si="51">SUBTOTAL(9,W48:W58)</f>
        <v>-51</v>
      </c>
      <c r="X59" s="35">
        <f t="shared" si="51"/>
        <v>0</v>
      </c>
      <c r="Y59" s="35">
        <f t="shared" si="51"/>
        <v>0</v>
      </c>
      <c r="Z59" s="35">
        <f t="shared" si="51"/>
        <v>0</v>
      </c>
      <c r="AA59" s="35">
        <f t="shared" si="51"/>
        <v>0</v>
      </c>
      <c r="AB59" s="664">
        <f t="shared" si="51"/>
        <v>0</v>
      </c>
      <c r="AC59" s="664">
        <f t="shared" si="51"/>
        <v>0</v>
      </c>
      <c r="AD59" s="664">
        <f t="shared" si="51"/>
        <v>0</v>
      </c>
      <c r="AE59" s="664">
        <f t="shared" si="51"/>
        <v>15790</v>
      </c>
      <c r="AF59" s="664">
        <f t="shared" si="51"/>
        <v>1827</v>
      </c>
      <c r="AH59" s="19">
        <f t="shared" si="35"/>
        <v>1878</v>
      </c>
    </row>
    <row r="60" spans="2:37" ht="13.5" outlineLevel="2" thickTop="1" x14ac:dyDescent="0.3">
      <c r="B60" s="31" t="s">
        <v>94</v>
      </c>
      <c r="C60" s="33">
        <v>250</v>
      </c>
      <c r="D60" s="33">
        <v>356</v>
      </c>
      <c r="E60" s="23">
        <v>60</v>
      </c>
      <c r="F60" s="23">
        <v>0</v>
      </c>
      <c r="G60" s="23">
        <v>2</v>
      </c>
      <c r="H60" s="23">
        <v>-8</v>
      </c>
      <c r="I60" s="23">
        <v>44</v>
      </c>
      <c r="J60" s="23">
        <v>-60</v>
      </c>
      <c r="K60" s="23">
        <f t="shared" si="0"/>
        <v>38</v>
      </c>
      <c r="L60" s="33">
        <f t="shared" si="1"/>
        <v>-68</v>
      </c>
      <c r="M60" s="33">
        <f t="shared" si="2"/>
        <v>38</v>
      </c>
      <c r="N60" s="33">
        <v>288</v>
      </c>
      <c r="O60" s="33">
        <v>470</v>
      </c>
      <c r="P60" s="33">
        <v>0</v>
      </c>
      <c r="Q60" s="33">
        <v>470</v>
      </c>
      <c r="R60" s="33">
        <v>288</v>
      </c>
      <c r="S60" s="33">
        <f t="shared" si="3"/>
        <v>182</v>
      </c>
      <c r="T60" s="38">
        <f t="shared" si="4"/>
        <v>1.6319444444444444</v>
      </c>
      <c r="U60" s="59">
        <f t="shared" si="5"/>
        <v>438</v>
      </c>
      <c r="V60" s="33">
        <v>150</v>
      </c>
      <c r="W60" s="33">
        <v>150</v>
      </c>
      <c r="X60" s="33"/>
      <c r="Y60" s="33"/>
      <c r="Z60" s="42"/>
      <c r="AA60" s="60"/>
      <c r="AB60" s="662"/>
      <c r="AC60" s="580"/>
      <c r="AD60" s="580">
        <f t="shared" si="6"/>
        <v>0</v>
      </c>
      <c r="AE60" s="580">
        <f t="shared" si="7"/>
        <v>470</v>
      </c>
      <c r="AF60" s="663">
        <f t="shared" si="8"/>
        <v>182</v>
      </c>
      <c r="AH60" s="19"/>
    </row>
    <row r="61" spans="2:37" ht="13" outlineLevel="2" x14ac:dyDescent="0.3">
      <c r="B61" s="31" t="s">
        <v>95</v>
      </c>
      <c r="C61" s="33">
        <v>129</v>
      </c>
      <c r="D61" s="33">
        <v>125</v>
      </c>
      <c r="E61" s="23">
        <v>0</v>
      </c>
      <c r="F61" s="23">
        <v>0</v>
      </c>
      <c r="G61" s="23">
        <v>-4</v>
      </c>
      <c r="H61" s="23">
        <v>0</v>
      </c>
      <c r="I61" s="23">
        <v>0</v>
      </c>
      <c r="J61" s="23">
        <v>0</v>
      </c>
      <c r="K61" s="23">
        <f t="shared" si="0"/>
        <v>-4</v>
      </c>
      <c r="L61" s="33">
        <f t="shared" si="1"/>
        <v>0</v>
      </c>
      <c r="M61" s="33">
        <f t="shared" si="2"/>
        <v>-4</v>
      </c>
      <c r="N61" s="33">
        <v>125</v>
      </c>
      <c r="O61" s="33">
        <v>123</v>
      </c>
      <c r="P61" s="33">
        <v>0</v>
      </c>
      <c r="Q61" s="33">
        <v>123</v>
      </c>
      <c r="R61" s="33">
        <v>125</v>
      </c>
      <c r="S61" s="33">
        <f t="shared" si="3"/>
        <v>-2</v>
      </c>
      <c r="T61" s="38">
        <f t="shared" si="4"/>
        <v>0.98399999999999999</v>
      </c>
      <c r="U61" s="59">
        <f t="shared" si="5"/>
        <v>125</v>
      </c>
      <c r="V61" s="33">
        <v>0</v>
      </c>
      <c r="W61" s="33">
        <v>0</v>
      </c>
      <c r="X61" s="33"/>
      <c r="Y61" s="33"/>
      <c r="Z61" s="42"/>
      <c r="AA61" s="60"/>
      <c r="AB61" s="662"/>
      <c r="AC61" s="580"/>
      <c r="AD61" s="580">
        <f t="shared" si="6"/>
        <v>0</v>
      </c>
      <c r="AE61" s="580">
        <f t="shared" si="7"/>
        <v>123</v>
      </c>
      <c r="AF61" s="663">
        <f t="shared" si="8"/>
        <v>-2</v>
      </c>
      <c r="AH61" s="19"/>
      <c r="AI61" s="19"/>
    </row>
    <row r="62" spans="2:37" ht="13" outlineLevel="2" x14ac:dyDescent="0.3">
      <c r="B62" s="31" t="s">
        <v>96</v>
      </c>
      <c r="C62" s="33">
        <v>4149</v>
      </c>
      <c r="D62" s="33">
        <v>4263</v>
      </c>
      <c r="E62" s="23">
        <v>100</v>
      </c>
      <c r="F62" s="23">
        <v>-85</v>
      </c>
      <c r="G62" s="23">
        <v>15</v>
      </c>
      <c r="H62" s="23">
        <v>-50</v>
      </c>
      <c r="I62" s="23">
        <v>0</v>
      </c>
      <c r="J62" s="23">
        <v>60</v>
      </c>
      <c r="K62" s="23">
        <f t="shared" si="0"/>
        <v>40</v>
      </c>
      <c r="L62" s="33">
        <f t="shared" si="1"/>
        <v>-75</v>
      </c>
      <c r="M62" s="33">
        <f t="shared" si="2"/>
        <v>39</v>
      </c>
      <c r="N62" s="33">
        <v>4188</v>
      </c>
      <c r="O62" s="33">
        <v>4351</v>
      </c>
      <c r="P62" s="33">
        <v>-7</v>
      </c>
      <c r="Q62" s="33">
        <v>4344</v>
      </c>
      <c r="R62" s="33">
        <v>4188</v>
      </c>
      <c r="S62" s="33">
        <f t="shared" si="3"/>
        <v>156</v>
      </c>
      <c r="T62" s="38">
        <f t="shared" si="4"/>
        <v>1.0372492836676217</v>
      </c>
      <c r="U62" s="59">
        <f t="shared" si="5"/>
        <v>4305</v>
      </c>
      <c r="V62" s="33">
        <v>117</v>
      </c>
      <c r="W62" s="33">
        <v>117</v>
      </c>
      <c r="X62" s="33"/>
      <c r="Y62" s="33"/>
      <c r="Z62" s="42"/>
      <c r="AA62" s="60"/>
      <c r="AB62" s="662">
        <f>30-15</f>
        <v>15</v>
      </c>
      <c r="AC62" s="580"/>
      <c r="AD62" s="580">
        <f t="shared" si="6"/>
        <v>15</v>
      </c>
      <c r="AE62" s="580">
        <f t="shared" si="7"/>
        <v>4359</v>
      </c>
      <c r="AF62" s="663">
        <f t="shared" si="8"/>
        <v>171</v>
      </c>
      <c r="AH62" s="19"/>
      <c r="AI62" s="19" t="s">
        <v>635</v>
      </c>
      <c r="AK62" t="s">
        <v>636</v>
      </c>
    </row>
    <row r="63" spans="2:37" ht="13" outlineLevel="2" x14ac:dyDescent="0.3">
      <c r="B63" s="31" t="s">
        <v>97</v>
      </c>
      <c r="C63" s="33">
        <v>2817</v>
      </c>
      <c r="D63" s="33">
        <v>2777</v>
      </c>
      <c r="E63" s="23">
        <v>0</v>
      </c>
      <c r="F63" s="23">
        <v>0</v>
      </c>
      <c r="G63" s="23">
        <v>-39</v>
      </c>
      <c r="H63" s="23">
        <v>0</v>
      </c>
      <c r="I63" s="23">
        <v>0</v>
      </c>
      <c r="J63" s="23">
        <v>0</v>
      </c>
      <c r="K63" s="23">
        <f t="shared" si="0"/>
        <v>-39</v>
      </c>
      <c r="L63" s="33">
        <f t="shared" si="1"/>
        <v>0</v>
      </c>
      <c r="M63" s="33">
        <f t="shared" si="2"/>
        <v>-40</v>
      </c>
      <c r="N63" s="33">
        <v>2777</v>
      </c>
      <c r="O63" s="33">
        <v>2897</v>
      </c>
      <c r="P63" s="33">
        <v>-90</v>
      </c>
      <c r="Q63" s="33">
        <v>2806</v>
      </c>
      <c r="R63" s="33">
        <v>2777</v>
      </c>
      <c r="S63" s="33">
        <f t="shared" si="3"/>
        <v>29</v>
      </c>
      <c r="T63" s="38">
        <f t="shared" si="4"/>
        <v>1.0104429240187252</v>
      </c>
      <c r="U63" s="59">
        <f t="shared" si="5"/>
        <v>2793</v>
      </c>
      <c r="V63" s="33">
        <v>16</v>
      </c>
      <c r="W63" s="33">
        <v>16</v>
      </c>
      <c r="X63" s="33"/>
      <c r="Y63" s="33"/>
      <c r="Z63" s="42"/>
      <c r="AA63" s="60"/>
      <c r="AB63" s="662"/>
      <c r="AC63" s="580"/>
      <c r="AD63" s="580">
        <f t="shared" si="6"/>
        <v>0</v>
      </c>
      <c r="AE63" s="580">
        <f t="shared" si="7"/>
        <v>2806</v>
      </c>
      <c r="AF63" s="663">
        <f t="shared" si="8"/>
        <v>29</v>
      </c>
      <c r="AH63" s="19"/>
      <c r="AI63" s="19"/>
    </row>
    <row r="64" spans="2:37" ht="13" outlineLevel="2" x14ac:dyDescent="0.3">
      <c r="B64" s="31" t="s">
        <v>98</v>
      </c>
      <c r="C64" s="33">
        <v>1607</v>
      </c>
      <c r="D64" s="33">
        <v>1549</v>
      </c>
      <c r="E64" s="23">
        <v>0</v>
      </c>
      <c r="F64" s="23">
        <v>-151</v>
      </c>
      <c r="G64" s="23">
        <v>-17</v>
      </c>
      <c r="H64" s="23">
        <v>0</v>
      </c>
      <c r="I64" s="23">
        <v>-41</v>
      </c>
      <c r="J64" s="23">
        <v>128</v>
      </c>
      <c r="K64" s="23">
        <f t="shared" si="0"/>
        <v>-81</v>
      </c>
      <c r="L64" s="33">
        <f t="shared" si="1"/>
        <v>-23</v>
      </c>
      <c r="M64" s="33">
        <f t="shared" si="2"/>
        <v>-81</v>
      </c>
      <c r="N64" s="33">
        <v>1526</v>
      </c>
      <c r="O64" s="33">
        <v>1549</v>
      </c>
      <c r="P64" s="33">
        <v>-56</v>
      </c>
      <c r="Q64" s="33">
        <v>1494</v>
      </c>
      <c r="R64" s="33">
        <v>1526</v>
      </c>
      <c r="S64" s="33">
        <f t="shared" si="3"/>
        <v>-32</v>
      </c>
      <c r="T64" s="38">
        <f t="shared" si="4"/>
        <v>0.9790301441677588</v>
      </c>
      <c r="U64" s="59">
        <f t="shared" si="5"/>
        <v>1503</v>
      </c>
      <c r="V64" s="33">
        <v>-23</v>
      </c>
      <c r="W64" s="33">
        <v>-23</v>
      </c>
      <c r="X64" s="33"/>
      <c r="Y64" s="33"/>
      <c r="Z64" s="42"/>
      <c r="AA64" s="60"/>
      <c r="AB64" s="662">
        <v>15</v>
      </c>
      <c r="AC64" s="580"/>
      <c r="AD64" s="580">
        <f t="shared" si="6"/>
        <v>15</v>
      </c>
      <c r="AE64" s="580">
        <f t="shared" si="7"/>
        <v>1509</v>
      </c>
      <c r="AF64" s="663">
        <f t="shared" si="8"/>
        <v>-17</v>
      </c>
      <c r="AH64" s="19"/>
      <c r="AI64" s="19"/>
    </row>
    <row r="65" spans="2:35" ht="13" outlineLevel="1" x14ac:dyDescent="0.3">
      <c r="B65" s="32" t="s">
        <v>100</v>
      </c>
      <c r="C65" s="34">
        <f t="shared" ref="C65:J65" si="52">SUBTOTAL(9,C60:C64)</f>
        <v>8952</v>
      </c>
      <c r="D65" s="34">
        <f t="shared" si="52"/>
        <v>9070</v>
      </c>
      <c r="E65" s="24">
        <f t="shared" si="52"/>
        <v>160</v>
      </c>
      <c r="F65" s="24">
        <f t="shared" si="52"/>
        <v>-236</v>
      </c>
      <c r="G65" s="24">
        <f t="shared" si="52"/>
        <v>-43</v>
      </c>
      <c r="H65" s="24">
        <f t="shared" si="52"/>
        <v>-58</v>
      </c>
      <c r="I65" s="24">
        <f t="shared" si="52"/>
        <v>3</v>
      </c>
      <c r="J65" s="24">
        <f t="shared" si="52"/>
        <v>128</v>
      </c>
      <c r="K65" s="24">
        <f>SUM(E65:J65)</f>
        <v>-46</v>
      </c>
      <c r="L65" s="34">
        <f t="shared" ref="L65" si="53">N65-D65</f>
        <v>-166</v>
      </c>
      <c r="M65" s="34">
        <f t="shared" ref="M65" si="54">N65-C65</f>
        <v>-48</v>
      </c>
      <c r="N65" s="34">
        <f>SUBTOTAL(9,N60:N64)</f>
        <v>8904</v>
      </c>
      <c r="O65" s="34">
        <f>SUBTOTAL(9,O60:O64)</f>
        <v>9390</v>
      </c>
      <c r="P65" s="34">
        <f>SUBTOTAL(9,P60:P64)</f>
        <v>-153</v>
      </c>
      <c r="Q65" s="34">
        <f>SUBTOTAL(9,Q60:Q64)</f>
        <v>9237</v>
      </c>
      <c r="R65" s="34">
        <f>SUBTOTAL(9,R60:R64)</f>
        <v>8904</v>
      </c>
      <c r="S65" s="34">
        <f>Q65-R65</f>
        <v>333</v>
      </c>
      <c r="T65" s="38">
        <f>IFERROR((Q65/N65)*100%,"∞")</f>
        <v>1.0373989218328841</v>
      </c>
      <c r="U65" s="59">
        <f>N65+V65</f>
        <v>9164</v>
      </c>
      <c r="V65" s="34">
        <f>SUBTOTAL(9,V60:V64)</f>
        <v>260</v>
      </c>
      <c r="W65" s="34">
        <f t="shared" ref="W65:AF65" si="55">SUBTOTAL(9,W60:W64)</f>
        <v>260</v>
      </c>
      <c r="X65" s="34">
        <f t="shared" si="55"/>
        <v>0</v>
      </c>
      <c r="Y65" s="34">
        <f t="shared" si="55"/>
        <v>0</v>
      </c>
      <c r="Z65" s="34">
        <f t="shared" si="55"/>
        <v>0</v>
      </c>
      <c r="AA65" s="34">
        <f t="shared" si="55"/>
        <v>0</v>
      </c>
      <c r="AB65" s="641">
        <f t="shared" si="55"/>
        <v>30</v>
      </c>
      <c r="AC65" s="641">
        <f t="shared" si="55"/>
        <v>0</v>
      </c>
      <c r="AD65" s="641">
        <f t="shared" si="55"/>
        <v>30</v>
      </c>
      <c r="AE65" s="641">
        <f t="shared" si="55"/>
        <v>9267</v>
      </c>
      <c r="AF65" s="641">
        <f t="shared" si="55"/>
        <v>363</v>
      </c>
      <c r="AH65" s="19"/>
      <c r="AI65" s="19"/>
    </row>
    <row r="66" spans="2:35" ht="13" outlineLevel="2" x14ac:dyDescent="0.3">
      <c r="B66" s="31" t="s">
        <v>101</v>
      </c>
      <c r="C66" s="33">
        <v>1124</v>
      </c>
      <c r="D66" s="33">
        <v>1108</v>
      </c>
      <c r="E66" s="23">
        <v>0</v>
      </c>
      <c r="F66" s="23">
        <v>0</v>
      </c>
      <c r="G66" s="23">
        <v>-21</v>
      </c>
      <c r="H66" s="23">
        <v>0</v>
      </c>
      <c r="I66" s="23">
        <v>5</v>
      </c>
      <c r="J66" s="23">
        <v>0</v>
      </c>
      <c r="K66" s="23">
        <f t="shared" si="0"/>
        <v>-16</v>
      </c>
      <c r="L66" s="33">
        <f t="shared" si="1"/>
        <v>0</v>
      </c>
      <c r="M66" s="33">
        <f t="shared" si="2"/>
        <v>-16</v>
      </c>
      <c r="N66" s="33">
        <v>1108</v>
      </c>
      <c r="O66" s="33">
        <v>1298</v>
      </c>
      <c r="P66" s="33">
        <v>-228</v>
      </c>
      <c r="Q66" s="33">
        <v>1070</v>
      </c>
      <c r="R66" s="33">
        <v>1108</v>
      </c>
      <c r="S66" s="33">
        <f t="shared" si="3"/>
        <v>-38</v>
      </c>
      <c r="T66" s="38">
        <f t="shared" si="4"/>
        <v>0.96570397111913353</v>
      </c>
      <c r="U66" s="59">
        <f t="shared" si="5"/>
        <v>1108</v>
      </c>
      <c r="V66" s="33">
        <v>0</v>
      </c>
      <c r="W66" s="33">
        <v>0</v>
      </c>
      <c r="X66" s="33"/>
      <c r="Y66" s="33"/>
      <c r="Z66" s="42"/>
      <c r="AA66" s="60"/>
      <c r="AB66" s="662"/>
      <c r="AC66" s="580"/>
      <c r="AD66" s="580">
        <f t="shared" si="6"/>
        <v>0</v>
      </c>
      <c r="AE66" s="580">
        <f t="shared" si="7"/>
        <v>1070</v>
      </c>
      <c r="AF66" s="663">
        <f t="shared" si="8"/>
        <v>-38</v>
      </c>
      <c r="AH66" s="19"/>
      <c r="AI66" s="19"/>
    </row>
    <row r="67" spans="2:35" ht="13" outlineLevel="2" x14ac:dyDescent="0.3">
      <c r="B67" s="31" t="s">
        <v>102</v>
      </c>
      <c r="C67" s="33">
        <v>230</v>
      </c>
      <c r="D67" s="33">
        <v>230</v>
      </c>
      <c r="E67" s="23">
        <v>0</v>
      </c>
      <c r="F67" s="23">
        <v>0</v>
      </c>
      <c r="G67" s="23">
        <v>0</v>
      </c>
      <c r="H67" s="23">
        <v>0</v>
      </c>
      <c r="I67" s="23">
        <v>0</v>
      </c>
      <c r="J67" s="23">
        <v>0</v>
      </c>
      <c r="K67" s="23">
        <f t="shared" si="0"/>
        <v>0</v>
      </c>
      <c r="L67" s="33">
        <f t="shared" si="1"/>
        <v>0</v>
      </c>
      <c r="M67" s="33">
        <f t="shared" si="2"/>
        <v>0</v>
      </c>
      <c r="N67" s="33">
        <v>230</v>
      </c>
      <c r="O67" s="33">
        <v>384</v>
      </c>
      <c r="P67" s="33">
        <v>-45</v>
      </c>
      <c r="Q67" s="33">
        <v>339</v>
      </c>
      <c r="R67" s="33">
        <v>230</v>
      </c>
      <c r="S67" s="33">
        <f t="shared" si="3"/>
        <v>109</v>
      </c>
      <c r="T67" s="38">
        <f t="shared" si="4"/>
        <v>1.4739130434782608</v>
      </c>
      <c r="U67" s="59">
        <f t="shared" si="5"/>
        <v>310</v>
      </c>
      <c r="V67" s="33">
        <v>80</v>
      </c>
      <c r="W67" s="33">
        <v>80</v>
      </c>
      <c r="X67" s="33"/>
      <c r="Y67" s="33"/>
      <c r="Z67" s="42"/>
      <c r="AA67" s="60"/>
      <c r="AB67" s="662"/>
      <c r="AC67" s="580"/>
      <c r="AD67" s="580">
        <f t="shared" si="6"/>
        <v>0</v>
      </c>
      <c r="AE67" s="580">
        <f t="shared" si="7"/>
        <v>339</v>
      </c>
      <c r="AF67" s="663">
        <f t="shared" si="8"/>
        <v>109</v>
      </c>
      <c r="AH67" s="19"/>
      <c r="AI67" s="19" t="s">
        <v>626</v>
      </c>
    </row>
    <row r="68" spans="2:35" ht="13" outlineLevel="2" x14ac:dyDescent="0.3">
      <c r="B68" s="31" t="s">
        <v>103</v>
      </c>
      <c r="C68" s="33">
        <v>145</v>
      </c>
      <c r="D68" s="33">
        <v>142</v>
      </c>
      <c r="E68" s="23">
        <v>0</v>
      </c>
      <c r="F68" s="23">
        <v>0</v>
      </c>
      <c r="G68" s="23">
        <v>-11</v>
      </c>
      <c r="H68" s="23">
        <v>0</v>
      </c>
      <c r="I68" s="23">
        <v>8</v>
      </c>
      <c r="J68" s="23">
        <v>-8</v>
      </c>
      <c r="K68" s="23">
        <f t="shared" si="0"/>
        <v>-11</v>
      </c>
      <c r="L68" s="33">
        <f t="shared" si="1"/>
        <v>-8</v>
      </c>
      <c r="M68" s="33">
        <f t="shared" si="2"/>
        <v>-11</v>
      </c>
      <c r="N68" s="33">
        <v>134</v>
      </c>
      <c r="O68" s="33">
        <v>439</v>
      </c>
      <c r="P68" s="33">
        <v>-212</v>
      </c>
      <c r="Q68" s="33">
        <v>226</v>
      </c>
      <c r="R68" s="33">
        <v>134</v>
      </c>
      <c r="S68" s="33">
        <f t="shared" si="3"/>
        <v>92</v>
      </c>
      <c r="T68" s="38">
        <f t="shared" si="4"/>
        <v>1.6865671641791045</v>
      </c>
      <c r="U68" s="59">
        <f t="shared" si="5"/>
        <v>262</v>
      </c>
      <c r="V68" s="33">
        <v>128</v>
      </c>
      <c r="W68" s="33">
        <v>128</v>
      </c>
      <c r="X68" s="33"/>
      <c r="Y68" s="33"/>
      <c r="Z68" s="42"/>
      <c r="AA68" s="60"/>
      <c r="AB68" s="662"/>
      <c r="AC68" s="580"/>
      <c r="AD68" s="580">
        <f t="shared" si="6"/>
        <v>0</v>
      </c>
      <c r="AE68" s="580">
        <f t="shared" si="7"/>
        <v>226</v>
      </c>
      <c r="AF68" s="663">
        <f t="shared" si="8"/>
        <v>92</v>
      </c>
      <c r="AH68" s="19"/>
      <c r="AI68" s="19" t="s">
        <v>637</v>
      </c>
    </row>
    <row r="69" spans="2:35" ht="13" outlineLevel="2" x14ac:dyDescent="0.3">
      <c r="B69" s="31" t="s">
        <v>104</v>
      </c>
      <c r="C69" s="33">
        <v>503</v>
      </c>
      <c r="D69" s="33">
        <v>495</v>
      </c>
      <c r="E69" s="23">
        <v>0</v>
      </c>
      <c r="F69" s="23">
        <v>0</v>
      </c>
      <c r="G69" s="23">
        <v>-11</v>
      </c>
      <c r="H69" s="23">
        <v>0</v>
      </c>
      <c r="I69" s="23">
        <v>3</v>
      </c>
      <c r="J69" s="23">
        <v>-15</v>
      </c>
      <c r="K69" s="23">
        <f t="shared" ref="K69:K77" si="56">SUM(E69:J69)</f>
        <v>-23</v>
      </c>
      <c r="L69" s="33">
        <f t="shared" ref="L69:L79" si="57">N69-D69</f>
        <v>-15</v>
      </c>
      <c r="M69" s="33">
        <f t="shared" ref="M69:M79" si="58">N69-C69</f>
        <v>-23</v>
      </c>
      <c r="N69" s="33">
        <v>480</v>
      </c>
      <c r="O69" s="33">
        <v>553</v>
      </c>
      <c r="P69" s="33">
        <v>3</v>
      </c>
      <c r="Q69" s="33">
        <v>555</v>
      </c>
      <c r="R69" s="33">
        <v>480</v>
      </c>
      <c r="S69" s="33">
        <f t="shared" ref="S69:S77" si="59">Q69-R69</f>
        <v>75</v>
      </c>
      <c r="T69" s="38">
        <f t="shared" ref="T69:T77" si="60">IFERROR((Q69/N69)*100%,"∞")</f>
        <v>1.15625</v>
      </c>
      <c r="U69" s="59">
        <f t="shared" ref="U69:U77" si="61">N69+V69</f>
        <v>534</v>
      </c>
      <c r="V69" s="33">
        <v>54</v>
      </c>
      <c r="W69" s="33">
        <v>54</v>
      </c>
      <c r="X69" s="33"/>
      <c r="Y69" s="33"/>
      <c r="Z69" s="42"/>
      <c r="AA69" s="60"/>
      <c r="AB69" s="662"/>
      <c r="AC69" s="580"/>
      <c r="AD69" s="580">
        <f t="shared" ref="AD69:AD77" si="62">SUM(AB69:AC69)</f>
        <v>0</v>
      </c>
      <c r="AE69" s="580">
        <f t="shared" ref="AE69:AE77" si="63">Q69+AD69</f>
        <v>555</v>
      </c>
      <c r="AF69" s="663">
        <f t="shared" ref="AF69:AF77" si="64">AE69-N69</f>
        <v>75</v>
      </c>
      <c r="AH69" s="19"/>
      <c r="AI69" s="19"/>
    </row>
    <row r="70" spans="2:35" ht="13" outlineLevel="2" x14ac:dyDescent="0.3">
      <c r="B70" s="31" t="s">
        <v>105</v>
      </c>
      <c r="C70" s="33">
        <v>901</v>
      </c>
      <c r="D70" s="33">
        <v>874</v>
      </c>
      <c r="E70" s="23">
        <v>0</v>
      </c>
      <c r="F70" s="23">
        <v>-104</v>
      </c>
      <c r="G70" s="23">
        <v>-34</v>
      </c>
      <c r="H70" s="23">
        <v>0</v>
      </c>
      <c r="I70" s="23">
        <v>7</v>
      </c>
      <c r="J70" s="23">
        <v>-15</v>
      </c>
      <c r="K70" s="23">
        <f t="shared" si="56"/>
        <v>-146</v>
      </c>
      <c r="L70" s="33">
        <f t="shared" si="57"/>
        <v>-119</v>
      </c>
      <c r="M70" s="33">
        <f t="shared" si="58"/>
        <v>-146</v>
      </c>
      <c r="N70" s="33">
        <v>755</v>
      </c>
      <c r="O70" s="33">
        <v>5314</v>
      </c>
      <c r="P70" s="33">
        <v>-4264</v>
      </c>
      <c r="Q70" s="33">
        <v>1051</v>
      </c>
      <c r="R70" s="33">
        <v>755</v>
      </c>
      <c r="S70" s="33">
        <f t="shared" si="59"/>
        <v>296</v>
      </c>
      <c r="T70" s="38">
        <f t="shared" si="60"/>
        <v>1.3920529801324504</v>
      </c>
      <c r="U70" s="59">
        <f t="shared" si="61"/>
        <v>815</v>
      </c>
      <c r="V70" s="33">
        <v>60</v>
      </c>
      <c r="W70" s="33">
        <v>60</v>
      </c>
      <c r="X70" s="33"/>
      <c r="Y70" s="33"/>
      <c r="Z70" s="42"/>
      <c r="AA70" s="60"/>
      <c r="AB70" s="662"/>
      <c r="AC70" s="580"/>
      <c r="AD70" s="580">
        <f t="shared" si="62"/>
        <v>0</v>
      </c>
      <c r="AE70" s="580">
        <f t="shared" si="63"/>
        <v>1051</v>
      </c>
      <c r="AF70" s="663">
        <f t="shared" si="64"/>
        <v>296</v>
      </c>
      <c r="AH70" s="19"/>
      <c r="AI70" s="19" t="s">
        <v>638</v>
      </c>
    </row>
    <row r="71" spans="2:35" ht="13" outlineLevel="2" x14ac:dyDescent="0.3">
      <c r="B71" s="31" t="s">
        <v>106</v>
      </c>
      <c r="C71" s="33">
        <v>117</v>
      </c>
      <c r="D71" s="33">
        <v>114</v>
      </c>
      <c r="E71" s="23">
        <v>0</v>
      </c>
      <c r="F71" s="23">
        <v>0</v>
      </c>
      <c r="G71" s="23">
        <v>-3</v>
      </c>
      <c r="H71" s="23">
        <v>0</v>
      </c>
      <c r="I71" s="23">
        <v>0</v>
      </c>
      <c r="J71" s="23">
        <v>0</v>
      </c>
      <c r="K71" s="23">
        <f t="shared" si="56"/>
        <v>-3</v>
      </c>
      <c r="L71" s="33">
        <f t="shared" si="57"/>
        <v>0</v>
      </c>
      <c r="M71" s="33">
        <f t="shared" si="58"/>
        <v>-3</v>
      </c>
      <c r="N71" s="33">
        <v>114</v>
      </c>
      <c r="O71" s="33">
        <v>180</v>
      </c>
      <c r="P71" s="33">
        <v>0</v>
      </c>
      <c r="Q71" s="33">
        <v>180</v>
      </c>
      <c r="R71" s="33">
        <v>114</v>
      </c>
      <c r="S71" s="33">
        <f t="shared" si="59"/>
        <v>66</v>
      </c>
      <c r="T71" s="38">
        <f t="shared" si="60"/>
        <v>1.5789473684210527</v>
      </c>
      <c r="U71" s="59">
        <f t="shared" si="61"/>
        <v>114</v>
      </c>
      <c r="V71" s="33">
        <v>0</v>
      </c>
      <c r="W71" s="33">
        <v>0</v>
      </c>
      <c r="X71" s="33"/>
      <c r="Y71" s="33"/>
      <c r="Z71" s="42"/>
      <c r="AA71" s="60"/>
      <c r="AB71" s="662"/>
      <c r="AC71" s="580"/>
      <c r="AD71" s="580">
        <f t="shared" si="62"/>
        <v>0</v>
      </c>
      <c r="AE71" s="580">
        <f t="shared" si="63"/>
        <v>180</v>
      </c>
      <c r="AF71" s="663">
        <f t="shared" si="64"/>
        <v>66</v>
      </c>
      <c r="AH71" s="19"/>
    </row>
    <row r="72" spans="2:35" ht="13" outlineLevel="1" x14ac:dyDescent="0.3">
      <c r="B72" s="32" t="s">
        <v>107</v>
      </c>
      <c r="C72" s="34">
        <f t="shared" ref="C72:J72" si="65">SUBTOTAL(9,C66:C71)</f>
        <v>3020</v>
      </c>
      <c r="D72" s="34">
        <f t="shared" si="65"/>
        <v>2963</v>
      </c>
      <c r="E72" s="24">
        <f t="shared" si="65"/>
        <v>0</v>
      </c>
      <c r="F72" s="24">
        <f t="shared" si="65"/>
        <v>-104</v>
      </c>
      <c r="G72" s="24">
        <f t="shared" si="65"/>
        <v>-80</v>
      </c>
      <c r="H72" s="24">
        <f t="shared" si="65"/>
        <v>0</v>
      </c>
      <c r="I72" s="24">
        <f t="shared" si="65"/>
        <v>23</v>
      </c>
      <c r="J72" s="24">
        <f t="shared" si="65"/>
        <v>-38</v>
      </c>
      <c r="K72" s="24">
        <f>SUM(E72:J72)</f>
        <v>-199</v>
      </c>
      <c r="L72" s="34">
        <f t="shared" si="57"/>
        <v>-142</v>
      </c>
      <c r="M72" s="34">
        <f t="shared" si="58"/>
        <v>-199</v>
      </c>
      <c r="N72" s="34">
        <f>SUBTOTAL(9,N66:N71)</f>
        <v>2821</v>
      </c>
      <c r="O72" s="34">
        <f>SUBTOTAL(9,O66:O71)</f>
        <v>8168</v>
      </c>
      <c r="P72" s="34">
        <f>SUBTOTAL(9,P66:P71)</f>
        <v>-4746</v>
      </c>
      <c r="Q72" s="34">
        <f>SUBTOTAL(9,Q66:Q71)</f>
        <v>3421</v>
      </c>
      <c r="R72" s="34">
        <f>SUBTOTAL(9,R66:R71)</f>
        <v>2821</v>
      </c>
      <c r="S72" s="34">
        <f>Q72-R72</f>
        <v>600</v>
      </c>
      <c r="T72" s="38">
        <f>IFERROR((Q72/N72)*100%,"∞")</f>
        <v>1.2126905352711805</v>
      </c>
      <c r="U72" s="59">
        <f>N72+V72</f>
        <v>3143</v>
      </c>
      <c r="V72" s="34">
        <f>SUBTOTAL(9,V66:V71)</f>
        <v>322</v>
      </c>
      <c r="W72" s="34">
        <f t="shared" ref="W72:AF72" si="66">SUBTOTAL(9,W66:W71)</f>
        <v>322</v>
      </c>
      <c r="X72" s="34">
        <f t="shared" si="66"/>
        <v>0</v>
      </c>
      <c r="Y72" s="34">
        <f t="shared" si="66"/>
        <v>0</v>
      </c>
      <c r="Z72" s="34">
        <f t="shared" si="66"/>
        <v>0</v>
      </c>
      <c r="AA72" s="34">
        <f t="shared" si="66"/>
        <v>0</v>
      </c>
      <c r="AB72" s="641">
        <f t="shared" si="66"/>
        <v>0</v>
      </c>
      <c r="AC72" s="641">
        <f t="shared" si="66"/>
        <v>0</v>
      </c>
      <c r="AD72" s="641">
        <f t="shared" si="66"/>
        <v>0</v>
      </c>
      <c r="AE72" s="641">
        <f t="shared" si="66"/>
        <v>3421</v>
      </c>
      <c r="AF72" s="641">
        <f t="shared" si="66"/>
        <v>600</v>
      </c>
      <c r="AH72" s="19"/>
    </row>
    <row r="73" spans="2:35" ht="13" outlineLevel="2" x14ac:dyDescent="0.3">
      <c r="B73" s="31" t="s">
        <v>111</v>
      </c>
      <c r="C73" s="33">
        <v>672</v>
      </c>
      <c r="D73" s="33">
        <v>666</v>
      </c>
      <c r="E73" s="23">
        <v>0</v>
      </c>
      <c r="F73" s="23">
        <v>0</v>
      </c>
      <c r="G73" s="23">
        <v>-6</v>
      </c>
      <c r="H73" s="23">
        <v>0</v>
      </c>
      <c r="I73" s="23">
        <v>0</v>
      </c>
      <c r="J73" s="23">
        <v>0</v>
      </c>
      <c r="K73" s="23">
        <f t="shared" si="56"/>
        <v>-6</v>
      </c>
      <c r="L73" s="33">
        <f t="shared" si="57"/>
        <v>0</v>
      </c>
      <c r="M73" s="33">
        <f t="shared" si="58"/>
        <v>-6</v>
      </c>
      <c r="N73" s="33">
        <v>666</v>
      </c>
      <c r="O73" s="33">
        <v>707</v>
      </c>
      <c r="P73" s="33">
        <v>-15</v>
      </c>
      <c r="Q73" s="33">
        <v>692</v>
      </c>
      <c r="R73" s="33">
        <v>666</v>
      </c>
      <c r="S73" s="33">
        <f t="shared" si="59"/>
        <v>26</v>
      </c>
      <c r="T73" s="38">
        <f t="shared" si="60"/>
        <v>1.0390390390390389</v>
      </c>
      <c r="U73" s="59">
        <f t="shared" si="61"/>
        <v>716</v>
      </c>
      <c r="V73" s="33">
        <v>50</v>
      </c>
      <c r="W73" s="33">
        <v>50</v>
      </c>
      <c r="X73" s="33"/>
      <c r="Y73" s="33"/>
      <c r="Z73" s="42"/>
      <c r="AA73" s="60"/>
      <c r="AB73" s="662"/>
      <c r="AC73" s="580"/>
      <c r="AD73" s="580">
        <f t="shared" si="62"/>
        <v>0</v>
      </c>
      <c r="AE73" s="580">
        <f t="shared" si="63"/>
        <v>692</v>
      </c>
      <c r="AF73" s="663">
        <f t="shared" si="64"/>
        <v>26</v>
      </c>
      <c r="AH73" s="19"/>
    </row>
    <row r="74" spans="2:35" ht="13" outlineLevel="2" x14ac:dyDescent="0.3">
      <c r="B74" s="31" t="s">
        <v>112</v>
      </c>
      <c r="C74" s="33">
        <v>399</v>
      </c>
      <c r="D74" s="33">
        <v>394</v>
      </c>
      <c r="E74" s="23">
        <v>0</v>
      </c>
      <c r="F74" s="23">
        <v>-27</v>
      </c>
      <c r="G74" s="23">
        <v>-5</v>
      </c>
      <c r="H74" s="23">
        <v>0</v>
      </c>
      <c r="I74" s="23">
        <v>0</v>
      </c>
      <c r="J74" s="23">
        <v>0</v>
      </c>
      <c r="K74" s="23">
        <f t="shared" si="56"/>
        <v>-32</v>
      </c>
      <c r="L74" s="33">
        <f t="shared" si="57"/>
        <v>-28</v>
      </c>
      <c r="M74" s="33">
        <f t="shared" si="58"/>
        <v>-33</v>
      </c>
      <c r="N74" s="33">
        <v>366</v>
      </c>
      <c r="O74" s="33">
        <v>507</v>
      </c>
      <c r="P74" s="33">
        <v>-173</v>
      </c>
      <c r="Q74" s="33">
        <v>334</v>
      </c>
      <c r="R74" s="33">
        <v>366</v>
      </c>
      <c r="S74" s="33">
        <f t="shared" si="59"/>
        <v>-32</v>
      </c>
      <c r="T74" s="38">
        <f t="shared" si="60"/>
        <v>0.91256830601092898</v>
      </c>
      <c r="U74" s="59">
        <f t="shared" si="61"/>
        <v>366</v>
      </c>
      <c r="V74" s="33">
        <v>0</v>
      </c>
      <c r="W74" s="33">
        <v>0</v>
      </c>
      <c r="X74" s="33"/>
      <c r="Y74" s="33"/>
      <c r="Z74" s="42"/>
      <c r="AA74" s="60"/>
      <c r="AB74" s="662"/>
      <c r="AC74" s="580"/>
      <c r="AD74" s="580">
        <f t="shared" si="62"/>
        <v>0</v>
      </c>
      <c r="AE74" s="580">
        <f t="shared" si="63"/>
        <v>334</v>
      </c>
      <c r="AF74" s="663">
        <f t="shared" si="64"/>
        <v>-32</v>
      </c>
      <c r="AH74" s="19"/>
    </row>
    <row r="75" spans="2:35" ht="13" outlineLevel="2" x14ac:dyDescent="0.3">
      <c r="B75" s="31" t="s">
        <v>113</v>
      </c>
      <c r="C75" s="33">
        <v>1046</v>
      </c>
      <c r="D75" s="33">
        <v>1038</v>
      </c>
      <c r="E75" s="23">
        <v>0</v>
      </c>
      <c r="F75" s="23">
        <v>0</v>
      </c>
      <c r="G75" s="23">
        <v>-20</v>
      </c>
      <c r="H75" s="23">
        <v>0</v>
      </c>
      <c r="I75" s="23">
        <v>12</v>
      </c>
      <c r="J75" s="23">
        <v>0</v>
      </c>
      <c r="K75" s="23">
        <f t="shared" si="56"/>
        <v>-8</v>
      </c>
      <c r="L75" s="33">
        <f t="shared" si="57"/>
        <v>0</v>
      </c>
      <c r="M75" s="33">
        <f t="shared" si="58"/>
        <v>-8</v>
      </c>
      <c r="N75" s="33">
        <v>1038</v>
      </c>
      <c r="O75" s="33">
        <v>1473</v>
      </c>
      <c r="P75" s="33">
        <v>-238</v>
      </c>
      <c r="Q75" s="33">
        <v>1235</v>
      </c>
      <c r="R75" s="33">
        <v>1038</v>
      </c>
      <c r="S75" s="33">
        <f t="shared" si="59"/>
        <v>197</v>
      </c>
      <c r="T75" s="38">
        <f t="shared" si="60"/>
        <v>1.1897880539499037</v>
      </c>
      <c r="U75" s="59">
        <f t="shared" si="61"/>
        <v>1238</v>
      </c>
      <c r="V75" s="33">
        <v>200</v>
      </c>
      <c r="W75" s="33">
        <v>200</v>
      </c>
      <c r="X75" s="33"/>
      <c r="Y75" s="33"/>
      <c r="Z75" s="42"/>
      <c r="AA75" s="60"/>
      <c r="AB75" s="662"/>
      <c r="AC75" s="580"/>
      <c r="AD75" s="580">
        <f t="shared" si="62"/>
        <v>0</v>
      </c>
      <c r="AE75" s="580">
        <f t="shared" si="63"/>
        <v>1235</v>
      </c>
      <c r="AF75" s="663">
        <f t="shared" si="64"/>
        <v>197</v>
      </c>
      <c r="AH75" s="19"/>
    </row>
    <row r="76" spans="2:35" ht="13" outlineLevel="2" x14ac:dyDescent="0.3">
      <c r="B76" s="31" t="s">
        <v>177</v>
      </c>
      <c r="C76" s="33">
        <v>754</v>
      </c>
      <c r="D76" s="33">
        <v>733</v>
      </c>
      <c r="E76" s="23">
        <v>0</v>
      </c>
      <c r="F76" s="23">
        <v>45</v>
      </c>
      <c r="G76" s="23">
        <v>-21</v>
      </c>
      <c r="H76" s="23">
        <v>0</v>
      </c>
      <c r="I76" s="23">
        <v>0</v>
      </c>
      <c r="J76" s="23">
        <v>0</v>
      </c>
      <c r="K76" s="23">
        <f t="shared" si="56"/>
        <v>24</v>
      </c>
      <c r="L76" s="33">
        <f t="shared" si="57"/>
        <v>45</v>
      </c>
      <c r="M76" s="33">
        <f t="shared" si="58"/>
        <v>24</v>
      </c>
      <c r="N76" s="33">
        <v>778</v>
      </c>
      <c r="O76" s="33">
        <v>866</v>
      </c>
      <c r="P76" s="33">
        <v>0</v>
      </c>
      <c r="Q76" s="33">
        <v>866</v>
      </c>
      <c r="R76" s="33">
        <v>778</v>
      </c>
      <c r="S76" s="33">
        <f t="shared" si="59"/>
        <v>88</v>
      </c>
      <c r="T76" s="38">
        <f t="shared" si="60"/>
        <v>1.1131105398457584</v>
      </c>
      <c r="U76" s="59">
        <f t="shared" si="61"/>
        <v>897</v>
      </c>
      <c r="V76" s="33">
        <v>119</v>
      </c>
      <c r="W76" s="33">
        <v>119</v>
      </c>
      <c r="X76" s="33"/>
      <c r="Y76" s="33"/>
      <c r="Z76" s="42"/>
      <c r="AA76" s="60"/>
      <c r="AB76" s="662"/>
      <c r="AC76" s="580"/>
      <c r="AD76" s="580">
        <f t="shared" si="62"/>
        <v>0</v>
      </c>
      <c r="AE76" s="580">
        <f t="shared" si="63"/>
        <v>866</v>
      </c>
      <c r="AF76" s="663">
        <f t="shared" si="64"/>
        <v>88</v>
      </c>
      <c r="AH76" s="19"/>
    </row>
    <row r="77" spans="2:35" ht="13" outlineLevel="2" x14ac:dyDescent="0.3">
      <c r="B77" s="31" t="s">
        <v>178</v>
      </c>
      <c r="C77" s="33">
        <v>516</v>
      </c>
      <c r="D77" s="33">
        <v>497</v>
      </c>
      <c r="E77" s="23">
        <v>0</v>
      </c>
      <c r="F77" s="23">
        <v>2</v>
      </c>
      <c r="G77" s="23">
        <v>-8</v>
      </c>
      <c r="H77" s="23">
        <v>0</v>
      </c>
      <c r="I77" s="23">
        <v>-12</v>
      </c>
      <c r="J77" s="23">
        <v>0</v>
      </c>
      <c r="K77" s="23">
        <f t="shared" si="56"/>
        <v>-18</v>
      </c>
      <c r="L77" s="33">
        <f t="shared" si="57"/>
        <v>2</v>
      </c>
      <c r="M77" s="33">
        <f t="shared" si="58"/>
        <v>-17</v>
      </c>
      <c r="N77" s="33">
        <v>499</v>
      </c>
      <c r="O77" s="33">
        <v>541</v>
      </c>
      <c r="P77" s="33">
        <v>-15</v>
      </c>
      <c r="Q77" s="33">
        <v>526</v>
      </c>
      <c r="R77" s="33">
        <v>499</v>
      </c>
      <c r="S77" s="33">
        <f t="shared" si="59"/>
        <v>27</v>
      </c>
      <c r="T77" s="38">
        <f t="shared" si="60"/>
        <v>1.0541082164328657</v>
      </c>
      <c r="U77" s="59">
        <f t="shared" si="61"/>
        <v>521</v>
      </c>
      <c r="V77" s="33">
        <v>22</v>
      </c>
      <c r="W77" s="33">
        <v>22</v>
      </c>
      <c r="X77" s="33"/>
      <c r="Y77" s="33"/>
      <c r="Z77" s="42"/>
      <c r="AA77" s="60"/>
      <c r="AB77" s="662"/>
      <c r="AC77" s="580"/>
      <c r="AD77" s="580">
        <f t="shared" si="62"/>
        <v>0</v>
      </c>
      <c r="AE77" s="580">
        <f t="shared" si="63"/>
        <v>526</v>
      </c>
      <c r="AF77" s="663">
        <f t="shared" si="64"/>
        <v>27</v>
      </c>
      <c r="AH77" s="19"/>
    </row>
    <row r="78" spans="2:35" ht="13" outlineLevel="1" x14ac:dyDescent="0.3">
      <c r="B78" s="32" t="s">
        <v>114</v>
      </c>
      <c r="C78" s="34">
        <f t="shared" ref="C78:J78" si="67">SUBTOTAL(9,C73:C77)</f>
        <v>3387</v>
      </c>
      <c r="D78" s="34">
        <f t="shared" si="67"/>
        <v>3328</v>
      </c>
      <c r="E78" s="24">
        <f t="shared" si="67"/>
        <v>0</v>
      </c>
      <c r="F78" s="24">
        <f t="shared" si="67"/>
        <v>20</v>
      </c>
      <c r="G78" s="24">
        <f t="shared" si="67"/>
        <v>-60</v>
      </c>
      <c r="H78" s="24">
        <f t="shared" si="67"/>
        <v>0</v>
      </c>
      <c r="I78" s="24">
        <f t="shared" si="67"/>
        <v>0</v>
      </c>
      <c r="J78" s="24">
        <f t="shared" si="67"/>
        <v>0</v>
      </c>
      <c r="K78" s="24">
        <f>SUM(E78:J78)</f>
        <v>-40</v>
      </c>
      <c r="L78" s="34">
        <f t="shared" si="57"/>
        <v>19</v>
      </c>
      <c r="M78" s="34">
        <f t="shared" si="58"/>
        <v>-40</v>
      </c>
      <c r="N78" s="34">
        <f>SUBTOTAL(9,N73:N77)</f>
        <v>3347</v>
      </c>
      <c r="O78" s="34">
        <f>SUBTOTAL(9,O73:O77)</f>
        <v>4094</v>
      </c>
      <c r="P78" s="34">
        <f>SUBTOTAL(9,P73:P77)</f>
        <v>-441</v>
      </c>
      <c r="Q78" s="34">
        <f>SUBTOTAL(9,Q73:Q77)</f>
        <v>3653</v>
      </c>
      <c r="R78" s="34">
        <f>SUBTOTAL(9,R73:R77)</f>
        <v>3347</v>
      </c>
      <c r="S78" s="34">
        <f>Q78-R78</f>
        <v>306</v>
      </c>
      <c r="T78" s="38">
        <f>IFERROR((Q78/N78)*100%,"∞")</f>
        <v>1.0914251568568867</v>
      </c>
      <c r="U78" s="59">
        <f>N78+V78</f>
        <v>3738</v>
      </c>
      <c r="V78" s="34">
        <f>SUBTOTAL(9,V73:V77)</f>
        <v>391</v>
      </c>
      <c r="W78" s="34">
        <f t="shared" ref="W78:AG78" si="68">SUBTOTAL(9,W73:W77)</f>
        <v>391</v>
      </c>
      <c r="X78" s="34">
        <f t="shared" si="68"/>
        <v>0</v>
      </c>
      <c r="Y78" s="34">
        <f t="shared" si="68"/>
        <v>0</v>
      </c>
      <c r="Z78" s="34">
        <f t="shared" si="68"/>
        <v>0</v>
      </c>
      <c r="AA78" s="34">
        <f t="shared" si="68"/>
        <v>0</v>
      </c>
      <c r="AB78" s="641">
        <f t="shared" si="68"/>
        <v>0</v>
      </c>
      <c r="AC78" s="641">
        <f t="shared" si="68"/>
        <v>0</v>
      </c>
      <c r="AD78" s="641">
        <f t="shared" si="68"/>
        <v>0</v>
      </c>
      <c r="AE78" s="641">
        <f t="shared" si="68"/>
        <v>3653</v>
      </c>
      <c r="AF78" s="641">
        <f t="shared" si="68"/>
        <v>306</v>
      </c>
      <c r="AG78" s="641">
        <f t="shared" si="68"/>
        <v>0</v>
      </c>
      <c r="AH78" s="19"/>
    </row>
    <row r="79" spans="2:35" ht="13.5" customHeight="1" thickBot="1" x14ac:dyDescent="0.35">
      <c r="B79" s="53" t="s">
        <v>115</v>
      </c>
      <c r="C79" s="35">
        <f t="shared" ref="C79:J79" si="69">SUBTOTAL(9,C60:C78)</f>
        <v>15359</v>
      </c>
      <c r="D79" s="35">
        <f t="shared" si="69"/>
        <v>15361</v>
      </c>
      <c r="E79" s="25">
        <f t="shared" si="69"/>
        <v>160</v>
      </c>
      <c r="F79" s="25">
        <f t="shared" si="69"/>
        <v>-320</v>
      </c>
      <c r="G79" s="25">
        <f t="shared" si="69"/>
        <v>-183</v>
      </c>
      <c r="H79" s="25">
        <f t="shared" si="69"/>
        <v>-58</v>
      </c>
      <c r="I79" s="25">
        <f t="shared" si="69"/>
        <v>26</v>
      </c>
      <c r="J79" s="25">
        <f t="shared" si="69"/>
        <v>90</v>
      </c>
      <c r="K79" s="25">
        <f>SUM(E79:J79)</f>
        <v>-285</v>
      </c>
      <c r="L79" s="35">
        <f t="shared" si="57"/>
        <v>-289</v>
      </c>
      <c r="M79" s="35">
        <f t="shared" si="58"/>
        <v>-287</v>
      </c>
      <c r="N79" s="35">
        <f>SUBTOTAL(9,N60:N78)</f>
        <v>15072</v>
      </c>
      <c r="O79" s="35">
        <f>SUBTOTAL(9,O60:O78)</f>
        <v>21652</v>
      </c>
      <c r="P79" s="35">
        <f>SUBTOTAL(9,P60:P78)</f>
        <v>-5340</v>
      </c>
      <c r="Q79" s="35">
        <f>SUBTOTAL(9,Q60:Q78)</f>
        <v>16311</v>
      </c>
      <c r="R79" s="35">
        <f>SUBTOTAL(9,R60:R78)</f>
        <v>15072</v>
      </c>
      <c r="S79" s="35">
        <f>Q79-R79</f>
        <v>1239</v>
      </c>
      <c r="T79" s="39">
        <f>IFERROR((Q79/N79)*100%,"∞")</f>
        <v>1.0822054140127388</v>
      </c>
      <c r="U79" s="54">
        <f>N79+V79</f>
        <v>16045</v>
      </c>
      <c r="V79" s="35">
        <f>SUBTOTAL(9,V60:V78)</f>
        <v>973</v>
      </c>
      <c r="W79" s="35">
        <f t="shared" ref="W79:AG79" si="70">SUBTOTAL(9,W60:W78)</f>
        <v>973</v>
      </c>
      <c r="X79" s="35">
        <f t="shared" si="70"/>
        <v>0</v>
      </c>
      <c r="Y79" s="35">
        <f t="shared" si="70"/>
        <v>0</v>
      </c>
      <c r="Z79" s="35">
        <f t="shared" si="70"/>
        <v>0</v>
      </c>
      <c r="AA79" s="35">
        <f t="shared" si="70"/>
        <v>0</v>
      </c>
      <c r="AB79" s="664">
        <f t="shared" si="70"/>
        <v>30</v>
      </c>
      <c r="AC79" s="664">
        <f t="shared" si="70"/>
        <v>0</v>
      </c>
      <c r="AD79" s="664">
        <f t="shared" si="70"/>
        <v>30</v>
      </c>
      <c r="AE79" s="664">
        <f t="shared" si="70"/>
        <v>16341</v>
      </c>
      <c r="AF79" s="664">
        <f t="shared" si="70"/>
        <v>1269</v>
      </c>
      <c r="AG79" s="664">
        <f t="shared" si="70"/>
        <v>0</v>
      </c>
      <c r="AH79" s="19">
        <f>AF79-V79</f>
        <v>296</v>
      </c>
    </row>
    <row r="80" spans="2:35" ht="14" thickTop="1" thickBot="1" x14ac:dyDescent="0.35">
      <c r="B80" s="61"/>
      <c r="C80" s="62"/>
      <c r="D80" s="62"/>
      <c r="E80" s="65"/>
      <c r="F80" s="65"/>
      <c r="G80" s="65"/>
      <c r="H80" s="65"/>
      <c r="I80" s="65"/>
      <c r="J80" s="65"/>
      <c r="K80" s="65"/>
      <c r="L80" s="62"/>
      <c r="M80" s="62"/>
      <c r="N80" s="62"/>
      <c r="O80" s="62"/>
      <c r="P80" s="62"/>
      <c r="Q80" s="62"/>
      <c r="R80" s="62"/>
      <c r="S80" s="62"/>
      <c r="T80" s="62"/>
      <c r="U80" s="64"/>
      <c r="V80" s="62"/>
      <c r="W80" s="62"/>
      <c r="X80" s="62"/>
      <c r="Y80" s="62"/>
      <c r="Z80" s="63"/>
      <c r="AA80" s="60"/>
      <c r="AB80" s="666"/>
      <c r="AC80" s="667"/>
      <c r="AD80" s="667"/>
      <c r="AE80" s="667"/>
      <c r="AF80" s="668"/>
      <c r="AH80" s="19"/>
    </row>
    <row r="81" spans="2:40" ht="13.5" thickBot="1" x14ac:dyDescent="0.35">
      <c r="B81" s="50" t="s">
        <v>116</v>
      </c>
      <c r="C81" s="51">
        <f t="shared" ref="C81:J81" si="71">SUBTOTAL(9,C5:C80)</f>
        <v>35794</v>
      </c>
      <c r="D81" s="51">
        <f t="shared" si="71"/>
        <v>33148</v>
      </c>
      <c r="E81" s="51">
        <f t="shared" si="71"/>
        <v>-2439</v>
      </c>
      <c r="F81" s="51">
        <f t="shared" si="71"/>
        <v>1887</v>
      </c>
      <c r="G81" s="51">
        <f t="shared" si="71"/>
        <v>-201</v>
      </c>
      <c r="H81" s="51">
        <f t="shared" si="71"/>
        <v>-41</v>
      </c>
      <c r="I81" s="51">
        <f t="shared" si="71"/>
        <v>0</v>
      </c>
      <c r="J81" s="51">
        <f t="shared" si="71"/>
        <v>0</v>
      </c>
      <c r="K81" s="51">
        <f>SUM(E81:J81)</f>
        <v>-794</v>
      </c>
      <c r="L81" s="51">
        <f>N81-D81</f>
        <v>3979</v>
      </c>
      <c r="M81" s="51">
        <f>N81-C81</f>
        <v>1333</v>
      </c>
      <c r="N81" s="51">
        <f>SUBTOTAL(9,N5:N80)</f>
        <v>37127</v>
      </c>
      <c r="O81" s="51">
        <f>SUBTOTAL(9,O5:O80)</f>
        <v>84832</v>
      </c>
      <c r="P81" s="51">
        <f>SUBTOTAL(9,P5:P80)</f>
        <v>-45937</v>
      </c>
      <c r="Q81" s="51">
        <f>SUBTOTAL(9,Q5:Q80)</f>
        <v>38896</v>
      </c>
      <c r="R81" s="51">
        <f>SUBTOTAL(9,R5:R80)</f>
        <v>37127</v>
      </c>
      <c r="S81" s="51">
        <f>Q81-R81</f>
        <v>1769</v>
      </c>
      <c r="T81" s="52">
        <f>IFERROR((Q81/N81)*100%,"∞")</f>
        <v>1.0476472647938158</v>
      </c>
      <c r="U81" s="51">
        <f>N81+V81</f>
        <v>37096</v>
      </c>
      <c r="V81" s="51">
        <f>SUBTOTAL(9,V5:V80)</f>
        <v>-31</v>
      </c>
      <c r="W81" s="51">
        <f>SUBTOTAL(9,W5:W80)</f>
        <v>-35</v>
      </c>
      <c r="X81" s="51">
        <f>SUBTOTAL(9,X5:X80)</f>
        <v>0</v>
      </c>
      <c r="Y81" s="51">
        <f>SUBTOTAL(9,Y5:Y80)</f>
        <v>0</v>
      </c>
      <c r="Z81" s="51">
        <f>SUBTOTAL(9,Z5:Z80)</f>
        <v>0</v>
      </c>
      <c r="AA81" s="60"/>
      <c r="AB81" s="669">
        <f>SUBTOTAL(9,AB5:AB80)</f>
        <v>453</v>
      </c>
      <c r="AC81" s="669">
        <f>SUBTOTAL(9,AC5:AC80)</f>
        <v>0</v>
      </c>
      <c r="AD81" s="669">
        <f>SUM(AB81:AC81)</f>
        <v>453</v>
      </c>
      <c r="AE81" s="669">
        <f>Q81+AD81</f>
        <v>39349</v>
      </c>
      <c r="AF81" s="669">
        <f>AE81-N81</f>
        <v>2222</v>
      </c>
      <c r="AH81" s="19">
        <f>AF81-V81</f>
        <v>2253</v>
      </c>
    </row>
    <row r="82" spans="2:40" ht="13.5" thickTop="1" x14ac:dyDescent="0.3">
      <c r="B82" s="71"/>
      <c r="C82" s="72"/>
      <c r="D82" s="72"/>
      <c r="E82" s="73"/>
      <c r="F82" s="73"/>
      <c r="G82" s="73"/>
      <c r="H82" s="73"/>
      <c r="I82" s="73"/>
      <c r="J82" s="73"/>
      <c r="K82" s="73"/>
      <c r="L82" s="72"/>
      <c r="M82" s="72"/>
      <c r="N82" s="72"/>
      <c r="O82" s="72"/>
      <c r="P82" s="72"/>
      <c r="Q82" s="72"/>
      <c r="R82" s="72"/>
      <c r="S82" s="72"/>
      <c r="T82" s="72"/>
      <c r="U82" s="74"/>
      <c r="V82" s="72"/>
      <c r="W82" s="72"/>
      <c r="X82" s="72"/>
      <c r="Y82" s="72"/>
      <c r="Z82" s="75"/>
      <c r="AA82" s="60"/>
      <c r="AB82" s="670"/>
      <c r="AC82" s="671"/>
      <c r="AD82" s="671"/>
      <c r="AE82" s="671"/>
      <c r="AF82" s="672"/>
    </row>
    <row r="83" spans="2:40" ht="13" outlineLevel="1" x14ac:dyDescent="0.3">
      <c r="B83" s="31" t="s">
        <v>117</v>
      </c>
      <c r="C83" s="33">
        <v>4822</v>
      </c>
      <c r="D83" s="33">
        <v>4822</v>
      </c>
      <c r="E83" s="23">
        <v>0</v>
      </c>
      <c r="F83" s="23">
        <v>0</v>
      </c>
      <c r="G83" s="23">
        <v>0</v>
      </c>
      <c r="H83" s="23">
        <v>0</v>
      </c>
      <c r="I83" s="23">
        <v>0</v>
      </c>
      <c r="J83" s="23">
        <v>0</v>
      </c>
      <c r="K83" s="23">
        <f t="shared" ref="K83:K100" si="72">SUM(E83:J83)</f>
        <v>0</v>
      </c>
      <c r="L83" s="33">
        <f t="shared" ref="L83:L100" si="73">N83-D83</f>
        <v>0</v>
      </c>
      <c r="M83" s="33">
        <f t="shared" ref="M83:M100" si="74">N83-C83</f>
        <v>0</v>
      </c>
      <c r="N83" s="33">
        <v>4822</v>
      </c>
      <c r="O83" s="33">
        <v>5927</v>
      </c>
      <c r="P83" s="33">
        <v>0</v>
      </c>
      <c r="Q83" s="33">
        <v>5927</v>
      </c>
      <c r="R83" s="33">
        <v>4822</v>
      </c>
      <c r="S83" s="33">
        <f t="shared" ref="S83:S100" si="75">Q83-R83</f>
        <v>1105</v>
      </c>
      <c r="T83" s="38">
        <f t="shared" ref="T83:T100" si="76">IFERROR((Q83/N83)*100%,"∞")</f>
        <v>1.2291580257154708</v>
      </c>
      <c r="U83" s="59">
        <f t="shared" ref="U83:U100" si="77">N83+V83</f>
        <v>4822</v>
      </c>
      <c r="V83" s="33">
        <v>0</v>
      </c>
      <c r="W83" s="33">
        <v>0</v>
      </c>
      <c r="X83" s="33"/>
      <c r="Y83" s="33"/>
      <c r="Z83" s="42"/>
      <c r="AA83" s="60"/>
      <c r="AB83" s="662"/>
      <c r="AC83" s="580"/>
      <c r="AD83" s="580">
        <f t="shared" ref="AD83:AD100" si="78">SUM(AB83:AC83)</f>
        <v>0</v>
      </c>
      <c r="AE83" s="580">
        <f t="shared" ref="AE83:AE100" si="79">Q83+AD83</f>
        <v>5927</v>
      </c>
      <c r="AF83" s="663">
        <f t="shared" ref="AF83:AF100" si="80">AE83-N83</f>
        <v>1105</v>
      </c>
    </row>
    <row r="84" spans="2:40" ht="13" outlineLevel="1" x14ac:dyDescent="0.3">
      <c r="B84" s="31" t="s">
        <v>118</v>
      </c>
      <c r="C84" s="33">
        <v>-4822</v>
      </c>
      <c r="D84" s="33">
        <v>-4822</v>
      </c>
      <c r="E84" s="23">
        <v>0</v>
      </c>
      <c r="F84" s="23">
        <v>0</v>
      </c>
      <c r="G84" s="23">
        <v>0</v>
      </c>
      <c r="H84" s="23">
        <v>0</v>
      </c>
      <c r="I84" s="23">
        <v>0</v>
      </c>
      <c r="J84" s="23">
        <v>0</v>
      </c>
      <c r="K84" s="23">
        <f t="shared" si="72"/>
        <v>0</v>
      </c>
      <c r="L84" s="33">
        <f t="shared" si="73"/>
        <v>0</v>
      </c>
      <c r="M84" s="33">
        <f t="shared" si="74"/>
        <v>0</v>
      </c>
      <c r="N84" s="33">
        <v>-4822</v>
      </c>
      <c r="O84" s="33">
        <v>0</v>
      </c>
      <c r="P84" s="33">
        <v>-5927</v>
      </c>
      <c r="Q84" s="33">
        <v>-5927</v>
      </c>
      <c r="R84" s="33">
        <v>-4822</v>
      </c>
      <c r="S84" s="33">
        <f t="shared" si="75"/>
        <v>-1105</v>
      </c>
      <c r="T84" s="38">
        <f t="shared" si="76"/>
        <v>1.2291580257154708</v>
      </c>
      <c r="U84" s="59">
        <f t="shared" si="77"/>
        <v>-4822</v>
      </c>
      <c r="V84" s="33">
        <v>0</v>
      </c>
      <c r="W84" s="33">
        <v>0</v>
      </c>
      <c r="X84" s="33"/>
      <c r="Y84" s="33"/>
      <c r="Z84" s="42"/>
      <c r="AA84" s="60"/>
      <c r="AB84" s="662"/>
      <c r="AC84" s="580"/>
      <c r="AD84" s="580">
        <f t="shared" si="78"/>
        <v>0</v>
      </c>
      <c r="AE84" s="580">
        <f t="shared" si="79"/>
        <v>-5927</v>
      </c>
      <c r="AF84" s="663">
        <f t="shared" si="80"/>
        <v>-1105</v>
      </c>
    </row>
    <row r="85" spans="2:40" ht="13" outlineLevel="1" x14ac:dyDescent="0.3">
      <c r="B85" s="31" t="s">
        <v>119</v>
      </c>
      <c r="C85" s="33">
        <v>0</v>
      </c>
      <c r="D85" s="33">
        <v>0</v>
      </c>
      <c r="E85" s="23">
        <v>0</v>
      </c>
      <c r="F85" s="23">
        <v>0</v>
      </c>
      <c r="G85" s="23">
        <v>0</v>
      </c>
      <c r="H85" s="23">
        <v>0</v>
      </c>
      <c r="I85" s="23">
        <v>0</v>
      </c>
      <c r="J85" s="23">
        <v>0</v>
      </c>
      <c r="K85" s="23">
        <f t="shared" si="72"/>
        <v>0</v>
      </c>
      <c r="L85" s="33">
        <f t="shared" si="73"/>
        <v>0</v>
      </c>
      <c r="M85" s="33">
        <f t="shared" si="74"/>
        <v>0</v>
      </c>
      <c r="N85" s="33">
        <v>0</v>
      </c>
      <c r="O85" s="33">
        <v>-3112</v>
      </c>
      <c r="P85" s="33">
        <v>0</v>
      </c>
      <c r="Q85" s="33">
        <v>-3112</v>
      </c>
      <c r="R85" s="33">
        <v>0</v>
      </c>
      <c r="S85" s="33">
        <f t="shared" si="75"/>
        <v>-3112</v>
      </c>
      <c r="T85" s="38" t="str">
        <f t="shared" si="76"/>
        <v>∞</v>
      </c>
      <c r="U85" s="59">
        <f t="shared" si="77"/>
        <v>0</v>
      </c>
      <c r="V85" s="33">
        <v>0</v>
      </c>
      <c r="W85" s="33">
        <v>0</v>
      </c>
      <c r="X85" s="33"/>
      <c r="Y85" s="33"/>
      <c r="Z85" s="42"/>
      <c r="AA85" s="60"/>
      <c r="AB85" s="662"/>
      <c r="AC85" s="580"/>
      <c r="AD85" s="580">
        <f t="shared" si="78"/>
        <v>0</v>
      </c>
      <c r="AE85" s="580">
        <f t="shared" si="79"/>
        <v>-3112</v>
      </c>
      <c r="AF85" s="663">
        <f t="shared" si="80"/>
        <v>-3112</v>
      </c>
    </row>
    <row r="86" spans="2:40" ht="13" outlineLevel="1" x14ac:dyDescent="0.3">
      <c r="B86" s="31" t="s">
        <v>120</v>
      </c>
      <c r="C86" s="33">
        <v>0</v>
      </c>
      <c r="D86" s="33">
        <v>0</v>
      </c>
      <c r="E86" s="23">
        <v>0</v>
      </c>
      <c r="F86" s="23">
        <v>0</v>
      </c>
      <c r="G86" s="23">
        <v>0</v>
      </c>
      <c r="H86" s="23">
        <v>0</v>
      </c>
      <c r="I86" s="23">
        <v>0</v>
      </c>
      <c r="J86" s="23">
        <v>0</v>
      </c>
      <c r="K86" s="23">
        <f t="shared" si="72"/>
        <v>0</v>
      </c>
      <c r="L86" s="33">
        <f t="shared" si="73"/>
        <v>0</v>
      </c>
      <c r="M86" s="33">
        <f t="shared" si="74"/>
        <v>0</v>
      </c>
      <c r="N86" s="33">
        <v>0</v>
      </c>
      <c r="O86" s="33">
        <v>0</v>
      </c>
      <c r="P86" s="33">
        <v>3112</v>
      </c>
      <c r="Q86" s="33">
        <v>3112</v>
      </c>
      <c r="R86" s="33">
        <v>0</v>
      </c>
      <c r="S86" s="33">
        <f t="shared" si="75"/>
        <v>3112</v>
      </c>
      <c r="T86" s="38" t="str">
        <f t="shared" si="76"/>
        <v>∞</v>
      </c>
      <c r="U86" s="59">
        <f t="shared" si="77"/>
        <v>0</v>
      </c>
      <c r="V86" s="33">
        <v>0</v>
      </c>
      <c r="W86" s="33">
        <v>0</v>
      </c>
      <c r="X86" s="33"/>
      <c r="Y86" s="33"/>
      <c r="Z86" s="42"/>
      <c r="AA86" s="60"/>
      <c r="AB86" s="662"/>
      <c r="AC86" s="580"/>
      <c r="AD86" s="580">
        <f t="shared" si="78"/>
        <v>0</v>
      </c>
      <c r="AE86" s="580">
        <f t="shared" si="79"/>
        <v>3112</v>
      </c>
      <c r="AF86" s="663">
        <f t="shared" si="80"/>
        <v>3112</v>
      </c>
    </row>
    <row r="87" spans="2:40" ht="13" outlineLevel="1" x14ac:dyDescent="0.3">
      <c r="B87" s="31" t="s">
        <v>121</v>
      </c>
      <c r="C87" s="33">
        <v>0</v>
      </c>
      <c r="D87" s="33">
        <v>0</v>
      </c>
      <c r="E87" s="23">
        <v>0</v>
      </c>
      <c r="F87" s="23">
        <v>0</v>
      </c>
      <c r="G87" s="23">
        <v>0</v>
      </c>
      <c r="H87" s="23">
        <v>0</v>
      </c>
      <c r="I87" s="23">
        <v>0</v>
      </c>
      <c r="J87" s="23">
        <v>0</v>
      </c>
      <c r="K87" s="23">
        <f t="shared" si="72"/>
        <v>0</v>
      </c>
      <c r="L87" s="33">
        <f t="shared" si="73"/>
        <v>0</v>
      </c>
      <c r="M87" s="33">
        <f t="shared" si="74"/>
        <v>0</v>
      </c>
      <c r="N87" s="33">
        <v>0</v>
      </c>
      <c r="O87" s="33">
        <v>8562</v>
      </c>
      <c r="P87" s="33">
        <v>0</v>
      </c>
      <c r="Q87" s="33">
        <v>8562</v>
      </c>
      <c r="R87" s="33">
        <v>0</v>
      </c>
      <c r="S87" s="33">
        <f t="shared" si="75"/>
        <v>8562</v>
      </c>
      <c r="T87" s="38" t="str">
        <f t="shared" si="76"/>
        <v>∞</v>
      </c>
      <c r="U87" s="59">
        <f t="shared" si="77"/>
        <v>0</v>
      </c>
      <c r="V87" s="33">
        <v>0</v>
      </c>
      <c r="W87" s="33">
        <v>0</v>
      </c>
      <c r="X87" s="33"/>
      <c r="Y87" s="33"/>
      <c r="Z87" s="42"/>
      <c r="AA87" s="60"/>
      <c r="AB87" s="662"/>
      <c r="AC87" s="580"/>
      <c r="AD87" s="580">
        <f t="shared" si="78"/>
        <v>0</v>
      </c>
      <c r="AE87" s="580">
        <f t="shared" si="79"/>
        <v>8562</v>
      </c>
      <c r="AF87" s="663">
        <f t="shared" si="80"/>
        <v>8562</v>
      </c>
    </row>
    <row r="88" spans="2:40" ht="13" outlineLevel="1" x14ac:dyDescent="0.3">
      <c r="B88" s="31" t="s">
        <v>122</v>
      </c>
      <c r="C88" s="33">
        <v>0</v>
      </c>
      <c r="D88" s="33">
        <v>0</v>
      </c>
      <c r="E88" s="23">
        <v>0</v>
      </c>
      <c r="F88" s="23">
        <v>0</v>
      </c>
      <c r="G88" s="23">
        <v>0</v>
      </c>
      <c r="H88" s="23">
        <v>0</v>
      </c>
      <c r="I88" s="23">
        <v>0</v>
      </c>
      <c r="J88" s="23">
        <v>0</v>
      </c>
      <c r="K88" s="23">
        <f t="shared" si="72"/>
        <v>0</v>
      </c>
      <c r="L88" s="33">
        <f t="shared" si="73"/>
        <v>0</v>
      </c>
      <c r="M88" s="33">
        <f t="shared" si="74"/>
        <v>0</v>
      </c>
      <c r="N88" s="33">
        <v>0</v>
      </c>
      <c r="O88" s="33">
        <v>-8562</v>
      </c>
      <c r="P88" s="33">
        <v>0</v>
      </c>
      <c r="Q88" s="33">
        <v>-8562</v>
      </c>
      <c r="R88" s="33">
        <v>0</v>
      </c>
      <c r="S88" s="33">
        <f t="shared" si="75"/>
        <v>-8562</v>
      </c>
      <c r="T88" s="38" t="str">
        <f t="shared" si="76"/>
        <v>∞</v>
      </c>
      <c r="U88" s="59">
        <f t="shared" si="77"/>
        <v>0</v>
      </c>
      <c r="V88" s="33">
        <v>0</v>
      </c>
      <c r="W88" s="33">
        <v>0</v>
      </c>
      <c r="X88" s="33"/>
      <c r="Y88" s="33"/>
      <c r="Z88" s="42"/>
      <c r="AA88" s="60"/>
      <c r="AB88" s="662"/>
      <c r="AC88" s="580"/>
      <c r="AD88" s="580">
        <f t="shared" si="78"/>
        <v>0</v>
      </c>
      <c r="AE88" s="580">
        <f t="shared" si="79"/>
        <v>-8562</v>
      </c>
      <c r="AF88" s="663">
        <f t="shared" si="80"/>
        <v>-8562</v>
      </c>
    </row>
    <row r="89" spans="2:40" ht="13" outlineLevel="1" x14ac:dyDescent="0.3">
      <c r="B89" s="31" t="s">
        <v>123</v>
      </c>
      <c r="C89" s="33">
        <v>0</v>
      </c>
      <c r="D89" s="33">
        <v>0</v>
      </c>
      <c r="E89" s="23">
        <v>0</v>
      </c>
      <c r="F89" s="23">
        <v>0</v>
      </c>
      <c r="G89" s="23">
        <v>0</v>
      </c>
      <c r="H89" s="23">
        <v>0</v>
      </c>
      <c r="I89" s="23">
        <v>0</v>
      </c>
      <c r="J89" s="23">
        <v>0</v>
      </c>
      <c r="K89" s="23">
        <f t="shared" si="72"/>
        <v>0</v>
      </c>
      <c r="L89" s="33">
        <f t="shared" si="73"/>
        <v>0</v>
      </c>
      <c r="M89" s="33">
        <f t="shared" si="74"/>
        <v>0</v>
      </c>
      <c r="N89" s="33">
        <v>0</v>
      </c>
      <c r="O89" s="33">
        <v>0</v>
      </c>
      <c r="P89" s="33">
        <v>-612</v>
      </c>
      <c r="Q89" s="33">
        <v>-612</v>
      </c>
      <c r="R89" s="33">
        <v>0</v>
      </c>
      <c r="S89" s="33">
        <f t="shared" si="75"/>
        <v>-612</v>
      </c>
      <c r="T89" s="38" t="str">
        <f t="shared" si="76"/>
        <v>∞</v>
      </c>
      <c r="U89" s="59">
        <f t="shared" si="77"/>
        <v>0</v>
      </c>
      <c r="V89" s="33">
        <v>0</v>
      </c>
      <c r="W89" s="33">
        <v>0</v>
      </c>
      <c r="X89" s="33"/>
      <c r="Y89" s="33"/>
      <c r="Z89" s="42"/>
      <c r="AA89" s="60"/>
      <c r="AB89" s="662"/>
      <c r="AC89" s="580"/>
      <c r="AD89" s="580">
        <f t="shared" si="78"/>
        <v>0</v>
      </c>
      <c r="AE89" s="580">
        <f t="shared" si="79"/>
        <v>-612</v>
      </c>
      <c r="AF89" s="663">
        <f t="shared" si="80"/>
        <v>-612</v>
      </c>
    </row>
    <row r="90" spans="2:40" ht="13" outlineLevel="1" x14ac:dyDescent="0.3">
      <c r="B90" s="31" t="s">
        <v>124</v>
      </c>
      <c r="C90" s="33">
        <v>0</v>
      </c>
      <c r="D90" s="33">
        <v>0</v>
      </c>
      <c r="E90" s="23">
        <v>0</v>
      </c>
      <c r="F90" s="23">
        <v>0</v>
      </c>
      <c r="G90" s="23">
        <v>0</v>
      </c>
      <c r="H90" s="23">
        <v>0</v>
      </c>
      <c r="I90" s="23">
        <v>0</v>
      </c>
      <c r="J90" s="23">
        <v>0</v>
      </c>
      <c r="K90" s="23">
        <f t="shared" si="72"/>
        <v>0</v>
      </c>
      <c r="L90" s="33">
        <f t="shared" si="73"/>
        <v>0</v>
      </c>
      <c r="M90" s="33">
        <f t="shared" si="74"/>
        <v>0</v>
      </c>
      <c r="N90" s="33">
        <v>0</v>
      </c>
      <c r="O90" s="33">
        <v>612</v>
      </c>
      <c r="P90" s="33">
        <v>0</v>
      </c>
      <c r="Q90" s="33">
        <v>612</v>
      </c>
      <c r="R90" s="33">
        <v>0</v>
      </c>
      <c r="S90" s="33">
        <f t="shared" si="75"/>
        <v>612</v>
      </c>
      <c r="T90" s="38" t="str">
        <f t="shared" si="76"/>
        <v>∞</v>
      </c>
      <c r="U90" s="59">
        <f t="shared" si="77"/>
        <v>0</v>
      </c>
      <c r="V90" s="33">
        <v>0</v>
      </c>
      <c r="W90" s="33">
        <v>0</v>
      </c>
      <c r="X90" s="33"/>
      <c r="Y90" s="33"/>
      <c r="Z90" s="42"/>
      <c r="AA90" s="60"/>
      <c r="AB90" s="662"/>
      <c r="AC90" s="580"/>
      <c r="AD90" s="580">
        <f t="shared" si="78"/>
        <v>0</v>
      </c>
      <c r="AE90" s="580">
        <f t="shared" si="79"/>
        <v>612</v>
      </c>
      <c r="AF90" s="663">
        <f t="shared" si="80"/>
        <v>612</v>
      </c>
      <c r="AN90" s="19"/>
    </row>
    <row r="91" spans="2:40" ht="13" outlineLevel="1" x14ac:dyDescent="0.3">
      <c r="B91" s="31" t="s">
        <v>125</v>
      </c>
      <c r="C91" s="33">
        <v>0</v>
      </c>
      <c r="D91" s="33">
        <v>0</v>
      </c>
      <c r="E91" s="23">
        <v>0</v>
      </c>
      <c r="F91" s="23">
        <v>0</v>
      </c>
      <c r="G91" s="23">
        <v>0</v>
      </c>
      <c r="H91" s="23">
        <v>0</v>
      </c>
      <c r="I91" s="23">
        <v>0</v>
      </c>
      <c r="J91" s="23">
        <v>0</v>
      </c>
      <c r="K91" s="23">
        <f t="shared" si="72"/>
        <v>0</v>
      </c>
      <c r="L91" s="33">
        <f t="shared" si="73"/>
        <v>0</v>
      </c>
      <c r="M91" s="33">
        <f t="shared" si="74"/>
        <v>0</v>
      </c>
      <c r="N91" s="33">
        <v>0</v>
      </c>
      <c r="O91" s="33">
        <v>-249</v>
      </c>
      <c r="P91" s="33">
        <v>0</v>
      </c>
      <c r="Q91" s="33">
        <v>-249</v>
      </c>
      <c r="R91" s="33">
        <v>0</v>
      </c>
      <c r="S91" s="33">
        <f t="shared" si="75"/>
        <v>-249</v>
      </c>
      <c r="T91" s="38" t="str">
        <f t="shared" si="76"/>
        <v>∞</v>
      </c>
      <c r="U91" s="59">
        <f t="shared" si="77"/>
        <v>0</v>
      </c>
      <c r="V91" s="33">
        <v>0</v>
      </c>
      <c r="W91" s="33">
        <v>0</v>
      </c>
      <c r="X91" s="33"/>
      <c r="Y91" s="33"/>
      <c r="Z91" s="42"/>
      <c r="AA91" s="60"/>
      <c r="AB91" s="662"/>
      <c r="AC91" s="580"/>
      <c r="AD91" s="580">
        <f t="shared" si="78"/>
        <v>0</v>
      </c>
      <c r="AE91" s="580">
        <f t="shared" si="79"/>
        <v>-249</v>
      </c>
      <c r="AF91" s="663">
        <f t="shared" si="80"/>
        <v>-249</v>
      </c>
    </row>
    <row r="92" spans="2:40" ht="13" outlineLevel="1" x14ac:dyDescent="0.3">
      <c r="B92" s="31" t="s">
        <v>126</v>
      </c>
      <c r="C92" s="33">
        <v>0</v>
      </c>
      <c r="D92" s="33">
        <v>0</v>
      </c>
      <c r="E92" s="23">
        <v>0</v>
      </c>
      <c r="F92" s="23">
        <v>0</v>
      </c>
      <c r="G92" s="23">
        <v>0</v>
      </c>
      <c r="H92" s="23">
        <v>0</v>
      </c>
      <c r="I92" s="23">
        <v>0</v>
      </c>
      <c r="J92" s="23">
        <v>0</v>
      </c>
      <c r="K92" s="23">
        <f t="shared" si="72"/>
        <v>0</v>
      </c>
      <c r="L92" s="33">
        <f t="shared" si="73"/>
        <v>0</v>
      </c>
      <c r="M92" s="33">
        <f t="shared" si="74"/>
        <v>0</v>
      </c>
      <c r="N92" s="33">
        <v>0</v>
      </c>
      <c r="O92" s="33">
        <v>249</v>
      </c>
      <c r="P92" s="33">
        <v>0</v>
      </c>
      <c r="Q92" s="33">
        <v>249</v>
      </c>
      <c r="R92" s="33">
        <v>0</v>
      </c>
      <c r="S92" s="33">
        <f t="shared" si="75"/>
        <v>249</v>
      </c>
      <c r="T92" s="38" t="str">
        <f t="shared" si="76"/>
        <v>∞</v>
      </c>
      <c r="U92" s="59">
        <f t="shared" si="77"/>
        <v>0</v>
      </c>
      <c r="V92" s="33">
        <v>0</v>
      </c>
      <c r="W92" s="33">
        <v>0</v>
      </c>
      <c r="X92" s="33"/>
      <c r="Y92" s="33"/>
      <c r="Z92" s="42"/>
      <c r="AA92" s="60"/>
      <c r="AB92" s="662"/>
      <c r="AC92" s="580"/>
      <c r="AD92" s="580">
        <f t="shared" si="78"/>
        <v>0</v>
      </c>
      <c r="AE92" s="580">
        <f t="shared" si="79"/>
        <v>249</v>
      </c>
      <c r="AF92" s="663">
        <f t="shared" si="80"/>
        <v>249</v>
      </c>
    </row>
    <row r="93" spans="2:40" ht="13" outlineLevel="1" x14ac:dyDescent="0.3">
      <c r="B93" s="31" t="s">
        <v>127</v>
      </c>
      <c r="C93" s="33">
        <v>0</v>
      </c>
      <c r="D93" s="33">
        <v>0</v>
      </c>
      <c r="E93" s="23">
        <v>0</v>
      </c>
      <c r="F93" s="23">
        <v>0</v>
      </c>
      <c r="G93" s="23">
        <v>0</v>
      </c>
      <c r="H93" s="23">
        <v>0</v>
      </c>
      <c r="I93" s="23">
        <v>0</v>
      </c>
      <c r="J93" s="23">
        <v>0</v>
      </c>
      <c r="K93" s="23">
        <f t="shared" si="72"/>
        <v>0</v>
      </c>
      <c r="L93" s="33">
        <f t="shared" si="73"/>
        <v>0</v>
      </c>
      <c r="M93" s="33">
        <f t="shared" si="74"/>
        <v>0</v>
      </c>
      <c r="N93" s="33">
        <v>0</v>
      </c>
      <c r="O93" s="33">
        <v>15194</v>
      </c>
      <c r="P93" s="33">
        <v>0</v>
      </c>
      <c r="Q93" s="33">
        <v>15194</v>
      </c>
      <c r="R93" s="33">
        <v>0</v>
      </c>
      <c r="S93" s="33">
        <f t="shared" si="75"/>
        <v>15194</v>
      </c>
      <c r="T93" s="38" t="str">
        <f t="shared" si="76"/>
        <v>∞</v>
      </c>
      <c r="U93" s="59">
        <f t="shared" si="77"/>
        <v>0</v>
      </c>
      <c r="V93" s="33">
        <v>0</v>
      </c>
      <c r="W93" s="33">
        <v>0</v>
      </c>
      <c r="X93" s="33"/>
      <c r="Y93" s="33"/>
      <c r="Z93" s="42"/>
      <c r="AA93" s="60"/>
      <c r="AB93" s="662"/>
      <c r="AC93" s="580"/>
      <c r="AD93" s="580">
        <f t="shared" si="78"/>
        <v>0</v>
      </c>
      <c r="AE93" s="580">
        <f t="shared" si="79"/>
        <v>15194</v>
      </c>
      <c r="AF93" s="663">
        <f t="shared" si="80"/>
        <v>15194</v>
      </c>
    </row>
    <row r="94" spans="2:40" ht="13" outlineLevel="1" x14ac:dyDescent="0.3">
      <c r="B94" s="31" t="s">
        <v>128</v>
      </c>
      <c r="C94" s="33">
        <v>0</v>
      </c>
      <c r="D94" s="33">
        <v>0</v>
      </c>
      <c r="E94" s="23">
        <v>0</v>
      </c>
      <c r="F94" s="23">
        <v>0</v>
      </c>
      <c r="G94" s="23">
        <v>0</v>
      </c>
      <c r="H94" s="23">
        <v>0</v>
      </c>
      <c r="I94" s="23">
        <v>0</v>
      </c>
      <c r="J94" s="23">
        <v>0</v>
      </c>
      <c r="K94" s="23">
        <f t="shared" si="72"/>
        <v>0</v>
      </c>
      <c r="L94" s="33">
        <f t="shared" si="73"/>
        <v>0</v>
      </c>
      <c r="M94" s="33">
        <f t="shared" si="74"/>
        <v>0</v>
      </c>
      <c r="N94" s="33">
        <v>0</v>
      </c>
      <c r="O94" s="33">
        <v>-14797</v>
      </c>
      <c r="P94" s="33">
        <v>0</v>
      </c>
      <c r="Q94" s="33">
        <v>-14797</v>
      </c>
      <c r="R94" s="33">
        <v>0</v>
      </c>
      <c r="S94" s="33">
        <f t="shared" si="75"/>
        <v>-14797</v>
      </c>
      <c r="T94" s="38" t="str">
        <f t="shared" si="76"/>
        <v>∞</v>
      </c>
      <c r="U94" s="59">
        <f t="shared" si="77"/>
        <v>0</v>
      </c>
      <c r="V94" s="33">
        <v>0</v>
      </c>
      <c r="W94" s="33">
        <v>0</v>
      </c>
      <c r="X94" s="33"/>
      <c r="Y94" s="33"/>
      <c r="Z94" s="42"/>
      <c r="AA94" s="60"/>
      <c r="AB94" s="662"/>
      <c r="AC94" s="580"/>
      <c r="AD94" s="580">
        <f t="shared" si="78"/>
        <v>0</v>
      </c>
      <c r="AE94" s="580">
        <f t="shared" si="79"/>
        <v>-14797</v>
      </c>
      <c r="AF94" s="663">
        <f t="shared" si="80"/>
        <v>-14797</v>
      </c>
    </row>
    <row r="95" spans="2:40" ht="13" outlineLevel="1" x14ac:dyDescent="0.3">
      <c r="B95" s="31" t="s">
        <v>129</v>
      </c>
      <c r="C95" s="33">
        <v>0</v>
      </c>
      <c r="D95" s="33">
        <v>0</v>
      </c>
      <c r="E95" s="23">
        <v>0</v>
      </c>
      <c r="F95" s="23">
        <v>0</v>
      </c>
      <c r="G95" s="23">
        <v>0</v>
      </c>
      <c r="H95" s="23">
        <v>0</v>
      </c>
      <c r="I95" s="23">
        <v>0</v>
      </c>
      <c r="J95" s="23">
        <v>0</v>
      </c>
      <c r="K95" s="23">
        <f t="shared" si="72"/>
        <v>0</v>
      </c>
      <c r="L95" s="33">
        <f t="shared" si="73"/>
        <v>0</v>
      </c>
      <c r="M95" s="33">
        <f t="shared" si="74"/>
        <v>0</v>
      </c>
      <c r="N95" s="33">
        <v>0</v>
      </c>
      <c r="O95" s="33">
        <v>-397</v>
      </c>
      <c r="P95" s="33">
        <v>0</v>
      </c>
      <c r="Q95" s="33">
        <v>-397</v>
      </c>
      <c r="R95" s="33">
        <v>0</v>
      </c>
      <c r="S95" s="33">
        <f t="shared" si="75"/>
        <v>-397</v>
      </c>
      <c r="T95" s="38" t="str">
        <f t="shared" si="76"/>
        <v>∞</v>
      </c>
      <c r="U95" s="59">
        <f t="shared" si="77"/>
        <v>0</v>
      </c>
      <c r="V95" s="33">
        <v>0</v>
      </c>
      <c r="W95" s="33">
        <v>0</v>
      </c>
      <c r="X95" s="33"/>
      <c r="Y95" s="33"/>
      <c r="Z95" s="42"/>
      <c r="AA95" s="60"/>
      <c r="AB95" s="662"/>
      <c r="AC95" s="580"/>
      <c r="AD95" s="580">
        <f t="shared" si="78"/>
        <v>0</v>
      </c>
      <c r="AE95" s="580">
        <f t="shared" si="79"/>
        <v>-397</v>
      </c>
      <c r="AF95" s="663">
        <f t="shared" si="80"/>
        <v>-397</v>
      </c>
    </row>
    <row r="96" spans="2:40" ht="13" outlineLevel="1" x14ac:dyDescent="0.3">
      <c r="B96" s="31" t="s">
        <v>130</v>
      </c>
      <c r="C96" s="33">
        <v>0</v>
      </c>
      <c r="D96" s="33">
        <v>0</v>
      </c>
      <c r="E96" s="23">
        <v>0</v>
      </c>
      <c r="F96" s="23">
        <v>0</v>
      </c>
      <c r="G96" s="23">
        <v>0</v>
      </c>
      <c r="H96" s="23">
        <v>0</v>
      </c>
      <c r="I96" s="23">
        <v>0</v>
      </c>
      <c r="J96" s="23">
        <v>0</v>
      </c>
      <c r="K96" s="23">
        <f t="shared" si="72"/>
        <v>0</v>
      </c>
      <c r="L96" s="33">
        <f t="shared" si="73"/>
        <v>0</v>
      </c>
      <c r="M96" s="33">
        <f t="shared" si="74"/>
        <v>0</v>
      </c>
      <c r="N96" s="33">
        <v>0</v>
      </c>
      <c r="O96" s="33">
        <v>7003</v>
      </c>
      <c r="P96" s="33">
        <v>0</v>
      </c>
      <c r="Q96" s="33">
        <v>7003</v>
      </c>
      <c r="R96" s="33">
        <v>0</v>
      </c>
      <c r="S96" s="33">
        <f t="shared" si="75"/>
        <v>7003</v>
      </c>
      <c r="T96" s="38" t="str">
        <f t="shared" si="76"/>
        <v>∞</v>
      </c>
      <c r="U96" s="59">
        <f t="shared" si="77"/>
        <v>0</v>
      </c>
      <c r="V96" s="33">
        <v>0</v>
      </c>
      <c r="W96" s="33">
        <v>0</v>
      </c>
      <c r="X96" s="33"/>
      <c r="Y96" s="33"/>
      <c r="Z96" s="42"/>
      <c r="AA96" s="60"/>
      <c r="AB96" s="662"/>
      <c r="AC96" s="580"/>
      <c r="AD96" s="580">
        <f t="shared" si="78"/>
        <v>0</v>
      </c>
      <c r="AE96" s="580">
        <f t="shared" si="79"/>
        <v>7003</v>
      </c>
      <c r="AF96" s="663">
        <f t="shared" si="80"/>
        <v>7003</v>
      </c>
      <c r="AL96" s="19"/>
    </row>
    <row r="97" spans="2:40" ht="13" outlineLevel="1" x14ac:dyDescent="0.3">
      <c r="B97" s="31" t="s">
        <v>131</v>
      </c>
      <c r="C97" s="33">
        <v>0</v>
      </c>
      <c r="D97" s="33">
        <v>0</v>
      </c>
      <c r="E97" s="23">
        <v>0</v>
      </c>
      <c r="F97" s="23">
        <v>0</v>
      </c>
      <c r="G97" s="23">
        <v>0</v>
      </c>
      <c r="H97" s="23">
        <v>0</v>
      </c>
      <c r="I97" s="23">
        <v>0</v>
      </c>
      <c r="J97" s="23">
        <v>0</v>
      </c>
      <c r="K97" s="23">
        <f t="shared" si="72"/>
        <v>0</v>
      </c>
      <c r="L97" s="33">
        <f t="shared" si="73"/>
        <v>0</v>
      </c>
      <c r="M97" s="33">
        <f t="shared" si="74"/>
        <v>0</v>
      </c>
      <c r="N97" s="33">
        <v>0</v>
      </c>
      <c r="O97" s="33">
        <v>0</v>
      </c>
      <c r="P97" s="33">
        <v>-7003</v>
      </c>
      <c r="Q97" s="33">
        <v>-7003</v>
      </c>
      <c r="R97" s="33">
        <v>0</v>
      </c>
      <c r="S97" s="33">
        <f t="shared" si="75"/>
        <v>-7003</v>
      </c>
      <c r="T97" s="38" t="str">
        <f t="shared" si="76"/>
        <v>∞</v>
      </c>
      <c r="U97" s="59">
        <f t="shared" si="77"/>
        <v>0</v>
      </c>
      <c r="V97" s="33">
        <v>0</v>
      </c>
      <c r="W97" s="33">
        <v>0</v>
      </c>
      <c r="X97" s="33"/>
      <c r="Y97" s="33"/>
      <c r="Z97" s="42"/>
      <c r="AA97" s="60"/>
      <c r="AB97" s="662"/>
      <c r="AC97" s="580"/>
      <c r="AD97" s="580">
        <f t="shared" si="78"/>
        <v>0</v>
      </c>
      <c r="AE97" s="580">
        <f t="shared" si="79"/>
        <v>-7003</v>
      </c>
      <c r="AF97" s="663">
        <f t="shared" si="80"/>
        <v>-7003</v>
      </c>
      <c r="AL97" s="19"/>
    </row>
    <row r="98" spans="2:40" ht="13" outlineLevel="1" x14ac:dyDescent="0.3">
      <c r="B98" s="31" t="s">
        <v>132</v>
      </c>
      <c r="C98" s="33">
        <v>14098</v>
      </c>
      <c r="D98" s="33">
        <v>14098</v>
      </c>
      <c r="E98" s="23">
        <v>0</v>
      </c>
      <c r="F98" s="23">
        <v>0</v>
      </c>
      <c r="G98" s="23">
        <v>0</v>
      </c>
      <c r="H98" s="23">
        <v>0</v>
      </c>
      <c r="I98" s="23">
        <v>0</v>
      </c>
      <c r="J98" s="23">
        <v>424</v>
      </c>
      <c r="K98" s="23">
        <f t="shared" si="72"/>
        <v>424</v>
      </c>
      <c r="L98" s="33">
        <f t="shared" si="73"/>
        <v>425</v>
      </c>
      <c r="M98" s="33">
        <f t="shared" si="74"/>
        <v>425</v>
      </c>
      <c r="N98" s="33">
        <v>14523</v>
      </c>
      <c r="O98" s="33">
        <v>21007</v>
      </c>
      <c r="P98" s="33">
        <v>0</v>
      </c>
      <c r="Q98" s="33">
        <v>21007</v>
      </c>
      <c r="R98" s="33">
        <v>14523</v>
      </c>
      <c r="S98" s="33">
        <f t="shared" si="75"/>
        <v>6484</v>
      </c>
      <c r="T98" s="38">
        <f t="shared" si="76"/>
        <v>1.4464642291537562</v>
      </c>
      <c r="U98" s="59">
        <f t="shared" si="77"/>
        <v>14523</v>
      </c>
      <c r="V98" s="33">
        <v>0</v>
      </c>
      <c r="W98" s="33">
        <v>0</v>
      </c>
      <c r="X98" s="33"/>
      <c r="Y98" s="33"/>
      <c r="Z98" s="42"/>
      <c r="AA98" s="60"/>
      <c r="AB98" s="662"/>
      <c r="AC98" s="580"/>
      <c r="AD98" s="580">
        <f t="shared" si="78"/>
        <v>0</v>
      </c>
      <c r="AE98" s="580">
        <f t="shared" si="79"/>
        <v>21007</v>
      </c>
      <c r="AF98" s="663">
        <f t="shared" si="80"/>
        <v>6484</v>
      </c>
      <c r="AL98" s="19"/>
      <c r="AM98" s="19"/>
      <c r="AN98" s="19"/>
    </row>
    <row r="99" spans="2:40" ht="13" outlineLevel="1" x14ac:dyDescent="0.3">
      <c r="B99" s="31" t="s">
        <v>133</v>
      </c>
      <c r="C99" s="33">
        <v>-20487</v>
      </c>
      <c r="D99" s="33">
        <v>-20487</v>
      </c>
      <c r="E99" s="23">
        <v>0</v>
      </c>
      <c r="F99" s="23">
        <v>0</v>
      </c>
      <c r="G99" s="23">
        <v>0</v>
      </c>
      <c r="H99" s="23">
        <v>0</v>
      </c>
      <c r="I99" s="23">
        <v>0</v>
      </c>
      <c r="J99" s="23">
        <v>-424</v>
      </c>
      <c r="K99" s="23">
        <f t="shared" si="72"/>
        <v>-424</v>
      </c>
      <c r="L99" s="33">
        <f t="shared" si="73"/>
        <v>-424</v>
      </c>
      <c r="M99" s="33">
        <f t="shared" si="74"/>
        <v>-424</v>
      </c>
      <c r="N99" s="33">
        <v>-20911</v>
      </c>
      <c r="O99" s="33">
        <v>0</v>
      </c>
      <c r="P99" s="33">
        <v>-29579</v>
      </c>
      <c r="Q99" s="33">
        <v>-29579</v>
      </c>
      <c r="R99" s="33">
        <v>-20911</v>
      </c>
      <c r="S99" s="645">
        <f t="shared" si="75"/>
        <v>-8668</v>
      </c>
      <c r="T99" s="38">
        <f t="shared" si="76"/>
        <v>1.4145186743819043</v>
      </c>
      <c r="U99" s="59">
        <f t="shared" si="77"/>
        <v>-20911</v>
      </c>
      <c r="V99" s="33">
        <v>0</v>
      </c>
      <c r="W99" s="33">
        <v>0</v>
      </c>
      <c r="X99" s="33"/>
      <c r="Y99" s="33"/>
      <c r="Z99" s="42"/>
      <c r="AA99" s="60"/>
      <c r="AB99" s="662"/>
      <c r="AC99" s="580"/>
      <c r="AD99" s="580">
        <f t="shared" si="78"/>
        <v>0</v>
      </c>
      <c r="AE99" s="580">
        <f t="shared" si="79"/>
        <v>-29579</v>
      </c>
      <c r="AF99" s="663">
        <f t="shared" si="80"/>
        <v>-8668</v>
      </c>
    </row>
    <row r="100" spans="2:40" ht="13" outlineLevel="1" x14ac:dyDescent="0.3">
      <c r="B100" s="31" t="s">
        <v>134</v>
      </c>
      <c r="C100" s="33">
        <v>-3149</v>
      </c>
      <c r="D100" s="33">
        <v>-3149</v>
      </c>
      <c r="E100" s="23">
        <v>0</v>
      </c>
      <c r="F100" s="23">
        <v>0</v>
      </c>
      <c r="G100" s="23">
        <v>0</v>
      </c>
      <c r="H100" s="23">
        <v>0</v>
      </c>
      <c r="I100" s="23">
        <v>0</v>
      </c>
      <c r="J100" s="23">
        <v>0</v>
      </c>
      <c r="K100" s="23">
        <f t="shared" si="72"/>
        <v>0</v>
      </c>
      <c r="L100" s="33">
        <f t="shared" si="73"/>
        <v>0</v>
      </c>
      <c r="M100" s="33">
        <f t="shared" si="74"/>
        <v>0</v>
      </c>
      <c r="N100" s="33">
        <v>-3149</v>
      </c>
      <c r="O100" s="33">
        <v>0</v>
      </c>
      <c r="P100" s="33">
        <v>-3149</v>
      </c>
      <c r="Q100" s="33">
        <v>-3149</v>
      </c>
      <c r="R100" s="33">
        <v>-3149</v>
      </c>
      <c r="S100" s="33">
        <f t="shared" si="75"/>
        <v>0</v>
      </c>
      <c r="T100" s="38">
        <f t="shared" si="76"/>
        <v>1</v>
      </c>
      <c r="U100" s="59">
        <f t="shared" si="77"/>
        <v>-3149</v>
      </c>
      <c r="V100" s="33">
        <v>0</v>
      </c>
      <c r="W100" s="33">
        <v>0</v>
      </c>
      <c r="X100" s="33"/>
      <c r="Y100" s="33"/>
      <c r="Z100" s="42"/>
      <c r="AA100" s="60"/>
      <c r="AB100" s="662"/>
      <c r="AC100" s="580"/>
      <c r="AD100" s="580">
        <f t="shared" si="78"/>
        <v>0</v>
      </c>
      <c r="AE100" s="580">
        <f t="shared" si="79"/>
        <v>-3149</v>
      </c>
      <c r="AF100" s="663">
        <f t="shared" si="80"/>
        <v>0</v>
      </c>
    </row>
    <row r="101" spans="2:40" ht="13.5" outlineLevel="1" thickBot="1" x14ac:dyDescent="0.35">
      <c r="B101" s="80"/>
      <c r="C101" s="81"/>
      <c r="D101" s="81"/>
      <c r="E101" s="82"/>
      <c r="F101" s="82"/>
      <c r="G101" s="82"/>
      <c r="H101" s="82"/>
      <c r="I101" s="82"/>
      <c r="J101" s="82"/>
      <c r="K101" s="82"/>
      <c r="L101" s="81"/>
      <c r="M101" s="81"/>
      <c r="N101" s="81"/>
      <c r="O101" s="81"/>
      <c r="P101" s="81"/>
      <c r="Q101" s="81"/>
      <c r="R101" s="81"/>
      <c r="S101" s="81"/>
      <c r="T101" s="81"/>
      <c r="U101" s="83"/>
      <c r="V101" s="81"/>
      <c r="W101" s="81"/>
      <c r="X101" s="81"/>
      <c r="Y101" s="81"/>
      <c r="Z101" s="84"/>
      <c r="AA101" s="60"/>
      <c r="AB101" s="673"/>
      <c r="AC101" s="674"/>
      <c r="AD101" s="674"/>
      <c r="AE101" s="674"/>
      <c r="AF101" s="675"/>
    </row>
    <row r="102" spans="2:40" ht="13.5" thickBot="1" x14ac:dyDescent="0.35">
      <c r="B102" s="68" t="s">
        <v>135</v>
      </c>
      <c r="C102" s="69">
        <f t="shared" ref="C102:J102" si="81">SUM(C83:C83,C84:C84,C85:C85,C86:C86,C87:C87,C88:C88,C89:C89,C90:C90,C91:C91,C92:C92,C93:C93,C94:C94,C95:C95,C96:C96,C97:C97,C98:C98,C99:C99,C100:C100)</f>
        <v>-9538</v>
      </c>
      <c r="D102" s="69">
        <f t="shared" si="81"/>
        <v>-9538</v>
      </c>
      <c r="E102" s="77">
        <f t="shared" si="81"/>
        <v>0</v>
      </c>
      <c r="F102" s="77">
        <f t="shared" si="81"/>
        <v>0</v>
      </c>
      <c r="G102" s="77">
        <f t="shared" si="81"/>
        <v>0</v>
      </c>
      <c r="H102" s="77">
        <f t="shared" si="81"/>
        <v>0</v>
      </c>
      <c r="I102" s="77">
        <f t="shared" si="81"/>
        <v>0</v>
      </c>
      <c r="J102" s="77">
        <f t="shared" si="81"/>
        <v>0</v>
      </c>
      <c r="K102" s="77">
        <f>SUM(E102:J102)</f>
        <v>0</v>
      </c>
      <c r="L102" s="69">
        <f>N102-D102</f>
        <v>1</v>
      </c>
      <c r="M102" s="69">
        <f>N102-C102</f>
        <v>1</v>
      </c>
      <c r="N102" s="69">
        <f>SUM(N83:N83,N84:N84,N85:N85,N86:N86,N87:N87,N88:N88,N89:N89,N90:N90,N91:N91,N92:N92,N93:N93,N94:N94,N95:N95,N96:N96,N97:N97,N98:N98,N99:N99,N100:N100)</f>
        <v>-9537</v>
      </c>
      <c r="O102" s="69">
        <f>SUM(O83:O83,O84:O84,O85:O85,O86:O86,O87:O87,O88:O88,O89:O89,O90:O90,O91:O91,O92:O92,O93:O93,O94:O94,O95:O95,O96:O96,O97:O97,O98:O98,O99:O99,O100:O100)</f>
        <v>31437</v>
      </c>
      <c r="P102" s="69">
        <f>SUM(P83:P83,P84:P84,P85:P85,P86:P86,P87:P87,P88:P88,P89:P89,P90:P90,P91:P91,P92:P92,P93:P93,P94:P94,P95:P95,P96:P96,P97:P97,P98:P98,P99:P99,P100:P100)</f>
        <v>-43158</v>
      </c>
      <c r="Q102" s="69">
        <f>SUM(Q83:Q83,Q84:Q84,Q85:Q85,Q86:Q86,Q87:Q87,Q88:Q88,Q89:Q89,Q90:Q90,Q91:Q91,Q92:Q92,Q93:Q93,Q94:Q94,Q95:Q95,Q96:Q96,Q97:Q97,Q98:Q98,Q99:Q99,Q100:Q100)</f>
        <v>-11721</v>
      </c>
      <c r="R102" s="69">
        <f>SUM(R83:R83,R84:R84,R85:R85,R86:R86,R87:R87,R88:R88,R89:R89,R90:R90,R91:R91,R92:R92,R93:R93,R94:R94,R95:R95,R96:R96,R97:R97,R98:R98,R99:R99,R100:R100)</f>
        <v>-9537</v>
      </c>
      <c r="S102" s="69">
        <f>Q102-R102</f>
        <v>-2184</v>
      </c>
      <c r="T102" s="70">
        <f>IFERROR((Q102/N102)*100%,"∞")</f>
        <v>1.2290028310789556</v>
      </c>
      <c r="U102" s="76">
        <f>N102+V102</f>
        <v>-9537</v>
      </c>
      <c r="V102" s="69">
        <f>SUM(V83:V83,V84:V84,V85:V85,V86:V86,V87:V87,V88:V88,V89:V89,V90:V90,V91:V91,V92:V92,V93:V93,V94:V94,V95:V95,V96:V96,V97:V97,V98:V98,V99:V99,V100:V100)</f>
        <v>0</v>
      </c>
      <c r="W102" s="69">
        <f>SUM(W83:W83,W84:W84,W85:W85,W86:W86,W87:W87,W88:W88,W89:W89,W90:W90,W91:W91,W92:W92,W93:W93,W94:W94,W95:W95,W96:W96,W97:W97,W98:W98,W99:W99,W100:W100)</f>
        <v>0</v>
      </c>
      <c r="X102" s="69">
        <f>SUM(X83:X83,X84:X84,X85:X85,X86:X86,X87:X87,X88:X88,X89:X89,X90:X90,X91:X91,X92:X92,X93:X93,X94:X94,X95:X95,X96:X96,X97:X97,X98:X98,X99:X99,X100:X100)</f>
        <v>0</v>
      </c>
      <c r="Y102" s="69">
        <f>SUM(Y83:Y83,Y84:Y84,Y85:Y85,Y86:Y86,Y87:Y87,Y88:Y88,Y89:Y89,Y90:Y90,Y91:Y91,Y92:Y92,Y93:Y93,Y94:Y94,Y95:Y95,Y96:Y96,Y97:Y97,Y98:Y98,Y99:Y99,Y100:Y100)</f>
        <v>0</v>
      </c>
      <c r="Z102" s="69">
        <f>SUM(Z83:Z83,Z84:Z84,Z85:Z85,Z86:Z86,Z87:Z87,Z88:Z88,Z89:Z89,Z90:Z90,Z91:Z91,Z92:Z92,Z93:Z93,Z94:Z94,Z95:Z95,Z96:Z96,Z97:Z97,Z98:Z98,Z99:Z99,Z100:Z100)</f>
        <v>0</v>
      </c>
      <c r="AA102" s="60"/>
      <c r="AB102" s="676">
        <f>SUM(AB83:AB83,AB84:AB84,AB85:AB85,AB86:AB86,AB87:AB87,AB88:AB88,AB89:AB89,AB90:AB90,AB91:AB91,AB92:AB92,AB93:AB93,AB94:AB94,AB95:AB95,AB96:AB96,AB97:AB97,AB98:AB98,AB99:AB99,AB100:AB100)</f>
        <v>0</v>
      </c>
      <c r="AC102" s="676">
        <f>SUM(AC83:AC83,AC84:AC84,AC85:AC85,AC86:AC86,AC87:AC87,AC88:AC88,AC89:AC89,AC90:AC90,AC91:AC91,AC92:AC92,AC93:AC93,AC94:AC94,AC95:AC95,AC96:AC96,AC97:AC97,AC98:AC98,AC99:AC99,AC100:AC100)</f>
        <v>0</v>
      </c>
      <c r="AD102" s="676">
        <f>SUM(AD83:AD83,AD84:AD84,AD85:AD85,AD86:AD86,AD87:AD87,AD88:AD88,AD89:AD89,AD90:AD90,AD91:AD91,AD92:AD92,AD93:AD93,AD94:AD94,AD95:AD95,AD96:AD96,AD97:AD97,AD98:AD98,AD99:AD99,AD100:AD100)</f>
        <v>0</v>
      </c>
      <c r="AE102" s="676">
        <f>SUM(AE83:AE83,AE84:AE84,AE85:AE85,AE86:AE86,AE87:AE87,AE88:AE88,AE89:AE89,AE90:AE90,AE91:AE91,AE92:AE92,AE93:AE93,AE94:AE94,AE95:AE95,AE96:AE96,AE97:AE97,AE98:AE98,AE99:AE99,AE100:AE100)</f>
        <v>-11721</v>
      </c>
      <c r="AF102" s="676">
        <f>SUM(AF83:AF83,AF84:AF84,AF85:AF85,AF86:AF86,AF87:AF87,AF88:AF88,AF89:AF89,AF90:AF90,AF91:AF91,AF92:AF92,AF93:AF93,AF94:AF94,AF95:AF95,AF96:AF96,AF97:AF97,AF98:AF98,AF99:AF99,AF100:AF100)</f>
        <v>-2184</v>
      </c>
      <c r="AH102" t="s">
        <v>180</v>
      </c>
      <c r="AJ102" t="s">
        <v>639</v>
      </c>
    </row>
    <row r="103" spans="2:40" ht="13.5" thickTop="1" x14ac:dyDescent="0.3">
      <c r="B103" s="71"/>
      <c r="C103" s="72"/>
      <c r="D103" s="72"/>
      <c r="E103" s="73"/>
      <c r="F103" s="73"/>
      <c r="G103" s="73"/>
      <c r="H103" s="73"/>
      <c r="I103" s="73"/>
      <c r="J103" s="73"/>
      <c r="K103" s="73"/>
      <c r="L103" s="72"/>
      <c r="M103" s="72"/>
      <c r="N103" s="72"/>
      <c r="O103" s="72"/>
      <c r="P103" s="72"/>
      <c r="Q103" s="72"/>
      <c r="R103" s="72"/>
      <c r="S103" s="72"/>
      <c r="T103" s="72"/>
      <c r="U103" s="74"/>
      <c r="V103" s="72"/>
      <c r="W103" s="72"/>
      <c r="X103" s="72"/>
      <c r="Y103" s="72"/>
      <c r="Z103" s="75"/>
      <c r="AA103" s="60"/>
      <c r="AB103" s="670"/>
      <c r="AC103" s="671"/>
      <c r="AD103" s="671"/>
      <c r="AE103" s="671"/>
      <c r="AF103" s="672"/>
    </row>
    <row r="104" spans="2:40" ht="13" x14ac:dyDescent="0.3">
      <c r="B104" s="78" t="s">
        <v>136</v>
      </c>
      <c r="C104" s="34">
        <f>SUM(C105:C114)</f>
        <v>1825</v>
      </c>
      <c r="D104" s="34">
        <f>SUM(D105:D114)</f>
        <v>1767</v>
      </c>
      <c r="E104" s="34">
        <f t="shared" ref="E104:K104" si="82">SUM(E105:E114)</f>
        <v>0</v>
      </c>
      <c r="F104" s="34">
        <f t="shared" si="82"/>
        <v>16</v>
      </c>
      <c r="G104" s="34">
        <f t="shared" si="82"/>
        <v>-58</v>
      </c>
      <c r="H104" s="34">
        <f t="shared" si="82"/>
        <v>74</v>
      </c>
      <c r="I104" s="34">
        <f t="shared" si="82"/>
        <v>0</v>
      </c>
      <c r="J104" s="34">
        <f t="shared" si="82"/>
        <v>0</v>
      </c>
      <c r="K104" s="34">
        <f t="shared" si="82"/>
        <v>32</v>
      </c>
      <c r="L104" s="34">
        <f>N104-D104</f>
        <v>-2075</v>
      </c>
      <c r="M104" s="34">
        <f>N104-C104</f>
        <v>-2133</v>
      </c>
      <c r="N104" s="34">
        <f>SUM(N105:N114)</f>
        <v>-308</v>
      </c>
      <c r="O104" s="34">
        <f>SUM(O105:O114,O139:O139)</f>
        <v>74866</v>
      </c>
      <c r="P104" s="34">
        <f t="shared" ref="P104:Q104" si="83">SUM(P105:P114,P139:P139)</f>
        <v>-74357</v>
      </c>
      <c r="Q104" s="34">
        <f t="shared" si="83"/>
        <v>509</v>
      </c>
      <c r="R104" s="34">
        <f>SUM(R105:R114,R139:R139)</f>
        <v>-846</v>
      </c>
      <c r="S104" s="34">
        <f>Q104-R104</f>
        <v>1355</v>
      </c>
      <c r="T104" s="94">
        <f>IFERROR((Q104/N104)*100%,"∞")</f>
        <v>-1.6525974025974026</v>
      </c>
      <c r="U104" s="95">
        <f>N104+V104</f>
        <v>81</v>
      </c>
      <c r="V104" s="34">
        <f>SUM(V105:V114,V139:V139)</f>
        <v>389</v>
      </c>
      <c r="W104" s="34">
        <f>SUM(W105:W114,W139:W139)</f>
        <v>0</v>
      </c>
      <c r="X104" s="34"/>
      <c r="Y104" s="34"/>
      <c r="Z104" s="41"/>
      <c r="AA104" s="60"/>
      <c r="AB104" s="662">
        <f>SUM(AB105:AB114)</f>
        <v>0</v>
      </c>
      <c r="AC104" s="662">
        <f t="shared" ref="AC104:AG104" si="84">SUM(AC105:AC114)</f>
        <v>0</v>
      </c>
      <c r="AD104" s="662">
        <f t="shared" si="84"/>
        <v>0</v>
      </c>
      <c r="AE104" s="662">
        <f t="shared" si="84"/>
        <v>-29</v>
      </c>
      <c r="AF104" s="662">
        <f t="shared" si="84"/>
        <v>279</v>
      </c>
      <c r="AG104" s="662">
        <f t="shared" si="84"/>
        <v>0</v>
      </c>
      <c r="AH104" s="19"/>
    </row>
    <row r="105" spans="2:40" ht="13" outlineLevel="1" x14ac:dyDescent="0.3">
      <c r="B105" s="79" t="s">
        <v>137</v>
      </c>
      <c r="C105" s="33">
        <v>380</v>
      </c>
      <c r="D105" s="33">
        <v>380</v>
      </c>
      <c r="E105" s="23">
        <v>0</v>
      </c>
      <c r="F105" s="23">
        <v>16</v>
      </c>
      <c r="G105" s="23">
        <v>0</v>
      </c>
      <c r="H105" s="23">
        <v>16</v>
      </c>
      <c r="I105" s="23">
        <v>0</v>
      </c>
      <c r="J105" s="23">
        <v>0</v>
      </c>
      <c r="K105" s="23">
        <f>SUM(E105:J105)</f>
        <v>32</v>
      </c>
      <c r="L105" s="33">
        <f>N105-D105</f>
        <v>16</v>
      </c>
      <c r="M105" s="33">
        <f>N105-C105</f>
        <v>16</v>
      </c>
      <c r="N105" s="33">
        <v>396</v>
      </c>
      <c r="O105" s="33">
        <v>38966</v>
      </c>
      <c r="P105" s="33">
        <v>-37500</v>
      </c>
      <c r="Q105" s="33">
        <v>1466</v>
      </c>
      <c r="R105" s="33">
        <v>396</v>
      </c>
      <c r="S105" s="33">
        <f>Q105-R105</f>
        <v>1070</v>
      </c>
      <c r="T105" s="38">
        <f>IFERROR((Q105/N105)*100%,"∞")</f>
        <v>3.702020202020202</v>
      </c>
      <c r="U105" s="59">
        <f>N105+V105</f>
        <v>396</v>
      </c>
      <c r="V105" s="33">
        <v>0</v>
      </c>
      <c r="W105" s="33">
        <v>0</v>
      </c>
      <c r="X105" s="33"/>
      <c r="Y105" s="33"/>
      <c r="Z105" s="42"/>
      <c r="AA105" s="60"/>
      <c r="AB105" s="662"/>
      <c r="AC105" s="580"/>
      <c r="AD105" s="580">
        <f>SUM(AB105:AC105)</f>
        <v>0</v>
      </c>
      <c r="AE105" s="580">
        <f>Q105+AD105</f>
        <v>1466</v>
      </c>
      <c r="AF105" s="663">
        <f>AE105-N105</f>
        <v>1070</v>
      </c>
      <c r="AH105" t="s">
        <v>628</v>
      </c>
      <c r="AL105" t="s">
        <v>640</v>
      </c>
    </row>
    <row r="106" spans="2:40" ht="13" outlineLevel="1" x14ac:dyDescent="0.3">
      <c r="B106" s="79" t="s">
        <v>138</v>
      </c>
      <c r="C106" s="33">
        <v>3062</v>
      </c>
      <c r="D106" s="33">
        <v>3062</v>
      </c>
      <c r="E106" s="23">
        <v>0</v>
      </c>
      <c r="F106" s="23">
        <v>0</v>
      </c>
      <c r="G106" s="23">
        <v>0</v>
      </c>
      <c r="H106" s="23">
        <v>0</v>
      </c>
      <c r="I106" s="23">
        <v>0</v>
      </c>
      <c r="J106" s="23">
        <v>0</v>
      </c>
      <c r="K106" s="23">
        <f t="shared" ref="K106:K113" si="85">SUM(E106:J106)</f>
        <v>0</v>
      </c>
      <c r="L106" s="33">
        <f t="shared" ref="L106:L113" si="86">N106-D106</f>
        <v>0</v>
      </c>
      <c r="M106" s="33">
        <f t="shared" ref="M106:M113" si="87">N106-C106</f>
        <v>0</v>
      </c>
      <c r="N106" s="33">
        <v>3062</v>
      </c>
      <c r="O106" s="33">
        <v>4324</v>
      </c>
      <c r="P106" s="33">
        <v>0</v>
      </c>
      <c r="Q106" s="33">
        <v>4324</v>
      </c>
      <c r="R106" s="33">
        <v>3062</v>
      </c>
      <c r="S106" s="33">
        <f t="shared" ref="S106:S113" si="88">Q106-R106</f>
        <v>1262</v>
      </c>
      <c r="T106" s="38">
        <f t="shared" ref="T106:T113" si="89">IFERROR((Q106/N106)*100%,"∞")</f>
        <v>1.4121489222730241</v>
      </c>
      <c r="U106" s="59">
        <f t="shared" ref="U106:U113" si="90">N106+V106</f>
        <v>3062</v>
      </c>
      <c r="V106" s="33">
        <v>0</v>
      </c>
      <c r="W106" s="33">
        <v>0</v>
      </c>
      <c r="X106" s="33"/>
      <c r="Y106" s="33"/>
      <c r="Z106" s="42"/>
      <c r="AA106" s="60"/>
      <c r="AB106" s="662"/>
      <c r="AC106" s="580"/>
      <c r="AD106" s="580">
        <f t="shared" ref="AD106:AD113" si="91">SUM(AB106:AC106)</f>
        <v>0</v>
      </c>
      <c r="AE106" s="580">
        <f t="shared" ref="AE106:AE113" si="92">Q106+AD106</f>
        <v>4324</v>
      </c>
      <c r="AF106" s="663">
        <f t="shared" ref="AF106:AF113" si="93">AE106-N106</f>
        <v>1262</v>
      </c>
      <c r="AH106" t="s">
        <v>183</v>
      </c>
    </row>
    <row r="107" spans="2:40" ht="13" outlineLevel="1" x14ac:dyDescent="0.3">
      <c r="B107" s="79" t="s">
        <v>139</v>
      </c>
      <c r="C107" s="33">
        <v>602</v>
      </c>
      <c r="D107" s="33">
        <v>602</v>
      </c>
      <c r="E107" s="23">
        <v>0</v>
      </c>
      <c r="F107" s="23">
        <v>0</v>
      </c>
      <c r="G107" s="23">
        <v>0</v>
      </c>
      <c r="H107" s="23">
        <v>0</v>
      </c>
      <c r="I107" s="23">
        <v>0</v>
      </c>
      <c r="J107" s="23">
        <v>0</v>
      </c>
      <c r="K107" s="23">
        <f t="shared" si="85"/>
        <v>0</v>
      </c>
      <c r="L107" s="33">
        <f t="shared" si="86"/>
        <v>0</v>
      </c>
      <c r="M107" s="33">
        <f t="shared" si="87"/>
        <v>0</v>
      </c>
      <c r="N107" s="33">
        <v>602</v>
      </c>
      <c r="O107" s="33">
        <v>426</v>
      </c>
      <c r="P107" s="33">
        <v>0</v>
      </c>
      <c r="Q107" s="33">
        <v>426</v>
      </c>
      <c r="R107" s="33">
        <v>602</v>
      </c>
      <c r="S107" s="33">
        <f t="shared" si="88"/>
        <v>-176</v>
      </c>
      <c r="T107" s="38">
        <f t="shared" si="89"/>
        <v>0.70764119601328901</v>
      </c>
      <c r="U107" s="59">
        <f t="shared" si="90"/>
        <v>602</v>
      </c>
      <c r="V107" s="33">
        <v>0</v>
      </c>
      <c r="W107" s="33">
        <v>0</v>
      </c>
      <c r="X107" s="33"/>
      <c r="Y107" s="33"/>
      <c r="Z107" s="42"/>
      <c r="AA107" s="60"/>
      <c r="AB107" s="662"/>
      <c r="AC107" s="580"/>
      <c r="AD107" s="580">
        <f t="shared" si="91"/>
        <v>0</v>
      </c>
      <c r="AE107" s="580">
        <f t="shared" si="92"/>
        <v>426</v>
      </c>
      <c r="AF107" s="663">
        <f t="shared" si="93"/>
        <v>-176</v>
      </c>
    </row>
    <row r="108" spans="2:40" ht="13" outlineLevel="1" x14ac:dyDescent="0.3">
      <c r="B108" s="79" t="s">
        <v>141</v>
      </c>
      <c r="C108" s="33">
        <v>8228</v>
      </c>
      <c r="D108" s="33">
        <v>8228</v>
      </c>
      <c r="E108" s="23">
        <v>0</v>
      </c>
      <c r="F108" s="23">
        <v>0</v>
      </c>
      <c r="G108" s="23">
        <v>0</v>
      </c>
      <c r="H108" s="23">
        <v>0</v>
      </c>
      <c r="I108" s="23">
        <v>0</v>
      </c>
      <c r="J108" s="23">
        <v>0</v>
      </c>
      <c r="K108" s="23">
        <f t="shared" si="85"/>
        <v>0</v>
      </c>
      <c r="L108" s="33">
        <f t="shared" si="86"/>
        <v>0</v>
      </c>
      <c r="M108" s="33">
        <f t="shared" si="87"/>
        <v>0</v>
      </c>
      <c r="N108" s="33">
        <v>8228</v>
      </c>
      <c r="O108" s="33">
        <v>6425</v>
      </c>
      <c r="P108" s="33">
        <v>0</v>
      </c>
      <c r="Q108" s="33">
        <v>6425</v>
      </c>
      <c r="R108" s="33">
        <v>8228</v>
      </c>
      <c r="S108" s="33">
        <f t="shared" si="88"/>
        <v>-1803</v>
      </c>
      <c r="T108" s="38">
        <f t="shared" si="89"/>
        <v>0.78087019931939716</v>
      </c>
      <c r="U108" s="59">
        <f t="shared" si="90"/>
        <v>8617</v>
      </c>
      <c r="V108" s="33">
        <v>389</v>
      </c>
      <c r="W108" s="33">
        <v>0</v>
      </c>
      <c r="X108" s="33"/>
      <c r="Y108" s="33"/>
      <c r="Z108" s="42"/>
      <c r="AA108" s="60"/>
      <c r="AB108" s="662"/>
      <c r="AC108" s="580"/>
      <c r="AD108" s="580">
        <f t="shared" si="91"/>
        <v>0</v>
      </c>
      <c r="AE108" s="580">
        <f t="shared" si="92"/>
        <v>6425</v>
      </c>
      <c r="AF108" s="663">
        <f t="shared" si="93"/>
        <v>-1803</v>
      </c>
      <c r="AH108" t="s">
        <v>184</v>
      </c>
      <c r="AI108" s="19"/>
    </row>
    <row r="109" spans="2:40" ht="13" outlineLevel="1" x14ac:dyDescent="0.3">
      <c r="B109" s="79" t="s">
        <v>142</v>
      </c>
      <c r="C109" s="33">
        <v>-4059</v>
      </c>
      <c r="D109" s="33">
        <v>-4059</v>
      </c>
      <c r="E109" s="23">
        <v>0</v>
      </c>
      <c r="F109" s="23">
        <v>0</v>
      </c>
      <c r="G109" s="23">
        <v>0</v>
      </c>
      <c r="H109" s="23">
        <v>0</v>
      </c>
      <c r="I109" s="23">
        <v>0</v>
      </c>
      <c r="J109" s="23">
        <v>0</v>
      </c>
      <c r="K109" s="23">
        <f t="shared" si="85"/>
        <v>0</v>
      </c>
      <c r="L109" s="33">
        <f t="shared" si="86"/>
        <v>0</v>
      </c>
      <c r="M109" s="33">
        <f t="shared" si="87"/>
        <v>0</v>
      </c>
      <c r="N109" s="33">
        <v>-4059</v>
      </c>
      <c r="O109" s="33">
        <v>121</v>
      </c>
      <c r="P109" s="33">
        <v>-4717</v>
      </c>
      <c r="Q109" s="33">
        <v>-4596</v>
      </c>
      <c r="R109" s="33">
        <v>-4059</v>
      </c>
      <c r="S109" s="33">
        <f t="shared" si="88"/>
        <v>-537</v>
      </c>
      <c r="T109" s="38">
        <f t="shared" si="89"/>
        <v>1.1322985957132299</v>
      </c>
      <c r="U109" s="59">
        <f t="shared" si="90"/>
        <v>-4059</v>
      </c>
      <c r="V109" s="33">
        <v>0</v>
      </c>
      <c r="W109" s="33">
        <v>0</v>
      </c>
      <c r="X109" s="33"/>
      <c r="Y109" s="33"/>
      <c r="Z109" s="42"/>
      <c r="AA109" s="60"/>
      <c r="AB109" s="662"/>
      <c r="AC109" s="580"/>
      <c r="AD109" s="580">
        <f t="shared" si="91"/>
        <v>0</v>
      </c>
      <c r="AE109" s="580">
        <f t="shared" si="92"/>
        <v>-4596</v>
      </c>
      <c r="AF109" s="663">
        <f t="shared" si="93"/>
        <v>-537</v>
      </c>
      <c r="AH109" t="s">
        <v>184</v>
      </c>
      <c r="AI109" s="19"/>
    </row>
    <row r="110" spans="2:40" ht="13" outlineLevel="1" x14ac:dyDescent="0.3">
      <c r="B110" s="79" t="s">
        <v>143</v>
      </c>
      <c r="C110" s="33">
        <v>-8097</v>
      </c>
      <c r="D110" s="33">
        <v>-8097</v>
      </c>
      <c r="E110" s="23">
        <v>0</v>
      </c>
      <c r="F110" s="23">
        <v>0</v>
      </c>
      <c r="G110" s="23">
        <v>0</v>
      </c>
      <c r="H110" s="23">
        <v>0</v>
      </c>
      <c r="I110" s="23">
        <v>0</v>
      </c>
      <c r="J110" s="23">
        <v>0</v>
      </c>
      <c r="K110" s="23">
        <f t="shared" si="85"/>
        <v>0</v>
      </c>
      <c r="L110" s="33">
        <f t="shared" si="86"/>
        <v>0</v>
      </c>
      <c r="M110" s="33">
        <f t="shared" si="87"/>
        <v>0</v>
      </c>
      <c r="N110" s="33">
        <v>-8097</v>
      </c>
      <c r="O110" s="33">
        <v>0</v>
      </c>
      <c r="P110" s="33">
        <v>-7636</v>
      </c>
      <c r="Q110" s="33">
        <v>-7636</v>
      </c>
      <c r="R110" s="33">
        <v>-8097</v>
      </c>
      <c r="S110" s="33">
        <f t="shared" si="88"/>
        <v>461</v>
      </c>
      <c r="T110" s="38">
        <f t="shared" si="89"/>
        <v>0.94306533283932326</v>
      </c>
      <c r="U110" s="59">
        <f t="shared" si="90"/>
        <v>-8097</v>
      </c>
      <c r="V110" s="33">
        <v>0</v>
      </c>
      <c r="W110" s="33">
        <v>0</v>
      </c>
      <c r="X110" s="33"/>
      <c r="Y110" s="33"/>
      <c r="Z110" s="42"/>
      <c r="AA110" s="60"/>
      <c r="AB110" s="662"/>
      <c r="AC110" s="580"/>
      <c r="AD110" s="580">
        <f t="shared" si="91"/>
        <v>0</v>
      </c>
      <c r="AE110" s="580">
        <f t="shared" si="92"/>
        <v>-7636</v>
      </c>
      <c r="AF110" s="663">
        <f t="shared" si="93"/>
        <v>461</v>
      </c>
      <c r="AH110" t="s">
        <v>184</v>
      </c>
      <c r="AI110" s="19"/>
    </row>
    <row r="111" spans="2:40" ht="13" outlineLevel="1" x14ac:dyDescent="0.3">
      <c r="B111" s="79" t="s">
        <v>144</v>
      </c>
      <c r="C111" s="33">
        <v>-605</v>
      </c>
      <c r="D111" s="33">
        <v>-605</v>
      </c>
      <c r="E111" s="23">
        <v>0</v>
      </c>
      <c r="F111" s="23">
        <v>0</v>
      </c>
      <c r="G111" s="23">
        <v>0</v>
      </c>
      <c r="H111" s="23">
        <v>0</v>
      </c>
      <c r="I111" s="23">
        <v>0</v>
      </c>
      <c r="J111" s="23">
        <v>0</v>
      </c>
      <c r="K111" s="23">
        <f t="shared" si="85"/>
        <v>0</v>
      </c>
      <c r="L111" s="33">
        <f t="shared" si="86"/>
        <v>0</v>
      </c>
      <c r="M111" s="33">
        <f t="shared" si="87"/>
        <v>0</v>
      </c>
      <c r="N111" s="33">
        <v>-605</v>
      </c>
      <c r="O111" s="33">
        <v>0</v>
      </c>
      <c r="P111" s="33">
        <v>-475</v>
      </c>
      <c r="Q111" s="33">
        <v>-475</v>
      </c>
      <c r="R111" s="33">
        <v>-605</v>
      </c>
      <c r="S111" s="33">
        <f t="shared" si="88"/>
        <v>130</v>
      </c>
      <c r="T111" s="38">
        <f t="shared" si="89"/>
        <v>0.78512396694214881</v>
      </c>
      <c r="U111" s="59">
        <f t="shared" si="90"/>
        <v>-605</v>
      </c>
      <c r="V111" s="33">
        <v>0</v>
      </c>
      <c r="W111" s="33">
        <v>0</v>
      </c>
      <c r="X111" s="33"/>
      <c r="Y111" s="33"/>
      <c r="Z111" s="42"/>
      <c r="AA111" s="60"/>
      <c r="AB111" s="662"/>
      <c r="AC111" s="580"/>
      <c r="AD111" s="580">
        <f t="shared" si="91"/>
        <v>0</v>
      </c>
      <c r="AE111" s="580">
        <f t="shared" si="92"/>
        <v>-475</v>
      </c>
      <c r="AF111" s="663">
        <f t="shared" si="93"/>
        <v>130</v>
      </c>
      <c r="AH111" t="s">
        <v>184</v>
      </c>
    </row>
    <row r="112" spans="2:40" ht="13" outlineLevel="1" x14ac:dyDescent="0.3">
      <c r="B112" s="79" t="s">
        <v>145</v>
      </c>
      <c r="C112" s="33">
        <v>2149</v>
      </c>
      <c r="D112" s="33">
        <v>2091</v>
      </c>
      <c r="E112" s="23">
        <v>0</v>
      </c>
      <c r="F112" s="23">
        <v>0</v>
      </c>
      <c r="G112" s="23">
        <v>-58</v>
      </c>
      <c r="H112" s="23">
        <v>58</v>
      </c>
      <c r="I112" s="23">
        <v>0</v>
      </c>
      <c r="J112" s="23">
        <v>0</v>
      </c>
      <c r="K112" s="23">
        <f t="shared" si="85"/>
        <v>0</v>
      </c>
      <c r="L112" s="33">
        <f t="shared" si="86"/>
        <v>-2091</v>
      </c>
      <c r="M112" s="33">
        <f t="shared" si="87"/>
        <v>-2149</v>
      </c>
      <c r="N112" s="33">
        <f>2149-2149</f>
        <v>0</v>
      </c>
      <c r="O112" s="33">
        <v>0</v>
      </c>
      <c r="P112" s="33">
        <v>0</v>
      </c>
      <c r="Q112" s="33">
        <v>0</v>
      </c>
      <c r="R112" s="33">
        <f>2149-2149</f>
        <v>0</v>
      </c>
      <c r="S112" s="33">
        <f t="shared" si="88"/>
        <v>0</v>
      </c>
      <c r="T112" s="38" t="str">
        <f t="shared" si="89"/>
        <v>∞</v>
      </c>
      <c r="U112" s="59">
        <f t="shared" si="90"/>
        <v>0</v>
      </c>
      <c r="V112" s="33">
        <v>0</v>
      </c>
      <c r="W112" s="33">
        <v>0</v>
      </c>
      <c r="X112" s="33"/>
      <c r="Y112" s="33"/>
      <c r="Z112" s="42"/>
      <c r="AA112" s="60"/>
      <c r="AB112" s="662"/>
      <c r="AC112" s="580"/>
      <c r="AD112" s="580">
        <f t="shared" si="91"/>
        <v>0</v>
      </c>
      <c r="AE112" s="580">
        <f t="shared" si="92"/>
        <v>0</v>
      </c>
      <c r="AF112" s="663">
        <f t="shared" si="93"/>
        <v>0</v>
      </c>
    </row>
    <row r="113" spans="2:36" ht="13" outlineLevel="1" x14ac:dyDescent="0.3">
      <c r="B113" s="79" t="s">
        <v>146</v>
      </c>
      <c r="C113" s="33">
        <v>165</v>
      </c>
      <c r="D113" s="33">
        <v>165</v>
      </c>
      <c r="E113" s="23">
        <v>0</v>
      </c>
      <c r="F113" s="23">
        <v>0</v>
      </c>
      <c r="G113" s="23">
        <v>0</v>
      </c>
      <c r="H113" s="23">
        <v>0</v>
      </c>
      <c r="I113" s="23">
        <v>0</v>
      </c>
      <c r="J113" s="23">
        <v>0</v>
      </c>
      <c r="K113" s="23">
        <f t="shared" si="85"/>
        <v>0</v>
      </c>
      <c r="L113" s="33">
        <f t="shared" si="86"/>
        <v>0</v>
      </c>
      <c r="M113" s="33">
        <f t="shared" si="87"/>
        <v>0</v>
      </c>
      <c r="N113" s="33">
        <v>165</v>
      </c>
      <c r="O113" s="33">
        <v>37</v>
      </c>
      <c r="P113" s="33">
        <v>0</v>
      </c>
      <c r="Q113" s="33">
        <v>37</v>
      </c>
      <c r="R113" s="33">
        <v>165</v>
      </c>
      <c r="S113" s="33">
        <f t="shared" si="88"/>
        <v>-128</v>
      </c>
      <c r="T113" s="38">
        <f t="shared" si="89"/>
        <v>0.22424242424242424</v>
      </c>
      <c r="U113" s="59">
        <f t="shared" si="90"/>
        <v>165</v>
      </c>
      <c r="V113" s="33">
        <v>0</v>
      </c>
      <c r="W113" s="33">
        <v>0</v>
      </c>
      <c r="X113" s="33"/>
      <c r="Y113" s="33"/>
      <c r="Z113" s="42"/>
      <c r="AA113" s="60"/>
      <c r="AB113" s="662"/>
      <c r="AC113" s="580"/>
      <c r="AD113" s="580">
        <f t="shared" si="91"/>
        <v>0</v>
      </c>
      <c r="AE113" s="580">
        <f t="shared" si="92"/>
        <v>37</v>
      </c>
      <c r="AF113" s="663">
        <f t="shared" si="93"/>
        <v>-128</v>
      </c>
    </row>
    <row r="114" spans="2:36" ht="13" outlineLevel="1" x14ac:dyDescent="0.3">
      <c r="B114" s="79" t="s">
        <v>147</v>
      </c>
      <c r="C114" s="33">
        <v>0</v>
      </c>
      <c r="D114" s="33">
        <v>0</v>
      </c>
      <c r="E114" s="23">
        <v>0</v>
      </c>
      <c r="F114" s="23">
        <v>0</v>
      </c>
      <c r="G114" s="23">
        <v>0</v>
      </c>
      <c r="H114" s="23">
        <v>0</v>
      </c>
      <c r="I114" s="23">
        <v>0</v>
      </c>
      <c r="J114" s="23">
        <v>0</v>
      </c>
      <c r="K114" s="23">
        <f>SUM(E114:J114)</f>
        <v>0</v>
      </c>
      <c r="L114" s="33">
        <f>N114-D114</f>
        <v>0</v>
      </c>
      <c r="M114" s="33">
        <f>N114-C114</f>
        <v>0</v>
      </c>
      <c r="N114" s="33">
        <v>0</v>
      </c>
      <c r="O114" s="33">
        <v>24567</v>
      </c>
      <c r="P114" s="33">
        <v>-24567</v>
      </c>
      <c r="Q114" s="33">
        <v>0</v>
      </c>
      <c r="R114" s="33">
        <v>0</v>
      </c>
      <c r="S114" s="33">
        <f>Q114-R114</f>
        <v>0</v>
      </c>
      <c r="T114" s="38" t="str">
        <f>IFERROR((Q114/N114)*100%,"∞")</f>
        <v>∞</v>
      </c>
      <c r="U114" s="59">
        <f>N114+V114</f>
        <v>0</v>
      </c>
      <c r="V114" s="33">
        <v>0</v>
      </c>
      <c r="W114" s="33">
        <v>0</v>
      </c>
      <c r="X114" s="33"/>
      <c r="Y114" s="33"/>
      <c r="Z114" s="42"/>
      <c r="AA114" s="60"/>
      <c r="AB114" s="662"/>
      <c r="AC114" s="580"/>
      <c r="AD114" s="580">
        <f>SUM(AB114:AC114)</f>
        <v>0</v>
      </c>
      <c r="AE114" s="580">
        <f>Q114+AD114</f>
        <v>0</v>
      </c>
      <c r="AF114" s="663">
        <f>AE114-N114</f>
        <v>0</v>
      </c>
    </row>
    <row r="115" spans="2:36" ht="13" outlineLevel="1" x14ac:dyDescent="0.3">
      <c r="B115" s="79"/>
      <c r="C115" s="33"/>
      <c r="D115" s="33"/>
      <c r="E115" s="23"/>
      <c r="F115" s="23"/>
      <c r="G115" s="23"/>
      <c r="H115" s="23"/>
      <c r="I115" s="23"/>
      <c r="J115" s="23"/>
      <c r="K115" s="23"/>
      <c r="L115" s="33"/>
      <c r="M115" s="33"/>
      <c r="N115" s="33"/>
      <c r="O115" s="33"/>
      <c r="P115" s="33"/>
      <c r="Q115" s="33"/>
      <c r="R115" s="33"/>
      <c r="S115" s="33"/>
      <c r="T115" s="38"/>
      <c r="U115" s="59"/>
      <c r="V115" s="33"/>
      <c r="W115" s="33"/>
      <c r="X115" s="33"/>
      <c r="Y115" s="33"/>
      <c r="Z115" s="42"/>
      <c r="AA115" s="60"/>
      <c r="AB115" s="662"/>
      <c r="AC115" s="580"/>
      <c r="AD115" s="580"/>
      <c r="AE115" s="580"/>
      <c r="AF115" s="663"/>
    </row>
    <row r="116" spans="2:36" ht="13" x14ac:dyDescent="0.3">
      <c r="B116" s="85"/>
      <c r="C116" s="86"/>
      <c r="D116" s="86"/>
      <c r="E116" s="87"/>
      <c r="F116" s="87"/>
      <c r="G116" s="87"/>
      <c r="H116" s="87"/>
      <c r="I116" s="87"/>
      <c r="J116" s="87"/>
      <c r="K116" s="87"/>
      <c r="L116" s="86"/>
      <c r="M116" s="86"/>
      <c r="N116" s="86"/>
      <c r="O116" s="86"/>
      <c r="P116" s="86"/>
      <c r="Q116" s="86"/>
      <c r="R116" s="86"/>
      <c r="S116" s="86"/>
      <c r="T116" s="86"/>
      <c r="U116" s="88"/>
      <c r="V116" s="86"/>
      <c r="W116" s="86"/>
      <c r="X116" s="86"/>
      <c r="Y116" s="86"/>
      <c r="Z116" s="89"/>
      <c r="AA116" s="60"/>
      <c r="AB116" s="673"/>
      <c r="AC116" s="674"/>
      <c r="AD116" s="674"/>
      <c r="AE116" s="674"/>
      <c r="AF116" s="675"/>
    </row>
    <row r="117" spans="2:36" ht="13" x14ac:dyDescent="0.3">
      <c r="B117" s="78" t="s">
        <v>149</v>
      </c>
      <c r="C117" s="34">
        <f t="shared" ref="C117:J117" si="94">SUM(C118:C126)</f>
        <v>633</v>
      </c>
      <c r="D117" s="34">
        <f t="shared" si="94"/>
        <v>895</v>
      </c>
      <c r="E117" s="24">
        <f t="shared" si="94"/>
        <v>0</v>
      </c>
      <c r="F117" s="24">
        <f t="shared" si="94"/>
        <v>0</v>
      </c>
      <c r="G117" s="24">
        <f t="shared" si="94"/>
        <v>262</v>
      </c>
      <c r="H117" s="24">
        <f t="shared" si="94"/>
        <v>0</v>
      </c>
      <c r="I117" s="24">
        <f t="shared" si="94"/>
        <v>0</v>
      </c>
      <c r="J117" s="24">
        <f t="shared" si="94"/>
        <v>0</v>
      </c>
      <c r="K117" s="24">
        <f>SUM(E117:J117)</f>
        <v>262</v>
      </c>
      <c r="L117" s="34">
        <f>N117-D117</f>
        <v>0</v>
      </c>
      <c r="M117" s="34">
        <f>N117-C117</f>
        <v>262</v>
      </c>
      <c r="N117" s="34">
        <f>SUM(N118:N126)</f>
        <v>895</v>
      </c>
      <c r="O117" s="34">
        <f>SUM(O118:O126)</f>
        <v>78</v>
      </c>
      <c r="P117" s="34">
        <f>SUM(P118:P126)</f>
        <v>-1060</v>
      </c>
      <c r="Q117" s="34">
        <f>SUM(Q118:Q126)</f>
        <v>-982</v>
      </c>
      <c r="R117" s="34">
        <f>SUM(R118:R126)</f>
        <v>895</v>
      </c>
      <c r="S117" s="34">
        <f>Q117-R117</f>
        <v>-1877</v>
      </c>
      <c r="T117" s="94">
        <f>IFERROR((Q117/N117)*100%,"∞")</f>
        <v>-1.0972067039106146</v>
      </c>
      <c r="U117" s="95">
        <f>N117+V117</f>
        <v>895</v>
      </c>
      <c r="V117" s="34">
        <f>SUM(V118:V126)</f>
        <v>0</v>
      </c>
      <c r="W117" s="34">
        <f>SUM(W118:W126)</f>
        <v>0</v>
      </c>
      <c r="X117" s="34"/>
      <c r="Y117" s="34"/>
      <c r="Z117" s="41"/>
      <c r="AA117" s="60"/>
      <c r="AB117" s="662">
        <f>SUM(AB118:AB126)</f>
        <v>0</v>
      </c>
      <c r="AC117" s="580">
        <f>SUM(AC118:AC126)</f>
        <v>1840</v>
      </c>
      <c r="AD117" s="580">
        <f>SUM(AD118:AD126)</f>
        <v>1840</v>
      </c>
      <c r="AE117" s="580">
        <f>SUM(AE118:AE126)</f>
        <v>858</v>
      </c>
      <c r="AF117" s="663">
        <f>SUM(AF118:AF126)</f>
        <v>-37</v>
      </c>
    </row>
    <row r="118" spans="2:36" ht="13" outlineLevel="1" x14ac:dyDescent="0.3">
      <c r="B118" s="79" t="s">
        <v>150</v>
      </c>
      <c r="C118" s="33">
        <v>278</v>
      </c>
      <c r="D118" s="33">
        <v>278</v>
      </c>
      <c r="E118" s="23">
        <v>0</v>
      </c>
      <c r="F118" s="23">
        <v>0</v>
      </c>
      <c r="G118" s="23">
        <v>0</v>
      </c>
      <c r="H118" s="23">
        <v>0</v>
      </c>
      <c r="I118" s="23">
        <v>0</v>
      </c>
      <c r="J118" s="23">
        <v>0</v>
      </c>
      <c r="K118" s="23">
        <f>SUM(E118:J118)</f>
        <v>0</v>
      </c>
      <c r="L118" s="33">
        <f>N118-D118</f>
        <v>0</v>
      </c>
      <c r="M118" s="33">
        <f>N118-C118</f>
        <v>0</v>
      </c>
      <c r="N118" s="33">
        <v>278</v>
      </c>
      <c r="O118" s="33">
        <v>0</v>
      </c>
      <c r="P118" s="33">
        <v>0</v>
      </c>
      <c r="Q118" s="33">
        <v>0</v>
      </c>
      <c r="R118" s="33">
        <v>278</v>
      </c>
      <c r="S118" s="33">
        <f>Q118-R118</f>
        <v>-278</v>
      </c>
      <c r="T118" s="38">
        <f>IFERROR((Q118/N118)*100%,"∞")</f>
        <v>0</v>
      </c>
      <c r="U118" s="59">
        <f>N118+V118</f>
        <v>278</v>
      </c>
      <c r="V118" s="33">
        <v>0</v>
      </c>
      <c r="W118" s="33">
        <v>0</v>
      </c>
      <c r="X118" s="33"/>
      <c r="Y118" s="33"/>
      <c r="Z118" s="42"/>
      <c r="AA118" s="60"/>
      <c r="AB118" s="662"/>
      <c r="AC118" s="580">
        <v>278</v>
      </c>
      <c r="AD118" s="580">
        <f>SUM(AB118:AC118)</f>
        <v>278</v>
      </c>
      <c r="AE118" s="580">
        <f>Q118+AD118</f>
        <v>278</v>
      </c>
      <c r="AF118" s="663">
        <f>AE118-N118</f>
        <v>0</v>
      </c>
    </row>
    <row r="119" spans="2:36" ht="13" outlineLevel="1" x14ac:dyDescent="0.3">
      <c r="B119" s="79" t="s">
        <v>151</v>
      </c>
      <c r="C119" s="33">
        <v>-390</v>
      </c>
      <c r="D119" s="33">
        <v>540</v>
      </c>
      <c r="E119" s="23">
        <v>0</v>
      </c>
      <c r="F119" s="23">
        <v>0</v>
      </c>
      <c r="G119" s="23">
        <v>930</v>
      </c>
      <c r="H119" s="23">
        <v>0</v>
      </c>
      <c r="I119" s="23">
        <v>0</v>
      </c>
      <c r="J119" s="23">
        <v>0</v>
      </c>
      <c r="K119" s="23">
        <f t="shared" ref="K119:K125" si="95">SUM(E119:J119)</f>
        <v>930</v>
      </c>
      <c r="L119" s="33">
        <f t="shared" ref="L119:L125" si="96">N119-D119</f>
        <v>0</v>
      </c>
      <c r="M119" s="33">
        <f t="shared" ref="M119:M125" si="97">N119-C119</f>
        <v>930</v>
      </c>
      <c r="N119" s="33">
        <v>540</v>
      </c>
      <c r="O119" s="33">
        <v>1667</v>
      </c>
      <c r="P119" s="33">
        <v>0</v>
      </c>
      <c r="Q119" s="33">
        <v>1667</v>
      </c>
      <c r="R119" s="33">
        <v>540</v>
      </c>
      <c r="S119" s="33">
        <f t="shared" ref="S119:S125" si="98">Q119-R119</f>
        <v>1127</v>
      </c>
      <c r="T119" s="38">
        <f t="shared" ref="T119:T125" si="99">IFERROR((Q119/N119)*100%,"∞")</f>
        <v>3.087037037037037</v>
      </c>
      <c r="U119" s="59">
        <f t="shared" ref="U119:U125" si="100">N119+V119</f>
        <v>540</v>
      </c>
      <c r="V119" s="33">
        <v>0</v>
      </c>
      <c r="W119" s="33">
        <v>0</v>
      </c>
      <c r="X119" s="33"/>
      <c r="Y119" s="33"/>
      <c r="Z119" s="42"/>
      <c r="AA119" s="60"/>
      <c r="AB119" s="662"/>
      <c r="AC119" s="580"/>
      <c r="AD119" s="580">
        <f t="shared" ref="AD119:AD125" si="101">SUM(AB119:AC119)</f>
        <v>0</v>
      </c>
      <c r="AE119" s="580">
        <f t="shared" ref="AE119:AE125" si="102">Q119+AD119</f>
        <v>1667</v>
      </c>
      <c r="AF119" s="663">
        <f t="shared" ref="AF119:AF125" si="103">AE119-N119</f>
        <v>1127</v>
      </c>
      <c r="AH119" t="s">
        <v>218</v>
      </c>
    </row>
    <row r="120" spans="2:36" ht="13" outlineLevel="1" x14ac:dyDescent="0.3">
      <c r="B120" s="79" t="s">
        <v>152</v>
      </c>
      <c r="C120" s="33">
        <v>588</v>
      </c>
      <c r="D120" s="33">
        <v>0</v>
      </c>
      <c r="E120" s="23">
        <v>0</v>
      </c>
      <c r="F120" s="23">
        <v>0</v>
      </c>
      <c r="G120" s="23">
        <v>-588</v>
      </c>
      <c r="H120" s="23">
        <v>0</v>
      </c>
      <c r="I120" s="23">
        <v>0</v>
      </c>
      <c r="J120" s="23">
        <v>0</v>
      </c>
      <c r="K120" s="23">
        <f t="shared" si="95"/>
        <v>-588</v>
      </c>
      <c r="L120" s="33">
        <f t="shared" si="96"/>
        <v>0</v>
      </c>
      <c r="M120" s="33">
        <f t="shared" si="97"/>
        <v>-588</v>
      </c>
      <c r="N120" s="33">
        <v>0</v>
      </c>
      <c r="O120" s="33">
        <v>0</v>
      </c>
      <c r="P120" s="33">
        <v>0</v>
      </c>
      <c r="Q120" s="33">
        <v>0</v>
      </c>
      <c r="R120" s="33">
        <v>0</v>
      </c>
      <c r="S120" s="33">
        <f t="shared" si="98"/>
        <v>0</v>
      </c>
      <c r="T120" s="38" t="str">
        <f t="shared" si="99"/>
        <v>∞</v>
      </c>
      <c r="U120" s="59">
        <f t="shared" si="100"/>
        <v>0</v>
      </c>
      <c r="V120" s="33">
        <v>0</v>
      </c>
      <c r="W120" s="33">
        <v>0</v>
      </c>
      <c r="X120" s="33"/>
      <c r="Y120" s="33"/>
      <c r="Z120" s="42"/>
      <c r="AA120" s="60"/>
      <c r="AB120" s="662"/>
      <c r="AC120" s="580"/>
      <c r="AD120" s="580">
        <f t="shared" si="101"/>
        <v>0</v>
      </c>
      <c r="AE120" s="580">
        <f t="shared" si="102"/>
        <v>0</v>
      </c>
      <c r="AF120" s="663">
        <f t="shared" si="103"/>
        <v>0</v>
      </c>
    </row>
    <row r="121" spans="2:36" ht="13" outlineLevel="1" x14ac:dyDescent="0.3">
      <c r="B121" s="79" t="s">
        <v>153</v>
      </c>
      <c r="C121" s="33">
        <v>1170</v>
      </c>
      <c r="D121" s="33">
        <v>1090</v>
      </c>
      <c r="E121" s="23">
        <v>0</v>
      </c>
      <c r="F121" s="23">
        <v>0</v>
      </c>
      <c r="G121" s="23">
        <v>-80</v>
      </c>
      <c r="H121" s="23">
        <v>0</v>
      </c>
      <c r="I121" s="23">
        <v>0</v>
      </c>
      <c r="J121" s="23">
        <v>0</v>
      </c>
      <c r="K121" s="23">
        <f t="shared" si="95"/>
        <v>-80</v>
      </c>
      <c r="L121" s="33">
        <f t="shared" si="96"/>
        <v>0</v>
      </c>
      <c r="M121" s="33">
        <f t="shared" si="97"/>
        <v>-80</v>
      </c>
      <c r="N121" s="33">
        <v>1090</v>
      </c>
      <c r="O121" s="33">
        <v>0</v>
      </c>
      <c r="P121" s="33">
        <v>0</v>
      </c>
      <c r="Q121" s="33">
        <v>0</v>
      </c>
      <c r="R121" s="33">
        <v>1090</v>
      </c>
      <c r="S121" s="33">
        <f t="shared" si="98"/>
        <v>-1090</v>
      </c>
      <c r="T121" s="38">
        <f t="shared" si="99"/>
        <v>0</v>
      </c>
      <c r="U121" s="59">
        <f t="shared" si="100"/>
        <v>1090</v>
      </c>
      <c r="V121" s="33">
        <v>0</v>
      </c>
      <c r="W121" s="33">
        <v>0</v>
      </c>
      <c r="X121" s="33"/>
      <c r="Y121" s="33"/>
      <c r="Z121" s="42"/>
      <c r="AA121" s="60"/>
      <c r="AB121" s="662"/>
      <c r="AC121" s="580">
        <v>1090</v>
      </c>
      <c r="AD121" s="580">
        <f t="shared" si="101"/>
        <v>1090</v>
      </c>
      <c r="AE121" s="580">
        <f t="shared" si="102"/>
        <v>1090</v>
      </c>
      <c r="AF121" s="663">
        <f t="shared" si="103"/>
        <v>0</v>
      </c>
    </row>
    <row r="122" spans="2:36" ht="13" outlineLevel="1" x14ac:dyDescent="0.3">
      <c r="B122" s="79" t="s">
        <v>154</v>
      </c>
      <c r="C122" s="33">
        <v>472</v>
      </c>
      <c r="D122" s="33">
        <v>472</v>
      </c>
      <c r="E122" s="23">
        <v>0</v>
      </c>
      <c r="F122" s="23">
        <v>0</v>
      </c>
      <c r="G122" s="23">
        <v>0</v>
      </c>
      <c r="H122" s="23">
        <v>0</v>
      </c>
      <c r="I122" s="23">
        <v>0</v>
      </c>
      <c r="J122" s="23">
        <v>0</v>
      </c>
      <c r="K122" s="23">
        <f t="shared" si="95"/>
        <v>0</v>
      </c>
      <c r="L122" s="33">
        <f t="shared" si="96"/>
        <v>0</v>
      </c>
      <c r="M122" s="33">
        <f t="shared" si="97"/>
        <v>0</v>
      </c>
      <c r="N122" s="33">
        <v>472</v>
      </c>
      <c r="O122" s="33">
        <v>0</v>
      </c>
      <c r="P122" s="33">
        <v>0</v>
      </c>
      <c r="Q122" s="33">
        <v>0</v>
      </c>
      <c r="R122" s="33">
        <v>472</v>
      </c>
      <c r="S122" s="33">
        <f t="shared" si="98"/>
        <v>-472</v>
      </c>
      <c r="T122" s="38">
        <f t="shared" si="99"/>
        <v>0</v>
      </c>
      <c r="U122" s="59">
        <f t="shared" si="100"/>
        <v>472</v>
      </c>
      <c r="V122" s="33">
        <v>0</v>
      </c>
      <c r="W122" s="33">
        <v>0</v>
      </c>
      <c r="X122" s="33"/>
      <c r="Y122" s="33"/>
      <c r="Z122" s="42"/>
      <c r="AA122" s="60"/>
      <c r="AB122" s="662"/>
      <c r="AC122" s="580">
        <v>472</v>
      </c>
      <c r="AD122" s="580">
        <f t="shared" si="101"/>
        <v>472</v>
      </c>
      <c r="AE122" s="580">
        <f t="shared" si="102"/>
        <v>472</v>
      </c>
      <c r="AF122" s="663">
        <f t="shared" si="103"/>
        <v>0</v>
      </c>
      <c r="AJ122" t="s">
        <v>641</v>
      </c>
    </row>
    <row r="123" spans="2:36" ht="13" outlineLevel="1" x14ac:dyDescent="0.3">
      <c r="B123" s="79" t="s">
        <v>219</v>
      </c>
      <c r="C123" s="33">
        <v>-485</v>
      </c>
      <c r="D123" s="33">
        <v>-485</v>
      </c>
      <c r="E123" s="23">
        <v>0</v>
      </c>
      <c r="F123" s="23">
        <v>0</v>
      </c>
      <c r="G123" s="23">
        <v>0</v>
      </c>
      <c r="H123" s="23">
        <v>0</v>
      </c>
      <c r="I123" s="23">
        <v>0</v>
      </c>
      <c r="J123" s="23">
        <v>0</v>
      </c>
      <c r="K123" s="23">
        <f t="shared" si="95"/>
        <v>0</v>
      </c>
      <c r="L123" s="33">
        <f t="shared" si="96"/>
        <v>0</v>
      </c>
      <c r="M123" s="33">
        <f t="shared" si="97"/>
        <v>0</v>
      </c>
      <c r="N123" s="33">
        <v>-485</v>
      </c>
      <c r="O123" s="33">
        <v>-485</v>
      </c>
      <c r="P123" s="33">
        <v>0</v>
      </c>
      <c r="Q123" s="33">
        <v>-485</v>
      </c>
      <c r="R123" s="33">
        <v>-485</v>
      </c>
      <c r="S123" s="33">
        <f t="shared" si="98"/>
        <v>0</v>
      </c>
      <c r="T123" s="38">
        <f t="shared" si="99"/>
        <v>1</v>
      </c>
      <c r="U123" s="59">
        <f t="shared" si="100"/>
        <v>-485</v>
      </c>
      <c r="V123" s="33">
        <v>0</v>
      </c>
      <c r="W123" s="33">
        <v>0</v>
      </c>
      <c r="X123" s="33"/>
      <c r="Y123" s="33"/>
      <c r="Z123" s="42"/>
      <c r="AA123" s="60"/>
      <c r="AB123" s="662"/>
      <c r="AC123" s="580"/>
      <c r="AD123" s="580">
        <f t="shared" si="101"/>
        <v>0</v>
      </c>
      <c r="AE123" s="580">
        <f t="shared" si="102"/>
        <v>-485</v>
      </c>
      <c r="AF123" s="663">
        <f t="shared" si="103"/>
        <v>0</v>
      </c>
    </row>
    <row r="124" spans="2:36" ht="13" outlineLevel="1" x14ac:dyDescent="0.3">
      <c r="B124" s="79" t="s">
        <v>221</v>
      </c>
      <c r="C124" s="33">
        <v>-1000</v>
      </c>
      <c r="D124" s="33">
        <v>-1000</v>
      </c>
      <c r="E124" s="23">
        <v>0</v>
      </c>
      <c r="F124" s="23">
        <v>0</v>
      </c>
      <c r="G124" s="23">
        <v>0</v>
      </c>
      <c r="H124" s="23">
        <v>0</v>
      </c>
      <c r="I124" s="23">
        <v>0</v>
      </c>
      <c r="J124" s="23">
        <v>0</v>
      </c>
      <c r="K124" s="23">
        <f t="shared" si="95"/>
        <v>0</v>
      </c>
      <c r="L124" s="33">
        <f t="shared" si="96"/>
        <v>0</v>
      </c>
      <c r="M124" s="33">
        <f t="shared" si="97"/>
        <v>0</v>
      </c>
      <c r="N124" s="33">
        <v>-1000</v>
      </c>
      <c r="O124" s="33">
        <v>-1104</v>
      </c>
      <c r="P124" s="33">
        <v>0</v>
      </c>
      <c r="Q124" s="33">
        <v>-1104</v>
      </c>
      <c r="R124" s="33">
        <v>-1000</v>
      </c>
      <c r="S124" s="33">
        <f t="shared" si="98"/>
        <v>-104</v>
      </c>
      <c r="T124" s="38">
        <f t="shared" si="99"/>
        <v>1.1040000000000001</v>
      </c>
      <c r="U124" s="59">
        <f t="shared" si="100"/>
        <v>-1000</v>
      </c>
      <c r="V124" s="33">
        <v>0</v>
      </c>
      <c r="W124" s="33">
        <v>0</v>
      </c>
      <c r="X124" s="33"/>
      <c r="Y124" s="33"/>
      <c r="Z124" s="42"/>
      <c r="AA124" s="60"/>
      <c r="AB124" s="662"/>
      <c r="AC124" s="580"/>
      <c r="AD124" s="580">
        <f t="shared" si="101"/>
        <v>0</v>
      </c>
      <c r="AE124" s="580">
        <f t="shared" si="102"/>
        <v>-1104</v>
      </c>
      <c r="AF124" s="663">
        <f t="shared" si="103"/>
        <v>-104</v>
      </c>
    </row>
    <row r="125" spans="2:36" ht="13" outlineLevel="1" x14ac:dyDescent="0.3">
      <c r="B125" s="79" t="s">
        <v>222</v>
      </c>
      <c r="C125" s="33">
        <v>0</v>
      </c>
      <c r="D125" s="33">
        <v>0</v>
      </c>
      <c r="E125" s="23">
        <v>0</v>
      </c>
      <c r="F125" s="23">
        <v>0</v>
      </c>
      <c r="G125" s="23">
        <v>0</v>
      </c>
      <c r="H125" s="23">
        <v>0</v>
      </c>
      <c r="I125" s="23">
        <v>0</v>
      </c>
      <c r="J125" s="23">
        <v>0</v>
      </c>
      <c r="K125" s="23">
        <f t="shared" si="95"/>
        <v>0</v>
      </c>
      <c r="L125" s="33">
        <f t="shared" si="96"/>
        <v>0</v>
      </c>
      <c r="M125" s="33">
        <f t="shared" si="97"/>
        <v>0</v>
      </c>
      <c r="N125" s="33">
        <v>0</v>
      </c>
      <c r="O125" s="33">
        <v>0</v>
      </c>
      <c r="P125" s="33">
        <v>-766</v>
      </c>
      <c r="Q125" s="33">
        <v>-766</v>
      </c>
      <c r="R125" s="33">
        <v>0</v>
      </c>
      <c r="S125" s="33">
        <f t="shared" si="98"/>
        <v>-766</v>
      </c>
      <c r="T125" s="38" t="str">
        <f t="shared" si="99"/>
        <v>∞</v>
      </c>
      <c r="U125" s="59">
        <f t="shared" si="100"/>
        <v>0</v>
      </c>
      <c r="V125" s="33">
        <v>0</v>
      </c>
      <c r="W125" s="33">
        <v>0</v>
      </c>
      <c r="X125" s="33"/>
      <c r="Y125" s="33"/>
      <c r="Z125" s="42"/>
      <c r="AA125" s="60"/>
      <c r="AB125" s="662"/>
      <c r="AC125" s="580"/>
      <c r="AD125" s="580">
        <f t="shared" si="101"/>
        <v>0</v>
      </c>
      <c r="AE125" s="580">
        <f t="shared" si="102"/>
        <v>-766</v>
      </c>
      <c r="AF125" s="663">
        <f t="shared" si="103"/>
        <v>-766</v>
      </c>
      <c r="AH125" t="s">
        <v>223</v>
      </c>
    </row>
    <row r="126" spans="2:36" ht="13" outlineLevel="1" x14ac:dyDescent="0.3">
      <c r="B126" s="79" t="s">
        <v>224</v>
      </c>
      <c r="C126" s="33">
        <v>0</v>
      </c>
      <c r="D126" s="33">
        <v>0</v>
      </c>
      <c r="E126" s="23">
        <v>0</v>
      </c>
      <c r="F126" s="23">
        <v>0</v>
      </c>
      <c r="G126" s="23">
        <v>0</v>
      </c>
      <c r="H126" s="23">
        <v>0</v>
      </c>
      <c r="I126" s="23">
        <v>0</v>
      </c>
      <c r="J126" s="23">
        <v>0</v>
      </c>
      <c r="K126" s="23">
        <f>SUM(E126:J126)</f>
        <v>0</v>
      </c>
      <c r="L126" s="33">
        <f>N126-D126</f>
        <v>0</v>
      </c>
      <c r="M126" s="33">
        <f>N126-C126</f>
        <v>0</v>
      </c>
      <c r="N126" s="33">
        <v>0</v>
      </c>
      <c r="O126" s="33">
        <v>0</v>
      </c>
      <c r="P126" s="33">
        <v>-294</v>
      </c>
      <c r="Q126" s="33">
        <v>-294</v>
      </c>
      <c r="R126" s="33">
        <v>0</v>
      </c>
      <c r="S126" s="33">
        <f>Q126-R126</f>
        <v>-294</v>
      </c>
      <c r="T126" s="38" t="str">
        <f>IFERROR((Q126/N126)*100%,"∞")</f>
        <v>∞</v>
      </c>
      <c r="U126" s="59">
        <f>N126+V126</f>
        <v>0</v>
      </c>
      <c r="V126" s="33">
        <v>0</v>
      </c>
      <c r="W126" s="33">
        <v>0</v>
      </c>
      <c r="X126" s="33"/>
      <c r="Y126" s="33"/>
      <c r="Z126" s="42"/>
      <c r="AA126" s="60"/>
      <c r="AB126" s="662"/>
      <c r="AC126" s="580"/>
      <c r="AD126" s="580">
        <f>SUM(AB126:AC126)</f>
        <v>0</v>
      </c>
      <c r="AE126" s="580">
        <f>Q126+AD126</f>
        <v>-294</v>
      </c>
      <c r="AF126" s="663">
        <f>AE126-N126</f>
        <v>-294</v>
      </c>
      <c r="AH126" t="s">
        <v>225</v>
      </c>
    </row>
    <row r="127" spans="2:36" ht="13.5" thickBot="1" x14ac:dyDescent="0.35">
      <c r="B127" s="80"/>
      <c r="C127" s="81"/>
      <c r="D127" s="81"/>
      <c r="E127" s="82"/>
      <c r="F127" s="82"/>
      <c r="G127" s="82"/>
      <c r="H127" s="82"/>
      <c r="I127" s="82"/>
      <c r="J127" s="82"/>
      <c r="K127" s="82"/>
      <c r="L127" s="81"/>
      <c r="M127" s="81"/>
      <c r="N127" s="81"/>
      <c r="O127" s="81"/>
      <c r="P127" s="81"/>
      <c r="Q127" s="81"/>
      <c r="R127" s="81"/>
      <c r="S127" s="81"/>
      <c r="T127" s="81"/>
      <c r="U127" s="83"/>
      <c r="V127" s="81"/>
      <c r="W127" s="81"/>
      <c r="X127" s="81"/>
      <c r="Y127" s="81"/>
      <c r="Z127" s="84"/>
      <c r="AA127" s="60"/>
      <c r="AB127" s="100"/>
      <c r="AC127" s="33"/>
      <c r="AD127" s="33"/>
      <c r="AE127" s="33"/>
      <c r="AF127" s="101"/>
    </row>
    <row r="128" spans="2:36" ht="13.5" thickBot="1" x14ac:dyDescent="0.35">
      <c r="B128" s="91" t="s">
        <v>155</v>
      </c>
      <c r="C128" s="76">
        <f t="shared" ref="C128:J128" si="104">C104+C117</f>
        <v>2458</v>
      </c>
      <c r="D128" s="76">
        <f t="shared" si="104"/>
        <v>2662</v>
      </c>
      <c r="E128" s="76">
        <f t="shared" si="104"/>
        <v>0</v>
      </c>
      <c r="F128" s="76">
        <f t="shared" si="104"/>
        <v>16</v>
      </c>
      <c r="G128" s="76">
        <f t="shared" si="104"/>
        <v>204</v>
      </c>
      <c r="H128" s="76">
        <f t="shared" si="104"/>
        <v>74</v>
      </c>
      <c r="I128" s="76">
        <f t="shared" si="104"/>
        <v>0</v>
      </c>
      <c r="J128" s="76">
        <f t="shared" si="104"/>
        <v>0</v>
      </c>
      <c r="K128" s="76">
        <f>SUM(E128:J128)</f>
        <v>294</v>
      </c>
      <c r="L128" s="76">
        <f>N128-D128</f>
        <v>-2075</v>
      </c>
      <c r="M128" s="76">
        <f>N128-C128</f>
        <v>-1871</v>
      </c>
      <c r="N128" s="76">
        <f>N104+N117</f>
        <v>587</v>
      </c>
      <c r="O128" s="76">
        <f>O104+O117</f>
        <v>74944</v>
      </c>
      <c r="P128" s="76">
        <f>P104+P117</f>
        <v>-75417</v>
      </c>
      <c r="Q128" s="76">
        <f>Q104+Q117</f>
        <v>-473</v>
      </c>
      <c r="R128" s="76">
        <f>R104+R117</f>
        <v>49</v>
      </c>
      <c r="S128" s="76">
        <f>Q128-R128</f>
        <v>-522</v>
      </c>
      <c r="T128" s="92">
        <f>IFERROR((Q128/N128)*100%,"∞")</f>
        <v>-0.80579216354344119</v>
      </c>
      <c r="U128" s="76">
        <f>N128+V128</f>
        <v>976</v>
      </c>
      <c r="V128" s="76">
        <f>V104+V117</f>
        <v>389</v>
      </c>
      <c r="W128" s="76">
        <f>W104+W117</f>
        <v>0</v>
      </c>
      <c r="X128" s="76">
        <f>X104+X117</f>
        <v>0</v>
      </c>
      <c r="Y128" s="76">
        <f>Y104+Y117</f>
        <v>0</v>
      </c>
      <c r="Z128" s="76">
        <f>Z104+Z117</f>
        <v>0</v>
      </c>
      <c r="AA128" s="60"/>
      <c r="AB128" s="76">
        <f>AB104+AB117</f>
        <v>0</v>
      </c>
      <c r="AC128" s="76">
        <f>AC104+AC117</f>
        <v>1840</v>
      </c>
      <c r="AD128" s="76">
        <f>AD104+AD117</f>
        <v>1840</v>
      </c>
      <c r="AE128" s="76">
        <f>AE104+AE117</f>
        <v>829</v>
      </c>
      <c r="AF128" s="76">
        <f>AF104+AF117</f>
        <v>242</v>
      </c>
    </row>
    <row r="129" spans="2:35" ht="14" thickTop="1" thickBot="1" x14ac:dyDescent="0.35">
      <c r="B129" s="80"/>
      <c r="C129" s="81"/>
      <c r="D129" s="81"/>
      <c r="E129" s="82"/>
      <c r="F129" s="82"/>
      <c r="G129" s="82"/>
      <c r="H129" s="82"/>
      <c r="I129" s="82"/>
      <c r="J129" s="82"/>
      <c r="K129" s="82"/>
      <c r="L129" s="81"/>
      <c r="M129" s="81"/>
      <c r="N129" s="81"/>
      <c r="O129" s="81"/>
      <c r="P129" s="81"/>
      <c r="Q129" s="81"/>
      <c r="R129" s="81"/>
      <c r="S129" s="81"/>
      <c r="T129" s="81"/>
      <c r="U129" s="83"/>
      <c r="V129" s="81"/>
      <c r="W129" s="81"/>
      <c r="X129" s="81"/>
      <c r="Y129" s="81"/>
      <c r="Z129" s="84"/>
      <c r="AA129" s="60"/>
      <c r="AB129" s="100"/>
      <c r="AC129" s="33"/>
      <c r="AD129" s="33"/>
      <c r="AE129" s="33"/>
      <c r="AF129" s="101"/>
    </row>
    <row r="130" spans="2:35" ht="13.5" thickBot="1" x14ac:dyDescent="0.35">
      <c r="B130" s="91" t="s">
        <v>156</v>
      </c>
      <c r="C130" s="76">
        <f t="shared" ref="C130:J130" si="105">C81+C102+C128</f>
        <v>28714</v>
      </c>
      <c r="D130" s="76">
        <f t="shared" si="105"/>
        <v>26272</v>
      </c>
      <c r="E130" s="76">
        <f t="shared" si="105"/>
        <v>-2439</v>
      </c>
      <c r="F130" s="76">
        <f t="shared" si="105"/>
        <v>1903</v>
      </c>
      <c r="G130" s="76">
        <f t="shared" si="105"/>
        <v>3</v>
      </c>
      <c r="H130" s="76">
        <f t="shared" si="105"/>
        <v>33</v>
      </c>
      <c r="I130" s="76">
        <f t="shared" si="105"/>
        <v>0</v>
      </c>
      <c r="J130" s="76">
        <f t="shared" si="105"/>
        <v>0</v>
      </c>
      <c r="K130" s="76">
        <f>SUM(E130:J130)</f>
        <v>-500</v>
      </c>
      <c r="L130" s="76">
        <f>N130-D130</f>
        <v>1905</v>
      </c>
      <c r="M130" s="76">
        <f>N130-C130</f>
        <v>-537</v>
      </c>
      <c r="N130" s="76">
        <f>N81+N102+N128</f>
        <v>28177</v>
      </c>
      <c r="O130" s="76">
        <f>O81+O102+O128</f>
        <v>191213</v>
      </c>
      <c r="P130" s="76">
        <f>P81+P102+P128</f>
        <v>-164512</v>
      </c>
      <c r="Q130" s="76">
        <f>Q81+Q102+Q128</f>
        <v>26702</v>
      </c>
      <c r="R130" s="76">
        <f>R81+R102+R128</f>
        <v>27639</v>
      </c>
      <c r="S130" s="76">
        <f>Q130-R130</f>
        <v>-937</v>
      </c>
      <c r="T130" s="92">
        <f>IFERROR((Q130/N130)*100%,"∞")</f>
        <v>0.94765234056145087</v>
      </c>
      <c r="U130" s="76">
        <f>N130+V130</f>
        <v>28535</v>
      </c>
      <c r="V130" s="76">
        <f>V81+V102+V128</f>
        <v>358</v>
      </c>
      <c r="W130" s="76">
        <f>W81+W102+W128</f>
        <v>-35</v>
      </c>
      <c r="X130" s="76">
        <f>X81+X102+X128</f>
        <v>0</v>
      </c>
      <c r="Y130" s="76">
        <f>Y81+Y102+Y128</f>
        <v>0</v>
      </c>
      <c r="Z130" s="76">
        <f>Z81+Z102+Z128</f>
        <v>0</v>
      </c>
      <c r="AA130" s="60"/>
      <c r="AB130" s="76">
        <f>AB81+AB102+AB128</f>
        <v>453</v>
      </c>
      <c r="AC130" s="76">
        <f>AC81+AC102+AC128</f>
        <v>1840</v>
      </c>
      <c r="AD130" s="76">
        <f>AD81+AD102+AD128</f>
        <v>2293</v>
      </c>
      <c r="AE130" s="76">
        <f>AE81+AE102+AE128</f>
        <v>28457</v>
      </c>
      <c r="AF130" s="76">
        <f>AF81+AF102+AF128</f>
        <v>280</v>
      </c>
    </row>
    <row r="131" spans="2:35" ht="13.5" thickTop="1" x14ac:dyDescent="0.3">
      <c r="B131" s="71"/>
      <c r="C131" s="72"/>
      <c r="D131" s="72"/>
      <c r="E131" s="73"/>
      <c r="F131" s="73"/>
      <c r="G131" s="73"/>
      <c r="H131" s="73"/>
      <c r="I131" s="73"/>
      <c r="J131" s="73"/>
      <c r="K131" s="73"/>
      <c r="L131" s="72"/>
      <c r="M131" s="72"/>
      <c r="N131" s="72"/>
      <c r="O131" s="72"/>
      <c r="P131" s="72"/>
      <c r="Q131" s="72"/>
      <c r="R131" s="72"/>
      <c r="S131" s="72"/>
      <c r="T131" s="72"/>
      <c r="U131" s="74"/>
      <c r="V131" s="72"/>
      <c r="W131" s="72"/>
      <c r="X131" s="72"/>
      <c r="Y131" s="72"/>
      <c r="Z131" s="75"/>
      <c r="AA131" s="60"/>
      <c r="AB131" s="100"/>
      <c r="AC131" s="33"/>
      <c r="AD131" s="33"/>
      <c r="AE131" s="33"/>
      <c r="AF131" s="101"/>
    </row>
    <row r="132" spans="2:35" ht="13" x14ac:dyDescent="0.3">
      <c r="B132" s="79" t="s">
        <v>157</v>
      </c>
      <c r="C132" s="33">
        <f>-5063-4</f>
        <v>-5067</v>
      </c>
      <c r="D132" s="33">
        <f>-2624-1</f>
        <v>-2625</v>
      </c>
      <c r="E132" s="23">
        <v>2439</v>
      </c>
      <c r="F132" s="23">
        <v>-3116</v>
      </c>
      <c r="G132" s="23">
        <v>0</v>
      </c>
      <c r="H132" s="23">
        <v>-1246</v>
      </c>
      <c r="I132" s="23">
        <v>0</v>
      </c>
      <c r="J132" s="23">
        <v>0</v>
      </c>
      <c r="K132" s="23">
        <f>SUM(E132:J132)</f>
        <v>-1923</v>
      </c>
      <c r="L132" s="33">
        <f>N132-D132</f>
        <v>-3117</v>
      </c>
      <c r="M132" s="33">
        <f>N132-C132</f>
        <v>-675</v>
      </c>
      <c r="N132" s="33">
        <f>-5740-2</f>
        <v>-5742</v>
      </c>
      <c r="O132" s="33">
        <v>-587</v>
      </c>
      <c r="P132" s="33">
        <v>0</v>
      </c>
      <c r="Q132" s="33">
        <v>-587</v>
      </c>
      <c r="R132" s="33">
        <v>-5740</v>
      </c>
      <c r="S132" s="33">
        <f>Q132-R132</f>
        <v>5153</v>
      </c>
      <c r="T132" s="38">
        <f>IFERROR((Q132/N132)*100%,"∞")</f>
        <v>0.10222918843608499</v>
      </c>
      <c r="U132" s="59">
        <f>N132+V132</f>
        <v>-5742</v>
      </c>
      <c r="V132" s="33">
        <v>0</v>
      </c>
      <c r="W132" s="33">
        <v>0</v>
      </c>
      <c r="X132" s="33"/>
      <c r="Y132" s="33"/>
      <c r="Z132" s="42"/>
      <c r="AA132" s="60"/>
      <c r="AB132" s="662"/>
      <c r="AC132" s="580">
        <v>-5067</v>
      </c>
      <c r="AD132" s="580">
        <f>SUM(AB132:AC132)</f>
        <v>-5067</v>
      </c>
      <c r="AE132" s="580">
        <f>Q132+AD132</f>
        <v>-5654</v>
      </c>
      <c r="AF132" s="663">
        <f>AE132-N132</f>
        <v>88</v>
      </c>
    </row>
    <row r="133" spans="2:35" ht="13.5" thickBot="1" x14ac:dyDescent="0.35">
      <c r="B133" s="80"/>
      <c r="C133" s="81"/>
      <c r="D133" s="81"/>
      <c r="E133" s="82"/>
      <c r="F133" s="82"/>
      <c r="G133" s="82"/>
      <c r="H133" s="82"/>
      <c r="I133" s="82"/>
      <c r="J133" s="82"/>
      <c r="K133" s="82"/>
      <c r="L133" s="81"/>
      <c r="M133" s="81"/>
      <c r="N133" s="81"/>
      <c r="O133" s="81"/>
      <c r="P133" s="81"/>
      <c r="Q133" s="81"/>
      <c r="R133" s="81"/>
      <c r="S133" s="81"/>
      <c r="T133" s="81"/>
      <c r="U133" s="83"/>
      <c r="V133" s="81"/>
      <c r="W133" s="81"/>
      <c r="X133" s="81"/>
      <c r="Y133" s="81"/>
      <c r="Z133" s="84"/>
      <c r="AA133" s="60"/>
      <c r="AB133" s="662"/>
      <c r="AC133" s="580"/>
      <c r="AD133" s="580"/>
      <c r="AE133" s="580"/>
      <c r="AF133" s="663"/>
    </row>
    <row r="134" spans="2:35" ht="13.5" thickBot="1" x14ac:dyDescent="0.35">
      <c r="B134" s="91" t="s">
        <v>158</v>
      </c>
      <c r="C134" s="76">
        <f t="shared" ref="C134:J134" si="106">C130+C132</f>
        <v>23647</v>
      </c>
      <c r="D134" s="76">
        <f t="shared" si="106"/>
        <v>23647</v>
      </c>
      <c r="E134" s="76">
        <f t="shared" si="106"/>
        <v>0</v>
      </c>
      <c r="F134" s="76">
        <f t="shared" si="106"/>
        <v>-1213</v>
      </c>
      <c r="G134" s="76">
        <f t="shared" si="106"/>
        <v>3</v>
      </c>
      <c r="H134" s="76">
        <f t="shared" si="106"/>
        <v>-1213</v>
      </c>
      <c r="I134" s="76">
        <f t="shared" si="106"/>
        <v>0</v>
      </c>
      <c r="J134" s="76">
        <f t="shared" si="106"/>
        <v>0</v>
      </c>
      <c r="K134" s="76">
        <f>SUM(E134:J134)</f>
        <v>-2423</v>
      </c>
      <c r="L134" s="76">
        <f>N134-D134</f>
        <v>-1212</v>
      </c>
      <c r="M134" s="76">
        <f>N134-C134</f>
        <v>-1212</v>
      </c>
      <c r="N134" s="76">
        <f>N130+N132</f>
        <v>22435</v>
      </c>
      <c r="O134" s="76">
        <f>O130+O132</f>
        <v>190626</v>
      </c>
      <c r="P134" s="76">
        <f>P130+P132</f>
        <v>-164512</v>
      </c>
      <c r="Q134" s="76">
        <f>Q130+Q132</f>
        <v>26115</v>
      </c>
      <c r="R134" s="76">
        <f>R130+R132</f>
        <v>21899</v>
      </c>
      <c r="S134" s="76">
        <f>Q134-R134</f>
        <v>4216</v>
      </c>
      <c r="T134" s="92">
        <f>IFERROR((Q134/N134)*100%,"∞")</f>
        <v>1.1640294183195898</v>
      </c>
      <c r="U134" s="76">
        <f>N134+V134</f>
        <v>22793</v>
      </c>
      <c r="V134" s="76">
        <f>V130+V132</f>
        <v>358</v>
      </c>
      <c r="W134" s="76">
        <f>W130+W132</f>
        <v>-35</v>
      </c>
      <c r="X134" s="76">
        <f>X130+X132</f>
        <v>0</v>
      </c>
      <c r="Y134" s="76">
        <f>Y130+Y132</f>
        <v>0</v>
      </c>
      <c r="Z134" s="76">
        <f>Z130+Z132</f>
        <v>0</v>
      </c>
      <c r="AA134" s="60"/>
      <c r="AB134" s="676">
        <f>AB130+AB132</f>
        <v>453</v>
      </c>
      <c r="AC134" s="676">
        <f>AC130+AC132</f>
        <v>-3227</v>
      </c>
      <c r="AD134" s="676">
        <f>AD130+AD132</f>
        <v>-2774</v>
      </c>
      <c r="AE134" s="676">
        <f>AE130+AE132</f>
        <v>22803</v>
      </c>
      <c r="AF134" s="676">
        <f>AF130+AF132</f>
        <v>368</v>
      </c>
    </row>
    <row r="135" spans="2:35" ht="13.5" thickTop="1" x14ac:dyDescent="0.3">
      <c r="B135" s="71"/>
      <c r="C135" s="72"/>
      <c r="D135" s="72"/>
      <c r="E135" s="73"/>
      <c r="F135" s="73"/>
      <c r="G135" s="73"/>
      <c r="H135" s="73"/>
      <c r="I135" s="73"/>
      <c r="J135" s="73"/>
      <c r="K135" s="73"/>
      <c r="L135" s="72"/>
      <c r="M135" s="72"/>
      <c r="N135" s="72"/>
      <c r="O135" s="72"/>
      <c r="P135" s="72"/>
      <c r="Q135" s="72"/>
      <c r="R135" s="72"/>
      <c r="S135" s="72"/>
      <c r="T135" s="72"/>
      <c r="U135" s="74"/>
      <c r="V135" s="72"/>
      <c r="W135" s="72"/>
      <c r="X135" s="72"/>
      <c r="Y135" s="72"/>
      <c r="Z135" s="75"/>
      <c r="AA135" s="60"/>
      <c r="AB135" s="662"/>
      <c r="AC135" s="580"/>
      <c r="AD135" s="580"/>
      <c r="AE135" s="580"/>
      <c r="AF135" s="663"/>
    </row>
    <row r="136" spans="2:35" ht="13" x14ac:dyDescent="0.3">
      <c r="B136" s="85"/>
      <c r="C136" s="86"/>
      <c r="D136" s="86"/>
      <c r="E136" s="87"/>
      <c r="F136" s="87"/>
      <c r="G136" s="87"/>
      <c r="H136" s="87"/>
      <c r="I136" s="87"/>
      <c r="J136" s="87"/>
      <c r="K136" s="87"/>
      <c r="L136" s="86"/>
      <c r="M136" s="86"/>
      <c r="N136" s="86"/>
      <c r="O136" s="86"/>
      <c r="P136" s="86"/>
      <c r="Q136" s="86"/>
      <c r="R136" s="86"/>
      <c r="S136" s="86"/>
      <c r="T136" s="86"/>
      <c r="U136" s="88"/>
      <c r="V136" s="86"/>
      <c r="W136" s="86"/>
      <c r="X136" s="86"/>
      <c r="Y136" s="86"/>
      <c r="Z136" s="89"/>
      <c r="AA136" s="60"/>
      <c r="AB136" s="662"/>
      <c r="AC136" s="580"/>
      <c r="AD136" s="580"/>
      <c r="AE136" s="580"/>
      <c r="AF136" s="663"/>
    </row>
    <row r="137" spans="2:35" ht="13" x14ac:dyDescent="0.3">
      <c r="B137" s="78" t="s">
        <v>159</v>
      </c>
      <c r="C137" s="33"/>
      <c r="D137" s="33"/>
      <c r="E137" s="23"/>
      <c r="F137" s="23"/>
      <c r="G137" s="23"/>
      <c r="H137" s="23"/>
      <c r="I137" s="23"/>
      <c r="J137" s="23"/>
      <c r="K137" s="23"/>
      <c r="L137" s="33"/>
      <c r="M137" s="33"/>
      <c r="N137" s="33"/>
      <c r="O137" s="33"/>
      <c r="P137" s="33"/>
      <c r="Q137" s="33"/>
      <c r="R137" s="33"/>
      <c r="S137" s="33"/>
      <c r="T137" s="38"/>
      <c r="U137" s="59"/>
      <c r="V137" s="33"/>
      <c r="W137" s="33"/>
      <c r="X137" s="33"/>
      <c r="Y137" s="33"/>
      <c r="Z137" s="42"/>
      <c r="AA137" s="60"/>
      <c r="AB137" s="662"/>
      <c r="AC137" s="580"/>
      <c r="AD137" s="580"/>
      <c r="AE137" s="580"/>
      <c r="AF137" s="663"/>
    </row>
    <row r="138" spans="2:35" ht="13" x14ac:dyDescent="0.3">
      <c r="B138" s="79" t="s">
        <v>160</v>
      </c>
      <c r="C138" s="33">
        <v>0</v>
      </c>
      <c r="D138" s="33">
        <v>0</v>
      </c>
      <c r="E138" s="23">
        <v>0</v>
      </c>
      <c r="F138" s="23">
        <v>-1212</v>
      </c>
      <c r="G138" s="23">
        <v>0</v>
      </c>
      <c r="H138" s="23">
        <v>-1212</v>
      </c>
      <c r="I138" s="23">
        <v>0</v>
      </c>
      <c r="J138" s="23">
        <v>0</v>
      </c>
      <c r="K138" s="23">
        <f t="shared" ref="K138:K140" si="107">SUM(E138:J138)</f>
        <v>-2424</v>
      </c>
      <c r="L138" s="33">
        <f t="shared" ref="L138:L140" si="108">N138-D138</f>
        <v>-1212</v>
      </c>
      <c r="M138" s="33">
        <f t="shared" ref="M138:M140" si="109">N138-C138</f>
        <v>-1212</v>
      </c>
      <c r="N138" s="33">
        <v>-1212</v>
      </c>
      <c r="O138" s="33">
        <v>0</v>
      </c>
      <c r="P138" s="33">
        <v>50</v>
      </c>
      <c r="Q138" s="33">
        <v>50</v>
      </c>
      <c r="R138" s="33">
        <v>-1212</v>
      </c>
      <c r="S138" s="33">
        <f t="shared" ref="S138:S140" si="110">Q138-R138</f>
        <v>1262</v>
      </c>
      <c r="T138" s="38">
        <f t="shared" ref="T138:T140" si="111">IFERROR((Q138/N138)*100%,"∞")</f>
        <v>-4.1254125412541254E-2</v>
      </c>
      <c r="U138" s="59">
        <f t="shared" ref="U138:U140" si="112">N138+V138</f>
        <v>-1212</v>
      </c>
      <c r="V138" s="33">
        <v>0</v>
      </c>
      <c r="W138" s="33">
        <v>0</v>
      </c>
      <c r="X138" s="33"/>
      <c r="Y138" s="33"/>
      <c r="Z138" s="42"/>
      <c r="AA138" s="60"/>
      <c r="AB138" s="662"/>
      <c r="AC138" s="580"/>
      <c r="AD138" s="580">
        <f t="shared" ref="AD138:AD140" si="113">SUM(AB138:AC138)</f>
        <v>0</v>
      </c>
      <c r="AE138" s="580">
        <f t="shared" ref="AE138:AE140" si="114">Q138+AD138</f>
        <v>50</v>
      </c>
      <c r="AF138" s="663">
        <f t="shared" ref="AF138:AF140" si="115">AE138-N138</f>
        <v>1262</v>
      </c>
      <c r="AH138" t="s">
        <v>642</v>
      </c>
    </row>
    <row r="139" spans="2:35" ht="13" outlineLevel="1" x14ac:dyDescent="0.3">
      <c r="B139" s="79" t="s">
        <v>148</v>
      </c>
      <c r="C139" s="33">
        <v>538</v>
      </c>
      <c r="D139" s="33">
        <v>538</v>
      </c>
      <c r="E139" s="23">
        <v>0</v>
      </c>
      <c r="F139" s="23">
        <v>0</v>
      </c>
      <c r="G139" s="23">
        <v>0</v>
      </c>
      <c r="H139" s="23">
        <v>0</v>
      </c>
      <c r="I139" s="23">
        <v>0</v>
      </c>
      <c r="J139" s="23">
        <v>0</v>
      </c>
      <c r="K139" s="23">
        <f>SUM(E139:J139)</f>
        <v>0</v>
      </c>
      <c r="L139" s="33">
        <f>N139-D139</f>
        <v>0</v>
      </c>
      <c r="M139" s="33">
        <f>N139-C139</f>
        <v>0</v>
      </c>
      <c r="N139" s="33">
        <v>538</v>
      </c>
      <c r="O139" s="33">
        <v>0</v>
      </c>
      <c r="P139" s="33">
        <v>538</v>
      </c>
      <c r="Q139" s="33">
        <v>538</v>
      </c>
      <c r="R139" s="33">
        <v>-538</v>
      </c>
      <c r="S139" s="33">
        <f>Q139-R139</f>
        <v>1076</v>
      </c>
      <c r="T139" s="38">
        <f>IFERROR((Q139/N139)*100%,"∞")</f>
        <v>1</v>
      </c>
      <c r="U139" s="59">
        <f>N139+V139</f>
        <v>538</v>
      </c>
      <c r="V139" s="33">
        <v>0</v>
      </c>
      <c r="W139" s="33">
        <v>0</v>
      </c>
      <c r="X139" s="33"/>
      <c r="Y139" s="33"/>
      <c r="Z139" s="42"/>
      <c r="AA139" s="60"/>
      <c r="AB139" s="662"/>
      <c r="AC139" s="580"/>
      <c r="AD139" s="580">
        <f>SUM(AB139:AC139)</f>
        <v>0</v>
      </c>
      <c r="AE139" s="580">
        <f>Q139+AD139</f>
        <v>538</v>
      </c>
      <c r="AF139" s="663">
        <f>AE139-N139</f>
        <v>0</v>
      </c>
    </row>
    <row r="140" spans="2:35" ht="13" x14ac:dyDescent="0.3">
      <c r="B140" s="79" t="s">
        <v>161</v>
      </c>
      <c r="C140" s="33">
        <v>14911</v>
      </c>
      <c r="D140" s="33">
        <v>14911</v>
      </c>
      <c r="E140" s="23">
        <v>0</v>
      </c>
      <c r="F140" s="23">
        <v>0</v>
      </c>
      <c r="G140" s="23">
        <v>0</v>
      </c>
      <c r="H140" s="23">
        <v>0</v>
      </c>
      <c r="I140" s="23">
        <v>0</v>
      </c>
      <c r="J140" s="23">
        <v>0</v>
      </c>
      <c r="K140" s="23">
        <f t="shared" si="107"/>
        <v>0</v>
      </c>
      <c r="L140" s="33">
        <f t="shared" si="108"/>
        <v>0</v>
      </c>
      <c r="M140" s="33">
        <f t="shared" si="109"/>
        <v>0</v>
      </c>
      <c r="N140" s="33">
        <v>14911</v>
      </c>
      <c r="O140" s="33">
        <v>0</v>
      </c>
      <c r="P140" s="33">
        <v>14841</v>
      </c>
      <c r="Q140" s="33">
        <v>14841</v>
      </c>
      <c r="R140" s="33">
        <v>14911</v>
      </c>
      <c r="S140" s="33">
        <f t="shared" si="110"/>
        <v>-70</v>
      </c>
      <c r="T140" s="38">
        <f t="shared" si="111"/>
        <v>0.99530547917644696</v>
      </c>
      <c r="U140" s="59">
        <f t="shared" si="112"/>
        <v>14911</v>
      </c>
      <c r="V140" s="33">
        <v>0</v>
      </c>
      <c r="W140" s="33">
        <v>0</v>
      </c>
      <c r="X140" s="33"/>
      <c r="Y140" s="33"/>
      <c r="Z140" s="42"/>
      <c r="AA140" s="60"/>
      <c r="AB140" s="662"/>
      <c r="AC140" s="580"/>
      <c r="AD140" s="580">
        <f t="shared" si="113"/>
        <v>0</v>
      </c>
      <c r="AE140" s="580">
        <f t="shared" si="114"/>
        <v>14841</v>
      </c>
      <c r="AF140" s="663">
        <f t="shared" si="115"/>
        <v>-70</v>
      </c>
    </row>
    <row r="141" spans="2:35" ht="13" x14ac:dyDescent="0.3">
      <c r="B141" s="79" t="s">
        <v>162</v>
      </c>
      <c r="C141" s="33">
        <v>-278</v>
      </c>
      <c r="D141" s="33">
        <v>-278</v>
      </c>
      <c r="E141" s="23">
        <v>0</v>
      </c>
      <c r="F141" s="23">
        <v>0</v>
      </c>
      <c r="G141" s="23">
        <v>0</v>
      </c>
      <c r="H141" s="23">
        <v>0</v>
      </c>
      <c r="I141" s="23">
        <v>0</v>
      </c>
      <c r="J141" s="23">
        <v>0</v>
      </c>
      <c r="K141" s="23">
        <f>SUM(E141:J141)</f>
        <v>0</v>
      </c>
      <c r="L141" s="33">
        <f>N141-D141</f>
        <v>0</v>
      </c>
      <c r="M141" s="33">
        <f>N141-C141</f>
        <v>0</v>
      </c>
      <c r="N141" s="33">
        <v>-278</v>
      </c>
      <c r="O141" s="33">
        <v>-428</v>
      </c>
      <c r="P141" s="33">
        <v>0</v>
      </c>
      <c r="Q141" s="33">
        <v>-428</v>
      </c>
      <c r="R141" s="33">
        <v>-278</v>
      </c>
      <c r="S141" s="33">
        <f>Q141-R141</f>
        <v>-150</v>
      </c>
      <c r="T141" s="38">
        <f>IFERROR((Q141/N141)*100%,"∞")</f>
        <v>1.539568345323741</v>
      </c>
      <c r="U141" s="59">
        <f>N141+V141</f>
        <v>-278</v>
      </c>
      <c r="V141" s="33">
        <v>0</v>
      </c>
      <c r="W141" s="33">
        <v>0</v>
      </c>
      <c r="X141" s="33"/>
      <c r="Y141" s="33"/>
      <c r="Z141" s="42"/>
      <c r="AA141" s="60"/>
      <c r="AB141" s="662"/>
      <c r="AC141" s="580">
        <v>140.52000000000001</v>
      </c>
      <c r="AD141" s="580">
        <f>SUM(AB141:AC141)</f>
        <v>140.52000000000001</v>
      </c>
      <c r="AE141" s="580">
        <f>Q141+AD141</f>
        <v>-287.48</v>
      </c>
      <c r="AF141" s="663">
        <f>AE141-N141</f>
        <v>-9.4800000000000182</v>
      </c>
      <c r="AH141" t="s">
        <v>643</v>
      </c>
      <c r="AI141" t="s">
        <v>644</v>
      </c>
    </row>
    <row r="142" spans="2:35" ht="13" x14ac:dyDescent="0.3">
      <c r="B142" s="79" t="s">
        <v>163</v>
      </c>
      <c r="C142" s="33">
        <v>8476</v>
      </c>
      <c r="D142" s="33">
        <v>8476</v>
      </c>
      <c r="E142" s="23">
        <v>0</v>
      </c>
      <c r="F142" s="23">
        <v>0</v>
      </c>
      <c r="G142" s="23">
        <v>0</v>
      </c>
      <c r="H142" s="23">
        <v>0</v>
      </c>
      <c r="I142" s="23">
        <v>0</v>
      </c>
      <c r="J142" s="23">
        <v>0</v>
      </c>
      <c r="K142" s="23">
        <f>SUM(E142:J142)</f>
        <v>0</v>
      </c>
      <c r="L142" s="33">
        <f>N142-D142</f>
        <v>0</v>
      </c>
      <c r="M142" s="33">
        <f>N142-C142</f>
        <v>0</v>
      </c>
      <c r="N142" s="33">
        <v>8476</v>
      </c>
      <c r="O142" s="33">
        <v>23895</v>
      </c>
      <c r="P142" s="33">
        <v>-21702</v>
      </c>
      <c r="Q142" s="33">
        <v>2193</v>
      </c>
      <c r="R142" s="33">
        <v>8476</v>
      </c>
      <c r="S142" s="33">
        <f>Q142-R142</f>
        <v>-6283</v>
      </c>
      <c r="T142" s="38">
        <f>IFERROR((Q142/N142)*100%,"∞")</f>
        <v>0.25873053327041057</v>
      </c>
      <c r="U142" s="59">
        <f>N142+V142</f>
        <v>8476</v>
      </c>
      <c r="V142" s="33">
        <v>0</v>
      </c>
      <c r="W142" s="33">
        <v>0</v>
      </c>
      <c r="X142" s="33"/>
      <c r="Y142" s="33"/>
      <c r="Z142" s="42"/>
      <c r="AA142" s="60"/>
      <c r="AB142" s="662"/>
      <c r="AC142" s="580">
        <v>6283</v>
      </c>
      <c r="AD142" s="580">
        <f>SUM(AB142:AC142)</f>
        <v>6283</v>
      </c>
      <c r="AE142" s="580">
        <f>Q142+AD142</f>
        <v>8476</v>
      </c>
      <c r="AF142" s="663">
        <f>AE142-N142</f>
        <v>0</v>
      </c>
    </row>
    <row r="143" spans="2:35"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662"/>
      <c r="AC143" s="580"/>
      <c r="AD143" s="580"/>
      <c r="AE143" s="580"/>
      <c r="AF143" s="663"/>
    </row>
    <row r="144" spans="2:35" ht="13.5" thickBot="1" x14ac:dyDescent="0.35">
      <c r="B144" s="91" t="s">
        <v>164</v>
      </c>
      <c r="C144" s="76">
        <f t="shared" ref="C144:J144" si="116">SUM(C138:C142)</f>
        <v>23647</v>
      </c>
      <c r="D144" s="76">
        <f t="shared" si="116"/>
        <v>23647</v>
      </c>
      <c r="E144" s="76">
        <f t="shared" si="116"/>
        <v>0</v>
      </c>
      <c r="F144" s="76">
        <f t="shared" si="116"/>
        <v>-1212</v>
      </c>
      <c r="G144" s="76">
        <f t="shared" si="116"/>
        <v>0</v>
      </c>
      <c r="H144" s="76">
        <f t="shared" si="116"/>
        <v>-1212</v>
      </c>
      <c r="I144" s="76">
        <f t="shared" si="116"/>
        <v>0</v>
      </c>
      <c r="J144" s="76">
        <f t="shared" si="116"/>
        <v>0</v>
      </c>
      <c r="K144" s="76">
        <f>SUM(E144:J144)</f>
        <v>-2424</v>
      </c>
      <c r="L144" s="76">
        <f>N144-D144</f>
        <v>-1212</v>
      </c>
      <c r="M144" s="76">
        <f>N144-C144</f>
        <v>-1212</v>
      </c>
      <c r="N144" s="76">
        <f>SUM(N138:N142)</f>
        <v>22435</v>
      </c>
      <c r="O144" s="76">
        <f>SUM(O138:O142)</f>
        <v>23467</v>
      </c>
      <c r="P144" s="76">
        <f>SUM(P138:P142)</f>
        <v>-6273</v>
      </c>
      <c r="Q144" s="76">
        <f>SUM(Q138:Q142)</f>
        <v>17194</v>
      </c>
      <c r="R144" s="76">
        <f>SUM(R138:R142)</f>
        <v>21359</v>
      </c>
      <c r="S144" s="76">
        <f>Q144-R144</f>
        <v>-4165</v>
      </c>
      <c r="T144" s="92">
        <f>IFERROR((Q144/N144)*100%,"∞")</f>
        <v>0.76639179852908401</v>
      </c>
      <c r="U144" s="76">
        <f>N144+V144</f>
        <v>22435</v>
      </c>
      <c r="V144" s="76">
        <f>SUM(V138:V142)</f>
        <v>0</v>
      </c>
      <c r="W144" s="76">
        <f>SUM(W138:W142)</f>
        <v>0</v>
      </c>
      <c r="X144" s="76">
        <f>SUM(X138:X142)</f>
        <v>0</v>
      </c>
      <c r="Y144" s="76">
        <f>SUM(Y138:Y142)</f>
        <v>0</v>
      </c>
      <c r="Z144" s="76">
        <f>SUM(Z138:Z142)</f>
        <v>0</v>
      </c>
      <c r="AA144" s="60"/>
      <c r="AB144" s="76">
        <f>SUM(AB138:AB142)</f>
        <v>0</v>
      </c>
      <c r="AC144" s="76">
        <f>SUM(AC138:AC142)</f>
        <v>6423.52</v>
      </c>
      <c r="AD144" s="76">
        <f>SUM(AD138:AD142)</f>
        <v>6423.52</v>
      </c>
      <c r="AE144" s="76">
        <f>SUM(AE138:AE142)</f>
        <v>23617.52</v>
      </c>
      <c r="AF144" s="76">
        <f>SUM(AF138:AF142)</f>
        <v>1182.52</v>
      </c>
    </row>
    <row r="145" spans="2:34"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4" ht="13.5" thickBot="1" x14ac:dyDescent="0.35">
      <c r="B146" s="91" t="s">
        <v>165</v>
      </c>
      <c r="C146" s="76">
        <f t="shared" ref="C146:J146" si="117">C134-C144</f>
        <v>0</v>
      </c>
      <c r="D146" s="76">
        <f t="shared" si="117"/>
        <v>0</v>
      </c>
      <c r="E146" s="76">
        <f t="shared" si="117"/>
        <v>0</v>
      </c>
      <c r="F146" s="76">
        <f t="shared" si="117"/>
        <v>-1</v>
      </c>
      <c r="G146" s="76">
        <f t="shared" si="117"/>
        <v>3</v>
      </c>
      <c r="H146" s="76">
        <f t="shared" si="117"/>
        <v>-1</v>
      </c>
      <c r="I146" s="76">
        <f t="shared" si="117"/>
        <v>0</v>
      </c>
      <c r="J146" s="76">
        <f t="shared" si="117"/>
        <v>0</v>
      </c>
      <c r="K146" s="76">
        <f>SUM(E146:J146)</f>
        <v>1</v>
      </c>
      <c r="L146" s="76">
        <f>N146-D146</f>
        <v>0</v>
      </c>
      <c r="M146" s="76">
        <f>N146-C146</f>
        <v>0</v>
      </c>
      <c r="N146" s="76">
        <f>N134-N144</f>
        <v>0</v>
      </c>
      <c r="O146" s="76">
        <f>O134-O144</f>
        <v>167159</v>
      </c>
      <c r="P146" s="76">
        <f>P134-P144</f>
        <v>-158239</v>
      </c>
      <c r="Q146" s="76">
        <f>Q134-Q144</f>
        <v>8921</v>
      </c>
      <c r="R146" s="76">
        <f>R134-R144</f>
        <v>540</v>
      </c>
      <c r="S146" s="76">
        <f>Q146-R146</f>
        <v>8381</v>
      </c>
      <c r="T146" s="92" t="str">
        <f>IFERROR((Q146/N146)*100%,"∞")</f>
        <v>∞</v>
      </c>
      <c r="U146" s="76">
        <f>N146+V146</f>
        <v>358</v>
      </c>
      <c r="V146" s="76">
        <f>V134-V144</f>
        <v>358</v>
      </c>
      <c r="W146" s="76">
        <f>W134-W144</f>
        <v>-35</v>
      </c>
      <c r="X146" s="76">
        <f>X134-X144</f>
        <v>0</v>
      </c>
      <c r="Y146" s="76">
        <f>Y134-Y144</f>
        <v>0</v>
      </c>
      <c r="Z146" s="76">
        <f>Z134-Z144</f>
        <v>0</v>
      </c>
      <c r="AA146" s="60"/>
      <c r="AB146" s="76">
        <f>AB134-AB144</f>
        <v>453</v>
      </c>
      <c r="AC146" s="76">
        <f>AC134-AC144</f>
        <v>-9650.52</v>
      </c>
      <c r="AD146" s="76">
        <f>AD134-AD144</f>
        <v>-9197.52</v>
      </c>
      <c r="AE146" s="76">
        <f>AE134-AE144</f>
        <v>-814.52000000000044</v>
      </c>
      <c r="AF146" s="76">
        <f>AF134-AF144</f>
        <v>-814.52</v>
      </c>
    </row>
    <row r="147" spans="2:34" ht="13" thickTop="1" x14ac:dyDescent="0.25"/>
    <row r="149" spans="2:34" x14ac:dyDescent="0.25">
      <c r="AE149" s="646">
        <f>+(AF118+AF121+AF122)*-1</f>
        <v>0</v>
      </c>
      <c r="AH149" t="s">
        <v>645</v>
      </c>
    </row>
    <row r="151" spans="2:34" x14ac:dyDescent="0.25">
      <c r="AB151" s="654" t="s">
        <v>646</v>
      </c>
      <c r="AC151" s="655"/>
      <c r="AE151" s="19">
        <f>+AE149+AE146</f>
        <v>-814.52000000000044</v>
      </c>
      <c r="AH151" t="s">
        <v>647</v>
      </c>
    </row>
    <row r="152" spans="2:34" x14ac:dyDescent="0.25">
      <c r="AB152" s="656"/>
      <c r="AC152" s="657"/>
    </row>
    <row r="153" spans="2:34" x14ac:dyDescent="0.25">
      <c r="AB153" s="656" t="s">
        <v>648</v>
      </c>
      <c r="AC153" s="657">
        <v>-553</v>
      </c>
    </row>
    <row r="154" spans="2:34" x14ac:dyDescent="0.25">
      <c r="AB154" s="656" t="s">
        <v>649</v>
      </c>
      <c r="AC154" s="657">
        <v>-141</v>
      </c>
    </row>
    <row r="155" spans="2:34" x14ac:dyDescent="0.25">
      <c r="AB155" s="656" t="s">
        <v>650</v>
      </c>
      <c r="AC155" s="657">
        <v>-117</v>
      </c>
    </row>
    <row r="156" spans="2:34" x14ac:dyDescent="0.25">
      <c r="AB156" s="656"/>
      <c r="AC156" s="657">
        <f>AC153+AC154+AC155</f>
        <v>-811</v>
      </c>
    </row>
    <row r="157" spans="2:34" x14ac:dyDescent="0.25">
      <c r="AB157" s="658"/>
      <c r="AC157" s="659"/>
    </row>
    <row r="162" spans="28:38" x14ac:dyDescent="0.25">
      <c r="AB162" t="s">
        <v>651</v>
      </c>
      <c r="AD162">
        <v>358</v>
      </c>
    </row>
    <row r="164" spans="28:38" x14ac:dyDescent="0.25">
      <c r="AB164" t="s">
        <v>652</v>
      </c>
      <c r="AD164">
        <v>-1262</v>
      </c>
    </row>
    <row r="165" spans="28:38" x14ac:dyDescent="0.25">
      <c r="AB165" t="s">
        <v>653</v>
      </c>
      <c r="AD165">
        <v>-294</v>
      </c>
    </row>
    <row r="166" spans="28:38" x14ac:dyDescent="0.25">
      <c r="AB166" t="s">
        <v>654</v>
      </c>
      <c r="AD166">
        <v>-922</v>
      </c>
    </row>
    <row r="167" spans="28:38" x14ac:dyDescent="0.25">
      <c r="AB167" t="s">
        <v>655</v>
      </c>
      <c r="AD167">
        <v>2253</v>
      </c>
      <c r="AH167" s="654" t="s">
        <v>656</v>
      </c>
      <c r="AI167" s="660">
        <v>-160</v>
      </c>
      <c r="AJ167" s="660"/>
      <c r="AK167" s="660"/>
      <c r="AL167" s="655"/>
    </row>
    <row r="168" spans="28:38" x14ac:dyDescent="0.25">
      <c r="AB168" t="s">
        <v>657</v>
      </c>
      <c r="AD168">
        <v>1070</v>
      </c>
      <c r="AH168" s="656" t="s">
        <v>658</v>
      </c>
      <c r="AI168">
        <v>-107</v>
      </c>
      <c r="AL168" s="657"/>
    </row>
    <row r="169" spans="28:38" x14ac:dyDescent="0.25">
      <c r="AB169" t="s">
        <v>659</v>
      </c>
      <c r="AD169">
        <v>-2268</v>
      </c>
      <c r="AH169" s="656" t="s">
        <v>660</v>
      </c>
      <c r="AI169">
        <v>460</v>
      </c>
      <c r="AJ169" t="s">
        <v>661</v>
      </c>
      <c r="AL169" s="657"/>
    </row>
    <row r="170" spans="28:38" x14ac:dyDescent="0.25">
      <c r="AB170" t="s">
        <v>662</v>
      </c>
      <c r="AD170">
        <v>361</v>
      </c>
      <c r="AH170" s="656" t="s">
        <v>589</v>
      </c>
      <c r="AI170">
        <v>186</v>
      </c>
      <c r="AJ170" t="s">
        <v>663</v>
      </c>
      <c r="AL170" s="657"/>
    </row>
    <row r="171" spans="28:38" x14ac:dyDescent="0.25">
      <c r="AB171" t="s">
        <v>664</v>
      </c>
      <c r="AD171">
        <v>-70</v>
      </c>
      <c r="AH171" s="656" t="s">
        <v>665</v>
      </c>
      <c r="AI171">
        <v>1878</v>
      </c>
      <c r="AJ171" t="s">
        <v>666</v>
      </c>
      <c r="AL171" s="657"/>
    </row>
    <row r="172" spans="28:38" x14ac:dyDescent="0.25">
      <c r="AD172">
        <f>SUM(AD162:AD171)</f>
        <v>-774</v>
      </c>
      <c r="AH172" s="656" t="s">
        <v>667</v>
      </c>
      <c r="AI172">
        <v>103</v>
      </c>
      <c r="AJ172" t="s">
        <v>668</v>
      </c>
      <c r="AL172" s="657"/>
    </row>
    <row r="173" spans="28:38" x14ac:dyDescent="0.25">
      <c r="AH173" s="656" t="s">
        <v>669</v>
      </c>
      <c r="AI173">
        <v>278</v>
      </c>
      <c r="AJ173" t="s">
        <v>670</v>
      </c>
      <c r="AL173" s="657"/>
    </row>
    <row r="174" spans="28:38" x14ac:dyDescent="0.25">
      <c r="AH174" s="658"/>
      <c r="AI174" s="661">
        <f>SUM(AI167:AI173)</f>
        <v>2638</v>
      </c>
      <c r="AJ174" s="661"/>
      <c r="AK174" s="661"/>
      <c r="AL174" s="659"/>
    </row>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P67"/>
  <sheetViews>
    <sheetView topLeftCell="A16" zoomScale="90" zoomScaleNormal="90" workbookViewId="0">
      <selection activeCell="H61" sqref="H61"/>
    </sheetView>
  </sheetViews>
  <sheetFormatPr defaultRowHeight="12.5" outlineLevelRow="2" x14ac:dyDescent="0.25"/>
  <cols>
    <col min="1" max="1" width="3.453125" bestFit="1" customWidth="1"/>
    <col min="2" max="2" width="9" bestFit="1" customWidth="1"/>
    <col min="3" max="3" width="4.81640625" bestFit="1" customWidth="1"/>
    <col min="4" max="4" width="10" bestFit="1" customWidth="1"/>
    <col min="5" max="5" width="7" bestFit="1" customWidth="1"/>
    <col min="6" max="6" width="7.453125" bestFit="1" customWidth="1"/>
    <col min="7" max="7" width="5.54296875" bestFit="1" customWidth="1"/>
    <col min="8" max="8" width="4.54296875" bestFit="1" customWidth="1"/>
    <col min="9" max="9" width="3.453125" bestFit="1" customWidth="1"/>
    <col min="10" max="10" width="82.1796875" bestFit="1" customWidth="1"/>
    <col min="11" max="11" width="12.1796875" style="123" bestFit="1" customWidth="1"/>
    <col min="12" max="12" width="6.453125" bestFit="1" customWidth="1"/>
    <col min="15" max="15" width="11.54296875" bestFit="1" customWidth="1"/>
    <col min="16" max="16" width="10" bestFit="1" customWidth="1"/>
  </cols>
  <sheetData>
    <row r="2" spans="1:12" x14ac:dyDescent="0.25">
      <c r="A2" t="s">
        <v>188</v>
      </c>
      <c r="B2" t="s">
        <v>189</v>
      </c>
      <c r="C2" t="s">
        <v>190</v>
      </c>
      <c r="D2" t="s">
        <v>191</v>
      </c>
      <c r="E2" t="s">
        <v>192</v>
      </c>
      <c r="F2" t="s">
        <v>193</v>
      </c>
      <c r="G2" t="s">
        <v>194</v>
      </c>
      <c r="H2" t="s">
        <v>671</v>
      </c>
      <c r="I2" t="s">
        <v>672</v>
      </c>
      <c r="J2" t="s">
        <v>195</v>
      </c>
      <c r="K2" s="123" t="s">
        <v>196</v>
      </c>
    </row>
    <row r="4" spans="1:12" outlineLevel="2" x14ac:dyDescent="0.25">
      <c r="A4" t="s">
        <v>203</v>
      </c>
      <c r="B4">
        <v>10353213</v>
      </c>
      <c r="C4">
        <v>3</v>
      </c>
      <c r="D4" s="639">
        <v>44588</v>
      </c>
      <c r="E4">
        <v>202210</v>
      </c>
      <c r="F4" t="s">
        <v>673</v>
      </c>
      <c r="G4" t="s">
        <v>674</v>
      </c>
      <c r="I4" t="s">
        <v>675</v>
      </c>
      <c r="J4" t="s">
        <v>676</v>
      </c>
      <c r="K4" s="123">
        <v>-208367.02</v>
      </c>
      <c r="L4" t="s">
        <v>676</v>
      </c>
    </row>
    <row r="5" spans="1:12" outlineLevel="2" x14ac:dyDescent="0.25">
      <c r="A5" t="s">
        <v>203</v>
      </c>
      <c r="B5">
        <v>10354504</v>
      </c>
      <c r="C5">
        <v>1</v>
      </c>
      <c r="D5" s="639">
        <v>44728</v>
      </c>
      <c r="E5">
        <v>202212</v>
      </c>
      <c r="F5" t="s">
        <v>673</v>
      </c>
      <c r="G5" t="s">
        <v>674</v>
      </c>
      <c r="I5" t="s">
        <v>675</v>
      </c>
      <c r="J5" t="s">
        <v>677</v>
      </c>
      <c r="K5" s="123">
        <v>208367.02</v>
      </c>
      <c r="L5" t="s">
        <v>676</v>
      </c>
    </row>
    <row r="6" spans="1:12" ht="13" outlineLevel="1" x14ac:dyDescent="0.3">
      <c r="D6" s="639"/>
      <c r="K6" s="123">
        <f>SUBTOTAL(9,K4:K5)</f>
        <v>0</v>
      </c>
      <c r="L6" s="643" t="s">
        <v>678</v>
      </c>
    </row>
    <row r="7" spans="1:12" outlineLevel="2" x14ac:dyDescent="0.25">
      <c r="A7" t="s">
        <v>679</v>
      </c>
      <c r="B7">
        <v>10350844</v>
      </c>
      <c r="C7">
        <v>613</v>
      </c>
      <c r="D7" s="639">
        <v>44294</v>
      </c>
      <c r="E7">
        <v>202201</v>
      </c>
      <c r="F7" t="s">
        <v>680</v>
      </c>
      <c r="G7" t="s">
        <v>674</v>
      </c>
      <c r="I7" t="s">
        <v>675</v>
      </c>
      <c r="J7" t="s">
        <v>681</v>
      </c>
      <c r="K7" s="123">
        <v>-150000</v>
      </c>
      <c r="L7" t="s">
        <v>682</v>
      </c>
    </row>
    <row r="8" spans="1:12" outlineLevel="2" x14ac:dyDescent="0.25">
      <c r="A8" t="s">
        <v>203</v>
      </c>
      <c r="B8">
        <v>10352300</v>
      </c>
      <c r="C8">
        <v>0</v>
      </c>
      <c r="D8" s="639">
        <v>44448</v>
      </c>
      <c r="E8">
        <v>202206</v>
      </c>
      <c r="F8" t="s">
        <v>680</v>
      </c>
      <c r="G8" t="s">
        <v>674</v>
      </c>
      <c r="I8" t="s">
        <v>675</v>
      </c>
      <c r="J8" t="s">
        <v>683</v>
      </c>
      <c r="K8" s="123">
        <v>12000</v>
      </c>
      <c r="L8" t="s">
        <v>682</v>
      </c>
    </row>
    <row r="9" spans="1:12" outlineLevel="2" x14ac:dyDescent="0.25">
      <c r="A9" t="s">
        <v>203</v>
      </c>
      <c r="B9">
        <v>10354426</v>
      </c>
      <c r="C9">
        <v>1</v>
      </c>
      <c r="D9" s="639">
        <v>44722</v>
      </c>
      <c r="E9">
        <v>202212</v>
      </c>
      <c r="F9" t="s">
        <v>680</v>
      </c>
      <c r="G9" t="s">
        <v>674</v>
      </c>
      <c r="I9" t="s">
        <v>675</v>
      </c>
      <c r="J9" t="s">
        <v>684</v>
      </c>
      <c r="K9" s="123">
        <v>-6975</v>
      </c>
      <c r="L9" t="s">
        <v>682</v>
      </c>
    </row>
    <row r="10" spans="1:12" outlineLevel="2" x14ac:dyDescent="0.25">
      <c r="A10" t="s">
        <v>203</v>
      </c>
      <c r="B10">
        <v>10354592</v>
      </c>
      <c r="C10">
        <v>21</v>
      </c>
      <c r="D10" s="639">
        <v>44736</v>
      </c>
      <c r="E10">
        <v>202212</v>
      </c>
      <c r="F10" t="s">
        <v>680</v>
      </c>
      <c r="G10" t="s">
        <v>674</v>
      </c>
      <c r="I10" t="s">
        <v>675</v>
      </c>
      <c r="J10" t="s">
        <v>685</v>
      </c>
      <c r="K10" s="123">
        <v>2001000</v>
      </c>
      <c r="L10" t="s">
        <v>682</v>
      </c>
    </row>
    <row r="11" spans="1:12" outlineLevel="2" x14ac:dyDescent="0.25">
      <c r="A11" t="s">
        <v>203</v>
      </c>
      <c r="B11">
        <v>10354592</v>
      </c>
      <c r="C11">
        <v>29</v>
      </c>
      <c r="D11" s="639">
        <v>44736</v>
      </c>
      <c r="E11">
        <v>202212</v>
      </c>
      <c r="F11" t="s">
        <v>680</v>
      </c>
      <c r="G11" t="s">
        <v>674</v>
      </c>
      <c r="I11" t="s">
        <v>675</v>
      </c>
      <c r="J11" t="s">
        <v>685</v>
      </c>
      <c r="K11" s="123">
        <v>-90000</v>
      </c>
      <c r="L11" t="s">
        <v>682</v>
      </c>
    </row>
    <row r="12" spans="1:12" outlineLevel="2" x14ac:dyDescent="0.25">
      <c r="A12" t="s">
        <v>679</v>
      </c>
      <c r="B12">
        <v>10353234</v>
      </c>
      <c r="C12">
        <v>591</v>
      </c>
      <c r="D12" s="639">
        <v>44594</v>
      </c>
      <c r="E12">
        <v>202211</v>
      </c>
      <c r="F12" t="s">
        <v>673</v>
      </c>
      <c r="G12" t="s">
        <v>674</v>
      </c>
      <c r="I12" t="s">
        <v>675</v>
      </c>
      <c r="J12" t="s">
        <v>686</v>
      </c>
      <c r="K12" s="123">
        <v>-687000</v>
      </c>
      <c r="L12" t="s">
        <v>682</v>
      </c>
    </row>
    <row r="13" spans="1:12" outlineLevel="2" x14ac:dyDescent="0.25">
      <c r="A13" t="s">
        <v>679</v>
      </c>
      <c r="B13">
        <v>10353234</v>
      </c>
      <c r="C13">
        <v>592</v>
      </c>
      <c r="D13" s="639">
        <v>44594</v>
      </c>
      <c r="E13">
        <v>202211</v>
      </c>
      <c r="F13" t="s">
        <v>673</v>
      </c>
      <c r="G13" t="s">
        <v>674</v>
      </c>
      <c r="I13" t="s">
        <v>675</v>
      </c>
      <c r="J13" t="s">
        <v>687</v>
      </c>
      <c r="K13" s="123">
        <v>-17000</v>
      </c>
      <c r="L13" t="s">
        <v>682</v>
      </c>
    </row>
    <row r="14" spans="1:12" outlineLevel="2" x14ac:dyDescent="0.25">
      <c r="A14" t="s">
        <v>203</v>
      </c>
      <c r="B14">
        <v>10354583</v>
      </c>
      <c r="C14">
        <v>6</v>
      </c>
      <c r="D14" s="639">
        <v>44735</v>
      </c>
      <c r="E14">
        <v>202212</v>
      </c>
      <c r="F14" t="s">
        <v>673</v>
      </c>
      <c r="G14" t="s">
        <v>674</v>
      </c>
      <c r="I14" t="s">
        <v>675</v>
      </c>
      <c r="J14" t="s">
        <v>688</v>
      </c>
      <c r="K14" s="123">
        <v>-45000</v>
      </c>
      <c r="L14" t="s">
        <v>682</v>
      </c>
    </row>
    <row r="15" spans="1:12" outlineLevel="2" x14ac:dyDescent="0.25">
      <c r="A15" t="s">
        <v>203</v>
      </c>
      <c r="B15">
        <v>10354592</v>
      </c>
      <c r="C15">
        <v>6</v>
      </c>
      <c r="D15" s="639">
        <v>44736</v>
      </c>
      <c r="E15">
        <v>202212</v>
      </c>
      <c r="F15" t="s">
        <v>673</v>
      </c>
      <c r="G15" t="s">
        <v>674</v>
      </c>
      <c r="I15" t="s">
        <v>675</v>
      </c>
      <c r="J15" t="s">
        <v>689</v>
      </c>
      <c r="K15" s="123">
        <v>-45000</v>
      </c>
      <c r="L15" t="s">
        <v>682</v>
      </c>
    </row>
    <row r="16" spans="1:12" outlineLevel="2" x14ac:dyDescent="0.25">
      <c r="A16" t="s">
        <v>203</v>
      </c>
      <c r="B16">
        <v>10354592</v>
      </c>
      <c r="C16">
        <v>4</v>
      </c>
      <c r="D16" s="639">
        <v>44736</v>
      </c>
      <c r="E16">
        <v>202212</v>
      </c>
      <c r="F16" t="s">
        <v>673</v>
      </c>
      <c r="G16" t="s">
        <v>674</v>
      </c>
      <c r="I16" t="s">
        <v>675</v>
      </c>
      <c r="J16" t="s">
        <v>690</v>
      </c>
      <c r="K16" s="123">
        <v>85000</v>
      </c>
      <c r="L16" t="s">
        <v>682</v>
      </c>
    </row>
    <row r="17" spans="1:16" ht="13" outlineLevel="1" x14ac:dyDescent="0.3">
      <c r="D17" s="639"/>
      <c r="K17" s="123">
        <f>SUBTOTAL(9,K7:K16)</f>
        <v>1057025</v>
      </c>
      <c r="L17" s="643" t="s">
        <v>691</v>
      </c>
      <c r="N17" t="s">
        <v>692</v>
      </c>
      <c r="O17" s="123">
        <v>1212000</v>
      </c>
      <c r="P17" s="123">
        <f>O17-K17</f>
        <v>154975</v>
      </c>
    </row>
    <row r="18" spans="1:16" outlineLevel="2" x14ac:dyDescent="0.25">
      <c r="A18" t="s">
        <v>679</v>
      </c>
      <c r="B18">
        <v>10350703</v>
      </c>
      <c r="C18">
        <v>1553</v>
      </c>
      <c r="D18" s="639">
        <v>44287</v>
      </c>
      <c r="E18">
        <v>202201</v>
      </c>
      <c r="F18" t="s">
        <v>680</v>
      </c>
      <c r="G18" t="s">
        <v>674</v>
      </c>
      <c r="I18" t="s">
        <v>675</v>
      </c>
      <c r="J18" t="s">
        <v>693</v>
      </c>
      <c r="K18" s="123">
        <v>-1021000</v>
      </c>
      <c r="L18" t="s">
        <v>694</v>
      </c>
    </row>
    <row r="19" spans="1:16" outlineLevel="2" x14ac:dyDescent="0.25">
      <c r="A19" t="s">
        <v>695</v>
      </c>
      <c r="B19">
        <v>10351230</v>
      </c>
      <c r="C19">
        <v>7</v>
      </c>
      <c r="D19" s="639">
        <v>44308</v>
      </c>
      <c r="E19">
        <v>202201</v>
      </c>
      <c r="F19" t="s">
        <v>680</v>
      </c>
      <c r="G19" t="s">
        <v>674</v>
      </c>
      <c r="I19">
        <v>0</v>
      </c>
      <c r="J19" t="s">
        <v>696</v>
      </c>
      <c r="K19" s="123">
        <v>1021000</v>
      </c>
      <c r="L19" t="s">
        <v>694</v>
      </c>
    </row>
    <row r="20" spans="1:16" outlineLevel="2" x14ac:dyDescent="0.25">
      <c r="A20" t="s">
        <v>679</v>
      </c>
      <c r="B20">
        <v>10351241</v>
      </c>
      <c r="C20">
        <v>227</v>
      </c>
      <c r="D20" s="639">
        <v>44308</v>
      </c>
      <c r="E20">
        <v>202201</v>
      </c>
      <c r="F20" t="s">
        <v>680</v>
      </c>
      <c r="G20" t="s">
        <v>674</v>
      </c>
      <c r="I20" t="s">
        <v>675</v>
      </c>
      <c r="J20" t="s">
        <v>697</v>
      </c>
      <c r="K20" s="123">
        <v>-865000</v>
      </c>
      <c r="L20" t="s">
        <v>694</v>
      </c>
    </row>
    <row r="21" spans="1:16" outlineLevel="2" x14ac:dyDescent="0.25">
      <c r="A21" t="s">
        <v>695</v>
      </c>
      <c r="B21">
        <v>10353184</v>
      </c>
      <c r="C21">
        <v>0</v>
      </c>
      <c r="D21" s="639">
        <v>44585</v>
      </c>
      <c r="E21">
        <v>202210</v>
      </c>
      <c r="F21" t="s">
        <v>680</v>
      </c>
      <c r="G21" t="s">
        <v>674</v>
      </c>
      <c r="I21" t="s">
        <v>675</v>
      </c>
      <c r="J21" t="s">
        <v>698</v>
      </c>
      <c r="K21" s="123">
        <v>865000</v>
      </c>
      <c r="L21" t="s">
        <v>694</v>
      </c>
    </row>
    <row r="22" spans="1:16" outlineLevel="2" x14ac:dyDescent="0.25">
      <c r="A22" t="s">
        <v>679</v>
      </c>
      <c r="B22">
        <v>10351940</v>
      </c>
      <c r="C22">
        <v>1729</v>
      </c>
      <c r="D22" s="639">
        <v>44396</v>
      </c>
      <c r="E22">
        <v>202204</v>
      </c>
      <c r="F22" t="s">
        <v>680</v>
      </c>
      <c r="G22" t="s">
        <v>674</v>
      </c>
      <c r="I22" t="s">
        <v>675</v>
      </c>
      <c r="J22" t="s">
        <v>699</v>
      </c>
      <c r="K22" s="123">
        <v>-55150</v>
      </c>
      <c r="L22" t="s">
        <v>694</v>
      </c>
    </row>
    <row r="23" spans="1:16" outlineLevel="2" x14ac:dyDescent="0.25">
      <c r="A23" t="s">
        <v>203</v>
      </c>
      <c r="B23">
        <v>10352162</v>
      </c>
      <c r="C23">
        <v>0</v>
      </c>
      <c r="D23" s="639">
        <v>44432</v>
      </c>
      <c r="E23">
        <v>202205</v>
      </c>
      <c r="F23" t="s">
        <v>680</v>
      </c>
      <c r="G23" t="s">
        <v>674</v>
      </c>
      <c r="I23" t="s">
        <v>675</v>
      </c>
      <c r="J23" t="s">
        <v>700</v>
      </c>
      <c r="K23" s="123">
        <v>55150</v>
      </c>
      <c r="L23" t="s">
        <v>694</v>
      </c>
    </row>
    <row r="24" spans="1:16" outlineLevel="2" x14ac:dyDescent="0.25">
      <c r="A24" t="s">
        <v>203</v>
      </c>
      <c r="B24">
        <v>10354510</v>
      </c>
      <c r="C24">
        <v>3</v>
      </c>
      <c r="D24" s="639">
        <v>44728</v>
      </c>
      <c r="E24">
        <v>202212</v>
      </c>
      <c r="F24" t="s">
        <v>680</v>
      </c>
      <c r="G24" t="s">
        <v>674</v>
      </c>
      <c r="I24" t="s">
        <v>675</v>
      </c>
      <c r="K24" s="123">
        <v>2001000</v>
      </c>
      <c r="L24" t="s">
        <v>694</v>
      </c>
    </row>
    <row r="25" spans="1:16" outlineLevel="2" x14ac:dyDescent="0.25">
      <c r="A25" t="s">
        <v>203</v>
      </c>
      <c r="B25">
        <v>10354592</v>
      </c>
      <c r="C25">
        <v>12</v>
      </c>
      <c r="D25" s="639">
        <v>44736</v>
      </c>
      <c r="E25">
        <v>202212</v>
      </c>
      <c r="F25" t="s">
        <v>680</v>
      </c>
      <c r="G25" t="s">
        <v>674</v>
      </c>
      <c r="I25" t="s">
        <v>675</v>
      </c>
      <c r="J25" t="s">
        <v>701</v>
      </c>
      <c r="K25" s="123">
        <v>-2001000</v>
      </c>
      <c r="L25" t="s">
        <v>694</v>
      </c>
    </row>
    <row r="26" spans="1:16" outlineLevel="2" x14ac:dyDescent="0.25">
      <c r="A26" t="s">
        <v>203</v>
      </c>
      <c r="B26">
        <v>10354510</v>
      </c>
      <c r="C26">
        <v>2</v>
      </c>
      <c r="D26" s="639">
        <v>44728</v>
      </c>
      <c r="E26">
        <v>202212</v>
      </c>
      <c r="F26" t="s">
        <v>673</v>
      </c>
      <c r="G26" t="s">
        <v>674</v>
      </c>
      <c r="I26" t="s">
        <v>675</v>
      </c>
      <c r="K26" s="123">
        <v>-1487245</v>
      </c>
      <c r="L26" t="s">
        <v>694</v>
      </c>
    </row>
    <row r="27" spans="1:16" outlineLevel="2" x14ac:dyDescent="0.25">
      <c r="A27" t="s">
        <v>203</v>
      </c>
      <c r="B27">
        <v>10354573</v>
      </c>
      <c r="C27">
        <v>5</v>
      </c>
      <c r="D27" s="639">
        <v>44734</v>
      </c>
      <c r="E27">
        <v>202212</v>
      </c>
      <c r="F27" t="s">
        <v>673</v>
      </c>
      <c r="G27" t="s">
        <v>674</v>
      </c>
      <c r="I27" t="s">
        <v>675</v>
      </c>
      <c r="J27" t="s">
        <v>702</v>
      </c>
      <c r="K27" s="123">
        <v>1487245</v>
      </c>
      <c r="L27" t="s">
        <v>694</v>
      </c>
    </row>
    <row r="28" spans="1:16" outlineLevel="2" x14ac:dyDescent="0.25">
      <c r="A28" t="s">
        <v>203</v>
      </c>
      <c r="B28">
        <v>10353948</v>
      </c>
      <c r="C28">
        <v>10</v>
      </c>
      <c r="D28" s="639">
        <v>44671</v>
      </c>
      <c r="E28">
        <v>202212</v>
      </c>
      <c r="F28" t="s">
        <v>673</v>
      </c>
      <c r="G28" t="s">
        <v>674</v>
      </c>
      <c r="I28" t="s">
        <v>675</v>
      </c>
      <c r="J28" t="s">
        <v>703</v>
      </c>
      <c r="K28" s="123">
        <v>-4151637</v>
      </c>
      <c r="L28" t="s">
        <v>694</v>
      </c>
    </row>
    <row r="29" spans="1:16" outlineLevel="2" x14ac:dyDescent="0.25">
      <c r="A29" t="s">
        <v>203</v>
      </c>
      <c r="B29">
        <v>10353213</v>
      </c>
      <c r="C29">
        <v>2</v>
      </c>
      <c r="D29" s="639">
        <v>44588</v>
      </c>
      <c r="E29">
        <v>202210</v>
      </c>
      <c r="F29" t="s">
        <v>673</v>
      </c>
      <c r="G29" t="s">
        <v>674</v>
      </c>
      <c r="I29" t="s">
        <v>675</v>
      </c>
      <c r="J29" t="s">
        <v>704</v>
      </c>
      <c r="K29" s="123">
        <v>-2112066</v>
      </c>
      <c r="L29" t="s">
        <v>694</v>
      </c>
    </row>
    <row r="30" spans="1:16" outlineLevel="2" x14ac:dyDescent="0.25">
      <c r="A30" t="s">
        <v>203</v>
      </c>
      <c r="B30">
        <v>10354573</v>
      </c>
      <c r="C30">
        <v>8</v>
      </c>
      <c r="D30" s="639">
        <v>44734</v>
      </c>
      <c r="E30">
        <v>202212</v>
      </c>
      <c r="F30" t="s">
        <v>673</v>
      </c>
      <c r="G30" t="s">
        <v>674</v>
      </c>
      <c r="I30" t="s">
        <v>675</v>
      </c>
      <c r="J30" t="s">
        <v>702</v>
      </c>
      <c r="K30" s="123">
        <v>-275245</v>
      </c>
      <c r="L30" t="s">
        <v>694</v>
      </c>
    </row>
    <row r="31" spans="1:16" outlineLevel="2" x14ac:dyDescent="0.25">
      <c r="A31" t="s">
        <v>203</v>
      </c>
      <c r="B31">
        <v>10354592</v>
      </c>
      <c r="C31">
        <v>8</v>
      </c>
      <c r="D31" s="639">
        <v>44736</v>
      </c>
      <c r="E31">
        <v>202212</v>
      </c>
      <c r="F31" t="s">
        <v>673</v>
      </c>
      <c r="G31" t="s">
        <v>674</v>
      </c>
      <c r="I31" t="s">
        <v>675</v>
      </c>
      <c r="J31" t="s">
        <v>705</v>
      </c>
      <c r="K31" s="123">
        <v>-275245</v>
      </c>
      <c r="L31" t="s">
        <v>694</v>
      </c>
    </row>
    <row r="32" spans="1:16" outlineLevel="2" x14ac:dyDescent="0.25">
      <c r="A32" t="s">
        <v>679</v>
      </c>
      <c r="B32">
        <v>10351403</v>
      </c>
      <c r="C32">
        <v>2997</v>
      </c>
      <c r="D32" s="639">
        <v>44326</v>
      </c>
      <c r="E32">
        <v>202202</v>
      </c>
      <c r="F32" t="s">
        <v>673</v>
      </c>
      <c r="G32" t="s">
        <v>674</v>
      </c>
      <c r="I32" t="s">
        <v>675</v>
      </c>
      <c r="J32" t="s">
        <v>706</v>
      </c>
      <c r="K32" s="123">
        <v>-91599.42</v>
      </c>
      <c r="L32" t="s">
        <v>694</v>
      </c>
    </row>
    <row r="33" spans="1:12" outlineLevel="2" x14ac:dyDescent="0.25">
      <c r="A33" t="s">
        <v>679</v>
      </c>
      <c r="B33">
        <v>10353234</v>
      </c>
      <c r="C33">
        <v>593</v>
      </c>
      <c r="D33" s="639">
        <v>44594</v>
      </c>
      <c r="E33">
        <v>202211</v>
      </c>
      <c r="F33" t="s">
        <v>673</v>
      </c>
      <c r="G33" t="s">
        <v>674</v>
      </c>
      <c r="I33" t="s">
        <v>675</v>
      </c>
      <c r="J33" t="s">
        <v>707</v>
      </c>
      <c r="K33" s="123">
        <v>-85000</v>
      </c>
      <c r="L33" t="s">
        <v>694</v>
      </c>
    </row>
    <row r="34" spans="1:12" outlineLevel="2" x14ac:dyDescent="0.25">
      <c r="A34" t="s">
        <v>679</v>
      </c>
      <c r="B34">
        <v>10351241</v>
      </c>
      <c r="C34">
        <v>713</v>
      </c>
      <c r="D34" s="639">
        <v>44308</v>
      </c>
      <c r="E34">
        <v>202201</v>
      </c>
      <c r="F34" t="s">
        <v>673</v>
      </c>
      <c r="G34" t="s">
        <v>674</v>
      </c>
      <c r="I34" t="s">
        <v>675</v>
      </c>
      <c r="J34" t="s">
        <v>706</v>
      </c>
      <c r="K34" s="123">
        <v>-32990</v>
      </c>
      <c r="L34" t="s">
        <v>694</v>
      </c>
    </row>
    <row r="35" spans="1:12" outlineLevel="2" x14ac:dyDescent="0.25">
      <c r="A35" t="s">
        <v>203</v>
      </c>
      <c r="B35">
        <v>10351746</v>
      </c>
      <c r="C35">
        <v>0</v>
      </c>
      <c r="D35" s="639">
        <v>44377</v>
      </c>
      <c r="E35">
        <v>202203</v>
      </c>
      <c r="F35" t="s">
        <v>673</v>
      </c>
      <c r="G35" t="s">
        <v>674</v>
      </c>
      <c r="I35" t="s">
        <v>675</v>
      </c>
      <c r="J35" t="s">
        <v>708</v>
      </c>
      <c r="K35" s="123">
        <v>32990</v>
      </c>
      <c r="L35" t="s">
        <v>694</v>
      </c>
    </row>
    <row r="36" spans="1:12" outlineLevel="2" x14ac:dyDescent="0.25">
      <c r="A36" t="s">
        <v>203</v>
      </c>
      <c r="B36">
        <v>10354583</v>
      </c>
      <c r="C36">
        <v>4</v>
      </c>
      <c r="D36" s="639">
        <v>44735</v>
      </c>
      <c r="E36">
        <v>202212</v>
      </c>
      <c r="F36" t="s">
        <v>673</v>
      </c>
      <c r="G36" t="s">
        <v>674</v>
      </c>
      <c r="I36" t="s">
        <v>675</v>
      </c>
      <c r="J36" t="s">
        <v>690</v>
      </c>
      <c r="K36" s="123">
        <v>85000</v>
      </c>
      <c r="L36" t="s">
        <v>694</v>
      </c>
    </row>
    <row r="37" spans="1:12" outlineLevel="2" x14ac:dyDescent="0.25">
      <c r="A37" t="s">
        <v>203</v>
      </c>
      <c r="B37">
        <v>10351746</v>
      </c>
      <c r="C37">
        <v>1</v>
      </c>
      <c r="D37" s="639">
        <v>44377</v>
      </c>
      <c r="E37">
        <v>202203</v>
      </c>
      <c r="F37" t="s">
        <v>673</v>
      </c>
      <c r="G37" t="s">
        <v>674</v>
      </c>
      <c r="I37" t="s">
        <v>675</v>
      </c>
      <c r="J37" t="s">
        <v>709</v>
      </c>
      <c r="K37" s="123">
        <v>91599.4</v>
      </c>
      <c r="L37" t="s">
        <v>694</v>
      </c>
    </row>
    <row r="38" spans="1:12" outlineLevel="2" x14ac:dyDescent="0.25">
      <c r="A38" t="s">
        <v>203</v>
      </c>
      <c r="B38">
        <v>10354510</v>
      </c>
      <c r="C38">
        <v>12</v>
      </c>
      <c r="D38" s="639">
        <v>44728</v>
      </c>
      <c r="E38">
        <v>202212</v>
      </c>
      <c r="F38" t="s">
        <v>673</v>
      </c>
      <c r="G38" t="s">
        <v>674</v>
      </c>
      <c r="I38" t="s">
        <v>675</v>
      </c>
      <c r="K38" s="123">
        <v>275245</v>
      </c>
      <c r="L38" t="s">
        <v>694</v>
      </c>
    </row>
    <row r="39" spans="1:12" outlineLevel="2" x14ac:dyDescent="0.25">
      <c r="A39" t="s">
        <v>203</v>
      </c>
      <c r="B39">
        <v>10354573</v>
      </c>
      <c r="C39">
        <v>1</v>
      </c>
      <c r="D39" s="639">
        <v>44734</v>
      </c>
      <c r="E39">
        <v>202212</v>
      </c>
      <c r="F39" t="s">
        <v>673</v>
      </c>
      <c r="G39" t="s">
        <v>674</v>
      </c>
      <c r="I39" t="s">
        <v>675</v>
      </c>
      <c r="J39" t="s">
        <v>710</v>
      </c>
      <c r="K39" s="123">
        <v>275245</v>
      </c>
      <c r="L39" t="s">
        <v>694</v>
      </c>
    </row>
    <row r="40" spans="1:12" outlineLevel="2" x14ac:dyDescent="0.25">
      <c r="A40" t="s">
        <v>203</v>
      </c>
      <c r="B40">
        <v>10354504</v>
      </c>
      <c r="C40">
        <v>2</v>
      </c>
      <c r="D40" s="639">
        <v>44728</v>
      </c>
      <c r="E40">
        <v>202212</v>
      </c>
      <c r="F40" t="s">
        <v>673</v>
      </c>
      <c r="G40" t="s">
        <v>674</v>
      </c>
      <c r="I40" t="s">
        <v>675</v>
      </c>
      <c r="J40" t="s">
        <v>711</v>
      </c>
      <c r="K40" s="123">
        <v>2112066</v>
      </c>
      <c r="L40" t="s">
        <v>694</v>
      </c>
    </row>
    <row r="41" spans="1:12" outlineLevel="2" x14ac:dyDescent="0.25">
      <c r="A41" t="s">
        <v>679</v>
      </c>
      <c r="B41">
        <v>10353414</v>
      </c>
      <c r="C41">
        <v>3152</v>
      </c>
      <c r="D41" s="639">
        <v>44620</v>
      </c>
      <c r="E41">
        <v>202211</v>
      </c>
      <c r="F41" t="s">
        <v>673</v>
      </c>
      <c r="G41" t="s">
        <v>674</v>
      </c>
      <c r="I41" t="s">
        <v>675</v>
      </c>
      <c r="J41" t="s">
        <v>712</v>
      </c>
      <c r="K41" s="123">
        <v>4151637</v>
      </c>
      <c r="L41" t="s">
        <v>694</v>
      </c>
    </row>
    <row r="42" spans="1:12" ht="13" outlineLevel="1" x14ac:dyDescent="0.3">
      <c r="D42" s="639"/>
      <c r="K42" s="123">
        <f>SUBTOTAL(9,K18:K41)</f>
        <v>-1.9999999552965164E-2</v>
      </c>
      <c r="L42" s="643" t="s">
        <v>713</v>
      </c>
    </row>
    <row r="43" spans="1:12" outlineLevel="2" x14ac:dyDescent="0.25">
      <c r="A43" t="s">
        <v>679</v>
      </c>
      <c r="B43">
        <v>10351479</v>
      </c>
      <c r="C43">
        <v>461</v>
      </c>
      <c r="D43" s="639">
        <v>44330</v>
      </c>
      <c r="E43">
        <v>202202</v>
      </c>
      <c r="F43" t="s">
        <v>673</v>
      </c>
      <c r="G43" t="s">
        <v>674</v>
      </c>
      <c r="I43" t="s">
        <v>675</v>
      </c>
      <c r="J43" t="s">
        <v>714</v>
      </c>
      <c r="K43" s="123">
        <v>-840225</v>
      </c>
      <c r="L43" t="s">
        <v>715</v>
      </c>
    </row>
    <row r="44" spans="1:12" ht="13" outlineLevel="1" x14ac:dyDescent="0.3">
      <c r="D44" s="639"/>
      <c r="K44" s="123">
        <f>SUBTOTAL(9,K43:K43)</f>
        <v>-840225</v>
      </c>
      <c r="L44" s="643" t="s">
        <v>716</v>
      </c>
    </row>
    <row r="45" spans="1:12" outlineLevel="2" x14ac:dyDescent="0.25">
      <c r="A45" t="s">
        <v>679</v>
      </c>
      <c r="B45">
        <v>10352167</v>
      </c>
      <c r="C45">
        <v>834</v>
      </c>
      <c r="D45" s="639">
        <v>44434</v>
      </c>
      <c r="E45">
        <v>202205</v>
      </c>
      <c r="F45" t="s">
        <v>673</v>
      </c>
      <c r="G45" t="s">
        <v>674</v>
      </c>
      <c r="I45" t="s">
        <v>675</v>
      </c>
      <c r="J45" t="s">
        <v>717</v>
      </c>
      <c r="K45" s="123">
        <v>-44442</v>
      </c>
      <c r="L45" t="s">
        <v>718</v>
      </c>
    </row>
    <row r="46" spans="1:12" outlineLevel="2" x14ac:dyDescent="0.25">
      <c r="A46" t="s">
        <v>203</v>
      </c>
      <c r="B46">
        <v>10353894</v>
      </c>
      <c r="C46">
        <v>9</v>
      </c>
      <c r="D46" s="639">
        <v>44665</v>
      </c>
      <c r="E46">
        <v>202212</v>
      </c>
      <c r="F46" t="s">
        <v>673</v>
      </c>
      <c r="G46" t="s">
        <v>674</v>
      </c>
      <c r="I46" t="s">
        <v>675</v>
      </c>
      <c r="J46" t="s">
        <v>719</v>
      </c>
      <c r="K46" s="123">
        <v>-22232</v>
      </c>
      <c r="L46" t="s">
        <v>718</v>
      </c>
    </row>
    <row r="47" spans="1:12" outlineLevel="2" x14ac:dyDescent="0.25">
      <c r="A47" t="s">
        <v>679</v>
      </c>
      <c r="B47">
        <v>10352986</v>
      </c>
      <c r="C47">
        <v>102</v>
      </c>
      <c r="D47" s="639">
        <v>44550</v>
      </c>
      <c r="E47">
        <v>202209</v>
      </c>
      <c r="F47" t="s">
        <v>673</v>
      </c>
      <c r="G47" t="s">
        <v>674</v>
      </c>
      <c r="I47" t="s">
        <v>675</v>
      </c>
      <c r="J47" t="s">
        <v>706</v>
      </c>
      <c r="K47" s="123">
        <v>-22222</v>
      </c>
      <c r="L47" t="s">
        <v>718</v>
      </c>
    </row>
    <row r="48" spans="1:12" outlineLevel="2" x14ac:dyDescent="0.25">
      <c r="A48" t="s">
        <v>679</v>
      </c>
      <c r="B48">
        <v>10352167</v>
      </c>
      <c r="C48">
        <v>837</v>
      </c>
      <c r="D48" s="639">
        <v>44434</v>
      </c>
      <c r="E48">
        <v>202205</v>
      </c>
      <c r="F48" t="s">
        <v>673</v>
      </c>
      <c r="G48" t="s">
        <v>674</v>
      </c>
      <c r="I48" t="s">
        <v>675</v>
      </c>
      <c r="J48" t="s">
        <v>706</v>
      </c>
      <c r="K48" s="123">
        <v>-22221</v>
      </c>
      <c r="L48" t="s">
        <v>718</v>
      </c>
    </row>
    <row r="49" spans="1:12" outlineLevel="2" x14ac:dyDescent="0.25">
      <c r="A49" t="s">
        <v>679</v>
      </c>
      <c r="B49">
        <v>10352986</v>
      </c>
      <c r="C49">
        <v>613</v>
      </c>
      <c r="D49" s="639">
        <v>44550</v>
      </c>
      <c r="E49">
        <v>202209</v>
      </c>
      <c r="F49" t="s">
        <v>673</v>
      </c>
      <c r="G49" t="s">
        <v>674</v>
      </c>
      <c r="I49" t="s">
        <v>675</v>
      </c>
      <c r="J49" t="s">
        <v>720</v>
      </c>
      <c r="K49" s="123">
        <v>-22221</v>
      </c>
      <c r="L49" t="s">
        <v>718</v>
      </c>
    </row>
    <row r="50" spans="1:12" outlineLevel="2" x14ac:dyDescent="0.25">
      <c r="A50" t="s">
        <v>679</v>
      </c>
      <c r="B50">
        <v>10352986</v>
      </c>
      <c r="C50">
        <v>101</v>
      </c>
      <c r="D50" s="639">
        <v>44550</v>
      </c>
      <c r="E50">
        <v>202209</v>
      </c>
      <c r="F50" t="s">
        <v>673</v>
      </c>
      <c r="G50" t="s">
        <v>674</v>
      </c>
      <c r="I50" t="s">
        <v>675</v>
      </c>
      <c r="J50" t="s">
        <v>706</v>
      </c>
      <c r="K50" s="123">
        <v>-22221</v>
      </c>
      <c r="L50" t="s">
        <v>718</v>
      </c>
    </row>
    <row r="51" spans="1:12" outlineLevel="2" x14ac:dyDescent="0.25">
      <c r="A51" t="s">
        <v>679</v>
      </c>
      <c r="B51">
        <v>10352986</v>
      </c>
      <c r="C51">
        <v>104</v>
      </c>
      <c r="D51" s="639">
        <v>44550</v>
      </c>
      <c r="E51">
        <v>202209</v>
      </c>
      <c r="F51" t="s">
        <v>673</v>
      </c>
      <c r="G51" t="s">
        <v>674</v>
      </c>
      <c r="I51" t="s">
        <v>675</v>
      </c>
      <c r="J51" t="s">
        <v>706</v>
      </c>
      <c r="K51" s="123">
        <v>-22221</v>
      </c>
      <c r="L51" t="s">
        <v>718</v>
      </c>
    </row>
    <row r="52" spans="1:12" outlineLevel="2" x14ac:dyDescent="0.25">
      <c r="A52" t="s">
        <v>679</v>
      </c>
      <c r="B52">
        <v>10352986</v>
      </c>
      <c r="C52">
        <v>103</v>
      </c>
      <c r="D52" s="639">
        <v>44550</v>
      </c>
      <c r="E52">
        <v>202209</v>
      </c>
      <c r="F52" t="s">
        <v>673</v>
      </c>
      <c r="G52" t="s">
        <v>674</v>
      </c>
      <c r="I52" t="s">
        <v>675</v>
      </c>
      <c r="J52" t="s">
        <v>706</v>
      </c>
      <c r="K52" s="123">
        <v>-22221</v>
      </c>
      <c r="L52" t="s">
        <v>718</v>
      </c>
    </row>
    <row r="53" spans="1:12" outlineLevel="2" x14ac:dyDescent="0.25">
      <c r="A53" t="s">
        <v>679</v>
      </c>
      <c r="B53">
        <v>10353158</v>
      </c>
      <c r="C53">
        <v>928</v>
      </c>
      <c r="D53" s="639">
        <v>44575</v>
      </c>
      <c r="E53">
        <v>202210</v>
      </c>
      <c r="F53" t="s">
        <v>673</v>
      </c>
      <c r="G53" t="s">
        <v>674</v>
      </c>
      <c r="I53" t="s">
        <v>675</v>
      </c>
      <c r="J53" t="s">
        <v>720</v>
      </c>
      <c r="K53" s="123">
        <v>-22221</v>
      </c>
      <c r="L53" t="s">
        <v>718</v>
      </c>
    </row>
    <row r="54" spans="1:12" outlineLevel="2" x14ac:dyDescent="0.25">
      <c r="A54" t="s">
        <v>679</v>
      </c>
      <c r="B54">
        <v>10353202</v>
      </c>
      <c r="C54">
        <v>140</v>
      </c>
      <c r="D54" s="639">
        <v>44585</v>
      </c>
      <c r="E54">
        <v>202210</v>
      </c>
      <c r="F54" t="s">
        <v>673</v>
      </c>
      <c r="G54" t="s">
        <v>674</v>
      </c>
      <c r="I54" t="s">
        <v>675</v>
      </c>
      <c r="J54" t="s">
        <v>721</v>
      </c>
      <c r="K54" s="123">
        <v>-22221</v>
      </c>
      <c r="L54" t="s">
        <v>718</v>
      </c>
    </row>
    <row r="55" spans="1:12" outlineLevel="2" x14ac:dyDescent="0.25">
      <c r="A55" t="s">
        <v>679</v>
      </c>
      <c r="B55">
        <v>10353446</v>
      </c>
      <c r="C55">
        <v>2219</v>
      </c>
      <c r="D55" s="639">
        <v>44622</v>
      </c>
      <c r="E55">
        <v>202212</v>
      </c>
      <c r="F55" t="s">
        <v>673</v>
      </c>
      <c r="G55" t="s">
        <v>674</v>
      </c>
      <c r="I55" t="s">
        <v>675</v>
      </c>
      <c r="J55" t="s">
        <v>721</v>
      </c>
      <c r="K55" s="123">
        <v>-22221</v>
      </c>
      <c r="L55" t="s">
        <v>718</v>
      </c>
    </row>
    <row r="56" spans="1:12" ht="13" outlineLevel="1" x14ac:dyDescent="0.3">
      <c r="D56" s="639"/>
      <c r="K56" s="123">
        <f>SUBTOTAL(9,K45:K55)</f>
        <v>-266664</v>
      </c>
      <c r="L56" s="643" t="s">
        <v>722</v>
      </c>
    </row>
    <row r="57" spans="1:12" outlineLevel="2" x14ac:dyDescent="0.25">
      <c r="A57" t="s">
        <v>679</v>
      </c>
      <c r="B57">
        <v>10350814</v>
      </c>
      <c r="C57">
        <v>314</v>
      </c>
      <c r="D57" s="639">
        <v>44293</v>
      </c>
      <c r="E57">
        <v>202201</v>
      </c>
      <c r="F57" t="s">
        <v>673</v>
      </c>
      <c r="G57" t="s">
        <v>674</v>
      </c>
      <c r="I57" t="s">
        <v>675</v>
      </c>
      <c r="J57" t="s">
        <v>723</v>
      </c>
      <c r="K57" s="123">
        <v>-2113439</v>
      </c>
      <c r="L57" t="s">
        <v>724</v>
      </c>
    </row>
    <row r="58" spans="1:12" outlineLevel="2" x14ac:dyDescent="0.25">
      <c r="A58" t="s">
        <v>679</v>
      </c>
      <c r="B58">
        <v>10352435</v>
      </c>
      <c r="C58">
        <v>2236</v>
      </c>
      <c r="D58" s="639">
        <v>44474</v>
      </c>
      <c r="E58">
        <v>202207</v>
      </c>
      <c r="F58" t="s">
        <v>673</v>
      </c>
      <c r="G58" t="s">
        <v>674</v>
      </c>
      <c r="I58" t="s">
        <v>675</v>
      </c>
      <c r="J58" t="s">
        <v>725</v>
      </c>
      <c r="K58" s="123">
        <v>-1967423</v>
      </c>
      <c r="L58" t="s">
        <v>724</v>
      </c>
    </row>
    <row r="59" spans="1:12" outlineLevel="2" x14ac:dyDescent="0.25">
      <c r="A59" t="s">
        <v>203</v>
      </c>
      <c r="B59">
        <v>10353948</v>
      </c>
      <c r="C59">
        <v>75</v>
      </c>
      <c r="D59" s="639">
        <v>44671</v>
      </c>
      <c r="E59">
        <v>202212</v>
      </c>
      <c r="F59" t="s">
        <v>673</v>
      </c>
      <c r="G59" t="s">
        <v>674</v>
      </c>
      <c r="I59" t="s">
        <v>675</v>
      </c>
      <c r="J59" t="s">
        <v>726</v>
      </c>
      <c r="K59" s="123">
        <v>-1104334</v>
      </c>
      <c r="L59" t="s">
        <v>724</v>
      </c>
    </row>
    <row r="60" spans="1:12" outlineLevel="2" x14ac:dyDescent="0.25">
      <c r="A60" t="s">
        <v>203</v>
      </c>
      <c r="B60">
        <v>10354504</v>
      </c>
      <c r="C60">
        <v>0</v>
      </c>
      <c r="D60" s="639">
        <v>44728</v>
      </c>
      <c r="E60">
        <v>202212</v>
      </c>
      <c r="F60" t="s">
        <v>673</v>
      </c>
      <c r="G60" t="s">
        <v>674</v>
      </c>
      <c r="I60" t="s">
        <v>675</v>
      </c>
      <c r="J60" t="s">
        <v>727</v>
      </c>
      <c r="K60" s="123">
        <v>1104334</v>
      </c>
      <c r="L60" t="s">
        <v>724</v>
      </c>
    </row>
    <row r="61" spans="1:12" outlineLevel="2" x14ac:dyDescent="0.25">
      <c r="A61" t="s">
        <v>695</v>
      </c>
      <c r="B61">
        <v>10351570</v>
      </c>
      <c r="C61">
        <v>1</v>
      </c>
      <c r="D61" s="639">
        <v>44343</v>
      </c>
      <c r="E61">
        <v>202201</v>
      </c>
      <c r="F61" t="s">
        <v>673</v>
      </c>
      <c r="G61" t="s">
        <v>674</v>
      </c>
      <c r="I61">
        <v>0</v>
      </c>
      <c r="J61" t="s">
        <v>728</v>
      </c>
      <c r="K61" s="123">
        <v>1967000</v>
      </c>
      <c r="L61" t="s">
        <v>724</v>
      </c>
    </row>
    <row r="62" spans="1:12" outlineLevel="2" x14ac:dyDescent="0.25">
      <c r="A62" t="s">
        <v>695</v>
      </c>
      <c r="B62">
        <v>10350818</v>
      </c>
      <c r="C62">
        <v>93</v>
      </c>
      <c r="D62" s="639">
        <v>44294</v>
      </c>
      <c r="E62">
        <v>202201</v>
      </c>
      <c r="F62" t="s">
        <v>673</v>
      </c>
      <c r="G62" t="s">
        <v>674</v>
      </c>
      <c r="I62">
        <v>0</v>
      </c>
      <c r="J62" t="s">
        <v>729</v>
      </c>
      <c r="K62" s="123">
        <v>2113439</v>
      </c>
      <c r="L62" t="s">
        <v>724</v>
      </c>
    </row>
    <row r="63" spans="1:12" ht="13" outlineLevel="1" x14ac:dyDescent="0.3">
      <c r="D63" s="639"/>
      <c r="K63" s="123">
        <f>SUBTOTAL(9,K57:K62)</f>
        <v>-423</v>
      </c>
      <c r="L63" s="643" t="s">
        <v>730</v>
      </c>
    </row>
    <row r="64" spans="1:12" ht="13" x14ac:dyDescent="0.3">
      <c r="D64" s="639"/>
      <c r="K64" s="123">
        <f>SUBTOTAL(9,K4:K62)</f>
        <v>-50287.019999999553</v>
      </c>
      <c r="L64" s="643" t="s">
        <v>731</v>
      </c>
    </row>
    <row r="65" spans="10:11" ht="13" x14ac:dyDescent="0.3">
      <c r="K65" s="642">
        <f>SUM(K4:K62)</f>
        <v>-100151.03999999911</v>
      </c>
    </row>
    <row r="67" spans="10:11" x14ac:dyDescent="0.25">
      <c r="J67" t="s">
        <v>732</v>
      </c>
      <c r="K67" s="123">
        <f>K44+K56</f>
        <v>-1106889</v>
      </c>
    </row>
  </sheetData>
  <sortState xmlns:xlrd2="http://schemas.microsoft.com/office/spreadsheetml/2017/richdata2" ref="A3:L56">
    <sortCondition ref="L3:L56"/>
  </sortState>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19"/>
  <sheetViews>
    <sheetView workbookViewId="0">
      <pane ySplit="1" topLeftCell="A2" activePane="bottomLeft" state="frozen"/>
      <selection activeCell="H61" sqref="H61"/>
      <selection pane="bottomLeft" activeCell="H61" sqref="H61"/>
    </sheetView>
  </sheetViews>
  <sheetFormatPr defaultColWidth="8.54296875" defaultRowHeight="14.5" outlineLevelRow="3" x14ac:dyDescent="0.35"/>
  <cols>
    <col min="1" max="1" width="8" style="647" bestFit="1" customWidth="1"/>
    <col min="2" max="2" width="41" style="647" bestFit="1" customWidth="1"/>
    <col min="3" max="3" width="19" style="647" bestFit="1" customWidth="1"/>
    <col min="4" max="4" width="21" style="647" bestFit="1" customWidth="1"/>
    <col min="5" max="5" width="22" style="647" bestFit="1" customWidth="1"/>
    <col min="6" max="16384" width="8.54296875" style="647"/>
  </cols>
  <sheetData>
    <row r="1" spans="1:6" x14ac:dyDescent="0.35">
      <c r="A1" s="734" t="s">
        <v>193</v>
      </c>
      <c r="B1" s="734" t="s">
        <v>733</v>
      </c>
      <c r="C1" s="735" t="s">
        <v>734</v>
      </c>
      <c r="D1" s="735" t="s">
        <v>196</v>
      </c>
      <c r="E1" s="735" t="s">
        <v>735</v>
      </c>
    </row>
    <row r="2" spans="1:6" hidden="1" outlineLevel="3" collapsed="1" x14ac:dyDescent="0.35">
      <c r="A2" s="648" t="s">
        <v>736</v>
      </c>
      <c r="B2" s="648" t="s">
        <v>737</v>
      </c>
      <c r="C2" s="649">
        <v>-5568.41</v>
      </c>
      <c r="D2" s="649">
        <v>-5568.41</v>
      </c>
      <c r="E2" s="649">
        <v>0</v>
      </c>
    </row>
    <row r="3" spans="1:6" hidden="1" outlineLevel="3" collapsed="1" x14ac:dyDescent="0.35">
      <c r="A3" s="648" t="s">
        <v>738</v>
      </c>
      <c r="B3" s="648" t="s">
        <v>739</v>
      </c>
      <c r="C3" s="650">
        <v>160820</v>
      </c>
      <c r="D3" s="650">
        <v>0</v>
      </c>
      <c r="E3" s="649">
        <v>-160820</v>
      </c>
    </row>
    <row r="4" spans="1:6" hidden="1" outlineLevel="3" collapsed="1" x14ac:dyDescent="0.35">
      <c r="A4" s="648" t="s">
        <v>740</v>
      </c>
      <c r="B4" s="648" t="s">
        <v>741</v>
      </c>
      <c r="C4" s="649">
        <v>1995077</v>
      </c>
      <c r="D4" s="649">
        <v>1995077.04</v>
      </c>
      <c r="E4" s="649">
        <v>4.00000002113685E-2</v>
      </c>
    </row>
    <row r="5" spans="1:6" outlineLevel="2" collapsed="1" x14ac:dyDescent="0.35">
      <c r="A5" s="651" t="s">
        <v>742</v>
      </c>
      <c r="B5" s="651" t="s">
        <v>743</v>
      </c>
      <c r="C5" s="652">
        <f>SUBTOTAL(9, C2:C4)</f>
        <v>2150328.59</v>
      </c>
      <c r="D5" s="652">
        <f>SUBTOTAL(9, D2:D4)</f>
        <v>1989508.6300000001</v>
      </c>
      <c r="E5" s="652">
        <f>SUBTOTAL(9, E2:E4)</f>
        <v>-160819.95999999979</v>
      </c>
      <c r="F5" s="647" t="s">
        <v>744</v>
      </c>
    </row>
    <row r="6" spans="1:6" hidden="1" outlineLevel="3" collapsed="1" x14ac:dyDescent="0.35">
      <c r="A6" s="648" t="s">
        <v>745</v>
      </c>
      <c r="B6" s="648" t="s">
        <v>746</v>
      </c>
      <c r="C6" s="649">
        <v>0</v>
      </c>
      <c r="D6" s="649">
        <v>57784.13</v>
      </c>
      <c r="E6" s="649">
        <v>57784.13</v>
      </c>
    </row>
    <row r="7" spans="1:6" hidden="1" outlineLevel="3" collapsed="1" x14ac:dyDescent="0.35">
      <c r="A7" s="648" t="s">
        <v>747</v>
      </c>
      <c r="B7" s="648" t="s">
        <v>748</v>
      </c>
      <c r="C7" s="649">
        <v>0</v>
      </c>
      <c r="D7" s="649">
        <v>6247.5</v>
      </c>
      <c r="E7" s="649">
        <v>6247.5</v>
      </c>
    </row>
    <row r="8" spans="1:6" hidden="1" outlineLevel="3" collapsed="1" x14ac:dyDescent="0.35">
      <c r="A8" s="648" t="s">
        <v>749</v>
      </c>
      <c r="B8" s="648" t="s">
        <v>750</v>
      </c>
      <c r="C8" s="649">
        <v>0</v>
      </c>
      <c r="D8" s="649">
        <v>26674.03</v>
      </c>
      <c r="E8" s="649">
        <v>26674.03</v>
      </c>
    </row>
    <row r="9" spans="1:6" hidden="1" outlineLevel="3" collapsed="1" x14ac:dyDescent="0.35">
      <c r="A9" s="648" t="s">
        <v>751</v>
      </c>
      <c r="B9" s="648" t="s">
        <v>752</v>
      </c>
      <c r="C9" s="649">
        <v>0</v>
      </c>
      <c r="D9" s="649">
        <v>1794.13</v>
      </c>
      <c r="E9" s="649">
        <v>1794.13</v>
      </c>
    </row>
    <row r="10" spans="1:6" hidden="1" outlineLevel="3" collapsed="1" x14ac:dyDescent="0.35">
      <c r="A10" s="648" t="s">
        <v>753</v>
      </c>
      <c r="B10" s="648" t="s">
        <v>754</v>
      </c>
      <c r="C10" s="649">
        <v>0</v>
      </c>
      <c r="D10" s="649">
        <v>7250</v>
      </c>
      <c r="E10" s="649">
        <v>7250</v>
      </c>
    </row>
    <row r="11" spans="1:6" hidden="1" outlineLevel="3" collapsed="1" x14ac:dyDescent="0.35">
      <c r="A11" s="648" t="s">
        <v>736</v>
      </c>
      <c r="B11" s="648" t="s">
        <v>737</v>
      </c>
      <c r="C11" s="649">
        <v>21706.5</v>
      </c>
      <c r="D11" s="649">
        <v>21706.5</v>
      </c>
      <c r="E11" s="649">
        <v>0</v>
      </c>
    </row>
    <row r="12" spans="1:6" hidden="1" outlineLevel="3" collapsed="1" x14ac:dyDescent="0.35">
      <c r="A12" s="648" t="s">
        <v>755</v>
      </c>
      <c r="B12" s="648" t="s">
        <v>756</v>
      </c>
      <c r="C12" s="649">
        <v>0</v>
      </c>
      <c r="D12" s="649">
        <v>10.67</v>
      </c>
      <c r="E12" s="649">
        <v>10.67</v>
      </c>
    </row>
    <row r="13" spans="1:6" hidden="1" outlineLevel="3" collapsed="1" x14ac:dyDescent="0.35">
      <c r="A13" s="648" t="s">
        <v>757</v>
      </c>
      <c r="B13" s="648" t="s">
        <v>758</v>
      </c>
      <c r="C13" s="649">
        <v>0</v>
      </c>
      <c r="D13" s="649">
        <v>2677.58</v>
      </c>
      <c r="E13" s="649">
        <v>2677.58</v>
      </c>
    </row>
    <row r="14" spans="1:6" hidden="1" outlineLevel="3" collapsed="1" x14ac:dyDescent="0.35">
      <c r="A14" s="648" t="s">
        <v>759</v>
      </c>
      <c r="B14" s="648" t="s">
        <v>760</v>
      </c>
      <c r="C14" s="649">
        <v>0</v>
      </c>
      <c r="D14" s="649">
        <v>297.89999999999998</v>
      </c>
      <c r="E14" s="649">
        <v>297.89999999999998</v>
      </c>
    </row>
    <row r="15" spans="1:6" hidden="1" outlineLevel="3" collapsed="1" x14ac:dyDescent="0.35">
      <c r="A15" s="648" t="s">
        <v>761</v>
      </c>
      <c r="B15" s="648" t="s">
        <v>762</v>
      </c>
      <c r="C15" s="649">
        <v>0</v>
      </c>
      <c r="D15" s="649">
        <v>-10711.5</v>
      </c>
      <c r="E15" s="649">
        <v>-10711.5</v>
      </c>
    </row>
    <row r="16" spans="1:6" hidden="1" outlineLevel="3" collapsed="1" x14ac:dyDescent="0.35">
      <c r="A16" s="648" t="s">
        <v>763</v>
      </c>
      <c r="B16" s="648" t="s">
        <v>764</v>
      </c>
      <c r="C16" s="649">
        <v>0</v>
      </c>
      <c r="D16" s="649">
        <v>119388.37</v>
      </c>
      <c r="E16" s="649">
        <v>119388.37</v>
      </c>
    </row>
    <row r="17" spans="1:6" hidden="1" outlineLevel="3" collapsed="1" x14ac:dyDescent="0.35">
      <c r="A17" s="648" t="s">
        <v>738</v>
      </c>
      <c r="B17" s="648" t="s">
        <v>739</v>
      </c>
      <c r="C17" s="649">
        <v>0</v>
      </c>
      <c r="D17" s="650">
        <v>102621.66</v>
      </c>
      <c r="E17" s="649">
        <v>102621.66</v>
      </c>
    </row>
    <row r="18" spans="1:6" hidden="1" outlineLevel="3" collapsed="1" x14ac:dyDescent="0.35">
      <c r="A18" s="648" t="s">
        <v>765</v>
      </c>
      <c r="B18" s="648" t="s">
        <v>766</v>
      </c>
      <c r="C18" s="649">
        <v>0</v>
      </c>
      <c r="D18" s="649">
        <v>52.34</v>
      </c>
      <c r="E18" s="649">
        <v>52.34</v>
      </c>
    </row>
    <row r="19" spans="1:6" hidden="1" outlineLevel="3" collapsed="1" x14ac:dyDescent="0.35">
      <c r="A19" s="648" t="s">
        <v>767</v>
      </c>
      <c r="B19" s="648" t="s">
        <v>768</v>
      </c>
      <c r="C19" s="649">
        <v>0</v>
      </c>
      <c r="D19" s="649">
        <v>22549.69</v>
      </c>
      <c r="E19" s="649">
        <v>22549.69</v>
      </c>
    </row>
    <row r="20" spans="1:6" hidden="1" outlineLevel="3" collapsed="1" x14ac:dyDescent="0.35">
      <c r="A20" s="648" t="s">
        <v>769</v>
      </c>
      <c r="B20" s="648" t="s">
        <v>770</v>
      </c>
      <c r="C20" s="649">
        <v>0</v>
      </c>
      <c r="D20" s="649">
        <v>114.61</v>
      </c>
      <c r="E20" s="649">
        <v>114.61</v>
      </c>
    </row>
    <row r="21" spans="1:6" hidden="1" outlineLevel="3" collapsed="1" x14ac:dyDescent="0.35">
      <c r="A21" s="648" t="s">
        <v>771</v>
      </c>
      <c r="B21" s="648" t="s">
        <v>772</v>
      </c>
      <c r="C21" s="649">
        <v>0</v>
      </c>
      <c r="D21" s="649">
        <v>10843.25</v>
      </c>
      <c r="E21" s="649">
        <v>10843.25</v>
      </c>
    </row>
    <row r="22" spans="1:6" hidden="1" outlineLevel="3" collapsed="1" x14ac:dyDescent="0.35">
      <c r="A22" s="648" t="s">
        <v>773</v>
      </c>
      <c r="B22" s="648" t="s">
        <v>774</v>
      </c>
      <c r="C22" s="649">
        <v>0</v>
      </c>
      <c r="D22" s="649">
        <v>0.01</v>
      </c>
      <c r="E22" s="649">
        <v>0.01</v>
      </c>
    </row>
    <row r="23" spans="1:6" hidden="1" outlineLevel="3" collapsed="1" x14ac:dyDescent="0.35">
      <c r="A23" s="648" t="s">
        <v>775</v>
      </c>
      <c r="B23" s="648" t="s">
        <v>776</v>
      </c>
      <c r="C23" s="649">
        <v>0</v>
      </c>
      <c r="D23" s="649">
        <v>1605.31</v>
      </c>
      <c r="E23" s="649">
        <v>1605.31</v>
      </c>
    </row>
    <row r="24" spans="1:6" hidden="1" outlineLevel="3" collapsed="1" x14ac:dyDescent="0.35">
      <c r="A24" s="648" t="s">
        <v>777</v>
      </c>
      <c r="B24" s="648" t="s">
        <v>778</v>
      </c>
      <c r="C24" s="649">
        <v>0</v>
      </c>
      <c r="D24" s="649">
        <v>844.3</v>
      </c>
      <c r="E24" s="649">
        <v>844.3</v>
      </c>
    </row>
    <row r="25" spans="1:6" hidden="1" outlineLevel="3" collapsed="1" x14ac:dyDescent="0.35">
      <c r="A25" s="648" t="s">
        <v>779</v>
      </c>
      <c r="B25" s="648" t="s">
        <v>780</v>
      </c>
      <c r="C25" s="649">
        <v>0</v>
      </c>
      <c r="D25" s="649">
        <v>-31145.74</v>
      </c>
      <c r="E25" s="649">
        <v>-31145.74</v>
      </c>
    </row>
    <row r="26" spans="1:6" hidden="1" outlineLevel="3" collapsed="1" x14ac:dyDescent="0.35">
      <c r="A26" s="648" t="s">
        <v>781</v>
      </c>
      <c r="B26" s="648" t="s">
        <v>782</v>
      </c>
      <c r="C26" s="649">
        <v>0</v>
      </c>
      <c r="D26" s="649">
        <v>727.67</v>
      </c>
      <c r="E26" s="649">
        <v>727.66999999999803</v>
      </c>
    </row>
    <row r="27" spans="1:6" hidden="1" outlineLevel="3" collapsed="1" x14ac:dyDescent="0.35">
      <c r="A27" s="648" t="s">
        <v>783</v>
      </c>
      <c r="B27" s="648" t="s">
        <v>784</v>
      </c>
      <c r="C27" s="649">
        <v>0</v>
      </c>
      <c r="D27" s="649">
        <v>-11047.5</v>
      </c>
      <c r="E27" s="649">
        <v>-11047.5</v>
      </c>
    </row>
    <row r="28" spans="1:6" hidden="1" outlineLevel="3" collapsed="1" x14ac:dyDescent="0.35">
      <c r="A28" s="648" t="s">
        <v>785</v>
      </c>
      <c r="B28" s="648" t="s">
        <v>786</v>
      </c>
      <c r="C28" s="649">
        <v>0</v>
      </c>
      <c r="D28" s="649">
        <v>25777.5</v>
      </c>
      <c r="E28" s="649">
        <v>25777.5</v>
      </c>
    </row>
    <row r="29" spans="1:6" outlineLevel="2" collapsed="1" x14ac:dyDescent="0.35">
      <c r="A29" s="651" t="s">
        <v>787</v>
      </c>
      <c r="B29" s="651" t="s">
        <v>788</v>
      </c>
      <c r="C29" s="652">
        <f>SUBTOTAL(9, C6:C28)</f>
        <v>21706.5</v>
      </c>
      <c r="D29" s="652">
        <f>SUBTOTAL(9, D6:D28)</f>
        <v>356062.41</v>
      </c>
      <c r="E29" s="652">
        <f>SUBTOTAL(9, E6:E28)</f>
        <v>334355.90999999997</v>
      </c>
      <c r="F29" s="647" t="s">
        <v>789</v>
      </c>
    </row>
    <row r="30" spans="1:6" hidden="1" outlineLevel="3" collapsed="1" x14ac:dyDescent="0.35">
      <c r="A30" s="648" t="s">
        <v>749</v>
      </c>
      <c r="B30" s="648" t="s">
        <v>750</v>
      </c>
      <c r="C30" s="649">
        <v>0</v>
      </c>
      <c r="D30" s="649">
        <v>186.78</v>
      </c>
      <c r="E30" s="649">
        <v>186.78</v>
      </c>
    </row>
    <row r="31" spans="1:6" hidden="1" outlineLevel="3" collapsed="1" x14ac:dyDescent="0.35">
      <c r="A31" s="648" t="s">
        <v>755</v>
      </c>
      <c r="B31" s="648" t="s">
        <v>756</v>
      </c>
      <c r="C31" s="649">
        <v>0</v>
      </c>
      <c r="D31" s="649">
        <v>15.23</v>
      </c>
      <c r="E31" s="649">
        <v>15.23</v>
      </c>
    </row>
    <row r="32" spans="1:6" hidden="1" outlineLevel="3" collapsed="1" x14ac:dyDescent="0.35">
      <c r="A32" s="648" t="s">
        <v>773</v>
      </c>
      <c r="B32" s="648" t="s">
        <v>774</v>
      </c>
      <c r="C32" s="649">
        <v>0</v>
      </c>
      <c r="D32" s="649">
        <v>0.01</v>
      </c>
      <c r="E32" s="649">
        <v>0.01</v>
      </c>
    </row>
    <row r="33" spans="1:6" hidden="1" outlineLevel="3" collapsed="1" x14ac:dyDescent="0.35">
      <c r="A33" s="648" t="s">
        <v>779</v>
      </c>
      <c r="B33" s="648" t="s">
        <v>780</v>
      </c>
      <c r="C33" s="649">
        <v>0</v>
      </c>
      <c r="D33" s="649">
        <v>-186.78</v>
      </c>
      <c r="E33" s="649">
        <v>-186.78</v>
      </c>
    </row>
    <row r="34" spans="1:6" hidden="1" outlineLevel="3" collapsed="1" x14ac:dyDescent="0.35">
      <c r="A34" s="648" t="s">
        <v>781</v>
      </c>
      <c r="B34" s="648" t="s">
        <v>782</v>
      </c>
      <c r="C34" s="649">
        <v>0</v>
      </c>
      <c r="D34" s="649">
        <v>-16087.17</v>
      </c>
      <c r="E34" s="649">
        <v>-16087.17</v>
      </c>
    </row>
    <row r="35" spans="1:6" hidden="1" outlineLevel="3" collapsed="1" x14ac:dyDescent="0.35">
      <c r="A35" s="648" t="s">
        <v>783</v>
      </c>
      <c r="B35" s="648" t="s">
        <v>784</v>
      </c>
      <c r="C35" s="649">
        <v>0</v>
      </c>
      <c r="D35" s="649">
        <v>-650</v>
      </c>
      <c r="E35" s="649">
        <v>-650</v>
      </c>
    </row>
    <row r="36" spans="1:6" outlineLevel="2" collapsed="1" x14ac:dyDescent="0.35">
      <c r="A36" s="651" t="s">
        <v>790</v>
      </c>
      <c r="B36" s="651" t="s">
        <v>791</v>
      </c>
      <c r="C36" s="652">
        <f>SUBTOTAL(9, C30:C35)</f>
        <v>0</v>
      </c>
      <c r="D36" s="652">
        <f>SUBTOTAL(9, D30:D35)</f>
        <v>-16721.93</v>
      </c>
      <c r="E36" s="652">
        <f>SUBTOTAL(9, E30:E35)</f>
        <v>-16721.93</v>
      </c>
      <c r="F36" s="647" t="s">
        <v>792</v>
      </c>
    </row>
    <row r="37" spans="1:6" hidden="1" outlineLevel="3" collapsed="1" x14ac:dyDescent="0.35">
      <c r="A37" s="648" t="s">
        <v>781</v>
      </c>
      <c r="B37" s="648" t="s">
        <v>782</v>
      </c>
      <c r="C37" s="649">
        <v>-48066</v>
      </c>
      <c r="D37" s="649">
        <v>-84754.07</v>
      </c>
      <c r="E37" s="649">
        <v>-36688.07</v>
      </c>
    </row>
    <row r="38" spans="1:6" hidden="1" outlineLevel="3" collapsed="1" x14ac:dyDescent="0.35">
      <c r="A38" s="648" t="s">
        <v>783</v>
      </c>
      <c r="B38" s="648" t="s">
        <v>784</v>
      </c>
      <c r="C38" s="649">
        <v>-5700</v>
      </c>
      <c r="D38" s="649">
        <v>-412.5</v>
      </c>
      <c r="E38" s="649">
        <v>5287.5</v>
      </c>
    </row>
    <row r="39" spans="1:6" outlineLevel="2" collapsed="1" x14ac:dyDescent="0.35">
      <c r="A39" s="651" t="s">
        <v>793</v>
      </c>
      <c r="B39" s="651" t="s">
        <v>794</v>
      </c>
      <c r="C39" s="652">
        <f>SUBTOTAL(9, C37:C38)</f>
        <v>-53766</v>
      </c>
      <c r="D39" s="652">
        <f>SUBTOTAL(9, D37:D38)</f>
        <v>-85166.57</v>
      </c>
      <c r="E39" s="652">
        <f>SUBTOTAL(9, E37:E38)</f>
        <v>-31400.57</v>
      </c>
      <c r="F39" s="647" t="s">
        <v>795</v>
      </c>
    </row>
    <row r="40" spans="1:6" hidden="1" outlineLevel="3" collapsed="1" x14ac:dyDescent="0.35">
      <c r="A40" s="648" t="s">
        <v>736</v>
      </c>
      <c r="B40" s="648" t="s">
        <v>737</v>
      </c>
      <c r="C40" s="649">
        <v>5640.95</v>
      </c>
      <c r="D40" s="649">
        <v>5640.95</v>
      </c>
      <c r="E40" s="649">
        <v>0</v>
      </c>
    </row>
    <row r="41" spans="1:6" hidden="1" outlineLevel="3" collapsed="1" x14ac:dyDescent="0.35">
      <c r="A41" s="648" t="s">
        <v>781</v>
      </c>
      <c r="B41" s="648" t="s">
        <v>782</v>
      </c>
      <c r="C41" s="649">
        <v>-22832</v>
      </c>
      <c r="D41" s="649">
        <v>-27818.639999999999</v>
      </c>
      <c r="E41" s="649">
        <v>-4986.6400000000003</v>
      </c>
    </row>
    <row r="42" spans="1:6" hidden="1" outlineLevel="3" collapsed="1" x14ac:dyDescent="0.35">
      <c r="A42" s="648" t="s">
        <v>783</v>
      </c>
      <c r="B42" s="648" t="s">
        <v>784</v>
      </c>
      <c r="C42" s="649">
        <v>-6000</v>
      </c>
      <c r="D42" s="649">
        <v>-4654</v>
      </c>
      <c r="E42" s="649">
        <v>1346</v>
      </c>
    </row>
    <row r="43" spans="1:6" outlineLevel="2" collapsed="1" x14ac:dyDescent="0.35">
      <c r="A43" s="651" t="s">
        <v>796</v>
      </c>
      <c r="B43" s="651" t="s">
        <v>797</v>
      </c>
      <c r="C43" s="652">
        <f>SUBTOTAL(9, C40:C42)</f>
        <v>-23191.05</v>
      </c>
      <c r="D43" s="652">
        <f>SUBTOTAL(9, D40:D42)</f>
        <v>-26831.69</v>
      </c>
      <c r="E43" s="652">
        <f>SUBTOTAL(9, E40:E42)</f>
        <v>-3640.6400000000003</v>
      </c>
      <c r="F43" s="647" t="s">
        <v>795</v>
      </c>
    </row>
    <row r="44" spans="1:6" hidden="1" outlineLevel="3" collapsed="1" x14ac:dyDescent="0.35">
      <c r="A44" s="648" t="s">
        <v>781</v>
      </c>
      <c r="B44" s="648" t="s">
        <v>782</v>
      </c>
      <c r="C44" s="649">
        <v>-16274</v>
      </c>
      <c r="D44" s="649">
        <v>-29066.61</v>
      </c>
      <c r="E44" s="649">
        <v>-12792.61</v>
      </c>
    </row>
    <row r="45" spans="1:6" hidden="1" outlineLevel="3" collapsed="1" x14ac:dyDescent="0.35">
      <c r="A45" s="648" t="s">
        <v>783</v>
      </c>
      <c r="B45" s="648" t="s">
        <v>784</v>
      </c>
      <c r="C45" s="649">
        <v>-2000</v>
      </c>
      <c r="D45" s="649">
        <v>-50</v>
      </c>
      <c r="E45" s="649">
        <v>1950</v>
      </c>
    </row>
    <row r="46" spans="1:6" outlineLevel="2" collapsed="1" x14ac:dyDescent="0.35">
      <c r="A46" s="651" t="s">
        <v>798</v>
      </c>
      <c r="B46" s="651" t="s">
        <v>799</v>
      </c>
      <c r="C46" s="652">
        <f>SUBTOTAL(9, C44:C45)</f>
        <v>-18274</v>
      </c>
      <c r="D46" s="652">
        <f>SUBTOTAL(9, D44:D45)</f>
        <v>-29116.61</v>
      </c>
      <c r="E46" s="652">
        <f>SUBTOTAL(9, E44:E45)</f>
        <v>-10842.61</v>
      </c>
      <c r="F46" s="647" t="s">
        <v>795</v>
      </c>
    </row>
    <row r="47" spans="1:6" hidden="1" outlineLevel="3" collapsed="1" x14ac:dyDescent="0.35">
      <c r="A47" s="648" t="s">
        <v>781</v>
      </c>
      <c r="B47" s="648" t="s">
        <v>782</v>
      </c>
      <c r="C47" s="649">
        <v>0</v>
      </c>
      <c r="D47" s="649">
        <v>-2591.56</v>
      </c>
      <c r="E47" s="649">
        <v>-2591.56</v>
      </c>
    </row>
    <row r="48" spans="1:6" hidden="1" outlineLevel="3" collapsed="1" x14ac:dyDescent="0.35">
      <c r="A48" s="648" t="s">
        <v>783</v>
      </c>
      <c r="B48" s="648" t="s">
        <v>784</v>
      </c>
      <c r="C48" s="649">
        <v>0</v>
      </c>
      <c r="D48" s="649">
        <v>-700</v>
      </c>
      <c r="E48" s="649">
        <v>-700</v>
      </c>
    </row>
    <row r="49" spans="1:6" outlineLevel="2" collapsed="1" x14ac:dyDescent="0.35">
      <c r="A49" s="651" t="s">
        <v>800</v>
      </c>
      <c r="B49" s="651" t="s">
        <v>801</v>
      </c>
      <c r="C49" s="652">
        <f>SUBTOTAL(9, C47:C48)</f>
        <v>0</v>
      </c>
      <c r="D49" s="652">
        <f>SUBTOTAL(9, D47:D48)</f>
        <v>-3291.56</v>
      </c>
      <c r="E49" s="652">
        <f>SUBTOTAL(9, E47:E48)</f>
        <v>-3291.56</v>
      </c>
      <c r="F49" s="653" t="s">
        <v>792</v>
      </c>
    </row>
    <row r="50" spans="1:6" hidden="1" outlineLevel="3" collapsed="1" x14ac:dyDescent="0.35">
      <c r="A50" s="648" t="s">
        <v>736</v>
      </c>
      <c r="B50" s="648" t="s">
        <v>737</v>
      </c>
      <c r="C50" s="649">
        <v>0</v>
      </c>
      <c r="D50" s="649">
        <v>0</v>
      </c>
      <c r="E50" s="649">
        <v>0</v>
      </c>
    </row>
    <row r="51" spans="1:6" hidden="1" outlineLevel="3" collapsed="1" x14ac:dyDescent="0.35">
      <c r="A51" s="648" t="s">
        <v>755</v>
      </c>
      <c r="B51" s="648" t="s">
        <v>756</v>
      </c>
      <c r="C51" s="649">
        <v>0</v>
      </c>
      <c r="D51" s="649">
        <v>60.45</v>
      </c>
      <c r="E51" s="649">
        <v>60.45</v>
      </c>
    </row>
    <row r="52" spans="1:6" hidden="1" outlineLevel="3" collapsed="1" x14ac:dyDescent="0.35">
      <c r="A52" s="648" t="s">
        <v>773</v>
      </c>
      <c r="B52" s="648" t="s">
        <v>774</v>
      </c>
      <c r="C52" s="649">
        <v>0</v>
      </c>
      <c r="D52" s="649">
        <v>0.04</v>
      </c>
      <c r="E52" s="649">
        <v>0.04</v>
      </c>
    </row>
    <row r="53" spans="1:6" hidden="1" outlineLevel="3" collapsed="1" x14ac:dyDescent="0.35">
      <c r="A53" s="648" t="s">
        <v>781</v>
      </c>
      <c r="B53" s="648" t="s">
        <v>782</v>
      </c>
      <c r="C53" s="649">
        <v>0</v>
      </c>
      <c r="D53" s="649">
        <v>-11203.87</v>
      </c>
      <c r="E53" s="649">
        <v>-11203.87</v>
      </c>
    </row>
    <row r="54" spans="1:6" hidden="1" outlineLevel="3" collapsed="1" x14ac:dyDescent="0.35">
      <c r="A54" s="648" t="s">
        <v>783</v>
      </c>
      <c r="B54" s="648" t="s">
        <v>784</v>
      </c>
      <c r="C54" s="649">
        <v>0</v>
      </c>
      <c r="D54" s="649">
        <v>-1550</v>
      </c>
      <c r="E54" s="649">
        <v>-1550</v>
      </c>
    </row>
    <row r="55" spans="1:6" outlineLevel="2" collapsed="1" x14ac:dyDescent="0.35">
      <c r="A55" s="651" t="s">
        <v>802</v>
      </c>
      <c r="B55" s="651" t="s">
        <v>803</v>
      </c>
      <c r="C55" s="652">
        <f>SUBTOTAL(9, C50:C54)</f>
        <v>0</v>
      </c>
      <c r="D55" s="652">
        <f>SUBTOTAL(9, D50:D54)</f>
        <v>-12693.380000000001</v>
      </c>
      <c r="E55" s="652">
        <f>SUBTOTAL(9, E50:E54)</f>
        <v>-12693.380000000001</v>
      </c>
    </row>
    <row r="56" spans="1:6" hidden="1" outlineLevel="3" collapsed="1" x14ac:dyDescent="0.35">
      <c r="A56" s="648" t="s">
        <v>745</v>
      </c>
      <c r="B56" s="648" t="s">
        <v>746</v>
      </c>
      <c r="C56" s="649">
        <v>0</v>
      </c>
      <c r="D56" s="649">
        <v>15979.77</v>
      </c>
      <c r="E56" s="649">
        <v>15979.77</v>
      </c>
    </row>
    <row r="57" spans="1:6" hidden="1" outlineLevel="3" collapsed="1" x14ac:dyDescent="0.35">
      <c r="A57" s="648" t="s">
        <v>804</v>
      </c>
      <c r="B57" s="648" t="s">
        <v>805</v>
      </c>
      <c r="C57" s="649">
        <v>0</v>
      </c>
      <c r="D57" s="649">
        <v>1410.2</v>
      </c>
      <c r="E57" s="649">
        <v>1410.2</v>
      </c>
    </row>
    <row r="58" spans="1:6" hidden="1" outlineLevel="3" collapsed="1" x14ac:dyDescent="0.35">
      <c r="A58" s="648" t="s">
        <v>749</v>
      </c>
      <c r="B58" s="648" t="s">
        <v>750</v>
      </c>
      <c r="C58" s="649">
        <v>0</v>
      </c>
      <c r="D58" s="649">
        <v>7249.27</v>
      </c>
      <c r="E58" s="649">
        <v>7249.27</v>
      </c>
    </row>
    <row r="59" spans="1:6" hidden="1" outlineLevel="3" collapsed="1" x14ac:dyDescent="0.35">
      <c r="A59" s="648" t="s">
        <v>753</v>
      </c>
      <c r="B59" s="648" t="s">
        <v>754</v>
      </c>
      <c r="C59" s="649">
        <v>245000</v>
      </c>
      <c r="D59" s="649">
        <v>285683.96000000002</v>
      </c>
      <c r="E59" s="649">
        <v>40683.96</v>
      </c>
    </row>
    <row r="60" spans="1:6" hidden="1" outlineLevel="3" collapsed="1" x14ac:dyDescent="0.35">
      <c r="A60" s="648" t="s">
        <v>736</v>
      </c>
      <c r="B60" s="648" t="s">
        <v>737</v>
      </c>
      <c r="C60" s="649">
        <v>239189</v>
      </c>
      <c r="D60" s="649">
        <v>15886.17</v>
      </c>
      <c r="E60" s="649">
        <v>-223302.83</v>
      </c>
    </row>
    <row r="61" spans="1:6" hidden="1" outlineLevel="3" collapsed="1" x14ac:dyDescent="0.35">
      <c r="A61" s="648" t="s">
        <v>759</v>
      </c>
      <c r="B61" s="648" t="s">
        <v>760</v>
      </c>
      <c r="C61" s="649">
        <v>0</v>
      </c>
      <c r="D61" s="649">
        <v>311.52</v>
      </c>
      <c r="E61" s="649">
        <v>311.52</v>
      </c>
    </row>
    <row r="62" spans="1:6" hidden="1" outlineLevel="3" collapsed="1" x14ac:dyDescent="0.35">
      <c r="A62" s="648" t="s">
        <v>740</v>
      </c>
      <c r="B62" s="648" t="s">
        <v>741</v>
      </c>
      <c r="C62" s="649">
        <v>0</v>
      </c>
      <c r="D62" s="649">
        <v>9341.86</v>
      </c>
      <c r="E62" s="649">
        <v>9341.86</v>
      </c>
    </row>
    <row r="63" spans="1:6" hidden="1" outlineLevel="3" collapsed="1" x14ac:dyDescent="0.35">
      <c r="A63" s="648" t="s">
        <v>779</v>
      </c>
      <c r="B63" s="648" t="s">
        <v>780</v>
      </c>
      <c r="C63" s="649">
        <v>0</v>
      </c>
      <c r="D63" s="649">
        <v>-7249.27</v>
      </c>
      <c r="E63" s="649">
        <v>-7249.27</v>
      </c>
    </row>
    <row r="64" spans="1:6" hidden="1" outlineLevel="3" collapsed="1" x14ac:dyDescent="0.35">
      <c r="A64" s="648" t="s">
        <v>781</v>
      </c>
      <c r="B64" s="648" t="s">
        <v>782</v>
      </c>
      <c r="C64" s="649">
        <v>-314084</v>
      </c>
      <c r="D64" s="649">
        <v>-516826.98</v>
      </c>
      <c r="E64" s="649">
        <v>-202742.98</v>
      </c>
    </row>
    <row r="65" spans="1:6" hidden="1" outlineLevel="3" collapsed="1" x14ac:dyDescent="0.35">
      <c r="A65" s="648" t="s">
        <v>806</v>
      </c>
      <c r="B65" s="648" t="s">
        <v>807</v>
      </c>
      <c r="C65" s="649">
        <v>-1000</v>
      </c>
      <c r="D65" s="649">
        <v>0</v>
      </c>
      <c r="E65" s="649">
        <v>1000</v>
      </c>
    </row>
    <row r="66" spans="1:6" hidden="1" outlineLevel="3" collapsed="1" x14ac:dyDescent="0.35">
      <c r="A66" s="648" t="s">
        <v>783</v>
      </c>
      <c r="B66" s="648" t="s">
        <v>784</v>
      </c>
      <c r="C66" s="649">
        <v>-66700</v>
      </c>
      <c r="D66" s="649">
        <v>-37919</v>
      </c>
      <c r="E66" s="649">
        <v>28781</v>
      </c>
    </row>
    <row r="67" spans="1:6" outlineLevel="2" collapsed="1" x14ac:dyDescent="0.35">
      <c r="A67" s="651" t="s">
        <v>808</v>
      </c>
      <c r="B67" s="651" t="s">
        <v>809</v>
      </c>
      <c r="C67" s="652">
        <f>SUBTOTAL(9, C56:C66)</f>
        <v>102405</v>
      </c>
      <c r="D67" s="652">
        <f>SUBTOTAL(9, D56:D66)</f>
        <v>-226132.5</v>
      </c>
      <c r="E67" s="652">
        <f>SUBTOTAL(9, E56:E66)</f>
        <v>-328537.5</v>
      </c>
      <c r="F67" s="653" t="s">
        <v>810</v>
      </c>
    </row>
    <row r="68" spans="1:6" hidden="1" outlineLevel="3" collapsed="1" x14ac:dyDescent="0.35">
      <c r="A68" s="648" t="s">
        <v>755</v>
      </c>
      <c r="B68" s="648" t="s">
        <v>756</v>
      </c>
      <c r="C68" s="649">
        <v>0</v>
      </c>
      <c r="D68" s="649">
        <v>643.39</v>
      </c>
      <c r="E68" s="649">
        <v>643.39</v>
      </c>
    </row>
    <row r="69" spans="1:6" hidden="1" outlineLevel="3" collapsed="1" x14ac:dyDescent="0.35">
      <c r="A69" s="648" t="s">
        <v>773</v>
      </c>
      <c r="B69" s="648" t="s">
        <v>774</v>
      </c>
      <c r="C69" s="649">
        <v>0</v>
      </c>
      <c r="D69" s="649">
        <v>0.43</v>
      </c>
      <c r="E69" s="649">
        <v>0.43</v>
      </c>
    </row>
    <row r="70" spans="1:6" outlineLevel="2" collapsed="1" x14ac:dyDescent="0.35">
      <c r="A70" s="651" t="s">
        <v>811</v>
      </c>
      <c r="B70" s="651" t="s">
        <v>812</v>
      </c>
      <c r="C70" s="652">
        <f>SUBTOTAL(9, C68:C69)</f>
        <v>0</v>
      </c>
      <c r="D70" s="652">
        <f>SUBTOTAL(9, D68:D69)</f>
        <v>643.81999999999994</v>
      </c>
      <c r="E70" s="652">
        <f>SUBTOTAL(9, E68:E69)</f>
        <v>643.81999999999994</v>
      </c>
    </row>
    <row r="71" spans="1:6" hidden="1" outlineLevel="3" collapsed="1" x14ac:dyDescent="0.35">
      <c r="A71" s="648" t="s">
        <v>749</v>
      </c>
      <c r="B71" s="648" t="s">
        <v>750</v>
      </c>
      <c r="C71" s="649">
        <v>0</v>
      </c>
      <c r="D71" s="649">
        <v>753.45</v>
      </c>
      <c r="E71" s="649">
        <v>753.45</v>
      </c>
    </row>
    <row r="72" spans="1:6" hidden="1" outlineLevel="3" collapsed="1" x14ac:dyDescent="0.35">
      <c r="A72" s="648" t="s">
        <v>753</v>
      </c>
      <c r="B72" s="648" t="s">
        <v>754</v>
      </c>
      <c r="C72" s="649">
        <v>987500</v>
      </c>
      <c r="D72" s="649">
        <v>985309.63</v>
      </c>
      <c r="E72" s="649">
        <v>-2190.3699999999799</v>
      </c>
    </row>
    <row r="73" spans="1:6" hidden="1" outlineLevel="3" collapsed="1" x14ac:dyDescent="0.35">
      <c r="A73" s="648" t="s">
        <v>736</v>
      </c>
      <c r="B73" s="648" t="s">
        <v>737</v>
      </c>
      <c r="C73" s="649">
        <v>262656</v>
      </c>
      <c r="D73" s="649">
        <v>262656</v>
      </c>
      <c r="E73" s="649">
        <v>0</v>
      </c>
    </row>
    <row r="74" spans="1:6" hidden="1" outlineLevel="3" collapsed="1" x14ac:dyDescent="0.35">
      <c r="A74" s="648" t="s">
        <v>755</v>
      </c>
      <c r="B74" s="648" t="s">
        <v>756</v>
      </c>
      <c r="C74" s="649">
        <v>0</v>
      </c>
      <c r="D74" s="649">
        <v>140.4</v>
      </c>
      <c r="E74" s="649">
        <v>140.4</v>
      </c>
    </row>
    <row r="75" spans="1:6" hidden="1" outlineLevel="3" collapsed="1" x14ac:dyDescent="0.35">
      <c r="A75" s="648" t="s">
        <v>757</v>
      </c>
      <c r="B75" s="648" t="s">
        <v>758</v>
      </c>
      <c r="C75" s="649">
        <v>0</v>
      </c>
      <c r="D75" s="649">
        <v>48.4</v>
      </c>
      <c r="E75" s="649">
        <v>48.4</v>
      </c>
    </row>
    <row r="76" spans="1:6" hidden="1" outlineLevel="3" collapsed="1" x14ac:dyDescent="0.35">
      <c r="A76" s="648" t="s">
        <v>813</v>
      </c>
      <c r="B76" s="648" t="s">
        <v>814</v>
      </c>
      <c r="C76" s="649">
        <v>0</v>
      </c>
      <c r="D76" s="649">
        <v>308.37</v>
      </c>
      <c r="E76" s="649">
        <v>308.37</v>
      </c>
    </row>
    <row r="77" spans="1:6" hidden="1" outlineLevel="3" collapsed="1" x14ac:dyDescent="0.35">
      <c r="A77" s="648" t="s">
        <v>761</v>
      </c>
      <c r="B77" s="648" t="s">
        <v>762</v>
      </c>
      <c r="C77" s="649">
        <v>0</v>
      </c>
      <c r="D77" s="649">
        <v>1000</v>
      </c>
      <c r="E77" s="649">
        <v>1000</v>
      </c>
    </row>
    <row r="78" spans="1:6" hidden="1" outlineLevel="3" collapsed="1" x14ac:dyDescent="0.35">
      <c r="A78" s="648" t="s">
        <v>773</v>
      </c>
      <c r="B78" s="648" t="s">
        <v>774</v>
      </c>
      <c r="C78" s="649">
        <v>0</v>
      </c>
      <c r="D78" s="649">
        <v>0.09</v>
      </c>
      <c r="E78" s="649">
        <v>0.09</v>
      </c>
    </row>
    <row r="79" spans="1:6" hidden="1" outlineLevel="3" collapsed="1" x14ac:dyDescent="0.35">
      <c r="A79" s="648" t="s">
        <v>779</v>
      </c>
      <c r="B79" s="648" t="s">
        <v>780</v>
      </c>
      <c r="C79" s="649">
        <v>0</v>
      </c>
      <c r="D79" s="649">
        <v>-801.85</v>
      </c>
      <c r="E79" s="649">
        <v>-801.85</v>
      </c>
    </row>
    <row r="80" spans="1:6" hidden="1" outlineLevel="3" collapsed="1" x14ac:dyDescent="0.35">
      <c r="A80" s="648" t="s">
        <v>781</v>
      </c>
      <c r="B80" s="648" t="s">
        <v>782</v>
      </c>
      <c r="C80" s="649">
        <v>-1170859</v>
      </c>
      <c r="D80" s="649">
        <v>-1376762.91</v>
      </c>
      <c r="E80" s="649">
        <v>-205903.91</v>
      </c>
    </row>
    <row r="81" spans="1:6" hidden="1" outlineLevel="3" collapsed="1" x14ac:dyDescent="0.35">
      <c r="A81" s="648" t="s">
        <v>783</v>
      </c>
      <c r="B81" s="648" t="s">
        <v>784</v>
      </c>
      <c r="C81" s="649">
        <v>-101000</v>
      </c>
      <c r="D81" s="649">
        <v>-43781.8</v>
      </c>
      <c r="E81" s="649">
        <v>57218.2</v>
      </c>
    </row>
    <row r="82" spans="1:6" outlineLevel="2" collapsed="1" x14ac:dyDescent="0.35">
      <c r="A82" s="651" t="s">
        <v>815</v>
      </c>
      <c r="B82" s="651" t="s">
        <v>816</v>
      </c>
      <c r="C82" s="652">
        <f>SUBTOTAL(9, C71:C81)</f>
        <v>-21703</v>
      </c>
      <c r="D82" s="652">
        <f>SUBTOTAL(9, D71:D81)</f>
        <v>-171130.21999999991</v>
      </c>
      <c r="E82" s="652">
        <f>SUBTOTAL(9, E71:E81)</f>
        <v>-149427.21999999997</v>
      </c>
      <c r="F82" s="653" t="s">
        <v>795</v>
      </c>
    </row>
    <row r="83" spans="1:6" hidden="1" outlineLevel="3" collapsed="1" x14ac:dyDescent="0.35">
      <c r="A83" s="648" t="s">
        <v>745</v>
      </c>
      <c r="B83" s="648" t="s">
        <v>746</v>
      </c>
      <c r="C83" s="649">
        <v>0</v>
      </c>
      <c r="D83" s="649">
        <v>4138.0600000000004</v>
      </c>
      <c r="E83" s="649">
        <v>4138.0600000000004</v>
      </c>
    </row>
    <row r="84" spans="1:6" hidden="1" outlineLevel="3" collapsed="1" x14ac:dyDescent="0.35">
      <c r="A84" s="648" t="s">
        <v>749</v>
      </c>
      <c r="B84" s="648" t="s">
        <v>750</v>
      </c>
      <c r="C84" s="649">
        <v>0</v>
      </c>
      <c r="D84" s="649">
        <v>34329.089999999997</v>
      </c>
      <c r="E84" s="649">
        <v>34329.089999999997</v>
      </c>
    </row>
    <row r="85" spans="1:6" hidden="1" outlineLevel="3" collapsed="1" x14ac:dyDescent="0.35">
      <c r="A85" s="648" t="s">
        <v>736</v>
      </c>
      <c r="B85" s="648" t="s">
        <v>737</v>
      </c>
      <c r="C85" s="649">
        <v>155408</v>
      </c>
      <c r="D85" s="649">
        <v>155408</v>
      </c>
      <c r="E85" s="649">
        <v>0</v>
      </c>
    </row>
    <row r="86" spans="1:6" hidden="1" outlineLevel="3" collapsed="1" x14ac:dyDescent="0.35">
      <c r="A86" s="648" t="s">
        <v>755</v>
      </c>
      <c r="B86" s="648" t="s">
        <v>756</v>
      </c>
      <c r="C86" s="649">
        <v>0</v>
      </c>
      <c r="D86" s="649">
        <v>1543.78</v>
      </c>
      <c r="E86" s="649">
        <v>1543.78</v>
      </c>
    </row>
    <row r="87" spans="1:6" hidden="1" outlineLevel="3" collapsed="1" x14ac:dyDescent="0.35">
      <c r="A87" s="648" t="s">
        <v>817</v>
      </c>
      <c r="B87" s="648" t="s">
        <v>818</v>
      </c>
      <c r="C87" s="649">
        <v>0</v>
      </c>
      <c r="D87" s="649">
        <v>1925.07</v>
      </c>
      <c r="E87" s="649">
        <v>1925.07</v>
      </c>
    </row>
    <row r="88" spans="1:6" hidden="1" outlineLevel="3" collapsed="1" x14ac:dyDescent="0.35">
      <c r="A88" s="648" t="s">
        <v>813</v>
      </c>
      <c r="B88" s="648" t="s">
        <v>814</v>
      </c>
      <c r="C88" s="649">
        <v>0</v>
      </c>
      <c r="D88" s="649">
        <v>47.07</v>
      </c>
      <c r="E88" s="649">
        <v>47.07</v>
      </c>
    </row>
    <row r="89" spans="1:6" hidden="1" outlineLevel="3" collapsed="1" x14ac:dyDescent="0.35">
      <c r="A89" s="648" t="s">
        <v>773</v>
      </c>
      <c r="B89" s="648" t="s">
        <v>774</v>
      </c>
      <c r="C89" s="649">
        <v>0</v>
      </c>
      <c r="D89" s="649">
        <v>1.02</v>
      </c>
      <c r="E89" s="649">
        <v>1.02</v>
      </c>
    </row>
    <row r="90" spans="1:6" hidden="1" outlineLevel="3" collapsed="1" x14ac:dyDescent="0.35">
      <c r="A90" s="648" t="s">
        <v>779</v>
      </c>
      <c r="B90" s="648" t="s">
        <v>780</v>
      </c>
      <c r="C90" s="649">
        <v>0</v>
      </c>
      <c r="D90" s="649">
        <v>-34329.089999999997</v>
      </c>
      <c r="E90" s="649">
        <v>-34329.089999999997</v>
      </c>
    </row>
    <row r="91" spans="1:6" hidden="1" outlineLevel="3" collapsed="1" x14ac:dyDescent="0.35">
      <c r="A91" s="648" t="s">
        <v>819</v>
      </c>
      <c r="B91" s="648" t="s">
        <v>820</v>
      </c>
      <c r="C91" s="649">
        <v>-2170</v>
      </c>
      <c r="D91" s="649">
        <v>-2173.92</v>
      </c>
      <c r="E91" s="649">
        <v>-3.92</v>
      </c>
    </row>
    <row r="92" spans="1:6" hidden="1" outlineLevel="3" collapsed="1" x14ac:dyDescent="0.35">
      <c r="A92" s="648" t="s">
        <v>781</v>
      </c>
      <c r="B92" s="648" t="s">
        <v>782</v>
      </c>
      <c r="C92" s="649">
        <v>-647729</v>
      </c>
      <c r="D92" s="649">
        <v>-725749.11</v>
      </c>
      <c r="E92" s="649">
        <v>-78020.11</v>
      </c>
    </row>
    <row r="93" spans="1:6" hidden="1" outlineLevel="3" collapsed="1" x14ac:dyDescent="0.35">
      <c r="A93" s="648" t="s">
        <v>806</v>
      </c>
      <c r="B93" s="648" t="s">
        <v>807</v>
      </c>
      <c r="C93" s="649">
        <v>-15000</v>
      </c>
      <c r="D93" s="649">
        <v>0</v>
      </c>
      <c r="E93" s="649">
        <v>15000</v>
      </c>
    </row>
    <row r="94" spans="1:6" hidden="1" outlineLevel="3" collapsed="1" x14ac:dyDescent="0.35">
      <c r="A94" s="648" t="s">
        <v>783</v>
      </c>
      <c r="B94" s="648" t="s">
        <v>784</v>
      </c>
      <c r="C94" s="649">
        <v>-80000</v>
      </c>
      <c r="D94" s="649">
        <v>-22893.599999999999</v>
      </c>
      <c r="E94" s="649">
        <v>57106.400000000001</v>
      </c>
    </row>
    <row r="95" spans="1:6" outlineLevel="2" collapsed="1" x14ac:dyDescent="0.35">
      <c r="A95" s="651" t="s">
        <v>821</v>
      </c>
      <c r="B95" s="651" t="s">
        <v>822</v>
      </c>
      <c r="C95" s="652">
        <f>SUBTOTAL(9, C83:C94)</f>
        <v>-589491</v>
      </c>
      <c r="D95" s="652">
        <f>SUBTOTAL(9, D83:D94)</f>
        <v>-587753.63</v>
      </c>
      <c r="E95" s="652">
        <f>SUBTOTAL(9, E83:E94)</f>
        <v>1737.3699999999881</v>
      </c>
    </row>
    <row r="96" spans="1:6" hidden="1" outlineLevel="3" collapsed="1" x14ac:dyDescent="0.35">
      <c r="A96" s="648" t="s">
        <v>736</v>
      </c>
      <c r="B96" s="648" t="s">
        <v>737</v>
      </c>
      <c r="C96" s="649">
        <v>23952</v>
      </c>
      <c r="D96" s="649">
        <v>23952</v>
      </c>
      <c r="E96" s="649">
        <v>0</v>
      </c>
    </row>
    <row r="97" spans="1:6" hidden="1" outlineLevel="3" collapsed="1" x14ac:dyDescent="0.35">
      <c r="A97" s="648" t="s">
        <v>759</v>
      </c>
      <c r="B97" s="648" t="s">
        <v>760</v>
      </c>
      <c r="C97" s="649">
        <v>0</v>
      </c>
      <c r="D97" s="649">
        <v>163.94</v>
      </c>
      <c r="E97" s="649">
        <v>163.94</v>
      </c>
    </row>
    <row r="98" spans="1:6" hidden="1" outlineLevel="3" collapsed="1" x14ac:dyDescent="0.35">
      <c r="A98" s="648" t="s">
        <v>781</v>
      </c>
      <c r="B98" s="648" t="s">
        <v>782</v>
      </c>
      <c r="C98" s="649">
        <v>-173855</v>
      </c>
      <c r="D98" s="649">
        <v>-321473.64</v>
      </c>
      <c r="E98" s="649">
        <v>-147618.64000000001</v>
      </c>
    </row>
    <row r="99" spans="1:6" hidden="1" outlineLevel="3" collapsed="1" x14ac:dyDescent="0.35">
      <c r="A99" s="648" t="s">
        <v>823</v>
      </c>
      <c r="B99" s="648" t="s">
        <v>824</v>
      </c>
      <c r="C99" s="649">
        <v>0</v>
      </c>
      <c r="D99" s="649">
        <v>-2800</v>
      </c>
      <c r="E99" s="649">
        <v>-2800</v>
      </c>
    </row>
    <row r="100" spans="1:6" hidden="1" outlineLevel="3" collapsed="1" x14ac:dyDescent="0.35">
      <c r="A100" s="648" t="s">
        <v>783</v>
      </c>
      <c r="B100" s="648" t="s">
        <v>784</v>
      </c>
      <c r="C100" s="649">
        <v>-30000</v>
      </c>
      <c r="D100" s="649">
        <v>-15574.5</v>
      </c>
      <c r="E100" s="649">
        <v>14425.5</v>
      </c>
    </row>
    <row r="101" spans="1:6" hidden="1" outlineLevel="3" collapsed="1" x14ac:dyDescent="0.35">
      <c r="A101" s="648" t="s">
        <v>785</v>
      </c>
      <c r="B101" s="648" t="s">
        <v>786</v>
      </c>
      <c r="C101" s="649">
        <v>0</v>
      </c>
      <c r="D101" s="649">
        <v>-1667.5</v>
      </c>
      <c r="E101" s="649">
        <v>-1667.5</v>
      </c>
    </row>
    <row r="102" spans="1:6" outlineLevel="2" collapsed="1" x14ac:dyDescent="0.35">
      <c r="A102" s="651" t="s">
        <v>825</v>
      </c>
      <c r="B102" s="651" t="s">
        <v>826</v>
      </c>
      <c r="C102" s="652">
        <f>SUBTOTAL(9, C96:C101)</f>
        <v>-179903</v>
      </c>
      <c r="D102" s="652">
        <f>SUBTOTAL(9, D96:D101)</f>
        <v>-317399.7</v>
      </c>
      <c r="E102" s="652">
        <f>SUBTOTAL(9, E96:E101)</f>
        <v>-137496.70000000001</v>
      </c>
      <c r="F102" s="653" t="s">
        <v>795</v>
      </c>
    </row>
    <row r="103" spans="1:6" hidden="1" outlineLevel="3" collapsed="1" x14ac:dyDescent="0.35">
      <c r="A103" s="648" t="s">
        <v>781</v>
      </c>
      <c r="B103" s="648" t="s">
        <v>782</v>
      </c>
      <c r="C103" s="649">
        <v>0</v>
      </c>
      <c r="D103" s="649">
        <v>-513.63</v>
      </c>
      <c r="E103" s="649">
        <v>-513.63</v>
      </c>
    </row>
    <row r="104" spans="1:6" outlineLevel="2" collapsed="1" x14ac:dyDescent="0.35">
      <c r="A104" s="651" t="s">
        <v>827</v>
      </c>
      <c r="B104" s="651" t="s">
        <v>828</v>
      </c>
      <c r="C104" s="652">
        <f>SUBTOTAL(9, C103:C103)</f>
        <v>0</v>
      </c>
      <c r="D104" s="652">
        <f>SUBTOTAL(9, D103:D103)</f>
        <v>-513.63</v>
      </c>
      <c r="E104" s="652">
        <f>SUBTOTAL(9, E103:E103)</f>
        <v>-513.63</v>
      </c>
    </row>
    <row r="105" spans="1:6" hidden="1" outlineLevel="3" collapsed="1" x14ac:dyDescent="0.35">
      <c r="A105" s="648" t="s">
        <v>749</v>
      </c>
      <c r="B105" s="648" t="s">
        <v>750</v>
      </c>
      <c r="C105" s="649">
        <v>0</v>
      </c>
      <c r="D105" s="649">
        <v>2221.4499999999998</v>
      </c>
      <c r="E105" s="649">
        <v>2221.4499999999998</v>
      </c>
    </row>
    <row r="106" spans="1:6" hidden="1" outlineLevel="3" collapsed="1" x14ac:dyDescent="0.35">
      <c r="A106" s="648" t="s">
        <v>736</v>
      </c>
      <c r="B106" s="648" t="s">
        <v>737</v>
      </c>
      <c r="C106" s="649">
        <v>29696</v>
      </c>
      <c r="D106" s="649">
        <v>29696</v>
      </c>
      <c r="E106" s="649">
        <v>0</v>
      </c>
    </row>
    <row r="107" spans="1:6" hidden="1" outlineLevel="3" collapsed="1" x14ac:dyDescent="0.35">
      <c r="A107" s="648" t="s">
        <v>755</v>
      </c>
      <c r="B107" s="648" t="s">
        <v>756</v>
      </c>
      <c r="C107" s="649">
        <v>0</v>
      </c>
      <c r="D107" s="649">
        <v>149.25</v>
      </c>
      <c r="E107" s="649">
        <v>149.25</v>
      </c>
    </row>
    <row r="108" spans="1:6" hidden="1" outlineLevel="3" collapsed="1" x14ac:dyDescent="0.35">
      <c r="A108" s="648" t="s">
        <v>773</v>
      </c>
      <c r="B108" s="648" t="s">
        <v>774</v>
      </c>
      <c r="C108" s="649">
        <v>0</v>
      </c>
      <c r="D108" s="649">
        <v>0.1</v>
      </c>
      <c r="E108" s="649">
        <v>0.1</v>
      </c>
    </row>
    <row r="109" spans="1:6" hidden="1" outlineLevel="3" collapsed="1" x14ac:dyDescent="0.35">
      <c r="A109" s="648" t="s">
        <v>779</v>
      </c>
      <c r="B109" s="648" t="s">
        <v>780</v>
      </c>
      <c r="C109" s="649">
        <v>0</v>
      </c>
      <c r="D109" s="649">
        <v>-2221.4499999999998</v>
      </c>
      <c r="E109" s="649">
        <v>-2221.4499999999998</v>
      </c>
    </row>
    <row r="110" spans="1:6" hidden="1" outlineLevel="3" collapsed="1" x14ac:dyDescent="0.35">
      <c r="A110" s="648" t="s">
        <v>781</v>
      </c>
      <c r="B110" s="648" t="s">
        <v>782</v>
      </c>
      <c r="C110" s="649">
        <v>-280194</v>
      </c>
      <c r="D110" s="649">
        <v>-344311.31</v>
      </c>
      <c r="E110" s="649">
        <v>-64117.31</v>
      </c>
    </row>
    <row r="111" spans="1:6" hidden="1" outlineLevel="3" collapsed="1" x14ac:dyDescent="0.35">
      <c r="A111" s="648" t="s">
        <v>783</v>
      </c>
      <c r="B111" s="648" t="s">
        <v>784</v>
      </c>
      <c r="C111" s="649">
        <v>-34620</v>
      </c>
      <c r="D111" s="649">
        <v>-14742.5</v>
      </c>
      <c r="E111" s="649">
        <v>19877.5</v>
      </c>
    </row>
    <row r="112" spans="1:6" outlineLevel="2" collapsed="1" x14ac:dyDescent="0.35">
      <c r="A112" s="651" t="s">
        <v>829</v>
      </c>
      <c r="B112" s="651" t="s">
        <v>830</v>
      </c>
      <c r="C112" s="652">
        <f>SUBTOTAL(9, C105:C111)</f>
        <v>-285118</v>
      </c>
      <c r="D112" s="652">
        <f>SUBTOTAL(9, D105:D111)</f>
        <v>-329208.46000000002</v>
      </c>
      <c r="E112" s="652">
        <f>SUBTOTAL(9, E105:E111)</f>
        <v>-44090.46</v>
      </c>
      <c r="F112" s="653" t="s">
        <v>795</v>
      </c>
    </row>
    <row r="113" spans="1:6" hidden="1" outlineLevel="3" collapsed="1" x14ac:dyDescent="0.35">
      <c r="A113" s="648" t="s">
        <v>749</v>
      </c>
      <c r="B113" s="648" t="s">
        <v>750</v>
      </c>
      <c r="C113" s="649">
        <v>0</v>
      </c>
      <c r="D113" s="649">
        <v>222.38</v>
      </c>
      <c r="E113" s="649">
        <v>222.38</v>
      </c>
    </row>
    <row r="114" spans="1:6" hidden="1" outlineLevel="3" collapsed="1" x14ac:dyDescent="0.35">
      <c r="A114" s="648" t="s">
        <v>736</v>
      </c>
      <c r="B114" s="648" t="s">
        <v>737</v>
      </c>
      <c r="C114" s="649">
        <v>30720</v>
      </c>
      <c r="D114" s="649">
        <v>30720</v>
      </c>
      <c r="E114" s="649">
        <v>0</v>
      </c>
    </row>
    <row r="115" spans="1:6" hidden="1" outlineLevel="3" collapsed="1" x14ac:dyDescent="0.35">
      <c r="A115" s="648" t="s">
        <v>755</v>
      </c>
      <c r="B115" s="648" t="s">
        <v>756</v>
      </c>
      <c r="C115" s="649">
        <v>0</v>
      </c>
      <c r="D115" s="649">
        <v>117.03</v>
      </c>
      <c r="E115" s="649">
        <v>117.03</v>
      </c>
    </row>
    <row r="116" spans="1:6" hidden="1" outlineLevel="3" collapsed="1" x14ac:dyDescent="0.35">
      <c r="A116" s="648" t="s">
        <v>773</v>
      </c>
      <c r="B116" s="648" t="s">
        <v>774</v>
      </c>
      <c r="C116" s="649">
        <v>0</v>
      </c>
      <c r="D116" s="649">
        <v>0.08</v>
      </c>
      <c r="E116" s="649">
        <v>0.08</v>
      </c>
    </row>
    <row r="117" spans="1:6" hidden="1" outlineLevel="3" collapsed="1" x14ac:dyDescent="0.35">
      <c r="A117" s="648" t="s">
        <v>779</v>
      </c>
      <c r="B117" s="648" t="s">
        <v>780</v>
      </c>
      <c r="C117" s="649">
        <v>0</v>
      </c>
      <c r="D117" s="649">
        <v>-222.38</v>
      </c>
      <c r="E117" s="649">
        <v>-222.38</v>
      </c>
    </row>
    <row r="118" spans="1:6" hidden="1" outlineLevel="3" collapsed="1" x14ac:dyDescent="0.35">
      <c r="A118" s="648" t="s">
        <v>781</v>
      </c>
      <c r="B118" s="648" t="s">
        <v>782</v>
      </c>
      <c r="C118" s="649">
        <v>-253155</v>
      </c>
      <c r="D118" s="649">
        <v>-338110.46</v>
      </c>
      <c r="E118" s="649">
        <v>-84955.46</v>
      </c>
    </row>
    <row r="119" spans="1:6" hidden="1" outlineLevel="3" collapsed="1" x14ac:dyDescent="0.35">
      <c r="A119" s="648" t="s">
        <v>806</v>
      </c>
      <c r="B119" s="648" t="s">
        <v>807</v>
      </c>
      <c r="C119" s="649">
        <v>-15000</v>
      </c>
      <c r="D119" s="649">
        <v>0</v>
      </c>
      <c r="E119" s="649">
        <v>15000</v>
      </c>
    </row>
    <row r="120" spans="1:6" hidden="1" outlineLevel="3" collapsed="1" x14ac:dyDescent="0.35">
      <c r="A120" s="648" t="s">
        <v>783</v>
      </c>
      <c r="B120" s="648" t="s">
        <v>784</v>
      </c>
      <c r="C120" s="649">
        <v>-29530</v>
      </c>
      <c r="D120" s="649">
        <v>-8288</v>
      </c>
      <c r="E120" s="649">
        <v>21242</v>
      </c>
    </row>
    <row r="121" spans="1:6" outlineLevel="2" collapsed="1" x14ac:dyDescent="0.35">
      <c r="A121" s="651" t="s">
        <v>831</v>
      </c>
      <c r="B121" s="651" t="s">
        <v>832</v>
      </c>
      <c r="C121" s="652">
        <f>SUBTOTAL(9, C113:C120)</f>
        <v>-266965</v>
      </c>
      <c r="D121" s="652">
        <f>SUBTOTAL(9, D113:D120)</f>
        <v>-315561.35000000003</v>
      </c>
      <c r="E121" s="652">
        <f>SUBTOTAL(9, E113:E120)</f>
        <v>-48596.350000000006</v>
      </c>
      <c r="F121" s="653" t="s">
        <v>795</v>
      </c>
    </row>
    <row r="122" spans="1:6" hidden="1" outlineLevel="3" collapsed="1" x14ac:dyDescent="0.35">
      <c r="A122" s="648" t="s">
        <v>749</v>
      </c>
      <c r="B122" s="648" t="s">
        <v>750</v>
      </c>
      <c r="C122" s="649">
        <v>0</v>
      </c>
      <c r="D122" s="649">
        <v>349.18</v>
      </c>
      <c r="E122" s="649">
        <v>349.18</v>
      </c>
    </row>
    <row r="123" spans="1:6" hidden="1" outlineLevel="3" collapsed="1" x14ac:dyDescent="0.35">
      <c r="A123" s="648" t="s">
        <v>736</v>
      </c>
      <c r="B123" s="648" t="s">
        <v>737</v>
      </c>
      <c r="C123" s="649">
        <v>14720.5</v>
      </c>
      <c r="D123" s="649">
        <v>14720.5</v>
      </c>
      <c r="E123" s="649">
        <v>0</v>
      </c>
    </row>
    <row r="124" spans="1:6" hidden="1" outlineLevel="3" collapsed="1" x14ac:dyDescent="0.35">
      <c r="A124" s="648" t="s">
        <v>755</v>
      </c>
      <c r="B124" s="648" t="s">
        <v>756</v>
      </c>
      <c r="C124" s="649">
        <v>0</v>
      </c>
      <c r="D124" s="649">
        <v>79.180000000000007</v>
      </c>
      <c r="E124" s="649">
        <v>79.180000000000007</v>
      </c>
    </row>
    <row r="125" spans="1:6" hidden="1" outlineLevel="3" collapsed="1" x14ac:dyDescent="0.35">
      <c r="A125" s="648" t="s">
        <v>773</v>
      </c>
      <c r="B125" s="648" t="s">
        <v>774</v>
      </c>
      <c r="C125" s="649">
        <v>0</v>
      </c>
      <c r="D125" s="649">
        <v>0.05</v>
      </c>
      <c r="E125" s="649">
        <v>0.05</v>
      </c>
    </row>
    <row r="126" spans="1:6" hidden="1" outlineLevel="3" collapsed="1" x14ac:dyDescent="0.35">
      <c r="A126" s="648" t="s">
        <v>779</v>
      </c>
      <c r="B126" s="648" t="s">
        <v>780</v>
      </c>
      <c r="C126" s="649">
        <v>0</v>
      </c>
      <c r="D126" s="649">
        <v>-349.18</v>
      </c>
      <c r="E126" s="649">
        <v>-349.18</v>
      </c>
    </row>
    <row r="127" spans="1:6" hidden="1" outlineLevel="3" collapsed="1" x14ac:dyDescent="0.35">
      <c r="A127" s="648" t="s">
        <v>781</v>
      </c>
      <c r="B127" s="648" t="s">
        <v>782</v>
      </c>
      <c r="C127" s="649">
        <v>-198220</v>
      </c>
      <c r="D127" s="649">
        <v>-257165.81</v>
      </c>
      <c r="E127" s="649">
        <v>-58945.81</v>
      </c>
    </row>
    <row r="128" spans="1:6" hidden="1" outlineLevel="3" collapsed="1" x14ac:dyDescent="0.35">
      <c r="A128" s="648" t="s">
        <v>783</v>
      </c>
      <c r="B128" s="648" t="s">
        <v>784</v>
      </c>
      <c r="C128" s="649">
        <v>-30000</v>
      </c>
      <c r="D128" s="649">
        <v>-11278</v>
      </c>
      <c r="E128" s="649">
        <v>18722</v>
      </c>
    </row>
    <row r="129" spans="1:6" outlineLevel="2" collapsed="1" x14ac:dyDescent="0.35">
      <c r="A129" s="651" t="s">
        <v>833</v>
      </c>
      <c r="B129" s="651" t="s">
        <v>834</v>
      </c>
      <c r="C129" s="652">
        <f>SUBTOTAL(9, C122:C128)</f>
        <v>-213499.5</v>
      </c>
      <c r="D129" s="652">
        <f>SUBTOTAL(9, D122:D128)</f>
        <v>-253644.08</v>
      </c>
      <c r="E129" s="652">
        <f>SUBTOTAL(9, E122:E128)</f>
        <v>-40144.579999999994</v>
      </c>
      <c r="F129" s="653" t="s">
        <v>795</v>
      </c>
    </row>
    <row r="130" spans="1:6" hidden="1" outlineLevel="3" collapsed="1" x14ac:dyDescent="0.35">
      <c r="A130" s="648" t="s">
        <v>745</v>
      </c>
      <c r="B130" s="648" t="s">
        <v>746</v>
      </c>
      <c r="C130" s="649">
        <v>0</v>
      </c>
      <c r="D130" s="649">
        <v>380</v>
      </c>
      <c r="E130" s="649">
        <v>380</v>
      </c>
    </row>
    <row r="131" spans="1:6" hidden="1" outlineLevel="3" collapsed="1" x14ac:dyDescent="0.35">
      <c r="A131" s="648" t="s">
        <v>749</v>
      </c>
      <c r="B131" s="648" t="s">
        <v>750</v>
      </c>
      <c r="C131" s="649">
        <v>0</v>
      </c>
      <c r="D131" s="649">
        <v>172.72</v>
      </c>
      <c r="E131" s="649">
        <v>172.72</v>
      </c>
    </row>
    <row r="132" spans="1:6" hidden="1" outlineLevel="3" collapsed="1" x14ac:dyDescent="0.35">
      <c r="A132" s="648" t="s">
        <v>736</v>
      </c>
      <c r="B132" s="648" t="s">
        <v>737</v>
      </c>
      <c r="C132" s="649">
        <v>19710.5</v>
      </c>
      <c r="D132" s="649">
        <v>19710.5</v>
      </c>
      <c r="E132" s="649">
        <v>0</v>
      </c>
    </row>
    <row r="133" spans="1:6" hidden="1" outlineLevel="3" collapsed="1" x14ac:dyDescent="0.35">
      <c r="A133" s="648" t="s">
        <v>755</v>
      </c>
      <c r="B133" s="648" t="s">
        <v>756</v>
      </c>
      <c r="C133" s="649">
        <v>0</v>
      </c>
      <c r="D133" s="649">
        <v>94.76</v>
      </c>
      <c r="E133" s="649">
        <v>94.76</v>
      </c>
    </row>
    <row r="134" spans="1:6" hidden="1" outlineLevel="3" collapsed="1" x14ac:dyDescent="0.35">
      <c r="A134" s="648" t="s">
        <v>773</v>
      </c>
      <c r="B134" s="648" t="s">
        <v>774</v>
      </c>
      <c r="C134" s="649">
        <v>0</v>
      </c>
      <c r="D134" s="649">
        <v>0.06</v>
      </c>
      <c r="E134" s="649">
        <v>0.06</v>
      </c>
    </row>
    <row r="135" spans="1:6" hidden="1" outlineLevel="3" collapsed="1" x14ac:dyDescent="0.35">
      <c r="A135" s="648" t="s">
        <v>779</v>
      </c>
      <c r="B135" s="648" t="s">
        <v>780</v>
      </c>
      <c r="C135" s="649">
        <v>0</v>
      </c>
      <c r="D135" s="649">
        <v>-172.72</v>
      </c>
      <c r="E135" s="649">
        <v>-172.72</v>
      </c>
    </row>
    <row r="136" spans="1:6" hidden="1" outlineLevel="3" collapsed="1" x14ac:dyDescent="0.35">
      <c r="A136" s="648" t="s">
        <v>781</v>
      </c>
      <c r="B136" s="648" t="s">
        <v>782</v>
      </c>
      <c r="C136" s="649">
        <v>-107947</v>
      </c>
      <c r="D136" s="649">
        <v>-69496.73</v>
      </c>
      <c r="E136" s="649">
        <v>38450.269999999997</v>
      </c>
    </row>
    <row r="137" spans="1:6" hidden="1" outlineLevel="3" collapsed="1" x14ac:dyDescent="0.35">
      <c r="A137" s="648" t="s">
        <v>783</v>
      </c>
      <c r="B137" s="648" t="s">
        <v>784</v>
      </c>
      <c r="C137" s="649">
        <v>-22000</v>
      </c>
      <c r="D137" s="649">
        <v>-6052.5</v>
      </c>
      <c r="E137" s="649">
        <v>15947.5</v>
      </c>
    </row>
    <row r="138" spans="1:6" outlineLevel="2" collapsed="1" x14ac:dyDescent="0.35">
      <c r="A138" s="651" t="s">
        <v>835</v>
      </c>
      <c r="B138" s="651" t="s">
        <v>836</v>
      </c>
      <c r="C138" s="652">
        <f>SUBTOTAL(9, C130:C137)</f>
        <v>-110236.5</v>
      </c>
      <c r="D138" s="652">
        <f>SUBTOTAL(9, D130:D137)</f>
        <v>-55363.909999999996</v>
      </c>
      <c r="E138" s="652">
        <f>SUBTOTAL(9, E130:E137)</f>
        <v>54872.59</v>
      </c>
      <c r="F138" s="653" t="s">
        <v>837</v>
      </c>
    </row>
    <row r="139" spans="1:6" hidden="1" outlineLevel="3" collapsed="1" x14ac:dyDescent="0.35">
      <c r="A139" s="648" t="s">
        <v>736</v>
      </c>
      <c r="B139" s="648" t="s">
        <v>737</v>
      </c>
      <c r="C139" s="649">
        <v>11726.5</v>
      </c>
      <c r="D139" s="649">
        <v>11726.5</v>
      </c>
      <c r="E139" s="649">
        <v>0</v>
      </c>
    </row>
    <row r="140" spans="1:6" hidden="1" outlineLevel="3" collapsed="1" x14ac:dyDescent="0.35">
      <c r="A140" s="648" t="s">
        <v>755</v>
      </c>
      <c r="B140" s="648" t="s">
        <v>756</v>
      </c>
      <c r="C140" s="649">
        <v>0</v>
      </c>
      <c r="D140" s="649">
        <v>31.74</v>
      </c>
      <c r="E140" s="649">
        <v>31.74</v>
      </c>
    </row>
    <row r="141" spans="1:6" hidden="1" outlineLevel="3" collapsed="1" x14ac:dyDescent="0.35">
      <c r="A141" s="648" t="s">
        <v>773</v>
      </c>
      <c r="B141" s="648" t="s">
        <v>774</v>
      </c>
      <c r="C141" s="649">
        <v>0</v>
      </c>
      <c r="D141" s="649">
        <v>0.02</v>
      </c>
      <c r="E141" s="649">
        <v>0.02</v>
      </c>
    </row>
    <row r="142" spans="1:6" hidden="1" outlineLevel="3" collapsed="1" x14ac:dyDescent="0.35">
      <c r="A142" s="648" t="s">
        <v>781</v>
      </c>
      <c r="B142" s="648" t="s">
        <v>782</v>
      </c>
      <c r="C142" s="649">
        <v>-60037</v>
      </c>
      <c r="D142" s="649">
        <v>-77987.59</v>
      </c>
      <c r="E142" s="649">
        <v>-17950.59</v>
      </c>
    </row>
    <row r="143" spans="1:6" hidden="1" outlineLevel="3" collapsed="1" x14ac:dyDescent="0.35">
      <c r="A143" s="648" t="s">
        <v>783</v>
      </c>
      <c r="B143" s="648" t="s">
        <v>784</v>
      </c>
      <c r="C143" s="649">
        <v>-2500</v>
      </c>
      <c r="D143" s="649">
        <v>-1515</v>
      </c>
      <c r="E143" s="649">
        <v>985</v>
      </c>
    </row>
    <row r="144" spans="1:6" outlineLevel="2" collapsed="1" x14ac:dyDescent="0.35">
      <c r="A144" s="651" t="s">
        <v>838</v>
      </c>
      <c r="B144" s="651" t="s">
        <v>839</v>
      </c>
      <c r="C144" s="652">
        <f>SUBTOTAL(9, C139:C143)</f>
        <v>-50810.5</v>
      </c>
      <c r="D144" s="652">
        <f>SUBTOTAL(9, D139:D143)</f>
        <v>-67744.33</v>
      </c>
      <c r="E144" s="652">
        <f>SUBTOTAL(9, E139:E143)</f>
        <v>-16933.830000000002</v>
      </c>
      <c r="F144" s="653" t="s">
        <v>795</v>
      </c>
    </row>
    <row r="145" spans="1:6" hidden="1" outlineLevel="3" collapsed="1" x14ac:dyDescent="0.35">
      <c r="A145" s="648" t="s">
        <v>736</v>
      </c>
      <c r="B145" s="648" t="s">
        <v>737</v>
      </c>
      <c r="C145" s="649">
        <v>5814.5</v>
      </c>
      <c r="D145" s="649">
        <v>5814.5</v>
      </c>
      <c r="E145" s="649">
        <v>0</v>
      </c>
    </row>
    <row r="146" spans="1:6" hidden="1" outlineLevel="3" collapsed="1" x14ac:dyDescent="0.35">
      <c r="A146" s="648" t="s">
        <v>755</v>
      </c>
      <c r="B146" s="648" t="s">
        <v>756</v>
      </c>
      <c r="C146" s="649">
        <v>0</v>
      </c>
      <c r="D146" s="649">
        <v>44.57</v>
      </c>
      <c r="E146" s="649">
        <v>44.57</v>
      </c>
    </row>
    <row r="147" spans="1:6" hidden="1" outlineLevel="3" collapsed="1" x14ac:dyDescent="0.35">
      <c r="A147" s="648" t="s">
        <v>813</v>
      </c>
      <c r="B147" s="648" t="s">
        <v>814</v>
      </c>
      <c r="C147" s="649">
        <v>0</v>
      </c>
      <c r="D147" s="649">
        <v>297.20999999999998</v>
      </c>
      <c r="E147" s="649">
        <v>297.20999999999998</v>
      </c>
    </row>
    <row r="148" spans="1:6" hidden="1" outlineLevel="3" collapsed="1" x14ac:dyDescent="0.35">
      <c r="A148" s="648" t="s">
        <v>773</v>
      </c>
      <c r="B148" s="648" t="s">
        <v>774</v>
      </c>
      <c r="C148" s="649">
        <v>0</v>
      </c>
      <c r="D148" s="649">
        <v>0.03</v>
      </c>
      <c r="E148" s="649">
        <v>0.03</v>
      </c>
    </row>
    <row r="149" spans="1:6" hidden="1" outlineLevel="3" collapsed="1" x14ac:dyDescent="0.35">
      <c r="A149" s="648" t="s">
        <v>781</v>
      </c>
      <c r="B149" s="648" t="s">
        <v>782</v>
      </c>
      <c r="C149" s="649">
        <v>-30845</v>
      </c>
      <c r="D149" s="649">
        <v>-53237.26</v>
      </c>
      <c r="E149" s="649">
        <v>-22392.26</v>
      </c>
    </row>
    <row r="150" spans="1:6" hidden="1" outlineLevel="3" collapsed="1" x14ac:dyDescent="0.35">
      <c r="A150" s="648" t="s">
        <v>783</v>
      </c>
      <c r="B150" s="648" t="s">
        <v>784</v>
      </c>
      <c r="C150" s="649">
        <v>-6580</v>
      </c>
      <c r="D150" s="649">
        <v>-2500</v>
      </c>
      <c r="E150" s="649">
        <v>4080</v>
      </c>
    </row>
    <row r="151" spans="1:6" outlineLevel="2" collapsed="1" x14ac:dyDescent="0.35">
      <c r="A151" s="651" t="s">
        <v>840</v>
      </c>
      <c r="B151" s="651" t="s">
        <v>841</v>
      </c>
      <c r="C151" s="652">
        <f>SUBTOTAL(9, C145:C150)</f>
        <v>-31610.5</v>
      </c>
      <c r="D151" s="652">
        <f>SUBTOTAL(9, D145:D150)</f>
        <v>-49580.950000000004</v>
      </c>
      <c r="E151" s="652">
        <f>SUBTOTAL(9, E145:E150)</f>
        <v>-17970.449999999997</v>
      </c>
      <c r="F151" s="653" t="s">
        <v>795</v>
      </c>
    </row>
    <row r="152" spans="1:6" hidden="1" outlineLevel="3" collapsed="1" x14ac:dyDescent="0.35">
      <c r="A152" s="648" t="s">
        <v>736</v>
      </c>
      <c r="B152" s="648" t="s">
        <v>737</v>
      </c>
      <c r="C152" s="649">
        <v>-19360</v>
      </c>
      <c r="D152" s="649">
        <v>-19360</v>
      </c>
      <c r="E152" s="649">
        <v>0</v>
      </c>
    </row>
    <row r="153" spans="1:6" hidden="1" outlineLevel="3" collapsed="1" x14ac:dyDescent="0.35">
      <c r="A153" s="648" t="s">
        <v>781</v>
      </c>
      <c r="B153" s="648" t="s">
        <v>782</v>
      </c>
      <c r="C153" s="649">
        <v>-26124</v>
      </c>
      <c r="D153" s="649">
        <v>-61395.64</v>
      </c>
      <c r="E153" s="649">
        <v>-35271.64</v>
      </c>
    </row>
    <row r="154" spans="1:6" hidden="1" outlineLevel="3" collapsed="1" x14ac:dyDescent="0.35">
      <c r="A154" s="648" t="s">
        <v>783</v>
      </c>
      <c r="B154" s="648" t="s">
        <v>784</v>
      </c>
      <c r="C154" s="649">
        <v>-5770</v>
      </c>
      <c r="D154" s="649">
        <v>-2300</v>
      </c>
      <c r="E154" s="649">
        <v>3470</v>
      </c>
    </row>
    <row r="155" spans="1:6" outlineLevel="2" collapsed="1" x14ac:dyDescent="0.35">
      <c r="A155" s="651" t="s">
        <v>842</v>
      </c>
      <c r="B155" s="651" t="s">
        <v>843</v>
      </c>
      <c r="C155" s="652">
        <f>SUBTOTAL(9, C152:C154)</f>
        <v>-51254</v>
      </c>
      <c r="D155" s="652">
        <f>SUBTOTAL(9, D152:D154)</f>
        <v>-83055.64</v>
      </c>
      <c r="E155" s="652">
        <f>SUBTOTAL(9, E152:E154)</f>
        <v>-31801.64</v>
      </c>
      <c r="F155" s="653" t="s">
        <v>795</v>
      </c>
    </row>
    <row r="156" spans="1:6" hidden="1" outlineLevel="3" collapsed="1" x14ac:dyDescent="0.35">
      <c r="A156" s="648" t="s">
        <v>783</v>
      </c>
      <c r="B156" s="648" t="s">
        <v>784</v>
      </c>
      <c r="C156" s="649">
        <v>-9746</v>
      </c>
      <c r="D156" s="649">
        <v>-300</v>
      </c>
      <c r="E156" s="649">
        <v>9446</v>
      </c>
    </row>
    <row r="157" spans="1:6" outlineLevel="2" collapsed="1" x14ac:dyDescent="0.35">
      <c r="A157" s="651" t="s">
        <v>844</v>
      </c>
      <c r="B157" s="651" t="s">
        <v>845</v>
      </c>
      <c r="C157" s="652">
        <f>SUBTOTAL(9, C156:C156)</f>
        <v>-9746</v>
      </c>
      <c r="D157" s="652">
        <f>SUBTOTAL(9, D156:D156)</f>
        <v>-300</v>
      </c>
      <c r="E157" s="652">
        <f>SUBTOTAL(9, E156:E156)</f>
        <v>9446</v>
      </c>
    </row>
    <row r="158" spans="1:6" hidden="1" outlineLevel="3" collapsed="1" x14ac:dyDescent="0.35">
      <c r="A158" s="648" t="s">
        <v>761</v>
      </c>
      <c r="B158" s="648" t="s">
        <v>762</v>
      </c>
      <c r="C158" s="649">
        <v>0</v>
      </c>
      <c r="D158" s="649">
        <v>18000</v>
      </c>
      <c r="E158" s="649">
        <v>18000</v>
      </c>
    </row>
    <row r="159" spans="1:6" hidden="1" outlineLevel="3" collapsed="1" x14ac:dyDescent="0.35">
      <c r="A159" s="648" t="s">
        <v>769</v>
      </c>
      <c r="B159" s="648" t="s">
        <v>770</v>
      </c>
      <c r="C159" s="649">
        <v>0</v>
      </c>
      <c r="D159" s="649">
        <v>23.96</v>
      </c>
      <c r="E159" s="649">
        <v>23.96</v>
      </c>
    </row>
    <row r="160" spans="1:6" hidden="1" outlineLevel="3" collapsed="1" x14ac:dyDescent="0.35">
      <c r="A160" s="648" t="s">
        <v>781</v>
      </c>
      <c r="B160" s="648" t="s">
        <v>782</v>
      </c>
      <c r="C160" s="649">
        <v>0</v>
      </c>
      <c r="D160" s="649">
        <v>-23153.02</v>
      </c>
      <c r="E160" s="649">
        <v>-23153.02</v>
      </c>
    </row>
    <row r="161" spans="1:6" hidden="1" outlineLevel="3" collapsed="1" x14ac:dyDescent="0.35">
      <c r="A161" s="648" t="s">
        <v>783</v>
      </c>
      <c r="B161" s="648" t="s">
        <v>784</v>
      </c>
      <c r="C161" s="649">
        <v>0</v>
      </c>
      <c r="D161" s="649">
        <v>-47258.42</v>
      </c>
      <c r="E161" s="649">
        <v>-47258.42</v>
      </c>
    </row>
    <row r="162" spans="1:6" outlineLevel="2" collapsed="1" x14ac:dyDescent="0.35">
      <c r="A162" s="651" t="s">
        <v>846</v>
      </c>
      <c r="B162" s="651" t="s">
        <v>847</v>
      </c>
      <c r="C162" s="652">
        <f>SUBTOTAL(9, C158:C161)</f>
        <v>0</v>
      </c>
      <c r="D162" s="652">
        <f>SUBTOTAL(9, D158:D161)</f>
        <v>-52387.479999999996</v>
      </c>
      <c r="E162" s="652">
        <f>SUBTOTAL(9, E158:E161)</f>
        <v>-52387.479999999996</v>
      </c>
      <c r="F162" s="653" t="s">
        <v>792</v>
      </c>
    </row>
    <row r="163" spans="1:6" hidden="1" outlineLevel="3" collapsed="1" x14ac:dyDescent="0.35">
      <c r="A163" s="648" t="s">
        <v>761</v>
      </c>
      <c r="B163" s="648" t="s">
        <v>762</v>
      </c>
      <c r="C163" s="649">
        <v>0</v>
      </c>
      <c r="D163" s="649">
        <v>18000</v>
      </c>
      <c r="E163" s="649">
        <v>18000</v>
      </c>
    </row>
    <row r="164" spans="1:6" hidden="1" outlineLevel="3" collapsed="1" x14ac:dyDescent="0.35">
      <c r="A164" s="648" t="s">
        <v>781</v>
      </c>
      <c r="B164" s="648" t="s">
        <v>782</v>
      </c>
      <c r="C164" s="649">
        <v>0</v>
      </c>
      <c r="D164" s="649">
        <v>-9023.18</v>
      </c>
      <c r="E164" s="649">
        <v>-9023.18</v>
      </c>
    </row>
    <row r="165" spans="1:6" hidden="1" outlineLevel="3" collapsed="1" x14ac:dyDescent="0.35">
      <c r="A165" s="648" t="s">
        <v>783</v>
      </c>
      <c r="B165" s="648" t="s">
        <v>784</v>
      </c>
      <c r="C165" s="649">
        <v>0</v>
      </c>
      <c r="D165" s="649">
        <v>-17458</v>
      </c>
      <c r="E165" s="649">
        <v>-17458</v>
      </c>
    </row>
    <row r="166" spans="1:6" outlineLevel="2" collapsed="1" x14ac:dyDescent="0.35">
      <c r="A166" s="651" t="s">
        <v>848</v>
      </c>
      <c r="B166" s="651" t="s">
        <v>849</v>
      </c>
      <c r="C166" s="652">
        <f>SUBTOTAL(9, C163:C165)</f>
        <v>0</v>
      </c>
      <c r="D166" s="652">
        <f>SUBTOTAL(9, D163:D165)</f>
        <v>-8481.18</v>
      </c>
      <c r="E166" s="652">
        <f>SUBTOTAL(9, E163:E165)</f>
        <v>-8481.18</v>
      </c>
      <c r="F166" s="653" t="s">
        <v>792</v>
      </c>
    </row>
    <row r="167" spans="1:6" hidden="1" outlineLevel="3" collapsed="1" x14ac:dyDescent="0.35">
      <c r="A167" s="648" t="s">
        <v>749</v>
      </c>
      <c r="B167" s="648" t="s">
        <v>750</v>
      </c>
      <c r="C167" s="649">
        <v>0</v>
      </c>
      <c r="D167" s="649">
        <v>2102.4</v>
      </c>
      <c r="E167" s="649">
        <v>2102.4</v>
      </c>
    </row>
    <row r="168" spans="1:6" hidden="1" outlineLevel="3" collapsed="1" x14ac:dyDescent="0.35">
      <c r="A168" s="648" t="s">
        <v>753</v>
      </c>
      <c r="B168" s="648" t="s">
        <v>754</v>
      </c>
      <c r="C168" s="649">
        <v>147500</v>
      </c>
      <c r="D168" s="649">
        <v>82297.23</v>
      </c>
      <c r="E168" s="649">
        <v>-65202.77</v>
      </c>
    </row>
    <row r="169" spans="1:6" hidden="1" outlineLevel="3" collapsed="1" x14ac:dyDescent="0.35">
      <c r="A169" s="648" t="s">
        <v>736</v>
      </c>
      <c r="B169" s="648" t="s">
        <v>737</v>
      </c>
      <c r="C169" s="649">
        <v>68608</v>
      </c>
      <c r="D169" s="649">
        <v>68608</v>
      </c>
      <c r="E169" s="649">
        <v>0</v>
      </c>
    </row>
    <row r="170" spans="1:6" hidden="1" outlineLevel="3" collapsed="1" x14ac:dyDescent="0.35">
      <c r="A170" s="648" t="s">
        <v>755</v>
      </c>
      <c r="B170" s="648" t="s">
        <v>756</v>
      </c>
      <c r="C170" s="649">
        <v>0</v>
      </c>
      <c r="D170" s="649">
        <v>199.88</v>
      </c>
      <c r="E170" s="649">
        <v>199.88</v>
      </c>
    </row>
    <row r="171" spans="1:6" hidden="1" outlineLevel="3" collapsed="1" x14ac:dyDescent="0.35">
      <c r="A171" s="648" t="s">
        <v>773</v>
      </c>
      <c r="B171" s="648" t="s">
        <v>774</v>
      </c>
      <c r="C171" s="649">
        <v>0</v>
      </c>
      <c r="D171" s="649">
        <v>0.13</v>
      </c>
      <c r="E171" s="649">
        <v>0.13</v>
      </c>
    </row>
    <row r="172" spans="1:6" hidden="1" outlineLevel="3" collapsed="1" x14ac:dyDescent="0.35">
      <c r="A172" s="648" t="s">
        <v>779</v>
      </c>
      <c r="B172" s="648" t="s">
        <v>780</v>
      </c>
      <c r="C172" s="649">
        <v>0</v>
      </c>
      <c r="D172" s="649">
        <v>-2102.4</v>
      </c>
      <c r="E172" s="649">
        <v>-2102.4</v>
      </c>
    </row>
    <row r="173" spans="1:6" hidden="1" outlineLevel="3" collapsed="1" x14ac:dyDescent="0.35">
      <c r="A173" s="648" t="s">
        <v>850</v>
      </c>
      <c r="B173" s="648" t="s">
        <v>851</v>
      </c>
      <c r="C173" s="649">
        <v>0</v>
      </c>
      <c r="D173" s="649">
        <v>81356</v>
      </c>
      <c r="E173" s="649">
        <v>81356</v>
      </c>
    </row>
    <row r="174" spans="1:6" hidden="1" outlineLevel="3" collapsed="1" x14ac:dyDescent="0.35">
      <c r="A174" s="648" t="s">
        <v>819</v>
      </c>
      <c r="B174" s="648" t="s">
        <v>820</v>
      </c>
      <c r="C174" s="649">
        <v>-2080</v>
      </c>
      <c r="D174" s="649">
        <v>-1562.49</v>
      </c>
      <c r="E174" s="649">
        <v>517.51</v>
      </c>
    </row>
    <row r="175" spans="1:6" hidden="1" outlineLevel="3" collapsed="1" x14ac:dyDescent="0.35">
      <c r="A175" s="648" t="s">
        <v>781</v>
      </c>
      <c r="B175" s="648" t="s">
        <v>782</v>
      </c>
      <c r="C175" s="649">
        <v>-377446</v>
      </c>
      <c r="D175" s="649">
        <v>-296329.69</v>
      </c>
      <c r="E175" s="649">
        <v>81116.31</v>
      </c>
    </row>
    <row r="176" spans="1:6" hidden="1" outlineLevel="3" collapsed="1" x14ac:dyDescent="0.35">
      <c r="A176" s="648" t="s">
        <v>783</v>
      </c>
      <c r="B176" s="648" t="s">
        <v>784</v>
      </c>
      <c r="C176" s="649">
        <v>-25000</v>
      </c>
      <c r="D176" s="649">
        <v>-8441.7999999999993</v>
      </c>
      <c r="E176" s="649">
        <v>16558.2</v>
      </c>
    </row>
    <row r="177" spans="1:6" outlineLevel="2" collapsed="1" x14ac:dyDescent="0.35">
      <c r="A177" s="651" t="s">
        <v>852</v>
      </c>
      <c r="B177" s="651" t="s">
        <v>853</v>
      </c>
      <c r="C177" s="652">
        <f>SUBTOTAL(9, C167:C176)</f>
        <v>-188418</v>
      </c>
      <c r="D177" s="652">
        <f>SUBTOTAL(9, D167:D176)</f>
        <v>-73872.739999999976</v>
      </c>
      <c r="E177" s="652">
        <f>SUBTOTAL(9, E167:E176)</f>
        <v>114545.26</v>
      </c>
      <c r="F177" s="653" t="s">
        <v>837</v>
      </c>
    </row>
    <row r="178" spans="1:6" hidden="1" outlineLevel="3" collapsed="1" x14ac:dyDescent="0.35">
      <c r="A178" s="648" t="s">
        <v>749</v>
      </c>
      <c r="B178" s="648" t="s">
        <v>750</v>
      </c>
      <c r="C178" s="649">
        <v>0</v>
      </c>
      <c r="D178" s="649">
        <v>2341.83</v>
      </c>
      <c r="E178" s="649">
        <v>2341.83</v>
      </c>
    </row>
    <row r="179" spans="1:6" hidden="1" outlineLevel="3" collapsed="1" x14ac:dyDescent="0.35">
      <c r="A179" s="648" t="s">
        <v>736</v>
      </c>
      <c r="B179" s="648" t="s">
        <v>737</v>
      </c>
      <c r="C179" s="649">
        <v>115317.83</v>
      </c>
      <c r="D179" s="649">
        <v>115317.83</v>
      </c>
      <c r="E179" s="649">
        <v>0</v>
      </c>
    </row>
    <row r="180" spans="1:6" hidden="1" outlineLevel="3" collapsed="1" x14ac:dyDescent="0.35">
      <c r="A180" s="648" t="s">
        <v>755</v>
      </c>
      <c r="B180" s="648" t="s">
        <v>756</v>
      </c>
      <c r="C180" s="649">
        <v>0</v>
      </c>
      <c r="D180" s="649">
        <v>339.44</v>
      </c>
      <c r="E180" s="649">
        <v>339.44</v>
      </c>
    </row>
    <row r="181" spans="1:6" hidden="1" outlineLevel="3" collapsed="1" x14ac:dyDescent="0.35">
      <c r="A181" s="648" t="s">
        <v>757</v>
      </c>
      <c r="B181" s="648" t="s">
        <v>758</v>
      </c>
      <c r="C181" s="649">
        <v>0</v>
      </c>
      <c r="D181" s="649">
        <v>2095.77</v>
      </c>
      <c r="E181" s="649">
        <v>2095.77</v>
      </c>
    </row>
    <row r="182" spans="1:6" hidden="1" outlineLevel="3" collapsed="1" x14ac:dyDescent="0.35">
      <c r="A182" s="648" t="s">
        <v>817</v>
      </c>
      <c r="B182" s="648" t="s">
        <v>818</v>
      </c>
      <c r="C182" s="649">
        <v>0</v>
      </c>
      <c r="D182" s="649">
        <v>212.37</v>
      </c>
      <c r="E182" s="649">
        <v>212.37</v>
      </c>
    </row>
    <row r="183" spans="1:6" hidden="1" outlineLevel="3" collapsed="1" x14ac:dyDescent="0.35">
      <c r="A183" s="648" t="s">
        <v>773</v>
      </c>
      <c r="B183" s="648" t="s">
        <v>774</v>
      </c>
      <c r="C183" s="649">
        <v>0</v>
      </c>
      <c r="D183" s="649">
        <v>0.23</v>
      </c>
      <c r="E183" s="649">
        <v>0.23</v>
      </c>
    </row>
    <row r="184" spans="1:6" hidden="1" outlineLevel="3" collapsed="1" x14ac:dyDescent="0.35">
      <c r="A184" s="648" t="s">
        <v>779</v>
      </c>
      <c r="B184" s="648" t="s">
        <v>780</v>
      </c>
      <c r="C184" s="649">
        <v>0</v>
      </c>
      <c r="D184" s="649">
        <v>-4437.6000000000004</v>
      </c>
      <c r="E184" s="649">
        <v>-4437.6000000000004</v>
      </c>
    </row>
    <row r="185" spans="1:6" hidden="1" outlineLevel="3" collapsed="1" x14ac:dyDescent="0.35">
      <c r="A185" s="648" t="s">
        <v>850</v>
      </c>
      <c r="B185" s="648" t="s">
        <v>851</v>
      </c>
      <c r="C185" s="649">
        <v>0</v>
      </c>
      <c r="D185" s="649">
        <v>14030.92</v>
      </c>
      <c r="E185" s="649">
        <v>14030.92</v>
      </c>
    </row>
    <row r="186" spans="1:6" hidden="1" outlineLevel="3" collapsed="1" x14ac:dyDescent="0.35">
      <c r="A186" s="648" t="s">
        <v>819</v>
      </c>
      <c r="B186" s="648" t="s">
        <v>820</v>
      </c>
      <c r="C186" s="649">
        <v>-2080</v>
      </c>
      <c r="D186" s="649">
        <v>0</v>
      </c>
      <c r="E186" s="649">
        <v>2080</v>
      </c>
    </row>
    <row r="187" spans="1:6" hidden="1" outlineLevel="3" collapsed="1" x14ac:dyDescent="0.35">
      <c r="A187" s="648" t="s">
        <v>781</v>
      </c>
      <c r="B187" s="648" t="s">
        <v>782</v>
      </c>
      <c r="C187" s="649">
        <v>-416313</v>
      </c>
      <c r="D187" s="649">
        <v>-333513.51</v>
      </c>
      <c r="E187" s="649">
        <v>82799.490000000005</v>
      </c>
    </row>
    <row r="188" spans="1:6" hidden="1" outlineLevel="3" collapsed="1" x14ac:dyDescent="0.35">
      <c r="A188" s="648" t="s">
        <v>783</v>
      </c>
      <c r="B188" s="648" t="s">
        <v>784</v>
      </c>
      <c r="C188" s="649">
        <v>-34270</v>
      </c>
      <c r="D188" s="649">
        <v>-12806.8</v>
      </c>
      <c r="E188" s="649">
        <v>21463.200000000001</v>
      </c>
    </row>
    <row r="189" spans="1:6" outlineLevel="2" collapsed="1" x14ac:dyDescent="0.35">
      <c r="A189" s="651" t="s">
        <v>854</v>
      </c>
      <c r="B189" s="651" t="s">
        <v>855</v>
      </c>
      <c r="C189" s="652">
        <f>SUBTOTAL(9, C178:C188)</f>
        <v>-337345.17</v>
      </c>
      <c r="D189" s="652">
        <f>SUBTOTAL(9, D178:D188)</f>
        <v>-216419.52000000002</v>
      </c>
      <c r="E189" s="652">
        <f>SUBTOTAL(9, E178:E188)</f>
        <v>120925.65000000001</v>
      </c>
      <c r="F189" s="653" t="s">
        <v>837</v>
      </c>
    </row>
    <row r="190" spans="1:6" hidden="1" outlineLevel="3" collapsed="1" x14ac:dyDescent="0.35">
      <c r="A190" s="648" t="s">
        <v>745</v>
      </c>
      <c r="B190" s="648" t="s">
        <v>746</v>
      </c>
      <c r="C190" s="649">
        <v>0</v>
      </c>
      <c r="D190" s="649">
        <v>194</v>
      </c>
      <c r="E190" s="649">
        <v>194</v>
      </c>
    </row>
    <row r="191" spans="1:6" hidden="1" outlineLevel="3" collapsed="1" x14ac:dyDescent="0.35">
      <c r="A191" s="648" t="s">
        <v>749</v>
      </c>
      <c r="B191" s="648" t="s">
        <v>750</v>
      </c>
      <c r="C191" s="649">
        <v>0</v>
      </c>
      <c r="D191" s="649">
        <v>2323.38</v>
      </c>
      <c r="E191" s="649">
        <v>2323.38</v>
      </c>
    </row>
    <row r="192" spans="1:6" hidden="1" outlineLevel="3" collapsed="1" x14ac:dyDescent="0.35">
      <c r="A192" s="648" t="s">
        <v>736</v>
      </c>
      <c r="B192" s="648" t="s">
        <v>737</v>
      </c>
      <c r="C192" s="649">
        <v>168565.83</v>
      </c>
      <c r="D192" s="649">
        <v>168565.83</v>
      </c>
      <c r="E192" s="649">
        <v>0</v>
      </c>
    </row>
    <row r="193" spans="1:6" hidden="1" outlineLevel="3" collapsed="1" x14ac:dyDescent="0.35">
      <c r="A193" s="648" t="s">
        <v>755</v>
      </c>
      <c r="B193" s="648" t="s">
        <v>756</v>
      </c>
      <c r="C193" s="649">
        <v>0</v>
      </c>
      <c r="D193" s="649">
        <v>660.98</v>
      </c>
      <c r="E193" s="649">
        <v>660.98</v>
      </c>
    </row>
    <row r="194" spans="1:6" hidden="1" outlineLevel="3" collapsed="1" x14ac:dyDescent="0.35">
      <c r="A194" s="648" t="s">
        <v>757</v>
      </c>
      <c r="B194" s="648" t="s">
        <v>758</v>
      </c>
      <c r="C194" s="649">
        <v>0</v>
      </c>
      <c r="D194" s="649">
        <v>-546.6</v>
      </c>
      <c r="E194" s="649">
        <v>-546.6</v>
      </c>
    </row>
    <row r="195" spans="1:6" hidden="1" outlineLevel="3" collapsed="1" x14ac:dyDescent="0.35">
      <c r="A195" s="648" t="s">
        <v>817</v>
      </c>
      <c r="B195" s="648" t="s">
        <v>818</v>
      </c>
      <c r="C195" s="649">
        <v>0</v>
      </c>
      <c r="D195" s="649">
        <v>121.28</v>
      </c>
      <c r="E195" s="649">
        <v>121.28</v>
      </c>
    </row>
    <row r="196" spans="1:6" hidden="1" outlineLevel="3" collapsed="1" x14ac:dyDescent="0.35">
      <c r="A196" s="648" t="s">
        <v>773</v>
      </c>
      <c r="B196" s="648" t="s">
        <v>774</v>
      </c>
      <c r="C196" s="649">
        <v>0</v>
      </c>
      <c r="D196" s="649">
        <v>0.44</v>
      </c>
      <c r="E196" s="649">
        <v>0.44</v>
      </c>
    </row>
    <row r="197" spans="1:6" hidden="1" outlineLevel="3" collapsed="1" x14ac:dyDescent="0.35">
      <c r="A197" s="648" t="s">
        <v>779</v>
      </c>
      <c r="B197" s="648" t="s">
        <v>780</v>
      </c>
      <c r="C197" s="649">
        <v>0</v>
      </c>
      <c r="D197" s="649">
        <v>-1776.78</v>
      </c>
      <c r="E197" s="649">
        <v>-1776.78</v>
      </c>
    </row>
    <row r="198" spans="1:6" hidden="1" outlineLevel="3" collapsed="1" x14ac:dyDescent="0.35">
      <c r="A198" s="648" t="s">
        <v>850</v>
      </c>
      <c r="B198" s="648" t="s">
        <v>851</v>
      </c>
      <c r="C198" s="649">
        <v>0</v>
      </c>
      <c r="D198" s="649">
        <v>114434.8</v>
      </c>
      <c r="E198" s="649">
        <v>114434.8</v>
      </c>
    </row>
    <row r="199" spans="1:6" hidden="1" outlineLevel="3" collapsed="1" x14ac:dyDescent="0.35">
      <c r="A199" s="648" t="s">
        <v>819</v>
      </c>
      <c r="B199" s="648" t="s">
        <v>820</v>
      </c>
      <c r="C199" s="649">
        <v>-2080</v>
      </c>
      <c r="D199" s="649">
        <v>-2083.3200000000002</v>
      </c>
      <c r="E199" s="649">
        <v>-3.32</v>
      </c>
    </row>
    <row r="200" spans="1:6" hidden="1" outlineLevel="3" collapsed="1" x14ac:dyDescent="0.35">
      <c r="A200" s="648" t="s">
        <v>781</v>
      </c>
      <c r="B200" s="648" t="s">
        <v>782</v>
      </c>
      <c r="C200" s="649">
        <v>-453663</v>
      </c>
      <c r="D200" s="649">
        <v>-386618.23</v>
      </c>
      <c r="E200" s="649">
        <v>67044.77</v>
      </c>
    </row>
    <row r="201" spans="1:6" hidden="1" outlineLevel="3" collapsed="1" x14ac:dyDescent="0.35">
      <c r="A201" s="648" t="s">
        <v>783</v>
      </c>
      <c r="B201" s="648" t="s">
        <v>784</v>
      </c>
      <c r="C201" s="649">
        <v>-30000</v>
      </c>
      <c r="D201" s="649">
        <v>-12794</v>
      </c>
      <c r="E201" s="649">
        <v>17206</v>
      </c>
    </row>
    <row r="202" spans="1:6" hidden="1" outlineLevel="3" collapsed="1" x14ac:dyDescent="0.35">
      <c r="A202" s="648" t="s">
        <v>785</v>
      </c>
      <c r="B202" s="648" t="s">
        <v>786</v>
      </c>
      <c r="C202" s="649">
        <v>0</v>
      </c>
      <c r="D202" s="649">
        <v>0.01</v>
      </c>
      <c r="E202" s="649">
        <v>0.01</v>
      </c>
    </row>
    <row r="203" spans="1:6" outlineLevel="2" collapsed="1" x14ac:dyDescent="0.35">
      <c r="A203" s="651" t="s">
        <v>856</v>
      </c>
      <c r="B203" s="651" t="s">
        <v>857</v>
      </c>
      <c r="C203" s="652">
        <f>SUBTOTAL(9, C190:C202)</f>
        <v>-317177.17000000004</v>
      </c>
      <c r="D203" s="652">
        <f>SUBTOTAL(9, D190:D202)</f>
        <v>-117518.20999999998</v>
      </c>
      <c r="E203" s="652">
        <f>SUBTOTAL(9, E190:E202)</f>
        <v>199658.96000000002</v>
      </c>
      <c r="F203" s="653" t="s">
        <v>837</v>
      </c>
    </row>
    <row r="204" spans="1:6" hidden="1" outlineLevel="3" collapsed="1" x14ac:dyDescent="0.35">
      <c r="A204" s="648" t="s">
        <v>850</v>
      </c>
      <c r="B204" s="648" t="s">
        <v>851</v>
      </c>
      <c r="C204" s="649">
        <v>0</v>
      </c>
      <c r="D204" s="649">
        <v>16091.24</v>
      </c>
      <c r="E204" s="649">
        <v>16091.24</v>
      </c>
    </row>
    <row r="205" spans="1:6" hidden="1" outlineLevel="3" collapsed="1" x14ac:dyDescent="0.35">
      <c r="A205" s="648" t="s">
        <v>781</v>
      </c>
      <c r="B205" s="648" t="s">
        <v>782</v>
      </c>
      <c r="C205" s="649">
        <v>-42791</v>
      </c>
      <c r="D205" s="649">
        <v>-42229.35</v>
      </c>
      <c r="E205" s="649">
        <v>561.65</v>
      </c>
    </row>
    <row r="206" spans="1:6" hidden="1" outlineLevel="3" collapsed="1" x14ac:dyDescent="0.35">
      <c r="A206" s="648" t="s">
        <v>806</v>
      </c>
      <c r="B206" s="648" t="s">
        <v>807</v>
      </c>
      <c r="C206" s="649">
        <v>-10000</v>
      </c>
      <c r="D206" s="649">
        <v>-1075</v>
      </c>
      <c r="E206" s="649">
        <v>8925</v>
      </c>
    </row>
    <row r="207" spans="1:6" hidden="1" outlineLevel="3" collapsed="1" x14ac:dyDescent="0.35">
      <c r="A207" s="648" t="s">
        <v>783</v>
      </c>
      <c r="B207" s="648" t="s">
        <v>784</v>
      </c>
      <c r="C207" s="649">
        <v>0</v>
      </c>
      <c r="D207" s="649">
        <v>-100</v>
      </c>
      <c r="E207" s="649">
        <v>-100</v>
      </c>
    </row>
    <row r="208" spans="1:6" outlineLevel="2" collapsed="1" x14ac:dyDescent="0.35">
      <c r="A208" s="651" t="s">
        <v>858</v>
      </c>
      <c r="B208" s="651" t="s">
        <v>859</v>
      </c>
      <c r="C208" s="652">
        <f>SUBTOTAL(9, C204:C207)</f>
        <v>-52791</v>
      </c>
      <c r="D208" s="652">
        <f>SUBTOTAL(9, D204:D207)</f>
        <v>-27313.11</v>
      </c>
      <c r="E208" s="652">
        <f>SUBTOTAL(9, E204:E207)</f>
        <v>25477.89</v>
      </c>
      <c r="F208" s="653" t="s">
        <v>837</v>
      </c>
    </row>
    <row r="209" spans="1:5" hidden="1" outlineLevel="3" collapsed="1" x14ac:dyDescent="0.35">
      <c r="A209" s="648" t="s">
        <v>749</v>
      </c>
      <c r="B209" s="648" t="s">
        <v>750</v>
      </c>
      <c r="C209" s="649">
        <v>0</v>
      </c>
      <c r="D209" s="649">
        <v>1184.71</v>
      </c>
      <c r="E209" s="649">
        <v>1184.71</v>
      </c>
    </row>
    <row r="210" spans="1:5" hidden="1" outlineLevel="3" collapsed="1" x14ac:dyDescent="0.35">
      <c r="A210" s="648" t="s">
        <v>755</v>
      </c>
      <c r="B210" s="648" t="s">
        <v>756</v>
      </c>
      <c r="C210" s="649">
        <v>0</v>
      </c>
      <c r="D210" s="649">
        <v>119.22</v>
      </c>
      <c r="E210" s="649">
        <v>119.22</v>
      </c>
    </row>
    <row r="211" spans="1:5" hidden="1" outlineLevel="3" collapsed="1" x14ac:dyDescent="0.35">
      <c r="A211" s="648" t="s">
        <v>813</v>
      </c>
      <c r="B211" s="648" t="s">
        <v>814</v>
      </c>
      <c r="C211" s="649">
        <v>0</v>
      </c>
      <c r="D211" s="649">
        <v>3170.25</v>
      </c>
      <c r="E211" s="649">
        <v>3170.25</v>
      </c>
    </row>
    <row r="212" spans="1:5" hidden="1" outlineLevel="3" collapsed="1" x14ac:dyDescent="0.35">
      <c r="A212" s="648" t="s">
        <v>773</v>
      </c>
      <c r="B212" s="648" t="s">
        <v>774</v>
      </c>
      <c r="C212" s="649">
        <v>0</v>
      </c>
      <c r="D212" s="649">
        <v>0.08</v>
      </c>
      <c r="E212" s="649">
        <v>0.08</v>
      </c>
    </row>
    <row r="213" spans="1:5" hidden="1" outlineLevel="3" collapsed="1" x14ac:dyDescent="0.35">
      <c r="A213" s="648" t="s">
        <v>779</v>
      </c>
      <c r="B213" s="648" t="s">
        <v>780</v>
      </c>
      <c r="C213" s="649">
        <v>0</v>
      </c>
      <c r="D213" s="649">
        <v>-1184.71</v>
      </c>
      <c r="E213" s="649">
        <v>-1184.71</v>
      </c>
    </row>
    <row r="214" spans="1:5" hidden="1" outlineLevel="3" collapsed="1" x14ac:dyDescent="0.35">
      <c r="A214" s="648" t="s">
        <v>860</v>
      </c>
      <c r="B214" s="648" t="s">
        <v>824</v>
      </c>
      <c r="C214" s="649">
        <v>-105198</v>
      </c>
      <c r="D214" s="649">
        <v>-147632</v>
      </c>
      <c r="E214" s="649">
        <v>-42434</v>
      </c>
    </row>
    <row r="215" spans="1:5" hidden="1" outlineLevel="3" collapsed="1" x14ac:dyDescent="0.35">
      <c r="A215" s="648" t="s">
        <v>823</v>
      </c>
      <c r="B215" s="648" t="s">
        <v>824</v>
      </c>
      <c r="C215" s="649">
        <v>-45000</v>
      </c>
      <c r="D215" s="649">
        <v>0</v>
      </c>
      <c r="E215" s="649">
        <v>45000</v>
      </c>
    </row>
    <row r="216" spans="1:5" hidden="1" outlineLevel="3" collapsed="1" x14ac:dyDescent="0.35">
      <c r="A216" s="648" t="s">
        <v>783</v>
      </c>
      <c r="B216" s="648" t="s">
        <v>784</v>
      </c>
      <c r="C216" s="649">
        <v>-280</v>
      </c>
      <c r="D216" s="649">
        <v>0</v>
      </c>
      <c r="E216" s="649">
        <v>280</v>
      </c>
    </row>
    <row r="217" spans="1:5" outlineLevel="2" collapsed="1" x14ac:dyDescent="0.35">
      <c r="A217" s="651" t="s">
        <v>861</v>
      </c>
      <c r="B217" s="651" t="s">
        <v>862</v>
      </c>
      <c r="C217" s="652">
        <f>SUBTOTAL(9, C209:C216)</f>
        <v>-150478</v>
      </c>
      <c r="D217" s="652">
        <f>SUBTOTAL(9, D209:D216)</f>
        <v>-144342.45000000001</v>
      </c>
      <c r="E217" s="652">
        <f>SUBTOTAL(9, E209:E216)</f>
        <v>6135.5500000000029</v>
      </c>
    </row>
    <row r="218" spans="1:5" outlineLevel="1" x14ac:dyDescent="0.35">
      <c r="A218" s="651" t="s">
        <v>863</v>
      </c>
      <c r="B218" s="651" t="s">
        <v>864</v>
      </c>
      <c r="C218" s="652">
        <f>SUBTOTAL(9, C2:C217)</f>
        <v>-677337.29999999993</v>
      </c>
      <c r="D218" s="652">
        <f>SUBTOTAL(9, D2:D217)</f>
        <v>-925329.97000000114</v>
      </c>
      <c r="E218" s="652">
        <f>SUBTOTAL(9, E2:E217)</f>
        <v>-247992.66999999975</v>
      </c>
    </row>
    <row r="219" spans="1:5" x14ac:dyDescent="0.35">
      <c r="A219" s="651" t="s">
        <v>865</v>
      </c>
      <c r="B219" s="651" t="s">
        <v>865</v>
      </c>
      <c r="C219" s="652">
        <f>SUBTOTAL(9, C2:C218)</f>
        <v>-677337.29999999993</v>
      </c>
      <c r="D219" s="652">
        <f>SUBTOTAL(9, D2:D218)</f>
        <v>-925329.97000000114</v>
      </c>
      <c r="E219" s="652">
        <f>SUBTOTAL(9, E2:E218)</f>
        <v>-247992.66999999975</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AL175"/>
  <sheetViews>
    <sheetView zoomScaleNormal="100" workbookViewId="0">
      <pane xSplit="2" ySplit="2" topLeftCell="C105" activePane="bottomRight" state="frozen"/>
      <selection pane="topRight" activeCell="H61" sqref="H61"/>
      <selection pane="bottomLeft" activeCell="H61" sqref="H61"/>
      <selection pane="bottomRight" activeCell="H61" sqref="H61"/>
    </sheetView>
  </sheetViews>
  <sheetFormatPr defaultColWidth="9.453125" defaultRowHeight="12.5" outlineLevelRow="2" outlineLevelCol="1" x14ac:dyDescent="0.25"/>
  <cols>
    <col min="1" max="1" width="1.54296875" customWidth="1"/>
    <col min="2" max="2" width="55.453125" style="1" customWidth="1"/>
    <col min="3" max="3" width="13.54296875" customWidth="1"/>
    <col min="4" max="4" width="13.54296875" hidden="1" customWidth="1"/>
    <col min="5" max="5" width="13.54296875" hidden="1" customWidth="1" outlineLevel="1"/>
    <col min="6" max="6" width="13.54296875" style="1" hidden="1" customWidth="1" outlineLevel="1"/>
    <col min="7" max="11" width="13.54296875" hidden="1" customWidth="1" outlineLevel="1"/>
    <col min="12" max="12" width="13.54296875" hidden="1" customWidth="1" collapsed="1"/>
    <col min="13" max="13" width="13.54296875" hidden="1" customWidth="1" outlineLevel="1"/>
    <col min="14" max="14" width="13.54296875" customWidth="1" collapsed="1"/>
    <col min="15" max="16" width="13.54296875" hidden="1" customWidth="1" outlineLevel="1"/>
    <col min="17" max="17" width="13.54296875" customWidth="1" collapsed="1"/>
    <col min="18" max="20" width="13.54296875" customWidth="1" outlineLevel="1"/>
    <col min="21" max="21" width="13.54296875" customWidth="1"/>
    <col min="22" max="22" width="13.54296875" hidden="1" customWidth="1"/>
    <col min="23" max="26" width="13.54296875" hidden="1" customWidth="1" outlineLevel="1"/>
    <col min="27" max="27" width="1.54296875" customWidth="1" collapsed="1"/>
    <col min="28" max="32" width="13.54296875" customWidth="1" outlineLevel="1"/>
    <col min="33" max="33" width="1.54296875" customWidth="1"/>
    <col min="34" max="43" width="11.54296875" customWidth="1"/>
  </cols>
  <sheetData>
    <row r="1" spans="2:34" s="6" customFormat="1" ht="18.5" thickBot="1" x14ac:dyDescent="0.45">
      <c r="B1" s="17"/>
      <c r="D1" s="18" t="s">
        <v>0</v>
      </c>
      <c r="F1" s="17"/>
    </row>
    <row r="2" spans="2:34"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c r="AH2" s="626" t="s">
        <v>166</v>
      </c>
    </row>
    <row r="3" spans="2:34"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4"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4" ht="13" hidden="1" outlineLevel="2" x14ac:dyDescent="0.3">
      <c r="B5" s="31" t="s">
        <v>167</v>
      </c>
      <c r="C5" s="33">
        <v>812</v>
      </c>
      <c r="D5" s="33">
        <v>723</v>
      </c>
      <c r="E5" s="23">
        <v>0</v>
      </c>
      <c r="F5" s="23">
        <v>0</v>
      </c>
      <c r="G5" s="23">
        <v>-15</v>
      </c>
      <c r="H5" s="23">
        <v>0</v>
      </c>
      <c r="I5" s="23">
        <v>-74</v>
      </c>
      <c r="J5" s="23">
        <v>0</v>
      </c>
      <c r="K5" s="23">
        <f t="shared" ref="K5:K68" si="0">SUM(E5:J5)</f>
        <v>-89</v>
      </c>
      <c r="L5" s="33">
        <f t="shared" ref="L5:L68" si="1">N5-D5</f>
        <v>0</v>
      </c>
      <c r="M5" s="33">
        <f t="shared" ref="M5:M68" si="2">N5-C5</f>
        <v>-89</v>
      </c>
      <c r="N5" s="33">
        <v>723</v>
      </c>
      <c r="O5" s="33">
        <v>1089</v>
      </c>
      <c r="P5" s="33">
        <v>-475</v>
      </c>
      <c r="Q5" s="33">
        <v>614</v>
      </c>
      <c r="R5" s="33">
        <v>723</v>
      </c>
      <c r="S5" s="33">
        <f t="shared" ref="S5:S68" si="3">Q5-R5</f>
        <v>-109</v>
      </c>
      <c r="T5" s="38">
        <f t="shared" ref="T5:T68" si="4">IFERROR((Q5/N5)*100%,"∞")</f>
        <v>0.84923928077455046</v>
      </c>
      <c r="U5" s="59">
        <f t="shared" ref="U5:U68" si="5">N5+V5</f>
        <v>723</v>
      </c>
      <c r="V5" s="33">
        <v>0</v>
      </c>
      <c r="W5" s="33">
        <v>0</v>
      </c>
      <c r="X5" s="33"/>
      <c r="Y5" s="33"/>
      <c r="Z5" s="42"/>
      <c r="AA5" s="60"/>
      <c r="AB5" s="662"/>
      <c r="AC5" s="580"/>
      <c r="AD5" s="33">
        <f t="shared" ref="AD5:AD68" si="6">SUM(AB5:AC5)</f>
        <v>0</v>
      </c>
      <c r="AE5" s="33">
        <f t="shared" ref="AE5:AE68" si="7">Q5+AD5</f>
        <v>614</v>
      </c>
      <c r="AF5" s="101">
        <f t="shared" ref="AF5:AF68" si="8">AE5-N5</f>
        <v>-109</v>
      </c>
      <c r="AH5" s="19"/>
    </row>
    <row r="6" spans="2:34" ht="13" hidden="1" outlineLevel="2" x14ac:dyDescent="0.3">
      <c r="B6" s="31" t="s">
        <v>168</v>
      </c>
      <c r="C6" s="33">
        <v>4611</v>
      </c>
      <c r="D6" s="33">
        <v>1733</v>
      </c>
      <c r="E6" s="23">
        <v>-2762</v>
      </c>
      <c r="F6" s="23">
        <v>1530</v>
      </c>
      <c r="G6" s="23">
        <v>-56</v>
      </c>
      <c r="H6" s="23">
        <v>17</v>
      </c>
      <c r="I6" s="23">
        <v>-60</v>
      </c>
      <c r="J6" s="23">
        <v>-15</v>
      </c>
      <c r="K6" s="23">
        <f t="shared" si="0"/>
        <v>-1346</v>
      </c>
      <c r="L6" s="33">
        <f t="shared" si="1"/>
        <v>1515</v>
      </c>
      <c r="M6" s="33">
        <f t="shared" si="2"/>
        <v>-1363</v>
      </c>
      <c r="N6" s="33">
        <v>3248</v>
      </c>
      <c r="O6" s="33">
        <v>10536</v>
      </c>
      <c r="P6" s="33">
        <v>-7840</v>
      </c>
      <c r="Q6" s="33">
        <v>2697</v>
      </c>
      <c r="R6" s="33">
        <v>3248</v>
      </c>
      <c r="S6" s="33">
        <f t="shared" si="3"/>
        <v>-551</v>
      </c>
      <c r="T6" s="38">
        <f t="shared" si="4"/>
        <v>0.8303571428571429</v>
      </c>
      <c r="U6" s="59">
        <f t="shared" si="5"/>
        <v>2778</v>
      </c>
      <c r="V6" s="33">
        <v>-470</v>
      </c>
      <c r="W6" s="33">
        <v>-470</v>
      </c>
      <c r="X6" s="33"/>
      <c r="Y6" s="33"/>
      <c r="Z6" s="42"/>
      <c r="AA6" s="60"/>
      <c r="AB6" s="662"/>
      <c r="AC6" s="580"/>
      <c r="AD6" s="33">
        <f t="shared" si="6"/>
        <v>0</v>
      </c>
      <c r="AE6" s="33">
        <f t="shared" si="7"/>
        <v>2697</v>
      </c>
      <c r="AF6" s="101">
        <f t="shared" si="8"/>
        <v>-551</v>
      </c>
      <c r="AH6" s="19"/>
    </row>
    <row r="7" spans="2:34" ht="13" hidden="1" outlineLevel="2" x14ac:dyDescent="0.3">
      <c r="B7" s="31" t="s">
        <v>169</v>
      </c>
      <c r="C7" s="33">
        <v>-986</v>
      </c>
      <c r="D7" s="33">
        <v>52</v>
      </c>
      <c r="E7" s="23">
        <v>0</v>
      </c>
      <c r="F7" s="23">
        <v>0</v>
      </c>
      <c r="G7" s="23">
        <v>-1</v>
      </c>
      <c r="H7" s="23">
        <v>0</v>
      </c>
      <c r="I7" s="23">
        <v>1039</v>
      </c>
      <c r="J7" s="23">
        <v>0</v>
      </c>
      <c r="K7" s="23">
        <f t="shared" si="0"/>
        <v>1038</v>
      </c>
      <c r="L7" s="33">
        <f t="shared" si="1"/>
        <v>0</v>
      </c>
      <c r="M7" s="33">
        <f t="shared" si="2"/>
        <v>1038</v>
      </c>
      <c r="N7" s="33">
        <v>52</v>
      </c>
      <c r="O7" s="33">
        <v>55</v>
      </c>
      <c r="P7" s="33">
        <v>0</v>
      </c>
      <c r="Q7" s="33">
        <v>55</v>
      </c>
      <c r="R7" s="33">
        <v>52</v>
      </c>
      <c r="S7" s="33">
        <f t="shared" si="3"/>
        <v>3</v>
      </c>
      <c r="T7" s="38">
        <f t="shared" si="4"/>
        <v>1.0576923076923077</v>
      </c>
      <c r="U7" s="59">
        <f t="shared" si="5"/>
        <v>52</v>
      </c>
      <c r="V7" s="33">
        <v>0</v>
      </c>
      <c r="W7" s="33">
        <v>0</v>
      </c>
      <c r="X7" s="33"/>
      <c r="Y7" s="33"/>
      <c r="Z7" s="42"/>
      <c r="AA7" s="60"/>
      <c r="AB7" s="662"/>
      <c r="AC7" s="580"/>
      <c r="AD7" s="33">
        <f t="shared" si="6"/>
        <v>0</v>
      </c>
      <c r="AE7" s="33">
        <f t="shared" si="7"/>
        <v>55</v>
      </c>
      <c r="AF7" s="101">
        <f t="shared" si="8"/>
        <v>3</v>
      </c>
      <c r="AH7" s="19"/>
    </row>
    <row r="8" spans="2:34" ht="13" hidden="1" outlineLevel="2" x14ac:dyDescent="0.3">
      <c r="B8" s="31" t="s">
        <v>170</v>
      </c>
      <c r="C8" s="33">
        <v>121</v>
      </c>
      <c r="D8" s="33">
        <v>159</v>
      </c>
      <c r="E8" s="23">
        <v>0</v>
      </c>
      <c r="F8" s="23">
        <v>0</v>
      </c>
      <c r="G8" s="23">
        <v>-4</v>
      </c>
      <c r="H8" s="23">
        <v>0</v>
      </c>
      <c r="I8" s="23">
        <v>42</v>
      </c>
      <c r="J8" s="23">
        <v>0</v>
      </c>
      <c r="K8" s="23">
        <f t="shared" si="0"/>
        <v>38</v>
      </c>
      <c r="L8" s="33">
        <f t="shared" si="1"/>
        <v>0</v>
      </c>
      <c r="M8" s="33">
        <f t="shared" si="2"/>
        <v>38</v>
      </c>
      <c r="N8" s="33">
        <v>159</v>
      </c>
      <c r="O8" s="33">
        <v>484</v>
      </c>
      <c r="P8" s="33">
        <v>-254</v>
      </c>
      <c r="Q8" s="33">
        <v>230</v>
      </c>
      <c r="R8" s="33">
        <v>159</v>
      </c>
      <c r="S8" s="33">
        <f t="shared" si="3"/>
        <v>71</v>
      </c>
      <c r="T8" s="38">
        <f t="shared" si="4"/>
        <v>1.4465408805031446</v>
      </c>
      <c r="U8" s="59">
        <f t="shared" si="5"/>
        <v>159</v>
      </c>
      <c r="V8" s="33">
        <v>0</v>
      </c>
      <c r="W8" s="33">
        <v>0</v>
      </c>
      <c r="X8" s="33"/>
      <c r="Y8" s="33"/>
      <c r="Z8" s="42"/>
      <c r="AA8" s="60"/>
      <c r="AB8" s="662"/>
      <c r="AC8" s="580"/>
      <c r="AD8" s="33">
        <f t="shared" si="6"/>
        <v>0</v>
      </c>
      <c r="AE8" s="33">
        <f t="shared" si="7"/>
        <v>230</v>
      </c>
      <c r="AF8" s="101">
        <f t="shared" si="8"/>
        <v>71</v>
      </c>
      <c r="AH8" s="19"/>
    </row>
    <row r="9" spans="2:34" ht="13" outlineLevel="1" collapsed="1" x14ac:dyDescent="0.3">
      <c r="B9" s="32" t="s">
        <v>43</v>
      </c>
      <c r="C9" s="34">
        <f t="shared" ref="C9:J9" si="9">SUBTOTAL(9,C5:C8)</f>
        <v>4558</v>
      </c>
      <c r="D9" s="34">
        <f t="shared" si="9"/>
        <v>2667</v>
      </c>
      <c r="E9" s="24">
        <f t="shared" si="9"/>
        <v>-2762</v>
      </c>
      <c r="F9" s="24">
        <f t="shared" si="9"/>
        <v>1530</v>
      </c>
      <c r="G9" s="24">
        <f t="shared" si="9"/>
        <v>-76</v>
      </c>
      <c r="H9" s="24">
        <f t="shared" si="9"/>
        <v>17</v>
      </c>
      <c r="I9" s="24">
        <f t="shared" si="9"/>
        <v>947</v>
      </c>
      <c r="J9" s="24">
        <f t="shared" si="9"/>
        <v>-15</v>
      </c>
      <c r="K9" s="24">
        <f>SUM(E9:J9)</f>
        <v>-359</v>
      </c>
      <c r="L9" s="34">
        <f t="shared" si="1"/>
        <v>1515</v>
      </c>
      <c r="M9" s="34">
        <f t="shared" si="2"/>
        <v>-376</v>
      </c>
      <c r="N9" s="34">
        <f>SUBTOTAL(9,N5:N8)</f>
        <v>4182</v>
      </c>
      <c r="O9" s="34">
        <f>SUBTOTAL(9,O5:O8)</f>
        <v>12164</v>
      </c>
      <c r="P9" s="34">
        <f>SUBTOTAL(9,P5:P8)</f>
        <v>-8569</v>
      </c>
      <c r="Q9" s="34">
        <f>SUBTOTAL(9,Q5:Q8)</f>
        <v>3596</v>
      </c>
      <c r="R9" s="34">
        <f>SUBTOTAL(9,R5:R8)</f>
        <v>4182</v>
      </c>
      <c r="S9" s="34">
        <f>Q9-R9</f>
        <v>-586</v>
      </c>
      <c r="T9" s="38">
        <f>IFERROR((Q9/N9)*100%,"∞")</f>
        <v>0.8598756575801052</v>
      </c>
      <c r="U9" s="59">
        <f>N9+V9</f>
        <v>3712</v>
      </c>
      <c r="V9" s="34">
        <f>SUBTOTAL(9,V5:V8)</f>
        <v>-470</v>
      </c>
      <c r="W9" s="34">
        <f>SUBTOTAL(9,W5:W8)</f>
        <v>-470</v>
      </c>
      <c r="X9" s="34"/>
      <c r="Y9" s="34"/>
      <c r="Z9" s="41"/>
      <c r="AA9" s="60"/>
      <c r="AB9" s="641">
        <f t="shared" ref="AB9:AC9" si="10">SUBTOTAL(9,AB5:AB8)</f>
        <v>0</v>
      </c>
      <c r="AC9" s="641">
        <f t="shared" si="10"/>
        <v>0</v>
      </c>
      <c r="AD9" s="34"/>
      <c r="AE9" s="34"/>
      <c r="AF9" s="103"/>
      <c r="AH9" s="19"/>
    </row>
    <row r="10" spans="2:34" ht="13" hidden="1" outlineLevel="2" x14ac:dyDescent="0.3">
      <c r="B10" s="31" t="s">
        <v>171</v>
      </c>
      <c r="C10" s="33">
        <v>544</v>
      </c>
      <c r="D10" s="33">
        <v>512</v>
      </c>
      <c r="E10" s="23">
        <v>0</v>
      </c>
      <c r="F10" s="23">
        <v>-147</v>
      </c>
      <c r="G10" s="23">
        <v>-32</v>
      </c>
      <c r="H10" s="23">
        <v>0</v>
      </c>
      <c r="I10" s="23">
        <v>0</v>
      </c>
      <c r="J10" s="23">
        <v>-15</v>
      </c>
      <c r="K10" s="23">
        <f t="shared" si="0"/>
        <v>-194</v>
      </c>
      <c r="L10" s="33">
        <f t="shared" si="1"/>
        <v>-162</v>
      </c>
      <c r="M10" s="33">
        <f t="shared" si="2"/>
        <v>-194</v>
      </c>
      <c r="N10" s="33">
        <v>350</v>
      </c>
      <c r="O10" s="33">
        <v>2561</v>
      </c>
      <c r="P10" s="33">
        <v>-2145</v>
      </c>
      <c r="Q10" s="33">
        <v>417</v>
      </c>
      <c r="R10" s="33">
        <v>350</v>
      </c>
      <c r="S10" s="33">
        <f t="shared" si="3"/>
        <v>67</v>
      </c>
      <c r="T10" s="38">
        <f t="shared" si="4"/>
        <v>1.1914285714285715</v>
      </c>
      <c r="U10" s="59">
        <f t="shared" si="5"/>
        <v>508</v>
      </c>
      <c r="V10" s="33">
        <v>158</v>
      </c>
      <c r="W10" s="33">
        <v>158</v>
      </c>
      <c r="X10" s="33"/>
      <c r="Y10" s="33"/>
      <c r="Z10" s="42"/>
      <c r="AA10" s="60"/>
      <c r="AB10" s="662"/>
      <c r="AC10" s="580"/>
      <c r="AD10" s="33">
        <f t="shared" si="6"/>
        <v>0</v>
      </c>
      <c r="AE10" s="33">
        <f t="shared" si="7"/>
        <v>417</v>
      </c>
      <c r="AF10" s="101">
        <f t="shared" si="8"/>
        <v>67</v>
      </c>
      <c r="AH10" s="19"/>
    </row>
    <row r="11" spans="2:34" ht="13" hidden="1" outlineLevel="2" x14ac:dyDescent="0.3">
      <c r="B11" s="31" t="s">
        <v>44</v>
      </c>
      <c r="C11" s="33">
        <v>815</v>
      </c>
      <c r="D11" s="33">
        <v>849</v>
      </c>
      <c r="E11" s="23">
        <v>45</v>
      </c>
      <c r="F11" s="23">
        <v>89</v>
      </c>
      <c r="G11" s="23">
        <v>-28</v>
      </c>
      <c r="H11" s="23">
        <v>0</v>
      </c>
      <c r="I11" s="23">
        <v>18</v>
      </c>
      <c r="J11" s="23">
        <v>0</v>
      </c>
      <c r="K11" s="23">
        <f t="shared" si="0"/>
        <v>124</v>
      </c>
      <c r="L11" s="33">
        <f t="shared" si="1"/>
        <v>90</v>
      </c>
      <c r="M11" s="33">
        <f t="shared" si="2"/>
        <v>124</v>
      </c>
      <c r="N11" s="33">
        <v>939</v>
      </c>
      <c r="O11" s="33">
        <v>1859</v>
      </c>
      <c r="P11" s="33">
        <v>-960</v>
      </c>
      <c r="Q11" s="33">
        <v>899</v>
      </c>
      <c r="R11" s="33">
        <v>939</v>
      </c>
      <c r="S11" s="33">
        <f t="shared" si="3"/>
        <v>-40</v>
      </c>
      <c r="T11" s="38">
        <f t="shared" si="4"/>
        <v>0.95740149094781679</v>
      </c>
      <c r="U11" s="59">
        <f t="shared" si="5"/>
        <v>915</v>
      </c>
      <c r="V11" s="33">
        <v>-24</v>
      </c>
      <c r="W11" s="33">
        <v>-24</v>
      </c>
      <c r="X11" s="33"/>
      <c r="Y11" s="33"/>
      <c r="Z11" s="42"/>
      <c r="AA11" s="60"/>
      <c r="AB11" s="662"/>
      <c r="AC11" s="580"/>
      <c r="AD11" s="33">
        <f t="shared" si="6"/>
        <v>0</v>
      </c>
      <c r="AE11" s="33">
        <f t="shared" si="7"/>
        <v>899</v>
      </c>
      <c r="AF11" s="101">
        <f t="shared" si="8"/>
        <v>-40</v>
      </c>
      <c r="AH11" s="19"/>
    </row>
    <row r="12" spans="2:34" ht="13" outlineLevel="1" collapsed="1" x14ac:dyDescent="0.3">
      <c r="B12" s="32" t="s">
        <v>172</v>
      </c>
      <c r="C12" s="34">
        <f t="shared" ref="C12:J12" si="11">SUBTOTAL(9,C10:C11)</f>
        <v>1359</v>
      </c>
      <c r="D12" s="34">
        <f t="shared" si="11"/>
        <v>1361</v>
      </c>
      <c r="E12" s="24">
        <f t="shared" si="11"/>
        <v>45</v>
      </c>
      <c r="F12" s="24">
        <f t="shared" si="11"/>
        <v>-58</v>
      </c>
      <c r="G12" s="24">
        <f t="shared" si="11"/>
        <v>-60</v>
      </c>
      <c r="H12" s="24">
        <f t="shared" si="11"/>
        <v>0</v>
      </c>
      <c r="I12" s="24">
        <f t="shared" si="11"/>
        <v>18</v>
      </c>
      <c r="J12" s="24">
        <f t="shared" si="11"/>
        <v>-15</v>
      </c>
      <c r="K12" s="24">
        <f>SUM(E12:J12)</f>
        <v>-70</v>
      </c>
      <c r="L12" s="34">
        <f t="shared" ref="L12" si="12">N12-D12</f>
        <v>-72</v>
      </c>
      <c r="M12" s="34">
        <f t="shared" ref="M12" si="13">N12-C12</f>
        <v>-70</v>
      </c>
      <c r="N12" s="34">
        <f>SUBTOTAL(9,N10:N11)</f>
        <v>1289</v>
      </c>
      <c r="O12" s="34">
        <f>SUBTOTAL(9,O10:O11)</f>
        <v>4420</v>
      </c>
      <c r="P12" s="34">
        <f>SUBTOTAL(9,P10:P11)</f>
        <v>-3105</v>
      </c>
      <c r="Q12" s="34">
        <f>SUBTOTAL(9,Q10:Q11)</f>
        <v>1316</v>
      </c>
      <c r="R12" s="34">
        <f>SUBTOTAL(9,R10:R11)</f>
        <v>1289</v>
      </c>
      <c r="S12" s="34">
        <f>Q12-R12</f>
        <v>27</v>
      </c>
      <c r="T12" s="38">
        <f>IFERROR((Q12/N12)*100%,"∞")</f>
        <v>1.0209464701318851</v>
      </c>
      <c r="U12" s="59">
        <f>N12+V12</f>
        <v>1423</v>
      </c>
      <c r="V12" s="34">
        <f>SUBTOTAL(9,V10:V11)</f>
        <v>134</v>
      </c>
      <c r="W12" s="34">
        <f>SUBTOTAL(9,W10:W11)</f>
        <v>134</v>
      </c>
      <c r="X12" s="34"/>
      <c r="Y12" s="34"/>
      <c r="Z12" s="41"/>
      <c r="AA12" s="60"/>
      <c r="AB12" s="641">
        <f t="shared" ref="AB12:AC12" si="14">SUBTOTAL(9,AB10:AB11)</f>
        <v>0</v>
      </c>
      <c r="AC12" s="641">
        <f t="shared" si="14"/>
        <v>0</v>
      </c>
      <c r="AD12" s="34"/>
      <c r="AE12" s="34"/>
      <c r="AF12" s="103"/>
      <c r="AH12" s="19"/>
    </row>
    <row r="13" spans="2:34" ht="13" hidden="1" outlineLevel="2" x14ac:dyDescent="0.3">
      <c r="B13" s="31" t="s">
        <v>46</v>
      </c>
      <c r="C13" s="33">
        <v>1088</v>
      </c>
      <c r="D13" s="33">
        <v>1315</v>
      </c>
      <c r="E13" s="23">
        <v>261</v>
      </c>
      <c r="F13" s="23">
        <v>45</v>
      </c>
      <c r="G13" s="23">
        <v>-7</v>
      </c>
      <c r="H13" s="23">
        <v>0</v>
      </c>
      <c r="I13" s="23">
        <v>-26</v>
      </c>
      <c r="J13" s="23">
        <v>0</v>
      </c>
      <c r="K13" s="23">
        <f t="shared" si="0"/>
        <v>273</v>
      </c>
      <c r="L13" s="33">
        <f t="shared" si="1"/>
        <v>45</v>
      </c>
      <c r="M13" s="33">
        <f t="shared" si="2"/>
        <v>272</v>
      </c>
      <c r="N13" s="33">
        <v>1360</v>
      </c>
      <c r="O13" s="33">
        <v>1512</v>
      </c>
      <c r="P13" s="33">
        <v>-137</v>
      </c>
      <c r="Q13" s="33">
        <v>1374</v>
      </c>
      <c r="R13" s="33">
        <v>1360</v>
      </c>
      <c r="S13" s="33">
        <f t="shared" si="3"/>
        <v>14</v>
      </c>
      <c r="T13" s="38">
        <f t="shared" si="4"/>
        <v>1.0102941176470588</v>
      </c>
      <c r="U13" s="59">
        <f t="shared" si="5"/>
        <v>1483</v>
      </c>
      <c r="V13" s="33">
        <v>123</v>
      </c>
      <c r="W13" s="33">
        <v>123</v>
      </c>
      <c r="X13" s="33"/>
      <c r="Y13" s="33"/>
      <c r="Z13" s="42"/>
      <c r="AA13" s="60"/>
      <c r="AB13" s="662">
        <v>28</v>
      </c>
      <c r="AC13" s="580"/>
      <c r="AD13" s="33">
        <f t="shared" si="6"/>
        <v>28</v>
      </c>
      <c r="AE13" s="33">
        <f t="shared" si="7"/>
        <v>1402</v>
      </c>
      <c r="AF13" s="101">
        <f t="shared" si="8"/>
        <v>42</v>
      </c>
      <c r="AH13" s="19"/>
    </row>
    <row r="14" spans="2:34" ht="13" hidden="1" outlineLevel="2" x14ac:dyDescent="0.3">
      <c r="B14" s="31" t="s">
        <v>173</v>
      </c>
      <c r="C14" s="33">
        <v>0</v>
      </c>
      <c r="D14" s="33">
        <v>0</v>
      </c>
      <c r="E14" s="23">
        <v>0</v>
      </c>
      <c r="F14" s="23">
        <v>0</v>
      </c>
      <c r="G14" s="23">
        <v>0</v>
      </c>
      <c r="H14" s="23">
        <v>0</v>
      </c>
      <c r="I14" s="23">
        <v>0</v>
      </c>
      <c r="J14" s="23">
        <v>0</v>
      </c>
      <c r="K14" s="23">
        <f t="shared" si="0"/>
        <v>0</v>
      </c>
      <c r="L14" s="33">
        <f t="shared" si="1"/>
        <v>0</v>
      </c>
      <c r="M14" s="33">
        <f t="shared" si="2"/>
        <v>0</v>
      </c>
      <c r="N14" s="33">
        <v>0</v>
      </c>
      <c r="O14" s="33">
        <v>0</v>
      </c>
      <c r="P14" s="33">
        <v>0</v>
      </c>
      <c r="Q14" s="33">
        <v>0</v>
      </c>
      <c r="R14" s="33">
        <v>0</v>
      </c>
      <c r="S14" s="33">
        <f t="shared" si="3"/>
        <v>0</v>
      </c>
      <c r="T14" s="38" t="str">
        <f t="shared" si="4"/>
        <v>∞</v>
      </c>
      <c r="U14" s="59">
        <f t="shared" si="5"/>
        <v>0</v>
      </c>
      <c r="V14" s="33">
        <v>0</v>
      </c>
      <c r="W14" s="33">
        <v>0</v>
      </c>
      <c r="X14" s="33"/>
      <c r="Y14" s="33"/>
      <c r="Z14" s="42"/>
      <c r="AA14" s="60"/>
      <c r="AB14" s="662"/>
      <c r="AC14" s="580"/>
      <c r="AD14" s="33">
        <f t="shared" si="6"/>
        <v>0</v>
      </c>
      <c r="AE14" s="33">
        <f t="shared" si="7"/>
        <v>0</v>
      </c>
      <c r="AF14" s="101">
        <f t="shared" si="8"/>
        <v>0</v>
      </c>
      <c r="AH14" s="19"/>
    </row>
    <row r="15" spans="2:34" ht="13" hidden="1" outlineLevel="2" x14ac:dyDescent="0.3">
      <c r="B15" s="31" t="s">
        <v>47</v>
      </c>
      <c r="C15" s="33">
        <v>185</v>
      </c>
      <c r="D15" s="33">
        <v>181</v>
      </c>
      <c r="E15" s="23">
        <v>0</v>
      </c>
      <c r="F15" s="23">
        <v>2</v>
      </c>
      <c r="G15" s="23">
        <v>-4</v>
      </c>
      <c r="H15" s="23">
        <v>0</v>
      </c>
      <c r="I15" s="23">
        <v>0</v>
      </c>
      <c r="J15" s="23">
        <v>0</v>
      </c>
      <c r="K15" s="23">
        <f t="shared" si="0"/>
        <v>-2</v>
      </c>
      <c r="L15" s="33">
        <f t="shared" si="1"/>
        <v>3</v>
      </c>
      <c r="M15" s="33">
        <f t="shared" si="2"/>
        <v>-1</v>
      </c>
      <c r="N15" s="33">
        <v>184</v>
      </c>
      <c r="O15" s="33">
        <v>297</v>
      </c>
      <c r="P15" s="33">
        <v>-141</v>
      </c>
      <c r="Q15" s="33">
        <v>156</v>
      </c>
      <c r="R15" s="33">
        <v>184</v>
      </c>
      <c r="S15" s="33">
        <f t="shared" si="3"/>
        <v>-28</v>
      </c>
      <c r="T15" s="38">
        <f t="shared" si="4"/>
        <v>0.84782608695652173</v>
      </c>
      <c r="U15" s="59">
        <f t="shared" si="5"/>
        <v>206</v>
      </c>
      <c r="V15" s="33">
        <v>22</v>
      </c>
      <c r="W15" s="33">
        <v>22</v>
      </c>
      <c r="X15" s="33"/>
      <c r="Y15" s="33"/>
      <c r="Z15" s="42"/>
      <c r="AA15" s="60"/>
      <c r="AB15" s="662"/>
      <c r="AC15" s="580"/>
      <c r="AD15" s="33">
        <f t="shared" si="6"/>
        <v>0</v>
      </c>
      <c r="AE15" s="33">
        <f t="shared" si="7"/>
        <v>156</v>
      </c>
      <c r="AF15" s="101">
        <f t="shared" si="8"/>
        <v>-28</v>
      </c>
      <c r="AH15" s="19"/>
    </row>
    <row r="16" spans="2:34" ht="13" hidden="1" outlineLevel="2" x14ac:dyDescent="0.3">
      <c r="B16" s="31" t="s">
        <v>48</v>
      </c>
      <c r="C16" s="33">
        <v>365</v>
      </c>
      <c r="D16" s="33">
        <v>362</v>
      </c>
      <c r="E16" s="23">
        <v>0</v>
      </c>
      <c r="F16" s="23">
        <v>0</v>
      </c>
      <c r="G16" s="23">
        <v>-2</v>
      </c>
      <c r="H16" s="23">
        <v>0</v>
      </c>
      <c r="I16" s="23">
        <v>0</v>
      </c>
      <c r="J16" s="23">
        <v>0</v>
      </c>
      <c r="K16" s="23">
        <f t="shared" si="0"/>
        <v>-2</v>
      </c>
      <c r="L16" s="33">
        <f t="shared" si="1"/>
        <v>0</v>
      </c>
      <c r="M16" s="33">
        <f t="shared" si="2"/>
        <v>-3</v>
      </c>
      <c r="N16" s="33">
        <v>362</v>
      </c>
      <c r="O16" s="33">
        <v>386</v>
      </c>
      <c r="P16" s="33">
        <v>-44</v>
      </c>
      <c r="Q16" s="33">
        <v>342</v>
      </c>
      <c r="R16" s="33">
        <v>362</v>
      </c>
      <c r="S16" s="33">
        <f t="shared" si="3"/>
        <v>-20</v>
      </c>
      <c r="T16" s="38">
        <f t="shared" si="4"/>
        <v>0.94475138121546964</v>
      </c>
      <c r="U16" s="59">
        <f t="shared" si="5"/>
        <v>338</v>
      </c>
      <c r="V16" s="33">
        <v>-24</v>
      </c>
      <c r="W16" s="33">
        <v>-24</v>
      </c>
      <c r="X16" s="33"/>
      <c r="Y16" s="33"/>
      <c r="Z16" s="42"/>
      <c r="AA16" s="60"/>
      <c r="AB16" s="662"/>
      <c r="AC16" s="580"/>
      <c r="AD16" s="33">
        <f t="shared" si="6"/>
        <v>0</v>
      </c>
      <c r="AE16" s="33">
        <f t="shared" si="7"/>
        <v>342</v>
      </c>
      <c r="AF16" s="101">
        <f t="shared" si="8"/>
        <v>-20</v>
      </c>
      <c r="AH16" s="19"/>
    </row>
    <row r="17" spans="2:34" ht="13" hidden="1" outlineLevel="2" x14ac:dyDescent="0.3">
      <c r="B17" s="31" t="s">
        <v>49</v>
      </c>
      <c r="C17" s="33">
        <v>519</v>
      </c>
      <c r="D17" s="33">
        <v>502</v>
      </c>
      <c r="E17" s="23">
        <v>-14</v>
      </c>
      <c r="F17" s="23">
        <v>0</v>
      </c>
      <c r="G17" s="23">
        <v>-3</v>
      </c>
      <c r="H17" s="23">
        <v>0</v>
      </c>
      <c r="I17" s="23">
        <v>0</v>
      </c>
      <c r="J17" s="23">
        <v>0</v>
      </c>
      <c r="K17" s="23">
        <f t="shared" si="0"/>
        <v>-17</v>
      </c>
      <c r="L17" s="33">
        <f t="shared" si="1"/>
        <v>0</v>
      </c>
      <c r="M17" s="33">
        <f t="shared" si="2"/>
        <v>-17</v>
      </c>
      <c r="N17" s="33">
        <v>502</v>
      </c>
      <c r="O17" s="33">
        <v>805</v>
      </c>
      <c r="P17" s="33">
        <v>-341</v>
      </c>
      <c r="Q17" s="33">
        <v>464</v>
      </c>
      <c r="R17" s="33">
        <v>502</v>
      </c>
      <c r="S17" s="33">
        <f t="shared" si="3"/>
        <v>-38</v>
      </c>
      <c r="T17" s="38">
        <f t="shared" si="4"/>
        <v>0.92430278884462147</v>
      </c>
      <c r="U17" s="59">
        <f t="shared" si="5"/>
        <v>460</v>
      </c>
      <c r="V17" s="33">
        <v>-42</v>
      </c>
      <c r="W17" s="33">
        <v>-42</v>
      </c>
      <c r="X17" s="33"/>
      <c r="Y17" s="33"/>
      <c r="Z17" s="42"/>
      <c r="AA17" s="60"/>
      <c r="AB17" s="662">
        <v>50</v>
      </c>
      <c r="AC17" s="580"/>
      <c r="AD17" s="33">
        <f t="shared" si="6"/>
        <v>50</v>
      </c>
      <c r="AE17" s="33">
        <f t="shared" si="7"/>
        <v>514</v>
      </c>
      <c r="AF17" s="101">
        <f t="shared" si="8"/>
        <v>12</v>
      </c>
      <c r="AH17" s="19"/>
    </row>
    <row r="18" spans="2:34" ht="13" hidden="1" outlineLevel="2" x14ac:dyDescent="0.3">
      <c r="B18" s="31" t="s">
        <v>50</v>
      </c>
      <c r="C18" s="33">
        <v>389</v>
      </c>
      <c r="D18" s="33">
        <v>386</v>
      </c>
      <c r="E18" s="23">
        <v>0</v>
      </c>
      <c r="F18" s="23">
        <v>0</v>
      </c>
      <c r="G18" s="23">
        <v>-3</v>
      </c>
      <c r="H18" s="23">
        <v>0</v>
      </c>
      <c r="I18" s="23">
        <v>0</v>
      </c>
      <c r="J18" s="23">
        <v>-30</v>
      </c>
      <c r="K18" s="23">
        <f t="shared" si="0"/>
        <v>-33</v>
      </c>
      <c r="L18" s="33">
        <f t="shared" si="1"/>
        <v>-30</v>
      </c>
      <c r="M18" s="33">
        <f t="shared" si="2"/>
        <v>-33</v>
      </c>
      <c r="N18" s="33">
        <v>356</v>
      </c>
      <c r="O18" s="33">
        <v>400</v>
      </c>
      <c r="P18" s="33">
        <v>-80</v>
      </c>
      <c r="Q18" s="33">
        <v>320</v>
      </c>
      <c r="R18" s="33">
        <v>356</v>
      </c>
      <c r="S18" s="33">
        <f t="shared" si="3"/>
        <v>-36</v>
      </c>
      <c r="T18" s="38">
        <f t="shared" si="4"/>
        <v>0.898876404494382</v>
      </c>
      <c r="U18" s="59">
        <f t="shared" si="5"/>
        <v>370</v>
      </c>
      <c r="V18" s="33">
        <v>14</v>
      </c>
      <c r="W18" s="33">
        <v>14</v>
      </c>
      <c r="X18" s="33"/>
      <c r="Y18" s="33"/>
      <c r="Z18" s="42"/>
      <c r="AA18" s="60"/>
      <c r="AB18" s="662"/>
      <c r="AC18" s="580"/>
      <c r="AD18" s="33">
        <f t="shared" si="6"/>
        <v>0</v>
      </c>
      <c r="AE18" s="33">
        <f t="shared" si="7"/>
        <v>320</v>
      </c>
      <c r="AF18" s="101">
        <f t="shared" si="8"/>
        <v>-36</v>
      </c>
      <c r="AH18" s="19"/>
    </row>
    <row r="19" spans="2:34" ht="13" hidden="1" outlineLevel="2" x14ac:dyDescent="0.3">
      <c r="B19" s="31" t="s">
        <v>51</v>
      </c>
      <c r="C19" s="33">
        <v>1303</v>
      </c>
      <c r="D19" s="33">
        <v>1270</v>
      </c>
      <c r="E19" s="23">
        <v>-15</v>
      </c>
      <c r="F19" s="23">
        <v>0</v>
      </c>
      <c r="G19" s="23">
        <v>-17</v>
      </c>
      <c r="H19" s="23">
        <v>0</v>
      </c>
      <c r="I19" s="23">
        <v>0</v>
      </c>
      <c r="J19" s="23">
        <v>0</v>
      </c>
      <c r="K19" s="23">
        <f t="shared" si="0"/>
        <v>-32</v>
      </c>
      <c r="L19" s="33">
        <f t="shared" si="1"/>
        <v>0</v>
      </c>
      <c r="M19" s="33">
        <f t="shared" si="2"/>
        <v>-33</v>
      </c>
      <c r="N19" s="33">
        <v>1270</v>
      </c>
      <c r="O19" s="33">
        <v>1614</v>
      </c>
      <c r="P19" s="33">
        <v>-647</v>
      </c>
      <c r="Q19" s="33">
        <v>968</v>
      </c>
      <c r="R19" s="33">
        <v>1270</v>
      </c>
      <c r="S19" s="33">
        <f t="shared" si="3"/>
        <v>-302</v>
      </c>
      <c r="T19" s="38">
        <f t="shared" si="4"/>
        <v>0.76220472440944886</v>
      </c>
      <c r="U19" s="59">
        <f t="shared" si="5"/>
        <v>1029</v>
      </c>
      <c r="V19" s="33">
        <v>-241</v>
      </c>
      <c r="W19" s="33">
        <v>-241</v>
      </c>
      <c r="X19" s="33"/>
      <c r="Y19" s="33"/>
      <c r="Z19" s="42"/>
      <c r="AA19" s="60"/>
      <c r="AB19" s="662">
        <v>17</v>
      </c>
      <c r="AC19" s="580"/>
      <c r="AD19" s="33">
        <f t="shared" si="6"/>
        <v>17</v>
      </c>
      <c r="AE19" s="33">
        <f t="shared" si="7"/>
        <v>985</v>
      </c>
      <c r="AF19" s="101">
        <f t="shared" si="8"/>
        <v>-285</v>
      </c>
      <c r="AH19" s="19"/>
    </row>
    <row r="20" spans="2:34" ht="13" hidden="1" outlineLevel="2" x14ac:dyDescent="0.3">
      <c r="B20" s="31" t="s">
        <v>52</v>
      </c>
      <c r="C20" s="33">
        <v>516</v>
      </c>
      <c r="D20" s="33">
        <v>532</v>
      </c>
      <c r="E20" s="23">
        <v>0</v>
      </c>
      <c r="F20" s="23">
        <v>0</v>
      </c>
      <c r="G20" s="23">
        <v>-7</v>
      </c>
      <c r="H20" s="23">
        <v>0</v>
      </c>
      <c r="I20" s="23">
        <v>22</v>
      </c>
      <c r="J20" s="23">
        <v>0</v>
      </c>
      <c r="K20" s="23">
        <f t="shared" si="0"/>
        <v>15</v>
      </c>
      <c r="L20" s="33">
        <f t="shared" si="1"/>
        <v>0</v>
      </c>
      <c r="M20" s="33">
        <f t="shared" si="2"/>
        <v>16</v>
      </c>
      <c r="N20" s="33">
        <v>532</v>
      </c>
      <c r="O20" s="33">
        <v>995</v>
      </c>
      <c r="P20" s="33">
        <v>-617</v>
      </c>
      <c r="Q20" s="33">
        <v>379</v>
      </c>
      <c r="R20" s="33">
        <v>532</v>
      </c>
      <c r="S20" s="33">
        <f t="shared" si="3"/>
        <v>-153</v>
      </c>
      <c r="T20" s="38">
        <f t="shared" si="4"/>
        <v>0.71240601503759393</v>
      </c>
      <c r="U20" s="59">
        <f t="shared" si="5"/>
        <v>420</v>
      </c>
      <c r="V20" s="33">
        <v>-112</v>
      </c>
      <c r="W20" s="33">
        <v>-112</v>
      </c>
      <c r="X20" s="33"/>
      <c r="Y20" s="33"/>
      <c r="Z20" s="42"/>
      <c r="AA20" s="60"/>
      <c r="AB20" s="662">
        <f>65-52</f>
        <v>13</v>
      </c>
      <c r="AC20" s="580"/>
      <c r="AD20" s="33">
        <f t="shared" si="6"/>
        <v>13</v>
      </c>
      <c r="AE20" s="33">
        <f t="shared" si="7"/>
        <v>392</v>
      </c>
      <c r="AF20" s="101">
        <f t="shared" si="8"/>
        <v>-140</v>
      </c>
      <c r="AH20" s="19"/>
    </row>
    <row r="21" spans="2:34" ht="13" hidden="1" outlineLevel="2" x14ac:dyDescent="0.3">
      <c r="B21" s="31" t="s">
        <v>53</v>
      </c>
      <c r="C21" s="33">
        <v>1456</v>
      </c>
      <c r="D21" s="33">
        <v>1481</v>
      </c>
      <c r="E21" s="23">
        <v>0</v>
      </c>
      <c r="F21" s="23">
        <v>-57</v>
      </c>
      <c r="G21" s="23">
        <v>-2</v>
      </c>
      <c r="H21" s="23">
        <v>0</v>
      </c>
      <c r="I21" s="23">
        <v>27</v>
      </c>
      <c r="J21" s="23">
        <v>-15</v>
      </c>
      <c r="K21" s="23">
        <f t="shared" si="0"/>
        <v>-47</v>
      </c>
      <c r="L21" s="33">
        <f t="shared" si="1"/>
        <v>-72</v>
      </c>
      <c r="M21" s="33">
        <f t="shared" si="2"/>
        <v>-47</v>
      </c>
      <c r="N21" s="33">
        <v>1409</v>
      </c>
      <c r="O21" s="33">
        <v>1299</v>
      </c>
      <c r="P21" s="33">
        <v>-104</v>
      </c>
      <c r="Q21" s="33">
        <v>1195</v>
      </c>
      <c r="R21" s="33">
        <v>1409</v>
      </c>
      <c r="S21" s="33">
        <f t="shared" si="3"/>
        <v>-214</v>
      </c>
      <c r="T21" s="38">
        <f t="shared" si="4"/>
        <v>0.84811923349893537</v>
      </c>
      <c r="U21" s="59">
        <f t="shared" si="5"/>
        <v>1259</v>
      </c>
      <c r="V21" s="33">
        <v>-150</v>
      </c>
      <c r="W21" s="33">
        <v>-150</v>
      </c>
      <c r="X21" s="33"/>
      <c r="Y21" s="33"/>
      <c r="Z21" s="42"/>
      <c r="AA21" s="60"/>
      <c r="AB21" s="662">
        <v>98</v>
      </c>
      <c r="AC21" s="580"/>
      <c r="AD21" s="33">
        <f t="shared" si="6"/>
        <v>98</v>
      </c>
      <c r="AE21" s="33">
        <f t="shared" si="7"/>
        <v>1293</v>
      </c>
      <c r="AF21" s="101">
        <f t="shared" si="8"/>
        <v>-116</v>
      </c>
      <c r="AH21" s="19"/>
    </row>
    <row r="22" spans="2:34" ht="13" hidden="1" outlineLevel="2" x14ac:dyDescent="0.3">
      <c r="B22" s="31" t="s">
        <v>54</v>
      </c>
      <c r="C22" s="33">
        <v>0</v>
      </c>
      <c r="D22" s="33">
        <v>-13</v>
      </c>
      <c r="E22" s="23">
        <v>0</v>
      </c>
      <c r="F22" s="23">
        <v>0</v>
      </c>
      <c r="G22" s="23">
        <v>-13</v>
      </c>
      <c r="H22" s="23">
        <v>0</v>
      </c>
      <c r="I22" s="23">
        <v>0</v>
      </c>
      <c r="J22" s="23">
        <v>0</v>
      </c>
      <c r="K22" s="23">
        <f t="shared" si="0"/>
        <v>-13</v>
      </c>
      <c r="L22" s="33">
        <f t="shared" si="1"/>
        <v>0</v>
      </c>
      <c r="M22" s="33">
        <f t="shared" si="2"/>
        <v>-13</v>
      </c>
      <c r="N22" s="33">
        <v>-13</v>
      </c>
      <c r="O22" s="33">
        <v>1461</v>
      </c>
      <c r="P22" s="33">
        <v>-1451</v>
      </c>
      <c r="Q22" s="33">
        <v>10</v>
      </c>
      <c r="R22" s="33">
        <v>-13</v>
      </c>
      <c r="S22" s="33">
        <f t="shared" si="3"/>
        <v>23</v>
      </c>
      <c r="T22" s="38">
        <f t="shared" si="4"/>
        <v>-0.76923076923076927</v>
      </c>
      <c r="U22" s="59">
        <f t="shared" si="5"/>
        <v>9</v>
      </c>
      <c r="V22" s="33">
        <v>22</v>
      </c>
      <c r="W22" s="33">
        <v>22</v>
      </c>
      <c r="X22" s="33"/>
      <c r="Y22" s="33"/>
      <c r="Z22" s="42"/>
      <c r="AA22" s="60"/>
      <c r="AB22" s="662"/>
      <c r="AC22" s="580"/>
      <c r="AD22" s="33">
        <f t="shared" si="6"/>
        <v>0</v>
      </c>
      <c r="AE22" s="33">
        <f t="shared" si="7"/>
        <v>10</v>
      </c>
      <c r="AF22" s="101">
        <f t="shared" si="8"/>
        <v>23</v>
      </c>
      <c r="AH22" s="19"/>
    </row>
    <row r="23" spans="2:34" ht="13" outlineLevel="1" collapsed="1" x14ac:dyDescent="0.3">
      <c r="B23" s="32" t="s">
        <v>55</v>
      </c>
      <c r="C23" s="34">
        <f t="shared" ref="C23:J23" si="15">SUBTOTAL(9,C13:C22)</f>
        <v>5821</v>
      </c>
      <c r="D23" s="34">
        <f t="shared" si="15"/>
        <v>6016</v>
      </c>
      <c r="E23" s="24">
        <f t="shared" si="15"/>
        <v>232</v>
      </c>
      <c r="F23" s="24">
        <f t="shared" si="15"/>
        <v>-10</v>
      </c>
      <c r="G23" s="24">
        <f t="shared" si="15"/>
        <v>-58</v>
      </c>
      <c r="H23" s="24">
        <f t="shared" si="15"/>
        <v>0</v>
      </c>
      <c r="I23" s="24">
        <f t="shared" si="15"/>
        <v>23</v>
      </c>
      <c r="J23" s="24">
        <f t="shared" si="15"/>
        <v>-45</v>
      </c>
      <c r="K23" s="24">
        <f>SUM(E23:J23)</f>
        <v>142</v>
      </c>
      <c r="L23" s="34">
        <f t="shared" ref="L23:L24" si="16">N23-D23</f>
        <v>-54</v>
      </c>
      <c r="M23" s="34">
        <f t="shared" ref="M23:M24" si="17">N23-C23</f>
        <v>141</v>
      </c>
      <c r="N23" s="34">
        <f>SUBTOTAL(9,N13:N22)</f>
        <v>5962</v>
      </c>
      <c r="O23" s="34">
        <f>SUBTOTAL(9,O13:O22)</f>
        <v>8769</v>
      </c>
      <c r="P23" s="34">
        <f>SUBTOTAL(9,P13:P22)</f>
        <v>-3562</v>
      </c>
      <c r="Q23" s="34">
        <f>SUBTOTAL(9,Q13:Q22)</f>
        <v>5208</v>
      </c>
      <c r="R23" s="34">
        <f>SUBTOTAL(9,R13:R22)</f>
        <v>5962</v>
      </c>
      <c r="S23" s="34">
        <f>Q23-R23</f>
        <v>-754</v>
      </c>
      <c r="T23" s="38">
        <f>IFERROR((Q23/N23)*100%,"∞")</f>
        <v>0.8735323716873532</v>
      </c>
      <c r="U23" s="59">
        <f>N23+V23</f>
        <v>5574</v>
      </c>
      <c r="V23" s="34">
        <f>SUBTOTAL(9,V13:V22)</f>
        <v>-388</v>
      </c>
      <c r="W23" s="34">
        <f>SUBTOTAL(9,W13:W22)</f>
        <v>-388</v>
      </c>
      <c r="X23" s="34"/>
      <c r="Y23" s="34"/>
      <c r="Z23" s="41"/>
      <c r="AA23" s="60"/>
      <c r="AB23" s="641">
        <f t="shared" ref="AB23:AC23" si="18">SUBTOTAL(9,AB13:AB22)</f>
        <v>206</v>
      </c>
      <c r="AC23" s="641">
        <f t="shared" si="18"/>
        <v>0</v>
      </c>
      <c r="AD23" s="34"/>
      <c r="AE23" s="34"/>
      <c r="AF23" s="103"/>
      <c r="AH23" s="19"/>
    </row>
    <row r="24" spans="2:34" ht="13.5" customHeight="1" thickBot="1" x14ac:dyDescent="0.35">
      <c r="B24" s="53" t="s">
        <v>56</v>
      </c>
      <c r="C24" s="35">
        <f t="shared" ref="C24:J24" si="19">SUBTOTAL(9,C5:C23)</f>
        <v>11738</v>
      </c>
      <c r="D24" s="35">
        <f t="shared" si="19"/>
        <v>10044</v>
      </c>
      <c r="E24" s="25">
        <f t="shared" si="19"/>
        <v>-2485</v>
      </c>
      <c r="F24" s="25">
        <f t="shared" si="19"/>
        <v>1462</v>
      </c>
      <c r="G24" s="25">
        <f t="shared" si="19"/>
        <v>-194</v>
      </c>
      <c r="H24" s="25">
        <f t="shared" si="19"/>
        <v>17</v>
      </c>
      <c r="I24" s="25">
        <f t="shared" si="19"/>
        <v>988</v>
      </c>
      <c r="J24" s="25">
        <f t="shared" si="19"/>
        <v>-75</v>
      </c>
      <c r="K24" s="25">
        <f>SUM(E24:J24)</f>
        <v>-287</v>
      </c>
      <c r="L24" s="35">
        <f t="shared" si="16"/>
        <v>1389</v>
      </c>
      <c r="M24" s="35">
        <f t="shared" si="17"/>
        <v>-305</v>
      </c>
      <c r="N24" s="35">
        <f>SUBTOTAL(9,N5:N23)</f>
        <v>11433</v>
      </c>
      <c r="O24" s="35">
        <f>SUBTOTAL(9,O5:O23)</f>
        <v>25353</v>
      </c>
      <c r="P24" s="35">
        <f>SUBTOTAL(9,P5:P23)</f>
        <v>-15236</v>
      </c>
      <c r="Q24" s="35">
        <f>SUBTOTAL(9,Q5:Q23)</f>
        <v>10120</v>
      </c>
      <c r="R24" s="35">
        <f>SUBTOTAL(9,R5:R23)</f>
        <v>11433</v>
      </c>
      <c r="S24" s="35">
        <f>Q24-R24</f>
        <v>-1313</v>
      </c>
      <c r="T24" s="39">
        <f>IFERROR((Q24/N24)*100%,"∞")</f>
        <v>0.88515700166185607</v>
      </c>
      <c r="U24" s="54">
        <f>N24+V24</f>
        <v>10709</v>
      </c>
      <c r="V24" s="35">
        <f>SUBTOTAL(9,V5:V23)</f>
        <v>-724</v>
      </c>
      <c r="W24" s="35">
        <f>SUBTOTAL(9,W5:W23)</f>
        <v>-724</v>
      </c>
      <c r="X24" s="35"/>
      <c r="Y24" s="35"/>
      <c r="Z24" s="43"/>
      <c r="AA24" s="60"/>
      <c r="AB24" s="664">
        <f t="shared" ref="AB24:AC24" si="20">SUBTOTAL(9,AB5:AB23)</f>
        <v>206</v>
      </c>
      <c r="AC24" s="664">
        <f t="shared" si="20"/>
        <v>0</v>
      </c>
      <c r="AD24" s="35">
        <f>SUM(AB24:AC24)</f>
        <v>206</v>
      </c>
      <c r="AE24" s="35">
        <f>Q24+AD24</f>
        <v>10326</v>
      </c>
      <c r="AF24" s="43">
        <f>AE24-N24</f>
        <v>-1107</v>
      </c>
      <c r="AH24" s="19">
        <f>AF24-V24</f>
        <v>-383</v>
      </c>
    </row>
    <row r="25" spans="2:34" ht="13.5" hidden="1" outlineLevel="2" thickTop="1" x14ac:dyDescent="0.3">
      <c r="B25" s="31" t="s">
        <v>57</v>
      </c>
      <c r="C25" s="33">
        <v>2381</v>
      </c>
      <c r="D25" s="33">
        <v>1420</v>
      </c>
      <c r="E25" s="23">
        <v>0</v>
      </c>
      <c r="F25" s="23">
        <v>100</v>
      </c>
      <c r="G25" s="23">
        <v>-26</v>
      </c>
      <c r="H25" s="23">
        <v>0</v>
      </c>
      <c r="I25" s="23">
        <v>-935</v>
      </c>
      <c r="J25" s="23">
        <v>0</v>
      </c>
      <c r="K25" s="23">
        <f t="shared" si="0"/>
        <v>-861</v>
      </c>
      <c r="L25" s="33">
        <f t="shared" si="1"/>
        <v>100</v>
      </c>
      <c r="M25" s="33">
        <f t="shared" si="2"/>
        <v>-861</v>
      </c>
      <c r="N25" s="33">
        <v>1520</v>
      </c>
      <c r="O25" s="33">
        <v>2593</v>
      </c>
      <c r="P25" s="33">
        <v>-1454</v>
      </c>
      <c r="Q25" s="33">
        <v>1138</v>
      </c>
      <c r="R25" s="33">
        <v>1520</v>
      </c>
      <c r="S25" s="33">
        <f t="shared" si="3"/>
        <v>-382</v>
      </c>
      <c r="T25" s="38">
        <f t="shared" si="4"/>
        <v>0.74868421052631584</v>
      </c>
      <c r="U25" s="59">
        <f t="shared" si="5"/>
        <v>1677</v>
      </c>
      <c r="V25" s="33">
        <v>157</v>
      </c>
      <c r="W25" s="33">
        <v>157</v>
      </c>
      <c r="X25" s="33"/>
      <c r="Y25" s="33"/>
      <c r="Z25" s="42"/>
      <c r="AA25" s="60"/>
      <c r="AB25" s="662"/>
      <c r="AC25" s="580"/>
      <c r="AD25" s="33">
        <f t="shared" si="6"/>
        <v>0</v>
      </c>
      <c r="AE25" s="33">
        <f t="shared" si="7"/>
        <v>1138</v>
      </c>
      <c r="AF25" s="101">
        <f t="shared" si="8"/>
        <v>-382</v>
      </c>
      <c r="AH25" s="19"/>
    </row>
    <row r="26" spans="2:34" ht="13" hidden="1" outlineLevel="2" x14ac:dyDescent="0.3">
      <c r="B26" s="31" t="s">
        <v>58</v>
      </c>
      <c r="C26" s="33">
        <v>-8277</v>
      </c>
      <c r="D26" s="33">
        <v>-8369</v>
      </c>
      <c r="E26" s="23">
        <v>-1</v>
      </c>
      <c r="F26" s="23">
        <v>0</v>
      </c>
      <c r="G26" s="23">
        <v>-20</v>
      </c>
      <c r="H26" s="23">
        <v>0</v>
      </c>
      <c r="I26" s="23">
        <v>-72</v>
      </c>
      <c r="J26" s="23">
        <v>-30</v>
      </c>
      <c r="K26" s="23">
        <f t="shared" si="0"/>
        <v>-123</v>
      </c>
      <c r="L26" s="33">
        <f t="shared" si="1"/>
        <v>-30</v>
      </c>
      <c r="M26" s="33">
        <f t="shared" si="2"/>
        <v>-122</v>
      </c>
      <c r="N26" s="33">
        <v>-8399</v>
      </c>
      <c r="O26" s="33">
        <v>2304</v>
      </c>
      <c r="P26" s="33">
        <v>-9773</v>
      </c>
      <c r="Q26" s="33">
        <v>-7469</v>
      </c>
      <c r="R26" s="33">
        <v>-8399</v>
      </c>
      <c r="S26" s="33">
        <f t="shared" si="3"/>
        <v>930</v>
      </c>
      <c r="T26" s="38">
        <f t="shared" si="4"/>
        <v>0.88927253244433857</v>
      </c>
      <c r="U26" s="59">
        <f t="shared" si="5"/>
        <v>-8399</v>
      </c>
      <c r="V26" s="33">
        <v>0</v>
      </c>
      <c r="W26" s="33">
        <v>0</v>
      </c>
      <c r="X26" s="33"/>
      <c r="Y26" s="33"/>
      <c r="Z26" s="42"/>
      <c r="AA26" s="60"/>
      <c r="AB26" s="662"/>
      <c r="AC26" s="580"/>
      <c r="AD26" s="33">
        <f t="shared" si="6"/>
        <v>0</v>
      </c>
      <c r="AE26" s="33">
        <f t="shared" si="7"/>
        <v>-7469</v>
      </c>
      <c r="AF26" s="101">
        <f t="shared" si="8"/>
        <v>930</v>
      </c>
      <c r="AH26" s="19"/>
    </row>
    <row r="27" spans="2:34" ht="13" hidden="1" outlineLevel="2" x14ac:dyDescent="0.3">
      <c r="B27" s="31" t="s">
        <v>59</v>
      </c>
      <c r="C27" s="33">
        <v>287</v>
      </c>
      <c r="D27" s="33">
        <v>207</v>
      </c>
      <c r="E27" s="23">
        <v>0</v>
      </c>
      <c r="F27" s="23">
        <v>0</v>
      </c>
      <c r="G27" s="23">
        <v>-2</v>
      </c>
      <c r="H27" s="23">
        <v>0</v>
      </c>
      <c r="I27" s="23">
        <v>-78</v>
      </c>
      <c r="J27" s="23">
        <v>0</v>
      </c>
      <c r="K27" s="23">
        <f t="shared" si="0"/>
        <v>-80</v>
      </c>
      <c r="L27" s="33">
        <f t="shared" si="1"/>
        <v>0</v>
      </c>
      <c r="M27" s="33">
        <f t="shared" si="2"/>
        <v>-80</v>
      </c>
      <c r="N27" s="33">
        <v>207</v>
      </c>
      <c r="O27" s="33">
        <v>131</v>
      </c>
      <c r="P27" s="33">
        <v>0</v>
      </c>
      <c r="Q27" s="33">
        <v>131</v>
      </c>
      <c r="R27" s="33">
        <v>207</v>
      </c>
      <c r="S27" s="33">
        <f t="shared" si="3"/>
        <v>-76</v>
      </c>
      <c r="T27" s="38">
        <f t="shared" si="4"/>
        <v>0.63285024154589375</v>
      </c>
      <c r="U27" s="59">
        <f t="shared" si="5"/>
        <v>207</v>
      </c>
      <c r="V27" s="33">
        <v>0</v>
      </c>
      <c r="W27" s="33">
        <v>0</v>
      </c>
      <c r="X27" s="33"/>
      <c r="Y27" s="33"/>
      <c r="Z27" s="42"/>
      <c r="AA27" s="60"/>
      <c r="AB27" s="662"/>
      <c r="AC27" s="580"/>
      <c r="AD27" s="33">
        <f t="shared" si="6"/>
        <v>0</v>
      </c>
      <c r="AE27" s="33">
        <f t="shared" si="7"/>
        <v>131</v>
      </c>
      <c r="AF27" s="101">
        <f t="shared" si="8"/>
        <v>-76</v>
      </c>
      <c r="AH27" s="19"/>
    </row>
    <row r="28" spans="2:34" ht="13" hidden="1" outlineLevel="2" x14ac:dyDescent="0.3">
      <c r="B28" s="31" t="s">
        <v>60</v>
      </c>
      <c r="C28" s="33">
        <v>0</v>
      </c>
      <c r="D28" s="33">
        <v>0</v>
      </c>
      <c r="E28" s="23">
        <v>0</v>
      </c>
      <c r="F28" s="23">
        <v>0</v>
      </c>
      <c r="G28" s="23">
        <v>0</v>
      </c>
      <c r="H28" s="23">
        <v>0</v>
      </c>
      <c r="I28" s="23">
        <v>0</v>
      </c>
      <c r="J28" s="23">
        <v>0</v>
      </c>
      <c r="K28" s="23">
        <f t="shared" si="0"/>
        <v>0</v>
      </c>
      <c r="L28" s="33">
        <f t="shared" si="1"/>
        <v>0</v>
      </c>
      <c r="M28" s="33">
        <f t="shared" si="2"/>
        <v>0</v>
      </c>
      <c r="N28" s="33">
        <v>0</v>
      </c>
      <c r="O28" s="33">
        <v>-1</v>
      </c>
      <c r="P28" s="33">
        <v>-11</v>
      </c>
      <c r="Q28" s="33">
        <v>-12</v>
      </c>
      <c r="R28" s="33">
        <v>0</v>
      </c>
      <c r="S28" s="33">
        <f t="shared" si="3"/>
        <v>-12</v>
      </c>
      <c r="T28" s="38" t="str">
        <f t="shared" si="4"/>
        <v>∞</v>
      </c>
      <c r="U28" s="59">
        <f t="shared" si="5"/>
        <v>0</v>
      </c>
      <c r="V28" s="33">
        <v>0</v>
      </c>
      <c r="W28" s="33">
        <v>0</v>
      </c>
      <c r="X28" s="33"/>
      <c r="Y28" s="33"/>
      <c r="Z28" s="42"/>
      <c r="AA28" s="60"/>
      <c r="AB28" s="662"/>
      <c r="AC28" s="580"/>
      <c r="AD28" s="33">
        <f t="shared" si="6"/>
        <v>0</v>
      </c>
      <c r="AE28" s="33">
        <f t="shared" si="7"/>
        <v>-12</v>
      </c>
      <c r="AF28" s="101">
        <f t="shared" si="8"/>
        <v>-12</v>
      </c>
      <c r="AH28" s="19"/>
    </row>
    <row r="29" spans="2:34" ht="13.5" outlineLevel="1" collapsed="1" thickTop="1" x14ac:dyDescent="0.3">
      <c r="B29" s="32" t="s">
        <v>61</v>
      </c>
      <c r="C29" s="34">
        <f t="shared" ref="C29:J29" si="21">SUBTOTAL(9,C25:C28)</f>
        <v>-5609</v>
      </c>
      <c r="D29" s="34">
        <f t="shared" si="21"/>
        <v>-6742</v>
      </c>
      <c r="E29" s="24">
        <f t="shared" si="21"/>
        <v>-1</v>
      </c>
      <c r="F29" s="24">
        <f t="shared" si="21"/>
        <v>100</v>
      </c>
      <c r="G29" s="24">
        <f t="shared" si="21"/>
        <v>-48</v>
      </c>
      <c r="H29" s="24">
        <f t="shared" si="21"/>
        <v>0</v>
      </c>
      <c r="I29" s="24">
        <f t="shared" si="21"/>
        <v>-1085</v>
      </c>
      <c r="J29" s="24">
        <f t="shared" si="21"/>
        <v>-30</v>
      </c>
      <c r="K29" s="24">
        <f>SUM(E29:J29)</f>
        <v>-1064</v>
      </c>
      <c r="L29" s="34">
        <f t="shared" ref="L29" si="22">N29-D29</f>
        <v>70</v>
      </c>
      <c r="M29" s="34">
        <f t="shared" ref="M29" si="23">N29-C29</f>
        <v>-1063</v>
      </c>
      <c r="N29" s="34">
        <f>SUBTOTAL(9,N25:N28)</f>
        <v>-6672</v>
      </c>
      <c r="O29" s="34">
        <f>SUBTOTAL(9,O25:O28)</f>
        <v>5027</v>
      </c>
      <c r="P29" s="34">
        <f>SUBTOTAL(9,P25:P28)</f>
        <v>-11238</v>
      </c>
      <c r="Q29" s="34">
        <f>SUBTOTAL(9,Q25:Q28)</f>
        <v>-6212</v>
      </c>
      <c r="R29" s="34">
        <f>SUBTOTAL(9,R25:R28)</f>
        <v>-6672</v>
      </c>
      <c r="S29" s="34">
        <f>Q29-R29</f>
        <v>460</v>
      </c>
      <c r="T29" s="38">
        <f>IFERROR((Q29/N29)*100%,"∞")</f>
        <v>0.93105515587529974</v>
      </c>
      <c r="U29" s="59">
        <f>N29+V29</f>
        <v>-6515</v>
      </c>
      <c r="V29" s="34">
        <f>SUBTOTAL(9,V25:V28)</f>
        <v>157</v>
      </c>
      <c r="W29" s="34">
        <f>SUBTOTAL(9,W25:W28)</f>
        <v>157</v>
      </c>
      <c r="X29" s="34"/>
      <c r="Y29" s="34"/>
      <c r="Z29" s="41"/>
      <c r="AA29" s="60"/>
      <c r="AB29" s="641">
        <f t="shared" ref="AB29:AC29" si="24">SUBTOTAL(9,AB25:AB28)</f>
        <v>0</v>
      </c>
      <c r="AC29" s="641">
        <f t="shared" si="24"/>
        <v>0</v>
      </c>
      <c r="AD29" s="34"/>
      <c r="AE29" s="34"/>
      <c r="AF29" s="103"/>
      <c r="AH29" s="19"/>
    </row>
    <row r="30" spans="2:34" ht="13" hidden="1" outlineLevel="2" x14ac:dyDescent="0.3">
      <c r="B30" s="31" t="s">
        <v>62</v>
      </c>
      <c r="C30" s="33">
        <v>251</v>
      </c>
      <c r="D30" s="33">
        <v>359</v>
      </c>
      <c r="E30" s="23">
        <v>11</v>
      </c>
      <c r="F30" s="23">
        <v>254</v>
      </c>
      <c r="G30" s="23">
        <v>19</v>
      </c>
      <c r="H30" s="23">
        <v>0</v>
      </c>
      <c r="I30" s="23">
        <v>79</v>
      </c>
      <c r="J30" s="23">
        <v>0</v>
      </c>
      <c r="K30" s="23">
        <f t="shared" si="0"/>
        <v>363</v>
      </c>
      <c r="L30" s="33">
        <f t="shared" si="1"/>
        <v>254</v>
      </c>
      <c r="M30" s="33">
        <f t="shared" si="2"/>
        <v>362</v>
      </c>
      <c r="N30" s="33">
        <v>613</v>
      </c>
      <c r="O30" s="33">
        <v>1114</v>
      </c>
      <c r="P30" s="33">
        <v>-471</v>
      </c>
      <c r="Q30" s="33">
        <v>643</v>
      </c>
      <c r="R30" s="33">
        <v>613</v>
      </c>
      <c r="S30" s="33">
        <f t="shared" si="3"/>
        <v>30</v>
      </c>
      <c r="T30" s="38">
        <f t="shared" si="4"/>
        <v>1.0489396411092986</v>
      </c>
      <c r="U30" s="59">
        <f t="shared" si="5"/>
        <v>613</v>
      </c>
      <c r="V30" s="33">
        <v>0</v>
      </c>
      <c r="W30" s="33">
        <v>0</v>
      </c>
      <c r="X30" s="33"/>
      <c r="Y30" s="33"/>
      <c r="Z30" s="42"/>
      <c r="AA30" s="60"/>
      <c r="AB30" s="662"/>
      <c r="AC30" s="580"/>
      <c r="AD30" s="33">
        <f t="shared" si="6"/>
        <v>0</v>
      </c>
      <c r="AE30" s="33">
        <f t="shared" si="7"/>
        <v>643</v>
      </c>
      <c r="AF30" s="101">
        <f t="shared" si="8"/>
        <v>30</v>
      </c>
      <c r="AH30" s="19"/>
    </row>
    <row r="31" spans="2:34" ht="13" hidden="1" outlineLevel="2" x14ac:dyDescent="0.3">
      <c r="B31" s="31" t="s">
        <v>63</v>
      </c>
      <c r="C31" s="33">
        <v>355</v>
      </c>
      <c r="D31" s="33">
        <v>396</v>
      </c>
      <c r="E31" s="23">
        <v>0</v>
      </c>
      <c r="F31" s="23">
        <v>0</v>
      </c>
      <c r="G31" s="23">
        <v>-16</v>
      </c>
      <c r="H31" s="23">
        <v>0</v>
      </c>
      <c r="I31" s="23">
        <v>57</v>
      </c>
      <c r="J31" s="23">
        <v>0</v>
      </c>
      <c r="K31" s="23">
        <f t="shared" si="0"/>
        <v>41</v>
      </c>
      <c r="L31" s="33">
        <f t="shared" si="1"/>
        <v>0</v>
      </c>
      <c r="M31" s="33">
        <f t="shared" si="2"/>
        <v>41</v>
      </c>
      <c r="N31" s="33">
        <v>396</v>
      </c>
      <c r="O31" s="33">
        <v>377</v>
      </c>
      <c r="P31" s="33">
        <v>-9</v>
      </c>
      <c r="Q31" s="33">
        <v>367</v>
      </c>
      <c r="R31" s="33">
        <v>396</v>
      </c>
      <c r="S31" s="33">
        <f t="shared" si="3"/>
        <v>-29</v>
      </c>
      <c r="T31" s="38">
        <f t="shared" si="4"/>
        <v>0.9267676767676768</v>
      </c>
      <c r="U31" s="59">
        <f t="shared" si="5"/>
        <v>396</v>
      </c>
      <c r="V31" s="33">
        <v>0</v>
      </c>
      <c r="W31" s="33">
        <v>0</v>
      </c>
      <c r="X31" s="33"/>
      <c r="Y31" s="33"/>
      <c r="Z31" s="42"/>
      <c r="AA31" s="60"/>
      <c r="AB31" s="662"/>
      <c r="AC31" s="580"/>
      <c r="AD31" s="33">
        <f t="shared" si="6"/>
        <v>0</v>
      </c>
      <c r="AE31" s="33">
        <f t="shared" si="7"/>
        <v>367</v>
      </c>
      <c r="AF31" s="101">
        <f t="shared" si="8"/>
        <v>-29</v>
      </c>
      <c r="AH31" s="19"/>
    </row>
    <row r="32" spans="2:34" ht="13" outlineLevel="1" collapsed="1" x14ac:dyDescent="0.3">
      <c r="B32" s="32" t="s">
        <v>65</v>
      </c>
      <c r="C32" s="34">
        <f t="shared" ref="C32:J32" si="25">SUBTOTAL(9,C30:C31)</f>
        <v>606</v>
      </c>
      <c r="D32" s="34">
        <f t="shared" si="25"/>
        <v>755</v>
      </c>
      <c r="E32" s="24">
        <f t="shared" si="25"/>
        <v>11</v>
      </c>
      <c r="F32" s="24">
        <f t="shared" si="25"/>
        <v>254</v>
      </c>
      <c r="G32" s="24">
        <f t="shared" si="25"/>
        <v>3</v>
      </c>
      <c r="H32" s="24">
        <f t="shared" si="25"/>
        <v>0</v>
      </c>
      <c r="I32" s="24">
        <f t="shared" si="25"/>
        <v>136</v>
      </c>
      <c r="J32" s="24">
        <f t="shared" si="25"/>
        <v>0</v>
      </c>
      <c r="K32" s="24">
        <f>SUM(E32:J32)</f>
        <v>404</v>
      </c>
      <c r="L32" s="34">
        <f t="shared" ref="L32" si="26">N32-D32</f>
        <v>254</v>
      </c>
      <c r="M32" s="34">
        <f t="shared" ref="M32" si="27">N32-C32</f>
        <v>403</v>
      </c>
      <c r="N32" s="34">
        <f>SUBTOTAL(9,N30:N31)</f>
        <v>1009</v>
      </c>
      <c r="O32" s="34">
        <f>SUBTOTAL(9,O30:O31)</f>
        <v>1491</v>
      </c>
      <c r="P32" s="34">
        <f>SUBTOTAL(9,P30:P31)</f>
        <v>-480</v>
      </c>
      <c r="Q32" s="34">
        <f>SUBTOTAL(9,Q30:Q31)</f>
        <v>1010</v>
      </c>
      <c r="R32" s="34">
        <f>SUBTOTAL(9,R30:R31)</f>
        <v>1009</v>
      </c>
      <c r="S32" s="34">
        <f>Q32-R32</f>
        <v>1</v>
      </c>
      <c r="T32" s="38">
        <f>IFERROR((Q32/N32)*100%,"∞")</f>
        <v>1.0009910802775024</v>
      </c>
      <c r="U32" s="59">
        <f>N32+V32</f>
        <v>1009</v>
      </c>
      <c r="V32" s="34">
        <f>SUBTOTAL(9,V30:V31)</f>
        <v>0</v>
      </c>
      <c r="W32" s="34">
        <f>SUBTOTAL(9,W30:W31)</f>
        <v>0</v>
      </c>
      <c r="X32" s="34"/>
      <c r="Y32" s="34"/>
      <c r="Z32" s="41"/>
      <c r="AA32" s="60"/>
      <c r="AB32" s="641">
        <f t="shared" ref="AB32" si="28">SUBTOTAL(9,AB30:AB31)</f>
        <v>0</v>
      </c>
      <c r="AC32" s="641">
        <f>SUBTOTAL(9,AC1:AC31)</f>
        <v>0</v>
      </c>
      <c r="AD32" s="34"/>
      <c r="AE32" s="34"/>
      <c r="AF32" s="103"/>
      <c r="AH32" s="19"/>
    </row>
    <row r="33" spans="2:34" ht="13" hidden="1" outlineLevel="2" x14ac:dyDescent="0.3">
      <c r="B33" s="31" t="s">
        <v>66</v>
      </c>
      <c r="C33" s="33">
        <v>-552</v>
      </c>
      <c r="D33" s="33">
        <v>-668</v>
      </c>
      <c r="E33" s="23">
        <v>0</v>
      </c>
      <c r="F33" s="23">
        <v>0</v>
      </c>
      <c r="G33" s="23">
        <v>-25</v>
      </c>
      <c r="H33" s="23">
        <v>0</v>
      </c>
      <c r="I33" s="23">
        <v>-90</v>
      </c>
      <c r="J33" s="23">
        <v>0</v>
      </c>
      <c r="K33" s="23">
        <f t="shared" si="0"/>
        <v>-115</v>
      </c>
      <c r="L33" s="33">
        <f t="shared" si="1"/>
        <v>0</v>
      </c>
      <c r="M33" s="33">
        <f t="shared" si="2"/>
        <v>-116</v>
      </c>
      <c r="N33" s="33">
        <v>-668</v>
      </c>
      <c r="O33" s="33">
        <v>1163</v>
      </c>
      <c r="P33" s="33">
        <v>-1876</v>
      </c>
      <c r="Q33" s="33">
        <v>-712</v>
      </c>
      <c r="R33" s="33">
        <v>-668</v>
      </c>
      <c r="S33" s="33">
        <f t="shared" si="3"/>
        <v>-44</v>
      </c>
      <c r="T33" s="38">
        <f t="shared" si="4"/>
        <v>1.0658682634730539</v>
      </c>
      <c r="U33" s="59">
        <f t="shared" si="5"/>
        <v>-757</v>
      </c>
      <c r="V33" s="33">
        <v>-89</v>
      </c>
      <c r="W33" s="33">
        <v>-89</v>
      </c>
      <c r="X33" s="33"/>
      <c r="Y33" s="33"/>
      <c r="Z33" s="42"/>
      <c r="AA33" s="60"/>
      <c r="AB33" s="662">
        <v>44</v>
      </c>
      <c r="AC33" s="580"/>
      <c r="AD33" s="33">
        <f t="shared" si="6"/>
        <v>44</v>
      </c>
      <c r="AE33" s="33">
        <f t="shared" si="7"/>
        <v>-668</v>
      </c>
      <c r="AF33" s="101">
        <f t="shared" si="8"/>
        <v>0</v>
      </c>
      <c r="AH33" s="19"/>
    </row>
    <row r="34" spans="2:34" ht="13" hidden="1" outlineLevel="2" x14ac:dyDescent="0.3">
      <c r="B34" s="31" t="s">
        <v>67</v>
      </c>
      <c r="C34" s="33">
        <v>170</v>
      </c>
      <c r="D34" s="33">
        <v>131</v>
      </c>
      <c r="E34" s="23">
        <v>0</v>
      </c>
      <c r="F34" s="23">
        <v>-8</v>
      </c>
      <c r="G34" s="23">
        <v>-5</v>
      </c>
      <c r="H34" s="23">
        <v>0</v>
      </c>
      <c r="I34" s="23">
        <v>-34</v>
      </c>
      <c r="J34" s="23">
        <v>0</v>
      </c>
      <c r="K34" s="23">
        <f t="shared" si="0"/>
        <v>-47</v>
      </c>
      <c r="L34" s="33">
        <f t="shared" si="1"/>
        <v>-8</v>
      </c>
      <c r="M34" s="33">
        <f t="shared" si="2"/>
        <v>-47</v>
      </c>
      <c r="N34" s="33">
        <v>123</v>
      </c>
      <c r="O34" s="33">
        <v>144</v>
      </c>
      <c r="P34" s="33">
        <v>-35</v>
      </c>
      <c r="Q34" s="33">
        <v>109</v>
      </c>
      <c r="R34" s="33">
        <v>123</v>
      </c>
      <c r="S34" s="33">
        <f t="shared" si="3"/>
        <v>-14</v>
      </c>
      <c r="T34" s="38">
        <f t="shared" si="4"/>
        <v>0.88617886178861793</v>
      </c>
      <c r="U34" s="59">
        <f t="shared" si="5"/>
        <v>123</v>
      </c>
      <c r="V34" s="33">
        <v>0</v>
      </c>
      <c r="W34" s="33">
        <v>0</v>
      </c>
      <c r="X34" s="33"/>
      <c r="Y34" s="33"/>
      <c r="Z34" s="42"/>
      <c r="AA34" s="60"/>
      <c r="AB34" s="662">
        <v>14</v>
      </c>
      <c r="AC34" s="580"/>
      <c r="AD34" s="33">
        <f t="shared" si="6"/>
        <v>14</v>
      </c>
      <c r="AE34" s="33">
        <f t="shared" si="7"/>
        <v>123</v>
      </c>
      <c r="AF34" s="101">
        <f t="shared" si="8"/>
        <v>0</v>
      </c>
      <c r="AH34" s="19"/>
    </row>
    <row r="35" spans="2:34" ht="13" hidden="1"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17</v>
      </c>
      <c r="P35" s="33">
        <v>-223</v>
      </c>
      <c r="Q35" s="33">
        <v>-207</v>
      </c>
      <c r="R35" s="33">
        <v>-192</v>
      </c>
      <c r="S35" s="33">
        <f t="shared" si="3"/>
        <v>-15</v>
      </c>
      <c r="T35" s="38">
        <f t="shared" si="4"/>
        <v>1.078125</v>
      </c>
      <c r="U35" s="59">
        <f t="shared" si="5"/>
        <v>-200</v>
      </c>
      <c r="V35" s="33">
        <v>-8</v>
      </c>
      <c r="W35" s="33">
        <v>-8</v>
      </c>
      <c r="X35" s="33"/>
      <c r="Y35" s="33"/>
      <c r="Z35" s="42"/>
      <c r="AA35" s="60"/>
      <c r="AB35" s="662">
        <v>15</v>
      </c>
      <c r="AC35" s="580"/>
      <c r="AD35" s="33">
        <f t="shared" si="6"/>
        <v>15</v>
      </c>
      <c r="AE35" s="33">
        <f t="shared" si="7"/>
        <v>-192</v>
      </c>
      <c r="AF35" s="101">
        <f t="shared" si="8"/>
        <v>0</v>
      </c>
      <c r="AH35" s="19"/>
    </row>
    <row r="36" spans="2:34" ht="13" hidden="1" outlineLevel="2" x14ac:dyDescent="0.3">
      <c r="B36" s="31" t="s">
        <v>69</v>
      </c>
      <c r="C36" s="33">
        <v>951</v>
      </c>
      <c r="D36" s="33">
        <v>1135</v>
      </c>
      <c r="E36" s="23">
        <v>0</v>
      </c>
      <c r="F36" s="23">
        <v>40</v>
      </c>
      <c r="G36" s="23">
        <v>-23</v>
      </c>
      <c r="H36" s="23">
        <v>0</v>
      </c>
      <c r="I36" s="23">
        <v>207</v>
      </c>
      <c r="J36" s="23">
        <v>15</v>
      </c>
      <c r="K36" s="23">
        <f t="shared" si="0"/>
        <v>239</v>
      </c>
      <c r="L36" s="33">
        <f t="shared" si="1"/>
        <v>55</v>
      </c>
      <c r="M36" s="33">
        <f t="shared" si="2"/>
        <v>239</v>
      </c>
      <c r="N36" s="33">
        <v>1190</v>
      </c>
      <c r="O36" s="33">
        <v>1280</v>
      </c>
      <c r="P36" s="33">
        <v>-208</v>
      </c>
      <c r="Q36" s="33">
        <v>1072</v>
      </c>
      <c r="R36" s="33">
        <v>1190</v>
      </c>
      <c r="S36" s="33">
        <f t="shared" si="3"/>
        <v>-118</v>
      </c>
      <c r="T36" s="38">
        <f t="shared" si="4"/>
        <v>0.9008403361344538</v>
      </c>
      <c r="U36" s="59">
        <f t="shared" si="5"/>
        <v>1101</v>
      </c>
      <c r="V36" s="33">
        <v>-89</v>
      </c>
      <c r="W36" s="33">
        <v>-93</v>
      </c>
      <c r="X36" s="33"/>
      <c r="Y36" s="33"/>
      <c r="Z36" s="42"/>
      <c r="AA36" s="60"/>
      <c r="AB36" s="662">
        <v>118</v>
      </c>
      <c r="AC36" s="580"/>
      <c r="AD36" s="33">
        <f t="shared" si="6"/>
        <v>118</v>
      </c>
      <c r="AE36" s="33">
        <f t="shared" si="7"/>
        <v>1190</v>
      </c>
      <c r="AF36" s="101">
        <f t="shared" si="8"/>
        <v>0</v>
      </c>
      <c r="AH36" s="19"/>
    </row>
    <row r="37" spans="2:34" ht="13" outlineLevel="1" collapsed="1" x14ac:dyDescent="0.3">
      <c r="B37" s="32" t="s">
        <v>71</v>
      </c>
      <c r="C37" s="34">
        <f t="shared" ref="C37:J37" si="29">SUBTOTAL(9,C33:C36)</f>
        <v>377</v>
      </c>
      <c r="D37" s="34">
        <f t="shared" si="29"/>
        <v>406</v>
      </c>
      <c r="E37" s="24">
        <f t="shared" si="29"/>
        <v>0</v>
      </c>
      <c r="F37" s="24">
        <f t="shared" si="29"/>
        <v>32</v>
      </c>
      <c r="G37" s="24">
        <f t="shared" si="29"/>
        <v>-53</v>
      </c>
      <c r="H37" s="24">
        <f t="shared" si="29"/>
        <v>0</v>
      </c>
      <c r="I37" s="24">
        <f t="shared" si="29"/>
        <v>83</v>
      </c>
      <c r="J37" s="24">
        <f t="shared" si="29"/>
        <v>15</v>
      </c>
      <c r="K37" s="24">
        <f>SUM(E37:J37)</f>
        <v>77</v>
      </c>
      <c r="L37" s="34">
        <f t="shared" ref="L37:L38" si="30">N37-D37</f>
        <v>47</v>
      </c>
      <c r="M37" s="34">
        <f t="shared" ref="M37:M38" si="31">N37-C37</f>
        <v>76</v>
      </c>
      <c r="N37" s="34">
        <f>SUBTOTAL(9,N33:N36)</f>
        <v>453</v>
      </c>
      <c r="O37" s="34">
        <f>SUBTOTAL(9,O33:O36)</f>
        <v>2604</v>
      </c>
      <c r="P37" s="34">
        <f>SUBTOTAL(9,P33:P36)</f>
        <v>-2342</v>
      </c>
      <c r="Q37" s="34">
        <f>SUBTOTAL(9,Q33:Q36)</f>
        <v>262</v>
      </c>
      <c r="R37" s="34">
        <f>SUBTOTAL(9,R33:R36)</f>
        <v>453</v>
      </c>
      <c r="S37" s="34">
        <f>Q37-R37</f>
        <v>-191</v>
      </c>
      <c r="T37" s="38">
        <f>IFERROR((Q37/N37)*100%,"∞")</f>
        <v>0.57836644591611475</v>
      </c>
      <c r="U37" s="59">
        <f>N37+V37</f>
        <v>267</v>
      </c>
      <c r="V37" s="34">
        <f>SUBTOTAL(9,V33:V36)</f>
        <v>-186</v>
      </c>
      <c r="W37" s="34">
        <f>SUBTOTAL(9,W33:W36)</f>
        <v>-190</v>
      </c>
      <c r="X37" s="34"/>
      <c r="Y37" s="34"/>
      <c r="Z37" s="41"/>
      <c r="AA37" s="60"/>
      <c r="AB37" s="641">
        <f t="shared" ref="AB37:AC37" si="32">SUBTOTAL(9,AB33:AB36)</f>
        <v>191</v>
      </c>
      <c r="AC37" s="641">
        <f t="shared" si="32"/>
        <v>0</v>
      </c>
      <c r="AD37" s="34"/>
      <c r="AE37" s="34"/>
      <c r="AF37" s="103"/>
      <c r="AH37" s="19"/>
    </row>
    <row r="38" spans="2:34" ht="13.5" customHeight="1" thickBot="1" x14ac:dyDescent="0.35">
      <c r="B38" s="53" t="s">
        <v>72</v>
      </c>
      <c r="C38" s="35">
        <f t="shared" ref="C38:J38" si="33">SUBTOTAL(9,C25:C37)</f>
        <v>-4626</v>
      </c>
      <c r="D38" s="35">
        <f t="shared" si="33"/>
        <v>-5581</v>
      </c>
      <c r="E38" s="25">
        <f t="shared" si="33"/>
        <v>10</v>
      </c>
      <c r="F38" s="25">
        <f t="shared" si="33"/>
        <v>386</v>
      </c>
      <c r="G38" s="25">
        <f t="shared" si="33"/>
        <v>-98</v>
      </c>
      <c r="H38" s="25">
        <f t="shared" si="33"/>
        <v>0</v>
      </c>
      <c r="I38" s="25">
        <f t="shared" si="33"/>
        <v>-866</v>
      </c>
      <c r="J38" s="25">
        <f t="shared" si="33"/>
        <v>-15</v>
      </c>
      <c r="K38" s="25">
        <f>SUM(E38:J38)</f>
        <v>-583</v>
      </c>
      <c r="L38" s="35">
        <f t="shared" si="30"/>
        <v>371</v>
      </c>
      <c r="M38" s="35">
        <f t="shared" si="31"/>
        <v>-584</v>
      </c>
      <c r="N38" s="35">
        <f>SUBTOTAL(9,N25:N37)</f>
        <v>-5210</v>
      </c>
      <c r="O38" s="35">
        <f>SUBTOTAL(9,O25:O37)</f>
        <v>9122</v>
      </c>
      <c r="P38" s="35">
        <f>SUBTOTAL(9,P25:P37)</f>
        <v>-14060</v>
      </c>
      <c r="Q38" s="35">
        <f>SUBTOTAL(9,Q25:Q37)</f>
        <v>-4940</v>
      </c>
      <c r="R38" s="35">
        <f>SUBTOTAL(9,R25:R37)</f>
        <v>-5210</v>
      </c>
      <c r="S38" s="35">
        <f>Q38-R38</f>
        <v>270</v>
      </c>
      <c r="T38" s="39">
        <f>IFERROR((Q38/N38)*100%,"∞")</f>
        <v>0.94817658349328215</v>
      </c>
      <c r="U38" s="54">
        <f>N38+V38</f>
        <v>-5239</v>
      </c>
      <c r="V38" s="35">
        <f>SUBTOTAL(9,V25:V37)</f>
        <v>-29</v>
      </c>
      <c r="W38" s="35">
        <f>SUBTOTAL(9,W25:W37)</f>
        <v>-33</v>
      </c>
      <c r="X38" s="35"/>
      <c r="Y38" s="35"/>
      <c r="Z38" s="43"/>
      <c r="AA38" s="60"/>
      <c r="AB38" s="664">
        <f t="shared" ref="AB38:AC38" si="34">SUBTOTAL(9,AB25:AB37)</f>
        <v>191</v>
      </c>
      <c r="AC38" s="664">
        <f t="shared" si="34"/>
        <v>0</v>
      </c>
      <c r="AD38" s="35">
        <f>SUM(AB38:AC38)</f>
        <v>191</v>
      </c>
      <c r="AE38" s="35">
        <f>Q38+AD38</f>
        <v>-4749</v>
      </c>
      <c r="AF38" s="43">
        <f>AE38-N38</f>
        <v>461</v>
      </c>
      <c r="AH38" s="19">
        <f t="shared" ref="AH38:AH59" si="35">AF38-V38</f>
        <v>490</v>
      </c>
    </row>
    <row r="39" spans="2:34" ht="13.5" hidden="1" outlineLevel="2" thickTop="1" x14ac:dyDescent="0.3">
      <c r="B39" s="31" t="s">
        <v>73</v>
      </c>
      <c r="C39" s="33">
        <v>226</v>
      </c>
      <c r="D39" s="33">
        <v>163</v>
      </c>
      <c r="E39" s="23">
        <v>0</v>
      </c>
      <c r="F39" s="23">
        <v>0</v>
      </c>
      <c r="G39" s="23">
        <v>-4</v>
      </c>
      <c r="H39" s="23">
        <v>0</v>
      </c>
      <c r="I39" s="23">
        <v>-60</v>
      </c>
      <c r="J39" s="23">
        <v>0</v>
      </c>
      <c r="K39" s="23">
        <f t="shared" si="0"/>
        <v>-64</v>
      </c>
      <c r="L39" s="33">
        <f t="shared" si="1"/>
        <v>0</v>
      </c>
      <c r="M39" s="33">
        <f t="shared" si="2"/>
        <v>-63</v>
      </c>
      <c r="N39" s="33">
        <v>163</v>
      </c>
      <c r="O39" s="33">
        <v>125</v>
      </c>
      <c r="P39" s="33">
        <v>0</v>
      </c>
      <c r="Q39" s="33">
        <v>125</v>
      </c>
      <c r="R39" s="33">
        <v>163</v>
      </c>
      <c r="S39" s="33">
        <f t="shared" si="3"/>
        <v>-38</v>
      </c>
      <c r="T39" s="38">
        <f t="shared" si="4"/>
        <v>0.76687116564417179</v>
      </c>
      <c r="U39" s="59">
        <f t="shared" si="5"/>
        <v>125</v>
      </c>
      <c r="V39" s="33">
        <v>-38</v>
      </c>
      <c r="W39" s="33">
        <v>-38</v>
      </c>
      <c r="X39" s="33"/>
      <c r="Y39" s="33"/>
      <c r="Z39" s="42"/>
      <c r="AA39" s="60"/>
      <c r="AB39" s="662"/>
      <c r="AC39" s="580"/>
      <c r="AD39" s="33">
        <f t="shared" si="6"/>
        <v>0</v>
      </c>
      <c r="AE39" s="33">
        <f t="shared" si="7"/>
        <v>125</v>
      </c>
      <c r="AF39" s="101">
        <f t="shared" si="8"/>
        <v>-38</v>
      </c>
      <c r="AH39" s="19"/>
    </row>
    <row r="40" spans="2:34" ht="13" hidden="1" outlineLevel="2" x14ac:dyDescent="0.3">
      <c r="B40" s="31" t="s">
        <v>74</v>
      </c>
      <c r="C40" s="33">
        <v>387</v>
      </c>
      <c r="D40" s="33">
        <v>378</v>
      </c>
      <c r="E40" s="23">
        <v>0</v>
      </c>
      <c r="F40" s="23">
        <v>17</v>
      </c>
      <c r="G40" s="23">
        <v>-9</v>
      </c>
      <c r="H40" s="23">
        <v>0</v>
      </c>
      <c r="I40" s="23">
        <v>0</v>
      </c>
      <c r="J40" s="23">
        <v>0</v>
      </c>
      <c r="K40" s="23">
        <f t="shared" si="0"/>
        <v>8</v>
      </c>
      <c r="L40" s="33">
        <f t="shared" si="1"/>
        <v>17</v>
      </c>
      <c r="M40" s="33">
        <f t="shared" si="2"/>
        <v>8</v>
      </c>
      <c r="N40" s="33">
        <v>395</v>
      </c>
      <c r="O40" s="33">
        <v>566</v>
      </c>
      <c r="P40" s="33">
        <v>-191</v>
      </c>
      <c r="Q40" s="33">
        <v>376</v>
      </c>
      <c r="R40" s="33">
        <v>395</v>
      </c>
      <c r="S40" s="33">
        <f t="shared" si="3"/>
        <v>-19</v>
      </c>
      <c r="T40" s="38">
        <f t="shared" si="4"/>
        <v>0.95189873417721516</v>
      </c>
      <c r="U40" s="59">
        <f t="shared" si="5"/>
        <v>414</v>
      </c>
      <c r="V40" s="33">
        <v>19</v>
      </c>
      <c r="W40" s="33">
        <v>19</v>
      </c>
      <c r="X40" s="33"/>
      <c r="Y40" s="33"/>
      <c r="Z40" s="42"/>
      <c r="AA40" s="60"/>
      <c r="AB40" s="662"/>
      <c r="AC40" s="580"/>
      <c r="AD40" s="33">
        <f t="shared" si="6"/>
        <v>0</v>
      </c>
      <c r="AE40" s="33">
        <f t="shared" si="7"/>
        <v>376</v>
      </c>
      <c r="AF40" s="101">
        <f t="shared" si="8"/>
        <v>-19</v>
      </c>
      <c r="AH40" s="19"/>
    </row>
    <row r="41" spans="2:34" ht="13" hidden="1" outlineLevel="2" x14ac:dyDescent="0.3">
      <c r="B41" s="31" t="s">
        <v>75</v>
      </c>
      <c r="C41" s="33">
        <v>258</v>
      </c>
      <c r="D41" s="33">
        <v>254</v>
      </c>
      <c r="E41" s="23">
        <v>0</v>
      </c>
      <c r="F41" s="23">
        <v>115</v>
      </c>
      <c r="G41" s="23">
        <v>-4</v>
      </c>
      <c r="H41" s="23">
        <v>0</v>
      </c>
      <c r="I41" s="23">
        <v>0</v>
      </c>
      <c r="J41" s="23">
        <v>0</v>
      </c>
      <c r="K41" s="23">
        <f t="shared" si="0"/>
        <v>111</v>
      </c>
      <c r="L41" s="33">
        <f t="shared" si="1"/>
        <v>116</v>
      </c>
      <c r="M41" s="33">
        <f t="shared" si="2"/>
        <v>112</v>
      </c>
      <c r="N41" s="33">
        <v>370</v>
      </c>
      <c r="O41" s="33">
        <v>348</v>
      </c>
      <c r="P41" s="33">
        <v>-86</v>
      </c>
      <c r="Q41" s="33">
        <v>262</v>
      </c>
      <c r="R41" s="33">
        <v>370</v>
      </c>
      <c r="S41" s="33">
        <f t="shared" si="3"/>
        <v>-108</v>
      </c>
      <c r="T41" s="38">
        <f t="shared" si="4"/>
        <v>0.70810810810810809</v>
      </c>
      <c r="U41" s="59">
        <f t="shared" si="5"/>
        <v>258</v>
      </c>
      <c r="V41" s="33">
        <v>-112</v>
      </c>
      <c r="W41" s="33">
        <v>-112</v>
      </c>
      <c r="X41" s="33"/>
      <c r="Y41" s="33"/>
      <c r="Z41" s="42"/>
      <c r="AA41" s="60"/>
      <c r="AB41" s="662"/>
      <c r="AC41" s="580"/>
      <c r="AD41" s="33">
        <f t="shared" si="6"/>
        <v>0</v>
      </c>
      <c r="AE41" s="33">
        <f t="shared" si="7"/>
        <v>262</v>
      </c>
      <c r="AF41" s="101">
        <f t="shared" si="8"/>
        <v>-108</v>
      </c>
      <c r="AH41" s="19"/>
    </row>
    <row r="42" spans="2:34" ht="13.5" outlineLevel="1" collapsed="1" thickTop="1" x14ac:dyDescent="0.3">
      <c r="B42" s="32" t="s">
        <v>76</v>
      </c>
      <c r="C42" s="34">
        <f t="shared" ref="C42:J42" si="36">SUBTOTAL(9,C39:C41)</f>
        <v>871</v>
      </c>
      <c r="D42" s="34">
        <f t="shared" si="36"/>
        <v>795</v>
      </c>
      <c r="E42" s="24">
        <f t="shared" si="36"/>
        <v>0</v>
      </c>
      <c r="F42" s="24">
        <f t="shared" si="36"/>
        <v>132</v>
      </c>
      <c r="G42" s="24">
        <f t="shared" si="36"/>
        <v>-17</v>
      </c>
      <c r="H42" s="24">
        <f t="shared" si="36"/>
        <v>0</v>
      </c>
      <c r="I42" s="24">
        <f t="shared" si="36"/>
        <v>-60</v>
      </c>
      <c r="J42" s="24">
        <f t="shared" si="36"/>
        <v>0</v>
      </c>
      <c r="K42" s="24">
        <f>SUM(E42:J42)</f>
        <v>55</v>
      </c>
      <c r="L42" s="34">
        <f t="shared" ref="L42" si="37">N42-D42</f>
        <v>133</v>
      </c>
      <c r="M42" s="34">
        <f t="shared" ref="M42" si="38">N42-C42</f>
        <v>57</v>
      </c>
      <c r="N42" s="34">
        <f>SUBTOTAL(9,N39:N41)</f>
        <v>928</v>
      </c>
      <c r="O42" s="34">
        <f>SUBTOTAL(9,O39:O41)</f>
        <v>1039</v>
      </c>
      <c r="P42" s="34">
        <f>SUBTOTAL(9,P39:P41)</f>
        <v>-277</v>
      </c>
      <c r="Q42" s="34">
        <f>SUBTOTAL(9,Q39:Q41)</f>
        <v>763</v>
      </c>
      <c r="R42" s="34">
        <f>SUBTOTAL(9,R39:R41)</f>
        <v>928</v>
      </c>
      <c r="S42" s="34">
        <f>Q42-R42</f>
        <v>-165</v>
      </c>
      <c r="T42" s="38">
        <f>IFERROR((Q42/N42)*100%,"∞")</f>
        <v>0.82219827586206895</v>
      </c>
      <c r="U42" s="59">
        <f>N42+V42</f>
        <v>797</v>
      </c>
      <c r="V42" s="34">
        <f>SUBTOTAL(9,V39:V41)</f>
        <v>-131</v>
      </c>
      <c r="W42" s="34">
        <f>SUBTOTAL(9,W39:W41)</f>
        <v>-131</v>
      </c>
      <c r="X42" s="34"/>
      <c r="Y42" s="34"/>
      <c r="Z42" s="41"/>
      <c r="AA42" s="60"/>
      <c r="AB42" s="641">
        <f t="shared" ref="AB42:AC42" si="39">SUBTOTAL(9,AB39:AB41)</f>
        <v>0</v>
      </c>
      <c r="AC42" s="641">
        <f t="shared" si="39"/>
        <v>0</v>
      </c>
      <c r="AD42" s="34"/>
      <c r="AE42" s="34"/>
      <c r="AF42" s="103"/>
      <c r="AH42" s="19"/>
    </row>
    <row r="43" spans="2:34" ht="13" hidden="1" outlineLevel="2" x14ac:dyDescent="0.3">
      <c r="B43" s="31" t="s">
        <v>77</v>
      </c>
      <c r="C43" s="33">
        <v>463</v>
      </c>
      <c r="D43" s="33">
        <v>216</v>
      </c>
      <c r="E43" s="23">
        <v>-156</v>
      </c>
      <c r="F43" s="23">
        <v>1</v>
      </c>
      <c r="G43" s="23">
        <v>-7</v>
      </c>
      <c r="H43" s="23">
        <v>0</v>
      </c>
      <c r="I43" s="23">
        <v>-83</v>
      </c>
      <c r="J43" s="23">
        <v>0</v>
      </c>
      <c r="K43" s="23">
        <f t="shared" si="0"/>
        <v>-245</v>
      </c>
      <c r="L43" s="33">
        <f t="shared" si="1"/>
        <v>1</v>
      </c>
      <c r="M43" s="33">
        <f t="shared" si="2"/>
        <v>-246</v>
      </c>
      <c r="N43" s="33">
        <v>217</v>
      </c>
      <c r="O43" s="33">
        <v>404</v>
      </c>
      <c r="P43" s="33">
        <v>-272</v>
      </c>
      <c r="Q43" s="33">
        <v>132</v>
      </c>
      <c r="R43" s="33">
        <v>217</v>
      </c>
      <c r="S43" s="33">
        <f t="shared" si="3"/>
        <v>-85</v>
      </c>
      <c r="T43" s="38">
        <f t="shared" si="4"/>
        <v>0.60829493087557607</v>
      </c>
      <c r="U43" s="59">
        <f t="shared" si="5"/>
        <v>155</v>
      </c>
      <c r="V43" s="33">
        <v>-62</v>
      </c>
      <c r="W43" s="33">
        <v>-62</v>
      </c>
      <c r="X43" s="33"/>
      <c r="Y43" s="33"/>
      <c r="Z43" s="42"/>
      <c r="AA43" s="60"/>
      <c r="AB43" s="662"/>
      <c r="AC43" s="580"/>
      <c r="AD43" s="33">
        <f t="shared" si="6"/>
        <v>0</v>
      </c>
      <c r="AE43" s="33">
        <f t="shared" si="7"/>
        <v>132</v>
      </c>
      <c r="AF43" s="101">
        <f t="shared" si="8"/>
        <v>-85</v>
      </c>
      <c r="AH43" s="19"/>
    </row>
    <row r="44" spans="2:34" ht="13" hidden="1" outlineLevel="2" x14ac:dyDescent="0.3">
      <c r="B44" s="31" t="s">
        <v>78</v>
      </c>
      <c r="C44" s="33">
        <v>305</v>
      </c>
      <c r="D44" s="33">
        <v>282</v>
      </c>
      <c r="E44" s="23">
        <v>-4</v>
      </c>
      <c r="F44" s="23">
        <v>99</v>
      </c>
      <c r="G44" s="23">
        <v>-4</v>
      </c>
      <c r="H44" s="23">
        <v>0</v>
      </c>
      <c r="I44" s="23">
        <v>-15</v>
      </c>
      <c r="J44" s="23">
        <v>0</v>
      </c>
      <c r="K44" s="23">
        <f t="shared" si="0"/>
        <v>76</v>
      </c>
      <c r="L44" s="33">
        <f t="shared" si="1"/>
        <v>98</v>
      </c>
      <c r="M44" s="33">
        <f t="shared" si="2"/>
        <v>75</v>
      </c>
      <c r="N44" s="33">
        <v>380</v>
      </c>
      <c r="O44" s="33">
        <v>481</v>
      </c>
      <c r="P44" s="33">
        <v>-99</v>
      </c>
      <c r="Q44" s="33">
        <v>382</v>
      </c>
      <c r="R44" s="33">
        <v>380</v>
      </c>
      <c r="S44" s="33">
        <f t="shared" si="3"/>
        <v>2</v>
      </c>
      <c r="T44" s="38">
        <f t="shared" si="4"/>
        <v>1.0052631578947369</v>
      </c>
      <c r="U44" s="59">
        <f t="shared" si="5"/>
        <v>380</v>
      </c>
      <c r="V44" s="33">
        <v>0</v>
      </c>
      <c r="W44" s="33">
        <v>0</v>
      </c>
      <c r="X44" s="33"/>
      <c r="Y44" s="33"/>
      <c r="Z44" s="42"/>
      <c r="AA44" s="60"/>
      <c r="AB44" s="662">
        <v>26</v>
      </c>
      <c r="AC44" s="580"/>
      <c r="AD44" s="33">
        <f t="shared" si="6"/>
        <v>26</v>
      </c>
      <c r="AE44" s="33">
        <f t="shared" si="7"/>
        <v>408</v>
      </c>
      <c r="AF44" s="101">
        <f t="shared" si="8"/>
        <v>28</v>
      </c>
      <c r="AH44" s="19"/>
    </row>
    <row r="45" spans="2:34" ht="13" hidden="1" outlineLevel="2" x14ac:dyDescent="0.3">
      <c r="B45" s="31" t="s">
        <v>79</v>
      </c>
      <c r="C45" s="33">
        <v>279</v>
      </c>
      <c r="D45" s="33">
        <v>317</v>
      </c>
      <c r="E45" s="23">
        <v>36</v>
      </c>
      <c r="F45" s="23">
        <v>27</v>
      </c>
      <c r="G45" s="23">
        <v>-7</v>
      </c>
      <c r="H45" s="23">
        <v>0</v>
      </c>
      <c r="I45" s="23">
        <v>10</v>
      </c>
      <c r="J45" s="23">
        <v>0</v>
      </c>
      <c r="K45" s="23">
        <f t="shared" si="0"/>
        <v>66</v>
      </c>
      <c r="L45" s="33">
        <f t="shared" si="1"/>
        <v>27</v>
      </c>
      <c r="M45" s="33">
        <f t="shared" si="2"/>
        <v>65</v>
      </c>
      <c r="N45" s="33">
        <v>344</v>
      </c>
      <c r="O45" s="33">
        <v>764</v>
      </c>
      <c r="P45" s="33">
        <v>-426</v>
      </c>
      <c r="Q45" s="33">
        <v>338</v>
      </c>
      <c r="R45" s="33">
        <v>344</v>
      </c>
      <c r="S45" s="33">
        <f t="shared" si="3"/>
        <v>-6</v>
      </c>
      <c r="T45" s="38">
        <f t="shared" si="4"/>
        <v>0.98255813953488369</v>
      </c>
      <c r="U45" s="59">
        <f t="shared" si="5"/>
        <v>337</v>
      </c>
      <c r="V45" s="33">
        <v>-7</v>
      </c>
      <c r="W45" s="33">
        <v>-7</v>
      </c>
      <c r="X45" s="33"/>
      <c r="Y45" s="33"/>
      <c r="Z45" s="42"/>
      <c r="AA45" s="60"/>
      <c r="AB45" s="662"/>
      <c r="AC45" s="580"/>
      <c r="AD45" s="33">
        <f t="shared" si="6"/>
        <v>0</v>
      </c>
      <c r="AE45" s="33">
        <f t="shared" si="7"/>
        <v>338</v>
      </c>
      <c r="AF45" s="101">
        <f t="shared" si="8"/>
        <v>-6</v>
      </c>
      <c r="AH45" s="19"/>
    </row>
    <row r="46" spans="2:34" ht="13" outlineLevel="1" collapsed="1" x14ac:dyDescent="0.3">
      <c r="B46" s="32" t="s">
        <v>80</v>
      </c>
      <c r="C46" s="34">
        <f t="shared" ref="C46:J46" si="40">SUBTOTAL(9,C43:C45)</f>
        <v>1047</v>
      </c>
      <c r="D46" s="34">
        <f t="shared" si="40"/>
        <v>815</v>
      </c>
      <c r="E46" s="24">
        <f t="shared" si="40"/>
        <v>-124</v>
      </c>
      <c r="F46" s="24">
        <f t="shared" si="40"/>
        <v>127</v>
      </c>
      <c r="G46" s="24">
        <f t="shared" si="40"/>
        <v>-18</v>
      </c>
      <c r="H46" s="24">
        <f t="shared" si="40"/>
        <v>0</v>
      </c>
      <c r="I46" s="24">
        <f t="shared" si="40"/>
        <v>-88</v>
      </c>
      <c r="J46" s="24">
        <f t="shared" si="40"/>
        <v>0</v>
      </c>
      <c r="K46" s="24">
        <f>SUM(E46:J46)</f>
        <v>-103</v>
      </c>
      <c r="L46" s="34">
        <f t="shared" ref="L46:L47" si="41">N46-D46</f>
        <v>126</v>
      </c>
      <c r="M46" s="34">
        <f t="shared" ref="M46:M47" si="42">N46-C46</f>
        <v>-106</v>
      </c>
      <c r="N46" s="34">
        <f>SUBTOTAL(9,N43:N45)</f>
        <v>941</v>
      </c>
      <c r="O46" s="34">
        <f>SUBTOTAL(9,O43:O45)</f>
        <v>1649</v>
      </c>
      <c r="P46" s="34">
        <f>SUBTOTAL(9,P43:P45)</f>
        <v>-797</v>
      </c>
      <c r="Q46" s="34">
        <f>SUBTOTAL(9,Q43:Q45)</f>
        <v>852</v>
      </c>
      <c r="R46" s="34">
        <f>SUBTOTAL(9,R43:R45)</f>
        <v>941</v>
      </c>
      <c r="S46" s="34">
        <f>Q46-R46</f>
        <v>-89</v>
      </c>
      <c r="T46" s="38">
        <f>IFERROR((Q46/N46)*100%,"∞")</f>
        <v>0.9054197662061636</v>
      </c>
      <c r="U46" s="59">
        <f>N46+V46</f>
        <v>872</v>
      </c>
      <c r="V46" s="34">
        <f>SUBTOTAL(9,V43:V45)</f>
        <v>-69</v>
      </c>
      <c r="W46" s="34">
        <f>SUBTOTAL(9,W43:W45)</f>
        <v>-69</v>
      </c>
      <c r="X46" s="34"/>
      <c r="Y46" s="34"/>
      <c r="Z46" s="41"/>
      <c r="AA46" s="60"/>
      <c r="AB46" s="641">
        <f t="shared" ref="AB46:AC46" si="43">SUBTOTAL(9,AB43:AB45)</f>
        <v>26</v>
      </c>
      <c r="AC46" s="641">
        <f t="shared" si="43"/>
        <v>0</v>
      </c>
      <c r="AD46" s="34"/>
      <c r="AE46" s="34"/>
      <c r="AF46" s="103"/>
      <c r="AH46" s="19"/>
    </row>
    <row r="47" spans="2:34" ht="13.5" customHeight="1" thickBot="1" x14ac:dyDescent="0.35">
      <c r="B47" s="53" t="s">
        <v>81</v>
      </c>
      <c r="C47" s="35">
        <f t="shared" ref="C47:J47" si="44">SUBTOTAL(9,C39:C46)</f>
        <v>1918</v>
      </c>
      <c r="D47" s="35">
        <f t="shared" si="44"/>
        <v>1610</v>
      </c>
      <c r="E47" s="25">
        <f t="shared" si="44"/>
        <v>-124</v>
      </c>
      <c r="F47" s="25">
        <f t="shared" si="44"/>
        <v>259</v>
      </c>
      <c r="G47" s="25">
        <f t="shared" si="44"/>
        <v>-35</v>
      </c>
      <c r="H47" s="25">
        <f t="shared" si="44"/>
        <v>0</v>
      </c>
      <c r="I47" s="25">
        <f t="shared" si="44"/>
        <v>-148</v>
      </c>
      <c r="J47" s="25">
        <f t="shared" si="44"/>
        <v>0</v>
      </c>
      <c r="K47" s="25">
        <f>SUM(E47:J47)</f>
        <v>-48</v>
      </c>
      <c r="L47" s="35">
        <f t="shared" si="41"/>
        <v>259</v>
      </c>
      <c r="M47" s="35">
        <f t="shared" si="42"/>
        <v>-49</v>
      </c>
      <c r="N47" s="35">
        <f>SUBTOTAL(9,N39:N46)</f>
        <v>1869</v>
      </c>
      <c r="O47" s="35">
        <f>SUBTOTAL(9,O39:O46)</f>
        <v>2688</v>
      </c>
      <c r="P47" s="35">
        <f>SUBTOTAL(9,P39:P46)</f>
        <v>-1074</v>
      </c>
      <c r="Q47" s="35">
        <f>SUBTOTAL(9,Q39:Q46)</f>
        <v>1615</v>
      </c>
      <c r="R47" s="35">
        <f>SUBTOTAL(9,R39:R46)</f>
        <v>1869</v>
      </c>
      <c r="S47" s="35">
        <f>Q47-R47</f>
        <v>-254</v>
      </c>
      <c r="T47" s="39">
        <f>IFERROR((Q47/N47)*100%,"∞")</f>
        <v>0.86409844836811134</v>
      </c>
      <c r="U47" s="54">
        <f>N47+V47</f>
        <v>1669</v>
      </c>
      <c r="V47" s="35">
        <f>SUBTOTAL(9,V39:V46)</f>
        <v>-200</v>
      </c>
      <c r="W47" s="35">
        <f>SUBTOTAL(9,W39:W46)</f>
        <v>-200</v>
      </c>
      <c r="X47" s="35"/>
      <c r="Y47" s="35"/>
      <c r="Z47" s="43"/>
      <c r="AA47" s="60"/>
      <c r="AB47" s="664">
        <f t="shared" ref="AB47:AC47" si="45">SUBTOTAL(9,AB39:AB46)</f>
        <v>26</v>
      </c>
      <c r="AC47" s="664">
        <f t="shared" si="45"/>
        <v>0</v>
      </c>
      <c r="AD47" s="35">
        <f>SUM(AB47:AC47)</f>
        <v>26</v>
      </c>
      <c r="AE47" s="35">
        <f>Q47+AD47</f>
        <v>1641</v>
      </c>
      <c r="AF47" s="43">
        <f>AE47-N47</f>
        <v>-228</v>
      </c>
      <c r="AH47" s="19">
        <f t="shared" si="35"/>
        <v>-28</v>
      </c>
    </row>
    <row r="48" spans="2:34" ht="13.5" hidden="1" outlineLevel="2" thickTop="1" x14ac:dyDescent="0.3">
      <c r="B48" s="31" t="s">
        <v>82</v>
      </c>
      <c r="C48" s="33">
        <v>-677</v>
      </c>
      <c r="D48" s="33">
        <v>-677</v>
      </c>
      <c r="E48" s="23">
        <v>0</v>
      </c>
      <c r="F48" s="23">
        <v>0</v>
      </c>
      <c r="G48" s="23">
        <v>0</v>
      </c>
      <c r="H48" s="23">
        <v>0</v>
      </c>
      <c r="I48" s="23">
        <v>0</v>
      </c>
      <c r="J48" s="23">
        <v>0</v>
      </c>
      <c r="K48" s="23">
        <f t="shared" si="0"/>
        <v>0</v>
      </c>
      <c r="L48" s="33">
        <f t="shared" si="1"/>
        <v>0</v>
      </c>
      <c r="M48" s="33">
        <f t="shared" si="2"/>
        <v>0</v>
      </c>
      <c r="N48" s="33">
        <v>-677</v>
      </c>
      <c r="O48" s="33">
        <v>4758</v>
      </c>
      <c r="P48" s="33">
        <v>-5683</v>
      </c>
      <c r="Q48" s="33">
        <v>-925</v>
      </c>
      <c r="R48" s="33">
        <v>-677</v>
      </c>
      <c r="S48" s="33">
        <f t="shared" si="3"/>
        <v>-248</v>
      </c>
      <c r="T48" s="38">
        <f t="shared" si="4"/>
        <v>1.3663220088626293</v>
      </c>
      <c r="U48" s="59">
        <f t="shared" si="5"/>
        <v>-900</v>
      </c>
      <c r="V48" s="33">
        <v>-223</v>
      </c>
      <c r="W48" s="33">
        <v>-223</v>
      </c>
      <c r="X48" s="33"/>
      <c r="Y48" s="33"/>
      <c r="Z48" s="42"/>
      <c r="AA48" s="60"/>
      <c r="AB48" s="662"/>
      <c r="AC48" s="580"/>
      <c r="AD48" s="33">
        <f t="shared" si="6"/>
        <v>0</v>
      </c>
      <c r="AE48" s="33">
        <f t="shared" si="7"/>
        <v>-925</v>
      </c>
      <c r="AF48" s="101">
        <f t="shared" si="8"/>
        <v>-248</v>
      </c>
      <c r="AH48" s="19">
        <f t="shared" si="35"/>
        <v>-25</v>
      </c>
    </row>
    <row r="49" spans="2:34" ht="13" hidden="1" outlineLevel="2" x14ac:dyDescent="0.3">
      <c r="B49" s="31" t="s">
        <v>83</v>
      </c>
      <c r="C49" s="33">
        <v>5803</v>
      </c>
      <c r="D49" s="33">
        <v>5803</v>
      </c>
      <c r="E49" s="23">
        <v>0</v>
      </c>
      <c r="F49" s="23">
        <v>100</v>
      </c>
      <c r="G49" s="23">
        <v>0</v>
      </c>
      <c r="H49" s="23">
        <v>0</v>
      </c>
      <c r="I49" s="23">
        <v>0</v>
      </c>
      <c r="J49" s="23">
        <v>0</v>
      </c>
      <c r="K49" s="23">
        <f t="shared" si="0"/>
        <v>100</v>
      </c>
      <c r="L49" s="33">
        <f t="shared" si="1"/>
        <v>100</v>
      </c>
      <c r="M49" s="33">
        <f t="shared" si="2"/>
        <v>100</v>
      </c>
      <c r="N49" s="33">
        <v>5903</v>
      </c>
      <c r="O49" s="33">
        <v>7893</v>
      </c>
      <c r="P49" s="33">
        <v>-1879</v>
      </c>
      <c r="Q49" s="33">
        <v>6014</v>
      </c>
      <c r="R49" s="33">
        <v>5903</v>
      </c>
      <c r="S49" s="33">
        <f t="shared" si="3"/>
        <v>111</v>
      </c>
      <c r="T49" s="38">
        <f t="shared" si="4"/>
        <v>1.0188039979671353</v>
      </c>
      <c r="U49" s="59">
        <f t="shared" si="5"/>
        <v>6053</v>
      </c>
      <c r="V49" s="33">
        <v>150</v>
      </c>
      <c r="W49" s="33">
        <v>150</v>
      </c>
      <c r="X49" s="33"/>
      <c r="Y49" s="33"/>
      <c r="Z49" s="42"/>
      <c r="AA49" s="60"/>
      <c r="AB49" s="662"/>
      <c r="AC49" s="580"/>
      <c r="AD49" s="33">
        <f t="shared" si="6"/>
        <v>0</v>
      </c>
      <c r="AE49" s="33">
        <f t="shared" si="7"/>
        <v>6014</v>
      </c>
      <c r="AF49" s="101">
        <f t="shared" si="8"/>
        <v>111</v>
      </c>
      <c r="AH49" s="19">
        <f t="shared" si="35"/>
        <v>-39</v>
      </c>
    </row>
    <row r="50" spans="2:34" ht="13" hidden="1" outlineLevel="2" x14ac:dyDescent="0.3">
      <c r="B50" s="31" t="s">
        <v>84</v>
      </c>
      <c r="C50" s="33">
        <v>6021</v>
      </c>
      <c r="D50" s="33">
        <v>6021</v>
      </c>
      <c r="E50" s="23">
        <v>0</v>
      </c>
      <c r="F50" s="23">
        <v>0</v>
      </c>
      <c r="G50" s="23">
        <v>0</v>
      </c>
      <c r="H50" s="23">
        <v>0</v>
      </c>
      <c r="I50" s="23">
        <v>0</v>
      </c>
      <c r="J50" s="23">
        <v>0</v>
      </c>
      <c r="K50" s="23">
        <f t="shared" si="0"/>
        <v>0</v>
      </c>
      <c r="L50" s="33">
        <f t="shared" si="1"/>
        <v>0</v>
      </c>
      <c r="M50" s="33">
        <f t="shared" si="2"/>
        <v>0</v>
      </c>
      <c r="N50" s="33">
        <v>6021</v>
      </c>
      <c r="O50" s="33">
        <v>5985</v>
      </c>
      <c r="P50" s="33">
        <v>3</v>
      </c>
      <c r="Q50" s="33">
        <v>5988</v>
      </c>
      <c r="R50" s="33">
        <v>6021</v>
      </c>
      <c r="S50" s="33">
        <f t="shared" si="3"/>
        <v>-33</v>
      </c>
      <c r="T50" s="38">
        <f t="shared" si="4"/>
        <v>0.99451918285999008</v>
      </c>
      <c r="U50" s="59">
        <f t="shared" si="5"/>
        <v>6054</v>
      </c>
      <c r="V50" s="33">
        <v>33</v>
      </c>
      <c r="W50" s="33">
        <v>33</v>
      </c>
      <c r="X50" s="33"/>
      <c r="Y50" s="33"/>
      <c r="Z50" s="42"/>
      <c r="AA50" s="60"/>
      <c r="AB50" s="662"/>
      <c r="AC50" s="580"/>
      <c r="AD50" s="33">
        <f t="shared" si="6"/>
        <v>0</v>
      </c>
      <c r="AE50" s="33">
        <f t="shared" si="7"/>
        <v>5988</v>
      </c>
      <c r="AF50" s="101">
        <f t="shared" si="8"/>
        <v>-33</v>
      </c>
      <c r="AH50" s="19">
        <f t="shared" si="35"/>
        <v>-66</v>
      </c>
    </row>
    <row r="51" spans="2:34" ht="13" hidden="1" outlineLevel="2" x14ac:dyDescent="0.3">
      <c r="B51" s="31" t="s">
        <v>85</v>
      </c>
      <c r="C51" s="33">
        <v>3196</v>
      </c>
      <c r="D51" s="33">
        <v>3196</v>
      </c>
      <c r="E51" s="23">
        <v>0</v>
      </c>
      <c r="F51" s="23">
        <v>0</v>
      </c>
      <c r="G51" s="23">
        <v>0</v>
      </c>
      <c r="H51" s="23">
        <v>0</v>
      </c>
      <c r="I51" s="23">
        <v>0</v>
      </c>
      <c r="J51" s="23">
        <v>0</v>
      </c>
      <c r="K51" s="23">
        <f t="shared" si="0"/>
        <v>0</v>
      </c>
      <c r="L51" s="33">
        <f t="shared" si="1"/>
        <v>0</v>
      </c>
      <c r="M51" s="33">
        <f t="shared" si="2"/>
        <v>0</v>
      </c>
      <c r="N51" s="33">
        <v>3196</v>
      </c>
      <c r="O51" s="33">
        <v>3309</v>
      </c>
      <c r="P51" s="33">
        <v>-89</v>
      </c>
      <c r="Q51" s="33">
        <v>3220</v>
      </c>
      <c r="R51" s="33">
        <v>3196</v>
      </c>
      <c r="S51" s="33">
        <f t="shared" si="3"/>
        <v>24</v>
      </c>
      <c r="T51" s="38">
        <f t="shared" si="4"/>
        <v>1.0075093867334168</v>
      </c>
      <c r="U51" s="59">
        <f t="shared" si="5"/>
        <v>3196</v>
      </c>
      <c r="V51" s="33">
        <v>0</v>
      </c>
      <c r="W51" s="33">
        <v>0</v>
      </c>
      <c r="X51" s="33"/>
      <c r="Y51" s="33"/>
      <c r="Z51" s="42"/>
      <c r="AA51" s="60"/>
      <c r="AB51" s="662"/>
      <c r="AC51" s="580"/>
      <c r="AD51" s="33">
        <f t="shared" si="6"/>
        <v>0</v>
      </c>
      <c r="AE51" s="33">
        <f t="shared" si="7"/>
        <v>3220</v>
      </c>
      <c r="AF51" s="101">
        <f t="shared" si="8"/>
        <v>24</v>
      </c>
      <c r="AH51" s="19">
        <f t="shared" si="35"/>
        <v>24</v>
      </c>
    </row>
    <row r="52" spans="2:34" ht="13" hidden="1" outlineLevel="2" x14ac:dyDescent="0.3">
      <c r="B52" s="31" t="s">
        <v>86</v>
      </c>
      <c r="C52" s="33">
        <v>263</v>
      </c>
      <c r="D52" s="33">
        <v>263</v>
      </c>
      <c r="E52" s="23">
        <v>0</v>
      </c>
      <c r="F52" s="23">
        <v>0</v>
      </c>
      <c r="G52" s="23">
        <v>0</v>
      </c>
      <c r="H52" s="23">
        <v>0</v>
      </c>
      <c r="I52" s="23">
        <v>0</v>
      </c>
      <c r="J52" s="23">
        <v>0</v>
      </c>
      <c r="K52" s="23">
        <f t="shared" si="0"/>
        <v>0</v>
      </c>
      <c r="L52" s="33">
        <f t="shared" si="1"/>
        <v>0</v>
      </c>
      <c r="M52" s="33">
        <f t="shared" si="2"/>
        <v>0</v>
      </c>
      <c r="N52" s="33">
        <v>263</v>
      </c>
      <c r="O52" s="33">
        <v>262</v>
      </c>
      <c r="P52" s="33">
        <v>1</v>
      </c>
      <c r="Q52" s="33">
        <v>263</v>
      </c>
      <c r="R52" s="33">
        <v>263</v>
      </c>
      <c r="S52" s="33">
        <f t="shared" si="3"/>
        <v>0</v>
      </c>
      <c r="T52" s="38">
        <f t="shared" si="4"/>
        <v>1</v>
      </c>
      <c r="U52" s="59">
        <f t="shared" si="5"/>
        <v>263</v>
      </c>
      <c r="V52" s="33">
        <v>0</v>
      </c>
      <c r="W52" s="33">
        <v>0</v>
      </c>
      <c r="X52" s="33"/>
      <c r="Y52" s="33"/>
      <c r="Z52" s="42"/>
      <c r="AA52" s="60"/>
      <c r="AB52" s="662"/>
      <c r="AC52" s="580"/>
      <c r="AD52" s="33">
        <f t="shared" si="6"/>
        <v>0</v>
      </c>
      <c r="AE52" s="33">
        <f t="shared" si="7"/>
        <v>263</v>
      </c>
      <c r="AF52" s="101">
        <f t="shared" si="8"/>
        <v>0</v>
      </c>
      <c r="AH52" s="19">
        <f t="shared" si="35"/>
        <v>0</v>
      </c>
    </row>
    <row r="53" spans="2:34" ht="13" hidden="1" outlineLevel="2" x14ac:dyDescent="0.3">
      <c r="B53" s="31" t="s">
        <v>87</v>
      </c>
      <c r="C53" s="33">
        <v>0</v>
      </c>
      <c r="D53" s="33">
        <v>0</v>
      </c>
      <c r="E53" s="23">
        <v>0</v>
      </c>
      <c r="F53" s="23">
        <v>0</v>
      </c>
      <c r="G53" s="23">
        <v>0</v>
      </c>
      <c r="H53" s="23">
        <v>0</v>
      </c>
      <c r="I53" s="23">
        <v>0</v>
      </c>
      <c r="J53" s="23">
        <v>0</v>
      </c>
      <c r="K53" s="23">
        <f t="shared" si="0"/>
        <v>0</v>
      </c>
      <c r="L53" s="33">
        <f t="shared" si="1"/>
        <v>0</v>
      </c>
      <c r="M53" s="33">
        <f t="shared" si="2"/>
        <v>0</v>
      </c>
      <c r="N53" s="33">
        <v>0</v>
      </c>
      <c r="O53" s="33">
        <v>2080</v>
      </c>
      <c r="P53" s="33">
        <v>-2080</v>
      </c>
      <c r="Q53" s="33">
        <v>0</v>
      </c>
      <c r="R53" s="33">
        <v>0</v>
      </c>
      <c r="S53" s="33">
        <f t="shared" si="3"/>
        <v>0</v>
      </c>
      <c r="T53" s="38" t="str">
        <f t="shared" si="4"/>
        <v>∞</v>
      </c>
      <c r="U53" s="59">
        <f t="shared" si="5"/>
        <v>0</v>
      </c>
      <c r="V53" s="33">
        <v>0</v>
      </c>
      <c r="W53" s="33">
        <v>0</v>
      </c>
      <c r="X53" s="33"/>
      <c r="Y53" s="33"/>
      <c r="Z53" s="42"/>
      <c r="AA53" s="60"/>
      <c r="AB53" s="662"/>
      <c r="AC53" s="580"/>
      <c r="AD53" s="33">
        <f t="shared" si="6"/>
        <v>0</v>
      </c>
      <c r="AE53" s="33">
        <f t="shared" si="7"/>
        <v>0</v>
      </c>
      <c r="AF53" s="101">
        <f t="shared" si="8"/>
        <v>0</v>
      </c>
      <c r="AH53" s="19">
        <f t="shared" si="35"/>
        <v>0</v>
      </c>
    </row>
    <row r="54" spans="2:34" ht="13" hidden="1" outlineLevel="2" x14ac:dyDescent="0.3">
      <c r="B54" s="31" t="s">
        <v>88</v>
      </c>
      <c r="C54" s="33">
        <v>-1960</v>
      </c>
      <c r="D54" s="33">
        <v>-1960</v>
      </c>
      <c r="E54" s="23">
        <v>0</v>
      </c>
      <c r="F54" s="23">
        <v>0</v>
      </c>
      <c r="G54" s="23">
        <v>0</v>
      </c>
      <c r="H54" s="23">
        <v>0</v>
      </c>
      <c r="I54" s="23">
        <v>0</v>
      </c>
      <c r="J54" s="23">
        <v>0</v>
      </c>
      <c r="K54" s="23">
        <f t="shared" si="0"/>
        <v>0</v>
      </c>
      <c r="L54" s="33">
        <f t="shared" si="1"/>
        <v>2149</v>
      </c>
      <c r="M54" s="33">
        <f t="shared" si="2"/>
        <v>2149</v>
      </c>
      <c r="N54" s="33">
        <f>-1960+2149</f>
        <v>189</v>
      </c>
      <c r="O54" s="33">
        <v>113</v>
      </c>
      <c r="P54" s="33">
        <v>0</v>
      </c>
      <c r="Q54" s="33">
        <v>113</v>
      </c>
      <c r="R54" s="33">
        <v>-1960</v>
      </c>
      <c r="S54" s="33">
        <f t="shared" si="3"/>
        <v>2073</v>
      </c>
      <c r="T54" s="38">
        <f t="shared" si="4"/>
        <v>0.59788359788359791</v>
      </c>
      <c r="U54" s="59">
        <f t="shared" si="5"/>
        <v>189</v>
      </c>
      <c r="V54" s="33">
        <v>0</v>
      </c>
      <c r="W54" s="33">
        <v>0</v>
      </c>
      <c r="X54" s="33"/>
      <c r="Y54" s="33"/>
      <c r="Z54" s="42"/>
      <c r="AA54" s="60"/>
      <c r="AB54" s="662"/>
      <c r="AC54" s="580"/>
      <c r="AD54" s="33">
        <f t="shared" si="6"/>
        <v>0</v>
      </c>
      <c r="AE54" s="33">
        <f t="shared" si="7"/>
        <v>113</v>
      </c>
      <c r="AF54" s="101">
        <f t="shared" si="8"/>
        <v>-76</v>
      </c>
      <c r="AH54" s="19">
        <f t="shared" si="35"/>
        <v>-76</v>
      </c>
    </row>
    <row r="55" spans="2:34" ht="13" hidden="1" outlineLevel="2" x14ac:dyDescent="0.3">
      <c r="B55" s="31" t="s">
        <v>89</v>
      </c>
      <c r="C55" s="33">
        <v>-1086</v>
      </c>
      <c r="D55" s="33">
        <v>-1086</v>
      </c>
      <c r="E55" s="23">
        <v>0</v>
      </c>
      <c r="F55" s="23">
        <v>0</v>
      </c>
      <c r="G55" s="23">
        <v>0</v>
      </c>
      <c r="H55" s="23">
        <v>0</v>
      </c>
      <c r="I55" s="23">
        <v>0</v>
      </c>
      <c r="J55" s="23">
        <v>0</v>
      </c>
      <c r="K55" s="23">
        <f t="shared" si="0"/>
        <v>0</v>
      </c>
      <c r="L55" s="33">
        <f t="shared" si="1"/>
        <v>0</v>
      </c>
      <c r="M55" s="33">
        <f t="shared" si="2"/>
        <v>0</v>
      </c>
      <c r="N55" s="33">
        <v>-1086</v>
      </c>
      <c r="O55" s="33">
        <v>818</v>
      </c>
      <c r="P55" s="33">
        <v>-12</v>
      </c>
      <c r="Q55" s="33">
        <v>806</v>
      </c>
      <c r="R55" s="33">
        <v>-1086</v>
      </c>
      <c r="S55" s="33">
        <f t="shared" si="3"/>
        <v>1892</v>
      </c>
      <c r="T55" s="38">
        <f t="shared" si="4"/>
        <v>-0.74217311233885819</v>
      </c>
      <c r="U55" s="59">
        <f t="shared" si="5"/>
        <v>-1086</v>
      </c>
      <c r="V55" s="33">
        <v>0</v>
      </c>
      <c r="W55" s="33">
        <v>0</v>
      </c>
      <c r="X55" s="33"/>
      <c r="Y55" s="33"/>
      <c r="Z55" s="42"/>
      <c r="AA55" s="60"/>
      <c r="AB55" s="662"/>
      <c r="AC55" s="580"/>
      <c r="AD55" s="33">
        <f t="shared" si="6"/>
        <v>0</v>
      </c>
      <c r="AE55" s="33">
        <f t="shared" si="7"/>
        <v>806</v>
      </c>
      <c r="AF55" s="101">
        <f t="shared" si="8"/>
        <v>1892</v>
      </c>
      <c r="AH55" s="19">
        <f t="shared" si="35"/>
        <v>1892</v>
      </c>
    </row>
    <row r="56" spans="2:34" ht="13" hidden="1" outlineLevel="2" x14ac:dyDescent="0.3">
      <c r="B56" s="31" t="s">
        <v>90</v>
      </c>
      <c r="C56" s="33">
        <v>71</v>
      </c>
      <c r="D56" s="33">
        <v>71</v>
      </c>
      <c r="E56" s="23">
        <v>0</v>
      </c>
      <c r="F56" s="23">
        <v>0</v>
      </c>
      <c r="G56" s="23">
        <v>0</v>
      </c>
      <c r="H56" s="23">
        <v>0</v>
      </c>
      <c r="I56" s="23">
        <v>0</v>
      </c>
      <c r="J56" s="23">
        <v>0</v>
      </c>
      <c r="K56" s="23">
        <f t="shared" si="0"/>
        <v>0</v>
      </c>
      <c r="L56" s="33">
        <f t="shared" si="1"/>
        <v>0</v>
      </c>
      <c r="M56" s="33">
        <f t="shared" si="2"/>
        <v>0</v>
      </c>
      <c r="N56" s="33">
        <v>71</v>
      </c>
      <c r="O56" s="33">
        <v>162</v>
      </c>
      <c r="P56" s="33">
        <v>-90</v>
      </c>
      <c r="Q56" s="33">
        <v>72</v>
      </c>
      <c r="R56" s="33">
        <v>71</v>
      </c>
      <c r="S56" s="33">
        <f t="shared" si="3"/>
        <v>1</v>
      </c>
      <c r="T56" s="38">
        <f t="shared" si="4"/>
        <v>1.0140845070422535</v>
      </c>
      <c r="U56" s="59">
        <f t="shared" si="5"/>
        <v>71</v>
      </c>
      <c r="V56" s="33">
        <v>0</v>
      </c>
      <c r="W56" s="33">
        <v>0</v>
      </c>
      <c r="X56" s="33"/>
      <c r="Y56" s="33"/>
      <c r="Z56" s="42"/>
      <c r="AA56" s="60"/>
      <c r="AB56" s="662"/>
      <c r="AC56" s="580"/>
      <c r="AD56" s="33">
        <f t="shared" si="6"/>
        <v>0</v>
      </c>
      <c r="AE56" s="33">
        <f t="shared" si="7"/>
        <v>72</v>
      </c>
      <c r="AF56" s="101">
        <f t="shared" si="8"/>
        <v>1</v>
      </c>
      <c r="AH56" s="19">
        <f t="shared" si="35"/>
        <v>1</v>
      </c>
    </row>
    <row r="57" spans="2:34" ht="13" hidden="1" outlineLevel="2" x14ac:dyDescent="0.3">
      <c r="B57" s="31" t="s">
        <v>91</v>
      </c>
      <c r="C57" s="33">
        <v>-226</v>
      </c>
      <c r="D57" s="33">
        <v>83</v>
      </c>
      <c r="E57" s="23">
        <v>0</v>
      </c>
      <c r="F57" s="23">
        <v>0</v>
      </c>
      <c r="G57" s="23">
        <v>309</v>
      </c>
      <c r="H57" s="23">
        <v>0</v>
      </c>
      <c r="I57" s="23">
        <v>0</v>
      </c>
      <c r="J57" s="23">
        <v>0</v>
      </c>
      <c r="K57" s="23">
        <f t="shared" si="0"/>
        <v>309</v>
      </c>
      <c r="L57" s="33">
        <f t="shared" si="1"/>
        <v>0</v>
      </c>
      <c r="M57" s="33">
        <f t="shared" si="2"/>
        <v>309</v>
      </c>
      <c r="N57" s="33">
        <v>83</v>
      </c>
      <c r="O57" s="33">
        <v>637</v>
      </c>
      <c r="P57" s="33">
        <v>-398</v>
      </c>
      <c r="Q57" s="33">
        <v>239</v>
      </c>
      <c r="R57" s="33">
        <v>83</v>
      </c>
      <c r="S57" s="33">
        <f t="shared" si="3"/>
        <v>156</v>
      </c>
      <c r="T57" s="38">
        <f t="shared" si="4"/>
        <v>2.8795180722891565</v>
      </c>
      <c r="U57" s="59">
        <f t="shared" si="5"/>
        <v>72</v>
      </c>
      <c r="V57" s="33">
        <v>-11</v>
      </c>
      <c r="W57" s="33">
        <v>-11</v>
      </c>
      <c r="X57" s="33"/>
      <c r="Y57" s="33"/>
      <c r="Z57" s="42"/>
      <c r="AA57" s="60"/>
      <c r="AB57" s="662"/>
      <c r="AC57" s="580"/>
      <c r="AD57" s="33">
        <f t="shared" si="6"/>
        <v>0</v>
      </c>
      <c r="AE57" s="33">
        <f t="shared" si="7"/>
        <v>239</v>
      </c>
      <c r="AF57" s="101">
        <f t="shared" si="8"/>
        <v>156</v>
      </c>
      <c r="AH57" s="19">
        <f t="shared" si="35"/>
        <v>167</v>
      </c>
    </row>
    <row r="58" spans="2:34" ht="13.5" outlineLevel="1" collapsed="1" thickTop="1" x14ac:dyDescent="0.3">
      <c r="B58" s="32" t="s">
        <v>92</v>
      </c>
      <c r="C58" s="34">
        <f t="shared" ref="C58:J58" si="46">SUBTOTAL(9,C48:C57)</f>
        <v>11405</v>
      </c>
      <c r="D58" s="34">
        <f t="shared" si="46"/>
        <v>11714</v>
      </c>
      <c r="E58" s="24">
        <f t="shared" si="46"/>
        <v>0</v>
      </c>
      <c r="F58" s="24">
        <f t="shared" si="46"/>
        <v>100</v>
      </c>
      <c r="G58" s="24">
        <f t="shared" si="46"/>
        <v>309</v>
      </c>
      <c r="H58" s="24">
        <f t="shared" si="46"/>
        <v>0</v>
      </c>
      <c r="I58" s="24">
        <f t="shared" si="46"/>
        <v>0</v>
      </c>
      <c r="J58" s="24">
        <f t="shared" si="46"/>
        <v>0</v>
      </c>
      <c r="K58" s="24">
        <f>SUM(E58:J58)</f>
        <v>409</v>
      </c>
      <c r="L58" s="34">
        <f t="shared" ref="L58:L59" si="47">N58-D58</f>
        <v>2249</v>
      </c>
      <c r="M58" s="34">
        <f t="shared" ref="M58:M59" si="48">N58-C58</f>
        <v>2558</v>
      </c>
      <c r="N58" s="34">
        <f>SUBTOTAL(9,N48:N57)</f>
        <v>13963</v>
      </c>
      <c r="O58" s="34">
        <f>SUBTOTAL(9,O48:O57)</f>
        <v>26017</v>
      </c>
      <c r="P58" s="34">
        <f>SUBTOTAL(9,P48:P57)</f>
        <v>-10227</v>
      </c>
      <c r="Q58" s="34">
        <f>SUBTOTAL(9,Q48:Q57)</f>
        <v>15790</v>
      </c>
      <c r="R58" s="34">
        <f>SUBTOTAL(9,R48:R57)</f>
        <v>11814</v>
      </c>
      <c r="S58" s="34">
        <f>Q58-R58</f>
        <v>3976</v>
      </c>
      <c r="T58" s="38">
        <f>IFERROR((Q58/N58)*100%,"∞")</f>
        <v>1.1308458067750484</v>
      </c>
      <c r="U58" s="59">
        <f>N58+V58</f>
        <v>13912</v>
      </c>
      <c r="V58" s="34">
        <f>SUBTOTAL(9,V48:V57)</f>
        <v>-51</v>
      </c>
      <c r="W58" s="34">
        <f>SUBTOTAL(9,W48:W57)</f>
        <v>-51</v>
      </c>
      <c r="X58" s="34"/>
      <c r="Y58" s="34"/>
      <c r="Z58" s="41"/>
      <c r="AA58" s="60"/>
      <c r="AB58" s="641">
        <f t="shared" ref="AB58:AC58" si="49">SUBTOTAL(9,AB48:AB57)</f>
        <v>0</v>
      </c>
      <c r="AC58" s="641">
        <f t="shared" si="49"/>
        <v>0</v>
      </c>
      <c r="AD58" s="34"/>
      <c r="AE58" s="34"/>
      <c r="AF58" s="103"/>
      <c r="AH58" s="19">
        <f t="shared" si="35"/>
        <v>51</v>
      </c>
    </row>
    <row r="59" spans="2:34" ht="13.5" customHeight="1" thickBot="1" x14ac:dyDescent="0.35">
      <c r="B59" s="53" t="s">
        <v>93</v>
      </c>
      <c r="C59" s="35">
        <f t="shared" ref="C59:J59" si="50">SUBTOTAL(9,C48:C58)</f>
        <v>11405</v>
      </c>
      <c r="D59" s="35">
        <f t="shared" si="50"/>
        <v>11714</v>
      </c>
      <c r="E59" s="25">
        <f t="shared" si="50"/>
        <v>0</v>
      </c>
      <c r="F59" s="25">
        <f t="shared" si="50"/>
        <v>100</v>
      </c>
      <c r="G59" s="25">
        <f t="shared" si="50"/>
        <v>309</v>
      </c>
      <c r="H59" s="25">
        <f t="shared" si="50"/>
        <v>0</v>
      </c>
      <c r="I59" s="25">
        <f t="shared" si="50"/>
        <v>0</v>
      </c>
      <c r="J59" s="25">
        <f t="shared" si="50"/>
        <v>0</v>
      </c>
      <c r="K59" s="25">
        <f>SUM(E59:J59)</f>
        <v>409</v>
      </c>
      <c r="L59" s="35">
        <f t="shared" si="47"/>
        <v>2249</v>
      </c>
      <c r="M59" s="35">
        <f t="shared" si="48"/>
        <v>2558</v>
      </c>
      <c r="N59" s="35">
        <f>SUBTOTAL(9,N48:N58)</f>
        <v>13963</v>
      </c>
      <c r="O59" s="35">
        <f>SUBTOTAL(9,O48:O58)</f>
        <v>26017</v>
      </c>
      <c r="P59" s="35">
        <f>SUBTOTAL(9,P48:P58)</f>
        <v>-10227</v>
      </c>
      <c r="Q59" s="35">
        <f>SUBTOTAL(9,Q48:Q58)</f>
        <v>15790</v>
      </c>
      <c r="R59" s="35">
        <f>SUBTOTAL(9,R48:R58)</f>
        <v>11814</v>
      </c>
      <c r="S59" s="35">
        <f>Q59-R59</f>
        <v>3976</v>
      </c>
      <c r="T59" s="39">
        <f>IFERROR((Q59/N59)*100%,"∞")</f>
        <v>1.1308458067750484</v>
      </c>
      <c r="U59" s="54">
        <f>N59+V59</f>
        <v>13912</v>
      </c>
      <c r="V59" s="35">
        <f>SUBTOTAL(9,V48:V58)</f>
        <v>-51</v>
      </c>
      <c r="W59" s="35">
        <f>SUBTOTAL(9,W48:W58)</f>
        <v>-51</v>
      </c>
      <c r="X59" s="35"/>
      <c r="Y59" s="35"/>
      <c r="Z59" s="43"/>
      <c r="AA59" s="60"/>
      <c r="AB59" s="664">
        <f t="shared" ref="AB59:AC59" si="51">SUBTOTAL(9,AB48:AB58)</f>
        <v>0</v>
      </c>
      <c r="AC59" s="664">
        <f t="shared" si="51"/>
        <v>0</v>
      </c>
      <c r="AD59" s="35">
        <f>SUM(AB59:AC59)</f>
        <v>0</v>
      </c>
      <c r="AE59" s="35">
        <f>Q59+AD59</f>
        <v>15790</v>
      </c>
      <c r="AF59" s="43">
        <f>AE59-N59</f>
        <v>1827</v>
      </c>
      <c r="AH59" s="19">
        <f t="shared" si="35"/>
        <v>1878</v>
      </c>
    </row>
    <row r="60" spans="2:34" ht="13.5" hidden="1" outlineLevel="2" thickTop="1" x14ac:dyDescent="0.3">
      <c r="B60" s="31" t="s">
        <v>94</v>
      </c>
      <c r="C60" s="33">
        <v>250</v>
      </c>
      <c r="D60" s="33">
        <v>356</v>
      </c>
      <c r="E60" s="23">
        <v>60</v>
      </c>
      <c r="F60" s="23">
        <v>0</v>
      </c>
      <c r="G60" s="23">
        <v>2</v>
      </c>
      <c r="H60" s="23">
        <v>-8</v>
      </c>
      <c r="I60" s="23">
        <v>44</v>
      </c>
      <c r="J60" s="23">
        <v>-60</v>
      </c>
      <c r="K60" s="23">
        <f t="shared" si="0"/>
        <v>38</v>
      </c>
      <c r="L60" s="33">
        <f t="shared" si="1"/>
        <v>-68</v>
      </c>
      <c r="M60" s="33">
        <f t="shared" si="2"/>
        <v>38</v>
      </c>
      <c r="N60" s="33">
        <v>288</v>
      </c>
      <c r="O60" s="33">
        <v>470</v>
      </c>
      <c r="P60" s="33">
        <v>0</v>
      </c>
      <c r="Q60" s="33">
        <v>470</v>
      </c>
      <c r="R60" s="33">
        <v>288</v>
      </c>
      <c r="S60" s="33">
        <f t="shared" si="3"/>
        <v>182</v>
      </c>
      <c r="T60" s="38">
        <f t="shared" si="4"/>
        <v>1.6319444444444444</v>
      </c>
      <c r="U60" s="59">
        <f t="shared" si="5"/>
        <v>438</v>
      </c>
      <c r="V60" s="33">
        <v>150</v>
      </c>
      <c r="W60" s="33">
        <v>150</v>
      </c>
      <c r="X60" s="33"/>
      <c r="Y60" s="33"/>
      <c r="Z60" s="42"/>
      <c r="AA60" s="60"/>
      <c r="AB60" s="662"/>
      <c r="AC60" s="580"/>
      <c r="AD60" s="33">
        <f t="shared" si="6"/>
        <v>0</v>
      </c>
      <c r="AE60" s="33">
        <f t="shared" si="7"/>
        <v>470</v>
      </c>
      <c r="AF60" s="101">
        <f t="shared" si="8"/>
        <v>182</v>
      </c>
      <c r="AH60" s="19"/>
    </row>
    <row r="61" spans="2:34" ht="13" hidden="1" outlineLevel="2" x14ac:dyDescent="0.3">
      <c r="B61" s="31" t="s">
        <v>95</v>
      </c>
      <c r="C61" s="33">
        <v>129</v>
      </c>
      <c r="D61" s="33">
        <v>125</v>
      </c>
      <c r="E61" s="23">
        <v>0</v>
      </c>
      <c r="F61" s="23">
        <v>0</v>
      </c>
      <c r="G61" s="23">
        <v>-4</v>
      </c>
      <c r="H61" s="23">
        <v>0</v>
      </c>
      <c r="I61" s="23">
        <v>0</v>
      </c>
      <c r="J61" s="23">
        <v>0</v>
      </c>
      <c r="K61" s="23">
        <f t="shared" si="0"/>
        <v>-4</v>
      </c>
      <c r="L61" s="33">
        <f t="shared" si="1"/>
        <v>0</v>
      </c>
      <c r="M61" s="33">
        <f t="shared" si="2"/>
        <v>-4</v>
      </c>
      <c r="N61" s="33">
        <v>125</v>
      </c>
      <c r="O61" s="33">
        <v>123</v>
      </c>
      <c r="P61" s="33">
        <v>0</v>
      </c>
      <c r="Q61" s="33">
        <v>123</v>
      </c>
      <c r="R61" s="33">
        <v>125</v>
      </c>
      <c r="S61" s="33">
        <f t="shared" si="3"/>
        <v>-2</v>
      </c>
      <c r="T61" s="38">
        <f t="shared" si="4"/>
        <v>0.98399999999999999</v>
      </c>
      <c r="U61" s="59">
        <f t="shared" si="5"/>
        <v>125</v>
      </c>
      <c r="V61" s="33">
        <v>0</v>
      </c>
      <c r="W61" s="33">
        <v>0</v>
      </c>
      <c r="X61" s="33"/>
      <c r="Y61" s="33"/>
      <c r="Z61" s="42"/>
      <c r="AA61" s="60"/>
      <c r="AB61" s="662"/>
      <c r="AC61" s="580"/>
      <c r="AD61" s="33">
        <f t="shared" si="6"/>
        <v>0</v>
      </c>
      <c r="AE61" s="33">
        <f t="shared" si="7"/>
        <v>123</v>
      </c>
      <c r="AF61" s="101">
        <f t="shared" si="8"/>
        <v>-2</v>
      </c>
      <c r="AH61" s="19"/>
    </row>
    <row r="62" spans="2:34" ht="13" hidden="1" outlineLevel="2" x14ac:dyDescent="0.3">
      <c r="B62" s="31" t="s">
        <v>96</v>
      </c>
      <c r="C62" s="33">
        <v>4149</v>
      </c>
      <c r="D62" s="33">
        <v>4263</v>
      </c>
      <c r="E62" s="23">
        <v>100</v>
      </c>
      <c r="F62" s="23">
        <v>-85</v>
      </c>
      <c r="G62" s="23">
        <v>15</v>
      </c>
      <c r="H62" s="23">
        <v>-50</v>
      </c>
      <c r="I62" s="23">
        <v>0</v>
      </c>
      <c r="J62" s="23">
        <v>60</v>
      </c>
      <c r="K62" s="23">
        <f t="shared" si="0"/>
        <v>40</v>
      </c>
      <c r="L62" s="33">
        <f t="shared" si="1"/>
        <v>-75</v>
      </c>
      <c r="M62" s="33">
        <f t="shared" si="2"/>
        <v>39</v>
      </c>
      <c r="N62" s="33">
        <v>4188</v>
      </c>
      <c r="O62" s="33">
        <v>4351</v>
      </c>
      <c r="P62" s="33">
        <v>-7</v>
      </c>
      <c r="Q62" s="33">
        <v>4344</v>
      </c>
      <c r="R62" s="33">
        <v>4188</v>
      </c>
      <c r="S62" s="33">
        <f t="shared" si="3"/>
        <v>156</v>
      </c>
      <c r="T62" s="38">
        <f t="shared" si="4"/>
        <v>1.0372492836676217</v>
      </c>
      <c r="U62" s="59">
        <f t="shared" si="5"/>
        <v>4305</v>
      </c>
      <c r="V62" s="33">
        <v>117</v>
      </c>
      <c r="W62" s="33">
        <v>117</v>
      </c>
      <c r="X62" s="33"/>
      <c r="Y62" s="33"/>
      <c r="Z62" s="42"/>
      <c r="AA62" s="60"/>
      <c r="AB62" s="662">
        <f>30-15</f>
        <v>15</v>
      </c>
      <c r="AC62" s="580"/>
      <c r="AD62" s="33">
        <f t="shared" si="6"/>
        <v>15</v>
      </c>
      <c r="AE62" s="33">
        <f t="shared" si="7"/>
        <v>4359</v>
      </c>
      <c r="AF62" s="101">
        <f t="shared" si="8"/>
        <v>171</v>
      </c>
      <c r="AH62" s="19"/>
    </row>
    <row r="63" spans="2:34" ht="13" hidden="1" outlineLevel="2" x14ac:dyDescent="0.3">
      <c r="B63" s="31" t="s">
        <v>97</v>
      </c>
      <c r="C63" s="33">
        <v>2817</v>
      </c>
      <c r="D63" s="33">
        <v>2777</v>
      </c>
      <c r="E63" s="23">
        <v>0</v>
      </c>
      <c r="F63" s="23">
        <v>0</v>
      </c>
      <c r="G63" s="23">
        <v>-39</v>
      </c>
      <c r="H63" s="23">
        <v>0</v>
      </c>
      <c r="I63" s="23">
        <v>0</v>
      </c>
      <c r="J63" s="23">
        <v>0</v>
      </c>
      <c r="K63" s="23">
        <f t="shared" si="0"/>
        <v>-39</v>
      </c>
      <c r="L63" s="33">
        <f t="shared" si="1"/>
        <v>0</v>
      </c>
      <c r="M63" s="33">
        <f t="shared" si="2"/>
        <v>-40</v>
      </c>
      <c r="N63" s="33">
        <v>2777</v>
      </c>
      <c r="O63" s="33">
        <v>2897</v>
      </c>
      <c r="P63" s="33">
        <v>-90</v>
      </c>
      <c r="Q63" s="33">
        <v>2806</v>
      </c>
      <c r="R63" s="33">
        <v>2777</v>
      </c>
      <c r="S63" s="33">
        <f t="shared" si="3"/>
        <v>29</v>
      </c>
      <c r="T63" s="38">
        <f t="shared" si="4"/>
        <v>1.0104429240187252</v>
      </c>
      <c r="U63" s="59">
        <f t="shared" si="5"/>
        <v>2793</v>
      </c>
      <c r="V63" s="33">
        <v>16</v>
      </c>
      <c r="W63" s="33">
        <v>16</v>
      </c>
      <c r="X63" s="33"/>
      <c r="Y63" s="33"/>
      <c r="Z63" s="42"/>
      <c r="AA63" s="60"/>
      <c r="AB63" s="662"/>
      <c r="AC63" s="580"/>
      <c r="AD63" s="33">
        <f t="shared" si="6"/>
        <v>0</v>
      </c>
      <c r="AE63" s="33">
        <f t="shared" si="7"/>
        <v>2806</v>
      </c>
      <c r="AF63" s="101">
        <f t="shared" si="8"/>
        <v>29</v>
      </c>
      <c r="AH63" s="19"/>
    </row>
    <row r="64" spans="2:34" ht="13" hidden="1" outlineLevel="2" x14ac:dyDescent="0.3">
      <c r="B64" s="31" t="s">
        <v>98</v>
      </c>
      <c r="C64" s="33">
        <v>1607</v>
      </c>
      <c r="D64" s="33">
        <v>1549</v>
      </c>
      <c r="E64" s="23">
        <v>0</v>
      </c>
      <c r="F64" s="23">
        <v>-151</v>
      </c>
      <c r="G64" s="23">
        <v>-17</v>
      </c>
      <c r="H64" s="23">
        <v>0</v>
      </c>
      <c r="I64" s="23">
        <v>-41</v>
      </c>
      <c r="J64" s="23">
        <v>128</v>
      </c>
      <c r="K64" s="23">
        <f t="shared" si="0"/>
        <v>-81</v>
      </c>
      <c r="L64" s="33">
        <f t="shared" si="1"/>
        <v>-23</v>
      </c>
      <c r="M64" s="33">
        <f t="shared" si="2"/>
        <v>-81</v>
      </c>
      <c r="N64" s="33">
        <v>1526</v>
      </c>
      <c r="O64" s="33">
        <v>1549</v>
      </c>
      <c r="P64" s="33">
        <v>-56</v>
      </c>
      <c r="Q64" s="33">
        <v>1494</v>
      </c>
      <c r="R64" s="33">
        <v>1526</v>
      </c>
      <c r="S64" s="33">
        <f t="shared" si="3"/>
        <v>-32</v>
      </c>
      <c r="T64" s="38">
        <f t="shared" si="4"/>
        <v>0.9790301441677588</v>
      </c>
      <c r="U64" s="59">
        <f t="shared" si="5"/>
        <v>1503</v>
      </c>
      <c r="V64" s="33">
        <v>-23</v>
      </c>
      <c r="W64" s="33">
        <v>-23</v>
      </c>
      <c r="X64" s="33"/>
      <c r="Y64" s="33"/>
      <c r="Z64" s="42"/>
      <c r="AA64" s="60"/>
      <c r="AB64" s="662">
        <v>15</v>
      </c>
      <c r="AC64" s="580"/>
      <c r="AD64" s="33">
        <f t="shared" si="6"/>
        <v>15</v>
      </c>
      <c r="AE64" s="33">
        <f t="shared" si="7"/>
        <v>1509</v>
      </c>
      <c r="AF64" s="101">
        <f t="shared" si="8"/>
        <v>-17</v>
      </c>
      <c r="AH64" s="19"/>
    </row>
    <row r="65" spans="2:34" ht="13.5" outlineLevel="1" collapsed="1" thickTop="1" x14ac:dyDescent="0.3">
      <c r="B65" s="32" t="s">
        <v>100</v>
      </c>
      <c r="C65" s="34">
        <f t="shared" ref="C65:J65" si="52">SUBTOTAL(9,C60:C64)</f>
        <v>8952</v>
      </c>
      <c r="D65" s="34">
        <f t="shared" si="52"/>
        <v>9070</v>
      </c>
      <c r="E65" s="24">
        <f t="shared" si="52"/>
        <v>160</v>
      </c>
      <c r="F65" s="24">
        <f t="shared" si="52"/>
        <v>-236</v>
      </c>
      <c r="G65" s="24">
        <f t="shared" si="52"/>
        <v>-43</v>
      </c>
      <c r="H65" s="24">
        <f t="shared" si="52"/>
        <v>-58</v>
      </c>
      <c r="I65" s="24">
        <f t="shared" si="52"/>
        <v>3</v>
      </c>
      <c r="J65" s="24">
        <f t="shared" si="52"/>
        <v>128</v>
      </c>
      <c r="K65" s="24">
        <f>SUM(E65:J65)</f>
        <v>-46</v>
      </c>
      <c r="L65" s="34">
        <f t="shared" ref="L65" si="53">N65-D65</f>
        <v>-166</v>
      </c>
      <c r="M65" s="34">
        <f t="shared" ref="M65" si="54">N65-C65</f>
        <v>-48</v>
      </c>
      <c r="N65" s="34">
        <f>SUBTOTAL(9,N60:N64)</f>
        <v>8904</v>
      </c>
      <c r="O65" s="34">
        <f>SUBTOTAL(9,O60:O64)</f>
        <v>9390</v>
      </c>
      <c r="P65" s="34">
        <f>SUBTOTAL(9,P60:P64)</f>
        <v>-153</v>
      </c>
      <c r="Q65" s="34">
        <f>SUBTOTAL(9,Q60:Q64)</f>
        <v>9237</v>
      </c>
      <c r="R65" s="34">
        <f>SUBTOTAL(9,R60:R64)</f>
        <v>8904</v>
      </c>
      <c r="S65" s="34">
        <f>Q65-R65</f>
        <v>333</v>
      </c>
      <c r="T65" s="38">
        <f>IFERROR((Q65/N65)*100%,"∞")</f>
        <v>1.0373989218328841</v>
      </c>
      <c r="U65" s="59">
        <f>N65+V65</f>
        <v>9164</v>
      </c>
      <c r="V65" s="34">
        <f>SUBTOTAL(9,V60:V64)</f>
        <v>260</v>
      </c>
      <c r="W65" s="34">
        <f>SUBTOTAL(9,W60:W64)</f>
        <v>260</v>
      </c>
      <c r="X65" s="34"/>
      <c r="Y65" s="34"/>
      <c r="Z65" s="41"/>
      <c r="AA65" s="60"/>
      <c r="AB65" s="641">
        <f t="shared" ref="AB65:AC65" si="55">SUBTOTAL(9,AB60:AB64)</f>
        <v>30</v>
      </c>
      <c r="AC65" s="641">
        <f t="shared" si="55"/>
        <v>0</v>
      </c>
      <c r="AD65" s="34"/>
      <c r="AE65" s="34"/>
      <c r="AF65" s="103"/>
      <c r="AH65" s="19"/>
    </row>
    <row r="66" spans="2:34" ht="13" outlineLevel="2" x14ac:dyDescent="0.3">
      <c r="B66" s="31" t="s">
        <v>101</v>
      </c>
      <c r="C66" s="33">
        <v>1124</v>
      </c>
      <c r="D66" s="33">
        <v>1108</v>
      </c>
      <c r="E66" s="23">
        <v>0</v>
      </c>
      <c r="F66" s="23">
        <v>0</v>
      </c>
      <c r="G66" s="23">
        <v>-21</v>
      </c>
      <c r="H66" s="23">
        <v>0</v>
      </c>
      <c r="I66" s="23">
        <v>5</v>
      </c>
      <c r="J66" s="23">
        <v>0</v>
      </c>
      <c r="K66" s="23">
        <f t="shared" si="0"/>
        <v>-16</v>
      </c>
      <c r="L66" s="33">
        <f t="shared" si="1"/>
        <v>0</v>
      </c>
      <c r="M66" s="33">
        <f t="shared" si="2"/>
        <v>-16</v>
      </c>
      <c r="N66" s="33">
        <v>1108</v>
      </c>
      <c r="O66" s="33">
        <v>1298</v>
      </c>
      <c r="P66" s="33">
        <v>-228</v>
      </c>
      <c r="Q66" s="33">
        <v>1070</v>
      </c>
      <c r="R66" s="33">
        <v>1108</v>
      </c>
      <c r="S66" s="33">
        <f t="shared" si="3"/>
        <v>-38</v>
      </c>
      <c r="T66" s="38">
        <f t="shared" si="4"/>
        <v>0.96570397111913353</v>
      </c>
      <c r="U66" s="59">
        <f t="shared" si="5"/>
        <v>1108</v>
      </c>
      <c r="V66" s="33">
        <v>0</v>
      </c>
      <c r="W66" s="33">
        <v>0</v>
      </c>
      <c r="X66" s="33"/>
      <c r="Y66" s="33"/>
      <c r="Z66" s="42"/>
      <c r="AA66" s="60"/>
      <c r="AB66" s="662"/>
      <c r="AC66" s="580"/>
      <c r="AD66" s="33">
        <f t="shared" si="6"/>
        <v>0</v>
      </c>
      <c r="AE66" s="33">
        <f t="shared" si="7"/>
        <v>1070</v>
      </c>
      <c r="AF66" s="101">
        <f t="shared" si="8"/>
        <v>-38</v>
      </c>
      <c r="AH66" s="19"/>
    </row>
    <row r="67" spans="2:34" ht="13" outlineLevel="2" x14ac:dyDescent="0.3">
      <c r="B67" s="31" t="s">
        <v>102</v>
      </c>
      <c r="C67" s="33">
        <v>230</v>
      </c>
      <c r="D67" s="33">
        <v>230</v>
      </c>
      <c r="E67" s="23">
        <v>0</v>
      </c>
      <c r="F67" s="23">
        <v>0</v>
      </c>
      <c r="G67" s="23">
        <v>0</v>
      </c>
      <c r="H67" s="23">
        <v>0</v>
      </c>
      <c r="I67" s="23">
        <v>0</v>
      </c>
      <c r="J67" s="23">
        <v>0</v>
      </c>
      <c r="K67" s="23">
        <f t="shared" si="0"/>
        <v>0</v>
      </c>
      <c r="L67" s="33">
        <f t="shared" si="1"/>
        <v>0</v>
      </c>
      <c r="M67" s="33">
        <f t="shared" si="2"/>
        <v>0</v>
      </c>
      <c r="N67" s="33">
        <v>230</v>
      </c>
      <c r="O67" s="33">
        <v>384</v>
      </c>
      <c r="P67" s="33">
        <v>-45</v>
      </c>
      <c r="Q67" s="33">
        <v>339</v>
      </c>
      <c r="R67" s="33">
        <v>230</v>
      </c>
      <c r="S67" s="33">
        <f t="shared" si="3"/>
        <v>109</v>
      </c>
      <c r="T67" s="38">
        <f t="shared" si="4"/>
        <v>1.4739130434782608</v>
      </c>
      <c r="U67" s="59">
        <f t="shared" si="5"/>
        <v>310</v>
      </c>
      <c r="V67" s="33">
        <v>80</v>
      </c>
      <c r="W67" s="33">
        <v>80</v>
      </c>
      <c r="X67" s="33"/>
      <c r="Y67" s="33"/>
      <c r="Z67" s="42"/>
      <c r="AA67" s="60"/>
      <c r="AB67" s="662"/>
      <c r="AC67" s="580"/>
      <c r="AD67" s="33">
        <f t="shared" si="6"/>
        <v>0</v>
      </c>
      <c r="AE67" s="33">
        <f t="shared" si="7"/>
        <v>339</v>
      </c>
      <c r="AF67" s="101">
        <f t="shared" si="8"/>
        <v>109</v>
      </c>
      <c r="AH67" s="19"/>
    </row>
    <row r="68" spans="2:34" ht="13" outlineLevel="2" x14ac:dyDescent="0.3">
      <c r="B68" s="31" t="s">
        <v>103</v>
      </c>
      <c r="C68" s="33">
        <v>145</v>
      </c>
      <c r="D68" s="33">
        <v>142</v>
      </c>
      <c r="E68" s="23">
        <v>0</v>
      </c>
      <c r="F68" s="23">
        <v>0</v>
      </c>
      <c r="G68" s="23">
        <v>-11</v>
      </c>
      <c r="H68" s="23">
        <v>0</v>
      </c>
      <c r="I68" s="23">
        <v>8</v>
      </c>
      <c r="J68" s="23">
        <v>-8</v>
      </c>
      <c r="K68" s="23">
        <f t="shared" si="0"/>
        <v>-11</v>
      </c>
      <c r="L68" s="33">
        <f t="shared" si="1"/>
        <v>-8</v>
      </c>
      <c r="M68" s="33">
        <f t="shared" si="2"/>
        <v>-11</v>
      </c>
      <c r="N68" s="33">
        <v>134</v>
      </c>
      <c r="O68" s="33">
        <v>439</v>
      </c>
      <c r="P68" s="33">
        <v>-212</v>
      </c>
      <c r="Q68" s="33">
        <v>226</v>
      </c>
      <c r="R68" s="33">
        <v>134</v>
      </c>
      <c r="S68" s="33">
        <f t="shared" si="3"/>
        <v>92</v>
      </c>
      <c r="T68" s="38">
        <f t="shared" si="4"/>
        <v>1.6865671641791045</v>
      </c>
      <c r="U68" s="59">
        <f t="shared" si="5"/>
        <v>262</v>
      </c>
      <c r="V68" s="33">
        <v>128</v>
      </c>
      <c r="W68" s="33">
        <v>128</v>
      </c>
      <c r="X68" s="33"/>
      <c r="Y68" s="33"/>
      <c r="Z68" s="42"/>
      <c r="AA68" s="60"/>
      <c r="AB68" s="662"/>
      <c r="AC68" s="580"/>
      <c r="AD68" s="33">
        <f t="shared" si="6"/>
        <v>0</v>
      </c>
      <c r="AE68" s="33">
        <f t="shared" si="7"/>
        <v>226</v>
      </c>
      <c r="AF68" s="101">
        <f t="shared" si="8"/>
        <v>92</v>
      </c>
      <c r="AH68" s="19"/>
    </row>
    <row r="69" spans="2:34" ht="13" outlineLevel="2" x14ac:dyDescent="0.3">
      <c r="B69" s="31" t="s">
        <v>104</v>
      </c>
      <c r="C69" s="33">
        <v>503</v>
      </c>
      <c r="D69" s="33">
        <v>495</v>
      </c>
      <c r="E69" s="23">
        <v>0</v>
      </c>
      <c r="F69" s="23">
        <v>0</v>
      </c>
      <c r="G69" s="23">
        <v>-11</v>
      </c>
      <c r="H69" s="23">
        <v>0</v>
      </c>
      <c r="I69" s="23">
        <v>3</v>
      </c>
      <c r="J69" s="23">
        <v>-15</v>
      </c>
      <c r="K69" s="23">
        <f t="shared" ref="K69:K77" si="56">SUM(E69:J69)</f>
        <v>-23</v>
      </c>
      <c r="L69" s="33">
        <f t="shared" ref="L69:L79" si="57">N69-D69</f>
        <v>-15</v>
      </c>
      <c r="M69" s="33">
        <f t="shared" ref="M69:M79" si="58">N69-C69</f>
        <v>-23</v>
      </c>
      <c r="N69" s="33">
        <v>480</v>
      </c>
      <c r="O69" s="33">
        <v>553</v>
      </c>
      <c r="P69" s="33">
        <v>3</v>
      </c>
      <c r="Q69" s="33">
        <v>555</v>
      </c>
      <c r="R69" s="33">
        <v>480</v>
      </c>
      <c r="S69" s="33">
        <f t="shared" ref="S69:S77" si="59">Q69-R69</f>
        <v>75</v>
      </c>
      <c r="T69" s="38">
        <f t="shared" ref="T69:T77" si="60">IFERROR((Q69/N69)*100%,"∞")</f>
        <v>1.15625</v>
      </c>
      <c r="U69" s="59">
        <f t="shared" ref="U69:U77" si="61">N69+V69</f>
        <v>534</v>
      </c>
      <c r="V69" s="33">
        <v>54</v>
      </c>
      <c r="W69" s="33">
        <v>54</v>
      </c>
      <c r="X69" s="33"/>
      <c r="Y69" s="33"/>
      <c r="Z69" s="42"/>
      <c r="AA69" s="60"/>
      <c r="AB69" s="662"/>
      <c r="AC69" s="580"/>
      <c r="AD69" s="33">
        <f t="shared" ref="AD69:AD77" si="62">SUM(AB69:AC69)</f>
        <v>0</v>
      </c>
      <c r="AE69" s="33">
        <f t="shared" ref="AE69:AE77" si="63">Q69+AD69</f>
        <v>555</v>
      </c>
      <c r="AF69" s="101">
        <f t="shared" ref="AF69:AF77" si="64">AE69-N69</f>
        <v>75</v>
      </c>
      <c r="AH69" s="19"/>
    </row>
    <row r="70" spans="2:34" ht="13" outlineLevel="2" x14ac:dyDescent="0.3">
      <c r="B70" s="31" t="s">
        <v>105</v>
      </c>
      <c r="C70" s="33">
        <v>901</v>
      </c>
      <c r="D70" s="33">
        <v>874</v>
      </c>
      <c r="E70" s="23">
        <v>0</v>
      </c>
      <c r="F70" s="23">
        <v>-104</v>
      </c>
      <c r="G70" s="23">
        <v>-34</v>
      </c>
      <c r="H70" s="23">
        <v>0</v>
      </c>
      <c r="I70" s="23">
        <v>7</v>
      </c>
      <c r="J70" s="23">
        <v>-15</v>
      </c>
      <c r="K70" s="23">
        <f t="shared" si="56"/>
        <v>-146</v>
      </c>
      <c r="L70" s="33">
        <f t="shared" si="57"/>
        <v>-119</v>
      </c>
      <c r="M70" s="33">
        <f t="shared" si="58"/>
        <v>-146</v>
      </c>
      <c r="N70" s="33">
        <v>755</v>
      </c>
      <c r="O70" s="33">
        <v>5314</v>
      </c>
      <c r="P70" s="33">
        <v>-4264</v>
      </c>
      <c r="Q70" s="33">
        <v>1051</v>
      </c>
      <c r="R70" s="33">
        <v>755</v>
      </c>
      <c r="S70" s="33">
        <f t="shared" si="59"/>
        <v>296</v>
      </c>
      <c r="T70" s="38">
        <f t="shared" si="60"/>
        <v>1.3920529801324504</v>
      </c>
      <c r="U70" s="59">
        <f t="shared" si="61"/>
        <v>815</v>
      </c>
      <c r="V70" s="33">
        <v>60</v>
      </c>
      <c r="W70" s="33">
        <v>60</v>
      </c>
      <c r="X70" s="33"/>
      <c r="Y70" s="33"/>
      <c r="Z70" s="42"/>
      <c r="AA70" s="60"/>
      <c r="AB70" s="662"/>
      <c r="AC70" s="580"/>
      <c r="AD70" s="33">
        <f t="shared" si="62"/>
        <v>0</v>
      </c>
      <c r="AE70" s="33">
        <f t="shared" si="63"/>
        <v>1051</v>
      </c>
      <c r="AF70" s="101">
        <f t="shared" si="64"/>
        <v>296</v>
      </c>
      <c r="AH70" s="19"/>
    </row>
    <row r="71" spans="2:34" ht="13" outlineLevel="2" x14ac:dyDescent="0.3">
      <c r="B71" s="31" t="s">
        <v>106</v>
      </c>
      <c r="C71" s="33">
        <v>117</v>
      </c>
      <c r="D71" s="33">
        <v>114</v>
      </c>
      <c r="E71" s="23">
        <v>0</v>
      </c>
      <c r="F71" s="23">
        <v>0</v>
      </c>
      <c r="G71" s="23">
        <v>-3</v>
      </c>
      <c r="H71" s="23">
        <v>0</v>
      </c>
      <c r="I71" s="23">
        <v>0</v>
      </c>
      <c r="J71" s="23">
        <v>0</v>
      </c>
      <c r="K71" s="23">
        <f t="shared" si="56"/>
        <v>-3</v>
      </c>
      <c r="L71" s="33">
        <f t="shared" si="57"/>
        <v>0</v>
      </c>
      <c r="M71" s="33">
        <f t="shared" si="58"/>
        <v>-3</v>
      </c>
      <c r="N71" s="33">
        <v>114</v>
      </c>
      <c r="O71" s="33">
        <v>180</v>
      </c>
      <c r="P71" s="33">
        <v>0</v>
      </c>
      <c r="Q71" s="33">
        <v>180</v>
      </c>
      <c r="R71" s="33">
        <v>114</v>
      </c>
      <c r="S71" s="33">
        <f t="shared" si="59"/>
        <v>66</v>
      </c>
      <c r="T71" s="38">
        <f t="shared" si="60"/>
        <v>1.5789473684210527</v>
      </c>
      <c r="U71" s="59">
        <f t="shared" si="61"/>
        <v>114</v>
      </c>
      <c r="V71" s="33">
        <v>0</v>
      </c>
      <c r="W71" s="33">
        <v>0</v>
      </c>
      <c r="X71" s="33"/>
      <c r="Y71" s="33"/>
      <c r="Z71" s="42"/>
      <c r="AA71" s="60"/>
      <c r="AB71" s="662"/>
      <c r="AC71" s="580"/>
      <c r="AD71" s="33">
        <f t="shared" si="62"/>
        <v>0</v>
      </c>
      <c r="AE71" s="33">
        <f t="shared" si="63"/>
        <v>180</v>
      </c>
      <c r="AF71" s="101">
        <f t="shared" si="64"/>
        <v>66</v>
      </c>
      <c r="AH71" s="19"/>
    </row>
    <row r="72" spans="2:34" ht="13" outlineLevel="1" x14ac:dyDescent="0.3">
      <c r="B72" s="32" t="s">
        <v>107</v>
      </c>
      <c r="C72" s="34">
        <f t="shared" ref="C72:J72" si="65">SUBTOTAL(9,C66:C71)</f>
        <v>3020</v>
      </c>
      <c r="D72" s="34">
        <f t="shared" si="65"/>
        <v>2963</v>
      </c>
      <c r="E72" s="24">
        <f t="shared" si="65"/>
        <v>0</v>
      </c>
      <c r="F72" s="24">
        <f t="shared" si="65"/>
        <v>-104</v>
      </c>
      <c r="G72" s="24">
        <f t="shared" si="65"/>
        <v>-80</v>
      </c>
      <c r="H72" s="24">
        <f t="shared" si="65"/>
        <v>0</v>
      </c>
      <c r="I72" s="24">
        <f t="shared" si="65"/>
        <v>23</v>
      </c>
      <c r="J72" s="24">
        <f t="shared" si="65"/>
        <v>-38</v>
      </c>
      <c r="K72" s="24">
        <f>SUM(E72:J72)</f>
        <v>-199</v>
      </c>
      <c r="L72" s="34">
        <f t="shared" si="57"/>
        <v>-142</v>
      </c>
      <c r="M72" s="34">
        <f t="shared" si="58"/>
        <v>-199</v>
      </c>
      <c r="N72" s="34">
        <f>SUBTOTAL(9,N66:N71)</f>
        <v>2821</v>
      </c>
      <c r="O72" s="34">
        <f>SUBTOTAL(9,O66:O71)</f>
        <v>8168</v>
      </c>
      <c r="P72" s="34">
        <f>SUBTOTAL(9,P66:P71)</f>
        <v>-4746</v>
      </c>
      <c r="Q72" s="34">
        <f>SUBTOTAL(9,Q66:Q71)</f>
        <v>3421</v>
      </c>
      <c r="R72" s="34">
        <f>SUBTOTAL(9,R66:R71)</f>
        <v>2821</v>
      </c>
      <c r="S72" s="34">
        <f>Q72-R72</f>
        <v>600</v>
      </c>
      <c r="T72" s="38">
        <f>IFERROR((Q72/N72)*100%,"∞")</f>
        <v>1.2126905352711805</v>
      </c>
      <c r="U72" s="59">
        <f>N72+V72</f>
        <v>3143</v>
      </c>
      <c r="V72" s="34">
        <f>SUBTOTAL(9,V66:V71)</f>
        <v>322</v>
      </c>
      <c r="W72" s="34">
        <f>SUBTOTAL(9,W66:W71)</f>
        <v>322</v>
      </c>
      <c r="X72" s="34"/>
      <c r="Y72" s="34"/>
      <c r="Z72" s="41"/>
      <c r="AA72" s="60"/>
      <c r="AB72" s="641">
        <f t="shared" ref="AB72:AC72" si="66">SUBTOTAL(9,AB66:AB71)</f>
        <v>0</v>
      </c>
      <c r="AC72" s="641">
        <f t="shared" si="66"/>
        <v>0</v>
      </c>
      <c r="AD72" s="34"/>
      <c r="AE72" s="34"/>
      <c r="AF72" s="103"/>
      <c r="AH72" s="19"/>
    </row>
    <row r="73" spans="2:34" ht="13" hidden="1" outlineLevel="2" x14ac:dyDescent="0.3">
      <c r="B73" s="31" t="s">
        <v>111</v>
      </c>
      <c r="C73" s="33">
        <v>672</v>
      </c>
      <c r="D73" s="33">
        <v>666</v>
      </c>
      <c r="E73" s="23">
        <v>0</v>
      </c>
      <c r="F73" s="23">
        <v>0</v>
      </c>
      <c r="G73" s="23">
        <v>-6</v>
      </c>
      <c r="H73" s="23">
        <v>0</v>
      </c>
      <c r="I73" s="23">
        <v>0</v>
      </c>
      <c r="J73" s="23">
        <v>0</v>
      </c>
      <c r="K73" s="23">
        <f t="shared" si="56"/>
        <v>-6</v>
      </c>
      <c r="L73" s="33">
        <f t="shared" si="57"/>
        <v>0</v>
      </c>
      <c r="M73" s="33">
        <f t="shared" si="58"/>
        <v>-6</v>
      </c>
      <c r="N73" s="33">
        <v>666</v>
      </c>
      <c r="O73" s="33">
        <v>707</v>
      </c>
      <c r="P73" s="33">
        <v>-15</v>
      </c>
      <c r="Q73" s="33">
        <v>692</v>
      </c>
      <c r="R73" s="33">
        <v>666</v>
      </c>
      <c r="S73" s="33">
        <f t="shared" si="59"/>
        <v>26</v>
      </c>
      <c r="T73" s="38">
        <f t="shared" si="60"/>
        <v>1.0390390390390389</v>
      </c>
      <c r="U73" s="59">
        <f t="shared" si="61"/>
        <v>716</v>
      </c>
      <c r="V73" s="33">
        <v>50</v>
      </c>
      <c r="W73" s="33">
        <v>50</v>
      </c>
      <c r="X73" s="33"/>
      <c r="Y73" s="33"/>
      <c r="Z73" s="42"/>
      <c r="AA73" s="60"/>
      <c r="AB73" s="662"/>
      <c r="AC73" s="580"/>
      <c r="AD73" s="33">
        <f t="shared" si="62"/>
        <v>0</v>
      </c>
      <c r="AE73" s="33">
        <f t="shared" si="63"/>
        <v>692</v>
      </c>
      <c r="AF73" s="101">
        <f t="shared" si="64"/>
        <v>26</v>
      </c>
      <c r="AH73" s="19"/>
    </row>
    <row r="74" spans="2:34" ht="13" hidden="1" outlineLevel="2" x14ac:dyDescent="0.3">
      <c r="B74" s="31" t="s">
        <v>112</v>
      </c>
      <c r="C74" s="33">
        <v>399</v>
      </c>
      <c r="D74" s="33">
        <v>394</v>
      </c>
      <c r="E74" s="23">
        <v>0</v>
      </c>
      <c r="F74" s="23">
        <v>-27</v>
      </c>
      <c r="G74" s="23">
        <v>-5</v>
      </c>
      <c r="H74" s="23">
        <v>0</v>
      </c>
      <c r="I74" s="23">
        <v>0</v>
      </c>
      <c r="J74" s="23">
        <v>0</v>
      </c>
      <c r="K74" s="23">
        <f t="shared" si="56"/>
        <v>-32</v>
      </c>
      <c r="L74" s="33">
        <f t="shared" si="57"/>
        <v>-28</v>
      </c>
      <c r="M74" s="33">
        <f t="shared" si="58"/>
        <v>-33</v>
      </c>
      <c r="N74" s="33">
        <v>366</v>
      </c>
      <c r="O74" s="33">
        <v>507</v>
      </c>
      <c r="P74" s="33">
        <v>-173</v>
      </c>
      <c r="Q74" s="33">
        <v>334</v>
      </c>
      <c r="R74" s="33">
        <v>366</v>
      </c>
      <c r="S74" s="33">
        <f t="shared" si="59"/>
        <v>-32</v>
      </c>
      <c r="T74" s="38">
        <f t="shared" si="60"/>
        <v>0.91256830601092898</v>
      </c>
      <c r="U74" s="59">
        <f t="shared" si="61"/>
        <v>366</v>
      </c>
      <c r="V74" s="33">
        <v>0</v>
      </c>
      <c r="W74" s="33">
        <v>0</v>
      </c>
      <c r="X74" s="33"/>
      <c r="Y74" s="33"/>
      <c r="Z74" s="42"/>
      <c r="AA74" s="60"/>
      <c r="AB74" s="662"/>
      <c r="AC74" s="580"/>
      <c r="AD74" s="33">
        <f t="shared" si="62"/>
        <v>0</v>
      </c>
      <c r="AE74" s="33">
        <f t="shared" si="63"/>
        <v>334</v>
      </c>
      <c r="AF74" s="101">
        <f t="shared" si="64"/>
        <v>-32</v>
      </c>
      <c r="AH74" s="19"/>
    </row>
    <row r="75" spans="2:34" ht="13" hidden="1" outlineLevel="2" x14ac:dyDescent="0.3">
      <c r="B75" s="31" t="s">
        <v>113</v>
      </c>
      <c r="C75" s="33">
        <v>1046</v>
      </c>
      <c r="D75" s="33">
        <v>1038</v>
      </c>
      <c r="E75" s="23">
        <v>0</v>
      </c>
      <c r="F75" s="23">
        <v>0</v>
      </c>
      <c r="G75" s="23">
        <v>-20</v>
      </c>
      <c r="H75" s="23">
        <v>0</v>
      </c>
      <c r="I75" s="23">
        <v>12</v>
      </c>
      <c r="J75" s="23">
        <v>0</v>
      </c>
      <c r="K75" s="23">
        <f t="shared" si="56"/>
        <v>-8</v>
      </c>
      <c r="L75" s="33">
        <f t="shared" si="57"/>
        <v>0</v>
      </c>
      <c r="M75" s="33">
        <f t="shared" si="58"/>
        <v>-8</v>
      </c>
      <c r="N75" s="33">
        <v>1038</v>
      </c>
      <c r="O75" s="33">
        <v>1473</v>
      </c>
      <c r="P75" s="33">
        <v>-238</v>
      </c>
      <c r="Q75" s="33">
        <v>1235</v>
      </c>
      <c r="R75" s="33">
        <v>1038</v>
      </c>
      <c r="S75" s="33">
        <f t="shared" si="59"/>
        <v>197</v>
      </c>
      <c r="T75" s="38">
        <f t="shared" si="60"/>
        <v>1.1897880539499037</v>
      </c>
      <c r="U75" s="59">
        <f t="shared" si="61"/>
        <v>1238</v>
      </c>
      <c r="V75" s="33">
        <v>200</v>
      </c>
      <c r="W75" s="33">
        <v>200</v>
      </c>
      <c r="X75" s="33"/>
      <c r="Y75" s="33"/>
      <c r="Z75" s="42"/>
      <c r="AA75" s="60"/>
      <c r="AB75" s="662"/>
      <c r="AC75" s="580"/>
      <c r="AD75" s="33">
        <f t="shared" si="62"/>
        <v>0</v>
      </c>
      <c r="AE75" s="33">
        <f t="shared" si="63"/>
        <v>1235</v>
      </c>
      <c r="AF75" s="101">
        <f t="shared" si="64"/>
        <v>197</v>
      </c>
      <c r="AH75" s="19"/>
    </row>
    <row r="76" spans="2:34" ht="13" hidden="1" outlineLevel="2" x14ac:dyDescent="0.3">
      <c r="B76" s="31" t="s">
        <v>177</v>
      </c>
      <c r="C76" s="33">
        <v>754</v>
      </c>
      <c r="D76" s="33">
        <v>733</v>
      </c>
      <c r="E76" s="23">
        <v>0</v>
      </c>
      <c r="F76" s="23">
        <v>45</v>
      </c>
      <c r="G76" s="23">
        <v>-21</v>
      </c>
      <c r="H76" s="23">
        <v>0</v>
      </c>
      <c r="I76" s="23">
        <v>0</v>
      </c>
      <c r="J76" s="23">
        <v>0</v>
      </c>
      <c r="K76" s="23">
        <f t="shared" si="56"/>
        <v>24</v>
      </c>
      <c r="L76" s="33">
        <f t="shared" si="57"/>
        <v>45</v>
      </c>
      <c r="M76" s="33">
        <f t="shared" si="58"/>
        <v>24</v>
      </c>
      <c r="N76" s="33">
        <v>778</v>
      </c>
      <c r="O76" s="33">
        <v>866</v>
      </c>
      <c r="P76" s="33">
        <v>0</v>
      </c>
      <c r="Q76" s="33">
        <v>866</v>
      </c>
      <c r="R76" s="33">
        <v>778</v>
      </c>
      <c r="S76" s="33">
        <f t="shared" si="59"/>
        <v>88</v>
      </c>
      <c r="T76" s="38">
        <f t="shared" si="60"/>
        <v>1.1131105398457584</v>
      </c>
      <c r="U76" s="59">
        <f t="shared" si="61"/>
        <v>897</v>
      </c>
      <c r="V76" s="33">
        <v>119</v>
      </c>
      <c r="W76" s="33">
        <v>119</v>
      </c>
      <c r="X76" s="33"/>
      <c r="Y76" s="33"/>
      <c r="Z76" s="42"/>
      <c r="AA76" s="60"/>
      <c r="AB76" s="662"/>
      <c r="AC76" s="580"/>
      <c r="AD76" s="33">
        <f t="shared" si="62"/>
        <v>0</v>
      </c>
      <c r="AE76" s="33">
        <f t="shared" si="63"/>
        <v>866</v>
      </c>
      <c r="AF76" s="101">
        <f t="shared" si="64"/>
        <v>88</v>
      </c>
      <c r="AH76" s="19"/>
    </row>
    <row r="77" spans="2:34" ht="13" hidden="1" outlineLevel="2" x14ac:dyDescent="0.3">
      <c r="B77" s="31" t="s">
        <v>178</v>
      </c>
      <c r="C77" s="33">
        <v>516</v>
      </c>
      <c r="D77" s="33">
        <v>497</v>
      </c>
      <c r="E77" s="23">
        <v>0</v>
      </c>
      <c r="F77" s="23">
        <v>2</v>
      </c>
      <c r="G77" s="23">
        <v>-8</v>
      </c>
      <c r="H77" s="23">
        <v>0</v>
      </c>
      <c r="I77" s="23">
        <v>-12</v>
      </c>
      <c r="J77" s="23">
        <v>0</v>
      </c>
      <c r="K77" s="23">
        <f t="shared" si="56"/>
        <v>-18</v>
      </c>
      <c r="L77" s="33">
        <f t="shared" si="57"/>
        <v>2</v>
      </c>
      <c r="M77" s="33">
        <f t="shared" si="58"/>
        <v>-17</v>
      </c>
      <c r="N77" s="33">
        <v>499</v>
      </c>
      <c r="O77" s="33">
        <v>541</v>
      </c>
      <c r="P77" s="33">
        <v>-15</v>
      </c>
      <c r="Q77" s="33">
        <v>526</v>
      </c>
      <c r="R77" s="33">
        <v>499</v>
      </c>
      <c r="S77" s="33">
        <f t="shared" si="59"/>
        <v>27</v>
      </c>
      <c r="T77" s="38">
        <f t="shared" si="60"/>
        <v>1.0541082164328657</v>
      </c>
      <c r="U77" s="59">
        <f t="shared" si="61"/>
        <v>521</v>
      </c>
      <c r="V77" s="33">
        <v>22</v>
      </c>
      <c r="W77" s="33">
        <v>22</v>
      </c>
      <c r="X77" s="33"/>
      <c r="Y77" s="33"/>
      <c r="Z77" s="42"/>
      <c r="AA77" s="60"/>
      <c r="AB77" s="662"/>
      <c r="AC77" s="580"/>
      <c r="AD77" s="33">
        <f t="shared" si="62"/>
        <v>0</v>
      </c>
      <c r="AE77" s="33">
        <f t="shared" si="63"/>
        <v>526</v>
      </c>
      <c r="AF77" s="101">
        <f t="shared" si="64"/>
        <v>27</v>
      </c>
      <c r="AH77" s="19"/>
    </row>
    <row r="78" spans="2:34" ht="13" outlineLevel="1" collapsed="1" x14ac:dyDescent="0.3">
      <c r="B78" s="32" t="s">
        <v>114</v>
      </c>
      <c r="C78" s="34">
        <f t="shared" ref="C78:J78" si="67">SUBTOTAL(9,C73:C77)</f>
        <v>3387</v>
      </c>
      <c r="D78" s="34">
        <f t="shared" si="67"/>
        <v>3328</v>
      </c>
      <c r="E78" s="24">
        <f t="shared" si="67"/>
        <v>0</v>
      </c>
      <c r="F78" s="24">
        <f t="shared" si="67"/>
        <v>20</v>
      </c>
      <c r="G78" s="24">
        <f t="shared" si="67"/>
        <v>-60</v>
      </c>
      <c r="H78" s="24">
        <f t="shared" si="67"/>
        <v>0</v>
      </c>
      <c r="I78" s="24">
        <f t="shared" si="67"/>
        <v>0</v>
      </c>
      <c r="J78" s="24">
        <f t="shared" si="67"/>
        <v>0</v>
      </c>
      <c r="K78" s="24">
        <f>SUM(E78:J78)</f>
        <v>-40</v>
      </c>
      <c r="L78" s="34">
        <f t="shared" si="57"/>
        <v>19</v>
      </c>
      <c r="M78" s="34">
        <f t="shared" si="58"/>
        <v>-40</v>
      </c>
      <c r="N78" s="34">
        <f>SUBTOTAL(9,N73:N77)</f>
        <v>3347</v>
      </c>
      <c r="O78" s="34">
        <f>SUBTOTAL(9,O73:O77)</f>
        <v>4094</v>
      </c>
      <c r="P78" s="34">
        <f>SUBTOTAL(9,P73:P77)</f>
        <v>-441</v>
      </c>
      <c r="Q78" s="34">
        <f>SUBTOTAL(9,Q73:Q77)</f>
        <v>3653</v>
      </c>
      <c r="R78" s="34">
        <f>SUBTOTAL(9,R73:R77)</f>
        <v>3347</v>
      </c>
      <c r="S78" s="34">
        <f>Q78-R78</f>
        <v>306</v>
      </c>
      <c r="T78" s="38">
        <f>IFERROR((Q78/N78)*100%,"∞")</f>
        <v>1.0914251568568867</v>
      </c>
      <c r="U78" s="59">
        <f>N78+V78</f>
        <v>3738</v>
      </c>
      <c r="V78" s="34">
        <f>SUBTOTAL(9,V73:V77)</f>
        <v>391</v>
      </c>
      <c r="W78" s="34">
        <f>SUBTOTAL(9,W73:W77)</f>
        <v>391</v>
      </c>
      <c r="X78" s="34"/>
      <c r="Y78" s="34"/>
      <c r="Z78" s="41"/>
      <c r="AA78" s="60"/>
      <c r="AB78" s="641">
        <f t="shared" ref="AB78:AC78" si="68">SUBTOTAL(9,AB73:AB77)</f>
        <v>0</v>
      </c>
      <c r="AC78" s="641">
        <f t="shared" si="68"/>
        <v>0</v>
      </c>
      <c r="AD78" s="34"/>
      <c r="AE78" s="34"/>
      <c r="AF78" s="103"/>
      <c r="AH78" s="19"/>
    </row>
    <row r="79" spans="2:34" ht="13.5" customHeight="1" thickBot="1" x14ac:dyDescent="0.35">
      <c r="B79" s="53" t="s">
        <v>115</v>
      </c>
      <c r="C79" s="35">
        <f t="shared" ref="C79:J79" si="69">SUBTOTAL(9,C60:C78)</f>
        <v>15359</v>
      </c>
      <c r="D79" s="35">
        <f t="shared" si="69"/>
        <v>15361</v>
      </c>
      <c r="E79" s="25">
        <f t="shared" si="69"/>
        <v>160</v>
      </c>
      <c r="F79" s="25">
        <f t="shared" si="69"/>
        <v>-320</v>
      </c>
      <c r="G79" s="25">
        <f t="shared" si="69"/>
        <v>-183</v>
      </c>
      <c r="H79" s="25">
        <f t="shared" si="69"/>
        <v>-58</v>
      </c>
      <c r="I79" s="25">
        <f t="shared" si="69"/>
        <v>26</v>
      </c>
      <c r="J79" s="25">
        <f t="shared" si="69"/>
        <v>90</v>
      </c>
      <c r="K79" s="25">
        <f>SUM(E79:J79)</f>
        <v>-285</v>
      </c>
      <c r="L79" s="35">
        <f t="shared" si="57"/>
        <v>-289</v>
      </c>
      <c r="M79" s="35">
        <f t="shared" si="58"/>
        <v>-287</v>
      </c>
      <c r="N79" s="35">
        <f>SUBTOTAL(9,N60:N78)</f>
        <v>15072</v>
      </c>
      <c r="O79" s="35">
        <f>SUBTOTAL(9,O60:O78)</f>
        <v>21652</v>
      </c>
      <c r="P79" s="35">
        <f>SUBTOTAL(9,P60:P78)</f>
        <v>-5340</v>
      </c>
      <c r="Q79" s="35">
        <f>SUBTOTAL(9,Q60:Q78)</f>
        <v>16311</v>
      </c>
      <c r="R79" s="35">
        <f>SUBTOTAL(9,R60:R78)</f>
        <v>15072</v>
      </c>
      <c r="S79" s="35">
        <f>Q79-R79</f>
        <v>1239</v>
      </c>
      <c r="T79" s="39">
        <f>IFERROR((Q79/N79)*100%,"∞")</f>
        <v>1.0822054140127388</v>
      </c>
      <c r="U79" s="54">
        <f>N79+V79</f>
        <v>16045</v>
      </c>
      <c r="V79" s="35">
        <f>SUBTOTAL(9,V60:V78)</f>
        <v>973</v>
      </c>
      <c r="W79" s="35">
        <f>SUBTOTAL(9,W60:W78)</f>
        <v>973</v>
      </c>
      <c r="X79" s="35"/>
      <c r="Y79" s="35"/>
      <c r="Z79" s="43"/>
      <c r="AA79" s="60"/>
      <c r="AB79" s="664">
        <f t="shared" ref="AB79:AC79" si="70">SUBTOTAL(9,AB60:AB78)</f>
        <v>30</v>
      </c>
      <c r="AC79" s="664">
        <f t="shared" si="70"/>
        <v>0</v>
      </c>
      <c r="AD79" s="35">
        <f>SUM(AB79:AC79)</f>
        <v>30</v>
      </c>
      <c r="AE79" s="35">
        <f>Q79+AD79</f>
        <v>16341</v>
      </c>
      <c r="AF79" s="43">
        <f>AE79-N79</f>
        <v>1269</v>
      </c>
      <c r="AH79" s="19">
        <f>AF79-V79</f>
        <v>296</v>
      </c>
    </row>
    <row r="80" spans="2:34" ht="14" thickTop="1" thickBot="1" x14ac:dyDescent="0.35">
      <c r="B80" s="61"/>
      <c r="C80" s="62"/>
      <c r="D80" s="62"/>
      <c r="E80" s="65"/>
      <c r="F80" s="65"/>
      <c r="G80" s="65"/>
      <c r="H80" s="65"/>
      <c r="I80" s="65"/>
      <c r="J80" s="65"/>
      <c r="K80" s="65"/>
      <c r="L80" s="62"/>
      <c r="M80" s="62"/>
      <c r="N80" s="62"/>
      <c r="O80" s="62"/>
      <c r="P80" s="62"/>
      <c r="Q80" s="62"/>
      <c r="R80" s="62"/>
      <c r="S80" s="62"/>
      <c r="T80" s="62"/>
      <c r="U80" s="64"/>
      <c r="V80" s="62"/>
      <c r="W80" s="62"/>
      <c r="X80" s="62"/>
      <c r="Y80" s="62"/>
      <c r="Z80" s="63"/>
      <c r="AA80" s="60"/>
      <c r="AB80" s="666"/>
      <c r="AC80" s="667"/>
      <c r="AD80" s="62"/>
      <c r="AE80" s="62"/>
      <c r="AF80" s="63"/>
      <c r="AH80" s="19"/>
    </row>
    <row r="81" spans="2:34" ht="13.5" thickBot="1" x14ac:dyDescent="0.35">
      <c r="B81" s="50" t="s">
        <v>116</v>
      </c>
      <c r="C81" s="51">
        <f t="shared" ref="C81:J81" si="71">SUBTOTAL(9,C5:C80)</f>
        <v>35794</v>
      </c>
      <c r="D81" s="51">
        <f t="shared" si="71"/>
        <v>33148</v>
      </c>
      <c r="E81" s="51">
        <f t="shared" si="71"/>
        <v>-2439</v>
      </c>
      <c r="F81" s="51">
        <f t="shared" si="71"/>
        <v>1887</v>
      </c>
      <c r="G81" s="51">
        <f t="shared" si="71"/>
        <v>-201</v>
      </c>
      <c r="H81" s="51">
        <f t="shared" si="71"/>
        <v>-41</v>
      </c>
      <c r="I81" s="51">
        <f t="shared" si="71"/>
        <v>0</v>
      </c>
      <c r="J81" s="51">
        <f t="shared" si="71"/>
        <v>0</v>
      </c>
      <c r="K81" s="51">
        <f>SUM(E81:J81)</f>
        <v>-794</v>
      </c>
      <c r="L81" s="51">
        <f>N81-D81</f>
        <v>3979</v>
      </c>
      <c r="M81" s="51">
        <f>N81-C81</f>
        <v>1333</v>
      </c>
      <c r="N81" s="51">
        <f>SUBTOTAL(9,N5:N80)</f>
        <v>37127</v>
      </c>
      <c r="O81" s="51">
        <f>SUBTOTAL(9,O5:O80)</f>
        <v>84832</v>
      </c>
      <c r="P81" s="51">
        <f>SUBTOTAL(9,P5:P80)</f>
        <v>-45937</v>
      </c>
      <c r="Q81" s="51">
        <f>SUBTOTAL(9,Q5:Q80)</f>
        <v>38896</v>
      </c>
      <c r="R81" s="51">
        <f>SUBTOTAL(9,R5:R80)</f>
        <v>34978</v>
      </c>
      <c r="S81" s="51">
        <f>Q81-R81</f>
        <v>3918</v>
      </c>
      <c r="T81" s="52">
        <f>IFERROR((Q81/N81)*100%,"∞")</f>
        <v>1.0476472647938158</v>
      </c>
      <c r="U81" s="51">
        <f>N81+V81</f>
        <v>37096</v>
      </c>
      <c r="V81" s="51">
        <f>SUBTOTAL(9,V5:V80)</f>
        <v>-31</v>
      </c>
      <c r="W81" s="51">
        <f>SUBTOTAL(9,W5:W80)</f>
        <v>-35</v>
      </c>
      <c r="X81" s="51">
        <f>SUBTOTAL(9,X5:X80)</f>
        <v>0</v>
      </c>
      <c r="Y81" s="51">
        <f>SUBTOTAL(9,Y5:Y80)</f>
        <v>0</v>
      </c>
      <c r="Z81" s="51">
        <f>SUBTOTAL(9,Z5:Z80)</f>
        <v>0</v>
      </c>
      <c r="AA81" s="60"/>
      <c r="AB81" s="669">
        <f>SUBTOTAL(9,AB5:AB80)</f>
        <v>453</v>
      </c>
      <c r="AC81" s="669">
        <f>SUBTOTAL(9,AC5:AC80)</f>
        <v>0</v>
      </c>
      <c r="AD81" s="51">
        <f>SUM(AB81:AC81)</f>
        <v>453</v>
      </c>
      <c r="AE81" s="51">
        <f>Q81+AD81</f>
        <v>39349</v>
      </c>
      <c r="AF81" s="51">
        <f>AE81-N81</f>
        <v>2222</v>
      </c>
      <c r="AH81" s="19">
        <f>AF81-V81</f>
        <v>2253</v>
      </c>
    </row>
    <row r="82" spans="2:34" ht="14" thickTop="1" thickBot="1" x14ac:dyDescent="0.35">
      <c r="B82" s="71"/>
      <c r="C82" s="72"/>
      <c r="D82" s="72"/>
      <c r="E82" s="73"/>
      <c r="F82" s="73"/>
      <c r="G82" s="73"/>
      <c r="H82" s="73"/>
      <c r="I82" s="73"/>
      <c r="J82" s="73"/>
      <c r="K82" s="73"/>
      <c r="L82" s="72"/>
      <c r="M82" s="72"/>
      <c r="N82" s="72"/>
      <c r="O82" s="72"/>
      <c r="P82" s="72"/>
      <c r="Q82" s="72"/>
      <c r="R82" s="72"/>
      <c r="S82" s="72"/>
      <c r="T82" s="72"/>
      <c r="U82" s="74"/>
      <c r="V82" s="72"/>
      <c r="W82" s="72"/>
      <c r="X82" s="72"/>
      <c r="Y82" s="72"/>
      <c r="Z82" s="75"/>
      <c r="AA82" s="60"/>
      <c r="AB82" s="670"/>
      <c r="AC82" s="671"/>
      <c r="AD82" s="72"/>
      <c r="AE82" s="72"/>
      <c r="AF82" s="75"/>
    </row>
    <row r="83" spans="2:34" ht="13" hidden="1" outlineLevel="1" x14ac:dyDescent="0.3">
      <c r="B83" s="31" t="s">
        <v>117</v>
      </c>
      <c r="C83" s="33">
        <v>4822</v>
      </c>
      <c r="D83" s="33">
        <v>4822</v>
      </c>
      <c r="E83" s="23">
        <v>0</v>
      </c>
      <c r="F83" s="23">
        <v>0</v>
      </c>
      <c r="G83" s="23">
        <v>0</v>
      </c>
      <c r="H83" s="23">
        <v>0</v>
      </c>
      <c r="I83" s="23">
        <v>0</v>
      </c>
      <c r="J83" s="23">
        <v>0</v>
      </c>
      <c r="K83" s="23">
        <f t="shared" ref="K83:K100" si="72">SUM(E83:J83)</f>
        <v>0</v>
      </c>
      <c r="L83" s="33">
        <f t="shared" ref="L83:L100" si="73">N83-D83</f>
        <v>0</v>
      </c>
      <c r="M83" s="33">
        <f t="shared" ref="M83:M100" si="74">N83-C83</f>
        <v>0</v>
      </c>
      <c r="N83" s="33">
        <v>4822</v>
      </c>
      <c r="O83" s="33">
        <v>5927</v>
      </c>
      <c r="P83" s="33">
        <v>0</v>
      </c>
      <c r="Q83" s="33">
        <v>5927</v>
      </c>
      <c r="R83" s="33">
        <v>4822</v>
      </c>
      <c r="S83" s="33">
        <f t="shared" ref="S83:S100" si="75">Q83-R83</f>
        <v>1105</v>
      </c>
      <c r="T83" s="38">
        <f t="shared" ref="T83:T100" si="76">IFERROR((Q83/N83)*100%,"∞")</f>
        <v>1.2291580257154708</v>
      </c>
      <c r="U83" s="59">
        <f t="shared" ref="U83:U100" si="77">N83+V83</f>
        <v>4822</v>
      </c>
      <c r="V83" s="33">
        <v>0</v>
      </c>
      <c r="W83" s="33">
        <v>0</v>
      </c>
      <c r="X83" s="33"/>
      <c r="Y83" s="33"/>
      <c r="Z83" s="42"/>
      <c r="AA83" s="60"/>
      <c r="AB83" s="662"/>
      <c r="AC83" s="580"/>
      <c r="AD83" s="33">
        <f t="shared" ref="AD83:AD100" si="78">SUM(AB83:AC83)</f>
        <v>0</v>
      </c>
      <c r="AE83" s="33">
        <f t="shared" ref="AE83:AE100" si="79">Q83+AD83</f>
        <v>5927</v>
      </c>
      <c r="AF83" s="101">
        <f t="shared" ref="AF83:AF100" si="80">AE83-N83</f>
        <v>1105</v>
      </c>
    </row>
    <row r="84" spans="2:34" ht="13" hidden="1" outlineLevel="1" x14ac:dyDescent="0.3">
      <c r="B84" s="31" t="s">
        <v>118</v>
      </c>
      <c r="C84" s="33">
        <v>-4822</v>
      </c>
      <c r="D84" s="33">
        <v>-4822</v>
      </c>
      <c r="E84" s="23">
        <v>0</v>
      </c>
      <c r="F84" s="23">
        <v>0</v>
      </c>
      <c r="G84" s="23">
        <v>0</v>
      </c>
      <c r="H84" s="23">
        <v>0</v>
      </c>
      <c r="I84" s="23">
        <v>0</v>
      </c>
      <c r="J84" s="23">
        <v>0</v>
      </c>
      <c r="K84" s="23">
        <f t="shared" si="72"/>
        <v>0</v>
      </c>
      <c r="L84" s="33">
        <f t="shared" si="73"/>
        <v>0</v>
      </c>
      <c r="M84" s="33">
        <f t="shared" si="74"/>
        <v>0</v>
      </c>
      <c r="N84" s="33">
        <v>-4822</v>
      </c>
      <c r="O84" s="33">
        <v>0</v>
      </c>
      <c r="P84" s="33">
        <v>-5927</v>
      </c>
      <c r="Q84" s="33">
        <v>-5927</v>
      </c>
      <c r="R84" s="33">
        <v>-4822</v>
      </c>
      <c r="S84" s="33">
        <f t="shared" si="75"/>
        <v>-1105</v>
      </c>
      <c r="T84" s="38">
        <f t="shared" si="76"/>
        <v>1.2291580257154708</v>
      </c>
      <c r="U84" s="59">
        <f t="shared" si="77"/>
        <v>-4822</v>
      </c>
      <c r="V84" s="33">
        <v>0</v>
      </c>
      <c r="W84" s="33">
        <v>0</v>
      </c>
      <c r="X84" s="33"/>
      <c r="Y84" s="33"/>
      <c r="Z84" s="42"/>
      <c r="AA84" s="60"/>
      <c r="AB84" s="662"/>
      <c r="AC84" s="580"/>
      <c r="AD84" s="33">
        <f t="shared" si="78"/>
        <v>0</v>
      </c>
      <c r="AE84" s="33">
        <f t="shared" si="79"/>
        <v>-5927</v>
      </c>
      <c r="AF84" s="101">
        <f t="shared" si="80"/>
        <v>-1105</v>
      </c>
    </row>
    <row r="85" spans="2:34" ht="13" hidden="1" outlineLevel="1" x14ac:dyDescent="0.3">
      <c r="B85" s="31" t="s">
        <v>119</v>
      </c>
      <c r="C85" s="33">
        <v>0</v>
      </c>
      <c r="D85" s="33">
        <v>0</v>
      </c>
      <c r="E85" s="23">
        <v>0</v>
      </c>
      <c r="F85" s="23">
        <v>0</v>
      </c>
      <c r="G85" s="23">
        <v>0</v>
      </c>
      <c r="H85" s="23">
        <v>0</v>
      </c>
      <c r="I85" s="23">
        <v>0</v>
      </c>
      <c r="J85" s="23">
        <v>0</v>
      </c>
      <c r="K85" s="23">
        <f t="shared" si="72"/>
        <v>0</v>
      </c>
      <c r="L85" s="33">
        <f t="shared" si="73"/>
        <v>0</v>
      </c>
      <c r="M85" s="33">
        <f t="shared" si="74"/>
        <v>0</v>
      </c>
      <c r="N85" s="33">
        <v>0</v>
      </c>
      <c r="O85" s="33">
        <v>-3112</v>
      </c>
      <c r="P85" s="33">
        <v>0</v>
      </c>
      <c r="Q85" s="33">
        <v>-3112</v>
      </c>
      <c r="R85" s="33">
        <v>0</v>
      </c>
      <c r="S85" s="33">
        <f t="shared" si="75"/>
        <v>-3112</v>
      </c>
      <c r="T85" s="38" t="str">
        <f t="shared" si="76"/>
        <v>∞</v>
      </c>
      <c r="U85" s="59">
        <f t="shared" si="77"/>
        <v>0</v>
      </c>
      <c r="V85" s="33">
        <v>0</v>
      </c>
      <c r="W85" s="33">
        <v>0</v>
      </c>
      <c r="X85" s="33"/>
      <c r="Y85" s="33"/>
      <c r="Z85" s="42"/>
      <c r="AA85" s="60"/>
      <c r="AB85" s="662"/>
      <c r="AC85" s="580"/>
      <c r="AD85" s="33">
        <f t="shared" si="78"/>
        <v>0</v>
      </c>
      <c r="AE85" s="33">
        <f t="shared" si="79"/>
        <v>-3112</v>
      </c>
      <c r="AF85" s="101">
        <f t="shared" si="80"/>
        <v>-3112</v>
      </c>
    </row>
    <row r="86" spans="2:34" ht="13" hidden="1" outlineLevel="1" x14ac:dyDescent="0.3">
      <c r="B86" s="31" t="s">
        <v>120</v>
      </c>
      <c r="C86" s="33">
        <v>0</v>
      </c>
      <c r="D86" s="33">
        <v>0</v>
      </c>
      <c r="E86" s="23">
        <v>0</v>
      </c>
      <c r="F86" s="23">
        <v>0</v>
      </c>
      <c r="G86" s="23">
        <v>0</v>
      </c>
      <c r="H86" s="23">
        <v>0</v>
      </c>
      <c r="I86" s="23">
        <v>0</v>
      </c>
      <c r="J86" s="23">
        <v>0</v>
      </c>
      <c r="K86" s="23">
        <f t="shared" si="72"/>
        <v>0</v>
      </c>
      <c r="L86" s="33">
        <f t="shared" si="73"/>
        <v>0</v>
      </c>
      <c r="M86" s="33">
        <f t="shared" si="74"/>
        <v>0</v>
      </c>
      <c r="N86" s="33">
        <v>0</v>
      </c>
      <c r="O86" s="33">
        <v>0</v>
      </c>
      <c r="P86" s="33">
        <v>3112</v>
      </c>
      <c r="Q86" s="33">
        <v>3112</v>
      </c>
      <c r="R86" s="33">
        <v>0</v>
      </c>
      <c r="S86" s="33">
        <f t="shared" si="75"/>
        <v>3112</v>
      </c>
      <c r="T86" s="38" t="str">
        <f t="shared" si="76"/>
        <v>∞</v>
      </c>
      <c r="U86" s="59">
        <f t="shared" si="77"/>
        <v>0</v>
      </c>
      <c r="V86" s="33">
        <v>0</v>
      </c>
      <c r="W86" s="33">
        <v>0</v>
      </c>
      <c r="X86" s="33"/>
      <c r="Y86" s="33"/>
      <c r="Z86" s="42"/>
      <c r="AA86" s="60"/>
      <c r="AB86" s="662"/>
      <c r="AC86" s="580"/>
      <c r="AD86" s="33">
        <f t="shared" si="78"/>
        <v>0</v>
      </c>
      <c r="AE86" s="33">
        <f t="shared" si="79"/>
        <v>3112</v>
      </c>
      <c r="AF86" s="101">
        <f t="shared" si="80"/>
        <v>3112</v>
      </c>
    </row>
    <row r="87" spans="2:34" ht="13" hidden="1" outlineLevel="1" x14ac:dyDescent="0.3">
      <c r="B87" s="31" t="s">
        <v>121</v>
      </c>
      <c r="C87" s="33">
        <v>0</v>
      </c>
      <c r="D87" s="33">
        <v>0</v>
      </c>
      <c r="E87" s="23">
        <v>0</v>
      </c>
      <c r="F87" s="23">
        <v>0</v>
      </c>
      <c r="G87" s="23">
        <v>0</v>
      </c>
      <c r="H87" s="23">
        <v>0</v>
      </c>
      <c r="I87" s="23">
        <v>0</v>
      </c>
      <c r="J87" s="23">
        <v>0</v>
      </c>
      <c r="K87" s="23">
        <f t="shared" si="72"/>
        <v>0</v>
      </c>
      <c r="L87" s="33">
        <f t="shared" si="73"/>
        <v>0</v>
      </c>
      <c r="M87" s="33">
        <f t="shared" si="74"/>
        <v>0</v>
      </c>
      <c r="N87" s="33">
        <v>0</v>
      </c>
      <c r="O87" s="33">
        <v>8562</v>
      </c>
      <c r="P87" s="33">
        <v>0</v>
      </c>
      <c r="Q87" s="33">
        <v>8562</v>
      </c>
      <c r="R87" s="33">
        <v>0</v>
      </c>
      <c r="S87" s="33">
        <f t="shared" si="75"/>
        <v>8562</v>
      </c>
      <c r="T87" s="38" t="str">
        <f t="shared" si="76"/>
        <v>∞</v>
      </c>
      <c r="U87" s="59">
        <f t="shared" si="77"/>
        <v>0</v>
      </c>
      <c r="V87" s="33">
        <v>0</v>
      </c>
      <c r="W87" s="33">
        <v>0</v>
      </c>
      <c r="X87" s="33"/>
      <c r="Y87" s="33"/>
      <c r="Z87" s="42"/>
      <c r="AA87" s="60"/>
      <c r="AB87" s="662"/>
      <c r="AC87" s="580"/>
      <c r="AD87" s="33">
        <f t="shared" si="78"/>
        <v>0</v>
      </c>
      <c r="AE87" s="33">
        <f t="shared" si="79"/>
        <v>8562</v>
      </c>
      <c r="AF87" s="101">
        <f t="shared" si="80"/>
        <v>8562</v>
      </c>
    </row>
    <row r="88" spans="2:34" ht="13" hidden="1" outlineLevel="1" x14ac:dyDescent="0.3">
      <c r="B88" s="31" t="s">
        <v>122</v>
      </c>
      <c r="C88" s="33">
        <v>0</v>
      </c>
      <c r="D88" s="33">
        <v>0</v>
      </c>
      <c r="E88" s="23">
        <v>0</v>
      </c>
      <c r="F88" s="23">
        <v>0</v>
      </c>
      <c r="G88" s="23">
        <v>0</v>
      </c>
      <c r="H88" s="23">
        <v>0</v>
      </c>
      <c r="I88" s="23">
        <v>0</v>
      </c>
      <c r="J88" s="23">
        <v>0</v>
      </c>
      <c r="K88" s="23">
        <f t="shared" si="72"/>
        <v>0</v>
      </c>
      <c r="L88" s="33">
        <f t="shared" si="73"/>
        <v>0</v>
      </c>
      <c r="M88" s="33">
        <f t="shared" si="74"/>
        <v>0</v>
      </c>
      <c r="N88" s="33">
        <v>0</v>
      </c>
      <c r="O88" s="33">
        <v>-8562</v>
      </c>
      <c r="P88" s="33">
        <v>0</v>
      </c>
      <c r="Q88" s="33">
        <v>-8562</v>
      </c>
      <c r="R88" s="33">
        <v>0</v>
      </c>
      <c r="S88" s="33">
        <f t="shared" si="75"/>
        <v>-8562</v>
      </c>
      <c r="T88" s="38" t="str">
        <f t="shared" si="76"/>
        <v>∞</v>
      </c>
      <c r="U88" s="59">
        <f t="shared" si="77"/>
        <v>0</v>
      </c>
      <c r="V88" s="33">
        <v>0</v>
      </c>
      <c r="W88" s="33">
        <v>0</v>
      </c>
      <c r="X88" s="33"/>
      <c r="Y88" s="33"/>
      <c r="Z88" s="42"/>
      <c r="AA88" s="60"/>
      <c r="AB88" s="662"/>
      <c r="AC88" s="580"/>
      <c r="AD88" s="33">
        <f t="shared" si="78"/>
        <v>0</v>
      </c>
      <c r="AE88" s="33">
        <f t="shared" si="79"/>
        <v>-8562</v>
      </c>
      <c r="AF88" s="101">
        <f t="shared" si="80"/>
        <v>-8562</v>
      </c>
    </row>
    <row r="89" spans="2:34" ht="13" hidden="1" outlineLevel="1" x14ac:dyDescent="0.3">
      <c r="B89" s="31" t="s">
        <v>123</v>
      </c>
      <c r="C89" s="33">
        <v>0</v>
      </c>
      <c r="D89" s="33">
        <v>0</v>
      </c>
      <c r="E89" s="23">
        <v>0</v>
      </c>
      <c r="F89" s="23">
        <v>0</v>
      </c>
      <c r="G89" s="23">
        <v>0</v>
      </c>
      <c r="H89" s="23">
        <v>0</v>
      </c>
      <c r="I89" s="23">
        <v>0</v>
      </c>
      <c r="J89" s="23">
        <v>0</v>
      </c>
      <c r="K89" s="23">
        <f t="shared" si="72"/>
        <v>0</v>
      </c>
      <c r="L89" s="33">
        <f t="shared" si="73"/>
        <v>0</v>
      </c>
      <c r="M89" s="33">
        <f t="shared" si="74"/>
        <v>0</v>
      </c>
      <c r="N89" s="33">
        <v>0</v>
      </c>
      <c r="O89" s="33">
        <v>0</v>
      </c>
      <c r="P89" s="33">
        <v>-612</v>
      </c>
      <c r="Q89" s="33">
        <v>-612</v>
      </c>
      <c r="R89" s="33">
        <v>0</v>
      </c>
      <c r="S89" s="33">
        <f t="shared" si="75"/>
        <v>-612</v>
      </c>
      <c r="T89" s="38" t="str">
        <f t="shared" si="76"/>
        <v>∞</v>
      </c>
      <c r="U89" s="59">
        <f t="shared" si="77"/>
        <v>0</v>
      </c>
      <c r="V89" s="33">
        <v>0</v>
      </c>
      <c r="W89" s="33">
        <v>0</v>
      </c>
      <c r="X89" s="33"/>
      <c r="Y89" s="33"/>
      <c r="Z89" s="42"/>
      <c r="AA89" s="60"/>
      <c r="AB89" s="662"/>
      <c r="AC89" s="580"/>
      <c r="AD89" s="33">
        <f t="shared" si="78"/>
        <v>0</v>
      </c>
      <c r="AE89" s="33">
        <f t="shared" si="79"/>
        <v>-612</v>
      </c>
      <c r="AF89" s="101">
        <f t="shared" si="80"/>
        <v>-612</v>
      </c>
    </row>
    <row r="90" spans="2:34" ht="13" hidden="1" outlineLevel="1" x14ac:dyDescent="0.3">
      <c r="B90" s="31" t="s">
        <v>124</v>
      </c>
      <c r="C90" s="33">
        <v>0</v>
      </c>
      <c r="D90" s="33">
        <v>0</v>
      </c>
      <c r="E90" s="23">
        <v>0</v>
      </c>
      <c r="F90" s="23">
        <v>0</v>
      </c>
      <c r="G90" s="23">
        <v>0</v>
      </c>
      <c r="H90" s="23">
        <v>0</v>
      </c>
      <c r="I90" s="23">
        <v>0</v>
      </c>
      <c r="J90" s="23">
        <v>0</v>
      </c>
      <c r="K90" s="23">
        <f t="shared" si="72"/>
        <v>0</v>
      </c>
      <c r="L90" s="33">
        <f t="shared" si="73"/>
        <v>0</v>
      </c>
      <c r="M90" s="33">
        <f t="shared" si="74"/>
        <v>0</v>
      </c>
      <c r="N90" s="33">
        <v>0</v>
      </c>
      <c r="O90" s="33">
        <v>612</v>
      </c>
      <c r="P90" s="33">
        <v>0</v>
      </c>
      <c r="Q90" s="33">
        <v>612</v>
      </c>
      <c r="R90" s="33">
        <v>0</v>
      </c>
      <c r="S90" s="33">
        <f t="shared" si="75"/>
        <v>612</v>
      </c>
      <c r="T90" s="38" t="str">
        <f t="shared" si="76"/>
        <v>∞</v>
      </c>
      <c r="U90" s="59">
        <f t="shared" si="77"/>
        <v>0</v>
      </c>
      <c r="V90" s="33">
        <v>0</v>
      </c>
      <c r="W90" s="33">
        <v>0</v>
      </c>
      <c r="X90" s="33"/>
      <c r="Y90" s="33"/>
      <c r="Z90" s="42"/>
      <c r="AA90" s="60"/>
      <c r="AB90" s="662"/>
      <c r="AC90" s="580"/>
      <c r="AD90" s="33">
        <f t="shared" si="78"/>
        <v>0</v>
      </c>
      <c r="AE90" s="33">
        <f t="shared" si="79"/>
        <v>612</v>
      </c>
      <c r="AF90" s="101">
        <f t="shared" si="80"/>
        <v>612</v>
      </c>
    </row>
    <row r="91" spans="2:34" ht="13" hidden="1" outlineLevel="1" x14ac:dyDescent="0.3">
      <c r="B91" s="31" t="s">
        <v>125</v>
      </c>
      <c r="C91" s="33">
        <v>0</v>
      </c>
      <c r="D91" s="33">
        <v>0</v>
      </c>
      <c r="E91" s="23">
        <v>0</v>
      </c>
      <c r="F91" s="23">
        <v>0</v>
      </c>
      <c r="G91" s="23">
        <v>0</v>
      </c>
      <c r="H91" s="23">
        <v>0</v>
      </c>
      <c r="I91" s="23">
        <v>0</v>
      </c>
      <c r="J91" s="23">
        <v>0</v>
      </c>
      <c r="K91" s="23">
        <f t="shared" si="72"/>
        <v>0</v>
      </c>
      <c r="L91" s="33">
        <f t="shared" si="73"/>
        <v>0</v>
      </c>
      <c r="M91" s="33">
        <f t="shared" si="74"/>
        <v>0</v>
      </c>
      <c r="N91" s="33">
        <v>0</v>
      </c>
      <c r="O91" s="33">
        <v>-249</v>
      </c>
      <c r="P91" s="33">
        <v>0</v>
      </c>
      <c r="Q91" s="33">
        <v>-249</v>
      </c>
      <c r="R91" s="33">
        <v>0</v>
      </c>
      <c r="S91" s="33">
        <f t="shared" si="75"/>
        <v>-249</v>
      </c>
      <c r="T91" s="38" t="str">
        <f t="shared" si="76"/>
        <v>∞</v>
      </c>
      <c r="U91" s="59">
        <f t="shared" si="77"/>
        <v>0</v>
      </c>
      <c r="V91" s="33">
        <v>0</v>
      </c>
      <c r="W91" s="33">
        <v>0</v>
      </c>
      <c r="X91" s="33"/>
      <c r="Y91" s="33"/>
      <c r="Z91" s="42"/>
      <c r="AA91" s="60"/>
      <c r="AB91" s="662"/>
      <c r="AC91" s="580"/>
      <c r="AD91" s="33">
        <f t="shared" si="78"/>
        <v>0</v>
      </c>
      <c r="AE91" s="33">
        <f t="shared" si="79"/>
        <v>-249</v>
      </c>
      <c r="AF91" s="101">
        <f t="shared" si="80"/>
        <v>-249</v>
      </c>
    </row>
    <row r="92" spans="2:34" ht="13" hidden="1" outlineLevel="1" x14ac:dyDescent="0.3">
      <c r="B92" s="31" t="s">
        <v>126</v>
      </c>
      <c r="C92" s="33">
        <v>0</v>
      </c>
      <c r="D92" s="33">
        <v>0</v>
      </c>
      <c r="E92" s="23">
        <v>0</v>
      </c>
      <c r="F92" s="23">
        <v>0</v>
      </c>
      <c r="G92" s="23">
        <v>0</v>
      </c>
      <c r="H92" s="23">
        <v>0</v>
      </c>
      <c r="I92" s="23">
        <v>0</v>
      </c>
      <c r="J92" s="23">
        <v>0</v>
      </c>
      <c r="K92" s="23">
        <f t="shared" si="72"/>
        <v>0</v>
      </c>
      <c r="L92" s="33">
        <f t="shared" si="73"/>
        <v>0</v>
      </c>
      <c r="M92" s="33">
        <f t="shared" si="74"/>
        <v>0</v>
      </c>
      <c r="N92" s="33">
        <v>0</v>
      </c>
      <c r="O92" s="33">
        <v>249</v>
      </c>
      <c r="P92" s="33">
        <v>0</v>
      </c>
      <c r="Q92" s="33">
        <v>249</v>
      </c>
      <c r="R92" s="33">
        <v>0</v>
      </c>
      <c r="S92" s="33">
        <f t="shared" si="75"/>
        <v>249</v>
      </c>
      <c r="T92" s="38" t="str">
        <f t="shared" si="76"/>
        <v>∞</v>
      </c>
      <c r="U92" s="59">
        <f t="shared" si="77"/>
        <v>0</v>
      </c>
      <c r="V92" s="33">
        <v>0</v>
      </c>
      <c r="W92" s="33">
        <v>0</v>
      </c>
      <c r="X92" s="33"/>
      <c r="Y92" s="33"/>
      <c r="Z92" s="42"/>
      <c r="AA92" s="60"/>
      <c r="AB92" s="662"/>
      <c r="AC92" s="580"/>
      <c r="AD92" s="33">
        <f t="shared" si="78"/>
        <v>0</v>
      </c>
      <c r="AE92" s="33">
        <f t="shared" si="79"/>
        <v>249</v>
      </c>
      <c r="AF92" s="101">
        <f t="shared" si="80"/>
        <v>249</v>
      </c>
    </row>
    <row r="93" spans="2:34" ht="13" hidden="1" outlineLevel="1" x14ac:dyDescent="0.3">
      <c r="B93" s="31" t="s">
        <v>127</v>
      </c>
      <c r="C93" s="33">
        <v>0</v>
      </c>
      <c r="D93" s="33">
        <v>0</v>
      </c>
      <c r="E93" s="23">
        <v>0</v>
      </c>
      <c r="F93" s="23">
        <v>0</v>
      </c>
      <c r="G93" s="23">
        <v>0</v>
      </c>
      <c r="H93" s="23">
        <v>0</v>
      </c>
      <c r="I93" s="23">
        <v>0</v>
      </c>
      <c r="J93" s="23">
        <v>0</v>
      </c>
      <c r="K93" s="23">
        <f t="shared" si="72"/>
        <v>0</v>
      </c>
      <c r="L93" s="33">
        <f t="shared" si="73"/>
        <v>0</v>
      </c>
      <c r="M93" s="33">
        <f t="shared" si="74"/>
        <v>0</v>
      </c>
      <c r="N93" s="33">
        <v>0</v>
      </c>
      <c r="O93" s="33">
        <v>15194</v>
      </c>
      <c r="P93" s="33">
        <v>0</v>
      </c>
      <c r="Q93" s="33">
        <v>15194</v>
      </c>
      <c r="R93" s="33">
        <v>0</v>
      </c>
      <c r="S93" s="33">
        <f t="shared" si="75"/>
        <v>15194</v>
      </c>
      <c r="T93" s="38" t="str">
        <f t="shared" si="76"/>
        <v>∞</v>
      </c>
      <c r="U93" s="59">
        <f t="shared" si="77"/>
        <v>0</v>
      </c>
      <c r="V93" s="33">
        <v>0</v>
      </c>
      <c r="W93" s="33">
        <v>0</v>
      </c>
      <c r="X93" s="33"/>
      <c r="Y93" s="33"/>
      <c r="Z93" s="42"/>
      <c r="AA93" s="60"/>
      <c r="AB93" s="662"/>
      <c r="AC93" s="580"/>
      <c r="AD93" s="33">
        <f t="shared" si="78"/>
        <v>0</v>
      </c>
      <c r="AE93" s="33">
        <f t="shared" si="79"/>
        <v>15194</v>
      </c>
      <c r="AF93" s="101">
        <f t="shared" si="80"/>
        <v>15194</v>
      </c>
    </row>
    <row r="94" spans="2:34" ht="13" hidden="1" outlineLevel="1" x14ac:dyDescent="0.3">
      <c r="B94" s="31" t="s">
        <v>128</v>
      </c>
      <c r="C94" s="33">
        <v>0</v>
      </c>
      <c r="D94" s="33">
        <v>0</v>
      </c>
      <c r="E94" s="23">
        <v>0</v>
      </c>
      <c r="F94" s="23">
        <v>0</v>
      </c>
      <c r="G94" s="23">
        <v>0</v>
      </c>
      <c r="H94" s="23">
        <v>0</v>
      </c>
      <c r="I94" s="23">
        <v>0</v>
      </c>
      <c r="J94" s="23">
        <v>0</v>
      </c>
      <c r="K94" s="23">
        <f t="shared" si="72"/>
        <v>0</v>
      </c>
      <c r="L94" s="33">
        <f t="shared" si="73"/>
        <v>0</v>
      </c>
      <c r="M94" s="33">
        <f t="shared" si="74"/>
        <v>0</v>
      </c>
      <c r="N94" s="33">
        <v>0</v>
      </c>
      <c r="O94" s="33">
        <v>-14797</v>
      </c>
      <c r="P94" s="33">
        <v>0</v>
      </c>
      <c r="Q94" s="33">
        <v>-14797</v>
      </c>
      <c r="R94" s="33">
        <v>0</v>
      </c>
      <c r="S94" s="33">
        <f t="shared" si="75"/>
        <v>-14797</v>
      </c>
      <c r="T94" s="38" t="str">
        <f t="shared" si="76"/>
        <v>∞</v>
      </c>
      <c r="U94" s="59">
        <f t="shared" si="77"/>
        <v>0</v>
      </c>
      <c r="V94" s="33">
        <v>0</v>
      </c>
      <c r="W94" s="33">
        <v>0</v>
      </c>
      <c r="X94" s="33"/>
      <c r="Y94" s="33"/>
      <c r="Z94" s="42"/>
      <c r="AA94" s="60"/>
      <c r="AB94" s="662"/>
      <c r="AC94" s="580"/>
      <c r="AD94" s="33">
        <f t="shared" si="78"/>
        <v>0</v>
      </c>
      <c r="AE94" s="33">
        <f t="shared" si="79"/>
        <v>-14797</v>
      </c>
      <c r="AF94" s="101">
        <f t="shared" si="80"/>
        <v>-14797</v>
      </c>
    </row>
    <row r="95" spans="2:34" ht="13" hidden="1" outlineLevel="1" x14ac:dyDescent="0.3">
      <c r="B95" s="31" t="s">
        <v>129</v>
      </c>
      <c r="C95" s="33">
        <v>0</v>
      </c>
      <c r="D95" s="33">
        <v>0</v>
      </c>
      <c r="E95" s="23">
        <v>0</v>
      </c>
      <c r="F95" s="23">
        <v>0</v>
      </c>
      <c r="G95" s="23">
        <v>0</v>
      </c>
      <c r="H95" s="23">
        <v>0</v>
      </c>
      <c r="I95" s="23">
        <v>0</v>
      </c>
      <c r="J95" s="23">
        <v>0</v>
      </c>
      <c r="K95" s="23">
        <f t="shared" si="72"/>
        <v>0</v>
      </c>
      <c r="L95" s="33">
        <f t="shared" si="73"/>
        <v>0</v>
      </c>
      <c r="M95" s="33">
        <f t="shared" si="74"/>
        <v>0</v>
      </c>
      <c r="N95" s="33">
        <v>0</v>
      </c>
      <c r="O95" s="33">
        <v>-397</v>
      </c>
      <c r="P95" s="33">
        <v>0</v>
      </c>
      <c r="Q95" s="33">
        <v>-397</v>
      </c>
      <c r="R95" s="33">
        <v>0</v>
      </c>
      <c r="S95" s="33">
        <f t="shared" si="75"/>
        <v>-397</v>
      </c>
      <c r="T95" s="38" t="str">
        <f t="shared" si="76"/>
        <v>∞</v>
      </c>
      <c r="U95" s="59">
        <f t="shared" si="77"/>
        <v>0</v>
      </c>
      <c r="V95" s="33">
        <v>0</v>
      </c>
      <c r="W95" s="33">
        <v>0</v>
      </c>
      <c r="X95" s="33"/>
      <c r="Y95" s="33"/>
      <c r="Z95" s="42"/>
      <c r="AA95" s="60"/>
      <c r="AB95" s="662"/>
      <c r="AC95" s="580"/>
      <c r="AD95" s="33">
        <f t="shared" si="78"/>
        <v>0</v>
      </c>
      <c r="AE95" s="33">
        <f t="shared" si="79"/>
        <v>-397</v>
      </c>
      <c r="AF95" s="101">
        <f t="shared" si="80"/>
        <v>-397</v>
      </c>
    </row>
    <row r="96" spans="2:34" ht="13" hidden="1" outlineLevel="1" x14ac:dyDescent="0.3">
      <c r="B96" s="31" t="s">
        <v>130</v>
      </c>
      <c r="C96" s="33">
        <v>0</v>
      </c>
      <c r="D96" s="33">
        <v>0</v>
      </c>
      <c r="E96" s="23">
        <v>0</v>
      </c>
      <c r="F96" s="23">
        <v>0</v>
      </c>
      <c r="G96" s="23">
        <v>0</v>
      </c>
      <c r="H96" s="23">
        <v>0</v>
      </c>
      <c r="I96" s="23">
        <v>0</v>
      </c>
      <c r="J96" s="23">
        <v>0</v>
      </c>
      <c r="K96" s="23">
        <f t="shared" si="72"/>
        <v>0</v>
      </c>
      <c r="L96" s="33">
        <f t="shared" si="73"/>
        <v>0</v>
      </c>
      <c r="M96" s="33">
        <f t="shared" si="74"/>
        <v>0</v>
      </c>
      <c r="N96" s="33">
        <v>0</v>
      </c>
      <c r="O96" s="33">
        <v>7003</v>
      </c>
      <c r="P96" s="33">
        <v>0</v>
      </c>
      <c r="Q96" s="33">
        <v>7003</v>
      </c>
      <c r="R96" s="33">
        <v>0</v>
      </c>
      <c r="S96" s="33">
        <f t="shared" si="75"/>
        <v>7003</v>
      </c>
      <c r="T96" s="38" t="str">
        <f t="shared" si="76"/>
        <v>∞</v>
      </c>
      <c r="U96" s="59">
        <f t="shared" si="77"/>
        <v>0</v>
      </c>
      <c r="V96" s="33">
        <v>0</v>
      </c>
      <c r="W96" s="33">
        <v>0</v>
      </c>
      <c r="X96" s="33"/>
      <c r="Y96" s="33"/>
      <c r="Z96" s="42"/>
      <c r="AA96" s="60"/>
      <c r="AB96" s="662"/>
      <c r="AC96" s="580"/>
      <c r="AD96" s="33">
        <f t="shared" si="78"/>
        <v>0</v>
      </c>
      <c r="AE96" s="33">
        <f t="shared" si="79"/>
        <v>7003</v>
      </c>
      <c r="AF96" s="101">
        <f t="shared" si="80"/>
        <v>7003</v>
      </c>
    </row>
    <row r="97" spans="2:37" ht="13" hidden="1" outlineLevel="1" x14ac:dyDescent="0.3">
      <c r="B97" s="31" t="s">
        <v>131</v>
      </c>
      <c r="C97" s="33">
        <v>0</v>
      </c>
      <c r="D97" s="33">
        <v>0</v>
      </c>
      <c r="E97" s="23">
        <v>0</v>
      </c>
      <c r="F97" s="23">
        <v>0</v>
      </c>
      <c r="G97" s="23">
        <v>0</v>
      </c>
      <c r="H97" s="23">
        <v>0</v>
      </c>
      <c r="I97" s="23">
        <v>0</v>
      </c>
      <c r="J97" s="23">
        <v>0</v>
      </c>
      <c r="K97" s="23">
        <f t="shared" si="72"/>
        <v>0</v>
      </c>
      <c r="L97" s="33">
        <f t="shared" si="73"/>
        <v>0</v>
      </c>
      <c r="M97" s="33">
        <f t="shared" si="74"/>
        <v>0</v>
      </c>
      <c r="N97" s="33">
        <v>0</v>
      </c>
      <c r="O97" s="33">
        <v>0</v>
      </c>
      <c r="P97" s="33">
        <v>-7003</v>
      </c>
      <c r="Q97" s="33">
        <v>-7003</v>
      </c>
      <c r="R97" s="33">
        <v>0</v>
      </c>
      <c r="S97" s="33">
        <f t="shared" si="75"/>
        <v>-7003</v>
      </c>
      <c r="T97" s="38" t="str">
        <f t="shared" si="76"/>
        <v>∞</v>
      </c>
      <c r="U97" s="59">
        <f t="shared" si="77"/>
        <v>0</v>
      </c>
      <c r="V97" s="33">
        <v>0</v>
      </c>
      <c r="W97" s="33">
        <v>0</v>
      </c>
      <c r="X97" s="33"/>
      <c r="Y97" s="33"/>
      <c r="Z97" s="42"/>
      <c r="AA97" s="60"/>
      <c r="AB97" s="662"/>
      <c r="AC97" s="580"/>
      <c r="AD97" s="33">
        <f t="shared" si="78"/>
        <v>0</v>
      </c>
      <c r="AE97" s="33">
        <f t="shared" si="79"/>
        <v>-7003</v>
      </c>
      <c r="AF97" s="101">
        <f t="shared" si="80"/>
        <v>-7003</v>
      </c>
    </row>
    <row r="98" spans="2:37" ht="13" hidden="1" outlineLevel="1" x14ac:dyDescent="0.3">
      <c r="B98" s="31" t="s">
        <v>132</v>
      </c>
      <c r="C98" s="33">
        <v>14098</v>
      </c>
      <c r="D98" s="33">
        <v>14098</v>
      </c>
      <c r="E98" s="23">
        <v>0</v>
      </c>
      <c r="F98" s="23">
        <v>0</v>
      </c>
      <c r="G98" s="23">
        <v>0</v>
      </c>
      <c r="H98" s="23">
        <v>0</v>
      </c>
      <c r="I98" s="23">
        <v>0</v>
      </c>
      <c r="J98" s="23">
        <v>424</v>
      </c>
      <c r="K98" s="23">
        <f t="shared" si="72"/>
        <v>424</v>
      </c>
      <c r="L98" s="33">
        <f t="shared" si="73"/>
        <v>425</v>
      </c>
      <c r="M98" s="33">
        <f t="shared" si="74"/>
        <v>425</v>
      </c>
      <c r="N98" s="33">
        <v>14523</v>
      </c>
      <c r="O98" s="33">
        <v>14748</v>
      </c>
      <c r="P98" s="33">
        <v>0</v>
      </c>
      <c r="Q98" s="33">
        <v>14748</v>
      </c>
      <c r="R98" s="33">
        <v>14523</v>
      </c>
      <c r="S98" s="33">
        <f t="shared" si="75"/>
        <v>225</v>
      </c>
      <c r="T98" s="38">
        <f t="shared" si="76"/>
        <v>1.0154926668043793</v>
      </c>
      <c r="U98" s="59">
        <f t="shared" si="77"/>
        <v>14523</v>
      </c>
      <c r="V98" s="33">
        <v>0</v>
      </c>
      <c r="W98" s="33">
        <v>0</v>
      </c>
      <c r="X98" s="33"/>
      <c r="Y98" s="33"/>
      <c r="Z98" s="42"/>
      <c r="AA98" s="60"/>
      <c r="AB98" s="662"/>
      <c r="AC98" s="580"/>
      <c r="AD98" s="33">
        <f t="shared" si="78"/>
        <v>0</v>
      </c>
      <c r="AE98" s="33">
        <f t="shared" si="79"/>
        <v>14748</v>
      </c>
      <c r="AF98" s="101">
        <f t="shared" si="80"/>
        <v>225</v>
      </c>
    </row>
    <row r="99" spans="2:37" ht="13" hidden="1" outlineLevel="1" x14ac:dyDescent="0.3">
      <c r="B99" s="31" t="s">
        <v>133</v>
      </c>
      <c r="C99" s="33">
        <v>-20487</v>
      </c>
      <c r="D99" s="33">
        <v>-20487</v>
      </c>
      <c r="E99" s="23">
        <v>0</v>
      </c>
      <c r="F99" s="23">
        <v>0</v>
      </c>
      <c r="G99" s="23">
        <v>0</v>
      </c>
      <c r="H99" s="23">
        <v>0</v>
      </c>
      <c r="I99" s="23">
        <v>0</v>
      </c>
      <c r="J99" s="23">
        <v>-424</v>
      </c>
      <c r="K99" s="23">
        <f t="shared" si="72"/>
        <v>-424</v>
      </c>
      <c r="L99" s="33">
        <f t="shared" si="73"/>
        <v>-424</v>
      </c>
      <c r="M99" s="33">
        <f t="shared" si="74"/>
        <v>-424</v>
      </c>
      <c r="N99" s="33">
        <v>-20911</v>
      </c>
      <c r="O99" s="33">
        <v>0</v>
      </c>
      <c r="P99" s="33">
        <v>-21412</v>
      </c>
      <c r="Q99" s="33">
        <v>-21412</v>
      </c>
      <c r="R99" s="33">
        <v>-20911</v>
      </c>
      <c r="S99" s="33">
        <f t="shared" si="75"/>
        <v>-501</v>
      </c>
      <c r="T99" s="38">
        <f t="shared" si="76"/>
        <v>1.0239586820333795</v>
      </c>
      <c r="U99" s="59">
        <f t="shared" si="77"/>
        <v>-20911</v>
      </c>
      <c r="V99" s="33">
        <v>0</v>
      </c>
      <c r="W99" s="33">
        <v>0</v>
      </c>
      <c r="X99" s="33"/>
      <c r="Y99" s="33"/>
      <c r="Z99" s="42"/>
      <c r="AA99" s="60"/>
      <c r="AB99" s="662"/>
      <c r="AC99" s="580"/>
      <c r="AD99" s="33">
        <f t="shared" si="78"/>
        <v>0</v>
      </c>
      <c r="AE99" s="33">
        <f t="shared" si="79"/>
        <v>-21412</v>
      </c>
      <c r="AF99" s="101">
        <f t="shared" si="80"/>
        <v>-501</v>
      </c>
    </row>
    <row r="100" spans="2:37" ht="13" hidden="1" outlineLevel="1" x14ac:dyDescent="0.3">
      <c r="B100" s="31" t="s">
        <v>134</v>
      </c>
      <c r="C100" s="33">
        <v>-3149</v>
      </c>
      <c r="D100" s="33">
        <v>-3149</v>
      </c>
      <c r="E100" s="23">
        <v>0</v>
      </c>
      <c r="F100" s="23">
        <v>0</v>
      </c>
      <c r="G100" s="23">
        <v>0</v>
      </c>
      <c r="H100" s="23">
        <v>0</v>
      </c>
      <c r="I100" s="23">
        <v>0</v>
      </c>
      <c r="J100" s="23">
        <v>0</v>
      </c>
      <c r="K100" s="23">
        <f t="shared" si="72"/>
        <v>0</v>
      </c>
      <c r="L100" s="33">
        <f t="shared" si="73"/>
        <v>0</v>
      </c>
      <c r="M100" s="33">
        <f t="shared" si="74"/>
        <v>0</v>
      </c>
      <c r="N100" s="33">
        <v>-3149</v>
      </c>
      <c r="O100" s="33">
        <v>0</v>
      </c>
      <c r="P100" s="33">
        <v>-3149</v>
      </c>
      <c r="Q100" s="33">
        <v>-3149</v>
      </c>
      <c r="R100" s="33">
        <v>-3149</v>
      </c>
      <c r="S100" s="33">
        <f t="shared" si="75"/>
        <v>0</v>
      </c>
      <c r="T100" s="38">
        <f t="shared" si="76"/>
        <v>1</v>
      </c>
      <c r="U100" s="59">
        <f t="shared" si="77"/>
        <v>-3149</v>
      </c>
      <c r="V100" s="33">
        <v>0</v>
      </c>
      <c r="W100" s="33">
        <v>0</v>
      </c>
      <c r="X100" s="33"/>
      <c r="Y100" s="33"/>
      <c r="Z100" s="42"/>
      <c r="AA100" s="60"/>
      <c r="AB100" s="662"/>
      <c r="AC100" s="580"/>
      <c r="AD100" s="33">
        <f t="shared" si="78"/>
        <v>0</v>
      </c>
      <c r="AE100" s="33">
        <f t="shared" si="79"/>
        <v>-3149</v>
      </c>
      <c r="AF100" s="101">
        <f t="shared" si="80"/>
        <v>0</v>
      </c>
    </row>
    <row r="101" spans="2:37" ht="13.5" hidden="1" outlineLevel="1" thickBot="1" x14ac:dyDescent="0.35">
      <c r="B101" s="80"/>
      <c r="C101" s="81"/>
      <c r="D101" s="81"/>
      <c r="E101" s="82"/>
      <c r="F101" s="82"/>
      <c r="G101" s="82"/>
      <c r="H101" s="82"/>
      <c r="I101" s="82"/>
      <c r="J101" s="82"/>
      <c r="K101" s="82"/>
      <c r="L101" s="81"/>
      <c r="M101" s="81"/>
      <c r="N101" s="81"/>
      <c r="O101" s="81"/>
      <c r="P101" s="81"/>
      <c r="Q101" s="81"/>
      <c r="R101" s="81"/>
      <c r="S101" s="81"/>
      <c r="T101" s="81"/>
      <c r="U101" s="83"/>
      <c r="V101" s="81"/>
      <c r="W101" s="81"/>
      <c r="X101" s="81"/>
      <c r="Y101" s="81"/>
      <c r="Z101" s="84"/>
      <c r="AA101" s="60"/>
      <c r="AB101" s="673"/>
      <c r="AC101" s="674"/>
      <c r="AD101" s="36"/>
      <c r="AE101" s="36"/>
      <c r="AF101" s="99"/>
    </row>
    <row r="102" spans="2:37" ht="13.5" collapsed="1" thickBot="1" x14ac:dyDescent="0.35">
      <c r="B102" s="68" t="s">
        <v>135</v>
      </c>
      <c r="C102" s="69">
        <f t="shared" ref="C102:J102" si="81">SUM(C83:C83,C84:C84,C85:C85,C86:C86,C87:C87,C88:C88,C89:C89,C90:C90,C91:C91,C92:C92,C93:C93,C94:C94,C95:C95,C96:C96,C97:C97,C98:C98,C99:C99,C100:C100)</f>
        <v>-9538</v>
      </c>
      <c r="D102" s="69">
        <f t="shared" si="81"/>
        <v>-9538</v>
      </c>
      <c r="E102" s="77">
        <f t="shared" si="81"/>
        <v>0</v>
      </c>
      <c r="F102" s="77">
        <f t="shared" si="81"/>
        <v>0</v>
      </c>
      <c r="G102" s="77">
        <f t="shared" si="81"/>
        <v>0</v>
      </c>
      <c r="H102" s="77">
        <f t="shared" si="81"/>
        <v>0</v>
      </c>
      <c r="I102" s="77">
        <f t="shared" si="81"/>
        <v>0</v>
      </c>
      <c r="J102" s="77">
        <f t="shared" si="81"/>
        <v>0</v>
      </c>
      <c r="K102" s="77">
        <f>SUM(E102:J102)</f>
        <v>0</v>
      </c>
      <c r="L102" s="69">
        <f>N102-D102</f>
        <v>1</v>
      </c>
      <c r="M102" s="69">
        <f>N102-C102</f>
        <v>1</v>
      </c>
      <c r="N102" s="69">
        <f>SUM(N83:N83,N84:N84,N85:N85,N86:N86,N87:N87,N88:N88,N89:N89,N90:N90,N91:N91,N92:N92,N93:N93,N94:N94,N95:N95,N96:N96,N97:N97,N98:N98,N99:N99,N100:N100)</f>
        <v>-9537</v>
      </c>
      <c r="O102" s="69">
        <f>SUM(O83:O83,O84:O84,O85:O85,O86:O86,O87:O87,O88:O88,O89:O89,O90:O90,O91:O91,O92:O92,O93:O93,O94:O94,O95:O95,O96:O96,O97:O97,O98:O98,O99:O99,O100:O100)</f>
        <v>25178</v>
      </c>
      <c r="P102" s="69">
        <f>SUM(P83:P83,P84:P84,P85:P85,P86:P86,P87:P87,P88:P88,P89:P89,P90:P90,P91:P91,P92:P92,P93:P93,P94:P94,P95:P95,P96:P96,P97:P97,P98:P98,P99:P99,P100:P100)</f>
        <v>-34991</v>
      </c>
      <c r="Q102" s="69">
        <f>SUM(Q83:Q83,Q84:Q84,Q85:Q85,Q86:Q86,Q87:Q87,Q88:Q88,Q89:Q89,Q90:Q90,Q91:Q91,Q92:Q92,Q93:Q93,Q94:Q94,Q95:Q95,Q96:Q96,Q97:Q97,Q98:Q98,Q99:Q99,Q100:Q100)</f>
        <v>-9813</v>
      </c>
      <c r="R102" s="69">
        <f>SUM(R83:R83,R84:R84,R85:R85,R86:R86,R87:R87,R88:R88,R89:R89,R90:R90,R91:R91,R92:R92,R93:R93,R94:R94,R95:R95,R96:R96,R97:R97,R98:R98,R99:R99,R100:R100)</f>
        <v>-9537</v>
      </c>
      <c r="S102" s="69">
        <f>Q102-R102</f>
        <v>-276</v>
      </c>
      <c r="T102" s="70">
        <f>IFERROR((Q102/N102)*100%,"∞")</f>
        <v>1.0289399182132746</v>
      </c>
      <c r="U102" s="76">
        <f>N102+V102</f>
        <v>-9537</v>
      </c>
      <c r="V102" s="69">
        <f>SUM(V83:V83,V84:V84,V85:V85,V86:V86,V87:V87,V88:V88,V89:V89,V90:V90,V91:V91,V92:V92,V93:V93,V94:V94,V95:V95,V96:V96,V97:V97,V98:V98,V99:V99,V100:V100)</f>
        <v>0</v>
      </c>
      <c r="W102" s="69">
        <f>SUM(W83:W83,W84:W84,W85:W85,W86:W86,W87:W87,W88:W88,W89:W89,W90:W90,W91:W91,W92:W92,W93:W93,W94:W94,W95:W95,W96:W96,W97:W97,W98:W98,W99:W99,W100:W100)</f>
        <v>0</v>
      </c>
      <c r="X102" s="69">
        <f>SUM(X83:X83,X84:X84,X85:X85,X86:X86,X87:X87,X88:X88,X89:X89,X90:X90,X91:X91,X92:X92,X93:X93,X94:X94,X95:X95,X96:X96,X97:X97,X98:X98,X99:X99,X100:X100)</f>
        <v>0</v>
      </c>
      <c r="Y102" s="69">
        <f>SUM(Y83:Y83,Y84:Y84,Y85:Y85,Y86:Y86,Y87:Y87,Y88:Y88,Y89:Y89,Y90:Y90,Y91:Y91,Y92:Y92,Y93:Y93,Y94:Y94,Y95:Y95,Y96:Y96,Y97:Y97,Y98:Y98,Y99:Y99,Y100:Y100)</f>
        <v>0</v>
      </c>
      <c r="Z102" s="69">
        <f>SUM(Z83:Z83,Z84:Z84,Z85:Z85,Z86:Z86,Z87:Z87,Z88:Z88,Z89:Z89,Z90:Z90,Z91:Z91,Z92:Z92,Z93:Z93,Z94:Z94,Z95:Z95,Z96:Z96,Z97:Z97,Z98:Z98,Z99:Z99,Z100:Z100)</f>
        <v>0</v>
      </c>
      <c r="AA102" s="60"/>
      <c r="AB102" s="676">
        <f>SUM(AB83:AB83,AB84:AB84,AB85:AB85,AB86:AB86,AB87:AB87,AB88:AB88,AB89:AB89,AB90:AB90,AB91:AB91,AB92:AB92,AB93:AB93,AB94:AB94,AB95:AB95,AB96:AB96,AB97:AB97,AB98:AB98,AB99:AB99,AB100:AB100)</f>
        <v>0</v>
      </c>
      <c r="AC102" s="676">
        <f>SUM(AC83:AC83,AC84:AC84,AC85:AC85,AC86:AC86,AC87:AC87,AC88:AC88,AC89:AC89,AC90:AC90,AC91:AC91,AC92:AC92,AC93:AC93,AC94:AC94,AC95:AC95,AC96:AC96,AC97:AC97,AC98:AC98,AC99:AC99,AC100:AC100)</f>
        <v>0</v>
      </c>
      <c r="AD102" s="69">
        <f>SUM(AD83:AD83,AD84:AD84,AD85:AD85,AD86:AD86,AD87:AD87,AD88:AD88,AD89:AD89,AD90:AD90,AD91:AD91,AD92:AD92,AD93:AD93,AD94:AD94,AD95:AD95,AD96:AD96,AD97:AD97,AD98:AD98,AD99:AD99,AD100:AD100)</f>
        <v>0</v>
      </c>
      <c r="AE102" s="69">
        <f>SUM(AE83:AE83,AE84:AE84,AE85:AE85,AE86:AE86,AE87:AE87,AE88:AE88,AE89:AE89,AE90:AE90,AE91:AE91,AE92:AE92,AE93:AE93,AE94:AE94,AE95:AE95,AE96:AE96,AE97:AE97,AE98:AE98,AE99:AE99,AE100:AE100)</f>
        <v>-9813</v>
      </c>
      <c r="AF102" s="69">
        <f>SUM(AF83:AF83,AF84:AF84,AF85:AF85,AF86:AF86,AF87:AF87,AF88:AF88,AF89:AF89,AF90:AF90,AF91:AF91,AF92:AF92,AF93:AF93,AF94:AF94,AF95:AF95,AF96:AF96,AF97:AF97,AF98:AF98,AF99:AF99,AF100:AF100)</f>
        <v>-276</v>
      </c>
      <c r="AH102" t="s">
        <v>180</v>
      </c>
    </row>
    <row r="103" spans="2:37" ht="13.5" thickTop="1" x14ac:dyDescent="0.3">
      <c r="B103" s="71"/>
      <c r="C103" s="72"/>
      <c r="D103" s="72"/>
      <c r="E103" s="73"/>
      <c r="F103" s="73"/>
      <c r="G103" s="73"/>
      <c r="H103" s="73"/>
      <c r="I103" s="73"/>
      <c r="J103" s="73"/>
      <c r="K103" s="73"/>
      <c r="L103" s="72"/>
      <c r="M103" s="72"/>
      <c r="N103" s="72"/>
      <c r="O103" s="72"/>
      <c r="P103" s="72"/>
      <c r="Q103" s="72"/>
      <c r="R103" s="72"/>
      <c r="S103" s="72"/>
      <c r="T103" s="72"/>
      <c r="U103" s="74"/>
      <c r="V103" s="72"/>
      <c r="W103" s="72"/>
      <c r="X103" s="72"/>
      <c r="Y103" s="72"/>
      <c r="Z103" s="75"/>
      <c r="AA103" s="60"/>
      <c r="AB103" s="670"/>
      <c r="AC103" s="671"/>
      <c r="AD103" s="72"/>
      <c r="AE103" s="72"/>
      <c r="AF103" s="75"/>
    </row>
    <row r="104" spans="2:37" ht="13" x14ac:dyDescent="0.3">
      <c r="B104" s="78" t="s">
        <v>136</v>
      </c>
      <c r="C104" s="34">
        <f>SUM(C105:C114)</f>
        <v>1825</v>
      </c>
      <c r="D104" s="34">
        <f t="shared" ref="D104:J104" si="82">SUM(D105:D114)</f>
        <v>1767</v>
      </c>
      <c r="E104" s="34">
        <f t="shared" si="82"/>
        <v>0</v>
      </c>
      <c r="F104" s="34">
        <f t="shared" si="82"/>
        <v>16</v>
      </c>
      <c r="G104" s="34">
        <f t="shared" si="82"/>
        <v>-58</v>
      </c>
      <c r="H104" s="34">
        <f t="shared" si="82"/>
        <v>74</v>
      </c>
      <c r="I104" s="34">
        <f t="shared" si="82"/>
        <v>0</v>
      </c>
      <c r="J104" s="34">
        <f t="shared" si="82"/>
        <v>0</v>
      </c>
      <c r="K104" s="24">
        <f>SUM(K105:K115)</f>
        <v>32</v>
      </c>
      <c r="L104" s="34">
        <f>N104-D104</f>
        <v>-2075</v>
      </c>
      <c r="M104" s="34">
        <f>N104-C104</f>
        <v>-2133</v>
      </c>
      <c r="N104" s="34">
        <f>SUM(N105:N114)</f>
        <v>-308</v>
      </c>
      <c r="O104" s="34">
        <f>SUM(O105:O114)</f>
        <v>73732</v>
      </c>
      <c r="P104" s="34">
        <f t="shared" ref="P104:R104" si="83">SUM(P105:P114)</f>
        <v>-74895</v>
      </c>
      <c r="Q104" s="34">
        <f t="shared" si="83"/>
        <v>-1163</v>
      </c>
      <c r="R104" s="34">
        <f t="shared" si="83"/>
        <v>1841</v>
      </c>
      <c r="S104" s="34">
        <f>Q104-R104</f>
        <v>-3004</v>
      </c>
      <c r="T104" s="94">
        <f>IFERROR((Q104/N104)*100%,"∞")</f>
        <v>3.7759740259740258</v>
      </c>
      <c r="U104" s="95">
        <f>N104+V104</f>
        <v>81</v>
      </c>
      <c r="V104" s="34">
        <f>SUM(V105:V114,V139:V139)</f>
        <v>389</v>
      </c>
      <c r="W104" s="34">
        <f t="shared" ref="W104:Z104" si="84">SUM(W105:W114)</f>
        <v>0</v>
      </c>
      <c r="X104" s="34">
        <f t="shared" si="84"/>
        <v>0</v>
      </c>
      <c r="Y104" s="34">
        <f t="shared" si="84"/>
        <v>0</v>
      </c>
      <c r="Z104" s="34">
        <f t="shared" si="84"/>
        <v>0</v>
      </c>
      <c r="AA104" s="34">
        <f t="shared" ref="AA104" si="85">SUM(AA105:AA114)</f>
        <v>0</v>
      </c>
      <c r="AB104" s="34">
        <f t="shared" ref="AB104" si="86">SUM(AB105:AB114)</f>
        <v>0</v>
      </c>
      <c r="AC104" s="34">
        <f t="shared" ref="AC104" si="87">SUM(AC105:AC114)</f>
        <v>814</v>
      </c>
      <c r="AD104" s="34">
        <f t="shared" ref="AD104" si="88">SUM(AD105:AD114)</f>
        <v>814</v>
      </c>
      <c r="AE104" s="34">
        <f t="shared" ref="AE104" si="89">SUM(AE105:AE114)</f>
        <v>-349</v>
      </c>
      <c r="AF104" s="34">
        <f t="shared" ref="AF104" si="90">SUM(AF105:AF114)</f>
        <v>-41</v>
      </c>
      <c r="AH104" s="19"/>
    </row>
    <row r="105" spans="2:37" ht="13" outlineLevel="1" x14ac:dyDescent="0.3">
      <c r="B105" s="79" t="s">
        <v>137</v>
      </c>
      <c r="C105" s="33">
        <v>380</v>
      </c>
      <c r="D105" s="33">
        <v>380</v>
      </c>
      <c r="E105" s="23">
        <v>0</v>
      </c>
      <c r="F105" s="23">
        <v>16</v>
      </c>
      <c r="G105" s="23">
        <v>0</v>
      </c>
      <c r="H105" s="23">
        <v>16</v>
      </c>
      <c r="I105" s="23">
        <v>0</v>
      </c>
      <c r="J105" s="23">
        <v>0</v>
      </c>
      <c r="K105" s="23">
        <f>SUM(E105:J105)</f>
        <v>32</v>
      </c>
      <c r="L105" s="33">
        <f>N105-D105</f>
        <v>16</v>
      </c>
      <c r="M105" s="33">
        <f>N105-C105</f>
        <v>16</v>
      </c>
      <c r="N105" s="33">
        <v>396</v>
      </c>
      <c r="O105" s="33">
        <v>38966</v>
      </c>
      <c r="P105" s="33">
        <v>-37500</v>
      </c>
      <c r="Q105" s="33">
        <v>1466</v>
      </c>
      <c r="R105" s="33">
        <v>396</v>
      </c>
      <c r="S105" s="33">
        <f>Q105-R105</f>
        <v>1070</v>
      </c>
      <c r="T105" s="38">
        <f>IFERROR((Q105/N105)*100%,"∞")</f>
        <v>3.702020202020202</v>
      </c>
      <c r="U105" s="59">
        <f>N105+V105</f>
        <v>396</v>
      </c>
      <c r="V105" s="33">
        <v>0</v>
      </c>
      <c r="W105" s="33">
        <v>0</v>
      </c>
      <c r="X105" s="33"/>
      <c r="Y105" s="33"/>
      <c r="Z105" s="42"/>
      <c r="AA105" s="60"/>
      <c r="AB105" s="662"/>
      <c r="AC105" s="580"/>
      <c r="AD105" s="33">
        <f>SUM(AB105:AC105)</f>
        <v>0</v>
      </c>
      <c r="AE105" s="33">
        <f>Q105+AD105</f>
        <v>1466</v>
      </c>
      <c r="AF105" s="101">
        <f>AE105-N105</f>
        <v>1070</v>
      </c>
      <c r="AH105" t="s">
        <v>628</v>
      </c>
    </row>
    <row r="106" spans="2:37" ht="13" outlineLevel="1" x14ac:dyDescent="0.3">
      <c r="B106" s="79" t="s">
        <v>138</v>
      </c>
      <c r="C106" s="33">
        <v>3062</v>
      </c>
      <c r="D106" s="33">
        <v>3062</v>
      </c>
      <c r="E106" s="23">
        <v>0</v>
      </c>
      <c r="F106" s="23">
        <v>0</v>
      </c>
      <c r="G106" s="23">
        <v>0</v>
      </c>
      <c r="H106" s="23">
        <v>0</v>
      </c>
      <c r="I106" s="23">
        <v>0</v>
      </c>
      <c r="J106" s="23">
        <v>0</v>
      </c>
      <c r="K106" s="23">
        <f t="shared" ref="K106:K113" si="91">SUM(E106:J106)</f>
        <v>0</v>
      </c>
      <c r="L106" s="33">
        <f t="shared" ref="L106:L113" si="92">N106-D106</f>
        <v>0</v>
      </c>
      <c r="M106" s="33">
        <f t="shared" ref="M106:M113" si="93">N106-C106</f>
        <v>0</v>
      </c>
      <c r="N106" s="33">
        <v>3062</v>
      </c>
      <c r="O106" s="33">
        <v>3190</v>
      </c>
      <c r="P106" s="33">
        <v>0</v>
      </c>
      <c r="Q106" s="33">
        <v>3190</v>
      </c>
      <c r="R106" s="33">
        <v>3062</v>
      </c>
      <c r="S106" s="33">
        <f t="shared" ref="S106:S113" si="94">Q106-R106</f>
        <v>128</v>
      </c>
      <c r="T106" s="38">
        <f t="shared" ref="T106:T113" si="95">IFERROR((Q106/N106)*100%,"∞")</f>
        <v>1.0418027433050294</v>
      </c>
      <c r="U106" s="59">
        <f t="shared" ref="U106:U113" si="96">N106+V106</f>
        <v>3062</v>
      </c>
      <c r="V106" s="33">
        <v>0</v>
      </c>
      <c r="W106" s="33">
        <v>0</v>
      </c>
      <c r="X106" s="33"/>
      <c r="Y106" s="33"/>
      <c r="Z106" s="42"/>
      <c r="AA106" s="60"/>
      <c r="AB106" s="662"/>
      <c r="AC106" s="580"/>
      <c r="AD106" s="33">
        <f t="shared" ref="AD106:AD113" si="97">SUM(AB106:AC106)</f>
        <v>0</v>
      </c>
      <c r="AE106" s="33">
        <f t="shared" ref="AE106:AE113" si="98">Q106+AD106</f>
        <v>3190</v>
      </c>
      <c r="AF106" s="101">
        <f t="shared" ref="AF106:AF113" si="99">AE106-N106</f>
        <v>128</v>
      </c>
      <c r="AH106" t="s">
        <v>183</v>
      </c>
    </row>
    <row r="107" spans="2:37" ht="13" outlineLevel="1" x14ac:dyDescent="0.3">
      <c r="B107" s="79" t="s">
        <v>139</v>
      </c>
      <c r="C107" s="33">
        <v>602</v>
      </c>
      <c r="D107" s="33">
        <v>602</v>
      </c>
      <c r="E107" s="23">
        <v>0</v>
      </c>
      <c r="F107" s="23">
        <v>0</v>
      </c>
      <c r="G107" s="23">
        <v>0</v>
      </c>
      <c r="H107" s="23">
        <v>0</v>
      </c>
      <c r="I107" s="23">
        <v>0</v>
      </c>
      <c r="J107" s="23">
        <v>0</v>
      </c>
      <c r="K107" s="23">
        <f t="shared" si="91"/>
        <v>0</v>
      </c>
      <c r="L107" s="33">
        <f t="shared" si="92"/>
        <v>0</v>
      </c>
      <c r="M107" s="33">
        <f t="shared" si="93"/>
        <v>0</v>
      </c>
      <c r="N107" s="33">
        <v>602</v>
      </c>
      <c r="O107" s="33">
        <v>426</v>
      </c>
      <c r="P107" s="33">
        <v>0</v>
      </c>
      <c r="Q107" s="33">
        <v>426</v>
      </c>
      <c r="R107" s="33">
        <v>602</v>
      </c>
      <c r="S107" s="33">
        <f t="shared" si="94"/>
        <v>-176</v>
      </c>
      <c r="T107" s="38">
        <f t="shared" si="95"/>
        <v>0.70764119601328901</v>
      </c>
      <c r="U107" s="59">
        <f t="shared" si="96"/>
        <v>602</v>
      </c>
      <c r="V107" s="33">
        <v>0</v>
      </c>
      <c r="W107" s="33">
        <v>0</v>
      </c>
      <c r="X107" s="33"/>
      <c r="Y107" s="33"/>
      <c r="Z107" s="42"/>
      <c r="AA107" s="60"/>
      <c r="AB107" s="662"/>
      <c r="AC107" s="580"/>
      <c r="AD107" s="33">
        <f t="shared" si="97"/>
        <v>0</v>
      </c>
      <c r="AE107" s="33">
        <f t="shared" si="98"/>
        <v>426</v>
      </c>
      <c r="AF107" s="101">
        <f t="shared" si="99"/>
        <v>-176</v>
      </c>
    </row>
    <row r="108" spans="2:37" ht="13" outlineLevel="1" x14ac:dyDescent="0.3">
      <c r="B108" s="79" t="s">
        <v>141</v>
      </c>
      <c r="C108" s="33">
        <v>8228</v>
      </c>
      <c r="D108" s="33">
        <v>8228</v>
      </c>
      <c r="E108" s="23">
        <v>0</v>
      </c>
      <c r="F108" s="23">
        <v>0</v>
      </c>
      <c r="G108" s="23">
        <v>0</v>
      </c>
      <c r="H108" s="23">
        <v>0</v>
      </c>
      <c r="I108" s="23">
        <v>0</v>
      </c>
      <c r="J108" s="23">
        <v>0</v>
      </c>
      <c r="K108" s="23">
        <f t="shared" si="91"/>
        <v>0</v>
      </c>
      <c r="L108" s="33">
        <f t="shared" si="92"/>
        <v>0</v>
      </c>
      <c r="M108" s="33">
        <f t="shared" si="93"/>
        <v>0</v>
      </c>
      <c r="N108" s="33">
        <v>8228</v>
      </c>
      <c r="O108" s="33">
        <v>6425</v>
      </c>
      <c r="P108" s="33">
        <v>0</v>
      </c>
      <c r="Q108" s="33">
        <v>6425</v>
      </c>
      <c r="R108" s="33">
        <v>8228</v>
      </c>
      <c r="S108" s="33">
        <f t="shared" si="94"/>
        <v>-1803</v>
      </c>
      <c r="T108" s="38">
        <f t="shared" si="95"/>
        <v>0.78087019931939716</v>
      </c>
      <c r="U108" s="59">
        <f t="shared" si="96"/>
        <v>8617</v>
      </c>
      <c r="V108" s="33">
        <v>389</v>
      </c>
      <c r="W108" s="33">
        <v>0</v>
      </c>
      <c r="X108" s="33"/>
      <c r="Y108" s="33"/>
      <c r="Z108" s="42"/>
      <c r="AA108" s="60"/>
      <c r="AB108" s="662"/>
      <c r="AC108" s="580"/>
      <c r="AD108" s="33">
        <f t="shared" si="97"/>
        <v>0</v>
      </c>
      <c r="AE108" s="33">
        <f t="shared" si="98"/>
        <v>6425</v>
      </c>
      <c r="AF108" s="101">
        <f t="shared" si="99"/>
        <v>-1803</v>
      </c>
      <c r="AH108" t="s">
        <v>184</v>
      </c>
    </row>
    <row r="109" spans="2:37" ht="13" outlineLevel="1" x14ac:dyDescent="0.3">
      <c r="B109" s="79" t="s">
        <v>142</v>
      </c>
      <c r="C109" s="33">
        <v>-4059</v>
      </c>
      <c r="D109" s="33">
        <v>-4059</v>
      </c>
      <c r="E109" s="23">
        <v>0</v>
      </c>
      <c r="F109" s="23">
        <v>0</v>
      </c>
      <c r="G109" s="23">
        <v>0</v>
      </c>
      <c r="H109" s="23">
        <v>0</v>
      </c>
      <c r="I109" s="23">
        <v>0</v>
      </c>
      <c r="J109" s="23">
        <v>0</v>
      </c>
      <c r="K109" s="23">
        <f t="shared" si="91"/>
        <v>0</v>
      </c>
      <c r="L109" s="33">
        <f t="shared" si="92"/>
        <v>0</v>
      </c>
      <c r="M109" s="33">
        <f t="shared" si="93"/>
        <v>0</v>
      </c>
      <c r="N109" s="33">
        <v>-4059</v>
      </c>
      <c r="O109" s="33">
        <v>121</v>
      </c>
      <c r="P109" s="33">
        <v>-4717</v>
      </c>
      <c r="Q109" s="33">
        <v>-4596</v>
      </c>
      <c r="R109" s="33">
        <v>-4059</v>
      </c>
      <c r="S109" s="33">
        <f t="shared" si="94"/>
        <v>-537</v>
      </c>
      <c r="T109" s="38">
        <f t="shared" si="95"/>
        <v>1.1322985957132299</v>
      </c>
      <c r="U109" s="59">
        <f t="shared" si="96"/>
        <v>-4059</v>
      </c>
      <c r="V109" s="33">
        <v>0</v>
      </c>
      <c r="W109" s="33">
        <v>0</v>
      </c>
      <c r="X109" s="33"/>
      <c r="Y109" s="33"/>
      <c r="Z109" s="42"/>
      <c r="AA109" s="60"/>
      <c r="AB109" s="662"/>
      <c r="AC109" s="580">
        <v>814</v>
      </c>
      <c r="AD109" s="33">
        <f t="shared" si="97"/>
        <v>814</v>
      </c>
      <c r="AE109" s="33">
        <f t="shared" si="98"/>
        <v>-3782</v>
      </c>
      <c r="AF109" s="101">
        <f t="shared" si="99"/>
        <v>277</v>
      </c>
      <c r="AH109" t="s">
        <v>184</v>
      </c>
      <c r="AI109" s="19"/>
      <c r="AJ109" s="19"/>
    </row>
    <row r="110" spans="2:37" ht="13" outlineLevel="1" x14ac:dyDescent="0.3">
      <c r="B110" s="79" t="s">
        <v>143</v>
      </c>
      <c r="C110" s="33">
        <v>-8097</v>
      </c>
      <c r="D110" s="33">
        <v>-8097</v>
      </c>
      <c r="E110" s="23">
        <v>0</v>
      </c>
      <c r="F110" s="23">
        <v>0</v>
      </c>
      <c r="G110" s="23">
        <v>0</v>
      </c>
      <c r="H110" s="23">
        <v>0</v>
      </c>
      <c r="I110" s="23">
        <v>0</v>
      </c>
      <c r="J110" s="23">
        <v>0</v>
      </c>
      <c r="K110" s="23">
        <f t="shared" si="91"/>
        <v>0</v>
      </c>
      <c r="L110" s="33">
        <f t="shared" si="92"/>
        <v>0</v>
      </c>
      <c r="M110" s="33">
        <f t="shared" si="93"/>
        <v>0</v>
      </c>
      <c r="N110" s="33">
        <v>-8097</v>
      </c>
      <c r="O110" s="33">
        <v>0</v>
      </c>
      <c r="P110" s="33">
        <v>-7636</v>
      </c>
      <c r="Q110" s="33">
        <v>-7636</v>
      </c>
      <c r="R110" s="33">
        <v>-8097</v>
      </c>
      <c r="S110" s="33">
        <f t="shared" si="94"/>
        <v>461</v>
      </c>
      <c r="T110" s="38">
        <f t="shared" si="95"/>
        <v>0.94306533283932326</v>
      </c>
      <c r="U110" s="59">
        <f t="shared" si="96"/>
        <v>-8097</v>
      </c>
      <c r="V110" s="33">
        <v>0</v>
      </c>
      <c r="W110" s="33">
        <v>0</v>
      </c>
      <c r="X110" s="33"/>
      <c r="Y110" s="33"/>
      <c r="Z110" s="42"/>
      <c r="AA110" s="60"/>
      <c r="AB110" s="662"/>
      <c r="AC110" s="580"/>
      <c r="AD110" s="33">
        <f t="shared" si="97"/>
        <v>0</v>
      </c>
      <c r="AE110" s="33">
        <f t="shared" si="98"/>
        <v>-7636</v>
      </c>
      <c r="AF110" s="101">
        <f t="shared" si="99"/>
        <v>461</v>
      </c>
      <c r="AH110" t="s">
        <v>184</v>
      </c>
      <c r="AK110">
        <f>1879-211</f>
        <v>1668</v>
      </c>
    </row>
    <row r="111" spans="2:37" ht="13" outlineLevel="1" x14ac:dyDescent="0.3">
      <c r="B111" s="79" t="s">
        <v>144</v>
      </c>
      <c r="C111" s="33">
        <v>-605</v>
      </c>
      <c r="D111" s="33">
        <v>-605</v>
      </c>
      <c r="E111" s="23">
        <v>0</v>
      </c>
      <c r="F111" s="23">
        <v>0</v>
      </c>
      <c r="G111" s="23">
        <v>0</v>
      </c>
      <c r="H111" s="23">
        <v>0</v>
      </c>
      <c r="I111" s="23">
        <v>0</v>
      </c>
      <c r="J111" s="23">
        <v>0</v>
      </c>
      <c r="K111" s="23">
        <f t="shared" si="91"/>
        <v>0</v>
      </c>
      <c r="L111" s="33">
        <f t="shared" si="92"/>
        <v>0</v>
      </c>
      <c r="M111" s="33">
        <f t="shared" si="93"/>
        <v>0</v>
      </c>
      <c r="N111" s="33">
        <v>-605</v>
      </c>
      <c r="O111" s="33">
        <v>0</v>
      </c>
      <c r="P111" s="33">
        <v>-475</v>
      </c>
      <c r="Q111" s="33">
        <v>-475</v>
      </c>
      <c r="R111" s="33">
        <v>-605</v>
      </c>
      <c r="S111" s="33">
        <f t="shared" si="94"/>
        <v>130</v>
      </c>
      <c r="T111" s="38">
        <f t="shared" si="95"/>
        <v>0.78512396694214881</v>
      </c>
      <c r="U111" s="59">
        <f t="shared" si="96"/>
        <v>-605</v>
      </c>
      <c r="V111" s="33">
        <v>0</v>
      </c>
      <c r="W111" s="33">
        <v>0</v>
      </c>
      <c r="X111" s="33"/>
      <c r="Y111" s="33"/>
      <c r="Z111" s="42"/>
      <c r="AA111" s="60"/>
      <c r="AB111" s="662"/>
      <c r="AC111" s="580"/>
      <c r="AD111" s="33">
        <f t="shared" si="97"/>
        <v>0</v>
      </c>
      <c r="AE111" s="33">
        <f t="shared" si="98"/>
        <v>-475</v>
      </c>
      <c r="AF111" s="101">
        <f t="shared" si="99"/>
        <v>130</v>
      </c>
      <c r="AH111" t="s">
        <v>184</v>
      </c>
    </row>
    <row r="112" spans="2:37" ht="13" outlineLevel="1" x14ac:dyDescent="0.3">
      <c r="B112" s="79" t="s">
        <v>145</v>
      </c>
      <c r="C112" s="33">
        <v>2149</v>
      </c>
      <c r="D112" s="33">
        <v>2091</v>
      </c>
      <c r="E112" s="23">
        <v>0</v>
      </c>
      <c r="F112" s="23">
        <v>0</v>
      </c>
      <c r="G112" s="23">
        <v>-58</v>
      </c>
      <c r="H112" s="23">
        <v>58</v>
      </c>
      <c r="I112" s="23">
        <v>0</v>
      </c>
      <c r="J112" s="23">
        <v>0</v>
      </c>
      <c r="K112" s="23">
        <f t="shared" si="91"/>
        <v>0</v>
      </c>
      <c r="L112" s="33">
        <f t="shared" si="92"/>
        <v>-2091</v>
      </c>
      <c r="M112" s="33">
        <f t="shared" si="93"/>
        <v>-2149</v>
      </c>
      <c r="N112" s="33">
        <f>2149-2149</f>
        <v>0</v>
      </c>
      <c r="O112" s="33">
        <v>0</v>
      </c>
      <c r="P112" s="33">
        <v>0</v>
      </c>
      <c r="Q112" s="33">
        <v>0</v>
      </c>
      <c r="R112" s="33">
        <v>2149</v>
      </c>
      <c r="S112" s="33">
        <f t="shared" si="94"/>
        <v>-2149</v>
      </c>
      <c r="T112" s="38" t="str">
        <f t="shared" si="95"/>
        <v>∞</v>
      </c>
      <c r="U112" s="59">
        <f t="shared" si="96"/>
        <v>0</v>
      </c>
      <c r="V112" s="33">
        <v>0</v>
      </c>
      <c r="W112" s="33">
        <v>0</v>
      </c>
      <c r="X112" s="33"/>
      <c r="Y112" s="33"/>
      <c r="Z112" s="42"/>
      <c r="AA112" s="60"/>
      <c r="AB112" s="662"/>
      <c r="AC112" s="580"/>
      <c r="AD112" s="33">
        <f t="shared" si="97"/>
        <v>0</v>
      </c>
      <c r="AE112" s="33">
        <f t="shared" si="98"/>
        <v>0</v>
      </c>
      <c r="AF112" s="101">
        <f t="shared" si="99"/>
        <v>0</v>
      </c>
    </row>
    <row r="113" spans="2:34" ht="13" outlineLevel="1" x14ac:dyDescent="0.3">
      <c r="B113" s="79" t="s">
        <v>146</v>
      </c>
      <c r="C113" s="33">
        <v>165</v>
      </c>
      <c r="D113" s="33">
        <v>165</v>
      </c>
      <c r="E113" s="23">
        <v>0</v>
      </c>
      <c r="F113" s="23">
        <v>0</v>
      </c>
      <c r="G113" s="23">
        <v>0</v>
      </c>
      <c r="H113" s="23">
        <v>0</v>
      </c>
      <c r="I113" s="23">
        <v>0</v>
      </c>
      <c r="J113" s="23">
        <v>0</v>
      </c>
      <c r="K113" s="23">
        <f t="shared" si="91"/>
        <v>0</v>
      </c>
      <c r="L113" s="33">
        <f t="shared" si="92"/>
        <v>0</v>
      </c>
      <c r="M113" s="33">
        <f t="shared" si="93"/>
        <v>0</v>
      </c>
      <c r="N113" s="33">
        <v>165</v>
      </c>
      <c r="O113" s="33">
        <v>37</v>
      </c>
      <c r="P113" s="33">
        <v>0</v>
      </c>
      <c r="Q113" s="33">
        <v>37</v>
      </c>
      <c r="R113" s="33">
        <v>165</v>
      </c>
      <c r="S113" s="33">
        <f t="shared" si="94"/>
        <v>-128</v>
      </c>
      <c r="T113" s="38">
        <f t="shared" si="95"/>
        <v>0.22424242424242424</v>
      </c>
      <c r="U113" s="59">
        <f t="shared" si="96"/>
        <v>165</v>
      </c>
      <c r="V113" s="33">
        <v>0</v>
      </c>
      <c r="W113" s="33">
        <v>0</v>
      </c>
      <c r="X113" s="33"/>
      <c r="Y113" s="33"/>
      <c r="Z113" s="42"/>
      <c r="AA113" s="60"/>
      <c r="AB113" s="662"/>
      <c r="AC113" s="580"/>
      <c r="AD113" s="33">
        <f t="shared" si="97"/>
        <v>0</v>
      </c>
      <c r="AE113" s="33">
        <f t="shared" si="98"/>
        <v>37</v>
      </c>
      <c r="AF113" s="101">
        <f t="shared" si="99"/>
        <v>-128</v>
      </c>
    </row>
    <row r="114" spans="2:34" ht="13" outlineLevel="1" x14ac:dyDescent="0.3">
      <c r="B114" s="79" t="s">
        <v>147</v>
      </c>
      <c r="C114" s="33">
        <v>0</v>
      </c>
      <c r="D114" s="33">
        <v>0</v>
      </c>
      <c r="E114" s="23">
        <v>0</v>
      </c>
      <c r="F114" s="23">
        <v>0</v>
      </c>
      <c r="G114" s="23">
        <v>0</v>
      </c>
      <c r="H114" s="23">
        <v>0</v>
      </c>
      <c r="I114" s="23">
        <v>0</v>
      </c>
      <c r="J114" s="23">
        <v>0</v>
      </c>
      <c r="K114" s="23">
        <f>SUM(E114:J114)</f>
        <v>0</v>
      </c>
      <c r="L114" s="33">
        <f>N114-D114</f>
        <v>0</v>
      </c>
      <c r="M114" s="33">
        <f>N114-C114</f>
        <v>0</v>
      </c>
      <c r="N114" s="33">
        <v>0</v>
      </c>
      <c r="O114" s="33">
        <v>24567</v>
      </c>
      <c r="P114" s="33">
        <v>-24567</v>
      </c>
      <c r="Q114" s="33">
        <v>0</v>
      </c>
      <c r="R114" s="33">
        <v>0</v>
      </c>
      <c r="S114" s="33">
        <f>Q114-R114</f>
        <v>0</v>
      </c>
      <c r="T114" s="38" t="str">
        <f>IFERROR((Q114/N114)*100%,"∞")</f>
        <v>∞</v>
      </c>
      <c r="U114" s="59">
        <f>N114+V114</f>
        <v>0</v>
      </c>
      <c r="V114" s="33">
        <v>0</v>
      </c>
      <c r="W114" s="33">
        <v>0</v>
      </c>
      <c r="X114" s="33"/>
      <c r="Y114" s="33"/>
      <c r="Z114" s="42"/>
      <c r="AA114" s="60"/>
      <c r="AB114" s="662"/>
      <c r="AC114" s="580"/>
      <c r="AD114" s="33">
        <f>SUM(AB114:AC114)</f>
        <v>0</v>
      </c>
      <c r="AE114" s="33">
        <f>Q114+AD114</f>
        <v>0</v>
      </c>
      <c r="AF114" s="101">
        <f>AE114-N114</f>
        <v>0</v>
      </c>
    </row>
    <row r="115" spans="2:34" ht="13" outlineLevel="1" x14ac:dyDescent="0.3">
      <c r="B115" s="79"/>
      <c r="C115" s="33"/>
      <c r="D115" s="33"/>
      <c r="E115" s="23"/>
      <c r="F115" s="23"/>
      <c r="G115" s="23"/>
      <c r="H115" s="23"/>
      <c r="I115" s="23"/>
      <c r="J115" s="23"/>
      <c r="K115" s="23"/>
      <c r="L115" s="33"/>
      <c r="M115" s="33"/>
      <c r="N115" s="33"/>
      <c r="O115" s="33"/>
      <c r="P115" s="33"/>
      <c r="Q115" s="33"/>
      <c r="R115" s="33"/>
      <c r="S115" s="33"/>
      <c r="T115" s="38"/>
      <c r="U115" s="59"/>
      <c r="V115" s="33"/>
      <c r="W115" s="33"/>
      <c r="X115" s="33"/>
      <c r="Y115" s="33"/>
      <c r="Z115" s="42"/>
      <c r="AA115" s="60"/>
      <c r="AB115" s="662"/>
      <c r="AC115" s="580"/>
      <c r="AD115" s="33"/>
      <c r="AE115" s="33"/>
      <c r="AF115" s="101"/>
    </row>
    <row r="116" spans="2:34" ht="13" x14ac:dyDescent="0.3">
      <c r="B116" s="85"/>
      <c r="C116" s="86"/>
      <c r="D116" s="86"/>
      <c r="E116" s="87"/>
      <c r="F116" s="87"/>
      <c r="G116" s="87"/>
      <c r="H116" s="87"/>
      <c r="I116" s="87"/>
      <c r="J116" s="87"/>
      <c r="K116" s="87"/>
      <c r="L116" s="86"/>
      <c r="M116" s="86"/>
      <c r="N116" s="86"/>
      <c r="O116" s="86"/>
      <c r="P116" s="86"/>
      <c r="Q116" s="86"/>
      <c r="R116" s="86"/>
      <c r="S116" s="86"/>
      <c r="T116" s="86"/>
      <c r="U116" s="88"/>
      <c r="V116" s="86"/>
      <c r="W116" s="86"/>
      <c r="X116" s="86"/>
      <c r="Y116" s="86"/>
      <c r="Z116" s="89"/>
      <c r="AA116" s="60"/>
      <c r="AB116" s="673"/>
      <c r="AC116" s="674"/>
      <c r="AD116" s="36"/>
      <c r="AE116" s="36"/>
      <c r="AF116" s="99"/>
    </row>
    <row r="117" spans="2:34" ht="13" x14ac:dyDescent="0.3">
      <c r="B117" s="78" t="s">
        <v>149</v>
      </c>
      <c r="C117" s="34">
        <f t="shared" ref="C117:J117" si="100">SUM(C118:C126)</f>
        <v>633</v>
      </c>
      <c r="D117" s="34">
        <f t="shared" si="100"/>
        <v>895</v>
      </c>
      <c r="E117" s="24">
        <f t="shared" si="100"/>
        <v>0</v>
      </c>
      <c r="F117" s="24">
        <f t="shared" si="100"/>
        <v>0</v>
      </c>
      <c r="G117" s="24">
        <f t="shared" si="100"/>
        <v>262</v>
      </c>
      <c r="H117" s="24">
        <f t="shared" si="100"/>
        <v>0</v>
      </c>
      <c r="I117" s="24">
        <f t="shared" si="100"/>
        <v>0</v>
      </c>
      <c r="J117" s="24">
        <f t="shared" si="100"/>
        <v>0</v>
      </c>
      <c r="K117" s="24">
        <f>SUM(E117:J117)</f>
        <v>262</v>
      </c>
      <c r="L117" s="34">
        <f>N117-D117</f>
        <v>0</v>
      </c>
      <c r="M117" s="34">
        <f>N117-C117</f>
        <v>262</v>
      </c>
      <c r="N117" s="34">
        <f>SUM(N118:N126)</f>
        <v>895</v>
      </c>
      <c r="O117" s="34">
        <f>SUM(O118:O126)</f>
        <v>78</v>
      </c>
      <c r="P117" s="34">
        <f>SUM(P118:P126)</f>
        <v>-1060</v>
      </c>
      <c r="Q117" s="34">
        <f>SUM(Q118:Q126)</f>
        <v>-982</v>
      </c>
      <c r="R117" s="34">
        <f>SUM(R118:R126)</f>
        <v>895</v>
      </c>
      <c r="S117" s="34">
        <f>Q117-R117</f>
        <v>-1877</v>
      </c>
      <c r="T117" s="94">
        <f>IFERROR((Q117/N117)*100%,"∞")</f>
        <v>-1.0972067039106146</v>
      </c>
      <c r="U117" s="95">
        <f>N117+V117</f>
        <v>895</v>
      </c>
      <c r="V117" s="34">
        <f>SUM(V118:V126)</f>
        <v>0</v>
      </c>
      <c r="W117" s="34">
        <f>SUM(W118:W126)</f>
        <v>0</v>
      </c>
      <c r="X117" s="34"/>
      <c r="Y117" s="34"/>
      <c r="Z117" s="41"/>
      <c r="AA117" s="60"/>
      <c r="AB117" s="662">
        <f>SUM(AB118:AB126)</f>
        <v>0</v>
      </c>
      <c r="AC117" s="580">
        <f>SUM(AC118:AC126)</f>
        <v>1840</v>
      </c>
      <c r="AD117" s="33">
        <f>SUM(AD118:AD126)</f>
        <v>1840</v>
      </c>
      <c r="AE117" s="33">
        <f>SUM(AE118:AE126)</f>
        <v>858</v>
      </c>
      <c r="AF117" s="101">
        <f>SUM(AF118:AF126)</f>
        <v>-37</v>
      </c>
    </row>
    <row r="118" spans="2:34" ht="13" hidden="1" outlineLevel="1" x14ac:dyDescent="0.3">
      <c r="B118" s="79" t="s">
        <v>150</v>
      </c>
      <c r="C118" s="33">
        <v>278</v>
      </c>
      <c r="D118" s="33">
        <v>278</v>
      </c>
      <c r="E118" s="23">
        <v>0</v>
      </c>
      <c r="F118" s="23">
        <v>0</v>
      </c>
      <c r="G118" s="23">
        <v>0</v>
      </c>
      <c r="H118" s="23">
        <v>0</v>
      </c>
      <c r="I118" s="23">
        <v>0</v>
      </c>
      <c r="J118" s="23">
        <v>0</v>
      </c>
      <c r="K118" s="23">
        <f>SUM(E118:J118)</f>
        <v>0</v>
      </c>
      <c r="L118" s="33">
        <f>N118-D118</f>
        <v>0</v>
      </c>
      <c r="M118" s="33">
        <f>N118-C118</f>
        <v>0</v>
      </c>
      <c r="N118" s="33">
        <v>278</v>
      </c>
      <c r="O118" s="33">
        <v>0</v>
      </c>
      <c r="P118" s="33">
        <v>0</v>
      </c>
      <c r="Q118" s="33">
        <v>0</v>
      </c>
      <c r="R118" s="33">
        <v>278</v>
      </c>
      <c r="S118" s="33">
        <f>Q118-R118</f>
        <v>-278</v>
      </c>
      <c r="T118" s="38">
        <f>IFERROR((Q118/N118)*100%,"∞")</f>
        <v>0</v>
      </c>
      <c r="U118" s="59">
        <f>N118+V118</f>
        <v>278</v>
      </c>
      <c r="V118" s="33">
        <v>0</v>
      </c>
      <c r="W118" s="33">
        <v>0</v>
      </c>
      <c r="X118" s="33"/>
      <c r="Y118" s="33"/>
      <c r="Z118" s="42"/>
      <c r="AA118" s="60"/>
      <c r="AB118" s="662"/>
      <c r="AC118" s="580">
        <v>278</v>
      </c>
      <c r="AD118" s="33">
        <f>SUM(AB118:AC118)</f>
        <v>278</v>
      </c>
      <c r="AE118" s="33">
        <f>Q118+AD118</f>
        <v>278</v>
      </c>
      <c r="AF118" s="101">
        <f>AE118-N118</f>
        <v>0</v>
      </c>
    </row>
    <row r="119" spans="2:34" ht="13" hidden="1" outlineLevel="1" x14ac:dyDescent="0.3">
      <c r="B119" s="79" t="s">
        <v>151</v>
      </c>
      <c r="C119" s="33">
        <v>-390</v>
      </c>
      <c r="D119" s="33">
        <v>540</v>
      </c>
      <c r="E119" s="23">
        <v>0</v>
      </c>
      <c r="F119" s="23">
        <v>0</v>
      </c>
      <c r="G119" s="23">
        <v>930</v>
      </c>
      <c r="H119" s="23">
        <v>0</v>
      </c>
      <c r="I119" s="23">
        <v>0</v>
      </c>
      <c r="J119" s="23">
        <v>0</v>
      </c>
      <c r="K119" s="23">
        <f t="shared" ref="K119:K125" si="101">SUM(E119:J119)</f>
        <v>930</v>
      </c>
      <c r="L119" s="33">
        <f t="shared" ref="L119:L125" si="102">N119-D119</f>
        <v>0</v>
      </c>
      <c r="M119" s="33">
        <f t="shared" ref="M119:M125" si="103">N119-C119</f>
        <v>930</v>
      </c>
      <c r="N119" s="33">
        <v>540</v>
      </c>
      <c r="O119" s="33">
        <v>1667</v>
      </c>
      <c r="P119" s="33">
        <v>0</v>
      </c>
      <c r="Q119" s="33">
        <v>1667</v>
      </c>
      <c r="R119" s="33">
        <v>540</v>
      </c>
      <c r="S119" s="33">
        <f t="shared" ref="S119:S125" si="104">Q119-R119</f>
        <v>1127</v>
      </c>
      <c r="T119" s="38">
        <f t="shared" ref="T119:T125" si="105">IFERROR((Q119/N119)*100%,"∞")</f>
        <v>3.087037037037037</v>
      </c>
      <c r="U119" s="59">
        <f t="shared" ref="U119:U125" si="106">N119+V119</f>
        <v>540</v>
      </c>
      <c r="V119" s="33">
        <v>0</v>
      </c>
      <c r="W119" s="33">
        <v>0</v>
      </c>
      <c r="X119" s="33"/>
      <c r="Y119" s="33"/>
      <c r="Z119" s="42"/>
      <c r="AA119" s="60"/>
      <c r="AB119" s="662"/>
      <c r="AC119" s="580"/>
      <c r="AD119" s="33">
        <f t="shared" ref="AD119:AD125" si="107">SUM(AB119:AC119)</f>
        <v>0</v>
      </c>
      <c r="AE119" s="33">
        <f t="shared" ref="AE119:AE125" si="108">Q119+AD119</f>
        <v>1667</v>
      </c>
      <c r="AF119" s="101">
        <f t="shared" ref="AF119:AF125" si="109">AE119-N119</f>
        <v>1127</v>
      </c>
      <c r="AH119" t="s">
        <v>218</v>
      </c>
    </row>
    <row r="120" spans="2:34" ht="13" hidden="1" outlineLevel="1" x14ac:dyDescent="0.3">
      <c r="B120" s="79" t="s">
        <v>152</v>
      </c>
      <c r="C120" s="33">
        <v>588</v>
      </c>
      <c r="D120" s="33">
        <v>0</v>
      </c>
      <c r="E120" s="23">
        <v>0</v>
      </c>
      <c r="F120" s="23">
        <v>0</v>
      </c>
      <c r="G120" s="23">
        <v>-588</v>
      </c>
      <c r="H120" s="23">
        <v>0</v>
      </c>
      <c r="I120" s="23">
        <v>0</v>
      </c>
      <c r="J120" s="23">
        <v>0</v>
      </c>
      <c r="K120" s="23">
        <f t="shared" si="101"/>
        <v>-588</v>
      </c>
      <c r="L120" s="33">
        <f t="shared" si="102"/>
        <v>0</v>
      </c>
      <c r="M120" s="33">
        <f t="shared" si="103"/>
        <v>-588</v>
      </c>
      <c r="N120" s="33">
        <v>0</v>
      </c>
      <c r="O120" s="33">
        <v>0</v>
      </c>
      <c r="P120" s="33">
        <v>0</v>
      </c>
      <c r="Q120" s="33">
        <v>0</v>
      </c>
      <c r="R120" s="33">
        <v>0</v>
      </c>
      <c r="S120" s="33">
        <f t="shared" si="104"/>
        <v>0</v>
      </c>
      <c r="T120" s="38" t="str">
        <f t="shared" si="105"/>
        <v>∞</v>
      </c>
      <c r="U120" s="59">
        <f t="shared" si="106"/>
        <v>0</v>
      </c>
      <c r="V120" s="33">
        <v>0</v>
      </c>
      <c r="W120" s="33">
        <v>0</v>
      </c>
      <c r="X120" s="33"/>
      <c r="Y120" s="33"/>
      <c r="Z120" s="42"/>
      <c r="AA120" s="60"/>
      <c r="AB120" s="662"/>
      <c r="AC120" s="580"/>
      <c r="AD120" s="33">
        <f t="shared" si="107"/>
        <v>0</v>
      </c>
      <c r="AE120" s="33">
        <f t="shared" si="108"/>
        <v>0</v>
      </c>
      <c r="AF120" s="101">
        <f t="shared" si="109"/>
        <v>0</v>
      </c>
    </row>
    <row r="121" spans="2:34" ht="13" hidden="1" outlineLevel="1" x14ac:dyDescent="0.3">
      <c r="B121" s="79" t="s">
        <v>153</v>
      </c>
      <c r="C121" s="33">
        <v>1170</v>
      </c>
      <c r="D121" s="33">
        <v>1090</v>
      </c>
      <c r="E121" s="23">
        <v>0</v>
      </c>
      <c r="F121" s="23">
        <v>0</v>
      </c>
      <c r="G121" s="23">
        <v>-80</v>
      </c>
      <c r="H121" s="23">
        <v>0</v>
      </c>
      <c r="I121" s="23">
        <v>0</v>
      </c>
      <c r="J121" s="23">
        <v>0</v>
      </c>
      <c r="K121" s="23">
        <f t="shared" si="101"/>
        <v>-80</v>
      </c>
      <c r="L121" s="33">
        <f t="shared" si="102"/>
        <v>0</v>
      </c>
      <c r="M121" s="33">
        <f t="shared" si="103"/>
        <v>-80</v>
      </c>
      <c r="N121" s="33">
        <v>1090</v>
      </c>
      <c r="O121" s="33">
        <v>0</v>
      </c>
      <c r="P121" s="33">
        <v>0</v>
      </c>
      <c r="Q121" s="33">
        <v>0</v>
      </c>
      <c r="R121" s="33">
        <v>1090</v>
      </c>
      <c r="S121" s="33">
        <f t="shared" si="104"/>
        <v>-1090</v>
      </c>
      <c r="T121" s="38">
        <f t="shared" si="105"/>
        <v>0</v>
      </c>
      <c r="U121" s="59">
        <f t="shared" si="106"/>
        <v>1090</v>
      </c>
      <c r="V121" s="33">
        <v>0</v>
      </c>
      <c r="W121" s="33">
        <v>0</v>
      </c>
      <c r="X121" s="33"/>
      <c r="Y121" s="33"/>
      <c r="Z121" s="42"/>
      <c r="AA121" s="60"/>
      <c r="AB121" s="662"/>
      <c r="AC121" s="580">
        <v>1090</v>
      </c>
      <c r="AD121" s="33">
        <f t="shared" si="107"/>
        <v>1090</v>
      </c>
      <c r="AE121" s="33">
        <f t="shared" si="108"/>
        <v>1090</v>
      </c>
      <c r="AF121" s="101">
        <f t="shared" si="109"/>
        <v>0</v>
      </c>
    </row>
    <row r="122" spans="2:34" ht="13" hidden="1" outlineLevel="1" x14ac:dyDescent="0.3">
      <c r="B122" s="79" t="s">
        <v>154</v>
      </c>
      <c r="C122" s="33">
        <v>472</v>
      </c>
      <c r="D122" s="33">
        <v>472</v>
      </c>
      <c r="E122" s="23">
        <v>0</v>
      </c>
      <c r="F122" s="23">
        <v>0</v>
      </c>
      <c r="G122" s="23">
        <v>0</v>
      </c>
      <c r="H122" s="23">
        <v>0</v>
      </c>
      <c r="I122" s="23">
        <v>0</v>
      </c>
      <c r="J122" s="23">
        <v>0</v>
      </c>
      <c r="K122" s="23">
        <f t="shared" si="101"/>
        <v>0</v>
      </c>
      <c r="L122" s="33">
        <f t="shared" si="102"/>
        <v>0</v>
      </c>
      <c r="M122" s="33">
        <f t="shared" si="103"/>
        <v>0</v>
      </c>
      <c r="N122" s="33">
        <v>472</v>
      </c>
      <c r="O122" s="33">
        <v>0</v>
      </c>
      <c r="P122" s="33">
        <v>0</v>
      </c>
      <c r="Q122" s="33">
        <v>0</v>
      </c>
      <c r="R122" s="33">
        <v>472</v>
      </c>
      <c r="S122" s="33">
        <f t="shared" si="104"/>
        <v>-472</v>
      </c>
      <c r="T122" s="38">
        <f t="shared" si="105"/>
        <v>0</v>
      </c>
      <c r="U122" s="59">
        <f t="shared" si="106"/>
        <v>472</v>
      </c>
      <c r="V122" s="33">
        <v>0</v>
      </c>
      <c r="W122" s="33">
        <v>0</v>
      </c>
      <c r="X122" s="33"/>
      <c r="Y122" s="33"/>
      <c r="Z122" s="42"/>
      <c r="AA122" s="60"/>
      <c r="AB122" s="662"/>
      <c r="AC122" s="580">
        <v>472</v>
      </c>
      <c r="AD122" s="33">
        <f t="shared" si="107"/>
        <v>472</v>
      </c>
      <c r="AE122" s="33">
        <f t="shared" si="108"/>
        <v>472</v>
      </c>
      <c r="AF122" s="101">
        <f t="shared" si="109"/>
        <v>0</v>
      </c>
    </row>
    <row r="123" spans="2:34" ht="13" hidden="1" outlineLevel="1" x14ac:dyDescent="0.3">
      <c r="B123" s="79" t="s">
        <v>219</v>
      </c>
      <c r="C123" s="33">
        <v>-485</v>
      </c>
      <c r="D123" s="33">
        <v>-485</v>
      </c>
      <c r="E123" s="23">
        <v>0</v>
      </c>
      <c r="F123" s="23">
        <v>0</v>
      </c>
      <c r="G123" s="23">
        <v>0</v>
      </c>
      <c r="H123" s="23">
        <v>0</v>
      </c>
      <c r="I123" s="23">
        <v>0</v>
      </c>
      <c r="J123" s="23">
        <v>0</v>
      </c>
      <c r="K123" s="23">
        <f t="shared" si="101"/>
        <v>0</v>
      </c>
      <c r="L123" s="33">
        <f t="shared" si="102"/>
        <v>0</v>
      </c>
      <c r="M123" s="33">
        <f t="shared" si="103"/>
        <v>0</v>
      </c>
      <c r="N123" s="33">
        <v>-485</v>
      </c>
      <c r="O123" s="33">
        <v>-485</v>
      </c>
      <c r="P123" s="33">
        <v>0</v>
      </c>
      <c r="Q123" s="33">
        <v>-485</v>
      </c>
      <c r="R123" s="33">
        <v>-485</v>
      </c>
      <c r="S123" s="33">
        <f t="shared" si="104"/>
        <v>0</v>
      </c>
      <c r="T123" s="38">
        <f t="shared" si="105"/>
        <v>1</v>
      </c>
      <c r="U123" s="59">
        <f t="shared" si="106"/>
        <v>-485</v>
      </c>
      <c r="V123" s="33">
        <v>0</v>
      </c>
      <c r="W123" s="33">
        <v>0</v>
      </c>
      <c r="X123" s="33"/>
      <c r="Y123" s="33"/>
      <c r="Z123" s="42"/>
      <c r="AA123" s="60"/>
      <c r="AB123" s="662"/>
      <c r="AC123" s="580"/>
      <c r="AD123" s="33">
        <f t="shared" si="107"/>
        <v>0</v>
      </c>
      <c r="AE123" s="33">
        <f t="shared" si="108"/>
        <v>-485</v>
      </c>
      <c r="AF123" s="101">
        <f t="shared" si="109"/>
        <v>0</v>
      </c>
    </row>
    <row r="124" spans="2:34" ht="13" hidden="1" outlineLevel="1" x14ac:dyDescent="0.3">
      <c r="B124" s="79" t="s">
        <v>221</v>
      </c>
      <c r="C124" s="33">
        <v>-1000</v>
      </c>
      <c r="D124" s="33">
        <v>-1000</v>
      </c>
      <c r="E124" s="23">
        <v>0</v>
      </c>
      <c r="F124" s="23">
        <v>0</v>
      </c>
      <c r="G124" s="23">
        <v>0</v>
      </c>
      <c r="H124" s="23">
        <v>0</v>
      </c>
      <c r="I124" s="23">
        <v>0</v>
      </c>
      <c r="J124" s="23">
        <v>0</v>
      </c>
      <c r="K124" s="23">
        <f t="shared" si="101"/>
        <v>0</v>
      </c>
      <c r="L124" s="33">
        <f t="shared" si="102"/>
        <v>0</v>
      </c>
      <c r="M124" s="33">
        <f t="shared" si="103"/>
        <v>0</v>
      </c>
      <c r="N124" s="33">
        <v>-1000</v>
      </c>
      <c r="O124" s="33">
        <v>-1104</v>
      </c>
      <c r="P124" s="33">
        <v>0</v>
      </c>
      <c r="Q124" s="33">
        <v>-1104</v>
      </c>
      <c r="R124" s="33">
        <v>-1000</v>
      </c>
      <c r="S124" s="33">
        <f t="shared" si="104"/>
        <v>-104</v>
      </c>
      <c r="T124" s="38">
        <f t="shared" si="105"/>
        <v>1.1040000000000001</v>
      </c>
      <c r="U124" s="59">
        <f t="shared" si="106"/>
        <v>-1000</v>
      </c>
      <c r="V124" s="33">
        <v>0</v>
      </c>
      <c r="W124" s="33">
        <v>0</v>
      </c>
      <c r="X124" s="33"/>
      <c r="Y124" s="33"/>
      <c r="Z124" s="42"/>
      <c r="AA124" s="60"/>
      <c r="AB124" s="662"/>
      <c r="AC124" s="580"/>
      <c r="AD124" s="33">
        <f t="shared" si="107"/>
        <v>0</v>
      </c>
      <c r="AE124" s="33">
        <f t="shared" si="108"/>
        <v>-1104</v>
      </c>
      <c r="AF124" s="101">
        <f t="shared" si="109"/>
        <v>-104</v>
      </c>
    </row>
    <row r="125" spans="2:34" ht="13" hidden="1" outlineLevel="1" x14ac:dyDescent="0.3">
      <c r="B125" s="79" t="s">
        <v>222</v>
      </c>
      <c r="C125" s="33">
        <v>0</v>
      </c>
      <c r="D125" s="33">
        <v>0</v>
      </c>
      <c r="E125" s="23">
        <v>0</v>
      </c>
      <c r="F125" s="23">
        <v>0</v>
      </c>
      <c r="G125" s="23">
        <v>0</v>
      </c>
      <c r="H125" s="23">
        <v>0</v>
      </c>
      <c r="I125" s="23">
        <v>0</v>
      </c>
      <c r="J125" s="23">
        <v>0</v>
      </c>
      <c r="K125" s="23">
        <f t="shared" si="101"/>
        <v>0</v>
      </c>
      <c r="L125" s="33">
        <f t="shared" si="102"/>
        <v>0</v>
      </c>
      <c r="M125" s="33">
        <f t="shared" si="103"/>
        <v>0</v>
      </c>
      <c r="N125" s="33">
        <v>0</v>
      </c>
      <c r="O125" s="33">
        <v>0</v>
      </c>
      <c r="P125" s="33">
        <v>-766</v>
      </c>
      <c r="Q125" s="33">
        <v>-766</v>
      </c>
      <c r="R125" s="33">
        <v>0</v>
      </c>
      <c r="S125" s="33">
        <f t="shared" si="104"/>
        <v>-766</v>
      </c>
      <c r="T125" s="38" t="str">
        <f t="shared" si="105"/>
        <v>∞</v>
      </c>
      <c r="U125" s="59">
        <f t="shared" si="106"/>
        <v>0</v>
      </c>
      <c r="V125" s="33">
        <v>0</v>
      </c>
      <c r="W125" s="33">
        <v>0</v>
      </c>
      <c r="X125" s="33"/>
      <c r="Y125" s="33"/>
      <c r="Z125" s="42"/>
      <c r="AA125" s="60"/>
      <c r="AB125" s="662"/>
      <c r="AC125" s="580"/>
      <c r="AD125" s="33">
        <f t="shared" si="107"/>
        <v>0</v>
      </c>
      <c r="AE125" s="33">
        <f t="shared" si="108"/>
        <v>-766</v>
      </c>
      <c r="AF125" s="101">
        <f t="shared" si="109"/>
        <v>-766</v>
      </c>
      <c r="AH125" t="s">
        <v>223</v>
      </c>
    </row>
    <row r="126" spans="2:34" ht="13" hidden="1" outlineLevel="1" x14ac:dyDescent="0.3">
      <c r="B126" s="79" t="s">
        <v>224</v>
      </c>
      <c r="C126" s="33">
        <v>0</v>
      </c>
      <c r="D126" s="33">
        <v>0</v>
      </c>
      <c r="E126" s="23">
        <v>0</v>
      </c>
      <c r="F126" s="23">
        <v>0</v>
      </c>
      <c r="G126" s="23">
        <v>0</v>
      </c>
      <c r="H126" s="23">
        <v>0</v>
      </c>
      <c r="I126" s="23">
        <v>0</v>
      </c>
      <c r="J126" s="23">
        <v>0</v>
      </c>
      <c r="K126" s="23">
        <f>SUM(E126:J126)</f>
        <v>0</v>
      </c>
      <c r="L126" s="33">
        <f>N126-D126</f>
        <v>0</v>
      </c>
      <c r="M126" s="33">
        <f>N126-C126</f>
        <v>0</v>
      </c>
      <c r="N126" s="33">
        <v>0</v>
      </c>
      <c r="O126" s="33">
        <v>0</v>
      </c>
      <c r="P126" s="33">
        <v>-294</v>
      </c>
      <c r="Q126" s="33">
        <v>-294</v>
      </c>
      <c r="R126" s="33">
        <v>0</v>
      </c>
      <c r="S126" s="33">
        <f>Q126-R126</f>
        <v>-294</v>
      </c>
      <c r="T126" s="38" t="str">
        <f>IFERROR((Q126/N126)*100%,"∞")</f>
        <v>∞</v>
      </c>
      <c r="U126" s="59">
        <f>N126+V126</f>
        <v>0</v>
      </c>
      <c r="V126" s="33">
        <v>0</v>
      </c>
      <c r="W126" s="33">
        <v>0</v>
      </c>
      <c r="X126" s="33"/>
      <c r="Y126" s="33"/>
      <c r="Z126" s="42"/>
      <c r="AA126" s="60"/>
      <c r="AB126" s="662"/>
      <c r="AC126" s="580"/>
      <c r="AD126" s="33">
        <f>SUM(AB126:AC126)</f>
        <v>0</v>
      </c>
      <c r="AE126" s="33">
        <f>Q126+AD126</f>
        <v>-294</v>
      </c>
      <c r="AF126" s="101">
        <f>AE126-N126</f>
        <v>-294</v>
      </c>
      <c r="AH126" t="s">
        <v>225</v>
      </c>
    </row>
    <row r="127" spans="2:34" ht="13.5" collapsed="1" thickBot="1" x14ac:dyDescent="0.35">
      <c r="B127" s="80"/>
      <c r="C127" s="81"/>
      <c r="D127" s="81"/>
      <c r="E127" s="82"/>
      <c r="F127" s="82"/>
      <c r="G127" s="82"/>
      <c r="H127" s="82"/>
      <c r="I127" s="82"/>
      <c r="J127" s="82"/>
      <c r="K127" s="82"/>
      <c r="L127" s="81"/>
      <c r="M127" s="81"/>
      <c r="N127" s="81"/>
      <c r="O127" s="81"/>
      <c r="P127" s="81"/>
      <c r="Q127" s="81"/>
      <c r="R127" s="81"/>
      <c r="S127" s="81"/>
      <c r="T127" s="81"/>
      <c r="U127" s="83"/>
      <c r="V127" s="81"/>
      <c r="W127" s="81"/>
      <c r="X127" s="81"/>
      <c r="Y127" s="81"/>
      <c r="Z127" s="84"/>
      <c r="AA127" s="60"/>
      <c r="AB127" s="100"/>
      <c r="AC127" s="33"/>
      <c r="AD127" s="33"/>
      <c r="AE127" s="33"/>
      <c r="AF127" s="101"/>
    </row>
    <row r="128" spans="2:34" ht="13.5" thickBot="1" x14ac:dyDescent="0.35">
      <c r="B128" s="91" t="s">
        <v>155</v>
      </c>
      <c r="C128" s="76">
        <f t="shared" ref="C128:J128" si="110">C104+C117</f>
        <v>2458</v>
      </c>
      <c r="D128" s="76">
        <f t="shared" si="110"/>
        <v>2662</v>
      </c>
      <c r="E128" s="76">
        <f t="shared" si="110"/>
        <v>0</v>
      </c>
      <c r="F128" s="76">
        <f t="shared" si="110"/>
        <v>16</v>
      </c>
      <c r="G128" s="76">
        <f t="shared" si="110"/>
        <v>204</v>
      </c>
      <c r="H128" s="76">
        <f t="shared" si="110"/>
        <v>74</v>
      </c>
      <c r="I128" s="76">
        <f t="shared" si="110"/>
        <v>0</v>
      </c>
      <c r="J128" s="76">
        <f t="shared" si="110"/>
        <v>0</v>
      </c>
      <c r="K128" s="76">
        <f>SUM(E128:J128)</f>
        <v>294</v>
      </c>
      <c r="L128" s="76">
        <f>N128-D128</f>
        <v>-2075</v>
      </c>
      <c r="M128" s="76">
        <f>N128-C128</f>
        <v>-1871</v>
      </c>
      <c r="N128" s="76">
        <f>N104+N117</f>
        <v>587</v>
      </c>
      <c r="O128" s="76">
        <f>O104+O117</f>
        <v>73810</v>
      </c>
      <c r="P128" s="76">
        <f>P104+P117</f>
        <v>-75955</v>
      </c>
      <c r="Q128" s="76">
        <f>Q104+Q117</f>
        <v>-2145</v>
      </c>
      <c r="R128" s="76">
        <f>R104+R117</f>
        <v>2736</v>
      </c>
      <c r="S128" s="76">
        <f>Q128-R128</f>
        <v>-4881</v>
      </c>
      <c r="T128" s="92">
        <f>IFERROR((Q128/N128)*100%,"∞")</f>
        <v>-3.6541737649063033</v>
      </c>
      <c r="U128" s="76">
        <f>N128+V128</f>
        <v>976</v>
      </c>
      <c r="V128" s="76">
        <f>V104+V117</f>
        <v>389</v>
      </c>
      <c r="W128" s="76">
        <f>W104+W117</f>
        <v>0</v>
      </c>
      <c r="X128" s="76">
        <f>X104+X117</f>
        <v>0</v>
      </c>
      <c r="Y128" s="76">
        <f>Y104+Y117</f>
        <v>0</v>
      </c>
      <c r="Z128" s="76">
        <f>Z104+Z117</f>
        <v>0</v>
      </c>
      <c r="AA128" s="60"/>
      <c r="AB128" s="76">
        <f>AB104+AB117</f>
        <v>0</v>
      </c>
      <c r="AC128" s="76">
        <f>AC104+AC117</f>
        <v>2654</v>
      </c>
      <c r="AD128" s="76">
        <f>AD104+AD117</f>
        <v>2654</v>
      </c>
      <c r="AE128" s="76">
        <f>AE104+AE117</f>
        <v>509</v>
      </c>
      <c r="AF128" s="76">
        <f>AF104+AF117</f>
        <v>-78</v>
      </c>
    </row>
    <row r="129" spans="2:34" ht="14" thickTop="1" thickBot="1" x14ac:dyDescent="0.35">
      <c r="B129" s="80"/>
      <c r="C129" s="81"/>
      <c r="D129" s="81"/>
      <c r="E129" s="82"/>
      <c r="F129" s="82"/>
      <c r="G129" s="82"/>
      <c r="H129" s="82"/>
      <c r="I129" s="82"/>
      <c r="J129" s="82"/>
      <c r="K129" s="82"/>
      <c r="L129" s="81"/>
      <c r="M129" s="81"/>
      <c r="N129" s="81"/>
      <c r="O129" s="81"/>
      <c r="P129" s="81"/>
      <c r="Q129" s="81"/>
      <c r="R129" s="81"/>
      <c r="S129" s="81"/>
      <c r="T129" s="81"/>
      <c r="U129" s="83"/>
      <c r="V129" s="81"/>
      <c r="W129" s="81"/>
      <c r="X129" s="81"/>
      <c r="Y129" s="81"/>
      <c r="Z129" s="84"/>
      <c r="AA129" s="60"/>
      <c r="AB129" s="100"/>
      <c r="AC129" s="33"/>
      <c r="AD129" s="33"/>
      <c r="AE129" s="33"/>
      <c r="AF129" s="101"/>
    </row>
    <row r="130" spans="2:34" ht="13.5" thickBot="1" x14ac:dyDescent="0.35">
      <c r="B130" s="91" t="s">
        <v>156</v>
      </c>
      <c r="C130" s="76">
        <f t="shared" ref="C130:J130" si="111">C81+C102+C128</f>
        <v>28714</v>
      </c>
      <c r="D130" s="76">
        <f t="shared" si="111"/>
        <v>26272</v>
      </c>
      <c r="E130" s="76">
        <f t="shared" si="111"/>
        <v>-2439</v>
      </c>
      <c r="F130" s="76">
        <f t="shared" si="111"/>
        <v>1903</v>
      </c>
      <c r="G130" s="76">
        <f t="shared" si="111"/>
        <v>3</v>
      </c>
      <c r="H130" s="76">
        <f t="shared" si="111"/>
        <v>33</v>
      </c>
      <c r="I130" s="76">
        <f t="shared" si="111"/>
        <v>0</v>
      </c>
      <c r="J130" s="76">
        <f t="shared" si="111"/>
        <v>0</v>
      </c>
      <c r="K130" s="76">
        <f>SUM(E130:J130)</f>
        <v>-500</v>
      </c>
      <c r="L130" s="76">
        <f>N130-D130</f>
        <v>1905</v>
      </c>
      <c r="M130" s="76">
        <f>N130-C130</f>
        <v>-537</v>
      </c>
      <c r="N130" s="76">
        <f>N81+N102+N128</f>
        <v>28177</v>
      </c>
      <c r="O130" s="76">
        <f>O81+O102+O128</f>
        <v>183820</v>
      </c>
      <c r="P130" s="76">
        <f>P81+P102+P128</f>
        <v>-156883</v>
      </c>
      <c r="Q130" s="76">
        <f>Q81+Q102+Q128</f>
        <v>26938</v>
      </c>
      <c r="R130" s="76">
        <f>R81+R102+R128</f>
        <v>28177</v>
      </c>
      <c r="S130" s="76">
        <f>Q130-R130</f>
        <v>-1239</v>
      </c>
      <c r="T130" s="92">
        <f>IFERROR((Q130/N130)*100%,"∞")</f>
        <v>0.95602796607161866</v>
      </c>
      <c r="U130" s="76">
        <f>N130+V130</f>
        <v>28535</v>
      </c>
      <c r="V130" s="76">
        <f>V81+V102+V128</f>
        <v>358</v>
      </c>
      <c r="W130" s="76">
        <f>W81+W102+W128</f>
        <v>-35</v>
      </c>
      <c r="X130" s="76">
        <f>X81+X102+X128</f>
        <v>0</v>
      </c>
      <c r="Y130" s="76">
        <f>Y81+Y102+Y128</f>
        <v>0</v>
      </c>
      <c r="Z130" s="76">
        <f>Z81+Z102+Z128</f>
        <v>0</v>
      </c>
      <c r="AA130" s="60"/>
      <c r="AB130" s="76">
        <f>AB81+AB102+AB128</f>
        <v>453</v>
      </c>
      <c r="AC130" s="76">
        <f>AC81+AC102+AC128</f>
        <v>2654</v>
      </c>
      <c r="AD130" s="76">
        <f>AD81+AD102+AD128</f>
        <v>3107</v>
      </c>
      <c r="AE130" s="76">
        <f>AE81+AE102+AE128</f>
        <v>30045</v>
      </c>
      <c r="AF130" s="76">
        <f>AF81+AF102+AF128</f>
        <v>1868</v>
      </c>
    </row>
    <row r="131" spans="2:34" ht="13.5" thickTop="1" x14ac:dyDescent="0.3">
      <c r="B131" s="71"/>
      <c r="C131" s="72"/>
      <c r="D131" s="72"/>
      <c r="E131" s="73"/>
      <c r="F131" s="73"/>
      <c r="G131" s="73"/>
      <c r="H131" s="73"/>
      <c r="I131" s="73"/>
      <c r="J131" s="73"/>
      <c r="K131" s="73"/>
      <c r="L131" s="72"/>
      <c r="M131" s="72"/>
      <c r="N131" s="72"/>
      <c r="O131" s="72"/>
      <c r="P131" s="72"/>
      <c r="Q131" s="72"/>
      <c r="R131" s="72"/>
      <c r="S131" s="72"/>
      <c r="T131" s="72"/>
      <c r="U131" s="74"/>
      <c r="V131" s="72"/>
      <c r="W131" s="72"/>
      <c r="X131" s="72"/>
      <c r="Y131" s="72"/>
      <c r="Z131" s="75"/>
      <c r="AA131" s="60"/>
      <c r="AB131" s="100"/>
      <c r="AC131" s="33"/>
      <c r="AD131" s="33"/>
      <c r="AE131" s="33"/>
      <c r="AF131" s="101"/>
    </row>
    <row r="132" spans="2:34" ht="13" x14ac:dyDescent="0.3">
      <c r="B132" s="79" t="s">
        <v>157</v>
      </c>
      <c r="C132" s="33">
        <f>-5063-4</f>
        <v>-5067</v>
      </c>
      <c r="D132" s="33">
        <f>-2624-1</f>
        <v>-2625</v>
      </c>
      <c r="E132" s="23">
        <v>2439</v>
      </c>
      <c r="F132" s="23">
        <v>-3116</v>
      </c>
      <c r="G132" s="23">
        <v>0</v>
      </c>
      <c r="H132" s="23">
        <v>-1246</v>
      </c>
      <c r="I132" s="23">
        <v>0</v>
      </c>
      <c r="J132" s="23">
        <v>0</v>
      </c>
      <c r="K132" s="23">
        <f>SUM(E132:J132)</f>
        <v>-1923</v>
      </c>
      <c r="L132" s="33">
        <f>N132-D132</f>
        <v>-3117</v>
      </c>
      <c r="M132" s="33">
        <f>N132-C132</f>
        <v>-675</v>
      </c>
      <c r="N132" s="33">
        <f>-5740-2</f>
        <v>-5742</v>
      </c>
      <c r="O132" s="33">
        <v>-587</v>
      </c>
      <c r="P132" s="33">
        <v>0</v>
      </c>
      <c r="Q132" s="33">
        <v>-587</v>
      </c>
      <c r="R132" s="33">
        <v>-5740</v>
      </c>
      <c r="S132" s="33">
        <f>Q132-R132</f>
        <v>5153</v>
      </c>
      <c r="T132" s="38">
        <f>IFERROR((Q132/N132)*100%,"∞")</f>
        <v>0.10222918843608499</v>
      </c>
      <c r="U132" s="59">
        <f>N132+V132</f>
        <v>-5742</v>
      </c>
      <c r="V132" s="33">
        <v>0</v>
      </c>
      <c r="W132" s="33">
        <v>0</v>
      </c>
      <c r="X132" s="33"/>
      <c r="Y132" s="33"/>
      <c r="Z132" s="42"/>
      <c r="AA132" s="60"/>
      <c r="AB132" s="662"/>
      <c r="AC132" s="580">
        <f>-5067-814</f>
        <v>-5881</v>
      </c>
      <c r="AD132" s="33">
        <f>SUM(AB132:AC132)</f>
        <v>-5881</v>
      </c>
      <c r="AE132" s="33">
        <f>Q132+AD132</f>
        <v>-6468</v>
      </c>
      <c r="AF132" s="101">
        <f>AE132-N132</f>
        <v>-726</v>
      </c>
    </row>
    <row r="133" spans="2:34" ht="13.5" thickBot="1" x14ac:dyDescent="0.35">
      <c r="B133" s="80"/>
      <c r="C133" s="81"/>
      <c r="D133" s="81"/>
      <c r="E133" s="82"/>
      <c r="F133" s="82"/>
      <c r="G133" s="82"/>
      <c r="H133" s="82"/>
      <c r="I133" s="82"/>
      <c r="J133" s="82"/>
      <c r="K133" s="82"/>
      <c r="L133" s="81"/>
      <c r="M133" s="81"/>
      <c r="N133" s="81"/>
      <c r="O133" s="81"/>
      <c r="P133" s="81"/>
      <c r="Q133" s="81"/>
      <c r="R133" s="81"/>
      <c r="S133" s="81"/>
      <c r="T133" s="81"/>
      <c r="U133" s="83"/>
      <c r="V133" s="81"/>
      <c r="W133" s="81"/>
      <c r="X133" s="81"/>
      <c r="Y133" s="81"/>
      <c r="Z133" s="84"/>
      <c r="AA133" s="60"/>
      <c r="AB133" s="662"/>
      <c r="AC133" s="580"/>
      <c r="AD133" s="33"/>
      <c r="AE133" s="33"/>
      <c r="AF133" s="101"/>
    </row>
    <row r="134" spans="2:34" ht="13.5" thickBot="1" x14ac:dyDescent="0.35">
      <c r="B134" s="91" t="s">
        <v>158</v>
      </c>
      <c r="C134" s="76">
        <f t="shared" ref="C134:J134" si="112">C130+C132</f>
        <v>23647</v>
      </c>
      <c r="D134" s="76">
        <f t="shared" si="112"/>
        <v>23647</v>
      </c>
      <c r="E134" s="76">
        <f t="shared" si="112"/>
        <v>0</v>
      </c>
      <c r="F134" s="76">
        <f t="shared" si="112"/>
        <v>-1213</v>
      </c>
      <c r="G134" s="76">
        <f t="shared" si="112"/>
        <v>3</v>
      </c>
      <c r="H134" s="76">
        <f t="shared" si="112"/>
        <v>-1213</v>
      </c>
      <c r="I134" s="76">
        <f t="shared" si="112"/>
        <v>0</v>
      </c>
      <c r="J134" s="76">
        <f t="shared" si="112"/>
        <v>0</v>
      </c>
      <c r="K134" s="76">
        <f>SUM(E134:J134)</f>
        <v>-2423</v>
      </c>
      <c r="L134" s="76">
        <f>N134-D134</f>
        <v>-1212</v>
      </c>
      <c r="M134" s="76">
        <f>N134-C134</f>
        <v>-1212</v>
      </c>
      <c r="N134" s="76">
        <f>N130+N132</f>
        <v>22435</v>
      </c>
      <c r="O134" s="76">
        <f>O130+O132</f>
        <v>183233</v>
      </c>
      <c r="P134" s="76">
        <f>P130+P132</f>
        <v>-156883</v>
      </c>
      <c r="Q134" s="76">
        <f>Q130+Q132</f>
        <v>26351</v>
      </c>
      <c r="R134" s="76">
        <f>R130+R132</f>
        <v>22437</v>
      </c>
      <c r="S134" s="76">
        <f>Q134-R134</f>
        <v>3914</v>
      </c>
      <c r="T134" s="92">
        <f>IFERROR((Q134/N134)*100%,"∞")</f>
        <v>1.1745486962335636</v>
      </c>
      <c r="U134" s="76">
        <f>N134+V134</f>
        <v>22793</v>
      </c>
      <c r="V134" s="76">
        <f>V130+V132</f>
        <v>358</v>
      </c>
      <c r="W134" s="76">
        <f>W130+W132</f>
        <v>-35</v>
      </c>
      <c r="X134" s="76">
        <f>X130+X132</f>
        <v>0</v>
      </c>
      <c r="Y134" s="76">
        <f>Y130+Y132</f>
        <v>0</v>
      </c>
      <c r="Z134" s="76">
        <f>Z130+Z132</f>
        <v>0</v>
      </c>
      <c r="AA134" s="60"/>
      <c r="AB134" s="676">
        <f>AB130+AB132</f>
        <v>453</v>
      </c>
      <c r="AC134" s="676">
        <f>AC130+AC132</f>
        <v>-3227</v>
      </c>
      <c r="AD134" s="76">
        <f>AD130+AD132</f>
        <v>-2774</v>
      </c>
      <c r="AE134" s="76">
        <f>AE130+AE132</f>
        <v>23577</v>
      </c>
      <c r="AF134" s="76">
        <f>AF130+AF132</f>
        <v>1142</v>
      </c>
    </row>
    <row r="135" spans="2:34" ht="13.5" thickTop="1" x14ac:dyDescent="0.3">
      <c r="B135" s="71"/>
      <c r="C135" s="72"/>
      <c r="D135" s="72"/>
      <c r="E135" s="73"/>
      <c r="F135" s="73"/>
      <c r="G135" s="73"/>
      <c r="H135" s="73"/>
      <c r="I135" s="73"/>
      <c r="J135" s="73"/>
      <c r="K135" s="73"/>
      <c r="L135" s="72"/>
      <c r="M135" s="72"/>
      <c r="N135" s="72"/>
      <c r="O135" s="72"/>
      <c r="P135" s="72"/>
      <c r="Q135" s="72"/>
      <c r="R135" s="72"/>
      <c r="S135" s="72"/>
      <c r="T135" s="72"/>
      <c r="U135" s="74"/>
      <c r="V135" s="72"/>
      <c r="W135" s="72"/>
      <c r="X135" s="72"/>
      <c r="Y135" s="72"/>
      <c r="Z135" s="75"/>
      <c r="AA135" s="60"/>
      <c r="AB135" s="662"/>
      <c r="AC135" s="580"/>
      <c r="AD135" s="33"/>
      <c r="AE135" s="33"/>
      <c r="AF135" s="101"/>
    </row>
    <row r="136" spans="2:34" ht="13" x14ac:dyDescent="0.3">
      <c r="B136" s="85"/>
      <c r="C136" s="86"/>
      <c r="D136" s="86"/>
      <c r="E136" s="87"/>
      <c r="F136" s="87"/>
      <c r="G136" s="87"/>
      <c r="H136" s="87"/>
      <c r="I136" s="87"/>
      <c r="J136" s="87"/>
      <c r="K136" s="87"/>
      <c r="L136" s="86"/>
      <c r="M136" s="86"/>
      <c r="N136" s="86"/>
      <c r="O136" s="86"/>
      <c r="P136" s="86"/>
      <c r="Q136" s="86"/>
      <c r="R136" s="86"/>
      <c r="S136" s="86"/>
      <c r="T136" s="86"/>
      <c r="U136" s="88"/>
      <c r="V136" s="86"/>
      <c r="W136" s="86"/>
      <c r="X136" s="86"/>
      <c r="Y136" s="86"/>
      <c r="Z136" s="89"/>
      <c r="AA136" s="60"/>
      <c r="AB136" s="662"/>
      <c r="AC136" s="580"/>
      <c r="AD136" s="33"/>
      <c r="AE136" s="33"/>
      <c r="AF136" s="101"/>
    </row>
    <row r="137" spans="2:34" ht="13" x14ac:dyDescent="0.3">
      <c r="B137" s="78" t="s">
        <v>159</v>
      </c>
      <c r="C137" s="33"/>
      <c r="D137" s="33"/>
      <c r="E137" s="23"/>
      <c r="F137" s="23"/>
      <c r="G137" s="23"/>
      <c r="H137" s="23"/>
      <c r="I137" s="23"/>
      <c r="J137" s="23"/>
      <c r="K137" s="23"/>
      <c r="L137" s="33"/>
      <c r="M137" s="33"/>
      <c r="N137" s="33"/>
      <c r="O137" s="33"/>
      <c r="P137" s="33"/>
      <c r="Q137" s="33"/>
      <c r="R137" s="33"/>
      <c r="S137" s="33"/>
      <c r="T137" s="38"/>
      <c r="U137" s="59"/>
      <c r="V137" s="33"/>
      <c r="W137" s="33"/>
      <c r="X137" s="33"/>
      <c r="Y137" s="33"/>
      <c r="Z137" s="42"/>
      <c r="AA137" s="60"/>
      <c r="AB137" s="662"/>
      <c r="AC137" s="580"/>
      <c r="AD137" s="33"/>
      <c r="AE137" s="33"/>
      <c r="AF137" s="101"/>
    </row>
    <row r="138" spans="2:34" ht="13" x14ac:dyDescent="0.3">
      <c r="B138" s="79" t="s">
        <v>160</v>
      </c>
      <c r="C138" s="33">
        <v>0</v>
      </c>
      <c r="D138" s="33">
        <v>0</v>
      </c>
      <c r="E138" s="23">
        <v>0</v>
      </c>
      <c r="F138" s="23">
        <v>-1212</v>
      </c>
      <c r="G138" s="23">
        <v>0</v>
      </c>
      <c r="H138" s="23">
        <v>-1212</v>
      </c>
      <c r="I138" s="23">
        <v>0</v>
      </c>
      <c r="J138" s="23">
        <v>0</v>
      </c>
      <c r="K138" s="23">
        <f t="shared" ref="K138:K140" si="113">SUM(E138:J138)</f>
        <v>-2424</v>
      </c>
      <c r="L138" s="33">
        <f t="shared" ref="L138:L140" si="114">N138-D138</f>
        <v>-1212</v>
      </c>
      <c r="M138" s="33">
        <f t="shared" ref="M138:M140" si="115">N138-C138</f>
        <v>-1212</v>
      </c>
      <c r="N138" s="33">
        <v>-1212</v>
      </c>
      <c r="O138" s="33">
        <v>0</v>
      </c>
      <c r="P138" s="33">
        <v>50</v>
      </c>
      <c r="Q138" s="33">
        <v>50</v>
      </c>
      <c r="R138" s="33">
        <v>-1212</v>
      </c>
      <c r="S138" s="33">
        <f t="shared" ref="S138:S140" si="116">Q138-R138</f>
        <v>1262</v>
      </c>
      <c r="T138" s="38">
        <f t="shared" ref="T138:T140" si="117">IFERROR((Q138/N138)*100%,"∞")</f>
        <v>-4.1254125412541254E-2</v>
      </c>
      <c r="U138" s="59">
        <f t="shared" ref="U138:U140" si="118">N138+V138</f>
        <v>-1212</v>
      </c>
      <c r="V138" s="33">
        <v>0</v>
      </c>
      <c r="W138" s="33">
        <v>0</v>
      </c>
      <c r="X138" s="33"/>
      <c r="Y138" s="33"/>
      <c r="Z138" s="42"/>
      <c r="AA138" s="60"/>
      <c r="AB138" s="662"/>
      <c r="AC138" s="580"/>
      <c r="AD138" s="33">
        <f t="shared" ref="AD138" si="119">SUM(AB138:AC138)</f>
        <v>0</v>
      </c>
      <c r="AE138" s="33">
        <f t="shared" ref="AE138:AE140" si="120">Q138+AD138</f>
        <v>50</v>
      </c>
      <c r="AF138" s="101">
        <f t="shared" ref="AF138:AF140" si="121">AE138-N138</f>
        <v>1262</v>
      </c>
      <c r="AH138" t="s">
        <v>642</v>
      </c>
    </row>
    <row r="139" spans="2:34" ht="13" outlineLevel="1" x14ac:dyDescent="0.3">
      <c r="B139" s="79" t="s">
        <v>148</v>
      </c>
      <c r="C139" s="33">
        <v>538</v>
      </c>
      <c r="D139" s="33">
        <v>538</v>
      </c>
      <c r="E139" s="23">
        <v>0</v>
      </c>
      <c r="F139" s="23">
        <v>0</v>
      </c>
      <c r="G139" s="23">
        <v>0</v>
      </c>
      <c r="H139" s="23">
        <v>0</v>
      </c>
      <c r="I139" s="23">
        <v>0</v>
      </c>
      <c r="J139" s="23">
        <v>0</v>
      </c>
      <c r="K139" s="23">
        <f>SUM(E139:J139)</f>
        <v>0</v>
      </c>
      <c r="L139" s="33">
        <f>N139-D139</f>
        <v>0</v>
      </c>
      <c r="M139" s="33">
        <f>N139-C139</f>
        <v>0</v>
      </c>
      <c r="N139" s="33">
        <v>538</v>
      </c>
      <c r="O139" s="33">
        <v>0</v>
      </c>
      <c r="P139" s="33">
        <v>538</v>
      </c>
      <c r="Q139" s="33">
        <v>538</v>
      </c>
      <c r="R139" s="33">
        <v>538</v>
      </c>
      <c r="S139" s="33">
        <f>Q139-R139</f>
        <v>0</v>
      </c>
      <c r="T139" s="38">
        <f>IFERROR((Q139/N139)*100%,"∞")</f>
        <v>1</v>
      </c>
      <c r="U139" s="59">
        <f>N139+V139</f>
        <v>538</v>
      </c>
      <c r="V139" s="33">
        <v>0</v>
      </c>
      <c r="W139" s="33">
        <v>0</v>
      </c>
      <c r="X139" s="33"/>
      <c r="Y139" s="33"/>
      <c r="Z139" s="42"/>
      <c r="AA139" s="60"/>
      <c r="AB139" s="662"/>
      <c r="AC139" s="580"/>
      <c r="AD139" s="33">
        <f>SUM(AB139:AC139)</f>
        <v>0</v>
      </c>
      <c r="AE139" s="33">
        <f>Q139+AD139</f>
        <v>538</v>
      </c>
      <c r="AF139" s="101">
        <f>AE139-N139</f>
        <v>0</v>
      </c>
    </row>
    <row r="140" spans="2:34" ht="13" x14ac:dyDescent="0.3">
      <c r="B140" s="79" t="s">
        <v>161</v>
      </c>
      <c r="C140" s="33">
        <v>14911</v>
      </c>
      <c r="D140" s="33">
        <v>14911</v>
      </c>
      <c r="E140" s="23">
        <v>0</v>
      </c>
      <c r="F140" s="23">
        <v>0</v>
      </c>
      <c r="G140" s="23">
        <v>0</v>
      </c>
      <c r="H140" s="23">
        <v>0</v>
      </c>
      <c r="I140" s="23">
        <v>0</v>
      </c>
      <c r="J140" s="23">
        <v>0</v>
      </c>
      <c r="K140" s="23">
        <f t="shared" si="113"/>
        <v>0</v>
      </c>
      <c r="L140" s="33">
        <f t="shared" si="114"/>
        <v>0</v>
      </c>
      <c r="M140" s="33">
        <f t="shared" si="115"/>
        <v>0</v>
      </c>
      <c r="N140" s="33">
        <v>14911</v>
      </c>
      <c r="O140" s="33">
        <v>0</v>
      </c>
      <c r="P140" s="33">
        <v>14841</v>
      </c>
      <c r="Q140" s="33">
        <v>14841</v>
      </c>
      <c r="R140" s="33">
        <v>14911</v>
      </c>
      <c r="S140" s="33">
        <f t="shared" si="116"/>
        <v>-70</v>
      </c>
      <c r="T140" s="38">
        <f t="shared" si="117"/>
        <v>0.99530547917644696</v>
      </c>
      <c r="U140" s="59">
        <f t="shared" si="118"/>
        <v>14911</v>
      </c>
      <c r="V140" s="33">
        <v>0</v>
      </c>
      <c r="W140" s="33">
        <v>0</v>
      </c>
      <c r="X140" s="33"/>
      <c r="Y140" s="33"/>
      <c r="Z140" s="42"/>
      <c r="AA140" s="60"/>
      <c r="AB140" s="662"/>
      <c r="AC140" s="580"/>
      <c r="AD140" s="33">
        <f t="shared" ref="AD140:AD142" si="122">SUM(AB140:AC140)</f>
        <v>0</v>
      </c>
      <c r="AE140" s="33">
        <f t="shared" si="120"/>
        <v>14841</v>
      </c>
      <c r="AF140" s="101">
        <f t="shared" si="121"/>
        <v>-70</v>
      </c>
    </row>
    <row r="141" spans="2:34" ht="13" x14ac:dyDescent="0.3">
      <c r="B141" s="79" t="s">
        <v>162</v>
      </c>
      <c r="C141" s="33">
        <v>-278</v>
      </c>
      <c r="D141" s="33">
        <v>-278</v>
      </c>
      <c r="E141" s="23">
        <v>0</v>
      </c>
      <c r="F141" s="23">
        <v>0</v>
      </c>
      <c r="G141" s="23">
        <v>0</v>
      </c>
      <c r="H141" s="23">
        <v>0</v>
      </c>
      <c r="I141" s="23">
        <v>0</v>
      </c>
      <c r="J141" s="23">
        <v>0</v>
      </c>
      <c r="K141" s="23">
        <f>SUM(E141:J141)</f>
        <v>0</v>
      </c>
      <c r="L141" s="33">
        <f>N141-D141</f>
        <v>0</v>
      </c>
      <c r="M141" s="33">
        <f>N141-C141</f>
        <v>0</v>
      </c>
      <c r="N141" s="33">
        <v>-278</v>
      </c>
      <c r="O141" s="33">
        <v>-428</v>
      </c>
      <c r="P141" s="33">
        <v>0</v>
      </c>
      <c r="Q141" s="33">
        <v>-428</v>
      </c>
      <c r="R141" s="33">
        <v>-278</v>
      </c>
      <c r="S141" s="33">
        <f>Q141-R141</f>
        <v>-150</v>
      </c>
      <c r="T141" s="38">
        <f>IFERROR((Q141/N141)*100%,"∞")</f>
        <v>1.539568345323741</v>
      </c>
      <c r="U141" s="59">
        <f>N141+V141</f>
        <v>-278</v>
      </c>
      <c r="V141" s="33">
        <v>0</v>
      </c>
      <c r="W141" s="33">
        <v>0</v>
      </c>
      <c r="X141" s="33"/>
      <c r="Y141" s="33"/>
      <c r="Z141" s="42"/>
      <c r="AA141" s="60"/>
      <c r="AB141" s="662"/>
      <c r="AC141" s="580">
        <v>140.52000000000001</v>
      </c>
      <c r="AD141" s="33">
        <f t="shared" si="122"/>
        <v>140.52000000000001</v>
      </c>
      <c r="AE141" s="33">
        <f>Q141+AD141</f>
        <v>-287.48</v>
      </c>
      <c r="AF141" s="101">
        <f>AE141-N141</f>
        <v>-9.4800000000000182</v>
      </c>
      <c r="AH141" t="s">
        <v>643</v>
      </c>
    </row>
    <row r="142" spans="2:34" ht="13" x14ac:dyDescent="0.3">
      <c r="B142" s="79" t="s">
        <v>163</v>
      </c>
      <c r="C142" s="33">
        <v>8476</v>
      </c>
      <c r="D142" s="33">
        <v>8476</v>
      </c>
      <c r="E142" s="23">
        <v>0</v>
      </c>
      <c r="F142" s="23">
        <v>0</v>
      </c>
      <c r="G142" s="23">
        <v>0</v>
      </c>
      <c r="H142" s="23">
        <v>0</v>
      </c>
      <c r="I142" s="23">
        <v>0</v>
      </c>
      <c r="J142" s="23">
        <v>0</v>
      </c>
      <c r="K142" s="23">
        <f>SUM(E142:J142)</f>
        <v>0</v>
      </c>
      <c r="L142" s="33">
        <f>N142-D142</f>
        <v>0</v>
      </c>
      <c r="M142" s="33">
        <f>N142-C142</f>
        <v>0</v>
      </c>
      <c r="N142" s="33">
        <v>8476</v>
      </c>
      <c r="O142" s="33">
        <v>23895</v>
      </c>
      <c r="P142" s="33">
        <v>-21702</v>
      </c>
      <c r="Q142" s="33">
        <v>2193</v>
      </c>
      <c r="R142" s="33">
        <v>8476</v>
      </c>
      <c r="S142" s="33">
        <f>Q142-R142</f>
        <v>-6283</v>
      </c>
      <c r="T142" s="38">
        <f>IFERROR((Q142/N142)*100%,"∞")</f>
        <v>0.25873053327041057</v>
      </c>
      <c r="U142" s="59">
        <f>N142+V142</f>
        <v>8476</v>
      </c>
      <c r="V142" s="33">
        <v>0</v>
      </c>
      <c r="W142" s="33">
        <v>0</v>
      </c>
      <c r="X142" s="33"/>
      <c r="Y142" s="33"/>
      <c r="Z142" s="42"/>
      <c r="AA142" s="60"/>
      <c r="AB142" s="662"/>
      <c r="AC142" s="580">
        <v>6283</v>
      </c>
      <c r="AD142" s="33">
        <f t="shared" si="122"/>
        <v>6283</v>
      </c>
      <c r="AE142" s="33">
        <f>Q142+AD142</f>
        <v>8476</v>
      </c>
      <c r="AF142" s="101">
        <f>AE142-N142</f>
        <v>0</v>
      </c>
    </row>
    <row r="143" spans="2:34"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662"/>
      <c r="AC143" s="580"/>
      <c r="AD143" s="33"/>
      <c r="AE143" s="33"/>
      <c r="AF143" s="101"/>
    </row>
    <row r="144" spans="2:34" ht="13.5" thickBot="1" x14ac:dyDescent="0.35">
      <c r="B144" s="91" t="s">
        <v>164</v>
      </c>
      <c r="C144" s="76">
        <f t="shared" ref="C144:J144" si="123">SUM(C138:C142)</f>
        <v>23647</v>
      </c>
      <c r="D144" s="76">
        <f t="shared" si="123"/>
        <v>23647</v>
      </c>
      <c r="E144" s="76">
        <f t="shared" si="123"/>
        <v>0</v>
      </c>
      <c r="F144" s="76">
        <f t="shared" si="123"/>
        <v>-1212</v>
      </c>
      <c r="G144" s="76">
        <f t="shared" si="123"/>
        <v>0</v>
      </c>
      <c r="H144" s="76">
        <f t="shared" si="123"/>
        <v>-1212</v>
      </c>
      <c r="I144" s="76">
        <f t="shared" si="123"/>
        <v>0</v>
      </c>
      <c r="J144" s="76">
        <f t="shared" si="123"/>
        <v>0</v>
      </c>
      <c r="K144" s="76">
        <f>SUM(E144:J144)</f>
        <v>-2424</v>
      </c>
      <c r="L144" s="76">
        <f>N144-D144</f>
        <v>-1212</v>
      </c>
      <c r="M144" s="76">
        <f>N144-C144</f>
        <v>-1212</v>
      </c>
      <c r="N144" s="76">
        <f>SUM(N138:N142)</f>
        <v>22435</v>
      </c>
      <c r="O144" s="76">
        <f>SUM(O138:O142)</f>
        <v>23467</v>
      </c>
      <c r="P144" s="76">
        <f>SUM(P138:P142)</f>
        <v>-6273</v>
      </c>
      <c r="Q144" s="76">
        <f>SUM(Q138:Q142)</f>
        <v>17194</v>
      </c>
      <c r="R144" s="76">
        <f>SUM(R138:R142)</f>
        <v>22435</v>
      </c>
      <c r="S144" s="76">
        <f>Q144-R144</f>
        <v>-5241</v>
      </c>
      <c r="T144" s="92">
        <f>IFERROR((Q144/N144)*100%,"∞")</f>
        <v>0.76639179852908401</v>
      </c>
      <c r="U144" s="76">
        <f>N144+V144</f>
        <v>22435</v>
      </c>
      <c r="V144" s="76">
        <f>SUM(V138:V142)</f>
        <v>0</v>
      </c>
      <c r="W144" s="76">
        <f>SUM(W138:W142)</f>
        <v>0</v>
      </c>
      <c r="X144" s="76">
        <f>SUM(X138:X142)</f>
        <v>0</v>
      </c>
      <c r="Y144" s="76">
        <f>SUM(Y138:Y142)</f>
        <v>0</v>
      </c>
      <c r="Z144" s="76">
        <f>SUM(Z138:Z142)</f>
        <v>0</v>
      </c>
      <c r="AA144" s="60"/>
      <c r="AB144" s="76">
        <f>SUM(AB138:AB142)</f>
        <v>0</v>
      </c>
      <c r="AC144" s="76">
        <f>SUM(AC138:AC142)</f>
        <v>6423.52</v>
      </c>
      <c r="AD144" s="76">
        <f>SUM(AD138:AD142)</f>
        <v>6423.52</v>
      </c>
      <c r="AE144" s="76">
        <f>SUM(AE138:AE142)</f>
        <v>23617.52</v>
      </c>
      <c r="AF144" s="76">
        <f>SUM(AF138:AF142)</f>
        <v>1182.52</v>
      </c>
    </row>
    <row r="145" spans="2:34"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4" ht="13.5" thickBot="1" x14ac:dyDescent="0.35">
      <c r="B146" s="91" t="s">
        <v>165</v>
      </c>
      <c r="C146" s="76">
        <f t="shared" ref="C146:J146" si="124">C134-C144</f>
        <v>0</v>
      </c>
      <c r="D146" s="76">
        <f t="shared" si="124"/>
        <v>0</v>
      </c>
      <c r="E146" s="76">
        <f t="shared" si="124"/>
        <v>0</v>
      </c>
      <c r="F146" s="76">
        <f t="shared" si="124"/>
        <v>-1</v>
      </c>
      <c r="G146" s="76">
        <f t="shared" si="124"/>
        <v>3</v>
      </c>
      <c r="H146" s="76">
        <f t="shared" si="124"/>
        <v>-1</v>
      </c>
      <c r="I146" s="76">
        <f t="shared" si="124"/>
        <v>0</v>
      </c>
      <c r="J146" s="76">
        <f t="shared" si="124"/>
        <v>0</v>
      </c>
      <c r="K146" s="76">
        <f>SUM(E146:J146)</f>
        <v>1</v>
      </c>
      <c r="L146" s="76">
        <f>N146-D146</f>
        <v>0</v>
      </c>
      <c r="M146" s="76">
        <f>N146-C146</f>
        <v>0</v>
      </c>
      <c r="N146" s="76">
        <f>N134-N144</f>
        <v>0</v>
      </c>
      <c r="O146" s="76">
        <f>O134-O144</f>
        <v>159766</v>
      </c>
      <c r="P146" s="76">
        <f>P134-P144</f>
        <v>-150610</v>
      </c>
      <c r="Q146" s="76">
        <f>Q134-Q144</f>
        <v>9157</v>
      </c>
      <c r="R146" s="76">
        <f>R134-R144</f>
        <v>2</v>
      </c>
      <c r="S146" s="76">
        <f>Q146-R146</f>
        <v>9155</v>
      </c>
      <c r="T146" s="92" t="str">
        <f>IFERROR((Q146/N146)*100%,"∞")</f>
        <v>∞</v>
      </c>
      <c r="U146" s="76">
        <f>N146+V146</f>
        <v>358</v>
      </c>
      <c r="V146" s="76">
        <f>V134-V144</f>
        <v>358</v>
      </c>
      <c r="W146" s="76">
        <f>W134-W144</f>
        <v>-35</v>
      </c>
      <c r="X146" s="76">
        <f>X134-X144</f>
        <v>0</v>
      </c>
      <c r="Y146" s="76">
        <f>Y134-Y144</f>
        <v>0</v>
      </c>
      <c r="Z146" s="76">
        <f>Z134-Z144</f>
        <v>0</v>
      </c>
      <c r="AA146" s="60"/>
      <c r="AB146" s="76">
        <f>AB134-AB144</f>
        <v>453</v>
      </c>
      <c r="AC146" s="76">
        <f>AC134-AC144</f>
        <v>-9650.52</v>
      </c>
      <c r="AD146" s="76">
        <f>AD134-AD144</f>
        <v>-9197.52</v>
      </c>
      <c r="AE146" s="76">
        <f>AE134-AE144</f>
        <v>-40.520000000000437</v>
      </c>
      <c r="AF146" s="76">
        <f>AF134-AF144</f>
        <v>-40.519999999999982</v>
      </c>
    </row>
    <row r="147" spans="2:34" ht="13" thickTop="1" x14ac:dyDescent="0.25"/>
    <row r="149" spans="2:34" x14ac:dyDescent="0.25">
      <c r="AH149" t="s">
        <v>645</v>
      </c>
    </row>
    <row r="151" spans="2:34" x14ac:dyDescent="0.25">
      <c r="AB151" s="654" t="s">
        <v>646</v>
      </c>
      <c r="AC151" s="655"/>
      <c r="AH151" t="s">
        <v>647</v>
      </c>
    </row>
    <row r="152" spans="2:34" x14ac:dyDescent="0.25">
      <c r="AB152" s="656"/>
      <c r="AC152" s="657"/>
    </row>
    <row r="153" spans="2:34" x14ac:dyDescent="0.25">
      <c r="AB153" s="656" t="s">
        <v>648</v>
      </c>
      <c r="AC153" s="657">
        <v>-553</v>
      </c>
    </row>
    <row r="154" spans="2:34" x14ac:dyDescent="0.25">
      <c r="AB154" s="656" t="s">
        <v>649</v>
      </c>
      <c r="AC154" s="657">
        <v>-141</v>
      </c>
    </row>
    <row r="155" spans="2:34" x14ac:dyDescent="0.25">
      <c r="AB155" s="656" t="s">
        <v>650</v>
      </c>
      <c r="AC155" s="657">
        <v>-117</v>
      </c>
    </row>
    <row r="156" spans="2:34" x14ac:dyDescent="0.25">
      <c r="AB156" s="656"/>
      <c r="AC156" s="657">
        <f>AC153+AC154+AC155</f>
        <v>-811</v>
      </c>
    </row>
    <row r="157" spans="2:34" x14ac:dyDescent="0.25">
      <c r="AB157" s="658"/>
      <c r="AC157" s="659"/>
    </row>
    <row r="162" spans="28:38" ht="13" x14ac:dyDescent="0.3">
      <c r="AB162" s="678" t="s">
        <v>651</v>
      </c>
      <c r="AC162" s="679"/>
      <c r="AD162" s="680">
        <v>358</v>
      </c>
    </row>
    <row r="163" spans="28:38" x14ac:dyDescent="0.25">
      <c r="AB163" s="656"/>
      <c r="AD163" s="657"/>
    </row>
    <row r="164" spans="28:38" x14ac:dyDescent="0.25">
      <c r="AB164" s="656" t="s">
        <v>652</v>
      </c>
      <c r="AD164" s="688">
        <v>-1262</v>
      </c>
    </row>
    <row r="165" spans="28:38" x14ac:dyDescent="0.25">
      <c r="AB165" s="656" t="s">
        <v>653</v>
      </c>
      <c r="AD165" s="657">
        <v>-294</v>
      </c>
    </row>
    <row r="166" spans="28:38" x14ac:dyDescent="0.25">
      <c r="AB166" s="656" t="s">
        <v>654</v>
      </c>
      <c r="AD166" s="657">
        <v>-148</v>
      </c>
    </row>
    <row r="167" spans="28:38" x14ac:dyDescent="0.25">
      <c r="AB167" s="656" t="s">
        <v>655</v>
      </c>
      <c r="AD167" s="657">
        <v>2253</v>
      </c>
      <c r="AH167" s="654" t="s">
        <v>656</v>
      </c>
      <c r="AI167" s="687">
        <v>-160</v>
      </c>
      <c r="AJ167" s="660"/>
      <c r="AK167" s="660"/>
      <c r="AL167" s="655"/>
    </row>
    <row r="168" spans="28:38" x14ac:dyDescent="0.25">
      <c r="AB168" s="656" t="s">
        <v>657</v>
      </c>
      <c r="AD168" s="657">
        <v>1070</v>
      </c>
      <c r="AH168" s="656" t="s">
        <v>658</v>
      </c>
      <c r="AI168">
        <v>-107</v>
      </c>
      <c r="AL168" s="657"/>
    </row>
    <row r="169" spans="28:38" x14ac:dyDescent="0.25">
      <c r="AB169" s="656" t="s">
        <v>659</v>
      </c>
      <c r="AD169" s="688">
        <v>-2268</v>
      </c>
      <c r="AH169" s="656" t="s">
        <v>660</v>
      </c>
      <c r="AI169">
        <v>460</v>
      </c>
      <c r="AL169" s="657"/>
    </row>
    <row r="170" spans="28:38" x14ac:dyDescent="0.25">
      <c r="AB170" s="656" t="s">
        <v>866</v>
      </c>
      <c r="AD170" s="657">
        <v>-128</v>
      </c>
      <c r="AH170" s="656"/>
      <c r="AL170" s="657"/>
    </row>
    <row r="171" spans="28:38" x14ac:dyDescent="0.25">
      <c r="AB171" s="656" t="s">
        <v>662</v>
      </c>
      <c r="AD171" s="657">
        <v>361</v>
      </c>
      <c r="AH171" s="656" t="s">
        <v>589</v>
      </c>
      <c r="AI171">
        <v>186</v>
      </c>
      <c r="AL171" s="657"/>
    </row>
    <row r="172" spans="28:38" x14ac:dyDescent="0.25">
      <c r="AB172" s="656"/>
      <c r="AD172" s="657"/>
      <c r="AH172" s="656" t="s">
        <v>665</v>
      </c>
      <c r="AI172" s="9">
        <v>1878</v>
      </c>
      <c r="AL172" s="657"/>
    </row>
    <row r="173" spans="28:38" ht="13" x14ac:dyDescent="0.3">
      <c r="AB173" s="656"/>
      <c r="AD173" s="677">
        <f>SUM(AD162:AD172)</f>
        <v>-58</v>
      </c>
      <c r="AH173" s="656" t="s">
        <v>667</v>
      </c>
      <c r="AI173" s="9">
        <v>103</v>
      </c>
      <c r="AL173" s="657"/>
    </row>
    <row r="174" spans="28:38" x14ac:dyDescent="0.25">
      <c r="AB174" s="658"/>
      <c r="AC174" s="661"/>
      <c r="AD174" s="659"/>
      <c r="AH174" s="656" t="s">
        <v>669</v>
      </c>
      <c r="AI174" s="9">
        <v>278</v>
      </c>
      <c r="AL174" s="657"/>
    </row>
    <row r="175" spans="28:38" x14ac:dyDescent="0.25">
      <c r="AH175" s="658"/>
      <c r="AI175" s="661">
        <f>SUM(AI167:AI174)</f>
        <v>2638</v>
      </c>
      <c r="AJ175" s="661"/>
      <c r="AK175" s="661"/>
      <c r="AL175" s="659"/>
    </row>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D16"/>
  <sheetViews>
    <sheetView workbookViewId="0">
      <selection activeCell="H61" sqref="H61"/>
    </sheetView>
  </sheetViews>
  <sheetFormatPr defaultRowHeight="12.5" x14ac:dyDescent="0.25"/>
  <cols>
    <col min="1" max="1" width="21.54296875" customWidth="1"/>
    <col min="2" max="3" width="11.1796875" customWidth="1"/>
    <col min="4" max="4" width="32" style="681" customWidth="1"/>
  </cols>
  <sheetData>
    <row r="2" spans="1:4" ht="13" x14ac:dyDescent="0.3">
      <c r="A2" s="685" t="s">
        <v>487</v>
      </c>
      <c r="B2" s="685" t="s">
        <v>867</v>
      </c>
      <c r="C2" s="685" t="s">
        <v>868</v>
      </c>
      <c r="D2" s="686" t="s">
        <v>869</v>
      </c>
    </row>
    <row r="3" spans="1:4" ht="13" x14ac:dyDescent="0.3">
      <c r="A3" s="685"/>
      <c r="B3" s="685" t="s">
        <v>497</v>
      </c>
      <c r="C3" s="685" t="s">
        <v>497</v>
      </c>
      <c r="D3" s="686"/>
    </row>
    <row r="4" spans="1:4" ht="25" x14ac:dyDescent="0.25">
      <c r="A4" s="682" t="s">
        <v>382</v>
      </c>
      <c r="B4" s="682">
        <v>470</v>
      </c>
      <c r="C4" s="682"/>
      <c r="D4" s="683" t="s">
        <v>870</v>
      </c>
    </row>
    <row r="5" spans="1:4" ht="25" x14ac:dyDescent="0.25">
      <c r="A5" s="682" t="s">
        <v>871</v>
      </c>
      <c r="B5" s="682"/>
      <c r="C5" s="682">
        <v>130</v>
      </c>
      <c r="D5" s="683" t="s">
        <v>872</v>
      </c>
    </row>
    <row r="6" spans="1:4" ht="25" x14ac:dyDescent="0.25">
      <c r="A6" s="682" t="s">
        <v>308</v>
      </c>
      <c r="B6" s="682">
        <v>350</v>
      </c>
      <c r="C6" s="682"/>
      <c r="D6" s="683" t="s">
        <v>873</v>
      </c>
    </row>
    <row r="7" spans="1:4" x14ac:dyDescent="0.25">
      <c r="A7" s="682" t="s">
        <v>325</v>
      </c>
      <c r="B7" s="682"/>
      <c r="C7" s="682">
        <v>150</v>
      </c>
      <c r="D7" s="683" t="s">
        <v>874</v>
      </c>
    </row>
    <row r="8" spans="1:4" x14ac:dyDescent="0.25">
      <c r="A8" s="682" t="s">
        <v>589</v>
      </c>
      <c r="B8" s="682">
        <v>190</v>
      </c>
      <c r="C8" s="682"/>
      <c r="D8" s="683" t="s">
        <v>875</v>
      </c>
    </row>
    <row r="9" spans="1:4" ht="25" x14ac:dyDescent="0.25">
      <c r="A9" s="682" t="s">
        <v>461</v>
      </c>
      <c r="B9" s="682">
        <v>130</v>
      </c>
      <c r="C9" s="682"/>
      <c r="D9" s="683" t="s">
        <v>876</v>
      </c>
    </row>
    <row r="10" spans="1:4" x14ac:dyDescent="0.25">
      <c r="A10" s="682" t="s">
        <v>665</v>
      </c>
      <c r="B10" s="682">
        <v>50</v>
      </c>
      <c r="C10" s="682"/>
      <c r="D10" s="683"/>
    </row>
    <row r="11" spans="1:4" x14ac:dyDescent="0.25">
      <c r="A11" s="682" t="s">
        <v>289</v>
      </c>
      <c r="B11" s="682"/>
      <c r="C11" s="682">
        <v>250</v>
      </c>
      <c r="D11" s="683" t="s">
        <v>877</v>
      </c>
    </row>
    <row r="12" spans="1:4" ht="25" x14ac:dyDescent="0.25">
      <c r="A12" s="682" t="s">
        <v>426</v>
      </c>
      <c r="B12" s="682"/>
      <c r="C12" s="682">
        <v>300</v>
      </c>
      <c r="D12" s="683" t="s">
        <v>878</v>
      </c>
    </row>
    <row r="13" spans="1:4" x14ac:dyDescent="0.25">
      <c r="A13" s="682" t="s">
        <v>447</v>
      </c>
      <c r="B13" s="682"/>
      <c r="C13" s="682">
        <v>360</v>
      </c>
      <c r="D13" s="683" t="s">
        <v>879</v>
      </c>
    </row>
    <row r="14" spans="1:4" ht="25" x14ac:dyDescent="0.25">
      <c r="A14" s="682" t="s">
        <v>136</v>
      </c>
      <c r="B14" s="682"/>
      <c r="C14" s="682">
        <v>360</v>
      </c>
      <c r="D14" s="683" t="s">
        <v>880</v>
      </c>
    </row>
    <row r="15" spans="1:4" ht="13" x14ac:dyDescent="0.3">
      <c r="A15" s="682"/>
      <c r="B15" s="684">
        <f>SUM(B4:B14)</f>
        <v>1190</v>
      </c>
      <c r="C15" s="684">
        <f>SUM(C4:C14)</f>
        <v>1550</v>
      </c>
      <c r="D15" s="683"/>
    </row>
    <row r="16" spans="1:4" ht="13" x14ac:dyDescent="0.3">
      <c r="A16" s="682"/>
      <c r="B16" s="684">
        <f>C15-B15</f>
        <v>360</v>
      </c>
      <c r="C16" s="684"/>
      <c r="D16" s="68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45"/>
  <sheetViews>
    <sheetView workbookViewId="0">
      <selection activeCell="X44" sqref="X44"/>
    </sheetView>
  </sheetViews>
  <sheetFormatPr defaultRowHeight="12.5" x14ac:dyDescent="0.25"/>
  <sheetData>
    <row r="1" spans="1:27" x14ac:dyDescent="0.25">
      <c r="A1" t="s">
        <v>881</v>
      </c>
      <c r="B1" t="s">
        <v>882</v>
      </c>
      <c r="C1" t="s">
        <v>883</v>
      </c>
      <c r="D1" t="s">
        <v>193</v>
      </c>
      <c r="E1" t="s">
        <v>884</v>
      </c>
      <c r="F1" t="s">
        <v>885</v>
      </c>
      <c r="G1" t="s">
        <v>886</v>
      </c>
      <c r="H1" t="s">
        <v>887</v>
      </c>
      <c r="I1" t="s">
        <v>888</v>
      </c>
      <c r="J1" t="s">
        <v>196</v>
      </c>
      <c r="K1" t="s">
        <v>889</v>
      </c>
      <c r="L1" t="s">
        <v>890</v>
      </c>
      <c r="M1" t="s">
        <v>891</v>
      </c>
      <c r="O1" t="s">
        <v>881</v>
      </c>
      <c r="P1" t="s">
        <v>882</v>
      </c>
      <c r="Q1" t="s">
        <v>883</v>
      </c>
      <c r="R1" t="s">
        <v>193</v>
      </c>
      <c r="S1" t="s">
        <v>884</v>
      </c>
      <c r="T1" t="s">
        <v>885</v>
      </c>
      <c r="U1" t="s">
        <v>886</v>
      </c>
      <c r="V1" t="s">
        <v>887</v>
      </c>
      <c r="W1" t="s">
        <v>888</v>
      </c>
      <c r="X1" t="s">
        <v>196</v>
      </c>
      <c r="Y1" t="s">
        <v>889</v>
      </c>
      <c r="Z1" t="s">
        <v>890</v>
      </c>
      <c r="AA1" t="s">
        <v>891</v>
      </c>
    </row>
    <row r="2" spans="1:27" x14ac:dyDescent="0.25">
      <c r="B2" t="s">
        <v>892</v>
      </c>
      <c r="J2">
        <v>-8950</v>
      </c>
      <c r="P2" t="s">
        <v>892</v>
      </c>
      <c r="X2">
        <v>1468</v>
      </c>
    </row>
    <row r="3" spans="1:27" x14ac:dyDescent="0.25">
      <c r="B3" t="s">
        <v>893</v>
      </c>
      <c r="J3">
        <v>-11720</v>
      </c>
      <c r="P3" t="s">
        <v>893</v>
      </c>
      <c r="X3">
        <v>1922</v>
      </c>
    </row>
    <row r="4" spans="1:27" x14ac:dyDescent="0.25">
      <c r="B4" t="s">
        <v>894</v>
      </c>
      <c r="J4">
        <v>-13901</v>
      </c>
      <c r="P4" t="s">
        <v>894</v>
      </c>
      <c r="X4">
        <v>2279</v>
      </c>
    </row>
    <row r="5" spans="1:27" x14ac:dyDescent="0.25">
      <c r="B5" t="s">
        <v>895</v>
      </c>
      <c r="J5">
        <v>-5050</v>
      </c>
      <c r="P5" t="s">
        <v>895</v>
      </c>
      <c r="X5">
        <v>828</v>
      </c>
    </row>
    <row r="6" spans="1:27" x14ac:dyDescent="0.25">
      <c r="B6" t="s">
        <v>896</v>
      </c>
      <c r="J6">
        <v>-59504</v>
      </c>
      <c r="P6" t="s">
        <v>896</v>
      </c>
      <c r="X6">
        <v>9759</v>
      </c>
    </row>
    <row r="7" spans="1:27" x14ac:dyDescent="0.25">
      <c r="B7" t="s">
        <v>897</v>
      </c>
      <c r="J7">
        <v>-109459</v>
      </c>
      <c r="P7" t="s">
        <v>897</v>
      </c>
      <c r="X7">
        <v>17951</v>
      </c>
    </row>
    <row r="8" spans="1:27" x14ac:dyDescent="0.25">
      <c r="B8" t="s">
        <v>898</v>
      </c>
      <c r="J8">
        <v>-31125</v>
      </c>
      <c r="P8" t="s">
        <v>898</v>
      </c>
      <c r="X8">
        <v>5105</v>
      </c>
    </row>
    <row r="9" spans="1:27" x14ac:dyDescent="0.25">
      <c r="B9" t="s">
        <v>899</v>
      </c>
      <c r="J9">
        <v>-53982</v>
      </c>
      <c r="P9" t="s">
        <v>899</v>
      </c>
      <c r="X9">
        <v>8853</v>
      </c>
    </row>
    <row r="10" spans="1:27" x14ac:dyDescent="0.25">
      <c r="B10" t="s">
        <v>900</v>
      </c>
      <c r="J10">
        <v>-36710</v>
      </c>
      <c r="P10" t="s">
        <v>900</v>
      </c>
      <c r="X10">
        <v>6020</v>
      </c>
    </row>
    <row r="11" spans="1:27" x14ac:dyDescent="0.25">
      <c r="B11" t="s">
        <v>901</v>
      </c>
      <c r="J11">
        <v>-7643</v>
      </c>
      <c r="P11" t="s">
        <v>901</v>
      </c>
      <c r="X11">
        <v>1253</v>
      </c>
    </row>
    <row r="12" spans="1:27" x14ac:dyDescent="0.25">
      <c r="B12" t="s">
        <v>902</v>
      </c>
      <c r="J12">
        <v>-23842</v>
      </c>
      <c r="P12" t="s">
        <v>902</v>
      </c>
      <c r="X12">
        <v>3910</v>
      </c>
    </row>
    <row r="13" spans="1:27" x14ac:dyDescent="0.25">
      <c r="B13" t="s">
        <v>903</v>
      </c>
      <c r="J13">
        <v>1336</v>
      </c>
      <c r="P13" t="s">
        <v>903</v>
      </c>
      <c r="X13">
        <v>-219</v>
      </c>
    </row>
    <row r="14" spans="1:27" x14ac:dyDescent="0.25">
      <c r="B14" t="s">
        <v>904</v>
      </c>
      <c r="J14">
        <v>-20909</v>
      </c>
      <c r="P14" t="s">
        <v>904</v>
      </c>
      <c r="X14">
        <v>3429</v>
      </c>
    </row>
    <row r="15" spans="1:27" x14ac:dyDescent="0.25">
      <c r="B15" t="s">
        <v>905</v>
      </c>
      <c r="J15">
        <v>-82391</v>
      </c>
      <c r="P15" t="s">
        <v>905</v>
      </c>
      <c r="X15">
        <v>13511</v>
      </c>
    </row>
    <row r="16" spans="1:27" x14ac:dyDescent="0.25">
      <c r="B16" t="s">
        <v>906</v>
      </c>
      <c r="J16">
        <v>-2096</v>
      </c>
      <c r="P16" t="s">
        <v>906</v>
      </c>
      <c r="X16">
        <v>344</v>
      </c>
    </row>
    <row r="17" spans="2:24" x14ac:dyDescent="0.25">
      <c r="B17" t="s">
        <v>907</v>
      </c>
      <c r="J17">
        <v>-8457</v>
      </c>
      <c r="P17" t="s">
        <v>907</v>
      </c>
      <c r="X17">
        <v>1387</v>
      </c>
    </row>
    <row r="18" spans="2:24" x14ac:dyDescent="0.25">
      <c r="B18" t="s">
        <v>908</v>
      </c>
      <c r="J18">
        <v>-79539</v>
      </c>
      <c r="P18" t="s">
        <v>908</v>
      </c>
      <c r="X18">
        <v>13044</v>
      </c>
    </row>
    <row r="19" spans="2:24" x14ac:dyDescent="0.25">
      <c r="B19" t="s">
        <v>909</v>
      </c>
      <c r="J19">
        <v>-51637</v>
      </c>
      <c r="P19" t="s">
        <v>909</v>
      </c>
      <c r="X19">
        <v>8468</v>
      </c>
    </row>
    <row r="20" spans="2:24" x14ac:dyDescent="0.25">
      <c r="B20" t="s">
        <v>910</v>
      </c>
      <c r="J20">
        <v>-44517</v>
      </c>
      <c r="P20" t="s">
        <v>910</v>
      </c>
      <c r="X20">
        <v>7301</v>
      </c>
    </row>
    <row r="21" spans="2:24" x14ac:dyDescent="0.25">
      <c r="B21" t="s">
        <v>911</v>
      </c>
      <c r="J21">
        <v>-6161</v>
      </c>
      <c r="P21" t="s">
        <v>911</v>
      </c>
      <c r="X21">
        <v>1010</v>
      </c>
    </row>
    <row r="22" spans="2:24" x14ac:dyDescent="0.25">
      <c r="B22" t="s">
        <v>912</v>
      </c>
      <c r="J22">
        <v>-37214</v>
      </c>
      <c r="P22" t="s">
        <v>912</v>
      </c>
      <c r="X22">
        <v>6103</v>
      </c>
    </row>
    <row r="23" spans="2:24" x14ac:dyDescent="0.25">
      <c r="B23" t="s">
        <v>913</v>
      </c>
      <c r="J23">
        <v>-16483</v>
      </c>
      <c r="P23" t="s">
        <v>913</v>
      </c>
      <c r="X23">
        <v>2703</v>
      </c>
    </row>
    <row r="24" spans="2:24" x14ac:dyDescent="0.25">
      <c r="B24" t="s">
        <v>914</v>
      </c>
      <c r="J24">
        <v>-5665</v>
      </c>
      <c r="P24" t="s">
        <v>914</v>
      </c>
      <c r="X24">
        <v>929</v>
      </c>
    </row>
    <row r="25" spans="2:24" x14ac:dyDescent="0.25">
      <c r="B25" t="s">
        <v>915</v>
      </c>
      <c r="J25">
        <v>-10056</v>
      </c>
      <c r="P25" t="s">
        <v>915</v>
      </c>
      <c r="X25">
        <v>1649</v>
      </c>
    </row>
    <row r="26" spans="2:24" x14ac:dyDescent="0.25">
      <c r="B26" t="s">
        <v>916</v>
      </c>
      <c r="J26">
        <v>-11211</v>
      </c>
      <c r="P26" t="s">
        <v>916</v>
      </c>
      <c r="X26">
        <v>1839</v>
      </c>
    </row>
    <row r="27" spans="2:24" x14ac:dyDescent="0.25">
      <c r="B27" t="s">
        <v>917</v>
      </c>
      <c r="J27">
        <v>-7388</v>
      </c>
      <c r="P27" t="s">
        <v>917</v>
      </c>
      <c r="X27">
        <v>1212</v>
      </c>
    </row>
    <row r="28" spans="2:24" x14ac:dyDescent="0.25">
      <c r="B28" t="s">
        <v>918</v>
      </c>
      <c r="J28">
        <v>-6950</v>
      </c>
      <c r="P28" t="s">
        <v>918</v>
      </c>
      <c r="X28">
        <v>1140</v>
      </c>
    </row>
    <row r="29" spans="2:24" x14ac:dyDescent="0.25">
      <c r="B29" t="s">
        <v>919</v>
      </c>
      <c r="J29">
        <v>-18764</v>
      </c>
      <c r="P29" t="s">
        <v>919</v>
      </c>
      <c r="X29">
        <v>3077</v>
      </c>
    </row>
    <row r="30" spans="2:24" x14ac:dyDescent="0.25">
      <c r="B30" t="s">
        <v>920</v>
      </c>
      <c r="J30">
        <v>-8227</v>
      </c>
      <c r="P30" t="s">
        <v>920</v>
      </c>
      <c r="X30">
        <v>1349</v>
      </c>
    </row>
    <row r="31" spans="2:24" x14ac:dyDescent="0.25">
      <c r="B31" t="s">
        <v>921</v>
      </c>
      <c r="J31">
        <v>-33051</v>
      </c>
      <c r="P31" t="s">
        <v>921</v>
      </c>
      <c r="X31">
        <v>5420</v>
      </c>
    </row>
    <row r="32" spans="2:24" x14ac:dyDescent="0.25">
      <c r="B32" t="s">
        <v>922</v>
      </c>
      <c r="J32">
        <v>-17990</v>
      </c>
      <c r="P32" t="s">
        <v>922</v>
      </c>
      <c r="X32">
        <v>2948</v>
      </c>
    </row>
    <row r="33" spans="2:24" x14ac:dyDescent="0.25">
      <c r="B33" t="s">
        <v>923</v>
      </c>
      <c r="J33">
        <v>-16434</v>
      </c>
      <c r="P33" t="s">
        <v>923</v>
      </c>
      <c r="X33">
        <v>2695</v>
      </c>
    </row>
    <row r="34" spans="2:24" x14ac:dyDescent="0.25">
      <c r="B34" t="s">
        <v>924</v>
      </c>
      <c r="J34">
        <v>-50330</v>
      </c>
      <c r="P34" t="s">
        <v>924</v>
      </c>
      <c r="X34">
        <v>8254</v>
      </c>
    </row>
    <row r="35" spans="2:24" x14ac:dyDescent="0.25">
      <c r="B35" t="s">
        <v>925</v>
      </c>
      <c r="J35">
        <v>-16737</v>
      </c>
      <c r="P35" t="s">
        <v>925</v>
      </c>
      <c r="X35">
        <v>2745</v>
      </c>
    </row>
    <row r="36" spans="2:24" x14ac:dyDescent="0.25">
      <c r="B36" t="s">
        <v>926</v>
      </c>
      <c r="J36">
        <v>-19158</v>
      </c>
      <c r="P36" t="s">
        <v>926</v>
      </c>
      <c r="X36">
        <v>3142</v>
      </c>
    </row>
    <row r="37" spans="2:24" x14ac:dyDescent="0.25">
      <c r="B37" t="s">
        <v>927</v>
      </c>
      <c r="J37">
        <v>-74452</v>
      </c>
      <c r="P37" t="s">
        <v>927</v>
      </c>
      <c r="X37">
        <v>12210</v>
      </c>
    </row>
    <row r="38" spans="2:24" x14ac:dyDescent="0.25">
      <c r="B38" t="s">
        <v>928</v>
      </c>
      <c r="J38">
        <v>-4566</v>
      </c>
      <c r="P38" t="s">
        <v>928</v>
      </c>
      <c r="X38">
        <v>749</v>
      </c>
    </row>
    <row r="39" spans="2:24" x14ac:dyDescent="0.25">
      <c r="B39" t="s">
        <v>929</v>
      </c>
      <c r="J39">
        <v>-10591</v>
      </c>
      <c r="P39" t="s">
        <v>929</v>
      </c>
      <c r="X39">
        <v>1737</v>
      </c>
    </row>
    <row r="40" spans="2:24" x14ac:dyDescent="0.25">
      <c r="B40" t="s">
        <v>930</v>
      </c>
      <c r="J40">
        <v>-8576</v>
      </c>
      <c r="P40" t="s">
        <v>930</v>
      </c>
      <c r="X40">
        <v>1406</v>
      </c>
    </row>
    <row r="41" spans="2:24" x14ac:dyDescent="0.25">
      <c r="B41" t="s">
        <v>931</v>
      </c>
      <c r="J41">
        <v>-40588</v>
      </c>
      <c r="P41" t="s">
        <v>931</v>
      </c>
      <c r="X41">
        <v>6656</v>
      </c>
    </row>
    <row r="42" spans="2:24" x14ac:dyDescent="0.25">
      <c r="B42" t="s">
        <v>932</v>
      </c>
      <c r="J42">
        <v>-28945</v>
      </c>
      <c r="P42" t="s">
        <v>932</v>
      </c>
      <c r="X42">
        <v>4747</v>
      </c>
    </row>
    <row r="43" spans="2:24" x14ac:dyDescent="0.25">
      <c r="B43" t="s">
        <v>933</v>
      </c>
      <c r="J43">
        <v>-20478</v>
      </c>
      <c r="P43" t="s">
        <v>933</v>
      </c>
      <c r="X43">
        <v>3358</v>
      </c>
    </row>
    <row r="44" spans="2:24" x14ac:dyDescent="0.25">
      <c r="B44" t="s">
        <v>934</v>
      </c>
      <c r="J44">
        <v>1120111</v>
      </c>
      <c r="P44" t="s">
        <v>934</v>
      </c>
      <c r="X44">
        <v>-183691</v>
      </c>
    </row>
    <row r="45" spans="2:24" x14ac:dyDescent="0.25">
      <c r="J45">
        <v>0</v>
      </c>
      <c r="X45">
        <v>0</v>
      </c>
    </row>
  </sheetData>
  <customSheetViews>
    <customSheetView guid="{903669DD-1133-45D2-B108-C6B5BEA5EB61}" state="hidden">
      <selection activeCell="X44" sqref="X44"/>
      <pageMargins left="0" right="0" top="0" bottom="0" header="0" footer="0"/>
    </customSheetView>
    <customSheetView guid="{7910FD81-BFE7-4CD5-939B-3D7A1CA9601A}" state="hidden">
      <selection activeCell="X44" sqref="X44"/>
      <pageMargins left="0" right="0" top="0" bottom="0" header="0" footer="0"/>
    </customSheetView>
    <customSheetView guid="{051C2D13-0D3D-44C3-A7DB-A0EAFBF115F0}" state="hidden">
      <selection activeCell="X44" sqref="X44"/>
      <pageMargins left="0" right="0" top="0" bottom="0" header="0" footer="0"/>
    </customSheetView>
    <customSheetView guid="{9C479752-7F2F-4739-B52F-47A06FE05EF0}" state="hidden">
      <selection activeCell="X44" sqref="X44"/>
      <pageMargins left="0" right="0" top="0" bottom="0" header="0" footer="0"/>
    </customSheetView>
    <customSheetView guid="{A0809A10-8F40-4AD2-8943-60E412AED428}" state="hidden">
      <selection activeCell="X44" sqref="X44"/>
      <pageMargins left="0" right="0" top="0" bottom="0" header="0" footer="0"/>
    </customSheetView>
    <customSheetView guid="{3E006852-BD2D-4884-A2A1-BFAEAE24582F}" state="hidden">
      <selection activeCell="X44" sqref="X44"/>
      <pageMargins left="0" right="0" top="0" bottom="0" header="0" footer="0"/>
    </customSheetView>
    <customSheetView guid="{B5B78BF3-B1F8-4BBA-8E40-E18C6034B566}" state="hidden">
      <selection activeCell="X44" sqref="X44"/>
      <pageMargins left="0" right="0" top="0" bottom="0" header="0" footer="0"/>
    </customSheetView>
    <customSheetView guid="{2F5D2611-A2AC-4668-B979-0EE258BE5F1F}" state="hidden">
      <selection activeCell="X44" sqref="X44"/>
      <pageMargins left="0" right="0" top="0" bottom="0" header="0" footer="0"/>
    </customSheetView>
    <customSheetView guid="{2EE8538C-E3AE-40C6-B22A-073EBF96300A}" state="hidden">
      <selection activeCell="X44" sqref="X44"/>
      <pageMargins left="0" right="0" top="0" bottom="0" header="0" footer="0"/>
    </customSheetView>
    <customSheetView guid="{E4F22399-07D5-465E-AFB1-A36259E00328}" state="hidden">
      <selection activeCell="X44" sqref="X44"/>
      <pageMargins left="0" right="0" top="0" bottom="0" header="0" footer="0"/>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B1:AI139"/>
  <sheetViews>
    <sheetView zoomScale="80" zoomScaleNormal="80" workbookViewId="0">
      <pane xSplit="2" ySplit="2" topLeftCell="C3" activePane="bottomRight" state="frozen"/>
      <selection pane="topRight" activeCell="C1" sqref="C1"/>
      <selection pane="bottomLeft" activeCell="A3" sqref="A3"/>
      <selection pane="bottomRight" activeCell="AL63" sqref="AL63"/>
    </sheetView>
  </sheetViews>
  <sheetFormatPr defaultColWidth="9.453125" defaultRowHeight="12.5" outlineLevelRow="2" outlineLevelCol="1" x14ac:dyDescent="0.25"/>
  <cols>
    <col min="1" max="1" width="5.54296875" customWidth="1"/>
    <col min="2" max="2" width="55.453125" style="1" customWidth="1"/>
    <col min="3" max="3" width="13.54296875" customWidth="1"/>
    <col min="4" max="4" width="13.54296875" hidden="1" customWidth="1"/>
    <col min="5" max="5" width="13.54296875" hidden="1" customWidth="1" outlineLevel="1"/>
    <col min="6" max="6" width="13.54296875" style="1" hidden="1" customWidth="1" outlineLevel="1"/>
    <col min="7" max="11" width="13.54296875" hidden="1" customWidth="1" outlineLevel="1"/>
    <col min="12" max="12" width="13.54296875" hidden="1" customWidth="1" collapsed="1"/>
    <col min="13" max="13" width="13.54296875" customWidth="1"/>
    <col min="14" max="14" width="13.54296875" customWidth="1" outlineLevel="1"/>
    <col min="15" max="15" width="13.54296875" customWidth="1"/>
    <col min="16" max="17" width="13.54296875" hidden="1" customWidth="1" outlineLevel="1"/>
    <col min="18" max="18" width="13.54296875" hidden="1" customWidth="1" collapsed="1"/>
    <col min="19" max="21" width="13.54296875" hidden="1" customWidth="1" outlineLevel="1"/>
    <col min="22" max="22" width="13.54296875" customWidth="1" collapsed="1"/>
    <col min="23" max="23" width="13.54296875" customWidth="1"/>
    <col min="24" max="25" width="13.54296875" hidden="1" customWidth="1" outlineLevel="1"/>
    <col min="26" max="27" width="13.54296875" customWidth="1" outlineLevel="1"/>
    <col min="28" max="28" width="1.54296875" customWidth="1"/>
    <col min="29" max="33" width="13.54296875" hidden="1" customWidth="1" outlineLevel="1"/>
    <col min="34" max="34" width="1.54296875" customWidth="1" collapsed="1"/>
    <col min="35" max="44" width="11.54296875" customWidth="1"/>
  </cols>
  <sheetData>
    <row r="1" spans="2:33" s="6" customFormat="1" ht="18.5" thickBot="1" x14ac:dyDescent="0.45">
      <c r="B1" s="17"/>
      <c r="D1" s="18" t="s">
        <v>0</v>
      </c>
      <c r="F1" s="17"/>
    </row>
    <row r="2" spans="2:33"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935</v>
      </c>
      <c r="N2" s="48" t="s">
        <v>12</v>
      </c>
      <c r="O2" s="48" t="s">
        <v>13</v>
      </c>
      <c r="P2" s="48" t="s">
        <v>14</v>
      </c>
      <c r="Q2" s="48" t="s">
        <v>15</v>
      </c>
      <c r="R2" s="48" t="s">
        <v>16</v>
      </c>
      <c r="S2" s="48" t="s">
        <v>17</v>
      </c>
      <c r="T2" s="48" t="s">
        <v>18</v>
      </c>
      <c r="U2" s="48" t="s">
        <v>19</v>
      </c>
      <c r="V2" s="48" t="s">
        <v>20</v>
      </c>
      <c r="W2" s="48" t="s">
        <v>24</v>
      </c>
      <c r="X2" s="48" t="s">
        <v>25</v>
      </c>
      <c r="Y2" s="48" t="s">
        <v>26</v>
      </c>
      <c r="Z2" s="48" t="s">
        <v>27</v>
      </c>
      <c r="AA2" s="48" t="s">
        <v>28</v>
      </c>
      <c r="AB2" s="60"/>
      <c r="AC2" s="48" t="s">
        <v>29</v>
      </c>
      <c r="AD2" s="48" t="s">
        <v>30</v>
      </c>
      <c r="AE2" s="48" t="s">
        <v>31</v>
      </c>
      <c r="AF2" s="48" t="s">
        <v>32</v>
      </c>
      <c r="AG2" s="48" t="s">
        <v>33</v>
      </c>
    </row>
    <row r="3" spans="2:33"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34</v>
      </c>
      <c r="U3" s="55" t="s">
        <v>35</v>
      </c>
      <c r="V3" s="55" t="s">
        <v>34</v>
      </c>
      <c r="W3" s="55" t="s">
        <v>34</v>
      </c>
      <c r="X3" s="55" t="s">
        <v>34</v>
      </c>
      <c r="Y3" s="55" t="s">
        <v>34</v>
      </c>
      <c r="Z3" s="55" t="s">
        <v>34</v>
      </c>
      <c r="AA3" s="26" t="s">
        <v>34</v>
      </c>
      <c r="AB3" s="60"/>
      <c r="AC3" s="96" t="s">
        <v>34</v>
      </c>
      <c r="AD3" s="55" t="s">
        <v>34</v>
      </c>
      <c r="AE3" s="55" t="s">
        <v>34</v>
      </c>
      <c r="AF3" s="55" t="s">
        <v>34</v>
      </c>
      <c r="AG3" s="97" t="s">
        <v>34</v>
      </c>
    </row>
    <row r="4" spans="2:33" ht="13" x14ac:dyDescent="0.3">
      <c r="B4" s="29"/>
      <c r="C4" s="36"/>
      <c r="D4" s="36"/>
      <c r="E4" s="22"/>
      <c r="F4" s="22"/>
      <c r="G4" s="22"/>
      <c r="H4" s="22"/>
      <c r="I4" s="22"/>
      <c r="J4" s="22"/>
      <c r="K4" s="22"/>
      <c r="L4" s="36"/>
      <c r="M4" s="36"/>
      <c r="N4" s="36"/>
      <c r="O4" s="36"/>
      <c r="P4" s="36"/>
      <c r="Q4" s="36"/>
      <c r="R4" s="36"/>
      <c r="S4" s="36"/>
      <c r="T4" s="36"/>
      <c r="U4" s="36"/>
      <c r="V4" s="58"/>
      <c r="W4" s="36"/>
      <c r="X4" s="36"/>
      <c r="Y4" s="36"/>
      <c r="Z4" s="36"/>
      <c r="AA4" s="40"/>
      <c r="AB4" s="60"/>
      <c r="AC4" s="98"/>
      <c r="AD4" s="36"/>
      <c r="AE4" s="36"/>
      <c r="AF4" s="36"/>
      <c r="AG4" s="99"/>
    </row>
    <row r="5" spans="2:33" ht="13" hidden="1" outlineLevel="2" x14ac:dyDescent="0.3">
      <c r="B5" s="31" t="s">
        <v>94</v>
      </c>
      <c r="C5" s="33">
        <v>0</v>
      </c>
      <c r="D5" s="33">
        <v>788</v>
      </c>
      <c r="E5" s="23">
        <v>536</v>
      </c>
      <c r="F5" s="23">
        <v>0</v>
      </c>
      <c r="G5" s="23">
        <v>0</v>
      </c>
      <c r="H5" s="23">
        <v>0</v>
      </c>
      <c r="I5" s="23">
        <v>253</v>
      </c>
      <c r="J5" s="23">
        <v>0</v>
      </c>
      <c r="K5" s="23">
        <f t="shared" ref="K5:K68" si="0">SUM(E5:J5)</f>
        <v>789</v>
      </c>
      <c r="L5" s="33">
        <f t="shared" ref="L5:L36" si="1">O5-D5</f>
        <v>0</v>
      </c>
      <c r="M5" s="33"/>
      <c r="N5" s="33">
        <f>O5-C5-M5</f>
        <v>788</v>
      </c>
      <c r="O5" s="33">
        <v>788</v>
      </c>
      <c r="P5" s="33">
        <v>469</v>
      </c>
      <c r="Q5" s="33">
        <v>0</v>
      </c>
      <c r="R5" s="33">
        <v>469</v>
      </c>
      <c r="S5" s="33">
        <v>436</v>
      </c>
      <c r="T5" s="33">
        <f t="shared" ref="T5:T68" si="2">R5-S5</f>
        <v>33</v>
      </c>
      <c r="U5" s="38">
        <f t="shared" ref="U5:U68" si="3">IFERROR((R5/O5)*100%,"∞")</f>
        <v>0.59517766497461932</v>
      </c>
      <c r="V5" s="59">
        <f t="shared" ref="V5:V68" si="4">O5+W5</f>
        <v>788</v>
      </c>
      <c r="W5" s="33">
        <v>0</v>
      </c>
      <c r="X5" s="33">
        <v>0</v>
      </c>
      <c r="Y5" s="33"/>
      <c r="Z5" s="33"/>
      <c r="AA5" s="42">
        <f>Z5-W5</f>
        <v>0</v>
      </c>
      <c r="AB5" s="60"/>
      <c r="AC5" s="105"/>
      <c r="AD5" s="93"/>
      <c r="AE5" s="33">
        <f t="shared" ref="AE5:AE68" si="5">SUM(AC5:AD5)</f>
        <v>0</v>
      </c>
      <c r="AF5" s="33">
        <f t="shared" ref="AF5:AF68" si="6">R5+AE5</f>
        <v>469</v>
      </c>
      <c r="AG5" s="101">
        <f t="shared" ref="AG5:AG68" si="7">AF5-O5</f>
        <v>-319</v>
      </c>
    </row>
    <row r="6" spans="2:33" ht="13" hidden="1" outlineLevel="2" x14ac:dyDescent="0.3">
      <c r="B6" s="31" t="s">
        <v>95</v>
      </c>
      <c r="C6" s="33">
        <v>489</v>
      </c>
      <c r="D6" s="33">
        <v>459</v>
      </c>
      <c r="E6" s="23">
        <v>0</v>
      </c>
      <c r="F6" s="23">
        <v>0</v>
      </c>
      <c r="G6" s="23">
        <v>-30</v>
      </c>
      <c r="H6" s="23">
        <v>0</v>
      </c>
      <c r="I6" s="23">
        <v>0</v>
      </c>
      <c r="J6" s="23">
        <v>0</v>
      </c>
      <c r="K6" s="23">
        <f t="shared" si="0"/>
        <v>-30</v>
      </c>
      <c r="L6" s="33">
        <f t="shared" si="1"/>
        <v>0</v>
      </c>
      <c r="M6" s="33">
        <v>-30</v>
      </c>
      <c r="N6" s="33">
        <f t="shared" ref="N6:N19" si="8">O6-C6-M6</f>
        <v>0</v>
      </c>
      <c r="O6" s="33">
        <v>459</v>
      </c>
      <c r="P6" s="33">
        <v>195</v>
      </c>
      <c r="Q6" s="33">
        <v>0</v>
      </c>
      <c r="R6" s="33">
        <v>195</v>
      </c>
      <c r="S6" s="33">
        <v>229</v>
      </c>
      <c r="T6" s="33">
        <f t="shared" si="2"/>
        <v>-34</v>
      </c>
      <c r="U6" s="38">
        <f t="shared" si="3"/>
        <v>0.42483660130718953</v>
      </c>
      <c r="V6" s="59">
        <f t="shared" si="4"/>
        <v>459</v>
      </c>
      <c r="W6" s="33">
        <v>0</v>
      </c>
      <c r="X6" s="33">
        <v>0</v>
      </c>
      <c r="Y6" s="33"/>
      <c r="Z6" s="33"/>
      <c r="AA6" s="42">
        <f t="shared" ref="AA6:AA19" si="9">Z6-W6</f>
        <v>0</v>
      </c>
      <c r="AB6" s="60"/>
      <c r="AC6" s="105"/>
      <c r="AD6" s="93"/>
      <c r="AE6" s="33">
        <f t="shared" si="5"/>
        <v>0</v>
      </c>
      <c r="AF6" s="33">
        <f t="shared" si="6"/>
        <v>195</v>
      </c>
      <c r="AG6" s="101">
        <f t="shared" si="7"/>
        <v>-264</v>
      </c>
    </row>
    <row r="7" spans="2:33" ht="13" hidden="1" outlineLevel="2" x14ac:dyDescent="0.3">
      <c r="B7" s="31" t="s">
        <v>96</v>
      </c>
      <c r="C7" s="33">
        <v>4098</v>
      </c>
      <c r="D7" s="33">
        <v>3762</v>
      </c>
      <c r="E7" s="23">
        <v>0</v>
      </c>
      <c r="F7" s="23">
        <v>0</v>
      </c>
      <c r="G7" s="23">
        <v>0</v>
      </c>
      <c r="H7" s="23">
        <v>0</v>
      </c>
      <c r="I7" s="23">
        <v>-337</v>
      </c>
      <c r="J7" s="23">
        <v>0</v>
      </c>
      <c r="K7" s="23">
        <f t="shared" si="0"/>
        <v>-337</v>
      </c>
      <c r="L7" s="33">
        <f t="shared" si="1"/>
        <v>0</v>
      </c>
      <c r="M7" s="33"/>
      <c r="N7" s="33">
        <f t="shared" si="8"/>
        <v>-336</v>
      </c>
      <c r="O7" s="33">
        <v>3762</v>
      </c>
      <c r="P7" s="33">
        <v>1980</v>
      </c>
      <c r="Q7" s="33">
        <v>3</v>
      </c>
      <c r="R7" s="33">
        <v>1984</v>
      </c>
      <c r="S7" s="33">
        <v>1770</v>
      </c>
      <c r="T7" s="33">
        <f t="shared" si="2"/>
        <v>214</v>
      </c>
      <c r="U7" s="38">
        <f t="shared" si="3"/>
        <v>0.52737905369484317</v>
      </c>
      <c r="V7" s="59">
        <f t="shared" si="4"/>
        <v>4218</v>
      </c>
      <c r="W7" s="33">
        <v>456</v>
      </c>
      <c r="X7" s="33">
        <v>456</v>
      </c>
      <c r="Y7" s="33">
        <f>X7-W7</f>
        <v>0</v>
      </c>
      <c r="Z7" s="33">
        <v>456</v>
      </c>
      <c r="AA7" s="42">
        <f t="shared" si="9"/>
        <v>0</v>
      </c>
      <c r="AB7" s="60"/>
      <c r="AC7" s="105"/>
      <c r="AD7" s="93"/>
      <c r="AE7" s="33">
        <f t="shared" si="5"/>
        <v>0</v>
      </c>
      <c r="AF7" s="33">
        <f t="shared" si="6"/>
        <v>1984</v>
      </c>
      <c r="AG7" s="101">
        <f t="shared" si="7"/>
        <v>-1778</v>
      </c>
    </row>
    <row r="8" spans="2:33" ht="13" hidden="1" outlineLevel="2" x14ac:dyDescent="0.3">
      <c r="B8" s="31" t="s">
        <v>97</v>
      </c>
      <c r="C8" s="33">
        <v>2867</v>
      </c>
      <c r="D8" s="33">
        <v>2917</v>
      </c>
      <c r="E8" s="23">
        <v>0</v>
      </c>
      <c r="F8" s="23">
        <v>0</v>
      </c>
      <c r="G8" s="23">
        <v>0</v>
      </c>
      <c r="H8" s="23">
        <v>0</v>
      </c>
      <c r="I8" s="23">
        <v>50</v>
      </c>
      <c r="J8" s="23">
        <v>0</v>
      </c>
      <c r="K8" s="23">
        <f t="shared" si="0"/>
        <v>50</v>
      </c>
      <c r="L8" s="33">
        <f t="shared" si="1"/>
        <v>0</v>
      </c>
      <c r="M8" s="33"/>
      <c r="N8" s="33">
        <f t="shared" si="8"/>
        <v>50</v>
      </c>
      <c r="O8" s="33">
        <v>2917</v>
      </c>
      <c r="P8" s="33">
        <v>1462</v>
      </c>
      <c r="Q8" s="33">
        <v>-8</v>
      </c>
      <c r="R8" s="33">
        <v>1454</v>
      </c>
      <c r="S8" s="33">
        <v>1456</v>
      </c>
      <c r="T8" s="33">
        <f t="shared" si="2"/>
        <v>-2</v>
      </c>
      <c r="U8" s="38">
        <f t="shared" si="3"/>
        <v>0.49845731916352415</v>
      </c>
      <c r="V8" s="59">
        <f t="shared" si="4"/>
        <v>2917</v>
      </c>
      <c r="W8" s="33">
        <v>0</v>
      </c>
      <c r="X8" s="33">
        <v>0</v>
      </c>
      <c r="Y8" s="33">
        <f t="shared" ref="Y8:Y9" si="10">X8-W8</f>
        <v>0</v>
      </c>
      <c r="Z8" s="33"/>
      <c r="AA8" s="42">
        <f t="shared" si="9"/>
        <v>0</v>
      </c>
      <c r="AB8" s="60"/>
      <c r="AC8" s="105"/>
      <c r="AD8" s="93"/>
      <c r="AE8" s="33">
        <f t="shared" si="5"/>
        <v>0</v>
      </c>
      <c r="AF8" s="33">
        <f t="shared" si="6"/>
        <v>1454</v>
      </c>
      <c r="AG8" s="101">
        <f t="shared" si="7"/>
        <v>-1463</v>
      </c>
    </row>
    <row r="9" spans="2:33" ht="13" hidden="1" outlineLevel="2" x14ac:dyDescent="0.3">
      <c r="B9" s="31" t="s">
        <v>98</v>
      </c>
      <c r="C9" s="33">
        <v>1657</v>
      </c>
      <c r="D9" s="33">
        <v>1657</v>
      </c>
      <c r="E9" s="23">
        <v>0</v>
      </c>
      <c r="F9" s="23">
        <v>0</v>
      </c>
      <c r="G9" s="23">
        <v>0</v>
      </c>
      <c r="H9" s="23">
        <v>0</v>
      </c>
      <c r="I9" s="23">
        <v>0</v>
      </c>
      <c r="J9" s="23">
        <v>0</v>
      </c>
      <c r="K9" s="23">
        <f t="shared" si="0"/>
        <v>0</v>
      </c>
      <c r="L9" s="33">
        <f t="shared" si="1"/>
        <v>0</v>
      </c>
      <c r="M9" s="33"/>
      <c r="N9" s="33">
        <f t="shared" si="8"/>
        <v>0</v>
      </c>
      <c r="O9" s="33">
        <v>1657</v>
      </c>
      <c r="P9" s="33">
        <v>770</v>
      </c>
      <c r="Q9" s="33">
        <v>-13</v>
      </c>
      <c r="R9" s="33">
        <v>757</v>
      </c>
      <c r="S9" s="33">
        <v>764</v>
      </c>
      <c r="T9" s="33">
        <f t="shared" si="2"/>
        <v>-7</v>
      </c>
      <c r="U9" s="38">
        <f t="shared" si="3"/>
        <v>0.45684972842486421</v>
      </c>
      <c r="V9" s="59">
        <f t="shared" si="4"/>
        <v>1607</v>
      </c>
      <c r="W9" s="33">
        <v>-50</v>
      </c>
      <c r="X9" s="33">
        <v>-50</v>
      </c>
      <c r="Y9" s="33">
        <f t="shared" si="10"/>
        <v>0</v>
      </c>
      <c r="Z9" s="33">
        <v>-50</v>
      </c>
      <c r="AA9" s="42">
        <f t="shared" si="9"/>
        <v>0</v>
      </c>
      <c r="AB9" s="60"/>
      <c r="AC9" s="105"/>
      <c r="AD9" s="93"/>
      <c r="AE9" s="33">
        <f t="shared" si="5"/>
        <v>0</v>
      </c>
      <c r="AF9" s="33">
        <f t="shared" si="6"/>
        <v>757</v>
      </c>
      <c r="AG9" s="101">
        <f t="shared" si="7"/>
        <v>-900</v>
      </c>
    </row>
    <row r="10" spans="2:33" ht="13" outlineLevel="1" collapsed="1" x14ac:dyDescent="0.3">
      <c r="B10" s="32" t="s">
        <v>100</v>
      </c>
      <c r="C10" s="34">
        <f t="shared" ref="C10:J10" si="11">SUBTOTAL(9,C5:C9)</f>
        <v>9111</v>
      </c>
      <c r="D10" s="34">
        <f t="shared" si="11"/>
        <v>9583</v>
      </c>
      <c r="E10" s="24">
        <f t="shared" si="11"/>
        <v>536</v>
      </c>
      <c r="F10" s="24">
        <f t="shared" si="11"/>
        <v>0</v>
      </c>
      <c r="G10" s="24">
        <f t="shared" si="11"/>
        <v>-30</v>
      </c>
      <c r="H10" s="24">
        <f t="shared" si="11"/>
        <v>0</v>
      </c>
      <c r="I10" s="24">
        <f t="shared" si="11"/>
        <v>-34</v>
      </c>
      <c r="J10" s="24">
        <f t="shared" si="11"/>
        <v>0</v>
      </c>
      <c r="K10" s="24">
        <f>SUM(E10:J10)</f>
        <v>472</v>
      </c>
      <c r="L10" s="34">
        <f t="shared" si="1"/>
        <v>0</v>
      </c>
      <c r="M10" s="34">
        <f t="shared" ref="M10:N10" si="12">SUBTOTAL(9,M5:M9)</f>
        <v>-30</v>
      </c>
      <c r="N10" s="34">
        <f t="shared" si="12"/>
        <v>502</v>
      </c>
      <c r="O10" s="34">
        <f>SUBTOTAL(9,O5:O9)</f>
        <v>9583</v>
      </c>
      <c r="P10" s="34">
        <f>SUBTOTAL(9,P5:P9)</f>
        <v>4876</v>
      </c>
      <c r="Q10" s="34">
        <f>SUBTOTAL(9,Q5:Q9)</f>
        <v>-18</v>
      </c>
      <c r="R10" s="34">
        <f>SUBTOTAL(9,R5:R9)</f>
        <v>4859</v>
      </c>
      <c r="S10" s="34">
        <f>SUBTOTAL(9,S5:S9)</f>
        <v>4655</v>
      </c>
      <c r="T10" s="34">
        <f>R10-S10</f>
        <v>204</v>
      </c>
      <c r="U10" s="38">
        <f>IFERROR((R10/O10)*100%,"∞")</f>
        <v>0.50704372325993952</v>
      </c>
      <c r="V10" s="59">
        <f>O10+W10</f>
        <v>9989</v>
      </c>
      <c r="W10" s="34">
        <f>SUBTOTAL(9,W5:W9)</f>
        <v>406</v>
      </c>
      <c r="X10" s="34">
        <f>SUBTOTAL(9,X5:X9)</f>
        <v>406</v>
      </c>
      <c r="Y10" s="34">
        <f t="shared" ref="Y10" si="13">SUBTOTAL(9,Y5:Y9)</f>
        <v>0</v>
      </c>
      <c r="Z10" s="34">
        <f t="shared" ref="Z10" si="14">SUBTOTAL(9,Z5:Z9)</f>
        <v>406</v>
      </c>
      <c r="AA10" s="34">
        <f t="shared" ref="AA10" si="15">SUBTOTAL(9,AA5:AA9)</f>
        <v>0</v>
      </c>
      <c r="AB10" s="60"/>
      <c r="AC10" s="102">
        <f>SUBTOTAL(9,AC1:AC9)</f>
        <v>0</v>
      </c>
      <c r="AD10" s="34">
        <f>SUBTOTAL(9,AD1:AD9)</f>
        <v>0</v>
      </c>
      <c r="AE10" s="34"/>
      <c r="AF10" s="34"/>
      <c r="AG10" s="103"/>
    </row>
    <row r="11" spans="2:33" ht="13" hidden="1" outlineLevel="2" x14ac:dyDescent="0.3">
      <c r="B11" s="31" t="s">
        <v>46</v>
      </c>
      <c r="C11" s="33">
        <v>565</v>
      </c>
      <c r="D11" s="33">
        <v>528</v>
      </c>
      <c r="E11" s="23">
        <v>-44</v>
      </c>
      <c r="F11" s="23">
        <v>0</v>
      </c>
      <c r="G11" s="23">
        <v>-26</v>
      </c>
      <c r="H11" s="23">
        <v>0</v>
      </c>
      <c r="I11" s="23">
        <v>34</v>
      </c>
      <c r="J11" s="23">
        <v>0</v>
      </c>
      <c r="K11" s="23">
        <f t="shared" si="0"/>
        <v>-36</v>
      </c>
      <c r="L11" s="33">
        <f t="shared" si="1"/>
        <v>0</v>
      </c>
      <c r="M11" s="33">
        <v>-26</v>
      </c>
      <c r="N11" s="33">
        <f t="shared" si="8"/>
        <v>-11</v>
      </c>
      <c r="O11" s="33">
        <v>528</v>
      </c>
      <c r="P11" s="33">
        <v>391</v>
      </c>
      <c r="Q11" s="33">
        <v>121</v>
      </c>
      <c r="R11" s="33">
        <v>512</v>
      </c>
      <c r="S11" s="33">
        <v>327</v>
      </c>
      <c r="T11" s="33">
        <f t="shared" si="2"/>
        <v>185</v>
      </c>
      <c r="U11" s="38">
        <f t="shared" si="3"/>
        <v>0.96969696969696972</v>
      </c>
      <c r="V11" s="59">
        <f t="shared" si="4"/>
        <v>1228</v>
      </c>
      <c r="W11" s="33">
        <v>700</v>
      </c>
      <c r="X11" s="33">
        <v>1100</v>
      </c>
      <c r="Y11" s="33">
        <f>X11-W11</f>
        <v>400</v>
      </c>
      <c r="Z11" s="33">
        <v>1198</v>
      </c>
      <c r="AA11" s="42">
        <f t="shared" si="9"/>
        <v>498</v>
      </c>
      <c r="AB11" s="60"/>
      <c r="AC11" s="105"/>
      <c r="AD11" s="93"/>
      <c r="AE11" s="33">
        <f t="shared" si="5"/>
        <v>0</v>
      </c>
      <c r="AF11" s="33">
        <f t="shared" si="6"/>
        <v>512</v>
      </c>
      <c r="AG11" s="101">
        <f t="shared" si="7"/>
        <v>-16</v>
      </c>
    </row>
    <row r="12" spans="2:33" ht="13" hidden="1" outlineLevel="2" x14ac:dyDescent="0.3">
      <c r="B12" s="31" t="s">
        <v>459</v>
      </c>
      <c r="C12" s="33">
        <v>185</v>
      </c>
      <c r="D12" s="33">
        <v>185</v>
      </c>
      <c r="E12" s="23">
        <v>0</v>
      </c>
      <c r="F12" s="23">
        <v>0</v>
      </c>
      <c r="G12" s="23">
        <v>0</v>
      </c>
      <c r="H12" s="23">
        <v>0</v>
      </c>
      <c r="I12" s="23">
        <v>0</v>
      </c>
      <c r="J12" s="23">
        <v>0</v>
      </c>
      <c r="K12" s="23">
        <f t="shared" si="0"/>
        <v>0</v>
      </c>
      <c r="L12" s="33">
        <f t="shared" si="1"/>
        <v>0</v>
      </c>
      <c r="M12" s="33"/>
      <c r="N12" s="33">
        <f t="shared" si="8"/>
        <v>0</v>
      </c>
      <c r="O12" s="33">
        <v>185</v>
      </c>
      <c r="P12" s="33">
        <v>116</v>
      </c>
      <c r="Q12" s="33">
        <v>-33</v>
      </c>
      <c r="R12" s="33">
        <v>84</v>
      </c>
      <c r="S12" s="33">
        <v>93</v>
      </c>
      <c r="T12" s="33">
        <f t="shared" si="2"/>
        <v>-9</v>
      </c>
      <c r="U12" s="38">
        <f t="shared" si="3"/>
        <v>0.45405405405405408</v>
      </c>
      <c r="V12" s="59">
        <f t="shared" si="4"/>
        <v>171</v>
      </c>
      <c r="W12" s="33">
        <v>-14</v>
      </c>
      <c r="X12" s="33">
        <v>-14</v>
      </c>
      <c r="Y12" s="33">
        <f t="shared" ref="Y12:Y19" si="16">X12-W12</f>
        <v>0</v>
      </c>
      <c r="Z12" s="33">
        <v>-14</v>
      </c>
      <c r="AA12" s="42">
        <f t="shared" si="9"/>
        <v>0</v>
      </c>
      <c r="AB12" s="60"/>
      <c r="AC12" s="105"/>
      <c r="AD12" s="93"/>
      <c r="AE12" s="33">
        <f t="shared" si="5"/>
        <v>0</v>
      </c>
      <c r="AF12" s="33">
        <f t="shared" si="6"/>
        <v>84</v>
      </c>
      <c r="AG12" s="101">
        <f t="shared" si="7"/>
        <v>-101</v>
      </c>
    </row>
    <row r="13" spans="2:33" ht="13" hidden="1" outlineLevel="2" x14ac:dyDescent="0.3">
      <c r="B13" s="31" t="s">
        <v>48</v>
      </c>
      <c r="C13" s="33">
        <v>335</v>
      </c>
      <c r="D13" s="33">
        <v>335</v>
      </c>
      <c r="E13" s="23">
        <v>0</v>
      </c>
      <c r="F13" s="23">
        <v>0</v>
      </c>
      <c r="G13" s="23">
        <v>0</v>
      </c>
      <c r="H13" s="23">
        <v>0</v>
      </c>
      <c r="I13" s="23">
        <v>0</v>
      </c>
      <c r="J13" s="23">
        <v>0</v>
      </c>
      <c r="K13" s="23">
        <f t="shared" si="0"/>
        <v>0</v>
      </c>
      <c r="L13" s="33">
        <f t="shared" si="1"/>
        <v>0</v>
      </c>
      <c r="M13" s="33"/>
      <c r="N13" s="33">
        <f t="shared" si="8"/>
        <v>0</v>
      </c>
      <c r="O13" s="33">
        <v>335</v>
      </c>
      <c r="P13" s="33">
        <v>101</v>
      </c>
      <c r="Q13" s="33">
        <v>-11</v>
      </c>
      <c r="R13" s="33">
        <v>90</v>
      </c>
      <c r="S13" s="33">
        <v>167</v>
      </c>
      <c r="T13" s="33">
        <f t="shared" si="2"/>
        <v>-77</v>
      </c>
      <c r="U13" s="38">
        <f t="shared" si="3"/>
        <v>0.26865671641791045</v>
      </c>
      <c r="V13" s="59">
        <f t="shared" si="4"/>
        <v>335</v>
      </c>
      <c r="W13" s="33">
        <v>0</v>
      </c>
      <c r="X13" s="33">
        <v>0</v>
      </c>
      <c r="Y13" s="33">
        <f t="shared" si="16"/>
        <v>0</v>
      </c>
      <c r="Z13" s="33"/>
      <c r="AA13" s="42">
        <f t="shared" si="9"/>
        <v>0</v>
      </c>
      <c r="AB13" s="60"/>
      <c r="AC13" s="105"/>
      <c r="AD13" s="93"/>
      <c r="AE13" s="33">
        <f t="shared" si="5"/>
        <v>0</v>
      </c>
      <c r="AF13" s="33">
        <f t="shared" si="6"/>
        <v>90</v>
      </c>
      <c r="AG13" s="101">
        <f t="shared" si="7"/>
        <v>-245</v>
      </c>
    </row>
    <row r="14" spans="2:33" ht="13" hidden="1" outlineLevel="2" x14ac:dyDescent="0.3">
      <c r="B14" s="31" t="s">
        <v>49</v>
      </c>
      <c r="C14" s="33">
        <v>329</v>
      </c>
      <c r="D14" s="33">
        <v>313</v>
      </c>
      <c r="E14" s="23">
        <v>-16</v>
      </c>
      <c r="F14" s="23">
        <v>0</v>
      </c>
      <c r="G14" s="23">
        <v>0</v>
      </c>
      <c r="H14" s="23">
        <v>0</v>
      </c>
      <c r="I14" s="23">
        <v>0</v>
      </c>
      <c r="J14" s="23">
        <v>0</v>
      </c>
      <c r="K14" s="23">
        <f t="shared" si="0"/>
        <v>-16</v>
      </c>
      <c r="L14" s="33">
        <f t="shared" si="1"/>
        <v>0</v>
      </c>
      <c r="M14" s="33"/>
      <c r="N14" s="33">
        <f t="shared" si="8"/>
        <v>-16</v>
      </c>
      <c r="O14" s="33">
        <v>313</v>
      </c>
      <c r="P14" s="33">
        <v>419</v>
      </c>
      <c r="Q14" s="33">
        <v>-52</v>
      </c>
      <c r="R14" s="33">
        <v>367</v>
      </c>
      <c r="S14" s="33">
        <v>226</v>
      </c>
      <c r="T14" s="33">
        <f t="shared" si="2"/>
        <v>141</v>
      </c>
      <c r="U14" s="38">
        <f t="shared" si="3"/>
        <v>1.1725239616613419</v>
      </c>
      <c r="V14" s="59">
        <f t="shared" si="4"/>
        <v>623</v>
      </c>
      <c r="W14" s="33">
        <v>310</v>
      </c>
      <c r="X14" s="33">
        <v>280</v>
      </c>
      <c r="Y14" s="33">
        <f t="shared" si="16"/>
        <v>-30</v>
      </c>
      <c r="Z14" s="33">
        <v>280</v>
      </c>
      <c r="AA14" s="42">
        <f t="shared" si="9"/>
        <v>-30</v>
      </c>
      <c r="AB14" s="60"/>
      <c r="AC14" s="105"/>
      <c r="AD14" s="93"/>
      <c r="AE14" s="33">
        <f t="shared" si="5"/>
        <v>0</v>
      </c>
      <c r="AF14" s="33">
        <f t="shared" si="6"/>
        <v>367</v>
      </c>
      <c r="AG14" s="101">
        <f t="shared" si="7"/>
        <v>54</v>
      </c>
    </row>
    <row r="15" spans="2:33" ht="13" hidden="1" outlineLevel="2" x14ac:dyDescent="0.3">
      <c r="B15" s="31" t="s">
        <v>50</v>
      </c>
      <c r="C15" s="33">
        <v>389</v>
      </c>
      <c r="D15" s="33">
        <v>389</v>
      </c>
      <c r="E15" s="23">
        <v>0</v>
      </c>
      <c r="F15" s="23">
        <v>0</v>
      </c>
      <c r="G15" s="23">
        <v>0</v>
      </c>
      <c r="H15" s="23">
        <v>0</v>
      </c>
      <c r="I15" s="23">
        <v>0</v>
      </c>
      <c r="J15" s="23">
        <v>0</v>
      </c>
      <c r="K15" s="23">
        <f t="shared" si="0"/>
        <v>0</v>
      </c>
      <c r="L15" s="33">
        <f t="shared" si="1"/>
        <v>0</v>
      </c>
      <c r="M15" s="33"/>
      <c r="N15" s="33">
        <f t="shared" si="8"/>
        <v>0</v>
      </c>
      <c r="O15" s="33">
        <v>389</v>
      </c>
      <c r="P15" s="33">
        <v>176</v>
      </c>
      <c r="Q15" s="33">
        <v>-60</v>
      </c>
      <c r="R15" s="33">
        <v>116</v>
      </c>
      <c r="S15" s="33">
        <v>242</v>
      </c>
      <c r="T15" s="33">
        <f t="shared" si="2"/>
        <v>-126</v>
      </c>
      <c r="U15" s="38">
        <f t="shared" si="3"/>
        <v>0.29820051413881749</v>
      </c>
      <c r="V15" s="59">
        <f t="shared" si="4"/>
        <v>354</v>
      </c>
      <c r="W15" s="33">
        <v>-35</v>
      </c>
      <c r="X15" s="33">
        <v>-35</v>
      </c>
      <c r="Y15" s="33">
        <f t="shared" si="16"/>
        <v>0</v>
      </c>
      <c r="Z15" s="33">
        <v>-35</v>
      </c>
      <c r="AA15" s="42">
        <f t="shared" si="9"/>
        <v>0</v>
      </c>
      <c r="AB15" s="60"/>
      <c r="AC15" s="105"/>
      <c r="AD15" s="93"/>
      <c r="AE15" s="33">
        <f t="shared" si="5"/>
        <v>0</v>
      </c>
      <c r="AF15" s="33">
        <f t="shared" si="6"/>
        <v>116</v>
      </c>
      <c r="AG15" s="101">
        <f t="shared" si="7"/>
        <v>-273</v>
      </c>
    </row>
    <row r="16" spans="2:33" ht="13" hidden="1" outlineLevel="2" x14ac:dyDescent="0.3">
      <c r="B16" s="31" t="s">
        <v>51</v>
      </c>
      <c r="C16" s="33">
        <v>728</v>
      </c>
      <c r="D16" s="33">
        <v>706</v>
      </c>
      <c r="E16" s="23">
        <v>-21</v>
      </c>
      <c r="F16" s="23">
        <v>0</v>
      </c>
      <c r="G16" s="23">
        <v>0</v>
      </c>
      <c r="H16" s="23">
        <v>0</v>
      </c>
      <c r="I16" s="23">
        <v>0</v>
      </c>
      <c r="J16" s="23">
        <v>0</v>
      </c>
      <c r="K16" s="23">
        <f t="shared" si="0"/>
        <v>-21</v>
      </c>
      <c r="L16" s="33">
        <f t="shared" si="1"/>
        <v>0</v>
      </c>
      <c r="M16" s="33"/>
      <c r="N16" s="33">
        <f t="shared" si="8"/>
        <v>-22</v>
      </c>
      <c r="O16" s="33">
        <v>706</v>
      </c>
      <c r="P16" s="33">
        <v>885</v>
      </c>
      <c r="Q16" s="33">
        <v>-190</v>
      </c>
      <c r="R16" s="33">
        <v>695</v>
      </c>
      <c r="S16" s="33">
        <v>552</v>
      </c>
      <c r="T16" s="33">
        <f t="shared" si="2"/>
        <v>143</v>
      </c>
      <c r="U16" s="38">
        <f t="shared" si="3"/>
        <v>0.98441926345609065</v>
      </c>
      <c r="V16" s="59">
        <f t="shared" si="4"/>
        <v>1314</v>
      </c>
      <c r="W16" s="33">
        <v>608</v>
      </c>
      <c r="X16" s="33">
        <v>562</v>
      </c>
      <c r="Y16" s="33">
        <f t="shared" si="16"/>
        <v>-46</v>
      </c>
      <c r="Z16" s="33">
        <v>562</v>
      </c>
      <c r="AA16" s="42">
        <f t="shared" si="9"/>
        <v>-46</v>
      </c>
      <c r="AB16" s="60"/>
      <c r="AC16" s="105"/>
      <c r="AD16" s="93"/>
      <c r="AE16" s="33">
        <f t="shared" si="5"/>
        <v>0</v>
      </c>
      <c r="AF16" s="33">
        <f t="shared" si="6"/>
        <v>695</v>
      </c>
      <c r="AG16" s="101">
        <f t="shared" si="7"/>
        <v>-11</v>
      </c>
    </row>
    <row r="17" spans="2:33" ht="13" hidden="1" outlineLevel="2" x14ac:dyDescent="0.3">
      <c r="B17" s="31" t="s">
        <v>52</v>
      </c>
      <c r="C17" s="33">
        <v>486</v>
      </c>
      <c r="D17" s="33">
        <v>486</v>
      </c>
      <c r="E17" s="23">
        <v>0</v>
      </c>
      <c r="F17" s="23">
        <v>12</v>
      </c>
      <c r="G17" s="23">
        <v>0</v>
      </c>
      <c r="H17" s="23">
        <v>0</v>
      </c>
      <c r="I17" s="23">
        <v>0</v>
      </c>
      <c r="J17" s="23">
        <v>0</v>
      </c>
      <c r="K17" s="23">
        <f t="shared" si="0"/>
        <v>12</v>
      </c>
      <c r="L17" s="33">
        <f t="shared" si="1"/>
        <v>12</v>
      </c>
      <c r="M17" s="33"/>
      <c r="N17" s="33">
        <f t="shared" si="8"/>
        <v>12</v>
      </c>
      <c r="O17" s="33">
        <v>498</v>
      </c>
      <c r="P17" s="33">
        <v>351</v>
      </c>
      <c r="Q17" s="33">
        <v>-108</v>
      </c>
      <c r="R17" s="33">
        <v>244</v>
      </c>
      <c r="S17" s="33">
        <v>241</v>
      </c>
      <c r="T17" s="33">
        <f t="shared" si="2"/>
        <v>3</v>
      </c>
      <c r="U17" s="38">
        <f t="shared" si="3"/>
        <v>0.48995983935742971</v>
      </c>
      <c r="V17" s="59">
        <f t="shared" si="4"/>
        <v>484</v>
      </c>
      <c r="W17" s="33">
        <v>-14</v>
      </c>
      <c r="X17" s="33">
        <v>29</v>
      </c>
      <c r="Y17" s="33">
        <f t="shared" si="16"/>
        <v>43</v>
      </c>
      <c r="Z17" s="33">
        <v>29</v>
      </c>
      <c r="AA17" s="42">
        <f t="shared" si="9"/>
        <v>43</v>
      </c>
      <c r="AB17" s="60"/>
      <c r="AC17" s="105"/>
      <c r="AD17" s="93"/>
      <c r="AE17" s="33">
        <f t="shared" si="5"/>
        <v>0</v>
      </c>
      <c r="AF17" s="33">
        <f t="shared" si="6"/>
        <v>244</v>
      </c>
      <c r="AG17" s="101">
        <f t="shared" si="7"/>
        <v>-254</v>
      </c>
    </row>
    <row r="18" spans="2:33" ht="13" hidden="1" outlineLevel="2" x14ac:dyDescent="0.3">
      <c r="B18" s="31" t="s">
        <v>53</v>
      </c>
      <c r="C18" s="33">
        <v>1988</v>
      </c>
      <c r="D18" s="33">
        <v>1546</v>
      </c>
      <c r="E18" s="23">
        <v>0</v>
      </c>
      <c r="F18" s="23">
        <v>0</v>
      </c>
      <c r="G18" s="23">
        <v>0</v>
      </c>
      <c r="H18" s="23">
        <v>0</v>
      </c>
      <c r="I18" s="23">
        <v>-442</v>
      </c>
      <c r="J18" s="23">
        <v>0</v>
      </c>
      <c r="K18" s="23">
        <f t="shared" si="0"/>
        <v>-442</v>
      </c>
      <c r="L18" s="33">
        <f t="shared" si="1"/>
        <v>0</v>
      </c>
      <c r="M18" s="33"/>
      <c r="N18" s="33">
        <f t="shared" si="8"/>
        <v>-442</v>
      </c>
      <c r="O18" s="33">
        <v>1546</v>
      </c>
      <c r="P18" s="33">
        <v>893</v>
      </c>
      <c r="Q18" s="33">
        <v>-56</v>
      </c>
      <c r="R18" s="33">
        <v>836</v>
      </c>
      <c r="S18" s="33">
        <v>901</v>
      </c>
      <c r="T18" s="33">
        <f t="shared" si="2"/>
        <v>-65</v>
      </c>
      <c r="U18" s="38">
        <f t="shared" si="3"/>
        <v>0.54075032341526519</v>
      </c>
      <c r="V18" s="59">
        <f t="shared" si="4"/>
        <v>1516</v>
      </c>
      <c r="W18" s="33">
        <v>-30</v>
      </c>
      <c r="X18" s="33">
        <v>-55</v>
      </c>
      <c r="Y18" s="33">
        <f t="shared" si="16"/>
        <v>-25</v>
      </c>
      <c r="Z18" s="33">
        <v>-55</v>
      </c>
      <c r="AA18" s="42">
        <f t="shared" si="9"/>
        <v>-25</v>
      </c>
      <c r="AB18" s="60"/>
      <c r="AC18" s="105"/>
      <c r="AD18" s="93"/>
      <c r="AE18" s="33">
        <f t="shared" si="5"/>
        <v>0</v>
      </c>
      <c r="AF18" s="33">
        <f t="shared" si="6"/>
        <v>836</v>
      </c>
      <c r="AG18" s="101">
        <f t="shared" si="7"/>
        <v>-710</v>
      </c>
    </row>
    <row r="19" spans="2:33" ht="13" hidden="1" outlineLevel="2" x14ac:dyDescent="0.3">
      <c r="B19" s="31" t="s">
        <v>54</v>
      </c>
      <c r="C19" s="33">
        <v>0</v>
      </c>
      <c r="D19" s="33">
        <v>0</v>
      </c>
      <c r="E19" s="23">
        <v>0</v>
      </c>
      <c r="F19" s="23">
        <v>0</v>
      </c>
      <c r="G19" s="23">
        <v>0</v>
      </c>
      <c r="H19" s="23">
        <v>0</v>
      </c>
      <c r="I19" s="23">
        <v>0</v>
      </c>
      <c r="J19" s="23">
        <v>0</v>
      </c>
      <c r="K19" s="23">
        <f t="shared" si="0"/>
        <v>0</v>
      </c>
      <c r="L19" s="33">
        <f t="shared" si="1"/>
        <v>0</v>
      </c>
      <c r="M19" s="33"/>
      <c r="N19" s="33">
        <f t="shared" si="8"/>
        <v>0</v>
      </c>
      <c r="O19" s="33">
        <v>0</v>
      </c>
      <c r="P19" s="33">
        <v>39</v>
      </c>
      <c r="Q19" s="33">
        <v>-131</v>
      </c>
      <c r="R19" s="33">
        <v>-92</v>
      </c>
      <c r="S19" s="33">
        <v>0</v>
      </c>
      <c r="T19" s="33">
        <f t="shared" si="2"/>
        <v>-92</v>
      </c>
      <c r="U19" s="38" t="str">
        <f t="shared" si="3"/>
        <v>∞</v>
      </c>
      <c r="V19" s="59">
        <f t="shared" si="4"/>
        <v>240</v>
      </c>
      <c r="W19" s="33">
        <v>240</v>
      </c>
      <c r="X19" s="33">
        <v>240</v>
      </c>
      <c r="Y19" s="33">
        <f t="shared" si="16"/>
        <v>0</v>
      </c>
      <c r="Z19" s="33">
        <v>240</v>
      </c>
      <c r="AA19" s="42">
        <f t="shared" si="9"/>
        <v>0</v>
      </c>
      <c r="AB19" s="60"/>
      <c r="AC19" s="105"/>
      <c r="AD19" s="93"/>
      <c r="AE19" s="33">
        <f t="shared" si="5"/>
        <v>0</v>
      </c>
      <c r="AF19" s="33">
        <f t="shared" si="6"/>
        <v>-92</v>
      </c>
      <c r="AG19" s="101">
        <f t="shared" si="7"/>
        <v>-92</v>
      </c>
    </row>
    <row r="20" spans="2:33" ht="13" outlineLevel="1" collapsed="1" x14ac:dyDescent="0.3">
      <c r="B20" s="32" t="s">
        <v>55</v>
      </c>
      <c r="C20" s="34">
        <f t="shared" ref="C20:J20" si="17">SUBTOTAL(9,C11:C19)</f>
        <v>5005</v>
      </c>
      <c r="D20" s="34">
        <f t="shared" si="17"/>
        <v>4488</v>
      </c>
      <c r="E20" s="24">
        <f t="shared" si="17"/>
        <v>-81</v>
      </c>
      <c r="F20" s="24">
        <f t="shared" si="17"/>
        <v>12</v>
      </c>
      <c r="G20" s="24">
        <f t="shared" si="17"/>
        <v>-26</v>
      </c>
      <c r="H20" s="24">
        <f t="shared" si="17"/>
        <v>0</v>
      </c>
      <c r="I20" s="24">
        <f t="shared" si="17"/>
        <v>-408</v>
      </c>
      <c r="J20" s="24">
        <f t="shared" si="17"/>
        <v>0</v>
      </c>
      <c r="K20" s="24">
        <f>SUM(E20:J20)</f>
        <v>-503</v>
      </c>
      <c r="L20" s="34">
        <f t="shared" si="1"/>
        <v>12</v>
      </c>
      <c r="M20" s="34">
        <f t="shared" ref="M20:N20" si="18">SUBTOTAL(9,M11:M19)</f>
        <v>-26</v>
      </c>
      <c r="N20" s="34">
        <f t="shared" si="18"/>
        <v>-479</v>
      </c>
      <c r="O20" s="34">
        <f>SUBTOTAL(9,O11:O19)</f>
        <v>4500</v>
      </c>
      <c r="P20" s="34">
        <f>SUBTOTAL(9,P11:P19)</f>
        <v>3371</v>
      </c>
      <c r="Q20" s="34">
        <f>SUBTOTAL(9,Q11:Q19)</f>
        <v>-520</v>
      </c>
      <c r="R20" s="34">
        <f>SUBTOTAL(9,R11:R19)</f>
        <v>2852</v>
      </c>
      <c r="S20" s="34">
        <f>SUBTOTAL(9,S11:S19)</f>
        <v>2749</v>
      </c>
      <c r="T20" s="34">
        <f>R20-S20</f>
        <v>103</v>
      </c>
      <c r="U20" s="38">
        <f>IFERROR((R20/O20)*100%,"∞")</f>
        <v>0.63377777777777777</v>
      </c>
      <c r="V20" s="59">
        <f>O20+W20</f>
        <v>6265</v>
      </c>
      <c r="W20" s="34">
        <f>SUBTOTAL(9,W11:W19)</f>
        <v>1765</v>
      </c>
      <c r="X20" s="34">
        <f>SUBTOTAL(9,X11:X19)</f>
        <v>2107</v>
      </c>
      <c r="Y20" s="34">
        <f t="shared" ref="Y20:AA20" si="19">SUBTOTAL(9,Y11:Y19)</f>
        <v>342</v>
      </c>
      <c r="Z20" s="34">
        <f t="shared" si="19"/>
        <v>2205</v>
      </c>
      <c r="AA20" s="34">
        <f t="shared" si="19"/>
        <v>440</v>
      </c>
      <c r="AB20" s="60"/>
      <c r="AC20" s="102">
        <f>SUBTOTAL(9,AC1:AC19)</f>
        <v>0</v>
      </c>
      <c r="AD20" s="34">
        <f>SUBTOTAL(9,AD1:AD19)</f>
        <v>0</v>
      </c>
      <c r="AE20" s="34"/>
      <c r="AF20" s="34"/>
      <c r="AG20" s="103"/>
    </row>
    <row r="21" spans="2:33" ht="13.5" customHeight="1" thickBot="1" x14ac:dyDescent="0.35">
      <c r="B21" s="53" t="s">
        <v>460</v>
      </c>
      <c r="C21" s="35">
        <f t="shared" ref="C21:J21" si="20">SUBTOTAL(9,C5:C20)</f>
        <v>14116</v>
      </c>
      <c r="D21" s="35">
        <f t="shared" si="20"/>
        <v>14071</v>
      </c>
      <c r="E21" s="25">
        <f t="shared" si="20"/>
        <v>455</v>
      </c>
      <c r="F21" s="25">
        <f t="shared" si="20"/>
        <v>12</v>
      </c>
      <c r="G21" s="25">
        <f t="shared" si="20"/>
        <v>-56</v>
      </c>
      <c r="H21" s="25">
        <f t="shared" si="20"/>
        <v>0</v>
      </c>
      <c r="I21" s="25">
        <f t="shared" si="20"/>
        <v>-442</v>
      </c>
      <c r="J21" s="25">
        <f t="shared" si="20"/>
        <v>0</v>
      </c>
      <c r="K21" s="25">
        <f>SUM(E21:J21)</f>
        <v>-31</v>
      </c>
      <c r="L21" s="35">
        <f t="shared" si="1"/>
        <v>12</v>
      </c>
      <c r="M21" s="35">
        <f t="shared" ref="M21:N21" si="21">SUBTOTAL(9,M5:M20)</f>
        <v>-56</v>
      </c>
      <c r="N21" s="35">
        <f t="shared" si="21"/>
        <v>23</v>
      </c>
      <c r="O21" s="35">
        <f>SUBTOTAL(9,O5:O20)</f>
        <v>14083</v>
      </c>
      <c r="P21" s="35">
        <f>SUBTOTAL(9,P5:P20)</f>
        <v>8247</v>
      </c>
      <c r="Q21" s="35">
        <f>SUBTOTAL(9,Q5:Q20)</f>
        <v>-538</v>
      </c>
      <c r="R21" s="35">
        <f>SUBTOTAL(9,R5:R20)</f>
        <v>7711</v>
      </c>
      <c r="S21" s="35">
        <f>SUBTOTAL(9,S5:S20)</f>
        <v>7404</v>
      </c>
      <c r="T21" s="35">
        <f>R21-S21</f>
        <v>307</v>
      </c>
      <c r="U21" s="39">
        <f>IFERROR((R21/O21)*100%,"∞")</f>
        <v>0.54753958673578074</v>
      </c>
      <c r="V21" s="54">
        <f>O21+W21</f>
        <v>16254</v>
      </c>
      <c r="W21" s="35">
        <f>SUBTOTAL(9,W5:W20)</f>
        <v>2171</v>
      </c>
      <c r="X21" s="35">
        <f>SUBTOTAL(9,X5:X20)</f>
        <v>2513</v>
      </c>
      <c r="Y21" s="35">
        <f t="shared" ref="Y21:AA21" si="22">SUBTOTAL(9,Y5:Y20)</f>
        <v>342</v>
      </c>
      <c r="Z21" s="35">
        <f t="shared" si="22"/>
        <v>2611</v>
      </c>
      <c r="AA21" s="35">
        <f t="shared" si="22"/>
        <v>440</v>
      </c>
      <c r="AB21" s="60"/>
      <c r="AC21" s="104">
        <f>SUBTOTAL(9,AC1:AC20)</f>
        <v>0</v>
      </c>
      <c r="AD21" s="104">
        <f>SUBTOTAL(9,AD1:AD20)</f>
        <v>0</v>
      </c>
      <c r="AE21" s="35">
        <f>SUM(AC21:AD21)</f>
        <v>0</v>
      </c>
      <c r="AF21" s="35">
        <f>R21+AE21</f>
        <v>7711</v>
      </c>
      <c r="AG21" s="43">
        <f>AF21-O21</f>
        <v>-6372</v>
      </c>
    </row>
    <row r="22" spans="2:33" ht="13.5" hidden="1" outlineLevel="2" thickTop="1" x14ac:dyDescent="0.3">
      <c r="B22" s="31" t="s">
        <v>62</v>
      </c>
      <c r="C22" s="33">
        <v>466</v>
      </c>
      <c r="D22" s="33">
        <v>436</v>
      </c>
      <c r="E22" s="23">
        <v>0</v>
      </c>
      <c r="F22" s="23">
        <v>0</v>
      </c>
      <c r="G22" s="23">
        <v>-30</v>
      </c>
      <c r="H22" s="23">
        <v>0</v>
      </c>
      <c r="I22" s="23">
        <v>0</v>
      </c>
      <c r="J22" s="23">
        <v>0</v>
      </c>
      <c r="K22" s="23">
        <f t="shared" si="0"/>
        <v>-30</v>
      </c>
      <c r="L22" s="33">
        <f t="shared" si="1"/>
        <v>0</v>
      </c>
      <c r="M22" s="33">
        <v>-30</v>
      </c>
      <c r="N22" s="33">
        <f>O22-C22-M22</f>
        <v>0</v>
      </c>
      <c r="O22" s="33">
        <v>436</v>
      </c>
      <c r="P22" s="33">
        <v>370</v>
      </c>
      <c r="Q22" s="33">
        <v>-176</v>
      </c>
      <c r="R22" s="33">
        <v>194</v>
      </c>
      <c r="S22" s="33">
        <v>199</v>
      </c>
      <c r="T22" s="33">
        <f t="shared" si="2"/>
        <v>-5</v>
      </c>
      <c r="U22" s="38">
        <f t="shared" si="3"/>
        <v>0.44495412844036697</v>
      </c>
      <c r="V22" s="59">
        <f t="shared" si="4"/>
        <v>436</v>
      </c>
      <c r="W22" s="33">
        <v>0</v>
      </c>
      <c r="X22" s="33">
        <v>0</v>
      </c>
      <c r="Y22" s="33"/>
      <c r="Z22" s="33"/>
      <c r="AA22" s="42">
        <f>Z22-W22</f>
        <v>0</v>
      </c>
      <c r="AB22" s="60"/>
      <c r="AC22" s="105"/>
      <c r="AD22" s="93"/>
      <c r="AE22" s="33">
        <f t="shared" si="5"/>
        <v>0</v>
      </c>
      <c r="AF22" s="33">
        <f t="shared" si="6"/>
        <v>194</v>
      </c>
      <c r="AG22" s="101">
        <f t="shared" si="7"/>
        <v>-242</v>
      </c>
    </row>
    <row r="23" spans="2:33" ht="13" hidden="1" outlineLevel="2" x14ac:dyDescent="0.3">
      <c r="B23" s="31" t="s">
        <v>936</v>
      </c>
      <c r="C23" s="33">
        <v>-11434</v>
      </c>
      <c r="D23" s="33">
        <v>-11491</v>
      </c>
      <c r="E23" s="23">
        <v>-7</v>
      </c>
      <c r="F23" s="23">
        <v>0</v>
      </c>
      <c r="G23" s="23">
        <v>-50</v>
      </c>
      <c r="H23" s="23">
        <v>0</v>
      </c>
      <c r="I23" s="23">
        <v>0</v>
      </c>
      <c r="J23" s="23">
        <v>0</v>
      </c>
      <c r="K23" s="23">
        <f t="shared" si="0"/>
        <v>-57</v>
      </c>
      <c r="L23" s="33">
        <f t="shared" si="1"/>
        <v>0</v>
      </c>
      <c r="M23" s="33">
        <v>-50</v>
      </c>
      <c r="N23" s="33">
        <f t="shared" ref="N23:N26" si="23">O23-C23-M23</f>
        <v>-7</v>
      </c>
      <c r="O23" s="33">
        <v>-11491</v>
      </c>
      <c r="P23" s="33">
        <v>487</v>
      </c>
      <c r="Q23" s="33">
        <v>-8509</v>
      </c>
      <c r="R23" s="33">
        <v>-8022</v>
      </c>
      <c r="S23" s="33">
        <v>-8001</v>
      </c>
      <c r="T23" s="33">
        <f t="shared" si="2"/>
        <v>-21</v>
      </c>
      <c r="U23" s="38">
        <f t="shared" si="3"/>
        <v>0.6981115655730572</v>
      </c>
      <c r="V23" s="59">
        <f t="shared" si="4"/>
        <v>-7291</v>
      </c>
      <c r="W23" s="33">
        <v>4200</v>
      </c>
      <c r="X23" s="33">
        <v>4000</v>
      </c>
      <c r="Y23" s="33">
        <f>X23-W23</f>
        <v>-200</v>
      </c>
      <c r="Z23" s="33">
        <v>3000</v>
      </c>
      <c r="AA23" s="42">
        <f t="shared" ref="AA23:AA31" si="24">Z23-W23</f>
        <v>-1200</v>
      </c>
      <c r="AB23" s="60"/>
      <c r="AC23" s="105"/>
      <c r="AD23" s="93"/>
      <c r="AE23" s="33">
        <f t="shared" si="5"/>
        <v>0</v>
      </c>
      <c r="AF23" s="33">
        <f t="shared" si="6"/>
        <v>-8022</v>
      </c>
      <c r="AG23" s="101">
        <f t="shared" si="7"/>
        <v>3469</v>
      </c>
    </row>
    <row r="24" spans="2:33" ht="13" hidden="1" outlineLevel="2" x14ac:dyDescent="0.3">
      <c r="B24" s="31" t="s">
        <v>937</v>
      </c>
      <c r="C24" s="33">
        <v>876</v>
      </c>
      <c r="D24" s="33">
        <v>696</v>
      </c>
      <c r="E24" s="23">
        <v>0</v>
      </c>
      <c r="F24" s="23">
        <v>0</v>
      </c>
      <c r="G24" s="23">
        <v>-180</v>
      </c>
      <c r="H24" s="23">
        <v>0</v>
      </c>
      <c r="I24" s="23">
        <v>0</v>
      </c>
      <c r="J24" s="23">
        <v>-32</v>
      </c>
      <c r="K24" s="23">
        <f t="shared" si="0"/>
        <v>-212</v>
      </c>
      <c r="L24" s="33">
        <f t="shared" si="1"/>
        <v>-32</v>
      </c>
      <c r="M24" s="33">
        <v>-180</v>
      </c>
      <c r="N24" s="33">
        <f t="shared" si="23"/>
        <v>-32</v>
      </c>
      <c r="O24" s="33">
        <v>664</v>
      </c>
      <c r="P24" s="33">
        <v>437</v>
      </c>
      <c r="Q24" s="33">
        <v>-12</v>
      </c>
      <c r="R24" s="33">
        <v>425</v>
      </c>
      <c r="S24" s="33">
        <v>332</v>
      </c>
      <c r="T24" s="33">
        <f t="shared" si="2"/>
        <v>93</v>
      </c>
      <c r="U24" s="38">
        <f t="shared" si="3"/>
        <v>0.64006024096385539</v>
      </c>
      <c r="V24" s="59">
        <f t="shared" si="4"/>
        <v>664</v>
      </c>
      <c r="W24" s="33">
        <v>0</v>
      </c>
      <c r="X24" s="33">
        <v>0</v>
      </c>
      <c r="Y24" s="33">
        <f t="shared" ref="Y24:Y31" si="25">X24-W24</f>
        <v>0</v>
      </c>
      <c r="Z24" s="33"/>
      <c r="AA24" s="42">
        <f t="shared" si="24"/>
        <v>0</v>
      </c>
      <c r="AB24" s="60"/>
      <c r="AC24" s="105"/>
      <c r="AD24" s="93"/>
      <c r="AE24" s="33">
        <f t="shared" si="5"/>
        <v>0</v>
      </c>
      <c r="AF24" s="33">
        <f t="shared" si="6"/>
        <v>425</v>
      </c>
      <c r="AG24" s="101">
        <f t="shared" si="7"/>
        <v>-239</v>
      </c>
    </row>
    <row r="25" spans="2:33" ht="13" hidden="1" outlineLevel="2" x14ac:dyDescent="0.3">
      <c r="B25" s="31" t="s">
        <v>63</v>
      </c>
      <c r="C25" s="33">
        <v>355</v>
      </c>
      <c r="D25" s="33">
        <v>355</v>
      </c>
      <c r="E25" s="23">
        <v>0</v>
      </c>
      <c r="F25" s="23">
        <v>0</v>
      </c>
      <c r="G25" s="23">
        <v>0</v>
      </c>
      <c r="H25" s="23">
        <v>0</v>
      </c>
      <c r="I25" s="23">
        <v>0</v>
      </c>
      <c r="J25" s="23">
        <v>0</v>
      </c>
      <c r="K25" s="23">
        <f t="shared" si="0"/>
        <v>0</v>
      </c>
      <c r="L25" s="33">
        <f t="shared" si="1"/>
        <v>0</v>
      </c>
      <c r="M25" s="33"/>
      <c r="N25" s="33">
        <f t="shared" si="23"/>
        <v>0</v>
      </c>
      <c r="O25" s="33">
        <v>355</v>
      </c>
      <c r="P25" s="33">
        <v>365</v>
      </c>
      <c r="Q25" s="33">
        <v>-5</v>
      </c>
      <c r="R25" s="33">
        <v>360</v>
      </c>
      <c r="S25" s="33">
        <v>178</v>
      </c>
      <c r="T25" s="33">
        <f t="shared" si="2"/>
        <v>182</v>
      </c>
      <c r="U25" s="38">
        <f t="shared" si="3"/>
        <v>1.0140845070422535</v>
      </c>
      <c r="V25" s="59">
        <f t="shared" si="4"/>
        <v>355</v>
      </c>
      <c r="W25" s="33">
        <v>0</v>
      </c>
      <c r="X25" s="33">
        <v>0</v>
      </c>
      <c r="Y25" s="33">
        <f t="shared" si="25"/>
        <v>0</v>
      </c>
      <c r="Z25" s="33"/>
      <c r="AA25" s="42">
        <f t="shared" si="24"/>
        <v>0</v>
      </c>
      <c r="AB25" s="60"/>
      <c r="AC25" s="105"/>
      <c r="AD25" s="93"/>
      <c r="AE25" s="33">
        <f t="shared" si="5"/>
        <v>0</v>
      </c>
      <c r="AF25" s="33">
        <f t="shared" si="6"/>
        <v>360</v>
      </c>
      <c r="AG25" s="101">
        <f t="shared" si="7"/>
        <v>5</v>
      </c>
    </row>
    <row r="26" spans="2:33" ht="13" hidden="1" outlineLevel="2" x14ac:dyDescent="0.3">
      <c r="B26" s="31" t="s">
        <v>938</v>
      </c>
      <c r="C26" s="33">
        <v>325</v>
      </c>
      <c r="D26" s="33">
        <v>325</v>
      </c>
      <c r="E26" s="23">
        <v>0</v>
      </c>
      <c r="F26" s="23">
        <v>0</v>
      </c>
      <c r="G26" s="23">
        <v>0</v>
      </c>
      <c r="H26" s="23">
        <v>0</v>
      </c>
      <c r="I26" s="23">
        <v>0</v>
      </c>
      <c r="J26" s="23">
        <v>0</v>
      </c>
      <c r="K26" s="23">
        <f t="shared" si="0"/>
        <v>0</v>
      </c>
      <c r="L26" s="33">
        <f t="shared" si="1"/>
        <v>0</v>
      </c>
      <c r="M26" s="33"/>
      <c r="N26" s="33">
        <f t="shared" si="23"/>
        <v>0</v>
      </c>
      <c r="O26" s="33">
        <v>325</v>
      </c>
      <c r="P26" s="33">
        <v>103</v>
      </c>
      <c r="Q26" s="33">
        <v>-33</v>
      </c>
      <c r="R26" s="33">
        <v>70</v>
      </c>
      <c r="S26" s="33">
        <v>124</v>
      </c>
      <c r="T26" s="33">
        <f t="shared" si="2"/>
        <v>-54</v>
      </c>
      <c r="U26" s="38">
        <f t="shared" si="3"/>
        <v>0.2153846153846154</v>
      </c>
      <c r="V26" s="59">
        <f t="shared" si="4"/>
        <v>325</v>
      </c>
      <c r="W26" s="33">
        <v>0</v>
      </c>
      <c r="X26" s="33">
        <v>0</v>
      </c>
      <c r="Y26" s="33">
        <f t="shared" si="25"/>
        <v>0</v>
      </c>
      <c r="Z26" s="33"/>
      <c r="AA26" s="42">
        <f t="shared" si="24"/>
        <v>0</v>
      </c>
      <c r="AB26" s="60"/>
      <c r="AC26" s="105"/>
      <c r="AD26" s="93"/>
      <c r="AE26" s="33">
        <f t="shared" si="5"/>
        <v>0</v>
      </c>
      <c r="AF26" s="33">
        <f t="shared" si="6"/>
        <v>70</v>
      </c>
      <c r="AG26" s="101">
        <f t="shared" si="7"/>
        <v>-255</v>
      </c>
    </row>
    <row r="27" spans="2:33" ht="13.5" outlineLevel="1" collapsed="1" thickTop="1" x14ac:dyDescent="0.3">
      <c r="B27" s="32" t="s">
        <v>65</v>
      </c>
      <c r="C27" s="34">
        <f t="shared" ref="C27:J27" si="26">SUBTOTAL(9,C22:C26)</f>
        <v>-9412</v>
      </c>
      <c r="D27" s="34">
        <f t="shared" si="26"/>
        <v>-9679</v>
      </c>
      <c r="E27" s="24">
        <f t="shared" si="26"/>
        <v>-7</v>
      </c>
      <c r="F27" s="24">
        <f t="shared" si="26"/>
        <v>0</v>
      </c>
      <c r="G27" s="24">
        <f t="shared" si="26"/>
        <v>-260</v>
      </c>
      <c r="H27" s="24">
        <f t="shared" si="26"/>
        <v>0</v>
      </c>
      <c r="I27" s="24">
        <f t="shared" si="26"/>
        <v>0</v>
      </c>
      <c r="J27" s="24">
        <f t="shared" si="26"/>
        <v>-32</v>
      </c>
      <c r="K27" s="24">
        <f>SUM(E27:J27)</f>
        <v>-299</v>
      </c>
      <c r="L27" s="34">
        <f t="shared" si="1"/>
        <v>-32</v>
      </c>
      <c r="M27" s="34">
        <f t="shared" ref="M27:N27" si="27">SUBTOTAL(9,M22:M26)</f>
        <v>-260</v>
      </c>
      <c r="N27" s="34">
        <f t="shared" si="27"/>
        <v>-39</v>
      </c>
      <c r="O27" s="34">
        <f>SUBTOTAL(9,O22:O26)</f>
        <v>-9711</v>
      </c>
      <c r="P27" s="34">
        <f>SUBTOTAL(9,P22:P26)</f>
        <v>1762</v>
      </c>
      <c r="Q27" s="34">
        <f>SUBTOTAL(9,Q22:Q26)</f>
        <v>-8735</v>
      </c>
      <c r="R27" s="34">
        <f>SUBTOTAL(9,R22:R26)</f>
        <v>-6973</v>
      </c>
      <c r="S27" s="34">
        <f>SUBTOTAL(9,S22:S26)</f>
        <v>-7168</v>
      </c>
      <c r="T27" s="34">
        <f>R27-S27</f>
        <v>195</v>
      </c>
      <c r="U27" s="38">
        <f>IFERROR((R27/O27)*100%,"∞")</f>
        <v>0.71805169395530843</v>
      </c>
      <c r="V27" s="59">
        <f>O27+W27</f>
        <v>-5511</v>
      </c>
      <c r="W27" s="34">
        <f>SUBTOTAL(9,W22:W26)</f>
        <v>4200</v>
      </c>
      <c r="X27" s="34">
        <f>SUBTOTAL(9,X22:X26)</f>
        <v>4000</v>
      </c>
      <c r="Y27" s="34">
        <f t="shared" ref="Y27:AA27" si="28">SUBTOTAL(9,Y22:Y26)</f>
        <v>-200</v>
      </c>
      <c r="Z27" s="34">
        <f t="shared" si="28"/>
        <v>3000</v>
      </c>
      <c r="AA27" s="34">
        <f t="shared" si="28"/>
        <v>-1200</v>
      </c>
      <c r="AB27" s="60"/>
      <c r="AC27" s="102">
        <f>SUBTOTAL(9,AC1:AC26)</f>
        <v>0</v>
      </c>
      <c r="AD27" s="34">
        <f>SUBTOTAL(9,AD1:AD26)</f>
        <v>0</v>
      </c>
      <c r="AE27" s="34"/>
      <c r="AF27" s="34"/>
      <c r="AG27" s="103"/>
    </row>
    <row r="28" spans="2:33" ht="13" hidden="1" outlineLevel="2" x14ac:dyDescent="0.3">
      <c r="B28" s="31" t="s">
        <v>66</v>
      </c>
      <c r="C28" s="33">
        <v>-411</v>
      </c>
      <c r="D28" s="33">
        <v>-478</v>
      </c>
      <c r="E28" s="23">
        <v>0</v>
      </c>
      <c r="F28" s="23">
        <v>0</v>
      </c>
      <c r="G28" s="23">
        <v>0</v>
      </c>
      <c r="H28" s="23">
        <v>0</v>
      </c>
      <c r="I28" s="23">
        <v>-68</v>
      </c>
      <c r="J28" s="23">
        <v>0</v>
      </c>
      <c r="K28" s="23">
        <f t="shared" si="0"/>
        <v>-68</v>
      </c>
      <c r="L28" s="33">
        <f t="shared" si="1"/>
        <v>0</v>
      </c>
      <c r="M28" s="33"/>
      <c r="N28" s="33">
        <f>O28-C28-M28</f>
        <v>-67</v>
      </c>
      <c r="O28" s="33">
        <v>-478</v>
      </c>
      <c r="P28" s="33">
        <v>445</v>
      </c>
      <c r="Q28" s="33">
        <v>-584</v>
      </c>
      <c r="R28" s="33">
        <v>-139</v>
      </c>
      <c r="S28" s="33">
        <v>-240</v>
      </c>
      <c r="T28" s="33">
        <f t="shared" si="2"/>
        <v>101</v>
      </c>
      <c r="U28" s="38">
        <f t="shared" si="3"/>
        <v>0.29079497907949792</v>
      </c>
      <c r="V28" s="59">
        <f t="shared" si="4"/>
        <v>-277</v>
      </c>
      <c r="W28" s="33">
        <f>241-40</f>
        <v>201</v>
      </c>
      <c r="X28" s="33">
        <v>0</v>
      </c>
      <c r="Y28" s="33">
        <f t="shared" si="25"/>
        <v>-201</v>
      </c>
      <c r="Z28" s="33"/>
      <c r="AA28" s="42">
        <f t="shared" si="24"/>
        <v>-201</v>
      </c>
      <c r="AB28" s="60"/>
      <c r="AC28" s="105"/>
      <c r="AD28" s="93"/>
      <c r="AE28" s="33">
        <f t="shared" si="5"/>
        <v>0</v>
      </c>
      <c r="AF28" s="33">
        <f t="shared" si="6"/>
        <v>-139</v>
      </c>
      <c r="AG28" s="101">
        <f t="shared" si="7"/>
        <v>339</v>
      </c>
    </row>
    <row r="29" spans="2:33" ht="13" hidden="1" outlineLevel="2" x14ac:dyDescent="0.3">
      <c r="B29" s="31" t="s">
        <v>67</v>
      </c>
      <c r="C29" s="33">
        <v>170</v>
      </c>
      <c r="D29" s="33">
        <v>170</v>
      </c>
      <c r="E29" s="23">
        <v>0</v>
      </c>
      <c r="F29" s="23">
        <v>0</v>
      </c>
      <c r="G29" s="23">
        <v>0</v>
      </c>
      <c r="H29" s="23">
        <v>0</v>
      </c>
      <c r="I29" s="23">
        <v>0</v>
      </c>
      <c r="J29" s="23">
        <v>0</v>
      </c>
      <c r="K29" s="23">
        <f t="shared" si="0"/>
        <v>0</v>
      </c>
      <c r="L29" s="33">
        <f t="shared" si="1"/>
        <v>0</v>
      </c>
      <c r="M29" s="33"/>
      <c r="N29" s="33">
        <f t="shared" ref="N29:N31" si="29">O29-C29-M29</f>
        <v>0</v>
      </c>
      <c r="O29" s="33">
        <v>170</v>
      </c>
      <c r="P29" s="33">
        <v>306</v>
      </c>
      <c r="Q29" s="33">
        <v>-234</v>
      </c>
      <c r="R29" s="33">
        <v>72</v>
      </c>
      <c r="S29" s="33">
        <v>84</v>
      </c>
      <c r="T29" s="33">
        <f t="shared" si="2"/>
        <v>-12</v>
      </c>
      <c r="U29" s="38">
        <f t="shared" si="3"/>
        <v>0.42352941176470588</v>
      </c>
      <c r="V29" s="59">
        <f t="shared" si="4"/>
        <v>170</v>
      </c>
      <c r="W29" s="33">
        <v>0</v>
      </c>
      <c r="X29" s="33">
        <v>0</v>
      </c>
      <c r="Y29" s="33">
        <f t="shared" si="25"/>
        <v>0</v>
      </c>
      <c r="Z29" s="33"/>
      <c r="AA29" s="42">
        <f t="shared" si="24"/>
        <v>0</v>
      </c>
      <c r="AB29" s="60"/>
      <c r="AC29" s="105"/>
      <c r="AD29" s="93"/>
      <c r="AE29" s="33">
        <f t="shared" si="5"/>
        <v>0</v>
      </c>
      <c r="AF29" s="33">
        <f t="shared" si="6"/>
        <v>72</v>
      </c>
      <c r="AG29" s="101">
        <f t="shared" si="7"/>
        <v>-98</v>
      </c>
    </row>
    <row r="30" spans="2:33" ht="13" hidden="1" outlineLevel="2" x14ac:dyDescent="0.3">
      <c r="B30" s="31" t="s">
        <v>68</v>
      </c>
      <c r="C30" s="33">
        <v>-192</v>
      </c>
      <c r="D30" s="33">
        <v>-192</v>
      </c>
      <c r="E30" s="23">
        <v>0</v>
      </c>
      <c r="F30" s="23">
        <v>0</v>
      </c>
      <c r="G30" s="23">
        <v>0</v>
      </c>
      <c r="H30" s="23">
        <v>0</v>
      </c>
      <c r="I30" s="23">
        <v>0</v>
      </c>
      <c r="J30" s="23">
        <v>0</v>
      </c>
      <c r="K30" s="23">
        <f t="shared" si="0"/>
        <v>0</v>
      </c>
      <c r="L30" s="33">
        <f t="shared" si="1"/>
        <v>0</v>
      </c>
      <c r="M30" s="33"/>
      <c r="N30" s="33">
        <f t="shared" si="29"/>
        <v>0</v>
      </c>
      <c r="O30" s="33">
        <v>-192</v>
      </c>
      <c r="P30" s="33">
        <v>4</v>
      </c>
      <c r="Q30" s="33">
        <v>-87</v>
      </c>
      <c r="R30" s="33">
        <v>-84</v>
      </c>
      <c r="S30" s="33">
        <v>-101</v>
      </c>
      <c r="T30" s="33">
        <f t="shared" si="2"/>
        <v>17</v>
      </c>
      <c r="U30" s="38">
        <f t="shared" si="3"/>
        <v>0.4375</v>
      </c>
      <c r="V30" s="59">
        <f t="shared" si="4"/>
        <v>-153</v>
      </c>
      <c r="W30" s="33">
        <v>39</v>
      </c>
      <c r="X30" s="33">
        <v>0</v>
      </c>
      <c r="Y30" s="33">
        <f t="shared" si="25"/>
        <v>-39</v>
      </c>
      <c r="Z30" s="33"/>
      <c r="AA30" s="42">
        <f t="shared" si="24"/>
        <v>-39</v>
      </c>
      <c r="AB30" s="60"/>
      <c r="AC30" s="105"/>
      <c r="AD30" s="93"/>
      <c r="AE30" s="33">
        <f t="shared" si="5"/>
        <v>0</v>
      </c>
      <c r="AF30" s="33">
        <f t="shared" si="6"/>
        <v>-84</v>
      </c>
      <c r="AG30" s="101">
        <f t="shared" si="7"/>
        <v>108</v>
      </c>
    </row>
    <row r="31" spans="2:33" ht="13" hidden="1" outlineLevel="2" x14ac:dyDescent="0.3">
      <c r="B31" s="31" t="s">
        <v>69</v>
      </c>
      <c r="C31" s="33">
        <v>883</v>
      </c>
      <c r="D31" s="33">
        <v>951</v>
      </c>
      <c r="E31" s="23">
        <v>0</v>
      </c>
      <c r="F31" s="23">
        <v>0</v>
      </c>
      <c r="G31" s="23">
        <v>0</v>
      </c>
      <c r="H31" s="23">
        <v>0</v>
      </c>
      <c r="I31" s="23">
        <v>68</v>
      </c>
      <c r="J31" s="23">
        <v>0</v>
      </c>
      <c r="K31" s="23">
        <f t="shared" si="0"/>
        <v>68</v>
      </c>
      <c r="L31" s="33">
        <f t="shared" si="1"/>
        <v>0</v>
      </c>
      <c r="M31" s="33"/>
      <c r="N31" s="33">
        <f t="shared" si="29"/>
        <v>68</v>
      </c>
      <c r="O31" s="33">
        <v>951</v>
      </c>
      <c r="P31" s="33">
        <v>398</v>
      </c>
      <c r="Q31" s="33">
        <v>-74</v>
      </c>
      <c r="R31" s="33">
        <v>325</v>
      </c>
      <c r="S31" s="33">
        <v>470</v>
      </c>
      <c r="T31" s="33">
        <f t="shared" si="2"/>
        <v>-145</v>
      </c>
      <c r="U31" s="38">
        <f t="shared" si="3"/>
        <v>0.34174553101997895</v>
      </c>
      <c r="V31" s="59">
        <f t="shared" si="4"/>
        <v>743</v>
      </c>
      <c r="W31" s="33">
        <v>-208</v>
      </c>
      <c r="X31" s="33">
        <v>0</v>
      </c>
      <c r="Y31" s="33">
        <f t="shared" si="25"/>
        <v>208</v>
      </c>
      <c r="Z31" s="33"/>
      <c r="AA31" s="42">
        <f t="shared" si="24"/>
        <v>208</v>
      </c>
      <c r="AB31" s="60"/>
      <c r="AC31" s="105"/>
      <c r="AD31" s="93"/>
      <c r="AE31" s="33">
        <f t="shared" si="5"/>
        <v>0</v>
      </c>
      <c r="AF31" s="33">
        <f t="shared" si="6"/>
        <v>325</v>
      </c>
      <c r="AG31" s="101">
        <f t="shared" si="7"/>
        <v>-626</v>
      </c>
    </row>
    <row r="32" spans="2:33" ht="13" outlineLevel="1" collapsed="1" x14ac:dyDescent="0.3">
      <c r="B32" s="32" t="s">
        <v>71</v>
      </c>
      <c r="C32" s="34">
        <f t="shared" ref="C32:J32" si="30">SUBTOTAL(9,C28:C31)</f>
        <v>450</v>
      </c>
      <c r="D32" s="34">
        <f t="shared" si="30"/>
        <v>451</v>
      </c>
      <c r="E32" s="24">
        <f t="shared" si="30"/>
        <v>0</v>
      </c>
      <c r="F32" s="24">
        <f t="shared" si="30"/>
        <v>0</v>
      </c>
      <c r="G32" s="24">
        <f t="shared" si="30"/>
        <v>0</v>
      </c>
      <c r="H32" s="24">
        <f t="shared" si="30"/>
        <v>0</v>
      </c>
      <c r="I32" s="24">
        <f t="shared" si="30"/>
        <v>0</v>
      </c>
      <c r="J32" s="24">
        <f t="shared" si="30"/>
        <v>0</v>
      </c>
      <c r="K32" s="24">
        <f>SUM(E32:J32)</f>
        <v>0</v>
      </c>
      <c r="L32" s="34">
        <f t="shared" si="1"/>
        <v>0</v>
      </c>
      <c r="M32" s="34">
        <f t="shared" ref="M32" si="31">SUBTOTAL(9,M28:M31)</f>
        <v>0</v>
      </c>
      <c r="N32" s="34">
        <f t="shared" ref="N32:S32" si="32">SUBTOTAL(9,N28:N31)</f>
        <v>1</v>
      </c>
      <c r="O32" s="34">
        <f t="shared" si="32"/>
        <v>451</v>
      </c>
      <c r="P32" s="34">
        <f t="shared" si="32"/>
        <v>1153</v>
      </c>
      <c r="Q32" s="34">
        <f t="shared" si="32"/>
        <v>-979</v>
      </c>
      <c r="R32" s="34">
        <f t="shared" si="32"/>
        <v>174</v>
      </c>
      <c r="S32" s="34">
        <f t="shared" si="32"/>
        <v>213</v>
      </c>
      <c r="T32" s="34">
        <f>R32-S32</f>
        <v>-39</v>
      </c>
      <c r="U32" s="38">
        <f>IFERROR((R32/O32)*100%,"∞")</f>
        <v>0.38580931263858093</v>
      </c>
      <c r="V32" s="59">
        <f>O32+W32</f>
        <v>483</v>
      </c>
      <c r="W32" s="34">
        <f>SUBTOTAL(9,W28:W31)</f>
        <v>32</v>
      </c>
      <c r="X32" s="34">
        <f>SUBTOTAL(9,X28:X31)</f>
        <v>0</v>
      </c>
      <c r="Y32" s="34">
        <f t="shared" ref="Y32:AA32" si="33">SUBTOTAL(9,Y28:Y31)</f>
        <v>-32</v>
      </c>
      <c r="Z32" s="34">
        <f t="shared" si="33"/>
        <v>0</v>
      </c>
      <c r="AA32" s="34">
        <f t="shared" si="33"/>
        <v>-32</v>
      </c>
      <c r="AB32" s="60"/>
      <c r="AC32" s="102">
        <f>SUBTOTAL(9,AC1:AC31)</f>
        <v>0</v>
      </c>
      <c r="AD32" s="34">
        <f>SUBTOTAL(9,AD1:AD31)</f>
        <v>0</v>
      </c>
      <c r="AE32" s="34"/>
      <c r="AF32" s="34"/>
      <c r="AG32" s="103"/>
    </row>
    <row r="33" spans="2:33" ht="13.5" customHeight="1" thickBot="1" x14ac:dyDescent="0.35">
      <c r="B33" s="53" t="s">
        <v>72</v>
      </c>
      <c r="C33" s="35">
        <f t="shared" ref="C33:J33" si="34">SUBTOTAL(9,C22:C32)</f>
        <v>-8962</v>
      </c>
      <c r="D33" s="35">
        <f t="shared" si="34"/>
        <v>-9228</v>
      </c>
      <c r="E33" s="25">
        <f t="shared" si="34"/>
        <v>-7</v>
      </c>
      <c r="F33" s="25">
        <f t="shared" si="34"/>
        <v>0</v>
      </c>
      <c r="G33" s="25">
        <f t="shared" si="34"/>
        <v>-260</v>
      </c>
      <c r="H33" s="25">
        <f t="shared" si="34"/>
        <v>0</v>
      </c>
      <c r="I33" s="25">
        <f t="shared" si="34"/>
        <v>0</v>
      </c>
      <c r="J33" s="25">
        <f t="shared" si="34"/>
        <v>-32</v>
      </c>
      <c r="K33" s="25">
        <f>SUM(E33:J33)</f>
        <v>-299</v>
      </c>
      <c r="L33" s="35">
        <f t="shared" si="1"/>
        <v>-32</v>
      </c>
      <c r="M33" s="35">
        <f t="shared" ref="M33:N33" si="35">SUBTOTAL(9,M22:M32)</f>
        <v>-260</v>
      </c>
      <c r="N33" s="35">
        <f t="shared" si="35"/>
        <v>-38</v>
      </c>
      <c r="O33" s="35">
        <f>SUBTOTAL(9,O22:O32)</f>
        <v>-9260</v>
      </c>
      <c r="P33" s="35">
        <f>SUBTOTAL(9,P22:P32)</f>
        <v>2915</v>
      </c>
      <c r="Q33" s="35">
        <f>SUBTOTAL(9,Q22:Q32)</f>
        <v>-9714</v>
      </c>
      <c r="R33" s="35">
        <f>SUBTOTAL(9,R22:R32)</f>
        <v>-6799</v>
      </c>
      <c r="S33" s="35">
        <f>SUBTOTAL(9,S22:S32)</f>
        <v>-6955</v>
      </c>
      <c r="T33" s="35">
        <f>R33-S33</f>
        <v>156</v>
      </c>
      <c r="U33" s="39">
        <f>IFERROR((R33/O33)*100%,"∞")</f>
        <v>0.73423326133909284</v>
      </c>
      <c r="V33" s="54">
        <f>O33+W33</f>
        <v>-5028</v>
      </c>
      <c r="W33" s="35">
        <f>SUBTOTAL(9,W22:W32)</f>
        <v>4232</v>
      </c>
      <c r="X33" s="35">
        <f>SUBTOTAL(9,X22:X32)</f>
        <v>4000</v>
      </c>
      <c r="Y33" s="35">
        <f t="shared" ref="Y33:AA33" si="36">SUBTOTAL(9,Y22:Y32)</f>
        <v>-232</v>
      </c>
      <c r="Z33" s="35">
        <f t="shared" si="36"/>
        <v>3000</v>
      </c>
      <c r="AA33" s="35">
        <f t="shared" si="36"/>
        <v>-1232</v>
      </c>
      <c r="AB33" s="60"/>
      <c r="AC33" s="104">
        <f>SUBTOTAL(9,AC1:AC32)</f>
        <v>0</v>
      </c>
      <c r="AD33" s="104">
        <f>SUBTOTAL(9,AD1:AD32)</f>
        <v>0</v>
      </c>
      <c r="AE33" s="35">
        <f>SUM(AC33:AD33)</f>
        <v>0</v>
      </c>
      <c r="AF33" s="35">
        <f>R33+AE33</f>
        <v>-6799</v>
      </c>
      <c r="AG33" s="43">
        <f>AF33-O33</f>
        <v>2461</v>
      </c>
    </row>
    <row r="34" spans="2:33" ht="13.5" hidden="1" outlineLevel="2" thickTop="1" x14ac:dyDescent="0.3">
      <c r="B34" s="31" t="s">
        <v>939</v>
      </c>
      <c r="C34" s="33">
        <v>226</v>
      </c>
      <c r="D34" s="33">
        <v>226</v>
      </c>
      <c r="E34" s="23">
        <v>0</v>
      </c>
      <c r="F34" s="23">
        <v>0</v>
      </c>
      <c r="G34" s="23">
        <v>0</v>
      </c>
      <c r="H34" s="23">
        <v>0</v>
      </c>
      <c r="I34" s="23">
        <v>0</v>
      </c>
      <c r="J34" s="23">
        <v>0</v>
      </c>
      <c r="K34" s="23">
        <f t="shared" si="0"/>
        <v>0</v>
      </c>
      <c r="L34" s="33">
        <f t="shared" si="1"/>
        <v>0</v>
      </c>
      <c r="M34" s="33"/>
      <c r="N34" s="33">
        <f>O34-C34-M34</f>
        <v>0</v>
      </c>
      <c r="O34" s="33">
        <v>226</v>
      </c>
      <c r="P34" s="33">
        <v>128</v>
      </c>
      <c r="Q34" s="33">
        <v>0</v>
      </c>
      <c r="R34" s="33">
        <v>128</v>
      </c>
      <c r="S34" s="33">
        <v>113</v>
      </c>
      <c r="T34" s="33">
        <f t="shared" si="2"/>
        <v>15</v>
      </c>
      <c r="U34" s="38">
        <f t="shared" si="3"/>
        <v>0.5663716814159292</v>
      </c>
      <c r="V34" s="59">
        <f t="shared" si="4"/>
        <v>226</v>
      </c>
      <c r="W34" s="33">
        <v>0</v>
      </c>
      <c r="X34" s="33">
        <v>0</v>
      </c>
      <c r="Y34" s="33">
        <f>X34-W34</f>
        <v>0</v>
      </c>
      <c r="Z34" s="33"/>
      <c r="AA34" s="42"/>
      <c r="AB34" s="60"/>
      <c r="AC34" s="105"/>
      <c r="AD34" s="93"/>
      <c r="AE34" s="33">
        <f t="shared" si="5"/>
        <v>0</v>
      </c>
      <c r="AF34" s="33">
        <f t="shared" si="6"/>
        <v>128</v>
      </c>
      <c r="AG34" s="101">
        <f t="shared" si="7"/>
        <v>-98</v>
      </c>
    </row>
    <row r="35" spans="2:33" ht="13" hidden="1" outlineLevel="2" x14ac:dyDescent="0.3">
      <c r="B35" s="31" t="s">
        <v>74</v>
      </c>
      <c r="C35" s="33">
        <v>287</v>
      </c>
      <c r="D35" s="33">
        <v>334</v>
      </c>
      <c r="E35" s="23">
        <v>0</v>
      </c>
      <c r="F35" s="23">
        <v>0</v>
      </c>
      <c r="G35" s="23">
        <v>0</v>
      </c>
      <c r="H35" s="23">
        <v>0</v>
      </c>
      <c r="I35" s="23">
        <v>47</v>
      </c>
      <c r="J35" s="23">
        <v>0</v>
      </c>
      <c r="K35" s="23">
        <f t="shared" si="0"/>
        <v>47</v>
      </c>
      <c r="L35" s="33">
        <f t="shared" si="1"/>
        <v>0</v>
      </c>
      <c r="M35" s="33"/>
      <c r="N35" s="33">
        <f t="shared" ref="N35:N36" si="37">O35-C35-M35</f>
        <v>47</v>
      </c>
      <c r="O35" s="33">
        <v>334</v>
      </c>
      <c r="P35" s="33">
        <v>198</v>
      </c>
      <c r="Q35" s="33">
        <v>-4</v>
      </c>
      <c r="R35" s="33">
        <v>194</v>
      </c>
      <c r="S35" s="33">
        <v>167</v>
      </c>
      <c r="T35" s="33">
        <f t="shared" si="2"/>
        <v>27</v>
      </c>
      <c r="U35" s="38">
        <f t="shared" si="3"/>
        <v>0.58083832335329344</v>
      </c>
      <c r="V35" s="59">
        <f t="shared" si="4"/>
        <v>334</v>
      </c>
      <c r="W35" s="33">
        <v>0</v>
      </c>
      <c r="X35" s="33">
        <v>0</v>
      </c>
      <c r="Y35" s="33">
        <f t="shared" ref="Y35:Y37" si="38">X35-W35</f>
        <v>0</v>
      </c>
      <c r="Z35" s="33"/>
      <c r="AA35" s="42"/>
      <c r="AB35" s="60"/>
      <c r="AC35" s="105"/>
      <c r="AD35" s="93"/>
      <c r="AE35" s="33">
        <f t="shared" si="5"/>
        <v>0</v>
      </c>
      <c r="AF35" s="33">
        <f t="shared" si="6"/>
        <v>194</v>
      </c>
      <c r="AG35" s="101">
        <f t="shared" si="7"/>
        <v>-140</v>
      </c>
    </row>
    <row r="36" spans="2:33" ht="13" hidden="1" outlineLevel="2" x14ac:dyDescent="0.3">
      <c r="B36" s="31" t="s">
        <v>75</v>
      </c>
      <c r="C36" s="33">
        <v>363</v>
      </c>
      <c r="D36" s="33">
        <v>299</v>
      </c>
      <c r="E36" s="23">
        <v>0</v>
      </c>
      <c r="F36" s="23">
        <v>0</v>
      </c>
      <c r="G36" s="23">
        <v>-64</v>
      </c>
      <c r="H36" s="23">
        <v>0</v>
      </c>
      <c r="I36" s="23">
        <v>0</v>
      </c>
      <c r="J36" s="23">
        <v>0</v>
      </c>
      <c r="K36" s="23">
        <f t="shared" si="0"/>
        <v>-64</v>
      </c>
      <c r="L36" s="33">
        <f t="shared" si="1"/>
        <v>0</v>
      </c>
      <c r="M36" s="33">
        <v>-64</v>
      </c>
      <c r="N36" s="33">
        <f t="shared" si="37"/>
        <v>0</v>
      </c>
      <c r="O36" s="33">
        <v>299</v>
      </c>
      <c r="P36" s="33">
        <v>160</v>
      </c>
      <c r="Q36" s="33">
        <v>-21</v>
      </c>
      <c r="R36" s="33">
        <v>139</v>
      </c>
      <c r="S36" s="33">
        <v>158</v>
      </c>
      <c r="T36" s="33">
        <f t="shared" si="2"/>
        <v>-19</v>
      </c>
      <c r="U36" s="38">
        <f t="shared" si="3"/>
        <v>0.46488294314381273</v>
      </c>
      <c r="V36" s="59">
        <f t="shared" si="4"/>
        <v>299</v>
      </c>
      <c r="W36" s="33">
        <v>0</v>
      </c>
      <c r="X36" s="33">
        <v>0</v>
      </c>
      <c r="Y36" s="33">
        <f t="shared" si="38"/>
        <v>0</v>
      </c>
      <c r="Z36" s="33"/>
      <c r="AA36" s="42"/>
      <c r="AB36" s="60"/>
      <c r="AC36" s="105"/>
      <c r="AD36" s="93"/>
      <c r="AE36" s="33">
        <f t="shared" si="5"/>
        <v>0</v>
      </c>
      <c r="AF36" s="33">
        <f t="shared" si="6"/>
        <v>139</v>
      </c>
      <c r="AG36" s="101">
        <f t="shared" si="7"/>
        <v>-160</v>
      </c>
    </row>
    <row r="37" spans="2:33" ht="13.5" outlineLevel="1" collapsed="1" thickTop="1" x14ac:dyDescent="0.3">
      <c r="B37" s="32" t="s">
        <v>940</v>
      </c>
      <c r="C37" s="34">
        <f t="shared" ref="C37:J37" si="39">SUBTOTAL(9,C34:C36)</f>
        <v>876</v>
      </c>
      <c r="D37" s="34">
        <f t="shared" si="39"/>
        <v>859</v>
      </c>
      <c r="E37" s="24">
        <f t="shared" si="39"/>
        <v>0</v>
      </c>
      <c r="F37" s="24">
        <f t="shared" si="39"/>
        <v>0</v>
      </c>
      <c r="G37" s="24">
        <f t="shared" si="39"/>
        <v>-64</v>
      </c>
      <c r="H37" s="24">
        <f t="shared" si="39"/>
        <v>0</v>
      </c>
      <c r="I37" s="24">
        <f t="shared" si="39"/>
        <v>47</v>
      </c>
      <c r="J37" s="24">
        <f t="shared" si="39"/>
        <v>0</v>
      </c>
      <c r="K37" s="24">
        <f>SUM(E37:J37)</f>
        <v>-17</v>
      </c>
      <c r="L37" s="34">
        <f t="shared" ref="L37:L68" si="40">O37-D37</f>
        <v>0</v>
      </c>
      <c r="M37" s="34">
        <f t="shared" ref="M37:S37" si="41">SUBTOTAL(9,M34:M36)</f>
        <v>-64</v>
      </c>
      <c r="N37" s="34">
        <f t="shared" si="41"/>
        <v>47</v>
      </c>
      <c r="O37" s="34">
        <f t="shared" si="41"/>
        <v>859</v>
      </c>
      <c r="P37" s="34">
        <f t="shared" si="41"/>
        <v>486</v>
      </c>
      <c r="Q37" s="34">
        <f t="shared" si="41"/>
        <v>-25</v>
      </c>
      <c r="R37" s="34">
        <f t="shared" si="41"/>
        <v>461</v>
      </c>
      <c r="S37" s="34">
        <f t="shared" si="41"/>
        <v>438</v>
      </c>
      <c r="T37" s="34">
        <f>R37-S37</f>
        <v>23</v>
      </c>
      <c r="U37" s="38">
        <f>IFERROR((R37/O37)*100%,"∞")</f>
        <v>0.53667054714784634</v>
      </c>
      <c r="V37" s="59">
        <f>O37+W37</f>
        <v>859</v>
      </c>
      <c r="W37" s="34">
        <f>SUBTOTAL(9,W34:W36)</f>
        <v>0</v>
      </c>
      <c r="X37" s="34">
        <f>SUBTOTAL(9,X34:X36)</f>
        <v>0</v>
      </c>
      <c r="Y37" s="33">
        <f t="shared" si="38"/>
        <v>0</v>
      </c>
      <c r="Z37" s="34"/>
      <c r="AA37" s="41"/>
      <c r="AB37" s="60"/>
      <c r="AC37" s="102">
        <f>SUBTOTAL(9,AC1:AC36)</f>
        <v>0</v>
      </c>
      <c r="AD37" s="34">
        <f>SUBTOTAL(9,AD1:AD36)</f>
        <v>0</v>
      </c>
      <c r="AE37" s="34"/>
      <c r="AF37" s="34"/>
      <c r="AG37" s="103"/>
    </row>
    <row r="38" spans="2:33" ht="13.5" customHeight="1" thickBot="1" x14ac:dyDescent="0.35">
      <c r="B38" s="53" t="s">
        <v>375</v>
      </c>
      <c r="C38" s="35">
        <f t="shared" ref="C38:J38" si="42">SUBTOTAL(9,C34:C37)</f>
        <v>876</v>
      </c>
      <c r="D38" s="35">
        <f t="shared" si="42"/>
        <v>859</v>
      </c>
      <c r="E38" s="25">
        <f t="shared" si="42"/>
        <v>0</v>
      </c>
      <c r="F38" s="25">
        <f t="shared" si="42"/>
        <v>0</v>
      </c>
      <c r="G38" s="25">
        <f t="shared" si="42"/>
        <v>-64</v>
      </c>
      <c r="H38" s="25">
        <f t="shared" si="42"/>
        <v>0</v>
      </c>
      <c r="I38" s="25">
        <f t="shared" si="42"/>
        <v>47</v>
      </c>
      <c r="J38" s="25">
        <f t="shared" si="42"/>
        <v>0</v>
      </c>
      <c r="K38" s="25">
        <f>SUM(E38:J38)</f>
        <v>-17</v>
      </c>
      <c r="L38" s="35">
        <f t="shared" si="40"/>
        <v>0</v>
      </c>
      <c r="M38" s="35">
        <f t="shared" ref="M38:S38" si="43">SUBTOTAL(9,M34:M37)</f>
        <v>-64</v>
      </c>
      <c r="N38" s="35">
        <f t="shared" si="43"/>
        <v>47</v>
      </c>
      <c r="O38" s="35">
        <f t="shared" si="43"/>
        <v>859</v>
      </c>
      <c r="P38" s="35">
        <f t="shared" si="43"/>
        <v>486</v>
      </c>
      <c r="Q38" s="35">
        <f t="shared" si="43"/>
        <v>-25</v>
      </c>
      <c r="R38" s="35">
        <f t="shared" si="43"/>
        <v>461</v>
      </c>
      <c r="S38" s="35">
        <f t="shared" si="43"/>
        <v>438</v>
      </c>
      <c r="T38" s="35">
        <f>R38-S38</f>
        <v>23</v>
      </c>
      <c r="U38" s="39">
        <f>IFERROR((R38/O38)*100%,"∞")</f>
        <v>0.53667054714784634</v>
      </c>
      <c r="V38" s="54">
        <f>O38+W38</f>
        <v>859</v>
      </c>
      <c r="W38" s="35">
        <f>SUBTOTAL(9,W34:W37)</f>
        <v>0</v>
      </c>
      <c r="X38" s="35">
        <f t="shared" ref="X38:AA38" si="44">SUBTOTAL(9,X34:X37)</f>
        <v>0</v>
      </c>
      <c r="Y38" s="35">
        <f t="shared" si="44"/>
        <v>0</v>
      </c>
      <c r="Z38" s="35">
        <f t="shared" si="44"/>
        <v>0</v>
      </c>
      <c r="AA38" s="35">
        <f t="shared" si="44"/>
        <v>0</v>
      </c>
      <c r="AB38" s="60"/>
      <c r="AC38" s="104">
        <f>SUBTOTAL(9,AC1:AC37)</f>
        <v>0</v>
      </c>
      <c r="AD38" s="104">
        <f>SUBTOTAL(9,AD1:AD37)</f>
        <v>0</v>
      </c>
      <c r="AE38" s="35">
        <f>SUM(AC38:AD38)</f>
        <v>0</v>
      </c>
      <c r="AF38" s="35">
        <f>R38+AE38</f>
        <v>461</v>
      </c>
      <c r="AG38" s="43">
        <f>AF38-O38</f>
        <v>-398</v>
      </c>
    </row>
    <row r="39" spans="2:33" ht="13.5" hidden="1" outlineLevel="2" thickTop="1" x14ac:dyDescent="0.3">
      <c r="B39" s="31" t="s">
        <v>167</v>
      </c>
      <c r="C39" s="33">
        <v>715</v>
      </c>
      <c r="D39" s="33">
        <v>715</v>
      </c>
      <c r="E39" s="23">
        <v>0</v>
      </c>
      <c r="F39" s="23">
        <v>0</v>
      </c>
      <c r="G39" s="23">
        <v>0</v>
      </c>
      <c r="H39" s="23">
        <v>0</v>
      </c>
      <c r="I39" s="23">
        <v>0</v>
      </c>
      <c r="J39" s="23">
        <v>32</v>
      </c>
      <c r="K39" s="23">
        <f t="shared" si="0"/>
        <v>32</v>
      </c>
      <c r="L39" s="33">
        <f t="shared" si="40"/>
        <v>32</v>
      </c>
      <c r="M39" s="33"/>
      <c r="N39" s="33">
        <f>O39-C39-M39</f>
        <v>32</v>
      </c>
      <c r="O39" s="33">
        <v>747</v>
      </c>
      <c r="P39" s="33">
        <v>476</v>
      </c>
      <c r="Q39" s="33">
        <v>-128</v>
      </c>
      <c r="R39" s="33">
        <v>349</v>
      </c>
      <c r="S39" s="33">
        <v>396</v>
      </c>
      <c r="T39" s="33">
        <f t="shared" si="2"/>
        <v>-47</v>
      </c>
      <c r="U39" s="38">
        <f t="shared" si="3"/>
        <v>0.46720214190093706</v>
      </c>
      <c r="V39" s="59">
        <f t="shared" si="4"/>
        <v>747</v>
      </c>
      <c r="W39" s="33">
        <v>0</v>
      </c>
      <c r="X39" s="33">
        <v>0</v>
      </c>
      <c r="Y39" s="33"/>
      <c r="Z39" s="33"/>
      <c r="AA39" s="42"/>
      <c r="AB39" s="60"/>
      <c r="AC39" s="105"/>
      <c r="AD39" s="93"/>
      <c r="AE39" s="33">
        <f t="shared" si="5"/>
        <v>0</v>
      </c>
      <c r="AF39" s="33">
        <f t="shared" si="6"/>
        <v>349</v>
      </c>
      <c r="AG39" s="101">
        <f t="shared" si="7"/>
        <v>-398</v>
      </c>
    </row>
    <row r="40" spans="2:33" ht="13" hidden="1" outlineLevel="2" x14ac:dyDescent="0.3">
      <c r="B40" s="31" t="s">
        <v>168</v>
      </c>
      <c r="C40" s="33">
        <v>3427</v>
      </c>
      <c r="D40" s="33">
        <v>2038</v>
      </c>
      <c r="E40" s="23">
        <v>-1739</v>
      </c>
      <c r="F40" s="23">
        <v>0</v>
      </c>
      <c r="G40" s="23">
        <v>0</v>
      </c>
      <c r="H40" s="23">
        <v>0</v>
      </c>
      <c r="I40" s="23">
        <v>350</v>
      </c>
      <c r="J40" s="23">
        <v>0</v>
      </c>
      <c r="K40" s="23">
        <f t="shared" si="0"/>
        <v>-1389</v>
      </c>
      <c r="L40" s="33">
        <f t="shared" si="40"/>
        <v>0</v>
      </c>
      <c r="M40" s="33"/>
      <c r="N40" s="33">
        <f t="shared" ref="N40:N42" si="45">O40-C40-M40</f>
        <v>-1389</v>
      </c>
      <c r="O40" s="33">
        <v>2038</v>
      </c>
      <c r="P40" s="33">
        <v>4427</v>
      </c>
      <c r="Q40" s="33">
        <f>-4374+-114</f>
        <v>-4488</v>
      </c>
      <c r="R40" s="33">
        <v>-61</v>
      </c>
      <c r="S40" s="33">
        <v>78</v>
      </c>
      <c r="T40" s="33">
        <f t="shared" si="2"/>
        <v>-139</v>
      </c>
      <c r="U40" s="38">
        <f t="shared" si="3"/>
        <v>-2.9931305201177625E-2</v>
      </c>
      <c r="V40" s="59">
        <f t="shared" si="4"/>
        <v>2338</v>
      </c>
      <c r="W40" s="33">
        <v>300</v>
      </c>
      <c r="X40" s="33">
        <v>532</v>
      </c>
      <c r="Y40" s="33">
        <f>X40-W40</f>
        <v>232</v>
      </c>
      <c r="Z40" s="33">
        <v>532</v>
      </c>
      <c r="AA40" s="42">
        <f>Z40-W40</f>
        <v>232</v>
      </c>
      <c r="AB40" s="60"/>
      <c r="AC40" s="105"/>
      <c r="AD40" s="93"/>
      <c r="AE40" s="33">
        <f t="shared" si="5"/>
        <v>0</v>
      </c>
      <c r="AF40" s="33">
        <f t="shared" si="6"/>
        <v>-61</v>
      </c>
      <c r="AG40" s="101">
        <f t="shared" si="7"/>
        <v>-2099</v>
      </c>
    </row>
    <row r="41" spans="2:33" ht="13" hidden="1" outlineLevel="2" x14ac:dyDescent="0.3">
      <c r="B41" s="31" t="s">
        <v>941</v>
      </c>
      <c r="C41" s="33">
        <v>1236</v>
      </c>
      <c r="D41" s="33">
        <v>1335</v>
      </c>
      <c r="E41" s="23">
        <v>100</v>
      </c>
      <c r="F41" s="23">
        <v>0</v>
      </c>
      <c r="G41" s="23">
        <v>0</v>
      </c>
      <c r="H41" s="23">
        <v>0</v>
      </c>
      <c r="I41" s="23">
        <v>-1</v>
      </c>
      <c r="J41" s="23">
        <v>0</v>
      </c>
      <c r="K41" s="23">
        <f t="shared" si="0"/>
        <v>99</v>
      </c>
      <c r="L41" s="33">
        <f t="shared" si="40"/>
        <v>0</v>
      </c>
      <c r="M41" s="33"/>
      <c r="N41" s="33">
        <f t="shared" si="45"/>
        <v>99</v>
      </c>
      <c r="O41" s="33">
        <v>1335</v>
      </c>
      <c r="P41" s="33">
        <v>1341</v>
      </c>
      <c r="Q41" s="33">
        <v>-652</v>
      </c>
      <c r="R41" s="33">
        <v>689</v>
      </c>
      <c r="S41" s="33">
        <v>833</v>
      </c>
      <c r="T41" s="33">
        <f t="shared" si="2"/>
        <v>-144</v>
      </c>
      <c r="U41" s="38">
        <f t="shared" si="3"/>
        <v>0.51610486891385765</v>
      </c>
      <c r="V41" s="59">
        <f t="shared" si="4"/>
        <v>1853</v>
      </c>
      <c r="W41" s="33">
        <v>518</v>
      </c>
      <c r="X41" s="33">
        <v>408</v>
      </c>
      <c r="Y41" s="33">
        <f t="shared" ref="Y41:Y45" si="46">X41-W41</f>
        <v>-110</v>
      </c>
      <c r="Z41" s="33">
        <v>408</v>
      </c>
      <c r="AA41" s="42">
        <f t="shared" ref="AA41:AA45" si="47">Z41-W41</f>
        <v>-110</v>
      </c>
      <c r="AB41" s="60"/>
      <c r="AC41" s="105"/>
      <c r="AD41" s="93"/>
      <c r="AE41" s="33">
        <f t="shared" si="5"/>
        <v>0</v>
      </c>
      <c r="AF41" s="33">
        <f t="shared" si="6"/>
        <v>689</v>
      </c>
      <c r="AG41" s="101">
        <f t="shared" si="7"/>
        <v>-646</v>
      </c>
    </row>
    <row r="42" spans="2:33" ht="13" hidden="1" outlineLevel="2" x14ac:dyDescent="0.3">
      <c r="B42" s="31" t="s">
        <v>170</v>
      </c>
      <c r="C42" s="33">
        <v>55</v>
      </c>
      <c r="D42" s="33">
        <v>96</v>
      </c>
      <c r="E42" s="23">
        <v>12</v>
      </c>
      <c r="F42" s="23">
        <v>0</v>
      </c>
      <c r="G42" s="23">
        <v>0</v>
      </c>
      <c r="H42" s="23">
        <v>0</v>
      </c>
      <c r="I42" s="23">
        <v>28</v>
      </c>
      <c r="J42" s="23">
        <v>0</v>
      </c>
      <c r="K42" s="23">
        <f t="shared" si="0"/>
        <v>40</v>
      </c>
      <c r="L42" s="33">
        <f t="shared" si="40"/>
        <v>0</v>
      </c>
      <c r="M42" s="33"/>
      <c r="N42" s="33">
        <f t="shared" si="45"/>
        <v>41</v>
      </c>
      <c r="O42" s="33">
        <v>96</v>
      </c>
      <c r="P42" s="33">
        <v>216</v>
      </c>
      <c r="Q42" s="33">
        <v>-165</v>
      </c>
      <c r="R42" s="33">
        <v>51</v>
      </c>
      <c r="S42" s="33">
        <v>48</v>
      </c>
      <c r="T42" s="33">
        <f t="shared" si="2"/>
        <v>3</v>
      </c>
      <c r="U42" s="38">
        <f t="shared" si="3"/>
        <v>0.53125</v>
      </c>
      <c r="V42" s="59">
        <f t="shared" si="4"/>
        <v>96</v>
      </c>
      <c r="W42" s="33">
        <v>0</v>
      </c>
      <c r="X42" s="33">
        <v>0</v>
      </c>
      <c r="Y42" s="33">
        <f t="shared" si="46"/>
        <v>0</v>
      </c>
      <c r="Z42" s="33"/>
      <c r="AA42" s="42">
        <f t="shared" si="47"/>
        <v>0</v>
      </c>
      <c r="AB42" s="60"/>
      <c r="AC42" s="105"/>
      <c r="AD42" s="93"/>
      <c r="AE42" s="33">
        <f t="shared" si="5"/>
        <v>0</v>
      </c>
      <c r="AF42" s="33">
        <f t="shared" si="6"/>
        <v>51</v>
      </c>
      <c r="AG42" s="101">
        <f t="shared" si="7"/>
        <v>-45</v>
      </c>
    </row>
    <row r="43" spans="2:33" ht="13.5" outlineLevel="1" collapsed="1" thickTop="1" x14ac:dyDescent="0.3">
      <c r="B43" s="32" t="s">
        <v>43</v>
      </c>
      <c r="C43" s="34">
        <f t="shared" ref="C43:J43" si="48">SUBTOTAL(9,C39:C42)</f>
        <v>5433</v>
      </c>
      <c r="D43" s="34">
        <f t="shared" si="48"/>
        <v>4184</v>
      </c>
      <c r="E43" s="24">
        <f t="shared" si="48"/>
        <v>-1627</v>
      </c>
      <c r="F43" s="24">
        <f t="shared" si="48"/>
        <v>0</v>
      </c>
      <c r="G43" s="24">
        <f t="shared" si="48"/>
        <v>0</v>
      </c>
      <c r="H43" s="24">
        <f t="shared" si="48"/>
        <v>0</v>
      </c>
      <c r="I43" s="24">
        <f t="shared" si="48"/>
        <v>377</v>
      </c>
      <c r="J43" s="24">
        <f t="shared" si="48"/>
        <v>32</v>
      </c>
      <c r="K43" s="24">
        <f>SUM(E43:J43)</f>
        <v>-1218</v>
      </c>
      <c r="L43" s="34">
        <f t="shared" si="40"/>
        <v>32</v>
      </c>
      <c r="M43" s="34">
        <f t="shared" ref="M43:N43" si="49">SUBTOTAL(9,M39:M42)</f>
        <v>0</v>
      </c>
      <c r="N43" s="34">
        <f t="shared" si="49"/>
        <v>-1217</v>
      </c>
      <c r="O43" s="34">
        <f>SUBTOTAL(9,O39:O42)</f>
        <v>4216</v>
      </c>
      <c r="P43" s="34">
        <f>SUBTOTAL(9,P39:P42)</f>
        <v>6460</v>
      </c>
      <c r="Q43" s="34">
        <f>SUBTOTAL(9,Q39:Q42)</f>
        <v>-5433</v>
      </c>
      <c r="R43" s="34">
        <f>SUBTOTAL(9,R39:R42)</f>
        <v>1028</v>
      </c>
      <c r="S43" s="34">
        <f>SUBTOTAL(9,S39:S42)</f>
        <v>1355</v>
      </c>
      <c r="T43" s="34">
        <f>R43-S43</f>
        <v>-327</v>
      </c>
      <c r="U43" s="38">
        <f>IFERROR((R43/O43)*100%,"∞")</f>
        <v>0.24383301707779886</v>
      </c>
      <c r="V43" s="59">
        <f>O43+W43</f>
        <v>5034</v>
      </c>
      <c r="W43" s="34">
        <f>SUBTOTAL(9,W39:W42)</f>
        <v>818</v>
      </c>
      <c r="X43" s="34">
        <f>SUBTOTAL(9,X39:X42)</f>
        <v>940</v>
      </c>
      <c r="Y43" s="34">
        <f>SUBTOTAL(9,Y39:Y42)</f>
        <v>122</v>
      </c>
      <c r="Z43" s="34">
        <f t="shared" ref="Z43:AA43" si="50">SUBTOTAL(9,Z39:Z42)</f>
        <v>940</v>
      </c>
      <c r="AA43" s="34">
        <f t="shared" si="50"/>
        <v>122</v>
      </c>
      <c r="AB43" s="60"/>
      <c r="AC43" s="102">
        <f>SUBTOTAL(9,AC1:AC42)</f>
        <v>0</v>
      </c>
      <c r="AD43" s="34">
        <f>SUBTOTAL(9,AD1:AD42)</f>
        <v>0</v>
      </c>
      <c r="AE43" s="34"/>
      <c r="AF43" s="34"/>
      <c r="AG43" s="103"/>
    </row>
    <row r="44" spans="2:33" ht="13" hidden="1" outlineLevel="2" x14ac:dyDescent="0.3">
      <c r="B44" s="31" t="s">
        <v>171</v>
      </c>
      <c r="C44" s="33">
        <v>455</v>
      </c>
      <c r="D44" s="33">
        <v>484</v>
      </c>
      <c r="E44" s="23">
        <v>0</v>
      </c>
      <c r="F44" s="23">
        <v>0</v>
      </c>
      <c r="G44" s="23">
        <v>0</v>
      </c>
      <c r="H44" s="23">
        <v>0</v>
      </c>
      <c r="I44" s="23">
        <v>29</v>
      </c>
      <c r="J44" s="23">
        <v>0</v>
      </c>
      <c r="K44" s="23">
        <f t="shared" si="0"/>
        <v>29</v>
      </c>
      <c r="L44" s="33">
        <f t="shared" si="40"/>
        <v>0</v>
      </c>
      <c r="M44" s="33"/>
      <c r="N44" s="33">
        <f>O44-C44-M44</f>
        <v>29</v>
      </c>
      <c r="O44" s="33">
        <v>484</v>
      </c>
      <c r="P44" s="33">
        <v>1117</v>
      </c>
      <c r="Q44" s="33">
        <v>-752</v>
      </c>
      <c r="R44" s="33">
        <v>365</v>
      </c>
      <c r="S44" s="33">
        <v>183</v>
      </c>
      <c r="T44" s="33">
        <f t="shared" si="2"/>
        <v>182</v>
      </c>
      <c r="U44" s="38">
        <f t="shared" si="3"/>
        <v>0.75413223140495866</v>
      </c>
      <c r="V44" s="59">
        <f t="shared" si="4"/>
        <v>790</v>
      </c>
      <c r="W44" s="33">
        <v>306</v>
      </c>
      <c r="X44" s="33">
        <v>306</v>
      </c>
      <c r="Y44" s="33">
        <f t="shared" si="46"/>
        <v>0</v>
      </c>
      <c r="Z44" s="33">
        <v>306</v>
      </c>
      <c r="AA44" s="42">
        <f t="shared" si="47"/>
        <v>0</v>
      </c>
      <c r="AB44" s="60"/>
      <c r="AC44" s="105"/>
      <c r="AD44" s="93"/>
      <c r="AE44" s="33">
        <f t="shared" si="5"/>
        <v>0</v>
      </c>
      <c r="AF44" s="33">
        <f t="shared" si="6"/>
        <v>365</v>
      </c>
      <c r="AG44" s="101">
        <f t="shared" si="7"/>
        <v>-119</v>
      </c>
    </row>
    <row r="45" spans="2:33" ht="13" hidden="1" outlineLevel="2" x14ac:dyDescent="0.3">
      <c r="B45" s="31" t="s">
        <v>44</v>
      </c>
      <c r="C45" s="33">
        <v>831</v>
      </c>
      <c r="D45" s="33">
        <v>832</v>
      </c>
      <c r="E45" s="23">
        <v>0</v>
      </c>
      <c r="F45" s="23">
        <v>0</v>
      </c>
      <c r="G45" s="23">
        <v>0</v>
      </c>
      <c r="H45" s="23">
        <v>0</v>
      </c>
      <c r="I45" s="23">
        <v>2</v>
      </c>
      <c r="J45" s="23">
        <v>0</v>
      </c>
      <c r="K45" s="23">
        <f t="shared" si="0"/>
        <v>2</v>
      </c>
      <c r="L45" s="33">
        <f t="shared" si="40"/>
        <v>0</v>
      </c>
      <c r="M45" s="33"/>
      <c r="N45" s="33">
        <f t="shared" ref="N45" si="51">O45-C45-M45</f>
        <v>1</v>
      </c>
      <c r="O45" s="33">
        <v>832</v>
      </c>
      <c r="P45" s="33">
        <v>922</v>
      </c>
      <c r="Q45" s="33">
        <v>-514</v>
      </c>
      <c r="R45" s="33">
        <v>407</v>
      </c>
      <c r="S45" s="33">
        <v>433</v>
      </c>
      <c r="T45" s="33">
        <f t="shared" si="2"/>
        <v>-26</v>
      </c>
      <c r="U45" s="38">
        <f t="shared" si="3"/>
        <v>0.48918269230769229</v>
      </c>
      <c r="V45" s="59">
        <f t="shared" si="4"/>
        <v>832</v>
      </c>
      <c r="W45" s="33">
        <v>0</v>
      </c>
      <c r="X45" s="33">
        <v>0</v>
      </c>
      <c r="Y45" s="33">
        <f t="shared" si="46"/>
        <v>0</v>
      </c>
      <c r="Z45" s="33"/>
      <c r="AA45" s="42">
        <f t="shared" si="47"/>
        <v>0</v>
      </c>
      <c r="AB45" s="60"/>
      <c r="AC45" s="105"/>
      <c r="AD45" s="93"/>
      <c r="AE45" s="33">
        <f t="shared" si="5"/>
        <v>0</v>
      </c>
      <c r="AF45" s="33">
        <f t="shared" si="6"/>
        <v>407</v>
      </c>
      <c r="AG45" s="101">
        <f t="shared" si="7"/>
        <v>-425</v>
      </c>
    </row>
    <row r="46" spans="2:33" ht="13" outlineLevel="1" collapsed="1" x14ac:dyDescent="0.3">
      <c r="B46" s="32" t="s">
        <v>172</v>
      </c>
      <c r="C46" s="34">
        <f t="shared" ref="C46:J46" si="52">SUBTOTAL(9,C44:C45)</f>
        <v>1286</v>
      </c>
      <c r="D46" s="34">
        <f t="shared" si="52"/>
        <v>1316</v>
      </c>
      <c r="E46" s="24">
        <f t="shared" si="52"/>
        <v>0</v>
      </c>
      <c r="F46" s="24">
        <f t="shared" si="52"/>
        <v>0</v>
      </c>
      <c r="G46" s="24">
        <f t="shared" si="52"/>
        <v>0</v>
      </c>
      <c r="H46" s="24">
        <f t="shared" si="52"/>
        <v>0</v>
      </c>
      <c r="I46" s="24">
        <f t="shared" si="52"/>
        <v>31</v>
      </c>
      <c r="J46" s="24">
        <f t="shared" si="52"/>
        <v>0</v>
      </c>
      <c r="K46" s="24">
        <f>SUM(E46:J46)</f>
        <v>31</v>
      </c>
      <c r="L46" s="34">
        <f t="shared" si="40"/>
        <v>0</v>
      </c>
      <c r="M46" s="34">
        <f t="shared" ref="M46:N46" si="53">SUBTOTAL(9,M44:M45)</f>
        <v>0</v>
      </c>
      <c r="N46" s="34">
        <f t="shared" si="53"/>
        <v>30</v>
      </c>
      <c r="O46" s="34">
        <f>SUBTOTAL(9,O44:O45)</f>
        <v>1316</v>
      </c>
      <c r="P46" s="34">
        <f>SUBTOTAL(9,P44:P45)</f>
        <v>2039</v>
      </c>
      <c r="Q46" s="34">
        <f>SUBTOTAL(9,Q44:Q45)</f>
        <v>-1266</v>
      </c>
      <c r="R46" s="34">
        <f>SUBTOTAL(9,R44:R45)</f>
        <v>772</v>
      </c>
      <c r="S46" s="34">
        <f>SUBTOTAL(9,S44:S45)</f>
        <v>616</v>
      </c>
      <c r="T46" s="34">
        <f>R46-S46</f>
        <v>156</v>
      </c>
      <c r="U46" s="38">
        <f>IFERROR((R46/O46)*100%,"∞")</f>
        <v>0.58662613981762923</v>
      </c>
      <c r="V46" s="59">
        <f>O46+W46</f>
        <v>1622</v>
      </c>
      <c r="W46" s="34">
        <f>SUBTOTAL(9,W44:W45)</f>
        <v>306</v>
      </c>
      <c r="X46" s="34">
        <f>SUBTOTAL(9,X44:X45)</f>
        <v>306</v>
      </c>
      <c r="Y46" s="34">
        <f t="shared" ref="Y46" si="54">SUBTOTAL(9,Y44:Y45)</f>
        <v>0</v>
      </c>
      <c r="Z46" s="34">
        <f t="shared" ref="Z46" si="55">SUBTOTAL(9,Z44:Z45)</f>
        <v>306</v>
      </c>
      <c r="AA46" s="34">
        <f t="shared" ref="AA46" si="56">SUBTOTAL(9,AA44:AA45)</f>
        <v>0</v>
      </c>
      <c r="AB46" s="60"/>
      <c r="AC46" s="102">
        <f>SUBTOTAL(9,AC1:AC45)</f>
        <v>0</v>
      </c>
      <c r="AD46" s="34">
        <f>SUBTOTAL(9,AD1:AD45)</f>
        <v>0</v>
      </c>
      <c r="AE46" s="34"/>
      <c r="AF46" s="34"/>
      <c r="AG46" s="103"/>
    </row>
    <row r="47" spans="2:33" ht="13.5" customHeight="1" thickBot="1" x14ac:dyDescent="0.35">
      <c r="B47" s="53" t="s">
        <v>462</v>
      </c>
      <c r="C47" s="35">
        <f t="shared" ref="C47:J47" si="57">SUBTOTAL(9,C39:C46)</f>
        <v>6719</v>
      </c>
      <c r="D47" s="35">
        <f t="shared" si="57"/>
        <v>5500</v>
      </c>
      <c r="E47" s="25">
        <f t="shared" si="57"/>
        <v>-1627</v>
      </c>
      <c r="F47" s="25">
        <f t="shared" si="57"/>
        <v>0</v>
      </c>
      <c r="G47" s="25">
        <f t="shared" si="57"/>
        <v>0</v>
      </c>
      <c r="H47" s="25">
        <f t="shared" si="57"/>
        <v>0</v>
      </c>
      <c r="I47" s="25">
        <f t="shared" si="57"/>
        <v>408</v>
      </c>
      <c r="J47" s="25">
        <f t="shared" si="57"/>
        <v>32</v>
      </c>
      <c r="K47" s="25">
        <f>SUM(E47:J47)</f>
        <v>-1187</v>
      </c>
      <c r="L47" s="35">
        <f t="shared" si="40"/>
        <v>32</v>
      </c>
      <c r="M47" s="35">
        <f t="shared" ref="M47:N47" si="58">SUBTOTAL(9,M39:M46)</f>
        <v>0</v>
      </c>
      <c r="N47" s="35">
        <f t="shared" si="58"/>
        <v>-1187</v>
      </c>
      <c r="O47" s="35">
        <f>SUBTOTAL(9,O39:O46)</f>
        <v>5532</v>
      </c>
      <c r="P47" s="35">
        <f>SUBTOTAL(9,P39:P46)</f>
        <v>8499</v>
      </c>
      <c r="Q47" s="35">
        <f>SUBTOTAL(9,Q39:Q46)</f>
        <v>-6699</v>
      </c>
      <c r="R47" s="35">
        <f>SUBTOTAL(9,R39:R46)</f>
        <v>1800</v>
      </c>
      <c r="S47" s="35">
        <f>SUBTOTAL(9,S39:S46)</f>
        <v>1971</v>
      </c>
      <c r="T47" s="35">
        <f>R47-S47</f>
        <v>-171</v>
      </c>
      <c r="U47" s="39">
        <f>IFERROR((R47/O47)*100%,"∞")</f>
        <v>0.32537960954446854</v>
      </c>
      <c r="V47" s="54">
        <f>O47+W47</f>
        <v>6656</v>
      </c>
      <c r="W47" s="35">
        <f>SUBTOTAL(9,W39:W46)</f>
        <v>1124</v>
      </c>
      <c r="X47" s="35">
        <f>SUBTOTAL(9,X39:X46)</f>
        <v>1246</v>
      </c>
      <c r="Y47" s="35">
        <f t="shared" ref="Y47" si="59">SUBTOTAL(9,Y39:Y46)</f>
        <v>122</v>
      </c>
      <c r="Z47" s="35">
        <f t="shared" ref="Z47" si="60">SUBTOTAL(9,Z39:Z46)</f>
        <v>1246</v>
      </c>
      <c r="AA47" s="35">
        <f t="shared" ref="AA47" si="61">SUBTOTAL(9,AA39:AA46)</f>
        <v>122</v>
      </c>
      <c r="AB47" s="60"/>
      <c r="AC47" s="104">
        <f>SUBTOTAL(9,AC1:AC46)</f>
        <v>0</v>
      </c>
      <c r="AD47" s="104">
        <f>SUBTOTAL(9,AD1:AD46)</f>
        <v>0</v>
      </c>
      <c r="AE47" s="35">
        <f>SUM(AC47:AD47)</f>
        <v>0</v>
      </c>
      <c r="AF47" s="35">
        <f>R47+AE47</f>
        <v>1800</v>
      </c>
      <c r="AG47" s="43">
        <f>AF47-O47</f>
        <v>-3732</v>
      </c>
    </row>
    <row r="48" spans="2:33" ht="13.5" hidden="1" outlineLevel="2" thickTop="1" x14ac:dyDescent="0.3">
      <c r="B48" s="31" t="s">
        <v>77</v>
      </c>
      <c r="C48" s="33">
        <v>701</v>
      </c>
      <c r="D48" s="33">
        <v>374</v>
      </c>
      <c r="E48" s="23">
        <v>-140</v>
      </c>
      <c r="F48" s="23">
        <v>7</v>
      </c>
      <c r="G48" s="23">
        <v>-187</v>
      </c>
      <c r="H48" s="23">
        <v>0</v>
      </c>
      <c r="I48" s="23">
        <v>0</v>
      </c>
      <c r="J48" s="23">
        <v>0</v>
      </c>
      <c r="K48" s="23">
        <f t="shared" si="0"/>
        <v>-320</v>
      </c>
      <c r="L48" s="33">
        <f t="shared" si="40"/>
        <v>7</v>
      </c>
      <c r="M48" s="33">
        <v>-297</v>
      </c>
      <c r="N48" s="33">
        <f>O48-C48-M48</f>
        <v>-23</v>
      </c>
      <c r="O48" s="33">
        <v>381</v>
      </c>
      <c r="P48" s="33">
        <v>261</v>
      </c>
      <c r="Q48" s="33">
        <v>-182</v>
      </c>
      <c r="R48" s="33">
        <v>79</v>
      </c>
      <c r="S48" s="33">
        <v>128</v>
      </c>
      <c r="T48" s="33">
        <f t="shared" si="2"/>
        <v>-49</v>
      </c>
      <c r="U48" s="38">
        <f t="shared" si="3"/>
        <v>0.20734908136482941</v>
      </c>
      <c r="V48" s="59">
        <f t="shared" si="4"/>
        <v>391</v>
      </c>
      <c r="W48" s="33">
        <v>10</v>
      </c>
      <c r="X48" s="33">
        <v>10</v>
      </c>
      <c r="Y48" s="33">
        <f>X48-W48</f>
        <v>0</v>
      </c>
      <c r="Z48" s="33">
        <v>10</v>
      </c>
      <c r="AA48" s="42">
        <f>Z48-W48</f>
        <v>0</v>
      </c>
      <c r="AB48" s="60"/>
      <c r="AC48" s="105"/>
      <c r="AD48" s="93"/>
      <c r="AE48" s="33">
        <f t="shared" si="5"/>
        <v>0</v>
      </c>
      <c r="AF48" s="33">
        <f t="shared" si="6"/>
        <v>79</v>
      </c>
      <c r="AG48" s="101">
        <f t="shared" si="7"/>
        <v>-302</v>
      </c>
    </row>
    <row r="49" spans="2:33" ht="13" hidden="1" outlineLevel="2" x14ac:dyDescent="0.3">
      <c r="B49" s="31" t="s">
        <v>78</v>
      </c>
      <c r="C49" s="33">
        <v>319</v>
      </c>
      <c r="D49" s="33">
        <v>121</v>
      </c>
      <c r="E49" s="23">
        <v>-85</v>
      </c>
      <c r="F49" s="23">
        <v>-2</v>
      </c>
      <c r="G49" s="23">
        <v>-100</v>
      </c>
      <c r="H49" s="23">
        <v>0</v>
      </c>
      <c r="I49" s="23">
        <v>-13</v>
      </c>
      <c r="J49" s="23">
        <v>0</v>
      </c>
      <c r="K49" s="23">
        <f t="shared" si="0"/>
        <v>-200</v>
      </c>
      <c r="L49" s="33">
        <f t="shared" si="40"/>
        <v>-2</v>
      </c>
      <c r="M49" s="33"/>
      <c r="N49" s="33">
        <f t="shared" ref="N49:N50" si="62">O49-C49-M49</f>
        <v>-200</v>
      </c>
      <c r="O49" s="33">
        <v>119</v>
      </c>
      <c r="P49" s="33">
        <v>25</v>
      </c>
      <c r="Q49" s="33">
        <v>-25</v>
      </c>
      <c r="R49" s="33">
        <v>0</v>
      </c>
      <c r="S49" s="33">
        <v>31</v>
      </c>
      <c r="T49" s="33">
        <f t="shared" si="2"/>
        <v>-31</v>
      </c>
      <c r="U49" s="38">
        <f t="shared" si="3"/>
        <v>0</v>
      </c>
      <c r="V49" s="59">
        <f t="shared" si="4"/>
        <v>119</v>
      </c>
      <c r="W49" s="33">
        <v>0</v>
      </c>
      <c r="X49" s="33">
        <v>0</v>
      </c>
      <c r="Y49" s="33">
        <f t="shared" ref="Y49:Y61" si="63">X49-W49</f>
        <v>0</v>
      </c>
      <c r="Z49" s="33"/>
      <c r="AA49" s="42">
        <f t="shared" ref="AA49:AA61" si="64">Z49-W49</f>
        <v>0</v>
      </c>
      <c r="AB49" s="60"/>
      <c r="AC49" s="105"/>
      <c r="AD49" s="93"/>
      <c r="AE49" s="33">
        <f t="shared" si="5"/>
        <v>0</v>
      </c>
      <c r="AF49" s="33">
        <f t="shared" si="6"/>
        <v>0</v>
      </c>
      <c r="AG49" s="101">
        <f t="shared" si="7"/>
        <v>-119</v>
      </c>
    </row>
    <row r="50" spans="2:33" ht="13" hidden="1" outlineLevel="2" x14ac:dyDescent="0.3">
      <c r="B50" s="31" t="s">
        <v>79</v>
      </c>
      <c r="C50" s="33">
        <v>279</v>
      </c>
      <c r="D50" s="33">
        <v>306</v>
      </c>
      <c r="E50" s="23">
        <v>27</v>
      </c>
      <c r="F50" s="23">
        <v>0</v>
      </c>
      <c r="G50" s="23">
        <v>0</v>
      </c>
      <c r="H50" s="23">
        <v>0</v>
      </c>
      <c r="I50" s="23">
        <v>0</v>
      </c>
      <c r="J50" s="23">
        <v>0</v>
      </c>
      <c r="K50" s="23">
        <f t="shared" si="0"/>
        <v>27</v>
      </c>
      <c r="L50" s="33">
        <f t="shared" si="40"/>
        <v>0</v>
      </c>
      <c r="M50" s="33"/>
      <c r="N50" s="33">
        <f t="shared" si="62"/>
        <v>27</v>
      </c>
      <c r="O50" s="33">
        <v>306</v>
      </c>
      <c r="P50" s="33">
        <v>219</v>
      </c>
      <c r="Q50" s="33">
        <v>-137</v>
      </c>
      <c r="R50" s="33">
        <v>82</v>
      </c>
      <c r="S50" s="33">
        <v>153</v>
      </c>
      <c r="T50" s="33">
        <f t="shared" si="2"/>
        <v>-71</v>
      </c>
      <c r="U50" s="38">
        <f t="shared" si="3"/>
        <v>0.26797385620915032</v>
      </c>
      <c r="V50" s="59">
        <f t="shared" si="4"/>
        <v>306</v>
      </c>
      <c r="W50" s="33">
        <v>0</v>
      </c>
      <c r="X50" s="33">
        <v>0</v>
      </c>
      <c r="Y50" s="33">
        <f t="shared" si="63"/>
        <v>0</v>
      </c>
      <c r="Z50" s="33"/>
      <c r="AA50" s="42">
        <f t="shared" si="64"/>
        <v>0</v>
      </c>
      <c r="AB50" s="60"/>
      <c r="AC50" s="105"/>
      <c r="AD50" s="93"/>
      <c r="AE50" s="33">
        <f t="shared" si="5"/>
        <v>0</v>
      </c>
      <c r="AF50" s="33">
        <f t="shared" si="6"/>
        <v>82</v>
      </c>
      <c r="AG50" s="101">
        <f t="shared" si="7"/>
        <v>-224</v>
      </c>
    </row>
    <row r="51" spans="2:33" ht="13.5" outlineLevel="1" collapsed="1" thickTop="1" x14ac:dyDescent="0.3">
      <c r="B51" s="32" t="s">
        <v>80</v>
      </c>
      <c r="C51" s="34">
        <f t="shared" ref="C51:J51" si="65">SUBTOTAL(9,C48:C50)</f>
        <v>1299</v>
      </c>
      <c r="D51" s="34">
        <f t="shared" si="65"/>
        <v>801</v>
      </c>
      <c r="E51" s="24">
        <f t="shared" si="65"/>
        <v>-198</v>
      </c>
      <c r="F51" s="24">
        <f t="shared" si="65"/>
        <v>5</v>
      </c>
      <c r="G51" s="24">
        <f t="shared" si="65"/>
        <v>-287</v>
      </c>
      <c r="H51" s="24">
        <f t="shared" si="65"/>
        <v>0</v>
      </c>
      <c r="I51" s="24">
        <f t="shared" si="65"/>
        <v>-13</v>
      </c>
      <c r="J51" s="24">
        <f t="shared" si="65"/>
        <v>0</v>
      </c>
      <c r="K51" s="24">
        <f>SUM(E51:J51)</f>
        <v>-493</v>
      </c>
      <c r="L51" s="34">
        <f t="shared" si="40"/>
        <v>5</v>
      </c>
      <c r="M51" s="34">
        <f t="shared" ref="M51:N51" si="66">SUBTOTAL(9,M48:M50)</f>
        <v>-297</v>
      </c>
      <c r="N51" s="34">
        <f t="shared" si="66"/>
        <v>-196</v>
      </c>
      <c r="O51" s="34">
        <f>SUBTOTAL(9,O48:O50)</f>
        <v>806</v>
      </c>
      <c r="P51" s="34">
        <f>SUBTOTAL(9,P48:P50)</f>
        <v>505</v>
      </c>
      <c r="Q51" s="34">
        <f>SUBTOTAL(9,Q48:Q50)</f>
        <v>-344</v>
      </c>
      <c r="R51" s="34">
        <f>SUBTOTAL(9,R48:R50)</f>
        <v>161</v>
      </c>
      <c r="S51" s="34">
        <f>SUBTOTAL(9,S48:S50)</f>
        <v>312</v>
      </c>
      <c r="T51" s="34">
        <f>R51-S51</f>
        <v>-151</v>
      </c>
      <c r="U51" s="38">
        <f>IFERROR((R51/O51)*100%,"∞")</f>
        <v>0.19975186104218362</v>
      </c>
      <c r="V51" s="59">
        <f>O51+W51</f>
        <v>816</v>
      </c>
      <c r="W51" s="34">
        <f>SUBTOTAL(9,W48:W50)</f>
        <v>10</v>
      </c>
      <c r="X51" s="34">
        <f>SUBTOTAL(9,X48:X50)</f>
        <v>10</v>
      </c>
      <c r="Y51" s="34">
        <f t="shared" ref="Y51:AA51" si="67">SUBTOTAL(9,Y48:Y50)</f>
        <v>0</v>
      </c>
      <c r="Z51" s="34">
        <f t="shared" si="67"/>
        <v>10</v>
      </c>
      <c r="AA51" s="34">
        <f t="shared" si="67"/>
        <v>0</v>
      </c>
      <c r="AB51" s="60"/>
      <c r="AC51" s="102">
        <f>SUBTOTAL(9,AC1:AC50)</f>
        <v>0</v>
      </c>
      <c r="AD51" s="34">
        <f>SUBTOTAL(9,AD1:AD50)</f>
        <v>0</v>
      </c>
      <c r="AE51" s="34"/>
      <c r="AF51" s="34"/>
      <c r="AG51" s="103"/>
    </row>
    <row r="52" spans="2:33" ht="13" hidden="1" outlineLevel="2" x14ac:dyDescent="0.3">
      <c r="B52" s="31" t="s">
        <v>82</v>
      </c>
      <c r="C52" s="33">
        <v>-2306</v>
      </c>
      <c r="D52" s="33">
        <v>-2306</v>
      </c>
      <c r="E52" s="23">
        <v>0</v>
      </c>
      <c r="F52" s="23">
        <v>0</v>
      </c>
      <c r="G52" s="23">
        <v>0</v>
      </c>
      <c r="H52" s="23">
        <v>0</v>
      </c>
      <c r="I52" s="23">
        <v>0</v>
      </c>
      <c r="J52" s="23">
        <v>0</v>
      </c>
      <c r="K52" s="23">
        <f t="shared" si="0"/>
        <v>0</v>
      </c>
      <c r="L52" s="33">
        <f t="shared" si="40"/>
        <v>0</v>
      </c>
      <c r="M52" s="33"/>
      <c r="N52" s="33">
        <f>O52-C52-M52</f>
        <v>0</v>
      </c>
      <c r="O52" s="33">
        <v>-2306</v>
      </c>
      <c r="P52" s="33">
        <v>3171</v>
      </c>
      <c r="Q52" s="33">
        <v>-1377</v>
      </c>
      <c r="R52" s="33">
        <v>1794</v>
      </c>
      <c r="S52" s="33">
        <v>-569</v>
      </c>
      <c r="T52" s="33">
        <f t="shared" si="2"/>
        <v>2363</v>
      </c>
      <c r="U52" s="38">
        <f t="shared" si="3"/>
        <v>-0.77797051170858633</v>
      </c>
      <c r="V52" s="59">
        <f t="shared" si="4"/>
        <v>494</v>
      </c>
      <c r="W52" s="33">
        <v>2800</v>
      </c>
      <c r="X52" s="33">
        <v>2800</v>
      </c>
      <c r="Y52" s="33">
        <f t="shared" si="63"/>
        <v>0</v>
      </c>
      <c r="Z52" s="33">
        <v>2800</v>
      </c>
      <c r="AA52" s="42">
        <f t="shared" si="64"/>
        <v>0</v>
      </c>
      <c r="AB52" s="60"/>
      <c r="AC52" s="105"/>
      <c r="AD52" s="93"/>
      <c r="AE52" s="33">
        <f t="shared" si="5"/>
        <v>0</v>
      </c>
      <c r="AF52" s="33">
        <f t="shared" si="6"/>
        <v>1794</v>
      </c>
      <c r="AG52" s="101">
        <f t="shared" si="7"/>
        <v>4100</v>
      </c>
    </row>
    <row r="53" spans="2:33" ht="13" hidden="1" outlineLevel="2" x14ac:dyDescent="0.3">
      <c r="B53" s="31" t="s">
        <v>83</v>
      </c>
      <c r="C53" s="33">
        <v>6273</v>
      </c>
      <c r="D53" s="33">
        <v>6273</v>
      </c>
      <c r="E53" s="23">
        <v>0</v>
      </c>
      <c r="F53" s="23">
        <v>0</v>
      </c>
      <c r="G53" s="23">
        <v>0</v>
      </c>
      <c r="H53" s="23">
        <v>0</v>
      </c>
      <c r="I53" s="23">
        <v>0</v>
      </c>
      <c r="J53" s="23">
        <v>0</v>
      </c>
      <c r="K53" s="23">
        <f t="shared" si="0"/>
        <v>0</v>
      </c>
      <c r="L53" s="33">
        <f t="shared" si="40"/>
        <v>0</v>
      </c>
      <c r="M53" s="33"/>
      <c r="N53" s="33">
        <f t="shared" ref="N53:N61" si="68">O53-C53-M53</f>
        <v>0</v>
      </c>
      <c r="O53" s="33">
        <v>6273</v>
      </c>
      <c r="P53" s="33">
        <v>3984</v>
      </c>
      <c r="Q53" s="33">
        <v>-920</v>
      </c>
      <c r="R53" s="33">
        <v>3064</v>
      </c>
      <c r="S53" s="33">
        <v>2992</v>
      </c>
      <c r="T53" s="33">
        <f t="shared" si="2"/>
        <v>72</v>
      </c>
      <c r="U53" s="38">
        <f t="shared" si="3"/>
        <v>0.48844253148413835</v>
      </c>
      <c r="V53" s="59">
        <f t="shared" si="4"/>
        <v>6323</v>
      </c>
      <c r="W53" s="33">
        <v>50</v>
      </c>
      <c r="X53" s="33">
        <v>50</v>
      </c>
      <c r="Y53" s="33">
        <f t="shared" si="63"/>
        <v>0</v>
      </c>
      <c r="Z53" s="33">
        <v>50</v>
      </c>
      <c r="AA53" s="42">
        <f t="shared" si="64"/>
        <v>0</v>
      </c>
      <c r="AB53" s="60"/>
      <c r="AC53" s="105"/>
      <c r="AD53" s="93"/>
      <c r="AE53" s="33">
        <f t="shared" si="5"/>
        <v>0</v>
      </c>
      <c r="AF53" s="33">
        <f t="shared" si="6"/>
        <v>3064</v>
      </c>
      <c r="AG53" s="101">
        <f t="shared" si="7"/>
        <v>-3209</v>
      </c>
    </row>
    <row r="54" spans="2:33" ht="13" hidden="1" outlineLevel="2" x14ac:dyDescent="0.3">
      <c r="B54" s="31" t="s">
        <v>84</v>
      </c>
      <c r="C54" s="33">
        <v>6199</v>
      </c>
      <c r="D54" s="33">
        <v>6096</v>
      </c>
      <c r="E54" s="23">
        <v>0</v>
      </c>
      <c r="F54" s="23">
        <v>0</v>
      </c>
      <c r="G54" s="23">
        <v>-103</v>
      </c>
      <c r="H54" s="23">
        <v>0</v>
      </c>
      <c r="I54" s="23">
        <v>0</v>
      </c>
      <c r="J54" s="23">
        <v>0</v>
      </c>
      <c r="K54" s="23">
        <f t="shared" si="0"/>
        <v>-103</v>
      </c>
      <c r="L54" s="33">
        <f t="shared" si="40"/>
        <v>0</v>
      </c>
      <c r="M54" s="33">
        <v>-103</v>
      </c>
      <c r="N54" s="33">
        <f t="shared" si="68"/>
        <v>0</v>
      </c>
      <c r="O54" s="33">
        <v>6096</v>
      </c>
      <c r="P54" s="33">
        <v>3066</v>
      </c>
      <c r="Q54" s="33">
        <v>-10</v>
      </c>
      <c r="R54" s="33">
        <v>3056</v>
      </c>
      <c r="S54" s="33">
        <v>3063</v>
      </c>
      <c r="T54" s="33">
        <f t="shared" si="2"/>
        <v>-7</v>
      </c>
      <c r="U54" s="38">
        <f t="shared" si="3"/>
        <v>0.50131233595800528</v>
      </c>
      <c r="V54" s="59">
        <f t="shared" si="4"/>
        <v>6096</v>
      </c>
      <c r="W54" s="33">
        <v>0</v>
      </c>
      <c r="X54" s="33">
        <v>0</v>
      </c>
      <c r="Y54" s="33">
        <f t="shared" si="63"/>
        <v>0</v>
      </c>
      <c r="Z54" s="33"/>
      <c r="AA54" s="42">
        <f t="shared" si="64"/>
        <v>0</v>
      </c>
      <c r="AB54" s="60"/>
      <c r="AC54" s="105"/>
      <c r="AD54" s="93"/>
      <c r="AE54" s="33">
        <f t="shared" si="5"/>
        <v>0</v>
      </c>
      <c r="AF54" s="33">
        <f t="shared" si="6"/>
        <v>3056</v>
      </c>
      <c r="AG54" s="101">
        <f t="shared" si="7"/>
        <v>-3040</v>
      </c>
    </row>
    <row r="55" spans="2:33" ht="13" hidden="1" outlineLevel="2" x14ac:dyDescent="0.3">
      <c r="B55" s="31" t="s">
        <v>85</v>
      </c>
      <c r="C55" s="33">
        <v>3229</v>
      </c>
      <c r="D55" s="33">
        <v>3166</v>
      </c>
      <c r="E55" s="23">
        <v>0</v>
      </c>
      <c r="F55" s="23">
        <v>0</v>
      </c>
      <c r="G55" s="23">
        <v>-63</v>
      </c>
      <c r="H55" s="23">
        <v>0</v>
      </c>
      <c r="I55" s="23">
        <v>0</v>
      </c>
      <c r="J55" s="23">
        <v>0</v>
      </c>
      <c r="K55" s="23">
        <f t="shared" si="0"/>
        <v>-63</v>
      </c>
      <c r="L55" s="33">
        <f t="shared" si="40"/>
        <v>0</v>
      </c>
      <c r="M55" s="33">
        <v>-63</v>
      </c>
      <c r="N55" s="33">
        <f t="shared" si="68"/>
        <v>0</v>
      </c>
      <c r="O55" s="33">
        <v>3166</v>
      </c>
      <c r="P55" s="33">
        <v>1637</v>
      </c>
      <c r="Q55" s="33">
        <v>-12</v>
      </c>
      <c r="R55" s="33">
        <v>1624</v>
      </c>
      <c r="S55" s="33">
        <v>1592</v>
      </c>
      <c r="T55" s="33">
        <f t="shared" si="2"/>
        <v>32</v>
      </c>
      <c r="U55" s="38">
        <f t="shared" si="3"/>
        <v>0.51295009475679088</v>
      </c>
      <c r="V55" s="59">
        <f t="shared" si="4"/>
        <v>3166</v>
      </c>
      <c r="W55" s="33">
        <v>0</v>
      </c>
      <c r="X55" s="33">
        <v>0</v>
      </c>
      <c r="Y55" s="33">
        <f t="shared" si="63"/>
        <v>0</v>
      </c>
      <c r="Z55" s="33"/>
      <c r="AA55" s="42">
        <f t="shared" si="64"/>
        <v>0</v>
      </c>
      <c r="AB55" s="60"/>
      <c r="AC55" s="105"/>
      <c r="AD55" s="93"/>
      <c r="AE55" s="33">
        <f t="shared" si="5"/>
        <v>0</v>
      </c>
      <c r="AF55" s="33">
        <f t="shared" si="6"/>
        <v>1624</v>
      </c>
      <c r="AG55" s="101">
        <f t="shared" si="7"/>
        <v>-1542</v>
      </c>
    </row>
    <row r="56" spans="2:33" ht="13" hidden="1" outlineLevel="2" x14ac:dyDescent="0.3">
      <c r="B56" s="31" t="s">
        <v>86</v>
      </c>
      <c r="C56" s="33">
        <v>263</v>
      </c>
      <c r="D56" s="33">
        <v>263</v>
      </c>
      <c r="E56" s="23">
        <v>0</v>
      </c>
      <c r="F56" s="23">
        <v>0</v>
      </c>
      <c r="G56" s="23">
        <v>0</v>
      </c>
      <c r="H56" s="23">
        <v>0</v>
      </c>
      <c r="I56" s="23">
        <v>0</v>
      </c>
      <c r="J56" s="23">
        <v>0</v>
      </c>
      <c r="K56" s="23">
        <f t="shared" si="0"/>
        <v>0</v>
      </c>
      <c r="L56" s="33">
        <f t="shared" si="40"/>
        <v>0</v>
      </c>
      <c r="M56" s="33"/>
      <c r="N56" s="33">
        <f t="shared" si="68"/>
        <v>0</v>
      </c>
      <c r="O56" s="33">
        <v>263</v>
      </c>
      <c r="P56" s="33">
        <v>131</v>
      </c>
      <c r="Q56" s="33">
        <v>0</v>
      </c>
      <c r="R56" s="33">
        <v>131</v>
      </c>
      <c r="S56" s="33">
        <v>131</v>
      </c>
      <c r="T56" s="33">
        <f t="shared" si="2"/>
        <v>0</v>
      </c>
      <c r="U56" s="38">
        <f t="shared" si="3"/>
        <v>0.49809885931558934</v>
      </c>
      <c r="V56" s="59">
        <f t="shared" si="4"/>
        <v>263</v>
      </c>
      <c r="W56" s="33">
        <v>0</v>
      </c>
      <c r="X56" s="33">
        <v>0</v>
      </c>
      <c r="Y56" s="33">
        <f t="shared" si="63"/>
        <v>0</v>
      </c>
      <c r="Z56" s="33"/>
      <c r="AA56" s="42">
        <f t="shared" si="64"/>
        <v>0</v>
      </c>
      <c r="AB56" s="60"/>
      <c r="AC56" s="105"/>
      <c r="AD56" s="93"/>
      <c r="AE56" s="33">
        <f t="shared" si="5"/>
        <v>0</v>
      </c>
      <c r="AF56" s="33">
        <f t="shared" si="6"/>
        <v>131</v>
      </c>
      <c r="AG56" s="101">
        <f t="shared" si="7"/>
        <v>-132</v>
      </c>
    </row>
    <row r="57" spans="2:33" ht="13" hidden="1" outlineLevel="2" x14ac:dyDescent="0.3">
      <c r="B57" s="31" t="s">
        <v>87</v>
      </c>
      <c r="C57" s="33">
        <v>0</v>
      </c>
      <c r="D57" s="33">
        <v>0</v>
      </c>
      <c r="E57" s="23">
        <v>0</v>
      </c>
      <c r="F57" s="23">
        <v>0</v>
      </c>
      <c r="G57" s="23">
        <v>0</v>
      </c>
      <c r="H57" s="23">
        <v>0</v>
      </c>
      <c r="I57" s="23">
        <v>0</v>
      </c>
      <c r="J57" s="23">
        <v>0</v>
      </c>
      <c r="K57" s="23">
        <f t="shared" si="0"/>
        <v>0</v>
      </c>
      <c r="L57" s="33">
        <f t="shared" si="40"/>
        <v>0</v>
      </c>
      <c r="M57" s="33"/>
      <c r="N57" s="33">
        <f t="shared" si="68"/>
        <v>0</v>
      </c>
      <c r="O57" s="33">
        <v>0</v>
      </c>
      <c r="P57" s="33">
        <v>1118</v>
      </c>
      <c r="Q57" s="33">
        <v>-1092</v>
      </c>
      <c r="R57" s="33">
        <v>27</v>
      </c>
      <c r="S57" s="33">
        <v>0</v>
      </c>
      <c r="T57" s="33">
        <f t="shared" si="2"/>
        <v>27</v>
      </c>
      <c r="U57" s="38" t="str">
        <f t="shared" si="3"/>
        <v>∞</v>
      </c>
      <c r="V57" s="59">
        <f t="shared" si="4"/>
        <v>0</v>
      </c>
      <c r="W57" s="33">
        <v>0</v>
      </c>
      <c r="X57" s="33">
        <v>0</v>
      </c>
      <c r="Y57" s="33">
        <f t="shared" si="63"/>
        <v>0</v>
      </c>
      <c r="Z57" s="33"/>
      <c r="AA57" s="42">
        <f t="shared" si="64"/>
        <v>0</v>
      </c>
      <c r="AB57" s="60"/>
      <c r="AC57" s="105"/>
      <c r="AD57" s="93"/>
      <c r="AE57" s="33">
        <f t="shared" si="5"/>
        <v>0</v>
      </c>
      <c r="AF57" s="33">
        <f t="shared" si="6"/>
        <v>27</v>
      </c>
      <c r="AG57" s="101">
        <f t="shared" si="7"/>
        <v>27</v>
      </c>
    </row>
    <row r="58" spans="2:33" ht="13" hidden="1" outlineLevel="2" x14ac:dyDescent="0.3">
      <c r="B58" s="31" t="s">
        <v>88</v>
      </c>
      <c r="C58" s="33">
        <v>-1960</v>
      </c>
      <c r="D58" s="33">
        <v>-1960</v>
      </c>
      <c r="E58" s="23">
        <v>0</v>
      </c>
      <c r="F58" s="23">
        <v>0</v>
      </c>
      <c r="G58" s="23">
        <v>0</v>
      </c>
      <c r="H58" s="23">
        <v>0</v>
      </c>
      <c r="I58" s="23">
        <v>0</v>
      </c>
      <c r="J58" s="23">
        <v>0</v>
      </c>
      <c r="K58" s="23">
        <f t="shared" si="0"/>
        <v>0</v>
      </c>
      <c r="L58" s="33">
        <f t="shared" si="40"/>
        <v>0</v>
      </c>
      <c r="M58" s="33"/>
      <c r="N58" s="33">
        <f t="shared" si="68"/>
        <v>0</v>
      </c>
      <c r="O58" s="33">
        <v>-1960</v>
      </c>
      <c r="P58" s="33">
        <v>56</v>
      </c>
      <c r="Q58" s="33">
        <v>-27</v>
      </c>
      <c r="R58" s="33">
        <v>30</v>
      </c>
      <c r="S58" s="33">
        <v>56</v>
      </c>
      <c r="T58" s="33">
        <f t="shared" si="2"/>
        <v>-26</v>
      </c>
      <c r="U58" s="38">
        <f t="shared" si="3"/>
        <v>-1.5306122448979591E-2</v>
      </c>
      <c r="V58" s="59">
        <f t="shared" si="4"/>
        <v>-1960</v>
      </c>
      <c r="W58" s="33">
        <v>0</v>
      </c>
      <c r="X58" s="33">
        <v>0</v>
      </c>
      <c r="Y58" s="33">
        <f t="shared" si="63"/>
        <v>0</v>
      </c>
      <c r="Z58" s="33"/>
      <c r="AA58" s="42">
        <f t="shared" si="64"/>
        <v>0</v>
      </c>
      <c r="AB58" s="60"/>
      <c r="AC58" s="105"/>
      <c r="AD58" s="93"/>
      <c r="AE58" s="33">
        <f t="shared" si="5"/>
        <v>0</v>
      </c>
      <c r="AF58" s="33">
        <f t="shared" si="6"/>
        <v>30</v>
      </c>
      <c r="AG58" s="101">
        <f t="shared" si="7"/>
        <v>1990</v>
      </c>
    </row>
    <row r="59" spans="2:33" ht="13" hidden="1" outlineLevel="2" x14ac:dyDescent="0.3">
      <c r="B59" s="31" t="s">
        <v>89</v>
      </c>
      <c r="C59" s="33">
        <v>-1426</v>
      </c>
      <c r="D59" s="33">
        <v>-1426</v>
      </c>
      <c r="E59" s="23">
        <v>0</v>
      </c>
      <c r="F59" s="23">
        <v>0</v>
      </c>
      <c r="G59" s="23">
        <v>0</v>
      </c>
      <c r="H59" s="23">
        <v>0</v>
      </c>
      <c r="I59" s="23">
        <v>0</v>
      </c>
      <c r="J59" s="23">
        <v>0</v>
      </c>
      <c r="K59" s="23">
        <f t="shared" si="0"/>
        <v>0</v>
      </c>
      <c r="L59" s="33">
        <f t="shared" si="40"/>
        <v>0</v>
      </c>
      <c r="M59" s="33"/>
      <c r="N59" s="33">
        <f t="shared" si="68"/>
        <v>0</v>
      </c>
      <c r="O59" s="33">
        <v>-1426</v>
      </c>
      <c r="P59" s="33">
        <v>0</v>
      </c>
      <c r="Q59" s="33">
        <v>0</v>
      </c>
      <c r="R59" s="33">
        <v>0</v>
      </c>
      <c r="S59" s="33">
        <v>0</v>
      </c>
      <c r="T59" s="33">
        <f t="shared" si="2"/>
        <v>0</v>
      </c>
      <c r="U59" s="38">
        <f t="shared" si="3"/>
        <v>0</v>
      </c>
      <c r="V59" s="59">
        <f t="shared" si="4"/>
        <v>-271</v>
      </c>
      <c r="W59" s="33">
        <v>1155</v>
      </c>
      <c r="X59" s="33">
        <v>1155</v>
      </c>
      <c r="Y59" s="33">
        <f t="shared" si="63"/>
        <v>0</v>
      </c>
      <c r="Z59" s="33">
        <v>1155</v>
      </c>
      <c r="AA59" s="42">
        <f t="shared" si="64"/>
        <v>0</v>
      </c>
      <c r="AB59" s="60"/>
      <c r="AC59" s="105"/>
      <c r="AD59" s="93"/>
      <c r="AE59" s="33">
        <f t="shared" si="5"/>
        <v>0</v>
      </c>
      <c r="AF59" s="33">
        <f t="shared" si="6"/>
        <v>0</v>
      </c>
      <c r="AG59" s="101">
        <f t="shared" si="7"/>
        <v>1426</v>
      </c>
    </row>
    <row r="60" spans="2:33" ht="13" hidden="1" outlineLevel="2" x14ac:dyDescent="0.3">
      <c r="B60" s="31" t="s">
        <v>90</v>
      </c>
      <c r="C60" s="33">
        <v>71</v>
      </c>
      <c r="D60" s="33">
        <v>71</v>
      </c>
      <c r="E60" s="23">
        <v>0</v>
      </c>
      <c r="F60" s="23">
        <v>0</v>
      </c>
      <c r="G60" s="23">
        <v>0</v>
      </c>
      <c r="H60" s="23">
        <v>0</v>
      </c>
      <c r="I60" s="23">
        <v>0</v>
      </c>
      <c r="J60" s="23">
        <v>0</v>
      </c>
      <c r="K60" s="23">
        <f t="shared" si="0"/>
        <v>0</v>
      </c>
      <c r="L60" s="33">
        <f t="shared" si="40"/>
        <v>0</v>
      </c>
      <c r="M60" s="33"/>
      <c r="N60" s="33">
        <f t="shared" si="68"/>
        <v>0</v>
      </c>
      <c r="O60" s="33">
        <v>71</v>
      </c>
      <c r="P60" s="33">
        <v>93</v>
      </c>
      <c r="Q60" s="33">
        <v>-12</v>
      </c>
      <c r="R60" s="33">
        <v>81</v>
      </c>
      <c r="S60" s="33">
        <v>35</v>
      </c>
      <c r="T60" s="33">
        <f t="shared" si="2"/>
        <v>46</v>
      </c>
      <c r="U60" s="38">
        <f t="shared" si="3"/>
        <v>1.1408450704225352</v>
      </c>
      <c r="V60" s="59">
        <f t="shared" si="4"/>
        <v>71</v>
      </c>
      <c r="W60" s="33">
        <v>0</v>
      </c>
      <c r="X60" s="33">
        <v>0</v>
      </c>
      <c r="Y60" s="33">
        <f t="shared" si="63"/>
        <v>0</v>
      </c>
      <c r="Z60" s="33"/>
      <c r="AA60" s="42">
        <f t="shared" si="64"/>
        <v>0</v>
      </c>
      <c r="AB60" s="60"/>
      <c r="AC60" s="105"/>
      <c r="AD60" s="93"/>
      <c r="AE60" s="33">
        <f t="shared" si="5"/>
        <v>0</v>
      </c>
      <c r="AF60" s="33">
        <f t="shared" si="6"/>
        <v>81</v>
      </c>
      <c r="AG60" s="101">
        <f t="shared" si="7"/>
        <v>10</v>
      </c>
    </row>
    <row r="61" spans="2:33" ht="13" hidden="1" outlineLevel="2" x14ac:dyDescent="0.3">
      <c r="B61" s="31" t="s">
        <v>91</v>
      </c>
      <c r="C61" s="33">
        <v>-226</v>
      </c>
      <c r="D61" s="33">
        <v>-226</v>
      </c>
      <c r="E61" s="23">
        <v>0</v>
      </c>
      <c r="F61" s="23">
        <v>0</v>
      </c>
      <c r="G61" s="23">
        <v>0</v>
      </c>
      <c r="H61" s="23">
        <v>0</v>
      </c>
      <c r="I61" s="23">
        <v>0</v>
      </c>
      <c r="J61" s="23">
        <v>0</v>
      </c>
      <c r="K61" s="23">
        <f t="shared" si="0"/>
        <v>0</v>
      </c>
      <c r="L61" s="33">
        <f t="shared" si="40"/>
        <v>0</v>
      </c>
      <c r="M61" s="33"/>
      <c r="N61" s="33">
        <f t="shared" si="68"/>
        <v>0</v>
      </c>
      <c r="O61" s="33">
        <v>-226</v>
      </c>
      <c r="P61" s="33">
        <v>19</v>
      </c>
      <c r="Q61" s="33">
        <v>-21</v>
      </c>
      <c r="R61" s="33">
        <v>-2</v>
      </c>
      <c r="S61" s="33">
        <v>6</v>
      </c>
      <c r="T61" s="33">
        <f t="shared" si="2"/>
        <v>-8</v>
      </c>
      <c r="U61" s="38">
        <f t="shared" si="3"/>
        <v>8.8495575221238937E-3</v>
      </c>
      <c r="V61" s="59">
        <f t="shared" si="4"/>
        <v>-226</v>
      </c>
      <c r="W61" s="33">
        <v>0</v>
      </c>
      <c r="X61" s="33">
        <v>0</v>
      </c>
      <c r="Y61" s="33">
        <f t="shared" si="63"/>
        <v>0</v>
      </c>
      <c r="Z61" s="33"/>
      <c r="AA61" s="42">
        <f t="shared" si="64"/>
        <v>0</v>
      </c>
      <c r="AB61" s="60"/>
      <c r="AC61" s="105"/>
      <c r="AD61" s="93"/>
      <c r="AE61" s="33">
        <f t="shared" si="5"/>
        <v>0</v>
      </c>
      <c r="AF61" s="33">
        <f t="shared" si="6"/>
        <v>-2</v>
      </c>
      <c r="AG61" s="101">
        <f t="shared" si="7"/>
        <v>224</v>
      </c>
    </row>
    <row r="62" spans="2:33" ht="13" outlineLevel="1" collapsed="1" x14ac:dyDescent="0.3">
      <c r="B62" s="32" t="s">
        <v>92</v>
      </c>
      <c r="C62" s="34">
        <f t="shared" ref="C62:J62" si="69">SUBTOTAL(9,C52:C61)</f>
        <v>10117</v>
      </c>
      <c r="D62" s="34">
        <f t="shared" si="69"/>
        <v>9951</v>
      </c>
      <c r="E62" s="24">
        <f t="shared" si="69"/>
        <v>0</v>
      </c>
      <c r="F62" s="24">
        <f t="shared" si="69"/>
        <v>0</v>
      </c>
      <c r="G62" s="24">
        <f t="shared" si="69"/>
        <v>-166</v>
      </c>
      <c r="H62" s="24">
        <f t="shared" si="69"/>
        <v>0</v>
      </c>
      <c r="I62" s="24">
        <f t="shared" si="69"/>
        <v>0</v>
      </c>
      <c r="J62" s="24">
        <f t="shared" si="69"/>
        <v>0</v>
      </c>
      <c r="K62" s="24">
        <f>SUM(E62:J62)</f>
        <v>-166</v>
      </c>
      <c r="L62" s="34">
        <f t="shared" si="40"/>
        <v>0</v>
      </c>
      <c r="M62" s="34">
        <f t="shared" ref="M62:N62" si="70">SUBTOTAL(9,M52:M61)</f>
        <v>-166</v>
      </c>
      <c r="N62" s="34">
        <f t="shared" si="70"/>
        <v>0</v>
      </c>
      <c r="O62" s="34">
        <f>SUBTOTAL(9,O52:O61)</f>
        <v>9951</v>
      </c>
      <c r="P62" s="34">
        <f>SUBTOTAL(9,P52:P61)</f>
        <v>13275</v>
      </c>
      <c r="Q62" s="34">
        <f>SUBTOTAL(9,Q52:Q61)</f>
        <v>-3471</v>
      </c>
      <c r="R62" s="34">
        <f>SUBTOTAL(9,R52:R61)</f>
        <v>9805</v>
      </c>
      <c r="S62" s="34">
        <f>SUBTOTAL(9,S52:S61)</f>
        <v>7306</v>
      </c>
      <c r="T62" s="34">
        <f>R62-S62</f>
        <v>2499</v>
      </c>
      <c r="U62" s="38">
        <f>IFERROR((R62/O62)*100%,"∞")</f>
        <v>0.9853281077278665</v>
      </c>
      <c r="V62" s="59">
        <f>O62+W62</f>
        <v>13956</v>
      </c>
      <c r="W62" s="34">
        <f>SUBTOTAL(9,W52:W61)</f>
        <v>4005</v>
      </c>
      <c r="X62" s="34">
        <f>SUBTOTAL(9,X52:X61)</f>
        <v>4005</v>
      </c>
      <c r="Y62" s="34">
        <f t="shared" ref="Y62:AA62" si="71">SUBTOTAL(9,Y52:Y61)</f>
        <v>0</v>
      </c>
      <c r="Z62" s="34">
        <f t="shared" si="71"/>
        <v>4005</v>
      </c>
      <c r="AA62" s="34">
        <f t="shared" si="71"/>
        <v>0</v>
      </c>
      <c r="AB62" s="60"/>
      <c r="AC62" s="102">
        <f>SUBTOTAL(9,AC1:AC61)</f>
        <v>0</v>
      </c>
      <c r="AD62" s="34">
        <f>SUBTOTAL(9,AD1:AD61)</f>
        <v>0</v>
      </c>
      <c r="AE62" s="34"/>
      <c r="AF62" s="34"/>
      <c r="AG62" s="103"/>
    </row>
    <row r="63" spans="2:33" ht="13.5" customHeight="1" thickBot="1" x14ac:dyDescent="0.35">
      <c r="B63" s="53" t="s">
        <v>93</v>
      </c>
      <c r="C63" s="35">
        <f t="shared" ref="C63:J63" si="72">SUBTOTAL(9,C48:C62)</f>
        <v>11416</v>
      </c>
      <c r="D63" s="35">
        <f t="shared" si="72"/>
        <v>10752</v>
      </c>
      <c r="E63" s="25">
        <f t="shared" si="72"/>
        <v>-198</v>
      </c>
      <c r="F63" s="25">
        <f t="shared" si="72"/>
        <v>5</v>
      </c>
      <c r="G63" s="25">
        <f t="shared" si="72"/>
        <v>-453</v>
      </c>
      <c r="H63" s="25">
        <f t="shared" si="72"/>
        <v>0</v>
      </c>
      <c r="I63" s="25">
        <f t="shared" si="72"/>
        <v>-13</v>
      </c>
      <c r="J63" s="25">
        <f t="shared" si="72"/>
        <v>0</v>
      </c>
      <c r="K63" s="25">
        <f>SUM(E63:J63)</f>
        <v>-659</v>
      </c>
      <c r="L63" s="35">
        <f t="shared" si="40"/>
        <v>5</v>
      </c>
      <c r="M63" s="35">
        <f t="shared" ref="M63:N63" si="73">SUBTOTAL(9,M48:M62)</f>
        <v>-463</v>
      </c>
      <c r="N63" s="35">
        <f t="shared" si="73"/>
        <v>-196</v>
      </c>
      <c r="O63" s="35">
        <f>SUBTOTAL(9,O48:O62)</f>
        <v>10757</v>
      </c>
      <c r="P63" s="35">
        <f>SUBTOTAL(9,P48:P62)</f>
        <v>13780</v>
      </c>
      <c r="Q63" s="35">
        <f>SUBTOTAL(9,Q48:Q62)</f>
        <v>-3815</v>
      </c>
      <c r="R63" s="35">
        <f>SUBTOTAL(9,R48:R62)</f>
        <v>9966</v>
      </c>
      <c r="S63" s="35">
        <f>SUBTOTAL(9,S48:S62)</f>
        <v>7618</v>
      </c>
      <c r="T63" s="35">
        <f>R63-S63</f>
        <v>2348</v>
      </c>
      <c r="U63" s="39">
        <f>IFERROR((R63/O63)*100%,"∞")</f>
        <v>0.92646648693873757</v>
      </c>
      <c r="V63" s="54">
        <f>O63+W63</f>
        <v>14772</v>
      </c>
      <c r="W63" s="35">
        <f>SUBTOTAL(9,W48:W62)</f>
        <v>4015</v>
      </c>
      <c r="X63" s="35">
        <f>SUBTOTAL(9,X48:X62)</f>
        <v>4015</v>
      </c>
      <c r="Y63" s="35">
        <f t="shared" ref="Y63:AA63" si="74">SUBTOTAL(9,Y48:Y62)</f>
        <v>0</v>
      </c>
      <c r="Z63" s="35">
        <f t="shared" si="74"/>
        <v>4015</v>
      </c>
      <c r="AA63" s="35">
        <f t="shared" si="74"/>
        <v>0</v>
      </c>
      <c r="AB63" s="60"/>
      <c r="AC63" s="104">
        <f>SUBTOTAL(9,AC1:AC62)</f>
        <v>0</v>
      </c>
      <c r="AD63" s="104">
        <f>SUBTOTAL(9,AD1:AD62)</f>
        <v>0</v>
      </c>
      <c r="AE63" s="35">
        <f>SUM(AC63:AD63)</f>
        <v>0</v>
      </c>
      <c r="AF63" s="35">
        <f>R63+AE63</f>
        <v>9966</v>
      </c>
      <c r="AG63" s="43">
        <f>AF63-O63</f>
        <v>-791</v>
      </c>
    </row>
    <row r="64" spans="2:33" ht="13.5" hidden="1" outlineLevel="2" thickTop="1" x14ac:dyDescent="0.3">
      <c r="B64" s="31" t="s">
        <v>101</v>
      </c>
      <c r="C64" s="33">
        <v>1294</v>
      </c>
      <c r="D64" s="33">
        <v>1294</v>
      </c>
      <c r="E64" s="23">
        <v>0</v>
      </c>
      <c r="F64" s="23">
        <v>0</v>
      </c>
      <c r="G64" s="23">
        <v>0</v>
      </c>
      <c r="H64" s="23">
        <v>0</v>
      </c>
      <c r="I64" s="23">
        <v>0</v>
      </c>
      <c r="J64" s="23">
        <v>0</v>
      </c>
      <c r="K64" s="23">
        <f t="shared" si="0"/>
        <v>0</v>
      </c>
      <c r="L64" s="33">
        <f t="shared" si="40"/>
        <v>0</v>
      </c>
      <c r="M64" s="33"/>
      <c r="N64" s="33">
        <f>O64-C64-M64</f>
        <v>0</v>
      </c>
      <c r="O64" s="33">
        <v>1294</v>
      </c>
      <c r="P64" s="33">
        <v>651</v>
      </c>
      <c r="Q64" s="33">
        <v>-1912</v>
      </c>
      <c r="R64" s="33">
        <v>-1261</v>
      </c>
      <c r="S64" s="33">
        <v>708</v>
      </c>
      <c r="T64" s="33">
        <f t="shared" si="2"/>
        <v>-1969</v>
      </c>
      <c r="U64" s="38">
        <f t="shared" si="3"/>
        <v>-0.9744976816074189</v>
      </c>
      <c r="V64" s="59">
        <f t="shared" si="4"/>
        <v>1294</v>
      </c>
      <c r="W64" s="33">
        <v>0</v>
      </c>
      <c r="X64" s="33">
        <v>0</v>
      </c>
      <c r="Y64" s="33">
        <f>X64-W64</f>
        <v>0</v>
      </c>
      <c r="Z64" s="33"/>
      <c r="AA64" s="42">
        <f>Z64-W64</f>
        <v>0</v>
      </c>
      <c r="AB64" s="60"/>
      <c r="AC64" s="105"/>
      <c r="AD64" s="93"/>
      <c r="AE64" s="33">
        <f t="shared" si="5"/>
        <v>0</v>
      </c>
      <c r="AF64" s="33">
        <f t="shared" si="6"/>
        <v>-1261</v>
      </c>
      <c r="AG64" s="101">
        <f t="shared" si="7"/>
        <v>-2555</v>
      </c>
    </row>
    <row r="65" spans="2:35" ht="13" hidden="1" outlineLevel="2" x14ac:dyDescent="0.3">
      <c r="B65" s="31" t="s">
        <v>102</v>
      </c>
      <c r="C65" s="33">
        <v>230</v>
      </c>
      <c r="D65" s="33">
        <v>230</v>
      </c>
      <c r="E65" s="23">
        <v>0</v>
      </c>
      <c r="F65" s="23">
        <v>0</v>
      </c>
      <c r="G65" s="23">
        <v>0</v>
      </c>
      <c r="H65" s="23">
        <v>0</v>
      </c>
      <c r="I65" s="23">
        <v>0</v>
      </c>
      <c r="J65" s="23">
        <v>0</v>
      </c>
      <c r="K65" s="23">
        <f t="shared" si="0"/>
        <v>0</v>
      </c>
      <c r="L65" s="33">
        <f t="shared" si="40"/>
        <v>0</v>
      </c>
      <c r="M65" s="33"/>
      <c r="N65" s="33">
        <f t="shared" ref="N65:N69" si="75">O65-C65-M65</f>
        <v>0</v>
      </c>
      <c r="O65" s="33">
        <v>230</v>
      </c>
      <c r="P65" s="33">
        <v>172</v>
      </c>
      <c r="Q65" s="33">
        <v>0</v>
      </c>
      <c r="R65" s="33">
        <v>172</v>
      </c>
      <c r="S65" s="33">
        <v>129</v>
      </c>
      <c r="T65" s="33">
        <f t="shared" si="2"/>
        <v>43</v>
      </c>
      <c r="U65" s="38">
        <f t="shared" si="3"/>
        <v>0.74782608695652175</v>
      </c>
      <c r="V65" s="59">
        <f t="shared" si="4"/>
        <v>230</v>
      </c>
      <c r="W65" s="33">
        <v>0</v>
      </c>
      <c r="X65" s="33"/>
      <c r="Y65" s="33">
        <f t="shared" ref="Y65:Y74" si="76">X65-W65</f>
        <v>0</v>
      </c>
      <c r="Z65" s="33"/>
      <c r="AA65" s="42">
        <f t="shared" ref="AA65:AA74" si="77">Z65-W65</f>
        <v>0</v>
      </c>
      <c r="AB65" s="60"/>
      <c r="AC65" s="105"/>
      <c r="AD65" s="93"/>
      <c r="AE65" s="33">
        <f t="shared" si="5"/>
        <v>0</v>
      </c>
      <c r="AF65" s="33">
        <f t="shared" si="6"/>
        <v>172</v>
      </c>
      <c r="AG65" s="101">
        <f t="shared" si="7"/>
        <v>-58</v>
      </c>
    </row>
    <row r="66" spans="2:35" ht="13" hidden="1" outlineLevel="2" x14ac:dyDescent="0.3">
      <c r="B66" s="31" t="s">
        <v>103</v>
      </c>
      <c r="C66" s="33">
        <v>152</v>
      </c>
      <c r="D66" s="33">
        <v>102</v>
      </c>
      <c r="E66" s="23">
        <v>0</v>
      </c>
      <c r="F66" s="23">
        <v>0</v>
      </c>
      <c r="G66" s="23">
        <v>-50</v>
      </c>
      <c r="H66" s="23">
        <v>0</v>
      </c>
      <c r="I66" s="23">
        <v>0</v>
      </c>
      <c r="J66" s="23">
        <v>0</v>
      </c>
      <c r="K66" s="23">
        <f t="shared" si="0"/>
        <v>-50</v>
      </c>
      <c r="L66" s="33">
        <f t="shared" si="40"/>
        <v>0</v>
      </c>
      <c r="M66" s="33">
        <v>-50</v>
      </c>
      <c r="N66" s="33">
        <f t="shared" si="75"/>
        <v>0</v>
      </c>
      <c r="O66" s="33">
        <v>102</v>
      </c>
      <c r="P66" s="33">
        <v>243</v>
      </c>
      <c r="Q66" s="33">
        <v>-205</v>
      </c>
      <c r="R66" s="33">
        <v>38</v>
      </c>
      <c r="S66" s="33">
        <v>51</v>
      </c>
      <c r="T66" s="33">
        <f t="shared" si="2"/>
        <v>-13</v>
      </c>
      <c r="U66" s="38">
        <f t="shared" si="3"/>
        <v>0.37254901960784315</v>
      </c>
      <c r="V66" s="59">
        <f t="shared" si="4"/>
        <v>102</v>
      </c>
      <c r="W66" s="33">
        <v>0</v>
      </c>
      <c r="X66" s="33">
        <v>0</v>
      </c>
      <c r="Y66" s="33">
        <f t="shared" si="76"/>
        <v>0</v>
      </c>
      <c r="Z66" s="33"/>
      <c r="AA66" s="42">
        <f t="shared" si="77"/>
        <v>0</v>
      </c>
      <c r="AB66" s="60"/>
      <c r="AC66" s="105"/>
      <c r="AD66" s="93"/>
      <c r="AE66" s="33">
        <f t="shared" si="5"/>
        <v>0</v>
      </c>
      <c r="AF66" s="33">
        <f t="shared" si="6"/>
        <v>38</v>
      </c>
      <c r="AG66" s="101">
        <f t="shared" si="7"/>
        <v>-64</v>
      </c>
    </row>
    <row r="67" spans="2:35" ht="13" hidden="1" outlineLevel="2" x14ac:dyDescent="0.3">
      <c r="B67" s="31" t="s">
        <v>104</v>
      </c>
      <c r="C67" s="33">
        <v>503</v>
      </c>
      <c r="D67" s="33">
        <v>503</v>
      </c>
      <c r="E67" s="23">
        <v>0</v>
      </c>
      <c r="F67" s="23">
        <v>0</v>
      </c>
      <c r="G67" s="23">
        <v>0</v>
      </c>
      <c r="H67" s="23">
        <v>0</v>
      </c>
      <c r="I67" s="23">
        <v>0</v>
      </c>
      <c r="J67" s="23">
        <v>0</v>
      </c>
      <c r="K67" s="23">
        <f t="shared" si="0"/>
        <v>0</v>
      </c>
      <c r="L67" s="33">
        <f t="shared" si="40"/>
        <v>0</v>
      </c>
      <c r="M67" s="33"/>
      <c r="N67" s="33">
        <f t="shared" si="75"/>
        <v>0</v>
      </c>
      <c r="O67" s="33">
        <v>503</v>
      </c>
      <c r="P67" s="33">
        <v>229</v>
      </c>
      <c r="Q67" s="33">
        <v>0</v>
      </c>
      <c r="R67" s="33">
        <v>229</v>
      </c>
      <c r="S67" s="33">
        <v>251</v>
      </c>
      <c r="T67" s="33">
        <f t="shared" si="2"/>
        <v>-22</v>
      </c>
      <c r="U67" s="38">
        <f t="shared" si="3"/>
        <v>0.45526838966202782</v>
      </c>
      <c r="V67" s="59">
        <f t="shared" si="4"/>
        <v>503</v>
      </c>
      <c r="W67" s="33">
        <v>0</v>
      </c>
      <c r="X67" s="33">
        <v>0</v>
      </c>
      <c r="Y67" s="33">
        <f t="shared" si="76"/>
        <v>0</v>
      </c>
      <c r="Z67" s="33"/>
      <c r="AA67" s="42">
        <f t="shared" si="77"/>
        <v>0</v>
      </c>
      <c r="AB67" s="60"/>
      <c r="AC67" s="105"/>
      <c r="AD67" s="93"/>
      <c r="AE67" s="33">
        <f t="shared" si="5"/>
        <v>0</v>
      </c>
      <c r="AF67" s="33">
        <f t="shared" si="6"/>
        <v>229</v>
      </c>
      <c r="AG67" s="101">
        <f t="shared" si="7"/>
        <v>-274</v>
      </c>
    </row>
    <row r="68" spans="2:35" ht="13" hidden="1" outlineLevel="2" x14ac:dyDescent="0.3">
      <c r="B68" s="31" t="s">
        <v>105</v>
      </c>
      <c r="C68" s="33">
        <v>949</v>
      </c>
      <c r="D68" s="33">
        <v>985</v>
      </c>
      <c r="E68" s="23">
        <v>36</v>
      </c>
      <c r="F68" s="23">
        <v>0</v>
      </c>
      <c r="G68" s="23">
        <v>0</v>
      </c>
      <c r="H68" s="23">
        <v>0</v>
      </c>
      <c r="I68" s="23">
        <v>0</v>
      </c>
      <c r="J68" s="23">
        <v>0</v>
      </c>
      <c r="K68" s="23">
        <f t="shared" si="0"/>
        <v>36</v>
      </c>
      <c r="L68" s="33">
        <f t="shared" si="40"/>
        <v>0</v>
      </c>
      <c r="M68" s="33"/>
      <c r="N68" s="33">
        <f t="shared" si="75"/>
        <v>36</v>
      </c>
      <c r="O68" s="33">
        <v>985</v>
      </c>
      <c r="P68" s="33">
        <v>27696</v>
      </c>
      <c r="Q68" s="33">
        <v>-26910</v>
      </c>
      <c r="R68" s="33">
        <v>786</v>
      </c>
      <c r="S68" s="33">
        <v>733</v>
      </c>
      <c r="T68" s="33">
        <f t="shared" si="2"/>
        <v>53</v>
      </c>
      <c r="U68" s="38">
        <f t="shared" si="3"/>
        <v>0.79796954314720814</v>
      </c>
      <c r="V68" s="59">
        <f t="shared" si="4"/>
        <v>1065</v>
      </c>
      <c r="W68" s="33">
        <v>80</v>
      </c>
      <c r="X68" s="33">
        <v>80</v>
      </c>
      <c r="Y68" s="33">
        <f t="shared" si="76"/>
        <v>0</v>
      </c>
      <c r="Z68" s="33">
        <v>80</v>
      </c>
      <c r="AA68" s="42">
        <f t="shared" si="77"/>
        <v>0</v>
      </c>
      <c r="AB68" s="60"/>
      <c r="AC68" s="105"/>
      <c r="AD68" s="93"/>
      <c r="AE68" s="33">
        <f t="shared" si="5"/>
        <v>0</v>
      </c>
      <c r="AF68" s="33">
        <f t="shared" si="6"/>
        <v>786</v>
      </c>
      <c r="AG68" s="101">
        <f t="shared" si="7"/>
        <v>-199</v>
      </c>
    </row>
    <row r="69" spans="2:35" ht="13" hidden="1" outlineLevel="2" x14ac:dyDescent="0.3">
      <c r="B69" s="31" t="s">
        <v>106</v>
      </c>
      <c r="C69" s="33">
        <v>117</v>
      </c>
      <c r="D69" s="33">
        <v>117</v>
      </c>
      <c r="E69" s="23">
        <v>0</v>
      </c>
      <c r="F69" s="23">
        <v>0</v>
      </c>
      <c r="G69" s="23">
        <v>0</v>
      </c>
      <c r="H69" s="23">
        <v>0</v>
      </c>
      <c r="I69" s="23">
        <v>0</v>
      </c>
      <c r="J69" s="23">
        <v>0</v>
      </c>
      <c r="K69" s="23">
        <f t="shared" ref="K69:K74" si="78">SUM(E69:J69)</f>
        <v>0</v>
      </c>
      <c r="L69" s="33">
        <f t="shared" ref="L69:L76" si="79">O69-D69</f>
        <v>0</v>
      </c>
      <c r="M69" s="33"/>
      <c r="N69" s="33">
        <f t="shared" si="75"/>
        <v>0</v>
      </c>
      <c r="O69" s="33">
        <v>117</v>
      </c>
      <c r="P69" s="33">
        <v>87</v>
      </c>
      <c r="Q69" s="33">
        <v>0</v>
      </c>
      <c r="R69" s="33">
        <v>86</v>
      </c>
      <c r="S69" s="33">
        <v>58</v>
      </c>
      <c r="T69" s="33">
        <f t="shared" ref="T69:T74" si="80">R69-S69</f>
        <v>28</v>
      </c>
      <c r="U69" s="38">
        <f t="shared" ref="U69:U74" si="81">IFERROR((R69/O69)*100%,"∞")</f>
        <v>0.7350427350427351</v>
      </c>
      <c r="V69" s="59">
        <f t="shared" ref="V69:V74" si="82">O69+W69</f>
        <v>117</v>
      </c>
      <c r="W69" s="33">
        <v>0</v>
      </c>
      <c r="X69" s="33">
        <v>0</v>
      </c>
      <c r="Y69" s="33">
        <f t="shared" si="76"/>
        <v>0</v>
      </c>
      <c r="Z69" s="33"/>
      <c r="AA69" s="42">
        <f t="shared" si="77"/>
        <v>0</v>
      </c>
      <c r="AB69" s="60"/>
      <c r="AC69" s="105"/>
      <c r="AD69" s="93"/>
      <c r="AE69" s="33">
        <f t="shared" ref="AE69:AE74" si="83">SUM(AC69:AD69)</f>
        <v>0</v>
      </c>
      <c r="AF69" s="33">
        <f t="shared" ref="AF69:AF74" si="84">R69+AE69</f>
        <v>86</v>
      </c>
      <c r="AG69" s="101">
        <f t="shared" ref="AG69:AG74" si="85">AF69-O69</f>
        <v>-31</v>
      </c>
    </row>
    <row r="70" spans="2:35" ht="13.5" outlineLevel="1" collapsed="1" thickTop="1" x14ac:dyDescent="0.3">
      <c r="B70" s="32" t="s">
        <v>107</v>
      </c>
      <c r="C70" s="34">
        <f t="shared" ref="C70:J70" si="86">SUBTOTAL(9,C64:C69)</f>
        <v>3245</v>
      </c>
      <c r="D70" s="34">
        <f t="shared" si="86"/>
        <v>3231</v>
      </c>
      <c r="E70" s="24">
        <f t="shared" si="86"/>
        <v>36</v>
      </c>
      <c r="F70" s="24">
        <f t="shared" si="86"/>
        <v>0</v>
      </c>
      <c r="G70" s="24">
        <f t="shared" si="86"/>
        <v>-50</v>
      </c>
      <c r="H70" s="24">
        <f t="shared" si="86"/>
        <v>0</v>
      </c>
      <c r="I70" s="24">
        <f t="shared" si="86"/>
        <v>0</v>
      </c>
      <c r="J70" s="24">
        <f t="shared" si="86"/>
        <v>0</v>
      </c>
      <c r="K70" s="24">
        <f>SUM(E70:J70)</f>
        <v>-14</v>
      </c>
      <c r="L70" s="34">
        <f t="shared" si="79"/>
        <v>0</v>
      </c>
      <c r="M70" s="34">
        <f t="shared" ref="M70:N70" si="87">SUBTOTAL(9,M64:M69)</f>
        <v>-50</v>
      </c>
      <c r="N70" s="34">
        <f t="shared" si="87"/>
        <v>36</v>
      </c>
      <c r="O70" s="34">
        <f>SUBTOTAL(9,O64:O69)</f>
        <v>3231</v>
      </c>
      <c r="P70" s="34">
        <f>SUBTOTAL(9,P64:P69)</f>
        <v>29078</v>
      </c>
      <c r="Q70" s="34">
        <f>SUBTOTAL(9,Q64:Q69)</f>
        <v>-29027</v>
      </c>
      <c r="R70" s="34">
        <f>SUBTOTAL(9,R64:R69)</f>
        <v>50</v>
      </c>
      <c r="S70" s="34">
        <f>SUBTOTAL(9,S64:S69)</f>
        <v>1930</v>
      </c>
      <c r="T70" s="34">
        <f>R70-S70</f>
        <v>-1880</v>
      </c>
      <c r="U70" s="38">
        <f>IFERROR((R70/O70)*100%,"∞")</f>
        <v>1.5475085112968121E-2</v>
      </c>
      <c r="V70" s="59">
        <f>O70+W70</f>
        <v>3311</v>
      </c>
      <c r="W70" s="34">
        <f>SUBTOTAL(9,W64:W69)</f>
        <v>80</v>
      </c>
      <c r="X70" s="34">
        <f>SUBTOTAL(9,X64:X69)</f>
        <v>80</v>
      </c>
      <c r="Y70" s="34">
        <f t="shared" ref="Y70:AA70" si="88">SUBTOTAL(9,Y64:Y69)</f>
        <v>0</v>
      </c>
      <c r="Z70" s="34">
        <f t="shared" si="88"/>
        <v>80</v>
      </c>
      <c r="AA70" s="34">
        <f t="shared" si="88"/>
        <v>0</v>
      </c>
      <c r="AB70" s="60"/>
      <c r="AC70" s="102">
        <f>SUBTOTAL(9,AC1:AC69)</f>
        <v>0</v>
      </c>
      <c r="AD70" s="34">
        <f>SUBTOTAL(9,AD1:AD69)</f>
        <v>0</v>
      </c>
      <c r="AE70" s="34"/>
      <c r="AF70" s="34"/>
      <c r="AG70" s="103"/>
    </row>
    <row r="71" spans="2:35" ht="13" hidden="1" outlineLevel="2" x14ac:dyDescent="0.3">
      <c r="B71" s="31" t="s">
        <v>111</v>
      </c>
      <c r="C71" s="33">
        <v>678</v>
      </c>
      <c r="D71" s="33">
        <v>695</v>
      </c>
      <c r="E71" s="23">
        <v>17</v>
      </c>
      <c r="F71" s="23">
        <v>0</v>
      </c>
      <c r="G71" s="23">
        <v>0</v>
      </c>
      <c r="H71" s="23">
        <v>0</v>
      </c>
      <c r="I71" s="23">
        <v>0</v>
      </c>
      <c r="J71" s="23">
        <v>0</v>
      </c>
      <c r="K71" s="23">
        <f t="shared" si="78"/>
        <v>17</v>
      </c>
      <c r="L71" s="33">
        <f t="shared" si="79"/>
        <v>0</v>
      </c>
      <c r="M71" s="33"/>
      <c r="N71" s="33">
        <f>O71-C71-M71</f>
        <v>17</v>
      </c>
      <c r="O71" s="33">
        <v>695</v>
      </c>
      <c r="P71" s="33">
        <v>342</v>
      </c>
      <c r="Q71" s="33">
        <v>0</v>
      </c>
      <c r="R71" s="33">
        <v>342</v>
      </c>
      <c r="S71" s="33">
        <v>357</v>
      </c>
      <c r="T71" s="33">
        <f t="shared" si="80"/>
        <v>-15</v>
      </c>
      <c r="U71" s="38">
        <f t="shared" si="81"/>
        <v>0.49208633093525178</v>
      </c>
      <c r="V71" s="59">
        <f t="shared" si="82"/>
        <v>695</v>
      </c>
      <c r="W71" s="33">
        <v>0</v>
      </c>
      <c r="X71" s="33">
        <v>0</v>
      </c>
      <c r="Y71" s="33">
        <f t="shared" si="76"/>
        <v>0</v>
      </c>
      <c r="Z71" s="33"/>
      <c r="AA71" s="42">
        <f t="shared" si="77"/>
        <v>0</v>
      </c>
      <c r="AB71" s="60"/>
      <c r="AC71" s="105"/>
      <c r="AD71" s="93"/>
      <c r="AE71" s="33">
        <f t="shared" si="83"/>
        <v>0</v>
      </c>
      <c r="AF71" s="33">
        <f t="shared" si="84"/>
        <v>342</v>
      </c>
      <c r="AG71" s="101">
        <f t="shared" si="85"/>
        <v>-353</v>
      </c>
    </row>
    <row r="72" spans="2:35" ht="13" hidden="1" outlineLevel="2" x14ac:dyDescent="0.3">
      <c r="B72" s="31" t="s">
        <v>112</v>
      </c>
      <c r="C72" s="33">
        <v>399</v>
      </c>
      <c r="D72" s="33">
        <v>327</v>
      </c>
      <c r="E72" s="23">
        <v>-72</v>
      </c>
      <c r="F72" s="23">
        <v>0</v>
      </c>
      <c r="G72" s="23">
        <v>0</v>
      </c>
      <c r="H72" s="23">
        <v>0</v>
      </c>
      <c r="I72" s="23">
        <v>0</v>
      </c>
      <c r="J72" s="23">
        <v>0</v>
      </c>
      <c r="K72" s="23">
        <f t="shared" si="78"/>
        <v>-72</v>
      </c>
      <c r="L72" s="33">
        <f t="shared" si="79"/>
        <v>0</v>
      </c>
      <c r="M72" s="33"/>
      <c r="N72" s="33">
        <f t="shared" ref="N72:N74" si="89">O72-C72-M72</f>
        <v>-72</v>
      </c>
      <c r="O72" s="33">
        <v>327</v>
      </c>
      <c r="P72" s="33">
        <v>110</v>
      </c>
      <c r="Q72" s="33">
        <v>-26</v>
      </c>
      <c r="R72" s="33">
        <v>84</v>
      </c>
      <c r="S72" s="33">
        <v>134</v>
      </c>
      <c r="T72" s="33">
        <f t="shared" si="80"/>
        <v>-50</v>
      </c>
      <c r="U72" s="38">
        <f t="shared" si="81"/>
        <v>0.25688073394495414</v>
      </c>
      <c r="V72" s="59">
        <f t="shared" si="82"/>
        <v>327</v>
      </c>
      <c r="W72" s="33">
        <v>0</v>
      </c>
      <c r="X72" s="33">
        <v>0</v>
      </c>
      <c r="Y72" s="33">
        <f t="shared" si="76"/>
        <v>0</v>
      </c>
      <c r="Z72" s="33"/>
      <c r="AA72" s="42">
        <f t="shared" si="77"/>
        <v>0</v>
      </c>
      <c r="AB72" s="60"/>
      <c r="AC72" s="105"/>
      <c r="AD72" s="93"/>
      <c r="AE72" s="33">
        <f t="shared" si="83"/>
        <v>0</v>
      </c>
      <c r="AF72" s="33">
        <f t="shared" si="84"/>
        <v>84</v>
      </c>
      <c r="AG72" s="101">
        <f t="shared" si="85"/>
        <v>-243</v>
      </c>
    </row>
    <row r="73" spans="2:35" ht="13" hidden="1" outlineLevel="2" x14ac:dyDescent="0.3">
      <c r="B73" s="31" t="s">
        <v>113</v>
      </c>
      <c r="C73" s="33">
        <v>1049</v>
      </c>
      <c r="D73" s="33">
        <v>917</v>
      </c>
      <c r="E73" s="23">
        <v>0</v>
      </c>
      <c r="F73" s="23">
        <v>0</v>
      </c>
      <c r="G73" s="23">
        <v>-132</v>
      </c>
      <c r="H73" s="23">
        <v>0</v>
      </c>
      <c r="I73" s="23">
        <v>0</v>
      </c>
      <c r="J73" s="23">
        <v>0</v>
      </c>
      <c r="K73" s="23">
        <f t="shared" si="78"/>
        <v>-132</v>
      </c>
      <c r="L73" s="33">
        <f t="shared" si="79"/>
        <v>0</v>
      </c>
      <c r="M73" s="33">
        <v>-132</v>
      </c>
      <c r="N73" s="33">
        <f t="shared" si="89"/>
        <v>0</v>
      </c>
      <c r="O73" s="33">
        <v>917</v>
      </c>
      <c r="P73" s="33">
        <v>427</v>
      </c>
      <c r="Q73" s="33">
        <v>-58</v>
      </c>
      <c r="R73" s="33">
        <v>368</v>
      </c>
      <c r="S73" s="33">
        <v>459</v>
      </c>
      <c r="T73" s="33">
        <f t="shared" si="80"/>
        <v>-91</v>
      </c>
      <c r="U73" s="38">
        <f t="shared" si="81"/>
        <v>0.40130861504907306</v>
      </c>
      <c r="V73" s="59">
        <f t="shared" si="82"/>
        <v>917</v>
      </c>
      <c r="W73" s="33">
        <v>0</v>
      </c>
      <c r="X73" s="33">
        <v>0</v>
      </c>
      <c r="Y73" s="33">
        <f t="shared" si="76"/>
        <v>0</v>
      </c>
      <c r="Z73" s="33"/>
      <c r="AA73" s="42">
        <f t="shared" si="77"/>
        <v>0</v>
      </c>
      <c r="AB73" s="60"/>
      <c r="AC73" s="105"/>
      <c r="AD73" s="93"/>
      <c r="AE73" s="33">
        <f t="shared" si="83"/>
        <v>0</v>
      </c>
      <c r="AF73" s="33">
        <f t="shared" si="84"/>
        <v>368</v>
      </c>
      <c r="AG73" s="101">
        <f t="shared" si="85"/>
        <v>-549</v>
      </c>
    </row>
    <row r="74" spans="2:35" ht="13" hidden="1" outlineLevel="2" x14ac:dyDescent="0.3">
      <c r="B74" s="31" t="s">
        <v>177</v>
      </c>
      <c r="C74" s="33">
        <v>754</v>
      </c>
      <c r="D74" s="33">
        <v>754</v>
      </c>
      <c r="E74" s="23">
        <v>0</v>
      </c>
      <c r="F74" s="23">
        <v>0</v>
      </c>
      <c r="G74" s="23">
        <v>0</v>
      </c>
      <c r="H74" s="23">
        <v>0</v>
      </c>
      <c r="I74" s="23">
        <v>0</v>
      </c>
      <c r="J74" s="23">
        <v>0</v>
      </c>
      <c r="K74" s="23">
        <f t="shared" si="78"/>
        <v>0</v>
      </c>
      <c r="L74" s="33">
        <f t="shared" si="79"/>
        <v>0</v>
      </c>
      <c r="M74" s="33"/>
      <c r="N74" s="33">
        <f t="shared" si="89"/>
        <v>0</v>
      </c>
      <c r="O74" s="33">
        <v>754</v>
      </c>
      <c r="P74" s="33">
        <v>469</v>
      </c>
      <c r="Q74" s="33">
        <v>0</v>
      </c>
      <c r="R74" s="33">
        <v>469</v>
      </c>
      <c r="S74" s="33">
        <v>374</v>
      </c>
      <c r="T74" s="33">
        <f t="shared" si="80"/>
        <v>95</v>
      </c>
      <c r="U74" s="38">
        <f t="shared" si="81"/>
        <v>0.62201591511936338</v>
      </c>
      <c r="V74" s="59">
        <f t="shared" si="82"/>
        <v>754</v>
      </c>
      <c r="W74" s="33">
        <v>0</v>
      </c>
      <c r="X74" s="33">
        <v>0</v>
      </c>
      <c r="Y74" s="33">
        <f t="shared" si="76"/>
        <v>0</v>
      </c>
      <c r="Z74" s="33"/>
      <c r="AA74" s="42">
        <f t="shared" si="77"/>
        <v>0</v>
      </c>
      <c r="AB74" s="60"/>
      <c r="AC74" s="105"/>
      <c r="AD74" s="93"/>
      <c r="AE74" s="33">
        <f t="shared" si="83"/>
        <v>0</v>
      </c>
      <c r="AF74" s="33">
        <f t="shared" si="84"/>
        <v>469</v>
      </c>
      <c r="AG74" s="101">
        <f t="shared" si="85"/>
        <v>-285</v>
      </c>
    </row>
    <row r="75" spans="2:35" ht="13" outlineLevel="1" collapsed="1" x14ac:dyDescent="0.3">
      <c r="B75" s="32" t="s">
        <v>114</v>
      </c>
      <c r="C75" s="34">
        <f t="shared" ref="C75:J75" si="90">SUBTOTAL(9,C71:C74)</f>
        <v>2880</v>
      </c>
      <c r="D75" s="34">
        <f t="shared" si="90"/>
        <v>2693</v>
      </c>
      <c r="E75" s="24">
        <f t="shared" si="90"/>
        <v>-55</v>
      </c>
      <c r="F75" s="24">
        <f t="shared" si="90"/>
        <v>0</v>
      </c>
      <c r="G75" s="24">
        <f t="shared" si="90"/>
        <v>-132</v>
      </c>
      <c r="H75" s="24">
        <f t="shared" si="90"/>
        <v>0</v>
      </c>
      <c r="I75" s="24">
        <f t="shared" si="90"/>
        <v>0</v>
      </c>
      <c r="J75" s="24">
        <f t="shared" si="90"/>
        <v>0</v>
      </c>
      <c r="K75" s="24">
        <f>SUM(E75:J75)</f>
        <v>-187</v>
      </c>
      <c r="L75" s="34">
        <f t="shared" si="79"/>
        <v>0</v>
      </c>
      <c r="M75" s="34">
        <f t="shared" ref="M75:N75" si="91">SUBTOTAL(9,M71:M74)</f>
        <v>-132</v>
      </c>
      <c r="N75" s="34">
        <f t="shared" si="91"/>
        <v>-55</v>
      </c>
      <c r="O75" s="34">
        <f>SUBTOTAL(9,O71:O74)</f>
        <v>2693</v>
      </c>
      <c r="P75" s="34">
        <f>SUBTOTAL(9,P71:P74)</f>
        <v>1348</v>
      </c>
      <c r="Q75" s="34">
        <f>SUBTOTAL(9,Q71:Q74)</f>
        <v>-84</v>
      </c>
      <c r="R75" s="34">
        <f>SUBTOTAL(9,R71:R74)</f>
        <v>1263</v>
      </c>
      <c r="S75" s="34">
        <f>SUBTOTAL(9,S71:S74)</f>
        <v>1324</v>
      </c>
      <c r="T75" s="34">
        <f>R75-S75</f>
        <v>-61</v>
      </c>
      <c r="U75" s="38">
        <f>IFERROR((R75/O75)*100%,"∞")</f>
        <v>0.46899368733754176</v>
      </c>
      <c r="V75" s="59">
        <f>O75+W75</f>
        <v>2693</v>
      </c>
      <c r="W75" s="34">
        <f>SUBTOTAL(9,W71:W74)</f>
        <v>0</v>
      </c>
      <c r="X75" s="34">
        <f t="shared" ref="X75:AA75" si="92">SUBTOTAL(9,X71:X74)</f>
        <v>0</v>
      </c>
      <c r="Y75" s="34">
        <f t="shared" si="92"/>
        <v>0</v>
      </c>
      <c r="Z75" s="34">
        <f t="shared" si="92"/>
        <v>0</v>
      </c>
      <c r="AA75" s="34">
        <f t="shared" si="92"/>
        <v>0</v>
      </c>
      <c r="AB75" s="60"/>
      <c r="AC75" s="102">
        <f>SUBTOTAL(9,AC5:AC74)</f>
        <v>0</v>
      </c>
      <c r="AD75" s="34">
        <f>SUBTOTAL(9,AD5:AD74)</f>
        <v>0</v>
      </c>
      <c r="AE75" s="34"/>
      <c r="AF75" s="34"/>
      <c r="AG75" s="103"/>
    </row>
    <row r="76" spans="2:35" ht="13.5" customHeight="1" thickBot="1" x14ac:dyDescent="0.35">
      <c r="B76" s="53" t="s">
        <v>463</v>
      </c>
      <c r="C76" s="35">
        <f t="shared" ref="C76:J76" si="93">SUBTOTAL(9,C64:C75)</f>
        <v>6125</v>
      </c>
      <c r="D76" s="35">
        <f t="shared" si="93"/>
        <v>5924</v>
      </c>
      <c r="E76" s="25">
        <f t="shared" si="93"/>
        <v>-19</v>
      </c>
      <c r="F76" s="25">
        <f t="shared" si="93"/>
        <v>0</v>
      </c>
      <c r="G76" s="25">
        <f t="shared" si="93"/>
        <v>-182</v>
      </c>
      <c r="H76" s="25">
        <f t="shared" si="93"/>
        <v>0</v>
      </c>
      <c r="I76" s="25">
        <f t="shared" si="93"/>
        <v>0</v>
      </c>
      <c r="J76" s="25">
        <f t="shared" si="93"/>
        <v>0</v>
      </c>
      <c r="K76" s="25">
        <f>SUM(E76:J76)</f>
        <v>-201</v>
      </c>
      <c r="L76" s="35">
        <f t="shared" si="79"/>
        <v>0</v>
      </c>
      <c r="M76" s="35">
        <f t="shared" ref="M76:N76" si="94">SUBTOTAL(9,M64:M75)</f>
        <v>-182</v>
      </c>
      <c r="N76" s="35">
        <f t="shared" si="94"/>
        <v>-19</v>
      </c>
      <c r="O76" s="35">
        <f>SUBTOTAL(9,O64:O75)</f>
        <v>5924</v>
      </c>
      <c r="P76" s="35">
        <f>SUBTOTAL(9,P64:P75)</f>
        <v>30426</v>
      </c>
      <c r="Q76" s="35">
        <f>SUBTOTAL(9,Q64:Q75)</f>
        <v>-29111</v>
      </c>
      <c r="R76" s="35">
        <f>SUBTOTAL(9,R64:R75)</f>
        <v>1313</v>
      </c>
      <c r="S76" s="35">
        <f>SUBTOTAL(9,S64:S75)</f>
        <v>3254</v>
      </c>
      <c r="T76" s="35">
        <f>R76-S76</f>
        <v>-1941</v>
      </c>
      <c r="U76" s="39">
        <f>IFERROR((R76/O76)*100%,"∞")</f>
        <v>0.22164078325455774</v>
      </c>
      <c r="V76" s="54">
        <f>O76+W76</f>
        <v>6004</v>
      </c>
      <c r="W76" s="35">
        <f>SUBTOTAL(9,W64:W75)</f>
        <v>80</v>
      </c>
      <c r="X76" s="35">
        <f>SUBTOTAL(9,X64:X75)</f>
        <v>80</v>
      </c>
      <c r="Y76" s="35">
        <f t="shared" ref="Y76:AA76" si="95">SUBTOTAL(9,Y64:Y75)</f>
        <v>0</v>
      </c>
      <c r="Z76" s="35">
        <f t="shared" si="95"/>
        <v>80</v>
      </c>
      <c r="AA76" s="35">
        <f t="shared" si="95"/>
        <v>0</v>
      </c>
      <c r="AB76" s="60"/>
      <c r="AC76" s="104">
        <f>SUBTOTAL(9,AC5:AC75)</f>
        <v>0</v>
      </c>
      <c r="AD76" s="104">
        <f>SUBTOTAL(9,AD5:AD75)</f>
        <v>0</v>
      </c>
      <c r="AE76" s="35">
        <f>SUM(AC76:AD76)</f>
        <v>0</v>
      </c>
      <c r="AF76" s="35">
        <f>R76+AE76</f>
        <v>1313</v>
      </c>
      <c r="AG76" s="43">
        <f>AF76-O76</f>
        <v>-4611</v>
      </c>
    </row>
    <row r="77" spans="2:35" ht="14" thickTop="1" thickBot="1" x14ac:dyDescent="0.35">
      <c r="B77" s="61"/>
      <c r="C77" s="62"/>
      <c r="D77" s="62"/>
      <c r="E77" s="65"/>
      <c r="F77" s="65"/>
      <c r="G77" s="65"/>
      <c r="H77" s="65"/>
      <c r="I77" s="65"/>
      <c r="J77" s="65"/>
      <c r="K77" s="65"/>
      <c r="L77" s="62"/>
      <c r="M77" s="62"/>
      <c r="N77" s="62"/>
      <c r="O77" s="62"/>
      <c r="P77" s="62"/>
      <c r="Q77" s="62"/>
      <c r="R77" s="62"/>
      <c r="S77" s="62"/>
      <c r="T77" s="62"/>
      <c r="U77" s="62"/>
      <c r="V77" s="64"/>
      <c r="W77" s="62"/>
      <c r="X77" s="62"/>
      <c r="Y77" s="62"/>
      <c r="Z77" s="62"/>
      <c r="AA77" s="63"/>
      <c r="AB77" s="60"/>
      <c r="AC77" s="61"/>
      <c r="AD77" s="62"/>
      <c r="AE77" s="62"/>
      <c r="AF77" s="62"/>
      <c r="AG77" s="63"/>
      <c r="AI77" s="581"/>
    </row>
    <row r="78" spans="2:35" ht="13.5" thickBot="1" x14ac:dyDescent="0.35">
      <c r="B78" s="50" t="s">
        <v>116</v>
      </c>
      <c r="C78" s="51">
        <f t="shared" ref="C78:J78" si="96">SUBTOTAL(9,C5:C77)</f>
        <v>30290</v>
      </c>
      <c r="D78" s="51">
        <f t="shared" si="96"/>
        <v>27878</v>
      </c>
      <c r="E78" s="51">
        <f t="shared" si="96"/>
        <v>-1396</v>
      </c>
      <c r="F78" s="51">
        <f t="shared" si="96"/>
        <v>17</v>
      </c>
      <c r="G78" s="51">
        <f t="shared" si="96"/>
        <v>-1015</v>
      </c>
      <c r="H78" s="51">
        <f t="shared" si="96"/>
        <v>0</v>
      </c>
      <c r="I78" s="51">
        <f t="shared" si="96"/>
        <v>0</v>
      </c>
      <c r="J78" s="51">
        <f t="shared" si="96"/>
        <v>0</v>
      </c>
      <c r="K78" s="51">
        <f>SUM(E78:J78)</f>
        <v>-2394</v>
      </c>
      <c r="L78" s="51">
        <f>O78-D78</f>
        <v>17</v>
      </c>
      <c r="M78" s="51">
        <f t="shared" ref="M78:N78" si="97">SUBTOTAL(9,M5:M77)</f>
        <v>-1025</v>
      </c>
      <c r="N78" s="51">
        <f t="shared" si="97"/>
        <v>-1370</v>
      </c>
      <c r="O78" s="51">
        <f>SUBTOTAL(9,O5:O77)</f>
        <v>27895</v>
      </c>
      <c r="P78" s="51">
        <f>SUBTOTAL(9,P5:P77)</f>
        <v>64353</v>
      </c>
      <c r="Q78" s="51">
        <f>SUBTOTAL(9,Q5:Q77)</f>
        <v>-49902</v>
      </c>
      <c r="R78" s="51">
        <f>SUBTOTAL(9,R5:R77)</f>
        <v>14452</v>
      </c>
      <c r="S78" s="51">
        <f>SUBTOTAL(9,S5:S77)</f>
        <v>13730</v>
      </c>
      <c r="T78" s="51">
        <f>R78-S78</f>
        <v>722</v>
      </c>
      <c r="U78" s="52">
        <f>IFERROR((R78/O78)*100%,"∞")</f>
        <v>0.51808567843699582</v>
      </c>
      <c r="V78" s="51">
        <f>O78+W78</f>
        <v>39517</v>
      </c>
      <c r="W78" s="51">
        <f>SUBTOTAL(9,W5:W77)</f>
        <v>11622</v>
      </c>
      <c r="X78" s="51">
        <f>SUBTOTAL(9,X5:X77)</f>
        <v>11854</v>
      </c>
      <c r="Y78" s="51">
        <f>SUBTOTAL(9,Y5:Y77)</f>
        <v>232</v>
      </c>
      <c r="Z78" s="51">
        <f t="shared" ref="Z78:AA78" si="98">SUBTOTAL(9,Z5:Z77)</f>
        <v>10952</v>
      </c>
      <c r="AA78" s="51">
        <f t="shared" si="98"/>
        <v>-670</v>
      </c>
      <c r="AB78" s="60"/>
      <c r="AC78" s="51">
        <f>SUBTOTAL(9,AC5:AC77)</f>
        <v>0</v>
      </c>
      <c r="AD78" s="51">
        <f>SUBTOTAL(9,AD5:AD77)</f>
        <v>0</v>
      </c>
      <c r="AE78" s="51">
        <f>SUM(AC78:AD78)</f>
        <v>0</v>
      </c>
      <c r="AF78" s="51">
        <f>R78+AE78</f>
        <v>14452</v>
      </c>
      <c r="AG78" s="51">
        <f>AF78-O78</f>
        <v>-13443</v>
      </c>
    </row>
    <row r="79" spans="2:35" ht="14" thickTop="1" thickBot="1" x14ac:dyDescent="0.35">
      <c r="B79" s="71"/>
      <c r="C79" s="72"/>
      <c r="D79" s="72"/>
      <c r="E79" s="73"/>
      <c r="F79" s="73"/>
      <c r="G79" s="73"/>
      <c r="H79" s="73"/>
      <c r="I79" s="73"/>
      <c r="J79" s="73"/>
      <c r="K79" s="73"/>
      <c r="L79" s="72"/>
      <c r="M79" s="72"/>
      <c r="N79" s="72"/>
      <c r="O79" s="72"/>
      <c r="P79" s="72"/>
      <c r="Q79" s="72"/>
      <c r="R79" s="72"/>
      <c r="S79" s="72"/>
      <c r="T79" s="72"/>
      <c r="U79" s="72"/>
      <c r="V79" s="74"/>
      <c r="W79" s="72"/>
      <c r="X79" s="72"/>
      <c r="Y79" s="72"/>
      <c r="Z79" s="72"/>
      <c r="AA79" s="75"/>
      <c r="AB79" s="60"/>
      <c r="AC79" s="71"/>
      <c r="AD79" s="72"/>
      <c r="AE79" s="72"/>
      <c r="AF79" s="72"/>
      <c r="AG79" s="75"/>
    </row>
    <row r="80" spans="2:35" ht="13" hidden="1" outlineLevel="1" x14ac:dyDescent="0.3">
      <c r="B80" s="31" t="s">
        <v>117</v>
      </c>
      <c r="C80" s="33">
        <v>4822</v>
      </c>
      <c r="D80" s="33">
        <v>4822</v>
      </c>
      <c r="E80" s="23">
        <v>0</v>
      </c>
      <c r="F80" s="23">
        <v>0</v>
      </c>
      <c r="G80" s="23">
        <v>0</v>
      </c>
      <c r="H80" s="23">
        <v>0</v>
      </c>
      <c r="I80" s="23">
        <v>0</v>
      </c>
      <c r="J80" s="23">
        <v>0</v>
      </c>
      <c r="K80" s="23">
        <f t="shared" ref="K80:K97" si="99">SUM(E80:J80)</f>
        <v>0</v>
      </c>
      <c r="L80" s="33">
        <f t="shared" ref="L80:L97" si="100">O80-D80</f>
        <v>0</v>
      </c>
      <c r="M80" s="33"/>
      <c r="N80" s="33">
        <f t="shared" ref="N80:N97" si="101">O80-C80</f>
        <v>0</v>
      </c>
      <c r="O80" s="33">
        <v>4822</v>
      </c>
      <c r="P80" s="33">
        <v>0</v>
      </c>
      <c r="Q80" s="33">
        <v>0</v>
      </c>
      <c r="R80" s="33">
        <v>0</v>
      </c>
      <c r="S80" s="33">
        <v>0</v>
      </c>
      <c r="T80" s="33">
        <f t="shared" ref="T80:T97" si="102">R80-S80</f>
        <v>0</v>
      </c>
      <c r="U80" s="38">
        <f t="shared" ref="U80:U97" si="103">IFERROR((R80/O80)*100%,"∞")</f>
        <v>0</v>
      </c>
      <c r="V80" s="59">
        <f t="shared" ref="V80:V97" si="104">O80+W80</f>
        <v>4822</v>
      </c>
      <c r="W80" s="33">
        <v>0</v>
      </c>
      <c r="X80" s="33">
        <v>0</v>
      </c>
      <c r="Y80" s="33"/>
      <c r="Z80" s="33"/>
      <c r="AA80" s="42"/>
      <c r="AB80" s="60"/>
      <c r="AC80" s="105"/>
      <c r="AD80" s="93"/>
      <c r="AE80" s="33">
        <f t="shared" ref="AE80:AE97" si="105">SUM(AC80:AD80)</f>
        <v>0</v>
      </c>
      <c r="AF80" s="33">
        <f t="shared" ref="AF80:AF97" si="106">R80+AE80</f>
        <v>0</v>
      </c>
      <c r="AG80" s="101">
        <f t="shared" ref="AG80:AG97" si="107">AF80-O80</f>
        <v>-4822</v>
      </c>
    </row>
    <row r="81" spans="2:33" ht="13" hidden="1" outlineLevel="1" x14ac:dyDescent="0.3">
      <c r="B81" s="31" t="s">
        <v>118</v>
      </c>
      <c r="C81" s="33">
        <v>-3628</v>
      </c>
      <c r="D81" s="33">
        <v>-4822</v>
      </c>
      <c r="E81" s="23">
        <v>0</v>
      </c>
      <c r="F81" s="23">
        <v>0</v>
      </c>
      <c r="G81" s="23">
        <v>-1195</v>
      </c>
      <c r="H81" s="23">
        <v>0</v>
      </c>
      <c r="I81" s="23">
        <v>0</v>
      </c>
      <c r="J81" s="23">
        <v>0</v>
      </c>
      <c r="K81" s="23">
        <f t="shared" si="99"/>
        <v>-1195</v>
      </c>
      <c r="L81" s="33">
        <f t="shared" si="100"/>
        <v>0</v>
      </c>
      <c r="M81" s="33"/>
      <c r="N81" s="33">
        <f t="shared" si="101"/>
        <v>-1194</v>
      </c>
      <c r="O81" s="33">
        <v>-4822</v>
      </c>
      <c r="P81" s="33">
        <v>0</v>
      </c>
      <c r="Q81" s="33">
        <v>0</v>
      </c>
      <c r="R81" s="33">
        <v>0</v>
      </c>
      <c r="S81" s="33">
        <v>0</v>
      </c>
      <c r="T81" s="33">
        <f t="shared" si="102"/>
        <v>0</v>
      </c>
      <c r="U81" s="38">
        <f t="shared" si="103"/>
        <v>0</v>
      </c>
      <c r="V81" s="59">
        <f t="shared" si="104"/>
        <v>-4822</v>
      </c>
      <c r="W81" s="33">
        <v>0</v>
      </c>
      <c r="X81" s="33">
        <v>0</v>
      </c>
      <c r="Y81" s="33"/>
      <c r="Z81" s="33"/>
      <c r="AA81" s="42"/>
      <c r="AB81" s="60"/>
      <c r="AC81" s="105"/>
      <c r="AD81" s="93"/>
      <c r="AE81" s="33">
        <f t="shared" si="105"/>
        <v>0</v>
      </c>
      <c r="AF81" s="33">
        <f t="shared" si="106"/>
        <v>0</v>
      </c>
      <c r="AG81" s="101">
        <f t="shared" si="107"/>
        <v>4822</v>
      </c>
    </row>
    <row r="82" spans="2:33" ht="13" hidden="1" outlineLevel="1" x14ac:dyDescent="0.3">
      <c r="B82" s="31" t="s">
        <v>119</v>
      </c>
      <c r="C82" s="33">
        <v>0</v>
      </c>
      <c r="D82" s="33">
        <v>0</v>
      </c>
      <c r="E82" s="23">
        <v>0</v>
      </c>
      <c r="F82" s="23">
        <v>0</v>
      </c>
      <c r="G82" s="23">
        <v>0</v>
      </c>
      <c r="H82" s="23">
        <v>0</v>
      </c>
      <c r="I82" s="23">
        <v>0</v>
      </c>
      <c r="J82" s="23">
        <v>0</v>
      </c>
      <c r="K82" s="23">
        <f t="shared" si="99"/>
        <v>0</v>
      </c>
      <c r="L82" s="33">
        <f t="shared" si="100"/>
        <v>0</v>
      </c>
      <c r="M82" s="33"/>
      <c r="N82" s="33">
        <f t="shared" si="101"/>
        <v>0</v>
      </c>
      <c r="O82" s="33">
        <v>0</v>
      </c>
      <c r="P82" s="33">
        <v>0</v>
      </c>
      <c r="Q82" s="33">
        <v>0</v>
      </c>
      <c r="R82" s="33">
        <v>0</v>
      </c>
      <c r="S82" s="33">
        <v>0</v>
      </c>
      <c r="T82" s="33">
        <f t="shared" si="102"/>
        <v>0</v>
      </c>
      <c r="U82" s="38" t="str">
        <f t="shared" si="103"/>
        <v>∞</v>
      </c>
      <c r="V82" s="59">
        <f t="shared" si="104"/>
        <v>0</v>
      </c>
      <c r="W82" s="33">
        <v>0</v>
      </c>
      <c r="X82" s="33">
        <v>0</v>
      </c>
      <c r="Y82" s="33"/>
      <c r="Z82" s="33"/>
      <c r="AA82" s="42"/>
      <c r="AB82" s="60"/>
      <c r="AC82" s="105"/>
      <c r="AD82" s="93"/>
      <c r="AE82" s="33">
        <f t="shared" si="105"/>
        <v>0</v>
      </c>
      <c r="AF82" s="33">
        <f t="shared" si="106"/>
        <v>0</v>
      </c>
      <c r="AG82" s="101">
        <f t="shared" si="107"/>
        <v>0</v>
      </c>
    </row>
    <row r="83" spans="2:33" ht="13" hidden="1" outlineLevel="1" x14ac:dyDescent="0.3">
      <c r="B83" s="31" t="s">
        <v>120</v>
      </c>
      <c r="C83" s="33">
        <v>0</v>
      </c>
      <c r="D83" s="33">
        <v>0</v>
      </c>
      <c r="E83" s="23">
        <v>0</v>
      </c>
      <c r="F83" s="23">
        <v>0</v>
      </c>
      <c r="G83" s="23">
        <v>0</v>
      </c>
      <c r="H83" s="23">
        <v>0</v>
      </c>
      <c r="I83" s="23">
        <v>0</v>
      </c>
      <c r="J83" s="23">
        <v>0</v>
      </c>
      <c r="K83" s="23">
        <f t="shared" si="99"/>
        <v>0</v>
      </c>
      <c r="L83" s="33">
        <f t="shared" si="100"/>
        <v>0</v>
      </c>
      <c r="M83" s="33"/>
      <c r="N83" s="33">
        <f t="shared" si="101"/>
        <v>0</v>
      </c>
      <c r="O83" s="33">
        <v>0</v>
      </c>
      <c r="P83" s="33">
        <v>0</v>
      </c>
      <c r="Q83" s="33">
        <v>0</v>
      </c>
      <c r="R83" s="33">
        <v>0</v>
      </c>
      <c r="S83" s="33">
        <v>0</v>
      </c>
      <c r="T83" s="33">
        <f t="shared" si="102"/>
        <v>0</v>
      </c>
      <c r="U83" s="38" t="str">
        <f t="shared" si="103"/>
        <v>∞</v>
      </c>
      <c r="V83" s="59">
        <f t="shared" si="104"/>
        <v>0</v>
      </c>
      <c r="W83" s="33">
        <v>0</v>
      </c>
      <c r="X83" s="33">
        <v>0</v>
      </c>
      <c r="Y83" s="33"/>
      <c r="Z83" s="33"/>
      <c r="AA83" s="42"/>
      <c r="AB83" s="60"/>
      <c r="AC83" s="105"/>
      <c r="AD83" s="93"/>
      <c r="AE83" s="33">
        <f t="shared" si="105"/>
        <v>0</v>
      </c>
      <c r="AF83" s="33">
        <f t="shared" si="106"/>
        <v>0</v>
      </c>
      <c r="AG83" s="101">
        <f t="shared" si="107"/>
        <v>0</v>
      </c>
    </row>
    <row r="84" spans="2:33" ht="13" hidden="1" outlineLevel="1" x14ac:dyDescent="0.3">
      <c r="B84" s="31" t="s">
        <v>121</v>
      </c>
      <c r="C84" s="33">
        <v>0</v>
      </c>
      <c r="D84" s="33">
        <v>0</v>
      </c>
      <c r="E84" s="23">
        <v>0</v>
      </c>
      <c r="F84" s="23">
        <v>0</v>
      </c>
      <c r="G84" s="23">
        <v>0</v>
      </c>
      <c r="H84" s="23">
        <v>0</v>
      </c>
      <c r="I84" s="23">
        <v>0</v>
      </c>
      <c r="J84" s="23">
        <v>0</v>
      </c>
      <c r="K84" s="23">
        <f t="shared" si="99"/>
        <v>0</v>
      </c>
      <c r="L84" s="33">
        <f t="shared" si="100"/>
        <v>0</v>
      </c>
      <c r="M84" s="33"/>
      <c r="N84" s="33">
        <f t="shared" si="101"/>
        <v>0</v>
      </c>
      <c r="O84" s="33">
        <v>0</v>
      </c>
      <c r="P84" s="33">
        <v>0</v>
      </c>
      <c r="Q84" s="33">
        <v>0</v>
      </c>
      <c r="R84" s="33">
        <v>0</v>
      </c>
      <c r="S84" s="33">
        <v>0</v>
      </c>
      <c r="T84" s="33">
        <f t="shared" si="102"/>
        <v>0</v>
      </c>
      <c r="U84" s="38" t="str">
        <f t="shared" si="103"/>
        <v>∞</v>
      </c>
      <c r="V84" s="59">
        <f t="shared" si="104"/>
        <v>0</v>
      </c>
      <c r="W84" s="33">
        <v>0</v>
      </c>
      <c r="X84" s="33">
        <v>0</v>
      </c>
      <c r="Y84" s="33"/>
      <c r="Z84" s="33"/>
      <c r="AA84" s="42"/>
      <c r="AB84" s="60"/>
      <c r="AC84" s="105"/>
      <c r="AD84" s="93"/>
      <c r="AE84" s="33">
        <f t="shared" si="105"/>
        <v>0</v>
      </c>
      <c r="AF84" s="33">
        <f t="shared" si="106"/>
        <v>0</v>
      </c>
      <c r="AG84" s="101">
        <f t="shared" si="107"/>
        <v>0</v>
      </c>
    </row>
    <row r="85" spans="2:33" ht="13" hidden="1" outlineLevel="1" x14ac:dyDescent="0.3">
      <c r="B85" s="31" t="s">
        <v>122</v>
      </c>
      <c r="C85" s="33">
        <v>0</v>
      </c>
      <c r="D85" s="33">
        <v>0</v>
      </c>
      <c r="E85" s="23">
        <v>0</v>
      </c>
      <c r="F85" s="23">
        <v>0</v>
      </c>
      <c r="G85" s="23">
        <v>0</v>
      </c>
      <c r="H85" s="23">
        <v>0</v>
      </c>
      <c r="I85" s="23">
        <v>0</v>
      </c>
      <c r="J85" s="23">
        <v>0</v>
      </c>
      <c r="K85" s="23">
        <f t="shared" si="99"/>
        <v>0</v>
      </c>
      <c r="L85" s="33">
        <f t="shared" si="100"/>
        <v>0</v>
      </c>
      <c r="M85" s="33"/>
      <c r="N85" s="33">
        <f t="shared" si="101"/>
        <v>0</v>
      </c>
      <c r="O85" s="33">
        <v>0</v>
      </c>
      <c r="P85" s="33">
        <v>0</v>
      </c>
      <c r="Q85" s="33">
        <v>0</v>
      </c>
      <c r="R85" s="33">
        <v>0</v>
      </c>
      <c r="S85" s="33">
        <v>0</v>
      </c>
      <c r="T85" s="33">
        <f t="shared" si="102"/>
        <v>0</v>
      </c>
      <c r="U85" s="38" t="str">
        <f t="shared" si="103"/>
        <v>∞</v>
      </c>
      <c r="V85" s="59">
        <f t="shared" si="104"/>
        <v>0</v>
      </c>
      <c r="W85" s="33">
        <v>0</v>
      </c>
      <c r="X85" s="33">
        <v>0</v>
      </c>
      <c r="Y85" s="33"/>
      <c r="Z85" s="33"/>
      <c r="AA85" s="42"/>
      <c r="AB85" s="60"/>
      <c r="AC85" s="105"/>
      <c r="AD85" s="93"/>
      <c r="AE85" s="33">
        <f t="shared" si="105"/>
        <v>0</v>
      </c>
      <c r="AF85" s="33">
        <f t="shared" si="106"/>
        <v>0</v>
      </c>
      <c r="AG85" s="101">
        <f t="shared" si="107"/>
        <v>0</v>
      </c>
    </row>
    <row r="86" spans="2:33" ht="13" hidden="1" outlineLevel="1" x14ac:dyDescent="0.3">
      <c r="B86" s="31" t="s">
        <v>123</v>
      </c>
      <c r="C86" s="33">
        <v>0</v>
      </c>
      <c r="D86" s="33">
        <v>0</v>
      </c>
      <c r="E86" s="23">
        <v>0</v>
      </c>
      <c r="F86" s="23">
        <v>0</v>
      </c>
      <c r="G86" s="23">
        <v>0</v>
      </c>
      <c r="H86" s="23">
        <v>0</v>
      </c>
      <c r="I86" s="23">
        <v>0</v>
      </c>
      <c r="J86" s="23">
        <v>0</v>
      </c>
      <c r="K86" s="23">
        <f t="shared" si="99"/>
        <v>0</v>
      </c>
      <c r="L86" s="33">
        <f t="shared" si="100"/>
        <v>0</v>
      </c>
      <c r="M86" s="33"/>
      <c r="N86" s="33">
        <f t="shared" si="101"/>
        <v>0</v>
      </c>
      <c r="O86" s="33">
        <v>0</v>
      </c>
      <c r="P86" s="33">
        <v>0</v>
      </c>
      <c r="Q86" s="33">
        <v>0</v>
      </c>
      <c r="R86" s="33">
        <v>0</v>
      </c>
      <c r="S86" s="33">
        <v>0</v>
      </c>
      <c r="T86" s="33">
        <f t="shared" si="102"/>
        <v>0</v>
      </c>
      <c r="U86" s="38" t="str">
        <f t="shared" si="103"/>
        <v>∞</v>
      </c>
      <c r="V86" s="59">
        <f t="shared" si="104"/>
        <v>0</v>
      </c>
      <c r="W86" s="33">
        <v>0</v>
      </c>
      <c r="X86" s="33">
        <v>0</v>
      </c>
      <c r="Y86" s="33"/>
      <c r="Z86" s="33"/>
      <c r="AA86" s="42"/>
      <c r="AB86" s="60"/>
      <c r="AC86" s="105"/>
      <c r="AD86" s="93"/>
      <c r="AE86" s="33">
        <f t="shared" si="105"/>
        <v>0</v>
      </c>
      <c r="AF86" s="33">
        <f t="shared" si="106"/>
        <v>0</v>
      </c>
      <c r="AG86" s="101">
        <f t="shared" si="107"/>
        <v>0</v>
      </c>
    </row>
    <row r="87" spans="2:33" ht="13" hidden="1" outlineLevel="1" x14ac:dyDescent="0.3">
      <c r="B87" s="31" t="s">
        <v>124</v>
      </c>
      <c r="C87" s="33">
        <v>0</v>
      </c>
      <c r="D87" s="33">
        <v>0</v>
      </c>
      <c r="E87" s="23">
        <v>0</v>
      </c>
      <c r="F87" s="23">
        <v>0</v>
      </c>
      <c r="G87" s="23">
        <v>0</v>
      </c>
      <c r="H87" s="23">
        <v>0</v>
      </c>
      <c r="I87" s="23">
        <v>0</v>
      </c>
      <c r="J87" s="23">
        <v>0</v>
      </c>
      <c r="K87" s="23">
        <f t="shared" si="99"/>
        <v>0</v>
      </c>
      <c r="L87" s="33">
        <f t="shared" si="100"/>
        <v>0</v>
      </c>
      <c r="M87" s="33"/>
      <c r="N87" s="33">
        <f t="shared" si="101"/>
        <v>0</v>
      </c>
      <c r="O87" s="33">
        <v>0</v>
      </c>
      <c r="P87" s="33">
        <v>0</v>
      </c>
      <c r="Q87" s="33">
        <v>0</v>
      </c>
      <c r="R87" s="33">
        <v>0</v>
      </c>
      <c r="S87" s="33">
        <v>0</v>
      </c>
      <c r="T87" s="33">
        <f t="shared" si="102"/>
        <v>0</v>
      </c>
      <c r="U87" s="38" t="str">
        <f t="shared" si="103"/>
        <v>∞</v>
      </c>
      <c r="V87" s="59">
        <f t="shared" si="104"/>
        <v>0</v>
      </c>
      <c r="W87" s="33">
        <v>0</v>
      </c>
      <c r="X87" s="33">
        <v>0</v>
      </c>
      <c r="Y87" s="33"/>
      <c r="Z87" s="33"/>
      <c r="AA87" s="42"/>
      <c r="AB87" s="60"/>
      <c r="AC87" s="105"/>
      <c r="AD87" s="93"/>
      <c r="AE87" s="33">
        <f t="shared" si="105"/>
        <v>0</v>
      </c>
      <c r="AF87" s="33">
        <f t="shared" si="106"/>
        <v>0</v>
      </c>
      <c r="AG87" s="101">
        <f t="shared" si="107"/>
        <v>0</v>
      </c>
    </row>
    <row r="88" spans="2:33" ht="13" hidden="1" outlineLevel="1" x14ac:dyDescent="0.3">
      <c r="B88" s="31" t="s">
        <v>125</v>
      </c>
      <c r="C88" s="33">
        <v>0</v>
      </c>
      <c r="D88" s="33">
        <v>0</v>
      </c>
      <c r="E88" s="23">
        <v>0</v>
      </c>
      <c r="F88" s="23">
        <v>0</v>
      </c>
      <c r="G88" s="23">
        <v>0</v>
      </c>
      <c r="H88" s="23">
        <v>0</v>
      </c>
      <c r="I88" s="23">
        <v>0</v>
      </c>
      <c r="J88" s="23">
        <v>0</v>
      </c>
      <c r="K88" s="23">
        <f t="shared" si="99"/>
        <v>0</v>
      </c>
      <c r="L88" s="33">
        <f t="shared" si="100"/>
        <v>0</v>
      </c>
      <c r="M88" s="33"/>
      <c r="N88" s="33">
        <f t="shared" si="101"/>
        <v>0</v>
      </c>
      <c r="O88" s="33">
        <v>0</v>
      </c>
      <c r="P88" s="33">
        <v>-1034</v>
      </c>
      <c r="Q88" s="33">
        <v>0</v>
      </c>
      <c r="R88" s="33">
        <v>-1034</v>
      </c>
      <c r="S88" s="33">
        <v>0</v>
      </c>
      <c r="T88" s="33">
        <f t="shared" si="102"/>
        <v>-1034</v>
      </c>
      <c r="U88" s="38" t="str">
        <f t="shared" si="103"/>
        <v>∞</v>
      </c>
      <c r="V88" s="59">
        <f t="shared" si="104"/>
        <v>0</v>
      </c>
      <c r="W88" s="33">
        <v>0</v>
      </c>
      <c r="X88" s="33">
        <v>0</v>
      </c>
      <c r="Y88" s="33"/>
      <c r="Z88" s="33"/>
      <c r="AA88" s="42"/>
      <c r="AB88" s="60"/>
      <c r="AC88" s="105"/>
      <c r="AD88" s="93"/>
      <c r="AE88" s="33">
        <f t="shared" si="105"/>
        <v>0</v>
      </c>
      <c r="AF88" s="33">
        <f t="shared" si="106"/>
        <v>-1034</v>
      </c>
      <c r="AG88" s="101">
        <f t="shared" si="107"/>
        <v>-1034</v>
      </c>
    </row>
    <row r="89" spans="2:33" ht="13" hidden="1" outlineLevel="1" x14ac:dyDescent="0.3">
      <c r="B89" s="31" t="s">
        <v>126</v>
      </c>
      <c r="C89" s="33">
        <v>0</v>
      </c>
      <c r="D89" s="33">
        <v>0</v>
      </c>
      <c r="E89" s="23">
        <v>0</v>
      </c>
      <c r="F89" s="23">
        <v>0</v>
      </c>
      <c r="G89" s="23">
        <v>0</v>
      </c>
      <c r="H89" s="23">
        <v>0</v>
      </c>
      <c r="I89" s="23">
        <v>0</v>
      </c>
      <c r="J89" s="23">
        <v>0</v>
      </c>
      <c r="K89" s="23">
        <f t="shared" si="99"/>
        <v>0</v>
      </c>
      <c r="L89" s="33">
        <f t="shared" si="100"/>
        <v>0</v>
      </c>
      <c r="M89" s="33"/>
      <c r="N89" s="33">
        <f t="shared" si="101"/>
        <v>0</v>
      </c>
      <c r="O89" s="33">
        <v>0</v>
      </c>
      <c r="P89" s="33">
        <v>1041</v>
      </c>
      <c r="Q89" s="33">
        <v>0</v>
      </c>
      <c r="R89" s="33">
        <v>1041</v>
      </c>
      <c r="S89" s="33">
        <v>0</v>
      </c>
      <c r="T89" s="33">
        <f t="shared" si="102"/>
        <v>1041</v>
      </c>
      <c r="U89" s="38" t="str">
        <f t="shared" si="103"/>
        <v>∞</v>
      </c>
      <c r="V89" s="59">
        <f t="shared" si="104"/>
        <v>0</v>
      </c>
      <c r="W89" s="33">
        <v>0</v>
      </c>
      <c r="X89" s="33">
        <v>0</v>
      </c>
      <c r="Y89" s="33"/>
      <c r="Z89" s="33"/>
      <c r="AA89" s="42"/>
      <c r="AB89" s="60"/>
      <c r="AC89" s="105"/>
      <c r="AD89" s="93"/>
      <c r="AE89" s="33">
        <f t="shared" si="105"/>
        <v>0</v>
      </c>
      <c r="AF89" s="33">
        <f t="shared" si="106"/>
        <v>1041</v>
      </c>
      <c r="AG89" s="101">
        <f t="shared" si="107"/>
        <v>1041</v>
      </c>
    </row>
    <row r="90" spans="2:33" ht="13" hidden="1" outlineLevel="1" x14ac:dyDescent="0.3">
      <c r="B90" s="31" t="s">
        <v>127</v>
      </c>
      <c r="C90" s="33">
        <v>0</v>
      </c>
      <c r="D90" s="33">
        <v>0</v>
      </c>
      <c r="E90" s="23">
        <v>0</v>
      </c>
      <c r="F90" s="23">
        <v>0</v>
      </c>
      <c r="G90" s="23">
        <v>0</v>
      </c>
      <c r="H90" s="23">
        <v>0</v>
      </c>
      <c r="I90" s="23">
        <v>0</v>
      </c>
      <c r="J90" s="23">
        <v>0</v>
      </c>
      <c r="K90" s="23">
        <f t="shared" si="99"/>
        <v>0</v>
      </c>
      <c r="L90" s="33">
        <f t="shared" si="100"/>
        <v>0</v>
      </c>
      <c r="M90" s="33"/>
      <c r="N90" s="33">
        <f t="shared" si="101"/>
        <v>0</v>
      </c>
      <c r="O90" s="33">
        <v>0</v>
      </c>
      <c r="P90" s="33">
        <v>0</v>
      </c>
      <c r="Q90" s="33">
        <v>0</v>
      </c>
      <c r="R90" s="33">
        <v>0</v>
      </c>
      <c r="S90" s="33">
        <v>0</v>
      </c>
      <c r="T90" s="33">
        <f t="shared" si="102"/>
        <v>0</v>
      </c>
      <c r="U90" s="38" t="str">
        <f t="shared" si="103"/>
        <v>∞</v>
      </c>
      <c r="V90" s="59">
        <f t="shared" si="104"/>
        <v>0</v>
      </c>
      <c r="W90" s="33">
        <v>0</v>
      </c>
      <c r="X90" s="33">
        <v>0</v>
      </c>
      <c r="Y90" s="33"/>
      <c r="Z90" s="33"/>
      <c r="AA90" s="42"/>
      <c r="AB90" s="60"/>
      <c r="AC90" s="105"/>
      <c r="AD90" s="93"/>
      <c r="AE90" s="33">
        <f t="shared" si="105"/>
        <v>0</v>
      </c>
      <c r="AF90" s="33">
        <f t="shared" si="106"/>
        <v>0</v>
      </c>
      <c r="AG90" s="101">
        <f t="shared" si="107"/>
        <v>0</v>
      </c>
    </row>
    <row r="91" spans="2:33" ht="13" hidden="1" outlineLevel="1" x14ac:dyDescent="0.3">
      <c r="B91" s="31" t="s">
        <v>128</v>
      </c>
      <c r="C91" s="33">
        <v>0</v>
      </c>
      <c r="D91" s="33">
        <v>0</v>
      </c>
      <c r="E91" s="23">
        <v>0</v>
      </c>
      <c r="F91" s="23">
        <v>0</v>
      </c>
      <c r="G91" s="23">
        <v>0</v>
      </c>
      <c r="H91" s="23">
        <v>0</v>
      </c>
      <c r="I91" s="23">
        <v>0</v>
      </c>
      <c r="J91" s="23">
        <v>0</v>
      </c>
      <c r="K91" s="23">
        <f t="shared" si="99"/>
        <v>0</v>
      </c>
      <c r="L91" s="33">
        <f t="shared" si="100"/>
        <v>0</v>
      </c>
      <c r="M91" s="33"/>
      <c r="N91" s="33">
        <f t="shared" si="101"/>
        <v>0</v>
      </c>
      <c r="O91" s="33">
        <v>0</v>
      </c>
      <c r="P91" s="33">
        <v>0</v>
      </c>
      <c r="Q91" s="33">
        <v>0</v>
      </c>
      <c r="R91" s="33">
        <v>0</v>
      </c>
      <c r="S91" s="33">
        <v>0</v>
      </c>
      <c r="T91" s="33">
        <f t="shared" si="102"/>
        <v>0</v>
      </c>
      <c r="U91" s="38" t="str">
        <f t="shared" si="103"/>
        <v>∞</v>
      </c>
      <c r="V91" s="59">
        <f t="shared" si="104"/>
        <v>0</v>
      </c>
      <c r="W91" s="33">
        <v>0</v>
      </c>
      <c r="X91" s="33">
        <v>0</v>
      </c>
      <c r="Y91" s="33"/>
      <c r="Z91" s="33"/>
      <c r="AA91" s="42"/>
      <c r="AB91" s="60"/>
      <c r="AC91" s="105"/>
      <c r="AD91" s="93"/>
      <c r="AE91" s="33">
        <f t="shared" si="105"/>
        <v>0</v>
      </c>
      <c r="AF91" s="33">
        <f t="shared" si="106"/>
        <v>0</v>
      </c>
      <c r="AG91" s="101">
        <f t="shared" si="107"/>
        <v>0</v>
      </c>
    </row>
    <row r="92" spans="2:33" ht="13" hidden="1" outlineLevel="1" x14ac:dyDescent="0.3">
      <c r="B92" s="31" t="s">
        <v>129</v>
      </c>
      <c r="C92" s="33">
        <v>0</v>
      </c>
      <c r="D92" s="33">
        <v>0</v>
      </c>
      <c r="E92" s="23">
        <v>0</v>
      </c>
      <c r="F92" s="23">
        <v>0</v>
      </c>
      <c r="G92" s="23">
        <v>0</v>
      </c>
      <c r="H92" s="23">
        <v>0</v>
      </c>
      <c r="I92" s="23">
        <v>0</v>
      </c>
      <c r="J92" s="23">
        <v>0</v>
      </c>
      <c r="K92" s="23">
        <f t="shared" si="99"/>
        <v>0</v>
      </c>
      <c r="L92" s="33">
        <f t="shared" si="100"/>
        <v>0</v>
      </c>
      <c r="M92" s="33"/>
      <c r="N92" s="33">
        <f t="shared" si="101"/>
        <v>0</v>
      </c>
      <c r="O92" s="33">
        <v>0</v>
      </c>
      <c r="P92" s="33">
        <v>0</v>
      </c>
      <c r="Q92" s="33">
        <v>0</v>
      </c>
      <c r="R92" s="33">
        <v>0</v>
      </c>
      <c r="S92" s="33">
        <v>0</v>
      </c>
      <c r="T92" s="33">
        <f t="shared" si="102"/>
        <v>0</v>
      </c>
      <c r="U92" s="38" t="str">
        <f t="shared" si="103"/>
        <v>∞</v>
      </c>
      <c r="V92" s="59">
        <f t="shared" si="104"/>
        <v>0</v>
      </c>
      <c r="W92" s="33">
        <v>0</v>
      </c>
      <c r="X92" s="33">
        <v>0</v>
      </c>
      <c r="Y92" s="33"/>
      <c r="Z92" s="33"/>
      <c r="AA92" s="42"/>
      <c r="AB92" s="60"/>
      <c r="AC92" s="105"/>
      <c r="AD92" s="93"/>
      <c r="AE92" s="33">
        <f t="shared" si="105"/>
        <v>0</v>
      </c>
      <c r="AF92" s="33">
        <f t="shared" si="106"/>
        <v>0</v>
      </c>
      <c r="AG92" s="101">
        <f t="shared" si="107"/>
        <v>0</v>
      </c>
    </row>
    <row r="93" spans="2:33" ht="13" hidden="1" outlineLevel="1" x14ac:dyDescent="0.3">
      <c r="B93" s="31" t="s">
        <v>130</v>
      </c>
      <c r="C93" s="33">
        <v>0</v>
      </c>
      <c r="D93" s="33">
        <v>0</v>
      </c>
      <c r="E93" s="23">
        <v>0</v>
      </c>
      <c r="F93" s="23">
        <v>0</v>
      </c>
      <c r="G93" s="23">
        <v>0</v>
      </c>
      <c r="H93" s="23">
        <v>0</v>
      </c>
      <c r="I93" s="23">
        <v>0</v>
      </c>
      <c r="J93" s="23">
        <v>0</v>
      </c>
      <c r="K93" s="23">
        <f t="shared" si="99"/>
        <v>0</v>
      </c>
      <c r="L93" s="33">
        <f t="shared" si="100"/>
        <v>0</v>
      </c>
      <c r="M93" s="33"/>
      <c r="N93" s="33">
        <f t="shared" si="101"/>
        <v>0</v>
      </c>
      <c r="O93" s="33">
        <v>0</v>
      </c>
      <c r="P93" s="33">
        <v>0</v>
      </c>
      <c r="Q93" s="33">
        <v>0</v>
      </c>
      <c r="R93" s="33">
        <v>0</v>
      </c>
      <c r="S93" s="33">
        <v>0</v>
      </c>
      <c r="T93" s="33">
        <f t="shared" si="102"/>
        <v>0</v>
      </c>
      <c r="U93" s="38" t="str">
        <f t="shared" si="103"/>
        <v>∞</v>
      </c>
      <c r="V93" s="59">
        <f t="shared" si="104"/>
        <v>0</v>
      </c>
      <c r="W93" s="33">
        <v>0</v>
      </c>
      <c r="X93" s="33">
        <v>0</v>
      </c>
      <c r="Y93" s="33"/>
      <c r="Z93" s="33"/>
      <c r="AA93" s="42"/>
      <c r="AB93" s="60"/>
      <c r="AC93" s="105"/>
      <c r="AD93" s="93"/>
      <c r="AE93" s="33">
        <f t="shared" si="105"/>
        <v>0</v>
      </c>
      <c r="AF93" s="33">
        <f t="shared" si="106"/>
        <v>0</v>
      </c>
      <c r="AG93" s="101">
        <f t="shared" si="107"/>
        <v>0</v>
      </c>
    </row>
    <row r="94" spans="2:33" ht="13" hidden="1" outlineLevel="1" x14ac:dyDescent="0.3">
      <c r="B94" s="31" t="s">
        <v>131</v>
      </c>
      <c r="C94" s="33">
        <v>0</v>
      </c>
      <c r="D94" s="33">
        <v>0</v>
      </c>
      <c r="E94" s="23">
        <v>0</v>
      </c>
      <c r="F94" s="23">
        <v>0</v>
      </c>
      <c r="G94" s="23">
        <v>0</v>
      </c>
      <c r="H94" s="23">
        <v>0</v>
      </c>
      <c r="I94" s="23">
        <v>0</v>
      </c>
      <c r="J94" s="23">
        <v>0</v>
      </c>
      <c r="K94" s="23">
        <f t="shared" si="99"/>
        <v>0</v>
      </c>
      <c r="L94" s="33">
        <f t="shared" si="100"/>
        <v>0</v>
      </c>
      <c r="M94" s="33"/>
      <c r="N94" s="33">
        <f t="shared" si="101"/>
        <v>0</v>
      </c>
      <c r="O94" s="33">
        <v>0</v>
      </c>
      <c r="P94" s="33">
        <v>0</v>
      </c>
      <c r="Q94" s="33">
        <v>0</v>
      </c>
      <c r="R94" s="33">
        <v>0</v>
      </c>
      <c r="S94" s="33">
        <v>0</v>
      </c>
      <c r="T94" s="33">
        <f t="shared" si="102"/>
        <v>0</v>
      </c>
      <c r="U94" s="38" t="str">
        <f t="shared" si="103"/>
        <v>∞</v>
      </c>
      <c r="V94" s="59">
        <f t="shared" si="104"/>
        <v>0</v>
      </c>
      <c r="W94" s="33">
        <v>0</v>
      </c>
      <c r="X94" s="33">
        <v>0</v>
      </c>
      <c r="Y94" s="33"/>
      <c r="Z94" s="33"/>
      <c r="AA94" s="42"/>
      <c r="AB94" s="60"/>
      <c r="AC94" s="105"/>
      <c r="AD94" s="93"/>
      <c r="AE94" s="33">
        <f t="shared" si="105"/>
        <v>0</v>
      </c>
      <c r="AF94" s="33">
        <f t="shared" si="106"/>
        <v>0</v>
      </c>
      <c r="AG94" s="101">
        <f t="shared" si="107"/>
        <v>0</v>
      </c>
    </row>
    <row r="95" spans="2:33" ht="13" hidden="1" outlineLevel="1" x14ac:dyDescent="0.3">
      <c r="B95" s="31" t="s">
        <v>132</v>
      </c>
      <c r="C95" s="33">
        <v>13844</v>
      </c>
      <c r="D95" s="33">
        <v>13844</v>
      </c>
      <c r="E95" s="23">
        <v>0</v>
      </c>
      <c r="F95" s="23">
        <v>0</v>
      </c>
      <c r="G95" s="23">
        <v>0</v>
      </c>
      <c r="H95" s="23">
        <v>0</v>
      </c>
      <c r="I95" s="23">
        <v>0</v>
      </c>
      <c r="J95" s="23">
        <v>0</v>
      </c>
      <c r="K95" s="23">
        <f t="shared" si="99"/>
        <v>0</v>
      </c>
      <c r="L95" s="33">
        <f t="shared" si="100"/>
        <v>0</v>
      </c>
      <c r="M95" s="33"/>
      <c r="N95" s="33">
        <f t="shared" si="101"/>
        <v>0</v>
      </c>
      <c r="O95" s="33">
        <v>13844</v>
      </c>
      <c r="P95" s="33">
        <v>0</v>
      </c>
      <c r="Q95" s="33">
        <v>0</v>
      </c>
      <c r="R95" s="33">
        <v>0</v>
      </c>
      <c r="S95" s="33">
        <v>6905</v>
      </c>
      <c r="T95" s="33">
        <f t="shared" si="102"/>
        <v>-6905</v>
      </c>
      <c r="U95" s="38">
        <f t="shared" si="103"/>
        <v>0</v>
      </c>
      <c r="V95" s="59">
        <f t="shared" si="104"/>
        <v>13844</v>
      </c>
      <c r="W95" s="33">
        <v>0</v>
      </c>
      <c r="X95" s="33">
        <v>0</v>
      </c>
      <c r="Y95" s="33"/>
      <c r="Z95" s="33"/>
      <c r="AA95" s="42"/>
      <c r="AB95" s="60"/>
      <c r="AC95" s="105"/>
      <c r="AD95" s="93"/>
      <c r="AE95" s="33">
        <f t="shared" si="105"/>
        <v>0</v>
      </c>
      <c r="AF95" s="33">
        <f t="shared" si="106"/>
        <v>0</v>
      </c>
      <c r="AG95" s="101">
        <f t="shared" si="107"/>
        <v>-13844</v>
      </c>
    </row>
    <row r="96" spans="2:33" ht="13" hidden="1" outlineLevel="1" x14ac:dyDescent="0.3">
      <c r="B96" s="31" t="s">
        <v>133</v>
      </c>
      <c r="C96" s="33">
        <v>-20213</v>
      </c>
      <c r="D96" s="33">
        <v>-20213</v>
      </c>
      <c r="E96" s="23">
        <v>0</v>
      </c>
      <c r="F96" s="23">
        <v>0</v>
      </c>
      <c r="G96" s="23">
        <v>0</v>
      </c>
      <c r="H96" s="23">
        <v>0</v>
      </c>
      <c r="I96" s="23">
        <v>0</v>
      </c>
      <c r="J96" s="23">
        <v>0</v>
      </c>
      <c r="K96" s="23">
        <f t="shared" si="99"/>
        <v>0</v>
      </c>
      <c r="L96" s="33">
        <f t="shared" si="100"/>
        <v>0</v>
      </c>
      <c r="M96" s="33"/>
      <c r="N96" s="33">
        <f t="shared" si="101"/>
        <v>0</v>
      </c>
      <c r="O96" s="33">
        <v>-20213</v>
      </c>
      <c r="P96" s="33">
        <v>0</v>
      </c>
      <c r="Q96" s="33">
        <v>0</v>
      </c>
      <c r="R96" s="33">
        <v>0</v>
      </c>
      <c r="S96" s="33">
        <v>-10106</v>
      </c>
      <c r="T96" s="33">
        <f t="shared" si="102"/>
        <v>10106</v>
      </c>
      <c r="U96" s="38">
        <f t="shared" si="103"/>
        <v>0</v>
      </c>
      <c r="V96" s="59">
        <f t="shared" si="104"/>
        <v>-20213</v>
      </c>
      <c r="W96" s="33">
        <v>0</v>
      </c>
      <c r="X96" s="33">
        <v>0</v>
      </c>
      <c r="Y96" s="33"/>
      <c r="Z96" s="33"/>
      <c r="AA96" s="42"/>
      <c r="AB96" s="60"/>
      <c r="AC96" s="105"/>
      <c r="AD96" s="93"/>
      <c r="AE96" s="33">
        <f t="shared" si="105"/>
        <v>0</v>
      </c>
      <c r="AF96" s="33">
        <f t="shared" si="106"/>
        <v>0</v>
      </c>
      <c r="AG96" s="101">
        <f t="shared" si="107"/>
        <v>20213</v>
      </c>
    </row>
    <row r="97" spans="2:33" ht="13" hidden="1" outlineLevel="1" x14ac:dyDescent="0.3">
      <c r="B97" s="31" t="s">
        <v>134</v>
      </c>
      <c r="C97" s="33">
        <v>-3441</v>
      </c>
      <c r="D97" s="33">
        <v>-3441</v>
      </c>
      <c r="E97" s="23">
        <v>0</v>
      </c>
      <c r="F97" s="23">
        <v>0</v>
      </c>
      <c r="G97" s="23">
        <v>0</v>
      </c>
      <c r="H97" s="23">
        <v>0</v>
      </c>
      <c r="I97" s="23">
        <v>0</v>
      </c>
      <c r="J97" s="23">
        <v>0</v>
      </c>
      <c r="K97" s="23">
        <f t="shared" si="99"/>
        <v>0</v>
      </c>
      <c r="L97" s="33">
        <f t="shared" si="100"/>
        <v>0</v>
      </c>
      <c r="M97" s="33"/>
      <c r="N97" s="33">
        <f t="shared" si="101"/>
        <v>0</v>
      </c>
      <c r="O97" s="33">
        <v>-3441</v>
      </c>
      <c r="P97" s="33">
        <v>0</v>
      </c>
      <c r="Q97" s="33">
        <v>-1165</v>
      </c>
      <c r="R97" s="33">
        <v>-1165</v>
      </c>
      <c r="S97" s="33">
        <v>-1720</v>
      </c>
      <c r="T97" s="33">
        <f t="shared" si="102"/>
        <v>555</v>
      </c>
      <c r="U97" s="38">
        <f t="shared" si="103"/>
        <v>0.33856437082243535</v>
      </c>
      <c r="V97" s="59">
        <f t="shared" si="104"/>
        <v>-3441</v>
      </c>
      <c r="W97" s="33">
        <v>0</v>
      </c>
      <c r="X97" s="33">
        <v>0</v>
      </c>
      <c r="Y97" s="33"/>
      <c r="Z97" s="33"/>
      <c r="AA97" s="42"/>
      <c r="AB97" s="60"/>
      <c r="AC97" s="105"/>
      <c r="AD97" s="93"/>
      <c r="AE97" s="33">
        <f t="shared" si="105"/>
        <v>0</v>
      </c>
      <c r="AF97" s="33">
        <f t="shared" si="106"/>
        <v>-1165</v>
      </c>
      <c r="AG97" s="101">
        <f t="shared" si="107"/>
        <v>2276</v>
      </c>
    </row>
    <row r="98" spans="2:33" ht="13.5" hidden="1" outlineLevel="1" thickBot="1" x14ac:dyDescent="0.35">
      <c r="B98" s="80"/>
      <c r="C98" s="81"/>
      <c r="D98" s="81"/>
      <c r="E98" s="82"/>
      <c r="F98" s="82"/>
      <c r="G98" s="82"/>
      <c r="H98" s="82"/>
      <c r="I98" s="82"/>
      <c r="J98" s="82"/>
      <c r="K98" s="82"/>
      <c r="L98" s="81"/>
      <c r="M98" s="81"/>
      <c r="N98" s="81"/>
      <c r="O98" s="81"/>
      <c r="P98" s="81"/>
      <c r="Q98" s="81"/>
      <c r="R98" s="81"/>
      <c r="S98" s="81"/>
      <c r="T98" s="81"/>
      <c r="U98" s="81"/>
      <c r="V98" s="83"/>
      <c r="W98" s="81"/>
      <c r="X98" s="81"/>
      <c r="Y98" s="81"/>
      <c r="Z98" s="81"/>
      <c r="AA98" s="84"/>
      <c r="AB98" s="60"/>
      <c r="AC98" s="98"/>
      <c r="AD98" s="36"/>
      <c r="AE98" s="36"/>
      <c r="AF98" s="36"/>
      <c r="AG98" s="99"/>
    </row>
    <row r="99" spans="2:33" ht="13.5" collapsed="1" thickBot="1" x14ac:dyDescent="0.35">
      <c r="B99" s="68" t="s">
        <v>135</v>
      </c>
      <c r="C99" s="69">
        <f t="shared" ref="C99:J99" si="108">SUM(C80:C80,C81:C81,C82:C82,C83:C83,C84:C84,C85:C85,C86:C86,C87:C87,C88:C88,C89:C89,C90:C90,C91:C91,C92:C92,C93:C93,C94:C94,C95:C95,C96:C96,C97:C97)</f>
        <v>-8616</v>
      </c>
      <c r="D99" s="69">
        <f t="shared" si="108"/>
        <v>-9810</v>
      </c>
      <c r="E99" s="77">
        <f t="shared" si="108"/>
        <v>0</v>
      </c>
      <c r="F99" s="77">
        <f t="shared" si="108"/>
        <v>0</v>
      </c>
      <c r="G99" s="77">
        <f t="shared" si="108"/>
        <v>-1195</v>
      </c>
      <c r="H99" s="77">
        <f t="shared" si="108"/>
        <v>0</v>
      </c>
      <c r="I99" s="77">
        <f t="shared" si="108"/>
        <v>0</v>
      </c>
      <c r="J99" s="77">
        <f t="shared" si="108"/>
        <v>0</v>
      </c>
      <c r="K99" s="77">
        <f>SUM(E99:J99)</f>
        <v>-1195</v>
      </c>
      <c r="L99" s="69">
        <f>O99-D99</f>
        <v>0</v>
      </c>
      <c r="M99" s="69">
        <f t="shared" ref="M99:N99" si="109">SUM(M80:M80,M81:M81,M82:M82,M83:M83,M84:M84,M85:M85,M86:M86,M87:M87,M88:M88,M89:M89,M90:M90,M91:M91,M92:M92,M93:M93,M94:M94,M95:M95,M96:M96,M97:M97)</f>
        <v>0</v>
      </c>
      <c r="N99" s="69">
        <f t="shared" si="109"/>
        <v>-1194</v>
      </c>
      <c r="O99" s="69">
        <f>SUM(O80:O80,O81:O81,O82:O82,O83:O83,O84:O84,O85:O85,O86:O86,O87:O87,O88:O88,O89:O89,O90:O90,O91:O91,O92:O92,O93:O93,O94:O94,O95:O95,O96:O96,O97:O97)</f>
        <v>-9810</v>
      </c>
      <c r="P99" s="69">
        <f>SUM(P80:P80,P81:P81,P82:P82,P83:P83,P84:P84,P85:P85,P86:P86,P87:P87,P88:P88,P89:P89,P90:P90,P91:P91,P92:P92,P93:P93,P94:P94,P95:P95,P96:P96,P97:P97)</f>
        <v>7</v>
      </c>
      <c r="Q99" s="69">
        <f>SUM(Q80:Q80,Q81:Q81,Q82:Q82,Q83:Q83,Q84:Q84,Q85:Q85,Q86:Q86,Q87:Q87,Q88:Q88,Q89:Q89,Q90:Q90,Q91:Q91,Q92:Q92,Q93:Q93,Q94:Q94,Q95:Q95,Q96:Q96,Q97:Q97)</f>
        <v>-1165</v>
      </c>
      <c r="R99" s="69">
        <f>SUM(R80:R80,R81:R81,R82:R82,R83:R83,R84:R84,R85:R85,R86:R86,R87:R87,R88:R88,R89:R89,R90:R90,R91:R91,R92:R92,R93:R93,R94:R94,R95:R95,R96:R96,R97:R97)</f>
        <v>-1158</v>
      </c>
      <c r="S99" s="69">
        <f>SUM(S80:S80,S81:S81,S82:S82,S83:S83,S84:S84,S85:S85,S86:S86,S87:S87,S88:S88,S89:S89,S90:S90,S91:S91,S92:S92,S93:S93,S94:S94,S95:S95,S96:S96,S97:S97)</f>
        <v>-4921</v>
      </c>
      <c r="T99" s="69">
        <f>R99-S99</f>
        <v>3763</v>
      </c>
      <c r="U99" s="70">
        <f>IFERROR((R99/O99)*100%,"∞")</f>
        <v>0.11804281345565749</v>
      </c>
      <c r="V99" s="76">
        <f>O99+W99</f>
        <v>-9810</v>
      </c>
      <c r="W99" s="69">
        <f>SUM(W80:W80,W81:W81,W82:W82,W83:W83,W84:W84,W85:W85,W86:W86,W87:W87,W88:W88,W89:W89,W90:W90,W91:W91,W92:W92,W93:W93,W94:W94,W95:W95,W96:W96,W97:W97)</f>
        <v>0</v>
      </c>
      <c r="X99" s="69">
        <f>SUM(X80:X80,X81:X81,X82:X82,X83:X83,X84:X84,X85:X85,X86:X86,X87:X87,X88:X88,X89:X89,X90:X90,X91:X91,X92:X92,X93:X93,X94:X94,X95:X95,X96:X96,X97:X97)</f>
        <v>0</v>
      </c>
      <c r="Y99" s="69">
        <f>SUM(Y80:Y80,Y81:Y81,Y82:Y82,Y83:Y83,Y84:Y84,Y85:Y85,Y86:Y86,Y87:Y87,Y88:Y88,Y89:Y89,Y90:Y90,Y91:Y91,Y92:Y92,Y93:Y93,Y94:Y94,Y95:Y95,Y96:Y96,Y97:Y97)</f>
        <v>0</v>
      </c>
      <c r="Z99" s="69">
        <f>SUM(Z80:Z80,Z81:Z81,Z82:Z82,Z83:Z83,Z84:Z84,Z85:Z85,Z86:Z86,Z87:Z87,Z88:Z88,Z89:Z89,Z90:Z90,Z91:Z91,Z92:Z92,Z93:Z93,Z94:Z94,Z95:Z95,Z96:Z96,Z97:Z97)</f>
        <v>0</v>
      </c>
      <c r="AA99" s="69">
        <f>SUM(AA80:AA80,AA81:AA81,AA82:AA82,AA83:AA83,AA84:AA84,AA85:AA85,AA86:AA86,AA87:AA87,AA88:AA88,AA89:AA89,AA90:AA90,AA91:AA91,AA92:AA92,AA93:AA93,AA94:AA94,AA95:AA95,AA96:AA96,AA97:AA97)</f>
        <v>0</v>
      </c>
      <c r="AB99" s="60"/>
      <c r="AC99" s="69">
        <f>SUM(AC80:AC80,AC81:AC81,AC82:AC82,AC83:AC83,AC84:AC84,AC85:AC85,AC86:AC86,AC87:AC87,AC88:AC88,AC89:AC89,AC90:AC90,AC91:AC91,AC92:AC92,AC93:AC93,AC94:AC94,AC95:AC95,AC96:AC96,AC97:AC97)</f>
        <v>0</v>
      </c>
      <c r="AD99" s="69">
        <f>SUM(AD80:AD80,AD81:AD81,AD82:AD82,AD83:AD83,AD84:AD84,AD85:AD85,AD86:AD86,AD87:AD87,AD88:AD88,AD89:AD89,AD90:AD90,AD91:AD91,AD92:AD92,AD93:AD93,AD94:AD94,AD95:AD95,AD96:AD96,AD97:AD97)</f>
        <v>0</v>
      </c>
      <c r="AE99" s="69">
        <f>SUM(AE80:AE80,AE81:AE81,AE82:AE82,AE83:AE83,AE84:AE84,AE85:AE85,AE86:AE86,AE87:AE87,AE88:AE88,AE89:AE89,AE90:AE90,AE91:AE91,AE92:AE92,AE93:AE93,AE94:AE94,AE95:AE95,AE96:AE96,AE97:AE97)</f>
        <v>0</v>
      </c>
      <c r="AF99" s="69">
        <f>SUM(AF80:AF80,AF81:AF81,AF82:AF82,AF83:AF83,AF84:AF84,AF85:AF85,AF86:AF86,AF87:AF87,AF88:AF88,AF89:AF89,AF90:AF90,AF91:AF91,AF92:AF92,AF93:AF93,AF94:AF94,AF95:AF95,AF96:AF96,AF97:AF97)</f>
        <v>-1158</v>
      </c>
      <c r="AG99" s="69">
        <f>SUM(AG80:AG80,AG81:AG81,AG82:AG82,AG83:AG83,AG84:AG84,AG85:AG85,AG86:AG86,AG87:AG87,AG88:AG88,AG89:AG89,AG90:AG90,AG91:AG91,AG92:AG92,AG93:AG93,AG94:AG94,AG95:AG95,AG96:AG96,AG97:AG97)</f>
        <v>8652</v>
      </c>
    </row>
    <row r="100" spans="2:33" ht="13.5" thickTop="1" x14ac:dyDescent="0.3">
      <c r="B100" s="71"/>
      <c r="C100" s="72"/>
      <c r="D100" s="72"/>
      <c r="E100" s="73"/>
      <c r="F100" s="73"/>
      <c r="G100" s="73"/>
      <c r="H100" s="73"/>
      <c r="I100" s="73"/>
      <c r="J100" s="73"/>
      <c r="K100" s="73"/>
      <c r="L100" s="72"/>
      <c r="M100" s="72"/>
      <c r="N100" s="72"/>
      <c r="O100" s="72"/>
      <c r="P100" s="72"/>
      <c r="Q100" s="72"/>
      <c r="R100" s="72"/>
      <c r="S100" s="72"/>
      <c r="T100" s="72"/>
      <c r="U100" s="72"/>
      <c r="V100" s="74"/>
      <c r="W100" s="72"/>
      <c r="X100" s="72"/>
      <c r="Y100" s="72"/>
      <c r="Z100" s="72"/>
      <c r="AA100" s="75"/>
      <c r="AB100" s="60"/>
      <c r="AC100" s="71"/>
      <c r="AD100" s="72"/>
      <c r="AE100" s="72"/>
      <c r="AF100" s="72"/>
      <c r="AG100" s="75"/>
    </row>
    <row r="101" spans="2:33" ht="13" x14ac:dyDescent="0.3">
      <c r="B101" s="78" t="s">
        <v>136</v>
      </c>
      <c r="C101" s="34">
        <f t="shared" ref="C101:J101" si="110">SUM(C102:C110,C111:C111)</f>
        <v>1291</v>
      </c>
      <c r="D101" s="34">
        <f t="shared" si="110"/>
        <v>2415</v>
      </c>
      <c r="E101" s="24">
        <f t="shared" si="110"/>
        <v>125</v>
      </c>
      <c r="F101" s="24">
        <f t="shared" si="110"/>
        <v>0</v>
      </c>
      <c r="G101" s="24">
        <f t="shared" si="110"/>
        <v>1126</v>
      </c>
      <c r="H101" s="24">
        <f t="shared" si="110"/>
        <v>-56</v>
      </c>
      <c r="I101" s="24">
        <f t="shared" si="110"/>
        <v>0</v>
      </c>
      <c r="J101" s="24">
        <f t="shared" si="110"/>
        <v>0</v>
      </c>
      <c r="K101" s="24">
        <f>SUM(K102:K111)</f>
        <v>1195</v>
      </c>
      <c r="L101" s="34">
        <f t="shared" ref="L101:L111" si="111">O101-D101</f>
        <v>121</v>
      </c>
      <c r="M101" s="34">
        <f t="shared" ref="M101:N101" si="112">SUM(M102:M110,M111:M111)</f>
        <v>0</v>
      </c>
      <c r="N101" s="34">
        <f t="shared" si="112"/>
        <v>1245</v>
      </c>
      <c r="O101" s="34">
        <f>SUM(O102:O110,O111:O111)</f>
        <v>2536</v>
      </c>
      <c r="P101" s="34">
        <f>SUM(P102:P110,P111:P111)</f>
        <v>21569</v>
      </c>
      <c r="Q101" s="34">
        <f>SUM(Q102:Q110,Q111:Q111)</f>
        <v>-28046</v>
      </c>
      <c r="R101" s="34">
        <f>SUM(R102:R110,R111:R111)</f>
        <v>-6478</v>
      </c>
      <c r="S101" s="34">
        <f>SUM(S102:S110,S111:S111)</f>
        <v>1833</v>
      </c>
      <c r="T101" s="34">
        <f>R101-S101</f>
        <v>-8311</v>
      </c>
      <c r="U101" s="94">
        <f>IFERROR((R101/O101)*100%,"∞")</f>
        <v>-2.5544164037854888</v>
      </c>
      <c r="V101" s="95">
        <f>O101+W101</f>
        <v>2629</v>
      </c>
      <c r="W101" s="34">
        <f>SUM(W102:W110,W111:W111)</f>
        <v>93</v>
      </c>
      <c r="X101" s="34">
        <f>SUM(X102:X110,X111:X111)</f>
        <v>93</v>
      </c>
      <c r="Y101" s="34">
        <f t="shared" ref="Y101:AA101" si="113">SUM(Y102:Y110,Y111:Y111)</f>
        <v>0</v>
      </c>
      <c r="Z101" s="34">
        <f t="shared" si="113"/>
        <v>93</v>
      </c>
      <c r="AA101" s="34">
        <f t="shared" si="113"/>
        <v>0</v>
      </c>
      <c r="AB101" s="60"/>
      <c r="AC101" s="100">
        <f>SUM(AC102:AC110,AC111:AC111)</f>
        <v>0</v>
      </c>
      <c r="AD101" s="33">
        <f>SUM(AD102:AD110,AD111:AD111)</f>
        <v>0</v>
      </c>
      <c r="AE101" s="33">
        <f>SUM(AE102:AE110,AE111:AE111)</f>
        <v>0</v>
      </c>
      <c r="AF101" s="33">
        <f>SUM(AF102:AF110,AF111:AF111)</f>
        <v>-6478</v>
      </c>
      <c r="AG101" s="101">
        <f>SUM(AG102:AG110,AG111:AG111)</f>
        <v>-9014</v>
      </c>
    </row>
    <row r="102" spans="2:33" ht="13" hidden="1" outlineLevel="1" x14ac:dyDescent="0.3">
      <c r="B102" s="79" t="s">
        <v>137</v>
      </c>
      <c r="C102" s="33">
        <v>380</v>
      </c>
      <c r="D102" s="33">
        <v>380</v>
      </c>
      <c r="E102" s="23">
        <v>0</v>
      </c>
      <c r="F102" s="23">
        <v>0</v>
      </c>
      <c r="G102" s="23">
        <v>0</v>
      </c>
      <c r="H102" s="23">
        <v>0</v>
      </c>
      <c r="I102" s="23">
        <v>0</v>
      </c>
      <c r="J102" s="23">
        <v>0</v>
      </c>
      <c r="K102" s="23">
        <f>SUM(E102:J102)</f>
        <v>0</v>
      </c>
      <c r="L102" s="33">
        <f t="shared" si="111"/>
        <v>0</v>
      </c>
      <c r="M102" s="33"/>
      <c r="N102" s="33">
        <f t="shared" ref="N102:N111" si="114">O102-C102</f>
        <v>0</v>
      </c>
      <c r="O102" s="33">
        <v>380</v>
      </c>
      <c r="P102" s="33">
        <v>21377</v>
      </c>
      <c r="Q102" s="33">
        <v>-23207</v>
      </c>
      <c r="R102" s="33">
        <v>-1830</v>
      </c>
      <c r="S102" s="33">
        <v>190</v>
      </c>
      <c r="T102" s="33">
        <f>R102-S102</f>
        <v>-2020</v>
      </c>
      <c r="U102" s="38">
        <f>IFERROR((R102/O102)*100%,"∞")</f>
        <v>-4.8157894736842106</v>
      </c>
      <c r="V102" s="59">
        <f>O102+W102</f>
        <v>380</v>
      </c>
      <c r="W102" s="33">
        <v>0</v>
      </c>
      <c r="X102" s="33">
        <v>0</v>
      </c>
      <c r="Y102" s="33"/>
      <c r="Z102" s="33"/>
      <c r="AA102" s="42">
        <f t="shared" ref="AA102:AA110" si="115">Z102-W102</f>
        <v>0</v>
      </c>
      <c r="AB102" s="60"/>
      <c r="AC102" s="105"/>
      <c r="AD102" s="93"/>
      <c r="AE102" s="33">
        <f>SUM(AC102:AD102)</f>
        <v>0</v>
      </c>
      <c r="AF102" s="33">
        <f>R102+AE102</f>
        <v>-1830</v>
      </c>
      <c r="AG102" s="101">
        <f>AF102-O102</f>
        <v>-2210</v>
      </c>
    </row>
    <row r="103" spans="2:33" ht="13" hidden="1" outlineLevel="1" x14ac:dyDescent="0.3">
      <c r="B103" s="79" t="s">
        <v>138</v>
      </c>
      <c r="C103" s="33">
        <v>3014</v>
      </c>
      <c r="D103" s="33">
        <v>3139</v>
      </c>
      <c r="E103" s="23">
        <v>125</v>
      </c>
      <c r="F103" s="23">
        <v>0</v>
      </c>
      <c r="G103" s="23">
        <v>125</v>
      </c>
      <c r="H103" s="23">
        <v>0</v>
      </c>
      <c r="I103" s="23">
        <v>0</v>
      </c>
      <c r="J103" s="23">
        <v>0</v>
      </c>
      <c r="K103" s="23">
        <f t="shared" ref="K103:K109" si="116">SUM(E103:J103)</f>
        <v>250</v>
      </c>
      <c r="L103" s="33">
        <f t="shared" si="111"/>
        <v>0</v>
      </c>
      <c r="M103" s="33"/>
      <c r="N103" s="33">
        <f t="shared" si="114"/>
        <v>125</v>
      </c>
      <c r="O103" s="33">
        <v>3139</v>
      </c>
      <c r="P103" s="33">
        <v>8</v>
      </c>
      <c r="Q103" s="33">
        <v>0</v>
      </c>
      <c r="R103" s="33">
        <v>8</v>
      </c>
      <c r="S103" s="33">
        <v>1569</v>
      </c>
      <c r="T103" s="33">
        <f t="shared" ref="T103:T109" si="117">R103-S103</f>
        <v>-1561</v>
      </c>
      <c r="U103" s="38">
        <f t="shared" ref="U103:U109" si="118">IFERROR((R103/O103)*100%,"∞")</f>
        <v>2.5485823510672189E-3</v>
      </c>
      <c r="V103" s="59">
        <f t="shared" ref="V103:V109" si="119">O103+W103</f>
        <v>3139</v>
      </c>
      <c r="W103" s="33">
        <v>0</v>
      </c>
      <c r="X103" s="33">
        <v>0</v>
      </c>
      <c r="Y103" s="33"/>
      <c r="Z103" s="33"/>
      <c r="AA103" s="42">
        <f t="shared" si="115"/>
        <v>0</v>
      </c>
      <c r="AB103" s="60"/>
      <c r="AC103" s="105"/>
      <c r="AD103" s="93"/>
      <c r="AE103" s="33">
        <f t="shared" ref="AE103:AE109" si="120">SUM(AC103:AD103)</f>
        <v>0</v>
      </c>
      <c r="AF103" s="33">
        <f t="shared" ref="AF103:AF109" si="121">R103+AE103</f>
        <v>8</v>
      </c>
      <c r="AG103" s="101">
        <f t="shared" ref="AG103:AG109" si="122">AF103-O103</f>
        <v>-3131</v>
      </c>
    </row>
    <row r="104" spans="2:33" ht="13" hidden="1" outlineLevel="1" x14ac:dyDescent="0.3">
      <c r="B104" s="79" t="s">
        <v>139</v>
      </c>
      <c r="C104" s="33">
        <v>602</v>
      </c>
      <c r="D104" s="33">
        <v>602</v>
      </c>
      <c r="E104" s="23">
        <v>0</v>
      </c>
      <c r="F104" s="23">
        <v>0</v>
      </c>
      <c r="G104" s="23">
        <v>0</v>
      </c>
      <c r="H104" s="23">
        <v>0</v>
      </c>
      <c r="I104" s="23">
        <v>0</v>
      </c>
      <c r="J104" s="23">
        <v>0</v>
      </c>
      <c r="K104" s="23">
        <f t="shared" si="116"/>
        <v>0</v>
      </c>
      <c r="L104" s="33">
        <f t="shared" si="111"/>
        <v>0</v>
      </c>
      <c r="M104" s="33"/>
      <c r="N104" s="33">
        <f t="shared" si="114"/>
        <v>0</v>
      </c>
      <c r="O104" s="33">
        <v>602</v>
      </c>
      <c r="P104" s="33">
        <v>178</v>
      </c>
      <c r="Q104" s="33">
        <v>0</v>
      </c>
      <c r="R104" s="33">
        <v>178</v>
      </c>
      <c r="S104" s="33">
        <v>0</v>
      </c>
      <c r="T104" s="33">
        <f t="shared" si="117"/>
        <v>178</v>
      </c>
      <c r="U104" s="38">
        <f t="shared" si="118"/>
        <v>0.29568106312292358</v>
      </c>
      <c r="V104" s="59">
        <f t="shared" si="119"/>
        <v>602</v>
      </c>
      <c r="W104" s="33">
        <v>0</v>
      </c>
      <c r="X104" s="33">
        <v>0</v>
      </c>
      <c r="Y104" s="33"/>
      <c r="Z104" s="33"/>
      <c r="AA104" s="42">
        <f t="shared" si="115"/>
        <v>0</v>
      </c>
      <c r="AB104" s="60"/>
      <c r="AC104" s="105"/>
      <c r="AD104" s="93"/>
      <c r="AE104" s="33">
        <f t="shared" si="120"/>
        <v>0</v>
      </c>
      <c r="AF104" s="33">
        <f t="shared" si="121"/>
        <v>178</v>
      </c>
      <c r="AG104" s="101">
        <f t="shared" si="122"/>
        <v>-424</v>
      </c>
    </row>
    <row r="105" spans="2:33" ht="13" hidden="1" outlineLevel="1" x14ac:dyDescent="0.3">
      <c r="B105" s="79" t="s">
        <v>141</v>
      </c>
      <c r="C105" s="33">
        <v>1031</v>
      </c>
      <c r="D105" s="33">
        <v>7179</v>
      </c>
      <c r="E105" s="23">
        <v>0</v>
      </c>
      <c r="F105" s="23">
        <v>0</v>
      </c>
      <c r="G105" s="23">
        <v>6148</v>
      </c>
      <c r="H105" s="23">
        <v>0</v>
      </c>
      <c r="I105" s="23">
        <v>0</v>
      </c>
      <c r="J105" s="23">
        <v>0</v>
      </c>
      <c r="K105" s="23">
        <f t="shared" si="116"/>
        <v>6148</v>
      </c>
      <c r="L105" s="33">
        <f t="shared" si="111"/>
        <v>177</v>
      </c>
      <c r="M105" s="33"/>
      <c r="N105" s="33">
        <f t="shared" si="114"/>
        <v>6325</v>
      </c>
      <c r="O105" s="33">
        <f>7179+177</f>
        <v>7356</v>
      </c>
      <c r="P105" s="33">
        <v>0</v>
      </c>
      <c r="Q105" s="33">
        <v>-4252</v>
      </c>
      <c r="R105" s="33">
        <v>-4252</v>
      </c>
      <c r="S105" s="33">
        <v>125</v>
      </c>
      <c r="T105" s="33">
        <f t="shared" si="117"/>
        <v>-4377</v>
      </c>
      <c r="U105" s="38">
        <f t="shared" si="118"/>
        <v>-0.57803153887982595</v>
      </c>
      <c r="V105" s="59">
        <f t="shared" si="119"/>
        <v>7356</v>
      </c>
      <c r="W105" s="33">
        <v>0</v>
      </c>
      <c r="X105" s="33">
        <v>0</v>
      </c>
      <c r="Y105" s="33"/>
      <c r="Z105" s="33"/>
      <c r="AA105" s="42">
        <f t="shared" si="115"/>
        <v>0</v>
      </c>
      <c r="AB105" s="60"/>
      <c r="AC105" s="105"/>
      <c r="AD105" s="93"/>
      <c r="AE105" s="33">
        <f t="shared" si="120"/>
        <v>0</v>
      </c>
      <c r="AF105" s="33">
        <f t="shared" si="121"/>
        <v>-4252</v>
      </c>
      <c r="AG105" s="101">
        <f t="shared" si="122"/>
        <v>-11608</v>
      </c>
    </row>
    <row r="106" spans="2:33" ht="13" hidden="1" outlineLevel="1" x14ac:dyDescent="0.3">
      <c r="B106" s="79" t="s">
        <v>142</v>
      </c>
      <c r="C106" s="33">
        <v>3379</v>
      </c>
      <c r="D106" s="33">
        <v>-3187</v>
      </c>
      <c r="E106" s="23">
        <v>0</v>
      </c>
      <c r="F106" s="23">
        <v>0</v>
      </c>
      <c r="G106" s="23">
        <v>-6565</v>
      </c>
      <c r="H106" s="23">
        <v>-56</v>
      </c>
      <c r="I106" s="23">
        <v>0</v>
      </c>
      <c r="J106" s="23">
        <v>0</v>
      </c>
      <c r="K106" s="23">
        <f t="shared" si="116"/>
        <v>-6621</v>
      </c>
      <c r="L106" s="33">
        <f t="shared" si="111"/>
        <v>-56</v>
      </c>
      <c r="M106" s="33"/>
      <c r="N106" s="33">
        <f t="shared" si="114"/>
        <v>-6622</v>
      </c>
      <c r="O106" s="33">
        <v>-3243</v>
      </c>
      <c r="P106" s="33">
        <v>6</v>
      </c>
      <c r="Q106" s="33">
        <v>-2</v>
      </c>
      <c r="R106" s="33">
        <v>3</v>
      </c>
      <c r="S106" s="33">
        <v>3184</v>
      </c>
      <c r="T106" s="33">
        <f t="shared" si="117"/>
        <v>-3181</v>
      </c>
      <c r="U106" s="38">
        <f t="shared" si="118"/>
        <v>-9.2506938020351531E-4</v>
      </c>
      <c r="V106" s="59">
        <f t="shared" si="119"/>
        <v>-3150</v>
      </c>
      <c r="W106" s="33">
        <v>93</v>
      </c>
      <c r="X106" s="33">
        <v>93</v>
      </c>
      <c r="Y106" s="33"/>
      <c r="Z106" s="33">
        <v>93</v>
      </c>
      <c r="AA106" s="42">
        <f>Z106-W106</f>
        <v>0</v>
      </c>
      <c r="AB106" s="60"/>
      <c r="AC106" s="105"/>
      <c r="AD106" s="93"/>
      <c r="AE106" s="33">
        <f t="shared" si="120"/>
        <v>0</v>
      </c>
      <c r="AF106" s="33">
        <f t="shared" si="121"/>
        <v>3</v>
      </c>
      <c r="AG106" s="101">
        <f t="shared" si="122"/>
        <v>3246</v>
      </c>
    </row>
    <row r="107" spans="2:33" ht="13" hidden="1" outlineLevel="1" x14ac:dyDescent="0.3">
      <c r="B107" s="79" t="s">
        <v>143</v>
      </c>
      <c r="C107" s="33">
        <v>-7702</v>
      </c>
      <c r="D107" s="33">
        <v>-7702</v>
      </c>
      <c r="E107" s="23">
        <v>0</v>
      </c>
      <c r="F107" s="23">
        <v>0</v>
      </c>
      <c r="G107" s="23">
        <v>0</v>
      </c>
      <c r="H107" s="23">
        <v>0</v>
      </c>
      <c r="I107" s="23">
        <v>0</v>
      </c>
      <c r="J107" s="23">
        <v>0</v>
      </c>
      <c r="K107" s="23">
        <f t="shared" si="116"/>
        <v>0</v>
      </c>
      <c r="L107" s="33">
        <f t="shared" si="111"/>
        <v>0</v>
      </c>
      <c r="M107" s="33"/>
      <c r="N107" s="33">
        <f t="shared" si="114"/>
        <v>0</v>
      </c>
      <c r="O107" s="33">
        <v>-7702</v>
      </c>
      <c r="P107" s="33">
        <v>0</v>
      </c>
      <c r="Q107" s="33">
        <v>0</v>
      </c>
      <c r="R107" s="33">
        <v>0</v>
      </c>
      <c r="S107" s="33">
        <v>-3235</v>
      </c>
      <c r="T107" s="33">
        <f t="shared" si="117"/>
        <v>3235</v>
      </c>
      <c r="U107" s="38">
        <f t="shared" si="118"/>
        <v>0</v>
      </c>
      <c r="V107" s="59">
        <f t="shared" si="119"/>
        <v>-7702</v>
      </c>
      <c r="W107" s="33">
        <v>0</v>
      </c>
      <c r="X107" s="33">
        <v>0</v>
      </c>
      <c r="Y107" s="33"/>
      <c r="Z107" s="33"/>
      <c r="AA107" s="42">
        <f t="shared" si="115"/>
        <v>0</v>
      </c>
      <c r="AB107" s="60"/>
      <c r="AC107" s="105"/>
      <c r="AD107" s="93"/>
      <c r="AE107" s="33">
        <f t="shared" si="120"/>
        <v>0</v>
      </c>
      <c r="AF107" s="33">
        <f t="shared" si="121"/>
        <v>0</v>
      </c>
      <c r="AG107" s="101">
        <f t="shared" si="122"/>
        <v>7702</v>
      </c>
    </row>
    <row r="108" spans="2:33" ht="13" hidden="1" outlineLevel="1" x14ac:dyDescent="0.3">
      <c r="B108" s="79" t="s">
        <v>144</v>
      </c>
      <c r="C108" s="33">
        <v>-784</v>
      </c>
      <c r="D108" s="33">
        <v>-561</v>
      </c>
      <c r="E108" s="23">
        <v>0</v>
      </c>
      <c r="F108" s="23">
        <v>0</v>
      </c>
      <c r="G108" s="23">
        <v>223</v>
      </c>
      <c r="H108" s="23">
        <v>0</v>
      </c>
      <c r="I108" s="23">
        <v>0</v>
      </c>
      <c r="J108" s="23">
        <v>0</v>
      </c>
      <c r="K108" s="23">
        <f t="shared" si="116"/>
        <v>223</v>
      </c>
      <c r="L108" s="33">
        <f t="shared" si="111"/>
        <v>0</v>
      </c>
      <c r="M108" s="33"/>
      <c r="N108" s="33">
        <f t="shared" si="114"/>
        <v>223</v>
      </c>
      <c r="O108" s="33">
        <v>-561</v>
      </c>
      <c r="P108" s="33">
        <v>0</v>
      </c>
      <c r="Q108" s="33">
        <v>41</v>
      </c>
      <c r="R108" s="33">
        <v>41</v>
      </c>
      <c r="S108" s="33">
        <v>0</v>
      </c>
      <c r="T108" s="33">
        <f t="shared" si="117"/>
        <v>41</v>
      </c>
      <c r="U108" s="38">
        <f t="shared" si="118"/>
        <v>-7.3083778966131913E-2</v>
      </c>
      <c r="V108" s="59">
        <f t="shared" si="119"/>
        <v>-561</v>
      </c>
      <c r="W108" s="33">
        <v>0</v>
      </c>
      <c r="X108" s="33">
        <v>0</v>
      </c>
      <c r="Y108" s="33"/>
      <c r="Z108" s="33"/>
      <c r="AA108" s="42">
        <f t="shared" si="115"/>
        <v>0</v>
      </c>
      <c r="AB108" s="60"/>
      <c r="AC108" s="105"/>
      <c r="AD108" s="93"/>
      <c r="AE108" s="33">
        <f t="shared" si="120"/>
        <v>0</v>
      </c>
      <c r="AF108" s="33">
        <f t="shared" si="121"/>
        <v>41</v>
      </c>
      <c r="AG108" s="101">
        <f t="shared" si="122"/>
        <v>602</v>
      </c>
    </row>
    <row r="109" spans="2:33" ht="13" hidden="1" outlineLevel="1" x14ac:dyDescent="0.3">
      <c r="B109" s="79" t="s">
        <v>145</v>
      </c>
      <c r="C109" s="33">
        <v>1687</v>
      </c>
      <c r="D109" s="33">
        <v>2881</v>
      </c>
      <c r="E109" s="23">
        <v>0</v>
      </c>
      <c r="F109" s="23">
        <v>0</v>
      </c>
      <c r="G109" s="23">
        <v>1195</v>
      </c>
      <c r="H109" s="23">
        <v>0</v>
      </c>
      <c r="I109" s="23">
        <v>0</v>
      </c>
      <c r="J109" s="23">
        <v>0</v>
      </c>
      <c r="K109" s="23">
        <f t="shared" si="116"/>
        <v>1195</v>
      </c>
      <c r="L109" s="33">
        <f t="shared" si="111"/>
        <v>0</v>
      </c>
      <c r="M109" s="33"/>
      <c r="N109" s="33">
        <f t="shared" si="114"/>
        <v>1194</v>
      </c>
      <c r="O109" s="33">
        <v>2881</v>
      </c>
      <c r="P109" s="33">
        <v>0</v>
      </c>
      <c r="Q109" s="33">
        <v>-197</v>
      </c>
      <c r="R109" s="33">
        <v>-197</v>
      </c>
      <c r="S109" s="33">
        <v>0</v>
      </c>
      <c r="T109" s="33">
        <f t="shared" si="117"/>
        <v>-197</v>
      </c>
      <c r="U109" s="38">
        <f t="shared" si="118"/>
        <v>-6.8379035057271775E-2</v>
      </c>
      <c r="V109" s="59">
        <f t="shared" si="119"/>
        <v>2881</v>
      </c>
      <c r="W109" s="33">
        <v>0</v>
      </c>
      <c r="X109" s="33">
        <v>0</v>
      </c>
      <c r="Y109" s="33"/>
      <c r="Z109" s="33"/>
      <c r="AA109" s="42">
        <f t="shared" si="115"/>
        <v>0</v>
      </c>
      <c r="AB109" s="60"/>
      <c r="AC109" s="105"/>
      <c r="AD109" s="93"/>
      <c r="AE109" s="33">
        <f t="shared" si="120"/>
        <v>0</v>
      </c>
      <c r="AF109" s="33">
        <f t="shared" si="121"/>
        <v>-197</v>
      </c>
      <c r="AG109" s="101">
        <f t="shared" si="122"/>
        <v>-3078</v>
      </c>
    </row>
    <row r="110" spans="2:33" ht="13" hidden="1" outlineLevel="1" x14ac:dyDescent="0.3">
      <c r="B110" s="79" t="s">
        <v>146</v>
      </c>
      <c r="C110" s="33">
        <v>294</v>
      </c>
      <c r="D110" s="33">
        <v>294</v>
      </c>
      <c r="E110" s="23">
        <v>0</v>
      </c>
      <c r="F110" s="23">
        <v>0</v>
      </c>
      <c r="G110" s="23">
        <v>0</v>
      </c>
      <c r="H110" s="23">
        <v>0</v>
      </c>
      <c r="I110" s="23">
        <v>0</v>
      </c>
      <c r="J110" s="23">
        <v>0</v>
      </c>
      <c r="K110" s="23">
        <f>SUM(E110:J110)</f>
        <v>0</v>
      </c>
      <c r="L110" s="33">
        <f t="shared" si="111"/>
        <v>0</v>
      </c>
      <c r="M110" s="33"/>
      <c r="N110" s="33">
        <f t="shared" si="114"/>
        <v>0</v>
      </c>
      <c r="O110" s="33">
        <v>294</v>
      </c>
      <c r="P110" s="33">
        <v>0</v>
      </c>
      <c r="Q110" s="33">
        <v>-124</v>
      </c>
      <c r="R110" s="33">
        <v>-124</v>
      </c>
      <c r="S110" s="33">
        <v>0</v>
      </c>
      <c r="T110" s="33">
        <f>R110-S110</f>
        <v>-124</v>
      </c>
      <c r="U110" s="38">
        <f>IFERROR((R110/O110)*100%,"∞")</f>
        <v>-0.42176870748299322</v>
      </c>
      <c r="V110" s="59">
        <f>O110+W110</f>
        <v>294</v>
      </c>
      <c r="W110" s="33">
        <v>0</v>
      </c>
      <c r="X110" s="33">
        <v>0</v>
      </c>
      <c r="Y110" s="33"/>
      <c r="Z110" s="33"/>
      <c r="AA110" s="42">
        <f t="shared" si="115"/>
        <v>0</v>
      </c>
      <c r="AB110" s="60"/>
      <c r="AC110" s="105"/>
      <c r="AD110" s="93"/>
      <c r="AE110" s="33">
        <f>SUM(AC110:AD110)</f>
        <v>0</v>
      </c>
      <c r="AF110" s="33">
        <f>R110+AE110</f>
        <v>-124</v>
      </c>
      <c r="AG110" s="101">
        <f>AF110-O110</f>
        <v>-418</v>
      </c>
    </row>
    <row r="111" spans="2:33" ht="13" hidden="1" outlineLevel="1" x14ac:dyDescent="0.3">
      <c r="B111" s="79" t="s">
        <v>148</v>
      </c>
      <c r="C111" s="33">
        <v>-610</v>
      </c>
      <c r="D111" s="33">
        <v>-610</v>
      </c>
      <c r="E111" s="23">
        <v>0</v>
      </c>
      <c r="F111" s="23">
        <v>0</v>
      </c>
      <c r="G111" s="23">
        <v>0</v>
      </c>
      <c r="H111" s="23">
        <v>0</v>
      </c>
      <c r="I111" s="23">
        <v>0</v>
      </c>
      <c r="J111" s="23">
        <v>0</v>
      </c>
      <c r="K111" s="23">
        <f>SUM(E111:J111)</f>
        <v>0</v>
      </c>
      <c r="L111" s="33">
        <f t="shared" si="111"/>
        <v>0</v>
      </c>
      <c r="M111" s="33"/>
      <c r="N111" s="33">
        <f t="shared" si="114"/>
        <v>0</v>
      </c>
      <c r="O111" s="33">
        <v>-610</v>
      </c>
      <c r="P111" s="33">
        <v>0</v>
      </c>
      <c r="Q111" s="33">
        <v>-305</v>
      </c>
      <c r="R111" s="33">
        <v>-305</v>
      </c>
      <c r="S111" s="33">
        <v>0</v>
      </c>
      <c r="T111" s="33">
        <f>R111-S111</f>
        <v>-305</v>
      </c>
      <c r="U111" s="38">
        <f>IFERROR((R111/O111)*100%,"∞")</f>
        <v>0.5</v>
      </c>
      <c r="V111" s="59">
        <f>O111+W111</f>
        <v>-610</v>
      </c>
      <c r="W111" s="33">
        <v>0</v>
      </c>
      <c r="X111" s="33">
        <v>0</v>
      </c>
      <c r="Y111" s="33"/>
      <c r="Z111" s="33"/>
      <c r="AA111" s="42">
        <f>Z111-W111</f>
        <v>0</v>
      </c>
      <c r="AB111" s="60"/>
      <c r="AC111" s="105"/>
      <c r="AD111" s="93"/>
      <c r="AE111" s="33">
        <f>SUM(AC111:AD111)</f>
        <v>0</v>
      </c>
      <c r="AF111" s="33">
        <f>R111+AE111</f>
        <v>-305</v>
      </c>
      <c r="AG111" s="101">
        <f>AF111-O111</f>
        <v>305</v>
      </c>
    </row>
    <row r="112" spans="2:33" ht="13" collapsed="1" x14ac:dyDescent="0.3">
      <c r="B112" s="85"/>
      <c r="C112" s="86"/>
      <c r="D112" s="86"/>
      <c r="E112" s="87"/>
      <c r="F112" s="87"/>
      <c r="G112" s="87"/>
      <c r="H112" s="87"/>
      <c r="I112" s="87"/>
      <c r="J112" s="87"/>
      <c r="K112" s="87"/>
      <c r="L112" s="86"/>
      <c r="M112" s="86"/>
      <c r="N112" s="86"/>
      <c r="O112" s="86"/>
      <c r="P112" s="86"/>
      <c r="Q112" s="86"/>
      <c r="R112" s="86"/>
      <c r="S112" s="86"/>
      <c r="T112" s="86"/>
      <c r="U112" s="86"/>
      <c r="V112" s="88"/>
      <c r="W112" s="86"/>
      <c r="X112" s="86"/>
      <c r="Y112" s="86"/>
      <c r="Z112" s="86"/>
      <c r="AA112" s="89"/>
      <c r="AB112" s="60"/>
      <c r="AC112" s="98"/>
      <c r="AD112" s="36"/>
      <c r="AE112" s="36"/>
      <c r="AF112" s="36"/>
      <c r="AG112" s="99"/>
    </row>
    <row r="113" spans="2:35" ht="13" x14ac:dyDescent="0.3">
      <c r="B113" s="78" t="s">
        <v>149</v>
      </c>
      <c r="C113" s="34">
        <f t="shared" ref="C113:J113" si="123">SUM(C114:C118)</f>
        <v>221</v>
      </c>
      <c r="D113" s="34">
        <f t="shared" si="123"/>
        <v>1310</v>
      </c>
      <c r="E113" s="24">
        <f t="shared" si="123"/>
        <v>0</v>
      </c>
      <c r="F113" s="24">
        <f t="shared" si="123"/>
        <v>0</v>
      </c>
      <c r="G113" s="24">
        <f t="shared" si="123"/>
        <v>1089</v>
      </c>
      <c r="H113" s="24">
        <f t="shared" si="123"/>
        <v>0</v>
      </c>
      <c r="I113" s="24">
        <f t="shared" si="123"/>
        <v>0</v>
      </c>
      <c r="J113" s="24">
        <f t="shared" si="123"/>
        <v>0</v>
      </c>
      <c r="K113" s="24">
        <f>SUM(E113:J113)</f>
        <v>1089</v>
      </c>
      <c r="L113" s="34">
        <f t="shared" ref="L113:L118" si="124">O113-D113</f>
        <v>0</v>
      </c>
      <c r="M113" s="34">
        <f t="shared" ref="M113:N113" si="125">SUM(M114:M118)</f>
        <v>1025</v>
      </c>
      <c r="N113" s="34">
        <f t="shared" si="125"/>
        <v>64</v>
      </c>
      <c r="O113" s="34">
        <f>SUM(O114:O118)</f>
        <v>1310</v>
      </c>
      <c r="P113" s="34">
        <f>SUM(P114:P118)</f>
        <v>0</v>
      </c>
      <c r="Q113" s="34">
        <f>SUM(Q114:Q118)</f>
        <v>0</v>
      </c>
      <c r="R113" s="34">
        <f>SUM(R114:R118)</f>
        <v>0</v>
      </c>
      <c r="S113" s="34">
        <f>SUM(S114:S118)</f>
        <v>744</v>
      </c>
      <c r="T113" s="34">
        <f>R113-S113</f>
        <v>-744</v>
      </c>
      <c r="U113" s="94">
        <f>IFERROR((R113/O113)*100%,"∞")</f>
        <v>0</v>
      </c>
      <c r="V113" s="95">
        <f>O113+W113</f>
        <v>285</v>
      </c>
      <c r="W113" s="34">
        <v>-1025</v>
      </c>
      <c r="X113" s="34">
        <f>SUM(X114:X118)</f>
        <v>0</v>
      </c>
      <c r="Y113" s="34"/>
      <c r="Z113" s="34"/>
      <c r="AA113" s="41"/>
      <c r="AB113" s="60"/>
      <c r="AC113" s="100">
        <f>SUM(AC114:AC118)</f>
        <v>0</v>
      </c>
      <c r="AD113" s="33">
        <f>SUM(AD114:AD118)</f>
        <v>0</v>
      </c>
      <c r="AE113" s="33">
        <f>SUM(AE114:AE118)</f>
        <v>0</v>
      </c>
      <c r="AF113" s="33">
        <f>SUM(AF114:AF118)</f>
        <v>0</v>
      </c>
      <c r="AG113" s="101">
        <f>SUM(AG114:AG118)</f>
        <v>-1310</v>
      </c>
    </row>
    <row r="114" spans="2:35" ht="13" hidden="1" outlineLevel="1" x14ac:dyDescent="0.3">
      <c r="B114" s="79" t="s">
        <v>150</v>
      </c>
      <c r="C114" s="33">
        <v>171</v>
      </c>
      <c r="D114" s="33">
        <v>171</v>
      </c>
      <c r="E114" s="23">
        <v>0</v>
      </c>
      <c r="F114" s="23">
        <v>0</v>
      </c>
      <c r="G114" s="23">
        <v>0</v>
      </c>
      <c r="H114" s="23">
        <v>0</v>
      </c>
      <c r="I114" s="23">
        <v>0</v>
      </c>
      <c r="J114" s="23">
        <v>0</v>
      </c>
      <c r="K114" s="23">
        <f>SUM(E114:J114)</f>
        <v>0</v>
      </c>
      <c r="L114" s="33">
        <f t="shared" si="124"/>
        <v>0</v>
      </c>
      <c r="M114" s="33"/>
      <c r="N114" s="33">
        <f>O114-C114</f>
        <v>0</v>
      </c>
      <c r="O114" s="33">
        <v>171</v>
      </c>
      <c r="P114" s="33">
        <v>0</v>
      </c>
      <c r="Q114" s="33">
        <v>0</v>
      </c>
      <c r="R114" s="33">
        <v>0</v>
      </c>
      <c r="S114" s="33">
        <v>0</v>
      </c>
      <c r="T114" s="33">
        <f>R114-S114</f>
        <v>0</v>
      </c>
      <c r="U114" s="38">
        <f>IFERROR((R114/O114)*100%,"∞")</f>
        <v>0</v>
      </c>
      <c r="V114" s="59">
        <f>O114+W114</f>
        <v>171</v>
      </c>
      <c r="W114" s="33">
        <v>0</v>
      </c>
      <c r="X114" s="33">
        <v>0</v>
      </c>
      <c r="Y114" s="33"/>
      <c r="Z114" s="33"/>
      <c r="AA114" s="42"/>
      <c r="AB114" s="60"/>
      <c r="AC114" s="105"/>
      <c r="AD114" s="93"/>
      <c r="AE114" s="33">
        <f>SUM(AC114:AD114)</f>
        <v>0</v>
      </c>
      <c r="AF114" s="33">
        <f>R114+AE114</f>
        <v>0</v>
      </c>
      <c r="AG114" s="101">
        <f>AF114-O114</f>
        <v>-171</v>
      </c>
    </row>
    <row r="115" spans="2:35" ht="13" hidden="1" outlineLevel="1" x14ac:dyDescent="0.3">
      <c r="B115" s="79" t="s">
        <v>151</v>
      </c>
      <c r="C115" s="33">
        <v>-362</v>
      </c>
      <c r="D115" s="33">
        <v>-362</v>
      </c>
      <c r="E115" s="23">
        <v>0</v>
      </c>
      <c r="F115" s="23">
        <v>0</v>
      </c>
      <c r="G115" s="23">
        <v>0</v>
      </c>
      <c r="H115" s="23">
        <v>0</v>
      </c>
      <c r="I115" s="23">
        <v>0</v>
      </c>
      <c r="J115" s="23">
        <v>0</v>
      </c>
      <c r="K115" s="23">
        <f t="shared" ref="K115:K117" si="126">SUM(E115:J115)</f>
        <v>0</v>
      </c>
      <c r="L115" s="33">
        <f t="shared" si="124"/>
        <v>0</v>
      </c>
      <c r="M115" s="33"/>
      <c r="N115" s="33">
        <f>O115-C115</f>
        <v>0</v>
      </c>
      <c r="O115" s="33">
        <v>-362</v>
      </c>
      <c r="P115" s="33">
        <v>0</v>
      </c>
      <c r="Q115" s="33">
        <v>0</v>
      </c>
      <c r="R115" s="33">
        <v>0</v>
      </c>
      <c r="S115" s="33">
        <v>-181</v>
      </c>
      <c r="T115" s="33">
        <f t="shared" ref="T115:T117" si="127">R115-S115</f>
        <v>181</v>
      </c>
      <c r="U115" s="38">
        <f t="shared" ref="U115:U117" si="128">IFERROR((R115/O115)*100%,"∞")</f>
        <v>0</v>
      </c>
      <c r="V115" s="59">
        <f t="shared" ref="V115:V117" si="129">O115+W115</f>
        <v>-362</v>
      </c>
      <c r="W115" s="33">
        <v>0</v>
      </c>
      <c r="X115" s="33">
        <v>0</v>
      </c>
      <c r="Y115" s="33"/>
      <c r="Z115" s="33"/>
      <c r="AA115" s="42"/>
      <c r="AB115" s="60"/>
      <c r="AC115" s="105"/>
      <c r="AD115" s="93"/>
      <c r="AE115" s="33">
        <f t="shared" ref="AE115:AE117" si="130">SUM(AC115:AD115)</f>
        <v>0</v>
      </c>
      <c r="AF115" s="33">
        <f t="shared" ref="AF115:AF117" si="131">R115+AE115</f>
        <v>0</v>
      </c>
      <c r="AG115" s="101">
        <f t="shared" ref="AG115:AG117" si="132">AF115-O115</f>
        <v>362</v>
      </c>
    </row>
    <row r="116" spans="2:35" ht="13" hidden="1" outlineLevel="1" x14ac:dyDescent="0.3">
      <c r="B116" s="79" t="s">
        <v>152</v>
      </c>
      <c r="C116" s="33">
        <v>138</v>
      </c>
      <c r="D116" s="33">
        <v>138</v>
      </c>
      <c r="E116" s="23">
        <v>0</v>
      </c>
      <c r="F116" s="23">
        <v>0</v>
      </c>
      <c r="G116" s="23">
        <v>0</v>
      </c>
      <c r="H116" s="23">
        <v>0</v>
      </c>
      <c r="I116" s="23">
        <v>0</v>
      </c>
      <c r="J116" s="23">
        <v>0</v>
      </c>
      <c r="K116" s="23">
        <f t="shared" si="126"/>
        <v>0</v>
      </c>
      <c r="L116" s="33">
        <f t="shared" si="124"/>
        <v>0</v>
      </c>
      <c r="M116" s="33"/>
      <c r="N116" s="33">
        <f>O116-C116</f>
        <v>0</v>
      </c>
      <c r="O116" s="33">
        <v>138</v>
      </c>
      <c r="P116" s="33">
        <v>0</v>
      </c>
      <c r="Q116" s="33">
        <v>0</v>
      </c>
      <c r="R116" s="33">
        <v>0</v>
      </c>
      <c r="S116" s="33">
        <v>0</v>
      </c>
      <c r="T116" s="33">
        <f t="shared" si="127"/>
        <v>0</v>
      </c>
      <c r="U116" s="38">
        <f t="shared" si="128"/>
        <v>0</v>
      </c>
      <c r="V116" s="59">
        <f t="shared" si="129"/>
        <v>138</v>
      </c>
      <c r="W116" s="33">
        <v>0</v>
      </c>
      <c r="X116" s="33">
        <v>0</v>
      </c>
      <c r="Y116" s="33"/>
      <c r="Z116" s="33"/>
      <c r="AA116" s="42"/>
      <c r="AB116" s="60"/>
      <c r="AC116" s="105"/>
      <c r="AD116" s="93"/>
      <c r="AE116" s="33">
        <f t="shared" si="130"/>
        <v>0</v>
      </c>
      <c r="AF116" s="33">
        <f t="shared" si="131"/>
        <v>0</v>
      </c>
      <c r="AG116" s="101">
        <f t="shared" si="132"/>
        <v>-138</v>
      </c>
    </row>
    <row r="117" spans="2:35" ht="13" hidden="1" outlineLevel="1" x14ac:dyDescent="0.3">
      <c r="B117" s="79" t="s">
        <v>153</v>
      </c>
      <c r="C117" s="33">
        <v>190</v>
      </c>
      <c r="D117" s="33">
        <v>1205</v>
      </c>
      <c r="E117" s="23">
        <v>0</v>
      </c>
      <c r="F117" s="23">
        <v>0</v>
      </c>
      <c r="G117" s="23">
        <v>1015</v>
      </c>
      <c r="H117" s="23">
        <v>0</v>
      </c>
      <c r="I117" s="23">
        <v>0</v>
      </c>
      <c r="J117" s="23">
        <v>0</v>
      </c>
      <c r="K117" s="23">
        <f t="shared" si="126"/>
        <v>1015</v>
      </c>
      <c r="L117" s="33">
        <f t="shared" si="124"/>
        <v>0</v>
      </c>
      <c r="M117" s="33">
        <v>1025</v>
      </c>
      <c r="N117" s="33">
        <f>O117-C117-M117</f>
        <v>-10</v>
      </c>
      <c r="O117" s="33">
        <v>1205</v>
      </c>
      <c r="P117" s="33">
        <v>0</v>
      </c>
      <c r="Q117" s="33">
        <v>0</v>
      </c>
      <c r="R117" s="33">
        <v>0</v>
      </c>
      <c r="S117" s="33">
        <v>1015</v>
      </c>
      <c r="T117" s="33">
        <f t="shared" si="127"/>
        <v>-1015</v>
      </c>
      <c r="U117" s="38">
        <f t="shared" si="128"/>
        <v>0</v>
      </c>
      <c r="V117" s="59">
        <f t="shared" si="129"/>
        <v>0</v>
      </c>
      <c r="W117" s="33">
        <v>-1205</v>
      </c>
      <c r="X117" s="33">
        <v>0</v>
      </c>
      <c r="Y117" s="33"/>
      <c r="Z117" s="33">
        <v>0</v>
      </c>
      <c r="AA117" s="42">
        <v>0</v>
      </c>
      <c r="AB117" s="60"/>
      <c r="AC117" s="105"/>
      <c r="AD117" s="93"/>
      <c r="AE117" s="33">
        <f t="shared" si="130"/>
        <v>0</v>
      </c>
      <c r="AF117" s="33">
        <f t="shared" si="131"/>
        <v>0</v>
      </c>
      <c r="AG117" s="101">
        <f t="shared" si="132"/>
        <v>-1205</v>
      </c>
    </row>
    <row r="118" spans="2:35" ht="13" hidden="1" outlineLevel="1" x14ac:dyDescent="0.3">
      <c r="B118" s="79" t="s">
        <v>154</v>
      </c>
      <c r="C118" s="33">
        <v>84</v>
      </c>
      <c r="D118" s="33">
        <v>158</v>
      </c>
      <c r="E118" s="23">
        <v>0</v>
      </c>
      <c r="F118" s="23">
        <v>0</v>
      </c>
      <c r="G118" s="23">
        <v>74</v>
      </c>
      <c r="H118" s="23">
        <v>0</v>
      </c>
      <c r="I118" s="23">
        <v>0</v>
      </c>
      <c r="J118" s="23">
        <v>0</v>
      </c>
      <c r="K118" s="23">
        <f>SUM(E118:J118)</f>
        <v>74</v>
      </c>
      <c r="L118" s="33">
        <f t="shared" si="124"/>
        <v>0</v>
      </c>
      <c r="M118" s="33"/>
      <c r="N118" s="33">
        <f>O118-C118</f>
        <v>74</v>
      </c>
      <c r="O118" s="33">
        <v>158</v>
      </c>
      <c r="P118" s="33">
        <v>0</v>
      </c>
      <c r="Q118" s="33">
        <v>0</v>
      </c>
      <c r="R118" s="33">
        <v>0</v>
      </c>
      <c r="S118" s="33">
        <v>-90</v>
      </c>
      <c r="T118" s="33">
        <f>R118-S118</f>
        <v>90</v>
      </c>
      <c r="U118" s="38">
        <f>IFERROR((R118/O118)*100%,"∞")</f>
        <v>0</v>
      </c>
      <c r="V118" s="59">
        <f>O118+W118</f>
        <v>158</v>
      </c>
      <c r="W118" s="33">
        <v>0</v>
      </c>
      <c r="X118" s="33">
        <v>0</v>
      </c>
      <c r="Y118" s="33"/>
      <c r="Z118" s="33"/>
      <c r="AA118" s="42"/>
      <c r="AB118" s="60"/>
      <c r="AC118" s="105"/>
      <c r="AD118" s="93"/>
      <c r="AE118" s="33">
        <f>SUM(AC118:AD118)</f>
        <v>0</v>
      </c>
      <c r="AF118" s="33">
        <f>R118+AE118</f>
        <v>0</v>
      </c>
      <c r="AG118" s="101">
        <f>AF118-O118</f>
        <v>-158</v>
      </c>
    </row>
    <row r="119" spans="2:35" ht="13.5" collapsed="1" thickBot="1" x14ac:dyDescent="0.35">
      <c r="B119" s="80"/>
      <c r="C119" s="81"/>
      <c r="D119" s="81"/>
      <c r="E119" s="82"/>
      <c r="F119" s="82"/>
      <c r="G119" s="82"/>
      <c r="H119" s="82"/>
      <c r="I119" s="82"/>
      <c r="J119" s="82"/>
      <c r="K119" s="82"/>
      <c r="L119" s="81"/>
      <c r="M119" s="81"/>
      <c r="N119" s="81"/>
      <c r="O119" s="81"/>
      <c r="P119" s="81"/>
      <c r="Q119" s="81"/>
      <c r="R119" s="81"/>
      <c r="S119" s="81"/>
      <c r="T119" s="81"/>
      <c r="U119" s="81"/>
      <c r="V119" s="83"/>
      <c r="W119" s="81"/>
      <c r="X119" s="81"/>
      <c r="Y119" s="81"/>
      <c r="Z119" s="81"/>
      <c r="AA119" s="84"/>
      <c r="AB119" s="60"/>
      <c r="AC119" s="100"/>
      <c r="AD119" s="33"/>
      <c r="AE119" s="33"/>
      <c r="AF119" s="33"/>
      <c r="AG119" s="101"/>
    </row>
    <row r="120" spans="2:35" ht="13.5" thickBot="1" x14ac:dyDescent="0.35">
      <c r="B120" s="91" t="s">
        <v>155</v>
      </c>
      <c r="C120" s="76">
        <f t="shared" ref="C120:J120" si="133">C101+C113</f>
        <v>1512</v>
      </c>
      <c r="D120" s="76">
        <f t="shared" si="133"/>
        <v>3725</v>
      </c>
      <c r="E120" s="76">
        <f t="shared" si="133"/>
        <v>125</v>
      </c>
      <c r="F120" s="76">
        <f t="shared" si="133"/>
        <v>0</v>
      </c>
      <c r="G120" s="76">
        <f t="shared" si="133"/>
        <v>2215</v>
      </c>
      <c r="H120" s="76">
        <f t="shared" si="133"/>
        <v>-56</v>
      </c>
      <c r="I120" s="76">
        <f t="shared" si="133"/>
        <v>0</v>
      </c>
      <c r="J120" s="76">
        <f t="shared" si="133"/>
        <v>0</v>
      </c>
      <c r="K120" s="76">
        <f>SUM(E120:J120)</f>
        <v>2284</v>
      </c>
      <c r="L120" s="76">
        <f>O120-D120</f>
        <v>121</v>
      </c>
      <c r="M120" s="76">
        <f t="shared" ref="M120:N120" si="134">M101+M113</f>
        <v>1025</v>
      </c>
      <c r="N120" s="76">
        <f t="shared" si="134"/>
        <v>1309</v>
      </c>
      <c r="O120" s="76">
        <f>O101+O113</f>
        <v>3846</v>
      </c>
      <c r="P120" s="76">
        <f>P101+P113</f>
        <v>21569</v>
      </c>
      <c r="Q120" s="76">
        <f>Q101+Q113</f>
        <v>-28046</v>
      </c>
      <c r="R120" s="76">
        <f>R101+R113</f>
        <v>-6478</v>
      </c>
      <c r="S120" s="76">
        <f>S101+S113</f>
        <v>2577</v>
      </c>
      <c r="T120" s="76">
        <f>R120-S120</f>
        <v>-9055</v>
      </c>
      <c r="U120" s="92">
        <f>IFERROR((R120/O120)*100%,"∞")</f>
        <v>-1.6843473738949557</v>
      </c>
      <c r="V120" s="76">
        <f>O120+W120</f>
        <v>2914</v>
      </c>
      <c r="W120" s="76">
        <f>W101+W113</f>
        <v>-932</v>
      </c>
      <c r="X120" s="76">
        <f>X101+X113</f>
        <v>93</v>
      </c>
      <c r="Y120" s="76">
        <f>Y101+Y113</f>
        <v>0</v>
      </c>
      <c r="Z120" s="76">
        <f>Z101+Z113</f>
        <v>93</v>
      </c>
      <c r="AA120" s="76">
        <f>AA101+AA113</f>
        <v>0</v>
      </c>
      <c r="AB120" s="60"/>
      <c r="AC120" s="76">
        <f>AC101+AC113</f>
        <v>0</v>
      </c>
      <c r="AD120" s="76">
        <f>AD101+AD113</f>
        <v>0</v>
      </c>
      <c r="AE120" s="76">
        <f>AE101+AE113</f>
        <v>0</v>
      </c>
      <c r="AF120" s="76">
        <f>AF101+AF113</f>
        <v>-6478</v>
      </c>
      <c r="AG120" s="76">
        <f>AG101+AG113</f>
        <v>-10324</v>
      </c>
    </row>
    <row r="121" spans="2:35" ht="14" thickTop="1" thickBot="1" x14ac:dyDescent="0.35">
      <c r="B121" s="80"/>
      <c r="C121" s="81"/>
      <c r="D121" s="81"/>
      <c r="E121" s="82"/>
      <c r="F121" s="82"/>
      <c r="G121" s="82"/>
      <c r="H121" s="82"/>
      <c r="I121" s="82"/>
      <c r="J121" s="82"/>
      <c r="K121" s="82"/>
      <c r="L121" s="81"/>
      <c r="M121" s="81"/>
      <c r="N121" s="81"/>
      <c r="O121" s="81"/>
      <c r="P121" s="81"/>
      <c r="Q121" s="81"/>
      <c r="R121" s="81"/>
      <c r="S121" s="81"/>
      <c r="T121" s="81"/>
      <c r="U121" s="81"/>
      <c r="V121" s="83"/>
      <c r="W121" s="81"/>
      <c r="X121" s="81"/>
      <c r="Y121" s="81"/>
      <c r="Z121" s="81"/>
      <c r="AA121" s="84"/>
      <c r="AB121" s="60"/>
      <c r="AC121" s="100"/>
      <c r="AD121" s="33"/>
      <c r="AE121" s="33"/>
      <c r="AF121" s="33"/>
      <c r="AG121" s="101"/>
    </row>
    <row r="122" spans="2:35" ht="13.5" thickBot="1" x14ac:dyDescent="0.35">
      <c r="B122" s="91" t="s">
        <v>156</v>
      </c>
      <c r="C122" s="76">
        <f t="shared" ref="C122:J122" si="135">C78+C99+C120</f>
        <v>23186</v>
      </c>
      <c r="D122" s="76">
        <f t="shared" si="135"/>
        <v>21793</v>
      </c>
      <c r="E122" s="76">
        <f t="shared" si="135"/>
        <v>-1271</v>
      </c>
      <c r="F122" s="76">
        <f t="shared" si="135"/>
        <v>17</v>
      </c>
      <c r="G122" s="76">
        <f t="shared" si="135"/>
        <v>5</v>
      </c>
      <c r="H122" s="76">
        <f t="shared" si="135"/>
        <v>-56</v>
      </c>
      <c r="I122" s="76">
        <f t="shared" si="135"/>
        <v>0</v>
      </c>
      <c r="J122" s="76">
        <f t="shared" si="135"/>
        <v>0</v>
      </c>
      <c r="K122" s="76">
        <f>SUM(E122:J122)</f>
        <v>-1305</v>
      </c>
      <c r="L122" s="76">
        <f>O122-D122</f>
        <v>138</v>
      </c>
      <c r="M122" s="76">
        <f t="shared" ref="M122:N122" si="136">M78+M99+M120</f>
        <v>0</v>
      </c>
      <c r="N122" s="76">
        <f t="shared" si="136"/>
        <v>-1255</v>
      </c>
      <c r="O122" s="76">
        <f>O78+O99+O120</f>
        <v>21931</v>
      </c>
      <c r="P122" s="76">
        <f>P78+P99+P120</f>
        <v>85929</v>
      </c>
      <c r="Q122" s="76">
        <f>Q78+Q99+Q120</f>
        <v>-79113</v>
      </c>
      <c r="R122" s="76">
        <f>R78+R99+R120</f>
        <v>6816</v>
      </c>
      <c r="S122" s="76">
        <f>S78+S99+S120</f>
        <v>11386</v>
      </c>
      <c r="T122" s="76">
        <f>R122-S122</f>
        <v>-4570</v>
      </c>
      <c r="U122" s="92">
        <f>IFERROR((R122/O122)*100%,"∞")</f>
        <v>0.3107929414983357</v>
      </c>
      <c r="V122" s="76">
        <f>O122+W122</f>
        <v>32621</v>
      </c>
      <c r="W122" s="76">
        <f>W78+W99+W120</f>
        <v>10690</v>
      </c>
      <c r="X122" s="76">
        <f>X78+X99+X120</f>
        <v>11947</v>
      </c>
      <c r="Y122" s="76">
        <f>Y78+Y99+Y120</f>
        <v>232</v>
      </c>
      <c r="Z122" s="76">
        <f>Z78+Z99+Z120</f>
        <v>11045</v>
      </c>
      <c r="AA122" s="76">
        <f>AA78+AA99+AA120</f>
        <v>-670</v>
      </c>
      <c r="AB122" s="60"/>
      <c r="AC122" s="76">
        <f>AC78+AC99+AC120</f>
        <v>0</v>
      </c>
      <c r="AD122" s="76">
        <f>AD78+AD99+AD120</f>
        <v>0</v>
      </c>
      <c r="AE122" s="76">
        <f>AE78+AE99+AE120</f>
        <v>0</v>
      </c>
      <c r="AF122" s="76">
        <f>AF78+AF99+AF120</f>
        <v>6816</v>
      </c>
      <c r="AG122" s="76">
        <f>AG78+AG99+AG120</f>
        <v>-15115</v>
      </c>
    </row>
    <row r="123" spans="2:35" ht="13.5" thickTop="1" x14ac:dyDescent="0.3">
      <c r="B123" s="71"/>
      <c r="C123" s="72"/>
      <c r="D123" s="72"/>
      <c r="E123" s="73"/>
      <c r="F123" s="73"/>
      <c r="G123" s="73"/>
      <c r="H123" s="73"/>
      <c r="I123" s="73"/>
      <c r="J123" s="73"/>
      <c r="K123" s="73"/>
      <c r="L123" s="72"/>
      <c r="M123" s="72"/>
      <c r="N123" s="72"/>
      <c r="O123" s="72"/>
      <c r="P123" s="72"/>
      <c r="Q123" s="72"/>
      <c r="R123" s="72"/>
      <c r="S123" s="72"/>
      <c r="T123" s="72"/>
      <c r="U123" s="72"/>
      <c r="V123" s="74"/>
      <c r="W123" s="72"/>
      <c r="X123" s="72"/>
      <c r="Y123" s="72"/>
      <c r="Z123" s="72"/>
      <c r="AA123" s="75"/>
      <c r="AB123" s="60"/>
      <c r="AC123" s="100"/>
      <c r="AD123" s="33"/>
      <c r="AE123" s="33"/>
      <c r="AF123" s="33"/>
      <c r="AG123" s="101"/>
      <c r="AI123" s="581"/>
    </row>
    <row r="124" spans="2:35" ht="13" x14ac:dyDescent="0.3">
      <c r="B124" s="79" t="s">
        <v>157</v>
      </c>
      <c r="C124" s="33">
        <f>391-4</f>
        <v>387</v>
      </c>
      <c r="D124" s="33">
        <v>1662</v>
      </c>
      <c r="E124" s="23">
        <v>1271</v>
      </c>
      <c r="F124" s="23">
        <v>-17</v>
      </c>
      <c r="G124" s="23">
        <v>-125</v>
      </c>
      <c r="H124" s="23">
        <v>0</v>
      </c>
      <c r="I124" s="23">
        <v>0</v>
      </c>
      <c r="J124" s="23">
        <v>0</v>
      </c>
      <c r="K124" s="23">
        <f>SUM(E124:J124)</f>
        <v>1129</v>
      </c>
      <c r="L124" s="33">
        <f>O124-D124</f>
        <v>-20</v>
      </c>
      <c r="M124" s="33"/>
      <c r="N124" s="33">
        <f>O124-C124</f>
        <v>1255</v>
      </c>
      <c r="O124" s="33">
        <f>1645-3</f>
        <v>1642</v>
      </c>
      <c r="P124" s="33">
        <v>1250</v>
      </c>
      <c r="Q124" s="33">
        <v>0</v>
      </c>
      <c r="R124" s="33">
        <v>1250</v>
      </c>
      <c r="S124" s="33">
        <v>1512</v>
      </c>
      <c r="T124" s="33">
        <f>R124-S124</f>
        <v>-262</v>
      </c>
      <c r="U124" s="38">
        <f>IFERROR((R124/O124)*100%,"∞")</f>
        <v>0.76126674786845305</v>
      </c>
      <c r="V124" s="59">
        <f>O124+W124</f>
        <v>1642</v>
      </c>
      <c r="W124" s="33"/>
      <c r="X124" s="33">
        <v>0</v>
      </c>
      <c r="Y124" s="33"/>
      <c r="Z124" s="33"/>
      <c r="AA124" s="42"/>
      <c r="AB124" s="60"/>
      <c r="AC124" s="105"/>
      <c r="AD124" s="93"/>
      <c r="AE124" s="33">
        <f>SUM(AC124:AD124)</f>
        <v>0</v>
      </c>
      <c r="AF124" s="33">
        <f>R124+AE124</f>
        <v>1250</v>
      </c>
      <c r="AG124" s="101">
        <f>AF124-O124</f>
        <v>-392</v>
      </c>
    </row>
    <row r="125" spans="2:35" ht="13.5" thickBot="1" x14ac:dyDescent="0.35">
      <c r="B125" s="80"/>
      <c r="C125" s="81"/>
      <c r="D125" s="81"/>
      <c r="E125" s="82"/>
      <c r="F125" s="82"/>
      <c r="G125" s="82"/>
      <c r="H125" s="82"/>
      <c r="I125" s="82"/>
      <c r="J125" s="82"/>
      <c r="K125" s="82"/>
      <c r="L125" s="81"/>
      <c r="M125" s="81"/>
      <c r="N125" s="81"/>
      <c r="O125" s="81"/>
      <c r="P125" s="81"/>
      <c r="Q125" s="81"/>
      <c r="R125" s="81"/>
      <c r="S125" s="81"/>
      <c r="T125" s="81"/>
      <c r="U125" s="81"/>
      <c r="V125" s="83"/>
      <c r="W125" s="81"/>
      <c r="X125" s="81"/>
      <c r="Y125" s="81"/>
      <c r="Z125" s="81"/>
      <c r="AA125" s="84"/>
      <c r="AB125" s="60"/>
      <c r="AC125" s="100"/>
      <c r="AD125" s="33"/>
      <c r="AE125" s="33"/>
      <c r="AF125" s="33"/>
      <c r="AG125" s="101"/>
    </row>
    <row r="126" spans="2:35" ht="13.5" thickBot="1" x14ac:dyDescent="0.35">
      <c r="B126" s="91" t="s">
        <v>158</v>
      </c>
      <c r="C126" s="76">
        <f t="shared" ref="C126:J126" si="137">C122+C124</f>
        <v>23573</v>
      </c>
      <c r="D126" s="76">
        <f t="shared" si="137"/>
        <v>23455</v>
      </c>
      <c r="E126" s="76">
        <f t="shared" si="137"/>
        <v>0</v>
      </c>
      <c r="F126" s="76">
        <f t="shared" si="137"/>
        <v>0</v>
      </c>
      <c r="G126" s="76">
        <f t="shared" si="137"/>
        <v>-120</v>
      </c>
      <c r="H126" s="76">
        <f t="shared" si="137"/>
        <v>-56</v>
      </c>
      <c r="I126" s="76">
        <f t="shared" si="137"/>
        <v>0</v>
      </c>
      <c r="J126" s="76">
        <f t="shared" si="137"/>
        <v>0</v>
      </c>
      <c r="K126" s="76">
        <f>SUM(E126:J126)</f>
        <v>-176</v>
      </c>
      <c r="L126" s="76">
        <f>O126-D126</f>
        <v>118</v>
      </c>
      <c r="M126" s="76">
        <f t="shared" ref="M126:S126" si="138">M122+M124</f>
        <v>0</v>
      </c>
      <c r="N126" s="76">
        <f t="shared" si="138"/>
        <v>0</v>
      </c>
      <c r="O126" s="76">
        <f t="shared" si="138"/>
        <v>23573</v>
      </c>
      <c r="P126" s="76">
        <f t="shared" si="138"/>
        <v>87179</v>
      </c>
      <c r="Q126" s="76">
        <f t="shared" si="138"/>
        <v>-79113</v>
      </c>
      <c r="R126" s="76">
        <f t="shared" si="138"/>
        <v>8066</v>
      </c>
      <c r="S126" s="76">
        <f t="shared" si="138"/>
        <v>12898</v>
      </c>
      <c r="T126" s="76">
        <f>R126-S126</f>
        <v>-4832</v>
      </c>
      <c r="U126" s="92">
        <f>IFERROR((R126/O126)*100%,"∞")</f>
        <v>0.34217112798540705</v>
      </c>
      <c r="V126" s="76">
        <f>O126+W126</f>
        <v>34263</v>
      </c>
      <c r="W126" s="76">
        <f>W122+W124</f>
        <v>10690</v>
      </c>
      <c r="X126" s="76">
        <f>X122+X124</f>
        <v>11947</v>
      </c>
      <c r="Y126" s="76">
        <f>Y122+Y124</f>
        <v>232</v>
      </c>
      <c r="Z126" s="76">
        <f>Z122+Z124</f>
        <v>11045</v>
      </c>
      <c r="AA126" s="76">
        <f>AA122+AA124</f>
        <v>-670</v>
      </c>
      <c r="AB126" s="60"/>
      <c r="AC126" s="76">
        <f>AC122+AC124</f>
        <v>0</v>
      </c>
      <c r="AD126" s="76">
        <f>AD122+AD124</f>
        <v>0</v>
      </c>
      <c r="AE126" s="76">
        <f>AE122+AE124</f>
        <v>0</v>
      </c>
      <c r="AF126" s="76">
        <f>AF122+AF124</f>
        <v>8066</v>
      </c>
      <c r="AG126" s="76">
        <f>AG122+AG124</f>
        <v>-15507</v>
      </c>
    </row>
    <row r="127" spans="2:35" ht="13.5" thickTop="1" x14ac:dyDescent="0.3">
      <c r="B127" s="71"/>
      <c r="C127" s="72"/>
      <c r="D127" s="72"/>
      <c r="E127" s="73"/>
      <c r="F127" s="73"/>
      <c r="G127" s="73"/>
      <c r="H127" s="73"/>
      <c r="I127" s="73"/>
      <c r="J127" s="73"/>
      <c r="K127" s="73"/>
      <c r="L127" s="72"/>
      <c r="M127" s="72"/>
      <c r="N127" s="72"/>
      <c r="O127" s="72"/>
      <c r="P127" s="72"/>
      <c r="Q127" s="72"/>
      <c r="R127" s="72"/>
      <c r="S127" s="72"/>
      <c r="T127" s="72"/>
      <c r="U127" s="72"/>
      <c r="V127" s="74"/>
      <c r="W127" s="72"/>
      <c r="X127" s="72"/>
      <c r="Y127" s="72"/>
      <c r="Z127" s="72"/>
      <c r="AA127" s="75"/>
      <c r="AB127" s="60"/>
      <c r="AC127" s="100"/>
      <c r="AD127" s="33"/>
      <c r="AE127" s="33"/>
      <c r="AF127" s="33"/>
      <c r="AG127" s="101"/>
    </row>
    <row r="128" spans="2:35" ht="13" x14ac:dyDescent="0.3">
      <c r="B128" s="85"/>
      <c r="C128" s="86"/>
      <c r="D128" s="86"/>
      <c r="E128" s="87"/>
      <c r="F128" s="87"/>
      <c r="G128" s="87"/>
      <c r="H128" s="87"/>
      <c r="I128" s="87"/>
      <c r="J128" s="87"/>
      <c r="K128" s="87"/>
      <c r="L128" s="86"/>
      <c r="M128" s="86"/>
      <c r="N128" s="86"/>
      <c r="O128" s="86"/>
      <c r="P128" s="86"/>
      <c r="Q128" s="86"/>
      <c r="R128" s="86"/>
      <c r="S128" s="86"/>
      <c r="T128" s="86"/>
      <c r="U128" s="86"/>
      <c r="V128" s="88"/>
      <c r="W128" s="86"/>
      <c r="X128" s="86"/>
      <c r="Y128" s="86"/>
      <c r="Z128" s="86"/>
      <c r="AA128" s="89"/>
      <c r="AB128" s="60"/>
      <c r="AC128" s="100"/>
      <c r="AD128" s="33"/>
      <c r="AE128" s="33"/>
      <c r="AF128" s="33"/>
      <c r="AG128" s="101"/>
    </row>
    <row r="129" spans="2:33" ht="13" x14ac:dyDescent="0.3">
      <c r="B129" s="78" t="s">
        <v>159</v>
      </c>
      <c r="C129" s="33"/>
      <c r="D129" s="33"/>
      <c r="E129" s="23"/>
      <c r="F129" s="23"/>
      <c r="G129" s="23"/>
      <c r="H129" s="23"/>
      <c r="I129" s="23"/>
      <c r="J129" s="23"/>
      <c r="K129" s="23"/>
      <c r="L129" s="33"/>
      <c r="M129" s="33"/>
      <c r="N129" s="33"/>
      <c r="O129" s="33"/>
      <c r="P129" s="33"/>
      <c r="Q129" s="33"/>
      <c r="R129" s="33"/>
      <c r="S129" s="33"/>
      <c r="T129" s="33"/>
      <c r="U129" s="38"/>
      <c r="V129" s="59"/>
      <c r="W129" s="33"/>
      <c r="X129" s="33"/>
      <c r="Y129" s="33"/>
      <c r="Z129" s="33"/>
      <c r="AA129" s="42"/>
      <c r="AB129" s="60"/>
      <c r="AC129" s="100"/>
      <c r="AD129" s="33"/>
      <c r="AE129" s="33"/>
      <c r="AF129" s="33"/>
      <c r="AG129" s="101"/>
    </row>
    <row r="130" spans="2:33" ht="13" x14ac:dyDescent="0.3">
      <c r="B130" s="79" t="s">
        <v>161</v>
      </c>
      <c r="C130" s="33">
        <v>14679</v>
      </c>
      <c r="D130" s="33">
        <v>14503</v>
      </c>
      <c r="E130" s="23">
        <v>0</v>
      </c>
      <c r="F130" s="23">
        <v>0</v>
      </c>
      <c r="G130" s="23">
        <v>-176</v>
      </c>
      <c r="H130" s="23">
        <v>0</v>
      </c>
      <c r="I130" s="23">
        <v>0</v>
      </c>
      <c r="J130" s="23">
        <v>0</v>
      </c>
      <c r="K130" s="23">
        <f>SUM(E130:J130)</f>
        <v>-176</v>
      </c>
      <c r="L130" s="33">
        <f>O130-D130</f>
        <v>176</v>
      </c>
      <c r="M130" s="33"/>
      <c r="N130" s="33">
        <f>O130-C130</f>
        <v>0</v>
      </c>
      <c r="O130" s="33">
        <f>14503-1+177</f>
        <v>14679</v>
      </c>
      <c r="P130" s="33">
        <v>0</v>
      </c>
      <c r="Q130" s="33">
        <v>0</v>
      </c>
      <c r="R130" s="33">
        <v>0</v>
      </c>
      <c r="S130" s="33">
        <v>0</v>
      </c>
      <c r="T130" s="33">
        <f>R130-S130</f>
        <v>0</v>
      </c>
      <c r="U130" s="38">
        <f>IFERROR((R130/O130)*100%,"∞")</f>
        <v>0</v>
      </c>
      <c r="V130" s="59">
        <f>O130+W130</f>
        <v>14679</v>
      </c>
      <c r="W130" s="33">
        <v>0</v>
      </c>
      <c r="X130" s="33">
        <v>0</v>
      </c>
      <c r="Y130" s="33"/>
      <c r="Z130" s="33"/>
      <c r="AA130" s="42"/>
      <c r="AB130" s="60"/>
      <c r="AC130" s="105"/>
      <c r="AD130" s="93"/>
      <c r="AE130" s="33">
        <f>SUM(AC130:AD130)</f>
        <v>0</v>
      </c>
      <c r="AF130" s="33">
        <f>R130+AE130</f>
        <v>0</v>
      </c>
      <c r="AG130" s="101">
        <f>AF130-O130</f>
        <v>-14679</v>
      </c>
    </row>
    <row r="131" spans="2:33" ht="13" x14ac:dyDescent="0.3">
      <c r="B131" s="79" t="s">
        <v>162</v>
      </c>
      <c r="C131" s="33">
        <v>-271</v>
      </c>
      <c r="D131" s="33">
        <v>-271</v>
      </c>
      <c r="E131" s="23">
        <v>0</v>
      </c>
      <c r="F131" s="23">
        <v>0</v>
      </c>
      <c r="G131" s="23">
        <v>0</v>
      </c>
      <c r="H131" s="23">
        <v>0</v>
      </c>
      <c r="I131" s="23">
        <v>0</v>
      </c>
      <c r="J131" s="23">
        <v>0</v>
      </c>
      <c r="K131" s="23">
        <f>SUM(E131:J131)</f>
        <v>0</v>
      </c>
      <c r="L131" s="33">
        <f>O131-D131</f>
        <v>0</v>
      </c>
      <c r="M131" s="33"/>
      <c r="N131" s="33">
        <f>O131-C131</f>
        <v>0</v>
      </c>
      <c r="O131" s="33">
        <v>-271</v>
      </c>
      <c r="P131" s="33">
        <v>-141</v>
      </c>
      <c r="Q131" s="33">
        <v>0</v>
      </c>
      <c r="R131" s="33">
        <v>-141</v>
      </c>
      <c r="S131" s="33">
        <v>0</v>
      </c>
      <c r="T131" s="33">
        <f>R131-S131</f>
        <v>-141</v>
      </c>
      <c r="U131" s="38">
        <f>IFERROR((R131/O131)*100%,"∞")</f>
        <v>0.52029520295202947</v>
      </c>
      <c r="V131" s="59">
        <f>O131+W131</f>
        <v>-271</v>
      </c>
      <c r="W131" s="33">
        <v>0</v>
      </c>
      <c r="X131" s="33">
        <v>0</v>
      </c>
      <c r="Y131" s="33"/>
      <c r="Z131" s="33"/>
      <c r="AA131" s="42"/>
      <c r="AB131" s="60"/>
      <c r="AC131" s="105"/>
      <c r="AD131" s="93"/>
      <c r="AE131" s="33">
        <f>SUM(AC131:AD131)</f>
        <v>0</v>
      </c>
      <c r="AF131" s="33">
        <f>R131+AE131</f>
        <v>-141</v>
      </c>
      <c r="AG131" s="101">
        <f>AF131-O131</f>
        <v>130</v>
      </c>
    </row>
    <row r="132" spans="2:33" ht="13" x14ac:dyDescent="0.3">
      <c r="B132" s="79" t="s">
        <v>942</v>
      </c>
      <c r="C132" s="33"/>
      <c r="D132" s="33"/>
      <c r="E132" s="23"/>
      <c r="F132" s="23"/>
      <c r="G132" s="23"/>
      <c r="H132" s="23"/>
      <c r="I132" s="23"/>
      <c r="J132" s="23"/>
      <c r="K132" s="23"/>
      <c r="L132" s="33"/>
      <c r="M132" s="33"/>
      <c r="N132" s="33"/>
      <c r="O132" s="33"/>
      <c r="P132" s="33"/>
      <c r="Q132" s="33"/>
      <c r="R132" s="33"/>
      <c r="S132" s="33"/>
      <c r="T132" s="33"/>
      <c r="U132" s="38"/>
      <c r="V132" s="59"/>
      <c r="W132" s="580">
        <f>-'COVID sept'!N61</f>
        <v>8257.2799999999988</v>
      </c>
      <c r="X132" s="33">
        <v>2322</v>
      </c>
      <c r="Y132" s="33"/>
      <c r="Z132" s="33">
        <v>2054</v>
      </c>
      <c r="AA132" s="42">
        <f>Z132-W132</f>
        <v>-6203.2799999999988</v>
      </c>
      <c r="AB132" s="60"/>
      <c r="AC132" s="105"/>
      <c r="AD132" s="93"/>
      <c r="AE132" s="33"/>
      <c r="AF132" s="33"/>
      <c r="AG132" s="101"/>
    </row>
    <row r="133" spans="2:33" ht="13" x14ac:dyDescent="0.3">
      <c r="B133" s="79" t="s">
        <v>163</v>
      </c>
      <c r="C133" s="33">
        <v>9165</v>
      </c>
      <c r="D133" s="33">
        <v>9221</v>
      </c>
      <c r="E133" s="23">
        <v>0</v>
      </c>
      <c r="F133" s="23">
        <v>0</v>
      </c>
      <c r="G133" s="23">
        <v>56</v>
      </c>
      <c r="H133" s="23">
        <v>-56</v>
      </c>
      <c r="I133" s="23">
        <v>0</v>
      </c>
      <c r="J133" s="23">
        <v>0</v>
      </c>
      <c r="K133" s="23">
        <f>SUM(E133:J133)</f>
        <v>0</v>
      </c>
      <c r="L133" s="33">
        <f>O133-D133</f>
        <v>-56</v>
      </c>
      <c r="M133" s="33"/>
      <c r="N133" s="33">
        <f>O133-C133</f>
        <v>0</v>
      </c>
      <c r="O133" s="33">
        <v>9165</v>
      </c>
      <c r="P133" s="33">
        <v>0</v>
      </c>
      <c r="Q133" s="33">
        <v>6573</v>
      </c>
      <c r="R133" s="33">
        <v>6573</v>
      </c>
      <c r="S133" s="33">
        <v>0</v>
      </c>
      <c r="T133" s="33">
        <f>R133-S133</f>
        <v>6573</v>
      </c>
      <c r="U133" s="38">
        <f>IFERROR((R133/O133)*100%,"∞")</f>
        <v>0.71718494271685762</v>
      </c>
      <c r="V133" s="59">
        <f>O133+W133</f>
        <v>9165</v>
      </c>
      <c r="W133" s="33">
        <v>0</v>
      </c>
      <c r="X133" s="33">
        <v>0</v>
      </c>
      <c r="Y133" s="33"/>
      <c r="Z133" s="33"/>
      <c r="AA133" s="42"/>
      <c r="AB133" s="60"/>
      <c r="AC133" s="105"/>
      <c r="AD133" s="93"/>
      <c r="AE133" s="33">
        <f>SUM(AC133:AD133)</f>
        <v>0</v>
      </c>
      <c r="AF133" s="33">
        <f>R133+AE133</f>
        <v>6573</v>
      </c>
      <c r="AG133" s="101">
        <f>AF133-O133</f>
        <v>-2592</v>
      </c>
    </row>
    <row r="134" spans="2:33" ht="13.5" thickBot="1" x14ac:dyDescent="0.35">
      <c r="B134" s="80"/>
      <c r="C134" s="81"/>
      <c r="D134" s="81"/>
      <c r="E134" s="82"/>
      <c r="F134" s="82"/>
      <c r="G134" s="82"/>
      <c r="H134" s="82"/>
      <c r="I134" s="82"/>
      <c r="J134" s="82"/>
      <c r="K134" s="82"/>
      <c r="L134" s="81"/>
      <c r="M134" s="81"/>
      <c r="N134" s="81"/>
      <c r="O134" s="81"/>
      <c r="P134" s="81"/>
      <c r="Q134" s="81"/>
      <c r="R134" s="81"/>
      <c r="S134" s="81"/>
      <c r="T134" s="81"/>
      <c r="U134" s="81"/>
      <c r="V134" s="83"/>
      <c r="W134" s="81"/>
      <c r="X134" s="81"/>
      <c r="Y134" s="81"/>
      <c r="Z134" s="81"/>
      <c r="AA134" s="84"/>
      <c r="AB134" s="60"/>
      <c r="AC134" s="100"/>
      <c r="AD134" s="33"/>
      <c r="AE134" s="33"/>
      <c r="AF134" s="33"/>
      <c r="AG134" s="101"/>
    </row>
    <row r="135" spans="2:33" ht="13.5" thickBot="1" x14ac:dyDescent="0.35">
      <c r="B135" s="91" t="s">
        <v>164</v>
      </c>
      <c r="C135" s="76">
        <f t="shared" ref="C135:J135" si="139">SUM(C130:C133)</f>
        <v>23573</v>
      </c>
      <c r="D135" s="76">
        <f t="shared" si="139"/>
        <v>23453</v>
      </c>
      <c r="E135" s="76">
        <f t="shared" si="139"/>
        <v>0</v>
      </c>
      <c r="F135" s="76">
        <f t="shared" si="139"/>
        <v>0</v>
      </c>
      <c r="G135" s="76">
        <f t="shared" si="139"/>
        <v>-120</v>
      </c>
      <c r="H135" s="76">
        <f t="shared" si="139"/>
        <v>-56</v>
      </c>
      <c r="I135" s="76">
        <f t="shared" si="139"/>
        <v>0</v>
      </c>
      <c r="J135" s="76">
        <f t="shared" si="139"/>
        <v>0</v>
      </c>
      <c r="K135" s="76">
        <f>SUM(E135:J135)</f>
        <v>-176</v>
      </c>
      <c r="L135" s="76">
        <f>O135-D135</f>
        <v>120</v>
      </c>
      <c r="M135" s="76">
        <f t="shared" ref="M135:N135" si="140">SUM(M130:M133)</f>
        <v>0</v>
      </c>
      <c r="N135" s="76">
        <f t="shared" si="140"/>
        <v>0</v>
      </c>
      <c r="O135" s="76">
        <f>SUM(O130:O133)</f>
        <v>23573</v>
      </c>
      <c r="P135" s="76">
        <f>SUM(P130:P133)</f>
        <v>-141</v>
      </c>
      <c r="Q135" s="76">
        <f>SUM(Q130:Q133)</f>
        <v>6573</v>
      </c>
      <c r="R135" s="76">
        <f>SUM(R130:R133)</f>
        <v>6432</v>
      </c>
      <c r="S135" s="76">
        <f>SUM(S130:S133)</f>
        <v>0</v>
      </c>
      <c r="T135" s="76">
        <f>R135-S135</f>
        <v>6432</v>
      </c>
      <c r="U135" s="92">
        <f>IFERROR((R135/O135)*100%,"∞")</f>
        <v>0.27285453697026257</v>
      </c>
      <c r="V135" s="76">
        <f>O135+W135</f>
        <v>31830.28</v>
      </c>
      <c r="W135" s="76">
        <f>SUM(W130:W133)</f>
        <v>8257.2799999999988</v>
      </c>
      <c r="X135" s="76">
        <f>SUM(X130:X133)</f>
        <v>2322</v>
      </c>
      <c r="Y135" s="76">
        <f>SUM(Y130:Y133)</f>
        <v>0</v>
      </c>
      <c r="Z135" s="76">
        <f>SUM(Z130:Z133)</f>
        <v>2054</v>
      </c>
      <c r="AA135" s="76">
        <f>SUM(AA130:AA133)</f>
        <v>-6203.2799999999988</v>
      </c>
      <c r="AB135" s="60"/>
      <c r="AC135" s="76">
        <f>SUM(AC130:AC133)</f>
        <v>0</v>
      </c>
      <c r="AD135" s="76">
        <f>SUM(AD130:AD133)</f>
        <v>0</v>
      </c>
      <c r="AE135" s="76">
        <f>SUM(AE130:AE133)</f>
        <v>0</v>
      </c>
      <c r="AF135" s="76">
        <f>SUM(AF130:AF133)</f>
        <v>6432</v>
      </c>
      <c r="AG135" s="76">
        <f>SUM(AG130:AG133)</f>
        <v>-17141</v>
      </c>
    </row>
    <row r="136" spans="2:33" ht="14" thickTop="1" thickBot="1" x14ac:dyDescent="0.35">
      <c r="B136" s="80"/>
      <c r="C136" s="81"/>
      <c r="D136" s="81"/>
      <c r="E136" s="82"/>
      <c r="F136" s="82"/>
      <c r="G136" s="82"/>
      <c r="H136" s="82"/>
      <c r="I136" s="82"/>
      <c r="J136" s="82"/>
      <c r="K136" s="82"/>
      <c r="L136" s="81"/>
      <c r="M136" s="81"/>
      <c r="N136" s="81"/>
      <c r="O136" s="81"/>
      <c r="P136" s="81"/>
      <c r="Q136" s="81"/>
      <c r="R136" s="81"/>
      <c r="S136" s="81"/>
      <c r="T136" s="81"/>
      <c r="U136" s="81"/>
      <c r="V136" s="83"/>
      <c r="W136" s="81"/>
      <c r="X136" s="81"/>
      <c r="Y136" s="81"/>
      <c r="Z136" s="81"/>
      <c r="AA136" s="84"/>
      <c r="AB136" s="60"/>
      <c r="AC136" s="100"/>
      <c r="AD136" s="33"/>
      <c r="AE136" s="33"/>
      <c r="AF136" s="33"/>
      <c r="AG136" s="101"/>
    </row>
    <row r="137" spans="2:33" ht="13.5" thickBot="1" x14ac:dyDescent="0.35">
      <c r="B137" s="91" t="s">
        <v>165</v>
      </c>
      <c r="C137" s="76">
        <f t="shared" ref="C137:J137" si="141">C126-C135</f>
        <v>0</v>
      </c>
      <c r="D137" s="76">
        <f t="shared" si="141"/>
        <v>2</v>
      </c>
      <c r="E137" s="76">
        <f t="shared" si="141"/>
        <v>0</v>
      </c>
      <c r="F137" s="76">
        <f t="shared" si="141"/>
        <v>0</v>
      </c>
      <c r="G137" s="76">
        <f t="shared" si="141"/>
        <v>0</v>
      </c>
      <c r="H137" s="76">
        <f t="shared" si="141"/>
        <v>0</v>
      </c>
      <c r="I137" s="76">
        <f t="shared" si="141"/>
        <v>0</v>
      </c>
      <c r="J137" s="76">
        <f t="shared" si="141"/>
        <v>0</v>
      </c>
      <c r="K137" s="76">
        <f>SUM(E137:J137)</f>
        <v>0</v>
      </c>
      <c r="L137" s="76">
        <f>O137-D137</f>
        <v>-2</v>
      </c>
      <c r="M137" s="76">
        <f t="shared" ref="M137:N137" si="142">M126-M135</f>
        <v>0</v>
      </c>
      <c r="N137" s="76">
        <f t="shared" si="142"/>
        <v>0</v>
      </c>
      <c r="O137" s="76">
        <f>O126-O135</f>
        <v>0</v>
      </c>
      <c r="P137" s="76">
        <f>P126-P135</f>
        <v>87320</v>
      </c>
      <c r="Q137" s="76">
        <f>Q126-Q135</f>
        <v>-85686</v>
      </c>
      <c r="R137" s="76">
        <f>R126-R135</f>
        <v>1634</v>
      </c>
      <c r="S137" s="76">
        <f>S126-S135</f>
        <v>12898</v>
      </c>
      <c r="T137" s="76">
        <f>R137-S137</f>
        <v>-11264</v>
      </c>
      <c r="U137" s="92"/>
      <c r="V137" s="76">
        <f>O137+W137</f>
        <v>2432.7200000000012</v>
      </c>
      <c r="W137" s="76">
        <f>W126-W135</f>
        <v>2432.7200000000012</v>
      </c>
      <c r="X137" s="76">
        <f>X126-X135</f>
        <v>9625</v>
      </c>
      <c r="Y137" s="76">
        <f>Y126-Y135</f>
        <v>232</v>
      </c>
      <c r="Z137" s="76">
        <f>Z126-Z135</f>
        <v>8991</v>
      </c>
      <c r="AA137" s="76">
        <f>AA126-AA135</f>
        <v>5533.2799999999988</v>
      </c>
      <c r="AB137" s="60"/>
      <c r="AC137" s="76">
        <f>AC126-AC135</f>
        <v>0</v>
      </c>
      <c r="AD137" s="76">
        <f>AD126-AD135</f>
        <v>0</v>
      </c>
      <c r="AE137" s="76">
        <f>AE126-AE135</f>
        <v>0</v>
      </c>
      <c r="AF137" s="76">
        <f>AF126-AF135</f>
        <v>1634</v>
      </c>
      <c r="AG137" s="76">
        <f>AG126-AG135</f>
        <v>1634</v>
      </c>
    </row>
    <row r="138" spans="2:33" ht="13" thickTop="1" x14ac:dyDescent="0.25"/>
    <row r="139" spans="2:33" x14ac:dyDescent="0.25">
      <c r="O139" s="19">
        <f>O135-C135</f>
        <v>0</v>
      </c>
    </row>
  </sheetData>
  <dataConsolidate/>
  <customSheetViews>
    <customSheetView guid="{903669DD-1133-45D2-B108-C6B5BEA5EB61}"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1"/>
    </customSheetView>
    <customSheetView guid="{7910FD81-BFE7-4CD5-939B-3D7A1CA9601A}" scale="80" fitToPage="1" hiddenRows="1" hiddenColumns="1" state="hidden">
      <pane xSplit="2" topLeftCell="C1" activePane="topRight" state="frozen"/>
      <selection pane="topRight" activeCell="AL63" sqref="AL63"/>
      <pageMargins left="0" right="0" top="0" bottom="0" header="0" footer="0"/>
      <pageSetup paperSize="9" scale="68" orientation="landscape" r:id="rId2"/>
    </customSheetView>
    <customSheetView guid="{051C2D13-0D3D-44C3-A7DB-A0EAFBF115F0}"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3"/>
    </customSheetView>
    <customSheetView guid="{9C479752-7F2F-4739-B52F-47A06FE05EF0}"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4"/>
    </customSheetView>
    <customSheetView guid="{A0809A10-8F40-4AD2-8943-60E412AED428}"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5"/>
    </customSheetView>
    <customSheetView guid="{3E006852-BD2D-4884-A2A1-BFAEAE24582F}"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6"/>
    </customSheetView>
    <customSheetView guid="{B5B78BF3-B1F8-4BBA-8E40-E18C6034B566}"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7"/>
    </customSheetView>
    <customSheetView guid="{2F5D2611-A2AC-4668-B979-0EE258BE5F1F}"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8"/>
    </customSheetView>
    <customSheetView guid="{2EE8538C-E3AE-40C6-B22A-073EBF96300A}"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9"/>
    </customSheetView>
    <customSheetView guid="{E4F22399-07D5-465E-AFB1-A36259E00328}" scale="80" fitToPage="1" hiddenRows="1" hiddenColumns="1" state="hidden">
      <pane xSplit="2" ySplit="2" topLeftCell="C3" activePane="bottomRight" state="frozen"/>
      <selection pane="bottomRight" activeCell="AL63" sqref="AL63"/>
      <pageMargins left="0" right="0" top="0" bottom="0" header="0" footer="0"/>
      <pageSetup paperSize="9" scale="68" orientation="landscape" r:id="rId10"/>
    </customSheetView>
  </customSheetViews>
  <pageMargins left="0.23622047244094491" right="0.23622047244094491" top="0.74803149606299213" bottom="0.74803149606299213" header="0.31496062992125984" footer="0.31496062992125984"/>
  <pageSetup paperSize="9" scale="68" orientation="landscape"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249977111117893"/>
    <pageSetUpPr fitToPage="1"/>
  </sheetPr>
  <dimension ref="A2:Z96"/>
  <sheetViews>
    <sheetView topLeftCell="F43" zoomScaleNormal="100" workbookViewId="0">
      <selection activeCell="G48" sqref="G48:G61"/>
    </sheetView>
  </sheetViews>
  <sheetFormatPr defaultColWidth="9.453125" defaultRowHeight="12.5" x14ac:dyDescent="0.25"/>
  <cols>
    <col min="1" max="2" width="9.453125" style="525" hidden="1" customWidth="1"/>
    <col min="3" max="3" width="13.54296875" style="525" hidden="1" customWidth="1"/>
    <col min="4" max="5" width="9.453125" style="525" hidden="1" customWidth="1"/>
    <col min="6" max="6" width="37.54296875" style="535" customWidth="1"/>
    <col min="7" max="7" width="9.453125" style="525"/>
    <col min="8" max="8" width="20.453125" style="525" bestFit="1" customWidth="1"/>
    <col min="9" max="9" width="19.54296875" style="525" bestFit="1" customWidth="1"/>
    <col min="10" max="10" width="22.54296875" style="525" customWidth="1"/>
    <col min="11" max="11" width="24" style="527" customWidth="1"/>
    <col min="12" max="13" width="13.54296875" style="532" hidden="1" customWidth="1"/>
    <col min="14" max="15" width="13.54296875" style="532" customWidth="1"/>
    <col min="16" max="16" width="15.54296875" style="532" customWidth="1"/>
    <col min="17" max="18" width="13.54296875" style="532" customWidth="1"/>
    <col min="19" max="19" width="50.54296875" style="527" customWidth="1"/>
    <col min="20" max="23" width="9.453125" style="525"/>
    <col min="24" max="24" width="21.54296875" style="525" customWidth="1"/>
    <col min="25" max="25" width="15.54296875" style="525" customWidth="1"/>
    <col min="26" max="16384" width="9.453125" style="525"/>
  </cols>
  <sheetData>
    <row r="2" spans="1:26" ht="13" x14ac:dyDescent="0.3">
      <c r="F2" s="526" t="s">
        <v>467</v>
      </c>
      <c r="K2" s="527" t="s">
        <v>468</v>
      </c>
      <c r="L2" s="525"/>
      <c r="M2" s="526"/>
      <c r="N2" s="526"/>
      <c r="O2" s="526"/>
      <c r="P2" s="526"/>
      <c r="Q2" s="526"/>
      <c r="R2" s="526"/>
      <c r="S2" s="528" t="s">
        <v>469</v>
      </c>
    </row>
    <row r="3" spans="1:26" ht="53.9" customHeight="1" x14ac:dyDescent="0.3">
      <c r="F3" s="529" t="s">
        <v>0</v>
      </c>
      <c r="L3" s="530" t="s">
        <v>470</v>
      </c>
      <c r="M3" s="530" t="s">
        <v>471</v>
      </c>
      <c r="N3" s="530"/>
      <c r="O3" s="531" t="s">
        <v>472</v>
      </c>
      <c r="P3" s="531" t="s">
        <v>473</v>
      </c>
      <c r="Q3" s="531" t="s">
        <v>474</v>
      </c>
      <c r="S3" s="525"/>
    </row>
    <row r="4" spans="1:26" ht="13" x14ac:dyDescent="0.3">
      <c r="F4" s="529" t="s">
        <v>475</v>
      </c>
      <c r="L4" s="841" t="s">
        <v>476</v>
      </c>
      <c r="M4" s="841"/>
      <c r="N4" s="533" t="s">
        <v>477</v>
      </c>
      <c r="O4" s="533" t="s">
        <v>478</v>
      </c>
      <c r="P4" s="534" t="s">
        <v>479</v>
      </c>
      <c r="Q4" s="534" t="s">
        <v>480</v>
      </c>
      <c r="R4" s="534" t="s">
        <v>481</v>
      </c>
    </row>
    <row r="5" spans="1:26" ht="39" x14ac:dyDescent="0.3">
      <c r="A5" s="525" t="s">
        <v>482</v>
      </c>
      <c r="B5" s="525" t="s">
        <v>483</v>
      </c>
      <c r="C5" s="525" t="s">
        <v>484</v>
      </c>
      <c r="D5" s="535" t="s">
        <v>485</v>
      </c>
      <c r="E5" s="535" t="s">
        <v>486</v>
      </c>
      <c r="F5" s="536" t="s">
        <v>487</v>
      </c>
      <c r="G5" s="537" t="s">
        <v>488</v>
      </c>
      <c r="H5" s="537" t="s">
        <v>489</v>
      </c>
      <c r="I5" s="537" t="s">
        <v>490</v>
      </c>
      <c r="J5" s="537" t="s">
        <v>489</v>
      </c>
      <c r="K5" s="538" t="s">
        <v>491</v>
      </c>
      <c r="L5" s="539" t="s">
        <v>492</v>
      </c>
      <c r="M5" s="539" t="s">
        <v>493</v>
      </c>
      <c r="N5" s="539" t="s">
        <v>494</v>
      </c>
      <c r="O5" s="539" t="s">
        <v>495</v>
      </c>
      <c r="P5" s="539" t="s">
        <v>495</v>
      </c>
      <c r="Q5" s="539" t="s">
        <v>495</v>
      </c>
      <c r="R5" s="539" t="s">
        <v>495</v>
      </c>
      <c r="S5" s="538" t="s">
        <v>496</v>
      </c>
    </row>
    <row r="6" spans="1:26" ht="15" customHeight="1" x14ac:dyDescent="0.3">
      <c r="F6" s="536"/>
      <c r="G6" s="540"/>
      <c r="H6" s="540"/>
      <c r="I6" s="540"/>
      <c r="J6" s="540"/>
      <c r="K6" s="538"/>
      <c r="L6" s="533" t="s">
        <v>497</v>
      </c>
      <c r="M6" s="533" t="s">
        <v>497</v>
      </c>
      <c r="N6" s="533" t="s">
        <v>34</v>
      </c>
      <c r="O6" s="533" t="s">
        <v>497</v>
      </c>
      <c r="P6" s="533" t="s">
        <v>497</v>
      </c>
      <c r="Q6" s="533" t="s">
        <v>497</v>
      </c>
      <c r="R6" s="533" t="s">
        <v>497</v>
      </c>
      <c r="S6" s="538"/>
    </row>
    <row r="7" spans="1:26" ht="75" x14ac:dyDescent="0.25">
      <c r="F7" s="541" t="s">
        <v>498</v>
      </c>
      <c r="G7" s="542" t="s">
        <v>499</v>
      </c>
      <c r="H7" s="542" t="s">
        <v>500</v>
      </c>
      <c r="I7" s="543" t="s">
        <v>501</v>
      </c>
      <c r="J7" s="543"/>
      <c r="K7" s="544" t="s">
        <v>502</v>
      </c>
      <c r="L7" s="545">
        <v>400</v>
      </c>
      <c r="M7" s="546">
        <v>755</v>
      </c>
      <c r="N7" s="547">
        <f>+SUM(M7+L7)</f>
        <v>1155</v>
      </c>
      <c r="O7" s="548">
        <v>1000</v>
      </c>
      <c r="P7" s="548">
        <v>750</v>
      </c>
      <c r="Q7" s="548">
        <v>500</v>
      </c>
      <c r="R7" s="548"/>
      <c r="S7" s="549" t="s">
        <v>503</v>
      </c>
    </row>
    <row r="8" spans="1:26" ht="37.5" x14ac:dyDescent="0.25">
      <c r="F8" s="541" t="s">
        <v>504</v>
      </c>
      <c r="G8" s="542" t="s">
        <v>499</v>
      </c>
      <c r="H8" s="542" t="s">
        <v>500</v>
      </c>
      <c r="I8" s="543" t="s">
        <v>501</v>
      </c>
      <c r="J8" s="543"/>
      <c r="K8" s="544" t="s">
        <v>502</v>
      </c>
      <c r="L8" s="545">
        <v>300</v>
      </c>
      <c r="M8" s="546">
        <v>0</v>
      </c>
      <c r="N8" s="547">
        <f>+SUM(M8+L8)</f>
        <v>300</v>
      </c>
      <c r="O8" s="548">
        <v>300</v>
      </c>
      <c r="P8" s="548">
        <v>300</v>
      </c>
      <c r="Q8" s="548">
        <v>300</v>
      </c>
      <c r="R8" s="548">
        <v>300</v>
      </c>
      <c r="S8" s="549" t="s">
        <v>505</v>
      </c>
    </row>
    <row r="9" spans="1:26" ht="25" x14ac:dyDescent="0.25">
      <c r="F9" s="541" t="s">
        <v>506</v>
      </c>
      <c r="G9" s="542" t="s">
        <v>499</v>
      </c>
      <c r="H9" s="542" t="s">
        <v>500</v>
      </c>
      <c r="I9" s="543" t="s">
        <v>501</v>
      </c>
      <c r="J9" s="543"/>
      <c r="K9" s="549" t="s">
        <v>507</v>
      </c>
      <c r="L9" s="545">
        <v>-346</v>
      </c>
      <c r="M9" s="546"/>
      <c r="N9" s="547">
        <v>-557</v>
      </c>
      <c r="O9" s="548">
        <v>471</v>
      </c>
      <c r="P9" s="548">
        <v>490</v>
      </c>
      <c r="Q9" s="548">
        <v>554</v>
      </c>
      <c r="R9" s="548">
        <v>554</v>
      </c>
      <c r="S9" s="549" t="s">
        <v>508</v>
      </c>
    </row>
    <row r="10" spans="1:26" ht="87.5" x14ac:dyDescent="0.25">
      <c r="A10" s="525" t="e">
        <f>651/+SUM(E7:E10)</f>
        <v>#DIV/0!</v>
      </c>
      <c r="C10" s="525" t="e">
        <f>4109/+SUM(D7:D10)</f>
        <v>#DIV/0!</v>
      </c>
      <c r="F10" s="541" t="s">
        <v>509</v>
      </c>
      <c r="G10" s="542" t="s">
        <v>499</v>
      </c>
      <c r="H10" s="542" t="s">
        <v>510</v>
      </c>
      <c r="I10" s="543" t="s">
        <v>501</v>
      </c>
      <c r="J10" s="543"/>
      <c r="K10" s="549" t="s">
        <v>502</v>
      </c>
      <c r="L10" s="546">
        <v>1600</v>
      </c>
      <c r="M10" s="546">
        <v>1400</v>
      </c>
      <c r="N10" s="547">
        <v>3000</v>
      </c>
      <c r="O10" s="548">
        <v>2000</v>
      </c>
      <c r="P10" s="548">
        <v>1000</v>
      </c>
      <c r="Q10" s="548"/>
      <c r="R10" s="548"/>
      <c r="S10" s="549" t="s">
        <v>511</v>
      </c>
      <c r="T10" s="525" t="s">
        <v>512</v>
      </c>
    </row>
    <row r="11" spans="1:26" ht="25" x14ac:dyDescent="0.25">
      <c r="D11" s="525">
        <v>477</v>
      </c>
      <c r="E11" s="525">
        <f t="shared" ref="E11:E35" si="0">+D11/12</f>
        <v>39.75</v>
      </c>
      <c r="F11" s="541" t="s">
        <v>513</v>
      </c>
      <c r="G11" s="550" t="s">
        <v>499</v>
      </c>
      <c r="H11" s="550" t="s">
        <v>514</v>
      </c>
      <c r="I11" s="543" t="s">
        <v>501</v>
      </c>
      <c r="J11" s="543"/>
      <c r="K11" s="549" t="s">
        <v>515</v>
      </c>
      <c r="L11" s="545">
        <v>105</v>
      </c>
      <c r="M11" s="546">
        <v>105</v>
      </c>
      <c r="N11" s="547">
        <v>280</v>
      </c>
      <c r="O11" s="551">
        <f>+N11*0.75</f>
        <v>210</v>
      </c>
      <c r="P11" s="551">
        <f>O11*50%</f>
        <v>105</v>
      </c>
      <c r="Q11" s="551">
        <v>0</v>
      </c>
      <c r="R11" s="551"/>
      <c r="S11" s="549" t="s">
        <v>516</v>
      </c>
      <c r="T11" s="525" t="s">
        <v>517</v>
      </c>
    </row>
    <row r="12" spans="1:26" ht="37.5" x14ac:dyDescent="0.25">
      <c r="D12" s="525">
        <f>166*4</f>
        <v>664</v>
      </c>
      <c r="E12" s="525">
        <f t="shared" si="0"/>
        <v>55.333333333333336</v>
      </c>
      <c r="F12" s="541" t="s">
        <v>518</v>
      </c>
      <c r="G12" s="550" t="s">
        <v>499</v>
      </c>
      <c r="H12" s="550" t="s">
        <v>514</v>
      </c>
      <c r="I12" s="543" t="s">
        <v>501</v>
      </c>
      <c r="J12" s="543"/>
      <c r="K12" s="549" t="s">
        <v>519</v>
      </c>
      <c r="L12" s="545">
        <f>166+150</f>
        <v>316</v>
      </c>
      <c r="M12" s="546">
        <f>(166*3)</f>
        <v>498</v>
      </c>
      <c r="N12" s="547">
        <f>+M12+L12</f>
        <v>814</v>
      </c>
      <c r="O12" s="551">
        <f>(47)*12</f>
        <v>564</v>
      </c>
      <c r="P12" s="551">
        <f>(47)*12</f>
        <v>564</v>
      </c>
      <c r="Q12" s="551">
        <f>(47)*12</f>
        <v>564</v>
      </c>
      <c r="R12" s="551">
        <f>(47)*12</f>
        <v>564</v>
      </c>
      <c r="S12" s="549" t="s">
        <v>520</v>
      </c>
    </row>
    <row r="13" spans="1:26" x14ac:dyDescent="0.25">
      <c r="F13" s="541" t="s">
        <v>518</v>
      </c>
      <c r="G13" s="550"/>
      <c r="H13" s="550" t="s">
        <v>514</v>
      </c>
      <c r="I13" s="543"/>
      <c r="J13" s="543"/>
      <c r="K13" s="549"/>
      <c r="L13" s="545"/>
      <c r="M13" s="546">
        <f>9*32</f>
        <v>288</v>
      </c>
      <c r="N13" s="547">
        <v>384</v>
      </c>
      <c r="O13" s="551">
        <f>32*12</f>
        <v>384</v>
      </c>
      <c r="P13" s="551"/>
      <c r="Q13" s="551"/>
      <c r="R13" s="551"/>
      <c r="S13" s="549" t="s">
        <v>521</v>
      </c>
    </row>
    <row r="14" spans="1:26" ht="25" x14ac:dyDescent="0.25">
      <c r="A14" s="525">
        <f>222/+SUM(E11:E14)</f>
        <v>1.2442783745913124</v>
      </c>
      <c r="D14" s="525">
        <v>1000</v>
      </c>
      <c r="E14" s="525">
        <f t="shared" si="0"/>
        <v>83.333333333333329</v>
      </c>
      <c r="F14" s="541" t="s">
        <v>522</v>
      </c>
      <c r="G14" s="550" t="s">
        <v>499</v>
      </c>
      <c r="H14" s="550" t="s">
        <v>523</v>
      </c>
      <c r="I14" s="543" t="s">
        <v>501</v>
      </c>
      <c r="J14" s="543"/>
      <c r="K14" s="549" t="s">
        <v>519</v>
      </c>
      <c r="L14" s="545">
        <v>245</v>
      </c>
      <c r="M14" s="546">
        <f>250+240</f>
        <v>490</v>
      </c>
      <c r="N14" s="547">
        <f>562+29</f>
        <v>591</v>
      </c>
      <c r="O14" s="552">
        <v>300</v>
      </c>
      <c r="P14" s="552">
        <v>150</v>
      </c>
      <c r="Q14" s="552">
        <v>0</v>
      </c>
      <c r="R14" s="552">
        <v>0</v>
      </c>
      <c r="S14" s="549" t="s">
        <v>524</v>
      </c>
      <c r="T14" s="525" t="s">
        <v>517</v>
      </c>
    </row>
    <row r="15" spans="1:26" x14ac:dyDescent="0.25">
      <c r="A15" s="525">
        <f>50/66</f>
        <v>0.75757575757575757</v>
      </c>
      <c r="B15" s="525">
        <f>30/66</f>
        <v>0.45454545454545453</v>
      </c>
      <c r="C15" s="525">
        <f>80/800</f>
        <v>0.1</v>
      </c>
      <c r="E15" s="553"/>
      <c r="F15" s="541" t="s">
        <v>525</v>
      </c>
      <c r="G15" s="550" t="s">
        <v>526</v>
      </c>
      <c r="H15" s="550" t="s">
        <v>527</v>
      </c>
      <c r="I15" s="543" t="s">
        <v>528</v>
      </c>
      <c r="J15" s="543"/>
      <c r="K15" s="549" t="s">
        <v>507</v>
      </c>
      <c r="L15" s="546">
        <v>50</v>
      </c>
      <c r="M15" s="546">
        <v>30</v>
      </c>
      <c r="N15" s="547">
        <f t="shared" ref="N15:N30" si="1">+SUM(M15+L15)</f>
        <v>80</v>
      </c>
      <c r="O15" s="551"/>
      <c r="P15" s="551"/>
      <c r="Q15" s="551">
        <v>0</v>
      </c>
      <c r="R15" s="551"/>
      <c r="S15" s="549" t="s">
        <v>529</v>
      </c>
    </row>
    <row r="16" spans="1:26" ht="37.5" x14ac:dyDescent="0.25">
      <c r="A16" s="525" t="e">
        <f>100/E16</f>
        <v>#DIV/0!</v>
      </c>
      <c r="C16" s="525">
        <f>100/1000</f>
        <v>0.1</v>
      </c>
      <c r="E16" s="553"/>
      <c r="F16" s="541" t="s">
        <v>530</v>
      </c>
      <c r="G16" s="542" t="s">
        <v>526</v>
      </c>
      <c r="H16" s="542" t="s">
        <v>527</v>
      </c>
      <c r="I16" s="543" t="s">
        <v>531</v>
      </c>
      <c r="J16" s="543"/>
      <c r="K16" s="549" t="s">
        <v>507</v>
      </c>
      <c r="L16" s="551">
        <v>55</v>
      </c>
      <c r="M16" s="551">
        <v>400</v>
      </c>
      <c r="N16" s="547">
        <v>456</v>
      </c>
      <c r="O16" s="551">
        <v>79</v>
      </c>
      <c r="P16" s="551">
        <v>79</v>
      </c>
      <c r="Q16" s="551">
        <v>79</v>
      </c>
      <c r="R16" s="551">
        <v>79</v>
      </c>
      <c r="S16" s="549" t="s">
        <v>532</v>
      </c>
      <c r="X16" s="554" t="s">
        <v>533</v>
      </c>
      <c r="Y16" s="555" t="s">
        <v>534</v>
      </c>
      <c r="Z16" s="555" t="s">
        <v>535</v>
      </c>
    </row>
    <row r="17" spans="1:26" x14ac:dyDescent="0.25">
      <c r="D17" s="525">
        <f>+L17*12</f>
        <v>600</v>
      </c>
      <c r="E17" s="525">
        <f t="shared" si="0"/>
        <v>50</v>
      </c>
      <c r="F17" s="541" t="s">
        <v>536</v>
      </c>
      <c r="G17" s="550" t="s">
        <v>526</v>
      </c>
      <c r="H17" s="550" t="s">
        <v>537</v>
      </c>
      <c r="I17" s="543" t="s">
        <v>501</v>
      </c>
      <c r="J17" s="543"/>
      <c r="K17" s="549" t="s">
        <v>538</v>
      </c>
      <c r="L17" s="545">
        <v>50</v>
      </c>
      <c r="M17" s="546"/>
      <c r="N17" s="547">
        <f t="shared" si="1"/>
        <v>50</v>
      </c>
      <c r="O17" s="551"/>
      <c r="P17" s="551">
        <v>0</v>
      </c>
      <c r="Q17" s="551">
        <v>0</v>
      </c>
      <c r="R17" s="551"/>
      <c r="S17" s="549" t="s">
        <v>539</v>
      </c>
      <c r="X17" s="556" t="s">
        <v>540</v>
      </c>
      <c r="Y17" s="157">
        <v>0</v>
      </c>
      <c r="Z17" s="157">
        <v>15000</v>
      </c>
    </row>
    <row r="18" spans="1:26" ht="50" x14ac:dyDescent="0.25">
      <c r="A18" s="525">
        <f>483/675</f>
        <v>0.7155555555555555</v>
      </c>
      <c r="B18" s="525">
        <f>483/675</f>
        <v>0.7155555555555555</v>
      </c>
      <c r="C18" s="525">
        <f>675/8100</f>
        <v>8.3333333333333329E-2</v>
      </c>
      <c r="D18" s="525">
        <v>7500</v>
      </c>
      <c r="E18" s="525">
        <f t="shared" si="0"/>
        <v>625</v>
      </c>
      <c r="F18" s="541" t="s">
        <v>541</v>
      </c>
      <c r="G18" s="542" t="s">
        <v>499</v>
      </c>
      <c r="H18" s="542" t="s">
        <v>537</v>
      </c>
      <c r="I18" s="543" t="s">
        <v>501</v>
      </c>
      <c r="J18" s="543"/>
      <c r="K18" s="549" t="s">
        <v>542</v>
      </c>
      <c r="L18" s="545">
        <v>1400</v>
      </c>
      <c r="M18" s="546">
        <v>1400</v>
      </c>
      <c r="N18" s="547">
        <f t="shared" si="1"/>
        <v>2800</v>
      </c>
      <c r="O18" s="548"/>
      <c r="P18" s="548"/>
      <c r="Q18" s="548"/>
      <c r="R18" s="548"/>
      <c r="S18" s="557" t="s">
        <v>543</v>
      </c>
      <c r="T18" s="525" t="s">
        <v>544</v>
      </c>
      <c r="X18" s="556" t="s">
        <v>545</v>
      </c>
      <c r="Y18" s="157">
        <v>0</v>
      </c>
      <c r="Z18" s="157">
        <f>12 *((12*50) + (5 * 50) )</f>
        <v>10200</v>
      </c>
    </row>
    <row r="19" spans="1:26" ht="25" x14ac:dyDescent="0.25">
      <c r="E19" s="553"/>
      <c r="F19" s="541" t="s">
        <v>546</v>
      </c>
      <c r="G19" s="550" t="s">
        <v>499</v>
      </c>
      <c r="H19" s="550" t="s">
        <v>547</v>
      </c>
      <c r="I19" s="543" t="s">
        <v>531</v>
      </c>
      <c r="J19" s="543"/>
      <c r="K19" s="549" t="s">
        <v>515</v>
      </c>
      <c r="L19" s="546">
        <v>50</v>
      </c>
      <c r="M19" s="546"/>
      <c r="N19" s="547">
        <v>125</v>
      </c>
      <c r="O19" s="551">
        <v>0</v>
      </c>
      <c r="P19" s="551">
        <v>0</v>
      </c>
      <c r="Q19" s="551">
        <v>0</v>
      </c>
      <c r="R19" s="551"/>
      <c r="S19" s="549" t="s">
        <v>548</v>
      </c>
      <c r="X19" s="556" t="s">
        <v>549</v>
      </c>
      <c r="Y19" s="157">
        <v>30000</v>
      </c>
      <c r="Z19" s="157">
        <v>0</v>
      </c>
    </row>
    <row r="20" spans="1:26" ht="25" x14ac:dyDescent="0.25">
      <c r="E20" s="553"/>
      <c r="F20" s="541" t="s">
        <v>550</v>
      </c>
      <c r="G20" s="550" t="s">
        <v>499</v>
      </c>
      <c r="H20" s="550" t="s">
        <v>547</v>
      </c>
      <c r="I20" s="543" t="s">
        <v>531</v>
      </c>
      <c r="J20" s="543"/>
      <c r="K20" s="549" t="s">
        <v>515</v>
      </c>
      <c r="L20" s="546">
        <v>15</v>
      </c>
      <c r="M20" s="546"/>
      <c r="N20" s="547">
        <f t="shared" si="1"/>
        <v>15</v>
      </c>
      <c r="O20" s="551">
        <v>0</v>
      </c>
      <c r="P20" s="551">
        <v>0</v>
      </c>
      <c r="Q20" s="551">
        <v>0</v>
      </c>
      <c r="R20" s="551"/>
      <c r="S20" s="549" t="s">
        <v>551</v>
      </c>
      <c r="X20" s="554" t="s">
        <v>552</v>
      </c>
      <c r="Y20" s="159">
        <v>10000</v>
      </c>
      <c r="Z20" s="159">
        <v>0</v>
      </c>
    </row>
    <row r="21" spans="1:26" ht="25" x14ac:dyDescent="0.25">
      <c r="E21" s="553"/>
      <c r="F21" s="541" t="s">
        <v>553</v>
      </c>
      <c r="G21" s="550" t="s">
        <v>499</v>
      </c>
      <c r="H21" s="550" t="s">
        <v>547</v>
      </c>
      <c r="I21" s="543" t="s">
        <v>531</v>
      </c>
      <c r="J21" s="543"/>
      <c r="K21" s="549" t="s">
        <v>515</v>
      </c>
      <c r="L21" s="546">
        <v>100</v>
      </c>
      <c r="M21" s="546"/>
      <c r="N21" s="547">
        <f t="shared" si="1"/>
        <v>100</v>
      </c>
      <c r="O21" s="551">
        <v>0</v>
      </c>
      <c r="P21" s="551">
        <v>0</v>
      </c>
      <c r="Q21" s="551">
        <v>0</v>
      </c>
      <c r="R21" s="551"/>
      <c r="S21" s="549" t="s">
        <v>554</v>
      </c>
      <c r="X21" s="554" t="s">
        <v>555</v>
      </c>
      <c r="Y21" s="159">
        <v>40000</v>
      </c>
      <c r="Z21" s="159">
        <v>0</v>
      </c>
    </row>
    <row r="22" spans="1:26" ht="25" x14ac:dyDescent="0.25">
      <c r="E22" s="553"/>
      <c r="F22" s="541" t="s">
        <v>556</v>
      </c>
      <c r="G22" s="542" t="s">
        <v>499</v>
      </c>
      <c r="H22" s="542" t="s">
        <v>462</v>
      </c>
      <c r="I22" s="543" t="s">
        <v>528</v>
      </c>
      <c r="J22" s="543"/>
      <c r="K22" s="549" t="s">
        <v>515</v>
      </c>
      <c r="L22" s="546">
        <f>144*3</f>
        <v>432</v>
      </c>
      <c r="M22" s="546">
        <v>100</v>
      </c>
      <c r="N22" s="547">
        <f t="shared" si="1"/>
        <v>532</v>
      </c>
      <c r="O22" s="548">
        <v>50</v>
      </c>
      <c r="P22" s="548">
        <v>50</v>
      </c>
      <c r="Q22" s="548">
        <v>50</v>
      </c>
      <c r="R22" s="548"/>
      <c r="S22" s="549" t="s">
        <v>557</v>
      </c>
      <c r="T22" s="525" t="s">
        <v>558</v>
      </c>
      <c r="X22" s="554" t="s">
        <v>559</v>
      </c>
      <c r="Y22" s="159">
        <v>0</v>
      </c>
      <c r="Z22" s="159">
        <f>200*25</f>
        <v>5000</v>
      </c>
    </row>
    <row r="23" spans="1:26" ht="25" x14ac:dyDescent="0.25">
      <c r="E23" s="553"/>
      <c r="F23" s="541" t="s">
        <v>560</v>
      </c>
      <c r="G23" s="542"/>
      <c r="H23" s="542"/>
      <c r="I23" s="543"/>
      <c r="J23" s="543"/>
      <c r="K23" s="549"/>
      <c r="L23" s="546"/>
      <c r="M23" s="546"/>
      <c r="N23" s="547">
        <v>408</v>
      </c>
      <c r="O23" s="548"/>
      <c r="P23" s="548"/>
      <c r="Q23" s="548"/>
      <c r="R23" s="548"/>
      <c r="S23" s="549"/>
      <c r="X23" s="554"/>
      <c r="Y23" s="159"/>
      <c r="Z23" s="159"/>
    </row>
    <row r="24" spans="1:26" ht="37.5" x14ac:dyDescent="0.25">
      <c r="D24" s="525">
        <v>100000</v>
      </c>
      <c r="E24" s="525">
        <f t="shared" si="0"/>
        <v>8333.3333333333339</v>
      </c>
      <c r="F24" s="541" t="s">
        <v>561</v>
      </c>
      <c r="G24" s="542" t="s">
        <v>499</v>
      </c>
      <c r="H24" s="542" t="s">
        <v>562</v>
      </c>
      <c r="I24" s="543" t="s">
        <v>501</v>
      </c>
      <c r="J24" s="543"/>
      <c r="K24" s="549" t="s">
        <v>563</v>
      </c>
      <c r="L24" s="546"/>
      <c r="M24" s="546"/>
      <c r="N24" s="548">
        <f t="shared" si="1"/>
        <v>0</v>
      </c>
      <c r="O24" s="548">
        <v>600</v>
      </c>
      <c r="P24" s="548">
        <f>+O24*0.75</f>
        <v>450</v>
      </c>
      <c r="Q24" s="548">
        <f>+O24*0.5</f>
        <v>300</v>
      </c>
      <c r="R24" s="548"/>
      <c r="S24" s="549" t="s">
        <v>564</v>
      </c>
      <c r="T24" s="525" t="s">
        <v>565</v>
      </c>
      <c r="X24" s="554" t="s">
        <v>566</v>
      </c>
      <c r="Y24" s="159">
        <v>200000</v>
      </c>
      <c r="Z24" s="159">
        <v>20000</v>
      </c>
    </row>
    <row r="25" spans="1:26" ht="50" x14ac:dyDescent="0.25">
      <c r="D25" s="525">
        <v>240</v>
      </c>
      <c r="E25" s="525">
        <f t="shared" si="0"/>
        <v>20</v>
      </c>
      <c r="F25" s="541" t="s">
        <v>567</v>
      </c>
      <c r="G25" s="542" t="s">
        <v>499</v>
      </c>
      <c r="H25" s="542" t="s">
        <v>562</v>
      </c>
      <c r="I25" s="543" t="s">
        <v>501</v>
      </c>
      <c r="J25" s="543"/>
      <c r="K25" s="549" t="s">
        <v>538</v>
      </c>
      <c r="L25" s="546"/>
      <c r="M25" s="546">
        <v>150</v>
      </c>
      <c r="N25" s="548">
        <v>0</v>
      </c>
      <c r="O25" s="548"/>
      <c r="P25" s="548"/>
      <c r="Q25" s="548">
        <v>0</v>
      </c>
      <c r="R25" s="548"/>
      <c r="S25" s="549" t="s">
        <v>568</v>
      </c>
      <c r="X25" s="554" t="s">
        <v>569</v>
      </c>
      <c r="Y25" s="159">
        <v>0</v>
      </c>
      <c r="Z25" s="159">
        <f>1.5*500*12</f>
        <v>9000</v>
      </c>
    </row>
    <row r="26" spans="1:26" ht="50" x14ac:dyDescent="0.25">
      <c r="D26" s="525">
        <f>+N26/0.45</f>
        <v>357.77777777777777</v>
      </c>
      <c r="E26" s="525">
        <f t="shared" si="0"/>
        <v>29.814814814814813</v>
      </c>
      <c r="F26" s="541" t="s">
        <v>570</v>
      </c>
      <c r="G26" s="550" t="s">
        <v>499</v>
      </c>
      <c r="H26" s="550" t="s">
        <v>562</v>
      </c>
      <c r="I26" s="543" t="s">
        <v>501</v>
      </c>
      <c r="J26" s="543"/>
      <c r="K26" s="549" t="s">
        <v>571</v>
      </c>
      <c r="L26" s="545">
        <v>115</v>
      </c>
      <c r="M26" s="546">
        <v>20</v>
      </c>
      <c r="N26" s="547">
        <v>161</v>
      </c>
      <c r="O26" s="551">
        <v>20</v>
      </c>
      <c r="P26" s="551">
        <v>10</v>
      </c>
      <c r="Q26" s="551">
        <v>0</v>
      </c>
      <c r="R26" s="551"/>
      <c r="S26" s="549" t="s">
        <v>572</v>
      </c>
      <c r="X26" s="554" t="s">
        <v>573</v>
      </c>
      <c r="Y26" s="159">
        <v>0</v>
      </c>
      <c r="Z26" s="159">
        <f>5000</f>
        <v>5000</v>
      </c>
    </row>
    <row r="27" spans="1:26" ht="50" x14ac:dyDescent="0.25">
      <c r="D27" s="525">
        <v>600</v>
      </c>
      <c r="E27" s="525">
        <f t="shared" si="0"/>
        <v>50</v>
      </c>
      <c r="F27" s="541" t="s">
        <v>574</v>
      </c>
      <c r="G27" s="542" t="s">
        <v>499</v>
      </c>
      <c r="H27" s="542" t="s">
        <v>562</v>
      </c>
      <c r="I27" s="543" t="s">
        <v>501</v>
      </c>
      <c r="J27" s="543"/>
      <c r="K27" s="549" t="s">
        <v>571</v>
      </c>
      <c r="L27" s="545">
        <v>60</v>
      </c>
      <c r="M27" s="546"/>
      <c r="N27" s="547">
        <v>0</v>
      </c>
      <c r="O27" s="548"/>
      <c r="P27" s="558"/>
      <c r="Q27" s="548">
        <v>0</v>
      </c>
      <c r="R27" s="548"/>
      <c r="S27" s="433" t="s">
        <v>575</v>
      </c>
      <c r="X27" s="554" t="s">
        <v>576</v>
      </c>
      <c r="Y27" s="159">
        <v>0</v>
      </c>
      <c r="Z27" s="159">
        <f>10000</f>
        <v>10000</v>
      </c>
    </row>
    <row r="28" spans="1:26" ht="50" x14ac:dyDescent="0.25">
      <c r="D28" s="525">
        <v>700</v>
      </c>
      <c r="E28" s="525">
        <f t="shared" si="0"/>
        <v>58.333333333333336</v>
      </c>
      <c r="F28" s="541" t="s">
        <v>577</v>
      </c>
      <c r="G28" s="542" t="s">
        <v>499</v>
      </c>
      <c r="H28" s="542" t="s">
        <v>562</v>
      </c>
      <c r="I28" s="543" t="s">
        <v>501</v>
      </c>
      <c r="J28" s="543"/>
      <c r="K28" s="549" t="s">
        <v>571</v>
      </c>
      <c r="L28" s="545">
        <v>60</v>
      </c>
      <c r="M28" s="546"/>
      <c r="N28" s="547">
        <v>85</v>
      </c>
      <c r="O28" s="548"/>
      <c r="P28" s="548"/>
      <c r="Q28" s="548">
        <v>0</v>
      </c>
      <c r="R28" s="548"/>
      <c r="S28" s="559" t="s">
        <v>578</v>
      </c>
      <c r="X28" s="554" t="s">
        <v>579</v>
      </c>
      <c r="Y28" s="159">
        <f>75000</f>
        <v>75000</v>
      </c>
      <c r="Z28" s="159">
        <v>5000</v>
      </c>
    </row>
    <row r="29" spans="1:26" ht="25" x14ac:dyDescent="0.25">
      <c r="D29" s="525">
        <v>100000</v>
      </c>
      <c r="E29" s="525">
        <f t="shared" si="0"/>
        <v>8333.3333333333339</v>
      </c>
      <c r="F29" s="541" t="s">
        <v>580</v>
      </c>
      <c r="G29" s="542" t="s">
        <v>499</v>
      </c>
      <c r="H29" s="542" t="s">
        <v>562</v>
      </c>
      <c r="I29" s="543" t="s">
        <v>501</v>
      </c>
      <c r="J29" s="543"/>
      <c r="K29" s="549" t="s">
        <v>581</v>
      </c>
      <c r="L29" s="546"/>
      <c r="M29" s="546"/>
      <c r="N29" s="548">
        <f t="shared" si="1"/>
        <v>0</v>
      </c>
      <c r="O29" s="548">
        <v>500</v>
      </c>
      <c r="P29" s="548">
        <f>+O29*0.75</f>
        <v>375</v>
      </c>
      <c r="Q29" s="548">
        <f>+O29*0.5</f>
        <v>250</v>
      </c>
      <c r="R29" s="548"/>
      <c r="S29" s="549" t="s">
        <v>582</v>
      </c>
      <c r="X29" s="554" t="s">
        <v>583</v>
      </c>
      <c r="Y29" s="159">
        <f>250*150</f>
        <v>37500</v>
      </c>
      <c r="Z29" s="159">
        <v>0</v>
      </c>
    </row>
    <row r="30" spans="1:26" ht="13" x14ac:dyDescent="0.3">
      <c r="A30" s="525">
        <f>145/+SUM(E24:E30)</f>
        <v>8.5336879046145099E-3</v>
      </c>
      <c r="C30" s="525">
        <f>755/+SUM(D24:D30)</f>
        <v>3.7028358436689409E-3</v>
      </c>
      <c r="D30" s="525">
        <v>2000</v>
      </c>
      <c r="E30" s="525">
        <f t="shared" si="0"/>
        <v>166.66666666666666</v>
      </c>
      <c r="F30" s="541" t="s">
        <v>584</v>
      </c>
      <c r="G30" s="542" t="s">
        <v>499</v>
      </c>
      <c r="H30" s="542" t="s">
        <v>562</v>
      </c>
      <c r="I30" s="543" t="s">
        <v>501</v>
      </c>
      <c r="J30" s="543"/>
      <c r="K30" s="549" t="s">
        <v>507</v>
      </c>
      <c r="L30" s="545">
        <v>200</v>
      </c>
      <c r="M30" s="546">
        <v>150</v>
      </c>
      <c r="N30" s="547">
        <f t="shared" si="1"/>
        <v>350</v>
      </c>
      <c r="O30" s="548">
        <v>300</v>
      </c>
      <c r="P30" s="548">
        <v>300</v>
      </c>
      <c r="Q30" s="548">
        <v>150</v>
      </c>
      <c r="R30" s="548"/>
      <c r="S30" s="549" t="s">
        <v>585</v>
      </c>
      <c r="T30" s="525" t="s">
        <v>586</v>
      </c>
      <c r="X30" s="560" t="s">
        <v>587</v>
      </c>
      <c r="Y30" s="561">
        <f>SUM(Y17:Y29)</f>
        <v>392500</v>
      </c>
      <c r="Z30" s="561">
        <f>SUM(Z17:Z29)</f>
        <v>79200</v>
      </c>
    </row>
    <row r="31" spans="1:26" ht="50" x14ac:dyDescent="0.25">
      <c r="D31" s="525">
        <f>+N31/0.2</f>
        <v>300</v>
      </c>
      <c r="E31" s="525">
        <f t="shared" si="0"/>
        <v>25</v>
      </c>
      <c r="F31" s="541" t="s">
        <v>588</v>
      </c>
      <c r="G31" s="550" t="s">
        <v>499</v>
      </c>
      <c r="H31" s="550" t="s">
        <v>589</v>
      </c>
      <c r="I31" s="543" t="s">
        <v>501</v>
      </c>
      <c r="J31" s="543"/>
      <c r="K31" s="549" t="s">
        <v>571</v>
      </c>
      <c r="L31" s="545">
        <v>50</v>
      </c>
      <c r="M31" s="551">
        <v>50</v>
      </c>
      <c r="N31" s="547">
        <v>60</v>
      </c>
      <c r="O31" s="551">
        <v>50</v>
      </c>
      <c r="P31" s="551">
        <v>25</v>
      </c>
      <c r="Q31" s="551">
        <v>0</v>
      </c>
      <c r="R31" s="551"/>
      <c r="S31" s="549" t="s">
        <v>590</v>
      </c>
    </row>
    <row r="32" spans="1:26" ht="37.5" x14ac:dyDescent="0.25">
      <c r="E32" s="525">
        <f t="shared" si="0"/>
        <v>0</v>
      </c>
      <c r="F32" s="541" t="s">
        <v>591</v>
      </c>
      <c r="G32" s="542"/>
      <c r="H32" s="542" t="s">
        <v>589</v>
      </c>
      <c r="I32" s="543"/>
      <c r="J32" s="543"/>
      <c r="K32" s="549"/>
      <c r="L32" s="546"/>
      <c r="M32" s="548"/>
      <c r="N32" s="548"/>
      <c r="O32" s="548">
        <v>369</v>
      </c>
      <c r="P32" s="548"/>
      <c r="Q32" s="548"/>
      <c r="R32" s="548"/>
      <c r="S32" s="549" t="s">
        <v>592</v>
      </c>
    </row>
    <row r="33" spans="1:19" ht="50" x14ac:dyDescent="0.25">
      <c r="A33" s="525">
        <f>85/D33</f>
        <v>0.28333333333333333</v>
      </c>
      <c r="D33" s="525">
        <v>300</v>
      </c>
      <c r="E33" s="525">
        <f t="shared" si="0"/>
        <v>25</v>
      </c>
      <c r="F33" s="541" t="s">
        <v>593</v>
      </c>
      <c r="G33" s="542" t="s">
        <v>526</v>
      </c>
      <c r="H33" s="542" t="s">
        <v>594</v>
      </c>
      <c r="I33" s="543" t="s">
        <v>501</v>
      </c>
      <c r="J33" s="543"/>
      <c r="K33" s="549" t="s">
        <v>571</v>
      </c>
      <c r="L33" s="545">
        <v>85</v>
      </c>
      <c r="M33" s="548"/>
      <c r="N33" s="548">
        <v>0</v>
      </c>
      <c r="O33" s="548">
        <v>60</v>
      </c>
      <c r="P33" s="548"/>
      <c r="Q33" s="548">
        <v>0</v>
      </c>
      <c r="R33" s="548"/>
      <c r="S33" s="559" t="s">
        <v>595</v>
      </c>
    </row>
    <row r="34" spans="1:19" ht="15" customHeight="1" x14ac:dyDescent="0.25">
      <c r="E34" s="525">
        <f t="shared" si="0"/>
        <v>0</v>
      </c>
      <c r="F34" s="541"/>
      <c r="G34" s="542"/>
      <c r="H34" s="542"/>
      <c r="I34" s="543"/>
      <c r="J34" s="543"/>
      <c r="K34" s="549"/>
      <c r="L34" s="548"/>
      <c r="M34" s="548"/>
      <c r="N34" s="548"/>
      <c r="O34" s="548"/>
      <c r="P34" s="548"/>
      <c r="Q34" s="548"/>
      <c r="R34" s="548"/>
      <c r="S34" s="549"/>
    </row>
    <row r="35" spans="1:19" ht="15" customHeight="1" x14ac:dyDescent="0.3">
      <c r="E35" s="525">
        <f t="shared" si="0"/>
        <v>0</v>
      </c>
      <c r="F35" s="536" t="s">
        <v>457</v>
      </c>
      <c r="G35" s="562"/>
      <c r="H35" s="562"/>
      <c r="I35" s="562"/>
      <c r="J35" s="562"/>
      <c r="K35" s="538"/>
      <c r="L35" s="563">
        <f t="shared" ref="L35:R35" si="2">SUM(L7:L34)</f>
        <v>5342</v>
      </c>
      <c r="M35" s="563">
        <f t="shared" si="2"/>
        <v>5836</v>
      </c>
      <c r="N35" s="563">
        <f t="shared" si="2"/>
        <v>11189</v>
      </c>
      <c r="O35" s="563">
        <f t="shared" si="2"/>
        <v>7257</v>
      </c>
      <c r="P35" s="563">
        <f t="shared" si="2"/>
        <v>4648</v>
      </c>
      <c r="Q35" s="563">
        <f t="shared" si="2"/>
        <v>2747</v>
      </c>
      <c r="R35" s="563">
        <f t="shared" si="2"/>
        <v>1497</v>
      </c>
      <c r="S35" s="538"/>
    </row>
    <row r="36" spans="1:19" ht="15" customHeight="1" x14ac:dyDescent="0.25"/>
    <row r="37" spans="1:19" x14ac:dyDescent="0.25">
      <c r="D37" s="525">
        <f>+SUM(D7:D35)</f>
        <v>214738.77777777778</v>
      </c>
      <c r="E37" s="525">
        <f>+SUM(E7:E35)</f>
        <v>17894.89814814815</v>
      </c>
      <c r="F37" s="535" t="s">
        <v>596</v>
      </c>
      <c r="L37" s="532">
        <f>+L15+L16+L19+L20+L21+L22+L13</f>
        <v>702</v>
      </c>
      <c r="M37" s="532">
        <f t="shared" ref="M37:R37" si="3">+M15+M16+M19+M20+M21+M22+M13</f>
        <v>818</v>
      </c>
      <c r="N37" s="532">
        <f>+N15+N16+N19+N20+N21+N22+N13+N23</f>
        <v>2100</v>
      </c>
      <c r="O37" s="532">
        <f t="shared" si="3"/>
        <v>513</v>
      </c>
      <c r="P37" s="532">
        <f t="shared" si="3"/>
        <v>129</v>
      </c>
      <c r="Q37" s="532">
        <f t="shared" si="3"/>
        <v>129</v>
      </c>
      <c r="R37" s="532">
        <f t="shared" si="3"/>
        <v>79</v>
      </c>
    </row>
    <row r="38" spans="1:19" x14ac:dyDescent="0.25">
      <c r="F38" s="535" t="s">
        <v>597</v>
      </c>
      <c r="L38" s="532">
        <f>+L7+L8+L9+L10+L11+L12+L14+L17+L18+L24+L25+L26+L27+L28+L29+L30+L31+L32+L33</f>
        <v>4640</v>
      </c>
      <c r="M38" s="532">
        <f t="shared" ref="M38:R38" si="4">+M7+M8+M9+M10+M11+M12+M14+M17+M18+M24+M25+M26+M27+M28+M29+M30+M31+M32+M33</f>
        <v>5018</v>
      </c>
      <c r="N38" s="532">
        <f t="shared" si="4"/>
        <v>9089</v>
      </c>
      <c r="O38" s="532">
        <f t="shared" si="4"/>
        <v>6744</v>
      </c>
      <c r="P38" s="532">
        <f t="shared" si="4"/>
        <v>4519</v>
      </c>
      <c r="Q38" s="532">
        <f t="shared" si="4"/>
        <v>2618</v>
      </c>
      <c r="R38" s="532">
        <f t="shared" si="4"/>
        <v>1418</v>
      </c>
    </row>
    <row r="39" spans="1:19" x14ac:dyDescent="0.25">
      <c r="D39" s="525">
        <f>5837/D37</f>
        <v>2.7181862821443522E-2</v>
      </c>
      <c r="E39" s="525">
        <f>911/E37</f>
        <v>5.0908364633205506E-2</v>
      </c>
      <c r="F39" s="535" t="s">
        <v>457</v>
      </c>
      <c r="L39" s="564">
        <f>+L38+L37</f>
        <v>5342</v>
      </c>
      <c r="M39" s="564">
        <f t="shared" ref="M39:R39" si="5">+M38+M37</f>
        <v>5836</v>
      </c>
      <c r="N39" s="564">
        <f t="shared" si="5"/>
        <v>11189</v>
      </c>
      <c r="O39" s="564">
        <f t="shared" si="5"/>
        <v>7257</v>
      </c>
      <c r="P39" s="564">
        <f t="shared" si="5"/>
        <v>4648</v>
      </c>
      <c r="Q39" s="564">
        <f t="shared" si="5"/>
        <v>2747</v>
      </c>
      <c r="R39" s="564">
        <f t="shared" si="5"/>
        <v>1497</v>
      </c>
      <c r="S39" s="565">
        <f>+SUM(N39:R39)</f>
        <v>27338</v>
      </c>
    </row>
    <row r="40" spans="1:19" ht="13" thickBot="1" x14ac:dyDescent="0.3">
      <c r="I40" s="566">
        <f>N39-N35</f>
        <v>0</v>
      </c>
      <c r="L40" s="567"/>
      <c r="M40" s="567"/>
      <c r="N40" s="567"/>
      <c r="O40" s="567"/>
      <c r="P40" s="567"/>
      <c r="Q40" s="567"/>
      <c r="R40" s="567"/>
    </row>
    <row r="41" spans="1:19" ht="13.5" thickTop="1" x14ac:dyDescent="0.3">
      <c r="D41" s="525">
        <f>9946/D37</f>
        <v>4.6316739356189351E-2</v>
      </c>
      <c r="E41" s="525">
        <f>1562/E37</f>
        <v>8.728744847098463E-2</v>
      </c>
      <c r="F41" s="529" t="s">
        <v>598</v>
      </c>
    </row>
    <row r="43" spans="1:19" ht="25" x14ac:dyDescent="0.25">
      <c r="F43" s="535" t="s">
        <v>599</v>
      </c>
      <c r="L43" s="568"/>
      <c r="M43" s="568">
        <v>0</v>
      </c>
      <c r="N43" s="568">
        <f>+M43+L43</f>
        <v>0</v>
      </c>
      <c r="O43" s="568">
        <f>180997.666808201/1000</f>
        <v>180.99766680820099</v>
      </c>
      <c r="P43" s="568">
        <f>186445.515581464/1000</f>
        <v>186.44551558146398</v>
      </c>
      <c r="Q43" s="568">
        <f>192057.339154949/1000</f>
        <v>192.05733915494901</v>
      </c>
      <c r="R43" s="568">
        <f>197838.07300617/1000</f>
        <v>197.83807300616999</v>
      </c>
      <c r="S43" s="527" t="s">
        <v>600</v>
      </c>
    </row>
    <row r="46" spans="1:19" ht="13" x14ac:dyDescent="0.3">
      <c r="F46" s="529" t="s">
        <v>601</v>
      </c>
    </row>
    <row r="47" spans="1:19" x14ac:dyDescent="0.25">
      <c r="F47" s="535" t="s">
        <v>604</v>
      </c>
    </row>
    <row r="48" spans="1:19" ht="13" x14ac:dyDescent="0.25">
      <c r="F48" s="535" t="s">
        <v>605</v>
      </c>
      <c r="M48" s="444">
        <v>-32</v>
      </c>
      <c r="N48" s="444">
        <f>+M48+L48</f>
        <v>-32</v>
      </c>
      <c r="O48" s="444"/>
      <c r="P48" s="444"/>
      <c r="Q48" s="444"/>
      <c r="R48" s="444"/>
    </row>
    <row r="49" spans="6:19" x14ac:dyDescent="0.25">
      <c r="F49" s="535" t="s">
        <v>606</v>
      </c>
    </row>
    <row r="50" spans="6:19" ht="13" x14ac:dyDescent="0.25">
      <c r="F50" s="535" t="s">
        <v>607</v>
      </c>
      <c r="M50" s="444">
        <v>-110</v>
      </c>
      <c r="N50" s="444">
        <f>+M50+L50</f>
        <v>-110</v>
      </c>
      <c r="O50" s="444"/>
      <c r="P50" s="444"/>
      <c r="Q50" s="444"/>
      <c r="R50" s="444"/>
    </row>
    <row r="51" spans="6:19" ht="13" x14ac:dyDescent="0.25">
      <c r="F51" s="535" t="s">
        <v>608</v>
      </c>
      <c r="M51" s="444">
        <f>1511543/1000*-1</f>
        <v>-1511.5429999999999</v>
      </c>
      <c r="N51" s="444">
        <f>+M51+L51</f>
        <v>-1511.5429999999999</v>
      </c>
    </row>
    <row r="52" spans="6:19" ht="13" x14ac:dyDescent="0.25">
      <c r="F52" s="535" t="s">
        <v>609</v>
      </c>
      <c r="M52" s="444">
        <v>-268</v>
      </c>
      <c r="N52" s="444">
        <f>+M52+L52</f>
        <v>-268</v>
      </c>
    </row>
    <row r="53" spans="6:19" ht="13" x14ac:dyDescent="0.25">
      <c r="F53" s="535" t="s">
        <v>610</v>
      </c>
      <c r="M53" s="444"/>
      <c r="N53" s="444">
        <f>-575737/1000</f>
        <v>-575.73699999999997</v>
      </c>
    </row>
    <row r="54" spans="6:19" ht="13" x14ac:dyDescent="0.25">
      <c r="F54" s="535" t="s">
        <v>611</v>
      </c>
      <c r="M54" s="444">
        <v>-300</v>
      </c>
      <c r="N54" s="444">
        <v>-214</v>
      </c>
    </row>
    <row r="55" spans="6:19" ht="13" x14ac:dyDescent="0.25">
      <c r="F55" s="535" t="s">
        <v>612</v>
      </c>
      <c r="M55" s="444"/>
      <c r="N55" s="444">
        <v>-300</v>
      </c>
    </row>
    <row r="56" spans="6:19" ht="13" x14ac:dyDescent="0.25">
      <c r="F56" s="535" t="s">
        <v>613</v>
      </c>
      <c r="M56" s="444"/>
      <c r="N56" s="444"/>
    </row>
    <row r="57" spans="6:19" ht="13" x14ac:dyDescent="0.25">
      <c r="F57" s="535" t="s">
        <v>614</v>
      </c>
      <c r="M57" s="444"/>
      <c r="N57" s="444">
        <v>-146</v>
      </c>
    </row>
    <row r="58" spans="6:19" ht="13" x14ac:dyDescent="0.25">
      <c r="F58" s="535" t="s">
        <v>615</v>
      </c>
      <c r="M58" s="444"/>
      <c r="N58" s="444">
        <v>-5000</v>
      </c>
    </row>
    <row r="59" spans="6:19" ht="13" x14ac:dyDescent="0.25">
      <c r="F59" s="535" t="s">
        <v>518</v>
      </c>
      <c r="M59" s="444"/>
      <c r="N59" s="444">
        <v>-100</v>
      </c>
    </row>
    <row r="60" spans="6:19" ht="13" x14ac:dyDescent="0.25">
      <c r="M60" s="444"/>
      <c r="N60" s="444"/>
    </row>
    <row r="61" spans="6:19" ht="13.5" thickBot="1" x14ac:dyDescent="0.35">
      <c r="F61" s="569"/>
      <c r="H61" s="570"/>
      <c r="I61" s="570"/>
      <c r="J61" s="570"/>
      <c r="K61" s="571"/>
      <c r="L61" s="572"/>
      <c r="M61" s="449">
        <f>SUM(M47:M56)</f>
        <v>-2221.5429999999997</v>
      </c>
      <c r="N61" s="449">
        <f>SUM(N47:N60)</f>
        <v>-8257.2799999999988</v>
      </c>
      <c r="O61" s="449">
        <f>SUM(O47:O56)</f>
        <v>0</v>
      </c>
      <c r="P61" s="449">
        <f>SUM(P47:P56)</f>
        <v>0</v>
      </c>
      <c r="Q61" s="449">
        <f>SUM(Q47:Q56)</f>
        <v>0</v>
      </c>
      <c r="R61" s="449"/>
      <c r="S61" s="571"/>
    </row>
    <row r="62" spans="6:19" ht="13" thickTop="1" x14ac:dyDescent="0.25"/>
    <row r="63" spans="6:19" x14ac:dyDescent="0.25">
      <c r="G63" s="525" t="s">
        <v>616</v>
      </c>
      <c r="K63" s="573"/>
      <c r="L63" s="574">
        <f t="shared" ref="L63:R63" si="6">+L61+L39+L43</f>
        <v>5342</v>
      </c>
      <c r="M63" s="574">
        <f t="shared" si="6"/>
        <v>3614.4570000000003</v>
      </c>
      <c r="N63" s="574">
        <f t="shared" si="6"/>
        <v>2931.7200000000012</v>
      </c>
      <c r="O63" s="574">
        <f t="shared" si="6"/>
        <v>7437.9976668082008</v>
      </c>
      <c r="P63" s="574">
        <f t="shared" si="6"/>
        <v>4834.445515581464</v>
      </c>
      <c r="Q63" s="574">
        <f t="shared" si="6"/>
        <v>2939.0573391549492</v>
      </c>
      <c r="R63" s="574">
        <f t="shared" si="6"/>
        <v>1694.8380730061699</v>
      </c>
    </row>
    <row r="64" spans="6:19" x14ac:dyDescent="0.25">
      <c r="N64" s="532">
        <f>N39+N61</f>
        <v>2931.7200000000012</v>
      </c>
      <c r="O64" s="532">
        <f>O39+O61</f>
        <v>7257</v>
      </c>
      <c r="P64" s="532">
        <f>P39+P61</f>
        <v>4648</v>
      </c>
      <c r="Q64" s="532">
        <f>Q39+Q61</f>
        <v>2747</v>
      </c>
      <c r="R64" s="532">
        <f>R39+R61</f>
        <v>1497</v>
      </c>
    </row>
    <row r="65" spans="3:19" x14ac:dyDescent="0.25">
      <c r="L65" s="575">
        <f>911/+SUM(L38/3)</f>
        <v>0.58900862068965509</v>
      </c>
      <c r="M65" s="575"/>
      <c r="N65" s="575">
        <f>5837/N38</f>
        <v>0.64220486302123447</v>
      </c>
    </row>
    <row r="67" spans="3:19" x14ac:dyDescent="0.25">
      <c r="H67" s="525" t="s">
        <v>617</v>
      </c>
      <c r="L67" s="532">
        <v>1954</v>
      </c>
      <c r="M67" s="532">
        <v>2155</v>
      </c>
      <c r="N67" s="532">
        <v>4109</v>
      </c>
    </row>
    <row r="68" spans="3:19" x14ac:dyDescent="0.25">
      <c r="H68" s="525" t="s">
        <v>618</v>
      </c>
      <c r="L68" s="532">
        <f>+L38-L67</f>
        <v>2686</v>
      </c>
      <c r="M68" s="532">
        <f>+M38-M67</f>
        <v>2863</v>
      </c>
      <c r="N68" s="532">
        <f>+N38-N67</f>
        <v>4980</v>
      </c>
    </row>
    <row r="70" spans="3:19" x14ac:dyDescent="0.25">
      <c r="H70" s="525" t="s">
        <v>619</v>
      </c>
      <c r="L70" s="532">
        <f>+L68/3</f>
        <v>895.33333333333337</v>
      </c>
    </row>
    <row r="72" spans="3:19" x14ac:dyDescent="0.25">
      <c r="H72" s="525" t="s">
        <v>620</v>
      </c>
      <c r="L72" s="532">
        <f>+L33+L31+L30+L28+L27+L26+L18+L17+L14+L12+L11+L9+L8+L7</f>
        <v>3040</v>
      </c>
    </row>
    <row r="73" spans="3:19" s="532" customFormat="1" x14ac:dyDescent="0.25">
      <c r="C73" s="525"/>
      <c r="D73" s="525"/>
      <c r="E73" s="525"/>
      <c r="F73" s="535"/>
      <c r="G73" s="525"/>
      <c r="H73" s="525"/>
      <c r="I73" s="525"/>
      <c r="J73" s="525"/>
      <c r="K73" s="527"/>
      <c r="L73" s="532">
        <f>+L72/3</f>
        <v>1013.3333333333334</v>
      </c>
      <c r="S73" s="527"/>
    </row>
    <row r="75" spans="3:19" s="532" customFormat="1" x14ac:dyDescent="0.25">
      <c r="C75" s="525"/>
      <c r="D75" s="525"/>
      <c r="E75" s="525"/>
      <c r="F75" s="535"/>
      <c r="G75" s="525"/>
      <c r="H75" s="525" t="s">
        <v>621</v>
      </c>
      <c r="I75" s="525"/>
      <c r="J75" s="525"/>
      <c r="K75" s="527"/>
      <c r="L75" s="576">
        <v>0.64852752880921893</v>
      </c>
      <c r="N75" s="532">
        <v>0.101849989945707</v>
      </c>
      <c r="S75" s="527"/>
    </row>
    <row r="77" spans="3:19" s="532" customFormat="1" x14ac:dyDescent="0.25">
      <c r="C77" s="525"/>
      <c r="D77" s="525"/>
      <c r="E77" s="525"/>
      <c r="F77" s="535"/>
      <c r="G77" s="577"/>
      <c r="H77" s="525"/>
      <c r="I77" s="525"/>
      <c r="J77" s="525"/>
      <c r="K77" s="527"/>
      <c r="S77" s="527"/>
    </row>
    <row r="78" spans="3:19" s="532" customFormat="1" x14ac:dyDescent="0.25">
      <c r="C78" s="525" t="s">
        <v>622</v>
      </c>
      <c r="D78" s="525"/>
      <c r="E78" s="525"/>
      <c r="F78" s="578">
        <f>+SUM(N19:N21)</f>
        <v>240</v>
      </c>
      <c r="G78" s="579">
        <f>+F78/$F$87*100</f>
        <v>2.2564874012786764</v>
      </c>
      <c r="H78" s="525"/>
      <c r="I78" s="525"/>
      <c r="J78" s="525"/>
      <c r="K78" s="527"/>
      <c r="S78" s="527"/>
    </row>
    <row r="79" spans="3:19" s="532" customFormat="1" x14ac:dyDescent="0.25">
      <c r="C79" s="525"/>
      <c r="D79" s="525"/>
      <c r="E79" s="525"/>
      <c r="F79" s="578"/>
      <c r="G79" s="579">
        <f t="shared" ref="G79:G87" si="7">+F79/$F$87*100</f>
        <v>0</v>
      </c>
      <c r="H79" s="525"/>
      <c r="I79" s="525"/>
      <c r="J79" s="525"/>
      <c r="K79" s="527"/>
      <c r="S79" s="527"/>
    </row>
    <row r="80" spans="3:19" s="532" customFormat="1" x14ac:dyDescent="0.25">
      <c r="C80" s="525" t="s">
        <v>623</v>
      </c>
      <c r="D80" s="525"/>
      <c r="E80" s="525"/>
      <c r="F80" s="578">
        <f>+SUM(N22)</f>
        <v>532</v>
      </c>
      <c r="G80" s="579">
        <f t="shared" si="7"/>
        <v>5.0018804061677322</v>
      </c>
      <c r="H80" s="525"/>
      <c r="I80" s="525"/>
      <c r="J80" s="525"/>
      <c r="K80" s="527"/>
      <c r="S80" s="527"/>
    </row>
    <row r="81" spans="3:19" s="532" customFormat="1" x14ac:dyDescent="0.25">
      <c r="C81" s="525"/>
      <c r="D81" s="525"/>
      <c r="E81" s="525"/>
      <c r="F81" s="578"/>
      <c r="G81" s="579">
        <f t="shared" si="7"/>
        <v>0</v>
      </c>
      <c r="H81" s="525"/>
      <c r="I81" s="525"/>
      <c r="J81" s="525"/>
      <c r="K81" s="527"/>
      <c r="S81" s="527"/>
    </row>
    <row r="82" spans="3:19" s="532" customFormat="1" x14ac:dyDescent="0.25">
      <c r="C82" s="525" t="s">
        <v>523</v>
      </c>
      <c r="D82" s="525"/>
      <c r="E82" s="525"/>
      <c r="F82" s="578">
        <f>+SUM(N11:N14)</f>
        <v>2069</v>
      </c>
      <c r="G82" s="579">
        <f t="shared" si="7"/>
        <v>19.452801805189921</v>
      </c>
      <c r="H82" s="525"/>
      <c r="I82" s="525"/>
      <c r="J82" s="525"/>
      <c r="K82" s="527"/>
      <c r="S82" s="527"/>
    </row>
    <row r="83" spans="3:19" s="532" customFormat="1" x14ac:dyDescent="0.25">
      <c r="C83" s="525" t="s">
        <v>537</v>
      </c>
      <c r="D83" s="525"/>
      <c r="E83" s="525"/>
      <c r="F83" s="578">
        <f>+SUM(N17:N18)</f>
        <v>2850</v>
      </c>
      <c r="G83" s="579">
        <f t="shared" si="7"/>
        <v>26.795787890184279</v>
      </c>
      <c r="H83" s="525"/>
      <c r="I83" s="525"/>
      <c r="J83" s="525"/>
      <c r="K83" s="527"/>
      <c r="S83" s="527"/>
    </row>
    <row r="84" spans="3:19" s="532" customFormat="1" x14ac:dyDescent="0.25">
      <c r="C84" s="525" t="s">
        <v>624</v>
      </c>
      <c r="D84" s="525"/>
      <c r="E84" s="525"/>
      <c r="F84" s="578">
        <f>+SUM(N24:N30)+180+4109</f>
        <v>4885</v>
      </c>
      <c r="G84" s="579">
        <f t="shared" si="7"/>
        <v>45.928920646859723</v>
      </c>
      <c r="H84" s="525"/>
      <c r="I84" s="525"/>
      <c r="J84" s="525"/>
      <c r="K84" s="527"/>
      <c r="S84" s="527"/>
    </row>
    <row r="85" spans="3:19" s="532" customFormat="1" x14ac:dyDescent="0.25">
      <c r="C85" s="525" t="s">
        <v>589</v>
      </c>
      <c r="D85" s="525"/>
      <c r="E85" s="525"/>
      <c r="F85" s="578">
        <f>+SUM(N31:N33)</f>
        <v>60</v>
      </c>
      <c r="G85" s="579">
        <f t="shared" si="7"/>
        <v>0.5641218503196691</v>
      </c>
      <c r="H85" s="525"/>
      <c r="I85" s="525"/>
      <c r="J85" s="525"/>
      <c r="K85" s="527"/>
      <c r="S85" s="527"/>
    </row>
    <row r="86" spans="3:19" s="532" customFormat="1" x14ac:dyDescent="0.25">
      <c r="C86" s="525"/>
      <c r="D86" s="525"/>
      <c r="E86" s="525"/>
      <c r="F86" s="535"/>
      <c r="G86" s="579">
        <f t="shared" si="7"/>
        <v>0</v>
      </c>
      <c r="H86" s="525"/>
      <c r="I86" s="525"/>
      <c r="J86" s="525"/>
      <c r="K86" s="527"/>
      <c r="S86" s="527"/>
    </row>
    <row r="87" spans="3:19" s="532" customFormat="1" x14ac:dyDescent="0.25">
      <c r="C87" s="525"/>
      <c r="D87" s="525"/>
      <c r="E87" s="525"/>
      <c r="F87" s="578">
        <f>+SUM(F78:F85)</f>
        <v>10636</v>
      </c>
      <c r="G87" s="579">
        <f t="shared" si="7"/>
        <v>100</v>
      </c>
      <c r="H87" s="525"/>
      <c r="I87" s="525"/>
      <c r="J87" s="525"/>
      <c r="K87" s="527"/>
      <c r="S87" s="527"/>
    </row>
    <row r="91" spans="3:19" x14ac:dyDescent="0.25">
      <c r="I91" s="525" t="s">
        <v>237</v>
      </c>
      <c r="N91" s="532">
        <f>'[14]Appendix A'!V140</f>
        <v>8990.6020000000008</v>
      </c>
    </row>
    <row r="92" spans="3:19" x14ac:dyDescent="0.25">
      <c r="N92" s="532">
        <f>N91-N63</f>
        <v>6058.8819999999996</v>
      </c>
    </row>
    <row r="94" spans="3:19" x14ac:dyDescent="0.25">
      <c r="I94" s="525" t="s">
        <v>625</v>
      </c>
      <c r="N94" s="532">
        <f>'[14]Appendix A'!V9+'[14]Appendix A'!V12+'[14]Appendix A'!V15+'[14]Appendix A'!V47</f>
        <v>-89</v>
      </c>
    </row>
    <row r="96" spans="3:19" x14ac:dyDescent="0.25">
      <c r="N96" s="532">
        <f>N92-N94</f>
        <v>6147.8819999999996</v>
      </c>
    </row>
  </sheetData>
  <autoFilter ref="A6:Z35" xr:uid="{00000000-0009-0000-0000-000010000000}"/>
  <customSheetViews>
    <customSheetView guid="{903669DD-1133-45D2-B108-C6B5BEA5EB61}" fitToPage="1" showAutoFilter="1" hiddenColumns="1" state="hidden" topLeftCell="F43">
      <selection activeCell="G48" sqref="G48:G61"/>
      <pageMargins left="0" right="0" top="0" bottom="0" header="0" footer="0"/>
      <pageSetup paperSize="9" scale="73" fitToHeight="0" orientation="landscape" verticalDpi="0" r:id="rId1"/>
      <autoFilter ref="A6:Z35" xr:uid="{49921885-2997-488C-A7E4-28BD8130C009}"/>
    </customSheetView>
    <customSheetView guid="{7910FD81-BFE7-4CD5-939B-3D7A1CA9601A}" fitToPage="1" showAutoFilter="1" hiddenColumns="1" state="hidden" topLeftCell="F43">
      <selection activeCell="G48" sqref="G48:G61"/>
      <pageMargins left="0" right="0" top="0" bottom="0" header="0" footer="0"/>
      <pageSetup paperSize="9" scale="73" fitToHeight="0" orientation="landscape" verticalDpi="0" r:id="rId2"/>
      <autoFilter ref="A6:Z35" xr:uid="{9B24A48E-179C-4D10-95E3-384006B3ACA7}"/>
    </customSheetView>
    <customSheetView guid="{051C2D13-0D3D-44C3-A7DB-A0EAFBF115F0}" fitToPage="1" showAutoFilter="1" hiddenColumns="1" state="hidden" topLeftCell="F43">
      <selection activeCell="G48" sqref="G48:G61"/>
      <pageMargins left="0" right="0" top="0" bottom="0" header="0" footer="0"/>
      <pageSetup paperSize="9" scale="73" fitToHeight="0" orientation="landscape" verticalDpi="0" r:id="rId3"/>
      <autoFilter ref="A6:Z35" xr:uid="{E86C667F-D742-4D1D-B77D-D456A250205D}"/>
    </customSheetView>
    <customSheetView guid="{9C479752-7F2F-4739-B52F-47A06FE05EF0}" fitToPage="1" showAutoFilter="1" hiddenColumns="1" state="hidden" topLeftCell="F43">
      <selection activeCell="G48" sqref="G48:G61"/>
      <pageMargins left="0" right="0" top="0" bottom="0" header="0" footer="0"/>
      <pageSetup paperSize="9" scale="73" fitToHeight="0" orientation="landscape" verticalDpi="0" r:id="rId4"/>
      <autoFilter ref="A6:Z35" xr:uid="{47339574-3705-41AC-AD5C-B68775C7E721}"/>
    </customSheetView>
    <customSheetView guid="{A0809A10-8F40-4AD2-8943-60E412AED428}" fitToPage="1" showAutoFilter="1" hiddenColumns="1" state="hidden" topLeftCell="F43">
      <selection activeCell="G48" sqref="G48:G61"/>
      <pageMargins left="0" right="0" top="0" bottom="0" header="0" footer="0"/>
      <pageSetup paperSize="9" scale="73" fitToHeight="0" orientation="landscape" verticalDpi="0" r:id="rId5"/>
      <autoFilter ref="A6:Z35" xr:uid="{13A576DD-C563-4B73-A496-E4307B7712F1}"/>
    </customSheetView>
    <customSheetView guid="{3E006852-BD2D-4884-A2A1-BFAEAE24582F}" fitToPage="1" showAutoFilter="1" hiddenColumns="1" state="hidden" topLeftCell="F43">
      <selection activeCell="G48" sqref="G48:G61"/>
      <pageMargins left="0" right="0" top="0" bottom="0" header="0" footer="0"/>
      <pageSetup paperSize="9" scale="73" fitToHeight="0" orientation="landscape" verticalDpi="0" r:id="rId6"/>
      <autoFilter ref="A6:Z35" xr:uid="{DAD80F55-8AA8-447C-AB01-E17EE42502F3}"/>
    </customSheetView>
    <customSheetView guid="{B5B78BF3-B1F8-4BBA-8E40-E18C6034B566}" fitToPage="1" showAutoFilter="1" hiddenColumns="1" state="hidden" topLeftCell="F43">
      <selection activeCell="G48" sqref="G48:G61"/>
      <pageMargins left="0" right="0" top="0" bottom="0" header="0" footer="0"/>
      <pageSetup paperSize="9" scale="73" fitToHeight="0" orientation="landscape" verticalDpi="0" r:id="rId7"/>
      <autoFilter ref="A6:Z35" xr:uid="{F9BE7B7A-1EB0-4757-9EC5-B1FF3675345C}"/>
    </customSheetView>
    <customSheetView guid="{2F5D2611-A2AC-4668-B979-0EE258BE5F1F}" fitToPage="1" showAutoFilter="1" hiddenColumns="1" state="hidden" topLeftCell="F43">
      <selection activeCell="G48" sqref="G48:G61"/>
      <pageMargins left="0" right="0" top="0" bottom="0" header="0" footer="0"/>
      <pageSetup paperSize="9" scale="73" fitToHeight="0" orientation="landscape" verticalDpi="0" r:id="rId8"/>
      <autoFilter ref="A6:Z35" xr:uid="{EC75387F-8AE9-4699-9C0F-F17BD494390D}"/>
    </customSheetView>
    <customSheetView guid="{2EE8538C-E3AE-40C6-B22A-073EBF96300A}" fitToPage="1" showAutoFilter="1" hiddenColumns="1" state="hidden" topLeftCell="F43">
      <selection activeCell="G48" sqref="G48:G61"/>
      <pageMargins left="0" right="0" top="0" bottom="0" header="0" footer="0"/>
      <pageSetup paperSize="9" scale="73" fitToHeight="0" orientation="landscape" verticalDpi="0" r:id="rId9"/>
      <autoFilter ref="A6:Z35" xr:uid="{1D2EC9CC-4CB2-47E5-9BBC-565E99C7A0BD}"/>
    </customSheetView>
    <customSheetView guid="{E4F22399-07D5-465E-AFB1-A36259E00328}" fitToPage="1" showAutoFilter="1" hiddenColumns="1" state="hidden" topLeftCell="F43">
      <selection activeCell="G48" sqref="G48:G61"/>
      <pageMargins left="0" right="0" top="0" bottom="0" header="0" footer="0"/>
      <pageSetup paperSize="9" scale="73" fitToHeight="0" orientation="landscape" verticalDpi="0" r:id="rId10"/>
      <autoFilter ref="A6:Z35" xr:uid="{82863F6B-6BB6-4178-B62F-375A7B7F63DF}"/>
    </customSheetView>
  </customSheetViews>
  <mergeCells count="1">
    <mergeCell ref="L4:M4"/>
  </mergeCells>
  <conditionalFormatting sqref="G7:H34">
    <cfRule type="containsText" dxfId="16" priority="1" operator="containsText" text="Green">
      <formula>NOT(ISERROR(SEARCH("Green",G7)))</formula>
    </cfRule>
    <cfRule type="containsText" dxfId="15" priority="2" operator="containsText" text="Amber">
      <formula>NOT(ISERROR(SEARCH("Amber",G7)))</formula>
    </cfRule>
    <cfRule type="containsText" dxfId="14" priority="3" operator="containsText" text="Red">
      <formula>NOT(ISERROR(SEARCH("Red",G7)))</formula>
    </cfRule>
  </conditionalFormatting>
  <pageMargins left="0.7" right="0.7" top="0.75" bottom="0.75" header="0.3" footer="0.3"/>
  <pageSetup paperSize="9" scale="73" fitToHeight="0" orientation="landscape" verticalDpi="0" r:id="rId1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'U:\My User Profile\awinship\Desktop\COVID 19 info\[OTA COVID-19 Cost Tracker V3.xlsx]Cockpit'!#REF!</xm:f>
          </x14:formula1>
          <xm:sqref>I7:K34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9"/>
  <sheetViews>
    <sheetView workbookViewId="0">
      <selection activeCell="F10" sqref="F10"/>
    </sheetView>
  </sheetViews>
  <sheetFormatPr defaultRowHeight="12.5" x14ac:dyDescent="0.25"/>
  <sheetData>
    <row r="1" spans="1:1" x14ac:dyDescent="0.25">
      <c r="A1" t="s">
        <v>943</v>
      </c>
    </row>
    <row r="3" spans="1:1" x14ac:dyDescent="0.25">
      <c r="A3" t="b">
        <v>0</v>
      </c>
    </row>
    <row r="7" spans="1:1" x14ac:dyDescent="0.25">
      <c r="A7">
        <v>6000</v>
      </c>
    </row>
    <row r="9" spans="1:1" x14ac:dyDescent="0.25">
      <c r="A9" t="b">
        <v>0</v>
      </c>
    </row>
    <row r="11" spans="1:1" x14ac:dyDescent="0.25">
      <c r="A11" t="b">
        <v>0</v>
      </c>
    </row>
    <row r="13" spans="1:1" x14ac:dyDescent="0.25">
      <c r="A13" t="b">
        <v>0</v>
      </c>
    </row>
    <row r="17" spans="1:1" x14ac:dyDescent="0.25">
      <c r="A17">
        <v>1</v>
      </c>
    </row>
    <row r="18" spans="1:1" x14ac:dyDescent="0.25">
      <c r="A18" t="b">
        <v>0</v>
      </c>
    </row>
    <row r="19" spans="1:1" x14ac:dyDescent="0.25">
      <c r="A19" t="b">
        <v>0</v>
      </c>
    </row>
  </sheetData>
  <customSheetViews>
    <customSheetView guid="{903669DD-1133-45D2-B108-C6B5BEA5EB61}" state="hidden">
      <selection activeCell="F10" sqref="F10"/>
      <pageMargins left="0" right="0" top="0" bottom="0" header="0" footer="0"/>
    </customSheetView>
    <customSheetView guid="{7910FD81-BFE7-4CD5-939B-3D7A1CA9601A}" state="hidden">
      <selection activeCell="F10" sqref="F10"/>
      <pageMargins left="0" right="0" top="0" bottom="0" header="0" footer="0"/>
    </customSheetView>
    <customSheetView guid="{051C2D13-0D3D-44C3-A7DB-A0EAFBF115F0}" state="hidden">
      <selection activeCell="F10" sqref="F10"/>
      <pageMargins left="0" right="0" top="0" bottom="0" header="0" footer="0"/>
    </customSheetView>
    <customSheetView guid="{9C479752-7F2F-4739-B52F-47A06FE05EF0}" state="hidden">
      <selection activeCell="F10" sqref="F10"/>
      <pageMargins left="0" right="0" top="0" bottom="0" header="0" footer="0"/>
    </customSheetView>
    <customSheetView guid="{A0809A10-8F40-4AD2-8943-60E412AED428}" state="hidden">
      <selection activeCell="F10" sqref="F10"/>
      <pageMargins left="0" right="0" top="0" bottom="0" header="0" footer="0"/>
    </customSheetView>
    <customSheetView guid="{3E006852-BD2D-4884-A2A1-BFAEAE24582F}">
      <selection activeCell="D27" sqref="D27"/>
      <pageMargins left="0" right="0" top="0" bottom="0" header="0" footer="0"/>
    </customSheetView>
    <customSheetView guid="{28ADD64E-1C54-4CF2-8A6A-391E4DF6D903}" state="hidden">
      <selection activeCell="F10" sqref="F10"/>
      <pageMargins left="0" right="0" top="0" bottom="0" header="0" footer="0"/>
    </customSheetView>
    <customSheetView guid="{B5B78BF3-B1F8-4BBA-8E40-E18C6034B566}" state="hidden">
      <selection activeCell="F10" sqref="F10"/>
      <pageMargins left="0" right="0" top="0" bottom="0" header="0" footer="0"/>
    </customSheetView>
    <customSheetView guid="{2F5D2611-A2AC-4668-B979-0EE258BE5F1F}" state="hidden">
      <selection activeCell="F10" sqref="F10"/>
      <pageMargins left="0" right="0" top="0" bottom="0" header="0" footer="0"/>
    </customSheetView>
    <customSheetView guid="{2EE8538C-E3AE-40C6-B22A-073EBF96300A}" state="hidden">
      <selection activeCell="F10" sqref="F10"/>
      <pageMargins left="0" right="0" top="0" bottom="0" header="0" footer="0"/>
    </customSheetView>
    <customSheetView guid="{E4F22399-07D5-465E-AFB1-A36259E00328}" state="hidden">
      <selection activeCell="F10" sqref="F10"/>
      <pageMargins left="0" right="0" top="0" bottom="0" header="0" footer="0"/>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G4220"/>
  <sheetViews>
    <sheetView topLeftCell="A2812" workbookViewId="0">
      <selection activeCell="C2821" sqref="C2821"/>
    </sheetView>
  </sheetViews>
  <sheetFormatPr defaultColWidth="9.453125" defaultRowHeight="12.5" outlineLevelRow="1" outlineLevelCol="1" x14ac:dyDescent="0.25"/>
  <cols>
    <col min="1" max="1" width="9.453125" customWidth="1"/>
    <col min="2" max="2" width="1.54296875" customWidth="1"/>
    <col min="3" max="3" width="55.453125" style="1" customWidth="1"/>
    <col min="4" max="5" width="13.54296875" customWidth="1"/>
    <col min="6" max="6" width="13.54296875" customWidth="1" outlineLevel="1"/>
    <col min="7" max="7" width="13.54296875" style="1" customWidth="1" outlineLevel="1"/>
    <col min="8" max="12" width="13.54296875" customWidth="1" outlineLevel="1"/>
    <col min="13" max="13" width="13.54296875" customWidth="1"/>
    <col min="14" max="14" width="13.54296875" customWidth="1" outlineLevel="1"/>
    <col min="15" max="15" width="13.54296875" customWidth="1"/>
    <col min="16" max="17" width="13.54296875" hidden="1" customWidth="1" outlineLevel="1"/>
    <col min="18" max="18" width="13.54296875" customWidth="1" collapsed="1"/>
    <col min="19" max="21" width="13.54296875" customWidth="1" outlineLevel="1"/>
    <col min="22" max="23" width="13.54296875" customWidth="1"/>
    <col min="24" max="27" width="13.54296875" customWidth="1" outlineLevel="1"/>
    <col min="28" max="28" width="1.54296875" customWidth="1"/>
    <col min="29" max="33" width="13.54296875" customWidth="1" outlineLevel="1"/>
    <col min="34" max="34" width="1.54296875" customWidth="1"/>
    <col min="35" max="44" width="11.54296875" customWidth="1"/>
  </cols>
  <sheetData>
    <row r="1" spans="1:24" x14ac:dyDescent="0.25">
      <c r="A1" t="str">
        <f>CONCATENATE("setparameter select client_name from acrclient where client = '",D172,"'")</f>
        <v>setparameter select client_name from acrclient where client = 'OX'</v>
      </c>
      <c r="X1" s="751"/>
    </row>
    <row r="2" spans="1:24" ht="14.5" x14ac:dyDescent="0.35">
      <c r="A2" t="s">
        <v>944</v>
      </c>
      <c r="C2" s="2"/>
      <c r="D2" s="2"/>
      <c r="E2" s="2"/>
      <c r="F2" s="2"/>
      <c r="G2" s="3" t="s">
        <v>240</v>
      </c>
      <c r="H2" s="4" t="s">
        <v>241</v>
      </c>
      <c r="I2" s="2" t="s">
        <v>242</v>
      </c>
      <c r="J2" s="5">
        <v>-1</v>
      </c>
      <c r="K2" s="2"/>
      <c r="M2" t="s">
        <v>945</v>
      </c>
      <c r="O2" t="s">
        <v>945</v>
      </c>
      <c r="V2" t="s">
        <v>945</v>
      </c>
      <c r="W2" t="s">
        <v>945</v>
      </c>
    </row>
    <row r="3" spans="1:24" ht="14.5" x14ac:dyDescent="0.35">
      <c r="A3" t="s">
        <v>946</v>
      </c>
      <c r="C3" s="2"/>
      <c r="D3" s="2"/>
      <c r="E3" s="2"/>
      <c r="F3" s="2"/>
      <c r="G3" s="3" t="s">
        <v>244</v>
      </c>
      <c r="H3" s="4" t="s">
        <v>245</v>
      </c>
      <c r="I3" s="2" t="s">
        <v>246</v>
      </c>
      <c r="J3" s="5">
        <v>-1</v>
      </c>
      <c r="K3" s="2"/>
      <c r="R3" s="6"/>
      <c r="S3" s="6"/>
      <c r="T3" s="6"/>
    </row>
    <row r="4" spans="1:24" ht="14.5" x14ac:dyDescent="0.35">
      <c r="A4" t="s">
        <v>947</v>
      </c>
      <c r="C4" s="2"/>
      <c r="D4" s="2"/>
      <c r="E4" s="2"/>
      <c r="F4" s="2"/>
      <c r="G4" s="3" t="s">
        <v>250</v>
      </c>
      <c r="H4" s="4" t="s">
        <v>251</v>
      </c>
      <c r="I4" s="2" t="s">
        <v>252</v>
      </c>
      <c r="J4" s="5">
        <v>-1</v>
      </c>
      <c r="K4" s="2"/>
      <c r="R4" s="6"/>
      <c r="S4" s="6"/>
      <c r="T4" s="6"/>
    </row>
    <row r="5" spans="1:24" ht="14.5" x14ac:dyDescent="0.35">
      <c r="A5" s="20" t="s">
        <v>948</v>
      </c>
      <c r="C5" s="2"/>
      <c r="D5" s="2"/>
      <c r="E5" s="2"/>
      <c r="F5" s="2"/>
      <c r="G5" s="3" t="s">
        <v>254</v>
      </c>
      <c r="H5" s="4" t="s">
        <v>255</v>
      </c>
      <c r="I5" s="2" t="s">
        <v>256</v>
      </c>
      <c r="J5" s="5">
        <v>-1</v>
      </c>
      <c r="K5" s="4"/>
      <c r="R5" s="6"/>
      <c r="S5" s="6"/>
      <c r="T5" s="6"/>
    </row>
    <row r="6" spans="1:24" ht="14.5" x14ac:dyDescent="0.35">
      <c r="A6" s="7" t="s">
        <v>949</v>
      </c>
      <c r="C6" s="2"/>
      <c r="D6" s="2"/>
      <c r="E6" s="2"/>
      <c r="F6" s="2"/>
      <c r="G6" s="3" t="s">
        <v>258</v>
      </c>
      <c r="H6" s="4" t="s">
        <v>259</v>
      </c>
      <c r="I6" s="2" t="s">
        <v>260</v>
      </c>
      <c r="J6" s="5">
        <v>-1</v>
      </c>
      <c r="K6" s="4"/>
      <c r="R6" s="6"/>
      <c r="S6" s="6"/>
      <c r="T6" s="6"/>
    </row>
    <row r="7" spans="1:24" ht="14.5" x14ac:dyDescent="0.35">
      <c r="A7" t="s">
        <v>950</v>
      </c>
      <c r="C7" s="2"/>
      <c r="D7" s="2"/>
      <c r="E7" s="2"/>
      <c r="F7" s="2"/>
      <c r="G7" s="3" t="s">
        <v>261</v>
      </c>
      <c r="H7" s="4" t="s">
        <v>262</v>
      </c>
      <c r="I7" s="2" t="s">
        <v>263</v>
      </c>
      <c r="J7" s="5">
        <v>-1</v>
      </c>
      <c r="K7" s="4"/>
      <c r="R7" s="6"/>
      <c r="S7" s="6"/>
      <c r="T7" s="6"/>
    </row>
    <row r="8" spans="1:24" ht="14.5" x14ac:dyDescent="0.35">
      <c r="A8" t="s">
        <v>951</v>
      </c>
      <c r="C8" s="2"/>
      <c r="D8" s="2"/>
      <c r="E8" s="2"/>
      <c r="F8" s="2"/>
      <c r="G8" s="3" t="s">
        <v>264</v>
      </c>
      <c r="H8" s="4" t="s">
        <v>265</v>
      </c>
      <c r="I8" s="2" t="s">
        <v>266</v>
      </c>
      <c r="J8" s="5">
        <v>-1</v>
      </c>
      <c r="K8" s="4"/>
      <c r="R8" s="6"/>
      <c r="S8" s="6"/>
      <c r="T8" s="6"/>
    </row>
    <row r="9" spans="1:24" ht="14.5" x14ac:dyDescent="0.35">
      <c r="A9" s="21" t="str">
        <f>CONCATENATE("sql where a.client = '",$D$172,"' and a.period between '",LEFT($D$170,4),"00' and '",LEFT($D$171,4),"14' and a.version like '%ORIG%'")</f>
        <v>sql where a.client = 'OX' and a.period between '202500' and '202514' and a.version like '%ORIG%'</v>
      </c>
      <c r="C9" s="2"/>
      <c r="D9" s="2"/>
      <c r="E9" s="2"/>
      <c r="F9" s="2"/>
      <c r="G9" s="3" t="s">
        <v>267</v>
      </c>
      <c r="H9" s="4" t="s">
        <v>268</v>
      </c>
      <c r="I9" s="2" t="s">
        <v>269</v>
      </c>
      <c r="J9" s="5">
        <v>-1</v>
      </c>
      <c r="K9" s="4"/>
      <c r="R9" s="6"/>
      <c r="S9" s="6"/>
      <c r="T9" s="6"/>
    </row>
    <row r="10" spans="1:24" ht="14.5" x14ac:dyDescent="0.35">
      <c r="A10" t="s">
        <v>952</v>
      </c>
      <c r="C10" s="2"/>
      <c r="D10" s="2"/>
      <c r="E10" s="2"/>
      <c r="F10" s="2"/>
      <c r="G10" s="3" t="s">
        <v>270</v>
      </c>
      <c r="H10" s="4" t="s">
        <v>271</v>
      </c>
      <c r="I10" s="2" t="s">
        <v>272</v>
      </c>
      <c r="J10" s="5">
        <v>-1</v>
      </c>
      <c r="K10" s="4"/>
      <c r="R10" s="6"/>
      <c r="S10" s="6"/>
      <c r="T10" s="6"/>
    </row>
    <row r="11" spans="1:24" ht="14.5" x14ac:dyDescent="0.35">
      <c r="A11" t="s">
        <v>953</v>
      </c>
      <c r="C11" s="2"/>
      <c r="D11" s="2"/>
      <c r="E11" s="2"/>
      <c r="F11" s="2"/>
      <c r="G11" s="3" t="s">
        <v>273</v>
      </c>
      <c r="H11" s="4" t="s">
        <v>274</v>
      </c>
      <c r="I11" s="2" t="s">
        <v>275</v>
      </c>
      <c r="J11" s="5">
        <v>0</v>
      </c>
      <c r="K11" s="4"/>
      <c r="R11" s="6"/>
      <c r="S11" s="6"/>
      <c r="T11" s="6"/>
    </row>
    <row r="12" spans="1:24" ht="14.5" x14ac:dyDescent="0.35">
      <c r="A12" t="s">
        <v>954</v>
      </c>
      <c r="C12" s="2"/>
      <c r="D12" s="2"/>
      <c r="E12" s="2"/>
      <c r="F12" s="2"/>
      <c r="G12" s="3" t="s">
        <v>277</v>
      </c>
      <c r="H12" s="4" t="s">
        <v>278</v>
      </c>
      <c r="I12" s="2" t="s">
        <v>279</v>
      </c>
      <c r="J12" s="5">
        <v>0</v>
      </c>
      <c r="K12" s="4"/>
      <c r="R12" s="6"/>
      <c r="S12" s="6"/>
      <c r="T12" s="6"/>
    </row>
    <row r="13" spans="1:24" ht="14.5" x14ac:dyDescent="0.35">
      <c r="A13" s="20" t="s">
        <v>955</v>
      </c>
      <c r="C13" s="2"/>
      <c r="D13" s="2"/>
      <c r="E13" s="2"/>
      <c r="F13" s="2"/>
      <c r="G13" s="3" t="s">
        <v>281</v>
      </c>
      <c r="H13" s="4" t="s">
        <v>282</v>
      </c>
      <c r="I13" s="2" t="s">
        <v>283</v>
      </c>
      <c r="J13" s="5">
        <v>0</v>
      </c>
      <c r="K13" s="4"/>
      <c r="R13" s="6"/>
      <c r="S13" s="6"/>
      <c r="T13" s="6"/>
    </row>
    <row r="14" spans="1:24" ht="14.5" x14ac:dyDescent="0.35">
      <c r="A14" s="7" t="s">
        <v>956</v>
      </c>
      <c r="C14" s="2"/>
      <c r="D14" s="2"/>
      <c r="E14" s="2"/>
      <c r="F14" s="2"/>
      <c r="G14" s="3" t="s">
        <v>285</v>
      </c>
      <c r="H14" s="4" t="s">
        <v>282</v>
      </c>
      <c r="I14" s="2" t="s">
        <v>283</v>
      </c>
      <c r="J14" s="5">
        <v>0</v>
      </c>
      <c r="K14" s="4"/>
      <c r="R14" s="6"/>
      <c r="S14" s="6"/>
      <c r="T14" s="6"/>
    </row>
    <row r="15" spans="1:24" ht="14.5" x14ac:dyDescent="0.35">
      <c r="A15" t="s">
        <v>950</v>
      </c>
      <c r="C15" s="2"/>
      <c r="D15" s="2"/>
      <c r="E15" s="2"/>
      <c r="F15" s="2"/>
      <c r="G15" s="3" t="s">
        <v>287</v>
      </c>
      <c r="H15" s="4" t="s">
        <v>282</v>
      </c>
      <c r="I15" s="2" t="s">
        <v>283</v>
      </c>
      <c r="J15" s="5">
        <v>0</v>
      </c>
      <c r="K15" s="4"/>
      <c r="R15" s="6"/>
      <c r="S15" s="6"/>
      <c r="T15" s="6"/>
    </row>
    <row r="16" spans="1:24" ht="14.5" x14ac:dyDescent="0.35">
      <c r="A16" t="s">
        <v>951</v>
      </c>
      <c r="C16" s="2"/>
      <c r="D16" s="2"/>
      <c r="E16" s="2"/>
      <c r="F16" s="2"/>
      <c r="G16" s="3" t="s">
        <v>288</v>
      </c>
      <c r="H16" s="4" t="s">
        <v>282</v>
      </c>
      <c r="I16" s="2" t="s">
        <v>283</v>
      </c>
      <c r="J16" s="5">
        <v>0</v>
      </c>
      <c r="K16" s="4"/>
      <c r="R16" s="6"/>
      <c r="S16" s="6"/>
      <c r="T16" s="6"/>
    </row>
    <row r="17" spans="1:20" ht="14.5" x14ac:dyDescent="0.35">
      <c r="A1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7" s="2"/>
      <c r="D17" s="2"/>
      <c r="E17" s="2"/>
      <c r="F17" s="2"/>
      <c r="G17" s="3"/>
      <c r="H17" s="3"/>
      <c r="I17" s="3"/>
      <c r="J17" s="3"/>
      <c r="K17" s="4"/>
      <c r="R17" s="6"/>
      <c r="S17" s="6"/>
      <c r="T17" s="6"/>
    </row>
    <row r="18" spans="1:20" ht="14.5" x14ac:dyDescent="0.35">
      <c r="A18" t="s">
        <v>952</v>
      </c>
      <c r="C18" s="2"/>
      <c r="D18" s="2"/>
      <c r="E18" s="2"/>
      <c r="F18" s="2"/>
      <c r="G18" s="3"/>
      <c r="H18" s="3"/>
      <c r="I18" s="3"/>
      <c r="J18" s="3"/>
      <c r="K18" s="4"/>
      <c r="R18" s="6"/>
      <c r="S18" s="6"/>
      <c r="T18" s="6"/>
    </row>
    <row r="19" spans="1:20" ht="14.5" x14ac:dyDescent="0.35">
      <c r="A19" t="s">
        <v>953</v>
      </c>
      <c r="C19" s="2"/>
      <c r="D19" s="2"/>
      <c r="E19" s="2"/>
      <c r="F19" s="2"/>
      <c r="G19" s="3"/>
      <c r="H19" s="3"/>
      <c r="I19" s="3"/>
      <c r="J19" s="3"/>
      <c r="K19" s="4"/>
      <c r="R19" s="6"/>
      <c r="S19" s="6"/>
      <c r="T19" s="6"/>
    </row>
    <row r="20" spans="1:20" ht="14.5" x14ac:dyDescent="0.35">
      <c r="A20" t="s">
        <v>954</v>
      </c>
      <c r="C20" s="2"/>
      <c r="D20" s="2"/>
      <c r="E20" s="2"/>
      <c r="F20" s="2"/>
      <c r="G20" s="3"/>
      <c r="H20" s="3"/>
      <c r="I20" s="3"/>
      <c r="J20" s="3"/>
      <c r="K20" s="4"/>
      <c r="R20" s="6"/>
      <c r="S20" s="6"/>
      <c r="T20" s="6"/>
    </row>
    <row r="21" spans="1:20" ht="13" x14ac:dyDescent="0.3">
      <c r="A21" s="66" t="s">
        <v>957</v>
      </c>
      <c r="C21"/>
      <c r="G21"/>
    </row>
    <row r="22" spans="1:20" x14ac:dyDescent="0.25">
      <c r="A22" t="s">
        <v>958</v>
      </c>
      <c r="C22"/>
      <c r="G22"/>
    </row>
    <row r="23" spans="1:20" x14ac:dyDescent="0.25">
      <c r="A23" t="s">
        <v>950</v>
      </c>
      <c r="C23"/>
      <c r="G23"/>
    </row>
    <row r="24" spans="1:20" ht="13" x14ac:dyDescent="0.3">
      <c r="A2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C24"/>
      <c r="G24"/>
    </row>
    <row r="25" spans="1:20" ht="13" x14ac:dyDescent="0.3">
      <c r="A25" s="21" t="s">
        <v>959</v>
      </c>
      <c r="C25"/>
      <c r="G25"/>
    </row>
    <row r="26" spans="1:20" x14ac:dyDescent="0.25">
      <c r="A26" t="s">
        <v>960</v>
      </c>
      <c r="C26"/>
      <c r="G26"/>
    </row>
    <row r="27" spans="1:20" x14ac:dyDescent="0.25">
      <c r="A27" t="s">
        <v>961</v>
      </c>
      <c r="C27"/>
      <c r="G27"/>
    </row>
    <row r="28" spans="1:20" x14ac:dyDescent="0.25">
      <c r="A28" t="str">
        <f>CONCATENATE("sql left outer join acrtrees t on t.client = x.client and x.dim_1 = t.cat_1 and t.att_agrid = '",$F$159,"'")</f>
        <v>sql left outer join acrtrees t on t.client = x.client and x.dim_1 = t.cat_1 and t.att_agrid = '53'</v>
      </c>
      <c r="C28"/>
      <c r="G28"/>
    </row>
    <row r="29" spans="1:20" ht="13" x14ac:dyDescent="0.3">
      <c r="A2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C29"/>
      <c r="G29"/>
    </row>
    <row r="30" spans="1:20" ht="13" x14ac:dyDescent="0.3">
      <c r="A30" s="21" t="s">
        <v>962</v>
      </c>
      <c r="C30"/>
      <c r="G30"/>
    </row>
    <row r="31" spans="1:20" ht="13" x14ac:dyDescent="0.3">
      <c r="A3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c r="C31"/>
      <c r="G31"/>
    </row>
    <row r="32" spans="1:20" ht="13" x14ac:dyDescent="0.3">
      <c r="A32" s="21" t="s">
        <v>963</v>
      </c>
      <c r="C32"/>
      <c r="G32"/>
    </row>
    <row r="33" spans="1:7" x14ac:dyDescent="0.25">
      <c r="A33" t="s">
        <v>964</v>
      </c>
      <c r="C33"/>
      <c r="G33"/>
    </row>
    <row r="34" spans="1:7" x14ac:dyDescent="0.25">
      <c r="A34" t="s">
        <v>965</v>
      </c>
      <c r="C34"/>
      <c r="G34"/>
    </row>
    <row r="35" spans="1:7" x14ac:dyDescent="0.25">
      <c r="A35" t="s">
        <v>966</v>
      </c>
      <c r="C35"/>
      <c r="G35"/>
    </row>
    <row r="36" spans="1:7" x14ac:dyDescent="0.25">
      <c r="A36" t="s">
        <v>953</v>
      </c>
      <c r="C36"/>
      <c r="G36"/>
    </row>
    <row r="37" spans="1:7" x14ac:dyDescent="0.25">
      <c r="A37" t="s">
        <v>954</v>
      </c>
      <c r="C37"/>
      <c r="G37"/>
    </row>
    <row r="38" spans="1:7" ht="13" x14ac:dyDescent="0.3">
      <c r="A38" s="66" t="s">
        <v>967</v>
      </c>
      <c r="C38"/>
      <c r="G38"/>
    </row>
    <row r="39" spans="1:7" x14ac:dyDescent="0.25">
      <c r="A39" t="s">
        <v>968</v>
      </c>
      <c r="C39"/>
      <c r="G39"/>
    </row>
    <row r="40" spans="1:7" x14ac:dyDescent="0.25">
      <c r="A40" t="s">
        <v>950</v>
      </c>
      <c r="C40"/>
      <c r="G40"/>
    </row>
    <row r="41" spans="1:7" ht="13" x14ac:dyDescent="0.3">
      <c r="A4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c r="C41" s="9"/>
      <c r="G41"/>
    </row>
    <row r="42" spans="1:7" ht="13" x14ac:dyDescent="0.3">
      <c r="A42" s="21" t="s">
        <v>969</v>
      </c>
      <c r="C42" s="9"/>
      <c r="G42"/>
    </row>
    <row r="43" spans="1:7" ht="13" x14ac:dyDescent="0.3">
      <c r="A43" s="21" t="s">
        <v>959</v>
      </c>
      <c r="C43"/>
      <c r="G43"/>
    </row>
    <row r="44" spans="1:7" x14ac:dyDescent="0.25">
      <c r="A44" t="s">
        <v>960</v>
      </c>
      <c r="C44"/>
      <c r="G44"/>
    </row>
    <row r="45" spans="1:7" x14ac:dyDescent="0.25">
      <c r="A45" t="s">
        <v>961</v>
      </c>
      <c r="C45"/>
      <c r="G45"/>
    </row>
    <row r="46" spans="1:7" x14ac:dyDescent="0.25">
      <c r="A46" t="str">
        <f>CONCATENATE("sql left outer join acrtrees t on t.client = x.client and x.dim_1 = t.cat_1 and t.att_agrid = '",$F$159,"'")</f>
        <v>sql left outer join acrtrees t on t.client = x.client and x.dim_1 = t.cat_1 and t.att_agrid = '53'</v>
      </c>
      <c r="C46"/>
      <c r="G46"/>
    </row>
    <row r="47" spans="1:7" ht="13" x14ac:dyDescent="0.3">
      <c r="A4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c r="C47"/>
      <c r="G47"/>
    </row>
    <row r="48" spans="1:7" ht="13" x14ac:dyDescent="0.3">
      <c r="A48" s="21" t="s">
        <v>970</v>
      </c>
      <c r="C48"/>
      <c r="G48"/>
    </row>
    <row r="49" spans="1:15" ht="13" x14ac:dyDescent="0.3">
      <c r="A49" s="21" t="s">
        <v>962</v>
      </c>
      <c r="C49"/>
      <c r="G49"/>
    </row>
    <row r="50" spans="1:15" ht="13" x14ac:dyDescent="0.3">
      <c r="A5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c r="C50" s="8"/>
      <c r="G50"/>
    </row>
    <row r="51" spans="1:15" ht="13" x14ac:dyDescent="0.3">
      <c r="A51" s="21" t="s">
        <v>970</v>
      </c>
      <c r="C51"/>
      <c r="G51"/>
    </row>
    <row r="52" spans="1:15" ht="13" x14ac:dyDescent="0.3">
      <c r="A52" s="21" t="s">
        <v>963</v>
      </c>
      <c r="C52"/>
      <c r="G52"/>
    </row>
    <row r="53" spans="1:15" x14ac:dyDescent="0.25">
      <c r="A53" t="s">
        <v>964</v>
      </c>
      <c r="C53"/>
      <c r="G53"/>
    </row>
    <row r="54" spans="1:15" x14ac:dyDescent="0.25">
      <c r="A54" t="s">
        <v>965</v>
      </c>
      <c r="C54"/>
      <c r="G54"/>
    </row>
    <row r="55" spans="1:15" x14ac:dyDescent="0.25">
      <c r="A55" t="s">
        <v>966</v>
      </c>
      <c r="C55"/>
      <c r="G55"/>
    </row>
    <row r="56" spans="1:15" x14ac:dyDescent="0.25">
      <c r="A56" t="s">
        <v>953</v>
      </c>
      <c r="C56"/>
      <c r="G56"/>
    </row>
    <row r="57" spans="1:15" x14ac:dyDescent="0.25">
      <c r="A57" t="s">
        <v>954</v>
      </c>
      <c r="C57"/>
      <c r="G57"/>
    </row>
    <row r="58" spans="1:15" ht="13" x14ac:dyDescent="0.3">
      <c r="A58" s="66" t="s">
        <v>971</v>
      </c>
      <c r="C58"/>
      <c r="G58"/>
    </row>
    <row r="59" spans="1:15" x14ac:dyDescent="0.25">
      <c r="A59" t="s">
        <v>972</v>
      </c>
      <c r="B59" s="7"/>
      <c r="C59"/>
      <c r="G59"/>
    </row>
    <row r="60" spans="1:15" x14ac:dyDescent="0.25">
      <c r="A60" t="s">
        <v>950</v>
      </c>
      <c r="C60"/>
      <c r="G60"/>
      <c r="O60" s="10"/>
    </row>
    <row r="61" spans="1:15" ht="13" x14ac:dyDescent="0.3">
      <c r="A6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B61" s="9"/>
      <c r="C61"/>
      <c r="G61"/>
      <c r="O61" s="10"/>
    </row>
    <row r="62" spans="1:15" ht="13" x14ac:dyDescent="0.3">
      <c r="A62" s="21" t="s">
        <v>959</v>
      </c>
      <c r="B62" s="9"/>
      <c r="C62"/>
      <c r="G62"/>
      <c r="N62" s="10"/>
    </row>
    <row r="63" spans="1:15" x14ac:dyDescent="0.25">
      <c r="A63" t="s">
        <v>960</v>
      </c>
      <c r="C63"/>
      <c r="G63"/>
      <c r="N63" s="10"/>
    </row>
    <row r="64" spans="1:15" x14ac:dyDescent="0.25">
      <c r="A64" t="s">
        <v>961</v>
      </c>
      <c r="C64"/>
      <c r="G64"/>
      <c r="N64" s="10"/>
    </row>
    <row r="65" spans="1:14" x14ac:dyDescent="0.25">
      <c r="A65" t="str">
        <f>CONCATENATE("sql left outer join acrtrees t on t.client = x.client and x.dim_1 = t.cat_1 and t.att_agrid = '",$F$159,"'")</f>
        <v>sql left outer join acrtrees t on t.client = x.client and x.dim_1 = t.cat_1 and t.att_agrid = '53'</v>
      </c>
      <c r="C65"/>
      <c r="G65"/>
    </row>
    <row r="66" spans="1:14" ht="13" x14ac:dyDescent="0.3">
      <c r="A6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B66" s="9"/>
      <c r="C66"/>
      <c r="G66"/>
    </row>
    <row r="67" spans="1:14" ht="13" x14ac:dyDescent="0.3">
      <c r="A67" s="21" t="s">
        <v>973</v>
      </c>
      <c r="B67" s="9"/>
      <c r="C67"/>
      <c r="G67"/>
    </row>
    <row r="68" spans="1:14" x14ac:dyDescent="0.25">
      <c r="A68" t="s">
        <v>964</v>
      </c>
      <c r="C68"/>
      <c r="G68"/>
    </row>
    <row r="69" spans="1:14" x14ac:dyDescent="0.25">
      <c r="A69" t="s">
        <v>965</v>
      </c>
      <c r="C69"/>
      <c r="G69"/>
    </row>
    <row r="70" spans="1:14" x14ac:dyDescent="0.25">
      <c r="A70" t="s">
        <v>966</v>
      </c>
      <c r="C70"/>
      <c r="G70"/>
    </row>
    <row r="71" spans="1:14" x14ac:dyDescent="0.25">
      <c r="A71" t="s">
        <v>953</v>
      </c>
      <c r="C71"/>
      <c r="G71"/>
    </row>
    <row r="72" spans="1:14" x14ac:dyDescent="0.25">
      <c r="A72" t="s">
        <v>954</v>
      </c>
      <c r="B72" s="7"/>
      <c r="C72"/>
      <c r="G72"/>
    </row>
    <row r="73" spans="1:14" ht="13" x14ac:dyDescent="0.3">
      <c r="A73" s="66" t="s">
        <v>974</v>
      </c>
      <c r="C73"/>
      <c r="G73"/>
    </row>
    <row r="74" spans="1:14" x14ac:dyDescent="0.25">
      <c r="A74" t="s">
        <v>975</v>
      </c>
      <c r="B74" s="7"/>
      <c r="C74"/>
      <c r="G74"/>
    </row>
    <row r="75" spans="1:14" x14ac:dyDescent="0.25">
      <c r="A75" t="s">
        <v>950</v>
      </c>
      <c r="C75"/>
      <c r="G75"/>
    </row>
    <row r="76" spans="1:14" ht="13" x14ac:dyDescent="0.3">
      <c r="A7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c r="B76" s="9"/>
      <c r="C76"/>
      <c r="G76"/>
    </row>
    <row r="77" spans="1:14" ht="13" x14ac:dyDescent="0.3">
      <c r="A77" s="21" t="s">
        <v>959</v>
      </c>
      <c r="B77" s="9"/>
      <c r="C77"/>
      <c r="G77"/>
      <c r="N77" s="10"/>
    </row>
    <row r="78" spans="1:14" x14ac:dyDescent="0.25">
      <c r="A78" t="s">
        <v>960</v>
      </c>
      <c r="C78"/>
      <c r="G78"/>
      <c r="N78" s="10"/>
    </row>
    <row r="79" spans="1:14" x14ac:dyDescent="0.25">
      <c r="A79" t="s">
        <v>961</v>
      </c>
      <c r="C79"/>
      <c r="G79"/>
      <c r="N79" s="10"/>
    </row>
    <row r="80" spans="1:14" x14ac:dyDescent="0.25">
      <c r="A80" t="str">
        <f>CONCATENATE("sql left outer join acrtrees t on t.client = x.client and x.dim_1 = t.cat_1 and t.att_agrid = '",$F$159,"'")</f>
        <v>sql left outer join acrtrees t on t.client = x.client and x.dim_1 = t.cat_1 and t.att_agrid = '53'</v>
      </c>
      <c r="C80"/>
      <c r="G80"/>
      <c r="N80" s="10"/>
    </row>
    <row r="81" spans="1:14" ht="13" x14ac:dyDescent="0.3">
      <c r="A8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c r="B81" s="9"/>
      <c r="C81"/>
      <c r="G81"/>
    </row>
    <row r="82" spans="1:14" ht="13" x14ac:dyDescent="0.3">
      <c r="A82" s="21" t="s">
        <v>973</v>
      </c>
      <c r="B82" s="9"/>
      <c r="C82"/>
      <c r="G82"/>
    </row>
    <row r="83" spans="1:14" x14ac:dyDescent="0.25">
      <c r="A83" t="s">
        <v>964</v>
      </c>
      <c r="C83"/>
      <c r="G83"/>
    </row>
    <row r="84" spans="1:14" x14ac:dyDescent="0.25">
      <c r="A84" t="s">
        <v>965</v>
      </c>
      <c r="C84"/>
      <c r="G84"/>
      <c r="N84" s="10"/>
    </row>
    <row r="85" spans="1:14" x14ac:dyDescent="0.25">
      <c r="A85" t="s">
        <v>966</v>
      </c>
      <c r="C85"/>
      <c r="G85"/>
      <c r="N85" s="10"/>
    </row>
    <row r="86" spans="1:14" x14ac:dyDescent="0.25">
      <c r="A86" t="s">
        <v>953</v>
      </c>
      <c r="C86"/>
      <c r="G86"/>
      <c r="N86" s="10"/>
    </row>
    <row r="87" spans="1:14" x14ac:dyDescent="0.25">
      <c r="A87" t="s">
        <v>954</v>
      </c>
      <c r="C87"/>
      <c r="G87"/>
      <c r="N87" s="10"/>
    </row>
    <row r="88" spans="1:14" ht="13" x14ac:dyDescent="0.3">
      <c r="A88" s="66" t="s">
        <v>976</v>
      </c>
      <c r="C88"/>
      <c r="G88"/>
    </row>
    <row r="89" spans="1:14" x14ac:dyDescent="0.25">
      <c r="A89" t="s">
        <v>977</v>
      </c>
      <c r="B89" s="7"/>
      <c r="C89"/>
      <c r="G89"/>
    </row>
    <row r="90" spans="1:14" x14ac:dyDescent="0.25">
      <c r="A90" t="s">
        <v>950</v>
      </c>
      <c r="C90"/>
      <c r="G90"/>
    </row>
    <row r="91" spans="1:14" ht="13" x14ac:dyDescent="0.3">
      <c r="A9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B91" s="9"/>
      <c r="C91"/>
      <c r="G91"/>
    </row>
    <row r="92" spans="1:14" ht="13" x14ac:dyDescent="0.3">
      <c r="A92" s="21" t="s">
        <v>959</v>
      </c>
      <c r="B92" s="9"/>
      <c r="C92"/>
      <c r="G92"/>
    </row>
    <row r="93" spans="1:14" x14ac:dyDescent="0.25">
      <c r="A93" t="s">
        <v>960</v>
      </c>
      <c r="C93"/>
      <c r="G93"/>
    </row>
    <row r="94" spans="1:14" x14ac:dyDescent="0.25">
      <c r="A94" t="s">
        <v>961</v>
      </c>
      <c r="C94"/>
      <c r="G94"/>
    </row>
    <row r="95" spans="1:14" x14ac:dyDescent="0.25">
      <c r="A95" t="str">
        <f>CONCATENATE("sql left outer join acrtrees t on t.client = x.client and x.dim_1 = t.cat_1 and t.att_agrid = '",$F$159,"'")</f>
        <v>sql left outer join acrtrees t on t.client = x.client and x.dim_1 = t.cat_1 and t.att_agrid = '53'</v>
      </c>
      <c r="C95"/>
      <c r="G95"/>
    </row>
    <row r="96" spans="1:14" ht="13" x14ac:dyDescent="0.3">
      <c r="A9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B96" s="9"/>
      <c r="C96"/>
      <c r="G96"/>
    </row>
    <row r="97" spans="1:14" ht="13" x14ac:dyDescent="0.3">
      <c r="A97" s="21" t="s">
        <v>978</v>
      </c>
      <c r="B97" s="9"/>
      <c r="C97"/>
      <c r="G97"/>
    </row>
    <row r="98" spans="1:14" x14ac:dyDescent="0.25">
      <c r="A98" t="s">
        <v>979</v>
      </c>
      <c r="C98"/>
      <c r="G98"/>
    </row>
    <row r="99" spans="1:14" x14ac:dyDescent="0.25">
      <c r="A99" t="s">
        <v>980</v>
      </c>
      <c r="C99"/>
      <c r="G99"/>
    </row>
    <row r="100" spans="1:14" x14ac:dyDescent="0.25">
      <c r="A100" t="s">
        <v>966</v>
      </c>
      <c r="C100"/>
      <c r="G100"/>
    </row>
    <row r="101" spans="1:14" x14ac:dyDescent="0.25">
      <c r="A101" t="s">
        <v>953</v>
      </c>
      <c r="C101"/>
      <c r="G101"/>
    </row>
    <row r="102" spans="1:14" x14ac:dyDescent="0.25">
      <c r="A102" t="s">
        <v>954</v>
      </c>
      <c r="C102"/>
      <c r="G102"/>
      <c r="N102" s="10"/>
    </row>
    <row r="103" spans="1:14" ht="13" x14ac:dyDescent="0.3">
      <c r="A103" s="66" t="s">
        <v>981</v>
      </c>
      <c r="C103"/>
      <c r="G103"/>
    </row>
    <row r="104" spans="1:14" x14ac:dyDescent="0.25">
      <c r="A104" t="s">
        <v>982</v>
      </c>
      <c r="B104" s="7"/>
      <c r="C104"/>
      <c r="G104"/>
    </row>
    <row r="105" spans="1:14" x14ac:dyDescent="0.25">
      <c r="A105" t="s">
        <v>950</v>
      </c>
      <c r="C105"/>
      <c r="G105"/>
    </row>
    <row r="106" spans="1:14" ht="13" x14ac:dyDescent="0.3">
      <c r="A10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c r="B106" s="9"/>
      <c r="C106"/>
      <c r="G106"/>
    </row>
    <row r="107" spans="1:14" ht="13" x14ac:dyDescent="0.3">
      <c r="A107" s="21" t="s">
        <v>969</v>
      </c>
      <c r="B107" s="9"/>
      <c r="C107"/>
      <c r="G107"/>
    </row>
    <row r="108" spans="1:14" ht="13" x14ac:dyDescent="0.3">
      <c r="A108" s="21" t="s">
        <v>959</v>
      </c>
      <c r="B108" s="9"/>
      <c r="C108"/>
      <c r="G108"/>
    </row>
    <row r="109" spans="1:14" x14ac:dyDescent="0.25">
      <c r="A109" t="s">
        <v>960</v>
      </c>
      <c r="C109"/>
      <c r="G109"/>
    </row>
    <row r="110" spans="1:14" x14ac:dyDescent="0.25">
      <c r="A110" t="s">
        <v>961</v>
      </c>
      <c r="C110"/>
      <c r="G110"/>
    </row>
    <row r="111" spans="1:14" x14ac:dyDescent="0.25">
      <c r="A111" t="str">
        <f>CONCATENATE("sql left outer join acrtrees t on t.client = x.client and x.dim_1 = t.cat_1 and t.att_agrid = '",$F$159,"'")</f>
        <v>sql left outer join acrtrees t on t.client = x.client and x.dim_1 = t.cat_1 and t.att_agrid = '53'</v>
      </c>
      <c r="C111"/>
      <c r="G111"/>
    </row>
    <row r="112" spans="1:14" ht="13" x14ac:dyDescent="0.3">
      <c r="A11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c r="B112" s="9"/>
      <c r="C112"/>
      <c r="G112"/>
    </row>
    <row r="113" spans="1:20" ht="13" x14ac:dyDescent="0.3">
      <c r="A113" s="21" t="s">
        <v>970</v>
      </c>
      <c r="B113" s="9"/>
      <c r="C113"/>
      <c r="G113"/>
    </row>
    <row r="114" spans="1:20" ht="13" x14ac:dyDescent="0.3">
      <c r="A114" s="21" t="s">
        <v>978</v>
      </c>
      <c r="B114" s="9"/>
      <c r="C114"/>
      <c r="G114"/>
    </row>
    <row r="115" spans="1:20" x14ac:dyDescent="0.25">
      <c r="A115" t="s">
        <v>979</v>
      </c>
      <c r="C115"/>
      <c r="G115"/>
    </row>
    <row r="116" spans="1:20" x14ac:dyDescent="0.25">
      <c r="A116" t="s">
        <v>980</v>
      </c>
      <c r="C116"/>
      <c r="G116"/>
    </row>
    <row r="117" spans="1:20" x14ac:dyDescent="0.25">
      <c r="A117" t="s">
        <v>966</v>
      </c>
      <c r="C117"/>
      <c r="G117"/>
    </row>
    <row r="118" spans="1:20" x14ac:dyDescent="0.25">
      <c r="A118" t="s">
        <v>953</v>
      </c>
      <c r="C118"/>
      <c r="G118"/>
    </row>
    <row r="119" spans="1:20" x14ac:dyDescent="0.25">
      <c r="A119" t="s">
        <v>954</v>
      </c>
      <c r="C119"/>
      <c r="G119"/>
    </row>
    <row r="120" spans="1:20" ht="14.5" x14ac:dyDescent="0.35">
      <c r="A120" s="20" t="s">
        <v>983</v>
      </c>
      <c r="C120" s="2"/>
      <c r="D120" s="2"/>
      <c r="E120" s="2"/>
      <c r="F120" s="2"/>
      <c r="G120" s="3"/>
      <c r="H120" s="3"/>
      <c r="I120" s="3"/>
      <c r="J120" s="3"/>
      <c r="K120" s="4"/>
      <c r="R120" s="6"/>
      <c r="S120" s="6"/>
      <c r="T120" s="6"/>
    </row>
    <row r="121" spans="1:20" ht="14.5" x14ac:dyDescent="0.35">
      <c r="A121" s="7" t="s">
        <v>984</v>
      </c>
      <c r="C121" s="2"/>
      <c r="D121" s="2"/>
      <c r="E121" s="2"/>
      <c r="F121" s="2"/>
      <c r="G121" s="3"/>
      <c r="H121" s="3"/>
      <c r="I121" s="3"/>
      <c r="J121" s="3"/>
      <c r="K121" s="4"/>
      <c r="R121" s="6"/>
      <c r="S121" s="6"/>
      <c r="T121" s="6"/>
    </row>
    <row r="122" spans="1:20" ht="14.5" x14ac:dyDescent="0.35">
      <c r="A122" t="s">
        <v>950</v>
      </c>
      <c r="C122" s="2"/>
      <c r="D122" s="2"/>
      <c r="E122" s="2"/>
      <c r="F122" s="2"/>
      <c r="G122" s="3"/>
      <c r="H122" s="3"/>
      <c r="I122" s="3"/>
      <c r="J122" s="3"/>
      <c r="K122" s="4"/>
      <c r="R122" s="6"/>
      <c r="S122" s="6"/>
      <c r="T122" s="6"/>
    </row>
    <row r="123" spans="1:20" ht="14.5" x14ac:dyDescent="0.35">
      <c r="A123" t="s">
        <v>951</v>
      </c>
      <c r="C123" s="2"/>
      <c r="D123" s="2"/>
      <c r="E123" s="2"/>
      <c r="F123" s="2"/>
      <c r="G123" s="3"/>
      <c r="H123" s="3"/>
      <c r="I123" s="3"/>
      <c r="J123" s="3"/>
      <c r="K123" s="4"/>
      <c r="R123" s="6"/>
      <c r="S123" s="6"/>
      <c r="T123" s="6"/>
    </row>
    <row r="124" spans="1:20" ht="14.5" x14ac:dyDescent="0.35">
      <c r="A12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24" s="2"/>
      <c r="D124" s="2"/>
      <c r="E124" s="2"/>
      <c r="F124" s="2"/>
      <c r="G124" s="3"/>
      <c r="H124" s="3"/>
      <c r="I124" s="3"/>
      <c r="J124" s="3"/>
      <c r="K124" s="4"/>
      <c r="R124" s="6"/>
      <c r="T124" s="6"/>
    </row>
    <row r="125" spans="1:20" ht="14.5" x14ac:dyDescent="0.35">
      <c r="A125" t="s">
        <v>952</v>
      </c>
      <c r="C125" s="2"/>
      <c r="D125" s="2"/>
      <c r="E125" s="2"/>
      <c r="F125" s="2"/>
      <c r="G125" s="3"/>
      <c r="H125" s="3"/>
      <c r="I125" s="3"/>
      <c r="J125" s="3"/>
      <c r="K125" s="4"/>
      <c r="R125" s="6"/>
      <c r="S125" s="6"/>
      <c r="T125" s="6"/>
    </row>
    <row r="126" spans="1:20" ht="14.5" x14ac:dyDescent="0.35">
      <c r="A126" t="s">
        <v>953</v>
      </c>
      <c r="C126" s="2"/>
      <c r="D126" s="2"/>
      <c r="E126" s="2"/>
      <c r="F126" s="2"/>
      <c r="G126" s="3"/>
      <c r="H126" s="3"/>
      <c r="I126" s="3"/>
      <c r="J126" s="3"/>
      <c r="K126" s="4"/>
      <c r="R126" s="6"/>
      <c r="S126" s="6"/>
      <c r="T126" s="6"/>
    </row>
    <row r="127" spans="1:20" ht="14.5" x14ac:dyDescent="0.35">
      <c r="A127" t="s">
        <v>954</v>
      </c>
      <c r="C127" s="2"/>
      <c r="D127" s="2"/>
      <c r="E127" s="2"/>
      <c r="F127" s="2"/>
      <c r="G127" s="3"/>
      <c r="H127" s="3"/>
      <c r="I127" s="3"/>
      <c r="J127" s="3"/>
      <c r="K127" s="4"/>
      <c r="R127" s="6"/>
      <c r="S127" s="6"/>
      <c r="T127" s="6"/>
    </row>
    <row r="128" spans="1:20" ht="14.5" x14ac:dyDescent="0.35">
      <c r="A128" s="20" t="s">
        <v>985</v>
      </c>
      <c r="C128" s="2"/>
      <c r="D128" s="2"/>
      <c r="E128" s="2"/>
      <c r="F128" s="2"/>
      <c r="G128"/>
      <c r="K128" s="2"/>
      <c r="R128" s="6"/>
      <c r="S128" s="6"/>
      <c r="T128" s="6"/>
    </row>
    <row r="129" spans="1:20" ht="14.5" x14ac:dyDescent="0.35">
      <c r="A129" s="7" t="s">
        <v>986</v>
      </c>
      <c r="C129" s="2"/>
      <c r="D129" s="2"/>
      <c r="E129" s="2"/>
      <c r="F129" s="2"/>
      <c r="G129"/>
      <c r="K129" s="2"/>
      <c r="R129" s="6"/>
      <c r="S129" s="6"/>
      <c r="T129" s="6"/>
    </row>
    <row r="130" spans="1:20" ht="14.5" x14ac:dyDescent="0.35">
      <c r="A130" t="s">
        <v>987</v>
      </c>
      <c r="C130" s="2"/>
      <c r="D130" s="2"/>
      <c r="E130" s="2"/>
      <c r="F130" s="2"/>
      <c r="G130"/>
      <c r="K130" s="2"/>
      <c r="R130" s="6"/>
      <c r="S130" s="6"/>
      <c r="T130" s="6"/>
    </row>
    <row r="131" spans="1:20" ht="14.5" x14ac:dyDescent="0.35">
      <c r="A131" s="21" t="str">
        <f>CONCATENATE("sql where a.client = '",$D$172,"' and a.period between '",LEFT($D$170,4),"00' and '",IF(RIGHT($D$171,2)="12",CONCATENATE(LEFT($D$171,4),"14"),$D$171),"'")</f>
        <v>sql where a.client = 'OX' and a.period between '202500' and '202506'</v>
      </c>
      <c r="C131" s="2"/>
      <c r="D131" s="2"/>
      <c r="E131" s="2"/>
      <c r="F131" s="2"/>
      <c r="G131"/>
      <c r="K131" s="2"/>
      <c r="R131" s="6"/>
      <c r="S131" s="6"/>
      <c r="T131" s="6"/>
    </row>
    <row r="132" spans="1:20" ht="14.5" x14ac:dyDescent="0.35">
      <c r="A132" t="s">
        <v>952</v>
      </c>
      <c r="C132" s="2"/>
      <c r="D132" s="2"/>
      <c r="E132" s="2"/>
      <c r="F132" s="2"/>
      <c r="G132"/>
      <c r="K132" s="2"/>
      <c r="R132" s="6"/>
      <c r="S132" s="6"/>
      <c r="T132" s="6"/>
    </row>
    <row r="133" spans="1:20" ht="14.5" x14ac:dyDescent="0.35">
      <c r="A133" t="s">
        <v>953</v>
      </c>
      <c r="C133" s="2"/>
      <c r="D133" s="2"/>
      <c r="E133" s="2"/>
      <c r="F133" s="2"/>
      <c r="G133"/>
      <c r="K133" s="2"/>
      <c r="R133" s="6"/>
      <c r="S133" s="6"/>
      <c r="T133" s="6"/>
    </row>
    <row r="134" spans="1:20" ht="14.5" x14ac:dyDescent="0.35">
      <c r="A134" t="s">
        <v>954</v>
      </c>
      <c r="C134" s="2"/>
      <c r="D134" s="2"/>
      <c r="E134" s="2"/>
      <c r="F134" s="2"/>
      <c r="G134"/>
      <c r="K134" s="2"/>
      <c r="R134" s="6"/>
      <c r="S134" s="6"/>
      <c r="T134" s="6"/>
    </row>
    <row r="135" spans="1:20" ht="14.5" x14ac:dyDescent="0.35">
      <c r="A135" s="20" t="s">
        <v>988</v>
      </c>
      <c r="C135" s="2"/>
      <c r="D135" s="2"/>
      <c r="E135" s="2"/>
      <c r="F135" s="2"/>
      <c r="G135"/>
      <c r="K135" s="2"/>
      <c r="R135" s="6"/>
      <c r="S135" s="6"/>
      <c r="T135" s="6"/>
    </row>
    <row r="136" spans="1:20" ht="14.5" x14ac:dyDescent="0.35">
      <c r="A136" s="7" t="s">
        <v>989</v>
      </c>
      <c r="C136" s="2"/>
      <c r="D136" s="2"/>
      <c r="E136" s="2"/>
      <c r="F136" s="2"/>
      <c r="G136" s="3"/>
      <c r="H136" s="3"/>
      <c r="I136" s="3"/>
      <c r="J136" s="3"/>
      <c r="K136" s="4"/>
      <c r="R136" s="6"/>
      <c r="S136" s="6"/>
      <c r="T136" s="6"/>
    </row>
    <row r="137" spans="1:20" ht="14.5" x14ac:dyDescent="0.35">
      <c r="A137" t="s">
        <v>950</v>
      </c>
      <c r="C137" s="2"/>
      <c r="D137" s="2"/>
      <c r="E137" s="2"/>
      <c r="F137" s="2"/>
      <c r="G137" s="3"/>
      <c r="H137" s="3"/>
      <c r="I137" s="3"/>
      <c r="J137" s="3"/>
      <c r="K137" s="4"/>
      <c r="R137" s="6"/>
      <c r="S137" s="6"/>
      <c r="T137" s="6"/>
    </row>
    <row r="138" spans="1:20" ht="14.5" x14ac:dyDescent="0.35">
      <c r="A138" t="s">
        <v>951</v>
      </c>
      <c r="C138" s="2"/>
      <c r="D138" s="2"/>
      <c r="E138" s="2"/>
      <c r="F138" s="2"/>
      <c r="G138" s="3"/>
      <c r="H138" s="3"/>
      <c r="I138" s="3"/>
      <c r="J138" s="3"/>
      <c r="K138" s="4"/>
      <c r="R138" s="6"/>
      <c r="S138" s="6"/>
      <c r="T138" s="6"/>
    </row>
    <row r="139" spans="1:20" ht="14.5" x14ac:dyDescent="0.35">
      <c r="A13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c r="C139" s="2"/>
      <c r="D139" s="2"/>
      <c r="E139" s="2"/>
      <c r="F139" s="2"/>
      <c r="G139" s="3"/>
      <c r="H139" s="3"/>
      <c r="I139" s="3"/>
      <c r="J139" s="3"/>
      <c r="K139" s="4"/>
      <c r="R139" s="6"/>
      <c r="T139" s="6"/>
    </row>
    <row r="140" spans="1:20" ht="14.5" x14ac:dyDescent="0.35">
      <c r="A140" t="s">
        <v>952</v>
      </c>
      <c r="C140" s="2"/>
      <c r="D140" s="2"/>
      <c r="E140" s="2"/>
      <c r="F140" s="2"/>
      <c r="G140" s="3"/>
      <c r="H140" s="3"/>
      <c r="I140" s="3"/>
      <c r="J140" s="3"/>
      <c r="K140" s="4"/>
      <c r="R140" s="6"/>
      <c r="S140" s="6"/>
      <c r="T140" s="6"/>
    </row>
    <row r="141" spans="1:20" ht="14.5" x14ac:dyDescent="0.35">
      <c r="A141" t="s">
        <v>953</v>
      </c>
      <c r="C141" s="2"/>
      <c r="D141" s="2"/>
      <c r="E141" s="2"/>
      <c r="F141" s="2"/>
      <c r="G141" s="3"/>
      <c r="H141" s="3"/>
      <c r="I141" s="3"/>
      <c r="J141" s="3"/>
      <c r="K141" s="4"/>
      <c r="R141" s="6"/>
      <c r="S141" s="6"/>
      <c r="T141" s="6"/>
    </row>
    <row r="142" spans="1:20" ht="14.5" x14ac:dyDescent="0.35">
      <c r="A142" t="s">
        <v>954</v>
      </c>
      <c r="C142" s="2"/>
      <c r="D142" s="2"/>
      <c r="E142" s="2"/>
      <c r="F142" s="2"/>
      <c r="G142" s="3"/>
      <c r="H142" s="3"/>
      <c r="I142" s="3"/>
      <c r="J142" s="3"/>
      <c r="K142" s="4"/>
      <c r="R142" s="6"/>
      <c r="S142" s="6"/>
      <c r="T142" s="6"/>
    </row>
    <row r="143" spans="1:20" ht="14.5" x14ac:dyDescent="0.35">
      <c r="A143" s="20" t="s">
        <v>990</v>
      </c>
      <c r="C143" s="2"/>
      <c r="D143" s="2"/>
      <c r="E143" s="2"/>
      <c r="F143" s="2"/>
      <c r="G143" s="3"/>
      <c r="H143" s="3"/>
      <c r="I143" s="3"/>
      <c r="J143" s="3"/>
      <c r="K143" s="4"/>
      <c r="R143" s="6"/>
      <c r="S143" s="6"/>
      <c r="T143" s="6"/>
    </row>
    <row r="144" spans="1:20" ht="14.5" x14ac:dyDescent="0.35">
      <c r="A144" s="7" t="s">
        <v>991</v>
      </c>
      <c r="C144" s="2"/>
      <c r="D144" s="2"/>
      <c r="E144" s="2"/>
      <c r="F144" s="2"/>
      <c r="G144" s="3"/>
      <c r="H144" s="3"/>
      <c r="I144" s="3"/>
      <c r="J144" s="3"/>
      <c r="K144" s="4"/>
      <c r="R144" s="6"/>
      <c r="S144" s="6"/>
      <c r="T144" s="6"/>
    </row>
    <row r="145" spans="1:20" ht="14.5" x14ac:dyDescent="0.35">
      <c r="A145" t="s">
        <v>950</v>
      </c>
      <c r="C145" s="2"/>
      <c r="D145" s="2"/>
      <c r="E145" s="2"/>
      <c r="F145" s="2"/>
      <c r="G145" s="3"/>
      <c r="H145" s="3"/>
      <c r="I145" s="3"/>
      <c r="J145" s="3"/>
      <c r="K145" s="4"/>
      <c r="R145" s="6"/>
      <c r="S145" s="6"/>
      <c r="T145" s="6"/>
    </row>
    <row r="146" spans="1:20" ht="14.5" x14ac:dyDescent="0.35">
      <c r="A146" t="s">
        <v>951</v>
      </c>
      <c r="C146" s="2"/>
      <c r="D146" s="2"/>
      <c r="E146" s="2"/>
      <c r="F146" s="2"/>
      <c r="G146" s="3"/>
      <c r="H146" s="3"/>
      <c r="I146" s="3"/>
      <c r="J146" s="3"/>
      <c r="K146" s="4"/>
      <c r="R146" s="6"/>
      <c r="S146" s="6"/>
      <c r="T146" s="6"/>
    </row>
    <row r="147" spans="1:20" ht="14.5" x14ac:dyDescent="0.35">
      <c r="A14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c r="C147" s="2"/>
      <c r="D147" s="2"/>
      <c r="E147" s="2"/>
      <c r="F147" s="2"/>
      <c r="G147" s="3"/>
      <c r="H147" s="3"/>
      <c r="I147" s="3"/>
      <c r="J147" s="3"/>
      <c r="K147" s="4"/>
      <c r="R147" s="6"/>
      <c r="S147" t="str">
        <f>CONCATENATE(LEFT($D$171,4)+VLOOKUP(RIGHT($D$171+1,2),$G$2:$J$16,4,FALSE),"-",IF(LEN(MONTH($D$174))=1,CONCATENATE("0",MONTH($D$174)),MONTH($D$174)),"-",LEFT(TEXT($D$174,"DD/MM/YYYY"),2))</f>
        <v>2024-10-14</v>
      </c>
      <c r="T147" s="6"/>
    </row>
    <row r="148" spans="1:20" ht="14.5" x14ac:dyDescent="0.35">
      <c r="A148" t="s">
        <v>952</v>
      </c>
      <c r="C148" s="2"/>
      <c r="D148" s="2"/>
      <c r="E148" s="2"/>
      <c r="F148" s="2"/>
      <c r="G148" s="3"/>
      <c r="H148" s="3"/>
      <c r="I148" s="3"/>
      <c r="J148" s="3"/>
      <c r="K148" s="4"/>
      <c r="R148" s="6"/>
      <c r="S148" s="6"/>
      <c r="T148" s="6"/>
    </row>
    <row r="149" spans="1:20" ht="14.5" x14ac:dyDescent="0.35">
      <c r="A149" t="s">
        <v>953</v>
      </c>
      <c r="C149" s="2"/>
      <c r="D149" s="2"/>
      <c r="E149" s="2"/>
      <c r="F149" s="2"/>
      <c r="G149" s="3"/>
      <c r="H149" s="3"/>
      <c r="I149" s="3"/>
      <c r="J149" s="3"/>
      <c r="K149" s="4"/>
      <c r="R149" s="6"/>
      <c r="S149" s="6"/>
      <c r="T149" s="6"/>
    </row>
    <row r="150" spans="1:20" ht="14.5" x14ac:dyDescent="0.35">
      <c r="A150" t="s">
        <v>954</v>
      </c>
      <c r="C150" s="2"/>
      <c r="D150" s="2"/>
      <c r="E150" s="2"/>
      <c r="F150" s="2"/>
      <c r="G150" s="3"/>
      <c r="H150" s="3"/>
      <c r="I150" s="3"/>
      <c r="J150" s="3"/>
      <c r="K150" s="4"/>
      <c r="R150" s="6"/>
      <c r="S150" s="6"/>
      <c r="T150" s="6"/>
    </row>
    <row r="151" spans="1:20" ht="14.5" x14ac:dyDescent="0.35">
      <c r="A151" s="20" t="s">
        <v>992</v>
      </c>
      <c r="C151" s="2"/>
      <c r="D151" s="2"/>
      <c r="E151" s="2"/>
      <c r="F151" s="2"/>
      <c r="G151" s="3"/>
      <c r="H151" s="3"/>
      <c r="I151" s="3"/>
      <c r="J151" s="3"/>
      <c r="K151" s="4"/>
      <c r="R151" s="6"/>
      <c r="S151" s="6"/>
      <c r="T151" s="6"/>
    </row>
    <row r="152" spans="1:20" ht="14.5" x14ac:dyDescent="0.35">
      <c r="A152" s="7" t="s">
        <v>993</v>
      </c>
      <c r="C152" s="2"/>
      <c r="D152" s="2"/>
      <c r="E152" s="2"/>
      <c r="F152" s="2"/>
      <c r="G152" s="3"/>
      <c r="H152" s="3"/>
      <c r="I152" s="3"/>
      <c r="J152" s="3"/>
      <c r="K152" s="4"/>
      <c r="R152" s="6"/>
      <c r="S152" s="6"/>
      <c r="T152" s="6"/>
    </row>
    <row r="153" spans="1:20" ht="14.5" x14ac:dyDescent="0.35">
      <c r="A153" t="s">
        <v>950</v>
      </c>
      <c r="C153" s="2"/>
      <c r="D153" s="2"/>
      <c r="E153" s="2"/>
      <c r="F153" s="2"/>
      <c r="G153" s="3"/>
      <c r="H153" s="3"/>
      <c r="I153" s="3"/>
      <c r="J153" s="3"/>
      <c r="K153" s="4"/>
      <c r="R153" s="6"/>
      <c r="S153" s="6"/>
      <c r="T153" s="6"/>
    </row>
    <row r="154" spans="1:20" ht="14.5" x14ac:dyDescent="0.35">
      <c r="A154" t="s">
        <v>951</v>
      </c>
      <c r="C154" s="2"/>
      <c r="D154" s="2"/>
      <c r="E154" s="2"/>
      <c r="F154" s="2"/>
      <c r="G154" s="3"/>
      <c r="H154" s="3"/>
      <c r="I154" s="3"/>
      <c r="J154" s="3"/>
      <c r="K154" s="4"/>
      <c r="R154" s="6"/>
      <c r="S154" s="6"/>
      <c r="T154" s="6"/>
    </row>
    <row r="155" spans="1:20" ht="14.5" x14ac:dyDescent="0.35">
      <c r="A15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c r="C155" s="2"/>
      <c r="D155" s="2"/>
      <c r="E155" s="2"/>
      <c r="F155" s="2"/>
      <c r="G155" s="3"/>
      <c r="H155" s="3"/>
      <c r="I155" s="3"/>
      <c r="J155" s="3"/>
      <c r="K155" s="4"/>
      <c r="R155" s="6"/>
      <c r="S155" s="6"/>
      <c r="T155" s="6"/>
    </row>
    <row r="156" spans="1:20" ht="14.5" x14ac:dyDescent="0.35">
      <c r="A156" t="s">
        <v>952</v>
      </c>
      <c r="C156" s="2"/>
      <c r="D156" s="2"/>
      <c r="E156" s="2"/>
      <c r="F156" s="2"/>
      <c r="G156" s="3"/>
      <c r="H156" s="3"/>
      <c r="I156" s="3"/>
      <c r="J156" s="3"/>
      <c r="K156" s="4"/>
      <c r="R156" s="6"/>
      <c r="S156" s="6"/>
      <c r="T156" s="6"/>
    </row>
    <row r="157" spans="1:20" ht="14.5" x14ac:dyDescent="0.35">
      <c r="A157" t="s">
        <v>953</v>
      </c>
      <c r="C157" s="2"/>
      <c r="D157" s="2"/>
      <c r="E157" s="2"/>
      <c r="F157" s="2"/>
      <c r="G157" s="3"/>
      <c r="H157" s="3"/>
      <c r="I157" s="3"/>
      <c r="J157" s="3"/>
      <c r="K157" s="4"/>
      <c r="R157" s="6"/>
      <c r="S157" s="6"/>
      <c r="T157" s="6"/>
    </row>
    <row r="158" spans="1:20" ht="14.5" x14ac:dyDescent="0.35">
      <c r="A158" t="s">
        <v>994</v>
      </c>
      <c r="C158" s="2"/>
      <c r="D158" s="2"/>
      <c r="E158" s="2"/>
      <c r="F158" s="2"/>
      <c r="G158" s="3"/>
      <c r="H158" s="3"/>
      <c r="I158" s="3"/>
      <c r="J158" s="3"/>
      <c r="K158" s="4"/>
      <c r="R158" s="6"/>
      <c r="S158" s="6"/>
      <c r="T158" s="6"/>
    </row>
    <row r="159" spans="1:20" ht="14.5" x14ac:dyDescent="0.35">
      <c r="A159" t="str">
        <f>CONCATENATE("sql left outer join acrtrees t on t.client = u.client and u.dim_1 = t.cat_1 and t.att_agrid = '",$F$159,"'")</f>
        <v>sql left outer join acrtrees t on t.client = u.client and u.dim_1 = t.cat_1 and t.att_agrid = '53'</v>
      </c>
      <c r="C159" s="2"/>
      <c r="E159" s="2"/>
      <c r="F159" s="90">
        <v>53</v>
      </c>
      <c r="G159" s="11" t="s">
        <v>995</v>
      </c>
      <c r="H159" s="3"/>
      <c r="J159" s="3"/>
      <c r="K159" s="4"/>
      <c r="R159" s="6"/>
      <c r="S159" s="6"/>
      <c r="T159" s="6"/>
    </row>
    <row r="160" spans="1:20" ht="14.5" x14ac:dyDescent="0.35">
      <c r="A160" t="str">
        <f>CONCATENATE("sql left outer join acrtrees s on s.client = u.client and u.account = s.cat_1 and s.att_agrid = '",$F$160,"'")</f>
        <v>sql left outer join acrtrees s on s.client = u.client and u.account = s.cat_1 and s.att_agrid = '14'</v>
      </c>
      <c r="C160" s="2"/>
      <c r="E160" s="2"/>
      <c r="F160" s="90">
        <v>14</v>
      </c>
      <c r="G160" s="11" t="s">
        <v>996</v>
      </c>
      <c r="H160" s="3"/>
      <c r="J160" s="3"/>
      <c r="K160" s="4"/>
      <c r="R160" s="6"/>
      <c r="S160" s="6"/>
      <c r="T160" s="6"/>
    </row>
    <row r="161" spans="1:33" ht="14.5" x14ac:dyDescent="0.35">
      <c r="A161" t="str">
        <f>CONCATENATE("sql left outer join acrtrees v on v.client = u.client and u.account = v.cat_1 and v.att_agrid = '",$F$161,"'")</f>
        <v>sql left outer join acrtrees v on v.client = u.client and u.account = v.cat_1 and v.att_agrid = '17'</v>
      </c>
      <c r="C161" s="2"/>
      <c r="E161" s="2"/>
      <c r="F161" s="90">
        <v>17</v>
      </c>
      <c r="G161" s="11" t="s">
        <v>997</v>
      </c>
      <c r="H161" s="3"/>
      <c r="J161" s="3"/>
      <c r="K161" s="4"/>
      <c r="R161" s="6"/>
      <c r="S161" s="6"/>
      <c r="T161" s="6"/>
    </row>
    <row r="162" spans="1:33" ht="14.5" x14ac:dyDescent="0.35">
      <c r="A162" t="str">
        <f>CONCATENATE("sql left outer join agldescription d on d.client = u.client and d.dim_value = t.dim_c and d.attribute_id = '",$F$162,"'")</f>
        <v>sql left outer join agldescription d on d.client = u.client and d.dim_value = t.dim_c and d.attribute_id = '82'</v>
      </c>
      <c r="C162" s="2"/>
      <c r="E162" s="2"/>
      <c r="F162" s="90">
        <v>82</v>
      </c>
      <c r="G162" s="11" t="s">
        <v>998</v>
      </c>
      <c r="H162" s="3"/>
      <c r="J162" s="3"/>
      <c r="K162" s="4"/>
      <c r="R162" s="6"/>
      <c r="S162" s="6"/>
      <c r="T162" s="6"/>
    </row>
    <row r="163" spans="1:33" ht="14.5" x14ac:dyDescent="0.35">
      <c r="A163" t="str">
        <f>CONCATENATE("sql left outer join agldescription e on e.client = u.client and e.dim_value = t.dim_b and e.attribute_id = '",$F$163,"'")</f>
        <v>sql left outer join agldescription e on e.client = u.client and e.dim_value = t.dim_b and e.attribute_id = '81'</v>
      </c>
      <c r="C163" s="2"/>
      <c r="E163" s="2"/>
      <c r="F163" s="90">
        <v>81</v>
      </c>
      <c r="G163" s="11" t="s">
        <v>999</v>
      </c>
      <c r="H163" s="3"/>
      <c r="J163" s="3"/>
      <c r="K163" s="4"/>
      <c r="R163" s="6"/>
      <c r="S163" s="6"/>
      <c r="T163" s="6"/>
    </row>
    <row r="164" spans="1:33" ht="14.5" x14ac:dyDescent="0.35">
      <c r="A164" t="str">
        <f>CONCATENATE("sql left outer join agldescription f on f.client = u.client and f.dim_value = t.dim_e and f.attribute_id = '",$F$164,"'")</f>
        <v>sql left outer join agldescription f on f.client = u.client and f.dim_value = t.dim_e and f.attribute_id = '80'</v>
      </c>
      <c r="C164" s="2"/>
      <c r="E164" s="2"/>
      <c r="F164" s="90">
        <v>80</v>
      </c>
      <c r="G164" s="11" t="s">
        <v>1000</v>
      </c>
      <c r="H164" s="3"/>
      <c r="J164" s="3"/>
      <c r="K164" s="4"/>
      <c r="R164" s="6"/>
      <c r="S164" s="6"/>
      <c r="T164" s="6"/>
    </row>
    <row r="165" spans="1:33" ht="14.5" x14ac:dyDescent="0.35">
      <c r="A165" t="str">
        <f>CONCATENATE("sql left outer join agldescription g on g.client = u.client and g.dim_value = u.account and g.attribute_id = '",$F$165,"'")</f>
        <v>sql left outer join agldescription g on g.client = u.client and g.dim_value = u.account and g.attribute_id = 'A0'</v>
      </c>
      <c r="C165" s="2"/>
      <c r="E165" s="2"/>
      <c r="F165" s="736" t="s">
        <v>1001</v>
      </c>
      <c r="G165" s="737" t="s">
        <v>1002</v>
      </c>
      <c r="H165" s="3"/>
      <c r="J165" s="3"/>
      <c r="K165" s="4"/>
      <c r="R165" s="6"/>
      <c r="S165" s="6"/>
      <c r="T165" s="6"/>
    </row>
    <row r="166" spans="1:33" ht="14.5" x14ac:dyDescent="0.35">
      <c r="A166" s="67" t="s">
        <v>1003</v>
      </c>
      <c r="C166" s="2"/>
      <c r="E166" s="2"/>
      <c r="F166" s="2"/>
      <c r="G166" s="11" t="s">
        <v>1004</v>
      </c>
      <c r="H166" s="3"/>
      <c r="J166" s="3"/>
      <c r="K166" s="4"/>
      <c r="R166" s="6"/>
      <c r="S166" s="6"/>
      <c r="T166" s="6"/>
    </row>
    <row r="167" spans="1:33" ht="14.5" x14ac:dyDescent="0.35">
      <c r="A167" t="s">
        <v>1005</v>
      </c>
      <c r="C167" s="2"/>
      <c r="D167" s="2"/>
      <c r="E167" s="2"/>
      <c r="F167" s="2"/>
      <c r="G167" s="3"/>
      <c r="H167" s="3"/>
      <c r="I167" s="3"/>
      <c r="J167" s="3"/>
      <c r="K167" s="4"/>
      <c r="R167" s="6"/>
      <c r="S167" s="6"/>
      <c r="T167" s="6"/>
    </row>
    <row r="168" spans="1:33" ht="14.5" x14ac:dyDescent="0.35">
      <c r="A168" t="s">
        <v>1006</v>
      </c>
      <c r="C168" s="2"/>
      <c r="D168" s="2"/>
      <c r="E168" s="2"/>
      <c r="F168" s="2"/>
      <c r="G168" s="3"/>
      <c r="H168" s="3"/>
      <c r="I168" s="3"/>
      <c r="J168" s="3"/>
      <c r="K168" s="4"/>
      <c r="R168" s="6"/>
      <c r="S168" s="6"/>
      <c r="T168" s="6"/>
    </row>
    <row r="169" spans="1:33" ht="14.5" x14ac:dyDescent="0.35">
      <c r="A169" t="s">
        <v>1007</v>
      </c>
      <c r="C169" s="2"/>
      <c r="D169" s="2"/>
      <c r="E169" s="2"/>
      <c r="F169" s="2"/>
      <c r="G169" s="3"/>
      <c r="H169" s="3"/>
      <c r="I169" s="3"/>
      <c r="J169" s="3"/>
      <c r="K169" s="4"/>
      <c r="R169" s="6"/>
      <c r="S169" s="6"/>
      <c r="T169" s="6"/>
    </row>
    <row r="170" spans="1:33" ht="14.5" x14ac:dyDescent="0.35">
      <c r="A170" t="s">
        <v>232</v>
      </c>
      <c r="C170" s="12" t="s">
        <v>239</v>
      </c>
      <c r="D170" s="13">
        <f>_control!G2</f>
        <v>202501</v>
      </c>
      <c r="E170" s="842" t="str">
        <f>CONCATENATE(VLOOKUP(RIGHT(D170,2),$G$2:$H$16,2,FALSE)," ",LEFT(D170,4)+VLOOKUP(RIGHT(D170,2),$G$2:$J$16,4,FALSE))</f>
        <v>01 April 2024</v>
      </c>
      <c r="F170" s="843"/>
      <c r="G170" s="3"/>
      <c r="J170" s="2"/>
      <c r="K170" s="2"/>
      <c r="R170" s="6"/>
      <c r="S170" s="6"/>
      <c r="T170" s="6"/>
    </row>
    <row r="171" spans="1:33" ht="14.5" x14ac:dyDescent="0.35">
      <c r="A171" t="s">
        <v>232</v>
      </c>
      <c r="C171" s="12" t="s">
        <v>243</v>
      </c>
      <c r="D171" s="13">
        <f>_control!G3</f>
        <v>202506</v>
      </c>
      <c r="E171" s="842" t="str">
        <f>CONCATENATE(VLOOKUP(RIGHT(D171,2),$G$2:$I$16,3,FALSE)," ",LEFT(D171,4)+VLOOKUP(RIGHT(D171,2),$G$2:$J$16,4,FALSE))</f>
        <v>30 September 2024</v>
      </c>
      <c r="F171" s="843"/>
      <c r="G171" s="3"/>
      <c r="J171" s="2"/>
      <c r="K171" s="2"/>
      <c r="R171" s="6"/>
      <c r="S171" s="6"/>
      <c r="T171" s="6"/>
    </row>
    <row r="172" spans="1:33" ht="14.5" x14ac:dyDescent="0.35">
      <c r="A172" t="s">
        <v>232</v>
      </c>
      <c r="C172" s="12" t="s">
        <v>247</v>
      </c>
      <c r="D172" s="13" t="str">
        <f>_control!G4</f>
        <v>OX</v>
      </c>
      <c r="E172" s="14" t="str">
        <f>E175</f>
        <v>&lt;client_name&gt;</v>
      </c>
      <c r="F172" s="15"/>
      <c r="G172" s="3"/>
      <c r="J172" s="2"/>
      <c r="K172" s="2"/>
      <c r="R172" s="6"/>
      <c r="S172" s="6"/>
      <c r="T172" s="6"/>
    </row>
    <row r="173" spans="1:33" ht="14.5" x14ac:dyDescent="0.35">
      <c r="A173" t="s">
        <v>232</v>
      </c>
      <c r="C173" s="12" t="s">
        <v>253</v>
      </c>
      <c r="D173" s="16">
        <f>_control!G5</f>
        <v>45535</v>
      </c>
      <c r="E173" s="14"/>
      <c r="F173" s="15"/>
      <c r="G173" s="3"/>
      <c r="J173" s="2"/>
      <c r="K173" s="2"/>
      <c r="R173" s="6"/>
      <c r="S173" s="6"/>
      <c r="T173" s="6"/>
    </row>
    <row r="174" spans="1:33" ht="14.5" x14ac:dyDescent="0.35">
      <c r="A174" t="s">
        <v>232</v>
      </c>
      <c r="C174" s="12" t="s">
        <v>257</v>
      </c>
      <c r="D174" s="16">
        <f>_control!G6</f>
        <v>45579</v>
      </c>
      <c r="E174" s="14"/>
      <c r="F174" s="15"/>
      <c r="G174" s="3"/>
      <c r="J174" s="2"/>
      <c r="K174" s="2"/>
      <c r="R174" s="6"/>
      <c r="S174" s="6"/>
      <c r="T174" s="6"/>
    </row>
    <row r="175" spans="1:33" s="6" customFormat="1" ht="18.5" thickBot="1" x14ac:dyDescent="0.45">
      <c r="A175" s="6" t="s">
        <v>1008</v>
      </c>
      <c r="C175" s="17"/>
      <c r="E175" s="18" t="s">
        <v>1009</v>
      </c>
      <c r="G175" s="17"/>
    </row>
    <row r="176" spans="1:33" ht="72" customHeight="1" thickBot="1" x14ac:dyDescent="0.3">
      <c r="C176" s="28" t="str">
        <f>_control!F9</f>
        <v>General Fund Outturn Report 24/25 @ 30 September 2024</v>
      </c>
      <c r="D176" s="48" t="s">
        <v>2</v>
      </c>
      <c r="E176" s="48" t="s">
        <v>3</v>
      </c>
      <c r="F176" s="49" t="s">
        <v>4</v>
      </c>
      <c r="G176" s="49" t="s">
        <v>5</v>
      </c>
      <c r="H176" s="49" t="s">
        <v>6</v>
      </c>
      <c r="I176" s="49" t="s">
        <v>7</v>
      </c>
      <c r="J176" s="49" t="s">
        <v>8</v>
      </c>
      <c r="K176" s="49" t="s">
        <v>9</v>
      </c>
      <c r="L176" s="49" t="s">
        <v>10</v>
      </c>
      <c r="M176" s="48" t="s">
        <v>11</v>
      </c>
      <c r="N176" s="48" t="s">
        <v>12</v>
      </c>
      <c r="O176" s="48" t="s">
        <v>13</v>
      </c>
      <c r="P176" s="48" t="s">
        <v>14</v>
      </c>
      <c r="Q176" s="48" t="s">
        <v>15</v>
      </c>
      <c r="R176" s="48" t="s">
        <v>16</v>
      </c>
      <c r="S176" s="48" t="s">
        <v>17</v>
      </c>
      <c r="T176" s="48" t="s">
        <v>18</v>
      </c>
      <c r="U176" s="48" t="s">
        <v>19</v>
      </c>
      <c r="V176" s="48" t="s">
        <v>20</v>
      </c>
      <c r="W176" s="48" t="s">
        <v>24</v>
      </c>
      <c r="X176" s="48" t="s">
        <v>25</v>
      </c>
      <c r="Y176" s="48" t="s">
        <v>26</v>
      </c>
      <c r="Z176" s="48" t="s">
        <v>27</v>
      </c>
      <c r="AA176" s="48" t="s">
        <v>28</v>
      </c>
      <c r="AB176" s="60"/>
      <c r="AC176" s="48" t="s">
        <v>29</v>
      </c>
      <c r="AD176" s="48" t="s">
        <v>30</v>
      </c>
      <c r="AE176" s="48" t="s">
        <v>31</v>
      </c>
      <c r="AF176" s="48" t="s">
        <v>32</v>
      </c>
      <c r="AG176" s="48" t="s">
        <v>33</v>
      </c>
    </row>
    <row r="177" spans="1:33" ht="21" x14ac:dyDescent="0.5">
      <c r="C177" s="47"/>
      <c r="D177" s="55" t="s">
        <v>34</v>
      </c>
      <c r="E177" s="55" t="s">
        <v>34</v>
      </c>
      <c r="F177" s="56" t="s">
        <v>34</v>
      </c>
      <c r="G177" s="56" t="s">
        <v>34</v>
      </c>
      <c r="H177" s="56" t="s">
        <v>34</v>
      </c>
      <c r="I177" s="56" t="s">
        <v>34</v>
      </c>
      <c r="J177" s="56" t="s">
        <v>34</v>
      </c>
      <c r="K177" s="56" t="s">
        <v>34</v>
      </c>
      <c r="L177" s="56" t="s">
        <v>34</v>
      </c>
      <c r="M177" s="55" t="s">
        <v>34</v>
      </c>
      <c r="N177" s="55" t="s">
        <v>34</v>
      </c>
      <c r="O177" s="55" t="s">
        <v>34</v>
      </c>
      <c r="P177" s="55" t="s">
        <v>34</v>
      </c>
      <c r="Q177" s="55" t="s">
        <v>34</v>
      </c>
      <c r="R177" s="55" t="s">
        <v>34</v>
      </c>
      <c r="S177" s="55" t="s">
        <v>34</v>
      </c>
      <c r="T177" s="55" t="s">
        <v>34</v>
      </c>
      <c r="U177" s="55" t="s">
        <v>35</v>
      </c>
      <c r="V177" s="55" t="s">
        <v>34</v>
      </c>
      <c r="W177" s="55" t="s">
        <v>34</v>
      </c>
      <c r="X177" s="55" t="s">
        <v>34</v>
      </c>
      <c r="Y177" s="55" t="s">
        <v>34</v>
      </c>
      <c r="Z177" s="55" t="s">
        <v>34</v>
      </c>
      <c r="AA177" s="26" t="s">
        <v>34</v>
      </c>
      <c r="AB177" s="60"/>
      <c r="AC177" s="96" t="s">
        <v>34</v>
      </c>
      <c r="AD177" s="55" t="s">
        <v>34</v>
      </c>
      <c r="AE177" s="55" t="s">
        <v>34</v>
      </c>
      <c r="AF177" s="55" t="s">
        <v>34</v>
      </c>
      <c r="AG177" s="97" t="s">
        <v>34</v>
      </c>
    </row>
    <row r="178" spans="1:33" ht="13" x14ac:dyDescent="0.3">
      <c r="A178" t="s">
        <v>1010</v>
      </c>
      <c r="C178" s="29" t="s">
        <v>1011</v>
      </c>
      <c r="D178" s="36"/>
      <c r="E178" s="36"/>
      <c r="F178" s="22"/>
      <c r="G178" s="22"/>
      <c r="H178" s="22"/>
      <c r="I178" s="22"/>
      <c r="J178" s="22"/>
      <c r="K178" s="22"/>
      <c r="L178" s="22"/>
      <c r="M178" s="36"/>
      <c r="N178" s="36"/>
      <c r="O178" s="36"/>
      <c r="P178" s="36"/>
      <c r="Q178" s="36"/>
      <c r="R178" s="36"/>
      <c r="S178" s="36"/>
      <c r="T178" s="36"/>
      <c r="U178" s="36"/>
      <c r="V178" s="58"/>
      <c r="W178" s="36"/>
      <c r="X178" s="36"/>
      <c r="Y178" s="36"/>
      <c r="Z178" s="36"/>
      <c r="AA178" s="40"/>
      <c r="AB178" s="60"/>
      <c r="AC178" s="98"/>
      <c r="AD178" s="36"/>
      <c r="AE178" s="36"/>
      <c r="AF178" s="36"/>
      <c r="AG178" s="99"/>
    </row>
    <row r="179" spans="1:33" ht="13" x14ac:dyDescent="0.3">
      <c r="C179" s="29"/>
      <c r="D179" s="36"/>
      <c r="E179" s="36"/>
      <c r="F179" s="22"/>
      <c r="G179" s="22"/>
      <c r="H179" s="22"/>
      <c r="I179" s="22"/>
      <c r="J179" s="22"/>
      <c r="K179" s="22"/>
      <c r="L179" s="22"/>
      <c r="M179" s="36"/>
      <c r="N179" s="36"/>
      <c r="O179" s="36"/>
      <c r="P179" s="36"/>
      <c r="Q179" s="36"/>
      <c r="R179" s="36"/>
      <c r="S179" s="36"/>
      <c r="T179" s="36"/>
      <c r="U179" s="36"/>
      <c r="V179" s="58"/>
      <c r="W179" s="36"/>
      <c r="X179" s="36"/>
      <c r="Y179" s="36"/>
      <c r="Z179" s="36"/>
      <c r="AA179" s="40"/>
      <c r="AB179" s="60"/>
      <c r="AC179" s="98"/>
      <c r="AD179" s="36"/>
      <c r="AE179" s="36"/>
      <c r="AF179" s="36"/>
      <c r="AG179" s="99"/>
    </row>
    <row r="180" spans="1:33" ht="13" x14ac:dyDescent="0.3">
      <c r="A180" t="s">
        <v>1012</v>
      </c>
      <c r="C180" s="29"/>
      <c r="D180" s="36">
        <v>1000</v>
      </c>
      <c r="E180" s="36">
        <v>1000</v>
      </c>
      <c r="F180" s="22">
        <v>1000</v>
      </c>
      <c r="G180" s="22">
        <v>1000</v>
      </c>
      <c r="H180" s="22">
        <v>1000</v>
      </c>
      <c r="I180" s="22">
        <v>1000</v>
      </c>
      <c r="J180" s="22">
        <v>1000</v>
      </c>
      <c r="K180" s="22">
        <v>1000</v>
      </c>
      <c r="L180" s="22"/>
      <c r="M180" s="36"/>
      <c r="N180" s="36"/>
      <c r="O180" s="36">
        <v>1000</v>
      </c>
      <c r="P180" s="36">
        <v>1000</v>
      </c>
      <c r="Q180" s="36">
        <v>1000</v>
      </c>
      <c r="R180" s="36">
        <v>1000</v>
      </c>
      <c r="S180" s="36">
        <v>1000</v>
      </c>
      <c r="T180" s="36"/>
      <c r="U180" s="36"/>
      <c r="V180" s="58"/>
      <c r="W180" s="36">
        <v>1000</v>
      </c>
      <c r="X180" s="36">
        <v>1000</v>
      </c>
      <c r="Y180" s="36"/>
      <c r="Z180" s="36"/>
      <c r="AA180" s="40"/>
      <c r="AB180" s="60"/>
      <c r="AC180" s="98"/>
      <c r="AD180" s="36"/>
      <c r="AE180" s="36"/>
      <c r="AF180" s="36"/>
      <c r="AG180" s="99"/>
    </row>
    <row r="181" spans="1:33" ht="13" x14ac:dyDescent="0.3">
      <c r="A181" s="7" t="s">
        <v>1013</v>
      </c>
      <c r="C181" s="29"/>
      <c r="D181" s="36">
        <v>0</v>
      </c>
      <c r="E181" s="36">
        <v>0</v>
      </c>
      <c r="F181" s="22">
        <v>0</v>
      </c>
      <c r="G181" s="22">
        <v>0</v>
      </c>
      <c r="H181" s="22">
        <v>0</v>
      </c>
      <c r="I181" s="22">
        <v>0</v>
      </c>
      <c r="J181" s="22">
        <v>0</v>
      </c>
      <c r="K181" s="22">
        <v>0</v>
      </c>
      <c r="L181" s="22"/>
      <c r="M181" s="36"/>
      <c r="N181" s="36"/>
      <c r="O181" s="36">
        <v>0</v>
      </c>
      <c r="P181" s="36">
        <v>0</v>
      </c>
      <c r="Q181" s="36">
        <v>0</v>
      </c>
      <c r="R181" s="36">
        <v>0</v>
      </c>
      <c r="S181" s="36">
        <v>0</v>
      </c>
      <c r="T181" s="36"/>
      <c r="U181" s="36"/>
      <c r="V181" s="58"/>
      <c r="W181" s="36">
        <v>0</v>
      </c>
      <c r="X181" s="36">
        <v>0</v>
      </c>
      <c r="Y181" s="36"/>
      <c r="Z181" s="36"/>
      <c r="AA181" s="40"/>
      <c r="AB181" s="60"/>
      <c r="AC181" s="98"/>
      <c r="AD181" s="36"/>
      <c r="AE181" s="36"/>
      <c r="AF181" s="36"/>
      <c r="AG181" s="99"/>
    </row>
    <row r="182" spans="1:33" ht="13" x14ac:dyDescent="0.3">
      <c r="A182" t="s">
        <v>1014</v>
      </c>
      <c r="C182" s="30"/>
      <c r="D182" s="36"/>
      <c r="E182" s="36"/>
      <c r="F182" s="57"/>
      <c r="G182" s="57"/>
      <c r="H182" s="57"/>
      <c r="I182" s="57"/>
      <c r="J182" s="57"/>
      <c r="K182" s="57"/>
      <c r="L182" s="57"/>
      <c r="M182" s="36"/>
      <c r="N182" s="36"/>
      <c r="O182" s="36"/>
      <c r="P182" s="36" t="s">
        <v>1015</v>
      </c>
      <c r="Q182" s="36" t="s">
        <v>1016</v>
      </c>
      <c r="R182" s="36"/>
      <c r="S182" s="36"/>
      <c r="T182" s="36"/>
      <c r="U182" s="36"/>
      <c r="V182" s="58"/>
      <c r="W182" s="36"/>
      <c r="X182" s="36"/>
      <c r="Y182" s="36"/>
      <c r="Z182" s="36"/>
      <c r="AA182" s="40"/>
      <c r="AB182" s="60"/>
      <c r="AC182" s="98"/>
      <c r="AD182" s="36"/>
      <c r="AE182" s="36"/>
      <c r="AF182" s="36"/>
      <c r="AG182" s="99"/>
    </row>
    <row r="183" spans="1:33" ht="13" x14ac:dyDescent="0.3">
      <c r="A183" t="s">
        <v>1017</v>
      </c>
      <c r="C183" s="31" t="s">
        <v>1018</v>
      </c>
      <c r="D183" s="36" t="s">
        <v>1019</v>
      </c>
      <c r="E183" s="36" t="s">
        <v>1020</v>
      </c>
      <c r="F183" s="22" t="s">
        <v>1021</v>
      </c>
      <c r="G183" s="22" t="s">
        <v>1022</v>
      </c>
      <c r="H183" s="22" t="s">
        <v>1023</v>
      </c>
      <c r="I183" s="22" t="s">
        <v>1024</v>
      </c>
      <c r="J183" s="22" t="s">
        <v>1025</v>
      </c>
      <c r="K183" s="22" t="s">
        <v>1026</v>
      </c>
      <c r="L183" s="22"/>
      <c r="M183" s="36"/>
      <c r="N183" s="36"/>
      <c r="O183" s="36" t="s">
        <v>1027</v>
      </c>
      <c r="P183" s="36" t="s">
        <v>1028</v>
      </c>
      <c r="Q183" s="36" t="s">
        <v>1028</v>
      </c>
      <c r="R183" s="36" t="s">
        <v>1028</v>
      </c>
      <c r="S183" s="36" t="s">
        <v>1029</v>
      </c>
      <c r="T183" s="36"/>
      <c r="U183" s="36"/>
      <c r="V183" s="58"/>
      <c r="W183" s="36" t="s">
        <v>1030</v>
      </c>
      <c r="X183" s="36" t="s">
        <v>1031</v>
      </c>
      <c r="Y183" s="36"/>
      <c r="Z183" s="36"/>
      <c r="AA183" s="40"/>
      <c r="AB183" s="60"/>
      <c r="AC183" s="98"/>
      <c r="AD183" s="36"/>
      <c r="AE183" s="36"/>
      <c r="AF183" s="36"/>
      <c r="AG183" s="99"/>
    </row>
    <row r="184" spans="1:33" ht="13" x14ac:dyDescent="0.3">
      <c r="A184" s="6" t="s">
        <v>1032</v>
      </c>
      <c r="C184" s="30"/>
      <c r="D184" s="33"/>
      <c r="E184" s="33"/>
      <c r="F184" s="23"/>
      <c r="G184" s="23"/>
      <c r="H184" s="23"/>
      <c r="I184" s="23"/>
      <c r="J184" s="23"/>
      <c r="K184" s="23"/>
      <c r="L184" s="23"/>
      <c r="M184" s="33"/>
      <c r="N184" s="33"/>
      <c r="O184" s="33"/>
      <c r="P184" s="33"/>
      <c r="Q184" s="33"/>
      <c r="R184" s="33"/>
      <c r="S184" s="33"/>
      <c r="T184" s="33"/>
      <c r="U184" s="36"/>
      <c r="V184" s="59"/>
      <c r="W184" s="33"/>
      <c r="X184" s="33"/>
      <c r="Y184" s="33"/>
      <c r="Z184" s="33"/>
      <c r="AA184" s="42"/>
      <c r="AB184" s="60"/>
      <c r="AC184" s="100"/>
      <c r="AD184" s="33"/>
      <c r="AE184" s="33"/>
      <c r="AF184" s="33"/>
      <c r="AG184" s="101"/>
    </row>
    <row r="185" spans="1:33" ht="13" x14ac:dyDescent="0.3">
      <c r="A185" t="s">
        <v>1033</v>
      </c>
      <c r="C185" s="31">
        <v>0</v>
      </c>
      <c r="D185" s="33">
        <v>0</v>
      </c>
      <c r="E185" s="33">
        <v>0</v>
      </c>
      <c r="F185" s="23"/>
      <c r="G185" s="23"/>
      <c r="H185" s="23"/>
      <c r="I185" s="23"/>
      <c r="J185" s="23"/>
      <c r="K185" s="23"/>
      <c r="L185" s="23">
        <f>SUM(F185:K185)</f>
        <v>0</v>
      </c>
      <c r="M185" s="33">
        <f>O185-E185</f>
        <v>0</v>
      </c>
      <c r="N185" s="33">
        <f>O185-D185</f>
        <v>0</v>
      </c>
      <c r="O185" s="33">
        <v>0</v>
      </c>
      <c r="P185" s="33">
        <v>0</v>
      </c>
      <c r="Q185" s="33">
        <v>0</v>
      </c>
      <c r="R185" s="33">
        <v>0</v>
      </c>
      <c r="S185" s="33">
        <v>0</v>
      </c>
      <c r="T185" s="33">
        <f>R185-S185</f>
        <v>0</v>
      </c>
      <c r="U185" s="38" t="str">
        <f>IFERROR((R185/O185)*100%,"∞")</f>
        <v>∞</v>
      </c>
      <c r="V185" s="59">
        <f>O185+W185</f>
        <v>0</v>
      </c>
      <c r="W185" s="33">
        <v>0</v>
      </c>
      <c r="X185" s="33">
        <v>0</v>
      </c>
      <c r="Y185" s="33"/>
      <c r="Z185" s="33"/>
      <c r="AA185" s="42"/>
      <c r="AB185" s="60"/>
      <c r="AC185" s="105"/>
      <c r="AD185" s="93"/>
      <c r="AE185" s="33">
        <f>SUM(AC185:AD185)</f>
        <v>0</v>
      </c>
      <c r="AF185" s="33">
        <f>R185+AE185</f>
        <v>0</v>
      </c>
      <c r="AG185" s="101">
        <f>AF185-O185</f>
        <v>0</v>
      </c>
    </row>
    <row r="186" spans="1:33" ht="13" x14ac:dyDescent="0.3">
      <c r="A186" t="s">
        <v>1034</v>
      </c>
      <c r="C186" s="32" t="s">
        <v>1035</v>
      </c>
      <c r="D186" s="34"/>
      <c r="E186" s="34"/>
      <c r="F186" s="24"/>
      <c r="G186" s="24"/>
      <c r="H186" s="24"/>
      <c r="I186" s="24"/>
      <c r="J186" s="24"/>
      <c r="K186" s="24"/>
      <c r="L186" s="24">
        <f>SUM(F186:K186)</f>
        <v>0</v>
      </c>
      <c r="M186" s="34">
        <f t="shared" ref="M186:M187" si="0">O186-E186</f>
        <v>0</v>
      </c>
      <c r="N186" s="34">
        <f t="shared" ref="N186:N187" si="1">O186-D186</f>
        <v>0</v>
      </c>
      <c r="O186" s="34"/>
      <c r="P186" s="34"/>
      <c r="Q186" s="34"/>
      <c r="R186" s="34"/>
      <c r="S186" s="34"/>
      <c r="T186" s="34">
        <f>R186-S186</f>
        <v>0</v>
      </c>
      <c r="U186" s="38" t="str">
        <f>IFERROR((R186/O186)*100%,"∞")</f>
        <v>∞</v>
      </c>
      <c r="V186" s="59">
        <f>O186+W186</f>
        <v>0</v>
      </c>
      <c r="W186" s="34"/>
      <c r="X186" s="34"/>
      <c r="Y186" s="34"/>
      <c r="Z186" s="34"/>
      <c r="AA186" s="41"/>
      <c r="AB186" s="60"/>
      <c r="AC186" s="102">
        <f>SUBTOTAL(9,AC183:AC185)</f>
        <v>0</v>
      </c>
      <c r="AD186" s="34">
        <f>SUBTOTAL(9,AD183:AD185)</f>
        <v>0</v>
      </c>
      <c r="AE186" s="34"/>
      <c r="AF186" s="34"/>
      <c r="AG186" s="103"/>
    </row>
    <row r="187" spans="1:33" ht="13.5" thickBot="1" x14ac:dyDescent="0.35">
      <c r="A187" s="7" t="s">
        <v>1036</v>
      </c>
      <c r="C187" s="53" t="s">
        <v>1037</v>
      </c>
      <c r="D187" s="35"/>
      <c r="E187" s="35"/>
      <c r="F187" s="25"/>
      <c r="G187" s="25"/>
      <c r="H187" s="25"/>
      <c r="I187" s="25"/>
      <c r="J187" s="25"/>
      <c r="K187" s="25"/>
      <c r="L187" s="25">
        <f>SUM(F187:K187)</f>
        <v>0</v>
      </c>
      <c r="M187" s="35">
        <f t="shared" si="0"/>
        <v>0</v>
      </c>
      <c r="N187" s="35">
        <f t="shared" si="1"/>
        <v>0</v>
      </c>
      <c r="O187" s="35"/>
      <c r="P187" s="35"/>
      <c r="Q187" s="35"/>
      <c r="R187" s="35"/>
      <c r="S187" s="35"/>
      <c r="T187" s="35">
        <f>R187-S187</f>
        <v>0</v>
      </c>
      <c r="U187" s="39" t="str">
        <f>IFERROR((R187/O187)*100%,"∞")</f>
        <v>∞</v>
      </c>
      <c r="V187" s="54">
        <f>O187+W187</f>
        <v>0</v>
      </c>
      <c r="W187" s="35"/>
      <c r="X187" s="35"/>
      <c r="Y187" s="35"/>
      <c r="Z187" s="35"/>
      <c r="AA187" s="43"/>
      <c r="AB187" s="60"/>
      <c r="AC187" s="104">
        <f>SUBTOTAL(9,AC183:AC186)</f>
        <v>0</v>
      </c>
      <c r="AD187" s="104">
        <f>SUBTOTAL(9,AD183:AD186)</f>
        <v>0</v>
      </c>
      <c r="AE187" s="35">
        <f>SUM(AC187:AD187)</f>
        <v>0</v>
      </c>
      <c r="AF187" s="35">
        <f>R187+AE187</f>
        <v>0</v>
      </c>
      <c r="AG187" s="43">
        <f>AF187-O187</f>
        <v>0</v>
      </c>
    </row>
    <row r="188" spans="1:33" ht="14" thickTop="1" thickBot="1" x14ac:dyDescent="0.35">
      <c r="C188" s="61"/>
      <c r="D188" s="62"/>
      <c r="E188" s="62"/>
      <c r="F188" s="65"/>
      <c r="G188" s="65"/>
      <c r="H188" s="65"/>
      <c r="I188" s="65"/>
      <c r="J188" s="65"/>
      <c r="K188" s="65"/>
      <c r="L188" s="65"/>
      <c r="M188" s="62"/>
      <c r="N188" s="62"/>
      <c r="O188" s="62"/>
      <c r="P188" s="62"/>
      <c r="Q188" s="62"/>
      <c r="R188" s="62"/>
      <c r="S188" s="62"/>
      <c r="T188" s="62"/>
      <c r="U188" s="62"/>
      <c r="V188" s="64"/>
      <c r="W188" s="62"/>
      <c r="X188" s="62"/>
      <c r="Y188" s="62"/>
      <c r="Z188" s="62"/>
      <c r="AA188" s="63"/>
      <c r="AB188" s="60"/>
      <c r="AC188" s="61"/>
      <c r="AD188" s="62"/>
      <c r="AE188" s="62"/>
      <c r="AF188" s="62"/>
      <c r="AG188" s="63"/>
    </row>
    <row r="189" spans="1:33" ht="13.5" thickBot="1" x14ac:dyDescent="0.35">
      <c r="C189" s="50" t="s">
        <v>116</v>
      </c>
      <c r="D189" s="51">
        <f t="shared" ref="D189:K189" si="2">SUBTOTAL(9,D183:D188)</f>
        <v>0</v>
      </c>
      <c r="E189" s="51">
        <f t="shared" si="2"/>
        <v>0</v>
      </c>
      <c r="F189" s="51">
        <f t="shared" si="2"/>
        <v>0</v>
      </c>
      <c r="G189" s="51">
        <f t="shared" si="2"/>
        <v>0</v>
      </c>
      <c r="H189" s="51">
        <f t="shared" si="2"/>
        <v>0</v>
      </c>
      <c r="I189" s="51">
        <f t="shared" si="2"/>
        <v>0</v>
      </c>
      <c r="J189" s="51">
        <f t="shared" si="2"/>
        <v>0</v>
      </c>
      <c r="K189" s="51">
        <f t="shared" si="2"/>
        <v>0</v>
      </c>
      <c r="L189" s="51">
        <f>SUM(F189:K189)</f>
        <v>0</v>
      </c>
      <c r="M189" s="51">
        <f>O189-E189</f>
        <v>0</v>
      </c>
      <c r="N189" s="51">
        <f>O189-D189</f>
        <v>0</v>
      </c>
      <c r="O189" s="51">
        <f>SUBTOTAL(9,O183:O188)</f>
        <v>0</v>
      </c>
      <c r="P189" s="51">
        <f>SUBTOTAL(9,P183:P188)</f>
        <v>0</v>
      </c>
      <c r="Q189" s="51">
        <f>SUBTOTAL(9,Q183:Q188)</f>
        <v>0</v>
      </c>
      <c r="R189" s="51">
        <f>SUBTOTAL(9,R183:R188)</f>
        <v>0</v>
      </c>
      <c r="S189" s="51">
        <f>SUBTOTAL(9,S183:S188)</f>
        <v>0</v>
      </c>
      <c r="T189" s="51">
        <f>R189-S189</f>
        <v>0</v>
      </c>
      <c r="U189" s="52" t="str">
        <f>IFERROR((R189/O189)*100%,"∞")</f>
        <v>∞</v>
      </c>
      <c r="V189" s="51">
        <f>O189+W189</f>
        <v>0</v>
      </c>
      <c r="W189" s="51">
        <f>SUBTOTAL(9,W183:W188)</f>
        <v>0</v>
      </c>
      <c r="X189" s="51">
        <f>SUBTOTAL(9,X183:X188)</f>
        <v>0</v>
      </c>
      <c r="Y189" s="51">
        <f>SUBTOTAL(9,Y183:Y188)</f>
        <v>0</v>
      </c>
      <c r="Z189" s="51">
        <f>SUBTOTAL(9,Z183:Z188)</f>
        <v>0</v>
      </c>
      <c r="AA189" s="51">
        <f>SUBTOTAL(9,AA183:AA188)</f>
        <v>0</v>
      </c>
      <c r="AB189" s="60"/>
      <c r="AC189" s="51">
        <f>SUBTOTAL(9,AC183:AC188)</f>
        <v>0</v>
      </c>
      <c r="AD189" s="51">
        <f>SUBTOTAL(9,AD183:AD188)</f>
        <v>0</v>
      </c>
      <c r="AE189" s="51">
        <f>SUM(AC189:AD189)</f>
        <v>0</v>
      </c>
      <c r="AF189" s="51">
        <f>R189+AE189</f>
        <v>0</v>
      </c>
      <c r="AG189" s="51">
        <f>AF189-O189</f>
        <v>0</v>
      </c>
    </row>
    <row r="190" spans="1:33" ht="13.5" thickTop="1" x14ac:dyDescent="0.3">
      <c r="C190" s="71"/>
      <c r="D190" s="72"/>
      <c r="E190" s="72"/>
      <c r="F190" s="73"/>
      <c r="G190" s="73"/>
      <c r="H190" s="73"/>
      <c r="I190" s="73"/>
      <c r="J190" s="73"/>
      <c r="K190" s="73"/>
      <c r="L190" s="73"/>
      <c r="M190" s="72"/>
      <c r="N190" s="72"/>
      <c r="O190" s="72"/>
      <c r="P190" s="72"/>
      <c r="Q190" s="72"/>
      <c r="R190" s="72"/>
      <c r="S190" s="72"/>
      <c r="T190" s="72"/>
      <c r="U190" s="72"/>
      <c r="V190" s="74"/>
      <c r="W190" s="72"/>
      <c r="X190" s="72"/>
      <c r="Y190" s="72"/>
      <c r="Z190" s="72"/>
      <c r="AA190" s="75"/>
      <c r="AB190" s="60"/>
      <c r="AC190" s="71"/>
      <c r="AD190" s="72"/>
      <c r="AE190" s="72"/>
      <c r="AF190" s="72"/>
      <c r="AG190" s="75"/>
    </row>
    <row r="191" spans="1:33" ht="13" outlineLevel="1" x14ac:dyDescent="0.3">
      <c r="A191" s="20" t="s">
        <v>1038</v>
      </c>
    </row>
    <row r="192" spans="1:33" outlineLevel="1" x14ac:dyDescent="0.25">
      <c r="A192" t="s">
        <v>944</v>
      </c>
      <c r="M192" s="19"/>
      <c r="N192" s="19"/>
    </row>
    <row r="193" spans="1:6" outlineLevel="1" x14ac:dyDescent="0.25">
      <c r="A193" t="s">
        <v>946</v>
      </c>
      <c r="E193" s="19"/>
    </row>
    <row r="194" spans="1:6" outlineLevel="1" x14ac:dyDescent="0.25">
      <c r="A194" t="s">
        <v>947</v>
      </c>
      <c r="E194" s="19"/>
      <c r="F194" s="19"/>
    </row>
    <row r="195" spans="1:6" ht="13" outlineLevel="1" x14ac:dyDescent="0.3">
      <c r="A195" s="20" t="s">
        <v>948</v>
      </c>
    </row>
    <row r="196" spans="1:6" outlineLevel="1" x14ac:dyDescent="0.25">
      <c r="A196" s="7" t="s">
        <v>949</v>
      </c>
    </row>
    <row r="197" spans="1:6" outlineLevel="1" x14ac:dyDescent="0.25">
      <c r="A197" t="s">
        <v>950</v>
      </c>
    </row>
    <row r="198" spans="1:6" outlineLevel="1" x14ac:dyDescent="0.25">
      <c r="A198" t="s">
        <v>951</v>
      </c>
    </row>
    <row r="199" spans="1:6" ht="13" outlineLevel="1" x14ac:dyDescent="0.3">
      <c r="A199" s="21" t="str">
        <f>CONCATENATE("sql where a.client = '",$D$172,"' and a.period between '",LEFT($D$170,4),"00' and '",LEFT($D$171,4),"14' and a.version like '%ORIG%'")</f>
        <v>sql where a.client = 'OX' and a.period between '202500' and '202514' and a.version like '%ORIG%'</v>
      </c>
    </row>
    <row r="200" spans="1:6" outlineLevel="1" x14ac:dyDescent="0.25">
      <c r="A200" t="s">
        <v>952</v>
      </c>
    </row>
    <row r="201" spans="1:6" outlineLevel="1" x14ac:dyDescent="0.25">
      <c r="A201" t="s">
        <v>953</v>
      </c>
    </row>
    <row r="202" spans="1:6" outlineLevel="1" x14ac:dyDescent="0.25">
      <c r="A202" t="s">
        <v>954</v>
      </c>
    </row>
    <row r="203" spans="1:6" ht="13" outlineLevel="1" x14ac:dyDescent="0.3">
      <c r="A203" s="20" t="s">
        <v>955</v>
      </c>
    </row>
    <row r="204" spans="1:6" outlineLevel="1" x14ac:dyDescent="0.25">
      <c r="A204" s="7" t="s">
        <v>956</v>
      </c>
    </row>
    <row r="205" spans="1:6" outlineLevel="1" x14ac:dyDescent="0.25">
      <c r="A205" t="s">
        <v>950</v>
      </c>
    </row>
    <row r="206" spans="1:6" outlineLevel="1" x14ac:dyDescent="0.25">
      <c r="A206" t="s">
        <v>951</v>
      </c>
    </row>
    <row r="207" spans="1:6" ht="14.5" outlineLevel="1" x14ac:dyDescent="0.35">
      <c r="A20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07" s="2"/>
    </row>
    <row r="208" spans="1:6" outlineLevel="1" x14ac:dyDescent="0.25">
      <c r="A208" t="s">
        <v>952</v>
      </c>
    </row>
    <row r="209" spans="1:1" outlineLevel="1" x14ac:dyDescent="0.25">
      <c r="A209" t="s">
        <v>953</v>
      </c>
    </row>
    <row r="210" spans="1:1" outlineLevel="1" x14ac:dyDescent="0.25">
      <c r="A210" t="s">
        <v>954</v>
      </c>
    </row>
    <row r="211" spans="1:1" ht="13" outlineLevel="1" x14ac:dyDescent="0.3">
      <c r="A211" s="66" t="s">
        <v>957</v>
      </c>
    </row>
    <row r="212" spans="1:1" outlineLevel="1" x14ac:dyDescent="0.25">
      <c r="A212" t="s">
        <v>958</v>
      </c>
    </row>
    <row r="213" spans="1:1" outlineLevel="1" x14ac:dyDescent="0.25">
      <c r="A213" t="s">
        <v>950</v>
      </c>
    </row>
    <row r="214" spans="1:1" ht="13" outlineLevel="1" x14ac:dyDescent="0.3">
      <c r="A21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15" spans="1:1" ht="13" outlineLevel="1" x14ac:dyDescent="0.3">
      <c r="A215" s="21" t="s">
        <v>959</v>
      </c>
    </row>
    <row r="216" spans="1:1" outlineLevel="1" x14ac:dyDescent="0.25">
      <c r="A216" t="s">
        <v>960</v>
      </c>
    </row>
    <row r="217" spans="1:1" outlineLevel="1" x14ac:dyDescent="0.25">
      <c r="A217" t="s">
        <v>961</v>
      </c>
    </row>
    <row r="218" spans="1:1" outlineLevel="1" x14ac:dyDescent="0.25">
      <c r="A218" t="str">
        <f>CONCATENATE("sql left outer join acrtrees t on t.client = x.client and x.dim_1 = t.cat_1 and t.att_agrid = '",$F$159,"'")</f>
        <v>sql left outer join acrtrees t on t.client = x.client and x.dim_1 = t.cat_1 and t.att_agrid = '53'</v>
      </c>
    </row>
    <row r="219" spans="1:1" ht="13" outlineLevel="1" x14ac:dyDescent="0.3">
      <c r="A21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20" spans="1:1" ht="13" outlineLevel="1" x14ac:dyDescent="0.3">
      <c r="A220" s="21" t="s">
        <v>962</v>
      </c>
    </row>
    <row r="221" spans="1:1" ht="13" outlineLevel="1" x14ac:dyDescent="0.3">
      <c r="A22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22" spans="1:1" ht="13" outlineLevel="1" x14ac:dyDescent="0.3">
      <c r="A222" s="21" t="s">
        <v>963</v>
      </c>
    </row>
    <row r="223" spans="1:1" outlineLevel="1" x14ac:dyDescent="0.25">
      <c r="A223" t="s">
        <v>964</v>
      </c>
    </row>
    <row r="224" spans="1:1" outlineLevel="1" x14ac:dyDescent="0.25">
      <c r="A224" t="s">
        <v>965</v>
      </c>
    </row>
    <row r="225" spans="1:1" outlineLevel="1" x14ac:dyDescent="0.25">
      <c r="A225" t="s">
        <v>966</v>
      </c>
    </row>
    <row r="226" spans="1:1" outlineLevel="1" x14ac:dyDescent="0.25">
      <c r="A226" t="s">
        <v>953</v>
      </c>
    </row>
    <row r="227" spans="1:1" outlineLevel="1" x14ac:dyDescent="0.25">
      <c r="A227" t="s">
        <v>954</v>
      </c>
    </row>
    <row r="228" spans="1:1" ht="13" outlineLevel="1" x14ac:dyDescent="0.3">
      <c r="A228" s="66" t="s">
        <v>967</v>
      </c>
    </row>
    <row r="229" spans="1:1" outlineLevel="1" x14ac:dyDescent="0.25">
      <c r="A229" t="s">
        <v>968</v>
      </c>
    </row>
    <row r="230" spans="1:1" outlineLevel="1" x14ac:dyDescent="0.25">
      <c r="A230" t="s">
        <v>950</v>
      </c>
    </row>
    <row r="231" spans="1:1" ht="13" outlineLevel="1" x14ac:dyDescent="0.3">
      <c r="A23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32" spans="1:1" ht="13" outlineLevel="1" x14ac:dyDescent="0.3">
      <c r="A232" s="21" t="s">
        <v>969</v>
      </c>
    </row>
    <row r="233" spans="1:1" ht="13" outlineLevel="1" x14ac:dyDescent="0.3">
      <c r="A233" s="21" t="s">
        <v>959</v>
      </c>
    </row>
    <row r="234" spans="1:1" outlineLevel="1" x14ac:dyDescent="0.25">
      <c r="A234" t="s">
        <v>960</v>
      </c>
    </row>
    <row r="235" spans="1:1" outlineLevel="1" x14ac:dyDescent="0.25">
      <c r="A235" t="s">
        <v>961</v>
      </c>
    </row>
    <row r="236" spans="1:1" outlineLevel="1" x14ac:dyDescent="0.25">
      <c r="A236" t="str">
        <f>CONCATENATE("sql left outer join acrtrees t on t.client = x.client and x.dim_1 = t.cat_1 and t.att_agrid = '",$F$159,"'")</f>
        <v>sql left outer join acrtrees t on t.client = x.client and x.dim_1 = t.cat_1 and t.att_agrid = '53'</v>
      </c>
    </row>
    <row r="237" spans="1:1" ht="13" outlineLevel="1" x14ac:dyDescent="0.3">
      <c r="A23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38" spans="1:1" ht="13" outlineLevel="1" x14ac:dyDescent="0.3">
      <c r="A238" s="21" t="s">
        <v>970</v>
      </c>
    </row>
    <row r="239" spans="1:1" ht="13" outlineLevel="1" x14ac:dyDescent="0.3">
      <c r="A239" s="21" t="s">
        <v>962</v>
      </c>
    </row>
    <row r="240" spans="1:1" ht="13" outlineLevel="1" x14ac:dyDescent="0.3">
      <c r="A24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41" spans="1:1" ht="13" outlineLevel="1" x14ac:dyDescent="0.3">
      <c r="A241" s="21" t="s">
        <v>970</v>
      </c>
    </row>
    <row r="242" spans="1:1" ht="13" outlineLevel="1" x14ac:dyDescent="0.3">
      <c r="A242" s="21" t="s">
        <v>963</v>
      </c>
    </row>
    <row r="243" spans="1:1" outlineLevel="1" x14ac:dyDescent="0.25">
      <c r="A243" t="s">
        <v>964</v>
      </c>
    </row>
    <row r="244" spans="1:1" outlineLevel="1" x14ac:dyDescent="0.25">
      <c r="A244" t="s">
        <v>965</v>
      </c>
    </row>
    <row r="245" spans="1:1" outlineLevel="1" x14ac:dyDescent="0.25">
      <c r="A245" t="s">
        <v>966</v>
      </c>
    </row>
    <row r="246" spans="1:1" outlineLevel="1" x14ac:dyDescent="0.25">
      <c r="A246" t="s">
        <v>953</v>
      </c>
    </row>
    <row r="247" spans="1:1" outlineLevel="1" x14ac:dyDescent="0.25">
      <c r="A247" t="s">
        <v>954</v>
      </c>
    </row>
    <row r="248" spans="1:1" ht="13" outlineLevel="1" x14ac:dyDescent="0.3">
      <c r="A248" s="66" t="s">
        <v>971</v>
      </c>
    </row>
    <row r="249" spans="1:1" outlineLevel="1" x14ac:dyDescent="0.25">
      <c r="A249" t="s">
        <v>972</v>
      </c>
    </row>
    <row r="250" spans="1:1" outlineLevel="1" x14ac:dyDescent="0.25">
      <c r="A250" t="s">
        <v>950</v>
      </c>
    </row>
    <row r="251" spans="1:1" ht="13" outlineLevel="1" x14ac:dyDescent="0.3">
      <c r="A25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52" spans="1:1" ht="13" outlineLevel="1" x14ac:dyDescent="0.3">
      <c r="A252" s="21" t="s">
        <v>959</v>
      </c>
    </row>
    <row r="253" spans="1:1" outlineLevel="1" x14ac:dyDescent="0.25">
      <c r="A253" t="s">
        <v>960</v>
      </c>
    </row>
    <row r="254" spans="1:1" outlineLevel="1" x14ac:dyDescent="0.25">
      <c r="A254" t="s">
        <v>961</v>
      </c>
    </row>
    <row r="255" spans="1:1" outlineLevel="1" x14ac:dyDescent="0.25">
      <c r="A255" t="str">
        <f>CONCATENATE("sql left outer join acrtrees t on t.client = x.client and x.dim_1 = t.cat_1 and t.att_agrid = '",$F$159,"'")</f>
        <v>sql left outer join acrtrees t on t.client = x.client and x.dim_1 = t.cat_1 and t.att_agrid = '53'</v>
      </c>
    </row>
    <row r="256" spans="1:1" ht="13" outlineLevel="1" x14ac:dyDescent="0.3">
      <c r="A25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57" spans="1:1" ht="13" outlineLevel="1" x14ac:dyDescent="0.3">
      <c r="A257" s="21" t="s">
        <v>973</v>
      </c>
    </row>
    <row r="258" spans="1:1" outlineLevel="1" x14ac:dyDescent="0.25">
      <c r="A258" t="s">
        <v>964</v>
      </c>
    </row>
    <row r="259" spans="1:1" outlineLevel="1" x14ac:dyDescent="0.25">
      <c r="A259" t="s">
        <v>965</v>
      </c>
    </row>
    <row r="260" spans="1:1" outlineLevel="1" x14ac:dyDescent="0.25">
      <c r="A260" t="s">
        <v>966</v>
      </c>
    </row>
    <row r="261" spans="1:1" outlineLevel="1" x14ac:dyDescent="0.25">
      <c r="A261" t="s">
        <v>953</v>
      </c>
    </row>
    <row r="262" spans="1:1" outlineLevel="1" x14ac:dyDescent="0.25">
      <c r="A262" t="s">
        <v>954</v>
      </c>
    </row>
    <row r="263" spans="1:1" ht="13" outlineLevel="1" x14ac:dyDescent="0.3">
      <c r="A263" s="66" t="s">
        <v>974</v>
      </c>
    </row>
    <row r="264" spans="1:1" outlineLevel="1" x14ac:dyDescent="0.25">
      <c r="A264" t="s">
        <v>975</v>
      </c>
    </row>
    <row r="265" spans="1:1" outlineLevel="1" x14ac:dyDescent="0.25">
      <c r="A265" t="s">
        <v>950</v>
      </c>
    </row>
    <row r="266" spans="1:1" ht="13" outlineLevel="1" x14ac:dyDescent="0.3">
      <c r="A26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67" spans="1:1" ht="13" outlineLevel="1" x14ac:dyDescent="0.3">
      <c r="A267" s="21" t="s">
        <v>959</v>
      </c>
    </row>
    <row r="268" spans="1:1" outlineLevel="1" x14ac:dyDescent="0.25">
      <c r="A268" t="s">
        <v>960</v>
      </c>
    </row>
    <row r="269" spans="1:1" outlineLevel="1" x14ac:dyDescent="0.25">
      <c r="A269" t="s">
        <v>961</v>
      </c>
    </row>
    <row r="270" spans="1:1" outlineLevel="1" x14ac:dyDescent="0.25">
      <c r="A270" t="str">
        <f>CONCATENATE("sql left outer join acrtrees t on t.client = x.client and x.dim_1 = t.cat_1 and t.att_agrid = '",$F$159,"'")</f>
        <v>sql left outer join acrtrees t on t.client = x.client and x.dim_1 = t.cat_1 and t.att_agrid = '53'</v>
      </c>
    </row>
    <row r="271" spans="1:1" ht="13" outlineLevel="1" x14ac:dyDescent="0.3">
      <c r="A27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72" spans="1:1" ht="13" outlineLevel="1" x14ac:dyDescent="0.3">
      <c r="A272" s="21" t="s">
        <v>973</v>
      </c>
    </row>
    <row r="273" spans="1:1" outlineLevel="1" x14ac:dyDescent="0.25">
      <c r="A273" t="s">
        <v>964</v>
      </c>
    </row>
    <row r="274" spans="1:1" outlineLevel="1" x14ac:dyDescent="0.25">
      <c r="A274" t="s">
        <v>965</v>
      </c>
    </row>
    <row r="275" spans="1:1" outlineLevel="1" x14ac:dyDescent="0.25">
      <c r="A275" t="s">
        <v>966</v>
      </c>
    </row>
    <row r="276" spans="1:1" outlineLevel="1" x14ac:dyDescent="0.25">
      <c r="A276" t="s">
        <v>953</v>
      </c>
    </row>
    <row r="277" spans="1:1" outlineLevel="1" x14ac:dyDescent="0.25">
      <c r="A277" t="s">
        <v>954</v>
      </c>
    </row>
    <row r="278" spans="1:1" ht="13" outlineLevel="1" x14ac:dyDescent="0.3">
      <c r="A278" s="66" t="s">
        <v>976</v>
      </c>
    </row>
    <row r="279" spans="1:1" outlineLevel="1" x14ac:dyDescent="0.25">
      <c r="A279" t="s">
        <v>977</v>
      </c>
    </row>
    <row r="280" spans="1:1" outlineLevel="1" x14ac:dyDescent="0.25">
      <c r="A280" t="s">
        <v>950</v>
      </c>
    </row>
    <row r="281" spans="1:1" ht="13" outlineLevel="1" x14ac:dyDescent="0.3">
      <c r="A28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82" spans="1:1" ht="13" outlineLevel="1" x14ac:dyDescent="0.3">
      <c r="A282" s="21" t="s">
        <v>959</v>
      </c>
    </row>
    <row r="283" spans="1:1" outlineLevel="1" x14ac:dyDescent="0.25">
      <c r="A283" t="s">
        <v>960</v>
      </c>
    </row>
    <row r="284" spans="1:1" outlineLevel="1" x14ac:dyDescent="0.25">
      <c r="A284" t="s">
        <v>961</v>
      </c>
    </row>
    <row r="285" spans="1:1" outlineLevel="1" x14ac:dyDescent="0.25">
      <c r="A285" t="str">
        <f>CONCATENATE("sql left outer join acrtrees t on t.client = x.client and x.dim_1 = t.cat_1 and t.att_agrid = '",$F$159,"'")</f>
        <v>sql left outer join acrtrees t on t.client = x.client and x.dim_1 = t.cat_1 and t.att_agrid = '53'</v>
      </c>
    </row>
    <row r="286" spans="1:1" ht="13" outlineLevel="1" x14ac:dyDescent="0.3">
      <c r="A28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87" spans="1:1" ht="13" outlineLevel="1" x14ac:dyDescent="0.3">
      <c r="A287" s="21" t="s">
        <v>978</v>
      </c>
    </row>
    <row r="288" spans="1:1" outlineLevel="1" x14ac:dyDescent="0.25">
      <c r="A288" t="s">
        <v>979</v>
      </c>
    </row>
    <row r="289" spans="1:1" outlineLevel="1" x14ac:dyDescent="0.25">
      <c r="A289" t="s">
        <v>980</v>
      </c>
    </row>
    <row r="290" spans="1:1" outlineLevel="1" x14ac:dyDescent="0.25">
      <c r="A290" t="s">
        <v>966</v>
      </c>
    </row>
    <row r="291" spans="1:1" outlineLevel="1" x14ac:dyDescent="0.25">
      <c r="A291" t="s">
        <v>953</v>
      </c>
    </row>
    <row r="292" spans="1:1" outlineLevel="1" x14ac:dyDescent="0.25">
      <c r="A292" t="s">
        <v>954</v>
      </c>
    </row>
    <row r="293" spans="1:1" ht="13" outlineLevel="1" x14ac:dyDescent="0.3">
      <c r="A293" s="66" t="s">
        <v>981</v>
      </c>
    </row>
    <row r="294" spans="1:1" outlineLevel="1" x14ac:dyDescent="0.25">
      <c r="A294" t="s">
        <v>982</v>
      </c>
    </row>
    <row r="295" spans="1:1" outlineLevel="1" x14ac:dyDescent="0.25">
      <c r="A295" t="s">
        <v>950</v>
      </c>
    </row>
    <row r="296" spans="1:1" ht="13" outlineLevel="1" x14ac:dyDescent="0.3">
      <c r="A29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97" spans="1:1" ht="13" outlineLevel="1" x14ac:dyDescent="0.3">
      <c r="A297" s="21" t="s">
        <v>969</v>
      </c>
    </row>
    <row r="298" spans="1:1" ht="13" outlineLevel="1" x14ac:dyDescent="0.3">
      <c r="A298" s="21" t="s">
        <v>959</v>
      </c>
    </row>
    <row r="299" spans="1:1" outlineLevel="1" x14ac:dyDescent="0.25">
      <c r="A299" t="s">
        <v>960</v>
      </c>
    </row>
    <row r="300" spans="1:1" outlineLevel="1" x14ac:dyDescent="0.25">
      <c r="A300" t="s">
        <v>961</v>
      </c>
    </row>
    <row r="301" spans="1:1" outlineLevel="1" x14ac:dyDescent="0.25">
      <c r="A301" t="str">
        <f>CONCATENATE("sql left outer join acrtrees t on t.client = x.client and x.dim_1 = t.cat_1 and t.att_agrid = '",$F$159,"'")</f>
        <v>sql left outer join acrtrees t on t.client = x.client and x.dim_1 = t.cat_1 and t.att_agrid = '53'</v>
      </c>
    </row>
    <row r="302" spans="1:1" ht="13" outlineLevel="1" x14ac:dyDescent="0.3">
      <c r="A30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03" spans="1:1" ht="13" outlineLevel="1" x14ac:dyDescent="0.3">
      <c r="A303" s="21" t="s">
        <v>970</v>
      </c>
    </row>
    <row r="304" spans="1:1" ht="13" outlineLevel="1" x14ac:dyDescent="0.3">
      <c r="A304" s="21" t="s">
        <v>978</v>
      </c>
    </row>
    <row r="305" spans="1:3" outlineLevel="1" x14ac:dyDescent="0.25">
      <c r="A305" t="s">
        <v>979</v>
      </c>
    </row>
    <row r="306" spans="1:3" outlineLevel="1" x14ac:dyDescent="0.25">
      <c r="A306" t="s">
        <v>980</v>
      </c>
    </row>
    <row r="307" spans="1:3" outlineLevel="1" x14ac:dyDescent="0.25">
      <c r="A307" t="s">
        <v>966</v>
      </c>
    </row>
    <row r="308" spans="1:3" outlineLevel="1" x14ac:dyDescent="0.25">
      <c r="A308" t="s">
        <v>953</v>
      </c>
    </row>
    <row r="309" spans="1:3" outlineLevel="1" x14ac:dyDescent="0.25">
      <c r="A309" t="s">
        <v>954</v>
      </c>
    </row>
    <row r="310" spans="1:3" ht="13" outlineLevel="1" x14ac:dyDescent="0.3">
      <c r="A310" s="20" t="s">
        <v>983</v>
      </c>
    </row>
    <row r="311" spans="1:3" outlineLevel="1" x14ac:dyDescent="0.25">
      <c r="A311" s="7" t="s">
        <v>984</v>
      </c>
    </row>
    <row r="312" spans="1:3" outlineLevel="1" x14ac:dyDescent="0.25">
      <c r="A312" t="s">
        <v>950</v>
      </c>
    </row>
    <row r="313" spans="1:3" outlineLevel="1" x14ac:dyDescent="0.25">
      <c r="A313" t="s">
        <v>951</v>
      </c>
    </row>
    <row r="314" spans="1:3" ht="14.5" outlineLevel="1" x14ac:dyDescent="0.35">
      <c r="A31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14" s="2"/>
    </row>
    <row r="315" spans="1:3" outlineLevel="1" x14ac:dyDescent="0.25">
      <c r="A315" t="s">
        <v>952</v>
      </c>
    </row>
    <row r="316" spans="1:3" outlineLevel="1" x14ac:dyDescent="0.25">
      <c r="A316" t="s">
        <v>953</v>
      </c>
    </row>
    <row r="317" spans="1:3" outlineLevel="1" x14ac:dyDescent="0.25">
      <c r="A317" t="s">
        <v>954</v>
      </c>
    </row>
    <row r="318" spans="1:3" ht="13" outlineLevel="1" x14ac:dyDescent="0.3">
      <c r="A318" s="20" t="s">
        <v>985</v>
      </c>
    </row>
    <row r="319" spans="1:3" outlineLevel="1" x14ac:dyDescent="0.25">
      <c r="A319" s="7" t="s">
        <v>986</v>
      </c>
    </row>
    <row r="320" spans="1:3" outlineLevel="1" x14ac:dyDescent="0.25">
      <c r="A320" t="s">
        <v>987</v>
      </c>
    </row>
    <row r="321" spans="1:1" ht="13" outlineLevel="1" x14ac:dyDescent="0.3">
      <c r="A321" s="21" t="str">
        <f>CONCATENATE("sql where a.client = '",$D$172,"' and a.period between '",LEFT($D$170,4),"00' and '",IF(RIGHT($D$171,2)="12",CONCATENATE(LEFT($D$171,4),"14"),$D$171),"'")</f>
        <v>sql where a.client = 'OX' and a.period between '202500' and '202506'</v>
      </c>
    </row>
    <row r="322" spans="1:1" outlineLevel="1" x14ac:dyDescent="0.25">
      <c r="A322" t="s">
        <v>952</v>
      </c>
    </row>
    <row r="323" spans="1:1" outlineLevel="1" x14ac:dyDescent="0.25">
      <c r="A323" t="s">
        <v>953</v>
      </c>
    </row>
    <row r="324" spans="1:1" outlineLevel="1" x14ac:dyDescent="0.25">
      <c r="A324" t="s">
        <v>954</v>
      </c>
    </row>
    <row r="325" spans="1:1" ht="13" outlineLevel="1" x14ac:dyDescent="0.3">
      <c r="A325" s="20" t="s">
        <v>988</v>
      </c>
    </row>
    <row r="326" spans="1:1" outlineLevel="1" x14ac:dyDescent="0.25">
      <c r="A326" s="7" t="s">
        <v>989</v>
      </c>
    </row>
    <row r="327" spans="1:1" outlineLevel="1" x14ac:dyDescent="0.25">
      <c r="A327" t="s">
        <v>950</v>
      </c>
    </row>
    <row r="328" spans="1:1" outlineLevel="1" x14ac:dyDescent="0.25">
      <c r="A328" t="s">
        <v>951</v>
      </c>
    </row>
    <row r="329" spans="1:1" ht="13" outlineLevel="1" x14ac:dyDescent="0.3">
      <c r="A32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30" spans="1:1" outlineLevel="1" x14ac:dyDescent="0.25">
      <c r="A330" t="s">
        <v>952</v>
      </c>
    </row>
    <row r="331" spans="1:1" outlineLevel="1" x14ac:dyDescent="0.25">
      <c r="A331" t="s">
        <v>953</v>
      </c>
    </row>
    <row r="332" spans="1:1" outlineLevel="1" x14ac:dyDescent="0.25">
      <c r="A332" t="s">
        <v>954</v>
      </c>
    </row>
    <row r="333" spans="1:1" ht="13" outlineLevel="1" x14ac:dyDescent="0.3">
      <c r="A333" s="20" t="s">
        <v>990</v>
      </c>
    </row>
    <row r="334" spans="1:1" outlineLevel="1" x14ac:dyDescent="0.25">
      <c r="A334" s="7" t="s">
        <v>991</v>
      </c>
    </row>
    <row r="335" spans="1:1" outlineLevel="1" x14ac:dyDescent="0.25">
      <c r="A335" t="s">
        <v>950</v>
      </c>
    </row>
    <row r="336" spans="1:1" outlineLevel="1" x14ac:dyDescent="0.25">
      <c r="A336" t="s">
        <v>951</v>
      </c>
    </row>
    <row r="337" spans="1:1" ht="13" outlineLevel="1" x14ac:dyDescent="0.3">
      <c r="A33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38" spans="1:1" outlineLevel="1" x14ac:dyDescent="0.25">
      <c r="A338" t="s">
        <v>952</v>
      </c>
    </row>
    <row r="339" spans="1:1" outlineLevel="1" x14ac:dyDescent="0.25">
      <c r="A339" t="s">
        <v>953</v>
      </c>
    </row>
    <row r="340" spans="1:1" outlineLevel="1" x14ac:dyDescent="0.25">
      <c r="A340" t="s">
        <v>954</v>
      </c>
    </row>
    <row r="341" spans="1:1" ht="13" outlineLevel="1" x14ac:dyDescent="0.3">
      <c r="A341" s="20" t="s">
        <v>992</v>
      </c>
    </row>
    <row r="342" spans="1:1" outlineLevel="1" x14ac:dyDescent="0.25">
      <c r="A342" s="7" t="s">
        <v>993</v>
      </c>
    </row>
    <row r="343" spans="1:1" outlineLevel="1" x14ac:dyDescent="0.25">
      <c r="A343" t="s">
        <v>950</v>
      </c>
    </row>
    <row r="344" spans="1:1" outlineLevel="1" x14ac:dyDescent="0.25">
      <c r="A344" t="s">
        <v>951</v>
      </c>
    </row>
    <row r="345" spans="1:1" ht="13" outlineLevel="1" x14ac:dyDescent="0.3">
      <c r="A34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46" spans="1:1" outlineLevel="1" x14ac:dyDescent="0.25">
      <c r="A346" t="s">
        <v>952</v>
      </c>
    </row>
    <row r="347" spans="1:1" outlineLevel="1" x14ac:dyDescent="0.25">
      <c r="A347" t="s">
        <v>953</v>
      </c>
    </row>
    <row r="348" spans="1:1" outlineLevel="1" x14ac:dyDescent="0.25">
      <c r="A348" t="s">
        <v>994</v>
      </c>
    </row>
    <row r="349" spans="1:1" outlineLevel="1" x14ac:dyDescent="0.25">
      <c r="A349" t="str">
        <f>CONCATENATE("sql left outer join acrtrees t on t.client = u.client and u.dim_1 = t.cat_1 and t.att_agrid = '",$F$159,"'")</f>
        <v>sql left outer join acrtrees t on t.client = u.client and u.dim_1 = t.cat_1 and t.att_agrid = '53'</v>
      </c>
    </row>
    <row r="350" spans="1:1" outlineLevel="1" x14ac:dyDescent="0.25">
      <c r="A350" t="str">
        <f>CONCATENATE("sql left outer join acrtrees s on s.client = u.client and u.account = s.cat_1 and s.att_agrid = '",$F$160,"'")</f>
        <v>sql left outer join acrtrees s on s.client = u.client and u.account = s.cat_1 and s.att_agrid = '14'</v>
      </c>
    </row>
    <row r="351" spans="1:1" outlineLevel="1" x14ac:dyDescent="0.25">
      <c r="A351" t="str">
        <f>CONCATENATE("sql left outer join acrtrees v on v.client = u.client and u.account = v.cat_1 and v.att_agrid = '",$F$161,"'")</f>
        <v>sql left outer join acrtrees v on v.client = u.client and u.account = v.cat_1 and v.att_agrid = '17'</v>
      </c>
    </row>
    <row r="352" spans="1:1" outlineLevel="1" x14ac:dyDescent="0.25">
      <c r="A352" t="str">
        <f>CONCATENATE("sql left outer join agldescription d on d.client = u.client and d.dim_value = t.dim_c and d.attribute_id = '",$F$162,"'")</f>
        <v>sql left outer join agldescription d on d.client = u.client and d.dim_value = t.dim_c and d.attribute_id = '82'</v>
      </c>
    </row>
    <row r="353" spans="1:33" outlineLevel="1" x14ac:dyDescent="0.25">
      <c r="A353" t="str">
        <f>CONCATENATE("sql left outer join agldescription e on e.client = u.client and e.dim_value = t.dim_b and e.attribute_id = '",$F$163,"'")</f>
        <v>sql left outer join agldescription e on e.client = u.client and e.dim_value = t.dim_b and e.attribute_id = '81'</v>
      </c>
    </row>
    <row r="354" spans="1:33" outlineLevel="1" x14ac:dyDescent="0.25">
      <c r="A354" t="str">
        <f>CONCATENATE("sql left outer join agldescription f on f.client = u.client and f.dim_value = t.dim_e and f.attribute_id = '",$F$164,"'")</f>
        <v>sql left outer join agldescription f on f.client = u.client and f.dim_value = t.dim_e and f.attribute_id = '80'</v>
      </c>
    </row>
    <row r="355" spans="1:33" outlineLevel="1" x14ac:dyDescent="0.25">
      <c r="A355" t="str">
        <f>CONCATENATE("sql left outer join agldescription g on g.client = u.client and g.dim_value = u.account and g.attribute_id = '",$F$165,"'")</f>
        <v>sql left outer join agldescription g on g.client = u.client and g.dim_value = u.account and g.attribute_id = 'A0'</v>
      </c>
    </row>
    <row r="356" spans="1:33" ht="14.5" outlineLevel="1" x14ac:dyDescent="0.35">
      <c r="A356" s="67" t="s">
        <v>1039</v>
      </c>
      <c r="G356" s="737" t="s">
        <v>1040</v>
      </c>
    </row>
    <row r="357" spans="1:33" outlineLevel="1" x14ac:dyDescent="0.25">
      <c r="A357" t="s">
        <v>1005</v>
      </c>
    </row>
    <row r="358" spans="1:33" outlineLevel="1" x14ac:dyDescent="0.25">
      <c r="A358" t="s">
        <v>1006</v>
      </c>
    </row>
    <row r="359" spans="1:33" outlineLevel="1" x14ac:dyDescent="0.25">
      <c r="A359" t="s">
        <v>1007</v>
      </c>
    </row>
    <row r="360" spans="1:33" ht="13" outlineLevel="1" x14ac:dyDescent="0.3">
      <c r="A360" t="s">
        <v>1012</v>
      </c>
      <c r="C360" s="29"/>
      <c r="D360" s="36">
        <v>1000</v>
      </c>
      <c r="E360" s="36">
        <v>1000</v>
      </c>
      <c r="F360" s="22">
        <v>1000</v>
      </c>
      <c r="G360" s="22">
        <v>1000</v>
      </c>
      <c r="H360" s="22">
        <v>1000</v>
      </c>
      <c r="I360" s="22">
        <v>1000</v>
      </c>
      <c r="J360" s="22">
        <v>1000</v>
      </c>
      <c r="K360" s="22">
        <v>1000</v>
      </c>
      <c r="L360" s="22"/>
      <c r="M360" s="36"/>
      <c r="N360" s="36"/>
      <c r="O360" s="36">
        <v>1000</v>
      </c>
      <c r="P360" s="36">
        <v>1000</v>
      </c>
      <c r="Q360" s="36">
        <v>1000</v>
      </c>
      <c r="R360" s="36">
        <v>1000</v>
      </c>
      <c r="S360" s="36">
        <v>1000</v>
      </c>
      <c r="T360" s="36"/>
      <c r="U360" s="36"/>
      <c r="V360" s="58"/>
      <c r="W360" s="36">
        <v>1000</v>
      </c>
      <c r="X360" s="36">
        <v>1000</v>
      </c>
      <c r="Y360" s="36"/>
      <c r="Z360" s="36"/>
      <c r="AA360" s="40"/>
      <c r="AB360" s="60"/>
      <c r="AC360" s="98"/>
      <c r="AD360" s="36"/>
      <c r="AE360" s="36"/>
      <c r="AF360" s="36"/>
      <c r="AG360" s="99"/>
    </row>
    <row r="361" spans="1:33" ht="13" outlineLevel="1" x14ac:dyDescent="0.3">
      <c r="A361" s="7" t="s">
        <v>1013</v>
      </c>
      <c r="C361" s="29"/>
      <c r="D361" s="36">
        <v>0</v>
      </c>
      <c r="E361" s="36">
        <v>0</v>
      </c>
      <c r="F361" s="22">
        <v>0</v>
      </c>
      <c r="G361" s="22">
        <v>0</v>
      </c>
      <c r="H361" s="22">
        <v>0</v>
      </c>
      <c r="I361" s="22">
        <v>0</v>
      </c>
      <c r="J361" s="22">
        <v>0</v>
      </c>
      <c r="K361" s="22">
        <v>0</v>
      </c>
      <c r="L361" s="22"/>
      <c r="M361" s="36"/>
      <c r="N361" s="36"/>
      <c r="O361" s="36">
        <v>0</v>
      </c>
      <c r="P361" s="36">
        <v>0</v>
      </c>
      <c r="Q361" s="36">
        <v>0</v>
      </c>
      <c r="R361" s="36">
        <v>0</v>
      </c>
      <c r="S361" s="36">
        <v>0</v>
      </c>
      <c r="T361" s="36"/>
      <c r="U361" s="36"/>
      <c r="V361" s="58"/>
      <c r="W361" s="36">
        <v>0</v>
      </c>
      <c r="X361" s="36">
        <v>0</v>
      </c>
      <c r="Y361" s="36"/>
      <c r="Z361" s="36"/>
      <c r="AA361" s="40"/>
      <c r="AB361" s="60"/>
      <c r="AC361" s="98"/>
      <c r="AD361" s="36"/>
      <c r="AE361" s="36"/>
      <c r="AF361" s="36"/>
      <c r="AG361" s="99"/>
    </row>
    <row r="362" spans="1:33" ht="13" outlineLevel="1" x14ac:dyDescent="0.3">
      <c r="A362" t="s">
        <v>1014</v>
      </c>
      <c r="C362" s="30"/>
      <c r="D362" s="36"/>
      <c r="E362" s="36"/>
      <c r="F362" s="57"/>
      <c r="G362" s="57"/>
      <c r="H362" s="57"/>
      <c r="I362" s="57"/>
      <c r="J362" s="57"/>
      <c r="K362" s="57"/>
      <c r="L362" s="57"/>
      <c r="M362" s="36"/>
      <c r="N362" s="36"/>
      <c r="O362" s="36"/>
      <c r="P362" s="36" t="s">
        <v>1015</v>
      </c>
      <c r="Q362" s="36" t="s">
        <v>1016</v>
      </c>
      <c r="R362" s="36"/>
      <c r="S362" s="36"/>
      <c r="T362" s="36"/>
      <c r="U362" s="36"/>
      <c r="V362" s="58"/>
      <c r="W362" s="36"/>
      <c r="X362" s="36"/>
      <c r="Y362" s="36"/>
      <c r="Z362" s="36"/>
      <c r="AA362" s="40"/>
      <c r="AB362" s="60"/>
      <c r="AC362" s="98"/>
      <c r="AD362" s="36"/>
      <c r="AE362" s="36"/>
      <c r="AF362" s="36"/>
      <c r="AG362" s="99"/>
    </row>
    <row r="363" spans="1:33" ht="13" outlineLevel="1" x14ac:dyDescent="0.3">
      <c r="A363" t="s">
        <v>1017</v>
      </c>
      <c r="C363" s="31"/>
      <c r="D363" s="36" t="s">
        <v>1019</v>
      </c>
      <c r="E363" s="36" t="s">
        <v>1020</v>
      </c>
      <c r="F363" s="22" t="s">
        <v>1021</v>
      </c>
      <c r="G363" s="22" t="s">
        <v>1022</v>
      </c>
      <c r="H363" s="22" t="s">
        <v>1023</v>
      </c>
      <c r="I363" s="22" t="s">
        <v>1024</v>
      </c>
      <c r="J363" s="22" t="s">
        <v>1025</v>
      </c>
      <c r="K363" s="22" t="s">
        <v>1026</v>
      </c>
      <c r="L363" s="22"/>
      <c r="M363" s="36"/>
      <c r="N363" s="36"/>
      <c r="O363" s="36" t="s">
        <v>1027</v>
      </c>
      <c r="P363" s="36" t="s">
        <v>1028</v>
      </c>
      <c r="Q363" s="36" t="s">
        <v>1028</v>
      </c>
      <c r="R363" s="36" t="s">
        <v>1028</v>
      </c>
      <c r="S363" s="36" t="s">
        <v>1029</v>
      </c>
      <c r="T363" s="36"/>
      <c r="U363" s="36"/>
      <c r="V363" s="58"/>
      <c r="W363" s="36" t="s">
        <v>1030</v>
      </c>
      <c r="X363" s="36" t="s">
        <v>1031</v>
      </c>
      <c r="Y363" s="36"/>
      <c r="Z363" s="36"/>
      <c r="AA363" s="40"/>
      <c r="AB363" s="60"/>
      <c r="AC363" s="98"/>
      <c r="AD363" s="36"/>
      <c r="AE363" s="36"/>
      <c r="AF363" s="36"/>
      <c r="AG363" s="99"/>
    </row>
    <row r="364" spans="1:33" ht="13" outlineLevel="1" x14ac:dyDescent="0.3">
      <c r="A364" t="s">
        <v>1041</v>
      </c>
      <c r="C364" s="31" t="s">
        <v>117</v>
      </c>
      <c r="D364" s="33">
        <v>0</v>
      </c>
      <c r="E364" s="33">
        <v>0</v>
      </c>
      <c r="F364" s="23">
        <v>0</v>
      </c>
      <c r="G364" s="23">
        <v>0</v>
      </c>
      <c r="H364" s="23">
        <v>0</v>
      </c>
      <c r="I364" s="23">
        <v>0</v>
      </c>
      <c r="J364" s="23">
        <v>0</v>
      </c>
      <c r="K364" s="23">
        <v>0</v>
      </c>
      <c r="L364" s="23">
        <f>SUM(F364:K364)</f>
        <v>0</v>
      </c>
      <c r="M364" s="33">
        <f>O364-E364</f>
        <v>0</v>
      </c>
      <c r="N364" s="33">
        <f>O364-D364</f>
        <v>0</v>
      </c>
      <c r="O364" s="33">
        <v>0</v>
      </c>
      <c r="P364" s="33">
        <v>0</v>
      </c>
      <c r="Q364" s="33">
        <v>0</v>
      </c>
      <c r="R364" s="33">
        <v>0</v>
      </c>
      <c r="S364" s="33">
        <v>0</v>
      </c>
      <c r="T364" s="33">
        <f>R364-S364</f>
        <v>0</v>
      </c>
      <c r="U364" s="38" t="str">
        <f>IFERROR((R364/O364)*100%,"∞")</f>
        <v>∞</v>
      </c>
      <c r="V364" s="59">
        <f>O364+W364</f>
        <v>0</v>
      </c>
      <c r="W364" s="33">
        <v>0</v>
      </c>
      <c r="X364" s="33">
        <v>0</v>
      </c>
      <c r="Y364" s="33"/>
      <c r="Z364" s="33"/>
      <c r="AA364" s="42"/>
      <c r="AB364" s="60"/>
      <c r="AC364" s="105"/>
      <c r="AD364" s="93"/>
      <c r="AE364" s="33">
        <f>SUM(AC364:AD364)</f>
        <v>0</v>
      </c>
      <c r="AF364" s="33">
        <f>R364+AE364</f>
        <v>0</v>
      </c>
      <c r="AG364" s="101">
        <f>AF364-O364</f>
        <v>0</v>
      </c>
    </row>
    <row r="365" spans="1:33" ht="13" outlineLevel="1" x14ac:dyDescent="0.3">
      <c r="A365" t="s">
        <v>232</v>
      </c>
      <c r="C365" s="45"/>
      <c r="D365" s="37"/>
      <c r="E365" s="37"/>
      <c r="M365" s="37"/>
      <c r="N365" s="37"/>
      <c r="O365" s="37"/>
      <c r="P365" s="37"/>
      <c r="Q365" s="37"/>
      <c r="R365" s="37"/>
      <c r="S365" s="37"/>
      <c r="T365" s="37"/>
      <c r="U365" s="46"/>
      <c r="V365" s="27"/>
      <c r="W365" s="37"/>
      <c r="X365" s="37"/>
      <c r="Y365" s="37"/>
      <c r="Z365" s="37"/>
      <c r="AA365" s="37"/>
      <c r="AC365" s="37"/>
      <c r="AD365" s="37"/>
      <c r="AE365" s="37"/>
      <c r="AF365" s="37"/>
      <c r="AG365" s="37"/>
    </row>
    <row r="366" spans="1:33" outlineLevel="1" x14ac:dyDescent="0.25">
      <c r="A366" t="s">
        <v>944</v>
      </c>
      <c r="M366" s="19"/>
      <c r="N366" s="19"/>
    </row>
    <row r="367" spans="1:33" outlineLevel="1" x14ac:dyDescent="0.25">
      <c r="A367" t="s">
        <v>946</v>
      </c>
      <c r="E367" s="19"/>
    </row>
    <row r="368" spans="1:33" outlineLevel="1" x14ac:dyDescent="0.25">
      <c r="A368" t="s">
        <v>947</v>
      </c>
      <c r="E368" s="19"/>
      <c r="F368" s="19"/>
    </row>
    <row r="369" spans="1:3" ht="13" outlineLevel="1" x14ac:dyDescent="0.3">
      <c r="A369" s="20" t="s">
        <v>948</v>
      </c>
    </row>
    <row r="370" spans="1:3" outlineLevel="1" x14ac:dyDescent="0.25">
      <c r="A370" s="7" t="s">
        <v>949</v>
      </c>
    </row>
    <row r="371" spans="1:3" outlineLevel="1" x14ac:dyDescent="0.25">
      <c r="A371" t="s">
        <v>950</v>
      </c>
    </row>
    <row r="372" spans="1:3" outlineLevel="1" x14ac:dyDescent="0.25">
      <c r="A372" t="s">
        <v>951</v>
      </c>
    </row>
    <row r="373" spans="1:3" ht="13" outlineLevel="1" x14ac:dyDescent="0.3">
      <c r="A373" s="21" t="str">
        <f>CONCATENATE("sql where a.client = '",$D$172,"' and a.period between '",LEFT($D$170,4),"00' and '",LEFT($D$171,4),"14' and a.version like '%ORIG%'")</f>
        <v>sql where a.client = 'OX' and a.period between '202500' and '202514' and a.version like '%ORIG%'</v>
      </c>
    </row>
    <row r="374" spans="1:3" outlineLevel="1" x14ac:dyDescent="0.25">
      <c r="A374" t="s">
        <v>952</v>
      </c>
    </row>
    <row r="375" spans="1:3" outlineLevel="1" x14ac:dyDescent="0.25">
      <c r="A375" t="s">
        <v>953</v>
      </c>
    </row>
    <row r="376" spans="1:3" outlineLevel="1" x14ac:dyDescent="0.25">
      <c r="A376" t="s">
        <v>954</v>
      </c>
    </row>
    <row r="377" spans="1:3" ht="13" outlineLevel="1" x14ac:dyDescent="0.3">
      <c r="A377" s="20" t="s">
        <v>955</v>
      </c>
    </row>
    <row r="378" spans="1:3" outlineLevel="1" x14ac:dyDescent="0.25">
      <c r="A378" s="7" t="s">
        <v>956</v>
      </c>
    </row>
    <row r="379" spans="1:3" outlineLevel="1" x14ac:dyDescent="0.25">
      <c r="A379" t="s">
        <v>950</v>
      </c>
    </row>
    <row r="380" spans="1:3" outlineLevel="1" x14ac:dyDescent="0.25">
      <c r="A380" t="s">
        <v>951</v>
      </c>
    </row>
    <row r="381" spans="1:3" ht="14.5" outlineLevel="1" x14ac:dyDescent="0.35">
      <c r="A381"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81" s="2"/>
    </row>
    <row r="382" spans="1:3" outlineLevel="1" x14ac:dyDescent="0.25">
      <c r="A382" t="s">
        <v>952</v>
      </c>
    </row>
    <row r="383" spans="1:3" outlineLevel="1" x14ac:dyDescent="0.25">
      <c r="A383" t="s">
        <v>953</v>
      </c>
    </row>
    <row r="384" spans="1:3" outlineLevel="1" x14ac:dyDescent="0.25">
      <c r="A384" t="s">
        <v>954</v>
      </c>
    </row>
    <row r="385" spans="1:1" ht="13" outlineLevel="1" x14ac:dyDescent="0.3">
      <c r="A385" s="66" t="s">
        <v>957</v>
      </c>
    </row>
    <row r="386" spans="1:1" outlineLevel="1" x14ac:dyDescent="0.25">
      <c r="A386" t="s">
        <v>958</v>
      </c>
    </row>
    <row r="387" spans="1:1" outlineLevel="1" x14ac:dyDescent="0.25">
      <c r="A387" t="s">
        <v>950</v>
      </c>
    </row>
    <row r="388" spans="1:1" ht="13" outlineLevel="1" x14ac:dyDescent="0.3">
      <c r="A38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89" spans="1:1" ht="13" outlineLevel="1" x14ac:dyDescent="0.3">
      <c r="A389" s="21" t="s">
        <v>959</v>
      </c>
    </row>
    <row r="390" spans="1:1" outlineLevel="1" x14ac:dyDescent="0.25">
      <c r="A390" t="s">
        <v>960</v>
      </c>
    </row>
    <row r="391" spans="1:1" outlineLevel="1" x14ac:dyDescent="0.25">
      <c r="A391" t="s">
        <v>961</v>
      </c>
    </row>
    <row r="392" spans="1:1" outlineLevel="1" x14ac:dyDescent="0.25">
      <c r="A392" t="str">
        <f>CONCATENATE("sql left outer join acrtrees t on t.client = x.client and x.dim_1 = t.cat_1 and t.att_agrid = '",$F$159,"'")</f>
        <v>sql left outer join acrtrees t on t.client = x.client and x.dim_1 = t.cat_1 and t.att_agrid = '53'</v>
      </c>
    </row>
    <row r="393" spans="1:1" ht="13" outlineLevel="1" x14ac:dyDescent="0.3">
      <c r="A39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94" spans="1:1" ht="13" outlineLevel="1" x14ac:dyDescent="0.3">
      <c r="A394" s="21" t="s">
        <v>962</v>
      </c>
    </row>
    <row r="395" spans="1:1" ht="13" outlineLevel="1" x14ac:dyDescent="0.3">
      <c r="A395"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96" spans="1:1" ht="13" outlineLevel="1" x14ac:dyDescent="0.3">
      <c r="A396" s="21" t="s">
        <v>963</v>
      </c>
    </row>
    <row r="397" spans="1:1" outlineLevel="1" x14ac:dyDescent="0.25">
      <c r="A397" t="s">
        <v>964</v>
      </c>
    </row>
    <row r="398" spans="1:1" outlineLevel="1" x14ac:dyDescent="0.25">
      <c r="A398" t="s">
        <v>965</v>
      </c>
    </row>
    <row r="399" spans="1:1" outlineLevel="1" x14ac:dyDescent="0.25">
      <c r="A399" t="s">
        <v>966</v>
      </c>
    </row>
    <row r="400" spans="1:1" outlineLevel="1" x14ac:dyDescent="0.25">
      <c r="A400" t="s">
        <v>953</v>
      </c>
    </row>
    <row r="401" spans="1:1" outlineLevel="1" x14ac:dyDescent="0.25">
      <c r="A401" t="s">
        <v>954</v>
      </c>
    </row>
    <row r="402" spans="1:1" ht="13" outlineLevel="1" x14ac:dyDescent="0.3">
      <c r="A402" s="66" t="s">
        <v>967</v>
      </c>
    </row>
    <row r="403" spans="1:1" outlineLevel="1" x14ac:dyDescent="0.25">
      <c r="A403" t="s">
        <v>968</v>
      </c>
    </row>
    <row r="404" spans="1:1" outlineLevel="1" x14ac:dyDescent="0.25">
      <c r="A404" t="s">
        <v>950</v>
      </c>
    </row>
    <row r="405" spans="1:1" ht="13" outlineLevel="1" x14ac:dyDescent="0.3">
      <c r="A40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06" spans="1:1" ht="13" outlineLevel="1" x14ac:dyDescent="0.3">
      <c r="A406" s="21" t="s">
        <v>969</v>
      </c>
    </row>
    <row r="407" spans="1:1" ht="13" outlineLevel="1" x14ac:dyDescent="0.3">
      <c r="A407" s="21" t="s">
        <v>959</v>
      </c>
    </row>
    <row r="408" spans="1:1" outlineLevel="1" x14ac:dyDescent="0.25">
      <c r="A408" t="s">
        <v>960</v>
      </c>
    </row>
    <row r="409" spans="1:1" outlineLevel="1" x14ac:dyDescent="0.25">
      <c r="A409" t="s">
        <v>961</v>
      </c>
    </row>
    <row r="410" spans="1:1" outlineLevel="1" x14ac:dyDescent="0.25">
      <c r="A410" t="str">
        <f>CONCATENATE("sql left outer join acrtrees t on t.client = x.client and x.dim_1 = t.cat_1 and t.att_agrid = '",$F$159,"'")</f>
        <v>sql left outer join acrtrees t on t.client = x.client and x.dim_1 = t.cat_1 and t.att_agrid = '53'</v>
      </c>
    </row>
    <row r="411" spans="1:1" ht="13" outlineLevel="1" x14ac:dyDescent="0.3">
      <c r="A41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12" spans="1:1" ht="13" outlineLevel="1" x14ac:dyDescent="0.3">
      <c r="A412" s="21" t="s">
        <v>970</v>
      </c>
    </row>
    <row r="413" spans="1:1" ht="13" outlineLevel="1" x14ac:dyDescent="0.3">
      <c r="A413" s="21" t="s">
        <v>962</v>
      </c>
    </row>
    <row r="414" spans="1:1" ht="13" outlineLevel="1" x14ac:dyDescent="0.3">
      <c r="A414"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415" spans="1:1" ht="13" outlineLevel="1" x14ac:dyDescent="0.3">
      <c r="A415" s="21" t="s">
        <v>970</v>
      </c>
    </row>
    <row r="416" spans="1:1" ht="13" outlineLevel="1" x14ac:dyDescent="0.3">
      <c r="A416" s="21" t="s">
        <v>963</v>
      </c>
    </row>
    <row r="417" spans="1:1" outlineLevel="1" x14ac:dyDescent="0.25">
      <c r="A417" t="s">
        <v>964</v>
      </c>
    </row>
    <row r="418" spans="1:1" outlineLevel="1" x14ac:dyDescent="0.25">
      <c r="A418" t="s">
        <v>965</v>
      </c>
    </row>
    <row r="419" spans="1:1" outlineLevel="1" x14ac:dyDescent="0.25">
      <c r="A419" t="s">
        <v>966</v>
      </c>
    </row>
    <row r="420" spans="1:1" outlineLevel="1" x14ac:dyDescent="0.25">
      <c r="A420" t="s">
        <v>953</v>
      </c>
    </row>
    <row r="421" spans="1:1" outlineLevel="1" x14ac:dyDescent="0.25">
      <c r="A421" t="s">
        <v>954</v>
      </c>
    </row>
    <row r="422" spans="1:1" ht="13" outlineLevel="1" x14ac:dyDescent="0.3">
      <c r="A422" s="66" t="s">
        <v>971</v>
      </c>
    </row>
    <row r="423" spans="1:1" outlineLevel="1" x14ac:dyDescent="0.25">
      <c r="A423" t="s">
        <v>972</v>
      </c>
    </row>
    <row r="424" spans="1:1" outlineLevel="1" x14ac:dyDescent="0.25">
      <c r="A424" t="s">
        <v>950</v>
      </c>
    </row>
    <row r="425" spans="1:1" ht="13" outlineLevel="1" x14ac:dyDescent="0.3">
      <c r="A42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26" spans="1:1" ht="13" outlineLevel="1" x14ac:dyDescent="0.3">
      <c r="A426" s="21" t="s">
        <v>959</v>
      </c>
    </row>
    <row r="427" spans="1:1" outlineLevel="1" x14ac:dyDescent="0.25">
      <c r="A427" t="s">
        <v>960</v>
      </c>
    </row>
    <row r="428" spans="1:1" outlineLevel="1" x14ac:dyDescent="0.25">
      <c r="A428" t="s">
        <v>961</v>
      </c>
    </row>
    <row r="429" spans="1:1" outlineLevel="1" x14ac:dyDescent="0.25">
      <c r="A429" t="str">
        <f>CONCATENATE("sql left outer join acrtrees t on t.client = x.client and x.dim_1 = t.cat_1 and t.att_agrid = '",$F$159,"'")</f>
        <v>sql left outer join acrtrees t on t.client = x.client and x.dim_1 = t.cat_1 and t.att_agrid = '53'</v>
      </c>
    </row>
    <row r="430" spans="1:1" ht="13" outlineLevel="1" x14ac:dyDescent="0.3">
      <c r="A43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31" spans="1:1" ht="13" outlineLevel="1" x14ac:dyDescent="0.3">
      <c r="A431" s="21" t="s">
        <v>973</v>
      </c>
    </row>
    <row r="432" spans="1:1" outlineLevel="1" x14ac:dyDescent="0.25">
      <c r="A432" t="s">
        <v>964</v>
      </c>
    </row>
    <row r="433" spans="1:1" outlineLevel="1" x14ac:dyDescent="0.25">
      <c r="A433" t="s">
        <v>965</v>
      </c>
    </row>
    <row r="434" spans="1:1" outlineLevel="1" x14ac:dyDescent="0.25">
      <c r="A434" t="s">
        <v>966</v>
      </c>
    </row>
    <row r="435" spans="1:1" outlineLevel="1" x14ac:dyDescent="0.25">
      <c r="A435" t="s">
        <v>953</v>
      </c>
    </row>
    <row r="436" spans="1:1" outlineLevel="1" x14ac:dyDescent="0.25">
      <c r="A436" t="s">
        <v>954</v>
      </c>
    </row>
    <row r="437" spans="1:1" ht="13" outlineLevel="1" x14ac:dyDescent="0.3">
      <c r="A437" s="66" t="s">
        <v>974</v>
      </c>
    </row>
    <row r="438" spans="1:1" outlineLevel="1" x14ac:dyDescent="0.25">
      <c r="A438" t="s">
        <v>975</v>
      </c>
    </row>
    <row r="439" spans="1:1" outlineLevel="1" x14ac:dyDescent="0.25">
      <c r="A439" t="s">
        <v>950</v>
      </c>
    </row>
    <row r="440" spans="1:1" ht="13" outlineLevel="1" x14ac:dyDescent="0.3">
      <c r="A44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441" spans="1:1" ht="13" outlineLevel="1" x14ac:dyDescent="0.3">
      <c r="A441" s="21" t="s">
        <v>959</v>
      </c>
    </row>
    <row r="442" spans="1:1" outlineLevel="1" x14ac:dyDescent="0.25">
      <c r="A442" t="s">
        <v>960</v>
      </c>
    </row>
    <row r="443" spans="1:1" outlineLevel="1" x14ac:dyDescent="0.25">
      <c r="A443" t="s">
        <v>961</v>
      </c>
    </row>
    <row r="444" spans="1:1" outlineLevel="1" x14ac:dyDescent="0.25">
      <c r="A444" t="str">
        <f>CONCATENATE("sql left outer join acrtrees t on t.client = x.client and x.dim_1 = t.cat_1 and t.att_agrid = '",$F$159,"'")</f>
        <v>sql left outer join acrtrees t on t.client = x.client and x.dim_1 = t.cat_1 and t.att_agrid = '53'</v>
      </c>
    </row>
    <row r="445" spans="1:1" ht="13" outlineLevel="1" x14ac:dyDescent="0.3">
      <c r="A44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446" spans="1:1" ht="13" outlineLevel="1" x14ac:dyDescent="0.3">
      <c r="A446" s="21" t="s">
        <v>973</v>
      </c>
    </row>
    <row r="447" spans="1:1" outlineLevel="1" x14ac:dyDescent="0.25">
      <c r="A447" t="s">
        <v>964</v>
      </c>
    </row>
    <row r="448" spans="1:1" outlineLevel="1" x14ac:dyDescent="0.25">
      <c r="A448" t="s">
        <v>965</v>
      </c>
    </row>
    <row r="449" spans="1:1" outlineLevel="1" x14ac:dyDescent="0.25">
      <c r="A449" t="s">
        <v>966</v>
      </c>
    </row>
    <row r="450" spans="1:1" outlineLevel="1" x14ac:dyDescent="0.25">
      <c r="A450" t="s">
        <v>953</v>
      </c>
    </row>
    <row r="451" spans="1:1" outlineLevel="1" x14ac:dyDescent="0.25">
      <c r="A451" t="s">
        <v>954</v>
      </c>
    </row>
    <row r="452" spans="1:1" ht="13" outlineLevel="1" x14ac:dyDescent="0.3">
      <c r="A452" s="66" t="s">
        <v>976</v>
      </c>
    </row>
    <row r="453" spans="1:1" outlineLevel="1" x14ac:dyDescent="0.25">
      <c r="A453" t="s">
        <v>977</v>
      </c>
    </row>
    <row r="454" spans="1:1" outlineLevel="1" x14ac:dyDescent="0.25">
      <c r="A454" t="s">
        <v>950</v>
      </c>
    </row>
    <row r="455" spans="1:1" ht="13" outlineLevel="1" x14ac:dyDescent="0.3">
      <c r="A45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56" spans="1:1" ht="13" outlineLevel="1" x14ac:dyDescent="0.3">
      <c r="A456" s="21" t="s">
        <v>959</v>
      </c>
    </row>
    <row r="457" spans="1:1" outlineLevel="1" x14ac:dyDescent="0.25">
      <c r="A457" t="s">
        <v>960</v>
      </c>
    </row>
    <row r="458" spans="1:1" outlineLevel="1" x14ac:dyDescent="0.25">
      <c r="A458" t="s">
        <v>961</v>
      </c>
    </row>
    <row r="459" spans="1:1" outlineLevel="1" x14ac:dyDescent="0.25">
      <c r="A459" t="str">
        <f>CONCATENATE("sql left outer join acrtrees t on t.client = x.client and x.dim_1 = t.cat_1 and t.att_agrid = '",$F$159,"'")</f>
        <v>sql left outer join acrtrees t on t.client = x.client and x.dim_1 = t.cat_1 and t.att_agrid = '53'</v>
      </c>
    </row>
    <row r="460" spans="1:1" ht="13" outlineLevel="1" x14ac:dyDescent="0.3">
      <c r="A46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61" spans="1:1" ht="13" outlineLevel="1" x14ac:dyDescent="0.3">
      <c r="A461" s="21" t="s">
        <v>978</v>
      </c>
    </row>
    <row r="462" spans="1:1" outlineLevel="1" x14ac:dyDescent="0.25">
      <c r="A462" t="s">
        <v>979</v>
      </c>
    </row>
    <row r="463" spans="1:1" outlineLevel="1" x14ac:dyDescent="0.25">
      <c r="A463" t="s">
        <v>980</v>
      </c>
    </row>
    <row r="464" spans="1:1" outlineLevel="1" x14ac:dyDescent="0.25">
      <c r="A464" t="s">
        <v>966</v>
      </c>
    </row>
    <row r="465" spans="1:1" outlineLevel="1" x14ac:dyDescent="0.25">
      <c r="A465" t="s">
        <v>953</v>
      </c>
    </row>
    <row r="466" spans="1:1" outlineLevel="1" x14ac:dyDescent="0.25">
      <c r="A466" t="s">
        <v>954</v>
      </c>
    </row>
    <row r="467" spans="1:1" ht="13" outlineLevel="1" x14ac:dyDescent="0.3">
      <c r="A467" s="66" t="s">
        <v>981</v>
      </c>
    </row>
    <row r="468" spans="1:1" outlineLevel="1" x14ac:dyDescent="0.25">
      <c r="A468" t="s">
        <v>982</v>
      </c>
    </row>
    <row r="469" spans="1:1" outlineLevel="1" x14ac:dyDescent="0.25">
      <c r="A469" t="s">
        <v>950</v>
      </c>
    </row>
    <row r="470" spans="1:1" ht="13" outlineLevel="1" x14ac:dyDescent="0.3">
      <c r="A47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71" spans="1:1" ht="13" outlineLevel="1" x14ac:dyDescent="0.3">
      <c r="A471" s="21" t="s">
        <v>969</v>
      </c>
    </row>
    <row r="472" spans="1:1" ht="13" outlineLevel="1" x14ac:dyDescent="0.3">
      <c r="A472" s="21" t="s">
        <v>959</v>
      </c>
    </row>
    <row r="473" spans="1:1" outlineLevel="1" x14ac:dyDescent="0.25">
      <c r="A473" t="s">
        <v>960</v>
      </c>
    </row>
    <row r="474" spans="1:1" outlineLevel="1" x14ac:dyDescent="0.25">
      <c r="A474" t="s">
        <v>961</v>
      </c>
    </row>
    <row r="475" spans="1:1" outlineLevel="1" x14ac:dyDescent="0.25">
      <c r="A475" t="str">
        <f>CONCATENATE("sql left outer join acrtrees t on t.client = x.client and x.dim_1 = t.cat_1 and t.att_agrid = '",$F$159,"'")</f>
        <v>sql left outer join acrtrees t on t.client = x.client and x.dim_1 = t.cat_1 and t.att_agrid = '53'</v>
      </c>
    </row>
    <row r="476" spans="1:1" ht="13" outlineLevel="1" x14ac:dyDescent="0.3">
      <c r="A47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77" spans="1:1" ht="13" outlineLevel="1" x14ac:dyDescent="0.3">
      <c r="A477" s="21" t="s">
        <v>970</v>
      </c>
    </row>
    <row r="478" spans="1:1" ht="13" outlineLevel="1" x14ac:dyDescent="0.3">
      <c r="A478" s="21" t="s">
        <v>978</v>
      </c>
    </row>
    <row r="479" spans="1:1" outlineLevel="1" x14ac:dyDescent="0.25">
      <c r="A479" t="s">
        <v>979</v>
      </c>
    </row>
    <row r="480" spans="1:1" outlineLevel="1" x14ac:dyDescent="0.25">
      <c r="A480" t="s">
        <v>980</v>
      </c>
    </row>
    <row r="481" spans="1:3" outlineLevel="1" x14ac:dyDescent="0.25">
      <c r="A481" t="s">
        <v>966</v>
      </c>
    </row>
    <row r="482" spans="1:3" outlineLevel="1" x14ac:dyDescent="0.25">
      <c r="A482" t="s">
        <v>953</v>
      </c>
    </row>
    <row r="483" spans="1:3" outlineLevel="1" x14ac:dyDescent="0.25">
      <c r="A483" t="s">
        <v>954</v>
      </c>
    </row>
    <row r="484" spans="1:3" ht="13" outlineLevel="1" x14ac:dyDescent="0.3">
      <c r="A484" s="20" t="s">
        <v>983</v>
      </c>
    </row>
    <row r="485" spans="1:3" outlineLevel="1" x14ac:dyDescent="0.25">
      <c r="A485" s="7" t="s">
        <v>984</v>
      </c>
    </row>
    <row r="486" spans="1:3" outlineLevel="1" x14ac:dyDescent="0.25">
      <c r="A486" t="s">
        <v>950</v>
      </c>
    </row>
    <row r="487" spans="1:3" outlineLevel="1" x14ac:dyDescent="0.25">
      <c r="A487" t="s">
        <v>951</v>
      </c>
    </row>
    <row r="488" spans="1:3" ht="14.5" outlineLevel="1" x14ac:dyDescent="0.35">
      <c r="A488"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488" s="2"/>
    </row>
    <row r="489" spans="1:3" outlineLevel="1" x14ac:dyDescent="0.25">
      <c r="A489" t="s">
        <v>952</v>
      </c>
    </row>
    <row r="490" spans="1:3" outlineLevel="1" x14ac:dyDescent="0.25">
      <c r="A490" t="s">
        <v>953</v>
      </c>
    </row>
    <row r="491" spans="1:3" outlineLevel="1" x14ac:dyDescent="0.25">
      <c r="A491" t="s">
        <v>954</v>
      </c>
    </row>
    <row r="492" spans="1:3" ht="13" outlineLevel="1" x14ac:dyDescent="0.3">
      <c r="A492" s="20" t="s">
        <v>985</v>
      </c>
    </row>
    <row r="493" spans="1:3" outlineLevel="1" x14ac:dyDescent="0.25">
      <c r="A493" s="7" t="s">
        <v>986</v>
      </c>
    </row>
    <row r="494" spans="1:3" outlineLevel="1" x14ac:dyDescent="0.25">
      <c r="A494" t="s">
        <v>987</v>
      </c>
    </row>
    <row r="495" spans="1:3" ht="13" outlineLevel="1" x14ac:dyDescent="0.3">
      <c r="A495" s="21" t="str">
        <f>CONCATENATE("sql where a.client = '",$D$172,"' and a.period between '",LEFT($D$170,4),"00' and '",IF(RIGHT($D$171,2)="12",CONCATENATE(LEFT($D$171,4),"14"),$D$171),"'")</f>
        <v>sql where a.client = 'OX' and a.period between '202500' and '202506'</v>
      </c>
    </row>
    <row r="496" spans="1:3" outlineLevel="1" x14ac:dyDescent="0.25">
      <c r="A496" t="s">
        <v>952</v>
      </c>
    </row>
    <row r="497" spans="1:1" outlineLevel="1" x14ac:dyDescent="0.25">
      <c r="A497" t="s">
        <v>953</v>
      </c>
    </row>
    <row r="498" spans="1:1" outlineLevel="1" x14ac:dyDescent="0.25">
      <c r="A498" t="s">
        <v>954</v>
      </c>
    </row>
    <row r="499" spans="1:1" ht="13" outlineLevel="1" x14ac:dyDescent="0.3">
      <c r="A499" s="20" t="s">
        <v>988</v>
      </c>
    </row>
    <row r="500" spans="1:1" outlineLevel="1" x14ac:dyDescent="0.25">
      <c r="A500" s="7" t="s">
        <v>989</v>
      </c>
    </row>
    <row r="501" spans="1:1" outlineLevel="1" x14ac:dyDescent="0.25">
      <c r="A501" t="s">
        <v>950</v>
      </c>
    </row>
    <row r="502" spans="1:1" outlineLevel="1" x14ac:dyDescent="0.25">
      <c r="A502" t="s">
        <v>951</v>
      </c>
    </row>
    <row r="503" spans="1:1" ht="13" outlineLevel="1" x14ac:dyDescent="0.3">
      <c r="A503"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504" spans="1:1" outlineLevel="1" x14ac:dyDescent="0.25">
      <c r="A504" t="s">
        <v>952</v>
      </c>
    </row>
    <row r="505" spans="1:1" outlineLevel="1" x14ac:dyDescent="0.25">
      <c r="A505" t="s">
        <v>953</v>
      </c>
    </row>
    <row r="506" spans="1:1" outlineLevel="1" x14ac:dyDescent="0.25">
      <c r="A506" t="s">
        <v>954</v>
      </c>
    </row>
    <row r="507" spans="1:1" ht="13" outlineLevel="1" x14ac:dyDescent="0.3">
      <c r="A507" s="20" t="s">
        <v>990</v>
      </c>
    </row>
    <row r="508" spans="1:1" outlineLevel="1" x14ac:dyDescent="0.25">
      <c r="A508" s="7" t="s">
        <v>991</v>
      </c>
    </row>
    <row r="509" spans="1:1" outlineLevel="1" x14ac:dyDescent="0.25">
      <c r="A509" t="s">
        <v>950</v>
      </c>
    </row>
    <row r="510" spans="1:1" outlineLevel="1" x14ac:dyDescent="0.25">
      <c r="A510" t="s">
        <v>951</v>
      </c>
    </row>
    <row r="511" spans="1:1" ht="13" outlineLevel="1" x14ac:dyDescent="0.3">
      <c r="A51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512" spans="1:1" outlineLevel="1" x14ac:dyDescent="0.25">
      <c r="A512" t="s">
        <v>952</v>
      </c>
    </row>
    <row r="513" spans="1:1" outlineLevel="1" x14ac:dyDescent="0.25">
      <c r="A513" t="s">
        <v>953</v>
      </c>
    </row>
    <row r="514" spans="1:1" outlineLevel="1" x14ac:dyDescent="0.25">
      <c r="A514" t="s">
        <v>954</v>
      </c>
    </row>
    <row r="515" spans="1:1" ht="13" outlineLevel="1" x14ac:dyDescent="0.3">
      <c r="A515" s="20" t="s">
        <v>992</v>
      </c>
    </row>
    <row r="516" spans="1:1" outlineLevel="1" x14ac:dyDescent="0.25">
      <c r="A516" s="7" t="s">
        <v>993</v>
      </c>
    </row>
    <row r="517" spans="1:1" outlineLevel="1" x14ac:dyDescent="0.25">
      <c r="A517" t="s">
        <v>950</v>
      </c>
    </row>
    <row r="518" spans="1:1" outlineLevel="1" x14ac:dyDescent="0.25">
      <c r="A518" t="s">
        <v>951</v>
      </c>
    </row>
    <row r="519" spans="1:1" ht="13" outlineLevel="1" x14ac:dyDescent="0.3">
      <c r="A51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520" spans="1:1" outlineLevel="1" x14ac:dyDescent="0.25">
      <c r="A520" t="s">
        <v>952</v>
      </c>
    </row>
    <row r="521" spans="1:1" outlineLevel="1" x14ac:dyDescent="0.25">
      <c r="A521" t="s">
        <v>953</v>
      </c>
    </row>
    <row r="522" spans="1:1" outlineLevel="1" x14ac:dyDescent="0.25">
      <c r="A522" t="s">
        <v>994</v>
      </c>
    </row>
    <row r="523" spans="1:1" outlineLevel="1" x14ac:dyDescent="0.25">
      <c r="A523" t="str">
        <f>CONCATENATE("sql left outer join acrtrees t on t.client = u.client and u.dim_1 = t.cat_1 and t.att_agrid = '",$F$159,"'")</f>
        <v>sql left outer join acrtrees t on t.client = u.client and u.dim_1 = t.cat_1 and t.att_agrid = '53'</v>
      </c>
    </row>
    <row r="524" spans="1:1" outlineLevel="1" x14ac:dyDescent="0.25">
      <c r="A524" t="str">
        <f>CONCATENATE("sql left outer join acrtrees s on s.client = u.client and u.account = s.cat_1 and s.att_agrid = '",$F$160,"'")</f>
        <v>sql left outer join acrtrees s on s.client = u.client and u.account = s.cat_1 and s.att_agrid = '14'</v>
      </c>
    </row>
    <row r="525" spans="1:1" outlineLevel="1" x14ac:dyDescent="0.25">
      <c r="A525" t="str">
        <f>CONCATENATE("sql left outer join acrtrees v on v.client = u.client and u.account = v.cat_1 and v.att_agrid = '",$F$161,"'")</f>
        <v>sql left outer join acrtrees v on v.client = u.client and u.account = v.cat_1 and v.att_agrid = '17'</v>
      </c>
    </row>
    <row r="526" spans="1:1" outlineLevel="1" x14ac:dyDescent="0.25">
      <c r="A526" t="str">
        <f>CONCATENATE("sql left outer join agldescription d on d.client = u.client and d.dim_value = t.dim_c and d.attribute_id = '",$F$162,"'")</f>
        <v>sql left outer join agldescription d on d.client = u.client and d.dim_value = t.dim_c and d.attribute_id = '82'</v>
      </c>
    </row>
    <row r="527" spans="1:1" outlineLevel="1" x14ac:dyDescent="0.25">
      <c r="A527" t="str">
        <f>CONCATENATE("sql left outer join agldescription e on e.client = u.client and e.dim_value = t.dim_b and e.attribute_id = '",$F$163,"'")</f>
        <v>sql left outer join agldescription e on e.client = u.client and e.dim_value = t.dim_b and e.attribute_id = '81'</v>
      </c>
    </row>
    <row r="528" spans="1:1" outlineLevel="1" x14ac:dyDescent="0.25">
      <c r="A528" t="str">
        <f>CONCATENATE("sql left outer join agldescription f on f.client = u.client and f.dim_value = t.dim_e and f.attribute_id = '",$F$164,"'")</f>
        <v>sql left outer join agldescription f on f.client = u.client and f.dim_value = t.dim_e and f.attribute_id = '80'</v>
      </c>
    </row>
    <row r="529" spans="1:33" outlineLevel="1" x14ac:dyDescent="0.25">
      <c r="A529" t="str">
        <f>CONCATENATE("sql left outer join agldescription g on g.client = u.client and g.dim_value = u.account and g.attribute_id = '",$F$165,"'")</f>
        <v>sql left outer join agldescription g on g.client = u.client and g.dim_value = u.account and g.attribute_id = 'A0'</v>
      </c>
    </row>
    <row r="530" spans="1:33" ht="14.5" outlineLevel="1" x14ac:dyDescent="0.35">
      <c r="A530" s="67" t="s">
        <v>1042</v>
      </c>
      <c r="G530" s="737" t="s">
        <v>1043</v>
      </c>
    </row>
    <row r="531" spans="1:33" outlineLevel="1" x14ac:dyDescent="0.25">
      <c r="A531" t="s">
        <v>1005</v>
      </c>
    </row>
    <row r="532" spans="1:33" outlineLevel="1" x14ac:dyDescent="0.25">
      <c r="A532" t="s">
        <v>1006</v>
      </c>
    </row>
    <row r="533" spans="1:33" outlineLevel="1" x14ac:dyDescent="0.25">
      <c r="A533" t="s">
        <v>1007</v>
      </c>
    </row>
    <row r="534" spans="1:33" ht="13" outlineLevel="1" x14ac:dyDescent="0.3">
      <c r="A534" t="s">
        <v>1012</v>
      </c>
      <c r="C534" s="29"/>
      <c r="D534" s="36">
        <v>1000</v>
      </c>
      <c r="E534" s="36">
        <v>1000</v>
      </c>
      <c r="F534" s="22">
        <v>1000</v>
      </c>
      <c r="G534" s="22">
        <v>1000</v>
      </c>
      <c r="H534" s="22">
        <v>1000</v>
      </c>
      <c r="I534" s="22">
        <v>1000</v>
      </c>
      <c r="J534" s="22">
        <v>1000</v>
      </c>
      <c r="K534" s="22">
        <v>1000</v>
      </c>
      <c r="L534" s="22"/>
      <c r="M534" s="36"/>
      <c r="N534" s="36"/>
      <c r="O534" s="36">
        <v>1000</v>
      </c>
      <c r="P534" s="36">
        <v>1000</v>
      </c>
      <c r="Q534" s="36">
        <v>1000</v>
      </c>
      <c r="R534" s="36">
        <v>1000</v>
      </c>
      <c r="S534" s="36">
        <v>1000</v>
      </c>
      <c r="T534" s="36"/>
      <c r="U534" s="36"/>
      <c r="V534" s="58"/>
      <c r="W534" s="36">
        <v>1000</v>
      </c>
      <c r="X534" s="36">
        <v>1000</v>
      </c>
      <c r="Y534" s="36"/>
      <c r="Z534" s="36"/>
      <c r="AA534" s="40"/>
      <c r="AB534" s="60"/>
      <c r="AC534" s="98"/>
      <c r="AD534" s="36"/>
      <c r="AE534" s="36"/>
      <c r="AF534" s="36"/>
      <c r="AG534" s="99"/>
    </row>
    <row r="535" spans="1:33" ht="13" outlineLevel="1" x14ac:dyDescent="0.3">
      <c r="A535" s="7" t="s">
        <v>1013</v>
      </c>
      <c r="C535" s="29"/>
      <c r="D535" s="36">
        <v>0</v>
      </c>
      <c r="E535" s="36">
        <v>0</v>
      </c>
      <c r="F535" s="22">
        <v>0</v>
      </c>
      <c r="G535" s="22">
        <v>0</v>
      </c>
      <c r="H535" s="22">
        <v>0</v>
      </c>
      <c r="I535" s="22">
        <v>0</v>
      </c>
      <c r="J535" s="22">
        <v>0</v>
      </c>
      <c r="K535" s="22">
        <v>0</v>
      </c>
      <c r="L535" s="22"/>
      <c r="M535" s="36"/>
      <c r="N535" s="36"/>
      <c r="O535" s="36">
        <v>0</v>
      </c>
      <c r="P535" s="36">
        <v>0</v>
      </c>
      <c r="Q535" s="36">
        <v>0</v>
      </c>
      <c r="R535" s="36">
        <v>0</v>
      </c>
      <c r="S535" s="36">
        <v>0</v>
      </c>
      <c r="T535" s="36"/>
      <c r="U535" s="36"/>
      <c r="V535" s="58"/>
      <c r="W535" s="36">
        <v>0</v>
      </c>
      <c r="X535" s="36">
        <v>0</v>
      </c>
      <c r="Y535" s="36"/>
      <c r="Z535" s="36"/>
      <c r="AA535" s="40"/>
      <c r="AB535" s="60"/>
      <c r="AC535" s="98"/>
      <c r="AD535" s="36"/>
      <c r="AE535" s="36"/>
      <c r="AF535" s="36"/>
      <c r="AG535" s="99"/>
    </row>
    <row r="536" spans="1:33" ht="13" outlineLevel="1" x14ac:dyDescent="0.3">
      <c r="A536" t="s">
        <v>1014</v>
      </c>
      <c r="C536" s="30"/>
      <c r="D536" s="36"/>
      <c r="E536" s="36"/>
      <c r="F536" s="57"/>
      <c r="G536" s="57"/>
      <c r="H536" s="57"/>
      <c r="I536" s="57"/>
      <c r="J536" s="57"/>
      <c r="K536" s="57"/>
      <c r="L536" s="57"/>
      <c r="M536" s="36"/>
      <c r="N536" s="36"/>
      <c r="O536" s="36"/>
      <c r="P536" s="36" t="s">
        <v>1015</v>
      </c>
      <c r="Q536" s="36" t="s">
        <v>1016</v>
      </c>
      <c r="R536" s="36"/>
      <c r="S536" s="36"/>
      <c r="T536" s="36"/>
      <c r="U536" s="36"/>
      <c r="V536" s="58"/>
      <c r="W536" s="36"/>
      <c r="X536" s="36"/>
      <c r="Y536" s="36"/>
      <c r="Z536" s="36"/>
      <c r="AA536" s="40"/>
      <c r="AB536" s="60"/>
      <c r="AC536" s="98"/>
      <c r="AD536" s="36"/>
      <c r="AE536" s="36"/>
      <c r="AF536" s="36"/>
      <c r="AG536" s="99"/>
    </row>
    <row r="537" spans="1:33" ht="13" outlineLevel="1" x14ac:dyDescent="0.3">
      <c r="A537" t="s">
        <v>1017</v>
      </c>
      <c r="C537" s="31"/>
      <c r="D537" s="36" t="s">
        <v>1019</v>
      </c>
      <c r="E537" s="36" t="s">
        <v>1020</v>
      </c>
      <c r="F537" s="22" t="s">
        <v>1021</v>
      </c>
      <c r="G537" s="22" t="s">
        <v>1022</v>
      </c>
      <c r="H537" s="22" t="s">
        <v>1023</v>
      </c>
      <c r="I537" s="22" t="s">
        <v>1024</v>
      </c>
      <c r="J537" s="22" t="s">
        <v>1025</v>
      </c>
      <c r="K537" s="22" t="s">
        <v>1026</v>
      </c>
      <c r="L537" s="22"/>
      <c r="M537" s="36"/>
      <c r="N537" s="36"/>
      <c r="O537" s="36" t="s">
        <v>1027</v>
      </c>
      <c r="P537" s="36" t="s">
        <v>1028</v>
      </c>
      <c r="Q537" s="36" t="s">
        <v>1028</v>
      </c>
      <c r="R537" s="36" t="s">
        <v>1028</v>
      </c>
      <c r="S537" s="36" t="s">
        <v>1029</v>
      </c>
      <c r="T537" s="36"/>
      <c r="U537" s="36"/>
      <c r="V537" s="58"/>
      <c r="W537" s="36" t="s">
        <v>1030</v>
      </c>
      <c r="X537" s="36" t="s">
        <v>1031</v>
      </c>
      <c r="Y537" s="36"/>
      <c r="Z537" s="36"/>
      <c r="AA537" s="40"/>
      <c r="AB537" s="60"/>
      <c r="AC537" s="98"/>
      <c r="AD537" s="36"/>
      <c r="AE537" s="36"/>
      <c r="AF537" s="36"/>
      <c r="AG537" s="99"/>
    </row>
    <row r="538" spans="1:33" ht="13" outlineLevel="1" x14ac:dyDescent="0.3">
      <c r="A538" t="s">
        <v>1041</v>
      </c>
      <c r="C538" s="31" t="s">
        <v>118</v>
      </c>
      <c r="D538" s="33">
        <v>0</v>
      </c>
      <c r="E538" s="33">
        <v>0</v>
      </c>
      <c r="F538" s="23">
        <v>0</v>
      </c>
      <c r="G538" s="23">
        <v>0</v>
      </c>
      <c r="H538" s="23">
        <v>0</v>
      </c>
      <c r="I538" s="23">
        <v>0</v>
      </c>
      <c r="J538" s="23">
        <v>0</v>
      </c>
      <c r="K538" s="23">
        <v>0</v>
      </c>
      <c r="L538" s="23">
        <f>SUM(F538:K538)</f>
        <v>0</v>
      </c>
      <c r="M538" s="33">
        <f>O538-E538</f>
        <v>0</v>
      </c>
      <c r="N538" s="33">
        <f>O538-D538</f>
        <v>0</v>
      </c>
      <c r="O538" s="33">
        <v>0</v>
      </c>
      <c r="P538" s="33">
        <v>0</v>
      </c>
      <c r="Q538" s="33">
        <v>0</v>
      </c>
      <c r="R538" s="33">
        <v>0</v>
      </c>
      <c r="S538" s="33">
        <v>0</v>
      </c>
      <c r="T538" s="33">
        <f>R538-S538</f>
        <v>0</v>
      </c>
      <c r="U538" s="38" t="str">
        <f>IFERROR((R538/O538)*100%,"∞")</f>
        <v>∞</v>
      </c>
      <c r="V538" s="59">
        <f>O538+W538</f>
        <v>0</v>
      </c>
      <c r="W538" s="33">
        <v>0</v>
      </c>
      <c r="X538" s="33">
        <v>0</v>
      </c>
      <c r="Y538" s="33"/>
      <c r="Z538" s="33"/>
      <c r="AA538" s="42"/>
      <c r="AB538" s="60"/>
      <c r="AC538" s="105"/>
      <c r="AD538" s="93"/>
      <c r="AE538" s="33">
        <f>SUM(AC538:AD538)</f>
        <v>0</v>
      </c>
      <c r="AF538" s="33">
        <f>R538+AE538</f>
        <v>0</v>
      </c>
      <c r="AG538" s="101">
        <f>AF538-O538</f>
        <v>0</v>
      </c>
    </row>
    <row r="539" spans="1:33" ht="13" outlineLevel="1" x14ac:dyDescent="0.3">
      <c r="A539" t="s">
        <v>232</v>
      </c>
      <c r="C539" s="45"/>
      <c r="D539" s="37"/>
      <c r="E539" s="37"/>
      <c r="M539" s="37"/>
      <c r="N539" s="37"/>
      <c r="O539" s="37"/>
      <c r="P539" s="37"/>
      <c r="Q539" s="37"/>
      <c r="R539" s="37"/>
      <c r="S539" s="37"/>
      <c r="T539" s="37"/>
      <c r="U539" s="46"/>
      <c r="V539" s="27"/>
      <c r="W539" s="37"/>
      <c r="X539" s="37"/>
      <c r="Y539" s="37"/>
      <c r="Z539" s="37"/>
      <c r="AA539" s="37"/>
      <c r="AC539" s="37"/>
      <c r="AD539" s="37"/>
      <c r="AE539" s="37"/>
      <c r="AF539" s="37"/>
      <c r="AG539" s="37"/>
    </row>
    <row r="540" spans="1:33" outlineLevel="1" x14ac:dyDescent="0.25">
      <c r="A540" t="s">
        <v>944</v>
      </c>
      <c r="M540" s="19"/>
      <c r="N540" s="19"/>
    </row>
    <row r="541" spans="1:33" outlineLevel="1" x14ac:dyDescent="0.25">
      <c r="A541" t="s">
        <v>946</v>
      </c>
      <c r="E541" s="19"/>
    </row>
    <row r="542" spans="1:33" outlineLevel="1" x14ac:dyDescent="0.25">
      <c r="A542" t="s">
        <v>947</v>
      </c>
      <c r="E542" s="19"/>
      <c r="F542" s="19"/>
    </row>
    <row r="543" spans="1:33" ht="13" outlineLevel="1" x14ac:dyDescent="0.3">
      <c r="A543" s="20" t="s">
        <v>948</v>
      </c>
    </row>
    <row r="544" spans="1:33" outlineLevel="1" x14ac:dyDescent="0.25">
      <c r="A544" s="7" t="s">
        <v>949</v>
      </c>
    </row>
    <row r="545" spans="1:3" outlineLevel="1" x14ac:dyDescent="0.25">
      <c r="A545" t="s">
        <v>950</v>
      </c>
    </row>
    <row r="546" spans="1:3" outlineLevel="1" x14ac:dyDescent="0.25">
      <c r="A546" t="s">
        <v>951</v>
      </c>
    </row>
    <row r="547" spans="1:3" ht="13" outlineLevel="1" x14ac:dyDescent="0.3">
      <c r="A547" s="21" t="str">
        <f>CONCATENATE("sql where a.client = '",$D$172,"' and a.period between '",LEFT($D$170,4),"00' and '",LEFT($D$171,4),"14' and a.version like '%ORIG%'")</f>
        <v>sql where a.client = 'OX' and a.period between '202500' and '202514' and a.version like '%ORIG%'</v>
      </c>
    </row>
    <row r="548" spans="1:3" outlineLevel="1" x14ac:dyDescent="0.25">
      <c r="A548" t="s">
        <v>952</v>
      </c>
    </row>
    <row r="549" spans="1:3" outlineLevel="1" x14ac:dyDescent="0.25">
      <c r="A549" t="s">
        <v>953</v>
      </c>
    </row>
    <row r="550" spans="1:3" outlineLevel="1" x14ac:dyDescent="0.25">
      <c r="A550" t="s">
        <v>954</v>
      </c>
    </row>
    <row r="551" spans="1:3" ht="13" outlineLevel="1" x14ac:dyDescent="0.3">
      <c r="A551" s="20" t="s">
        <v>955</v>
      </c>
    </row>
    <row r="552" spans="1:3" outlineLevel="1" x14ac:dyDescent="0.25">
      <c r="A552" s="7" t="s">
        <v>956</v>
      </c>
    </row>
    <row r="553" spans="1:3" outlineLevel="1" x14ac:dyDescent="0.25">
      <c r="A553" t="s">
        <v>950</v>
      </c>
    </row>
    <row r="554" spans="1:3" outlineLevel="1" x14ac:dyDescent="0.25">
      <c r="A554" t="s">
        <v>951</v>
      </c>
    </row>
    <row r="555" spans="1:3" ht="14.5" outlineLevel="1" x14ac:dyDescent="0.35">
      <c r="A555"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555" s="2"/>
    </row>
    <row r="556" spans="1:3" outlineLevel="1" x14ac:dyDescent="0.25">
      <c r="A556" t="s">
        <v>952</v>
      </c>
    </row>
    <row r="557" spans="1:3" outlineLevel="1" x14ac:dyDescent="0.25">
      <c r="A557" t="s">
        <v>953</v>
      </c>
    </row>
    <row r="558" spans="1:3" outlineLevel="1" x14ac:dyDescent="0.25">
      <c r="A558" t="s">
        <v>954</v>
      </c>
    </row>
    <row r="559" spans="1:3" ht="13" outlineLevel="1" x14ac:dyDescent="0.3">
      <c r="A559" s="66" t="s">
        <v>957</v>
      </c>
    </row>
    <row r="560" spans="1:3" outlineLevel="1" x14ac:dyDescent="0.25">
      <c r="A560" t="s">
        <v>958</v>
      </c>
    </row>
    <row r="561" spans="1:1" outlineLevel="1" x14ac:dyDescent="0.25">
      <c r="A561" t="s">
        <v>950</v>
      </c>
    </row>
    <row r="562" spans="1:1" ht="13" outlineLevel="1" x14ac:dyDescent="0.3">
      <c r="A56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563" spans="1:1" ht="13" outlineLevel="1" x14ac:dyDescent="0.3">
      <c r="A563" s="21" t="s">
        <v>959</v>
      </c>
    </row>
    <row r="564" spans="1:1" outlineLevel="1" x14ac:dyDescent="0.25">
      <c r="A564" t="s">
        <v>960</v>
      </c>
    </row>
    <row r="565" spans="1:1" outlineLevel="1" x14ac:dyDescent="0.25">
      <c r="A565" t="s">
        <v>961</v>
      </c>
    </row>
    <row r="566" spans="1:1" outlineLevel="1" x14ac:dyDescent="0.25">
      <c r="A566" t="str">
        <f>CONCATENATE("sql left outer join acrtrees t on t.client = x.client and x.dim_1 = t.cat_1 and t.att_agrid = '",$F$159,"'")</f>
        <v>sql left outer join acrtrees t on t.client = x.client and x.dim_1 = t.cat_1 and t.att_agrid = '53'</v>
      </c>
    </row>
    <row r="567" spans="1:1" ht="13" outlineLevel="1" x14ac:dyDescent="0.3">
      <c r="A56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568" spans="1:1" ht="13" outlineLevel="1" x14ac:dyDescent="0.3">
      <c r="A568" s="21" t="s">
        <v>962</v>
      </c>
    </row>
    <row r="569" spans="1:1" ht="13" outlineLevel="1" x14ac:dyDescent="0.3">
      <c r="A569"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570" spans="1:1" ht="13" outlineLevel="1" x14ac:dyDescent="0.3">
      <c r="A570" s="21" t="s">
        <v>963</v>
      </c>
    </row>
    <row r="571" spans="1:1" outlineLevel="1" x14ac:dyDescent="0.25">
      <c r="A571" t="s">
        <v>964</v>
      </c>
    </row>
    <row r="572" spans="1:1" outlineLevel="1" x14ac:dyDescent="0.25">
      <c r="A572" t="s">
        <v>965</v>
      </c>
    </row>
    <row r="573" spans="1:1" outlineLevel="1" x14ac:dyDescent="0.25">
      <c r="A573" t="s">
        <v>966</v>
      </c>
    </row>
    <row r="574" spans="1:1" outlineLevel="1" x14ac:dyDescent="0.25">
      <c r="A574" t="s">
        <v>953</v>
      </c>
    </row>
    <row r="575" spans="1:1" outlineLevel="1" x14ac:dyDescent="0.25">
      <c r="A575" t="s">
        <v>954</v>
      </c>
    </row>
    <row r="576" spans="1:1" ht="13" outlineLevel="1" x14ac:dyDescent="0.3">
      <c r="A576" s="66" t="s">
        <v>967</v>
      </c>
    </row>
    <row r="577" spans="1:1" outlineLevel="1" x14ac:dyDescent="0.25">
      <c r="A577" t="s">
        <v>968</v>
      </c>
    </row>
    <row r="578" spans="1:1" outlineLevel="1" x14ac:dyDescent="0.25">
      <c r="A578" t="s">
        <v>950</v>
      </c>
    </row>
    <row r="579" spans="1:1" ht="13" outlineLevel="1" x14ac:dyDescent="0.3">
      <c r="A57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580" spans="1:1" ht="13" outlineLevel="1" x14ac:dyDescent="0.3">
      <c r="A580" s="21" t="s">
        <v>969</v>
      </c>
    </row>
    <row r="581" spans="1:1" ht="13" outlineLevel="1" x14ac:dyDescent="0.3">
      <c r="A581" s="21" t="s">
        <v>959</v>
      </c>
    </row>
    <row r="582" spans="1:1" outlineLevel="1" x14ac:dyDescent="0.25">
      <c r="A582" t="s">
        <v>960</v>
      </c>
    </row>
    <row r="583" spans="1:1" outlineLevel="1" x14ac:dyDescent="0.25">
      <c r="A583" t="s">
        <v>961</v>
      </c>
    </row>
    <row r="584" spans="1:1" outlineLevel="1" x14ac:dyDescent="0.25">
      <c r="A584" t="str">
        <f>CONCATENATE("sql left outer join acrtrees t on t.client = x.client and x.dim_1 = t.cat_1 and t.att_agrid = '",$F$159,"'")</f>
        <v>sql left outer join acrtrees t on t.client = x.client and x.dim_1 = t.cat_1 and t.att_agrid = '53'</v>
      </c>
    </row>
    <row r="585" spans="1:1" ht="13" outlineLevel="1" x14ac:dyDescent="0.3">
      <c r="A58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586" spans="1:1" ht="13" outlineLevel="1" x14ac:dyDescent="0.3">
      <c r="A586" s="21" t="s">
        <v>970</v>
      </c>
    </row>
    <row r="587" spans="1:1" ht="13" outlineLevel="1" x14ac:dyDescent="0.3">
      <c r="A587" s="21" t="s">
        <v>962</v>
      </c>
    </row>
    <row r="588" spans="1:1" ht="13" outlineLevel="1" x14ac:dyDescent="0.3">
      <c r="A588"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589" spans="1:1" ht="13" outlineLevel="1" x14ac:dyDescent="0.3">
      <c r="A589" s="21" t="s">
        <v>970</v>
      </c>
    </row>
    <row r="590" spans="1:1" ht="13" outlineLevel="1" x14ac:dyDescent="0.3">
      <c r="A590" s="21" t="s">
        <v>963</v>
      </c>
    </row>
    <row r="591" spans="1:1" outlineLevel="1" x14ac:dyDescent="0.25">
      <c r="A591" t="s">
        <v>964</v>
      </c>
    </row>
    <row r="592" spans="1:1" outlineLevel="1" x14ac:dyDescent="0.25">
      <c r="A592" t="s">
        <v>965</v>
      </c>
    </row>
    <row r="593" spans="1:1" outlineLevel="1" x14ac:dyDescent="0.25">
      <c r="A593" t="s">
        <v>966</v>
      </c>
    </row>
    <row r="594" spans="1:1" outlineLevel="1" x14ac:dyDescent="0.25">
      <c r="A594" t="s">
        <v>953</v>
      </c>
    </row>
    <row r="595" spans="1:1" outlineLevel="1" x14ac:dyDescent="0.25">
      <c r="A595" t="s">
        <v>954</v>
      </c>
    </row>
    <row r="596" spans="1:1" ht="13" outlineLevel="1" x14ac:dyDescent="0.3">
      <c r="A596" s="66" t="s">
        <v>971</v>
      </c>
    </row>
    <row r="597" spans="1:1" outlineLevel="1" x14ac:dyDescent="0.25">
      <c r="A597" t="s">
        <v>972</v>
      </c>
    </row>
    <row r="598" spans="1:1" outlineLevel="1" x14ac:dyDescent="0.25">
      <c r="A598" t="s">
        <v>950</v>
      </c>
    </row>
    <row r="599" spans="1:1" ht="13" outlineLevel="1" x14ac:dyDescent="0.3">
      <c r="A59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600" spans="1:1" ht="13" outlineLevel="1" x14ac:dyDescent="0.3">
      <c r="A600" s="21" t="s">
        <v>959</v>
      </c>
    </row>
    <row r="601" spans="1:1" outlineLevel="1" x14ac:dyDescent="0.25">
      <c r="A601" t="s">
        <v>960</v>
      </c>
    </row>
    <row r="602" spans="1:1" outlineLevel="1" x14ac:dyDescent="0.25">
      <c r="A602" t="s">
        <v>961</v>
      </c>
    </row>
    <row r="603" spans="1:1" outlineLevel="1" x14ac:dyDescent="0.25">
      <c r="A603" t="str">
        <f>CONCATENATE("sql left outer join acrtrees t on t.client = x.client and x.dim_1 = t.cat_1 and t.att_agrid = '",$F$159,"'")</f>
        <v>sql left outer join acrtrees t on t.client = x.client and x.dim_1 = t.cat_1 and t.att_agrid = '53'</v>
      </c>
    </row>
    <row r="604" spans="1:1" ht="13" outlineLevel="1" x14ac:dyDescent="0.3">
      <c r="A60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605" spans="1:1" ht="13" outlineLevel="1" x14ac:dyDescent="0.3">
      <c r="A605" s="21" t="s">
        <v>973</v>
      </c>
    </row>
    <row r="606" spans="1:1" outlineLevel="1" x14ac:dyDescent="0.25">
      <c r="A606" t="s">
        <v>964</v>
      </c>
    </row>
    <row r="607" spans="1:1" outlineLevel="1" x14ac:dyDescent="0.25">
      <c r="A607" t="s">
        <v>965</v>
      </c>
    </row>
    <row r="608" spans="1:1" outlineLevel="1" x14ac:dyDescent="0.25">
      <c r="A608" t="s">
        <v>966</v>
      </c>
    </row>
    <row r="609" spans="1:1" outlineLevel="1" x14ac:dyDescent="0.25">
      <c r="A609" t="s">
        <v>953</v>
      </c>
    </row>
    <row r="610" spans="1:1" outlineLevel="1" x14ac:dyDescent="0.25">
      <c r="A610" t="s">
        <v>954</v>
      </c>
    </row>
    <row r="611" spans="1:1" ht="13" outlineLevel="1" x14ac:dyDescent="0.3">
      <c r="A611" s="66" t="s">
        <v>974</v>
      </c>
    </row>
    <row r="612" spans="1:1" outlineLevel="1" x14ac:dyDescent="0.25">
      <c r="A612" t="s">
        <v>975</v>
      </c>
    </row>
    <row r="613" spans="1:1" outlineLevel="1" x14ac:dyDescent="0.25">
      <c r="A613" t="s">
        <v>950</v>
      </c>
    </row>
    <row r="614" spans="1:1" ht="13" outlineLevel="1" x14ac:dyDescent="0.3">
      <c r="A61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615" spans="1:1" ht="13" outlineLevel="1" x14ac:dyDescent="0.3">
      <c r="A615" s="21" t="s">
        <v>959</v>
      </c>
    </row>
    <row r="616" spans="1:1" outlineLevel="1" x14ac:dyDescent="0.25">
      <c r="A616" t="s">
        <v>960</v>
      </c>
    </row>
    <row r="617" spans="1:1" outlineLevel="1" x14ac:dyDescent="0.25">
      <c r="A617" t="s">
        <v>961</v>
      </c>
    </row>
    <row r="618" spans="1:1" outlineLevel="1" x14ac:dyDescent="0.25">
      <c r="A618" t="str">
        <f>CONCATENATE("sql left outer join acrtrees t on t.client = x.client and x.dim_1 = t.cat_1 and t.att_agrid = '",$F$159,"'")</f>
        <v>sql left outer join acrtrees t on t.client = x.client and x.dim_1 = t.cat_1 and t.att_agrid = '53'</v>
      </c>
    </row>
    <row r="619" spans="1:1" ht="13" outlineLevel="1" x14ac:dyDescent="0.3">
      <c r="A61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620" spans="1:1" ht="13" outlineLevel="1" x14ac:dyDescent="0.3">
      <c r="A620" s="21" t="s">
        <v>973</v>
      </c>
    </row>
    <row r="621" spans="1:1" outlineLevel="1" x14ac:dyDescent="0.25">
      <c r="A621" t="s">
        <v>964</v>
      </c>
    </row>
    <row r="622" spans="1:1" outlineLevel="1" x14ac:dyDescent="0.25">
      <c r="A622" t="s">
        <v>965</v>
      </c>
    </row>
    <row r="623" spans="1:1" outlineLevel="1" x14ac:dyDescent="0.25">
      <c r="A623" t="s">
        <v>966</v>
      </c>
    </row>
    <row r="624" spans="1:1" outlineLevel="1" x14ac:dyDescent="0.25">
      <c r="A624" t="s">
        <v>953</v>
      </c>
    </row>
    <row r="625" spans="1:1" outlineLevel="1" x14ac:dyDescent="0.25">
      <c r="A625" t="s">
        <v>954</v>
      </c>
    </row>
    <row r="626" spans="1:1" ht="13" outlineLevel="1" x14ac:dyDescent="0.3">
      <c r="A626" s="66" t="s">
        <v>976</v>
      </c>
    </row>
    <row r="627" spans="1:1" outlineLevel="1" x14ac:dyDescent="0.25">
      <c r="A627" t="s">
        <v>977</v>
      </c>
    </row>
    <row r="628" spans="1:1" outlineLevel="1" x14ac:dyDescent="0.25">
      <c r="A628" t="s">
        <v>950</v>
      </c>
    </row>
    <row r="629" spans="1:1" ht="13" outlineLevel="1" x14ac:dyDescent="0.3">
      <c r="A62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630" spans="1:1" ht="13" outlineLevel="1" x14ac:dyDescent="0.3">
      <c r="A630" s="21" t="s">
        <v>959</v>
      </c>
    </row>
    <row r="631" spans="1:1" outlineLevel="1" x14ac:dyDescent="0.25">
      <c r="A631" t="s">
        <v>960</v>
      </c>
    </row>
    <row r="632" spans="1:1" outlineLevel="1" x14ac:dyDescent="0.25">
      <c r="A632" t="s">
        <v>961</v>
      </c>
    </row>
    <row r="633" spans="1:1" outlineLevel="1" x14ac:dyDescent="0.25">
      <c r="A633" t="str">
        <f>CONCATENATE("sql left outer join acrtrees t on t.client = x.client and x.dim_1 = t.cat_1 and t.att_agrid = '",$F$159,"'")</f>
        <v>sql left outer join acrtrees t on t.client = x.client and x.dim_1 = t.cat_1 and t.att_agrid = '53'</v>
      </c>
    </row>
    <row r="634" spans="1:1" ht="13" outlineLevel="1" x14ac:dyDescent="0.3">
      <c r="A63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635" spans="1:1" ht="13" outlineLevel="1" x14ac:dyDescent="0.3">
      <c r="A635" s="21" t="s">
        <v>978</v>
      </c>
    </row>
    <row r="636" spans="1:1" outlineLevel="1" x14ac:dyDescent="0.25">
      <c r="A636" t="s">
        <v>979</v>
      </c>
    </row>
    <row r="637" spans="1:1" outlineLevel="1" x14ac:dyDescent="0.25">
      <c r="A637" t="s">
        <v>980</v>
      </c>
    </row>
    <row r="638" spans="1:1" outlineLevel="1" x14ac:dyDescent="0.25">
      <c r="A638" t="s">
        <v>966</v>
      </c>
    </row>
    <row r="639" spans="1:1" outlineLevel="1" x14ac:dyDescent="0.25">
      <c r="A639" t="s">
        <v>953</v>
      </c>
    </row>
    <row r="640" spans="1:1" outlineLevel="1" x14ac:dyDescent="0.25">
      <c r="A640" t="s">
        <v>954</v>
      </c>
    </row>
    <row r="641" spans="1:1" ht="13" outlineLevel="1" x14ac:dyDescent="0.3">
      <c r="A641" s="66" t="s">
        <v>981</v>
      </c>
    </row>
    <row r="642" spans="1:1" outlineLevel="1" x14ac:dyDescent="0.25">
      <c r="A642" t="s">
        <v>982</v>
      </c>
    </row>
    <row r="643" spans="1:1" outlineLevel="1" x14ac:dyDescent="0.25">
      <c r="A643" t="s">
        <v>950</v>
      </c>
    </row>
    <row r="644" spans="1:1" ht="13" outlineLevel="1" x14ac:dyDescent="0.3">
      <c r="A64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645" spans="1:1" ht="13" outlineLevel="1" x14ac:dyDescent="0.3">
      <c r="A645" s="21" t="s">
        <v>969</v>
      </c>
    </row>
    <row r="646" spans="1:1" ht="13" outlineLevel="1" x14ac:dyDescent="0.3">
      <c r="A646" s="21" t="s">
        <v>959</v>
      </c>
    </row>
    <row r="647" spans="1:1" outlineLevel="1" x14ac:dyDescent="0.25">
      <c r="A647" t="s">
        <v>960</v>
      </c>
    </row>
    <row r="648" spans="1:1" outlineLevel="1" x14ac:dyDescent="0.25">
      <c r="A648" t="s">
        <v>961</v>
      </c>
    </row>
    <row r="649" spans="1:1" outlineLevel="1" x14ac:dyDescent="0.25">
      <c r="A649" t="str">
        <f>CONCATENATE("sql left outer join acrtrees t on t.client = x.client and x.dim_1 = t.cat_1 and t.att_agrid = '",$F$159,"'")</f>
        <v>sql left outer join acrtrees t on t.client = x.client and x.dim_1 = t.cat_1 and t.att_agrid = '53'</v>
      </c>
    </row>
    <row r="650" spans="1:1" ht="13" outlineLevel="1" x14ac:dyDescent="0.3">
      <c r="A65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651" spans="1:1" ht="13" outlineLevel="1" x14ac:dyDescent="0.3">
      <c r="A651" s="21" t="s">
        <v>970</v>
      </c>
    </row>
    <row r="652" spans="1:1" ht="13" outlineLevel="1" x14ac:dyDescent="0.3">
      <c r="A652" s="21" t="s">
        <v>978</v>
      </c>
    </row>
    <row r="653" spans="1:1" outlineLevel="1" x14ac:dyDescent="0.25">
      <c r="A653" t="s">
        <v>979</v>
      </c>
    </row>
    <row r="654" spans="1:1" outlineLevel="1" x14ac:dyDescent="0.25">
      <c r="A654" t="s">
        <v>980</v>
      </c>
    </row>
    <row r="655" spans="1:1" outlineLevel="1" x14ac:dyDescent="0.25">
      <c r="A655" t="s">
        <v>966</v>
      </c>
    </row>
    <row r="656" spans="1:1" outlineLevel="1" x14ac:dyDescent="0.25">
      <c r="A656" t="s">
        <v>953</v>
      </c>
    </row>
    <row r="657" spans="1:3" outlineLevel="1" x14ac:dyDescent="0.25">
      <c r="A657" t="s">
        <v>954</v>
      </c>
    </row>
    <row r="658" spans="1:3" ht="13" outlineLevel="1" x14ac:dyDescent="0.3">
      <c r="A658" s="20" t="s">
        <v>983</v>
      </c>
    </row>
    <row r="659" spans="1:3" outlineLevel="1" x14ac:dyDescent="0.25">
      <c r="A659" s="7" t="s">
        <v>984</v>
      </c>
    </row>
    <row r="660" spans="1:3" outlineLevel="1" x14ac:dyDescent="0.25">
      <c r="A660" t="s">
        <v>950</v>
      </c>
    </row>
    <row r="661" spans="1:3" outlineLevel="1" x14ac:dyDescent="0.25">
      <c r="A661" t="s">
        <v>951</v>
      </c>
    </row>
    <row r="662" spans="1:3" ht="14.5" outlineLevel="1" x14ac:dyDescent="0.35">
      <c r="A662"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662" s="2"/>
    </row>
    <row r="663" spans="1:3" outlineLevel="1" x14ac:dyDescent="0.25">
      <c r="A663" t="s">
        <v>952</v>
      </c>
    </row>
    <row r="664" spans="1:3" outlineLevel="1" x14ac:dyDescent="0.25">
      <c r="A664" t="s">
        <v>953</v>
      </c>
    </row>
    <row r="665" spans="1:3" outlineLevel="1" x14ac:dyDescent="0.25">
      <c r="A665" t="s">
        <v>954</v>
      </c>
    </row>
    <row r="666" spans="1:3" ht="13" outlineLevel="1" x14ac:dyDescent="0.3">
      <c r="A666" s="20" t="s">
        <v>985</v>
      </c>
    </row>
    <row r="667" spans="1:3" outlineLevel="1" x14ac:dyDescent="0.25">
      <c r="A667" s="7" t="s">
        <v>986</v>
      </c>
    </row>
    <row r="668" spans="1:3" outlineLevel="1" x14ac:dyDescent="0.25">
      <c r="A668" t="s">
        <v>987</v>
      </c>
    </row>
    <row r="669" spans="1:3" ht="13" outlineLevel="1" x14ac:dyDescent="0.3">
      <c r="A669" s="21" t="str">
        <f>CONCATENATE("sql where a.client = '",$D$172,"' and a.period between '",LEFT($D$170,4),"00' and '",IF(RIGHT($D$171,2)="12",CONCATENATE(LEFT($D$171,4),"14"),$D$171),"'")</f>
        <v>sql where a.client = 'OX' and a.period between '202500' and '202506'</v>
      </c>
    </row>
    <row r="670" spans="1:3" outlineLevel="1" x14ac:dyDescent="0.25">
      <c r="A670" t="s">
        <v>952</v>
      </c>
    </row>
    <row r="671" spans="1:3" outlineLevel="1" x14ac:dyDescent="0.25">
      <c r="A671" t="s">
        <v>953</v>
      </c>
    </row>
    <row r="672" spans="1:3" outlineLevel="1" x14ac:dyDescent="0.25">
      <c r="A672" t="s">
        <v>954</v>
      </c>
    </row>
    <row r="673" spans="1:1" ht="13" outlineLevel="1" x14ac:dyDescent="0.3">
      <c r="A673" s="20" t="s">
        <v>988</v>
      </c>
    </row>
    <row r="674" spans="1:1" outlineLevel="1" x14ac:dyDescent="0.25">
      <c r="A674" s="7" t="s">
        <v>989</v>
      </c>
    </row>
    <row r="675" spans="1:1" outlineLevel="1" x14ac:dyDescent="0.25">
      <c r="A675" t="s">
        <v>950</v>
      </c>
    </row>
    <row r="676" spans="1:1" outlineLevel="1" x14ac:dyDescent="0.25">
      <c r="A676" t="s">
        <v>951</v>
      </c>
    </row>
    <row r="677" spans="1:1" ht="13" outlineLevel="1" x14ac:dyDescent="0.3">
      <c r="A677"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678" spans="1:1" outlineLevel="1" x14ac:dyDescent="0.25">
      <c r="A678" t="s">
        <v>952</v>
      </c>
    </row>
    <row r="679" spans="1:1" outlineLevel="1" x14ac:dyDescent="0.25">
      <c r="A679" t="s">
        <v>953</v>
      </c>
    </row>
    <row r="680" spans="1:1" outlineLevel="1" x14ac:dyDescent="0.25">
      <c r="A680" t="s">
        <v>954</v>
      </c>
    </row>
    <row r="681" spans="1:1" ht="13" outlineLevel="1" x14ac:dyDescent="0.3">
      <c r="A681" s="20" t="s">
        <v>990</v>
      </c>
    </row>
    <row r="682" spans="1:1" outlineLevel="1" x14ac:dyDescent="0.25">
      <c r="A682" s="7" t="s">
        <v>991</v>
      </c>
    </row>
    <row r="683" spans="1:1" outlineLevel="1" x14ac:dyDescent="0.25">
      <c r="A683" t="s">
        <v>950</v>
      </c>
    </row>
    <row r="684" spans="1:1" outlineLevel="1" x14ac:dyDescent="0.25">
      <c r="A684" t="s">
        <v>951</v>
      </c>
    </row>
    <row r="685" spans="1:1" ht="13" outlineLevel="1" x14ac:dyDescent="0.3">
      <c r="A68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686" spans="1:1" outlineLevel="1" x14ac:dyDescent="0.25">
      <c r="A686" t="s">
        <v>952</v>
      </c>
    </row>
    <row r="687" spans="1:1" outlineLevel="1" x14ac:dyDescent="0.25">
      <c r="A687" t="s">
        <v>953</v>
      </c>
    </row>
    <row r="688" spans="1:1" outlineLevel="1" x14ac:dyDescent="0.25">
      <c r="A688" t="s">
        <v>954</v>
      </c>
    </row>
    <row r="689" spans="1:7" ht="13" outlineLevel="1" x14ac:dyDescent="0.3">
      <c r="A689" s="20" t="s">
        <v>992</v>
      </c>
    </row>
    <row r="690" spans="1:7" outlineLevel="1" x14ac:dyDescent="0.25">
      <c r="A690" s="7" t="s">
        <v>993</v>
      </c>
    </row>
    <row r="691" spans="1:7" outlineLevel="1" x14ac:dyDescent="0.25">
      <c r="A691" t="s">
        <v>950</v>
      </c>
    </row>
    <row r="692" spans="1:7" outlineLevel="1" x14ac:dyDescent="0.25">
      <c r="A692" t="s">
        <v>951</v>
      </c>
    </row>
    <row r="693" spans="1:7" ht="13" outlineLevel="1" x14ac:dyDescent="0.3">
      <c r="A69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694" spans="1:7" outlineLevel="1" x14ac:dyDescent="0.25">
      <c r="A694" t="s">
        <v>952</v>
      </c>
    </row>
    <row r="695" spans="1:7" outlineLevel="1" x14ac:dyDescent="0.25">
      <c r="A695" t="s">
        <v>953</v>
      </c>
    </row>
    <row r="696" spans="1:7" outlineLevel="1" x14ac:dyDescent="0.25">
      <c r="A696" t="s">
        <v>994</v>
      </c>
    </row>
    <row r="697" spans="1:7" outlineLevel="1" x14ac:dyDescent="0.25">
      <c r="A697" t="str">
        <f>CONCATENATE("sql left outer join acrtrees t on t.client = u.client and u.dim_1 = t.cat_1 and t.att_agrid = '",$F$159,"'")</f>
        <v>sql left outer join acrtrees t on t.client = u.client and u.dim_1 = t.cat_1 and t.att_agrid = '53'</v>
      </c>
    </row>
    <row r="698" spans="1:7" outlineLevel="1" x14ac:dyDescent="0.25">
      <c r="A698" t="str">
        <f>CONCATENATE("sql left outer join acrtrees s on s.client = u.client and u.account = s.cat_1 and s.att_agrid = '",$F$160,"'")</f>
        <v>sql left outer join acrtrees s on s.client = u.client and u.account = s.cat_1 and s.att_agrid = '14'</v>
      </c>
    </row>
    <row r="699" spans="1:7" outlineLevel="1" x14ac:dyDescent="0.25">
      <c r="A699" t="str">
        <f>CONCATENATE("sql left outer join acrtrees v on v.client = u.client and u.account = v.cat_1 and v.att_agrid = '",$F$161,"'")</f>
        <v>sql left outer join acrtrees v on v.client = u.client and u.account = v.cat_1 and v.att_agrid = '17'</v>
      </c>
    </row>
    <row r="700" spans="1:7" outlineLevel="1" x14ac:dyDescent="0.25">
      <c r="A700" t="str">
        <f>CONCATENATE("sql left outer join agldescription d on d.client = u.client and d.dim_value = t.dim_c and d.attribute_id = '",$F$162,"'")</f>
        <v>sql left outer join agldescription d on d.client = u.client and d.dim_value = t.dim_c and d.attribute_id = '82'</v>
      </c>
    </row>
    <row r="701" spans="1:7" outlineLevel="1" x14ac:dyDescent="0.25">
      <c r="A701" t="str">
        <f>CONCATENATE("sql left outer join agldescription e on e.client = u.client and e.dim_value = t.dim_b and e.attribute_id = '",$F$163,"'")</f>
        <v>sql left outer join agldescription e on e.client = u.client and e.dim_value = t.dim_b and e.attribute_id = '81'</v>
      </c>
    </row>
    <row r="702" spans="1:7" outlineLevel="1" x14ac:dyDescent="0.25">
      <c r="A702" t="str">
        <f>CONCATENATE("sql left outer join agldescription f on f.client = u.client and f.dim_value = t.dim_e and f.attribute_id = '",$F$164,"'")</f>
        <v>sql left outer join agldescription f on f.client = u.client and f.dim_value = t.dim_e and f.attribute_id = '80'</v>
      </c>
    </row>
    <row r="703" spans="1:7" outlineLevel="1" x14ac:dyDescent="0.25">
      <c r="A703" t="str">
        <f>CONCATENATE("sql left outer join agldescription g on g.client = u.client and g.dim_value = u.account and g.attribute_id = '",$F$165,"'")</f>
        <v>sql left outer join agldescription g on g.client = u.client and g.dim_value = u.account and g.attribute_id = 'A0'</v>
      </c>
    </row>
    <row r="704" spans="1:7" ht="14.5" outlineLevel="1" x14ac:dyDescent="0.35">
      <c r="A704" s="67" t="s">
        <v>1044</v>
      </c>
      <c r="G704" s="737" t="s">
        <v>1045</v>
      </c>
    </row>
    <row r="705" spans="1:33" outlineLevel="1" x14ac:dyDescent="0.25">
      <c r="A705" t="s">
        <v>1005</v>
      </c>
    </row>
    <row r="706" spans="1:33" outlineLevel="1" x14ac:dyDescent="0.25">
      <c r="A706" t="s">
        <v>1006</v>
      </c>
    </row>
    <row r="707" spans="1:33" outlineLevel="1" x14ac:dyDescent="0.25">
      <c r="A707" t="s">
        <v>1007</v>
      </c>
    </row>
    <row r="708" spans="1:33" ht="13" outlineLevel="1" x14ac:dyDescent="0.3">
      <c r="A708" t="s">
        <v>1012</v>
      </c>
      <c r="C708" s="29"/>
      <c r="D708" s="36">
        <v>1000</v>
      </c>
      <c r="E708" s="36">
        <v>1000</v>
      </c>
      <c r="F708" s="22">
        <v>1000</v>
      </c>
      <c r="G708" s="22">
        <v>1000</v>
      </c>
      <c r="H708" s="22">
        <v>1000</v>
      </c>
      <c r="I708" s="22">
        <v>1000</v>
      </c>
      <c r="J708" s="22">
        <v>1000</v>
      </c>
      <c r="K708" s="22">
        <v>1000</v>
      </c>
      <c r="L708" s="22"/>
      <c r="M708" s="36"/>
      <c r="N708" s="36"/>
      <c r="O708" s="36">
        <v>1000</v>
      </c>
      <c r="P708" s="36">
        <v>1000</v>
      </c>
      <c r="Q708" s="36">
        <v>1000</v>
      </c>
      <c r="R708" s="36">
        <v>1000</v>
      </c>
      <c r="S708" s="36">
        <v>1000</v>
      </c>
      <c r="T708" s="36"/>
      <c r="U708" s="36"/>
      <c r="V708" s="58"/>
      <c r="W708" s="36">
        <v>1000</v>
      </c>
      <c r="X708" s="36">
        <v>1000</v>
      </c>
      <c r="Y708" s="36"/>
      <c r="Z708" s="36"/>
      <c r="AA708" s="40"/>
      <c r="AB708" s="60"/>
      <c r="AC708" s="98"/>
      <c r="AD708" s="36"/>
      <c r="AE708" s="36"/>
      <c r="AF708" s="36"/>
      <c r="AG708" s="99"/>
    </row>
    <row r="709" spans="1:33" ht="13" outlineLevel="1" x14ac:dyDescent="0.3">
      <c r="A709" s="7" t="s">
        <v>1013</v>
      </c>
      <c r="C709" s="29"/>
      <c r="D709" s="36">
        <v>0</v>
      </c>
      <c r="E709" s="36">
        <v>0</v>
      </c>
      <c r="F709" s="22">
        <v>0</v>
      </c>
      <c r="G709" s="22">
        <v>0</v>
      </c>
      <c r="H709" s="22">
        <v>0</v>
      </c>
      <c r="I709" s="22">
        <v>0</v>
      </c>
      <c r="J709" s="22">
        <v>0</v>
      </c>
      <c r="K709" s="22">
        <v>0</v>
      </c>
      <c r="L709" s="22"/>
      <c r="M709" s="36"/>
      <c r="N709" s="36"/>
      <c r="O709" s="36">
        <v>0</v>
      </c>
      <c r="P709" s="36">
        <v>0</v>
      </c>
      <c r="Q709" s="36">
        <v>0</v>
      </c>
      <c r="R709" s="36">
        <v>0</v>
      </c>
      <c r="S709" s="36">
        <v>0</v>
      </c>
      <c r="T709" s="36"/>
      <c r="U709" s="36"/>
      <c r="V709" s="58"/>
      <c r="W709" s="36">
        <v>0</v>
      </c>
      <c r="X709" s="36">
        <v>0</v>
      </c>
      <c r="Y709" s="36"/>
      <c r="Z709" s="36"/>
      <c r="AA709" s="40"/>
      <c r="AB709" s="60"/>
      <c r="AC709" s="98"/>
      <c r="AD709" s="36"/>
      <c r="AE709" s="36"/>
      <c r="AF709" s="36"/>
      <c r="AG709" s="99"/>
    </row>
    <row r="710" spans="1:33" ht="13" outlineLevel="1" x14ac:dyDescent="0.3">
      <c r="A710" t="s">
        <v>1014</v>
      </c>
      <c r="C710" s="30"/>
      <c r="D710" s="36"/>
      <c r="E710" s="36"/>
      <c r="F710" s="57"/>
      <c r="G710" s="57"/>
      <c r="H710" s="57"/>
      <c r="I710" s="57"/>
      <c r="J710" s="57"/>
      <c r="K710" s="57"/>
      <c r="L710" s="57"/>
      <c r="M710" s="36"/>
      <c r="N710" s="36"/>
      <c r="O710" s="36"/>
      <c r="P710" s="36" t="s">
        <v>1015</v>
      </c>
      <c r="Q710" s="36" t="s">
        <v>1016</v>
      </c>
      <c r="R710" s="36"/>
      <c r="S710" s="36"/>
      <c r="T710" s="36"/>
      <c r="U710" s="36"/>
      <c r="V710" s="58"/>
      <c r="W710" s="36"/>
      <c r="X710" s="36"/>
      <c r="Y710" s="36"/>
      <c r="Z710" s="36"/>
      <c r="AA710" s="40"/>
      <c r="AB710" s="60"/>
      <c r="AC710" s="98"/>
      <c r="AD710" s="36"/>
      <c r="AE710" s="36"/>
      <c r="AF710" s="36"/>
      <c r="AG710" s="99"/>
    </row>
    <row r="711" spans="1:33" ht="13" outlineLevel="1" x14ac:dyDescent="0.3">
      <c r="A711" t="s">
        <v>1017</v>
      </c>
      <c r="C711" s="31"/>
      <c r="D711" s="36" t="s">
        <v>1019</v>
      </c>
      <c r="E711" s="36" t="s">
        <v>1020</v>
      </c>
      <c r="F711" s="22" t="s">
        <v>1021</v>
      </c>
      <c r="G711" s="22" t="s">
        <v>1022</v>
      </c>
      <c r="H711" s="22" t="s">
        <v>1023</v>
      </c>
      <c r="I711" s="22" t="s">
        <v>1024</v>
      </c>
      <c r="J711" s="22" t="s">
        <v>1025</v>
      </c>
      <c r="K711" s="22" t="s">
        <v>1026</v>
      </c>
      <c r="L711" s="22"/>
      <c r="M711" s="36"/>
      <c r="N711" s="36"/>
      <c r="O711" s="36" t="s">
        <v>1027</v>
      </c>
      <c r="P711" s="36" t="s">
        <v>1028</v>
      </c>
      <c r="Q711" s="36" t="s">
        <v>1028</v>
      </c>
      <c r="R711" s="36" t="s">
        <v>1028</v>
      </c>
      <c r="S711" s="36" t="s">
        <v>1029</v>
      </c>
      <c r="T711" s="36"/>
      <c r="U711" s="36"/>
      <c r="V711" s="58"/>
      <c r="W711" s="36" t="s">
        <v>1030</v>
      </c>
      <c r="X711" s="36" t="s">
        <v>1031</v>
      </c>
      <c r="Y711" s="36"/>
      <c r="Z711" s="36"/>
      <c r="AA711" s="40"/>
      <c r="AB711" s="60"/>
      <c r="AC711" s="98"/>
      <c r="AD711" s="36"/>
      <c r="AE711" s="36"/>
      <c r="AF711" s="36"/>
      <c r="AG711" s="99"/>
    </row>
    <row r="712" spans="1:33" ht="13" outlineLevel="1" x14ac:dyDescent="0.3">
      <c r="A712" t="s">
        <v>1041</v>
      </c>
      <c r="C712" s="31" t="s">
        <v>119</v>
      </c>
      <c r="D712" s="33">
        <v>0</v>
      </c>
      <c r="E712" s="33">
        <v>0</v>
      </c>
      <c r="F712" s="23">
        <v>0</v>
      </c>
      <c r="G712" s="23">
        <v>0</v>
      </c>
      <c r="H712" s="23">
        <v>0</v>
      </c>
      <c r="I712" s="23">
        <v>0</v>
      </c>
      <c r="J712" s="23">
        <v>0</v>
      </c>
      <c r="K712" s="23">
        <v>0</v>
      </c>
      <c r="L712" s="23">
        <f>SUM(F712:K712)</f>
        <v>0</v>
      </c>
      <c r="M712" s="33">
        <f>O712-E712</f>
        <v>0</v>
      </c>
      <c r="N712" s="33">
        <f>O712-D712</f>
        <v>0</v>
      </c>
      <c r="O712" s="33">
        <v>0</v>
      </c>
      <c r="P712" s="33">
        <v>0</v>
      </c>
      <c r="Q712" s="33">
        <v>0</v>
      </c>
      <c r="R712" s="33">
        <v>0</v>
      </c>
      <c r="S712" s="33">
        <v>0</v>
      </c>
      <c r="T712" s="33">
        <f>R712-S712</f>
        <v>0</v>
      </c>
      <c r="U712" s="38" t="str">
        <f>IFERROR((R712/O712)*100%,"∞")</f>
        <v>∞</v>
      </c>
      <c r="V712" s="59">
        <f>O712+W712</f>
        <v>0</v>
      </c>
      <c r="W712" s="33">
        <v>0</v>
      </c>
      <c r="X712" s="33">
        <v>0</v>
      </c>
      <c r="Y712" s="33"/>
      <c r="Z712" s="33"/>
      <c r="AA712" s="42"/>
      <c r="AB712" s="60"/>
      <c r="AC712" s="105"/>
      <c r="AD712" s="93"/>
      <c r="AE712" s="33">
        <f>SUM(AC712:AD712)</f>
        <v>0</v>
      </c>
      <c r="AF712" s="33">
        <f>R712+AE712</f>
        <v>0</v>
      </c>
      <c r="AG712" s="101">
        <f>AF712-O712</f>
        <v>0</v>
      </c>
    </row>
    <row r="713" spans="1:33" outlineLevel="1" x14ac:dyDescent="0.25">
      <c r="A713" t="s">
        <v>232</v>
      </c>
    </row>
    <row r="714" spans="1:33" outlineLevel="1" x14ac:dyDescent="0.25">
      <c r="A714" t="s">
        <v>944</v>
      </c>
      <c r="M714" s="19"/>
      <c r="N714" s="19"/>
    </row>
    <row r="715" spans="1:33" outlineLevel="1" x14ac:dyDescent="0.25">
      <c r="A715" t="s">
        <v>946</v>
      </c>
      <c r="E715" s="19"/>
    </row>
    <row r="716" spans="1:33" outlineLevel="1" x14ac:dyDescent="0.25">
      <c r="A716" t="s">
        <v>947</v>
      </c>
      <c r="E716" s="19"/>
      <c r="F716" s="19"/>
    </row>
    <row r="717" spans="1:33" ht="13" outlineLevel="1" x14ac:dyDescent="0.3">
      <c r="A717" s="20" t="s">
        <v>948</v>
      </c>
    </row>
    <row r="718" spans="1:33" outlineLevel="1" x14ac:dyDescent="0.25">
      <c r="A718" s="7" t="s">
        <v>949</v>
      </c>
    </row>
    <row r="719" spans="1:33" outlineLevel="1" x14ac:dyDescent="0.25">
      <c r="A719" t="s">
        <v>950</v>
      </c>
    </row>
    <row r="720" spans="1:33" outlineLevel="1" x14ac:dyDescent="0.25">
      <c r="A720" t="s">
        <v>951</v>
      </c>
    </row>
    <row r="721" spans="1:3" ht="13" outlineLevel="1" x14ac:dyDescent="0.3">
      <c r="A721" s="21" t="str">
        <f>CONCATENATE("sql where a.client = '",$D$172,"' and a.period between '",LEFT($D$170,4),"00' and '",LEFT($D$171,4),"14' and a.version like '%ORIG%'")</f>
        <v>sql where a.client = 'OX' and a.period between '202500' and '202514' and a.version like '%ORIG%'</v>
      </c>
    </row>
    <row r="722" spans="1:3" outlineLevel="1" x14ac:dyDescent="0.25">
      <c r="A722" t="s">
        <v>952</v>
      </c>
    </row>
    <row r="723" spans="1:3" outlineLevel="1" x14ac:dyDescent="0.25">
      <c r="A723" t="s">
        <v>953</v>
      </c>
    </row>
    <row r="724" spans="1:3" outlineLevel="1" x14ac:dyDescent="0.25">
      <c r="A724" t="s">
        <v>954</v>
      </c>
    </row>
    <row r="725" spans="1:3" ht="13" outlineLevel="1" x14ac:dyDescent="0.3">
      <c r="A725" s="20" t="s">
        <v>955</v>
      </c>
    </row>
    <row r="726" spans="1:3" outlineLevel="1" x14ac:dyDescent="0.25">
      <c r="A726" s="7" t="s">
        <v>956</v>
      </c>
    </row>
    <row r="727" spans="1:3" outlineLevel="1" x14ac:dyDescent="0.25">
      <c r="A727" t="s">
        <v>950</v>
      </c>
    </row>
    <row r="728" spans="1:3" outlineLevel="1" x14ac:dyDescent="0.25">
      <c r="A728" t="s">
        <v>951</v>
      </c>
    </row>
    <row r="729" spans="1:3" ht="14.5" outlineLevel="1" x14ac:dyDescent="0.35">
      <c r="A729"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729" s="2"/>
    </row>
    <row r="730" spans="1:3" outlineLevel="1" x14ac:dyDescent="0.25">
      <c r="A730" t="s">
        <v>952</v>
      </c>
    </row>
    <row r="731" spans="1:3" outlineLevel="1" x14ac:dyDescent="0.25">
      <c r="A731" t="s">
        <v>953</v>
      </c>
    </row>
    <row r="732" spans="1:3" outlineLevel="1" x14ac:dyDescent="0.25">
      <c r="A732" t="s">
        <v>954</v>
      </c>
    </row>
    <row r="733" spans="1:3" ht="13" outlineLevel="1" x14ac:dyDescent="0.3">
      <c r="A733" s="66" t="s">
        <v>957</v>
      </c>
    </row>
    <row r="734" spans="1:3" outlineLevel="1" x14ac:dyDescent="0.25">
      <c r="A734" t="s">
        <v>958</v>
      </c>
    </row>
    <row r="735" spans="1:3" outlineLevel="1" x14ac:dyDescent="0.25">
      <c r="A735" t="s">
        <v>950</v>
      </c>
    </row>
    <row r="736" spans="1:3" ht="13" outlineLevel="1" x14ac:dyDescent="0.3">
      <c r="A73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737" spans="1:1" ht="13" outlineLevel="1" x14ac:dyDescent="0.3">
      <c r="A737" s="21" t="s">
        <v>959</v>
      </c>
    </row>
    <row r="738" spans="1:1" outlineLevel="1" x14ac:dyDescent="0.25">
      <c r="A738" t="s">
        <v>960</v>
      </c>
    </row>
    <row r="739" spans="1:1" outlineLevel="1" x14ac:dyDescent="0.25">
      <c r="A739" t="s">
        <v>961</v>
      </c>
    </row>
    <row r="740" spans="1:1" outlineLevel="1" x14ac:dyDescent="0.25">
      <c r="A740" t="str">
        <f>CONCATENATE("sql left outer join acrtrees t on t.client = x.client and x.dim_1 = t.cat_1 and t.att_agrid = '",$F$159,"'")</f>
        <v>sql left outer join acrtrees t on t.client = x.client and x.dim_1 = t.cat_1 and t.att_agrid = '53'</v>
      </c>
    </row>
    <row r="741" spans="1:1" ht="13" outlineLevel="1" x14ac:dyDescent="0.3">
      <c r="A74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742" spans="1:1" ht="13" outlineLevel="1" x14ac:dyDescent="0.3">
      <c r="A742" s="21" t="s">
        <v>962</v>
      </c>
    </row>
    <row r="743" spans="1:1" ht="13" outlineLevel="1" x14ac:dyDescent="0.3">
      <c r="A743"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744" spans="1:1" ht="13" outlineLevel="1" x14ac:dyDescent="0.3">
      <c r="A744" s="21" t="s">
        <v>963</v>
      </c>
    </row>
    <row r="745" spans="1:1" outlineLevel="1" x14ac:dyDescent="0.25">
      <c r="A745" t="s">
        <v>964</v>
      </c>
    </row>
    <row r="746" spans="1:1" outlineLevel="1" x14ac:dyDescent="0.25">
      <c r="A746" t="s">
        <v>965</v>
      </c>
    </row>
    <row r="747" spans="1:1" outlineLevel="1" x14ac:dyDescent="0.25">
      <c r="A747" t="s">
        <v>966</v>
      </c>
    </row>
    <row r="748" spans="1:1" outlineLevel="1" x14ac:dyDescent="0.25">
      <c r="A748" t="s">
        <v>953</v>
      </c>
    </row>
    <row r="749" spans="1:1" outlineLevel="1" x14ac:dyDescent="0.25">
      <c r="A749" t="s">
        <v>954</v>
      </c>
    </row>
    <row r="750" spans="1:1" ht="13" outlineLevel="1" x14ac:dyDescent="0.3">
      <c r="A750" s="66" t="s">
        <v>967</v>
      </c>
    </row>
    <row r="751" spans="1:1" outlineLevel="1" x14ac:dyDescent="0.25">
      <c r="A751" t="s">
        <v>968</v>
      </c>
    </row>
    <row r="752" spans="1:1" outlineLevel="1" x14ac:dyDescent="0.25">
      <c r="A752" t="s">
        <v>950</v>
      </c>
    </row>
    <row r="753" spans="1:1" ht="13" outlineLevel="1" x14ac:dyDescent="0.3">
      <c r="A75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754" spans="1:1" ht="13" outlineLevel="1" x14ac:dyDescent="0.3">
      <c r="A754" s="21" t="s">
        <v>969</v>
      </c>
    </row>
    <row r="755" spans="1:1" ht="13" outlineLevel="1" x14ac:dyDescent="0.3">
      <c r="A755" s="21" t="s">
        <v>959</v>
      </c>
    </row>
    <row r="756" spans="1:1" outlineLevel="1" x14ac:dyDescent="0.25">
      <c r="A756" t="s">
        <v>960</v>
      </c>
    </row>
    <row r="757" spans="1:1" outlineLevel="1" x14ac:dyDescent="0.25">
      <c r="A757" t="s">
        <v>961</v>
      </c>
    </row>
    <row r="758" spans="1:1" outlineLevel="1" x14ac:dyDescent="0.25">
      <c r="A758" t="str">
        <f>CONCATENATE("sql left outer join acrtrees t on t.client = x.client and x.dim_1 = t.cat_1 and t.att_agrid = '",$F$159,"'")</f>
        <v>sql left outer join acrtrees t on t.client = x.client and x.dim_1 = t.cat_1 and t.att_agrid = '53'</v>
      </c>
    </row>
    <row r="759" spans="1:1" ht="13" outlineLevel="1" x14ac:dyDescent="0.3">
      <c r="A75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760" spans="1:1" ht="13" outlineLevel="1" x14ac:dyDescent="0.3">
      <c r="A760" s="21" t="s">
        <v>970</v>
      </c>
    </row>
    <row r="761" spans="1:1" ht="13" outlineLevel="1" x14ac:dyDescent="0.3">
      <c r="A761" s="21" t="s">
        <v>962</v>
      </c>
    </row>
    <row r="762" spans="1:1" ht="13" outlineLevel="1" x14ac:dyDescent="0.3">
      <c r="A762"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763" spans="1:1" ht="13" outlineLevel="1" x14ac:dyDescent="0.3">
      <c r="A763" s="21" t="s">
        <v>970</v>
      </c>
    </row>
    <row r="764" spans="1:1" ht="13" outlineLevel="1" x14ac:dyDescent="0.3">
      <c r="A764" s="21" t="s">
        <v>963</v>
      </c>
    </row>
    <row r="765" spans="1:1" outlineLevel="1" x14ac:dyDescent="0.25">
      <c r="A765" t="s">
        <v>964</v>
      </c>
    </row>
    <row r="766" spans="1:1" outlineLevel="1" x14ac:dyDescent="0.25">
      <c r="A766" t="s">
        <v>965</v>
      </c>
    </row>
    <row r="767" spans="1:1" outlineLevel="1" x14ac:dyDescent="0.25">
      <c r="A767" t="s">
        <v>966</v>
      </c>
    </row>
    <row r="768" spans="1:1" outlineLevel="1" x14ac:dyDescent="0.25">
      <c r="A768" t="s">
        <v>953</v>
      </c>
    </row>
    <row r="769" spans="1:1" outlineLevel="1" x14ac:dyDescent="0.25">
      <c r="A769" t="s">
        <v>954</v>
      </c>
    </row>
    <row r="770" spans="1:1" ht="13" outlineLevel="1" x14ac:dyDescent="0.3">
      <c r="A770" s="66" t="s">
        <v>971</v>
      </c>
    </row>
    <row r="771" spans="1:1" outlineLevel="1" x14ac:dyDescent="0.25">
      <c r="A771" t="s">
        <v>972</v>
      </c>
    </row>
    <row r="772" spans="1:1" outlineLevel="1" x14ac:dyDescent="0.25">
      <c r="A772" t="s">
        <v>950</v>
      </c>
    </row>
    <row r="773" spans="1:1" ht="13" outlineLevel="1" x14ac:dyDescent="0.3">
      <c r="A77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774" spans="1:1" ht="13" outlineLevel="1" x14ac:dyDescent="0.3">
      <c r="A774" s="21" t="s">
        <v>959</v>
      </c>
    </row>
    <row r="775" spans="1:1" outlineLevel="1" x14ac:dyDescent="0.25">
      <c r="A775" t="s">
        <v>960</v>
      </c>
    </row>
    <row r="776" spans="1:1" outlineLevel="1" x14ac:dyDescent="0.25">
      <c r="A776" t="s">
        <v>961</v>
      </c>
    </row>
    <row r="777" spans="1:1" outlineLevel="1" x14ac:dyDescent="0.25">
      <c r="A777" t="str">
        <f>CONCATENATE("sql left outer join acrtrees t on t.client = x.client and x.dim_1 = t.cat_1 and t.att_agrid = '",$F$159,"'")</f>
        <v>sql left outer join acrtrees t on t.client = x.client and x.dim_1 = t.cat_1 and t.att_agrid = '53'</v>
      </c>
    </row>
    <row r="778" spans="1:1" ht="13" outlineLevel="1" x14ac:dyDescent="0.3">
      <c r="A77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779" spans="1:1" ht="13" outlineLevel="1" x14ac:dyDescent="0.3">
      <c r="A779" s="21" t="s">
        <v>973</v>
      </c>
    </row>
    <row r="780" spans="1:1" outlineLevel="1" x14ac:dyDescent="0.25">
      <c r="A780" t="s">
        <v>964</v>
      </c>
    </row>
    <row r="781" spans="1:1" outlineLevel="1" x14ac:dyDescent="0.25">
      <c r="A781" t="s">
        <v>965</v>
      </c>
    </row>
    <row r="782" spans="1:1" outlineLevel="1" x14ac:dyDescent="0.25">
      <c r="A782" t="s">
        <v>966</v>
      </c>
    </row>
    <row r="783" spans="1:1" outlineLevel="1" x14ac:dyDescent="0.25">
      <c r="A783" t="s">
        <v>953</v>
      </c>
    </row>
    <row r="784" spans="1:1" outlineLevel="1" x14ac:dyDescent="0.25">
      <c r="A784" t="s">
        <v>954</v>
      </c>
    </row>
    <row r="785" spans="1:1" ht="13" outlineLevel="1" x14ac:dyDescent="0.3">
      <c r="A785" s="66" t="s">
        <v>974</v>
      </c>
    </row>
    <row r="786" spans="1:1" outlineLevel="1" x14ac:dyDescent="0.25">
      <c r="A786" t="s">
        <v>975</v>
      </c>
    </row>
    <row r="787" spans="1:1" outlineLevel="1" x14ac:dyDescent="0.25">
      <c r="A787" t="s">
        <v>950</v>
      </c>
    </row>
    <row r="788" spans="1:1" ht="13" outlineLevel="1" x14ac:dyDescent="0.3">
      <c r="A78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789" spans="1:1" ht="13" outlineLevel="1" x14ac:dyDescent="0.3">
      <c r="A789" s="21" t="s">
        <v>959</v>
      </c>
    </row>
    <row r="790" spans="1:1" outlineLevel="1" x14ac:dyDescent="0.25">
      <c r="A790" t="s">
        <v>960</v>
      </c>
    </row>
    <row r="791" spans="1:1" outlineLevel="1" x14ac:dyDescent="0.25">
      <c r="A791" t="s">
        <v>961</v>
      </c>
    </row>
    <row r="792" spans="1:1" outlineLevel="1" x14ac:dyDescent="0.25">
      <c r="A792" t="str">
        <f>CONCATENATE("sql left outer join acrtrees t on t.client = x.client and x.dim_1 = t.cat_1 and t.att_agrid = '",$F$159,"'")</f>
        <v>sql left outer join acrtrees t on t.client = x.client and x.dim_1 = t.cat_1 and t.att_agrid = '53'</v>
      </c>
    </row>
    <row r="793" spans="1:1" ht="13" outlineLevel="1" x14ac:dyDescent="0.3">
      <c r="A79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794" spans="1:1" ht="13" outlineLevel="1" x14ac:dyDescent="0.3">
      <c r="A794" s="21" t="s">
        <v>973</v>
      </c>
    </row>
    <row r="795" spans="1:1" outlineLevel="1" x14ac:dyDescent="0.25">
      <c r="A795" t="s">
        <v>964</v>
      </c>
    </row>
    <row r="796" spans="1:1" outlineLevel="1" x14ac:dyDescent="0.25">
      <c r="A796" t="s">
        <v>965</v>
      </c>
    </row>
    <row r="797" spans="1:1" outlineLevel="1" x14ac:dyDescent="0.25">
      <c r="A797" t="s">
        <v>966</v>
      </c>
    </row>
    <row r="798" spans="1:1" outlineLevel="1" x14ac:dyDescent="0.25">
      <c r="A798" t="s">
        <v>953</v>
      </c>
    </row>
    <row r="799" spans="1:1" outlineLevel="1" x14ac:dyDescent="0.25">
      <c r="A799" t="s">
        <v>954</v>
      </c>
    </row>
    <row r="800" spans="1:1" ht="13" outlineLevel="1" x14ac:dyDescent="0.3">
      <c r="A800" s="66" t="s">
        <v>976</v>
      </c>
    </row>
    <row r="801" spans="1:1" outlineLevel="1" x14ac:dyDescent="0.25">
      <c r="A801" t="s">
        <v>977</v>
      </c>
    </row>
    <row r="802" spans="1:1" outlineLevel="1" x14ac:dyDescent="0.25">
      <c r="A802" t="s">
        <v>950</v>
      </c>
    </row>
    <row r="803" spans="1:1" ht="13" outlineLevel="1" x14ac:dyDescent="0.3">
      <c r="A80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804" spans="1:1" ht="13" outlineLevel="1" x14ac:dyDescent="0.3">
      <c r="A804" s="21" t="s">
        <v>959</v>
      </c>
    </row>
    <row r="805" spans="1:1" outlineLevel="1" x14ac:dyDescent="0.25">
      <c r="A805" t="s">
        <v>960</v>
      </c>
    </row>
    <row r="806" spans="1:1" outlineLevel="1" x14ac:dyDescent="0.25">
      <c r="A806" t="s">
        <v>961</v>
      </c>
    </row>
    <row r="807" spans="1:1" outlineLevel="1" x14ac:dyDescent="0.25">
      <c r="A807" t="str">
        <f>CONCATENATE("sql left outer join acrtrees t on t.client = x.client and x.dim_1 = t.cat_1 and t.att_agrid = '",$F$159,"'")</f>
        <v>sql left outer join acrtrees t on t.client = x.client and x.dim_1 = t.cat_1 and t.att_agrid = '53'</v>
      </c>
    </row>
    <row r="808" spans="1:1" ht="13" outlineLevel="1" x14ac:dyDescent="0.3">
      <c r="A80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809" spans="1:1" ht="13" outlineLevel="1" x14ac:dyDescent="0.3">
      <c r="A809" s="21" t="s">
        <v>978</v>
      </c>
    </row>
    <row r="810" spans="1:1" outlineLevel="1" x14ac:dyDescent="0.25">
      <c r="A810" t="s">
        <v>979</v>
      </c>
    </row>
    <row r="811" spans="1:1" outlineLevel="1" x14ac:dyDescent="0.25">
      <c r="A811" t="s">
        <v>980</v>
      </c>
    </row>
    <row r="812" spans="1:1" outlineLevel="1" x14ac:dyDescent="0.25">
      <c r="A812" t="s">
        <v>966</v>
      </c>
    </row>
    <row r="813" spans="1:1" outlineLevel="1" x14ac:dyDescent="0.25">
      <c r="A813" t="s">
        <v>953</v>
      </c>
    </row>
    <row r="814" spans="1:1" outlineLevel="1" x14ac:dyDescent="0.25">
      <c r="A814" t="s">
        <v>954</v>
      </c>
    </row>
    <row r="815" spans="1:1" ht="13" outlineLevel="1" x14ac:dyDescent="0.3">
      <c r="A815" s="66" t="s">
        <v>981</v>
      </c>
    </row>
    <row r="816" spans="1:1" outlineLevel="1" x14ac:dyDescent="0.25">
      <c r="A816" t="s">
        <v>982</v>
      </c>
    </row>
    <row r="817" spans="1:1" outlineLevel="1" x14ac:dyDescent="0.25">
      <c r="A817" t="s">
        <v>950</v>
      </c>
    </row>
    <row r="818" spans="1:1" ht="13" outlineLevel="1" x14ac:dyDescent="0.3">
      <c r="A81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819" spans="1:1" ht="13" outlineLevel="1" x14ac:dyDescent="0.3">
      <c r="A819" s="21" t="s">
        <v>969</v>
      </c>
    </row>
    <row r="820" spans="1:1" ht="13" outlineLevel="1" x14ac:dyDescent="0.3">
      <c r="A820" s="21" t="s">
        <v>959</v>
      </c>
    </row>
    <row r="821" spans="1:1" outlineLevel="1" x14ac:dyDescent="0.25">
      <c r="A821" t="s">
        <v>960</v>
      </c>
    </row>
    <row r="822" spans="1:1" outlineLevel="1" x14ac:dyDescent="0.25">
      <c r="A822" t="s">
        <v>961</v>
      </c>
    </row>
    <row r="823" spans="1:1" outlineLevel="1" x14ac:dyDescent="0.25">
      <c r="A823" t="str">
        <f>CONCATENATE("sql left outer join acrtrees t on t.client = x.client and x.dim_1 = t.cat_1 and t.att_agrid = '",$F$159,"'")</f>
        <v>sql left outer join acrtrees t on t.client = x.client and x.dim_1 = t.cat_1 and t.att_agrid = '53'</v>
      </c>
    </row>
    <row r="824" spans="1:1" ht="13" outlineLevel="1" x14ac:dyDescent="0.3">
      <c r="A82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825" spans="1:1" ht="13" outlineLevel="1" x14ac:dyDescent="0.3">
      <c r="A825" s="21" t="s">
        <v>970</v>
      </c>
    </row>
    <row r="826" spans="1:1" ht="13" outlineLevel="1" x14ac:dyDescent="0.3">
      <c r="A826" s="21" t="s">
        <v>978</v>
      </c>
    </row>
    <row r="827" spans="1:1" outlineLevel="1" x14ac:dyDescent="0.25">
      <c r="A827" t="s">
        <v>979</v>
      </c>
    </row>
    <row r="828" spans="1:1" outlineLevel="1" x14ac:dyDescent="0.25">
      <c r="A828" t="s">
        <v>980</v>
      </c>
    </row>
    <row r="829" spans="1:1" outlineLevel="1" x14ac:dyDescent="0.25">
      <c r="A829" t="s">
        <v>966</v>
      </c>
    </row>
    <row r="830" spans="1:1" outlineLevel="1" x14ac:dyDescent="0.25">
      <c r="A830" t="s">
        <v>953</v>
      </c>
    </row>
    <row r="831" spans="1:1" outlineLevel="1" x14ac:dyDescent="0.25">
      <c r="A831" t="s">
        <v>954</v>
      </c>
    </row>
    <row r="832" spans="1:1" ht="13" outlineLevel="1" x14ac:dyDescent="0.3">
      <c r="A832" s="20" t="s">
        <v>983</v>
      </c>
    </row>
    <row r="833" spans="1:3" outlineLevel="1" x14ac:dyDescent="0.25">
      <c r="A833" s="7" t="s">
        <v>984</v>
      </c>
    </row>
    <row r="834" spans="1:3" outlineLevel="1" x14ac:dyDescent="0.25">
      <c r="A834" t="s">
        <v>950</v>
      </c>
    </row>
    <row r="835" spans="1:3" outlineLevel="1" x14ac:dyDescent="0.25">
      <c r="A835" t="s">
        <v>951</v>
      </c>
    </row>
    <row r="836" spans="1:3" ht="14.5" outlineLevel="1" x14ac:dyDescent="0.35">
      <c r="A836"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836" s="2"/>
    </row>
    <row r="837" spans="1:3" outlineLevel="1" x14ac:dyDescent="0.25">
      <c r="A837" t="s">
        <v>952</v>
      </c>
    </row>
    <row r="838" spans="1:3" outlineLevel="1" x14ac:dyDescent="0.25">
      <c r="A838" t="s">
        <v>953</v>
      </c>
    </row>
    <row r="839" spans="1:3" outlineLevel="1" x14ac:dyDescent="0.25">
      <c r="A839" t="s">
        <v>954</v>
      </c>
    </row>
    <row r="840" spans="1:3" ht="13" outlineLevel="1" x14ac:dyDescent="0.3">
      <c r="A840" s="20" t="s">
        <v>985</v>
      </c>
    </row>
    <row r="841" spans="1:3" outlineLevel="1" x14ac:dyDescent="0.25">
      <c r="A841" s="7" t="s">
        <v>986</v>
      </c>
    </row>
    <row r="842" spans="1:3" outlineLevel="1" x14ac:dyDescent="0.25">
      <c r="A842" t="s">
        <v>987</v>
      </c>
    </row>
    <row r="843" spans="1:3" ht="13" outlineLevel="1" x14ac:dyDescent="0.3">
      <c r="A843" s="21" t="str">
        <f>CONCATENATE("sql where a.client = '",$D$172,"' and a.period between '",LEFT($D$170,4),"00' and '",IF(RIGHT($D$171,2)="12",CONCATENATE(LEFT($D$171,4),"14"),$D$171),"'")</f>
        <v>sql where a.client = 'OX' and a.period between '202500' and '202506'</v>
      </c>
    </row>
    <row r="844" spans="1:3" outlineLevel="1" x14ac:dyDescent="0.25">
      <c r="A844" t="s">
        <v>952</v>
      </c>
    </row>
    <row r="845" spans="1:3" outlineLevel="1" x14ac:dyDescent="0.25">
      <c r="A845" t="s">
        <v>953</v>
      </c>
    </row>
    <row r="846" spans="1:3" outlineLevel="1" x14ac:dyDescent="0.25">
      <c r="A846" t="s">
        <v>954</v>
      </c>
    </row>
    <row r="847" spans="1:3" ht="13" outlineLevel="1" x14ac:dyDescent="0.3">
      <c r="A847" s="20" t="s">
        <v>988</v>
      </c>
    </row>
    <row r="848" spans="1:3" outlineLevel="1" x14ac:dyDescent="0.25">
      <c r="A848" s="7" t="s">
        <v>989</v>
      </c>
    </row>
    <row r="849" spans="1:1" outlineLevel="1" x14ac:dyDescent="0.25">
      <c r="A849" t="s">
        <v>950</v>
      </c>
    </row>
    <row r="850" spans="1:1" outlineLevel="1" x14ac:dyDescent="0.25">
      <c r="A850" t="s">
        <v>951</v>
      </c>
    </row>
    <row r="851" spans="1:1" ht="13" outlineLevel="1" x14ac:dyDescent="0.3">
      <c r="A851"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852" spans="1:1" outlineLevel="1" x14ac:dyDescent="0.25">
      <c r="A852" t="s">
        <v>952</v>
      </c>
    </row>
    <row r="853" spans="1:1" outlineLevel="1" x14ac:dyDescent="0.25">
      <c r="A853" t="s">
        <v>953</v>
      </c>
    </row>
    <row r="854" spans="1:1" outlineLevel="1" x14ac:dyDescent="0.25">
      <c r="A854" t="s">
        <v>954</v>
      </c>
    </row>
    <row r="855" spans="1:1" ht="13" outlineLevel="1" x14ac:dyDescent="0.3">
      <c r="A855" s="20" t="s">
        <v>990</v>
      </c>
    </row>
    <row r="856" spans="1:1" outlineLevel="1" x14ac:dyDescent="0.25">
      <c r="A856" s="7" t="s">
        <v>991</v>
      </c>
    </row>
    <row r="857" spans="1:1" outlineLevel="1" x14ac:dyDescent="0.25">
      <c r="A857" t="s">
        <v>950</v>
      </c>
    </row>
    <row r="858" spans="1:1" outlineLevel="1" x14ac:dyDescent="0.25">
      <c r="A858" t="s">
        <v>951</v>
      </c>
    </row>
    <row r="859" spans="1:1" ht="13" outlineLevel="1" x14ac:dyDescent="0.3">
      <c r="A85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860" spans="1:1" outlineLevel="1" x14ac:dyDescent="0.25">
      <c r="A860" t="s">
        <v>952</v>
      </c>
    </row>
    <row r="861" spans="1:1" outlineLevel="1" x14ac:dyDescent="0.25">
      <c r="A861" t="s">
        <v>953</v>
      </c>
    </row>
    <row r="862" spans="1:1" outlineLevel="1" x14ac:dyDescent="0.25">
      <c r="A862" t="s">
        <v>954</v>
      </c>
    </row>
    <row r="863" spans="1:1" ht="13" outlineLevel="1" x14ac:dyDescent="0.3">
      <c r="A863" s="20" t="s">
        <v>992</v>
      </c>
    </row>
    <row r="864" spans="1:1" outlineLevel="1" x14ac:dyDescent="0.25">
      <c r="A864" s="7" t="s">
        <v>993</v>
      </c>
    </row>
    <row r="865" spans="1:7" outlineLevel="1" x14ac:dyDescent="0.25">
      <c r="A865" t="s">
        <v>950</v>
      </c>
    </row>
    <row r="866" spans="1:7" outlineLevel="1" x14ac:dyDescent="0.25">
      <c r="A866" t="s">
        <v>951</v>
      </c>
    </row>
    <row r="867" spans="1:7" ht="13" outlineLevel="1" x14ac:dyDescent="0.3">
      <c r="A86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868" spans="1:7" outlineLevel="1" x14ac:dyDescent="0.25">
      <c r="A868" t="s">
        <v>952</v>
      </c>
    </row>
    <row r="869" spans="1:7" outlineLevel="1" x14ac:dyDescent="0.25">
      <c r="A869" t="s">
        <v>953</v>
      </c>
    </row>
    <row r="870" spans="1:7" outlineLevel="1" x14ac:dyDescent="0.25">
      <c r="A870" t="s">
        <v>994</v>
      </c>
    </row>
    <row r="871" spans="1:7" outlineLevel="1" x14ac:dyDescent="0.25">
      <c r="A871" t="str">
        <f>CONCATENATE("sql left outer join acrtrees t on t.client = u.client and u.dim_1 = t.cat_1 and t.att_agrid = '",$F$159,"'")</f>
        <v>sql left outer join acrtrees t on t.client = u.client and u.dim_1 = t.cat_1 and t.att_agrid = '53'</v>
      </c>
    </row>
    <row r="872" spans="1:7" outlineLevel="1" x14ac:dyDescent="0.25">
      <c r="A872" t="str">
        <f>CONCATENATE("sql left outer join acrtrees s on s.client = u.client and u.account = s.cat_1 and s.att_agrid = '",$F$160,"'")</f>
        <v>sql left outer join acrtrees s on s.client = u.client and u.account = s.cat_1 and s.att_agrid = '14'</v>
      </c>
    </row>
    <row r="873" spans="1:7" outlineLevel="1" x14ac:dyDescent="0.25">
      <c r="A873" t="str">
        <f>CONCATENATE("sql left outer join acrtrees v on v.client = u.client and u.account = v.cat_1 and v.att_agrid = '",$F$161,"'")</f>
        <v>sql left outer join acrtrees v on v.client = u.client and u.account = v.cat_1 and v.att_agrid = '17'</v>
      </c>
    </row>
    <row r="874" spans="1:7" outlineLevel="1" x14ac:dyDescent="0.25">
      <c r="A874" t="str">
        <f>CONCATENATE("sql left outer join agldescription d on d.client = u.client and d.dim_value = t.dim_c and d.attribute_id = '",$F$162,"'")</f>
        <v>sql left outer join agldescription d on d.client = u.client and d.dim_value = t.dim_c and d.attribute_id = '82'</v>
      </c>
    </row>
    <row r="875" spans="1:7" outlineLevel="1" x14ac:dyDescent="0.25">
      <c r="A875" t="str">
        <f>CONCATENATE("sql left outer join agldescription e on e.client = u.client and e.dim_value = t.dim_b and e.attribute_id = '",$F$163,"'")</f>
        <v>sql left outer join agldescription e on e.client = u.client and e.dim_value = t.dim_b and e.attribute_id = '81'</v>
      </c>
    </row>
    <row r="876" spans="1:7" outlineLevel="1" x14ac:dyDescent="0.25">
      <c r="A876" t="str">
        <f>CONCATENATE("sql left outer join agldescription f on f.client = u.client and f.dim_value = t.dim_e and f.attribute_id = '",$F$164,"'")</f>
        <v>sql left outer join agldescription f on f.client = u.client and f.dim_value = t.dim_e and f.attribute_id = '80'</v>
      </c>
    </row>
    <row r="877" spans="1:7" outlineLevel="1" x14ac:dyDescent="0.25">
      <c r="A877" t="str">
        <f>CONCATENATE("sql left outer join agldescription g on g.client = u.client and g.dim_value = u.account and g.attribute_id = '",$F$165,"'")</f>
        <v>sql left outer join agldescription g on g.client = u.client and g.dim_value = u.account and g.attribute_id = 'A0'</v>
      </c>
    </row>
    <row r="878" spans="1:7" ht="14.5" outlineLevel="1" x14ac:dyDescent="0.35">
      <c r="A878" s="67" t="s">
        <v>1046</v>
      </c>
      <c r="G878" s="737" t="s">
        <v>1047</v>
      </c>
    </row>
    <row r="879" spans="1:7" outlineLevel="1" x14ac:dyDescent="0.25">
      <c r="A879" t="s">
        <v>1005</v>
      </c>
    </row>
    <row r="880" spans="1:7" outlineLevel="1" x14ac:dyDescent="0.25">
      <c r="A880" t="s">
        <v>1006</v>
      </c>
    </row>
    <row r="881" spans="1:33" outlineLevel="1" x14ac:dyDescent="0.25">
      <c r="A881" t="s">
        <v>1007</v>
      </c>
    </row>
    <row r="882" spans="1:33" ht="13" outlineLevel="1" x14ac:dyDescent="0.3">
      <c r="A882" t="s">
        <v>1012</v>
      </c>
      <c r="C882" s="29"/>
      <c r="D882" s="36">
        <v>1000</v>
      </c>
      <c r="E882" s="36">
        <v>1000</v>
      </c>
      <c r="F882" s="22">
        <v>1000</v>
      </c>
      <c r="G882" s="22">
        <v>1000</v>
      </c>
      <c r="H882" s="22">
        <v>1000</v>
      </c>
      <c r="I882" s="22">
        <v>1000</v>
      </c>
      <c r="J882" s="22">
        <v>1000</v>
      </c>
      <c r="K882" s="22">
        <v>1000</v>
      </c>
      <c r="L882" s="22"/>
      <c r="M882" s="36"/>
      <c r="N882" s="36"/>
      <c r="O882" s="36">
        <v>1000</v>
      </c>
      <c r="P882" s="36">
        <v>1000</v>
      </c>
      <c r="Q882" s="36">
        <v>1000</v>
      </c>
      <c r="R882" s="36">
        <v>1000</v>
      </c>
      <c r="S882" s="36">
        <v>1000</v>
      </c>
      <c r="T882" s="36"/>
      <c r="U882" s="36"/>
      <c r="V882" s="58"/>
      <c r="W882" s="36">
        <v>1000</v>
      </c>
      <c r="X882" s="36">
        <v>1000</v>
      </c>
      <c r="Y882" s="36"/>
      <c r="Z882" s="36"/>
      <c r="AA882" s="40"/>
      <c r="AB882" s="60"/>
      <c r="AC882" s="98"/>
      <c r="AD882" s="36"/>
      <c r="AE882" s="36"/>
      <c r="AF882" s="36"/>
      <c r="AG882" s="99"/>
    </row>
    <row r="883" spans="1:33" ht="13" outlineLevel="1" x14ac:dyDescent="0.3">
      <c r="A883" s="7" t="s">
        <v>1013</v>
      </c>
      <c r="C883" s="29"/>
      <c r="D883" s="36">
        <v>0</v>
      </c>
      <c r="E883" s="36">
        <v>0</v>
      </c>
      <c r="F883" s="22">
        <v>0</v>
      </c>
      <c r="G883" s="22">
        <v>0</v>
      </c>
      <c r="H883" s="22">
        <v>0</v>
      </c>
      <c r="I883" s="22">
        <v>0</v>
      </c>
      <c r="J883" s="22">
        <v>0</v>
      </c>
      <c r="K883" s="22">
        <v>0</v>
      </c>
      <c r="L883" s="22"/>
      <c r="M883" s="36"/>
      <c r="N883" s="36"/>
      <c r="O883" s="36">
        <v>0</v>
      </c>
      <c r="P883" s="36">
        <v>0</v>
      </c>
      <c r="Q883" s="36">
        <v>0</v>
      </c>
      <c r="R883" s="36">
        <v>0</v>
      </c>
      <c r="S883" s="36">
        <v>0</v>
      </c>
      <c r="T883" s="36"/>
      <c r="U883" s="36"/>
      <c r="V883" s="58"/>
      <c r="W883" s="36">
        <v>0</v>
      </c>
      <c r="X883" s="36">
        <v>0</v>
      </c>
      <c r="Y883" s="36"/>
      <c r="Z883" s="36"/>
      <c r="AA883" s="40"/>
      <c r="AB883" s="60"/>
      <c r="AC883" s="98"/>
      <c r="AD883" s="36"/>
      <c r="AE883" s="36"/>
      <c r="AF883" s="36"/>
      <c r="AG883" s="99"/>
    </row>
    <row r="884" spans="1:33" ht="13" outlineLevel="1" x14ac:dyDescent="0.3">
      <c r="A884" t="s">
        <v>1014</v>
      </c>
      <c r="C884" s="30"/>
      <c r="D884" s="36"/>
      <c r="E884" s="36"/>
      <c r="F884" s="57"/>
      <c r="G884" s="57"/>
      <c r="H884" s="57"/>
      <c r="I884" s="57"/>
      <c r="J884" s="57"/>
      <c r="K884" s="57"/>
      <c r="L884" s="57"/>
      <c r="M884" s="36"/>
      <c r="N884" s="36"/>
      <c r="O884" s="36"/>
      <c r="P884" s="36" t="s">
        <v>1015</v>
      </c>
      <c r="Q884" s="36" t="s">
        <v>1016</v>
      </c>
      <c r="R884" s="36"/>
      <c r="S884" s="36"/>
      <c r="T884" s="36"/>
      <c r="U884" s="36"/>
      <c r="V884" s="58"/>
      <c r="W884" s="36"/>
      <c r="X884" s="36"/>
      <c r="Y884" s="36"/>
      <c r="Z884" s="36"/>
      <c r="AA884" s="40"/>
      <c r="AB884" s="60"/>
      <c r="AC884" s="98"/>
      <c r="AD884" s="36"/>
      <c r="AE884" s="36"/>
      <c r="AF884" s="36"/>
      <c r="AG884" s="99"/>
    </row>
    <row r="885" spans="1:33" ht="13" outlineLevel="1" x14ac:dyDescent="0.3">
      <c r="A885" t="s">
        <v>1017</v>
      </c>
      <c r="C885" s="31"/>
      <c r="D885" s="36" t="s">
        <v>1019</v>
      </c>
      <c r="E885" s="36" t="s">
        <v>1020</v>
      </c>
      <c r="F885" s="22" t="s">
        <v>1021</v>
      </c>
      <c r="G885" s="22" t="s">
        <v>1022</v>
      </c>
      <c r="H885" s="22" t="s">
        <v>1023</v>
      </c>
      <c r="I885" s="22" t="s">
        <v>1024</v>
      </c>
      <c r="J885" s="22" t="s">
        <v>1025</v>
      </c>
      <c r="K885" s="22" t="s">
        <v>1026</v>
      </c>
      <c r="L885" s="22"/>
      <c r="M885" s="36"/>
      <c r="N885" s="36"/>
      <c r="O885" s="36" t="s">
        <v>1027</v>
      </c>
      <c r="P885" s="36" t="s">
        <v>1028</v>
      </c>
      <c r="Q885" s="36" t="s">
        <v>1028</v>
      </c>
      <c r="R885" s="36" t="s">
        <v>1028</v>
      </c>
      <c r="S885" s="36" t="s">
        <v>1029</v>
      </c>
      <c r="T885" s="36"/>
      <c r="U885" s="36"/>
      <c r="V885" s="58"/>
      <c r="W885" s="36" t="s">
        <v>1030</v>
      </c>
      <c r="X885" s="36" t="s">
        <v>1031</v>
      </c>
      <c r="Y885" s="36"/>
      <c r="Z885" s="36"/>
      <c r="AA885" s="40"/>
      <c r="AB885" s="60"/>
      <c r="AC885" s="98"/>
      <c r="AD885" s="36"/>
      <c r="AE885" s="36"/>
      <c r="AF885" s="36"/>
      <c r="AG885" s="99"/>
    </row>
    <row r="886" spans="1:33" ht="13" outlineLevel="1" x14ac:dyDescent="0.3">
      <c r="A886" t="s">
        <v>1041</v>
      </c>
      <c r="C886" s="31" t="s">
        <v>120</v>
      </c>
      <c r="D886" s="33">
        <v>0</v>
      </c>
      <c r="E886" s="33">
        <v>0</v>
      </c>
      <c r="F886" s="23">
        <v>0</v>
      </c>
      <c r="G886" s="23">
        <v>0</v>
      </c>
      <c r="H886" s="23">
        <v>0</v>
      </c>
      <c r="I886" s="23">
        <v>0</v>
      </c>
      <c r="J886" s="23">
        <v>0</v>
      </c>
      <c r="K886" s="23">
        <v>0</v>
      </c>
      <c r="L886" s="23">
        <f>SUM(F886:K886)</f>
        <v>0</v>
      </c>
      <c r="M886" s="33">
        <f>O886-E886</f>
        <v>0</v>
      </c>
      <c r="N886" s="33">
        <f>O886-D886</f>
        <v>0</v>
      </c>
      <c r="O886" s="33">
        <v>0</v>
      </c>
      <c r="P886" s="33">
        <v>0</v>
      </c>
      <c r="Q886" s="33">
        <v>0</v>
      </c>
      <c r="R886" s="33">
        <v>0</v>
      </c>
      <c r="S886" s="33">
        <v>0</v>
      </c>
      <c r="T886" s="33">
        <f>R886-S886</f>
        <v>0</v>
      </c>
      <c r="U886" s="38" t="str">
        <f>IFERROR((R886/O886)*100%,"∞")</f>
        <v>∞</v>
      </c>
      <c r="V886" s="59">
        <f>O886+W886</f>
        <v>0</v>
      </c>
      <c r="W886" s="33">
        <v>0</v>
      </c>
      <c r="X886" s="33">
        <v>0</v>
      </c>
      <c r="Y886" s="33"/>
      <c r="Z886" s="33"/>
      <c r="AA886" s="42"/>
      <c r="AB886" s="60"/>
      <c r="AC886" s="105"/>
      <c r="AD886" s="93"/>
      <c r="AE886" s="33">
        <f>SUM(AC886:AD886)</f>
        <v>0</v>
      </c>
      <c r="AF886" s="33">
        <f>R886+AE886</f>
        <v>0</v>
      </c>
      <c r="AG886" s="101">
        <f>AF886-O886</f>
        <v>0</v>
      </c>
    </row>
    <row r="887" spans="1:33" outlineLevel="1" x14ac:dyDescent="0.25">
      <c r="A887" t="s">
        <v>232</v>
      </c>
    </row>
    <row r="888" spans="1:33" outlineLevel="1" x14ac:dyDescent="0.25">
      <c r="A888" t="s">
        <v>944</v>
      </c>
      <c r="M888" s="19"/>
      <c r="N888" s="19"/>
    </row>
    <row r="889" spans="1:33" outlineLevel="1" x14ac:dyDescent="0.25">
      <c r="A889" t="s">
        <v>946</v>
      </c>
      <c r="E889" s="19"/>
    </row>
    <row r="890" spans="1:33" outlineLevel="1" x14ac:dyDescent="0.25">
      <c r="A890" t="s">
        <v>947</v>
      </c>
      <c r="E890" s="19"/>
      <c r="F890" s="19"/>
    </row>
    <row r="891" spans="1:33" ht="13" outlineLevel="1" x14ac:dyDescent="0.3">
      <c r="A891" s="20" t="s">
        <v>948</v>
      </c>
    </row>
    <row r="892" spans="1:33" outlineLevel="1" x14ac:dyDescent="0.25">
      <c r="A892" s="7" t="s">
        <v>949</v>
      </c>
    </row>
    <row r="893" spans="1:33" outlineLevel="1" x14ac:dyDescent="0.25">
      <c r="A893" t="s">
        <v>950</v>
      </c>
    </row>
    <row r="894" spans="1:33" outlineLevel="1" x14ac:dyDescent="0.25">
      <c r="A894" t="s">
        <v>951</v>
      </c>
    </row>
    <row r="895" spans="1:33" ht="13" outlineLevel="1" x14ac:dyDescent="0.3">
      <c r="A895" s="21" t="str">
        <f>CONCATENATE("sql where a.client = '",$D$172,"' and a.period between '",LEFT($D$170,4),"00' and '",LEFT($D$171,4),"14' and a.version like '%ORIG%'")</f>
        <v>sql where a.client = 'OX' and a.period between '202500' and '202514' and a.version like '%ORIG%'</v>
      </c>
    </row>
    <row r="896" spans="1:33" outlineLevel="1" x14ac:dyDescent="0.25">
      <c r="A896" t="s">
        <v>952</v>
      </c>
    </row>
    <row r="897" spans="1:3" outlineLevel="1" x14ac:dyDescent="0.25">
      <c r="A897" t="s">
        <v>953</v>
      </c>
    </row>
    <row r="898" spans="1:3" outlineLevel="1" x14ac:dyDescent="0.25">
      <c r="A898" t="s">
        <v>954</v>
      </c>
    </row>
    <row r="899" spans="1:3" ht="13" outlineLevel="1" x14ac:dyDescent="0.3">
      <c r="A899" s="20" t="s">
        <v>955</v>
      </c>
    </row>
    <row r="900" spans="1:3" outlineLevel="1" x14ac:dyDescent="0.25">
      <c r="A900" s="7" t="s">
        <v>956</v>
      </c>
    </row>
    <row r="901" spans="1:3" outlineLevel="1" x14ac:dyDescent="0.25">
      <c r="A901" t="s">
        <v>950</v>
      </c>
    </row>
    <row r="902" spans="1:3" outlineLevel="1" x14ac:dyDescent="0.25">
      <c r="A902" t="s">
        <v>951</v>
      </c>
    </row>
    <row r="903" spans="1:3" ht="14.5" outlineLevel="1" x14ac:dyDescent="0.35">
      <c r="A903"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903" s="2"/>
    </row>
    <row r="904" spans="1:3" outlineLevel="1" x14ac:dyDescent="0.25">
      <c r="A904" t="s">
        <v>952</v>
      </c>
    </row>
    <row r="905" spans="1:3" outlineLevel="1" x14ac:dyDescent="0.25">
      <c r="A905" t="s">
        <v>953</v>
      </c>
    </row>
    <row r="906" spans="1:3" outlineLevel="1" x14ac:dyDescent="0.25">
      <c r="A906" t="s">
        <v>954</v>
      </c>
    </row>
    <row r="907" spans="1:3" ht="13" outlineLevel="1" x14ac:dyDescent="0.3">
      <c r="A907" s="66" t="s">
        <v>957</v>
      </c>
    </row>
    <row r="908" spans="1:3" outlineLevel="1" x14ac:dyDescent="0.25">
      <c r="A908" t="s">
        <v>958</v>
      </c>
    </row>
    <row r="909" spans="1:3" outlineLevel="1" x14ac:dyDescent="0.25">
      <c r="A909" t="s">
        <v>950</v>
      </c>
    </row>
    <row r="910" spans="1:3" ht="13" outlineLevel="1" x14ac:dyDescent="0.3">
      <c r="A91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911" spans="1:3" ht="13" outlineLevel="1" x14ac:dyDescent="0.3">
      <c r="A911" s="21" t="s">
        <v>959</v>
      </c>
    </row>
    <row r="912" spans="1:3" outlineLevel="1" x14ac:dyDescent="0.25">
      <c r="A912" t="s">
        <v>960</v>
      </c>
    </row>
    <row r="913" spans="1:1" outlineLevel="1" x14ac:dyDescent="0.25">
      <c r="A913" t="s">
        <v>961</v>
      </c>
    </row>
    <row r="914" spans="1:1" outlineLevel="1" x14ac:dyDescent="0.25">
      <c r="A914" t="str">
        <f>CONCATENATE("sql left outer join acrtrees t on t.client = x.client and x.dim_1 = t.cat_1 and t.att_agrid = '",$F$159,"'")</f>
        <v>sql left outer join acrtrees t on t.client = x.client and x.dim_1 = t.cat_1 and t.att_agrid = '53'</v>
      </c>
    </row>
    <row r="915" spans="1:1" ht="13" outlineLevel="1" x14ac:dyDescent="0.3">
      <c r="A91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916" spans="1:1" ht="13" outlineLevel="1" x14ac:dyDescent="0.3">
      <c r="A916" s="21" t="s">
        <v>962</v>
      </c>
    </row>
    <row r="917" spans="1:1" ht="13" outlineLevel="1" x14ac:dyDescent="0.3">
      <c r="A917"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918" spans="1:1" ht="13" outlineLevel="1" x14ac:dyDescent="0.3">
      <c r="A918" s="21" t="s">
        <v>963</v>
      </c>
    </row>
    <row r="919" spans="1:1" outlineLevel="1" x14ac:dyDescent="0.25">
      <c r="A919" t="s">
        <v>964</v>
      </c>
    </row>
    <row r="920" spans="1:1" outlineLevel="1" x14ac:dyDescent="0.25">
      <c r="A920" t="s">
        <v>965</v>
      </c>
    </row>
    <row r="921" spans="1:1" outlineLevel="1" x14ac:dyDescent="0.25">
      <c r="A921" t="s">
        <v>966</v>
      </c>
    </row>
    <row r="922" spans="1:1" outlineLevel="1" x14ac:dyDescent="0.25">
      <c r="A922" t="s">
        <v>953</v>
      </c>
    </row>
    <row r="923" spans="1:1" outlineLevel="1" x14ac:dyDescent="0.25">
      <c r="A923" t="s">
        <v>954</v>
      </c>
    </row>
    <row r="924" spans="1:1" ht="13" outlineLevel="1" x14ac:dyDescent="0.3">
      <c r="A924" s="66" t="s">
        <v>967</v>
      </c>
    </row>
    <row r="925" spans="1:1" outlineLevel="1" x14ac:dyDescent="0.25">
      <c r="A925" t="s">
        <v>968</v>
      </c>
    </row>
    <row r="926" spans="1:1" outlineLevel="1" x14ac:dyDescent="0.25">
      <c r="A926" t="s">
        <v>950</v>
      </c>
    </row>
    <row r="927" spans="1:1" ht="13" outlineLevel="1" x14ac:dyDescent="0.3">
      <c r="A92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928" spans="1:1" ht="13" outlineLevel="1" x14ac:dyDescent="0.3">
      <c r="A928" s="21" t="s">
        <v>969</v>
      </c>
    </row>
    <row r="929" spans="1:1" ht="13" outlineLevel="1" x14ac:dyDescent="0.3">
      <c r="A929" s="21" t="s">
        <v>959</v>
      </c>
    </row>
    <row r="930" spans="1:1" outlineLevel="1" x14ac:dyDescent="0.25">
      <c r="A930" t="s">
        <v>960</v>
      </c>
    </row>
    <row r="931" spans="1:1" outlineLevel="1" x14ac:dyDescent="0.25">
      <c r="A931" t="s">
        <v>961</v>
      </c>
    </row>
    <row r="932" spans="1:1" outlineLevel="1" x14ac:dyDescent="0.25">
      <c r="A932" t="str">
        <f>CONCATENATE("sql left outer join acrtrees t on t.client = x.client and x.dim_1 = t.cat_1 and t.att_agrid = '",$F$159,"'")</f>
        <v>sql left outer join acrtrees t on t.client = x.client and x.dim_1 = t.cat_1 and t.att_agrid = '53'</v>
      </c>
    </row>
    <row r="933" spans="1:1" ht="13" outlineLevel="1" x14ac:dyDescent="0.3">
      <c r="A93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934" spans="1:1" ht="13" outlineLevel="1" x14ac:dyDescent="0.3">
      <c r="A934" s="21" t="s">
        <v>970</v>
      </c>
    </row>
    <row r="935" spans="1:1" ht="13" outlineLevel="1" x14ac:dyDescent="0.3">
      <c r="A935" s="21" t="s">
        <v>962</v>
      </c>
    </row>
    <row r="936" spans="1:1" ht="13" outlineLevel="1" x14ac:dyDescent="0.3">
      <c r="A936"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937" spans="1:1" ht="13" outlineLevel="1" x14ac:dyDescent="0.3">
      <c r="A937" s="21" t="s">
        <v>970</v>
      </c>
    </row>
    <row r="938" spans="1:1" ht="13" outlineLevel="1" x14ac:dyDescent="0.3">
      <c r="A938" s="21" t="s">
        <v>963</v>
      </c>
    </row>
    <row r="939" spans="1:1" outlineLevel="1" x14ac:dyDescent="0.25">
      <c r="A939" t="s">
        <v>964</v>
      </c>
    </row>
    <row r="940" spans="1:1" outlineLevel="1" x14ac:dyDescent="0.25">
      <c r="A940" t="s">
        <v>965</v>
      </c>
    </row>
    <row r="941" spans="1:1" outlineLevel="1" x14ac:dyDescent="0.25">
      <c r="A941" t="s">
        <v>966</v>
      </c>
    </row>
    <row r="942" spans="1:1" outlineLevel="1" x14ac:dyDescent="0.25">
      <c r="A942" t="s">
        <v>953</v>
      </c>
    </row>
    <row r="943" spans="1:1" outlineLevel="1" x14ac:dyDescent="0.25">
      <c r="A943" t="s">
        <v>954</v>
      </c>
    </row>
    <row r="944" spans="1:1" ht="13" outlineLevel="1" x14ac:dyDescent="0.3">
      <c r="A944" s="66" t="s">
        <v>971</v>
      </c>
    </row>
    <row r="945" spans="1:1" outlineLevel="1" x14ac:dyDescent="0.25">
      <c r="A945" t="s">
        <v>972</v>
      </c>
    </row>
    <row r="946" spans="1:1" outlineLevel="1" x14ac:dyDescent="0.25">
      <c r="A946" t="s">
        <v>950</v>
      </c>
    </row>
    <row r="947" spans="1:1" ht="13" outlineLevel="1" x14ac:dyDescent="0.3">
      <c r="A94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948" spans="1:1" ht="13" outlineLevel="1" x14ac:dyDescent="0.3">
      <c r="A948" s="21" t="s">
        <v>959</v>
      </c>
    </row>
    <row r="949" spans="1:1" outlineLevel="1" x14ac:dyDescent="0.25">
      <c r="A949" t="s">
        <v>960</v>
      </c>
    </row>
    <row r="950" spans="1:1" outlineLevel="1" x14ac:dyDescent="0.25">
      <c r="A950" t="s">
        <v>961</v>
      </c>
    </row>
    <row r="951" spans="1:1" outlineLevel="1" x14ac:dyDescent="0.25">
      <c r="A951" t="str">
        <f>CONCATENATE("sql left outer join acrtrees t on t.client = x.client and x.dim_1 = t.cat_1 and t.att_agrid = '",$F$159,"'")</f>
        <v>sql left outer join acrtrees t on t.client = x.client and x.dim_1 = t.cat_1 and t.att_agrid = '53'</v>
      </c>
    </row>
    <row r="952" spans="1:1" ht="13" outlineLevel="1" x14ac:dyDescent="0.3">
      <c r="A95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953" spans="1:1" ht="13" outlineLevel="1" x14ac:dyDescent="0.3">
      <c r="A953" s="21" t="s">
        <v>973</v>
      </c>
    </row>
    <row r="954" spans="1:1" outlineLevel="1" x14ac:dyDescent="0.25">
      <c r="A954" t="s">
        <v>964</v>
      </c>
    </row>
    <row r="955" spans="1:1" outlineLevel="1" x14ac:dyDescent="0.25">
      <c r="A955" t="s">
        <v>965</v>
      </c>
    </row>
    <row r="956" spans="1:1" outlineLevel="1" x14ac:dyDescent="0.25">
      <c r="A956" t="s">
        <v>966</v>
      </c>
    </row>
    <row r="957" spans="1:1" outlineLevel="1" x14ac:dyDescent="0.25">
      <c r="A957" t="s">
        <v>953</v>
      </c>
    </row>
    <row r="958" spans="1:1" outlineLevel="1" x14ac:dyDescent="0.25">
      <c r="A958" t="s">
        <v>954</v>
      </c>
    </row>
    <row r="959" spans="1:1" ht="13" outlineLevel="1" x14ac:dyDescent="0.3">
      <c r="A959" s="66" t="s">
        <v>974</v>
      </c>
    </row>
    <row r="960" spans="1:1" outlineLevel="1" x14ac:dyDescent="0.25">
      <c r="A960" t="s">
        <v>975</v>
      </c>
    </row>
    <row r="961" spans="1:1" outlineLevel="1" x14ac:dyDescent="0.25">
      <c r="A961" t="s">
        <v>950</v>
      </c>
    </row>
    <row r="962" spans="1:1" ht="13" outlineLevel="1" x14ac:dyDescent="0.3">
      <c r="A96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963" spans="1:1" ht="13" outlineLevel="1" x14ac:dyDescent="0.3">
      <c r="A963" s="21" t="s">
        <v>959</v>
      </c>
    </row>
    <row r="964" spans="1:1" outlineLevel="1" x14ac:dyDescent="0.25">
      <c r="A964" t="s">
        <v>960</v>
      </c>
    </row>
    <row r="965" spans="1:1" outlineLevel="1" x14ac:dyDescent="0.25">
      <c r="A965" t="s">
        <v>961</v>
      </c>
    </row>
    <row r="966" spans="1:1" outlineLevel="1" x14ac:dyDescent="0.25">
      <c r="A966" t="str">
        <f>CONCATENATE("sql left outer join acrtrees t on t.client = x.client and x.dim_1 = t.cat_1 and t.att_agrid = '",$F$159,"'")</f>
        <v>sql left outer join acrtrees t on t.client = x.client and x.dim_1 = t.cat_1 and t.att_agrid = '53'</v>
      </c>
    </row>
    <row r="967" spans="1:1" ht="13" outlineLevel="1" x14ac:dyDescent="0.3">
      <c r="A96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968" spans="1:1" ht="13" outlineLevel="1" x14ac:dyDescent="0.3">
      <c r="A968" s="21" t="s">
        <v>973</v>
      </c>
    </row>
    <row r="969" spans="1:1" outlineLevel="1" x14ac:dyDescent="0.25">
      <c r="A969" t="s">
        <v>964</v>
      </c>
    </row>
    <row r="970" spans="1:1" outlineLevel="1" x14ac:dyDescent="0.25">
      <c r="A970" t="s">
        <v>965</v>
      </c>
    </row>
    <row r="971" spans="1:1" outlineLevel="1" x14ac:dyDescent="0.25">
      <c r="A971" t="s">
        <v>966</v>
      </c>
    </row>
    <row r="972" spans="1:1" outlineLevel="1" x14ac:dyDescent="0.25">
      <c r="A972" t="s">
        <v>953</v>
      </c>
    </row>
    <row r="973" spans="1:1" outlineLevel="1" x14ac:dyDescent="0.25">
      <c r="A973" t="s">
        <v>954</v>
      </c>
    </row>
    <row r="974" spans="1:1" ht="13" outlineLevel="1" x14ac:dyDescent="0.3">
      <c r="A974" s="66" t="s">
        <v>976</v>
      </c>
    </row>
    <row r="975" spans="1:1" outlineLevel="1" x14ac:dyDescent="0.25">
      <c r="A975" t="s">
        <v>977</v>
      </c>
    </row>
    <row r="976" spans="1:1" outlineLevel="1" x14ac:dyDescent="0.25">
      <c r="A976" t="s">
        <v>950</v>
      </c>
    </row>
    <row r="977" spans="1:1" ht="13" outlineLevel="1" x14ac:dyDescent="0.3">
      <c r="A97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978" spans="1:1" ht="13" outlineLevel="1" x14ac:dyDescent="0.3">
      <c r="A978" s="21" t="s">
        <v>959</v>
      </c>
    </row>
    <row r="979" spans="1:1" outlineLevel="1" x14ac:dyDescent="0.25">
      <c r="A979" t="s">
        <v>960</v>
      </c>
    </row>
    <row r="980" spans="1:1" outlineLevel="1" x14ac:dyDescent="0.25">
      <c r="A980" t="s">
        <v>961</v>
      </c>
    </row>
    <row r="981" spans="1:1" outlineLevel="1" x14ac:dyDescent="0.25">
      <c r="A981" t="str">
        <f>CONCATENATE("sql left outer join acrtrees t on t.client = x.client and x.dim_1 = t.cat_1 and t.att_agrid = '",$F$159,"'")</f>
        <v>sql left outer join acrtrees t on t.client = x.client and x.dim_1 = t.cat_1 and t.att_agrid = '53'</v>
      </c>
    </row>
    <row r="982" spans="1:1" ht="13" outlineLevel="1" x14ac:dyDescent="0.3">
      <c r="A98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983" spans="1:1" ht="13" outlineLevel="1" x14ac:dyDescent="0.3">
      <c r="A983" s="21" t="s">
        <v>978</v>
      </c>
    </row>
    <row r="984" spans="1:1" outlineLevel="1" x14ac:dyDescent="0.25">
      <c r="A984" t="s">
        <v>979</v>
      </c>
    </row>
    <row r="985" spans="1:1" outlineLevel="1" x14ac:dyDescent="0.25">
      <c r="A985" t="s">
        <v>980</v>
      </c>
    </row>
    <row r="986" spans="1:1" outlineLevel="1" x14ac:dyDescent="0.25">
      <c r="A986" t="s">
        <v>966</v>
      </c>
    </row>
    <row r="987" spans="1:1" outlineLevel="1" x14ac:dyDescent="0.25">
      <c r="A987" t="s">
        <v>953</v>
      </c>
    </row>
    <row r="988" spans="1:1" outlineLevel="1" x14ac:dyDescent="0.25">
      <c r="A988" t="s">
        <v>954</v>
      </c>
    </row>
    <row r="989" spans="1:1" ht="13" outlineLevel="1" x14ac:dyDescent="0.3">
      <c r="A989" s="66" t="s">
        <v>981</v>
      </c>
    </row>
    <row r="990" spans="1:1" outlineLevel="1" x14ac:dyDescent="0.25">
      <c r="A990" t="s">
        <v>982</v>
      </c>
    </row>
    <row r="991" spans="1:1" outlineLevel="1" x14ac:dyDescent="0.25">
      <c r="A991" t="s">
        <v>950</v>
      </c>
    </row>
    <row r="992" spans="1:1" ht="13" outlineLevel="1" x14ac:dyDescent="0.3">
      <c r="A99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993" spans="1:1" ht="13" outlineLevel="1" x14ac:dyDescent="0.3">
      <c r="A993" s="21" t="s">
        <v>969</v>
      </c>
    </row>
    <row r="994" spans="1:1" ht="13" outlineLevel="1" x14ac:dyDescent="0.3">
      <c r="A994" s="21" t="s">
        <v>959</v>
      </c>
    </row>
    <row r="995" spans="1:1" outlineLevel="1" x14ac:dyDescent="0.25">
      <c r="A995" t="s">
        <v>960</v>
      </c>
    </row>
    <row r="996" spans="1:1" outlineLevel="1" x14ac:dyDescent="0.25">
      <c r="A996" t="s">
        <v>961</v>
      </c>
    </row>
    <row r="997" spans="1:1" outlineLevel="1" x14ac:dyDescent="0.25">
      <c r="A997" t="str">
        <f>CONCATENATE("sql left outer join acrtrees t on t.client = x.client and x.dim_1 = t.cat_1 and t.att_agrid = '",$F$159,"'")</f>
        <v>sql left outer join acrtrees t on t.client = x.client and x.dim_1 = t.cat_1 and t.att_agrid = '53'</v>
      </c>
    </row>
    <row r="998" spans="1:1" ht="13" outlineLevel="1" x14ac:dyDescent="0.3">
      <c r="A99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999" spans="1:1" ht="13" outlineLevel="1" x14ac:dyDescent="0.3">
      <c r="A999" s="21" t="s">
        <v>970</v>
      </c>
    </row>
    <row r="1000" spans="1:1" ht="13" outlineLevel="1" x14ac:dyDescent="0.3">
      <c r="A1000" s="21" t="s">
        <v>978</v>
      </c>
    </row>
    <row r="1001" spans="1:1" outlineLevel="1" x14ac:dyDescent="0.25">
      <c r="A1001" t="s">
        <v>979</v>
      </c>
    </row>
    <row r="1002" spans="1:1" outlineLevel="1" x14ac:dyDescent="0.25">
      <c r="A1002" t="s">
        <v>980</v>
      </c>
    </row>
    <row r="1003" spans="1:1" outlineLevel="1" x14ac:dyDescent="0.25">
      <c r="A1003" t="s">
        <v>966</v>
      </c>
    </row>
    <row r="1004" spans="1:1" outlineLevel="1" x14ac:dyDescent="0.25">
      <c r="A1004" t="s">
        <v>953</v>
      </c>
    </row>
    <row r="1005" spans="1:1" outlineLevel="1" x14ac:dyDescent="0.25">
      <c r="A1005" t="s">
        <v>954</v>
      </c>
    </row>
    <row r="1006" spans="1:1" ht="13" outlineLevel="1" x14ac:dyDescent="0.3">
      <c r="A1006" s="20" t="s">
        <v>983</v>
      </c>
    </row>
    <row r="1007" spans="1:1" outlineLevel="1" x14ac:dyDescent="0.25">
      <c r="A1007" s="7" t="s">
        <v>984</v>
      </c>
    </row>
    <row r="1008" spans="1:1" outlineLevel="1" x14ac:dyDescent="0.25">
      <c r="A1008" t="s">
        <v>950</v>
      </c>
    </row>
    <row r="1009" spans="1:3" outlineLevel="1" x14ac:dyDescent="0.25">
      <c r="A1009" t="s">
        <v>951</v>
      </c>
    </row>
    <row r="1010" spans="1:3" ht="14.5" outlineLevel="1" x14ac:dyDescent="0.35">
      <c r="A1010"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010" s="2"/>
    </row>
    <row r="1011" spans="1:3" outlineLevel="1" x14ac:dyDescent="0.25">
      <c r="A1011" t="s">
        <v>952</v>
      </c>
    </row>
    <row r="1012" spans="1:3" outlineLevel="1" x14ac:dyDescent="0.25">
      <c r="A1012" t="s">
        <v>953</v>
      </c>
    </row>
    <row r="1013" spans="1:3" outlineLevel="1" x14ac:dyDescent="0.25">
      <c r="A1013" t="s">
        <v>954</v>
      </c>
    </row>
    <row r="1014" spans="1:3" ht="13" outlineLevel="1" x14ac:dyDescent="0.3">
      <c r="A1014" s="20" t="s">
        <v>985</v>
      </c>
    </row>
    <row r="1015" spans="1:3" outlineLevel="1" x14ac:dyDescent="0.25">
      <c r="A1015" s="7" t="s">
        <v>986</v>
      </c>
    </row>
    <row r="1016" spans="1:3" outlineLevel="1" x14ac:dyDescent="0.25">
      <c r="A1016" t="s">
        <v>987</v>
      </c>
    </row>
    <row r="1017" spans="1:3" ht="13" outlineLevel="1" x14ac:dyDescent="0.3">
      <c r="A1017" s="21" t="str">
        <f>CONCATENATE("sql where a.client = '",$D$172,"' and a.period between '",LEFT($D$170,4),"00' and '",IF(RIGHT($D$171,2)="12",CONCATENATE(LEFT($D$171,4),"14"),$D$171),"'")</f>
        <v>sql where a.client = 'OX' and a.period between '202500' and '202506'</v>
      </c>
    </row>
    <row r="1018" spans="1:3" outlineLevel="1" x14ac:dyDescent="0.25">
      <c r="A1018" t="s">
        <v>952</v>
      </c>
    </row>
    <row r="1019" spans="1:3" outlineLevel="1" x14ac:dyDescent="0.25">
      <c r="A1019" t="s">
        <v>953</v>
      </c>
    </row>
    <row r="1020" spans="1:3" outlineLevel="1" x14ac:dyDescent="0.25">
      <c r="A1020" t="s">
        <v>954</v>
      </c>
    </row>
    <row r="1021" spans="1:3" ht="13" outlineLevel="1" x14ac:dyDescent="0.3">
      <c r="A1021" s="20" t="s">
        <v>988</v>
      </c>
    </row>
    <row r="1022" spans="1:3" outlineLevel="1" x14ac:dyDescent="0.25">
      <c r="A1022" s="7" t="s">
        <v>989</v>
      </c>
    </row>
    <row r="1023" spans="1:3" outlineLevel="1" x14ac:dyDescent="0.25">
      <c r="A1023" t="s">
        <v>950</v>
      </c>
    </row>
    <row r="1024" spans="1:3" outlineLevel="1" x14ac:dyDescent="0.25">
      <c r="A1024" t="s">
        <v>951</v>
      </c>
    </row>
    <row r="1025" spans="1:1" ht="13" outlineLevel="1" x14ac:dyDescent="0.3">
      <c r="A1025"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026" spans="1:1" outlineLevel="1" x14ac:dyDescent="0.25">
      <c r="A1026" t="s">
        <v>952</v>
      </c>
    </row>
    <row r="1027" spans="1:1" outlineLevel="1" x14ac:dyDescent="0.25">
      <c r="A1027" t="s">
        <v>953</v>
      </c>
    </row>
    <row r="1028" spans="1:1" outlineLevel="1" x14ac:dyDescent="0.25">
      <c r="A1028" t="s">
        <v>954</v>
      </c>
    </row>
    <row r="1029" spans="1:1" ht="13" outlineLevel="1" x14ac:dyDescent="0.3">
      <c r="A1029" s="20" t="s">
        <v>990</v>
      </c>
    </row>
    <row r="1030" spans="1:1" outlineLevel="1" x14ac:dyDescent="0.25">
      <c r="A1030" s="7" t="s">
        <v>991</v>
      </c>
    </row>
    <row r="1031" spans="1:1" outlineLevel="1" x14ac:dyDescent="0.25">
      <c r="A1031" t="s">
        <v>950</v>
      </c>
    </row>
    <row r="1032" spans="1:1" outlineLevel="1" x14ac:dyDescent="0.25">
      <c r="A1032" t="s">
        <v>951</v>
      </c>
    </row>
    <row r="1033" spans="1:1" ht="13" outlineLevel="1" x14ac:dyDescent="0.3">
      <c r="A103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034" spans="1:1" outlineLevel="1" x14ac:dyDescent="0.25">
      <c r="A1034" t="s">
        <v>952</v>
      </c>
    </row>
    <row r="1035" spans="1:1" outlineLevel="1" x14ac:dyDescent="0.25">
      <c r="A1035" t="s">
        <v>953</v>
      </c>
    </row>
    <row r="1036" spans="1:1" outlineLevel="1" x14ac:dyDescent="0.25">
      <c r="A1036" t="s">
        <v>954</v>
      </c>
    </row>
    <row r="1037" spans="1:1" ht="13" outlineLevel="1" x14ac:dyDescent="0.3">
      <c r="A1037" s="20" t="s">
        <v>992</v>
      </c>
    </row>
    <row r="1038" spans="1:1" outlineLevel="1" x14ac:dyDescent="0.25">
      <c r="A1038" s="7" t="s">
        <v>993</v>
      </c>
    </row>
    <row r="1039" spans="1:1" outlineLevel="1" x14ac:dyDescent="0.25">
      <c r="A1039" t="s">
        <v>950</v>
      </c>
    </row>
    <row r="1040" spans="1:1" outlineLevel="1" x14ac:dyDescent="0.25">
      <c r="A1040" t="s">
        <v>951</v>
      </c>
    </row>
    <row r="1041" spans="1:33" ht="13" outlineLevel="1" x14ac:dyDescent="0.3">
      <c r="A104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042" spans="1:33" outlineLevel="1" x14ac:dyDescent="0.25">
      <c r="A1042" t="s">
        <v>952</v>
      </c>
    </row>
    <row r="1043" spans="1:33" outlineLevel="1" x14ac:dyDescent="0.25">
      <c r="A1043" t="s">
        <v>953</v>
      </c>
    </row>
    <row r="1044" spans="1:33" outlineLevel="1" x14ac:dyDescent="0.25">
      <c r="A1044" t="s">
        <v>994</v>
      </c>
    </row>
    <row r="1045" spans="1:33" outlineLevel="1" x14ac:dyDescent="0.25">
      <c r="A1045" t="str">
        <f>CONCATENATE("sql left outer join acrtrees t on t.client = u.client and u.dim_1 = t.cat_1 and t.att_agrid = '",$F$159,"'")</f>
        <v>sql left outer join acrtrees t on t.client = u.client and u.dim_1 = t.cat_1 and t.att_agrid = '53'</v>
      </c>
    </row>
    <row r="1046" spans="1:33" outlineLevel="1" x14ac:dyDescent="0.25">
      <c r="A1046" t="str">
        <f>CONCATENATE("sql left outer join acrtrees s on s.client = u.client and u.account = s.cat_1 and s.att_agrid = '",$F$160,"'")</f>
        <v>sql left outer join acrtrees s on s.client = u.client and u.account = s.cat_1 and s.att_agrid = '14'</v>
      </c>
    </row>
    <row r="1047" spans="1:33" outlineLevel="1" x14ac:dyDescent="0.25">
      <c r="A1047" t="str">
        <f>CONCATENATE("sql left outer join acrtrees v on v.client = u.client and u.account = v.cat_1 and v.att_agrid = '",$F$161,"'")</f>
        <v>sql left outer join acrtrees v on v.client = u.client and u.account = v.cat_1 and v.att_agrid = '17'</v>
      </c>
    </row>
    <row r="1048" spans="1:33" outlineLevel="1" x14ac:dyDescent="0.25">
      <c r="A1048" t="str">
        <f>CONCATENATE("sql left outer join agldescription d on d.client = u.client and d.dim_value = t.dim_c and d.attribute_id = '",$F$162,"'")</f>
        <v>sql left outer join agldescription d on d.client = u.client and d.dim_value = t.dim_c and d.attribute_id = '82'</v>
      </c>
    </row>
    <row r="1049" spans="1:33" outlineLevel="1" x14ac:dyDescent="0.25">
      <c r="A1049" t="str">
        <f>CONCATENATE("sql left outer join agldescription e on e.client = u.client and e.dim_value = t.dim_b and e.attribute_id = '",$F$163,"'")</f>
        <v>sql left outer join agldescription e on e.client = u.client and e.dim_value = t.dim_b and e.attribute_id = '81'</v>
      </c>
    </row>
    <row r="1050" spans="1:33" outlineLevel="1" x14ac:dyDescent="0.25">
      <c r="A1050" t="str">
        <f>CONCATENATE("sql left outer join agldescription f on f.client = u.client and f.dim_value = t.dim_e and f.attribute_id = '",$F$164,"'")</f>
        <v>sql left outer join agldescription f on f.client = u.client and f.dim_value = t.dim_e and f.attribute_id = '80'</v>
      </c>
    </row>
    <row r="1051" spans="1:33" outlineLevel="1" x14ac:dyDescent="0.25">
      <c r="A1051" t="str">
        <f>CONCATENATE("sql left outer join agldescription g on g.client = u.client and g.dim_value = u.account and g.attribute_id = '",$F$165,"'")</f>
        <v>sql left outer join agldescription g on g.client = u.client and g.dim_value = u.account and g.attribute_id = 'A0'</v>
      </c>
    </row>
    <row r="1052" spans="1:33" ht="14.5" outlineLevel="1" x14ac:dyDescent="0.35">
      <c r="A1052" s="67" t="s">
        <v>1048</v>
      </c>
      <c r="G1052" s="737" t="s">
        <v>1047</v>
      </c>
    </row>
    <row r="1053" spans="1:33" outlineLevel="1" x14ac:dyDescent="0.25">
      <c r="A1053" t="s">
        <v>1005</v>
      </c>
    </row>
    <row r="1054" spans="1:33" outlineLevel="1" x14ac:dyDescent="0.25">
      <c r="A1054" t="s">
        <v>1006</v>
      </c>
    </row>
    <row r="1055" spans="1:33" outlineLevel="1" x14ac:dyDescent="0.25">
      <c r="A1055" t="s">
        <v>1007</v>
      </c>
    </row>
    <row r="1056" spans="1:33" ht="13" outlineLevel="1" x14ac:dyDescent="0.3">
      <c r="A1056" t="s">
        <v>1012</v>
      </c>
      <c r="C1056" s="29"/>
      <c r="D1056" s="36">
        <v>1000</v>
      </c>
      <c r="E1056" s="36">
        <v>1000</v>
      </c>
      <c r="F1056" s="22">
        <v>1000</v>
      </c>
      <c r="G1056" s="22">
        <v>1000</v>
      </c>
      <c r="H1056" s="22">
        <v>1000</v>
      </c>
      <c r="I1056" s="22">
        <v>1000</v>
      </c>
      <c r="J1056" s="22">
        <v>1000</v>
      </c>
      <c r="K1056" s="22">
        <v>1000</v>
      </c>
      <c r="L1056" s="22"/>
      <c r="M1056" s="36"/>
      <c r="N1056" s="36"/>
      <c r="O1056" s="36">
        <v>1000</v>
      </c>
      <c r="P1056" s="36">
        <v>1000</v>
      </c>
      <c r="Q1056" s="36">
        <v>1000</v>
      </c>
      <c r="R1056" s="36">
        <v>1000</v>
      </c>
      <c r="S1056" s="36">
        <v>1000</v>
      </c>
      <c r="T1056" s="36"/>
      <c r="U1056" s="36"/>
      <c r="V1056" s="58"/>
      <c r="W1056" s="36">
        <v>1000</v>
      </c>
      <c r="X1056" s="36">
        <v>1000</v>
      </c>
      <c r="Y1056" s="36"/>
      <c r="Z1056" s="36"/>
      <c r="AA1056" s="40"/>
      <c r="AB1056" s="60"/>
      <c r="AC1056" s="98"/>
      <c r="AD1056" s="36"/>
      <c r="AE1056" s="36"/>
      <c r="AF1056" s="36"/>
      <c r="AG1056" s="99"/>
    </row>
    <row r="1057" spans="1:33" ht="13" outlineLevel="1" x14ac:dyDescent="0.3">
      <c r="A1057" s="7" t="s">
        <v>1013</v>
      </c>
      <c r="C1057" s="29"/>
      <c r="D1057" s="36">
        <v>0</v>
      </c>
      <c r="E1057" s="36">
        <v>0</v>
      </c>
      <c r="F1057" s="22">
        <v>0</v>
      </c>
      <c r="G1057" s="22">
        <v>0</v>
      </c>
      <c r="H1057" s="22">
        <v>0</v>
      </c>
      <c r="I1057" s="22">
        <v>0</v>
      </c>
      <c r="J1057" s="22">
        <v>0</v>
      </c>
      <c r="K1057" s="22">
        <v>0</v>
      </c>
      <c r="L1057" s="22"/>
      <c r="M1057" s="36"/>
      <c r="N1057" s="36"/>
      <c r="O1057" s="36">
        <v>0</v>
      </c>
      <c r="P1057" s="36">
        <v>0</v>
      </c>
      <c r="Q1057" s="36">
        <v>0</v>
      </c>
      <c r="R1057" s="36">
        <v>0</v>
      </c>
      <c r="S1057" s="36">
        <v>0</v>
      </c>
      <c r="T1057" s="36"/>
      <c r="U1057" s="36"/>
      <c r="V1057" s="58"/>
      <c r="W1057" s="36">
        <v>0</v>
      </c>
      <c r="X1057" s="36">
        <v>0</v>
      </c>
      <c r="Y1057" s="36"/>
      <c r="Z1057" s="36"/>
      <c r="AA1057" s="40"/>
      <c r="AB1057" s="60"/>
      <c r="AC1057" s="98"/>
      <c r="AD1057" s="36"/>
      <c r="AE1057" s="36"/>
      <c r="AF1057" s="36"/>
      <c r="AG1057" s="99"/>
    </row>
    <row r="1058" spans="1:33" ht="13" outlineLevel="1" x14ac:dyDescent="0.3">
      <c r="A1058" t="s">
        <v>1014</v>
      </c>
      <c r="C1058" s="30"/>
      <c r="D1058" s="36"/>
      <c r="E1058" s="36"/>
      <c r="F1058" s="57"/>
      <c r="G1058" s="57"/>
      <c r="H1058" s="57"/>
      <c r="I1058" s="57"/>
      <c r="J1058" s="57"/>
      <c r="K1058" s="57"/>
      <c r="L1058" s="57"/>
      <c r="M1058" s="36"/>
      <c r="N1058" s="36"/>
      <c r="O1058" s="36"/>
      <c r="P1058" s="36" t="s">
        <v>1015</v>
      </c>
      <c r="Q1058" s="36" t="s">
        <v>1016</v>
      </c>
      <c r="R1058" s="36"/>
      <c r="S1058" s="36"/>
      <c r="T1058" s="36"/>
      <c r="U1058" s="36"/>
      <c r="V1058" s="58"/>
      <c r="W1058" s="36"/>
      <c r="X1058" s="36"/>
      <c r="Y1058" s="36"/>
      <c r="Z1058" s="36"/>
      <c r="AA1058" s="40"/>
      <c r="AB1058" s="60"/>
      <c r="AC1058" s="98"/>
      <c r="AD1058" s="36"/>
      <c r="AE1058" s="36"/>
      <c r="AF1058" s="36"/>
      <c r="AG1058" s="99"/>
    </row>
    <row r="1059" spans="1:33" ht="13" outlineLevel="1" x14ac:dyDescent="0.3">
      <c r="A1059" t="s">
        <v>1017</v>
      </c>
      <c r="C1059" s="31"/>
      <c r="D1059" s="36" t="s">
        <v>1019</v>
      </c>
      <c r="E1059" s="36" t="s">
        <v>1020</v>
      </c>
      <c r="F1059" s="22" t="s">
        <v>1021</v>
      </c>
      <c r="G1059" s="22" t="s">
        <v>1022</v>
      </c>
      <c r="H1059" s="22" t="s">
        <v>1023</v>
      </c>
      <c r="I1059" s="22" t="s">
        <v>1024</v>
      </c>
      <c r="J1059" s="22" t="s">
        <v>1025</v>
      </c>
      <c r="K1059" s="22" t="s">
        <v>1026</v>
      </c>
      <c r="L1059" s="22"/>
      <c r="M1059" s="36"/>
      <c r="N1059" s="36"/>
      <c r="O1059" s="36" t="s">
        <v>1027</v>
      </c>
      <c r="P1059" s="36" t="s">
        <v>1028</v>
      </c>
      <c r="Q1059" s="36" t="s">
        <v>1028</v>
      </c>
      <c r="R1059" s="36" t="s">
        <v>1028</v>
      </c>
      <c r="S1059" s="36" t="s">
        <v>1029</v>
      </c>
      <c r="T1059" s="36"/>
      <c r="U1059" s="36"/>
      <c r="V1059" s="58"/>
      <c r="W1059" s="36" t="s">
        <v>1030</v>
      </c>
      <c r="X1059" s="36" t="s">
        <v>1031</v>
      </c>
      <c r="Y1059" s="36"/>
      <c r="Z1059" s="36"/>
      <c r="AA1059" s="40"/>
      <c r="AB1059" s="60"/>
      <c r="AC1059" s="98"/>
      <c r="AD1059" s="36"/>
      <c r="AE1059" s="36"/>
      <c r="AF1059" s="36"/>
      <c r="AG1059" s="99"/>
    </row>
    <row r="1060" spans="1:33" ht="13" outlineLevel="1" x14ac:dyDescent="0.3">
      <c r="A1060" t="s">
        <v>1041</v>
      </c>
      <c r="C1060" s="31" t="s">
        <v>121</v>
      </c>
      <c r="D1060" s="33">
        <v>0</v>
      </c>
      <c r="E1060" s="33">
        <v>0</v>
      </c>
      <c r="F1060" s="23">
        <v>0</v>
      </c>
      <c r="G1060" s="23">
        <v>0</v>
      </c>
      <c r="H1060" s="23">
        <v>0</v>
      </c>
      <c r="I1060" s="23">
        <v>0</v>
      </c>
      <c r="J1060" s="23">
        <v>0</v>
      </c>
      <c r="K1060" s="23">
        <v>0</v>
      </c>
      <c r="L1060" s="23">
        <f>SUM(F1060:K1060)</f>
        <v>0</v>
      </c>
      <c r="M1060" s="33">
        <f>O1060-E1060</f>
        <v>0</v>
      </c>
      <c r="N1060" s="33">
        <f>O1060-D1060</f>
        <v>0</v>
      </c>
      <c r="O1060" s="33">
        <v>0</v>
      </c>
      <c r="P1060" s="33">
        <v>0</v>
      </c>
      <c r="Q1060" s="33">
        <v>0</v>
      </c>
      <c r="R1060" s="33">
        <v>0</v>
      </c>
      <c r="S1060" s="33">
        <v>0</v>
      </c>
      <c r="T1060" s="33">
        <f>R1060-S1060</f>
        <v>0</v>
      </c>
      <c r="U1060" s="38" t="str">
        <f>IFERROR((R1060/O1060)*100%,"∞")</f>
        <v>∞</v>
      </c>
      <c r="V1060" s="59">
        <f>O1060+W1060</f>
        <v>0</v>
      </c>
      <c r="W1060" s="33">
        <v>0</v>
      </c>
      <c r="X1060" s="33">
        <v>0</v>
      </c>
      <c r="Y1060" s="33"/>
      <c r="Z1060" s="33"/>
      <c r="AA1060" s="42"/>
      <c r="AB1060" s="60"/>
      <c r="AC1060" s="105"/>
      <c r="AD1060" s="93"/>
      <c r="AE1060" s="33">
        <f>SUM(AC1060:AD1060)</f>
        <v>0</v>
      </c>
      <c r="AF1060" s="33">
        <f>R1060+AE1060</f>
        <v>0</v>
      </c>
      <c r="AG1060" s="101">
        <f>AF1060-O1060</f>
        <v>0</v>
      </c>
    </row>
    <row r="1061" spans="1:33" outlineLevel="1" x14ac:dyDescent="0.25">
      <c r="A1061" t="s">
        <v>232</v>
      </c>
    </row>
    <row r="1062" spans="1:33" outlineLevel="1" x14ac:dyDescent="0.25">
      <c r="A1062" t="s">
        <v>944</v>
      </c>
      <c r="M1062" s="19"/>
      <c r="N1062" s="19"/>
    </row>
    <row r="1063" spans="1:33" outlineLevel="1" x14ac:dyDescent="0.25">
      <c r="A1063" t="s">
        <v>946</v>
      </c>
      <c r="E1063" s="19"/>
    </row>
    <row r="1064" spans="1:33" outlineLevel="1" x14ac:dyDescent="0.25">
      <c r="A1064" t="s">
        <v>947</v>
      </c>
      <c r="E1064" s="19"/>
      <c r="F1064" s="19"/>
    </row>
    <row r="1065" spans="1:33" ht="13" outlineLevel="1" x14ac:dyDescent="0.3">
      <c r="A1065" s="20" t="s">
        <v>948</v>
      </c>
    </row>
    <row r="1066" spans="1:33" outlineLevel="1" x14ac:dyDescent="0.25">
      <c r="A1066" s="7" t="s">
        <v>949</v>
      </c>
    </row>
    <row r="1067" spans="1:33" outlineLevel="1" x14ac:dyDescent="0.25">
      <c r="A1067" t="s">
        <v>950</v>
      </c>
    </row>
    <row r="1068" spans="1:33" outlineLevel="1" x14ac:dyDescent="0.25">
      <c r="A1068" t="s">
        <v>951</v>
      </c>
    </row>
    <row r="1069" spans="1:33" ht="13" outlineLevel="1" x14ac:dyDescent="0.3">
      <c r="A1069" s="21" t="str">
        <f>CONCATENATE("sql where a.client = '",$D$172,"' and a.period between '",LEFT($D$170,4),"00' and '",LEFT($D$171,4),"14' and a.version like '%ORIG%'")</f>
        <v>sql where a.client = 'OX' and a.period between '202500' and '202514' and a.version like '%ORIG%'</v>
      </c>
    </row>
    <row r="1070" spans="1:33" outlineLevel="1" x14ac:dyDescent="0.25">
      <c r="A1070" t="s">
        <v>952</v>
      </c>
    </row>
    <row r="1071" spans="1:33" outlineLevel="1" x14ac:dyDescent="0.25">
      <c r="A1071" t="s">
        <v>953</v>
      </c>
    </row>
    <row r="1072" spans="1:33" outlineLevel="1" x14ac:dyDescent="0.25">
      <c r="A1072" t="s">
        <v>954</v>
      </c>
    </row>
    <row r="1073" spans="1:3" ht="13" outlineLevel="1" x14ac:dyDescent="0.3">
      <c r="A1073" s="20" t="s">
        <v>955</v>
      </c>
    </row>
    <row r="1074" spans="1:3" outlineLevel="1" x14ac:dyDescent="0.25">
      <c r="A1074" s="7" t="s">
        <v>956</v>
      </c>
    </row>
    <row r="1075" spans="1:3" outlineLevel="1" x14ac:dyDescent="0.25">
      <c r="A1075" t="s">
        <v>950</v>
      </c>
    </row>
    <row r="1076" spans="1:3" outlineLevel="1" x14ac:dyDescent="0.25">
      <c r="A1076" t="s">
        <v>951</v>
      </c>
    </row>
    <row r="1077" spans="1:3" ht="14.5" outlineLevel="1" x14ac:dyDescent="0.35">
      <c r="A107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077" s="2"/>
    </row>
    <row r="1078" spans="1:3" outlineLevel="1" x14ac:dyDescent="0.25">
      <c r="A1078" t="s">
        <v>952</v>
      </c>
    </row>
    <row r="1079" spans="1:3" outlineLevel="1" x14ac:dyDescent="0.25">
      <c r="A1079" t="s">
        <v>953</v>
      </c>
    </row>
    <row r="1080" spans="1:3" outlineLevel="1" x14ac:dyDescent="0.25">
      <c r="A1080" t="s">
        <v>954</v>
      </c>
    </row>
    <row r="1081" spans="1:3" ht="13" outlineLevel="1" x14ac:dyDescent="0.3">
      <c r="A1081" s="66" t="s">
        <v>957</v>
      </c>
    </row>
    <row r="1082" spans="1:3" outlineLevel="1" x14ac:dyDescent="0.25">
      <c r="A1082" t="s">
        <v>958</v>
      </c>
    </row>
    <row r="1083" spans="1:3" outlineLevel="1" x14ac:dyDescent="0.25">
      <c r="A1083" t="s">
        <v>950</v>
      </c>
    </row>
    <row r="1084" spans="1:3" ht="13" outlineLevel="1" x14ac:dyDescent="0.3">
      <c r="A108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085" spans="1:3" ht="13" outlineLevel="1" x14ac:dyDescent="0.3">
      <c r="A1085" s="21" t="s">
        <v>959</v>
      </c>
    </row>
    <row r="1086" spans="1:3" outlineLevel="1" x14ac:dyDescent="0.25">
      <c r="A1086" t="s">
        <v>960</v>
      </c>
    </row>
    <row r="1087" spans="1:3" outlineLevel="1" x14ac:dyDescent="0.25">
      <c r="A1087" t="s">
        <v>961</v>
      </c>
    </row>
    <row r="1088" spans="1:3" outlineLevel="1" x14ac:dyDescent="0.25">
      <c r="A1088" t="str">
        <f>CONCATENATE("sql left outer join acrtrees t on t.client = x.client and x.dim_1 = t.cat_1 and t.att_agrid = '",$F$159,"'")</f>
        <v>sql left outer join acrtrees t on t.client = x.client and x.dim_1 = t.cat_1 and t.att_agrid = '53'</v>
      </c>
    </row>
    <row r="1089" spans="1:1" ht="13" outlineLevel="1" x14ac:dyDescent="0.3">
      <c r="A108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090" spans="1:1" ht="13" outlineLevel="1" x14ac:dyDescent="0.3">
      <c r="A1090" s="21" t="s">
        <v>962</v>
      </c>
    </row>
    <row r="1091" spans="1:1" ht="13" outlineLevel="1" x14ac:dyDescent="0.3">
      <c r="A109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092" spans="1:1" ht="13" outlineLevel="1" x14ac:dyDescent="0.3">
      <c r="A1092" s="21" t="s">
        <v>963</v>
      </c>
    </row>
    <row r="1093" spans="1:1" outlineLevel="1" x14ac:dyDescent="0.25">
      <c r="A1093" t="s">
        <v>964</v>
      </c>
    </row>
    <row r="1094" spans="1:1" outlineLevel="1" x14ac:dyDescent="0.25">
      <c r="A1094" t="s">
        <v>965</v>
      </c>
    </row>
    <row r="1095" spans="1:1" outlineLevel="1" x14ac:dyDescent="0.25">
      <c r="A1095" t="s">
        <v>966</v>
      </c>
    </row>
    <row r="1096" spans="1:1" outlineLevel="1" x14ac:dyDescent="0.25">
      <c r="A1096" t="s">
        <v>953</v>
      </c>
    </row>
    <row r="1097" spans="1:1" outlineLevel="1" x14ac:dyDescent="0.25">
      <c r="A1097" t="s">
        <v>954</v>
      </c>
    </row>
    <row r="1098" spans="1:1" ht="13" outlineLevel="1" x14ac:dyDescent="0.3">
      <c r="A1098" s="66" t="s">
        <v>967</v>
      </c>
    </row>
    <row r="1099" spans="1:1" outlineLevel="1" x14ac:dyDescent="0.25">
      <c r="A1099" t="s">
        <v>968</v>
      </c>
    </row>
    <row r="1100" spans="1:1" outlineLevel="1" x14ac:dyDescent="0.25">
      <c r="A1100" t="s">
        <v>950</v>
      </c>
    </row>
    <row r="1101" spans="1:1" ht="13" outlineLevel="1" x14ac:dyDescent="0.3">
      <c r="A110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102" spans="1:1" ht="13" outlineLevel="1" x14ac:dyDescent="0.3">
      <c r="A1102" s="21" t="s">
        <v>969</v>
      </c>
    </row>
    <row r="1103" spans="1:1" ht="13" outlineLevel="1" x14ac:dyDescent="0.3">
      <c r="A1103" s="21" t="s">
        <v>959</v>
      </c>
    </row>
    <row r="1104" spans="1:1" outlineLevel="1" x14ac:dyDescent="0.25">
      <c r="A1104" t="s">
        <v>960</v>
      </c>
    </row>
    <row r="1105" spans="1:1" outlineLevel="1" x14ac:dyDescent="0.25">
      <c r="A1105" t="s">
        <v>961</v>
      </c>
    </row>
    <row r="1106" spans="1:1" outlineLevel="1" x14ac:dyDescent="0.25">
      <c r="A1106" t="str">
        <f>CONCATENATE("sql left outer join acrtrees t on t.client = x.client and x.dim_1 = t.cat_1 and t.att_agrid = '",$F$159,"'")</f>
        <v>sql left outer join acrtrees t on t.client = x.client and x.dim_1 = t.cat_1 and t.att_agrid = '53'</v>
      </c>
    </row>
    <row r="1107" spans="1:1" ht="13" outlineLevel="1" x14ac:dyDescent="0.3">
      <c r="A110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108" spans="1:1" ht="13" outlineLevel="1" x14ac:dyDescent="0.3">
      <c r="A1108" s="21" t="s">
        <v>970</v>
      </c>
    </row>
    <row r="1109" spans="1:1" ht="13" outlineLevel="1" x14ac:dyDescent="0.3">
      <c r="A1109" s="21" t="s">
        <v>962</v>
      </c>
    </row>
    <row r="1110" spans="1:1" ht="13" outlineLevel="1" x14ac:dyDescent="0.3">
      <c r="A111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111" spans="1:1" ht="13" outlineLevel="1" x14ac:dyDescent="0.3">
      <c r="A1111" s="21" t="s">
        <v>970</v>
      </c>
    </row>
    <row r="1112" spans="1:1" ht="13" outlineLevel="1" x14ac:dyDescent="0.3">
      <c r="A1112" s="21" t="s">
        <v>963</v>
      </c>
    </row>
    <row r="1113" spans="1:1" outlineLevel="1" x14ac:dyDescent="0.25">
      <c r="A1113" t="s">
        <v>964</v>
      </c>
    </row>
    <row r="1114" spans="1:1" outlineLevel="1" x14ac:dyDescent="0.25">
      <c r="A1114" t="s">
        <v>965</v>
      </c>
    </row>
    <row r="1115" spans="1:1" outlineLevel="1" x14ac:dyDescent="0.25">
      <c r="A1115" t="s">
        <v>966</v>
      </c>
    </row>
    <row r="1116" spans="1:1" outlineLevel="1" x14ac:dyDescent="0.25">
      <c r="A1116" t="s">
        <v>953</v>
      </c>
    </row>
    <row r="1117" spans="1:1" outlineLevel="1" x14ac:dyDescent="0.25">
      <c r="A1117" t="s">
        <v>954</v>
      </c>
    </row>
    <row r="1118" spans="1:1" ht="13" outlineLevel="1" x14ac:dyDescent="0.3">
      <c r="A1118" s="66" t="s">
        <v>971</v>
      </c>
    </row>
    <row r="1119" spans="1:1" outlineLevel="1" x14ac:dyDescent="0.25">
      <c r="A1119" t="s">
        <v>972</v>
      </c>
    </row>
    <row r="1120" spans="1:1" outlineLevel="1" x14ac:dyDescent="0.25">
      <c r="A1120" t="s">
        <v>950</v>
      </c>
    </row>
    <row r="1121" spans="1:1" ht="13" outlineLevel="1" x14ac:dyDescent="0.3">
      <c r="A112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122" spans="1:1" ht="13" outlineLevel="1" x14ac:dyDescent="0.3">
      <c r="A1122" s="21" t="s">
        <v>959</v>
      </c>
    </row>
    <row r="1123" spans="1:1" outlineLevel="1" x14ac:dyDescent="0.25">
      <c r="A1123" t="s">
        <v>960</v>
      </c>
    </row>
    <row r="1124" spans="1:1" outlineLevel="1" x14ac:dyDescent="0.25">
      <c r="A1124" t="s">
        <v>961</v>
      </c>
    </row>
    <row r="1125" spans="1:1" outlineLevel="1" x14ac:dyDescent="0.25">
      <c r="A1125" t="str">
        <f>CONCATENATE("sql left outer join acrtrees t on t.client = x.client and x.dim_1 = t.cat_1 and t.att_agrid = '",$F$159,"'")</f>
        <v>sql left outer join acrtrees t on t.client = x.client and x.dim_1 = t.cat_1 and t.att_agrid = '53'</v>
      </c>
    </row>
    <row r="1126" spans="1:1" ht="13" outlineLevel="1" x14ac:dyDescent="0.3">
      <c r="A112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127" spans="1:1" ht="13" outlineLevel="1" x14ac:dyDescent="0.3">
      <c r="A1127" s="21" t="s">
        <v>973</v>
      </c>
    </row>
    <row r="1128" spans="1:1" outlineLevel="1" x14ac:dyDescent="0.25">
      <c r="A1128" t="s">
        <v>964</v>
      </c>
    </row>
    <row r="1129" spans="1:1" outlineLevel="1" x14ac:dyDescent="0.25">
      <c r="A1129" t="s">
        <v>965</v>
      </c>
    </row>
    <row r="1130" spans="1:1" outlineLevel="1" x14ac:dyDescent="0.25">
      <c r="A1130" t="s">
        <v>966</v>
      </c>
    </row>
    <row r="1131" spans="1:1" outlineLevel="1" x14ac:dyDescent="0.25">
      <c r="A1131" t="s">
        <v>953</v>
      </c>
    </row>
    <row r="1132" spans="1:1" outlineLevel="1" x14ac:dyDescent="0.25">
      <c r="A1132" t="s">
        <v>954</v>
      </c>
    </row>
    <row r="1133" spans="1:1" ht="13" outlineLevel="1" x14ac:dyDescent="0.3">
      <c r="A1133" s="66" t="s">
        <v>974</v>
      </c>
    </row>
    <row r="1134" spans="1:1" outlineLevel="1" x14ac:dyDescent="0.25">
      <c r="A1134" t="s">
        <v>975</v>
      </c>
    </row>
    <row r="1135" spans="1:1" outlineLevel="1" x14ac:dyDescent="0.25">
      <c r="A1135" t="s">
        <v>950</v>
      </c>
    </row>
    <row r="1136" spans="1:1" ht="13" outlineLevel="1" x14ac:dyDescent="0.3">
      <c r="A113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137" spans="1:1" ht="13" outlineLevel="1" x14ac:dyDescent="0.3">
      <c r="A1137" s="21" t="s">
        <v>959</v>
      </c>
    </row>
    <row r="1138" spans="1:1" outlineLevel="1" x14ac:dyDescent="0.25">
      <c r="A1138" t="s">
        <v>960</v>
      </c>
    </row>
    <row r="1139" spans="1:1" outlineLevel="1" x14ac:dyDescent="0.25">
      <c r="A1139" t="s">
        <v>961</v>
      </c>
    </row>
    <row r="1140" spans="1:1" outlineLevel="1" x14ac:dyDescent="0.25">
      <c r="A1140" t="str">
        <f>CONCATENATE("sql left outer join acrtrees t on t.client = x.client and x.dim_1 = t.cat_1 and t.att_agrid = '",$F$159,"'")</f>
        <v>sql left outer join acrtrees t on t.client = x.client and x.dim_1 = t.cat_1 and t.att_agrid = '53'</v>
      </c>
    </row>
    <row r="1141" spans="1:1" ht="13" outlineLevel="1" x14ac:dyDescent="0.3">
      <c r="A114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142" spans="1:1" ht="13" outlineLevel="1" x14ac:dyDescent="0.3">
      <c r="A1142" s="21" t="s">
        <v>973</v>
      </c>
    </row>
    <row r="1143" spans="1:1" outlineLevel="1" x14ac:dyDescent="0.25">
      <c r="A1143" t="s">
        <v>964</v>
      </c>
    </row>
    <row r="1144" spans="1:1" outlineLevel="1" x14ac:dyDescent="0.25">
      <c r="A1144" t="s">
        <v>965</v>
      </c>
    </row>
    <row r="1145" spans="1:1" outlineLevel="1" x14ac:dyDescent="0.25">
      <c r="A1145" t="s">
        <v>966</v>
      </c>
    </row>
    <row r="1146" spans="1:1" outlineLevel="1" x14ac:dyDescent="0.25">
      <c r="A1146" t="s">
        <v>953</v>
      </c>
    </row>
    <row r="1147" spans="1:1" outlineLevel="1" x14ac:dyDescent="0.25">
      <c r="A1147" t="s">
        <v>954</v>
      </c>
    </row>
    <row r="1148" spans="1:1" ht="13" outlineLevel="1" x14ac:dyDescent="0.3">
      <c r="A1148" s="66" t="s">
        <v>976</v>
      </c>
    </row>
    <row r="1149" spans="1:1" outlineLevel="1" x14ac:dyDescent="0.25">
      <c r="A1149" t="s">
        <v>977</v>
      </c>
    </row>
    <row r="1150" spans="1:1" outlineLevel="1" x14ac:dyDescent="0.25">
      <c r="A1150" t="s">
        <v>950</v>
      </c>
    </row>
    <row r="1151" spans="1:1" ht="13" outlineLevel="1" x14ac:dyDescent="0.3">
      <c r="A115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152" spans="1:1" ht="13" outlineLevel="1" x14ac:dyDescent="0.3">
      <c r="A1152" s="21" t="s">
        <v>959</v>
      </c>
    </row>
    <row r="1153" spans="1:1" outlineLevel="1" x14ac:dyDescent="0.25">
      <c r="A1153" t="s">
        <v>960</v>
      </c>
    </row>
    <row r="1154" spans="1:1" outlineLevel="1" x14ac:dyDescent="0.25">
      <c r="A1154" t="s">
        <v>961</v>
      </c>
    </row>
    <row r="1155" spans="1:1" outlineLevel="1" x14ac:dyDescent="0.25">
      <c r="A1155" t="str">
        <f>CONCATENATE("sql left outer join acrtrees t on t.client = x.client and x.dim_1 = t.cat_1 and t.att_agrid = '",$F$159,"'")</f>
        <v>sql left outer join acrtrees t on t.client = x.client and x.dim_1 = t.cat_1 and t.att_agrid = '53'</v>
      </c>
    </row>
    <row r="1156" spans="1:1" ht="13" outlineLevel="1" x14ac:dyDescent="0.3">
      <c r="A115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157" spans="1:1" ht="13" outlineLevel="1" x14ac:dyDescent="0.3">
      <c r="A1157" s="21" t="s">
        <v>978</v>
      </c>
    </row>
    <row r="1158" spans="1:1" outlineLevel="1" x14ac:dyDescent="0.25">
      <c r="A1158" t="s">
        <v>979</v>
      </c>
    </row>
    <row r="1159" spans="1:1" outlineLevel="1" x14ac:dyDescent="0.25">
      <c r="A1159" t="s">
        <v>980</v>
      </c>
    </row>
    <row r="1160" spans="1:1" outlineLevel="1" x14ac:dyDescent="0.25">
      <c r="A1160" t="s">
        <v>966</v>
      </c>
    </row>
    <row r="1161" spans="1:1" outlineLevel="1" x14ac:dyDescent="0.25">
      <c r="A1161" t="s">
        <v>953</v>
      </c>
    </row>
    <row r="1162" spans="1:1" outlineLevel="1" x14ac:dyDescent="0.25">
      <c r="A1162" t="s">
        <v>954</v>
      </c>
    </row>
    <row r="1163" spans="1:1" ht="13" outlineLevel="1" x14ac:dyDescent="0.3">
      <c r="A1163" s="66" t="s">
        <v>981</v>
      </c>
    </row>
    <row r="1164" spans="1:1" outlineLevel="1" x14ac:dyDescent="0.25">
      <c r="A1164" t="s">
        <v>982</v>
      </c>
    </row>
    <row r="1165" spans="1:1" outlineLevel="1" x14ac:dyDescent="0.25">
      <c r="A1165" t="s">
        <v>950</v>
      </c>
    </row>
    <row r="1166" spans="1:1" ht="13" outlineLevel="1" x14ac:dyDescent="0.3">
      <c r="A116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167" spans="1:1" ht="13" outlineLevel="1" x14ac:dyDescent="0.3">
      <c r="A1167" s="21" t="s">
        <v>969</v>
      </c>
    </row>
    <row r="1168" spans="1:1" ht="13" outlineLevel="1" x14ac:dyDescent="0.3">
      <c r="A1168" s="21" t="s">
        <v>959</v>
      </c>
    </row>
    <row r="1169" spans="1:3" outlineLevel="1" x14ac:dyDescent="0.25">
      <c r="A1169" t="s">
        <v>960</v>
      </c>
    </row>
    <row r="1170" spans="1:3" outlineLevel="1" x14ac:dyDescent="0.25">
      <c r="A1170" t="s">
        <v>961</v>
      </c>
    </row>
    <row r="1171" spans="1:3" outlineLevel="1" x14ac:dyDescent="0.25">
      <c r="A1171" t="str">
        <f>CONCATENATE("sql left outer join acrtrees t on t.client = x.client and x.dim_1 = t.cat_1 and t.att_agrid = '",$F$159,"'")</f>
        <v>sql left outer join acrtrees t on t.client = x.client and x.dim_1 = t.cat_1 and t.att_agrid = '53'</v>
      </c>
    </row>
    <row r="1172" spans="1:3" ht="13" outlineLevel="1" x14ac:dyDescent="0.3">
      <c r="A117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173" spans="1:3" ht="13" outlineLevel="1" x14ac:dyDescent="0.3">
      <c r="A1173" s="21" t="s">
        <v>970</v>
      </c>
    </row>
    <row r="1174" spans="1:3" ht="13" outlineLevel="1" x14ac:dyDescent="0.3">
      <c r="A1174" s="21" t="s">
        <v>978</v>
      </c>
    </row>
    <row r="1175" spans="1:3" outlineLevel="1" x14ac:dyDescent="0.25">
      <c r="A1175" t="s">
        <v>979</v>
      </c>
    </row>
    <row r="1176" spans="1:3" outlineLevel="1" x14ac:dyDescent="0.25">
      <c r="A1176" t="s">
        <v>980</v>
      </c>
    </row>
    <row r="1177" spans="1:3" outlineLevel="1" x14ac:dyDescent="0.25">
      <c r="A1177" t="s">
        <v>966</v>
      </c>
    </row>
    <row r="1178" spans="1:3" outlineLevel="1" x14ac:dyDescent="0.25">
      <c r="A1178" t="s">
        <v>953</v>
      </c>
    </row>
    <row r="1179" spans="1:3" outlineLevel="1" x14ac:dyDescent="0.25">
      <c r="A1179" t="s">
        <v>954</v>
      </c>
    </row>
    <row r="1180" spans="1:3" ht="13" outlineLevel="1" x14ac:dyDescent="0.3">
      <c r="A1180" s="20" t="s">
        <v>983</v>
      </c>
    </row>
    <row r="1181" spans="1:3" outlineLevel="1" x14ac:dyDescent="0.25">
      <c r="A1181" s="7" t="s">
        <v>984</v>
      </c>
    </row>
    <row r="1182" spans="1:3" outlineLevel="1" x14ac:dyDescent="0.25">
      <c r="A1182" t="s">
        <v>950</v>
      </c>
    </row>
    <row r="1183" spans="1:3" outlineLevel="1" x14ac:dyDescent="0.25">
      <c r="A1183" t="s">
        <v>951</v>
      </c>
    </row>
    <row r="1184" spans="1:3" ht="14.5" outlineLevel="1" x14ac:dyDescent="0.35">
      <c r="A118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184" s="2"/>
    </row>
    <row r="1185" spans="1:1" outlineLevel="1" x14ac:dyDescent="0.25">
      <c r="A1185" t="s">
        <v>952</v>
      </c>
    </row>
    <row r="1186" spans="1:1" outlineLevel="1" x14ac:dyDescent="0.25">
      <c r="A1186" t="s">
        <v>953</v>
      </c>
    </row>
    <row r="1187" spans="1:1" outlineLevel="1" x14ac:dyDescent="0.25">
      <c r="A1187" t="s">
        <v>954</v>
      </c>
    </row>
    <row r="1188" spans="1:1" ht="13" outlineLevel="1" x14ac:dyDescent="0.3">
      <c r="A1188" s="20" t="s">
        <v>985</v>
      </c>
    </row>
    <row r="1189" spans="1:1" outlineLevel="1" x14ac:dyDescent="0.25">
      <c r="A1189" s="7" t="s">
        <v>986</v>
      </c>
    </row>
    <row r="1190" spans="1:1" outlineLevel="1" x14ac:dyDescent="0.25">
      <c r="A1190" t="s">
        <v>987</v>
      </c>
    </row>
    <row r="1191" spans="1:1" ht="13" outlineLevel="1" x14ac:dyDescent="0.3">
      <c r="A1191" s="21" t="str">
        <f>CONCATENATE("sql where a.client = '",$D$172,"' and a.period between '",LEFT($D$170,4),"00' and '",IF(RIGHT($D$171,2)="12",CONCATENATE(LEFT($D$171,4),"14"),$D$171),"'")</f>
        <v>sql where a.client = 'OX' and a.period between '202500' and '202506'</v>
      </c>
    </row>
    <row r="1192" spans="1:1" outlineLevel="1" x14ac:dyDescent="0.25">
      <c r="A1192" t="s">
        <v>952</v>
      </c>
    </row>
    <row r="1193" spans="1:1" outlineLevel="1" x14ac:dyDescent="0.25">
      <c r="A1193" t="s">
        <v>953</v>
      </c>
    </row>
    <row r="1194" spans="1:1" outlineLevel="1" x14ac:dyDescent="0.25">
      <c r="A1194" t="s">
        <v>954</v>
      </c>
    </row>
    <row r="1195" spans="1:1" ht="13" outlineLevel="1" x14ac:dyDescent="0.3">
      <c r="A1195" s="20" t="s">
        <v>988</v>
      </c>
    </row>
    <row r="1196" spans="1:1" outlineLevel="1" x14ac:dyDescent="0.25">
      <c r="A1196" s="7" t="s">
        <v>989</v>
      </c>
    </row>
    <row r="1197" spans="1:1" outlineLevel="1" x14ac:dyDescent="0.25">
      <c r="A1197" t="s">
        <v>950</v>
      </c>
    </row>
    <row r="1198" spans="1:1" outlineLevel="1" x14ac:dyDescent="0.25">
      <c r="A1198" t="s">
        <v>951</v>
      </c>
    </row>
    <row r="1199" spans="1:1" ht="13" outlineLevel="1" x14ac:dyDescent="0.3">
      <c r="A119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200" spans="1:1" outlineLevel="1" x14ac:dyDescent="0.25">
      <c r="A1200" t="s">
        <v>952</v>
      </c>
    </row>
    <row r="1201" spans="1:1" outlineLevel="1" x14ac:dyDescent="0.25">
      <c r="A1201" t="s">
        <v>953</v>
      </c>
    </row>
    <row r="1202" spans="1:1" outlineLevel="1" x14ac:dyDescent="0.25">
      <c r="A1202" t="s">
        <v>954</v>
      </c>
    </row>
    <row r="1203" spans="1:1" ht="13" outlineLevel="1" x14ac:dyDescent="0.3">
      <c r="A1203" s="20" t="s">
        <v>990</v>
      </c>
    </row>
    <row r="1204" spans="1:1" outlineLevel="1" x14ac:dyDescent="0.25">
      <c r="A1204" s="7" t="s">
        <v>991</v>
      </c>
    </row>
    <row r="1205" spans="1:1" outlineLevel="1" x14ac:dyDescent="0.25">
      <c r="A1205" t="s">
        <v>950</v>
      </c>
    </row>
    <row r="1206" spans="1:1" outlineLevel="1" x14ac:dyDescent="0.25">
      <c r="A1206" t="s">
        <v>951</v>
      </c>
    </row>
    <row r="1207" spans="1:1" ht="13" outlineLevel="1" x14ac:dyDescent="0.3">
      <c r="A120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208" spans="1:1" outlineLevel="1" x14ac:dyDescent="0.25">
      <c r="A1208" t="s">
        <v>952</v>
      </c>
    </row>
    <row r="1209" spans="1:1" outlineLevel="1" x14ac:dyDescent="0.25">
      <c r="A1209" t="s">
        <v>953</v>
      </c>
    </row>
    <row r="1210" spans="1:1" outlineLevel="1" x14ac:dyDescent="0.25">
      <c r="A1210" t="s">
        <v>954</v>
      </c>
    </row>
    <row r="1211" spans="1:1" ht="13" outlineLevel="1" x14ac:dyDescent="0.3">
      <c r="A1211" s="20" t="s">
        <v>992</v>
      </c>
    </row>
    <row r="1212" spans="1:1" outlineLevel="1" x14ac:dyDescent="0.25">
      <c r="A1212" s="7" t="s">
        <v>993</v>
      </c>
    </row>
    <row r="1213" spans="1:1" outlineLevel="1" x14ac:dyDescent="0.25">
      <c r="A1213" t="s">
        <v>950</v>
      </c>
    </row>
    <row r="1214" spans="1:1" outlineLevel="1" x14ac:dyDescent="0.25">
      <c r="A1214" t="s">
        <v>951</v>
      </c>
    </row>
    <row r="1215" spans="1:1" ht="13" outlineLevel="1" x14ac:dyDescent="0.3">
      <c r="A121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216" spans="1:1" outlineLevel="1" x14ac:dyDescent="0.25">
      <c r="A1216" t="s">
        <v>952</v>
      </c>
    </row>
    <row r="1217" spans="1:33" outlineLevel="1" x14ac:dyDescent="0.25">
      <c r="A1217" t="s">
        <v>953</v>
      </c>
    </row>
    <row r="1218" spans="1:33" outlineLevel="1" x14ac:dyDescent="0.25">
      <c r="A1218" t="s">
        <v>994</v>
      </c>
    </row>
    <row r="1219" spans="1:33" outlineLevel="1" x14ac:dyDescent="0.25">
      <c r="A1219" t="str">
        <f>CONCATENATE("sql left outer join acrtrees t on t.client = u.client and u.dim_1 = t.cat_1 and t.att_agrid = '",$F$159,"'")</f>
        <v>sql left outer join acrtrees t on t.client = u.client and u.dim_1 = t.cat_1 and t.att_agrid = '53'</v>
      </c>
    </row>
    <row r="1220" spans="1:33" outlineLevel="1" x14ac:dyDescent="0.25">
      <c r="A1220" t="str">
        <f>CONCATENATE("sql left outer join acrtrees s on s.client = u.client and u.account = s.cat_1 and s.att_agrid = '",$F$160,"'")</f>
        <v>sql left outer join acrtrees s on s.client = u.client and u.account = s.cat_1 and s.att_agrid = '14'</v>
      </c>
    </row>
    <row r="1221" spans="1:33" outlineLevel="1" x14ac:dyDescent="0.25">
      <c r="A1221" t="str">
        <f>CONCATENATE("sql left outer join acrtrees v on v.client = u.client and u.account = v.cat_1 and v.att_agrid = '",$F$161,"'")</f>
        <v>sql left outer join acrtrees v on v.client = u.client and u.account = v.cat_1 and v.att_agrid = '17'</v>
      </c>
    </row>
    <row r="1222" spans="1:33" outlineLevel="1" x14ac:dyDescent="0.25">
      <c r="A1222" t="str">
        <f>CONCATENATE("sql left outer join agldescription d on d.client = u.client and d.dim_value = t.dim_c and d.attribute_id = '",$F$162,"'")</f>
        <v>sql left outer join agldescription d on d.client = u.client and d.dim_value = t.dim_c and d.attribute_id = '82'</v>
      </c>
    </row>
    <row r="1223" spans="1:33" outlineLevel="1" x14ac:dyDescent="0.25">
      <c r="A1223" t="str">
        <f>CONCATENATE("sql left outer join agldescription e on e.client = u.client and e.dim_value = t.dim_b and e.attribute_id = '",$F$163,"'")</f>
        <v>sql left outer join agldescription e on e.client = u.client and e.dim_value = t.dim_b and e.attribute_id = '81'</v>
      </c>
    </row>
    <row r="1224" spans="1:33" outlineLevel="1" x14ac:dyDescent="0.25">
      <c r="A1224" t="str">
        <f>CONCATENATE("sql left outer join agldescription f on f.client = u.client and f.dim_value = t.dim_e and f.attribute_id = '",$F$164,"'")</f>
        <v>sql left outer join agldescription f on f.client = u.client and f.dim_value = t.dim_e and f.attribute_id = '80'</v>
      </c>
    </row>
    <row r="1225" spans="1:33" outlineLevel="1" x14ac:dyDescent="0.25">
      <c r="A1225" t="str">
        <f>CONCATENATE("sql left outer join agldescription g on g.client = u.client and g.dim_value = u.account and g.attribute_id = '",$F$165,"'")</f>
        <v>sql left outer join agldescription g on g.client = u.client and g.dim_value = u.account and g.attribute_id = 'A0'</v>
      </c>
    </row>
    <row r="1226" spans="1:33" ht="14.5" outlineLevel="1" x14ac:dyDescent="0.35">
      <c r="A1226" s="67" t="s">
        <v>1049</v>
      </c>
      <c r="G1226" s="737" t="s">
        <v>1047</v>
      </c>
    </row>
    <row r="1227" spans="1:33" outlineLevel="1" x14ac:dyDescent="0.25">
      <c r="A1227" t="s">
        <v>1005</v>
      </c>
    </row>
    <row r="1228" spans="1:33" outlineLevel="1" x14ac:dyDescent="0.25">
      <c r="A1228" t="s">
        <v>1006</v>
      </c>
    </row>
    <row r="1229" spans="1:33" outlineLevel="1" x14ac:dyDescent="0.25">
      <c r="A1229" t="s">
        <v>1007</v>
      </c>
    </row>
    <row r="1230" spans="1:33" ht="13" outlineLevel="1" x14ac:dyDescent="0.3">
      <c r="A1230" t="s">
        <v>1012</v>
      </c>
      <c r="C1230" s="29"/>
      <c r="D1230" s="36">
        <v>1000</v>
      </c>
      <c r="E1230" s="36">
        <v>1000</v>
      </c>
      <c r="F1230" s="22">
        <v>1000</v>
      </c>
      <c r="G1230" s="22">
        <v>1000</v>
      </c>
      <c r="H1230" s="22">
        <v>1000</v>
      </c>
      <c r="I1230" s="22">
        <v>1000</v>
      </c>
      <c r="J1230" s="22">
        <v>1000</v>
      </c>
      <c r="K1230" s="22">
        <v>1000</v>
      </c>
      <c r="L1230" s="22"/>
      <c r="M1230" s="36"/>
      <c r="N1230" s="36"/>
      <c r="O1230" s="36">
        <v>1000</v>
      </c>
      <c r="P1230" s="36">
        <v>1000</v>
      </c>
      <c r="Q1230" s="36">
        <v>1000</v>
      </c>
      <c r="R1230" s="36">
        <v>1000</v>
      </c>
      <c r="S1230" s="36">
        <v>1000</v>
      </c>
      <c r="T1230" s="36"/>
      <c r="U1230" s="36"/>
      <c r="V1230" s="58"/>
      <c r="W1230" s="36">
        <v>1000</v>
      </c>
      <c r="X1230" s="36">
        <v>1000</v>
      </c>
      <c r="Y1230" s="36"/>
      <c r="Z1230" s="36"/>
      <c r="AA1230" s="40"/>
      <c r="AB1230" s="60"/>
      <c r="AC1230" s="98"/>
      <c r="AD1230" s="36"/>
      <c r="AE1230" s="36"/>
      <c r="AF1230" s="36"/>
      <c r="AG1230" s="99"/>
    </row>
    <row r="1231" spans="1:33" ht="13" outlineLevel="1" x14ac:dyDescent="0.3">
      <c r="A1231" s="7" t="s">
        <v>1013</v>
      </c>
      <c r="C1231" s="29"/>
      <c r="D1231" s="36">
        <v>0</v>
      </c>
      <c r="E1231" s="36">
        <v>0</v>
      </c>
      <c r="F1231" s="22">
        <v>0</v>
      </c>
      <c r="G1231" s="22">
        <v>0</v>
      </c>
      <c r="H1231" s="22">
        <v>0</v>
      </c>
      <c r="I1231" s="22">
        <v>0</v>
      </c>
      <c r="J1231" s="22">
        <v>0</v>
      </c>
      <c r="K1231" s="22">
        <v>0</v>
      </c>
      <c r="L1231" s="22"/>
      <c r="M1231" s="36"/>
      <c r="N1231" s="36"/>
      <c r="O1231" s="36">
        <v>0</v>
      </c>
      <c r="P1231" s="36">
        <v>0</v>
      </c>
      <c r="Q1231" s="36">
        <v>0</v>
      </c>
      <c r="R1231" s="36">
        <v>0</v>
      </c>
      <c r="S1231" s="36">
        <v>0</v>
      </c>
      <c r="T1231" s="36"/>
      <c r="U1231" s="36"/>
      <c r="V1231" s="58"/>
      <c r="W1231" s="36">
        <v>0</v>
      </c>
      <c r="X1231" s="36">
        <v>0</v>
      </c>
      <c r="Y1231" s="36"/>
      <c r="Z1231" s="36"/>
      <c r="AA1231" s="40"/>
      <c r="AB1231" s="60"/>
      <c r="AC1231" s="98"/>
      <c r="AD1231" s="36"/>
      <c r="AE1231" s="36"/>
      <c r="AF1231" s="36"/>
      <c r="AG1231" s="99"/>
    </row>
    <row r="1232" spans="1:33" ht="13" outlineLevel="1" x14ac:dyDescent="0.3">
      <c r="A1232" t="s">
        <v>1014</v>
      </c>
      <c r="C1232" s="30"/>
      <c r="D1232" s="36"/>
      <c r="E1232" s="36"/>
      <c r="F1232" s="57"/>
      <c r="G1232" s="57"/>
      <c r="H1232" s="57"/>
      <c r="I1232" s="57"/>
      <c r="J1232" s="57"/>
      <c r="K1232" s="57"/>
      <c r="L1232" s="57"/>
      <c r="M1232" s="36"/>
      <c r="N1232" s="36"/>
      <c r="O1232" s="36"/>
      <c r="P1232" s="36" t="s">
        <v>1015</v>
      </c>
      <c r="Q1232" s="36" t="s">
        <v>1016</v>
      </c>
      <c r="R1232" s="36"/>
      <c r="S1232" s="36"/>
      <c r="T1232" s="36"/>
      <c r="U1232" s="36"/>
      <c r="V1232" s="58"/>
      <c r="W1232" s="36"/>
      <c r="X1232" s="36"/>
      <c r="Y1232" s="36"/>
      <c r="Z1232" s="36"/>
      <c r="AA1232" s="40"/>
      <c r="AB1232" s="60"/>
      <c r="AC1232" s="98"/>
      <c r="AD1232" s="36"/>
      <c r="AE1232" s="36"/>
      <c r="AF1232" s="36"/>
      <c r="AG1232" s="99"/>
    </row>
    <row r="1233" spans="1:33" ht="13" outlineLevel="1" x14ac:dyDescent="0.3">
      <c r="A1233" t="s">
        <v>1017</v>
      </c>
      <c r="C1233" s="31"/>
      <c r="D1233" s="36" t="s">
        <v>1019</v>
      </c>
      <c r="E1233" s="36" t="s">
        <v>1020</v>
      </c>
      <c r="F1233" s="22" t="s">
        <v>1021</v>
      </c>
      <c r="G1233" s="22" t="s">
        <v>1022</v>
      </c>
      <c r="H1233" s="22" t="s">
        <v>1023</v>
      </c>
      <c r="I1233" s="22" t="s">
        <v>1024</v>
      </c>
      <c r="J1233" s="22" t="s">
        <v>1025</v>
      </c>
      <c r="K1233" s="22" t="s">
        <v>1026</v>
      </c>
      <c r="L1233" s="22"/>
      <c r="M1233" s="36"/>
      <c r="N1233" s="36"/>
      <c r="O1233" s="36" t="s">
        <v>1027</v>
      </c>
      <c r="P1233" s="36" t="s">
        <v>1028</v>
      </c>
      <c r="Q1233" s="36" t="s">
        <v>1028</v>
      </c>
      <c r="R1233" s="36" t="s">
        <v>1028</v>
      </c>
      <c r="S1233" s="36" t="s">
        <v>1029</v>
      </c>
      <c r="T1233" s="36"/>
      <c r="U1233" s="36"/>
      <c r="V1233" s="58"/>
      <c r="W1233" s="36" t="s">
        <v>1030</v>
      </c>
      <c r="X1233" s="36" t="s">
        <v>1031</v>
      </c>
      <c r="Y1233" s="36"/>
      <c r="Z1233" s="36"/>
      <c r="AA1233" s="40"/>
      <c r="AB1233" s="60"/>
      <c r="AC1233" s="98"/>
      <c r="AD1233" s="36"/>
      <c r="AE1233" s="36"/>
      <c r="AF1233" s="36"/>
      <c r="AG1233" s="99"/>
    </row>
    <row r="1234" spans="1:33" ht="13" outlineLevel="1" x14ac:dyDescent="0.3">
      <c r="A1234" t="s">
        <v>1041</v>
      </c>
      <c r="C1234" s="31" t="s">
        <v>122</v>
      </c>
      <c r="D1234" s="33">
        <v>0</v>
      </c>
      <c r="E1234" s="33">
        <v>0</v>
      </c>
      <c r="F1234" s="23">
        <v>0</v>
      </c>
      <c r="G1234" s="23">
        <v>0</v>
      </c>
      <c r="H1234" s="23">
        <v>0</v>
      </c>
      <c r="I1234" s="23">
        <v>0</v>
      </c>
      <c r="J1234" s="23">
        <v>0</v>
      </c>
      <c r="K1234" s="23">
        <v>0</v>
      </c>
      <c r="L1234" s="23">
        <f>SUM(F1234:K1234)</f>
        <v>0</v>
      </c>
      <c r="M1234" s="33">
        <f>O1234-E1234</f>
        <v>0</v>
      </c>
      <c r="N1234" s="33">
        <f>O1234-D1234</f>
        <v>0</v>
      </c>
      <c r="O1234" s="33">
        <v>0</v>
      </c>
      <c r="P1234" s="33">
        <v>0</v>
      </c>
      <c r="Q1234" s="33">
        <v>0</v>
      </c>
      <c r="R1234" s="33">
        <v>0</v>
      </c>
      <c r="S1234" s="33">
        <v>0</v>
      </c>
      <c r="T1234" s="33">
        <f>R1234-S1234</f>
        <v>0</v>
      </c>
      <c r="U1234" s="38" t="str">
        <f>IFERROR((R1234/O1234)*100%,"∞")</f>
        <v>∞</v>
      </c>
      <c r="V1234" s="59">
        <f>O1234+W1234</f>
        <v>0</v>
      </c>
      <c r="W1234" s="33">
        <v>0</v>
      </c>
      <c r="X1234" s="33">
        <v>0</v>
      </c>
      <c r="Y1234" s="33"/>
      <c r="Z1234" s="33"/>
      <c r="AA1234" s="42"/>
      <c r="AB1234" s="60"/>
      <c r="AC1234" s="105"/>
      <c r="AD1234" s="93"/>
      <c r="AE1234" s="33">
        <f>SUM(AC1234:AD1234)</f>
        <v>0</v>
      </c>
      <c r="AF1234" s="33">
        <f>R1234+AE1234</f>
        <v>0</v>
      </c>
      <c r="AG1234" s="101">
        <f>AF1234-O1234</f>
        <v>0</v>
      </c>
    </row>
    <row r="1235" spans="1:33" outlineLevel="1" x14ac:dyDescent="0.25">
      <c r="A1235" t="s">
        <v>232</v>
      </c>
    </row>
    <row r="1236" spans="1:33" outlineLevel="1" x14ac:dyDescent="0.25">
      <c r="A1236" t="s">
        <v>944</v>
      </c>
      <c r="M1236" s="19"/>
      <c r="N1236" s="19"/>
    </row>
    <row r="1237" spans="1:33" outlineLevel="1" x14ac:dyDescent="0.25">
      <c r="A1237" t="s">
        <v>946</v>
      </c>
      <c r="E1237" s="19"/>
    </row>
    <row r="1238" spans="1:33" outlineLevel="1" x14ac:dyDescent="0.25">
      <c r="A1238" t="s">
        <v>947</v>
      </c>
      <c r="E1238" s="19"/>
      <c r="F1238" s="19"/>
    </row>
    <row r="1239" spans="1:33" ht="13" outlineLevel="1" x14ac:dyDescent="0.3">
      <c r="A1239" s="20" t="s">
        <v>948</v>
      </c>
    </row>
    <row r="1240" spans="1:33" outlineLevel="1" x14ac:dyDescent="0.25">
      <c r="A1240" s="7" t="s">
        <v>949</v>
      </c>
    </row>
    <row r="1241" spans="1:33" outlineLevel="1" x14ac:dyDescent="0.25">
      <c r="A1241" t="s">
        <v>950</v>
      </c>
    </row>
    <row r="1242" spans="1:33" outlineLevel="1" x14ac:dyDescent="0.25">
      <c r="A1242" t="s">
        <v>951</v>
      </c>
    </row>
    <row r="1243" spans="1:33" ht="13" outlineLevel="1" x14ac:dyDescent="0.3">
      <c r="A1243" s="21" t="str">
        <f>CONCATENATE("sql where a.client = '",$D$172,"' and a.period between '",LEFT($D$170,4),"00' and '",LEFT($D$171,4),"14' and a.version like '%ORIG%'")</f>
        <v>sql where a.client = 'OX' and a.period between '202500' and '202514' and a.version like '%ORIG%'</v>
      </c>
    </row>
    <row r="1244" spans="1:33" outlineLevel="1" x14ac:dyDescent="0.25">
      <c r="A1244" t="s">
        <v>952</v>
      </c>
    </row>
    <row r="1245" spans="1:33" outlineLevel="1" x14ac:dyDescent="0.25">
      <c r="A1245" t="s">
        <v>953</v>
      </c>
    </row>
    <row r="1246" spans="1:33" outlineLevel="1" x14ac:dyDescent="0.25">
      <c r="A1246" t="s">
        <v>954</v>
      </c>
    </row>
    <row r="1247" spans="1:33" ht="13" outlineLevel="1" x14ac:dyDescent="0.3">
      <c r="A1247" s="20" t="s">
        <v>955</v>
      </c>
    </row>
    <row r="1248" spans="1:33" outlineLevel="1" x14ac:dyDescent="0.25">
      <c r="A1248" s="7" t="s">
        <v>956</v>
      </c>
    </row>
    <row r="1249" spans="1:3" outlineLevel="1" x14ac:dyDescent="0.25">
      <c r="A1249" t="s">
        <v>950</v>
      </c>
    </row>
    <row r="1250" spans="1:3" outlineLevel="1" x14ac:dyDescent="0.25">
      <c r="A1250" t="s">
        <v>951</v>
      </c>
    </row>
    <row r="1251" spans="1:3" ht="14.5" outlineLevel="1" x14ac:dyDescent="0.35">
      <c r="A1251"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251" s="2"/>
    </row>
    <row r="1252" spans="1:3" outlineLevel="1" x14ac:dyDescent="0.25">
      <c r="A1252" t="s">
        <v>952</v>
      </c>
    </row>
    <row r="1253" spans="1:3" outlineLevel="1" x14ac:dyDescent="0.25">
      <c r="A1253" t="s">
        <v>953</v>
      </c>
    </row>
    <row r="1254" spans="1:3" outlineLevel="1" x14ac:dyDescent="0.25">
      <c r="A1254" t="s">
        <v>954</v>
      </c>
    </row>
    <row r="1255" spans="1:3" ht="13" outlineLevel="1" x14ac:dyDescent="0.3">
      <c r="A1255" s="66" t="s">
        <v>957</v>
      </c>
    </row>
    <row r="1256" spans="1:3" outlineLevel="1" x14ac:dyDescent="0.25">
      <c r="A1256" t="s">
        <v>958</v>
      </c>
    </row>
    <row r="1257" spans="1:3" outlineLevel="1" x14ac:dyDescent="0.25">
      <c r="A1257" t="s">
        <v>950</v>
      </c>
    </row>
    <row r="1258" spans="1:3" ht="13" outlineLevel="1" x14ac:dyDescent="0.3">
      <c r="A125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259" spans="1:3" ht="13" outlineLevel="1" x14ac:dyDescent="0.3">
      <c r="A1259" s="21" t="s">
        <v>959</v>
      </c>
    </row>
    <row r="1260" spans="1:3" outlineLevel="1" x14ac:dyDescent="0.25">
      <c r="A1260" t="s">
        <v>960</v>
      </c>
    </row>
    <row r="1261" spans="1:3" outlineLevel="1" x14ac:dyDescent="0.25">
      <c r="A1261" t="s">
        <v>961</v>
      </c>
    </row>
    <row r="1262" spans="1:3" outlineLevel="1" x14ac:dyDescent="0.25">
      <c r="A1262" t="str">
        <f>CONCATENATE("sql left outer join acrtrees t on t.client = x.client and x.dim_1 = t.cat_1 and t.att_agrid = '",$F$159,"'")</f>
        <v>sql left outer join acrtrees t on t.client = x.client and x.dim_1 = t.cat_1 and t.att_agrid = '53'</v>
      </c>
    </row>
    <row r="1263" spans="1:3" ht="13" outlineLevel="1" x14ac:dyDescent="0.3">
      <c r="A126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264" spans="1:3" ht="13" outlineLevel="1" x14ac:dyDescent="0.3">
      <c r="A1264" s="21" t="s">
        <v>962</v>
      </c>
    </row>
    <row r="1265" spans="1:1" ht="13" outlineLevel="1" x14ac:dyDescent="0.3">
      <c r="A1265"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266" spans="1:1" ht="13" outlineLevel="1" x14ac:dyDescent="0.3">
      <c r="A1266" s="21" t="s">
        <v>963</v>
      </c>
    </row>
    <row r="1267" spans="1:1" outlineLevel="1" x14ac:dyDescent="0.25">
      <c r="A1267" t="s">
        <v>964</v>
      </c>
    </row>
    <row r="1268" spans="1:1" outlineLevel="1" x14ac:dyDescent="0.25">
      <c r="A1268" t="s">
        <v>965</v>
      </c>
    </row>
    <row r="1269" spans="1:1" outlineLevel="1" x14ac:dyDescent="0.25">
      <c r="A1269" t="s">
        <v>966</v>
      </c>
    </row>
    <row r="1270" spans="1:1" outlineLevel="1" x14ac:dyDescent="0.25">
      <c r="A1270" t="s">
        <v>953</v>
      </c>
    </row>
    <row r="1271" spans="1:1" outlineLevel="1" x14ac:dyDescent="0.25">
      <c r="A1271" t="s">
        <v>954</v>
      </c>
    </row>
    <row r="1272" spans="1:1" ht="13" outlineLevel="1" x14ac:dyDescent="0.3">
      <c r="A1272" s="66" t="s">
        <v>967</v>
      </c>
    </row>
    <row r="1273" spans="1:1" outlineLevel="1" x14ac:dyDescent="0.25">
      <c r="A1273" t="s">
        <v>968</v>
      </c>
    </row>
    <row r="1274" spans="1:1" outlineLevel="1" x14ac:dyDescent="0.25">
      <c r="A1274" t="s">
        <v>950</v>
      </c>
    </row>
    <row r="1275" spans="1:1" ht="13" outlineLevel="1" x14ac:dyDescent="0.3">
      <c r="A127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276" spans="1:1" ht="13" outlineLevel="1" x14ac:dyDescent="0.3">
      <c r="A1276" s="21" t="s">
        <v>969</v>
      </c>
    </row>
    <row r="1277" spans="1:1" ht="13" outlineLevel="1" x14ac:dyDescent="0.3">
      <c r="A1277" s="21" t="s">
        <v>959</v>
      </c>
    </row>
    <row r="1278" spans="1:1" outlineLevel="1" x14ac:dyDescent="0.25">
      <c r="A1278" t="s">
        <v>960</v>
      </c>
    </row>
    <row r="1279" spans="1:1" outlineLevel="1" x14ac:dyDescent="0.25">
      <c r="A1279" t="s">
        <v>961</v>
      </c>
    </row>
    <row r="1280" spans="1:1" outlineLevel="1" x14ac:dyDescent="0.25">
      <c r="A1280" t="str">
        <f>CONCATENATE("sql left outer join acrtrees t on t.client = x.client and x.dim_1 = t.cat_1 and t.att_agrid = '",$F$159,"'")</f>
        <v>sql left outer join acrtrees t on t.client = x.client and x.dim_1 = t.cat_1 and t.att_agrid = '53'</v>
      </c>
    </row>
    <row r="1281" spans="1:1" ht="13" outlineLevel="1" x14ac:dyDescent="0.3">
      <c r="A128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282" spans="1:1" ht="13" outlineLevel="1" x14ac:dyDescent="0.3">
      <c r="A1282" s="21" t="s">
        <v>970</v>
      </c>
    </row>
    <row r="1283" spans="1:1" ht="13" outlineLevel="1" x14ac:dyDescent="0.3">
      <c r="A1283" s="21" t="s">
        <v>962</v>
      </c>
    </row>
    <row r="1284" spans="1:1" ht="13" outlineLevel="1" x14ac:dyDescent="0.3">
      <c r="A1284"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285" spans="1:1" ht="13" outlineLevel="1" x14ac:dyDescent="0.3">
      <c r="A1285" s="21" t="s">
        <v>970</v>
      </c>
    </row>
    <row r="1286" spans="1:1" ht="13" outlineLevel="1" x14ac:dyDescent="0.3">
      <c r="A1286" s="21" t="s">
        <v>963</v>
      </c>
    </row>
    <row r="1287" spans="1:1" outlineLevel="1" x14ac:dyDescent="0.25">
      <c r="A1287" t="s">
        <v>964</v>
      </c>
    </row>
    <row r="1288" spans="1:1" outlineLevel="1" x14ac:dyDescent="0.25">
      <c r="A1288" t="s">
        <v>965</v>
      </c>
    </row>
    <row r="1289" spans="1:1" outlineLevel="1" x14ac:dyDescent="0.25">
      <c r="A1289" t="s">
        <v>966</v>
      </c>
    </row>
    <row r="1290" spans="1:1" outlineLevel="1" x14ac:dyDescent="0.25">
      <c r="A1290" t="s">
        <v>953</v>
      </c>
    </row>
    <row r="1291" spans="1:1" outlineLevel="1" x14ac:dyDescent="0.25">
      <c r="A1291" t="s">
        <v>954</v>
      </c>
    </row>
    <row r="1292" spans="1:1" ht="13" outlineLevel="1" x14ac:dyDescent="0.3">
      <c r="A1292" s="66" t="s">
        <v>971</v>
      </c>
    </row>
    <row r="1293" spans="1:1" outlineLevel="1" x14ac:dyDescent="0.25">
      <c r="A1293" t="s">
        <v>972</v>
      </c>
    </row>
    <row r="1294" spans="1:1" outlineLevel="1" x14ac:dyDescent="0.25">
      <c r="A1294" t="s">
        <v>950</v>
      </c>
    </row>
    <row r="1295" spans="1:1" ht="13" outlineLevel="1" x14ac:dyDescent="0.3">
      <c r="A129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296" spans="1:1" ht="13" outlineLevel="1" x14ac:dyDescent="0.3">
      <c r="A1296" s="21" t="s">
        <v>959</v>
      </c>
    </row>
    <row r="1297" spans="1:1" outlineLevel="1" x14ac:dyDescent="0.25">
      <c r="A1297" t="s">
        <v>960</v>
      </c>
    </row>
    <row r="1298" spans="1:1" outlineLevel="1" x14ac:dyDescent="0.25">
      <c r="A1298" t="s">
        <v>961</v>
      </c>
    </row>
    <row r="1299" spans="1:1" outlineLevel="1" x14ac:dyDescent="0.25">
      <c r="A1299" t="str">
        <f>CONCATENATE("sql left outer join acrtrees t on t.client = x.client and x.dim_1 = t.cat_1 and t.att_agrid = '",$F$159,"'")</f>
        <v>sql left outer join acrtrees t on t.client = x.client and x.dim_1 = t.cat_1 and t.att_agrid = '53'</v>
      </c>
    </row>
    <row r="1300" spans="1:1" ht="13" outlineLevel="1" x14ac:dyDescent="0.3">
      <c r="A130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301" spans="1:1" ht="13" outlineLevel="1" x14ac:dyDescent="0.3">
      <c r="A1301" s="21" t="s">
        <v>973</v>
      </c>
    </row>
    <row r="1302" spans="1:1" outlineLevel="1" x14ac:dyDescent="0.25">
      <c r="A1302" t="s">
        <v>964</v>
      </c>
    </row>
    <row r="1303" spans="1:1" outlineLevel="1" x14ac:dyDescent="0.25">
      <c r="A1303" t="s">
        <v>965</v>
      </c>
    </row>
    <row r="1304" spans="1:1" outlineLevel="1" x14ac:dyDescent="0.25">
      <c r="A1304" t="s">
        <v>966</v>
      </c>
    </row>
    <row r="1305" spans="1:1" outlineLevel="1" x14ac:dyDescent="0.25">
      <c r="A1305" t="s">
        <v>953</v>
      </c>
    </row>
    <row r="1306" spans="1:1" outlineLevel="1" x14ac:dyDescent="0.25">
      <c r="A1306" t="s">
        <v>954</v>
      </c>
    </row>
    <row r="1307" spans="1:1" ht="13" outlineLevel="1" x14ac:dyDescent="0.3">
      <c r="A1307" s="66" t="s">
        <v>974</v>
      </c>
    </row>
    <row r="1308" spans="1:1" outlineLevel="1" x14ac:dyDescent="0.25">
      <c r="A1308" t="s">
        <v>975</v>
      </c>
    </row>
    <row r="1309" spans="1:1" outlineLevel="1" x14ac:dyDescent="0.25">
      <c r="A1309" t="s">
        <v>950</v>
      </c>
    </row>
    <row r="1310" spans="1:1" ht="13" outlineLevel="1" x14ac:dyDescent="0.3">
      <c r="A131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311" spans="1:1" ht="13" outlineLevel="1" x14ac:dyDescent="0.3">
      <c r="A1311" s="21" t="s">
        <v>959</v>
      </c>
    </row>
    <row r="1312" spans="1:1" outlineLevel="1" x14ac:dyDescent="0.25">
      <c r="A1312" t="s">
        <v>960</v>
      </c>
    </row>
    <row r="1313" spans="1:1" outlineLevel="1" x14ac:dyDescent="0.25">
      <c r="A1313" t="s">
        <v>961</v>
      </c>
    </row>
    <row r="1314" spans="1:1" outlineLevel="1" x14ac:dyDescent="0.25">
      <c r="A1314" t="str">
        <f>CONCATENATE("sql left outer join acrtrees t on t.client = x.client and x.dim_1 = t.cat_1 and t.att_agrid = '",$F$159,"'")</f>
        <v>sql left outer join acrtrees t on t.client = x.client and x.dim_1 = t.cat_1 and t.att_agrid = '53'</v>
      </c>
    </row>
    <row r="1315" spans="1:1" ht="13" outlineLevel="1" x14ac:dyDescent="0.3">
      <c r="A131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316" spans="1:1" ht="13" outlineLevel="1" x14ac:dyDescent="0.3">
      <c r="A1316" s="21" t="s">
        <v>973</v>
      </c>
    </row>
    <row r="1317" spans="1:1" outlineLevel="1" x14ac:dyDescent="0.25">
      <c r="A1317" t="s">
        <v>964</v>
      </c>
    </row>
    <row r="1318" spans="1:1" outlineLevel="1" x14ac:dyDescent="0.25">
      <c r="A1318" t="s">
        <v>965</v>
      </c>
    </row>
    <row r="1319" spans="1:1" outlineLevel="1" x14ac:dyDescent="0.25">
      <c r="A1319" t="s">
        <v>966</v>
      </c>
    </row>
    <row r="1320" spans="1:1" outlineLevel="1" x14ac:dyDescent="0.25">
      <c r="A1320" t="s">
        <v>953</v>
      </c>
    </row>
    <row r="1321" spans="1:1" outlineLevel="1" x14ac:dyDescent="0.25">
      <c r="A1321" t="s">
        <v>954</v>
      </c>
    </row>
    <row r="1322" spans="1:1" ht="13" outlineLevel="1" x14ac:dyDescent="0.3">
      <c r="A1322" s="66" t="s">
        <v>976</v>
      </c>
    </row>
    <row r="1323" spans="1:1" outlineLevel="1" x14ac:dyDescent="0.25">
      <c r="A1323" t="s">
        <v>977</v>
      </c>
    </row>
    <row r="1324" spans="1:1" outlineLevel="1" x14ac:dyDescent="0.25">
      <c r="A1324" t="s">
        <v>950</v>
      </c>
    </row>
    <row r="1325" spans="1:1" ht="13" outlineLevel="1" x14ac:dyDescent="0.3">
      <c r="A132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326" spans="1:1" ht="13" outlineLevel="1" x14ac:dyDescent="0.3">
      <c r="A1326" s="21" t="s">
        <v>959</v>
      </c>
    </row>
    <row r="1327" spans="1:1" outlineLevel="1" x14ac:dyDescent="0.25">
      <c r="A1327" t="s">
        <v>960</v>
      </c>
    </row>
    <row r="1328" spans="1:1" outlineLevel="1" x14ac:dyDescent="0.25">
      <c r="A1328" t="s">
        <v>961</v>
      </c>
    </row>
    <row r="1329" spans="1:1" outlineLevel="1" x14ac:dyDescent="0.25">
      <c r="A1329" t="str">
        <f>CONCATENATE("sql left outer join acrtrees t on t.client = x.client and x.dim_1 = t.cat_1 and t.att_agrid = '",$F$159,"'")</f>
        <v>sql left outer join acrtrees t on t.client = x.client and x.dim_1 = t.cat_1 and t.att_agrid = '53'</v>
      </c>
    </row>
    <row r="1330" spans="1:1" ht="13" outlineLevel="1" x14ac:dyDescent="0.3">
      <c r="A133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331" spans="1:1" ht="13" outlineLevel="1" x14ac:dyDescent="0.3">
      <c r="A1331" s="21" t="s">
        <v>978</v>
      </c>
    </row>
    <row r="1332" spans="1:1" outlineLevel="1" x14ac:dyDescent="0.25">
      <c r="A1332" t="s">
        <v>979</v>
      </c>
    </row>
    <row r="1333" spans="1:1" outlineLevel="1" x14ac:dyDescent="0.25">
      <c r="A1333" t="s">
        <v>980</v>
      </c>
    </row>
    <row r="1334" spans="1:1" outlineLevel="1" x14ac:dyDescent="0.25">
      <c r="A1334" t="s">
        <v>966</v>
      </c>
    </row>
    <row r="1335" spans="1:1" outlineLevel="1" x14ac:dyDescent="0.25">
      <c r="A1335" t="s">
        <v>953</v>
      </c>
    </row>
    <row r="1336" spans="1:1" outlineLevel="1" x14ac:dyDescent="0.25">
      <c r="A1336" t="s">
        <v>954</v>
      </c>
    </row>
    <row r="1337" spans="1:1" ht="13" outlineLevel="1" x14ac:dyDescent="0.3">
      <c r="A1337" s="66" t="s">
        <v>981</v>
      </c>
    </row>
    <row r="1338" spans="1:1" outlineLevel="1" x14ac:dyDescent="0.25">
      <c r="A1338" t="s">
        <v>982</v>
      </c>
    </row>
    <row r="1339" spans="1:1" outlineLevel="1" x14ac:dyDescent="0.25">
      <c r="A1339" t="s">
        <v>950</v>
      </c>
    </row>
    <row r="1340" spans="1:1" ht="13" outlineLevel="1" x14ac:dyDescent="0.3">
      <c r="A134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341" spans="1:1" ht="13" outlineLevel="1" x14ac:dyDescent="0.3">
      <c r="A1341" s="21" t="s">
        <v>969</v>
      </c>
    </row>
    <row r="1342" spans="1:1" ht="13" outlineLevel="1" x14ac:dyDescent="0.3">
      <c r="A1342" s="21" t="s">
        <v>959</v>
      </c>
    </row>
    <row r="1343" spans="1:1" outlineLevel="1" x14ac:dyDescent="0.25">
      <c r="A1343" t="s">
        <v>960</v>
      </c>
    </row>
    <row r="1344" spans="1:1" outlineLevel="1" x14ac:dyDescent="0.25">
      <c r="A1344" t="s">
        <v>961</v>
      </c>
    </row>
    <row r="1345" spans="1:3" outlineLevel="1" x14ac:dyDescent="0.25">
      <c r="A1345" t="str">
        <f>CONCATENATE("sql left outer join acrtrees t on t.client = x.client and x.dim_1 = t.cat_1 and t.att_agrid = '",$F$159,"'")</f>
        <v>sql left outer join acrtrees t on t.client = x.client and x.dim_1 = t.cat_1 and t.att_agrid = '53'</v>
      </c>
    </row>
    <row r="1346" spans="1:3" ht="13" outlineLevel="1" x14ac:dyDescent="0.3">
      <c r="A134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347" spans="1:3" ht="13" outlineLevel="1" x14ac:dyDescent="0.3">
      <c r="A1347" s="21" t="s">
        <v>970</v>
      </c>
    </row>
    <row r="1348" spans="1:3" ht="13" outlineLevel="1" x14ac:dyDescent="0.3">
      <c r="A1348" s="21" t="s">
        <v>978</v>
      </c>
    </row>
    <row r="1349" spans="1:3" outlineLevel="1" x14ac:dyDescent="0.25">
      <c r="A1349" t="s">
        <v>979</v>
      </c>
    </row>
    <row r="1350" spans="1:3" outlineLevel="1" x14ac:dyDescent="0.25">
      <c r="A1350" t="s">
        <v>980</v>
      </c>
    </row>
    <row r="1351" spans="1:3" outlineLevel="1" x14ac:dyDescent="0.25">
      <c r="A1351" t="s">
        <v>966</v>
      </c>
    </row>
    <row r="1352" spans="1:3" outlineLevel="1" x14ac:dyDescent="0.25">
      <c r="A1352" t="s">
        <v>953</v>
      </c>
    </row>
    <row r="1353" spans="1:3" outlineLevel="1" x14ac:dyDescent="0.25">
      <c r="A1353" t="s">
        <v>954</v>
      </c>
    </row>
    <row r="1354" spans="1:3" ht="13" outlineLevel="1" x14ac:dyDescent="0.3">
      <c r="A1354" s="20" t="s">
        <v>983</v>
      </c>
    </row>
    <row r="1355" spans="1:3" outlineLevel="1" x14ac:dyDescent="0.25">
      <c r="A1355" s="7" t="s">
        <v>984</v>
      </c>
    </row>
    <row r="1356" spans="1:3" outlineLevel="1" x14ac:dyDescent="0.25">
      <c r="A1356" t="s">
        <v>950</v>
      </c>
    </row>
    <row r="1357" spans="1:3" outlineLevel="1" x14ac:dyDescent="0.25">
      <c r="A1357" t="s">
        <v>951</v>
      </c>
    </row>
    <row r="1358" spans="1:3" ht="14.5" outlineLevel="1" x14ac:dyDescent="0.35">
      <c r="A1358"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358" s="2"/>
    </row>
    <row r="1359" spans="1:3" outlineLevel="1" x14ac:dyDescent="0.25">
      <c r="A1359" t="s">
        <v>952</v>
      </c>
    </row>
    <row r="1360" spans="1:3" outlineLevel="1" x14ac:dyDescent="0.25">
      <c r="A1360" t="s">
        <v>953</v>
      </c>
    </row>
    <row r="1361" spans="1:1" outlineLevel="1" x14ac:dyDescent="0.25">
      <c r="A1361" t="s">
        <v>954</v>
      </c>
    </row>
    <row r="1362" spans="1:1" ht="13" outlineLevel="1" x14ac:dyDescent="0.3">
      <c r="A1362" s="20" t="s">
        <v>985</v>
      </c>
    </row>
    <row r="1363" spans="1:1" outlineLevel="1" x14ac:dyDescent="0.25">
      <c r="A1363" s="7" t="s">
        <v>986</v>
      </c>
    </row>
    <row r="1364" spans="1:1" outlineLevel="1" x14ac:dyDescent="0.25">
      <c r="A1364" t="s">
        <v>987</v>
      </c>
    </row>
    <row r="1365" spans="1:1" ht="13" outlineLevel="1" x14ac:dyDescent="0.3">
      <c r="A1365" s="21" t="str">
        <f>CONCATENATE("sql where a.client = '",$D$172,"' and a.period between '",LEFT($D$170,4),"00' and '",IF(RIGHT($D$171,2)="12",CONCATENATE(LEFT($D$171,4),"14"),$D$171),"'")</f>
        <v>sql where a.client = 'OX' and a.period between '202500' and '202506'</v>
      </c>
    </row>
    <row r="1366" spans="1:1" outlineLevel="1" x14ac:dyDescent="0.25">
      <c r="A1366" t="s">
        <v>952</v>
      </c>
    </row>
    <row r="1367" spans="1:1" outlineLevel="1" x14ac:dyDescent="0.25">
      <c r="A1367" t="s">
        <v>953</v>
      </c>
    </row>
    <row r="1368" spans="1:1" outlineLevel="1" x14ac:dyDescent="0.25">
      <c r="A1368" t="s">
        <v>954</v>
      </c>
    </row>
    <row r="1369" spans="1:1" ht="13" outlineLevel="1" x14ac:dyDescent="0.3">
      <c r="A1369" s="20" t="s">
        <v>988</v>
      </c>
    </row>
    <row r="1370" spans="1:1" outlineLevel="1" x14ac:dyDescent="0.25">
      <c r="A1370" s="7" t="s">
        <v>989</v>
      </c>
    </row>
    <row r="1371" spans="1:1" outlineLevel="1" x14ac:dyDescent="0.25">
      <c r="A1371" t="s">
        <v>950</v>
      </c>
    </row>
    <row r="1372" spans="1:1" outlineLevel="1" x14ac:dyDescent="0.25">
      <c r="A1372" t="s">
        <v>951</v>
      </c>
    </row>
    <row r="1373" spans="1:1" ht="13" outlineLevel="1" x14ac:dyDescent="0.3">
      <c r="A1373"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374" spans="1:1" outlineLevel="1" x14ac:dyDescent="0.25">
      <c r="A1374" t="s">
        <v>952</v>
      </c>
    </row>
    <row r="1375" spans="1:1" outlineLevel="1" x14ac:dyDescent="0.25">
      <c r="A1375" t="s">
        <v>953</v>
      </c>
    </row>
    <row r="1376" spans="1:1" outlineLevel="1" x14ac:dyDescent="0.25">
      <c r="A1376" t="s">
        <v>954</v>
      </c>
    </row>
    <row r="1377" spans="1:1" ht="13" outlineLevel="1" x14ac:dyDescent="0.3">
      <c r="A1377" s="20" t="s">
        <v>990</v>
      </c>
    </row>
    <row r="1378" spans="1:1" outlineLevel="1" x14ac:dyDescent="0.25">
      <c r="A1378" s="7" t="s">
        <v>991</v>
      </c>
    </row>
    <row r="1379" spans="1:1" outlineLevel="1" x14ac:dyDescent="0.25">
      <c r="A1379" t="s">
        <v>950</v>
      </c>
    </row>
    <row r="1380" spans="1:1" outlineLevel="1" x14ac:dyDescent="0.25">
      <c r="A1380" t="s">
        <v>951</v>
      </c>
    </row>
    <row r="1381" spans="1:1" ht="13" outlineLevel="1" x14ac:dyDescent="0.3">
      <c r="A138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382" spans="1:1" outlineLevel="1" x14ac:dyDescent="0.25">
      <c r="A1382" t="s">
        <v>952</v>
      </c>
    </row>
    <row r="1383" spans="1:1" outlineLevel="1" x14ac:dyDescent="0.25">
      <c r="A1383" t="s">
        <v>953</v>
      </c>
    </row>
    <row r="1384" spans="1:1" outlineLevel="1" x14ac:dyDescent="0.25">
      <c r="A1384" t="s">
        <v>954</v>
      </c>
    </row>
    <row r="1385" spans="1:1" ht="13" outlineLevel="1" x14ac:dyDescent="0.3">
      <c r="A1385" s="20" t="s">
        <v>992</v>
      </c>
    </row>
    <row r="1386" spans="1:1" outlineLevel="1" x14ac:dyDescent="0.25">
      <c r="A1386" s="7" t="s">
        <v>993</v>
      </c>
    </row>
    <row r="1387" spans="1:1" outlineLevel="1" x14ac:dyDescent="0.25">
      <c r="A1387" t="s">
        <v>950</v>
      </c>
    </row>
    <row r="1388" spans="1:1" outlineLevel="1" x14ac:dyDescent="0.25">
      <c r="A1388" t="s">
        <v>951</v>
      </c>
    </row>
    <row r="1389" spans="1:1" ht="13" outlineLevel="1" x14ac:dyDescent="0.3">
      <c r="A138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390" spans="1:1" outlineLevel="1" x14ac:dyDescent="0.25">
      <c r="A1390" t="s">
        <v>952</v>
      </c>
    </row>
    <row r="1391" spans="1:1" outlineLevel="1" x14ac:dyDescent="0.25">
      <c r="A1391" t="s">
        <v>953</v>
      </c>
    </row>
    <row r="1392" spans="1:1" outlineLevel="1" x14ac:dyDescent="0.25">
      <c r="A1392" t="s">
        <v>994</v>
      </c>
    </row>
    <row r="1393" spans="1:33" outlineLevel="1" x14ac:dyDescent="0.25">
      <c r="A1393" t="str">
        <f>CONCATENATE("sql left outer join acrtrees t on t.client = u.client and u.dim_1 = t.cat_1 and t.att_agrid = '",$F$159,"'")</f>
        <v>sql left outer join acrtrees t on t.client = u.client and u.dim_1 = t.cat_1 and t.att_agrid = '53'</v>
      </c>
    </row>
    <row r="1394" spans="1:33" outlineLevel="1" x14ac:dyDescent="0.25">
      <c r="A1394" t="str">
        <f>CONCATENATE("sql left outer join acrtrees s on s.client = u.client and u.account = s.cat_1 and s.att_agrid = '",$F$160,"'")</f>
        <v>sql left outer join acrtrees s on s.client = u.client and u.account = s.cat_1 and s.att_agrid = '14'</v>
      </c>
    </row>
    <row r="1395" spans="1:33" outlineLevel="1" x14ac:dyDescent="0.25">
      <c r="A1395" t="str">
        <f>CONCATENATE("sql left outer join acrtrees v on v.client = u.client and u.account = v.cat_1 and v.att_agrid = '",$F$161,"'")</f>
        <v>sql left outer join acrtrees v on v.client = u.client and u.account = v.cat_1 and v.att_agrid = '17'</v>
      </c>
    </row>
    <row r="1396" spans="1:33" outlineLevel="1" x14ac:dyDescent="0.25">
      <c r="A1396" t="str">
        <f>CONCATENATE("sql left outer join agldescription d on d.client = u.client and d.dim_value = t.dim_c and d.attribute_id = '",$F$162,"'")</f>
        <v>sql left outer join agldescription d on d.client = u.client and d.dim_value = t.dim_c and d.attribute_id = '82'</v>
      </c>
    </row>
    <row r="1397" spans="1:33" outlineLevel="1" x14ac:dyDescent="0.25">
      <c r="A1397" t="str">
        <f>CONCATENATE("sql left outer join agldescription e on e.client = u.client and e.dim_value = t.dim_b and e.attribute_id = '",$F$163,"'")</f>
        <v>sql left outer join agldescription e on e.client = u.client and e.dim_value = t.dim_b and e.attribute_id = '81'</v>
      </c>
    </row>
    <row r="1398" spans="1:33" outlineLevel="1" x14ac:dyDescent="0.25">
      <c r="A1398" t="str">
        <f>CONCATENATE("sql left outer join agldescription f on f.client = u.client and f.dim_value = t.dim_e and f.attribute_id = '",$F$164,"'")</f>
        <v>sql left outer join agldescription f on f.client = u.client and f.dim_value = t.dim_e and f.attribute_id = '80'</v>
      </c>
    </row>
    <row r="1399" spans="1:33" outlineLevel="1" x14ac:dyDescent="0.25">
      <c r="A1399" t="str">
        <f>CONCATENATE("sql left outer join agldescription g on g.client = u.client and g.dim_value = u.account and g.attribute_id = '",$F$165,"'")</f>
        <v>sql left outer join agldescription g on g.client = u.client and g.dim_value = u.account and g.attribute_id = 'A0'</v>
      </c>
    </row>
    <row r="1400" spans="1:33" ht="14.5" outlineLevel="1" x14ac:dyDescent="0.35">
      <c r="A1400" s="67" t="s">
        <v>1050</v>
      </c>
      <c r="G1400" s="737" t="s">
        <v>1047</v>
      </c>
    </row>
    <row r="1401" spans="1:33" outlineLevel="1" x14ac:dyDescent="0.25">
      <c r="A1401" t="s">
        <v>1005</v>
      </c>
    </row>
    <row r="1402" spans="1:33" outlineLevel="1" x14ac:dyDescent="0.25">
      <c r="A1402" t="s">
        <v>1006</v>
      </c>
    </row>
    <row r="1403" spans="1:33" outlineLevel="1" x14ac:dyDescent="0.25">
      <c r="A1403" t="s">
        <v>1007</v>
      </c>
    </row>
    <row r="1404" spans="1:33" ht="13" outlineLevel="1" x14ac:dyDescent="0.3">
      <c r="A1404" t="s">
        <v>1012</v>
      </c>
      <c r="C1404" s="29"/>
      <c r="D1404" s="36">
        <v>1000</v>
      </c>
      <c r="E1404" s="36">
        <v>1000</v>
      </c>
      <c r="F1404" s="22">
        <v>1000</v>
      </c>
      <c r="G1404" s="22">
        <v>1000</v>
      </c>
      <c r="H1404" s="22">
        <v>1000</v>
      </c>
      <c r="I1404" s="22">
        <v>1000</v>
      </c>
      <c r="J1404" s="22">
        <v>1000</v>
      </c>
      <c r="K1404" s="22">
        <v>1000</v>
      </c>
      <c r="L1404" s="22"/>
      <c r="M1404" s="36"/>
      <c r="N1404" s="36"/>
      <c r="O1404" s="36">
        <v>1000</v>
      </c>
      <c r="P1404" s="36">
        <v>1000</v>
      </c>
      <c r="Q1404" s="36">
        <v>1000</v>
      </c>
      <c r="R1404" s="36">
        <v>1000</v>
      </c>
      <c r="S1404" s="36">
        <v>1000</v>
      </c>
      <c r="T1404" s="36"/>
      <c r="U1404" s="36"/>
      <c r="V1404" s="58"/>
      <c r="W1404" s="36">
        <v>1000</v>
      </c>
      <c r="X1404" s="36">
        <v>1000</v>
      </c>
      <c r="Y1404" s="36"/>
      <c r="Z1404" s="36"/>
      <c r="AA1404" s="40"/>
      <c r="AB1404" s="60"/>
      <c r="AC1404" s="98"/>
      <c r="AD1404" s="36"/>
      <c r="AE1404" s="36"/>
      <c r="AF1404" s="36"/>
      <c r="AG1404" s="99"/>
    </row>
    <row r="1405" spans="1:33" ht="13" outlineLevel="1" x14ac:dyDescent="0.3">
      <c r="A1405" s="7" t="s">
        <v>1013</v>
      </c>
      <c r="C1405" s="29"/>
      <c r="D1405" s="36">
        <v>0</v>
      </c>
      <c r="E1405" s="36">
        <v>0</v>
      </c>
      <c r="F1405" s="22">
        <v>0</v>
      </c>
      <c r="G1405" s="22">
        <v>0</v>
      </c>
      <c r="H1405" s="22">
        <v>0</v>
      </c>
      <c r="I1405" s="22">
        <v>0</v>
      </c>
      <c r="J1405" s="22">
        <v>0</v>
      </c>
      <c r="K1405" s="22">
        <v>0</v>
      </c>
      <c r="L1405" s="22"/>
      <c r="M1405" s="36"/>
      <c r="N1405" s="36"/>
      <c r="O1405" s="36">
        <v>0</v>
      </c>
      <c r="P1405" s="36">
        <v>0</v>
      </c>
      <c r="Q1405" s="36">
        <v>0</v>
      </c>
      <c r="R1405" s="36">
        <v>0</v>
      </c>
      <c r="S1405" s="36">
        <v>0</v>
      </c>
      <c r="T1405" s="36"/>
      <c r="U1405" s="36"/>
      <c r="V1405" s="58"/>
      <c r="W1405" s="36">
        <v>0</v>
      </c>
      <c r="X1405" s="36">
        <v>0</v>
      </c>
      <c r="Y1405" s="36"/>
      <c r="Z1405" s="36"/>
      <c r="AA1405" s="40"/>
      <c r="AB1405" s="60"/>
      <c r="AC1405" s="98"/>
      <c r="AD1405" s="36"/>
      <c r="AE1405" s="36"/>
      <c r="AF1405" s="36"/>
      <c r="AG1405" s="99"/>
    </row>
    <row r="1406" spans="1:33" ht="13" outlineLevel="1" x14ac:dyDescent="0.3">
      <c r="A1406" t="s">
        <v>1014</v>
      </c>
      <c r="C1406" s="30"/>
      <c r="D1406" s="36"/>
      <c r="E1406" s="36"/>
      <c r="F1406" s="57"/>
      <c r="G1406" s="57"/>
      <c r="H1406" s="57"/>
      <c r="I1406" s="57"/>
      <c r="J1406" s="57"/>
      <c r="K1406" s="57"/>
      <c r="L1406" s="57"/>
      <c r="M1406" s="36"/>
      <c r="N1406" s="36"/>
      <c r="O1406" s="36"/>
      <c r="P1406" s="36" t="s">
        <v>1015</v>
      </c>
      <c r="Q1406" s="36" t="s">
        <v>1016</v>
      </c>
      <c r="R1406" s="36"/>
      <c r="S1406" s="36"/>
      <c r="T1406" s="36"/>
      <c r="U1406" s="36"/>
      <c r="V1406" s="58"/>
      <c r="W1406" s="36"/>
      <c r="X1406" s="36"/>
      <c r="Y1406" s="36"/>
      <c r="Z1406" s="36"/>
      <c r="AA1406" s="40"/>
      <c r="AB1406" s="60"/>
      <c r="AC1406" s="98"/>
      <c r="AD1406" s="36"/>
      <c r="AE1406" s="36"/>
      <c r="AF1406" s="36"/>
      <c r="AG1406" s="99"/>
    </row>
    <row r="1407" spans="1:33" ht="13" outlineLevel="1" x14ac:dyDescent="0.3">
      <c r="A1407" t="s">
        <v>1017</v>
      </c>
      <c r="C1407" s="31"/>
      <c r="D1407" s="36" t="s">
        <v>1019</v>
      </c>
      <c r="E1407" s="36" t="s">
        <v>1020</v>
      </c>
      <c r="F1407" s="22" t="s">
        <v>1021</v>
      </c>
      <c r="G1407" s="22" t="s">
        <v>1022</v>
      </c>
      <c r="H1407" s="22" t="s">
        <v>1023</v>
      </c>
      <c r="I1407" s="22" t="s">
        <v>1024</v>
      </c>
      <c r="J1407" s="22" t="s">
        <v>1025</v>
      </c>
      <c r="K1407" s="22" t="s">
        <v>1026</v>
      </c>
      <c r="L1407" s="22"/>
      <c r="M1407" s="36"/>
      <c r="N1407" s="36"/>
      <c r="O1407" s="36" t="s">
        <v>1027</v>
      </c>
      <c r="P1407" s="36" t="s">
        <v>1028</v>
      </c>
      <c r="Q1407" s="36" t="s">
        <v>1028</v>
      </c>
      <c r="R1407" s="36" t="s">
        <v>1028</v>
      </c>
      <c r="S1407" s="36" t="s">
        <v>1029</v>
      </c>
      <c r="T1407" s="36"/>
      <c r="U1407" s="36"/>
      <c r="V1407" s="58"/>
      <c r="W1407" s="36" t="s">
        <v>1030</v>
      </c>
      <c r="X1407" s="36" t="s">
        <v>1031</v>
      </c>
      <c r="Y1407" s="36"/>
      <c r="Z1407" s="36"/>
      <c r="AA1407" s="40"/>
      <c r="AB1407" s="60"/>
      <c r="AC1407" s="98"/>
      <c r="AD1407" s="36"/>
      <c r="AE1407" s="36"/>
      <c r="AF1407" s="36"/>
      <c r="AG1407" s="99"/>
    </row>
    <row r="1408" spans="1:33" ht="13" outlineLevel="1" x14ac:dyDescent="0.3">
      <c r="A1408" t="s">
        <v>1041</v>
      </c>
      <c r="C1408" s="31" t="s">
        <v>123</v>
      </c>
      <c r="D1408" s="33">
        <v>0</v>
      </c>
      <c r="E1408" s="33">
        <v>0</v>
      </c>
      <c r="F1408" s="23">
        <v>0</v>
      </c>
      <c r="G1408" s="23">
        <v>0</v>
      </c>
      <c r="H1408" s="23">
        <v>0</v>
      </c>
      <c r="I1408" s="23">
        <v>0</v>
      </c>
      <c r="J1408" s="23">
        <v>0</v>
      </c>
      <c r="K1408" s="23">
        <v>0</v>
      </c>
      <c r="L1408" s="23">
        <f>SUM(F1408:K1408)</f>
        <v>0</v>
      </c>
      <c r="M1408" s="33">
        <f>O1408-E1408</f>
        <v>0</v>
      </c>
      <c r="N1408" s="33">
        <f>O1408-D1408</f>
        <v>0</v>
      </c>
      <c r="O1408" s="33">
        <v>0</v>
      </c>
      <c r="P1408" s="33">
        <v>0</v>
      </c>
      <c r="Q1408" s="33">
        <v>0</v>
      </c>
      <c r="R1408" s="33">
        <v>0</v>
      </c>
      <c r="S1408" s="33">
        <v>0</v>
      </c>
      <c r="T1408" s="33">
        <f>R1408-S1408</f>
        <v>0</v>
      </c>
      <c r="U1408" s="38" t="str">
        <f>IFERROR((R1408/O1408)*100%,"∞")</f>
        <v>∞</v>
      </c>
      <c r="V1408" s="59">
        <f>O1408+W1408</f>
        <v>0</v>
      </c>
      <c r="W1408" s="33">
        <v>0</v>
      </c>
      <c r="X1408" s="33">
        <v>0</v>
      </c>
      <c r="Y1408" s="33"/>
      <c r="Z1408" s="33"/>
      <c r="AA1408" s="42"/>
      <c r="AB1408" s="60"/>
      <c r="AC1408" s="105"/>
      <c r="AD1408" s="93"/>
      <c r="AE1408" s="33">
        <f>SUM(AC1408:AD1408)</f>
        <v>0</v>
      </c>
      <c r="AF1408" s="33">
        <f>R1408+AE1408</f>
        <v>0</v>
      </c>
      <c r="AG1408" s="101">
        <f>AF1408-O1408</f>
        <v>0</v>
      </c>
    </row>
    <row r="1409" spans="1:14" outlineLevel="1" x14ac:dyDescent="0.25">
      <c r="A1409" t="s">
        <v>232</v>
      </c>
    </row>
    <row r="1410" spans="1:14" outlineLevel="1" x14ac:dyDescent="0.25">
      <c r="A1410" t="s">
        <v>944</v>
      </c>
      <c r="M1410" s="19"/>
      <c r="N1410" s="19"/>
    </row>
    <row r="1411" spans="1:14" outlineLevel="1" x14ac:dyDescent="0.25">
      <c r="A1411" t="s">
        <v>946</v>
      </c>
      <c r="E1411" s="19"/>
    </row>
    <row r="1412" spans="1:14" outlineLevel="1" x14ac:dyDescent="0.25">
      <c r="A1412" t="s">
        <v>947</v>
      </c>
      <c r="E1412" s="19"/>
      <c r="F1412" s="19"/>
    </row>
    <row r="1413" spans="1:14" ht="13" outlineLevel="1" x14ac:dyDescent="0.3">
      <c r="A1413" s="20" t="s">
        <v>948</v>
      </c>
    </row>
    <row r="1414" spans="1:14" outlineLevel="1" x14ac:dyDescent="0.25">
      <c r="A1414" s="7" t="s">
        <v>949</v>
      </c>
    </row>
    <row r="1415" spans="1:14" outlineLevel="1" x14ac:dyDescent="0.25">
      <c r="A1415" t="s">
        <v>950</v>
      </c>
    </row>
    <row r="1416" spans="1:14" outlineLevel="1" x14ac:dyDescent="0.25">
      <c r="A1416" t="s">
        <v>951</v>
      </c>
    </row>
    <row r="1417" spans="1:14" ht="13" outlineLevel="1" x14ac:dyDescent="0.3">
      <c r="A1417" s="21" t="str">
        <f>CONCATENATE("sql where a.client = '",$D$172,"' and a.period between '",LEFT($D$170,4),"00' and '",LEFT($D$171,4),"14' and a.version like '%ORIG%'")</f>
        <v>sql where a.client = 'OX' and a.period between '202500' and '202514' and a.version like '%ORIG%'</v>
      </c>
    </row>
    <row r="1418" spans="1:14" outlineLevel="1" x14ac:dyDescent="0.25">
      <c r="A1418" t="s">
        <v>952</v>
      </c>
    </row>
    <row r="1419" spans="1:14" outlineLevel="1" x14ac:dyDescent="0.25">
      <c r="A1419" t="s">
        <v>953</v>
      </c>
    </row>
    <row r="1420" spans="1:14" outlineLevel="1" x14ac:dyDescent="0.25">
      <c r="A1420" t="s">
        <v>954</v>
      </c>
    </row>
    <row r="1421" spans="1:14" ht="13" outlineLevel="1" x14ac:dyDescent="0.3">
      <c r="A1421" s="20" t="s">
        <v>955</v>
      </c>
    </row>
    <row r="1422" spans="1:14" outlineLevel="1" x14ac:dyDescent="0.25">
      <c r="A1422" s="7" t="s">
        <v>956</v>
      </c>
    </row>
    <row r="1423" spans="1:14" outlineLevel="1" x14ac:dyDescent="0.25">
      <c r="A1423" t="s">
        <v>950</v>
      </c>
    </row>
    <row r="1424" spans="1:14" outlineLevel="1" x14ac:dyDescent="0.25">
      <c r="A1424" t="s">
        <v>951</v>
      </c>
    </row>
    <row r="1425" spans="1:3" ht="14.5" outlineLevel="1" x14ac:dyDescent="0.35">
      <c r="A1425"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425" s="2"/>
    </row>
    <row r="1426" spans="1:3" outlineLevel="1" x14ac:dyDescent="0.25">
      <c r="A1426" t="s">
        <v>952</v>
      </c>
    </row>
    <row r="1427" spans="1:3" outlineLevel="1" x14ac:dyDescent="0.25">
      <c r="A1427" t="s">
        <v>953</v>
      </c>
    </row>
    <row r="1428" spans="1:3" outlineLevel="1" x14ac:dyDescent="0.25">
      <c r="A1428" t="s">
        <v>954</v>
      </c>
    </row>
    <row r="1429" spans="1:3" ht="13" outlineLevel="1" x14ac:dyDescent="0.3">
      <c r="A1429" s="66" t="s">
        <v>957</v>
      </c>
    </row>
    <row r="1430" spans="1:3" outlineLevel="1" x14ac:dyDescent="0.25">
      <c r="A1430" t="s">
        <v>958</v>
      </c>
    </row>
    <row r="1431" spans="1:3" outlineLevel="1" x14ac:dyDescent="0.25">
      <c r="A1431" t="s">
        <v>950</v>
      </c>
    </row>
    <row r="1432" spans="1:3" ht="13" outlineLevel="1" x14ac:dyDescent="0.3">
      <c r="A143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433" spans="1:3" ht="13" outlineLevel="1" x14ac:dyDescent="0.3">
      <c r="A1433" s="21" t="s">
        <v>959</v>
      </c>
    </row>
    <row r="1434" spans="1:3" outlineLevel="1" x14ac:dyDescent="0.25">
      <c r="A1434" t="s">
        <v>960</v>
      </c>
    </row>
    <row r="1435" spans="1:3" outlineLevel="1" x14ac:dyDescent="0.25">
      <c r="A1435" t="s">
        <v>961</v>
      </c>
    </row>
    <row r="1436" spans="1:3" outlineLevel="1" x14ac:dyDescent="0.25">
      <c r="A1436" t="str">
        <f>CONCATENATE("sql left outer join acrtrees t on t.client = x.client and x.dim_1 = t.cat_1 and t.att_agrid = '",$F$159,"'")</f>
        <v>sql left outer join acrtrees t on t.client = x.client and x.dim_1 = t.cat_1 and t.att_agrid = '53'</v>
      </c>
    </row>
    <row r="1437" spans="1:3" ht="13" outlineLevel="1" x14ac:dyDescent="0.3">
      <c r="A143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438" spans="1:3" ht="13" outlineLevel="1" x14ac:dyDescent="0.3">
      <c r="A1438" s="21" t="s">
        <v>962</v>
      </c>
    </row>
    <row r="1439" spans="1:3" ht="13" outlineLevel="1" x14ac:dyDescent="0.3">
      <c r="A1439"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440" spans="1:3" ht="13" outlineLevel="1" x14ac:dyDescent="0.3">
      <c r="A1440" s="21" t="s">
        <v>963</v>
      </c>
    </row>
    <row r="1441" spans="1:1" outlineLevel="1" x14ac:dyDescent="0.25">
      <c r="A1441" t="s">
        <v>964</v>
      </c>
    </row>
    <row r="1442" spans="1:1" outlineLevel="1" x14ac:dyDescent="0.25">
      <c r="A1442" t="s">
        <v>965</v>
      </c>
    </row>
    <row r="1443" spans="1:1" outlineLevel="1" x14ac:dyDescent="0.25">
      <c r="A1443" t="s">
        <v>966</v>
      </c>
    </row>
    <row r="1444" spans="1:1" outlineLevel="1" x14ac:dyDescent="0.25">
      <c r="A1444" t="s">
        <v>953</v>
      </c>
    </row>
    <row r="1445" spans="1:1" outlineLevel="1" x14ac:dyDescent="0.25">
      <c r="A1445" t="s">
        <v>954</v>
      </c>
    </row>
    <row r="1446" spans="1:1" ht="13" outlineLevel="1" x14ac:dyDescent="0.3">
      <c r="A1446" s="66" t="s">
        <v>967</v>
      </c>
    </row>
    <row r="1447" spans="1:1" outlineLevel="1" x14ac:dyDescent="0.25">
      <c r="A1447" t="s">
        <v>968</v>
      </c>
    </row>
    <row r="1448" spans="1:1" outlineLevel="1" x14ac:dyDescent="0.25">
      <c r="A1448" t="s">
        <v>950</v>
      </c>
    </row>
    <row r="1449" spans="1:1" ht="13" outlineLevel="1" x14ac:dyDescent="0.3">
      <c r="A144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450" spans="1:1" ht="13" outlineLevel="1" x14ac:dyDescent="0.3">
      <c r="A1450" s="21" t="s">
        <v>969</v>
      </c>
    </row>
    <row r="1451" spans="1:1" ht="13" outlineLevel="1" x14ac:dyDescent="0.3">
      <c r="A1451" s="21" t="s">
        <v>959</v>
      </c>
    </row>
    <row r="1452" spans="1:1" outlineLevel="1" x14ac:dyDescent="0.25">
      <c r="A1452" t="s">
        <v>960</v>
      </c>
    </row>
    <row r="1453" spans="1:1" outlineLevel="1" x14ac:dyDescent="0.25">
      <c r="A1453" t="s">
        <v>961</v>
      </c>
    </row>
    <row r="1454" spans="1:1" outlineLevel="1" x14ac:dyDescent="0.25">
      <c r="A1454" t="str">
        <f>CONCATENATE("sql left outer join acrtrees t on t.client = x.client and x.dim_1 = t.cat_1 and t.att_agrid = '",$F$159,"'")</f>
        <v>sql left outer join acrtrees t on t.client = x.client and x.dim_1 = t.cat_1 and t.att_agrid = '53'</v>
      </c>
    </row>
    <row r="1455" spans="1:1" ht="13" outlineLevel="1" x14ac:dyDescent="0.3">
      <c r="A145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456" spans="1:1" ht="13" outlineLevel="1" x14ac:dyDescent="0.3">
      <c r="A1456" s="21" t="s">
        <v>970</v>
      </c>
    </row>
    <row r="1457" spans="1:1" ht="13" outlineLevel="1" x14ac:dyDescent="0.3">
      <c r="A1457" s="21" t="s">
        <v>962</v>
      </c>
    </row>
    <row r="1458" spans="1:1" ht="13" outlineLevel="1" x14ac:dyDescent="0.3">
      <c r="A1458"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459" spans="1:1" ht="13" outlineLevel="1" x14ac:dyDescent="0.3">
      <c r="A1459" s="21" t="s">
        <v>970</v>
      </c>
    </row>
    <row r="1460" spans="1:1" ht="13" outlineLevel="1" x14ac:dyDescent="0.3">
      <c r="A1460" s="21" t="s">
        <v>963</v>
      </c>
    </row>
    <row r="1461" spans="1:1" outlineLevel="1" x14ac:dyDescent="0.25">
      <c r="A1461" t="s">
        <v>964</v>
      </c>
    </row>
    <row r="1462" spans="1:1" outlineLevel="1" x14ac:dyDescent="0.25">
      <c r="A1462" t="s">
        <v>965</v>
      </c>
    </row>
    <row r="1463" spans="1:1" outlineLevel="1" x14ac:dyDescent="0.25">
      <c r="A1463" t="s">
        <v>966</v>
      </c>
    </row>
    <row r="1464" spans="1:1" outlineLevel="1" x14ac:dyDescent="0.25">
      <c r="A1464" t="s">
        <v>953</v>
      </c>
    </row>
    <row r="1465" spans="1:1" outlineLevel="1" x14ac:dyDescent="0.25">
      <c r="A1465" t="s">
        <v>954</v>
      </c>
    </row>
    <row r="1466" spans="1:1" ht="13" outlineLevel="1" x14ac:dyDescent="0.3">
      <c r="A1466" s="66" t="s">
        <v>971</v>
      </c>
    </row>
    <row r="1467" spans="1:1" outlineLevel="1" x14ac:dyDescent="0.25">
      <c r="A1467" t="s">
        <v>972</v>
      </c>
    </row>
    <row r="1468" spans="1:1" outlineLevel="1" x14ac:dyDescent="0.25">
      <c r="A1468" t="s">
        <v>950</v>
      </c>
    </row>
    <row r="1469" spans="1:1" ht="13" outlineLevel="1" x14ac:dyDescent="0.3">
      <c r="A146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470" spans="1:1" ht="13" outlineLevel="1" x14ac:dyDescent="0.3">
      <c r="A1470" s="21" t="s">
        <v>959</v>
      </c>
    </row>
    <row r="1471" spans="1:1" outlineLevel="1" x14ac:dyDescent="0.25">
      <c r="A1471" t="s">
        <v>960</v>
      </c>
    </row>
    <row r="1472" spans="1:1" outlineLevel="1" x14ac:dyDescent="0.25">
      <c r="A1472" t="s">
        <v>961</v>
      </c>
    </row>
    <row r="1473" spans="1:1" outlineLevel="1" x14ac:dyDescent="0.25">
      <c r="A1473" t="str">
        <f>CONCATENATE("sql left outer join acrtrees t on t.client = x.client and x.dim_1 = t.cat_1 and t.att_agrid = '",$F$159,"'")</f>
        <v>sql left outer join acrtrees t on t.client = x.client and x.dim_1 = t.cat_1 and t.att_agrid = '53'</v>
      </c>
    </row>
    <row r="1474" spans="1:1" ht="13" outlineLevel="1" x14ac:dyDescent="0.3">
      <c r="A147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475" spans="1:1" ht="13" outlineLevel="1" x14ac:dyDescent="0.3">
      <c r="A1475" s="21" t="s">
        <v>973</v>
      </c>
    </row>
    <row r="1476" spans="1:1" outlineLevel="1" x14ac:dyDescent="0.25">
      <c r="A1476" t="s">
        <v>964</v>
      </c>
    </row>
    <row r="1477" spans="1:1" outlineLevel="1" x14ac:dyDescent="0.25">
      <c r="A1477" t="s">
        <v>965</v>
      </c>
    </row>
    <row r="1478" spans="1:1" outlineLevel="1" x14ac:dyDescent="0.25">
      <c r="A1478" t="s">
        <v>966</v>
      </c>
    </row>
    <row r="1479" spans="1:1" outlineLevel="1" x14ac:dyDescent="0.25">
      <c r="A1479" t="s">
        <v>953</v>
      </c>
    </row>
    <row r="1480" spans="1:1" outlineLevel="1" x14ac:dyDescent="0.25">
      <c r="A1480" t="s">
        <v>954</v>
      </c>
    </row>
    <row r="1481" spans="1:1" ht="13" outlineLevel="1" x14ac:dyDescent="0.3">
      <c r="A1481" s="66" t="s">
        <v>974</v>
      </c>
    </row>
    <row r="1482" spans="1:1" outlineLevel="1" x14ac:dyDescent="0.25">
      <c r="A1482" t="s">
        <v>975</v>
      </c>
    </row>
    <row r="1483" spans="1:1" outlineLevel="1" x14ac:dyDescent="0.25">
      <c r="A1483" t="s">
        <v>950</v>
      </c>
    </row>
    <row r="1484" spans="1:1" ht="13" outlineLevel="1" x14ac:dyDescent="0.3">
      <c r="A148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485" spans="1:1" ht="13" outlineLevel="1" x14ac:dyDescent="0.3">
      <c r="A1485" s="21" t="s">
        <v>959</v>
      </c>
    </row>
    <row r="1486" spans="1:1" outlineLevel="1" x14ac:dyDescent="0.25">
      <c r="A1486" t="s">
        <v>960</v>
      </c>
    </row>
    <row r="1487" spans="1:1" outlineLevel="1" x14ac:dyDescent="0.25">
      <c r="A1487" t="s">
        <v>961</v>
      </c>
    </row>
    <row r="1488" spans="1:1" outlineLevel="1" x14ac:dyDescent="0.25">
      <c r="A1488" t="str">
        <f>CONCATENATE("sql left outer join acrtrees t on t.client = x.client and x.dim_1 = t.cat_1 and t.att_agrid = '",$F$159,"'")</f>
        <v>sql left outer join acrtrees t on t.client = x.client and x.dim_1 = t.cat_1 and t.att_agrid = '53'</v>
      </c>
    </row>
    <row r="1489" spans="1:1" ht="13" outlineLevel="1" x14ac:dyDescent="0.3">
      <c r="A148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490" spans="1:1" ht="13" outlineLevel="1" x14ac:dyDescent="0.3">
      <c r="A1490" s="21" t="s">
        <v>973</v>
      </c>
    </row>
    <row r="1491" spans="1:1" outlineLevel="1" x14ac:dyDescent="0.25">
      <c r="A1491" t="s">
        <v>964</v>
      </c>
    </row>
    <row r="1492" spans="1:1" outlineLevel="1" x14ac:dyDescent="0.25">
      <c r="A1492" t="s">
        <v>965</v>
      </c>
    </row>
    <row r="1493" spans="1:1" outlineLevel="1" x14ac:dyDescent="0.25">
      <c r="A1493" t="s">
        <v>966</v>
      </c>
    </row>
    <row r="1494" spans="1:1" outlineLevel="1" x14ac:dyDescent="0.25">
      <c r="A1494" t="s">
        <v>953</v>
      </c>
    </row>
    <row r="1495" spans="1:1" outlineLevel="1" x14ac:dyDescent="0.25">
      <c r="A1495" t="s">
        <v>954</v>
      </c>
    </row>
    <row r="1496" spans="1:1" ht="13" outlineLevel="1" x14ac:dyDescent="0.3">
      <c r="A1496" s="66" t="s">
        <v>976</v>
      </c>
    </row>
    <row r="1497" spans="1:1" outlineLevel="1" x14ac:dyDescent="0.25">
      <c r="A1497" t="s">
        <v>977</v>
      </c>
    </row>
    <row r="1498" spans="1:1" outlineLevel="1" x14ac:dyDescent="0.25">
      <c r="A1498" t="s">
        <v>950</v>
      </c>
    </row>
    <row r="1499" spans="1:1" ht="13" outlineLevel="1" x14ac:dyDescent="0.3">
      <c r="A149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500" spans="1:1" ht="13" outlineLevel="1" x14ac:dyDescent="0.3">
      <c r="A1500" s="21" t="s">
        <v>959</v>
      </c>
    </row>
    <row r="1501" spans="1:1" outlineLevel="1" x14ac:dyDescent="0.25">
      <c r="A1501" t="s">
        <v>960</v>
      </c>
    </row>
    <row r="1502" spans="1:1" outlineLevel="1" x14ac:dyDescent="0.25">
      <c r="A1502" t="s">
        <v>961</v>
      </c>
    </row>
    <row r="1503" spans="1:1" outlineLevel="1" x14ac:dyDescent="0.25">
      <c r="A1503" t="str">
        <f>CONCATENATE("sql left outer join acrtrees t on t.client = x.client and x.dim_1 = t.cat_1 and t.att_agrid = '",$F$159,"'")</f>
        <v>sql left outer join acrtrees t on t.client = x.client and x.dim_1 = t.cat_1 and t.att_agrid = '53'</v>
      </c>
    </row>
    <row r="1504" spans="1:1" ht="13" outlineLevel="1" x14ac:dyDescent="0.3">
      <c r="A150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505" spans="1:1" ht="13" outlineLevel="1" x14ac:dyDescent="0.3">
      <c r="A1505" s="21" t="s">
        <v>978</v>
      </c>
    </row>
    <row r="1506" spans="1:1" outlineLevel="1" x14ac:dyDescent="0.25">
      <c r="A1506" t="s">
        <v>979</v>
      </c>
    </row>
    <row r="1507" spans="1:1" outlineLevel="1" x14ac:dyDescent="0.25">
      <c r="A1507" t="s">
        <v>980</v>
      </c>
    </row>
    <row r="1508" spans="1:1" outlineLevel="1" x14ac:dyDescent="0.25">
      <c r="A1508" t="s">
        <v>966</v>
      </c>
    </row>
    <row r="1509" spans="1:1" outlineLevel="1" x14ac:dyDescent="0.25">
      <c r="A1509" t="s">
        <v>953</v>
      </c>
    </row>
    <row r="1510" spans="1:1" outlineLevel="1" x14ac:dyDescent="0.25">
      <c r="A1510" t="s">
        <v>954</v>
      </c>
    </row>
    <row r="1511" spans="1:1" ht="13" outlineLevel="1" x14ac:dyDescent="0.3">
      <c r="A1511" s="66" t="s">
        <v>981</v>
      </c>
    </row>
    <row r="1512" spans="1:1" outlineLevel="1" x14ac:dyDescent="0.25">
      <c r="A1512" t="s">
        <v>982</v>
      </c>
    </row>
    <row r="1513" spans="1:1" outlineLevel="1" x14ac:dyDescent="0.25">
      <c r="A1513" t="s">
        <v>950</v>
      </c>
    </row>
    <row r="1514" spans="1:1" ht="13" outlineLevel="1" x14ac:dyDescent="0.3">
      <c r="A151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515" spans="1:1" ht="13" outlineLevel="1" x14ac:dyDescent="0.3">
      <c r="A1515" s="21" t="s">
        <v>969</v>
      </c>
    </row>
    <row r="1516" spans="1:1" ht="13" outlineLevel="1" x14ac:dyDescent="0.3">
      <c r="A1516" s="21" t="s">
        <v>959</v>
      </c>
    </row>
    <row r="1517" spans="1:1" outlineLevel="1" x14ac:dyDescent="0.25">
      <c r="A1517" t="s">
        <v>960</v>
      </c>
    </row>
    <row r="1518" spans="1:1" outlineLevel="1" x14ac:dyDescent="0.25">
      <c r="A1518" t="s">
        <v>961</v>
      </c>
    </row>
    <row r="1519" spans="1:1" outlineLevel="1" x14ac:dyDescent="0.25">
      <c r="A1519" t="str">
        <f>CONCATENATE("sql left outer join acrtrees t on t.client = x.client and x.dim_1 = t.cat_1 and t.att_agrid = '",$F$159,"'")</f>
        <v>sql left outer join acrtrees t on t.client = x.client and x.dim_1 = t.cat_1 and t.att_agrid = '53'</v>
      </c>
    </row>
    <row r="1520" spans="1:1" ht="13" outlineLevel="1" x14ac:dyDescent="0.3">
      <c r="A152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521" spans="1:3" ht="13" outlineLevel="1" x14ac:dyDescent="0.3">
      <c r="A1521" s="21" t="s">
        <v>970</v>
      </c>
    </row>
    <row r="1522" spans="1:3" ht="13" outlineLevel="1" x14ac:dyDescent="0.3">
      <c r="A1522" s="21" t="s">
        <v>978</v>
      </c>
    </row>
    <row r="1523" spans="1:3" outlineLevel="1" x14ac:dyDescent="0.25">
      <c r="A1523" t="s">
        <v>979</v>
      </c>
    </row>
    <row r="1524" spans="1:3" outlineLevel="1" x14ac:dyDescent="0.25">
      <c r="A1524" t="s">
        <v>980</v>
      </c>
    </row>
    <row r="1525" spans="1:3" outlineLevel="1" x14ac:dyDescent="0.25">
      <c r="A1525" t="s">
        <v>966</v>
      </c>
    </row>
    <row r="1526" spans="1:3" outlineLevel="1" x14ac:dyDescent="0.25">
      <c r="A1526" t="s">
        <v>953</v>
      </c>
    </row>
    <row r="1527" spans="1:3" outlineLevel="1" x14ac:dyDescent="0.25">
      <c r="A1527" t="s">
        <v>954</v>
      </c>
    </row>
    <row r="1528" spans="1:3" ht="13" outlineLevel="1" x14ac:dyDescent="0.3">
      <c r="A1528" s="20" t="s">
        <v>983</v>
      </c>
    </row>
    <row r="1529" spans="1:3" outlineLevel="1" x14ac:dyDescent="0.25">
      <c r="A1529" s="7" t="s">
        <v>984</v>
      </c>
    </row>
    <row r="1530" spans="1:3" outlineLevel="1" x14ac:dyDescent="0.25">
      <c r="A1530" t="s">
        <v>950</v>
      </c>
    </row>
    <row r="1531" spans="1:3" outlineLevel="1" x14ac:dyDescent="0.25">
      <c r="A1531" t="s">
        <v>951</v>
      </c>
    </row>
    <row r="1532" spans="1:3" ht="14.5" outlineLevel="1" x14ac:dyDescent="0.35">
      <c r="A1532"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532" s="2"/>
    </row>
    <row r="1533" spans="1:3" outlineLevel="1" x14ac:dyDescent="0.25">
      <c r="A1533" t="s">
        <v>952</v>
      </c>
    </row>
    <row r="1534" spans="1:3" outlineLevel="1" x14ac:dyDescent="0.25">
      <c r="A1534" t="s">
        <v>953</v>
      </c>
    </row>
    <row r="1535" spans="1:3" outlineLevel="1" x14ac:dyDescent="0.25">
      <c r="A1535" t="s">
        <v>954</v>
      </c>
    </row>
    <row r="1536" spans="1:3" ht="13" outlineLevel="1" x14ac:dyDescent="0.3">
      <c r="A1536" s="20" t="s">
        <v>985</v>
      </c>
    </row>
    <row r="1537" spans="1:1" outlineLevel="1" x14ac:dyDescent="0.25">
      <c r="A1537" s="7" t="s">
        <v>986</v>
      </c>
    </row>
    <row r="1538" spans="1:1" outlineLevel="1" x14ac:dyDescent="0.25">
      <c r="A1538" t="s">
        <v>987</v>
      </c>
    </row>
    <row r="1539" spans="1:1" ht="13" outlineLevel="1" x14ac:dyDescent="0.3">
      <c r="A1539" s="21" t="str">
        <f>CONCATENATE("sql where a.client = '",$D$172,"' and a.period between '",LEFT($D$170,4),"00' and '",IF(RIGHT($D$171,2)="12",CONCATENATE(LEFT($D$171,4),"14"),$D$171),"'")</f>
        <v>sql where a.client = 'OX' and a.period between '202500' and '202506'</v>
      </c>
    </row>
    <row r="1540" spans="1:1" outlineLevel="1" x14ac:dyDescent="0.25">
      <c r="A1540" t="s">
        <v>952</v>
      </c>
    </row>
    <row r="1541" spans="1:1" outlineLevel="1" x14ac:dyDescent="0.25">
      <c r="A1541" t="s">
        <v>953</v>
      </c>
    </row>
    <row r="1542" spans="1:1" outlineLevel="1" x14ac:dyDescent="0.25">
      <c r="A1542" t="s">
        <v>954</v>
      </c>
    </row>
    <row r="1543" spans="1:1" ht="13" outlineLevel="1" x14ac:dyDescent="0.3">
      <c r="A1543" s="20" t="s">
        <v>988</v>
      </c>
    </row>
    <row r="1544" spans="1:1" outlineLevel="1" x14ac:dyDescent="0.25">
      <c r="A1544" s="7" t="s">
        <v>989</v>
      </c>
    </row>
    <row r="1545" spans="1:1" outlineLevel="1" x14ac:dyDescent="0.25">
      <c r="A1545" t="s">
        <v>950</v>
      </c>
    </row>
    <row r="1546" spans="1:1" outlineLevel="1" x14ac:dyDescent="0.25">
      <c r="A1546" t="s">
        <v>951</v>
      </c>
    </row>
    <row r="1547" spans="1:1" ht="13" outlineLevel="1" x14ac:dyDescent="0.3">
      <c r="A1547"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548" spans="1:1" outlineLevel="1" x14ac:dyDescent="0.25">
      <c r="A1548" t="s">
        <v>952</v>
      </c>
    </row>
    <row r="1549" spans="1:1" outlineLevel="1" x14ac:dyDescent="0.25">
      <c r="A1549" t="s">
        <v>953</v>
      </c>
    </row>
    <row r="1550" spans="1:1" outlineLevel="1" x14ac:dyDescent="0.25">
      <c r="A1550" t="s">
        <v>954</v>
      </c>
    </row>
    <row r="1551" spans="1:1" ht="13" outlineLevel="1" x14ac:dyDescent="0.3">
      <c r="A1551" s="20" t="s">
        <v>990</v>
      </c>
    </row>
    <row r="1552" spans="1:1" outlineLevel="1" x14ac:dyDescent="0.25">
      <c r="A1552" s="7" t="s">
        <v>991</v>
      </c>
    </row>
    <row r="1553" spans="1:1" outlineLevel="1" x14ac:dyDescent="0.25">
      <c r="A1553" t="s">
        <v>950</v>
      </c>
    </row>
    <row r="1554" spans="1:1" outlineLevel="1" x14ac:dyDescent="0.25">
      <c r="A1554" t="s">
        <v>951</v>
      </c>
    </row>
    <row r="1555" spans="1:1" ht="13" outlineLevel="1" x14ac:dyDescent="0.3">
      <c r="A155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556" spans="1:1" outlineLevel="1" x14ac:dyDescent="0.25">
      <c r="A1556" t="s">
        <v>952</v>
      </c>
    </row>
    <row r="1557" spans="1:1" outlineLevel="1" x14ac:dyDescent="0.25">
      <c r="A1557" t="s">
        <v>953</v>
      </c>
    </row>
    <row r="1558" spans="1:1" outlineLevel="1" x14ac:dyDescent="0.25">
      <c r="A1558" t="s">
        <v>954</v>
      </c>
    </row>
    <row r="1559" spans="1:1" ht="13" outlineLevel="1" x14ac:dyDescent="0.3">
      <c r="A1559" s="20" t="s">
        <v>992</v>
      </c>
    </row>
    <row r="1560" spans="1:1" outlineLevel="1" x14ac:dyDescent="0.25">
      <c r="A1560" s="7" t="s">
        <v>993</v>
      </c>
    </row>
    <row r="1561" spans="1:1" outlineLevel="1" x14ac:dyDescent="0.25">
      <c r="A1561" t="s">
        <v>950</v>
      </c>
    </row>
    <row r="1562" spans="1:1" outlineLevel="1" x14ac:dyDescent="0.25">
      <c r="A1562" t="s">
        <v>951</v>
      </c>
    </row>
    <row r="1563" spans="1:1" ht="13" outlineLevel="1" x14ac:dyDescent="0.3">
      <c r="A156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564" spans="1:1" outlineLevel="1" x14ac:dyDescent="0.25">
      <c r="A1564" t="s">
        <v>952</v>
      </c>
    </row>
    <row r="1565" spans="1:1" outlineLevel="1" x14ac:dyDescent="0.25">
      <c r="A1565" t="s">
        <v>953</v>
      </c>
    </row>
    <row r="1566" spans="1:1" outlineLevel="1" x14ac:dyDescent="0.25">
      <c r="A1566" t="s">
        <v>994</v>
      </c>
    </row>
    <row r="1567" spans="1:1" outlineLevel="1" x14ac:dyDescent="0.25">
      <c r="A1567" t="str">
        <f>CONCATENATE("sql left outer join acrtrees t on t.client = u.client and u.dim_1 = t.cat_1 and t.att_agrid = '",$F$159,"'")</f>
        <v>sql left outer join acrtrees t on t.client = u.client and u.dim_1 = t.cat_1 and t.att_agrid = '53'</v>
      </c>
    </row>
    <row r="1568" spans="1:1" outlineLevel="1" x14ac:dyDescent="0.25">
      <c r="A1568" t="str">
        <f>CONCATENATE("sql left outer join acrtrees s on s.client = u.client and u.account = s.cat_1 and s.att_agrid = '",$F$160,"'")</f>
        <v>sql left outer join acrtrees s on s.client = u.client and u.account = s.cat_1 and s.att_agrid = '14'</v>
      </c>
    </row>
    <row r="1569" spans="1:33" outlineLevel="1" x14ac:dyDescent="0.25">
      <c r="A1569" t="str">
        <f>CONCATENATE("sql left outer join acrtrees v on v.client = u.client and u.account = v.cat_1 and v.att_agrid = '",$F$161,"'")</f>
        <v>sql left outer join acrtrees v on v.client = u.client and u.account = v.cat_1 and v.att_agrid = '17'</v>
      </c>
    </row>
    <row r="1570" spans="1:33" outlineLevel="1" x14ac:dyDescent="0.25">
      <c r="A1570" t="str">
        <f>CONCATENATE("sql left outer join agldescription d on d.client = u.client and d.dim_value = t.dim_c and d.attribute_id = '",$F$162,"'")</f>
        <v>sql left outer join agldescription d on d.client = u.client and d.dim_value = t.dim_c and d.attribute_id = '82'</v>
      </c>
    </row>
    <row r="1571" spans="1:33" outlineLevel="1" x14ac:dyDescent="0.25">
      <c r="A1571" t="str">
        <f>CONCATENATE("sql left outer join agldescription e on e.client = u.client and e.dim_value = t.dim_b and e.attribute_id = '",$F$163,"'")</f>
        <v>sql left outer join agldescription e on e.client = u.client and e.dim_value = t.dim_b and e.attribute_id = '81'</v>
      </c>
    </row>
    <row r="1572" spans="1:33" outlineLevel="1" x14ac:dyDescent="0.25">
      <c r="A1572" t="str">
        <f>CONCATENATE("sql left outer join agldescription f on f.client = u.client and f.dim_value = t.dim_e and f.attribute_id = '",$F$164,"'")</f>
        <v>sql left outer join agldescription f on f.client = u.client and f.dim_value = t.dim_e and f.attribute_id = '80'</v>
      </c>
    </row>
    <row r="1573" spans="1:33" outlineLevel="1" x14ac:dyDescent="0.25">
      <c r="A1573" t="str">
        <f>CONCATENATE("sql left outer join agldescription g on g.client = u.client and g.dim_value = u.account and g.attribute_id = '",$F$165,"'")</f>
        <v>sql left outer join agldescription g on g.client = u.client and g.dim_value = u.account and g.attribute_id = 'A0'</v>
      </c>
    </row>
    <row r="1574" spans="1:33" ht="14.5" outlineLevel="1" x14ac:dyDescent="0.35">
      <c r="A1574" s="67" t="s">
        <v>1051</v>
      </c>
      <c r="G1574" s="737" t="s">
        <v>1047</v>
      </c>
    </row>
    <row r="1575" spans="1:33" outlineLevel="1" x14ac:dyDescent="0.25">
      <c r="A1575" t="s">
        <v>1005</v>
      </c>
    </row>
    <row r="1576" spans="1:33" outlineLevel="1" x14ac:dyDescent="0.25">
      <c r="A1576" t="s">
        <v>1006</v>
      </c>
    </row>
    <row r="1577" spans="1:33" outlineLevel="1" x14ac:dyDescent="0.25">
      <c r="A1577" t="s">
        <v>1007</v>
      </c>
    </row>
    <row r="1578" spans="1:33" ht="13" outlineLevel="1" x14ac:dyDescent="0.3">
      <c r="A1578" t="s">
        <v>1012</v>
      </c>
      <c r="C1578" s="29"/>
      <c r="D1578" s="36">
        <v>1000</v>
      </c>
      <c r="E1578" s="36">
        <v>1000</v>
      </c>
      <c r="F1578" s="22">
        <v>1000</v>
      </c>
      <c r="G1578" s="22">
        <v>1000</v>
      </c>
      <c r="H1578" s="22">
        <v>1000</v>
      </c>
      <c r="I1578" s="22">
        <v>1000</v>
      </c>
      <c r="J1578" s="22">
        <v>1000</v>
      </c>
      <c r="K1578" s="22">
        <v>1000</v>
      </c>
      <c r="L1578" s="22"/>
      <c r="M1578" s="36"/>
      <c r="N1578" s="36"/>
      <c r="O1578" s="36">
        <v>1000</v>
      </c>
      <c r="P1578" s="36">
        <v>1000</v>
      </c>
      <c r="Q1578" s="36">
        <v>1000</v>
      </c>
      <c r="R1578" s="36">
        <v>1000</v>
      </c>
      <c r="S1578" s="36">
        <v>1000</v>
      </c>
      <c r="T1578" s="36"/>
      <c r="U1578" s="36"/>
      <c r="V1578" s="58"/>
      <c r="W1578" s="36">
        <v>1000</v>
      </c>
      <c r="X1578" s="36">
        <v>1000</v>
      </c>
      <c r="Y1578" s="36"/>
      <c r="Z1578" s="36"/>
      <c r="AA1578" s="40"/>
      <c r="AB1578" s="60"/>
      <c r="AC1578" s="98"/>
      <c r="AD1578" s="36"/>
      <c r="AE1578" s="36"/>
      <c r="AF1578" s="36"/>
      <c r="AG1578" s="99"/>
    </row>
    <row r="1579" spans="1:33" ht="13" outlineLevel="1" x14ac:dyDescent="0.3">
      <c r="A1579" s="7" t="s">
        <v>1013</v>
      </c>
      <c r="C1579" s="29"/>
      <c r="D1579" s="36">
        <v>0</v>
      </c>
      <c r="E1579" s="36">
        <v>0</v>
      </c>
      <c r="F1579" s="22">
        <v>0</v>
      </c>
      <c r="G1579" s="22">
        <v>0</v>
      </c>
      <c r="H1579" s="22">
        <v>0</v>
      </c>
      <c r="I1579" s="22">
        <v>0</v>
      </c>
      <c r="J1579" s="22">
        <v>0</v>
      </c>
      <c r="K1579" s="22">
        <v>0</v>
      </c>
      <c r="L1579" s="22"/>
      <c r="M1579" s="36"/>
      <c r="N1579" s="36"/>
      <c r="O1579" s="36">
        <v>0</v>
      </c>
      <c r="P1579" s="36">
        <v>0</v>
      </c>
      <c r="Q1579" s="36">
        <v>0</v>
      </c>
      <c r="R1579" s="36">
        <v>0</v>
      </c>
      <c r="S1579" s="36">
        <v>0</v>
      </c>
      <c r="T1579" s="36"/>
      <c r="U1579" s="36"/>
      <c r="V1579" s="58"/>
      <c r="W1579" s="36">
        <v>0</v>
      </c>
      <c r="X1579" s="36">
        <v>0</v>
      </c>
      <c r="Y1579" s="36"/>
      <c r="Z1579" s="36"/>
      <c r="AA1579" s="40"/>
      <c r="AB1579" s="60"/>
      <c r="AC1579" s="98"/>
      <c r="AD1579" s="36"/>
      <c r="AE1579" s="36"/>
      <c r="AF1579" s="36"/>
      <c r="AG1579" s="99"/>
    </row>
    <row r="1580" spans="1:33" ht="13" outlineLevel="1" x14ac:dyDescent="0.3">
      <c r="A1580" t="s">
        <v>1014</v>
      </c>
      <c r="C1580" s="30"/>
      <c r="D1580" s="36"/>
      <c r="E1580" s="36"/>
      <c r="F1580" s="57"/>
      <c r="G1580" s="57"/>
      <c r="H1580" s="57"/>
      <c r="I1580" s="57"/>
      <c r="J1580" s="57"/>
      <c r="K1580" s="57"/>
      <c r="L1580" s="57"/>
      <c r="M1580" s="36"/>
      <c r="N1580" s="36"/>
      <c r="O1580" s="36"/>
      <c r="P1580" s="36" t="s">
        <v>1015</v>
      </c>
      <c r="Q1580" s="36" t="s">
        <v>1016</v>
      </c>
      <c r="R1580" s="36"/>
      <c r="S1580" s="36"/>
      <c r="T1580" s="36"/>
      <c r="U1580" s="36"/>
      <c r="V1580" s="58"/>
      <c r="W1580" s="36"/>
      <c r="X1580" s="36"/>
      <c r="Y1580" s="36"/>
      <c r="Z1580" s="36"/>
      <c r="AA1580" s="40"/>
      <c r="AB1580" s="60"/>
      <c r="AC1580" s="98"/>
      <c r="AD1580" s="36"/>
      <c r="AE1580" s="36"/>
      <c r="AF1580" s="36"/>
      <c r="AG1580" s="99"/>
    </row>
    <row r="1581" spans="1:33" ht="13" outlineLevel="1" x14ac:dyDescent="0.3">
      <c r="A1581" t="s">
        <v>1017</v>
      </c>
      <c r="C1581" s="31"/>
      <c r="D1581" s="36" t="s">
        <v>1019</v>
      </c>
      <c r="E1581" s="36" t="s">
        <v>1020</v>
      </c>
      <c r="F1581" s="22" t="s">
        <v>1021</v>
      </c>
      <c r="G1581" s="22" t="s">
        <v>1022</v>
      </c>
      <c r="H1581" s="22" t="s">
        <v>1023</v>
      </c>
      <c r="I1581" s="22" t="s">
        <v>1024</v>
      </c>
      <c r="J1581" s="22" t="s">
        <v>1025</v>
      </c>
      <c r="K1581" s="22" t="s">
        <v>1026</v>
      </c>
      <c r="L1581" s="22"/>
      <c r="M1581" s="36"/>
      <c r="N1581" s="36"/>
      <c r="O1581" s="36" t="s">
        <v>1027</v>
      </c>
      <c r="P1581" s="36" t="s">
        <v>1028</v>
      </c>
      <c r="Q1581" s="36" t="s">
        <v>1028</v>
      </c>
      <c r="R1581" s="36" t="s">
        <v>1028</v>
      </c>
      <c r="S1581" s="36" t="s">
        <v>1029</v>
      </c>
      <c r="T1581" s="36"/>
      <c r="U1581" s="36"/>
      <c r="V1581" s="58"/>
      <c r="W1581" s="36" t="s">
        <v>1030</v>
      </c>
      <c r="X1581" s="36" t="s">
        <v>1031</v>
      </c>
      <c r="Y1581" s="36"/>
      <c r="Z1581" s="36"/>
      <c r="AA1581" s="40"/>
      <c r="AB1581" s="60"/>
      <c r="AC1581" s="98"/>
      <c r="AD1581" s="36"/>
      <c r="AE1581" s="36"/>
      <c r="AF1581" s="36"/>
      <c r="AG1581" s="99"/>
    </row>
    <row r="1582" spans="1:33" ht="13" outlineLevel="1" x14ac:dyDescent="0.3">
      <c r="A1582" t="s">
        <v>1041</v>
      </c>
      <c r="C1582" s="31" t="s">
        <v>124</v>
      </c>
      <c r="D1582" s="33">
        <v>0</v>
      </c>
      <c r="E1582" s="33">
        <v>0</v>
      </c>
      <c r="F1582" s="23">
        <v>0</v>
      </c>
      <c r="G1582" s="23">
        <v>0</v>
      </c>
      <c r="H1582" s="23">
        <v>0</v>
      </c>
      <c r="I1582" s="23">
        <v>0</v>
      </c>
      <c r="J1582" s="23">
        <v>0</v>
      </c>
      <c r="K1582" s="23">
        <v>0</v>
      </c>
      <c r="L1582" s="23">
        <f>SUM(F1582:K1582)</f>
        <v>0</v>
      </c>
      <c r="M1582" s="33">
        <f>O1582-E1582</f>
        <v>0</v>
      </c>
      <c r="N1582" s="33">
        <f>O1582-D1582</f>
        <v>0</v>
      </c>
      <c r="O1582" s="33">
        <v>0</v>
      </c>
      <c r="P1582" s="33">
        <v>0</v>
      </c>
      <c r="Q1582" s="33">
        <v>0</v>
      </c>
      <c r="R1582" s="33">
        <v>0</v>
      </c>
      <c r="S1582" s="33">
        <v>0</v>
      </c>
      <c r="T1582" s="33">
        <f>R1582-S1582</f>
        <v>0</v>
      </c>
      <c r="U1582" s="38" t="str">
        <f>IFERROR((R1582/O1582)*100%,"∞")</f>
        <v>∞</v>
      </c>
      <c r="V1582" s="59">
        <f>O1582+W1582</f>
        <v>0</v>
      </c>
      <c r="W1582" s="33">
        <v>0</v>
      </c>
      <c r="X1582" s="33">
        <v>0</v>
      </c>
      <c r="Y1582" s="33"/>
      <c r="Z1582" s="33"/>
      <c r="AA1582" s="42"/>
      <c r="AB1582" s="60"/>
      <c r="AC1582" s="105"/>
      <c r="AD1582" s="93"/>
      <c r="AE1582" s="33">
        <f>SUM(AC1582:AD1582)</f>
        <v>0</v>
      </c>
      <c r="AF1582" s="33">
        <f>R1582+AE1582</f>
        <v>0</v>
      </c>
      <c r="AG1582" s="101">
        <f>AF1582-O1582</f>
        <v>0</v>
      </c>
    </row>
    <row r="1583" spans="1:33" outlineLevel="1" x14ac:dyDescent="0.25">
      <c r="A1583" t="s">
        <v>232</v>
      </c>
    </row>
    <row r="1584" spans="1:33" outlineLevel="1" x14ac:dyDescent="0.25">
      <c r="A1584" t="s">
        <v>944</v>
      </c>
      <c r="M1584" s="19"/>
      <c r="N1584" s="19"/>
    </row>
    <row r="1585" spans="1:6" outlineLevel="1" x14ac:dyDescent="0.25">
      <c r="A1585" t="s">
        <v>946</v>
      </c>
      <c r="E1585" s="19"/>
    </row>
    <row r="1586" spans="1:6" outlineLevel="1" x14ac:dyDescent="0.25">
      <c r="A1586" t="s">
        <v>947</v>
      </c>
      <c r="E1586" s="19"/>
      <c r="F1586" s="19"/>
    </row>
    <row r="1587" spans="1:6" ht="13" outlineLevel="1" x14ac:dyDescent="0.3">
      <c r="A1587" s="20" t="s">
        <v>948</v>
      </c>
    </row>
    <row r="1588" spans="1:6" outlineLevel="1" x14ac:dyDescent="0.25">
      <c r="A1588" s="7" t="s">
        <v>949</v>
      </c>
    </row>
    <row r="1589" spans="1:6" outlineLevel="1" x14ac:dyDescent="0.25">
      <c r="A1589" t="s">
        <v>950</v>
      </c>
    </row>
    <row r="1590" spans="1:6" outlineLevel="1" x14ac:dyDescent="0.25">
      <c r="A1590" t="s">
        <v>951</v>
      </c>
    </row>
    <row r="1591" spans="1:6" ht="13" outlineLevel="1" x14ac:dyDescent="0.3">
      <c r="A1591" s="21" t="str">
        <f>CONCATENATE("sql where a.client = '",$D$172,"' and a.period between '",LEFT($D$170,4),"00' and '",LEFT($D$171,4),"14' and a.version like '%ORIG%'")</f>
        <v>sql where a.client = 'OX' and a.period between '202500' and '202514' and a.version like '%ORIG%'</v>
      </c>
    </row>
    <row r="1592" spans="1:6" outlineLevel="1" x14ac:dyDescent="0.25">
      <c r="A1592" t="s">
        <v>952</v>
      </c>
    </row>
    <row r="1593" spans="1:6" outlineLevel="1" x14ac:dyDescent="0.25">
      <c r="A1593" t="s">
        <v>953</v>
      </c>
    </row>
    <row r="1594" spans="1:6" outlineLevel="1" x14ac:dyDescent="0.25">
      <c r="A1594" t="s">
        <v>954</v>
      </c>
    </row>
    <row r="1595" spans="1:6" ht="13" outlineLevel="1" x14ac:dyDescent="0.3">
      <c r="A1595" s="20" t="s">
        <v>955</v>
      </c>
    </row>
    <row r="1596" spans="1:6" outlineLevel="1" x14ac:dyDescent="0.25">
      <c r="A1596" s="7" t="s">
        <v>956</v>
      </c>
    </row>
    <row r="1597" spans="1:6" outlineLevel="1" x14ac:dyDescent="0.25">
      <c r="A1597" t="s">
        <v>950</v>
      </c>
    </row>
    <row r="1598" spans="1:6" outlineLevel="1" x14ac:dyDescent="0.25">
      <c r="A1598" t="s">
        <v>951</v>
      </c>
    </row>
    <row r="1599" spans="1:6" ht="14.5" outlineLevel="1" x14ac:dyDescent="0.35">
      <c r="A1599"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599" s="2"/>
    </row>
    <row r="1600" spans="1:6" outlineLevel="1" x14ac:dyDescent="0.25">
      <c r="A1600" t="s">
        <v>952</v>
      </c>
    </row>
    <row r="1601" spans="1:1" outlineLevel="1" x14ac:dyDescent="0.25">
      <c r="A1601" t="s">
        <v>953</v>
      </c>
    </row>
    <row r="1602" spans="1:1" outlineLevel="1" x14ac:dyDescent="0.25">
      <c r="A1602" t="s">
        <v>954</v>
      </c>
    </row>
    <row r="1603" spans="1:1" ht="13" outlineLevel="1" x14ac:dyDescent="0.3">
      <c r="A1603" s="66" t="s">
        <v>957</v>
      </c>
    </row>
    <row r="1604" spans="1:1" outlineLevel="1" x14ac:dyDescent="0.25">
      <c r="A1604" t="s">
        <v>958</v>
      </c>
    </row>
    <row r="1605" spans="1:1" outlineLevel="1" x14ac:dyDescent="0.25">
      <c r="A1605" t="s">
        <v>950</v>
      </c>
    </row>
    <row r="1606" spans="1:1" ht="13" outlineLevel="1" x14ac:dyDescent="0.3">
      <c r="A160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607" spans="1:1" ht="13" outlineLevel="1" x14ac:dyDescent="0.3">
      <c r="A1607" s="21" t="s">
        <v>959</v>
      </c>
    </row>
    <row r="1608" spans="1:1" outlineLevel="1" x14ac:dyDescent="0.25">
      <c r="A1608" t="s">
        <v>960</v>
      </c>
    </row>
    <row r="1609" spans="1:1" outlineLevel="1" x14ac:dyDescent="0.25">
      <c r="A1609" t="s">
        <v>961</v>
      </c>
    </row>
    <row r="1610" spans="1:1" outlineLevel="1" x14ac:dyDescent="0.25">
      <c r="A1610" t="str">
        <f>CONCATENATE("sql left outer join acrtrees t on t.client = x.client and x.dim_1 = t.cat_1 and t.att_agrid = '",$F$159,"'")</f>
        <v>sql left outer join acrtrees t on t.client = x.client and x.dim_1 = t.cat_1 and t.att_agrid = '53'</v>
      </c>
    </row>
    <row r="1611" spans="1:1" ht="13" outlineLevel="1" x14ac:dyDescent="0.3">
      <c r="A161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612" spans="1:1" ht="13" outlineLevel="1" x14ac:dyDescent="0.3">
      <c r="A1612" s="21" t="s">
        <v>962</v>
      </c>
    </row>
    <row r="1613" spans="1:1" ht="13" outlineLevel="1" x14ac:dyDescent="0.3">
      <c r="A1613"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614" spans="1:1" ht="13" outlineLevel="1" x14ac:dyDescent="0.3">
      <c r="A1614" s="21" t="s">
        <v>963</v>
      </c>
    </row>
    <row r="1615" spans="1:1" outlineLevel="1" x14ac:dyDescent="0.25">
      <c r="A1615" t="s">
        <v>964</v>
      </c>
    </row>
    <row r="1616" spans="1:1" outlineLevel="1" x14ac:dyDescent="0.25">
      <c r="A1616" t="s">
        <v>965</v>
      </c>
    </row>
    <row r="1617" spans="1:1" outlineLevel="1" x14ac:dyDescent="0.25">
      <c r="A1617" t="s">
        <v>966</v>
      </c>
    </row>
    <row r="1618" spans="1:1" outlineLevel="1" x14ac:dyDescent="0.25">
      <c r="A1618" t="s">
        <v>953</v>
      </c>
    </row>
    <row r="1619" spans="1:1" outlineLevel="1" x14ac:dyDescent="0.25">
      <c r="A1619" t="s">
        <v>954</v>
      </c>
    </row>
    <row r="1620" spans="1:1" ht="13" outlineLevel="1" x14ac:dyDescent="0.3">
      <c r="A1620" s="66" t="s">
        <v>967</v>
      </c>
    </row>
    <row r="1621" spans="1:1" outlineLevel="1" x14ac:dyDescent="0.25">
      <c r="A1621" t="s">
        <v>968</v>
      </c>
    </row>
    <row r="1622" spans="1:1" outlineLevel="1" x14ac:dyDescent="0.25">
      <c r="A1622" t="s">
        <v>950</v>
      </c>
    </row>
    <row r="1623" spans="1:1" ht="13" outlineLevel="1" x14ac:dyDescent="0.3">
      <c r="A162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624" spans="1:1" ht="13" outlineLevel="1" x14ac:dyDescent="0.3">
      <c r="A1624" s="21" t="s">
        <v>969</v>
      </c>
    </row>
    <row r="1625" spans="1:1" ht="13" outlineLevel="1" x14ac:dyDescent="0.3">
      <c r="A1625" s="21" t="s">
        <v>959</v>
      </c>
    </row>
    <row r="1626" spans="1:1" outlineLevel="1" x14ac:dyDescent="0.25">
      <c r="A1626" t="s">
        <v>960</v>
      </c>
    </row>
    <row r="1627" spans="1:1" outlineLevel="1" x14ac:dyDescent="0.25">
      <c r="A1627" t="s">
        <v>961</v>
      </c>
    </row>
    <row r="1628" spans="1:1" outlineLevel="1" x14ac:dyDescent="0.25">
      <c r="A1628" t="str">
        <f>CONCATENATE("sql left outer join acrtrees t on t.client = x.client and x.dim_1 = t.cat_1 and t.att_agrid = '",$F$159,"'")</f>
        <v>sql left outer join acrtrees t on t.client = x.client and x.dim_1 = t.cat_1 and t.att_agrid = '53'</v>
      </c>
    </row>
    <row r="1629" spans="1:1" ht="13" outlineLevel="1" x14ac:dyDescent="0.3">
      <c r="A162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630" spans="1:1" ht="13" outlineLevel="1" x14ac:dyDescent="0.3">
      <c r="A1630" s="21" t="s">
        <v>970</v>
      </c>
    </row>
    <row r="1631" spans="1:1" ht="13" outlineLevel="1" x14ac:dyDescent="0.3">
      <c r="A1631" s="21" t="s">
        <v>962</v>
      </c>
    </row>
    <row r="1632" spans="1:1" ht="13" outlineLevel="1" x14ac:dyDescent="0.3">
      <c r="A1632"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633" spans="1:1" ht="13" outlineLevel="1" x14ac:dyDescent="0.3">
      <c r="A1633" s="21" t="s">
        <v>970</v>
      </c>
    </row>
    <row r="1634" spans="1:1" ht="13" outlineLevel="1" x14ac:dyDescent="0.3">
      <c r="A1634" s="21" t="s">
        <v>963</v>
      </c>
    </row>
    <row r="1635" spans="1:1" outlineLevel="1" x14ac:dyDescent="0.25">
      <c r="A1635" t="s">
        <v>964</v>
      </c>
    </row>
    <row r="1636" spans="1:1" outlineLevel="1" x14ac:dyDescent="0.25">
      <c r="A1636" t="s">
        <v>965</v>
      </c>
    </row>
    <row r="1637" spans="1:1" outlineLevel="1" x14ac:dyDescent="0.25">
      <c r="A1637" t="s">
        <v>966</v>
      </c>
    </row>
    <row r="1638" spans="1:1" outlineLevel="1" x14ac:dyDescent="0.25">
      <c r="A1638" t="s">
        <v>953</v>
      </c>
    </row>
    <row r="1639" spans="1:1" outlineLevel="1" x14ac:dyDescent="0.25">
      <c r="A1639" t="s">
        <v>954</v>
      </c>
    </row>
    <row r="1640" spans="1:1" ht="13" outlineLevel="1" x14ac:dyDescent="0.3">
      <c r="A1640" s="66" t="s">
        <v>971</v>
      </c>
    </row>
    <row r="1641" spans="1:1" outlineLevel="1" x14ac:dyDescent="0.25">
      <c r="A1641" t="s">
        <v>972</v>
      </c>
    </row>
    <row r="1642" spans="1:1" outlineLevel="1" x14ac:dyDescent="0.25">
      <c r="A1642" t="s">
        <v>950</v>
      </c>
    </row>
    <row r="1643" spans="1:1" ht="13" outlineLevel="1" x14ac:dyDescent="0.3">
      <c r="A164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644" spans="1:1" ht="13" outlineLevel="1" x14ac:dyDescent="0.3">
      <c r="A1644" s="21" t="s">
        <v>959</v>
      </c>
    </row>
    <row r="1645" spans="1:1" outlineLevel="1" x14ac:dyDescent="0.25">
      <c r="A1645" t="s">
        <v>960</v>
      </c>
    </row>
    <row r="1646" spans="1:1" outlineLevel="1" x14ac:dyDescent="0.25">
      <c r="A1646" t="s">
        <v>961</v>
      </c>
    </row>
    <row r="1647" spans="1:1" outlineLevel="1" x14ac:dyDescent="0.25">
      <c r="A1647" t="str">
        <f>CONCATENATE("sql left outer join acrtrees t on t.client = x.client and x.dim_1 = t.cat_1 and t.att_agrid = '",$F$159,"'")</f>
        <v>sql left outer join acrtrees t on t.client = x.client and x.dim_1 = t.cat_1 and t.att_agrid = '53'</v>
      </c>
    </row>
    <row r="1648" spans="1:1" ht="13" outlineLevel="1" x14ac:dyDescent="0.3">
      <c r="A164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649" spans="1:1" ht="13" outlineLevel="1" x14ac:dyDescent="0.3">
      <c r="A1649" s="21" t="s">
        <v>973</v>
      </c>
    </row>
    <row r="1650" spans="1:1" outlineLevel="1" x14ac:dyDescent="0.25">
      <c r="A1650" t="s">
        <v>964</v>
      </c>
    </row>
    <row r="1651" spans="1:1" outlineLevel="1" x14ac:dyDescent="0.25">
      <c r="A1651" t="s">
        <v>965</v>
      </c>
    </row>
    <row r="1652" spans="1:1" outlineLevel="1" x14ac:dyDescent="0.25">
      <c r="A1652" t="s">
        <v>966</v>
      </c>
    </row>
    <row r="1653" spans="1:1" outlineLevel="1" x14ac:dyDescent="0.25">
      <c r="A1653" t="s">
        <v>953</v>
      </c>
    </row>
    <row r="1654" spans="1:1" outlineLevel="1" x14ac:dyDescent="0.25">
      <c r="A1654" t="s">
        <v>954</v>
      </c>
    </row>
    <row r="1655" spans="1:1" ht="13" outlineLevel="1" x14ac:dyDescent="0.3">
      <c r="A1655" s="66" t="s">
        <v>974</v>
      </c>
    </row>
    <row r="1656" spans="1:1" outlineLevel="1" x14ac:dyDescent="0.25">
      <c r="A1656" t="s">
        <v>975</v>
      </c>
    </row>
    <row r="1657" spans="1:1" outlineLevel="1" x14ac:dyDescent="0.25">
      <c r="A1657" t="s">
        <v>950</v>
      </c>
    </row>
    <row r="1658" spans="1:1" ht="13" outlineLevel="1" x14ac:dyDescent="0.3">
      <c r="A165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659" spans="1:1" ht="13" outlineLevel="1" x14ac:dyDescent="0.3">
      <c r="A1659" s="21" t="s">
        <v>959</v>
      </c>
    </row>
    <row r="1660" spans="1:1" outlineLevel="1" x14ac:dyDescent="0.25">
      <c r="A1660" t="s">
        <v>960</v>
      </c>
    </row>
    <row r="1661" spans="1:1" outlineLevel="1" x14ac:dyDescent="0.25">
      <c r="A1661" t="s">
        <v>961</v>
      </c>
    </row>
    <row r="1662" spans="1:1" outlineLevel="1" x14ac:dyDescent="0.25">
      <c r="A1662" t="str">
        <f>CONCATENATE("sql left outer join acrtrees t on t.client = x.client and x.dim_1 = t.cat_1 and t.att_agrid = '",$F$159,"'")</f>
        <v>sql left outer join acrtrees t on t.client = x.client and x.dim_1 = t.cat_1 and t.att_agrid = '53'</v>
      </c>
    </row>
    <row r="1663" spans="1:1" ht="13" outlineLevel="1" x14ac:dyDescent="0.3">
      <c r="A166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664" spans="1:1" ht="13" outlineLevel="1" x14ac:dyDescent="0.3">
      <c r="A1664" s="21" t="s">
        <v>973</v>
      </c>
    </row>
    <row r="1665" spans="1:1" outlineLevel="1" x14ac:dyDescent="0.25">
      <c r="A1665" t="s">
        <v>964</v>
      </c>
    </row>
    <row r="1666" spans="1:1" outlineLevel="1" x14ac:dyDescent="0.25">
      <c r="A1666" t="s">
        <v>965</v>
      </c>
    </row>
    <row r="1667" spans="1:1" outlineLevel="1" x14ac:dyDescent="0.25">
      <c r="A1667" t="s">
        <v>966</v>
      </c>
    </row>
    <row r="1668" spans="1:1" outlineLevel="1" x14ac:dyDescent="0.25">
      <c r="A1668" t="s">
        <v>953</v>
      </c>
    </row>
    <row r="1669" spans="1:1" outlineLevel="1" x14ac:dyDescent="0.25">
      <c r="A1669" t="s">
        <v>954</v>
      </c>
    </row>
    <row r="1670" spans="1:1" ht="13" outlineLevel="1" x14ac:dyDescent="0.3">
      <c r="A1670" s="66" t="s">
        <v>976</v>
      </c>
    </row>
    <row r="1671" spans="1:1" outlineLevel="1" x14ac:dyDescent="0.25">
      <c r="A1671" t="s">
        <v>977</v>
      </c>
    </row>
    <row r="1672" spans="1:1" outlineLevel="1" x14ac:dyDescent="0.25">
      <c r="A1672" t="s">
        <v>950</v>
      </c>
    </row>
    <row r="1673" spans="1:1" ht="13" outlineLevel="1" x14ac:dyDescent="0.3">
      <c r="A167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674" spans="1:1" ht="13" outlineLevel="1" x14ac:dyDescent="0.3">
      <c r="A1674" s="21" t="s">
        <v>959</v>
      </c>
    </row>
    <row r="1675" spans="1:1" outlineLevel="1" x14ac:dyDescent="0.25">
      <c r="A1675" t="s">
        <v>960</v>
      </c>
    </row>
    <row r="1676" spans="1:1" outlineLevel="1" x14ac:dyDescent="0.25">
      <c r="A1676" t="s">
        <v>961</v>
      </c>
    </row>
    <row r="1677" spans="1:1" outlineLevel="1" x14ac:dyDescent="0.25">
      <c r="A1677" t="str">
        <f>CONCATENATE("sql left outer join acrtrees t on t.client = x.client and x.dim_1 = t.cat_1 and t.att_agrid = '",$F$159,"'")</f>
        <v>sql left outer join acrtrees t on t.client = x.client and x.dim_1 = t.cat_1 and t.att_agrid = '53'</v>
      </c>
    </row>
    <row r="1678" spans="1:1" ht="13" outlineLevel="1" x14ac:dyDescent="0.3">
      <c r="A167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679" spans="1:1" ht="13" outlineLevel="1" x14ac:dyDescent="0.3">
      <c r="A1679" s="21" t="s">
        <v>978</v>
      </c>
    </row>
    <row r="1680" spans="1:1" outlineLevel="1" x14ac:dyDescent="0.25">
      <c r="A1680" t="s">
        <v>979</v>
      </c>
    </row>
    <row r="1681" spans="1:1" outlineLevel="1" x14ac:dyDescent="0.25">
      <c r="A1681" t="s">
        <v>980</v>
      </c>
    </row>
    <row r="1682" spans="1:1" outlineLevel="1" x14ac:dyDescent="0.25">
      <c r="A1682" t="s">
        <v>966</v>
      </c>
    </row>
    <row r="1683" spans="1:1" outlineLevel="1" x14ac:dyDescent="0.25">
      <c r="A1683" t="s">
        <v>953</v>
      </c>
    </row>
    <row r="1684" spans="1:1" outlineLevel="1" x14ac:dyDescent="0.25">
      <c r="A1684" t="s">
        <v>954</v>
      </c>
    </row>
    <row r="1685" spans="1:1" ht="13" outlineLevel="1" x14ac:dyDescent="0.3">
      <c r="A1685" s="66" t="s">
        <v>981</v>
      </c>
    </row>
    <row r="1686" spans="1:1" outlineLevel="1" x14ac:dyDescent="0.25">
      <c r="A1686" t="s">
        <v>982</v>
      </c>
    </row>
    <row r="1687" spans="1:1" outlineLevel="1" x14ac:dyDescent="0.25">
      <c r="A1687" t="s">
        <v>950</v>
      </c>
    </row>
    <row r="1688" spans="1:1" ht="13" outlineLevel="1" x14ac:dyDescent="0.3">
      <c r="A168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689" spans="1:1" ht="13" outlineLevel="1" x14ac:dyDescent="0.3">
      <c r="A1689" s="21" t="s">
        <v>969</v>
      </c>
    </row>
    <row r="1690" spans="1:1" ht="13" outlineLevel="1" x14ac:dyDescent="0.3">
      <c r="A1690" s="21" t="s">
        <v>959</v>
      </c>
    </row>
    <row r="1691" spans="1:1" outlineLevel="1" x14ac:dyDescent="0.25">
      <c r="A1691" t="s">
        <v>960</v>
      </c>
    </row>
    <row r="1692" spans="1:1" outlineLevel="1" x14ac:dyDescent="0.25">
      <c r="A1692" t="s">
        <v>961</v>
      </c>
    </row>
    <row r="1693" spans="1:1" outlineLevel="1" x14ac:dyDescent="0.25">
      <c r="A1693" t="str">
        <f>CONCATENATE("sql left outer join acrtrees t on t.client = x.client and x.dim_1 = t.cat_1 and t.att_agrid = '",$F$159,"'")</f>
        <v>sql left outer join acrtrees t on t.client = x.client and x.dim_1 = t.cat_1 and t.att_agrid = '53'</v>
      </c>
    </row>
    <row r="1694" spans="1:1" ht="13" outlineLevel="1" x14ac:dyDescent="0.3">
      <c r="A169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695" spans="1:1" ht="13" outlineLevel="1" x14ac:dyDescent="0.3">
      <c r="A1695" s="21" t="s">
        <v>970</v>
      </c>
    </row>
    <row r="1696" spans="1:1" ht="13" outlineLevel="1" x14ac:dyDescent="0.3">
      <c r="A1696" s="21" t="s">
        <v>978</v>
      </c>
    </row>
    <row r="1697" spans="1:3" outlineLevel="1" x14ac:dyDescent="0.25">
      <c r="A1697" t="s">
        <v>979</v>
      </c>
    </row>
    <row r="1698" spans="1:3" outlineLevel="1" x14ac:dyDescent="0.25">
      <c r="A1698" t="s">
        <v>980</v>
      </c>
    </row>
    <row r="1699" spans="1:3" outlineLevel="1" x14ac:dyDescent="0.25">
      <c r="A1699" t="s">
        <v>966</v>
      </c>
    </row>
    <row r="1700" spans="1:3" outlineLevel="1" x14ac:dyDescent="0.25">
      <c r="A1700" t="s">
        <v>953</v>
      </c>
    </row>
    <row r="1701" spans="1:3" outlineLevel="1" x14ac:dyDescent="0.25">
      <c r="A1701" t="s">
        <v>954</v>
      </c>
    </row>
    <row r="1702" spans="1:3" ht="13" outlineLevel="1" x14ac:dyDescent="0.3">
      <c r="A1702" s="20" t="s">
        <v>983</v>
      </c>
    </row>
    <row r="1703" spans="1:3" outlineLevel="1" x14ac:dyDescent="0.25">
      <c r="A1703" s="7" t="s">
        <v>984</v>
      </c>
    </row>
    <row r="1704" spans="1:3" outlineLevel="1" x14ac:dyDescent="0.25">
      <c r="A1704" t="s">
        <v>950</v>
      </c>
    </row>
    <row r="1705" spans="1:3" outlineLevel="1" x14ac:dyDescent="0.25">
      <c r="A1705" t="s">
        <v>951</v>
      </c>
    </row>
    <row r="1706" spans="1:3" ht="14.5" outlineLevel="1" x14ac:dyDescent="0.35">
      <c r="A1706"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706" s="2"/>
    </row>
    <row r="1707" spans="1:3" outlineLevel="1" x14ac:dyDescent="0.25">
      <c r="A1707" t="s">
        <v>952</v>
      </c>
    </row>
    <row r="1708" spans="1:3" outlineLevel="1" x14ac:dyDescent="0.25">
      <c r="A1708" t="s">
        <v>953</v>
      </c>
    </row>
    <row r="1709" spans="1:3" outlineLevel="1" x14ac:dyDescent="0.25">
      <c r="A1709" t="s">
        <v>954</v>
      </c>
    </row>
    <row r="1710" spans="1:3" ht="13" outlineLevel="1" x14ac:dyDescent="0.3">
      <c r="A1710" s="20" t="s">
        <v>985</v>
      </c>
    </row>
    <row r="1711" spans="1:3" outlineLevel="1" x14ac:dyDescent="0.25">
      <c r="A1711" s="7" t="s">
        <v>986</v>
      </c>
    </row>
    <row r="1712" spans="1:3" outlineLevel="1" x14ac:dyDescent="0.25">
      <c r="A1712" t="s">
        <v>987</v>
      </c>
    </row>
    <row r="1713" spans="1:1" ht="13" outlineLevel="1" x14ac:dyDescent="0.3">
      <c r="A1713" s="21" t="str">
        <f>CONCATENATE("sql where a.client = '",$D$172,"' and a.period between '",LEFT($D$170,4),"00' and '",IF(RIGHT($D$171,2)="12",CONCATENATE(LEFT($D$171,4),"14"),$D$171),"'")</f>
        <v>sql where a.client = 'OX' and a.period between '202500' and '202506'</v>
      </c>
    </row>
    <row r="1714" spans="1:1" outlineLevel="1" x14ac:dyDescent="0.25">
      <c r="A1714" t="s">
        <v>952</v>
      </c>
    </row>
    <row r="1715" spans="1:1" outlineLevel="1" x14ac:dyDescent="0.25">
      <c r="A1715" t="s">
        <v>953</v>
      </c>
    </row>
    <row r="1716" spans="1:1" outlineLevel="1" x14ac:dyDescent="0.25">
      <c r="A1716" t="s">
        <v>954</v>
      </c>
    </row>
    <row r="1717" spans="1:1" ht="13" outlineLevel="1" x14ac:dyDescent="0.3">
      <c r="A1717" s="20" t="s">
        <v>988</v>
      </c>
    </row>
    <row r="1718" spans="1:1" outlineLevel="1" x14ac:dyDescent="0.25">
      <c r="A1718" s="7" t="s">
        <v>989</v>
      </c>
    </row>
    <row r="1719" spans="1:1" outlineLevel="1" x14ac:dyDescent="0.25">
      <c r="A1719" t="s">
        <v>950</v>
      </c>
    </row>
    <row r="1720" spans="1:1" outlineLevel="1" x14ac:dyDescent="0.25">
      <c r="A1720" t="s">
        <v>951</v>
      </c>
    </row>
    <row r="1721" spans="1:1" ht="13" outlineLevel="1" x14ac:dyDescent="0.3">
      <c r="A1721"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722" spans="1:1" outlineLevel="1" x14ac:dyDescent="0.25">
      <c r="A1722" t="s">
        <v>952</v>
      </c>
    </row>
    <row r="1723" spans="1:1" outlineLevel="1" x14ac:dyDescent="0.25">
      <c r="A1723" t="s">
        <v>953</v>
      </c>
    </row>
    <row r="1724" spans="1:1" outlineLevel="1" x14ac:dyDescent="0.25">
      <c r="A1724" t="s">
        <v>954</v>
      </c>
    </row>
    <row r="1725" spans="1:1" ht="13" outlineLevel="1" x14ac:dyDescent="0.3">
      <c r="A1725" s="20" t="s">
        <v>990</v>
      </c>
    </row>
    <row r="1726" spans="1:1" outlineLevel="1" x14ac:dyDescent="0.25">
      <c r="A1726" s="7" t="s">
        <v>991</v>
      </c>
    </row>
    <row r="1727" spans="1:1" outlineLevel="1" x14ac:dyDescent="0.25">
      <c r="A1727" t="s">
        <v>950</v>
      </c>
    </row>
    <row r="1728" spans="1:1" outlineLevel="1" x14ac:dyDescent="0.25">
      <c r="A1728" t="s">
        <v>951</v>
      </c>
    </row>
    <row r="1729" spans="1:1" ht="13" outlineLevel="1" x14ac:dyDescent="0.3">
      <c r="A172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730" spans="1:1" outlineLevel="1" x14ac:dyDescent="0.25">
      <c r="A1730" t="s">
        <v>952</v>
      </c>
    </row>
    <row r="1731" spans="1:1" outlineLevel="1" x14ac:dyDescent="0.25">
      <c r="A1731" t="s">
        <v>953</v>
      </c>
    </row>
    <row r="1732" spans="1:1" outlineLevel="1" x14ac:dyDescent="0.25">
      <c r="A1732" t="s">
        <v>954</v>
      </c>
    </row>
    <row r="1733" spans="1:1" ht="13" outlineLevel="1" x14ac:dyDescent="0.3">
      <c r="A1733" s="20" t="s">
        <v>992</v>
      </c>
    </row>
    <row r="1734" spans="1:1" outlineLevel="1" x14ac:dyDescent="0.25">
      <c r="A1734" s="7" t="s">
        <v>993</v>
      </c>
    </row>
    <row r="1735" spans="1:1" outlineLevel="1" x14ac:dyDescent="0.25">
      <c r="A1735" t="s">
        <v>950</v>
      </c>
    </row>
    <row r="1736" spans="1:1" outlineLevel="1" x14ac:dyDescent="0.25">
      <c r="A1736" t="s">
        <v>951</v>
      </c>
    </row>
    <row r="1737" spans="1:1" ht="13" outlineLevel="1" x14ac:dyDescent="0.3">
      <c r="A173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738" spans="1:1" outlineLevel="1" x14ac:dyDescent="0.25">
      <c r="A1738" t="s">
        <v>952</v>
      </c>
    </row>
    <row r="1739" spans="1:1" outlineLevel="1" x14ac:dyDescent="0.25">
      <c r="A1739" t="s">
        <v>953</v>
      </c>
    </row>
    <row r="1740" spans="1:1" outlineLevel="1" x14ac:dyDescent="0.25">
      <c r="A1740" t="s">
        <v>994</v>
      </c>
    </row>
    <row r="1741" spans="1:1" outlineLevel="1" x14ac:dyDescent="0.25">
      <c r="A1741" t="str">
        <f>CONCATENATE("sql left outer join acrtrees t on t.client = u.client and u.dim_1 = t.cat_1 and t.att_agrid = '",$F$159,"'")</f>
        <v>sql left outer join acrtrees t on t.client = u.client and u.dim_1 = t.cat_1 and t.att_agrid = '53'</v>
      </c>
    </row>
    <row r="1742" spans="1:1" outlineLevel="1" x14ac:dyDescent="0.25">
      <c r="A1742" t="str">
        <f>CONCATENATE("sql left outer join acrtrees s on s.client = u.client and u.account = s.cat_1 and s.att_agrid = '",$F$160,"'")</f>
        <v>sql left outer join acrtrees s on s.client = u.client and u.account = s.cat_1 and s.att_agrid = '14'</v>
      </c>
    </row>
    <row r="1743" spans="1:1" outlineLevel="1" x14ac:dyDescent="0.25">
      <c r="A1743" t="str">
        <f>CONCATENATE("sql left outer join acrtrees v on v.client = u.client and u.account = v.cat_1 and v.att_agrid = '",$F$161,"'")</f>
        <v>sql left outer join acrtrees v on v.client = u.client and u.account = v.cat_1 and v.att_agrid = '17'</v>
      </c>
    </row>
    <row r="1744" spans="1:1" outlineLevel="1" x14ac:dyDescent="0.25">
      <c r="A1744" t="str">
        <f>CONCATENATE("sql left outer join agldescription d on d.client = u.client and d.dim_value = t.dim_c and d.attribute_id = '",$F$162,"'")</f>
        <v>sql left outer join agldescription d on d.client = u.client and d.dim_value = t.dim_c and d.attribute_id = '82'</v>
      </c>
    </row>
    <row r="1745" spans="1:33" outlineLevel="1" x14ac:dyDescent="0.25">
      <c r="A1745" t="str">
        <f>CONCATENATE("sql left outer join agldescription e on e.client = u.client and e.dim_value = t.dim_b and e.attribute_id = '",$F$163,"'")</f>
        <v>sql left outer join agldescription e on e.client = u.client and e.dim_value = t.dim_b and e.attribute_id = '81'</v>
      </c>
    </row>
    <row r="1746" spans="1:33" outlineLevel="1" x14ac:dyDescent="0.25">
      <c r="A1746" t="str">
        <f>CONCATENATE("sql left outer join agldescription f on f.client = u.client and f.dim_value = t.dim_e and f.attribute_id = '",$F$164,"'")</f>
        <v>sql left outer join agldescription f on f.client = u.client and f.dim_value = t.dim_e and f.attribute_id = '80'</v>
      </c>
    </row>
    <row r="1747" spans="1:33" outlineLevel="1" x14ac:dyDescent="0.25">
      <c r="A1747" t="str">
        <f>CONCATENATE("sql left outer join agldescription g on g.client = u.client and g.dim_value = u.account and g.attribute_id = '",$F$165,"'")</f>
        <v>sql left outer join agldescription g on g.client = u.client and g.dim_value = u.account and g.attribute_id = 'A0'</v>
      </c>
    </row>
    <row r="1748" spans="1:33" ht="14.5" outlineLevel="1" x14ac:dyDescent="0.35">
      <c r="A1748" s="67" t="s">
        <v>1052</v>
      </c>
      <c r="G1748" s="737" t="s">
        <v>1053</v>
      </c>
    </row>
    <row r="1749" spans="1:33" outlineLevel="1" x14ac:dyDescent="0.25">
      <c r="A1749" t="s">
        <v>1005</v>
      </c>
    </row>
    <row r="1750" spans="1:33" outlineLevel="1" x14ac:dyDescent="0.25">
      <c r="A1750" t="s">
        <v>1006</v>
      </c>
    </row>
    <row r="1751" spans="1:33" outlineLevel="1" x14ac:dyDescent="0.25">
      <c r="A1751" t="s">
        <v>1007</v>
      </c>
    </row>
    <row r="1752" spans="1:33" ht="13" outlineLevel="1" x14ac:dyDescent="0.3">
      <c r="A1752" t="s">
        <v>1012</v>
      </c>
      <c r="C1752" s="29"/>
      <c r="D1752" s="36">
        <v>1000</v>
      </c>
      <c r="E1752" s="36">
        <v>1000</v>
      </c>
      <c r="F1752" s="22">
        <v>1000</v>
      </c>
      <c r="G1752" s="22">
        <v>1000</v>
      </c>
      <c r="H1752" s="22">
        <v>1000</v>
      </c>
      <c r="I1752" s="22">
        <v>1000</v>
      </c>
      <c r="J1752" s="22">
        <v>1000</v>
      </c>
      <c r="K1752" s="22">
        <v>1000</v>
      </c>
      <c r="L1752" s="22"/>
      <c r="M1752" s="36"/>
      <c r="N1752" s="36"/>
      <c r="O1752" s="36">
        <v>1000</v>
      </c>
      <c r="P1752" s="36">
        <v>1000</v>
      </c>
      <c r="Q1752" s="36">
        <v>1000</v>
      </c>
      <c r="R1752" s="36">
        <v>1000</v>
      </c>
      <c r="S1752" s="36">
        <v>1000</v>
      </c>
      <c r="T1752" s="36"/>
      <c r="U1752" s="36"/>
      <c r="V1752" s="58"/>
      <c r="W1752" s="36">
        <v>1000</v>
      </c>
      <c r="X1752" s="36">
        <v>1000</v>
      </c>
      <c r="Y1752" s="36"/>
      <c r="Z1752" s="36"/>
      <c r="AA1752" s="40"/>
      <c r="AB1752" s="60"/>
      <c r="AC1752" s="98"/>
      <c r="AD1752" s="36"/>
      <c r="AE1752" s="36"/>
      <c r="AF1752" s="36"/>
      <c r="AG1752" s="99"/>
    </row>
    <row r="1753" spans="1:33" ht="13" outlineLevel="1" x14ac:dyDescent="0.3">
      <c r="A1753" s="7" t="s">
        <v>1013</v>
      </c>
      <c r="C1753" s="29"/>
      <c r="D1753" s="36">
        <v>0</v>
      </c>
      <c r="E1753" s="36">
        <v>0</v>
      </c>
      <c r="F1753" s="22">
        <v>0</v>
      </c>
      <c r="G1753" s="22">
        <v>0</v>
      </c>
      <c r="H1753" s="22">
        <v>0</v>
      </c>
      <c r="I1753" s="22">
        <v>0</v>
      </c>
      <c r="J1753" s="22">
        <v>0</v>
      </c>
      <c r="K1753" s="22">
        <v>0</v>
      </c>
      <c r="L1753" s="22"/>
      <c r="M1753" s="36"/>
      <c r="N1753" s="36"/>
      <c r="O1753" s="36">
        <v>0</v>
      </c>
      <c r="P1753" s="36">
        <v>0</v>
      </c>
      <c r="Q1753" s="36">
        <v>0</v>
      </c>
      <c r="R1753" s="36">
        <v>0</v>
      </c>
      <c r="S1753" s="36">
        <v>0</v>
      </c>
      <c r="T1753" s="36"/>
      <c r="U1753" s="36"/>
      <c r="V1753" s="58"/>
      <c r="W1753" s="36">
        <v>0</v>
      </c>
      <c r="X1753" s="36">
        <v>0</v>
      </c>
      <c r="Y1753" s="36"/>
      <c r="Z1753" s="36"/>
      <c r="AA1753" s="40"/>
      <c r="AB1753" s="60"/>
      <c r="AC1753" s="98"/>
      <c r="AD1753" s="36"/>
      <c r="AE1753" s="36"/>
      <c r="AF1753" s="36"/>
      <c r="AG1753" s="99"/>
    </row>
    <row r="1754" spans="1:33" ht="13" outlineLevel="1" x14ac:dyDescent="0.3">
      <c r="A1754" t="s">
        <v>1014</v>
      </c>
      <c r="C1754" s="30"/>
      <c r="D1754" s="36"/>
      <c r="E1754" s="36"/>
      <c r="F1754" s="57"/>
      <c r="G1754" s="57"/>
      <c r="H1754" s="57"/>
      <c r="I1754" s="57"/>
      <c r="J1754" s="57"/>
      <c r="K1754" s="57"/>
      <c r="L1754" s="57"/>
      <c r="M1754" s="36"/>
      <c r="N1754" s="36"/>
      <c r="O1754" s="36"/>
      <c r="P1754" s="36" t="s">
        <v>1015</v>
      </c>
      <c r="Q1754" s="36" t="s">
        <v>1016</v>
      </c>
      <c r="R1754" s="36"/>
      <c r="S1754" s="36"/>
      <c r="T1754" s="36"/>
      <c r="U1754" s="36"/>
      <c r="V1754" s="58"/>
      <c r="W1754" s="36"/>
      <c r="X1754" s="36"/>
      <c r="Y1754" s="36"/>
      <c r="Z1754" s="36"/>
      <c r="AA1754" s="40"/>
      <c r="AB1754" s="60"/>
      <c r="AC1754" s="98"/>
      <c r="AD1754" s="36"/>
      <c r="AE1754" s="36"/>
      <c r="AF1754" s="36"/>
      <c r="AG1754" s="99"/>
    </row>
    <row r="1755" spans="1:33" ht="13" outlineLevel="1" x14ac:dyDescent="0.3">
      <c r="A1755" t="s">
        <v>1017</v>
      </c>
      <c r="C1755" s="31"/>
      <c r="D1755" s="36" t="s">
        <v>1019</v>
      </c>
      <c r="E1755" s="36" t="s">
        <v>1020</v>
      </c>
      <c r="F1755" s="22" t="s">
        <v>1021</v>
      </c>
      <c r="G1755" s="22" t="s">
        <v>1022</v>
      </c>
      <c r="H1755" s="22" t="s">
        <v>1023</v>
      </c>
      <c r="I1755" s="22" t="s">
        <v>1024</v>
      </c>
      <c r="J1755" s="22" t="s">
        <v>1025</v>
      </c>
      <c r="K1755" s="22" t="s">
        <v>1026</v>
      </c>
      <c r="L1755" s="22"/>
      <c r="M1755" s="36"/>
      <c r="N1755" s="36"/>
      <c r="O1755" s="36" t="s">
        <v>1027</v>
      </c>
      <c r="P1755" s="36" t="s">
        <v>1028</v>
      </c>
      <c r="Q1755" s="36" t="s">
        <v>1028</v>
      </c>
      <c r="R1755" s="36" t="s">
        <v>1028</v>
      </c>
      <c r="S1755" s="36" t="s">
        <v>1029</v>
      </c>
      <c r="T1755" s="36"/>
      <c r="U1755" s="36"/>
      <c r="V1755" s="58"/>
      <c r="W1755" s="36" t="s">
        <v>1030</v>
      </c>
      <c r="X1755" s="36" t="s">
        <v>1031</v>
      </c>
      <c r="Y1755" s="36"/>
      <c r="Z1755" s="36"/>
      <c r="AA1755" s="40"/>
      <c r="AB1755" s="60"/>
      <c r="AC1755" s="98"/>
      <c r="AD1755" s="36"/>
      <c r="AE1755" s="36"/>
      <c r="AF1755" s="36"/>
      <c r="AG1755" s="99"/>
    </row>
    <row r="1756" spans="1:33" ht="13" outlineLevel="1" x14ac:dyDescent="0.3">
      <c r="A1756" t="s">
        <v>1041</v>
      </c>
      <c r="C1756" s="31" t="s">
        <v>125</v>
      </c>
      <c r="D1756" s="33">
        <v>0</v>
      </c>
      <c r="E1756" s="33">
        <v>0</v>
      </c>
      <c r="F1756" s="23">
        <v>0</v>
      </c>
      <c r="G1756" s="23">
        <v>0</v>
      </c>
      <c r="H1756" s="23">
        <v>0</v>
      </c>
      <c r="I1756" s="23">
        <v>0</v>
      </c>
      <c r="J1756" s="23">
        <v>0</v>
      </c>
      <c r="K1756" s="23">
        <v>0</v>
      </c>
      <c r="L1756" s="23">
        <f>SUM(F1756:K1756)</f>
        <v>0</v>
      </c>
      <c r="M1756" s="33">
        <f>O1756-E1756</f>
        <v>0</v>
      </c>
      <c r="N1756" s="33">
        <f>O1756-D1756</f>
        <v>0</v>
      </c>
      <c r="O1756" s="33">
        <v>0</v>
      </c>
      <c r="P1756" s="33">
        <v>0</v>
      </c>
      <c r="Q1756" s="33">
        <v>0</v>
      </c>
      <c r="R1756" s="33">
        <v>0</v>
      </c>
      <c r="S1756" s="33">
        <v>0</v>
      </c>
      <c r="T1756" s="33">
        <f>R1756-S1756</f>
        <v>0</v>
      </c>
      <c r="U1756" s="38" t="str">
        <f>IFERROR((R1756/O1756)*100%,"∞")</f>
        <v>∞</v>
      </c>
      <c r="V1756" s="59">
        <f>O1756+W1756</f>
        <v>0</v>
      </c>
      <c r="W1756" s="33">
        <v>0</v>
      </c>
      <c r="X1756" s="33">
        <v>0</v>
      </c>
      <c r="Y1756" s="33"/>
      <c r="Z1756" s="33"/>
      <c r="AA1756" s="42"/>
      <c r="AB1756" s="60"/>
      <c r="AC1756" s="105"/>
      <c r="AD1756" s="93"/>
      <c r="AE1756" s="33">
        <f>SUM(AC1756:AD1756)</f>
        <v>0</v>
      </c>
      <c r="AF1756" s="33">
        <f>R1756+AE1756</f>
        <v>0</v>
      </c>
      <c r="AG1756" s="101">
        <f>AF1756-O1756</f>
        <v>0</v>
      </c>
    </row>
    <row r="1757" spans="1:33" outlineLevel="1" x14ac:dyDescent="0.25">
      <c r="A1757" t="s">
        <v>232</v>
      </c>
    </row>
    <row r="1758" spans="1:33" outlineLevel="1" x14ac:dyDescent="0.25">
      <c r="A1758" t="s">
        <v>944</v>
      </c>
      <c r="M1758" s="19"/>
      <c r="N1758" s="19"/>
    </row>
    <row r="1759" spans="1:33" outlineLevel="1" x14ac:dyDescent="0.25">
      <c r="A1759" t="s">
        <v>946</v>
      </c>
      <c r="E1759" s="19"/>
    </row>
    <row r="1760" spans="1:33" outlineLevel="1" x14ac:dyDescent="0.25">
      <c r="A1760" t="s">
        <v>947</v>
      </c>
      <c r="E1760" s="19"/>
      <c r="F1760" s="19"/>
    </row>
    <row r="1761" spans="1:3" ht="13" outlineLevel="1" x14ac:dyDescent="0.3">
      <c r="A1761" s="20" t="s">
        <v>948</v>
      </c>
    </row>
    <row r="1762" spans="1:3" outlineLevel="1" x14ac:dyDescent="0.25">
      <c r="A1762" s="7" t="s">
        <v>949</v>
      </c>
    </row>
    <row r="1763" spans="1:3" outlineLevel="1" x14ac:dyDescent="0.25">
      <c r="A1763" t="s">
        <v>950</v>
      </c>
    </row>
    <row r="1764" spans="1:3" outlineLevel="1" x14ac:dyDescent="0.25">
      <c r="A1764" t="s">
        <v>951</v>
      </c>
    </row>
    <row r="1765" spans="1:3" ht="13" outlineLevel="1" x14ac:dyDescent="0.3">
      <c r="A1765" s="21" t="str">
        <f>CONCATENATE("sql where a.client = '",$D$172,"' and a.period between '",LEFT($D$170,4),"00' and '",LEFT($D$171,4),"14' and a.version like '%ORIG%'")</f>
        <v>sql where a.client = 'OX' and a.period between '202500' and '202514' and a.version like '%ORIG%'</v>
      </c>
    </row>
    <row r="1766" spans="1:3" outlineLevel="1" x14ac:dyDescent="0.25">
      <c r="A1766" t="s">
        <v>952</v>
      </c>
    </row>
    <row r="1767" spans="1:3" outlineLevel="1" x14ac:dyDescent="0.25">
      <c r="A1767" t="s">
        <v>953</v>
      </c>
    </row>
    <row r="1768" spans="1:3" outlineLevel="1" x14ac:dyDescent="0.25">
      <c r="A1768" t="s">
        <v>954</v>
      </c>
    </row>
    <row r="1769" spans="1:3" ht="13" outlineLevel="1" x14ac:dyDescent="0.3">
      <c r="A1769" s="20" t="s">
        <v>955</v>
      </c>
    </row>
    <row r="1770" spans="1:3" outlineLevel="1" x14ac:dyDescent="0.25">
      <c r="A1770" s="7" t="s">
        <v>956</v>
      </c>
    </row>
    <row r="1771" spans="1:3" outlineLevel="1" x14ac:dyDescent="0.25">
      <c r="A1771" t="s">
        <v>950</v>
      </c>
    </row>
    <row r="1772" spans="1:3" outlineLevel="1" x14ac:dyDescent="0.25">
      <c r="A1772" t="s">
        <v>951</v>
      </c>
    </row>
    <row r="1773" spans="1:3" ht="14.5" outlineLevel="1" x14ac:dyDescent="0.35">
      <c r="A1773"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773" s="2"/>
    </row>
    <row r="1774" spans="1:3" outlineLevel="1" x14ac:dyDescent="0.25">
      <c r="A1774" t="s">
        <v>952</v>
      </c>
    </row>
    <row r="1775" spans="1:3" outlineLevel="1" x14ac:dyDescent="0.25">
      <c r="A1775" t="s">
        <v>953</v>
      </c>
    </row>
    <row r="1776" spans="1:3" outlineLevel="1" x14ac:dyDescent="0.25">
      <c r="A1776" t="s">
        <v>954</v>
      </c>
    </row>
    <row r="1777" spans="1:1" ht="13" outlineLevel="1" x14ac:dyDescent="0.3">
      <c r="A1777" s="66" t="s">
        <v>957</v>
      </c>
    </row>
    <row r="1778" spans="1:1" outlineLevel="1" x14ac:dyDescent="0.25">
      <c r="A1778" t="s">
        <v>958</v>
      </c>
    </row>
    <row r="1779" spans="1:1" outlineLevel="1" x14ac:dyDescent="0.25">
      <c r="A1779" t="s">
        <v>950</v>
      </c>
    </row>
    <row r="1780" spans="1:1" ht="13" outlineLevel="1" x14ac:dyDescent="0.3">
      <c r="A178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781" spans="1:1" ht="13" outlineLevel="1" x14ac:dyDescent="0.3">
      <c r="A1781" s="21" t="s">
        <v>959</v>
      </c>
    </row>
    <row r="1782" spans="1:1" outlineLevel="1" x14ac:dyDescent="0.25">
      <c r="A1782" t="s">
        <v>960</v>
      </c>
    </row>
    <row r="1783" spans="1:1" outlineLevel="1" x14ac:dyDescent="0.25">
      <c r="A1783" t="s">
        <v>961</v>
      </c>
    </row>
    <row r="1784" spans="1:1" outlineLevel="1" x14ac:dyDescent="0.25">
      <c r="A1784" t="str">
        <f>CONCATENATE("sql left outer join acrtrees t on t.client = x.client and x.dim_1 = t.cat_1 and t.att_agrid = '",$F$159,"'")</f>
        <v>sql left outer join acrtrees t on t.client = x.client and x.dim_1 = t.cat_1 and t.att_agrid = '53'</v>
      </c>
    </row>
    <row r="1785" spans="1:1" ht="13" outlineLevel="1" x14ac:dyDescent="0.3">
      <c r="A178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786" spans="1:1" ht="13" outlineLevel="1" x14ac:dyDescent="0.3">
      <c r="A1786" s="21" t="s">
        <v>962</v>
      </c>
    </row>
    <row r="1787" spans="1:1" ht="13" outlineLevel="1" x14ac:dyDescent="0.3">
      <c r="A1787"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788" spans="1:1" ht="13" outlineLevel="1" x14ac:dyDescent="0.3">
      <c r="A1788" s="21" t="s">
        <v>963</v>
      </c>
    </row>
    <row r="1789" spans="1:1" outlineLevel="1" x14ac:dyDescent="0.25">
      <c r="A1789" t="s">
        <v>964</v>
      </c>
    </row>
    <row r="1790" spans="1:1" outlineLevel="1" x14ac:dyDescent="0.25">
      <c r="A1790" t="s">
        <v>965</v>
      </c>
    </row>
    <row r="1791" spans="1:1" outlineLevel="1" x14ac:dyDescent="0.25">
      <c r="A1791" t="s">
        <v>966</v>
      </c>
    </row>
    <row r="1792" spans="1:1" outlineLevel="1" x14ac:dyDescent="0.25">
      <c r="A1792" t="s">
        <v>953</v>
      </c>
    </row>
    <row r="1793" spans="1:1" outlineLevel="1" x14ac:dyDescent="0.25">
      <c r="A1793" t="s">
        <v>954</v>
      </c>
    </row>
    <row r="1794" spans="1:1" ht="13" outlineLevel="1" x14ac:dyDescent="0.3">
      <c r="A1794" s="66" t="s">
        <v>967</v>
      </c>
    </row>
    <row r="1795" spans="1:1" outlineLevel="1" x14ac:dyDescent="0.25">
      <c r="A1795" t="s">
        <v>968</v>
      </c>
    </row>
    <row r="1796" spans="1:1" outlineLevel="1" x14ac:dyDescent="0.25">
      <c r="A1796" t="s">
        <v>950</v>
      </c>
    </row>
    <row r="1797" spans="1:1" ht="13" outlineLevel="1" x14ac:dyDescent="0.3">
      <c r="A179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798" spans="1:1" ht="13" outlineLevel="1" x14ac:dyDescent="0.3">
      <c r="A1798" s="21" t="s">
        <v>969</v>
      </c>
    </row>
    <row r="1799" spans="1:1" ht="13" outlineLevel="1" x14ac:dyDescent="0.3">
      <c r="A1799" s="21" t="s">
        <v>959</v>
      </c>
    </row>
    <row r="1800" spans="1:1" outlineLevel="1" x14ac:dyDescent="0.25">
      <c r="A1800" t="s">
        <v>960</v>
      </c>
    </row>
    <row r="1801" spans="1:1" outlineLevel="1" x14ac:dyDescent="0.25">
      <c r="A1801" t="s">
        <v>961</v>
      </c>
    </row>
    <row r="1802" spans="1:1" outlineLevel="1" x14ac:dyDescent="0.25">
      <c r="A1802" t="str">
        <f>CONCATENATE("sql left outer join acrtrees t on t.client = x.client and x.dim_1 = t.cat_1 and t.att_agrid = '",$F$159,"'")</f>
        <v>sql left outer join acrtrees t on t.client = x.client and x.dim_1 = t.cat_1 and t.att_agrid = '53'</v>
      </c>
    </row>
    <row r="1803" spans="1:1" ht="13" outlineLevel="1" x14ac:dyDescent="0.3">
      <c r="A180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804" spans="1:1" ht="13" outlineLevel="1" x14ac:dyDescent="0.3">
      <c r="A1804" s="21" t="s">
        <v>970</v>
      </c>
    </row>
    <row r="1805" spans="1:1" ht="13" outlineLevel="1" x14ac:dyDescent="0.3">
      <c r="A1805" s="21" t="s">
        <v>962</v>
      </c>
    </row>
    <row r="1806" spans="1:1" ht="13" outlineLevel="1" x14ac:dyDescent="0.3">
      <c r="A1806"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807" spans="1:1" ht="13" outlineLevel="1" x14ac:dyDescent="0.3">
      <c r="A1807" s="21" t="s">
        <v>970</v>
      </c>
    </row>
    <row r="1808" spans="1:1" ht="13" outlineLevel="1" x14ac:dyDescent="0.3">
      <c r="A1808" s="21" t="s">
        <v>963</v>
      </c>
    </row>
    <row r="1809" spans="1:1" outlineLevel="1" x14ac:dyDescent="0.25">
      <c r="A1809" t="s">
        <v>964</v>
      </c>
    </row>
    <row r="1810" spans="1:1" outlineLevel="1" x14ac:dyDescent="0.25">
      <c r="A1810" t="s">
        <v>965</v>
      </c>
    </row>
    <row r="1811" spans="1:1" outlineLevel="1" x14ac:dyDescent="0.25">
      <c r="A1811" t="s">
        <v>966</v>
      </c>
    </row>
    <row r="1812" spans="1:1" outlineLevel="1" x14ac:dyDescent="0.25">
      <c r="A1812" t="s">
        <v>953</v>
      </c>
    </row>
    <row r="1813" spans="1:1" outlineLevel="1" x14ac:dyDescent="0.25">
      <c r="A1813" t="s">
        <v>954</v>
      </c>
    </row>
    <row r="1814" spans="1:1" ht="13" outlineLevel="1" x14ac:dyDescent="0.3">
      <c r="A1814" s="66" t="s">
        <v>971</v>
      </c>
    </row>
    <row r="1815" spans="1:1" outlineLevel="1" x14ac:dyDescent="0.25">
      <c r="A1815" t="s">
        <v>972</v>
      </c>
    </row>
    <row r="1816" spans="1:1" outlineLevel="1" x14ac:dyDescent="0.25">
      <c r="A1816" t="s">
        <v>950</v>
      </c>
    </row>
    <row r="1817" spans="1:1" ht="13" outlineLevel="1" x14ac:dyDescent="0.3">
      <c r="A181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818" spans="1:1" ht="13" outlineLevel="1" x14ac:dyDescent="0.3">
      <c r="A1818" s="21" t="s">
        <v>959</v>
      </c>
    </row>
    <row r="1819" spans="1:1" outlineLevel="1" x14ac:dyDescent="0.25">
      <c r="A1819" t="s">
        <v>960</v>
      </c>
    </row>
    <row r="1820" spans="1:1" outlineLevel="1" x14ac:dyDescent="0.25">
      <c r="A1820" t="s">
        <v>961</v>
      </c>
    </row>
    <row r="1821" spans="1:1" outlineLevel="1" x14ac:dyDescent="0.25">
      <c r="A1821" t="str">
        <f>CONCATENATE("sql left outer join acrtrees t on t.client = x.client and x.dim_1 = t.cat_1 and t.att_agrid = '",$F$159,"'")</f>
        <v>sql left outer join acrtrees t on t.client = x.client and x.dim_1 = t.cat_1 and t.att_agrid = '53'</v>
      </c>
    </row>
    <row r="1822" spans="1:1" ht="13" outlineLevel="1" x14ac:dyDescent="0.3">
      <c r="A182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823" spans="1:1" ht="13" outlineLevel="1" x14ac:dyDescent="0.3">
      <c r="A1823" s="21" t="s">
        <v>973</v>
      </c>
    </row>
    <row r="1824" spans="1:1" outlineLevel="1" x14ac:dyDescent="0.25">
      <c r="A1824" t="s">
        <v>964</v>
      </c>
    </row>
    <row r="1825" spans="1:1" outlineLevel="1" x14ac:dyDescent="0.25">
      <c r="A1825" t="s">
        <v>965</v>
      </c>
    </row>
    <row r="1826" spans="1:1" outlineLevel="1" x14ac:dyDescent="0.25">
      <c r="A1826" t="s">
        <v>966</v>
      </c>
    </row>
    <row r="1827" spans="1:1" outlineLevel="1" x14ac:dyDescent="0.25">
      <c r="A1827" t="s">
        <v>953</v>
      </c>
    </row>
    <row r="1828" spans="1:1" outlineLevel="1" x14ac:dyDescent="0.25">
      <c r="A1828" t="s">
        <v>954</v>
      </c>
    </row>
    <row r="1829" spans="1:1" ht="13" outlineLevel="1" x14ac:dyDescent="0.3">
      <c r="A1829" s="66" t="s">
        <v>974</v>
      </c>
    </row>
    <row r="1830" spans="1:1" outlineLevel="1" x14ac:dyDescent="0.25">
      <c r="A1830" t="s">
        <v>975</v>
      </c>
    </row>
    <row r="1831" spans="1:1" outlineLevel="1" x14ac:dyDescent="0.25">
      <c r="A1831" t="s">
        <v>950</v>
      </c>
    </row>
    <row r="1832" spans="1:1" ht="13" outlineLevel="1" x14ac:dyDescent="0.3">
      <c r="A183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833" spans="1:1" ht="13" outlineLevel="1" x14ac:dyDescent="0.3">
      <c r="A1833" s="21" t="s">
        <v>959</v>
      </c>
    </row>
    <row r="1834" spans="1:1" outlineLevel="1" x14ac:dyDescent="0.25">
      <c r="A1834" t="s">
        <v>960</v>
      </c>
    </row>
    <row r="1835" spans="1:1" outlineLevel="1" x14ac:dyDescent="0.25">
      <c r="A1835" t="s">
        <v>961</v>
      </c>
    </row>
    <row r="1836" spans="1:1" outlineLevel="1" x14ac:dyDescent="0.25">
      <c r="A1836" t="str">
        <f>CONCATENATE("sql left outer join acrtrees t on t.client = x.client and x.dim_1 = t.cat_1 and t.att_agrid = '",$F$159,"'")</f>
        <v>sql left outer join acrtrees t on t.client = x.client and x.dim_1 = t.cat_1 and t.att_agrid = '53'</v>
      </c>
    </row>
    <row r="1837" spans="1:1" ht="13" outlineLevel="1" x14ac:dyDescent="0.3">
      <c r="A183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838" spans="1:1" ht="13" outlineLevel="1" x14ac:dyDescent="0.3">
      <c r="A1838" s="21" t="s">
        <v>973</v>
      </c>
    </row>
    <row r="1839" spans="1:1" outlineLevel="1" x14ac:dyDescent="0.25">
      <c r="A1839" t="s">
        <v>964</v>
      </c>
    </row>
    <row r="1840" spans="1:1" outlineLevel="1" x14ac:dyDescent="0.25">
      <c r="A1840" t="s">
        <v>965</v>
      </c>
    </row>
    <row r="1841" spans="1:1" outlineLevel="1" x14ac:dyDescent="0.25">
      <c r="A1841" t="s">
        <v>966</v>
      </c>
    </row>
    <row r="1842" spans="1:1" outlineLevel="1" x14ac:dyDescent="0.25">
      <c r="A1842" t="s">
        <v>953</v>
      </c>
    </row>
    <row r="1843" spans="1:1" outlineLevel="1" x14ac:dyDescent="0.25">
      <c r="A1843" t="s">
        <v>954</v>
      </c>
    </row>
    <row r="1844" spans="1:1" ht="13" outlineLevel="1" x14ac:dyDescent="0.3">
      <c r="A1844" s="66" t="s">
        <v>976</v>
      </c>
    </row>
    <row r="1845" spans="1:1" outlineLevel="1" x14ac:dyDescent="0.25">
      <c r="A1845" t="s">
        <v>977</v>
      </c>
    </row>
    <row r="1846" spans="1:1" outlineLevel="1" x14ac:dyDescent="0.25">
      <c r="A1846" t="s">
        <v>950</v>
      </c>
    </row>
    <row r="1847" spans="1:1" ht="13" outlineLevel="1" x14ac:dyDescent="0.3">
      <c r="A184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848" spans="1:1" ht="13" outlineLevel="1" x14ac:dyDescent="0.3">
      <c r="A1848" s="21" t="s">
        <v>959</v>
      </c>
    </row>
    <row r="1849" spans="1:1" outlineLevel="1" x14ac:dyDescent="0.25">
      <c r="A1849" t="s">
        <v>960</v>
      </c>
    </row>
    <row r="1850" spans="1:1" outlineLevel="1" x14ac:dyDescent="0.25">
      <c r="A1850" t="s">
        <v>961</v>
      </c>
    </row>
    <row r="1851" spans="1:1" outlineLevel="1" x14ac:dyDescent="0.25">
      <c r="A1851" t="str">
        <f>CONCATENATE("sql left outer join acrtrees t on t.client = x.client and x.dim_1 = t.cat_1 and t.att_agrid = '",$F$159,"'")</f>
        <v>sql left outer join acrtrees t on t.client = x.client and x.dim_1 = t.cat_1 and t.att_agrid = '53'</v>
      </c>
    </row>
    <row r="1852" spans="1:1" ht="13" outlineLevel="1" x14ac:dyDescent="0.3">
      <c r="A185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853" spans="1:1" ht="13" outlineLevel="1" x14ac:dyDescent="0.3">
      <c r="A1853" s="21" t="s">
        <v>978</v>
      </c>
    </row>
    <row r="1854" spans="1:1" outlineLevel="1" x14ac:dyDescent="0.25">
      <c r="A1854" t="s">
        <v>979</v>
      </c>
    </row>
    <row r="1855" spans="1:1" outlineLevel="1" x14ac:dyDescent="0.25">
      <c r="A1855" t="s">
        <v>980</v>
      </c>
    </row>
    <row r="1856" spans="1:1" outlineLevel="1" x14ac:dyDescent="0.25">
      <c r="A1856" t="s">
        <v>966</v>
      </c>
    </row>
    <row r="1857" spans="1:1" outlineLevel="1" x14ac:dyDescent="0.25">
      <c r="A1857" t="s">
        <v>953</v>
      </c>
    </row>
    <row r="1858" spans="1:1" outlineLevel="1" x14ac:dyDescent="0.25">
      <c r="A1858" t="s">
        <v>954</v>
      </c>
    </row>
    <row r="1859" spans="1:1" ht="13" outlineLevel="1" x14ac:dyDescent="0.3">
      <c r="A1859" s="66" t="s">
        <v>981</v>
      </c>
    </row>
    <row r="1860" spans="1:1" outlineLevel="1" x14ac:dyDescent="0.25">
      <c r="A1860" t="s">
        <v>982</v>
      </c>
    </row>
    <row r="1861" spans="1:1" outlineLevel="1" x14ac:dyDescent="0.25">
      <c r="A1861" t="s">
        <v>950</v>
      </c>
    </row>
    <row r="1862" spans="1:1" ht="13" outlineLevel="1" x14ac:dyDescent="0.3">
      <c r="A186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863" spans="1:1" ht="13" outlineLevel="1" x14ac:dyDescent="0.3">
      <c r="A1863" s="21" t="s">
        <v>969</v>
      </c>
    </row>
    <row r="1864" spans="1:1" ht="13" outlineLevel="1" x14ac:dyDescent="0.3">
      <c r="A1864" s="21" t="s">
        <v>959</v>
      </c>
    </row>
    <row r="1865" spans="1:1" outlineLevel="1" x14ac:dyDescent="0.25">
      <c r="A1865" t="s">
        <v>960</v>
      </c>
    </row>
    <row r="1866" spans="1:1" outlineLevel="1" x14ac:dyDescent="0.25">
      <c r="A1866" t="s">
        <v>961</v>
      </c>
    </row>
    <row r="1867" spans="1:1" outlineLevel="1" x14ac:dyDescent="0.25">
      <c r="A1867" t="str">
        <f>CONCATENATE("sql left outer join acrtrees t on t.client = x.client and x.dim_1 = t.cat_1 and t.att_agrid = '",$F$159,"'")</f>
        <v>sql left outer join acrtrees t on t.client = x.client and x.dim_1 = t.cat_1 and t.att_agrid = '53'</v>
      </c>
    </row>
    <row r="1868" spans="1:1" ht="13" outlineLevel="1" x14ac:dyDescent="0.3">
      <c r="A186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869" spans="1:1" ht="13" outlineLevel="1" x14ac:dyDescent="0.3">
      <c r="A1869" s="21" t="s">
        <v>970</v>
      </c>
    </row>
    <row r="1870" spans="1:1" ht="13" outlineLevel="1" x14ac:dyDescent="0.3">
      <c r="A1870" s="21" t="s">
        <v>978</v>
      </c>
    </row>
    <row r="1871" spans="1:1" outlineLevel="1" x14ac:dyDescent="0.25">
      <c r="A1871" t="s">
        <v>979</v>
      </c>
    </row>
    <row r="1872" spans="1:1" outlineLevel="1" x14ac:dyDescent="0.25">
      <c r="A1872" t="s">
        <v>980</v>
      </c>
    </row>
    <row r="1873" spans="1:3" outlineLevel="1" x14ac:dyDescent="0.25">
      <c r="A1873" t="s">
        <v>966</v>
      </c>
    </row>
    <row r="1874" spans="1:3" outlineLevel="1" x14ac:dyDescent="0.25">
      <c r="A1874" t="s">
        <v>953</v>
      </c>
    </row>
    <row r="1875" spans="1:3" outlineLevel="1" x14ac:dyDescent="0.25">
      <c r="A1875" t="s">
        <v>954</v>
      </c>
    </row>
    <row r="1876" spans="1:3" ht="13" outlineLevel="1" x14ac:dyDescent="0.3">
      <c r="A1876" s="20" t="s">
        <v>983</v>
      </c>
    </row>
    <row r="1877" spans="1:3" outlineLevel="1" x14ac:dyDescent="0.25">
      <c r="A1877" s="7" t="s">
        <v>984</v>
      </c>
    </row>
    <row r="1878" spans="1:3" outlineLevel="1" x14ac:dyDescent="0.25">
      <c r="A1878" t="s">
        <v>950</v>
      </c>
    </row>
    <row r="1879" spans="1:3" outlineLevel="1" x14ac:dyDescent="0.25">
      <c r="A1879" t="s">
        <v>951</v>
      </c>
    </row>
    <row r="1880" spans="1:3" ht="14.5" outlineLevel="1" x14ac:dyDescent="0.35">
      <c r="A1880"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880" s="2"/>
    </row>
    <row r="1881" spans="1:3" outlineLevel="1" x14ac:dyDescent="0.25">
      <c r="A1881" t="s">
        <v>952</v>
      </c>
    </row>
    <row r="1882" spans="1:3" outlineLevel="1" x14ac:dyDescent="0.25">
      <c r="A1882" t="s">
        <v>953</v>
      </c>
    </row>
    <row r="1883" spans="1:3" outlineLevel="1" x14ac:dyDescent="0.25">
      <c r="A1883" t="s">
        <v>954</v>
      </c>
    </row>
    <row r="1884" spans="1:3" ht="13" outlineLevel="1" x14ac:dyDescent="0.3">
      <c r="A1884" s="20" t="s">
        <v>985</v>
      </c>
    </row>
    <row r="1885" spans="1:3" outlineLevel="1" x14ac:dyDescent="0.25">
      <c r="A1885" s="7" t="s">
        <v>986</v>
      </c>
    </row>
    <row r="1886" spans="1:3" outlineLevel="1" x14ac:dyDescent="0.25">
      <c r="A1886" t="s">
        <v>987</v>
      </c>
    </row>
    <row r="1887" spans="1:3" ht="13" outlineLevel="1" x14ac:dyDescent="0.3">
      <c r="A1887" s="21" t="str">
        <f>CONCATENATE("sql where a.client = '",$D$172,"' and a.period between '",LEFT($D$170,4),"00' and '",IF(RIGHT($D$171,2)="12",CONCATENATE(LEFT($D$171,4),"14"),$D$171),"'")</f>
        <v>sql where a.client = 'OX' and a.period between '202500' and '202506'</v>
      </c>
    </row>
    <row r="1888" spans="1:3" outlineLevel="1" x14ac:dyDescent="0.25">
      <c r="A1888" t="s">
        <v>952</v>
      </c>
    </row>
    <row r="1889" spans="1:1" outlineLevel="1" x14ac:dyDescent="0.25">
      <c r="A1889" t="s">
        <v>953</v>
      </c>
    </row>
    <row r="1890" spans="1:1" outlineLevel="1" x14ac:dyDescent="0.25">
      <c r="A1890" t="s">
        <v>954</v>
      </c>
    </row>
    <row r="1891" spans="1:1" ht="13" outlineLevel="1" x14ac:dyDescent="0.3">
      <c r="A1891" s="20" t="s">
        <v>988</v>
      </c>
    </row>
    <row r="1892" spans="1:1" outlineLevel="1" x14ac:dyDescent="0.25">
      <c r="A1892" s="7" t="s">
        <v>989</v>
      </c>
    </row>
    <row r="1893" spans="1:1" outlineLevel="1" x14ac:dyDescent="0.25">
      <c r="A1893" t="s">
        <v>950</v>
      </c>
    </row>
    <row r="1894" spans="1:1" outlineLevel="1" x14ac:dyDescent="0.25">
      <c r="A1894" t="s">
        <v>951</v>
      </c>
    </row>
    <row r="1895" spans="1:1" ht="13" outlineLevel="1" x14ac:dyDescent="0.3">
      <c r="A1895"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896" spans="1:1" outlineLevel="1" x14ac:dyDescent="0.25">
      <c r="A1896" t="s">
        <v>952</v>
      </c>
    </row>
    <row r="1897" spans="1:1" outlineLevel="1" x14ac:dyDescent="0.25">
      <c r="A1897" t="s">
        <v>953</v>
      </c>
    </row>
    <row r="1898" spans="1:1" outlineLevel="1" x14ac:dyDescent="0.25">
      <c r="A1898" t="s">
        <v>954</v>
      </c>
    </row>
    <row r="1899" spans="1:1" ht="13" outlineLevel="1" x14ac:dyDescent="0.3">
      <c r="A1899" s="20" t="s">
        <v>990</v>
      </c>
    </row>
    <row r="1900" spans="1:1" outlineLevel="1" x14ac:dyDescent="0.25">
      <c r="A1900" s="7" t="s">
        <v>991</v>
      </c>
    </row>
    <row r="1901" spans="1:1" outlineLevel="1" x14ac:dyDescent="0.25">
      <c r="A1901" t="s">
        <v>950</v>
      </c>
    </row>
    <row r="1902" spans="1:1" outlineLevel="1" x14ac:dyDescent="0.25">
      <c r="A1902" t="s">
        <v>951</v>
      </c>
    </row>
    <row r="1903" spans="1:1" ht="13" outlineLevel="1" x14ac:dyDescent="0.3">
      <c r="A190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904" spans="1:1" outlineLevel="1" x14ac:dyDescent="0.25">
      <c r="A1904" t="s">
        <v>952</v>
      </c>
    </row>
    <row r="1905" spans="1:1" outlineLevel="1" x14ac:dyDescent="0.25">
      <c r="A1905" t="s">
        <v>953</v>
      </c>
    </row>
    <row r="1906" spans="1:1" outlineLevel="1" x14ac:dyDescent="0.25">
      <c r="A1906" t="s">
        <v>954</v>
      </c>
    </row>
    <row r="1907" spans="1:1" ht="13" outlineLevel="1" x14ac:dyDescent="0.3">
      <c r="A1907" s="20" t="s">
        <v>992</v>
      </c>
    </row>
    <row r="1908" spans="1:1" outlineLevel="1" x14ac:dyDescent="0.25">
      <c r="A1908" s="7" t="s">
        <v>993</v>
      </c>
    </row>
    <row r="1909" spans="1:1" outlineLevel="1" x14ac:dyDescent="0.25">
      <c r="A1909" t="s">
        <v>950</v>
      </c>
    </row>
    <row r="1910" spans="1:1" outlineLevel="1" x14ac:dyDescent="0.25">
      <c r="A1910" t="s">
        <v>951</v>
      </c>
    </row>
    <row r="1911" spans="1:1" ht="13" outlineLevel="1" x14ac:dyDescent="0.3">
      <c r="A191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912" spans="1:1" outlineLevel="1" x14ac:dyDescent="0.25">
      <c r="A1912" t="s">
        <v>952</v>
      </c>
    </row>
    <row r="1913" spans="1:1" outlineLevel="1" x14ac:dyDescent="0.25">
      <c r="A1913" t="s">
        <v>953</v>
      </c>
    </row>
    <row r="1914" spans="1:1" outlineLevel="1" x14ac:dyDescent="0.25">
      <c r="A1914" t="s">
        <v>994</v>
      </c>
    </row>
    <row r="1915" spans="1:1" outlineLevel="1" x14ac:dyDescent="0.25">
      <c r="A1915" t="str">
        <f>CONCATENATE("sql left outer join acrtrees t on t.client = u.client and u.dim_1 = t.cat_1 and t.att_agrid = '",$F$159,"'")</f>
        <v>sql left outer join acrtrees t on t.client = u.client and u.dim_1 = t.cat_1 and t.att_agrid = '53'</v>
      </c>
    </row>
    <row r="1916" spans="1:1" outlineLevel="1" x14ac:dyDescent="0.25">
      <c r="A1916" t="str">
        <f>CONCATENATE("sql left outer join acrtrees s on s.client = u.client and u.account = s.cat_1 and s.att_agrid = '",$F$160,"'")</f>
        <v>sql left outer join acrtrees s on s.client = u.client and u.account = s.cat_1 and s.att_agrid = '14'</v>
      </c>
    </row>
    <row r="1917" spans="1:1" outlineLevel="1" x14ac:dyDescent="0.25">
      <c r="A1917" t="str">
        <f>CONCATENATE("sql left outer join acrtrees v on v.client = u.client and u.account = v.cat_1 and v.att_agrid = '",$F$161,"'")</f>
        <v>sql left outer join acrtrees v on v.client = u.client and u.account = v.cat_1 and v.att_agrid = '17'</v>
      </c>
    </row>
    <row r="1918" spans="1:1" outlineLevel="1" x14ac:dyDescent="0.25">
      <c r="A1918" t="str">
        <f>CONCATENATE("sql left outer join agldescription d on d.client = u.client and d.dim_value = t.dim_c and d.attribute_id = '",$F$162,"'")</f>
        <v>sql left outer join agldescription d on d.client = u.client and d.dim_value = t.dim_c and d.attribute_id = '82'</v>
      </c>
    </row>
    <row r="1919" spans="1:1" outlineLevel="1" x14ac:dyDescent="0.25">
      <c r="A1919" t="str">
        <f>CONCATENATE("sql left outer join agldescription e on e.client = u.client and e.dim_value = t.dim_b and e.attribute_id = '",$F$163,"'")</f>
        <v>sql left outer join agldescription e on e.client = u.client and e.dim_value = t.dim_b and e.attribute_id = '81'</v>
      </c>
    </row>
    <row r="1920" spans="1:1" outlineLevel="1" x14ac:dyDescent="0.25">
      <c r="A1920" t="str">
        <f>CONCATENATE("sql left outer join agldescription f on f.client = u.client and f.dim_value = t.dim_e and f.attribute_id = '",$F$164,"'")</f>
        <v>sql left outer join agldescription f on f.client = u.client and f.dim_value = t.dim_e and f.attribute_id = '80'</v>
      </c>
    </row>
    <row r="1921" spans="1:33" outlineLevel="1" x14ac:dyDescent="0.25">
      <c r="A1921" t="str">
        <f>CONCATENATE("sql left outer join agldescription g on g.client = u.client and g.dim_value = u.account and g.attribute_id = '",$F$165,"'")</f>
        <v>sql left outer join agldescription g on g.client = u.client and g.dim_value = u.account and g.attribute_id = 'A0'</v>
      </c>
    </row>
    <row r="1922" spans="1:33" ht="14.5" outlineLevel="1" x14ac:dyDescent="0.35">
      <c r="A1922" s="67" t="s">
        <v>1054</v>
      </c>
      <c r="G1922" s="737" t="s">
        <v>1055</v>
      </c>
    </row>
    <row r="1923" spans="1:33" outlineLevel="1" x14ac:dyDescent="0.25">
      <c r="A1923" t="s">
        <v>1005</v>
      </c>
    </row>
    <row r="1924" spans="1:33" outlineLevel="1" x14ac:dyDescent="0.25">
      <c r="A1924" t="s">
        <v>1006</v>
      </c>
    </row>
    <row r="1925" spans="1:33" outlineLevel="1" x14ac:dyDescent="0.25">
      <c r="A1925" t="s">
        <v>1007</v>
      </c>
    </row>
    <row r="1926" spans="1:33" ht="13" outlineLevel="1" x14ac:dyDescent="0.3">
      <c r="A1926" t="s">
        <v>1012</v>
      </c>
      <c r="C1926" s="29"/>
      <c r="D1926" s="36">
        <v>1000</v>
      </c>
      <c r="E1926" s="36">
        <v>1000</v>
      </c>
      <c r="F1926" s="22">
        <v>1000</v>
      </c>
      <c r="G1926" s="22">
        <v>1000</v>
      </c>
      <c r="H1926" s="22">
        <v>1000</v>
      </c>
      <c r="I1926" s="22">
        <v>1000</v>
      </c>
      <c r="J1926" s="22">
        <v>1000</v>
      </c>
      <c r="K1926" s="22">
        <v>1000</v>
      </c>
      <c r="L1926" s="22"/>
      <c r="M1926" s="36"/>
      <c r="N1926" s="36"/>
      <c r="O1926" s="36">
        <v>1000</v>
      </c>
      <c r="P1926" s="36">
        <v>1000</v>
      </c>
      <c r="Q1926" s="36">
        <v>1000</v>
      </c>
      <c r="R1926" s="36">
        <v>1000</v>
      </c>
      <c r="S1926" s="36">
        <v>1000</v>
      </c>
      <c r="T1926" s="36"/>
      <c r="U1926" s="36"/>
      <c r="V1926" s="58"/>
      <c r="W1926" s="36">
        <v>1000</v>
      </c>
      <c r="X1926" s="36">
        <v>1000</v>
      </c>
      <c r="Y1926" s="36"/>
      <c r="Z1926" s="36"/>
      <c r="AA1926" s="40"/>
      <c r="AB1926" s="60"/>
      <c r="AC1926" s="98"/>
      <c r="AD1926" s="36"/>
      <c r="AE1926" s="36"/>
      <c r="AF1926" s="36"/>
      <c r="AG1926" s="99"/>
    </row>
    <row r="1927" spans="1:33" ht="13" outlineLevel="1" x14ac:dyDescent="0.3">
      <c r="A1927" s="7" t="s">
        <v>1013</v>
      </c>
      <c r="C1927" s="29"/>
      <c r="D1927" s="36">
        <v>0</v>
      </c>
      <c r="E1927" s="36">
        <v>0</v>
      </c>
      <c r="F1927" s="22">
        <v>0</v>
      </c>
      <c r="G1927" s="22">
        <v>0</v>
      </c>
      <c r="H1927" s="22">
        <v>0</v>
      </c>
      <c r="I1927" s="22">
        <v>0</v>
      </c>
      <c r="J1927" s="22">
        <v>0</v>
      </c>
      <c r="K1927" s="22">
        <v>0</v>
      </c>
      <c r="L1927" s="22"/>
      <c r="M1927" s="36"/>
      <c r="N1927" s="36"/>
      <c r="O1927" s="36">
        <v>0</v>
      </c>
      <c r="P1927" s="36">
        <v>0</v>
      </c>
      <c r="Q1927" s="36">
        <v>0</v>
      </c>
      <c r="R1927" s="36">
        <v>0</v>
      </c>
      <c r="S1927" s="36">
        <v>0</v>
      </c>
      <c r="T1927" s="36"/>
      <c r="U1927" s="36"/>
      <c r="V1927" s="58"/>
      <c r="W1927" s="36">
        <v>0</v>
      </c>
      <c r="X1927" s="36">
        <v>0</v>
      </c>
      <c r="Y1927" s="36"/>
      <c r="Z1927" s="36"/>
      <c r="AA1927" s="40"/>
      <c r="AB1927" s="60"/>
      <c r="AC1927" s="98"/>
      <c r="AD1927" s="36"/>
      <c r="AE1927" s="36"/>
      <c r="AF1927" s="36"/>
      <c r="AG1927" s="99"/>
    </row>
    <row r="1928" spans="1:33" ht="13" outlineLevel="1" x14ac:dyDescent="0.3">
      <c r="A1928" t="s">
        <v>1014</v>
      </c>
      <c r="C1928" s="30"/>
      <c r="D1928" s="36"/>
      <c r="E1928" s="36"/>
      <c r="F1928" s="57"/>
      <c r="G1928" s="57"/>
      <c r="H1928" s="57"/>
      <c r="I1928" s="57"/>
      <c r="J1928" s="57"/>
      <c r="K1928" s="57"/>
      <c r="L1928" s="57"/>
      <c r="M1928" s="36"/>
      <c r="N1928" s="36"/>
      <c r="O1928" s="36"/>
      <c r="P1928" s="36" t="s">
        <v>1015</v>
      </c>
      <c r="Q1928" s="36" t="s">
        <v>1016</v>
      </c>
      <c r="R1928" s="36"/>
      <c r="S1928" s="36"/>
      <c r="T1928" s="36"/>
      <c r="U1928" s="36"/>
      <c r="V1928" s="58"/>
      <c r="W1928" s="36"/>
      <c r="X1928" s="36"/>
      <c r="Y1928" s="36"/>
      <c r="Z1928" s="36"/>
      <c r="AA1928" s="40"/>
      <c r="AB1928" s="60"/>
      <c r="AC1928" s="98"/>
      <c r="AD1928" s="36"/>
      <c r="AE1928" s="36"/>
      <c r="AF1928" s="36"/>
      <c r="AG1928" s="99"/>
    </row>
    <row r="1929" spans="1:33" ht="13" outlineLevel="1" x14ac:dyDescent="0.3">
      <c r="A1929" t="s">
        <v>1017</v>
      </c>
      <c r="C1929" s="31"/>
      <c r="D1929" s="36" t="s">
        <v>1019</v>
      </c>
      <c r="E1929" s="36" t="s">
        <v>1020</v>
      </c>
      <c r="F1929" s="22" t="s">
        <v>1021</v>
      </c>
      <c r="G1929" s="22" t="s">
        <v>1022</v>
      </c>
      <c r="H1929" s="22" t="s">
        <v>1023</v>
      </c>
      <c r="I1929" s="22" t="s">
        <v>1024</v>
      </c>
      <c r="J1929" s="22" t="s">
        <v>1025</v>
      </c>
      <c r="K1929" s="22" t="s">
        <v>1026</v>
      </c>
      <c r="L1929" s="22"/>
      <c r="M1929" s="36"/>
      <c r="N1929" s="36"/>
      <c r="O1929" s="36" t="s">
        <v>1027</v>
      </c>
      <c r="P1929" s="36" t="s">
        <v>1028</v>
      </c>
      <c r="Q1929" s="36" t="s">
        <v>1028</v>
      </c>
      <c r="R1929" s="36" t="s">
        <v>1028</v>
      </c>
      <c r="S1929" s="36" t="s">
        <v>1029</v>
      </c>
      <c r="T1929" s="36"/>
      <c r="U1929" s="36"/>
      <c r="V1929" s="58"/>
      <c r="W1929" s="36" t="s">
        <v>1030</v>
      </c>
      <c r="X1929" s="36" t="s">
        <v>1031</v>
      </c>
      <c r="Y1929" s="36"/>
      <c r="Z1929" s="36"/>
      <c r="AA1929" s="40"/>
      <c r="AB1929" s="60"/>
      <c r="AC1929" s="98"/>
      <c r="AD1929" s="36"/>
      <c r="AE1929" s="36"/>
      <c r="AF1929" s="36"/>
      <c r="AG1929" s="99"/>
    </row>
    <row r="1930" spans="1:33" ht="13" outlineLevel="1" x14ac:dyDescent="0.3">
      <c r="A1930" t="s">
        <v>1041</v>
      </c>
      <c r="C1930" s="31" t="s">
        <v>126</v>
      </c>
      <c r="D1930" s="33">
        <v>0</v>
      </c>
      <c r="E1930" s="33">
        <v>0</v>
      </c>
      <c r="F1930" s="23">
        <v>0</v>
      </c>
      <c r="G1930" s="23">
        <v>0</v>
      </c>
      <c r="H1930" s="23">
        <v>0</v>
      </c>
      <c r="I1930" s="23">
        <v>0</v>
      </c>
      <c r="J1930" s="23">
        <v>0</v>
      </c>
      <c r="K1930" s="23">
        <v>0</v>
      </c>
      <c r="L1930" s="23">
        <f>SUM(F1930:K1930)</f>
        <v>0</v>
      </c>
      <c r="M1930" s="33">
        <f>O1930-E1930</f>
        <v>0</v>
      </c>
      <c r="N1930" s="33">
        <f>O1930-D1930</f>
        <v>0</v>
      </c>
      <c r="O1930" s="33">
        <v>0</v>
      </c>
      <c r="P1930" s="33">
        <v>0</v>
      </c>
      <c r="Q1930" s="33">
        <v>0</v>
      </c>
      <c r="R1930" s="33">
        <v>0</v>
      </c>
      <c r="S1930" s="33">
        <v>0</v>
      </c>
      <c r="T1930" s="33">
        <f>R1930-S1930</f>
        <v>0</v>
      </c>
      <c r="U1930" s="38" t="str">
        <f>IFERROR((R1930/O1930)*100%,"∞")</f>
        <v>∞</v>
      </c>
      <c r="V1930" s="59">
        <f>O1930+W1930</f>
        <v>0</v>
      </c>
      <c r="W1930" s="33">
        <v>0</v>
      </c>
      <c r="X1930" s="33">
        <v>0</v>
      </c>
      <c r="Y1930" s="33"/>
      <c r="Z1930" s="33"/>
      <c r="AA1930" s="42"/>
      <c r="AB1930" s="60"/>
      <c r="AC1930" s="105"/>
      <c r="AD1930" s="93"/>
      <c r="AE1930" s="33">
        <f>SUM(AC1930:AD1930)</f>
        <v>0</v>
      </c>
      <c r="AF1930" s="33">
        <f>R1930+AE1930</f>
        <v>0</v>
      </c>
      <c r="AG1930" s="101">
        <f>AF1930-O1930</f>
        <v>0</v>
      </c>
    </row>
    <row r="1931" spans="1:33" outlineLevel="1" x14ac:dyDescent="0.25">
      <c r="A1931" t="s">
        <v>232</v>
      </c>
    </row>
    <row r="1932" spans="1:33" outlineLevel="1" x14ac:dyDescent="0.25">
      <c r="A1932" t="s">
        <v>944</v>
      </c>
      <c r="M1932" s="19"/>
      <c r="N1932" s="19"/>
    </row>
    <row r="1933" spans="1:33" outlineLevel="1" x14ac:dyDescent="0.25">
      <c r="A1933" t="s">
        <v>946</v>
      </c>
      <c r="E1933" s="19"/>
    </row>
    <row r="1934" spans="1:33" outlineLevel="1" x14ac:dyDescent="0.25">
      <c r="A1934" t="s">
        <v>947</v>
      </c>
      <c r="E1934" s="19"/>
      <c r="F1934" s="19"/>
    </row>
    <row r="1935" spans="1:33" ht="13" outlineLevel="1" x14ac:dyDescent="0.3">
      <c r="A1935" s="20" t="s">
        <v>948</v>
      </c>
    </row>
    <row r="1936" spans="1:33" outlineLevel="1" x14ac:dyDescent="0.25">
      <c r="A1936" s="7" t="s">
        <v>949</v>
      </c>
    </row>
    <row r="1937" spans="1:3" outlineLevel="1" x14ac:dyDescent="0.25">
      <c r="A1937" t="s">
        <v>950</v>
      </c>
    </row>
    <row r="1938" spans="1:3" outlineLevel="1" x14ac:dyDescent="0.25">
      <c r="A1938" t="s">
        <v>951</v>
      </c>
    </row>
    <row r="1939" spans="1:3" ht="13" outlineLevel="1" x14ac:dyDescent="0.3">
      <c r="A1939" s="21" t="str">
        <f>CONCATENATE("sql where a.client = '",$D$172,"' and a.period between '",LEFT($D$170,4),"00' and '",LEFT($D$171,4),"14' and a.version like '%ORIG%'")</f>
        <v>sql where a.client = 'OX' and a.period between '202500' and '202514' and a.version like '%ORIG%'</v>
      </c>
    </row>
    <row r="1940" spans="1:3" outlineLevel="1" x14ac:dyDescent="0.25">
      <c r="A1940" t="s">
        <v>952</v>
      </c>
    </row>
    <row r="1941" spans="1:3" outlineLevel="1" x14ac:dyDescent="0.25">
      <c r="A1941" t="s">
        <v>953</v>
      </c>
    </row>
    <row r="1942" spans="1:3" outlineLevel="1" x14ac:dyDescent="0.25">
      <c r="A1942" t="s">
        <v>954</v>
      </c>
    </row>
    <row r="1943" spans="1:3" ht="13" outlineLevel="1" x14ac:dyDescent="0.3">
      <c r="A1943" s="20" t="s">
        <v>955</v>
      </c>
    </row>
    <row r="1944" spans="1:3" outlineLevel="1" x14ac:dyDescent="0.25">
      <c r="A1944" s="7" t="s">
        <v>956</v>
      </c>
    </row>
    <row r="1945" spans="1:3" outlineLevel="1" x14ac:dyDescent="0.25">
      <c r="A1945" t="s">
        <v>950</v>
      </c>
    </row>
    <row r="1946" spans="1:3" outlineLevel="1" x14ac:dyDescent="0.25">
      <c r="A1946" t="s">
        <v>951</v>
      </c>
    </row>
    <row r="1947" spans="1:3" ht="14.5" outlineLevel="1" x14ac:dyDescent="0.35">
      <c r="A194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947" s="2"/>
    </row>
    <row r="1948" spans="1:3" outlineLevel="1" x14ac:dyDescent="0.25">
      <c r="A1948" t="s">
        <v>952</v>
      </c>
    </row>
    <row r="1949" spans="1:3" outlineLevel="1" x14ac:dyDescent="0.25">
      <c r="A1949" t="s">
        <v>953</v>
      </c>
    </row>
    <row r="1950" spans="1:3" outlineLevel="1" x14ac:dyDescent="0.25">
      <c r="A1950" t="s">
        <v>954</v>
      </c>
    </row>
    <row r="1951" spans="1:3" ht="13" outlineLevel="1" x14ac:dyDescent="0.3">
      <c r="A1951" s="66" t="s">
        <v>957</v>
      </c>
    </row>
    <row r="1952" spans="1:3" outlineLevel="1" x14ac:dyDescent="0.25">
      <c r="A1952" t="s">
        <v>958</v>
      </c>
    </row>
    <row r="1953" spans="1:1" outlineLevel="1" x14ac:dyDescent="0.25">
      <c r="A1953" t="s">
        <v>950</v>
      </c>
    </row>
    <row r="1954" spans="1:1" ht="13" outlineLevel="1" x14ac:dyDescent="0.3">
      <c r="A195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955" spans="1:1" ht="13" outlineLevel="1" x14ac:dyDescent="0.3">
      <c r="A1955" s="21" t="s">
        <v>959</v>
      </c>
    </row>
    <row r="1956" spans="1:1" outlineLevel="1" x14ac:dyDescent="0.25">
      <c r="A1956" t="s">
        <v>960</v>
      </c>
    </row>
    <row r="1957" spans="1:1" outlineLevel="1" x14ac:dyDescent="0.25">
      <c r="A1957" t="s">
        <v>961</v>
      </c>
    </row>
    <row r="1958" spans="1:1" outlineLevel="1" x14ac:dyDescent="0.25">
      <c r="A1958" t="str">
        <f>CONCATENATE("sql left outer join acrtrees t on t.client = x.client and x.dim_1 = t.cat_1 and t.att_agrid = '",$F$159,"'")</f>
        <v>sql left outer join acrtrees t on t.client = x.client and x.dim_1 = t.cat_1 and t.att_agrid = '53'</v>
      </c>
    </row>
    <row r="1959" spans="1:1" ht="13" outlineLevel="1" x14ac:dyDescent="0.3">
      <c r="A195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960" spans="1:1" ht="13" outlineLevel="1" x14ac:dyDescent="0.3">
      <c r="A1960" s="21" t="s">
        <v>962</v>
      </c>
    </row>
    <row r="1961" spans="1:1" ht="13" outlineLevel="1" x14ac:dyDescent="0.3">
      <c r="A196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962" spans="1:1" ht="13" outlineLevel="1" x14ac:dyDescent="0.3">
      <c r="A1962" s="21" t="s">
        <v>963</v>
      </c>
    </row>
    <row r="1963" spans="1:1" outlineLevel="1" x14ac:dyDescent="0.25">
      <c r="A1963" t="s">
        <v>964</v>
      </c>
    </row>
    <row r="1964" spans="1:1" outlineLevel="1" x14ac:dyDescent="0.25">
      <c r="A1964" t="s">
        <v>965</v>
      </c>
    </row>
    <row r="1965" spans="1:1" outlineLevel="1" x14ac:dyDescent="0.25">
      <c r="A1965" t="s">
        <v>966</v>
      </c>
    </row>
    <row r="1966" spans="1:1" outlineLevel="1" x14ac:dyDescent="0.25">
      <c r="A1966" t="s">
        <v>953</v>
      </c>
    </row>
    <row r="1967" spans="1:1" outlineLevel="1" x14ac:dyDescent="0.25">
      <c r="A1967" t="s">
        <v>954</v>
      </c>
    </row>
    <row r="1968" spans="1:1" ht="13" outlineLevel="1" x14ac:dyDescent="0.3">
      <c r="A1968" s="66" t="s">
        <v>967</v>
      </c>
    </row>
    <row r="1969" spans="1:1" outlineLevel="1" x14ac:dyDescent="0.25">
      <c r="A1969" t="s">
        <v>968</v>
      </c>
    </row>
    <row r="1970" spans="1:1" outlineLevel="1" x14ac:dyDescent="0.25">
      <c r="A1970" t="s">
        <v>950</v>
      </c>
    </row>
    <row r="1971" spans="1:1" ht="13" outlineLevel="1" x14ac:dyDescent="0.3">
      <c r="A197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972" spans="1:1" ht="13" outlineLevel="1" x14ac:dyDescent="0.3">
      <c r="A1972" s="21" t="s">
        <v>969</v>
      </c>
    </row>
    <row r="1973" spans="1:1" ht="13" outlineLevel="1" x14ac:dyDescent="0.3">
      <c r="A1973" s="21" t="s">
        <v>959</v>
      </c>
    </row>
    <row r="1974" spans="1:1" outlineLevel="1" x14ac:dyDescent="0.25">
      <c r="A1974" t="s">
        <v>960</v>
      </c>
    </row>
    <row r="1975" spans="1:1" outlineLevel="1" x14ac:dyDescent="0.25">
      <c r="A1975" t="s">
        <v>961</v>
      </c>
    </row>
    <row r="1976" spans="1:1" outlineLevel="1" x14ac:dyDescent="0.25">
      <c r="A1976" t="str">
        <f>CONCATENATE("sql left outer join acrtrees t on t.client = x.client and x.dim_1 = t.cat_1 and t.att_agrid = '",$F$159,"'")</f>
        <v>sql left outer join acrtrees t on t.client = x.client and x.dim_1 = t.cat_1 and t.att_agrid = '53'</v>
      </c>
    </row>
    <row r="1977" spans="1:1" ht="13" outlineLevel="1" x14ac:dyDescent="0.3">
      <c r="A197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978" spans="1:1" ht="13" outlineLevel="1" x14ac:dyDescent="0.3">
      <c r="A1978" s="21" t="s">
        <v>970</v>
      </c>
    </row>
    <row r="1979" spans="1:1" ht="13" outlineLevel="1" x14ac:dyDescent="0.3">
      <c r="A1979" s="21" t="s">
        <v>962</v>
      </c>
    </row>
    <row r="1980" spans="1:1" ht="13" outlineLevel="1" x14ac:dyDescent="0.3">
      <c r="A198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981" spans="1:1" ht="13" outlineLevel="1" x14ac:dyDescent="0.3">
      <c r="A1981" s="21" t="s">
        <v>970</v>
      </c>
    </row>
    <row r="1982" spans="1:1" ht="13" outlineLevel="1" x14ac:dyDescent="0.3">
      <c r="A1982" s="21" t="s">
        <v>963</v>
      </c>
    </row>
    <row r="1983" spans="1:1" outlineLevel="1" x14ac:dyDescent="0.25">
      <c r="A1983" t="s">
        <v>964</v>
      </c>
    </row>
    <row r="1984" spans="1:1" outlineLevel="1" x14ac:dyDescent="0.25">
      <c r="A1984" t="s">
        <v>965</v>
      </c>
    </row>
    <row r="1985" spans="1:1" outlineLevel="1" x14ac:dyDescent="0.25">
      <c r="A1985" t="s">
        <v>966</v>
      </c>
    </row>
    <row r="1986" spans="1:1" outlineLevel="1" x14ac:dyDescent="0.25">
      <c r="A1986" t="s">
        <v>953</v>
      </c>
    </row>
    <row r="1987" spans="1:1" outlineLevel="1" x14ac:dyDescent="0.25">
      <c r="A1987" t="s">
        <v>954</v>
      </c>
    </row>
    <row r="1988" spans="1:1" ht="13" outlineLevel="1" x14ac:dyDescent="0.3">
      <c r="A1988" s="66" t="s">
        <v>971</v>
      </c>
    </row>
    <row r="1989" spans="1:1" outlineLevel="1" x14ac:dyDescent="0.25">
      <c r="A1989" t="s">
        <v>972</v>
      </c>
    </row>
    <row r="1990" spans="1:1" outlineLevel="1" x14ac:dyDescent="0.25">
      <c r="A1990" t="s">
        <v>950</v>
      </c>
    </row>
    <row r="1991" spans="1:1" ht="13" outlineLevel="1" x14ac:dyDescent="0.3">
      <c r="A199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992" spans="1:1" ht="13" outlineLevel="1" x14ac:dyDescent="0.3">
      <c r="A1992" s="21" t="s">
        <v>959</v>
      </c>
    </row>
    <row r="1993" spans="1:1" outlineLevel="1" x14ac:dyDescent="0.25">
      <c r="A1993" t="s">
        <v>960</v>
      </c>
    </row>
    <row r="1994" spans="1:1" outlineLevel="1" x14ac:dyDescent="0.25">
      <c r="A1994" t="s">
        <v>961</v>
      </c>
    </row>
    <row r="1995" spans="1:1" outlineLevel="1" x14ac:dyDescent="0.25">
      <c r="A1995" t="str">
        <f>CONCATENATE("sql left outer join acrtrees t on t.client = x.client and x.dim_1 = t.cat_1 and t.att_agrid = '",$F$159,"'")</f>
        <v>sql left outer join acrtrees t on t.client = x.client and x.dim_1 = t.cat_1 and t.att_agrid = '53'</v>
      </c>
    </row>
    <row r="1996" spans="1:1" ht="13" outlineLevel="1" x14ac:dyDescent="0.3">
      <c r="A199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997" spans="1:1" ht="13" outlineLevel="1" x14ac:dyDescent="0.3">
      <c r="A1997" s="21" t="s">
        <v>973</v>
      </c>
    </row>
    <row r="1998" spans="1:1" outlineLevel="1" x14ac:dyDescent="0.25">
      <c r="A1998" t="s">
        <v>964</v>
      </c>
    </row>
    <row r="1999" spans="1:1" outlineLevel="1" x14ac:dyDescent="0.25">
      <c r="A1999" t="s">
        <v>965</v>
      </c>
    </row>
    <row r="2000" spans="1:1" outlineLevel="1" x14ac:dyDescent="0.25">
      <c r="A2000" t="s">
        <v>966</v>
      </c>
    </row>
    <row r="2001" spans="1:1" outlineLevel="1" x14ac:dyDescent="0.25">
      <c r="A2001" t="s">
        <v>953</v>
      </c>
    </row>
    <row r="2002" spans="1:1" outlineLevel="1" x14ac:dyDescent="0.25">
      <c r="A2002" t="s">
        <v>954</v>
      </c>
    </row>
    <row r="2003" spans="1:1" ht="13" outlineLevel="1" x14ac:dyDescent="0.3">
      <c r="A2003" s="66" t="s">
        <v>974</v>
      </c>
    </row>
    <row r="2004" spans="1:1" outlineLevel="1" x14ac:dyDescent="0.25">
      <c r="A2004" t="s">
        <v>975</v>
      </c>
    </row>
    <row r="2005" spans="1:1" outlineLevel="1" x14ac:dyDescent="0.25">
      <c r="A2005" t="s">
        <v>950</v>
      </c>
    </row>
    <row r="2006" spans="1:1" ht="13" outlineLevel="1" x14ac:dyDescent="0.3">
      <c r="A200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007" spans="1:1" ht="13" outlineLevel="1" x14ac:dyDescent="0.3">
      <c r="A2007" s="21" t="s">
        <v>959</v>
      </c>
    </row>
    <row r="2008" spans="1:1" outlineLevel="1" x14ac:dyDescent="0.25">
      <c r="A2008" t="s">
        <v>960</v>
      </c>
    </row>
    <row r="2009" spans="1:1" outlineLevel="1" x14ac:dyDescent="0.25">
      <c r="A2009" t="s">
        <v>961</v>
      </c>
    </row>
    <row r="2010" spans="1:1" outlineLevel="1" x14ac:dyDescent="0.25">
      <c r="A2010" t="str">
        <f>CONCATENATE("sql left outer join acrtrees t on t.client = x.client and x.dim_1 = t.cat_1 and t.att_agrid = '",$F$159,"'")</f>
        <v>sql left outer join acrtrees t on t.client = x.client and x.dim_1 = t.cat_1 and t.att_agrid = '53'</v>
      </c>
    </row>
    <row r="2011" spans="1:1" ht="13" outlineLevel="1" x14ac:dyDescent="0.3">
      <c r="A201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012" spans="1:1" ht="13" outlineLevel="1" x14ac:dyDescent="0.3">
      <c r="A2012" s="21" t="s">
        <v>973</v>
      </c>
    </row>
    <row r="2013" spans="1:1" outlineLevel="1" x14ac:dyDescent="0.25">
      <c r="A2013" t="s">
        <v>964</v>
      </c>
    </row>
    <row r="2014" spans="1:1" outlineLevel="1" x14ac:dyDescent="0.25">
      <c r="A2014" t="s">
        <v>965</v>
      </c>
    </row>
    <row r="2015" spans="1:1" outlineLevel="1" x14ac:dyDescent="0.25">
      <c r="A2015" t="s">
        <v>966</v>
      </c>
    </row>
    <row r="2016" spans="1:1" outlineLevel="1" x14ac:dyDescent="0.25">
      <c r="A2016" t="s">
        <v>953</v>
      </c>
    </row>
    <row r="2017" spans="1:1" outlineLevel="1" x14ac:dyDescent="0.25">
      <c r="A2017" t="s">
        <v>954</v>
      </c>
    </row>
    <row r="2018" spans="1:1" ht="13" outlineLevel="1" x14ac:dyDescent="0.3">
      <c r="A2018" s="66" t="s">
        <v>976</v>
      </c>
    </row>
    <row r="2019" spans="1:1" outlineLevel="1" x14ac:dyDescent="0.25">
      <c r="A2019" t="s">
        <v>977</v>
      </c>
    </row>
    <row r="2020" spans="1:1" outlineLevel="1" x14ac:dyDescent="0.25">
      <c r="A2020" t="s">
        <v>950</v>
      </c>
    </row>
    <row r="2021" spans="1:1" ht="13" outlineLevel="1" x14ac:dyDescent="0.3">
      <c r="A202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022" spans="1:1" ht="13" outlineLevel="1" x14ac:dyDescent="0.3">
      <c r="A2022" s="21" t="s">
        <v>959</v>
      </c>
    </row>
    <row r="2023" spans="1:1" outlineLevel="1" x14ac:dyDescent="0.25">
      <c r="A2023" t="s">
        <v>960</v>
      </c>
    </row>
    <row r="2024" spans="1:1" outlineLevel="1" x14ac:dyDescent="0.25">
      <c r="A2024" t="s">
        <v>961</v>
      </c>
    </row>
    <row r="2025" spans="1:1" outlineLevel="1" x14ac:dyDescent="0.25">
      <c r="A2025" t="str">
        <f>CONCATENATE("sql left outer join acrtrees t on t.client = x.client and x.dim_1 = t.cat_1 and t.att_agrid = '",$F$159,"'")</f>
        <v>sql left outer join acrtrees t on t.client = x.client and x.dim_1 = t.cat_1 and t.att_agrid = '53'</v>
      </c>
    </row>
    <row r="2026" spans="1:1" ht="13" outlineLevel="1" x14ac:dyDescent="0.3">
      <c r="A202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027" spans="1:1" ht="13" outlineLevel="1" x14ac:dyDescent="0.3">
      <c r="A2027" s="21" t="s">
        <v>978</v>
      </c>
    </row>
    <row r="2028" spans="1:1" outlineLevel="1" x14ac:dyDescent="0.25">
      <c r="A2028" t="s">
        <v>979</v>
      </c>
    </row>
    <row r="2029" spans="1:1" outlineLevel="1" x14ac:dyDescent="0.25">
      <c r="A2029" t="s">
        <v>980</v>
      </c>
    </row>
    <row r="2030" spans="1:1" outlineLevel="1" x14ac:dyDescent="0.25">
      <c r="A2030" t="s">
        <v>966</v>
      </c>
    </row>
    <row r="2031" spans="1:1" outlineLevel="1" x14ac:dyDescent="0.25">
      <c r="A2031" t="s">
        <v>953</v>
      </c>
    </row>
    <row r="2032" spans="1:1" outlineLevel="1" x14ac:dyDescent="0.25">
      <c r="A2032" t="s">
        <v>954</v>
      </c>
    </row>
    <row r="2033" spans="1:1" ht="13" outlineLevel="1" x14ac:dyDescent="0.3">
      <c r="A2033" s="66" t="s">
        <v>981</v>
      </c>
    </row>
    <row r="2034" spans="1:1" outlineLevel="1" x14ac:dyDescent="0.25">
      <c r="A2034" t="s">
        <v>982</v>
      </c>
    </row>
    <row r="2035" spans="1:1" outlineLevel="1" x14ac:dyDescent="0.25">
      <c r="A2035" t="s">
        <v>950</v>
      </c>
    </row>
    <row r="2036" spans="1:1" ht="13" outlineLevel="1" x14ac:dyDescent="0.3">
      <c r="A203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037" spans="1:1" ht="13" outlineLevel="1" x14ac:dyDescent="0.3">
      <c r="A2037" s="21" t="s">
        <v>969</v>
      </c>
    </row>
    <row r="2038" spans="1:1" ht="13" outlineLevel="1" x14ac:dyDescent="0.3">
      <c r="A2038" s="21" t="s">
        <v>959</v>
      </c>
    </row>
    <row r="2039" spans="1:1" outlineLevel="1" x14ac:dyDescent="0.25">
      <c r="A2039" t="s">
        <v>960</v>
      </c>
    </row>
    <row r="2040" spans="1:1" outlineLevel="1" x14ac:dyDescent="0.25">
      <c r="A2040" t="s">
        <v>961</v>
      </c>
    </row>
    <row r="2041" spans="1:1" outlineLevel="1" x14ac:dyDescent="0.25">
      <c r="A2041" t="str">
        <f>CONCATENATE("sql left outer join acrtrees t on t.client = x.client and x.dim_1 = t.cat_1 and t.att_agrid = '",$F$159,"'")</f>
        <v>sql left outer join acrtrees t on t.client = x.client and x.dim_1 = t.cat_1 and t.att_agrid = '53'</v>
      </c>
    </row>
    <row r="2042" spans="1:1" ht="13" outlineLevel="1" x14ac:dyDescent="0.3">
      <c r="A204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043" spans="1:1" ht="13" outlineLevel="1" x14ac:dyDescent="0.3">
      <c r="A2043" s="21" t="s">
        <v>970</v>
      </c>
    </row>
    <row r="2044" spans="1:1" ht="13" outlineLevel="1" x14ac:dyDescent="0.3">
      <c r="A2044" s="21" t="s">
        <v>978</v>
      </c>
    </row>
    <row r="2045" spans="1:1" outlineLevel="1" x14ac:dyDescent="0.25">
      <c r="A2045" t="s">
        <v>979</v>
      </c>
    </row>
    <row r="2046" spans="1:1" outlineLevel="1" x14ac:dyDescent="0.25">
      <c r="A2046" t="s">
        <v>980</v>
      </c>
    </row>
    <row r="2047" spans="1:1" outlineLevel="1" x14ac:dyDescent="0.25">
      <c r="A2047" t="s">
        <v>966</v>
      </c>
    </row>
    <row r="2048" spans="1:1" outlineLevel="1" x14ac:dyDescent="0.25">
      <c r="A2048" t="s">
        <v>953</v>
      </c>
    </row>
    <row r="2049" spans="1:3" outlineLevel="1" x14ac:dyDescent="0.25">
      <c r="A2049" t="s">
        <v>954</v>
      </c>
    </row>
    <row r="2050" spans="1:3" ht="13" outlineLevel="1" x14ac:dyDescent="0.3">
      <c r="A2050" s="20" t="s">
        <v>983</v>
      </c>
    </row>
    <row r="2051" spans="1:3" outlineLevel="1" x14ac:dyDescent="0.25">
      <c r="A2051" s="7" t="s">
        <v>984</v>
      </c>
    </row>
    <row r="2052" spans="1:3" outlineLevel="1" x14ac:dyDescent="0.25">
      <c r="A2052" t="s">
        <v>950</v>
      </c>
    </row>
    <row r="2053" spans="1:3" outlineLevel="1" x14ac:dyDescent="0.25">
      <c r="A2053" t="s">
        <v>951</v>
      </c>
    </row>
    <row r="2054" spans="1:3" ht="14.5" outlineLevel="1" x14ac:dyDescent="0.35">
      <c r="A205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054" s="2"/>
    </row>
    <row r="2055" spans="1:3" outlineLevel="1" x14ac:dyDescent="0.25">
      <c r="A2055" t="s">
        <v>952</v>
      </c>
    </row>
    <row r="2056" spans="1:3" outlineLevel="1" x14ac:dyDescent="0.25">
      <c r="A2056" t="s">
        <v>953</v>
      </c>
    </row>
    <row r="2057" spans="1:3" outlineLevel="1" x14ac:dyDescent="0.25">
      <c r="A2057" t="s">
        <v>954</v>
      </c>
    </row>
    <row r="2058" spans="1:3" ht="13" outlineLevel="1" x14ac:dyDescent="0.3">
      <c r="A2058" s="20" t="s">
        <v>985</v>
      </c>
    </row>
    <row r="2059" spans="1:3" outlineLevel="1" x14ac:dyDescent="0.25">
      <c r="A2059" s="7" t="s">
        <v>986</v>
      </c>
    </row>
    <row r="2060" spans="1:3" outlineLevel="1" x14ac:dyDescent="0.25">
      <c r="A2060" t="s">
        <v>987</v>
      </c>
    </row>
    <row r="2061" spans="1:3" ht="13" outlineLevel="1" x14ac:dyDescent="0.3">
      <c r="A2061" s="21" t="str">
        <f>CONCATENATE("sql where a.client = '",$D$172,"' and a.period between '",LEFT($D$170,4),"00' and '",IF(RIGHT($D$171,2)="12",CONCATENATE(LEFT($D$171,4),"14"),$D$171),"'")</f>
        <v>sql where a.client = 'OX' and a.period between '202500' and '202506'</v>
      </c>
    </row>
    <row r="2062" spans="1:3" outlineLevel="1" x14ac:dyDescent="0.25">
      <c r="A2062" t="s">
        <v>952</v>
      </c>
    </row>
    <row r="2063" spans="1:3" outlineLevel="1" x14ac:dyDescent="0.25">
      <c r="A2063" t="s">
        <v>953</v>
      </c>
    </row>
    <row r="2064" spans="1:3" outlineLevel="1" x14ac:dyDescent="0.25">
      <c r="A2064" t="s">
        <v>954</v>
      </c>
    </row>
    <row r="2065" spans="1:1" ht="13" outlineLevel="1" x14ac:dyDescent="0.3">
      <c r="A2065" s="20" t="s">
        <v>988</v>
      </c>
    </row>
    <row r="2066" spans="1:1" outlineLevel="1" x14ac:dyDescent="0.25">
      <c r="A2066" s="7" t="s">
        <v>989</v>
      </c>
    </row>
    <row r="2067" spans="1:1" outlineLevel="1" x14ac:dyDescent="0.25">
      <c r="A2067" t="s">
        <v>950</v>
      </c>
    </row>
    <row r="2068" spans="1:1" outlineLevel="1" x14ac:dyDescent="0.25">
      <c r="A2068" t="s">
        <v>951</v>
      </c>
    </row>
    <row r="2069" spans="1:1" ht="13" outlineLevel="1" x14ac:dyDescent="0.3">
      <c r="A206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070" spans="1:1" outlineLevel="1" x14ac:dyDescent="0.25">
      <c r="A2070" t="s">
        <v>952</v>
      </c>
    </row>
    <row r="2071" spans="1:1" outlineLevel="1" x14ac:dyDescent="0.25">
      <c r="A2071" t="s">
        <v>953</v>
      </c>
    </row>
    <row r="2072" spans="1:1" outlineLevel="1" x14ac:dyDescent="0.25">
      <c r="A2072" t="s">
        <v>954</v>
      </c>
    </row>
    <row r="2073" spans="1:1" ht="13" outlineLevel="1" x14ac:dyDescent="0.3">
      <c r="A2073" s="20" t="s">
        <v>990</v>
      </c>
    </row>
    <row r="2074" spans="1:1" outlineLevel="1" x14ac:dyDescent="0.25">
      <c r="A2074" s="7" t="s">
        <v>991</v>
      </c>
    </row>
    <row r="2075" spans="1:1" outlineLevel="1" x14ac:dyDescent="0.25">
      <c r="A2075" t="s">
        <v>950</v>
      </c>
    </row>
    <row r="2076" spans="1:1" outlineLevel="1" x14ac:dyDescent="0.25">
      <c r="A2076" t="s">
        <v>951</v>
      </c>
    </row>
    <row r="2077" spans="1:1" ht="13" outlineLevel="1" x14ac:dyDescent="0.3">
      <c r="A207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078" spans="1:1" outlineLevel="1" x14ac:dyDescent="0.25">
      <c r="A2078" t="s">
        <v>952</v>
      </c>
    </row>
    <row r="2079" spans="1:1" outlineLevel="1" x14ac:dyDescent="0.25">
      <c r="A2079" t="s">
        <v>953</v>
      </c>
    </row>
    <row r="2080" spans="1:1" outlineLevel="1" x14ac:dyDescent="0.25">
      <c r="A2080" t="s">
        <v>954</v>
      </c>
    </row>
    <row r="2081" spans="1:7" ht="13" outlineLevel="1" x14ac:dyDescent="0.3">
      <c r="A2081" s="20" t="s">
        <v>992</v>
      </c>
    </row>
    <row r="2082" spans="1:7" outlineLevel="1" x14ac:dyDescent="0.25">
      <c r="A2082" s="7" t="s">
        <v>993</v>
      </c>
    </row>
    <row r="2083" spans="1:7" outlineLevel="1" x14ac:dyDescent="0.25">
      <c r="A2083" t="s">
        <v>950</v>
      </c>
    </row>
    <row r="2084" spans="1:7" outlineLevel="1" x14ac:dyDescent="0.25">
      <c r="A2084" t="s">
        <v>951</v>
      </c>
    </row>
    <row r="2085" spans="1:7" ht="13" outlineLevel="1" x14ac:dyDescent="0.3">
      <c r="A208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086" spans="1:7" outlineLevel="1" x14ac:dyDescent="0.25">
      <c r="A2086" t="s">
        <v>952</v>
      </c>
    </row>
    <row r="2087" spans="1:7" outlineLevel="1" x14ac:dyDescent="0.25">
      <c r="A2087" t="s">
        <v>953</v>
      </c>
    </row>
    <row r="2088" spans="1:7" outlineLevel="1" x14ac:dyDescent="0.25">
      <c r="A2088" t="s">
        <v>994</v>
      </c>
    </row>
    <row r="2089" spans="1:7" outlineLevel="1" x14ac:dyDescent="0.25">
      <c r="A2089" t="str">
        <f>CONCATENATE("sql left outer join acrtrees t on t.client = u.client and u.dim_1 = t.cat_1 and t.att_agrid = '",$F$159,"'")</f>
        <v>sql left outer join acrtrees t on t.client = u.client and u.dim_1 = t.cat_1 and t.att_agrid = '53'</v>
      </c>
    </row>
    <row r="2090" spans="1:7" outlineLevel="1" x14ac:dyDescent="0.25">
      <c r="A2090" t="str">
        <f>CONCATENATE("sql left outer join acrtrees s on s.client = u.client and u.account = s.cat_1 and s.att_agrid = '",$F$160,"'")</f>
        <v>sql left outer join acrtrees s on s.client = u.client and u.account = s.cat_1 and s.att_agrid = '14'</v>
      </c>
    </row>
    <row r="2091" spans="1:7" outlineLevel="1" x14ac:dyDescent="0.25">
      <c r="A2091" t="str">
        <f>CONCATENATE("sql left outer join acrtrees v on v.client = u.client and u.account = v.cat_1 and v.att_agrid = '",$F$161,"'")</f>
        <v>sql left outer join acrtrees v on v.client = u.client and u.account = v.cat_1 and v.att_agrid = '17'</v>
      </c>
    </row>
    <row r="2092" spans="1:7" outlineLevel="1" x14ac:dyDescent="0.25">
      <c r="A2092" t="str">
        <f>CONCATENATE("sql left outer join agldescription d on d.client = u.client and d.dim_value = t.dim_c and d.attribute_id = '",$F$162,"'")</f>
        <v>sql left outer join agldescription d on d.client = u.client and d.dim_value = t.dim_c and d.attribute_id = '82'</v>
      </c>
    </row>
    <row r="2093" spans="1:7" outlineLevel="1" x14ac:dyDescent="0.25">
      <c r="A2093" t="str">
        <f>CONCATENATE("sql left outer join agldescription e on e.client = u.client and e.dim_value = t.dim_b and e.attribute_id = '",$F$163,"'")</f>
        <v>sql left outer join agldescription e on e.client = u.client and e.dim_value = t.dim_b and e.attribute_id = '81'</v>
      </c>
    </row>
    <row r="2094" spans="1:7" outlineLevel="1" x14ac:dyDescent="0.25">
      <c r="A2094" t="str">
        <f>CONCATENATE("sql left outer join agldescription f on f.client = u.client and f.dim_value = t.dim_e and f.attribute_id = '",$F$164,"'")</f>
        <v>sql left outer join agldescription f on f.client = u.client and f.dim_value = t.dim_e and f.attribute_id = '80'</v>
      </c>
    </row>
    <row r="2095" spans="1:7" outlineLevel="1" x14ac:dyDescent="0.25">
      <c r="A2095" t="str">
        <f>CONCATENATE("sql left outer join agldescription g on g.client = u.client and g.dim_value = u.account and g.attribute_id = '",$F$165,"'")</f>
        <v>sql left outer join agldescription g on g.client = u.client and g.dim_value = u.account and g.attribute_id = 'A0'</v>
      </c>
    </row>
    <row r="2096" spans="1:7" ht="14.5" outlineLevel="1" x14ac:dyDescent="0.35">
      <c r="A2096" s="67" t="s">
        <v>1056</v>
      </c>
      <c r="G2096" s="737" t="s">
        <v>1057</v>
      </c>
    </row>
    <row r="2097" spans="1:33" outlineLevel="1" x14ac:dyDescent="0.25">
      <c r="A2097" t="s">
        <v>1005</v>
      </c>
    </row>
    <row r="2098" spans="1:33" outlineLevel="1" x14ac:dyDescent="0.25">
      <c r="A2098" t="s">
        <v>1006</v>
      </c>
    </row>
    <row r="2099" spans="1:33" outlineLevel="1" x14ac:dyDescent="0.25">
      <c r="A2099" t="s">
        <v>1007</v>
      </c>
    </row>
    <row r="2100" spans="1:33" ht="13" outlineLevel="1" x14ac:dyDescent="0.3">
      <c r="A2100" t="s">
        <v>1012</v>
      </c>
      <c r="C2100" s="29"/>
      <c r="D2100" s="36">
        <v>1000</v>
      </c>
      <c r="E2100" s="36">
        <v>1000</v>
      </c>
      <c r="F2100" s="22">
        <v>1000</v>
      </c>
      <c r="G2100" s="22">
        <v>1000</v>
      </c>
      <c r="H2100" s="22">
        <v>1000</v>
      </c>
      <c r="I2100" s="22">
        <v>1000</v>
      </c>
      <c r="J2100" s="22">
        <v>1000</v>
      </c>
      <c r="K2100" s="22">
        <v>1000</v>
      </c>
      <c r="L2100" s="22"/>
      <c r="M2100" s="36"/>
      <c r="N2100" s="36"/>
      <c r="O2100" s="36">
        <v>1000</v>
      </c>
      <c r="P2100" s="36">
        <v>1000</v>
      </c>
      <c r="Q2100" s="36">
        <v>1000</v>
      </c>
      <c r="R2100" s="36">
        <v>1000</v>
      </c>
      <c r="S2100" s="36">
        <v>1000</v>
      </c>
      <c r="T2100" s="36"/>
      <c r="U2100" s="36"/>
      <c r="V2100" s="58"/>
      <c r="W2100" s="36">
        <v>1000</v>
      </c>
      <c r="X2100" s="36">
        <v>1000</v>
      </c>
      <c r="Y2100" s="36"/>
      <c r="Z2100" s="36"/>
      <c r="AA2100" s="40"/>
      <c r="AB2100" s="60"/>
      <c r="AC2100" s="98"/>
      <c r="AD2100" s="36"/>
      <c r="AE2100" s="36"/>
      <c r="AF2100" s="36"/>
      <c r="AG2100" s="99"/>
    </row>
    <row r="2101" spans="1:33" ht="13" outlineLevel="1" x14ac:dyDescent="0.3">
      <c r="A2101" s="7" t="s">
        <v>1013</v>
      </c>
      <c r="C2101" s="29"/>
      <c r="D2101" s="36">
        <v>0</v>
      </c>
      <c r="E2101" s="36">
        <v>0</v>
      </c>
      <c r="F2101" s="22">
        <v>0</v>
      </c>
      <c r="G2101" s="22">
        <v>0</v>
      </c>
      <c r="H2101" s="22">
        <v>0</v>
      </c>
      <c r="I2101" s="22">
        <v>0</v>
      </c>
      <c r="J2101" s="22">
        <v>0</v>
      </c>
      <c r="K2101" s="22">
        <v>0</v>
      </c>
      <c r="L2101" s="22"/>
      <c r="M2101" s="36"/>
      <c r="N2101" s="36"/>
      <c r="O2101" s="36">
        <v>0</v>
      </c>
      <c r="P2101" s="36">
        <v>0</v>
      </c>
      <c r="Q2101" s="36">
        <v>0</v>
      </c>
      <c r="R2101" s="36">
        <v>0</v>
      </c>
      <c r="S2101" s="36">
        <v>0</v>
      </c>
      <c r="T2101" s="36"/>
      <c r="U2101" s="36"/>
      <c r="V2101" s="58"/>
      <c r="W2101" s="36">
        <v>0</v>
      </c>
      <c r="X2101" s="36">
        <v>0</v>
      </c>
      <c r="Y2101" s="36"/>
      <c r="Z2101" s="36"/>
      <c r="AA2101" s="40"/>
      <c r="AB2101" s="60"/>
      <c r="AC2101" s="98"/>
      <c r="AD2101" s="36"/>
      <c r="AE2101" s="36"/>
      <c r="AF2101" s="36"/>
      <c r="AG2101" s="99"/>
    </row>
    <row r="2102" spans="1:33" ht="13" outlineLevel="1" x14ac:dyDescent="0.3">
      <c r="A2102" t="s">
        <v>1014</v>
      </c>
      <c r="C2102" s="30"/>
      <c r="D2102" s="36"/>
      <c r="E2102" s="36"/>
      <c r="F2102" s="57"/>
      <c r="G2102" s="57"/>
      <c r="H2102" s="57"/>
      <c r="I2102" s="57"/>
      <c r="J2102" s="57"/>
      <c r="K2102" s="57"/>
      <c r="L2102" s="57"/>
      <c r="M2102" s="36"/>
      <c r="N2102" s="36"/>
      <c r="O2102" s="36"/>
      <c r="P2102" s="36" t="s">
        <v>1015</v>
      </c>
      <c r="Q2102" s="36" t="s">
        <v>1016</v>
      </c>
      <c r="R2102" s="36"/>
      <c r="S2102" s="36"/>
      <c r="T2102" s="36"/>
      <c r="U2102" s="36"/>
      <c r="V2102" s="58"/>
      <c r="W2102" s="36"/>
      <c r="X2102" s="36"/>
      <c r="Y2102" s="36"/>
      <c r="Z2102" s="36"/>
      <c r="AA2102" s="40"/>
      <c r="AB2102" s="60"/>
      <c r="AC2102" s="98"/>
      <c r="AD2102" s="36"/>
      <c r="AE2102" s="36"/>
      <c r="AF2102" s="36"/>
      <c r="AG2102" s="99"/>
    </row>
    <row r="2103" spans="1:33" ht="13" outlineLevel="1" x14ac:dyDescent="0.3">
      <c r="A2103" t="s">
        <v>1017</v>
      </c>
      <c r="C2103" s="31"/>
      <c r="D2103" s="36" t="s">
        <v>1019</v>
      </c>
      <c r="E2103" s="36" t="s">
        <v>1020</v>
      </c>
      <c r="F2103" s="22" t="s">
        <v>1021</v>
      </c>
      <c r="G2103" s="22" t="s">
        <v>1022</v>
      </c>
      <c r="H2103" s="22" t="s">
        <v>1023</v>
      </c>
      <c r="I2103" s="22" t="s">
        <v>1024</v>
      </c>
      <c r="J2103" s="22" t="s">
        <v>1025</v>
      </c>
      <c r="K2103" s="22" t="s">
        <v>1026</v>
      </c>
      <c r="L2103" s="22"/>
      <c r="M2103" s="36"/>
      <c r="N2103" s="36"/>
      <c r="O2103" s="36" t="s">
        <v>1027</v>
      </c>
      <c r="P2103" s="36" t="s">
        <v>1028</v>
      </c>
      <c r="Q2103" s="36" t="s">
        <v>1028</v>
      </c>
      <c r="R2103" s="36" t="s">
        <v>1028</v>
      </c>
      <c r="S2103" s="36" t="s">
        <v>1029</v>
      </c>
      <c r="T2103" s="36"/>
      <c r="U2103" s="36"/>
      <c r="V2103" s="58"/>
      <c r="W2103" s="36" t="s">
        <v>1030</v>
      </c>
      <c r="X2103" s="36" t="s">
        <v>1031</v>
      </c>
      <c r="Y2103" s="36"/>
      <c r="Z2103" s="36"/>
      <c r="AA2103" s="40"/>
      <c r="AB2103" s="60"/>
      <c r="AC2103" s="98"/>
      <c r="AD2103" s="36"/>
      <c r="AE2103" s="36"/>
      <c r="AF2103" s="36"/>
      <c r="AG2103" s="99"/>
    </row>
    <row r="2104" spans="1:33" ht="13" outlineLevel="1" x14ac:dyDescent="0.3">
      <c r="A2104" t="s">
        <v>1041</v>
      </c>
      <c r="C2104" s="31" t="s">
        <v>127</v>
      </c>
      <c r="D2104" s="33">
        <v>0</v>
      </c>
      <c r="E2104" s="33">
        <v>0</v>
      </c>
      <c r="F2104" s="23">
        <v>0</v>
      </c>
      <c r="G2104" s="23">
        <v>0</v>
      </c>
      <c r="H2104" s="23">
        <v>0</v>
      </c>
      <c r="I2104" s="23">
        <v>0</v>
      </c>
      <c r="J2104" s="23">
        <v>0</v>
      </c>
      <c r="K2104" s="23">
        <v>0</v>
      </c>
      <c r="L2104" s="23">
        <f>SUM(F2104:K2104)</f>
        <v>0</v>
      </c>
      <c r="M2104" s="33">
        <f>O2104-E2104</f>
        <v>0</v>
      </c>
      <c r="N2104" s="33">
        <f>O2104-D2104</f>
        <v>0</v>
      </c>
      <c r="O2104" s="33">
        <v>0</v>
      </c>
      <c r="P2104" s="33">
        <v>0</v>
      </c>
      <c r="Q2104" s="33">
        <v>0</v>
      </c>
      <c r="R2104" s="33">
        <v>0</v>
      </c>
      <c r="S2104" s="33">
        <v>0</v>
      </c>
      <c r="T2104" s="33">
        <f>R2104-S2104</f>
        <v>0</v>
      </c>
      <c r="U2104" s="38" t="str">
        <f>IFERROR((R2104/O2104)*100%,"∞")</f>
        <v>∞</v>
      </c>
      <c r="V2104" s="59">
        <f>O2104+W2104</f>
        <v>0</v>
      </c>
      <c r="W2104" s="33">
        <v>0</v>
      </c>
      <c r="X2104" s="33">
        <v>0</v>
      </c>
      <c r="Y2104" s="33"/>
      <c r="Z2104" s="33"/>
      <c r="AA2104" s="42"/>
      <c r="AB2104" s="60"/>
      <c r="AC2104" s="105"/>
      <c r="AD2104" s="93"/>
      <c r="AE2104" s="33">
        <f>SUM(AC2104:AD2104)</f>
        <v>0</v>
      </c>
      <c r="AF2104" s="33">
        <f>R2104+AE2104</f>
        <v>0</v>
      </c>
      <c r="AG2104" s="101">
        <f>AF2104-O2104</f>
        <v>0</v>
      </c>
    </row>
    <row r="2105" spans="1:33" outlineLevel="1" x14ac:dyDescent="0.25">
      <c r="A2105" t="s">
        <v>232</v>
      </c>
    </row>
    <row r="2106" spans="1:33" outlineLevel="1" x14ac:dyDescent="0.25">
      <c r="A2106" t="s">
        <v>944</v>
      </c>
      <c r="M2106" s="19"/>
      <c r="N2106" s="19"/>
    </row>
    <row r="2107" spans="1:33" outlineLevel="1" x14ac:dyDescent="0.25">
      <c r="A2107" t="s">
        <v>946</v>
      </c>
      <c r="E2107" s="19"/>
    </row>
    <row r="2108" spans="1:33" outlineLevel="1" x14ac:dyDescent="0.25">
      <c r="A2108" t="s">
        <v>947</v>
      </c>
      <c r="E2108" s="19"/>
      <c r="F2108" s="19"/>
    </row>
    <row r="2109" spans="1:33" ht="13" outlineLevel="1" x14ac:dyDescent="0.3">
      <c r="A2109" s="20" t="s">
        <v>948</v>
      </c>
    </row>
    <row r="2110" spans="1:33" outlineLevel="1" x14ac:dyDescent="0.25">
      <c r="A2110" s="7" t="s">
        <v>949</v>
      </c>
    </row>
    <row r="2111" spans="1:33" outlineLevel="1" x14ac:dyDescent="0.25">
      <c r="A2111" t="s">
        <v>950</v>
      </c>
    </row>
    <row r="2112" spans="1:33" outlineLevel="1" x14ac:dyDescent="0.25">
      <c r="A2112" t="s">
        <v>951</v>
      </c>
    </row>
    <row r="2113" spans="1:3" ht="13" outlineLevel="1" x14ac:dyDescent="0.3">
      <c r="A2113" s="21" t="str">
        <f>CONCATENATE("sql where a.client = '",$D$172,"' and a.period between '",LEFT($D$170,4),"00' and '",LEFT($D$171,4),"14' and a.version like '%ORIG%'")</f>
        <v>sql where a.client = 'OX' and a.period between '202500' and '202514' and a.version like '%ORIG%'</v>
      </c>
    </row>
    <row r="2114" spans="1:3" outlineLevel="1" x14ac:dyDescent="0.25">
      <c r="A2114" t="s">
        <v>952</v>
      </c>
    </row>
    <row r="2115" spans="1:3" outlineLevel="1" x14ac:dyDescent="0.25">
      <c r="A2115" t="s">
        <v>953</v>
      </c>
    </row>
    <row r="2116" spans="1:3" outlineLevel="1" x14ac:dyDescent="0.25">
      <c r="A2116" t="s">
        <v>954</v>
      </c>
    </row>
    <row r="2117" spans="1:3" ht="13" outlineLevel="1" x14ac:dyDescent="0.3">
      <c r="A2117" s="20" t="s">
        <v>955</v>
      </c>
    </row>
    <row r="2118" spans="1:3" outlineLevel="1" x14ac:dyDescent="0.25">
      <c r="A2118" s="7" t="s">
        <v>956</v>
      </c>
    </row>
    <row r="2119" spans="1:3" outlineLevel="1" x14ac:dyDescent="0.25">
      <c r="A2119" t="s">
        <v>950</v>
      </c>
    </row>
    <row r="2120" spans="1:3" outlineLevel="1" x14ac:dyDescent="0.25">
      <c r="A2120" t="s">
        <v>951</v>
      </c>
    </row>
    <row r="2121" spans="1:3" ht="14.5" outlineLevel="1" x14ac:dyDescent="0.35">
      <c r="A2121"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121" s="2"/>
    </row>
    <row r="2122" spans="1:3" outlineLevel="1" x14ac:dyDescent="0.25">
      <c r="A2122" t="s">
        <v>952</v>
      </c>
    </row>
    <row r="2123" spans="1:3" outlineLevel="1" x14ac:dyDescent="0.25">
      <c r="A2123" t="s">
        <v>953</v>
      </c>
    </row>
    <row r="2124" spans="1:3" outlineLevel="1" x14ac:dyDescent="0.25">
      <c r="A2124" t="s">
        <v>954</v>
      </c>
    </row>
    <row r="2125" spans="1:3" ht="13" outlineLevel="1" x14ac:dyDescent="0.3">
      <c r="A2125" s="66" t="s">
        <v>957</v>
      </c>
    </row>
    <row r="2126" spans="1:3" outlineLevel="1" x14ac:dyDescent="0.25">
      <c r="A2126" t="s">
        <v>958</v>
      </c>
    </row>
    <row r="2127" spans="1:3" outlineLevel="1" x14ac:dyDescent="0.25">
      <c r="A2127" t="s">
        <v>950</v>
      </c>
    </row>
    <row r="2128" spans="1:3" ht="13" outlineLevel="1" x14ac:dyDescent="0.3">
      <c r="A212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129" spans="1:1" ht="13" outlineLevel="1" x14ac:dyDescent="0.3">
      <c r="A2129" s="21" t="s">
        <v>959</v>
      </c>
    </row>
    <row r="2130" spans="1:1" outlineLevel="1" x14ac:dyDescent="0.25">
      <c r="A2130" t="s">
        <v>960</v>
      </c>
    </row>
    <row r="2131" spans="1:1" outlineLevel="1" x14ac:dyDescent="0.25">
      <c r="A2131" t="s">
        <v>961</v>
      </c>
    </row>
    <row r="2132" spans="1:1" outlineLevel="1" x14ac:dyDescent="0.25">
      <c r="A2132" t="str">
        <f>CONCATENATE("sql left outer join acrtrees t on t.client = x.client and x.dim_1 = t.cat_1 and t.att_agrid = '",$F$159,"'")</f>
        <v>sql left outer join acrtrees t on t.client = x.client and x.dim_1 = t.cat_1 and t.att_agrid = '53'</v>
      </c>
    </row>
    <row r="2133" spans="1:1" ht="13" outlineLevel="1" x14ac:dyDescent="0.3">
      <c r="A213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134" spans="1:1" ht="13" outlineLevel="1" x14ac:dyDescent="0.3">
      <c r="A2134" s="21" t="s">
        <v>962</v>
      </c>
    </row>
    <row r="2135" spans="1:1" ht="13" outlineLevel="1" x14ac:dyDescent="0.3">
      <c r="A2135"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136" spans="1:1" ht="13" outlineLevel="1" x14ac:dyDescent="0.3">
      <c r="A2136" s="21" t="s">
        <v>963</v>
      </c>
    </row>
    <row r="2137" spans="1:1" outlineLevel="1" x14ac:dyDescent="0.25">
      <c r="A2137" t="s">
        <v>964</v>
      </c>
    </row>
    <row r="2138" spans="1:1" outlineLevel="1" x14ac:dyDescent="0.25">
      <c r="A2138" t="s">
        <v>965</v>
      </c>
    </row>
    <row r="2139" spans="1:1" outlineLevel="1" x14ac:dyDescent="0.25">
      <c r="A2139" t="s">
        <v>966</v>
      </c>
    </row>
    <row r="2140" spans="1:1" outlineLevel="1" x14ac:dyDescent="0.25">
      <c r="A2140" t="s">
        <v>953</v>
      </c>
    </row>
    <row r="2141" spans="1:1" outlineLevel="1" x14ac:dyDescent="0.25">
      <c r="A2141" t="s">
        <v>954</v>
      </c>
    </row>
    <row r="2142" spans="1:1" ht="13" outlineLevel="1" x14ac:dyDescent="0.3">
      <c r="A2142" s="66" t="s">
        <v>967</v>
      </c>
    </row>
    <row r="2143" spans="1:1" outlineLevel="1" x14ac:dyDescent="0.25">
      <c r="A2143" t="s">
        <v>968</v>
      </c>
    </row>
    <row r="2144" spans="1:1" outlineLevel="1" x14ac:dyDescent="0.25">
      <c r="A2144" t="s">
        <v>950</v>
      </c>
    </row>
    <row r="2145" spans="1:1" ht="13" outlineLevel="1" x14ac:dyDescent="0.3">
      <c r="A214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146" spans="1:1" ht="13" outlineLevel="1" x14ac:dyDescent="0.3">
      <c r="A2146" s="21" t="s">
        <v>969</v>
      </c>
    </row>
    <row r="2147" spans="1:1" ht="13" outlineLevel="1" x14ac:dyDescent="0.3">
      <c r="A2147" s="21" t="s">
        <v>959</v>
      </c>
    </row>
    <row r="2148" spans="1:1" outlineLevel="1" x14ac:dyDescent="0.25">
      <c r="A2148" t="s">
        <v>960</v>
      </c>
    </row>
    <row r="2149" spans="1:1" outlineLevel="1" x14ac:dyDescent="0.25">
      <c r="A2149" t="s">
        <v>961</v>
      </c>
    </row>
    <row r="2150" spans="1:1" outlineLevel="1" x14ac:dyDescent="0.25">
      <c r="A2150" t="str">
        <f>CONCATENATE("sql left outer join acrtrees t on t.client = x.client and x.dim_1 = t.cat_1 and t.att_agrid = '",$F$159,"'")</f>
        <v>sql left outer join acrtrees t on t.client = x.client and x.dim_1 = t.cat_1 and t.att_agrid = '53'</v>
      </c>
    </row>
    <row r="2151" spans="1:1" ht="13" outlineLevel="1" x14ac:dyDescent="0.3">
      <c r="A215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152" spans="1:1" ht="13" outlineLevel="1" x14ac:dyDescent="0.3">
      <c r="A2152" s="21" t="s">
        <v>970</v>
      </c>
    </row>
    <row r="2153" spans="1:1" ht="13" outlineLevel="1" x14ac:dyDescent="0.3">
      <c r="A2153" s="21" t="s">
        <v>962</v>
      </c>
    </row>
    <row r="2154" spans="1:1" ht="13" outlineLevel="1" x14ac:dyDescent="0.3">
      <c r="A2154"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155" spans="1:1" ht="13" outlineLevel="1" x14ac:dyDescent="0.3">
      <c r="A2155" s="21" t="s">
        <v>970</v>
      </c>
    </row>
    <row r="2156" spans="1:1" ht="13" outlineLevel="1" x14ac:dyDescent="0.3">
      <c r="A2156" s="21" t="s">
        <v>963</v>
      </c>
    </row>
    <row r="2157" spans="1:1" outlineLevel="1" x14ac:dyDescent="0.25">
      <c r="A2157" t="s">
        <v>964</v>
      </c>
    </row>
    <row r="2158" spans="1:1" outlineLevel="1" x14ac:dyDescent="0.25">
      <c r="A2158" t="s">
        <v>965</v>
      </c>
    </row>
    <row r="2159" spans="1:1" outlineLevel="1" x14ac:dyDescent="0.25">
      <c r="A2159" t="s">
        <v>966</v>
      </c>
    </row>
    <row r="2160" spans="1:1" outlineLevel="1" x14ac:dyDescent="0.25">
      <c r="A2160" t="s">
        <v>953</v>
      </c>
    </row>
    <row r="2161" spans="1:1" outlineLevel="1" x14ac:dyDescent="0.25">
      <c r="A2161" t="s">
        <v>954</v>
      </c>
    </row>
    <row r="2162" spans="1:1" ht="13" outlineLevel="1" x14ac:dyDescent="0.3">
      <c r="A2162" s="66" t="s">
        <v>971</v>
      </c>
    </row>
    <row r="2163" spans="1:1" outlineLevel="1" x14ac:dyDescent="0.25">
      <c r="A2163" t="s">
        <v>972</v>
      </c>
    </row>
    <row r="2164" spans="1:1" outlineLevel="1" x14ac:dyDescent="0.25">
      <c r="A2164" t="s">
        <v>950</v>
      </c>
    </row>
    <row r="2165" spans="1:1" ht="13" outlineLevel="1" x14ac:dyDescent="0.3">
      <c r="A216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166" spans="1:1" ht="13" outlineLevel="1" x14ac:dyDescent="0.3">
      <c r="A2166" s="21" t="s">
        <v>959</v>
      </c>
    </row>
    <row r="2167" spans="1:1" outlineLevel="1" x14ac:dyDescent="0.25">
      <c r="A2167" t="s">
        <v>960</v>
      </c>
    </row>
    <row r="2168" spans="1:1" outlineLevel="1" x14ac:dyDescent="0.25">
      <c r="A2168" t="s">
        <v>961</v>
      </c>
    </row>
    <row r="2169" spans="1:1" outlineLevel="1" x14ac:dyDescent="0.25">
      <c r="A2169" t="str">
        <f>CONCATENATE("sql left outer join acrtrees t on t.client = x.client and x.dim_1 = t.cat_1 and t.att_agrid = '",$F$159,"'")</f>
        <v>sql left outer join acrtrees t on t.client = x.client and x.dim_1 = t.cat_1 and t.att_agrid = '53'</v>
      </c>
    </row>
    <row r="2170" spans="1:1" ht="13" outlineLevel="1" x14ac:dyDescent="0.3">
      <c r="A217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171" spans="1:1" ht="13" outlineLevel="1" x14ac:dyDescent="0.3">
      <c r="A2171" s="21" t="s">
        <v>973</v>
      </c>
    </row>
    <row r="2172" spans="1:1" outlineLevel="1" x14ac:dyDescent="0.25">
      <c r="A2172" t="s">
        <v>964</v>
      </c>
    </row>
    <row r="2173" spans="1:1" outlineLevel="1" x14ac:dyDescent="0.25">
      <c r="A2173" t="s">
        <v>965</v>
      </c>
    </row>
    <row r="2174" spans="1:1" outlineLevel="1" x14ac:dyDescent="0.25">
      <c r="A2174" t="s">
        <v>966</v>
      </c>
    </row>
    <row r="2175" spans="1:1" outlineLevel="1" x14ac:dyDescent="0.25">
      <c r="A2175" t="s">
        <v>953</v>
      </c>
    </row>
    <row r="2176" spans="1:1" outlineLevel="1" x14ac:dyDescent="0.25">
      <c r="A2176" t="s">
        <v>954</v>
      </c>
    </row>
    <row r="2177" spans="1:1" ht="13" outlineLevel="1" x14ac:dyDescent="0.3">
      <c r="A2177" s="66" t="s">
        <v>974</v>
      </c>
    </row>
    <row r="2178" spans="1:1" outlineLevel="1" x14ac:dyDescent="0.25">
      <c r="A2178" t="s">
        <v>975</v>
      </c>
    </row>
    <row r="2179" spans="1:1" outlineLevel="1" x14ac:dyDescent="0.25">
      <c r="A2179" t="s">
        <v>950</v>
      </c>
    </row>
    <row r="2180" spans="1:1" ht="13" outlineLevel="1" x14ac:dyDescent="0.3">
      <c r="A218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181" spans="1:1" ht="13" outlineLevel="1" x14ac:dyDescent="0.3">
      <c r="A2181" s="21" t="s">
        <v>959</v>
      </c>
    </row>
    <row r="2182" spans="1:1" outlineLevel="1" x14ac:dyDescent="0.25">
      <c r="A2182" t="s">
        <v>960</v>
      </c>
    </row>
    <row r="2183" spans="1:1" outlineLevel="1" x14ac:dyDescent="0.25">
      <c r="A2183" t="s">
        <v>961</v>
      </c>
    </row>
    <row r="2184" spans="1:1" outlineLevel="1" x14ac:dyDescent="0.25">
      <c r="A2184" t="str">
        <f>CONCATENATE("sql left outer join acrtrees t on t.client = x.client and x.dim_1 = t.cat_1 and t.att_agrid = '",$F$159,"'")</f>
        <v>sql left outer join acrtrees t on t.client = x.client and x.dim_1 = t.cat_1 and t.att_agrid = '53'</v>
      </c>
    </row>
    <row r="2185" spans="1:1" ht="13" outlineLevel="1" x14ac:dyDescent="0.3">
      <c r="A218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186" spans="1:1" ht="13" outlineLevel="1" x14ac:dyDescent="0.3">
      <c r="A2186" s="21" t="s">
        <v>973</v>
      </c>
    </row>
    <row r="2187" spans="1:1" outlineLevel="1" x14ac:dyDescent="0.25">
      <c r="A2187" t="s">
        <v>964</v>
      </c>
    </row>
    <row r="2188" spans="1:1" outlineLevel="1" x14ac:dyDescent="0.25">
      <c r="A2188" t="s">
        <v>965</v>
      </c>
    </row>
    <row r="2189" spans="1:1" outlineLevel="1" x14ac:dyDescent="0.25">
      <c r="A2189" t="s">
        <v>966</v>
      </c>
    </row>
    <row r="2190" spans="1:1" outlineLevel="1" x14ac:dyDescent="0.25">
      <c r="A2190" t="s">
        <v>953</v>
      </c>
    </row>
    <row r="2191" spans="1:1" outlineLevel="1" x14ac:dyDescent="0.25">
      <c r="A2191" t="s">
        <v>954</v>
      </c>
    </row>
    <row r="2192" spans="1:1" ht="13" outlineLevel="1" x14ac:dyDescent="0.3">
      <c r="A2192" s="66" t="s">
        <v>976</v>
      </c>
    </row>
    <row r="2193" spans="1:1" outlineLevel="1" x14ac:dyDescent="0.25">
      <c r="A2193" t="s">
        <v>977</v>
      </c>
    </row>
    <row r="2194" spans="1:1" outlineLevel="1" x14ac:dyDescent="0.25">
      <c r="A2194" t="s">
        <v>950</v>
      </c>
    </row>
    <row r="2195" spans="1:1" ht="13" outlineLevel="1" x14ac:dyDescent="0.3">
      <c r="A219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196" spans="1:1" ht="13" outlineLevel="1" x14ac:dyDescent="0.3">
      <c r="A2196" s="21" t="s">
        <v>959</v>
      </c>
    </row>
    <row r="2197" spans="1:1" outlineLevel="1" x14ac:dyDescent="0.25">
      <c r="A2197" t="s">
        <v>960</v>
      </c>
    </row>
    <row r="2198" spans="1:1" outlineLevel="1" x14ac:dyDescent="0.25">
      <c r="A2198" t="s">
        <v>961</v>
      </c>
    </row>
    <row r="2199" spans="1:1" outlineLevel="1" x14ac:dyDescent="0.25">
      <c r="A2199" t="str">
        <f>CONCATENATE("sql left outer join acrtrees t on t.client = x.client and x.dim_1 = t.cat_1 and t.att_agrid = '",$F$159,"'")</f>
        <v>sql left outer join acrtrees t on t.client = x.client and x.dim_1 = t.cat_1 and t.att_agrid = '53'</v>
      </c>
    </row>
    <row r="2200" spans="1:1" ht="13" outlineLevel="1" x14ac:dyDescent="0.3">
      <c r="A220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201" spans="1:1" ht="13" outlineLevel="1" x14ac:dyDescent="0.3">
      <c r="A2201" s="21" t="s">
        <v>978</v>
      </c>
    </row>
    <row r="2202" spans="1:1" outlineLevel="1" x14ac:dyDescent="0.25">
      <c r="A2202" t="s">
        <v>979</v>
      </c>
    </row>
    <row r="2203" spans="1:1" outlineLevel="1" x14ac:dyDescent="0.25">
      <c r="A2203" t="s">
        <v>980</v>
      </c>
    </row>
    <row r="2204" spans="1:1" outlineLevel="1" x14ac:dyDescent="0.25">
      <c r="A2204" t="s">
        <v>966</v>
      </c>
    </row>
    <row r="2205" spans="1:1" outlineLevel="1" x14ac:dyDescent="0.25">
      <c r="A2205" t="s">
        <v>953</v>
      </c>
    </row>
    <row r="2206" spans="1:1" outlineLevel="1" x14ac:dyDescent="0.25">
      <c r="A2206" t="s">
        <v>954</v>
      </c>
    </row>
    <row r="2207" spans="1:1" ht="13" outlineLevel="1" x14ac:dyDescent="0.3">
      <c r="A2207" s="66" t="s">
        <v>981</v>
      </c>
    </row>
    <row r="2208" spans="1:1" outlineLevel="1" x14ac:dyDescent="0.25">
      <c r="A2208" t="s">
        <v>982</v>
      </c>
    </row>
    <row r="2209" spans="1:1" outlineLevel="1" x14ac:dyDescent="0.25">
      <c r="A2209" t="s">
        <v>950</v>
      </c>
    </row>
    <row r="2210" spans="1:1" ht="13" outlineLevel="1" x14ac:dyDescent="0.3">
      <c r="A221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211" spans="1:1" ht="13" outlineLevel="1" x14ac:dyDescent="0.3">
      <c r="A2211" s="21" t="s">
        <v>969</v>
      </c>
    </row>
    <row r="2212" spans="1:1" ht="13" outlineLevel="1" x14ac:dyDescent="0.3">
      <c r="A2212" s="21" t="s">
        <v>959</v>
      </c>
    </row>
    <row r="2213" spans="1:1" outlineLevel="1" x14ac:dyDescent="0.25">
      <c r="A2213" t="s">
        <v>960</v>
      </c>
    </row>
    <row r="2214" spans="1:1" outlineLevel="1" x14ac:dyDescent="0.25">
      <c r="A2214" t="s">
        <v>961</v>
      </c>
    </row>
    <row r="2215" spans="1:1" outlineLevel="1" x14ac:dyDescent="0.25">
      <c r="A2215" t="str">
        <f>CONCATENATE("sql left outer join acrtrees t on t.client = x.client and x.dim_1 = t.cat_1 and t.att_agrid = '",$F$159,"'")</f>
        <v>sql left outer join acrtrees t on t.client = x.client and x.dim_1 = t.cat_1 and t.att_agrid = '53'</v>
      </c>
    </row>
    <row r="2216" spans="1:1" ht="13" outlineLevel="1" x14ac:dyDescent="0.3">
      <c r="A221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217" spans="1:1" ht="13" outlineLevel="1" x14ac:dyDescent="0.3">
      <c r="A2217" s="21" t="s">
        <v>970</v>
      </c>
    </row>
    <row r="2218" spans="1:1" ht="13" outlineLevel="1" x14ac:dyDescent="0.3">
      <c r="A2218" s="21" t="s">
        <v>978</v>
      </c>
    </row>
    <row r="2219" spans="1:1" outlineLevel="1" x14ac:dyDescent="0.25">
      <c r="A2219" t="s">
        <v>979</v>
      </c>
    </row>
    <row r="2220" spans="1:1" outlineLevel="1" x14ac:dyDescent="0.25">
      <c r="A2220" t="s">
        <v>980</v>
      </c>
    </row>
    <row r="2221" spans="1:1" outlineLevel="1" x14ac:dyDescent="0.25">
      <c r="A2221" t="s">
        <v>966</v>
      </c>
    </row>
    <row r="2222" spans="1:1" outlineLevel="1" x14ac:dyDescent="0.25">
      <c r="A2222" t="s">
        <v>953</v>
      </c>
    </row>
    <row r="2223" spans="1:1" outlineLevel="1" x14ac:dyDescent="0.25">
      <c r="A2223" t="s">
        <v>954</v>
      </c>
    </row>
    <row r="2224" spans="1:1" ht="13" outlineLevel="1" x14ac:dyDescent="0.3">
      <c r="A2224" s="20" t="s">
        <v>983</v>
      </c>
    </row>
    <row r="2225" spans="1:3" outlineLevel="1" x14ac:dyDescent="0.25">
      <c r="A2225" s="7" t="s">
        <v>984</v>
      </c>
    </row>
    <row r="2226" spans="1:3" outlineLevel="1" x14ac:dyDescent="0.25">
      <c r="A2226" t="s">
        <v>950</v>
      </c>
    </row>
    <row r="2227" spans="1:3" outlineLevel="1" x14ac:dyDescent="0.25">
      <c r="A2227" t="s">
        <v>951</v>
      </c>
    </row>
    <row r="2228" spans="1:3" ht="14.5" outlineLevel="1" x14ac:dyDescent="0.35">
      <c r="A2228"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228" s="2"/>
    </row>
    <row r="2229" spans="1:3" outlineLevel="1" x14ac:dyDescent="0.25">
      <c r="A2229" t="s">
        <v>952</v>
      </c>
    </row>
    <row r="2230" spans="1:3" outlineLevel="1" x14ac:dyDescent="0.25">
      <c r="A2230" t="s">
        <v>953</v>
      </c>
    </row>
    <row r="2231" spans="1:3" outlineLevel="1" x14ac:dyDescent="0.25">
      <c r="A2231" t="s">
        <v>954</v>
      </c>
    </row>
    <row r="2232" spans="1:3" ht="13" outlineLevel="1" x14ac:dyDescent="0.3">
      <c r="A2232" s="20" t="s">
        <v>985</v>
      </c>
    </row>
    <row r="2233" spans="1:3" outlineLevel="1" x14ac:dyDescent="0.25">
      <c r="A2233" s="7" t="s">
        <v>986</v>
      </c>
    </row>
    <row r="2234" spans="1:3" outlineLevel="1" x14ac:dyDescent="0.25">
      <c r="A2234" t="s">
        <v>987</v>
      </c>
    </row>
    <row r="2235" spans="1:3" ht="13" outlineLevel="1" x14ac:dyDescent="0.3">
      <c r="A2235" s="21" t="str">
        <f>CONCATENATE("sql where a.client = '",$D$172,"' and a.period between '",LEFT($D$170,4),"00' and '",IF(RIGHT($D$171,2)="12",CONCATENATE(LEFT($D$171,4),"14"),$D$171),"'")</f>
        <v>sql where a.client = 'OX' and a.period between '202500' and '202506'</v>
      </c>
    </row>
    <row r="2236" spans="1:3" outlineLevel="1" x14ac:dyDescent="0.25">
      <c r="A2236" t="s">
        <v>952</v>
      </c>
    </row>
    <row r="2237" spans="1:3" outlineLevel="1" x14ac:dyDescent="0.25">
      <c r="A2237" t="s">
        <v>953</v>
      </c>
    </row>
    <row r="2238" spans="1:3" outlineLevel="1" x14ac:dyDescent="0.25">
      <c r="A2238" t="s">
        <v>954</v>
      </c>
    </row>
    <row r="2239" spans="1:3" ht="13" outlineLevel="1" x14ac:dyDescent="0.3">
      <c r="A2239" s="20" t="s">
        <v>988</v>
      </c>
    </row>
    <row r="2240" spans="1:3" outlineLevel="1" x14ac:dyDescent="0.25">
      <c r="A2240" s="7" t="s">
        <v>989</v>
      </c>
    </row>
    <row r="2241" spans="1:1" outlineLevel="1" x14ac:dyDescent="0.25">
      <c r="A2241" t="s">
        <v>950</v>
      </c>
    </row>
    <row r="2242" spans="1:1" outlineLevel="1" x14ac:dyDescent="0.25">
      <c r="A2242" t="s">
        <v>951</v>
      </c>
    </row>
    <row r="2243" spans="1:1" ht="13" outlineLevel="1" x14ac:dyDescent="0.3">
      <c r="A2243"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244" spans="1:1" outlineLevel="1" x14ac:dyDescent="0.25">
      <c r="A2244" t="s">
        <v>952</v>
      </c>
    </row>
    <row r="2245" spans="1:1" outlineLevel="1" x14ac:dyDescent="0.25">
      <c r="A2245" t="s">
        <v>953</v>
      </c>
    </row>
    <row r="2246" spans="1:1" outlineLevel="1" x14ac:dyDescent="0.25">
      <c r="A2246" t="s">
        <v>954</v>
      </c>
    </row>
    <row r="2247" spans="1:1" ht="13" outlineLevel="1" x14ac:dyDescent="0.3">
      <c r="A2247" s="20" t="s">
        <v>990</v>
      </c>
    </row>
    <row r="2248" spans="1:1" outlineLevel="1" x14ac:dyDescent="0.25">
      <c r="A2248" s="7" t="s">
        <v>991</v>
      </c>
    </row>
    <row r="2249" spans="1:1" outlineLevel="1" x14ac:dyDescent="0.25">
      <c r="A2249" t="s">
        <v>950</v>
      </c>
    </row>
    <row r="2250" spans="1:1" outlineLevel="1" x14ac:dyDescent="0.25">
      <c r="A2250" t="s">
        <v>951</v>
      </c>
    </row>
    <row r="2251" spans="1:1" ht="13" outlineLevel="1" x14ac:dyDescent="0.3">
      <c r="A225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252" spans="1:1" outlineLevel="1" x14ac:dyDescent="0.25">
      <c r="A2252" t="s">
        <v>952</v>
      </c>
    </row>
    <row r="2253" spans="1:1" outlineLevel="1" x14ac:dyDescent="0.25">
      <c r="A2253" t="s">
        <v>953</v>
      </c>
    </row>
    <row r="2254" spans="1:1" outlineLevel="1" x14ac:dyDescent="0.25">
      <c r="A2254" t="s">
        <v>954</v>
      </c>
    </row>
    <row r="2255" spans="1:1" ht="13" outlineLevel="1" x14ac:dyDescent="0.3">
      <c r="A2255" s="20" t="s">
        <v>992</v>
      </c>
    </row>
    <row r="2256" spans="1:1" outlineLevel="1" x14ac:dyDescent="0.25">
      <c r="A2256" s="7" t="s">
        <v>993</v>
      </c>
    </row>
    <row r="2257" spans="1:7" outlineLevel="1" x14ac:dyDescent="0.25">
      <c r="A2257" t="s">
        <v>950</v>
      </c>
    </row>
    <row r="2258" spans="1:7" outlineLevel="1" x14ac:dyDescent="0.25">
      <c r="A2258" t="s">
        <v>951</v>
      </c>
    </row>
    <row r="2259" spans="1:7" ht="13" outlineLevel="1" x14ac:dyDescent="0.3">
      <c r="A225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260" spans="1:7" outlineLevel="1" x14ac:dyDescent="0.25">
      <c r="A2260" t="s">
        <v>952</v>
      </c>
    </row>
    <row r="2261" spans="1:7" outlineLevel="1" x14ac:dyDescent="0.25">
      <c r="A2261" t="s">
        <v>953</v>
      </c>
    </row>
    <row r="2262" spans="1:7" outlineLevel="1" x14ac:dyDescent="0.25">
      <c r="A2262" t="s">
        <v>994</v>
      </c>
    </row>
    <row r="2263" spans="1:7" outlineLevel="1" x14ac:dyDescent="0.25">
      <c r="A2263" t="str">
        <f>CONCATENATE("sql left outer join acrtrees t on t.client = u.client and u.dim_1 = t.cat_1 and t.att_agrid = '",$F$159,"'")</f>
        <v>sql left outer join acrtrees t on t.client = u.client and u.dim_1 = t.cat_1 and t.att_agrid = '53'</v>
      </c>
    </row>
    <row r="2264" spans="1:7" outlineLevel="1" x14ac:dyDescent="0.25">
      <c r="A2264" t="str">
        <f>CONCATENATE("sql left outer join acrtrees s on s.client = u.client and u.account = s.cat_1 and s.att_agrid = '",$F$160,"'")</f>
        <v>sql left outer join acrtrees s on s.client = u.client and u.account = s.cat_1 and s.att_agrid = '14'</v>
      </c>
    </row>
    <row r="2265" spans="1:7" outlineLevel="1" x14ac:dyDescent="0.25">
      <c r="A2265" t="str">
        <f>CONCATENATE("sql left outer join acrtrees v on v.client = u.client and u.account = v.cat_1 and v.att_agrid = '",$F$161,"'")</f>
        <v>sql left outer join acrtrees v on v.client = u.client and u.account = v.cat_1 and v.att_agrid = '17'</v>
      </c>
    </row>
    <row r="2266" spans="1:7" outlineLevel="1" x14ac:dyDescent="0.25">
      <c r="A2266" t="str">
        <f>CONCATENATE("sql left outer join agldescription d on d.client = u.client and d.dim_value = t.dim_c and d.attribute_id = '",$F$162,"'")</f>
        <v>sql left outer join agldescription d on d.client = u.client and d.dim_value = t.dim_c and d.attribute_id = '82'</v>
      </c>
    </row>
    <row r="2267" spans="1:7" outlineLevel="1" x14ac:dyDescent="0.25">
      <c r="A2267" t="str">
        <f>CONCATENATE("sql left outer join agldescription e on e.client = u.client and e.dim_value = t.dim_b and e.attribute_id = '",$F$163,"'")</f>
        <v>sql left outer join agldescription e on e.client = u.client and e.dim_value = t.dim_b and e.attribute_id = '81'</v>
      </c>
    </row>
    <row r="2268" spans="1:7" outlineLevel="1" x14ac:dyDescent="0.25">
      <c r="A2268" t="str">
        <f>CONCATENATE("sql left outer join agldescription f on f.client = u.client and f.dim_value = t.dim_e and f.attribute_id = '",$F$164,"'")</f>
        <v>sql left outer join agldescription f on f.client = u.client and f.dim_value = t.dim_e and f.attribute_id = '80'</v>
      </c>
    </row>
    <row r="2269" spans="1:7" outlineLevel="1" x14ac:dyDescent="0.25">
      <c r="A2269" t="str">
        <f>CONCATENATE("sql left outer join agldescription g on g.client = u.client and g.dim_value = u.account and g.attribute_id = '",$F$165,"'")</f>
        <v>sql left outer join agldescription g on g.client = u.client and g.dim_value = u.account and g.attribute_id = 'A0'</v>
      </c>
    </row>
    <row r="2270" spans="1:7" ht="14.5" outlineLevel="1" x14ac:dyDescent="0.35">
      <c r="A2270" s="67" t="s">
        <v>1058</v>
      </c>
      <c r="G2270" s="737" t="s">
        <v>1059</v>
      </c>
    </row>
    <row r="2271" spans="1:7" outlineLevel="1" x14ac:dyDescent="0.25">
      <c r="A2271" t="s">
        <v>1005</v>
      </c>
    </row>
    <row r="2272" spans="1:7" outlineLevel="1" x14ac:dyDescent="0.25">
      <c r="A2272" t="s">
        <v>1006</v>
      </c>
    </row>
    <row r="2273" spans="1:33" outlineLevel="1" x14ac:dyDescent="0.25">
      <c r="A2273" t="s">
        <v>1007</v>
      </c>
    </row>
    <row r="2274" spans="1:33" ht="13" outlineLevel="1" x14ac:dyDescent="0.3">
      <c r="A2274" t="s">
        <v>1012</v>
      </c>
      <c r="C2274" s="29"/>
      <c r="D2274" s="36">
        <v>1000</v>
      </c>
      <c r="E2274" s="36">
        <v>1000</v>
      </c>
      <c r="F2274" s="22">
        <v>1000</v>
      </c>
      <c r="G2274" s="22">
        <v>1000</v>
      </c>
      <c r="H2274" s="22">
        <v>1000</v>
      </c>
      <c r="I2274" s="22">
        <v>1000</v>
      </c>
      <c r="J2274" s="22">
        <v>1000</v>
      </c>
      <c r="K2274" s="22">
        <v>1000</v>
      </c>
      <c r="L2274" s="22"/>
      <c r="M2274" s="36"/>
      <c r="N2274" s="36"/>
      <c r="O2274" s="36">
        <v>1000</v>
      </c>
      <c r="P2274" s="36">
        <v>1000</v>
      </c>
      <c r="Q2274" s="36">
        <v>1000</v>
      </c>
      <c r="R2274" s="36">
        <v>1000</v>
      </c>
      <c r="S2274" s="36">
        <v>1000</v>
      </c>
      <c r="T2274" s="36"/>
      <c r="U2274" s="36"/>
      <c r="V2274" s="58"/>
      <c r="W2274" s="36">
        <v>1000</v>
      </c>
      <c r="X2274" s="36">
        <v>1000</v>
      </c>
      <c r="Y2274" s="36"/>
      <c r="Z2274" s="36"/>
      <c r="AA2274" s="40"/>
      <c r="AB2274" s="60"/>
      <c r="AC2274" s="98"/>
      <c r="AD2274" s="36"/>
      <c r="AE2274" s="36"/>
      <c r="AF2274" s="36"/>
      <c r="AG2274" s="99"/>
    </row>
    <row r="2275" spans="1:33" ht="13" outlineLevel="1" x14ac:dyDescent="0.3">
      <c r="A2275" s="7" t="s">
        <v>1013</v>
      </c>
      <c r="C2275" s="29"/>
      <c r="D2275" s="36">
        <v>0</v>
      </c>
      <c r="E2275" s="36">
        <v>0</v>
      </c>
      <c r="F2275" s="22">
        <v>0</v>
      </c>
      <c r="G2275" s="22">
        <v>0</v>
      </c>
      <c r="H2275" s="22">
        <v>0</v>
      </c>
      <c r="I2275" s="22">
        <v>0</v>
      </c>
      <c r="J2275" s="22">
        <v>0</v>
      </c>
      <c r="K2275" s="22">
        <v>0</v>
      </c>
      <c r="L2275" s="22"/>
      <c r="M2275" s="36"/>
      <c r="N2275" s="36"/>
      <c r="O2275" s="36">
        <v>0</v>
      </c>
      <c r="P2275" s="36">
        <v>0</v>
      </c>
      <c r="Q2275" s="36">
        <v>0</v>
      </c>
      <c r="R2275" s="36">
        <v>0</v>
      </c>
      <c r="S2275" s="36">
        <v>0</v>
      </c>
      <c r="T2275" s="36"/>
      <c r="U2275" s="36"/>
      <c r="V2275" s="58"/>
      <c r="W2275" s="36">
        <v>0</v>
      </c>
      <c r="X2275" s="36">
        <v>0</v>
      </c>
      <c r="Y2275" s="36"/>
      <c r="Z2275" s="36"/>
      <c r="AA2275" s="40"/>
      <c r="AB2275" s="60"/>
      <c r="AC2275" s="98"/>
      <c r="AD2275" s="36"/>
      <c r="AE2275" s="36"/>
      <c r="AF2275" s="36"/>
      <c r="AG2275" s="99"/>
    </row>
    <row r="2276" spans="1:33" ht="13" outlineLevel="1" x14ac:dyDescent="0.3">
      <c r="A2276" t="s">
        <v>1014</v>
      </c>
      <c r="C2276" s="30"/>
      <c r="D2276" s="36"/>
      <c r="E2276" s="36"/>
      <c r="F2276" s="57"/>
      <c r="G2276" s="57"/>
      <c r="H2276" s="57"/>
      <c r="I2276" s="57"/>
      <c r="J2276" s="57"/>
      <c r="K2276" s="57"/>
      <c r="L2276" s="57"/>
      <c r="M2276" s="36"/>
      <c r="N2276" s="36"/>
      <c r="O2276" s="36"/>
      <c r="P2276" s="36" t="s">
        <v>1015</v>
      </c>
      <c r="Q2276" s="36" t="s">
        <v>1016</v>
      </c>
      <c r="R2276" s="36"/>
      <c r="S2276" s="36"/>
      <c r="T2276" s="36"/>
      <c r="U2276" s="36"/>
      <c r="V2276" s="58"/>
      <c r="W2276" s="36"/>
      <c r="X2276" s="36"/>
      <c r="Y2276" s="36"/>
      <c r="Z2276" s="36"/>
      <c r="AA2276" s="40"/>
      <c r="AB2276" s="60"/>
      <c r="AC2276" s="98"/>
      <c r="AD2276" s="36"/>
      <c r="AE2276" s="36"/>
      <c r="AF2276" s="36"/>
      <c r="AG2276" s="99"/>
    </row>
    <row r="2277" spans="1:33" ht="13" outlineLevel="1" x14ac:dyDescent="0.3">
      <c r="A2277" t="s">
        <v>1017</v>
      </c>
      <c r="C2277" s="31"/>
      <c r="D2277" s="36" t="s">
        <v>1019</v>
      </c>
      <c r="E2277" s="36" t="s">
        <v>1020</v>
      </c>
      <c r="F2277" s="22" t="s">
        <v>1021</v>
      </c>
      <c r="G2277" s="22" t="s">
        <v>1022</v>
      </c>
      <c r="H2277" s="22" t="s">
        <v>1023</v>
      </c>
      <c r="I2277" s="22" t="s">
        <v>1024</v>
      </c>
      <c r="J2277" s="22" t="s">
        <v>1025</v>
      </c>
      <c r="K2277" s="22" t="s">
        <v>1026</v>
      </c>
      <c r="L2277" s="22"/>
      <c r="M2277" s="36"/>
      <c r="N2277" s="36"/>
      <c r="O2277" s="36" t="s">
        <v>1027</v>
      </c>
      <c r="P2277" s="36" t="s">
        <v>1028</v>
      </c>
      <c r="Q2277" s="36" t="s">
        <v>1028</v>
      </c>
      <c r="R2277" s="36" t="s">
        <v>1028</v>
      </c>
      <c r="S2277" s="36" t="s">
        <v>1029</v>
      </c>
      <c r="T2277" s="36"/>
      <c r="U2277" s="36"/>
      <c r="V2277" s="58"/>
      <c r="W2277" s="36" t="s">
        <v>1030</v>
      </c>
      <c r="X2277" s="36" t="s">
        <v>1031</v>
      </c>
      <c r="Y2277" s="36"/>
      <c r="Z2277" s="36"/>
      <c r="AA2277" s="40"/>
      <c r="AB2277" s="60"/>
      <c r="AC2277" s="98"/>
      <c r="AD2277" s="36"/>
      <c r="AE2277" s="36"/>
      <c r="AF2277" s="36"/>
      <c r="AG2277" s="99"/>
    </row>
    <row r="2278" spans="1:33" ht="13" outlineLevel="1" x14ac:dyDescent="0.3">
      <c r="A2278" t="s">
        <v>1041</v>
      </c>
      <c r="C2278" s="31" t="s">
        <v>128</v>
      </c>
      <c r="D2278" s="33">
        <v>0</v>
      </c>
      <c r="E2278" s="33">
        <v>0</v>
      </c>
      <c r="F2278" s="23">
        <v>0</v>
      </c>
      <c r="G2278" s="23">
        <v>0</v>
      </c>
      <c r="H2278" s="23">
        <v>0</v>
      </c>
      <c r="I2278" s="23">
        <v>0</v>
      </c>
      <c r="J2278" s="23">
        <v>0</v>
      </c>
      <c r="K2278" s="23">
        <v>0</v>
      </c>
      <c r="L2278" s="23">
        <f>SUM(F2278:K2278)</f>
        <v>0</v>
      </c>
      <c r="M2278" s="33">
        <f>O2278-E2278</f>
        <v>0</v>
      </c>
      <c r="N2278" s="33">
        <f>O2278-D2278</f>
        <v>0</v>
      </c>
      <c r="O2278" s="33">
        <v>0</v>
      </c>
      <c r="P2278" s="33">
        <v>0</v>
      </c>
      <c r="Q2278" s="33">
        <v>0</v>
      </c>
      <c r="R2278" s="33">
        <v>0</v>
      </c>
      <c r="S2278" s="33">
        <v>0</v>
      </c>
      <c r="T2278" s="33">
        <f>R2278-S2278</f>
        <v>0</v>
      </c>
      <c r="U2278" s="38" t="str">
        <f>IFERROR((R2278/O2278)*100%,"∞")</f>
        <v>∞</v>
      </c>
      <c r="V2278" s="59">
        <f>O2278+W2278</f>
        <v>0</v>
      </c>
      <c r="W2278" s="33">
        <v>0</v>
      </c>
      <c r="X2278" s="33">
        <v>0</v>
      </c>
      <c r="Y2278" s="33"/>
      <c r="Z2278" s="33"/>
      <c r="AA2278" s="42"/>
      <c r="AB2278" s="60"/>
      <c r="AC2278" s="105"/>
      <c r="AD2278" s="93"/>
      <c r="AE2278" s="33">
        <f>SUM(AC2278:AD2278)</f>
        <v>0</v>
      </c>
      <c r="AF2278" s="33">
        <f>R2278+AE2278</f>
        <v>0</v>
      </c>
      <c r="AG2278" s="101">
        <f>AF2278-O2278</f>
        <v>0</v>
      </c>
    </row>
    <row r="2279" spans="1:33" outlineLevel="1" x14ac:dyDescent="0.25">
      <c r="A2279" t="s">
        <v>232</v>
      </c>
    </row>
    <row r="2280" spans="1:33" outlineLevel="1" x14ac:dyDescent="0.25">
      <c r="A2280" t="s">
        <v>944</v>
      </c>
      <c r="M2280" s="19"/>
      <c r="N2280" s="19"/>
    </row>
    <row r="2281" spans="1:33" outlineLevel="1" x14ac:dyDescent="0.25">
      <c r="A2281" t="s">
        <v>946</v>
      </c>
      <c r="E2281" s="19"/>
    </row>
    <row r="2282" spans="1:33" outlineLevel="1" x14ac:dyDescent="0.25">
      <c r="A2282" t="s">
        <v>947</v>
      </c>
      <c r="E2282" s="19"/>
      <c r="F2282" s="19"/>
    </row>
    <row r="2283" spans="1:33" ht="13" outlineLevel="1" x14ac:dyDescent="0.3">
      <c r="A2283" s="20" t="s">
        <v>948</v>
      </c>
    </row>
    <row r="2284" spans="1:33" outlineLevel="1" x14ac:dyDescent="0.25">
      <c r="A2284" s="7" t="s">
        <v>949</v>
      </c>
    </row>
    <row r="2285" spans="1:33" outlineLevel="1" x14ac:dyDescent="0.25">
      <c r="A2285" t="s">
        <v>950</v>
      </c>
    </row>
    <row r="2286" spans="1:33" outlineLevel="1" x14ac:dyDescent="0.25">
      <c r="A2286" t="s">
        <v>951</v>
      </c>
    </row>
    <row r="2287" spans="1:33" ht="13" outlineLevel="1" x14ac:dyDescent="0.3">
      <c r="A2287" s="21" t="str">
        <f>CONCATENATE("sql where a.client = '",$D$172,"' and a.period between '",LEFT($D$170,4),"00' and '",LEFT($D$171,4),"14' and a.version like '%ORIG%'")</f>
        <v>sql where a.client = 'OX' and a.period between '202500' and '202514' and a.version like '%ORIG%'</v>
      </c>
    </row>
    <row r="2288" spans="1:33" outlineLevel="1" x14ac:dyDescent="0.25">
      <c r="A2288" t="s">
        <v>952</v>
      </c>
    </row>
    <row r="2289" spans="1:3" outlineLevel="1" x14ac:dyDescent="0.25">
      <c r="A2289" t="s">
        <v>953</v>
      </c>
    </row>
    <row r="2290" spans="1:3" outlineLevel="1" x14ac:dyDescent="0.25">
      <c r="A2290" t="s">
        <v>954</v>
      </c>
    </row>
    <row r="2291" spans="1:3" ht="13" outlineLevel="1" x14ac:dyDescent="0.3">
      <c r="A2291" s="20" t="s">
        <v>955</v>
      </c>
    </row>
    <row r="2292" spans="1:3" outlineLevel="1" x14ac:dyDescent="0.25">
      <c r="A2292" s="7" t="s">
        <v>956</v>
      </c>
    </row>
    <row r="2293" spans="1:3" outlineLevel="1" x14ac:dyDescent="0.25">
      <c r="A2293" t="s">
        <v>950</v>
      </c>
    </row>
    <row r="2294" spans="1:3" outlineLevel="1" x14ac:dyDescent="0.25">
      <c r="A2294" t="s">
        <v>951</v>
      </c>
    </row>
    <row r="2295" spans="1:3" ht="14.5" outlineLevel="1" x14ac:dyDescent="0.35">
      <c r="A2295"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295" s="2"/>
    </row>
    <row r="2296" spans="1:3" outlineLevel="1" x14ac:dyDescent="0.25">
      <c r="A2296" t="s">
        <v>952</v>
      </c>
    </row>
    <row r="2297" spans="1:3" outlineLevel="1" x14ac:dyDescent="0.25">
      <c r="A2297" t="s">
        <v>953</v>
      </c>
    </row>
    <row r="2298" spans="1:3" outlineLevel="1" x14ac:dyDescent="0.25">
      <c r="A2298" t="s">
        <v>954</v>
      </c>
    </row>
    <row r="2299" spans="1:3" ht="13" outlineLevel="1" x14ac:dyDescent="0.3">
      <c r="A2299" s="66" t="s">
        <v>957</v>
      </c>
    </row>
    <row r="2300" spans="1:3" outlineLevel="1" x14ac:dyDescent="0.25">
      <c r="A2300" t="s">
        <v>958</v>
      </c>
    </row>
    <row r="2301" spans="1:3" outlineLevel="1" x14ac:dyDescent="0.25">
      <c r="A2301" t="s">
        <v>950</v>
      </c>
    </row>
    <row r="2302" spans="1:3" ht="13" outlineLevel="1" x14ac:dyDescent="0.3">
      <c r="A230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303" spans="1:3" ht="13" outlineLevel="1" x14ac:dyDescent="0.3">
      <c r="A2303" s="21" t="s">
        <v>959</v>
      </c>
    </row>
    <row r="2304" spans="1:3" outlineLevel="1" x14ac:dyDescent="0.25">
      <c r="A2304" t="s">
        <v>960</v>
      </c>
    </row>
    <row r="2305" spans="1:1" outlineLevel="1" x14ac:dyDescent="0.25">
      <c r="A2305" t="s">
        <v>961</v>
      </c>
    </row>
    <row r="2306" spans="1:1" outlineLevel="1" x14ac:dyDescent="0.25">
      <c r="A2306" t="str">
        <f>CONCATENATE("sql left outer join acrtrees t on t.client = x.client and x.dim_1 = t.cat_1 and t.att_agrid = '",$F$159,"'")</f>
        <v>sql left outer join acrtrees t on t.client = x.client and x.dim_1 = t.cat_1 and t.att_agrid = '53'</v>
      </c>
    </row>
    <row r="2307" spans="1:1" ht="13" outlineLevel="1" x14ac:dyDescent="0.3">
      <c r="A230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308" spans="1:1" ht="13" outlineLevel="1" x14ac:dyDescent="0.3">
      <c r="A2308" s="21" t="s">
        <v>962</v>
      </c>
    </row>
    <row r="2309" spans="1:1" ht="13" outlineLevel="1" x14ac:dyDescent="0.3">
      <c r="A2309"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310" spans="1:1" ht="13" outlineLevel="1" x14ac:dyDescent="0.3">
      <c r="A2310" s="21" t="s">
        <v>963</v>
      </c>
    </row>
    <row r="2311" spans="1:1" outlineLevel="1" x14ac:dyDescent="0.25">
      <c r="A2311" t="s">
        <v>964</v>
      </c>
    </row>
    <row r="2312" spans="1:1" outlineLevel="1" x14ac:dyDescent="0.25">
      <c r="A2312" t="s">
        <v>965</v>
      </c>
    </row>
    <row r="2313" spans="1:1" outlineLevel="1" x14ac:dyDescent="0.25">
      <c r="A2313" t="s">
        <v>966</v>
      </c>
    </row>
    <row r="2314" spans="1:1" outlineLevel="1" x14ac:dyDescent="0.25">
      <c r="A2314" t="s">
        <v>953</v>
      </c>
    </row>
    <row r="2315" spans="1:1" outlineLevel="1" x14ac:dyDescent="0.25">
      <c r="A2315" t="s">
        <v>954</v>
      </c>
    </row>
    <row r="2316" spans="1:1" ht="13" outlineLevel="1" x14ac:dyDescent="0.3">
      <c r="A2316" s="66" t="s">
        <v>967</v>
      </c>
    </row>
    <row r="2317" spans="1:1" outlineLevel="1" x14ac:dyDescent="0.25">
      <c r="A2317" t="s">
        <v>968</v>
      </c>
    </row>
    <row r="2318" spans="1:1" outlineLevel="1" x14ac:dyDescent="0.25">
      <c r="A2318" t="s">
        <v>950</v>
      </c>
    </row>
    <row r="2319" spans="1:1" ht="13" outlineLevel="1" x14ac:dyDescent="0.3">
      <c r="A231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320" spans="1:1" ht="13" outlineLevel="1" x14ac:dyDescent="0.3">
      <c r="A2320" s="21" t="s">
        <v>969</v>
      </c>
    </row>
    <row r="2321" spans="1:1" ht="13" outlineLevel="1" x14ac:dyDescent="0.3">
      <c r="A2321" s="21" t="s">
        <v>959</v>
      </c>
    </row>
    <row r="2322" spans="1:1" outlineLevel="1" x14ac:dyDescent="0.25">
      <c r="A2322" t="s">
        <v>960</v>
      </c>
    </row>
    <row r="2323" spans="1:1" outlineLevel="1" x14ac:dyDescent="0.25">
      <c r="A2323" t="s">
        <v>961</v>
      </c>
    </row>
    <row r="2324" spans="1:1" outlineLevel="1" x14ac:dyDescent="0.25">
      <c r="A2324" t="str">
        <f>CONCATENATE("sql left outer join acrtrees t on t.client = x.client and x.dim_1 = t.cat_1 and t.att_agrid = '",$F$159,"'")</f>
        <v>sql left outer join acrtrees t on t.client = x.client and x.dim_1 = t.cat_1 and t.att_agrid = '53'</v>
      </c>
    </row>
    <row r="2325" spans="1:1" ht="13" outlineLevel="1" x14ac:dyDescent="0.3">
      <c r="A232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326" spans="1:1" ht="13" outlineLevel="1" x14ac:dyDescent="0.3">
      <c r="A2326" s="21" t="s">
        <v>970</v>
      </c>
    </row>
    <row r="2327" spans="1:1" ht="13" outlineLevel="1" x14ac:dyDescent="0.3">
      <c r="A2327" s="21" t="s">
        <v>962</v>
      </c>
    </row>
    <row r="2328" spans="1:1" ht="13" outlineLevel="1" x14ac:dyDescent="0.3">
      <c r="A2328"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329" spans="1:1" ht="13" outlineLevel="1" x14ac:dyDescent="0.3">
      <c r="A2329" s="21" t="s">
        <v>970</v>
      </c>
    </row>
    <row r="2330" spans="1:1" ht="13" outlineLevel="1" x14ac:dyDescent="0.3">
      <c r="A2330" s="21" t="s">
        <v>963</v>
      </c>
    </row>
    <row r="2331" spans="1:1" outlineLevel="1" x14ac:dyDescent="0.25">
      <c r="A2331" t="s">
        <v>964</v>
      </c>
    </row>
    <row r="2332" spans="1:1" outlineLevel="1" x14ac:dyDescent="0.25">
      <c r="A2332" t="s">
        <v>965</v>
      </c>
    </row>
    <row r="2333" spans="1:1" outlineLevel="1" x14ac:dyDescent="0.25">
      <c r="A2333" t="s">
        <v>966</v>
      </c>
    </row>
    <row r="2334" spans="1:1" outlineLevel="1" x14ac:dyDescent="0.25">
      <c r="A2334" t="s">
        <v>953</v>
      </c>
    </row>
    <row r="2335" spans="1:1" outlineLevel="1" x14ac:dyDescent="0.25">
      <c r="A2335" t="s">
        <v>954</v>
      </c>
    </row>
    <row r="2336" spans="1:1" ht="13" outlineLevel="1" x14ac:dyDescent="0.3">
      <c r="A2336" s="66" t="s">
        <v>971</v>
      </c>
    </row>
    <row r="2337" spans="1:1" outlineLevel="1" x14ac:dyDescent="0.25">
      <c r="A2337" t="s">
        <v>972</v>
      </c>
    </row>
    <row r="2338" spans="1:1" outlineLevel="1" x14ac:dyDescent="0.25">
      <c r="A2338" t="s">
        <v>950</v>
      </c>
    </row>
    <row r="2339" spans="1:1" ht="13" outlineLevel="1" x14ac:dyDescent="0.3">
      <c r="A233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340" spans="1:1" ht="13" outlineLevel="1" x14ac:dyDescent="0.3">
      <c r="A2340" s="21" t="s">
        <v>959</v>
      </c>
    </row>
    <row r="2341" spans="1:1" outlineLevel="1" x14ac:dyDescent="0.25">
      <c r="A2341" t="s">
        <v>960</v>
      </c>
    </row>
    <row r="2342" spans="1:1" outlineLevel="1" x14ac:dyDescent="0.25">
      <c r="A2342" t="s">
        <v>961</v>
      </c>
    </row>
    <row r="2343" spans="1:1" outlineLevel="1" x14ac:dyDescent="0.25">
      <c r="A2343" t="str">
        <f>CONCATENATE("sql left outer join acrtrees t on t.client = x.client and x.dim_1 = t.cat_1 and t.att_agrid = '",$F$159,"'")</f>
        <v>sql left outer join acrtrees t on t.client = x.client and x.dim_1 = t.cat_1 and t.att_agrid = '53'</v>
      </c>
    </row>
    <row r="2344" spans="1:1" ht="13" outlineLevel="1" x14ac:dyDescent="0.3">
      <c r="A234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345" spans="1:1" ht="13" outlineLevel="1" x14ac:dyDescent="0.3">
      <c r="A2345" s="21" t="s">
        <v>973</v>
      </c>
    </row>
    <row r="2346" spans="1:1" outlineLevel="1" x14ac:dyDescent="0.25">
      <c r="A2346" t="s">
        <v>964</v>
      </c>
    </row>
    <row r="2347" spans="1:1" outlineLevel="1" x14ac:dyDescent="0.25">
      <c r="A2347" t="s">
        <v>965</v>
      </c>
    </row>
    <row r="2348" spans="1:1" outlineLevel="1" x14ac:dyDescent="0.25">
      <c r="A2348" t="s">
        <v>966</v>
      </c>
    </row>
    <row r="2349" spans="1:1" outlineLevel="1" x14ac:dyDescent="0.25">
      <c r="A2349" t="s">
        <v>953</v>
      </c>
    </row>
    <row r="2350" spans="1:1" outlineLevel="1" x14ac:dyDescent="0.25">
      <c r="A2350" t="s">
        <v>954</v>
      </c>
    </row>
    <row r="2351" spans="1:1" ht="13" outlineLevel="1" x14ac:dyDescent="0.3">
      <c r="A2351" s="66" t="s">
        <v>974</v>
      </c>
    </row>
    <row r="2352" spans="1:1" outlineLevel="1" x14ac:dyDescent="0.25">
      <c r="A2352" t="s">
        <v>975</v>
      </c>
    </row>
    <row r="2353" spans="1:1" outlineLevel="1" x14ac:dyDescent="0.25">
      <c r="A2353" t="s">
        <v>950</v>
      </c>
    </row>
    <row r="2354" spans="1:1" ht="13" outlineLevel="1" x14ac:dyDescent="0.3">
      <c r="A235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355" spans="1:1" ht="13" outlineLevel="1" x14ac:dyDescent="0.3">
      <c r="A2355" s="21" t="s">
        <v>959</v>
      </c>
    </row>
    <row r="2356" spans="1:1" outlineLevel="1" x14ac:dyDescent="0.25">
      <c r="A2356" t="s">
        <v>960</v>
      </c>
    </row>
    <row r="2357" spans="1:1" outlineLevel="1" x14ac:dyDescent="0.25">
      <c r="A2357" t="s">
        <v>961</v>
      </c>
    </row>
    <row r="2358" spans="1:1" outlineLevel="1" x14ac:dyDescent="0.25">
      <c r="A2358" t="str">
        <f>CONCATENATE("sql left outer join acrtrees t on t.client = x.client and x.dim_1 = t.cat_1 and t.att_agrid = '",$F$159,"'")</f>
        <v>sql left outer join acrtrees t on t.client = x.client and x.dim_1 = t.cat_1 and t.att_agrid = '53'</v>
      </c>
    </row>
    <row r="2359" spans="1:1" ht="13" outlineLevel="1" x14ac:dyDescent="0.3">
      <c r="A235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360" spans="1:1" ht="13" outlineLevel="1" x14ac:dyDescent="0.3">
      <c r="A2360" s="21" t="s">
        <v>973</v>
      </c>
    </row>
    <row r="2361" spans="1:1" outlineLevel="1" x14ac:dyDescent="0.25">
      <c r="A2361" t="s">
        <v>964</v>
      </c>
    </row>
    <row r="2362" spans="1:1" outlineLevel="1" x14ac:dyDescent="0.25">
      <c r="A2362" t="s">
        <v>965</v>
      </c>
    </row>
    <row r="2363" spans="1:1" outlineLevel="1" x14ac:dyDescent="0.25">
      <c r="A2363" t="s">
        <v>966</v>
      </c>
    </row>
    <row r="2364" spans="1:1" outlineLevel="1" x14ac:dyDescent="0.25">
      <c r="A2364" t="s">
        <v>953</v>
      </c>
    </row>
    <row r="2365" spans="1:1" outlineLevel="1" x14ac:dyDescent="0.25">
      <c r="A2365" t="s">
        <v>954</v>
      </c>
    </row>
    <row r="2366" spans="1:1" ht="13" outlineLevel="1" x14ac:dyDescent="0.3">
      <c r="A2366" s="66" t="s">
        <v>976</v>
      </c>
    </row>
    <row r="2367" spans="1:1" outlineLevel="1" x14ac:dyDescent="0.25">
      <c r="A2367" t="s">
        <v>977</v>
      </c>
    </row>
    <row r="2368" spans="1:1" outlineLevel="1" x14ac:dyDescent="0.25">
      <c r="A2368" t="s">
        <v>950</v>
      </c>
    </row>
    <row r="2369" spans="1:1" ht="13" outlineLevel="1" x14ac:dyDescent="0.3">
      <c r="A236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370" spans="1:1" ht="13" outlineLevel="1" x14ac:dyDescent="0.3">
      <c r="A2370" s="21" t="s">
        <v>959</v>
      </c>
    </row>
    <row r="2371" spans="1:1" outlineLevel="1" x14ac:dyDescent="0.25">
      <c r="A2371" t="s">
        <v>960</v>
      </c>
    </row>
    <row r="2372" spans="1:1" outlineLevel="1" x14ac:dyDescent="0.25">
      <c r="A2372" t="s">
        <v>961</v>
      </c>
    </row>
    <row r="2373" spans="1:1" outlineLevel="1" x14ac:dyDescent="0.25">
      <c r="A2373" t="str">
        <f>CONCATENATE("sql left outer join acrtrees t on t.client = x.client and x.dim_1 = t.cat_1 and t.att_agrid = '",$F$159,"'")</f>
        <v>sql left outer join acrtrees t on t.client = x.client and x.dim_1 = t.cat_1 and t.att_agrid = '53'</v>
      </c>
    </row>
    <row r="2374" spans="1:1" ht="13" outlineLevel="1" x14ac:dyDescent="0.3">
      <c r="A237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375" spans="1:1" ht="13" outlineLevel="1" x14ac:dyDescent="0.3">
      <c r="A2375" s="21" t="s">
        <v>978</v>
      </c>
    </row>
    <row r="2376" spans="1:1" outlineLevel="1" x14ac:dyDescent="0.25">
      <c r="A2376" t="s">
        <v>979</v>
      </c>
    </row>
    <row r="2377" spans="1:1" outlineLevel="1" x14ac:dyDescent="0.25">
      <c r="A2377" t="s">
        <v>980</v>
      </c>
    </row>
    <row r="2378" spans="1:1" outlineLevel="1" x14ac:dyDescent="0.25">
      <c r="A2378" t="s">
        <v>966</v>
      </c>
    </row>
    <row r="2379" spans="1:1" outlineLevel="1" x14ac:dyDescent="0.25">
      <c r="A2379" t="s">
        <v>953</v>
      </c>
    </row>
    <row r="2380" spans="1:1" outlineLevel="1" x14ac:dyDescent="0.25">
      <c r="A2380" t="s">
        <v>954</v>
      </c>
    </row>
    <row r="2381" spans="1:1" ht="13" outlineLevel="1" x14ac:dyDescent="0.3">
      <c r="A2381" s="66" t="s">
        <v>981</v>
      </c>
    </row>
    <row r="2382" spans="1:1" outlineLevel="1" x14ac:dyDescent="0.25">
      <c r="A2382" t="s">
        <v>982</v>
      </c>
    </row>
    <row r="2383" spans="1:1" outlineLevel="1" x14ac:dyDescent="0.25">
      <c r="A2383" t="s">
        <v>950</v>
      </c>
    </row>
    <row r="2384" spans="1:1" ht="13" outlineLevel="1" x14ac:dyDescent="0.3">
      <c r="A238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385" spans="1:1" ht="13" outlineLevel="1" x14ac:dyDescent="0.3">
      <c r="A2385" s="21" t="s">
        <v>969</v>
      </c>
    </row>
    <row r="2386" spans="1:1" ht="13" outlineLevel="1" x14ac:dyDescent="0.3">
      <c r="A2386" s="21" t="s">
        <v>959</v>
      </c>
    </row>
    <row r="2387" spans="1:1" outlineLevel="1" x14ac:dyDescent="0.25">
      <c r="A2387" t="s">
        <v>960</v>
      </c>
    </row>
    <row r="2388" spans="1:1" outlineLevel="1" x14ac:dyDescent="0.25">
      <c r="A2388" t="s">
        <v>961</v>
      </c>
    </row>
    <row r="2389" spans="1:1" outlineLevel="1" x14ac:dyDescent="0.25">
      <c r="A2389" t="str">
        <f>CONCATENATE("sql left outer join acrtrees t on t.client = x.client and x.dim_1 = t.cat_1 and t.att_agrid = '",$F$159,"'")</f>
        <v>sql left outer join acrtrees t on t.client = x.client and x.dim_1 = t.cat_1 and t.att_agrid = '53'</v>
      </c>
    </row>
    <row r="2390" spans="1:1" ht="13" outlineLevel="1" x14ac:dyDescent="0.3">
      <c r="A239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391" spans="1:1" ht="13" outlineLevel="1" x14ac:dyDescent="0.3">
      <c r="A2391" s="21" t="s">
        <v>970</v>
      </c>
    </row>
    <row r="2392" spans="1:1" ht="13" outlineLevel="1" x14ac:dyDescent="0.3">
      <c r="A2392" s="21" t="s">
        <v>978</v>
      </c>
    </row>
    <row r="2393" spans="1:1" outlineLevel="1" x14ac:dyDescent="0.25">
      <c r="A2393" t="s">
        <v>979</v>
      </c>
    </row>
    <row r="2394" spans="1:1" outlineLevel="1" x14ac:dyDescent="0.25">
      <c r="A2394" t="s">
        <v>980</v>
      </c>
    </row>
    <row r="2395" spans="1:1" outlineLevel="1" x14ac:dyDescent="0.25">
      <c r="A2395" t="s">
        <v>966</v>
      </c>
    </row>
    <row r="2396" spans="1:1" outlineLevel="1" x14ac:dyDescent="0.25">
      <c r="A2396" t="s">
        <v>953</v>
      </c>
    </row>
    <row r="2397" spans="1:1" outlineLevel="1" x14ac:dyDescent="0.25">
      <c r="A2397" t="s">
        <v>954</v>
      </c>
    </row>
    <row r="2398" spans="1:1" ht="13" outlineLevel="1" x14ac:dyDescent="0.3">
      <c r="A2398" s="20" t="s">
        <v>983</v>
      </c>
    </row>
    <row r="2399" spans="1:1" outlineLevel="1" x14ac:dyDescent="0.25">
      <c r="A2399" s="7" t="s">
        <v>984</v>
      </c>
    </row>
    <row r="2400" spans="1:1" outlineLevel="1" x14ac:dyDescent="0.25">
      <c r="A2400" t="s">
        <v>950</v>
      </c>
    </row>
    <row r="2401" spans="1:3" outlineLevel="1" x14ac:dyDescent="0.25">
      <c r="A2401" t="s">
        <v>951</v>
      </c>
    </row>
    <row r="2402" spans="1:3" ht="14.5" outlineLevel="1" x14ac:dyDescent="0.35">
      <c r="A2402"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402" s="2"/>
    </row>
    <row r="2403" spans="1:3" outlineLevel="1" x14ac:dyDescent="0.25">
      <c r="A2403" t="s">
        <v>952</v>
      </c>
    </row>
    <row r="2404" spans="1:3" outlineLevel="1" x14ac:dyDescent="0.25">
      <c r="A2404" t="s">
        <v>953</v>
      </c>
    </row>
    <row r="2405" spans="1:3" outlineLevel="1" x14ac:dyDescent="0.25">
      <c r="A2405" t="s">
        <v>954</v>
      </c>
    </row>
    <row r="2406" spans="1:3" ht="13" outlineLevel="1" x14ac:dyDescent="0.3">
      <c r="A2406" s="20" t="s">
        <v>985</v>
      </c>
    </row>
    <row r="2407" spans="1:3" outlineLevel="1" x14ac:dyDescent="0.25">
      <c r="A2407" s="7" t="s">
        <v>986</v>
      </c>
    </row>
    <row r="2408" spans="1:3" outlineLevel="1" x14ac:dyDescent="0.25">
      <c r="A2408" t="s">
        <v>987</v>
      </c>
    </row>
    <row r="2409" spans="1:3" ht="13" outlineLevel="1" x14ac:dyDescent="0.3">
      <c r="A2409" s="21" t="str">
        <f>CONCATENATE("sql where a.client = '",$D$172,"' and a.period between '",LEFT($D$170,4),"00' and '",IF(RIGHT($D$171,2)="12",CONCATENATE(LEFT($D$171,4),"14"),$D$171),"'")</f>
        <v>sql where a.client = 'OX' and a.period between '202500' and '202506'</v>
      </c>
    </row>
    <row r="2410" spans="1:3" outlineLevel="1" x14ac:dyDescent="0.25">
      <c r="A2410" t="s">
        <v>952</v>
      </c>
    </row>
    <row r="2411" spans="1:3" outlineLevel="1" x14ac:dyDescent="0.25">
      <c r="A2411" t="s">
        <v>953</v>
      </c>
    </row>
    <row r="2412" spans="1:3" outlineLevel="1" x14ac:dyDescent="0.25">
      <c r="A2412" t="s">
        <v>954</v>
      </c>
    </row>
    <row r="2413" spans="1:3" ht="13" outlineLevel="1" x14ac:dyDescent="0.3">
      <c r="A2413" s="20" t="s">
        <v>988</v>
      </c>
    </row>
    <row r="2414" spans="1:3" outlineLevel="1" x14ac:dyDescent="0.25">
      <c r="A2414" s="7" t="s">
        <v>989</v>
      </c>
    </row>
    <row r="2415" spans="1:3" outlineLevel="1" x14ac:dyDescent="0.25">
      <c r="A2415" t="s">
        <v>950</v>
      </c>
    </row>
    <row r="2416" spans="1:3" outlineLevel="1" x14ac:dyDescent="0.25">
      <c r="A2416" t="s">
        <v>951</v>
      </c>
    </row>
    <row r="2417" spans="1:1" ht="13" outlineLevel="1" x14ac:dyDescent="0.3">
      <c r="A2417"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418" spans="1:1" outlineLevel="1" x14ac:dyDescent="0.25">
      <c r="A2418" t="s">
        <v>952</v>
      </c>
    </row>
    <row r="2419" spans="1:1" outlineLevel="1" x14ac:dyDescent="0.25">
      <c r="A2419" t="s">
        <v>953</v>
      </c>
    </row>
    <row r="2420" spans="1:1" outlineLevel="1" x14ac:dyDescent="0.25">
      <c r="A2420" t="s">
        <v>954</v>
      </c>
    </row>
    <row r="2421" spans="1:1" ht="13" outlineLevel="1" x14ac:dyDescent="0.3">
      <c r="A2421" s="20" t="s">
        <v>990</v>
      </c>
    </row>
    <row r="2422" spans="1:1" outlineLevel="1" x14ac:dyDescent="0.25">
      <c r="A2422" s="7" t="s">
        <v>991</v>
      </c>
    </row>
    <row r="2423" spans="1:1" outlineLevel="1" x14ac:dyDescent="0.25">
      <c r="A2423" t="s">
        <v>950</v>
      </c>
    </row>
    <row r="2424" spans="1:1" outlineLevel="1" x14ac:dyDescent="0.25">
      <c r="A2424" t="s">
        <v>951</v>
      </c>
    </row>
    <row r="2425" spans="1:1" ht="13" outlineLevel="1" x14ac:dyDescent="0.3">
      <c r="A242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426" spans="1:1" outlineLevel="1" x14ac:dyDescent="0.25">
      <c r="A2426" t="s">
        <v>952</v>
      </c>
    </row>
    <row r="2427" spans="1:1" outlineLevel="1" x14ac:dyDescent="0.25">
      <c r="A2427" t="s">
        <v>953</v>
      </c>
    </row>
    <row r="2428" spans="1:1" outlineLevel="1" x14ac:dyDescent="0.25">
      <c r="A2428" t="s">
        <v>954</v>
      </c>
    </row>
    <row r="2429" spans="1:1" ht="13" outlineLevel="1" x14ac:dyDescent="0.3">
      <c r="A2429" s="20" t="s">
        <v>992</v>
      </c>
    </row>
    <row r="2430" spans="1:1" outlineLevel="1" x14ac:dyDescent="0.25">
      <c r="A2430" s="7" t="s">
        <v>993</v>
      </c>
    </row>
    <row r="2431" spans="1:1" outlineLevel="1" x14ac:dyDescent="0.25">
      <c r="A2431" t="s">
        <v>950</v>
      </c>
    </row>
    <row r="2432" spans="1:1" outlineLevel="1" x14ac:dyDescent="0.25">
      <c r="A2432" t="s">
        <v>951</v>
      </c>
    </row>
    <row r="2433" spans="1:33" ht="13" outlineLevel="1" x14ac:dyDescent="0.3">
      <c r="A243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434" spans="1:33" outlineLevel="1" x14ac:dyDescent="0.25">
      <c r="A2434" t="s">
        <v>952</v>
      </c>
    </row>
    <row r="2435" spans="1:33" outlineLevel="1" x14ac:dyDescent="0.25">
      <c r="A2435" t="s">
        <v>953</v>
      </c>
    </row>
    <row r="2436" spans="1:33" outlineLevel="1" x14ac:dyDescent="0.25">
      <c r="A2436" t="s">
        <v>994</v>
      </c>
    </row>
    <row r="2437" spans="1:33" outlineLevel="1" x14ac:dyDescent="0.25">
      <c r="A2437" t="str">
        <f>CONCATENATE("sql left outer join acrtrees t on t.client = u.client and u.dim_1 = t.cat_1 and t.att_agrid = '",$F$159,"'")</f>
        <v>sql left outer join acrtrees t on t.client = u.client and u.dim_1 = t.cat_1 and t.att_agrid = '53'</v>
      </c>
    </row>
    <row r="2438" spans="1:33" outlineLevel="1" x14ac:dyDescent="0.25">
      <c r="A2438" t="str">
        <f>CONCATENATE("sql left outer join acrtrees s on s.client = u.client and u.account = s.cat_1 and s.att_agrid = '",$F$160,"'")</f>
        <v>sql left outer join acrtrees s on s.client = u.client and u.account = s.cat_1 and s.att_agrid = '14'</v>
      </c>
    </row>
    <row r="2439" spans="1:33" outlineLevel="1" x14ac:dyDescent="0.25">
      <c r="A2439" t="str">
        <f>CONCATENATE("sql left outer join acrtrees v on v.client = u.client and u.account = v.cat_1 and v.att_agrid = '",$F$161,"'")</f>
        <v>sql left outer join acrtrees v on v.client = u.client and u.account = v.cat_1 and v.att_agrid = '17'</v>
      </c>
    </row>
    <row r="2440" spans="1:33" outlineLevel="1" x14ac:dyDescent="0.25">
      <c r="A2440" t="str">
        <f>CONCATENATE("sql left outer join agldescription d on d.client = u.client and d.dim_value = t.dim_c and d.attribute_id = '",$F$162,"'")</f>
        <v>sql left outer join agldescription d on d.client = u.client and d.dim_value = t.dim_c and d.attribute_id = '82'</v>
      </c>
    </row>
    <row r="2441" spans="1:33" outlineLevel="1" x14ac:dyDescent="0.25">
      <c r="A2441" t="str">
        <f>CONCATENATE("sql left outer join agldescription e on e.client = u.client and e.dim_value = t.dim_b and e.attribute_id = '",$F$163,"'")</f>
        <v>sql left outer join agldescription e on e.client = u.client and e.dim_value = t.dim_b and e.attribute_id = '81'</v>
      </c>
    </row>
    <row r="2442" spans="1:33" outlineLevel="1" x14ac:dyDescent="0.25">
      <c r="A2442" t="str">
        <f>CONCATENATE("sql left outer join agldescription f on f.client = u.client and f.dim_value = t.dim_e and f.attribute_id = '",$F$164,"'")</f>
        <v>sql left outer join agldescription f on f.client = u.client and f.dim_value = t.dim_e and f.attribute_id = '80'</v>
      </c>
    </row>
    <row r="2443" spans="1:33" outlineLevel="1" x14ac:dyDescent="0.25">
      <c r="A2443" t="str">
        <f>CONCATENATE("sql left outer join agldescription g on g.client = u.client and g.dim_value = u.account and g.attribute_id = '",$F$165,"'")</f>
        <v>sql left outer join agldescription g on g.client = u.client and g.dim_value = u.account and g.attribute_id = 'A0'</v>
      </c>
    </row>
    <row r="2444" spans="1:33" ht="14.5" outlineLevel="1" x14ac:dyDescent="0.35">
      <c r="A2444" s="67" t="s">
        <v>1060</v>
      </c>
      <c r="G2444" s="737" t="s">
        <v>1061</v>
      </c>
    </row>
    <row r="2445" spans="1:33" outlineLevel="1" x14ac:dyDescent="0.25">
      <c r="A2445" t="s">
        <v>1005</v>
      </c>
    </row>
    <row r="2446" spans="1:33" outlineLevel="1" x14ac:dyDescent="0.25">
      <c r="A2446" t="s">
        <v>1006</v>
      </c>
    </row>
    <row r="2447" spans="1:33" outlineLevel="1" x14ac:dyDescent="0.25">
      <c r="A2447" t="s">
        <v>1007</v>
      </c>
    </row>
    <row r="2448" spans="1:33" ht="13" outlineLevel="1" x14ac:dyDescent="0.3">
      <c r="A2448" t="s">
        <v>1012</v>
      </c>
      <c r="C2448" s="29"/>
      <c r="D2448" s="36">
        <v>1000</v>
      </c>
      <c r="E2448" s="36">
        <v>1000</v>
      </c>
      <c r="F2448" s="22">
        <v>1000</v>
      </c>
      <c r="G2448" s="22">
        <v>1000</v>
      </c>
      <c r="H2448" s="22">
        <v>1000</v>
      </c>
      <c r="I2448" s="22">
        <v>1000</v>
      </c>
      <c r="J2448" s="22">
        <v>1000</v>
      </c>
      <c r="K2448" s="22">
        <v>1000</v>
      </c>
      <c r="L2448" s="22"/>
      <c r="M2448" s="36"/>
      <c r="N2448" s="36"/>
      <c r="O2448" s="36">
        <v>1000</v>
      </c>
      <c r="P2448" s="36">
        <v>1000</v>
      </c>
      <c r="Q2448" s="36">
        <v>1000</v>
      </c>
      <c r="R2448" s="36">
        <v>1000</v>
      </c>
      <c r="S2448" s="36">
        <v>1000</v>
      </c>
      <c r="T2448" s="36"/>
      <c r="U2448" s="36"/>
      <c r="V2448" s="58"/>
      <c r="W2448" s="36">
        <v>1000</v>
      </c>
      <c r="X2448" s="36">
        <v>1000</v>
      </c>
      <c r="Y2448" s="36"/>
      <c r="Z2448" s="36"/>
      <c r="AA2448" s="40"/>
      <c r="AB2448" s="60"/>
      <c r="AC2448" s="98"/>
      <c r="AD2448" s="36"/>
      <c r="AE2448" s="36"/>
      <c r="AF2448" s="36"/>
      <c r="AG2448" s="99"/>
    </row>
    <row r="2449" spans="1:33" ht="13" outlineLevel="1" x14ac:dyDescent="0.3">
      <c r="A2449" s="7" t="s">
        <v>1013</v>
      </c>
      <c r="C2449" s="29"/>
      <c r="D2449" s="36">
        <v>0</v>
      </c>
      <c r="E2449" s="36">
        <v>0</v>
      </c>
      <c r="F2449" s="22">
        <v>0</v>
      </c>
      <c r="G2449" s="22">
        <v>0</v>
      </c>
      <c r="H2449" s="22">
        <v>0</v>
      </c>
      <c r="I2449" s="22">
        <v>0</v>
      </c>
      <c r="J2449" s="22">
        <v>0</v>
      </c>
      <c r="K2449" s="22">
        <v>0</v>
      </c>
      <c r="L2449" s="22"/>
      <c r="M2449" s="36"/>
      <c r="N2449" s="36"/>
      <c r="O2449" s="36">
        <v>0</v>
      </c>
      <c r="P2449" s="36">
        <v>0</v>
      </c>
      <c r="Q2449" s="36">
        <v>0</v>
      </c>
      <c r="R2449" s="36">
        <v>0</v>
      </c>
      <c r="S2449" s="36">
        <v>0</v>
      </c>
      <c r="T2449" s="36"/>
      <c r="U2449" s="36"/>
      <c r="V2449" s="58"/>
      <c r="W2449" s="36">
        <v>0</v>
      </c>
      <c r="X2449" s="36">
        <v>0</v>
      </c>
      <c r="Y2449" s="36"/>
      <c r="Z2449" s="36"/>
      <c r="AA2449" s="40"/>
      <c r="AB2449" s="60"/>
      <c r="AC2449" s="98"/>
      <c r="AD2449" s="36"/>
      <c r="AE2449" s="36"/>
      <c r="AF2449" s="36"/>
      <c r="AG2449" s="99"/>
    </row>
    <row r="2450" spans="1:33" ht="13" outlineLevel="1" x14ac:dyDescent="0.3">
      <c r="A2450" t="s">
        <v>1014</v>
      </c>
      <c r="C2450" s="30"/>
      <c r="D2450" s="36"/>
      <c r="E2450" s="36"/>
      <c r="F2450" s="57"/>
      <c r="G2450" s="57"/>
      <c r="H2450" s="57"/>
      <c r="I2450" s="57"/>
      <c r="J2450" s="57"/>
      <c r="K2450" s="57"/>
      <c r="L2450" s="57"/>
      <c r="M2450" s="36"/>
      <c r="N2450" s="36"/>
      <c r="O2450" s="36"/>
      <c r="P2450" s="36" t="s">
        <v>1015</v>
      </c>
      <c r="Q2450" s="36" t="s">
        <v>1016</v>
      </c>
      <c r="R2450" s="36"/>
      <c r="S2450" s="36"/>
      <c r="T2450" s="36"/>
      <c r="U2450" s="36"/>
      <c r="V2450" s="58"/>
      <c r="W2450" s="36"/>
      <c r="X2450" s="36"/>
      <c r="Y2450" s="36"/>
      <c r="Z2450" s="36"/>
      <c r="AA2450" s="40"/>
      <c r="AB2450" s="60"/>
      <c r="AC2450" s="98"/>
      <c r="AD2450" s="36"/>
      <c r="AE2450" s="36"/>
      <c r="AF2450" s="36"/>
      <c r="AG2450" s="99"/>
    </row>
    <row r="2451" spans="1:33" ht="13" outlineLevel="1" x14ac:dyDescent="0.3">
      <c r="A2451" t="s">
        <v>1017</v>
      </c>
      <c r="C2451" s="31"/>
      <c r="D2451" s="36" t="s">
        <v>1019</v>
      </c>
      <c r="E2451" s="36" t="s">
        <v>1020</v>
      </c>
      <c r="F2451" s="22" t="s">
        <v>1021</v>
      </c>
      <c r="G2451" s="22" t="s">
        <v>1022</v>
      </c>
      <c r="H2451" s="22" t="s">
        <v>1023</v>
      </c>
      <c r="I2451" s="22" t="s">
        <v>1024</v>
      </c>
      <c r="J2451" s="22" t="s">
        <v>1025</v>
      </c>
      <c r="K2451" s="22" t="s">
        <v>1026</v>
      </c>
      <c r="L2451" s="22"/>
      <c r="M2451" s="36"/>
      <c r="N2451" s="36"/>
      <c r="O2451" s="36" t="s">
        <v>1027</v>
      </c>
      <c r="P2451" s="36" t="s">
        <v>1028</v>
      </c>
      <c r="Q2451" s="36" t="s">
        <v>1028</v>
      </c>
      <c r="R2451" s="36" t="s">
        <v>1028</v>
      </c>
      <c r="S2451" s="36" t="s">
        <v>1029</v>
      </c>
      <c r="T2451" s="36"/>
      <c r="U2451" s="36"/>
      <c r="V2451" s="58"/>
      <c r="W2451" s="36" t="s">
        <v>1030</v>
      </c>
      <c r="X2451" s="36" t="s">
        <v>1031</v>
      </c>
      <c r="Y2451" s="36"/>
      <c r="Z2451" s="36"/>
      <c r="AA2451" s="40"/>
      <c r="AB2451" s="60"/>
      <c r="AC2451" s="98"/>
      <c r="AD2451" s="36"/>
      <c r="AE2451" s="36"/>
      <c r="AF2451" s="36"/>
      <c r="AG2451" s="99"/>
    </row>
    <row r="2452" spans="1:33" ht="13" outlineLevel="1" x14ac:dyDescent="0.3">
      <c r="A2452" t="s">
        <v>1041</v>
      </c>
      <c r="C2452" s="31" t="s">
        <v>129</v>
      </c>
      <c r="D2452" s="33">
        <v>0</v>
      </c>
      <c r="E2452" s="33">
        <v>0</v>
      </c>
      <c r="F2452" s="23">
        <v>0</v>
      </c>
      <c r="G2452" s="23">
        <v>0</v>
      </c>
      <c r="H2452" s="23">
        <v>0</v>
      </c>
      <c r="I2452" s="23">
        <v>0</v>
      </c>
      <c r="J2452" s="23">
        <v>0</v>
      </c>
      <c r="K2452" s="23">
        <v>0</v>
      </c>
      <c r="L2452" s="23">
        <f>SUM(F2452:K2452)</f>
        <v>0</v>
      </c>
      <c r="M2452" s="33">
        <f>O2452-E2452</f>
        <v>0</v>
      </c>
      <c r="N2452" s="33">
        <f>O2452-D2452</f>
        <v>0</v>
      </c>
      <c r="O2452" s="33">
        <v>0</v>
      </c>
      <c r="P2452" s="33">
        <v>0</v>
      </c>
      <c r="Q2452" s="33">
        <v>0</v>
      </c>
      <c r="R2452" s="33">
        <v>0</v>
      </c>
      <c r="S2452" s="33">
        <v>0</v>
      </c>
      <c r="T2452" s="33">
        <f>R2452-S2452</f>
        <v>0</v>
      </c>
      <c r="U2452" s="38" t="str">
        <f>IFERROR((R2452/O2452)*100%,"∞")</f>
        <v>∞</v>
      </c>
      <c r="V2452" s="59">
        <f>O2452+W2452</f>
        <v>0</v>
      </c>
      <c r="W2452" s="33">
        <v>0</v>
      </c>
      <c r="X2452" s="33">
        <v>0</v>
      </c>
      <c r="Y2452" s="33"/>
      <c r="Z2452" s="33"/>
      <c r="AA2452" s="42"/>
      <c r="AB2452" s="60"/>
      <c r="AC2452" s="105"/>
      <c r="AD2452" s="93"/>
      <c r="AE2452" s="33">
        <f>SUM(AC2452:AD2452)</f>
        <v>0</v>
      </c>
      <c r="AF2452" s="33">
        <f>R2452+AE2452</f>
        <v>0</v>
      </c>
      <c r="AG2452" s="101">
        <f>AF2452-O2452</f>
        <v>0</v>
      </c>
    </row>
    <row r="2453" spans="1:33" outlineLevel="1" x14ac:dyDescent="0.25">
      <c r="A2453" t="s">
        <v>232</v>
      </c>
    </row>
    <row r="2454" spans="1:33" outlineLevel="1" x14ac:dyDescent="0.25">
      <c r="A2454" t="s">
        <v>944</v>
      </c>
      <c r="M2454" s="19"/>
      <c r="N2454" s="19"/>
    </row>
    <row r="2455" spans="1:33" outlineLevel="1" x14ac:dyDescent="0.25">
      <c r="A2455" t="s">
        <v>946</v>
      </c>
      <c r="E2455" s="19"/>
    </row>
    <row r="2456" spans="1:33" outlineLevel="1" x14ac:dyDescent="0.25">
      <c r="A2456" t="s">
        <v>947</v>
      </c>
      <c r="E2456" s="19"/>
      <c r="F2456" s="19"/>
    </row>
    <row r="2457" spans="1:33" ht="13" outlineLevel="1" x14ac:dyDescent="0.3">
      <c r="A2457" s="20" t="s">
        <v>948</v>
      </c>
    </row>
    <row r="2458" spans="1:33" outlineLevel="1" x14ac:dyDescent="0.25">
      <c r="A2458" s="7" t="s">
        <v>949</v>
      </c>
    </row>
    <row r="2459" spans="1:33" outlineLevel="1" x14ac:dyDescent="0.25">
      <c r="A2459" t="s">
        <v>950</v>
      </c>
    </row>
    <row r="2460" spans="1:33" outlineLevel="1" x14ac:dyDescent="0.25">
      <c r="A2460" t="s">
        <v>951</v>
      </c>
    </row>
    <row r="2461" spans="1:33" ht="13" outlineLevel="1" x14ac:dyDescent="0.3">
      <c r="A2461" s="21" t="str">
        <f>CONCATENATE("sql where a.client = '",$D$172,"' and a.period between '",LEFT($D$170,4),"00' and '",LEFT($D$171,4),"14' and a.version like '%ORIG%'")</f>
        <v>sql where a.client = 'OX' and a.period between '202500' and '202514' and a.version like '%ORIG%'</v>
      </c>
    </row>
    <row r="2462" spans="1:33" outlineLevel="1" x14ac:dyDescent="0.25">
      <c r="A2462" t="s">
        <v>952</v>
      </c>
    </row>
    <row r="2463" spans="1:33" outlineLevel="1" x14ac:dyDescent="0.25">
      <c r="A2463" t="s">
        <v>953</v>
      </c>
    </row>
    <row r="2464" spans="1:33" outlineLevel="1" x14ac:dyDescent="0.25">
      <c r="A2464" t="s">
        <v>954</v>
      </c>
    </row>
    <row r="2465" spans="1:3" ht="13" outlineLevel="1" x14ac:dyDescent="0.3">
      <c r="A2465" s="20" t="s">
        <v>955</v>
      </c>
    </row>
    <row r="2466" spans="1:3" outlineLevel="1" x14ac:dyDescent="0.25">
      <c r="A2466" s="7" t="s">
        <v>956</v>
      </c>
    </row>
    <row r="2467" spans="1:3" outlineLevel="1" x14ac:dyDescent="0.25">
      <c r="A2467" t="s">
        <v>950</v>
      </c>
    </row>
    <row r="2468" spans="1:3" outlineLevel="1" x14ac:dyDescent="0.25">
      <c r="A2468" t="s">
        <v>951</v>
      </c>
    </row>
    <row r="2469" spans="1:3" ht="14.5" outlineLevel="1" x14ac:dyDescent="0.35">
      <c r="A2469"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469" s="2"/>
    </row>
    <row r="2470" spans="1:3" outlineLevel="1" x14ac:dyDescent="0.25">
      <c r="A2470" t="s">
        <v>952</v>
      </c>
    </row>
    <row r="2471" spans="1:3" outlineLevel="1" x14ac:dyDescent="0.25">
      <c r="A2471" t="s">
        <v>953</v>
      </c>
    </row>
    <row r="2472" spans="1:3" outlineLevel="1" x14ac:dyDescent="0.25">
      <c r="A2472" t="s">
        <v>954</v>
      </c>
    </row>
    <row r="2473" spans="1:3" ht="13" outlineLevel="1" x14ac:dyDescent="0.3">
      <c r="A2473" s="66" t="s">
        <v>957</v>
      </c>
    </row>
    <row r="2474" spans="1:3" outlineLevel="1" x14ac:dyDescent="0.25">
      <c r="A2474" t="s">
        <v>958</v>
      </c>
    </row>
    <row r="2475" spans="1:3" outlineLevel="1" x14ac:dyDescent="0.25">
      <c r="A2475" t="s">
        <v>950</v>
      </c>
    </row>
    <row r="2476" spans="1:3" ht="13" outlineLevel="1" x14ac:dyDescent="0.3">
      <c r="A247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477" spans="1:3" ht="13" outlineLevel="1" x14ac:dyDescent="0.3">
      <c r="A2477" s="21" t="s">
        <v>959</v>
      </c>
    </row>
    <row r="2478" spans="1:3" outlineLevel="1" x14ac:dyDescent="0.25">
      <c r="A2478" t="s">
        <v>960</v>
      </c>
    </row>
    <row r="2479" spans="1:3" outlineLevel="1" x14ac:dyDescent="0.25">
      <c r="A2479" t="s">
        <v>961</v>
      </c>
    </row>
    <row r="2480" spans="1:3" outlineLevel="1" x14ac:dyDescent="0.25">
      <c r="A2480" t="str">
        <f>CONCATENATE("sql left outer join acrtrees t on t.client = x.client and x.dim_1 = t.cat_1 and t.att_agrid = '",$F$159,"'")</f>
        <v>sql left outer join acrtrees t on t.client = x.client and x.dim_1 = t.cat_1 and t.att_agrid = '53'</v>
      </c>
    </row>
    <row r="2481" spans="1:1" ht="13" outlineLevel="1" x14ac:dyDescent="0.3">
      <c r="A248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482" spans="1:1" ht="13" outlineLevel="1" x14ac:dyDescent="0.3">
      <c r="A2482" s="21" t="s">
        <v>962</v>
      </c>
    </row>
    <row r="2483" spans="1:1" ht="13" outlineLevel="1" x14ac:dyDescent="0.3">
      <c r="A2483"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484" spans="1:1" ht="13" outlineLevel="1" x14ac:dyDescent="0.3">
      <c r="A2484" s="21" t="s">
        <v>963</v>
      </c>
    </row>
    <row r="2485" spans="1:1" outlineLevel="1" x14ac:dyDescent="0.25">
      <c r="A2485" t="s">
        <v>964</v>
      </c>
    </row>
    <row r="2486" spans="1:1" outlineLevel="1" x14ac:dyDescent="0.25">
      <c r="A2486" t="s">
        <v>965</v>
      </c>
    </row>
    <row r="2487" spans="1:1" outlineLevel="1" x14ac:dyDescent="0.25">
      <c r="A2487" t="s">
        <v>966</v>
      </c>
    </row>
    <row r="2488" spans="1:1" outlineLevel="1" x14ac:dyDescent="0.25">
      <c r="A2488" t="s">
        <v>953</v>
      </c>
    </row>
    <row r="2489" spans="1:1" outlineLevel="1" x14ac:dyDescent="0.25">
      <c r="A2489" t="s">
        <v>954</v>
      </c>
    </row>
    <row r="2490" spans="1:1" ht="13" outlineLevel="1" x14ac:dyDescent="0.3">
      <c r="A2490" s="66" t="s">
        <v>967</v>
      </c>
    </row>
    <row r="2491" spans="1:1" outlineLevel="1" x14ac:dyDescent="0.25">
      <c r="A2491" t="s">
        <v>968</v>
      </c>
    </row>
    <row r="2492" spans="1:1" outlineLevel="1" x14ac:dyDescent="0.25">
      <c r="A2492" t="s">
        <v>950</v>
      </c>
    </row>
    <row r="2493" spans="1:1" ht="13" outlineLevel="1" x14ac:dyDescent="0.3">
      <c r="A249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494" spans="1:1" ht="13" outlineLevel="1" x14ac:dyDescent="0.3">
      <c r="A2494" s="21" t="s">
        <v>969</v>
      </c>
    </row>
    <row r="2495" spans="1:1" ht="13" outlineLevel="1" x14ac:dyDescent="0.3">
      <c r="A2495" s="21" t="s">
        <v>959</v>
      </c>
    </row>
    <row r="2496" spans="1:1" outlineLevel="1" x14ac:dyDescent="0.25">
      <c r="A2496" t="s">
        <v>960</v>
      </c>
    </row>
    <row r="2497" spans="1:1" outlineLevel="1" x14ac:dyDescent="0.25">
      <c r="A2497" t="s">
        <v>961</v>
      </c>
    </row>
    <row r="2498" spans="1:1" outlineLevel="1" x14ac:dyDescent="0.25">
      <c r="A2498" t="str">
        <f>CONCATENATE("sql left outer join acrtrees t on t.client = x.client and x.dim_1 = t.cat_1 and t.att_agrid = '",$F$159,"'")</f>
        <v>sql left outer join acrtrees t on t.client = x.client and x.dim_1 = t.cat_1 and t.att_agrid = '53'</v>
      </c>
    </row>
    <row r="2499" spans="1:1" ht="13" outlineLevel="1" x14ac:dyDescent="0.3">
      <c r="A249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500" spans="1:1" ht="13" outlineLevel="1" x14ac:dyDescent="0.3">
      <c r="A2500" s="21" t="s">
        <v>970</v>
      </c>
    </row>
    <row r="2501" spans="1:1" ht="13" outlineLevel="1" x14ac:dyDescent="0.3">
      <c r="A2501" s="21" t="s">
        <v>962</v>
      </c>
    </row>
    <row r="2502" spans="1:1" ht="13" outlineLevel="1" x14ac:dyDescent="0.3">
      <c r="A2502"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503" spans="1:1" ht="13" outlineLevel="1" x14ac:dyDescent="0.3">
      <c r="A2503" s="21" t="s">
        <v>970</v>
      </c>
    </row>
    <row r="2504" spans="1:1" ht="13" outlineLevel="1" x14ac:dyDescent="0.3">
      <c r="A2504" s="21" t="s">
        <v>963</v>
      </c>
    </row>
    <row r="2505" spans="1:1" outlineLevel="1" x14ac:dyDescent="0.25">
      <c r="A2505" t="s">
        <v>964</v>
      </c>
    </row>
    <row r="2506" spans="1:1" outlineLevel="1" x14ac:dyDescent="0.25">
      <c r="A2506" t="s">
        <v>965</v>
      </c>
    </row>
    <row r="2507" spans="1:1" outlineLevel="1" x14ac:dyDescent="0.25">
      <c r="A2507" t="s">
        <v>966</v>
      </c>
    </row>
    <row r="2508" spans="1:1" outlineLevel="1" x14ac:dyDescent="0.25">
      <c r="A2508" t="s">
        <v>953</v>
      </c>
    </row>
    <row r="2509" spans="1:1" outlineLevel="1" x14ac:dyDescent="0.25">
      <c r="A2509" t="s">
        <v>954</v>
      </c>
    </row>
    <row r="2510" spans="1:1" ht="13" outlineLevel="1" x14ac:dyDescent="0.3">
      <c r="A2510" s="66" t="s">
        <v>971</v>
      </c>
    </row>
    <row r="2511" spans="1:1" outlineLevel="1" x14ac:dyDescent="0.25">
      <c r="A2511" t="s">
        <v>972</v>
      </c>
    </row>
    <row r="2512" spans="1:1" outlineLevel="1" x14ac:dyDescent="0.25">
      <c r="A2512" t="s">
        <v>950</v>
      </c>
    </row>
    <row r="2513" spans="1:1" ht="13" outlineLevel="1" x14ac:dyDescent="0.3">
      <c r="A251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514" spans="1:1" ht="13" outlineLevel="1" x14ac:dyDescent="0.3">
      <c r="A2514" s="21" t="s">
        <v>959</v>
      </c>
    </row>
    <row r="2515" spans="1:1" outlineLevel="1" x14ac:dyDescent="0.25">
      <c r="A2515" t="s">
        <v>960</v>
      </c>
    </row>
    <row r="2516" spans="1:1" outlineLevel="1" x14ac:dyDescent="0.25">
      <c r="A2516" t="s">
        <v>961</v>
      </c>
    </row>
    <row r="2517" spans="1:1" outlineLevel="1" x14ac:dyDescent="0.25">
      <c r="A2517" t="str">
        <f>CONCATENATE("sql left outer join acrtrees t on t.client = x.client and x.dim_1 = t.cat_1 and t.att_agrid = '",$F$159,"'")</f>
        <v>sql left outer join acrtrees t on t.client = x.client and x.dim_1 = t.cat_1 and t.att_agrid = '53'</v>
      </c>
    </row>
    <row r="2518" spans="1:1" ht="13" outlineLevel="1" x14ac:dyDescent="0.3">
      <c r="A251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519" spans="1:1" ht="13" outlineLevel="1" x14ac:dyDescent="0.3">
      <c r="A2519" s="21" t="s">
        <v>973</v>
      </c>
    </row>
    <row r="2520" spans="1:1" outlineLevel="1" x14ac:dyDescent="0.25">
      <c r="A2520" t="s">
        <v>964</v>
      </c>
    </row>
    <row r="2521" spans="1:1" outlineLevel="1" x14ac:dyDescent="0.25">
      <c r="A2521" t="s">
        <v>965</v>
      </c>
    </row>
    <row r="2522" spans="1:1" outlineLevel="1" x14ac:dyDescent="0.25">
      <c r="A2522" t="s">
        <v>966</v>
      </c>
    </row>
    <row r="2523" spans="1:1" outlineLevel="1" x14ac:dyDescent="0.25">
      <c r="A2523" t="s">
        <v>953</v>
      </c>
    </row>
    <row r="2524" spans="1:1" outlineLevel="1" x14ac:dyDescent="0.25">
      <c r="A2524" t="s">
        <v>954</v>
      </c>
    </row>
    <row r="2525" spans="1:1" ht="13" outlineLevel="1" x14ac:dyDescent="0.3">
      <c r="A2525" s="66" t="s">
        <v>974</v>
      </c>
    </row>
    <row r="2526" spans="1:1" outlineLevel="1" x14ac:dyDescent="0.25">
      <c r="A2526" t="s">
        <v>975</v>
      </c>
    </row>
    <row r="2527" spans="1:1" outlineLevel="1" x14ac:dyDescent="0.25">
      <c r="A2527" t="s">
        <v>950</v>
      </c>
    </row>
    <row r="2528" spans="1:1" ht="13" outlineLevel="1" x14ac:dyDescent="0.3">
      <c r="A252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529" spans="1:1" ht="13" outlineLevel="1" x14ac:dyDescent="0.3">
      <c r="A2529" s="21" t="s">
        <v>959</v>
      </c>
    </row>
    <row r="2530" spans="1:1" outlineLevel="1" x14ac:dyDescent="0.25">
      <c r="A2530" t="s">
        <v>960</v>
      </c>
    </row>
    <row r="2531" spans="1:1" outlineLevel="1" x14ac:dyDescent="0.25">
      <c r="A2531" t="s">
        <v>961</v>
      </c>
    </row>
    <row r="2532" spans="1:1" outlineLevel="1" x14ac:dyDescent="0.25">
      <c r="A2532" t="str">
        <f>CONCATENATE("sql left outer join acrtrees t on t.client = x.client and x.dim_1 = t.cat_1 and t.att_agrid = '",$F$159,"'")</f>
        <v>sql left outer join acrtrees t on t.client = x.client and x.dim_1 = t.cat_1 and t.att_agrid = '53'</v>
      </c>
    </row>
    <row r="2533" spans="1:1" ht="13" outlineLevel="1" x14ac:dyDescent="0.3">
      <c r="A253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534" spans="1:1" ht="13" outlineLevel="1" x14ac:dyDescent="0.3">
      <c r="A2534" s="21" t="s">
        <v>973</v>
      </c>
    </row>
    <row r="2535" spans="1:1" outlineLevel="1" x14ac:dyDescent="0.25">
      <c r="A2535" t="s">
        <v>964</v>
      </c>
    </row>
    <row r="2536" spans="1:1" outlineLevel="1" x14ac:dyDescent="0.25">
      <c r="A2536" t="s">
        <v>965</v>
      </c>
    </row>
    <row r="2537" spans="1:1" outlineLevel="1" x14ac:dyDescent="0.25">
      <c r="A2537" t="s">
        <v>966</v>
      </c>
    </row>
    <row r="2538" spans="1:1" outlineLevel="1" x14ac:dyDescent="0.25">
      <c r="A2538" t="s">
        <v>953</v>
      </c>
    </row>
    <row r="2539" spans="1:1" outlineLevel="1" x14ac:dyDescent="0.25">
      <c r="A2539" t="s">
        <v>954</v>
      </c>
    </row>
    <row r="2540" spans="1:1" ht="13" outlineLevel="1" x14ac:dyDescent="0.3">
      <c r="A2540" s="66" t="s">
        <v>976</v>
      </c>
    </row>
    <row r="2541" spans="1:1" outlineLevel="1" x14ac:dyDescent="0.25">
      <c r="A2541" t="s">
        <v>977</v>
      </c>
    </row>
    <row r="2542" spans="1:1" outlineLevel="1" x14ac:dyDescent="0.25">
      <c r="A2542" t="s">
        <v>950</v>
      </c>
    </row>
    <row r="2543" spans="1:1" ht="13" outlineLevel="1" x14ac:dyDescent="0.3">
      <c r="A254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544" spans="1:1" ht="13" outlineLevel="1" x14ac:dyDescent="0.3">
      <c r="A2544" s="21" t="s">
        <v>959</v>
      </c>
    </row>
    <row r="2545" spans="1:1" outlineLevel="1" x14ac:dyDescent="0.25">
      <c r="A2545" t="s">
        <v>960</v>
      </c>
    </row>
    <row r="2546" spans="1:1" outlineLevel="1" x14ac:dyDescent="0.25">
      <c r="A2546" t="s">
        <v>961</v>
      </c>
    </row>
    <row r="2547" spans="1:1" outlineLevel="1" x14ac:dyDescent="0.25">
      <c r="A2547" t="str">
        <f>CONCATENATE("sql left outer join acrtrees t on t.client = x.client and x.dim_1 = t.cat_1 and t.att_agrid = '",$F$159,"'")</f>
        <v>sql left outer join acrtrees t on t.client = x.client and x.dim_1 = t.cat_1 and t.att_agrid = '53'</v>
      </c>
    </row>
    <row r="2548" spans="1:1" ht="13" outlineLevel="1" x14ac:dyDescent="0.3">
      <c r="A254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549" spans="1:1" ht="13" outlineLevel="1" x14ac:dyDescent="0.3">
      <c r="A2549" s="21" t="s">
        <v>978</v>
      </c>
    </row>
    <row r="2550" spans="1:1" outlineLevel="1" x14ac:dyDescent="0.25">
      <c r="A2550" t="s">
        <v>979</v>
      </c>
    </row>
    <row r="2551" spans="1:1" outlineLevel="1" x14ac:dyDescent="0.25">
      <c r="A2551" t="s">
        <v>980</v>
      </c>
    </row>
    <row r="2552" spans="1:1" outlineLevel="1" x14ac:dyDescent="0.25">
      <c r="A2552" t="s">
        <v>966</v>
      </c>
    </row>
    <row r="2553" spans="1:1" outlineLevel="1" x14ac:dyDescent="0.25">
      <c r="A2553" t="s">
        <v>953</v>
      </c>
    </row>
    <row r="2554" spans="1:1" outlineLevel="1" x14ac:dyDescent="0.25">
      <c r="A2554" t="s">
        <v>954</v>
      </c>
    </row>
    <row r="2555" spans="1:1" ht="13" outlineLevel="1" x14ac:dyDescent="0.3">
      <c r="A2555" s="66" t="s">
        <v>981</v>
      </c>
    </row>
    <row r="2556" spans="1:1" outlineLevel="1" x14ac:dyDescent="0.25">
      <c r="A2556" t="s">
        <v>982</v>
      </c>
    </row>
    <row r="2557" spans="1:1" outlineLevel="1" x14ac:dyDescent="0.25">
      <c r="A2557" t="s">
        <v>950</v>
      </c>
    </row>
    <row r="2558" spans="1:1" ht="13" outlineLevel="1" x14ac:dyDescent="0.3">
      <c r="A255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559" spans="1:1" ht="13" outlineLevel="1" x14ac:dyDescent="0.3">
      <c r="A2559" s="21" t="s">
        <v>969</v>
      </c>
    </row>
    <row r="2560" spans="1:1" ht="13" outlineLevel="1" x14ac:dyDescent="0.3">
      <c r="A2560" s="21" t="s">
        <v>959</v>
      </c>
    </row>
    <row r="2561" spans="1:3" outlineLevel="1" x14ac:dyDescent="0.25">
      <c r="A2561" t="s">
        <v>960</v>
      </c>
    </row>
    <row r="2562" spans="1:3" outlineLevel="1" x14ac:dyDescent="0.25">
      <c r="A2562" t="s">
        <v>961</v>
      </c>
    </row>
    <row r="2563" spans="1:3" outlineLevel="1" x14ac:dyDescent="0.25">
      <c r="A2563" t="str">
        <f>CONCATENATE("sql left outer join acrtrees t on t.client = x.client and x.dim_1 = t.cat_1 and t.att_agrid = '",$F$159,"'")</f>
        <v>sql left outer join acrtrees t on t.client = x.client and x.dim_1 = t.cat_1 and t.att_agrid = '53'</v>
      </c>
    </row>
    <row r="2564" spans="1:3" ht="13" outlineLevel="1" x14ac:dyDescent="0.3">
      <c r="A256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565" spans="1:3" ht="13" outlineLevel="1" x14ac:dyDescent="0.3">
      <c r="A2565" s="21" t="s">
        <v>970</v>
      </c>
    </row>
    <row r="2566" spans="1:3" ht="13" outlineLevel="1" x14ac:dyDescent="0.3">
      <c r="A2566" s="21" t="s">
        <v>978</v>
      </c>
    </row>
    <row r="2567" spans="1:3" outlineLevel="1" x14ac:dyDescent="0.25">
      <c r="A2567" t="s">
        <v>979</v>
      </c>
    </row>
    <row r="2568" spans="1:3" outlineLevel="1" x14ac:dyDescent="0.25">
      <c r="A2568" t="s">
        <v>980</v>
      </c>
    </row>
    <row r="2569" spans="1:3" outlineLevel="1" x14ac:dyDescent="0.25">
      <c r="A2569" t="s">
        <v>966</v>
      </c>
    </row>
    <row r="2570" spans="1:3" outlineLevel="1" x14ac:dyDescent="0.25">
      <c r="A2570" t="s">
        <v>953</v>
      </c>
    </row>
    <row r="2571" spans="1:3" outlineLevel="1" x14ac:dyDescent="0.25">
      <c r="A2571" t="s">
        <v>954</v>
      </c>
    </row>
    <row r="2572" spans="1:3" ht="13" outlineLevel="1" x14ac:dyDescent="0.3">
      <c r="A2572" s="20" t="s">
        <v>983</v>
      </c>
    </row>
    <row r="2573" spans="1:3" outlineLevel="1" x14ac:dyDescent="0.25">
      <c r="A2573" s="7" t="s">
        <v>984</v>
      </c>
    </row>
    <row r="2574" spans="1:3" outlineLevel="1" x14ac:dyDescent="0.25">
      <c r="A2574" t="s">
        <v>950</v>
      </c>
    </row>
    <row r="2575" spans="1:3" outlineLevel="1" x14ac:dyDescent="0.25">
      <c r="A2575" t="s">
        <v>951</v>
      </c>
    </row>
    <row r="2576" spans="1:3" ht="14.5" outlineLevel="1" x14ac:dyDescent="0.35">
      <c r="A2576"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576" s="2"/>
    </row>
    <row r="2577" spans="1:1" outlineLevel="1" x14ac:dyDescent="0.25">
      <c r="A2577" t="s">
        <v>952</v>
      </c>
    </row>
    <row r="2578" spans="1:1" outlineLevel="1" x14ac:dyDescent="0.25">
      <c r="A2578" t="s">
        <v>953</v>
      </c>
    </row>
    <row r="2579" spans="1:1" outlineLevel="1" x14ac:dyDescent="0.25">
      <c r="A2579" t="s">
        <v>954</v>
      </c>
    </row>
    <row r="2580" spans="1:1" ht="13" outlineLevel="1" x14ac:dyDescent="0.3">
      <c r="A2580" s="20" t="s">
        <v>985</v>
      </c>
    </row>
    <row r="2581" spans="1:1" outlineLevel="1" x14ac:dyDescent="0.25">
      <c r="A2581" s="7" t="s">
        <v>986</v>
      </c>
    </row>
    <row r="2582" spans="1:1" outlineLevel="1" x14ac:dyDescent="0.25">
      <c r="A2582" t="s">
        <v>987</v>
      </c>
    </row>
    <row r="2583" spans="1:1" ht="13" outlineLevel="1" x14ac:dyDescent="0.3">
      <c r="A2583" s="21" t="str">
        <f>CONCATENATE("sql where a.client = '",$D$172,"' and a.period between '",LEFT($D$170,4),"00' and '",IF(RIGHT($D$171,2)="12",CONCATENATE(LEFT($D$171,4),"14"),$D$171),"'")</f>
        <v>sql where a.client = 'OX' and a.period between '202500' and '202506'</v>
      </c>
    </row>
    <row r="2584" spans="1:1" outlineLevel="1" x14ac:dyDescent="0.25">
      <c r="A2584" t="s">
        <v>952</v>
      </c>
    </row>
    <row r="2585" spans="1:1" outlineLevel="1" x14ac:dyDescent="0.25">
      <c r="A2585" t="s">
        <v>953</v>
      </c>
    </row>
    <row r="2586" spans="1:1" outlineLevel="1" x14ac:dyDescent="0.25">
      <c r="A2586" t="s">
        <v>954</v>
      </c>
    </row>
    <row r="2587" spans="1:1" ht="13" outlineLevel="1" x14ac:dyDescent="0.3">
      <c r="A2587" s="20" t="s">
        <v>988</v>
      </c>
    </row>
    <row r="2588" spans="1:1" outlineLevel="1" x14ac:dyDescent="0.25">
      <c r="A2588" s="7" t="s">
        <v>989</v>
      </c>
    </row>
    <row r="2589" spans="1:1" outlineLevel="1" x14ac:dyDescent="0.25">
      <c r="A2589" t="s">
        <v>950</v>
      </c>
    </row>
    <row r="2590" spans="1:1" outlineLevel="1" x14ac:dyDescent="0.25">
      <c r="A2590" t="s">
        <v>951</v>
      </c>
    </row>
    <row r="2591" spans="1:1" ht="13" outlineLevel="1" x14ac:dyDescent="0.3">
      <c r="A2591"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592" spans="1:1" outlineLevel="1" x14ac:dyDescent="0.25">
      <c r="A2592" t="s">
        <v>952</v>
      </c>
    </row>
    <row r="2593" spans="1:1" outlineLevel="1" x14ac:dyDescent="0.25">
      <c r="A2593" t="s">
        <v>953</v>
      </c>
    </row>
    <row r="2594" spans="1:1" outlineLevel="1" x14ac:dyDescent="0.25">
      <c r="A2594" t="s">
        <v>954</v>
      </c>
    </row>
    <row r="2595" spans="1:1" ht="13" outlineLevel="1" x14ac:dyDescent="0.3">
      <c r="A2595" s="20" t="s">
        <v>990</v>
      </c>
    </row>
    <row r="2596" spans="1:1" outlineLevel="1" x14ac:dyDescent="0.25">
      <c r="A2596" s="7" t="s">
        <v>991</v>
      </c>
    </row>
    <row r="2597" spans="1:1" outlineLevel="1" x14ac:dyDescent="0.25">
      <c r="A2597" t="s">
        <v>950</v>
      </c>
    </row>
    <row r="2598" spans="1:1" outlineLevel="1" x14ac:dyDescent="0.25">
      <c r="A2598" t="s">
        <v>951</v>
      </c>
    </row>
    <row r="2599" spans="1:1" ht="13" outlineLevel="1" x14ac:dyDescent="0.3">
      <c r="A259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600" spans="1:1" outlineLevel="1" x14ac:dyDescent="0.25">
      <c r="A2600" t="s">
        <v>952</v>
      </c>
    </row>
    <row r="2601" spans="1:1" outlineLevel="1" x14ac:dyDescent="0.25">
      <c r="A2601" t="s">
        <v>953</v>
      </c>
    </row>
    <row r="2602" spans="1:1" outlineLevel="1" x14ac:dyDescent="0.25">
      <c r="A2602" t="s">
        <v>954</v>
      </c>
    </row>
    <row r="2603" spans="1:1" ht="13" outlineLevel="1" x14ac:dyDescent="0.3">
      <c r="A2603" s="20" t="s">
        <v>992</v>
      </c>
    </row>
    <row r="2604" spans="1:1" outlineLevel="1" x14ac:dyDescent="0.25">
      <c r="A2604" s="7" t="s">
        <v>993</v>
      </c>
    </row>
    <row r="2605" spans="1:1" outlineLevel="1" x14ac:dyDescent="0.25">
      <c r="A2605" t="s">
        <v>950</v>
      </c>
    </row>
    <row r="2606" spans="1:1" outlineLevel="1" x14ac:dyDescent="0.25">
      <c r="A2606" t="s">
        <v>951</v>
      </c>
    </row>
    <row r="2607" spans="1:1" ht="13" outlineLevel="1" x14ac:dyDescent="0.3">
      <c r="A260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608" spans="1:1" outlineLevel="1" x14ac:dyDescent="0.25">
      <c r="A2608" t="s">
        <v>952</v>
      </c>
    </row>
    <row r="2609" spans="1:33" outlineLevel="1" x14ac:dyDescent="0.25">
      <c r="A2609" t="s">
        <v>953</v>
      </c>
    </row>
    <row r="2610" spans="1:33" outlineLevel="1" x14ac:dyDescent="0.25">
      <c r="A2610" t="s">
        <v>994</v>
      </c>
    </row>
    <row r="2611" spans="1:33" outlineLevel="1" x14ac:dyDescent="0.25">
      <c r="A2611" t="str">
        <f>CONCATENATE("sql left outer join acrtrees t on t.client = u.client and u.dim_1 = t.cat_1 and t.att_agrid = '",$F$159,"'")</f>
        <v>sql left outer join acrtrees t on t.client = u.client and u.dim_1 = t.cat_1 and t.att_agrid = '53'</v>
      </c>
    </row>
    <row r="2612" spans="1:33" outlineLevel="1" x14ac:dyDescent="0.25">
      <c r="A2612" t="str">
        <f>CONCATENATE("sql left outer join acrtrees s on s.client = u.client and u.account = s.cat_1 and s.att_agrid = '",$F$160,"'")</f>
        <v>sql left outer join acrtrees s on s.client = u.client and u.account = s.cat_1 and s.att_agrid = '14'</v>
      </c>
    </row>
    <row r="2613" spans="1:33" outlineLevel="1" x14ac:dyDescent="0.25">
      <c r="A2613" t="str">
        <f>CONCATENATE("sql left outer join acrtrees v on v.client = u.client and u.account = v.cat_1 and v.att_agrid = '",$F$161,"'")</f>
        <v>sql left outer join acrtrees v on v.client = u.client and u.account = v.cat_1 and v.att_agrid = '17'</v>
      </c>
    </row>
    <row r="2614" spans="1:33" outlineLevel="1" x14ac:dyDescent="0.25">
      <c r="A2614" t="str">
        <f>CONCATENATE("sql left outer join agldescription d on d.client = u.client and d.dim_value = t.dim_c and d.attribute_id = '",$F$162,"'")</f>
        <v>sql left outer join agldescription d on d.client = u.client and d.dim_value = t.dim_c and d.attribute_id = '82'</v>
      </c>
    </row>
    <row r="2615" spans="1:33" outlineLevel="1" x14ac:dyDescent="0.25">
      <c r="A2615" t="str">
        <f>CONCATENATE("sql left outer join agldescription e on e.client = u.client and e.dim_value = t.dim_b and e.attribute_id = '",$F$163,"'")</f>
        <v>sql left outer join agldescription e on e.client = u.client and e.dim_value = t.dim_b and e.attribute_id = '81'</v>
      </c>
    </row>
    <row r="2616" spans="1:33" outlineLevel="1" x14ac:dyDescent="0.25">
      <c r="A2616" t="str">
        <f>CONCATENATE("sql left outer join agldescription f on f.client = u.client and f.dim_value = t.dim_e and f.attribute_id = '",$F$164,"'")</f>
        <v>sql left outer join agldescription f on f.client = u.client and f.dim_value = t.dim_e and f.attribute_id = '80'</v>
      </c>
    </row>
    <row r="2617" spans="1:33" outlineLevel="1" x14ac:dyDescent="0.25">
      <c r="A2617" t="str">
        <f>CONCATENATE("sql left outer join agldescription g on g.client = u.client and g.dim_value = u.account and g.attribute_id = '",$F$165,"'")</f>
        <v>sql left outer join agldescription g on g.client = u.client and g.dim_value = u.account and g.attribute_id = 'A0'</v>
      </c>
    </row>
    <row r="2618" spans="1:33" ht="14.5" outlineLevel="1" x14ac:dyDescent="0.35">
      <c r="A2618" s="67" t="s">
        <v>1062</v>
      </c>
      <c r="G2618" s="737" t="s">
        <v>1063</v>
      </c>
    </row>
    <row r="2619" spans="1:33" outlineLevel="1" x14ac:dyDescent="0.25">
      <c r="A2619" t="s">
        <v>1005</v>
      </c>
    </row>
    <row r="2620" spans="1:33" outlineLevel="1" x14ac:dyDescent="0.25">
      <c r="A2620" t="s">
        <v>1006</v>
      </c>
    </row>
    <row r="2621" spans="1:33" outlineLevel="1" x14ac:dyDescent="0.25">
      <c r="A2621" t="s">
        <v>1007</v>
      </c>
    </row>
    <row r="2622" spans="1:33" ht="13" outlineLevel="1" x14ac:dyDescent="0.3">
      <c r="A2622" t="s">
        <v>1012</v>
      </c>
      <c r="C2622" s="29"/>
      <c r="D2622" s="36">
        <v>1000</v>
      </c>
      <c r="E2622" s="36">
        <v>1000</v>
      </c>
      <c r="F2622" s="22">
        <v>1000</v>
      </c>
      <c r="G2622" s="22">
        <v>1000</v>
      </c>
      <c r="H2622" s="22">
        <v>1000</v>
      </c>
      <c r="I2622" s="22">
        <v>1000</v>
      </c>
      <c r="J2622" s="22">
        <v>1000</v>
      </c>
      <c r="K2622" s="22">
        <v>1000</v>
      </c>
      <c r="L2622" s="22"/>
      <c r="M2622" s="36"/>
      <c r="N2622" s="36"/>
      <c r="O2622" s="36">
        <v>1000</v>
      </c>
      <c r="P2622" s="36">
        <v>1000</v>
      </c>
      <c r="Q2622" s="36">
        <v>1000</v>
      </c>
      <c r="R2622" s="36">
        <v>1000</v>
      </c>
      <c r="S2622" s="36">
        <v>1000</v>
      </c>
      <c r="T2622" s="36"/>
      <c r="U2622" s="36"/>
      <c r="V2622" s="58"/>
      <c r="W2622" s="36">
        <v>1000</v>
      </c>
      <c r="X2622" s="36">
        <v>1000</v>
      </c>
      <c r="Y2622" s="36"/>
      <c r="Z2622" s="36"/>
      <c r="AA2622" s="40"/>
      <c r="AB2622" s="60"/>
      <c r="AC2622" s="98"/>
      <c r="AD2622" s="36"/>
      <c r="AE2622" s="36"/>
      <c r="AF2622" s="36"/>
      <c r="AG2622" s="99"/>
    </row>
    <row r="2623" spans="1:33" ht="13" outlineLevel="1" x14ac:dyDescent="0.3">
      <c r="A2623" s="7" t="s">
        <v>1013</v>
      </c>
      <c r="C2623" s="29"/>
      <c r="D2623" s="36">
        <v>0</v>
      </c>
      <c r="E2623" s="36">
        <v>0</v>
      </c>
      <c r="F2623" s="22">
        <v>0</v>
      </c>
      <c r="G2623" s="22">
        <v>0</v>
      </c>
      <c r="H2623" s="22">
        <v>0</v>
      </c>
      <c r="I2623" s="22">
        <v>0</v>
      </c>
      <c r="J2623" s="22">
        <v>0</v>
      </c>
      <c r="K2623" s="22">
        <v>0</v>
      </c>
      <c r="L2623" s="22"/>
      <c r="M2623" s="36"/>
      <c r="N2623" s="36"/>
      <c r="O2623" s="36">
        <v>0</v>
      </c>
      <c r="P2623" s="36">
        <v>0</v>
      </c>
      <c r="Q2623" s="36">
        <v>0</v>
      </c>
      <c r="R2623" s="36">
        <v>0</v>
      </c>
      <c r="S2623" s="36">
        <v>0</v>
      </c>
      <c r="T2623" s="36"/>
      <c r="U2623" s="36"/>
      <c r="V2623" s="58"/>
      <c r="W2623" s="36">
        <v>0</v>
      </c>
      <c r="X2623" s="36">
        <v>0</v>
      </c>
      <c r="Y2623" s="36"/>
      <c r="Z2623" s="36"/>
      <c r="AA2623" s="40"/>
      <c r="AB2623" s="60"/>
      <c r="AC2623" s="98"/>
      <c r="AD2623" s="36"/>
      <c r="AE2623" s="36"/>
      <c r="AF2623" s="36"/>
      <c r="AG2623" s="99"/>
    </row>
    <row r="2624" spans="1:33" ht="13" outlineLevel="1" x14ac:dyDescent="0.3">
      <c r="A2624" t="s">
        <v>1014</v>
      </c>
      <c r="C2624" s="30"/>
      <c r="D2624" s="36"/>
      <c r="E2624" s="36"/>
      <c r="F2624" s="57"/>
      <c r="G2624" s="57"/>
      <c r="H2624" s="57"/>
      <c r="I2624" s="57"/>
      <c r="J2624" s="57"/>
      <c r="K2624" s="57"/>
      <c r="L2624" s="57"/>
      <c r="M2624" s="36"/>
      <c r="N2624" s="36"/>
      <c r="O2624" s="36"/>
      <c r="P2624" s="36" t="s">
        <v>1015</v>
      </c>
      <c r="Q2624" s="36" t="s">
        <v>1016</v>
      </c>
      <c r="R2624" s="36"/>
      <c r="S2624" s="36"/>
      <c r="T2624" s="36"/>
      <c r="U2624" s="36"/>
      <c r="V2624" s="58"/>
      <c r="W2624" s="36"/>
      <c r="X2624" s="36"/>
      <c r="Y2624" s="36"/>
      <c r="Z2624" s="36"/>
      <c r="AA2624" s="40"/>
      <c r="AB2624" s="60"/>
      <c r="AC2624" s="98"/>
      <c r="AD2624" s="36"/>
      <c r="AE2624" s="36"/>
      <c r="AF2624" s="36"/>
      <c r="AG2624" s="99"/>
    </row>
    <row r="2625" spans="1:33" ht="13" outlineLevel="1" x14ac:dyDescent="0.3">
      <c r="A2625" t="s">
        <v>1017</v>
      </c>
      <c r="C2625" s="31"/>
      <c r="D2625" s="36" t="s">
        <v>1019</v>
      </c>
      <c r="E2625" s="36" t="s">
        <v>1020</v>
      </c>
      <c r="F2625" s="22" t="s">
        <v>1021</v>
      </c>
      <c r="G2625" s="22" t="s">
        <v>1022</v>
      </c>
      <c r="H2625" s="22" t="s">
        <v>1023</v>
      </c>
      <c r="I2625" s="22" t="s">
        <v>1024</v>
      </c>
      <c r="J2625" s="22" t="s">
        <v>1025</v>
      </c>
      <c r="K2625" s="22" t="s">
        <v>1026</v>
      </c>
      <c r="L2625" s="22"/>
      <c r="M2625" s="36"/>
      <c r="N2625" s="36"/>
      <c r="O2625" s="36" t="s">
        <v>1027</v>
      </c>
      <c r="P2625" s="36" t="s">
        <v>1028</v>
      </c>
      <c r="Q2625" s="36" t="s">
        <v>1028</v>
      </c>
      <c r="R2625" s="36" t="s">
        <v>1028</v>
      </c>
      <c r="S2625" s="36" t="s">
        <v>1029</v>
      </c>
      <c r="T2625" s="36"/>
      <c r="U2625" s="36"/>
      <c r="V2625" s="58"/>
      <c r="W2625" s="36" t="s">
        <v>1030</v>
      </c>
      <c r="X2625" s="36" t="s">
        <v>1031</v>
      </c>
      <c r="Y2625" s="36"/>
      <c r="Z2625" s="36"/>
      <c r="AA2625" s="40"/>
      <c r="AB2625" s="60"/>
      <c r="AC2625" s="98"/>
      <c r="AD2625" s="36"/>
      <c r="AE2625" s="36"/>
      <c r="AF2625" s="36"/>
      <c r="AG2625" s="99"/>
    </row>
    <row r="2626" spans="1:33" ht="13" outlineLevel="1" x14ac:dyDescent="0.3">
      <c r="A2626" t="s">
        <v>1041</v>
      </c>
      <c r="C2626" s="31" t="s">
        <v>130</v>
      </c>
      <c r="D2626" s="33">
        <v>0</v>
      </c>
      <c r="E2626" s="33">
        <v>0</v>
      </c>
      <c r="F2626" s="23">
        <v>0</v>
      </c>
      <c r="G2626" s="23">
        <v>0</v>
      </c>
      <c r="H2626" s="23">
        <v>0</v>
      </c>
      <c r="I2626" s="23">
        <v>0</v>
      </c>
      <c r="J2626" s="23">
        <v>0</v>
      </c>
      <c r="K2626" s="23">
        <v>0</v>
      </c>
      <c r="L2626" s="23">
        <f>SUM(F2626:K2626)</f>
        <v>0</v>
      </c>
      <c r="M2626" s="33">
        <f>O2626-E2626</f>
        <v>0</v>
      </c>
      <c r="N2626" s="33">
        <f>O2626-D2626</f>
        <v>0</v>
      </c>
      <c r="O2626" s="33">
        <v>0</v>
      </c>
      <c r="P2626" s="33">
        <v>0</v>
      </c>
      <c r="Q2626" s="33">
        <v>0</v>
      </c>
      <c r="R2626" s="33">
        <v>0</v>
      </c>
      <c r="S2626" s="33">
        <v>0</v>
      </c>
      <c r="T2626" s="33">
        <f>R2626-S2626</f>
        <v>0</v>
      </c>
      <c r="U2626" s="38" t="str">
        <f>IFERROR((R2626/O2626)*100%,"∞")</f>
        <v>∞</v>
      </c>
      <c r="V2626" s="59">
        <f>O2626+W2626</f>
        <v>0</v>
      </c>
      <c r="W2626" s="33">
        <v>0</v>
      </c>
      <c r="X2626" s="33">
        <v>0</v>
      </c>
      <c r="Y2626" s="33"/>
      <c r="Z2626" s="33"/>
      <c r="AA2626" s="42"/>
      <c r="AB2626" s="60"/>
      <c r="AC2626" s="105"/>
      <c r="AD2626" s="93"/>
      <c r="AE2626" s="33">
        <f>SUM(AC2626:AD2626)</f>
        <v>0</v>
      </c>
      <c r="AF2626" s="33">
        <f>R2626+AE2626</f>
        <v>0</v>
      </c>
      <c r="AG2626" s="101">
        <f>AF2626-O2626</f>
        <v>0</v>
      </c>
    </row>
    <row r="2627" spans="1:33" outlineLevel="1" x14ac:dyDescent="0.25">
      <c r="A2627" t="s">
        <v>232</v>
      </c>
    </row>
    <row r="2628" spans="1:33" outlineLevel="1" x14ac:dyDescent="0.25">
      <c r="A2628" t="s">
        <v>944</v>
      </c>
      <c r="M2628" s="19"/>
      <c r="N2628" s="19"/>
    </row>
    <row r="2629" spans="1:33" outlineLevel="1" x14ac:dyDescent="0.25">
      <c r="A2629" t="s">
        <v>946</v>
      </c>
      <c r="E2629" s="19"/>
    </row>
    <row r="2630" spans="1:33" outlineLevel="1" x14ac:dyDescent="0.25">
      <c r="A2630" t="s">
        <v>947</v>
      </c>
      <c r="E2630" s="19"/>
      <c r="F2630" s="19"/>
    </row>
    <row r="2631" spans="1:33" ht="13" outlineLevel="1" x14ac:dyDescent="0.3">
      <c r="A2631" s="20" t="s">
        <v>948</v>
      </c>
    </row>
    <row r="2632" spans="1:33" outlineLevel="1" x14ac:dyDescent="0.25">
      <c r="A2632" s="7" t="s">
        <v>949</v>
      </c>
    </row>
    <row r="2633" spans="1:33" outlineLevel="1" x14ac:dyDescent="0.25">
      <c r="A2633" t="s">
        <v>950</v>
      </c>
    </row>
    <row r="2634" spans="1:33" outlineLevel="1" x14ac:dyDescent="0.25">
      <c r="A2634" t="s">
        <v>951</v>
      </c>
    </row>
    <row r="2635" spans="1:33" ht="13" outlineLevel="1" x14ac:dyDescent="0.3">
      <c r="A2635" s="21" t="str">
        <f>CONCATENATE("sql where a.client = '",$D$172,"' and a.period between '",LEFT($D$170,4),"00' and '",LEFT($D$171,4),"14' and a.version like '%ORIG%'")</f>
        <v>sql where a.client = 'OX' and a.period between '202500' and '202514' and a.version like '%ORIG%'</v>
      </c>
    </row>
    <row r="2636" spans="1:33" outlineLevel="1" x14ac:dyDescent="0.25">
      <c r="A2636" t="s">
        <v>952</v>
      </c>
    </row>
    <row r="2637" spans="1:33" outlineLevel="1" x14ac:dyDescent="0.25">
      <c r="A2637" t="s">
        <v>953</v>
      </c>
    </row>
    <row r="2638" spans="1:33" outlineLevel="1" x14ac:dyDescent="0.25">
      <c r="A2638" t="s">
        <v>954</v>
      </c>
    </row>
    <row r="2639" spans="1:33" ht="13" outlineLevel="1" x14ac:dyDescent="0.3">
      <c r="A2639" s="20" t="s">
        <v>955</v>
      </c>
    </row>
    <row r="2640" spans="1:33" outlineLevel="1" x14ac:dyDescent="0.25">
      <c r="A2640" s="7" t="s">
        <v>956</v>
      </c>
    </row>
    <row r="2641" spans="1:3" outlineLevel="1" x14ac:dyDescent="0.25">
      <c r="A2641" t="s">
        <v>950</v>
      </c>
    </row>
    <row r="2642" spans="1:3" outlineLevel="1" x14ac:dyDescent="0.25">
      <c r="A2642" t="s">
        <v>951</v>
      </c>
    </row>
    <row r="2643" spans="1:3" ht="14.5" outlineLevel="1" x14ac:dyDescent="0.35">
      <c r="A2643"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643" s="2"/>
    </row>
    <row r="2644" spans="1:3" outlineLevel="1" x14ac:dyDescent="0.25">
      <c r="A2644" t="s">
        <v>952</v>
      </c>
    </row>
    <row r="2645" spans="1:3" outlineLevel="1" x14ac:dyDescent="0.25">
      <c r="A2645" t="s">
        <v>953</v>
      </c>
    </row>
    <row r="2646" spans="1:3" outlineLevel="1" x14ac:dyDescent="0.25">
      <c r="A2646" t="s">
        <v>954</v>
      </c>
    </row>
    <row r="2647" spans="1:3" ht="13" outlineLevel="1" x14ac:dyDescent="0.3">
      <c r="A2647" s="66" t="s">
        <v>957</v>
      </c>
    </row>
    <row r="2648" spans="1:3" outlineLevel="1" x14ac:dyDescent="0.25">
      <c r="A2648" t="s">
        <v>958</v>
      </c>
    </row>
    <row r="2649" spans="1:3" outlineLevel="1" x14ac:dyDescent="0.25">
      <c r="A2649" t="s">
        <v>950</v>
      </c>
    </row>
    <row r="2650" spans="1:3" ht="13" outlineLevel="1" x14ac:dyDescent="0.3">
      <c r="A265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651" spans="1:3" ht="13" outlineLevel="1" x14ac:dyDescent="0.3">
      <c r="A2651" s="21" t="s">
        <v>959</v>
      </c>
    </row>
    <row r="2652" spans="1:3" outlineLevel="1" x14ac:dyDescent="0.25">
      <c r="A2652" t="s">
        <v>960</v>
      </c>
    </row>
    <row r="2653" spans="1:3" outlineLevel="1" x14ac:dyDescent="0.25">
      <c r="A2653" t="s">
        <v>961</v>
      </c>
    </row>
    <row r="2654" spans="1:3" outlineLevel="1" x14ac:dyDescent="0.25">
      <c r="A2654" t="str">
        <f>CONCATENATE("sql left outer join acrtrees t on t.client = x.client and x.dim_1 = t.cat_1 and t.att_agrid = '",$F$159,"'")</f>
        <v>sql left outer join acrtrees t on t.client = x.client and x.dim_1 = t.cat_1 and t.att_agrid = '53'</v>
      </c>
    </row>
    <row r="2655" spans="1:3" ht="13" outlineLevel="1" x14ac:dyDescent="0.3">
      <c r="A265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656" spans="1:3" ht="13" outlineLevel="1" x14ac:dyDescent="0.3">
      <c r="A2656" s="21" t="s">
        <v>962</v>
      </c>
    </row>
    <row r="2657" spans="1:1" ht="13" outlineLevel="1" x14ac:dyDescent="0.3">
      <c r="A2657"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658" spans="1:1" ht="13" outlineLevel="1" x14ac:dyDescent="0.3">
      <c r="A2658" s="21" t="s">
        <v>963</v>
      </c>
    </row>
    <row r="2659" spans="1:1" outlineLevel="1" x14ac:dyDescent="0.25">
      <c r="A2659" t="s">
        <v>964</v>
      </c>
    </row>
    <row r="2660" spans="1:1" outlineLevel="1" x14ac:dyDescent="0.25">
      <c r="A2660" t="s">
        <v>965</v>
      </c>
    </row>
    <row r="2661" spans="1:1" outlineLevel="1" x14ac:dyDescent="0.25">
      <c r="A2661" t="s">
        <v>966</v>
      </c>
    </row>
    <row r="2662" spans="1:1" outlineLevel="1" x14ac:dyDescent="0.25">
      <c r="A2662" t="s">
        <v>953</v>
      </c>
    </row>
    <row r="2663" spans="1:1" outlineLevel="1" x14ac:dyDescent="0.25">
      <c r="A2663" t="s">
        <v>954</v>
      </c>
    </row>
    <row r="2664" spans="1:1" ht="13" outlineLevel="1" x14ac:dyDescent="0.3">
      <c r="A2664" s="66" t="s">
        <v>967</v>
      </c>
    </row>
    <row r="2665" spans="1:1" outlineLevel="1" x14ac:dyDescent="0.25">
      <c r="A2665" t="s">
        <v>968</v>
      </c>
    </row>
    <row r="2666" spans="1:1" outlineLevel="1" x14ac:dyDescent="0.25">
      <c r="A2666" t="s">
        <v>950</v>
      </c>
    </row>
    <row r="2667" spans="1:1" ht="13" outlineLevel="1" x14ac:dyDescent="0.3">
      <c r="A266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668" spans="1:1" ht="13" outlineLevel="1" x14ac:dyDescent="0.3">
      <c r="A2668" s="21" t="s">
        <v>969</v>
      </c>
    </row>
    <row r="2669" spans="1:1" ht="13" outlineLevel="1" x14ac:dyDescent="0.3">
      <c r="A2669" s="21" t="s">
        <v>959</v>
      </c>
    </row>
    <row r="2670" spans="1:1" outlineLevel="1" x14ac:dyDescent="0.25">
      <c r="A2670" t="s">
        <v>960</v>
      </c>
    </row>
    <row r="2671" spans="1:1" outlineLevel="1" x14ac:dyDescent="0.25">
      <c r="A2671" t="s">
        <v>961</v>
      </c>
    </row>
    <row r="2672" spans="1:1" outlineLevel="1" x14ac:dyDescent="0.25">
      <c r="A2672" t="str">
        <f>CONCATENATE("sql left outer join acrtrees t on t.client = x.client and x.dim_1 = t.cat_1 and t.att_agrid = '",$F$159,"'")</f>
        <v>sql left outer join acrtrees t on t.client = x.client and x.dim_1 = t.cat_1 and t.att_agrid = '53'</v>
      </c>
    </row>
    <row r="2673" spans="1:1" ht="13" outlineLevel="1" x14ac:dyDescent="0.3">
      <c r="A267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674" spans="1:1" ht="13" outlineLevel="1" x14ac:dyDescent="0.3">
      <c r="A2674" s="21" t="s">
        <v>970</v>
      </c>
    </row>
    <row r="2675" spans="1:1" ht="13" outlineLevel="1" x14ac:dyDescent="0.3">
      <c r="A2675" s="21" t="s">
        <v>962</v>
      </c>
    </row>
    <row r="2676" spans="1:1" ht="13" outlineLevel="1" x14ac:dyDescent="0.3">
      <c r="A2676"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677" spans="1:1" ht="13" outlineLevel="1" x14ac:dyDescent="0.3">
      <c r="A2677" s="21" t="s">
        <v>970</v>
      </c>
    </row>
    <row r="2678" spans="1:1" ht="13" outlineLevel="1" x14ac:dyDescent="0.3">
      <c r="A2678" s="21" t="s">
        <v>963</v>
      </c>
    </row>
    <row r="2679" spans="1:1" outlineLevel="1" x14ac:dyDescent="0.25">
      <c r="A2679" t="s">
        <v>964</v>
      </c>
    </row>
    <row r="2680" spans="1:1" outlineLevel="1" x14ac:dyDescent="0.25">
      <c r="A2680" t="s">
        <v>965</v>
      </c>
    </row>
    <row r="2681" spans="1:1" outlineLevel="1" x14ac:dyDescent="0.25">
      <c r="A2681" t="s">
        <v>966</v>
      </c>
    </row>
    <row r="2682" spans="1:1" outlineLevel="1" x14ac:dyDescent="0.25">
      <c r="A2682" t="s">
        <v>953</v>
      </c>
    </row>
    <row r="2683" spans="1:1" outlineLevel="1" x14ac:dyDescent="0.25">
      <c r="A2683" t="s">
        <v>954</v>
      </c>
    </row>
    <row r="2684" spans="1:1" ht="13" outlineLevel="1" x14ac:dyDescent="0.3">
      <c r="A2684" s="66" t="s">
        <v>971</v>
      </c>
    </row>
    <row r="2685" spans="1:1" outlineLevel="1" x14ac:dyDescent="0.25">
      <c r="A2685" t="s">
        <v>972</v>
      </c>
    </row>
    <row r="2686" spans="1:1" outlineLevel="1" x14ac:dyDescent="0.25">
      <c r="A2686" t="s">
        <v>950</v>
      </c>
    </row>
    <row r="2687" spans="1:1" ht="13" outlineLevel="1" x14ac:dyDescent="0.3">
      <c r="A268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688" spans="1:1" ht="13" outlineLevel="1" x14ac:dyDescent="0.3">
      <c r="A2688" s="21" t="s">
        <v>959</v>
      </c>
    </row>
    <row r="2689" spans="1:1" outlineLevel="1" x14ac:dyDescent="0.25">
      <c r="A2689" t="s">
        <v>960</v>
      </c>
    </row>
    <row r="2690" spans="1:1" outlineLevel="1" x14ac:dyDescent="0.25">
      <c r="A2690" t="s">
        <v>961</v>
      </c>
    </row>
    <row r="2691" spans="1:1" outlineLevel="1" x14ac:dyDescent="0.25">
      <c r="A2691" t="str">
        <f>CONCATENATE("sql left outer join acrtrees t on t.client = x.client and x.dim_1 = t.cat_1 and t.att_agrid = '",$F$159,"'")</f>
        <v>sql left outer join acrtrees t on t.client = x.client and x.dim_1 = t.cat_1 and t.att_agrid = '53'</v>
      </c>
    </row>
    <row r="2692" spans="1:1" ht="13" outlineLevel="1" x14ac:dyDescent="0.3">
      <c r="A269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693" spans="1:1" ht="13" outlineLevel="1" x14ac:dyDescent="0.3">
      <c r="A2693" s="21" t="s">
        <v>973</v>
      </c>
    </row>
    <row r="2694" spans="1:1" outlineLevel="1" x14ac:dyDescent="0.25">
      <c r="A2694" t="s">
        <v>964</v>
      </c>
    </row>
    <row r="2695" spans="1:1" outlineLevel="1" x14ac:dyDescent="0.25">
      <c r="A2695" t="s">
        <v>965</v>
      </c>
    </row>
    <row r="2696" spans="1:1" outlineLevel="1" x14ac:dyDescent="0.25">
      <c r="A2696" t="s">
        <v>966</v>
      </c>
    </row>
    <row r="2697" spans="1:1" outlineLevel="1" x14ac:dyDescent="0.25">
      <c r="A2697" t="s">
        <v>953</v>
      </c>
    </row>
    <row r="2698" spans="1:1" outlineLevel="1" x14ac:dyDescent="0.25">
      <c r="A2698" t="s">
        <v>954</v>
      </c>
    </row>
    <row r="2699" spans="1:1" ht="13" outlineLevel="1" x14ac:dyDescent="0.3">
      <c r="A2699" s="66" t="s">
        <v>974</v>
      </c>
    </row>
    <row r="2700" spans="1:1" outlineLevel="1" x14ac:dyDescent="0.25">
      <c r="A2700" t="s">
        <v>975</v>
      </c>
    </row>
    <row r="2701" spans="1:1" outlineLevel="1" x14ac:dyDescent="0.25">
      <c r="A2701" t="s">
        <v>950</v>
      </c>
    </row>
    <row r="2702" spans="1:1" ht="13" outlineLevel="1" x14ac:dyDescent="0.3">
      <c r="A270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703" spans="1:1" ht="13" outlineLevel="1" x14ac:dyDescent="0.3">
      <c r="A2703" s="21" t="s">
        <v>959</v>
      </c>
    </row>
    <row r="2704" spans="1:1" outlineLevel="1" x14ac:dyDescent="0.25">
      <c r="A2704" t="s">
        <v>960</v>
      </c>
    </row>
    <row r="2705" spans="1:1" outlineLevel="1" x14ac:dyDescent="0.25">
      <c r="A2705" t="s">
        <v>961</v>
      </c>
    </row>
    <row r="2706" spans="1:1" outlineLevel="1" x14ac:dyDescent="0.25">
      <c r="A2706" t="str">
        <f>CONCATENATE("sql left outer join acrtrees t on t.client = x.client and x.dim_1 = t.cat_1 and t.att_agrid = '",$F$159,"'")</f>
        <v>sql left outer join acrtrees t on t.client = x.client and x.dim_1 = t.cat_1 and t.att_agrid = '53'</v>
      </c>
    </row>
    <row r="2707" spans="1:1" ht="13" outlineLevel="1" x14ac:dyDescent="0.3">
      <c r="A270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708" spans="1:1" ht="13" outlineLevel="1" x14ac:dyDescent="0.3">
      <c r="A2708" s="21" t="s">
        <v>973</v>
      </c>
    </row>
    <row r="2709" spans="1:1" outlineLevel="1" x14ac:dyDescent="0.25">
      <c r="A2709" t="s">
        <v>964</v>
      </c>
    </row>
    <row r="2710" spans="1:1" outlineLevel="1" x14ac:dyDescent="0.25">
      <c r="A2710" t="s">
        <v>965</v>
      </c>
    </row>
    <row r="2711" spans="1:1" outlineLevel="1" x14ac:dyDescent="0.25">
      <c r="A2711" t="s">
        <v>966</v>
      </c>
    </row>
    <row r="2712" spans="1:1" outlineLevel="1" x14ac:dyDescent="0.25">
      <c r="A2712" t="s">
        <v>953</v>
      </c>
    </row>
    <row r="2713" spans="1:1" outlineLevel="1" x14ac:dyDescent="0.25">
      <c r="A2713" t="s">
        <v>954</v>
      </c>
    </row>
    <row r="2714" spans="1:1" ht="13" outlineLevel="1" x14ac:dyDescent="0.3">
      <c r="A2714" s="66" t="s">
        <v>976</v>
      </c>
    </row>
    <row r="2715" spans="1:1" outlineLevel="1" x14ac:dyDescent="0.25">
      <c r="A2715" t="s">
        <v>977</v>
      </c>
    </row>
    <row r="2716" spans="1:1" outlineLevel="1" x14ac:dyDescent="0.25">
      <c r="A2716" t="s">
        <v>950</v>
      </c>
    </row>
    <row r="2717" spans="1:1" ht="13" outlineLevel="1" x14ac:dyDescent="0.3">
      <c r="A271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718" spans="1:1" ht="13" outlineLevel="1" x14ac:dyDescent="0.3">
      <c r="A2718" s="21" t="s">
        <v>959</v>
      </c>
    </row>
    <row r="2719" spans="1:1" outlineLevel="1" x14ac:dyDescent="0.25">
      <c r="A2719" t="s">
        <v>960</v>
      </c>
    </row>
    <row r="2720" spans="1:1" outlineLevel="1" x14ac:dyDescent="0.25">
      <c r="A2720" t="s">
        <v>961</v>
      </c>
    </row>
    <row r="2721" spans="1:1" outlineLevel="1" x14ac:dyDescent="0.25">
      <c r="A2721" t="str">
        <f>CONCATENATE("sql left outer join acrtrees t on t.client = x.client and x.dim_1 = t.cat_1 and t.att_agrid = '",$F$159,"'")</f>
        <v>sql left outer join acrtrees t on t.client = x.client and x.dim_1 = t.cat_1 and t.att_agrid = '53'</v>
      </c>
    </row>
    <row r="2722" spans="1:1" ht="13" outlineLevel="1" x14ac:dyDescent="0.3">
      <c r="A272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723" spans="1:1" ht="13" outlineLevel="1" x14ac:dyDescent="0.3">
      <c r="A2723" s="21" t="s">
        <v>978</v>
      </c>
    </row>
    <row r="2724" spans="1:1" outlineLevel="1" x14ac:dyDescent="0.25">
      <c r="A2724" t="s">
        <v>979</v>
      </c>
    </row>
    <row r="2725" spans="1:1" outlineLevel="1" x14ac:dyDescent="0.25">
      <c r="A2725" t="s">
        <v>980</v>
      </c>
    </row>
    <row r="2726" spans="1:1" outlineLevel="1" x14ac:dyDescent="0.25">
      <c r="A2726" t="s">
        <v>966</v>
      </c>
    </row>
    <row r="2727" spans="1:1" outlineLevel="1" x14ac:dyDescent="0.25">
      <c r="A2727" t="s">
        <v>953</v>
      </c>
    </row>
    <row r="2728" spans="1:1" outlineLevel="1" x14ac:dyDescent="0.25">
      <c r="A2728" t="s">
        <v>954</v>
      </c>
    </row>
    <row r="2729" spans="1:1" ht="13" outlineLevel="1" x14ac:dyDescent="0.3">
      <c r="A2729" s="66" t="s">
        <v>981</v>
      </c>
    </row>
    <row r="2730" spans="1:1" outlineLevel="1" x14ac:dyDescent="0.25">
      <c r="A2730" t="s">
        <v>982</v>
      </c>
    </row>
    <row r="2731" spans="1:1" outlineLevel="1" x14ac:dyDescent="0.25">
      <c r="A2731" t="s">
        <v>950</v>
      </c>
    </row>
    <row r="2732" spans="1:1" ht="13" outlineLevel="1" x14ac:dyDescent="0.3">
      <c r="A273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733" spans="1:1" ht="13" outlineLevel="1" x14ac:dyDescent="0.3">
      <c r="A2733" s="21" t="s">
        <v>969</v>
      </c>
    </row>
    <row r="2734" spans="1:1" ht="13" outlineLevel="1" x14ac:dyDescent="0.3">
      <c r="A2734" s="21" t="s">
        <v>959</v>
      </c>
    </row>
    <row r="2735" spans="1:1" outlineLevel="1" x14ac:dyDescent="0.25">
      <c r="A2735" t="s">
        <v>960</v>
      </c>
    </row>
    <row r="2736" spans="1:1" outlineLevel="1" x14ac:dyDescent="0.25">
      <c r="A2736" t="s">
        <v>961</v>
      </c>
    </row>
    <row r="2737" spans="1:3" outlineLevel="1" x14ac:dyDescent="0.25">
      <c r="A2737" t="str">
        <f>CONCATENATE("sql left outer join acrtrees t on t.client = x.client and x.dim_1 = t.cat_1 and t.att_agrid = '",$F$159,"'")</f>
        <v>sql left outer join acrtrees t on t.client = x.client and x.dim_1 = t.cat_1 and t.att_agrid = '53'</v>
      </c>
    </row>
    <row r="2738" spans="1:3" ht="13" outlineLevel="1" x14ac:dyDescent="0.3">
      <c r="A273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739" spans="1:3" ht="13" outlineLevel="1" x14ac:dyDescent="0.3">
      <c r="A2739" s="21" t="s">
        <v>970</v>
      </c>
    </row>
    <row r="2740" spans="1:3" ht="13" outlineLevel="1" x14ac:dyDescent="0.3">
      <c r="A2740" s="21" t="s">
        <v>978</v>
      </c>
    </row>
    <row r="2741" spans="1:3" outlineLevel="1" x14ac:dyDescent="0.25">
      <c r="A2741" t="s">
        <v>979</v>
      </c>
    </row>
    <row r="2742" spans="1:3" outlineLevel="1" x14ac:dyDescent="0.25">
      <c r="A2742" t="s">
        <v>980</v>
      </c>
    </row>
    <row r="2743" spans="1:3" outlineLevel="1" x14ac:dyDescent="0.25">
      <c r="A2743" t="s">
        <v>966</v>
      </c>
    </row>
    <row r="2744" spans="1:3" outlineLevel="1" x14ac:dyDescent="0.25">
      <c r="A2744" t="s">
        <v>953</v>
      </c>
    </row>
    <row r="2745" spans="1:3" outlineLevel="1" x14ac:dyDescent="0.25">
      <c r="A2745" t="s">
        <v>954</v>
      </c>
    </row>
    <row r="2746" spans="1:3" ht="13" outlineLevel="1" x14ac:dyDescent="0.3">
      <c r="A2746" s="20" t="s">
        <v>983</v>
      </c>
    </row>
    <row r="2747" spans="1:3" outlineLevel="1" x14ac:dyDescent="0.25">
      <c r="A2747" s="7" t="s">
        <v>984</v>
      </c>
    </row>
    <row r="2748" spans="1:3" outlineLevel="1" x14ac:dyDescent="0.25">
      <c r="A2748" t="s">
        <v>950</v>
      </c>
    </row>
    <row r="2749" spans="1:3" outlineLevel="1" x14ac:dyDescent="0.25">
      <c r="A2749" t="s">
        <v>951</v>
      </c>
    </row>
    <row r="2750" spans="1:3" ht="14.5" outlineLevel="1" x14ac:dyDescent="0.35">
      <c r="A2750"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750" s="2"/>
    </row>
    <row r="2751" spans="1:3" outlineLevel="1" x14ac:dyDescent="0.25">
      <c r="A2751" t="s">
        <v>952</v>
      </c>
    </row>
    <row r="2752" spans="1:3" outlineLevel="1" x14ac:dyDescent="0.25">
      <c r="A2752" t="s">
        <v>953</v>
      </c>
    </row>
    <row r="2753" spans="1:1" outlineLevel="1" x14ac:dyDescent="0.25">
      <c r="A2753" t="s">
        <v>954</v>
      </c>
    </row>
    <row r="2754" spans="1:1" ht="13" outlineLevel="1" x14ac:dyDescent="0.3">
      <c r="A2754" s="20" t="s">
        <v>985</v>
      </c>
    </row>
    <row r="2755" spans="1:1" outlineLevel="1" x14ac:dyDescent="0.25">
      <c r="A2755" s="7" t="s">
        <v>986</v>
      </c>
    </row>
    <row r="2756" spans="1:1" outlineLevel="1" x14ac:dyDescent="0.25">
      <c r="A2756" t="s">
        <v>987</v>
      </c>
    </row>
    <row r="2757" spans="1:1" ht="13" outlineLevel="1" x14ac:dyDescent="0.3">
      <c r="A2757" s="21" t="str">
        <f>CONCATENATE("sql where a.client = '",$D$172,"' and a.period between '",LEFT($D$170,4),"00' and '",IF(RIGHT($D$171,2)="12",CONCATENATE(LEFT($D$171,4),"14"),$D$171),"'")</f>
        <v>sql where a.client = 'OX' and a.period between '202500' and '202506'</v>
      </c>
    </row>
    <row r="2758" spans="1:1" outlineLevel="1" x14ac:dyDescent="0.25">
      <c r="A2758" t="s">
        <v>952</v>
      </c>
    </row>
    <row r="2759" spans="1:1" outlineLevel="1" x14ac:dyDescent="0.25">
      <c r="A2759" t="s">
        <v>953</v>
      </c>
    </row>
    <row r="2760" spans="1:1" outlineLevel="1" x14ac:dyDescent="0.25">
      <c r="A2760" t="s">
        <v>954</v>
      </c>
    </row>
    <row r="2761" spans="1:1" ht="13" outlineLevel="1" x14ac:dyDescent="0.3">
      <c r="A2761" s="20" t="s">
        <v>988</v>
      </c>
    </row>
    <row r="2762" spans="1:1" outlineLevel="1" x14ac:dyDescent="0.25">
      <c r="A2762" s="7" t="s">
        <v>989</v>
      </c>
    </row>
    <row r="2763" spans="1:1" outlineLevel="1" x14ac:dyDescent="0.25">
      <c r="A2763" t="s">
        <v>950</v>
      </c>
    </row>
    <row r="2764" spans="1:1" outlineLevel="1" x14ac:dyDescent="0.25">
      <c r="A2764" t="s">
        <v>951</v>
      </c>
    </row>
    <row r="2765" spans="1:1" ht="13" outlineLevel="1" x14ac:dyDescent="0.3">
      <c r="A2765"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766" spans="1:1" outlineLevel="1" x14ac:dyDescent="0.25">
      <c r="A2766" t="s">
        <v>952</v>
      </c>
    </row>
    <row r="2767" spans="1:1" outlineLevel="1" x14ac:dyDescent="0.25">
      <c r="A2767" t="s">
        <v>953</v>
      </c>
    </row>
    <row r="2768" spans="1:1" outlineLevel="1" x14ac:dyDescent="0.25">
      <c r="A2768" t="s">
        <v>954</v>
      </c>
    </row>
    <row r="2769" spans="1:1" ht="13" outlineLevel="1" x14ac:dyDescent="0.3">
      <c r="A2769" s="20" t="s">
        <v>990</v>
      </c>
    </row>
    <row r="2770" spans="1:1" outlineLevel="1" x14ac:dyDescent="0.25">
      <c r="A2770" s="7" t="s">
        <v>991</v>
      </c>
    </row>
    <row r="2771" spans="1:1" outlineLevel="1" x14ac:dyDescent="0.25">
      <c r="A2771" t="s">
        <v>950</v>
      </c>
    </row>
    <row r="2772" spans="1:1" outlineLevel="1" x14ac:dyDescent="0.25">
      <c r="A2772" t="s">
        <v>951</v>
      </c>
    </row>
    <row r="2773" spans="1:1" ht="13" outlineLevel="1" x14ac:dyDescent="0.3">
      <c r="A277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774" spans="1:1" outlineLevel="1" x14ac:dyDescent="0.25">
      <c r="A2774" t="s">
        <v>952</v>
      </c>
    </row>
    <row r="2775" spans="1:1" outlineLevel="1" x14ac:dyDescent="0.25">
      <c r="A2775" t="s">
        <v>953</v>
      </c>
    </row>
    <row r="2776" spans="1:1" outlineLevel="1" x14ac:dyDescent="0.25">
      <c r="A2776" t="s">
        <v>954</v>
      </c>
    </row>
    <row r="2777" spans="1:1" ht="13" outlineLevel="1" x14ac:dyDescent="0.3">
      <c r="A2777" s="20" t="s">
        <v>992</v>
      </c>
    </row>
    <row r="2778" spans="1:1" outlineLevel="1" x14ac:dyDescent="0.25">
      <c r="A2778" s="7" t="s">
        <v>993</v>
      </c>
    </row>
    <row r="2779" spans="1:1" outlineLevel="1" x14ac:dyDescent="0.25">
      <c r="A2779" t="s">
        <v>950</v>
      </c>
    </row>
    <row r="2780" spans="1:1" outlineLevel="1" x14ac:dyDescent="0.25">
      <c r="A2780" t="s">
        <v>951</v>
      </c>
    </row>
    <row r="2781" spans="1:1" ht="13" outlineLevel="1" x14ac:dyDescent="0.3">
      <c r="A278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782" spans="1:1" outlineLevel="1" x14ac:dyDescent="0.25">
      <c r="A2782" t="s">
        <v>952</v>
      </c>
    </row>
    <row r="2783" spans="1:1" outlineLevel="1" x14ac:dyDescent="0.25">
      <c r="A2783" t="s">
        <v>953</v>
      </c>
    </row>
    <row r="2784" spans="1:1" outlineLevel="1" x14ac:dyDescent="0.25">
      <c r="A2784" t="s">
        <v>994</v>
      </c>
    </row>
    <row r="2785" spans="1:33" outlineLevel="1" x14ac:dyDescent="0.25">
      <c r="A2785" t="str">
        <f>CONCATENATE("sql left outer join acrtrees t on t.client = u.client and u.dim_1 = t.cat_1 and t.att_agrid = '",$F$159,"'")</f>
        <v>sql left outer join acrtrees t on t.client = u.client and u.dim_1 = t.cat_1 and t.att_agrid = '53'</v>
      </c>
    </row>
    <row r="2786" spans="1:33" outlineLevel="1" x14ac:dyDescent="0.25">
      <c r="A2786" t="str">
        <f>CONCATENATE("sql left outer join acrtrees s on s.client = u.client and u.account = s.cat_1 and s.att_agrid = '",$F$160,"'")</f>
        <v>sql left outer join acrtrees s on s.client = u.client and u.account = s.cat_1 and s.att_agrid = '14'</v>
      </c>
    </row>
    <row r="2787" spans="1:33" outlineLevel="1" x14ac:dyDescent="0.25">
      <c r="A2787" t="str">
        <f>CONCATENATE("sql left outer join acrtrees v on v.client = u.client and u.account = v.cat_1 and v.att_agrid = '",$F$161,"'")</f>
        <v>sql left outer join acrtrees v on v.client = u.client and u.account = v.cat_1 and v.att_agrid = '17'</v>
      </c>
    </row>
    <row r="2788" spans="1:33" outlineLevel="1" x14ac:dyDescent="0.25">
      <c r="A2788" t="str">
        <f>CONCATENATE("sql left outer join agldescription d on d.client = u.client and d.dim_value = t.dim_c and d.attribute_id = '",$F$162,"'")</f>
        <v>sql left outer join agldescription d on d.client = u.client and d.dim_value = t.dim_c and d.attribute_id = '82'</v>
      </c>
    </row>
    <row r="2789" spans="1:33" outlineLevel="1" x14ac:dyDescent="0.25">
      <c r="A2789" t="str">
        <f>CONCATENATE("sql left outer join agldescription e on e.client = u.client and e.dim_value = t.dim_b and e.attribute_id = '",$F$163,"'")</f>
        <v>sql left outer join agldescription e on e.client = u.client and e.dim_value = t.dim_b and e.attribute_id = '81'</v>
      </c>
    </row>
    <row r="2790" spans="1:33" outlineLevel="1" x14ac:dyDescent="0.25">
      <c r="A2790" t="str">
        <f>CONCATENATE("sql left outer join agldescription f on f.client = u.client and f.dim_value = t.dim_e and f.attribute_id = '",$F$164,"'")</f>
        <v>sql left outer join agldescription f on f.client = u.client and f.dim_value = t.dim_e and f.attribute_id = '80'</v>
      </c>
    </row>
    <row r="2791" spans="1:33" outlineLevel="1" x14ac:dyDescent="0.25">
      <c r="A2791" t="str">
        <f>CONCATENATE("sql left outer join agldescription g on g.client = u.client and g.dim_value = u.account and g.attribute_id = '",$F$165,"'")</f>
        <v>sql left outer join agldescription g on g.client = u.client and g.dim_value = u.account and g.attribute_id = 'A0'</v>
      </c>
    </row>
    <row r="2792" spans="1:33" ht="14.5" outlineLevel="1" x14ac:dyDescent="0.35">
      <c r="A2792" s="67" t="s">
        <v>1064</v>
      </c>
      <c r="G2792" s="737" t="s">
        <v>1065</v>
      </c>
    </row>
    <row r="2793" spans="1:33" outlineLevel="1" x14ac:dyDescent="0.25">
      <c r="A2793" t="s">
        <v>1005</v>
      </c>
    </row>
    <row r="2794" spans="1:33" outlineLevel="1" x14ac:dyDescent="0.25">
      <c r="A2794" t="s">
        <v>1006</v>
      </c>
    </row>
    <row r="2795" spans="1:33" outlineLevel="1" x14ac:dyDescent="0.25">
      <c r="A2795" t="s">
        <v>1007</v>
      </c>
    </row>
    <row r="2796" spans="1:33" ht="13" outlineLevel="1" x14ac:dyDescent="0.3">
      <c r="A2796" t="s">
        <v>1012</v>
      </c>
      <c r="C2796" s="29"/>
      <c r="D2796" s="36">
        <v>1000</v>
      </c>
      <c r="E2796" s="36">
        <v>1000</v>
      </c>
      <c r="F2796" s="22">
        <v>1000</v>
      </c>
      <c r="G2796" s="22">
        <v>1000</v>
      </c>
      <c r="H2796" s="22">
        <v>1000</v>
      </c>
      <c r="I2796" s="22">
        <v>1000</v>
      </c>
      <c r="J2796" s="22">
        <v>1000</v>
      </c>
      <c r="K2796" s="22">
        <v>1000</v>
      </c>
      <c r="L2796" s="22"/>
      <c r="M2796" s="36"/>
      <c r="N2796" s="36"/>
      <c r="O2796" s="36">
        <v>1000</v>
      </c>
      <c r="P2796" s="36">
        <v>1000</v>
      </c>
      <c r="Q2796" s="36">
        <v>1000</v>
      </c>
      <c r="R2796" s="36">
        <v>1000</v>
      </c>
      <c r="S2796" s="36">
        <v>1000</v>
      </c>
      <c r="T2796" s="36"/>
      <c r="U2796" s="36"/>
      <c r="V2796" s="58"/>
      <c r="W2796" s="36">
        <v>1000</v>
      </c>
      <c r="X2796" s="36">
        <v>1000</v>
      </c>
      <c r="Y2796" s="36"/>
      <c r="Z2796" s="36"/>
      <c r="AA2796" s="40"/>
      <c r="AB2796" s="60"/>
      <c r="AC2796" s="98"/>
      <c r="AD2796" s="36"/>
      <c r="AE2796" s="36"/>
      <c r="AF2796" s="36"/>
      <c r="AG2796" s="99"/>
    </row>
    <row r="2797" spans="1:33" ht="13" outlineLevel="1" x14ac:dyDescent="0.3">
      <c r="A2797" s="7" t="s">
        <v>1013</v>
      </c>
      <c r="C2797" s="29"/>
      <c r="D2797" s="36">
        <v>0</v>
      </c>
      <c r="E2797" s="36">
        <v>0</v>
      </c>
      <c r="F2797" s="22">
        <v>0</v>
      </c>
      <c r="G2797" s="22">
        <v>0</v>
      </c>
      <c r="H2797" s="22">
        <v>0</v>
      </c>
      <c r="I2797" s="22">
        <v>0</v>
      </c>
      <c r="J2797" s="22">
        <v>0</v>
      </c>
      <c r="K2797" s="22">
        <v>0</v>
      </c>
      <c r="L2797" s="22"/>
      <c r="M2797" s="36"/>
      <c r="N2797" s="36"/>
      <c r="O2797" s="36">
        <v>0</v>
      </c>
      <c r="P2797" s="36">
        <v>0</v>
      </c>
      <c r="Q2797" s="36">
        <v>0</v>
      </c>
      <c r="R2797" s="36">
        <v>0</v>
      </c>
      <c r="S2797" s="36">
        <v>0</v>
      </c>
      <c r="T2797" s="36"/>
      <c r="U2797" s="36"/>
      <c r="V2797" s="58"/>
      <c r="W2797" s="36">
        <v>0</v>
      </c>
      <c r="X2797" s="36">
        <v>0</v>
      </c>
      <c r="Y2797" s="36"/>
      <c r="Z2797" s="36"/>
      <c r="AA2797" s="40"/>
      <c r="AB2797" s="60"/>
      <c r="AC2797" s="98"/>
      <c r="AD2797" s="36"/>
      <c r="AE2797" s="36"/>
      <c r="AF2797" s="36"/>
      <c r="AG2797" s="99"/>
    </row>
    <row r="2798" spans="1:33" ht="13" outlineLevel="1" x14ac:dyDescent="0.3">
      <c r="A2798" t="s">
        <v>1014</v>
      </c>
      <c r="C2798" s="30"/>
      <c r="D2798" s="36"/>
      <c r="E2798" s="36"/>
      <c r="F2798" s="57"/>
      <c r="G2798" s="57"/>
      <c r="H2798" s="57"/>
      <c r="I2798" s="57"/>
      <c r="J2798" s="57"/>
      <c r="K2798" s="57"/>
      <c r="L2798" s="57"/>
      <c r="M2798" s="36"/>
      <c r="N2798" s="36"/>
      <c r="O2798" s="36"/>
      <c r="P2798" s="36" t="s">
        <v>1015</v>
      </c>
      <c r="Q2798" s="36" t="s">
        <v>1016</v>
      </c>
      <c r="R2798" s="36"/>
      <c r="S2798" s="36"/>
      <c r="T2798" s="36"/>
      <c r="U2798" s="36"/>
      <c r="V2798" s="58"/>
      <c r="W2798" s="36"/>
      <c r="X2798" s="36"/>
      <c r="Y2798" s="36"/>
      <c r="Z2798" s="36"/>
      <c r="AA2798" s="40"/>
      <c r="AB2798" s="60"/>
      <c r="AC2798" s="98"/>
      <c r="AD2798" s="36"/>
      <c r="AE2798" s="36"/>
      <c r="AF2798" s="36"/>
      <c r="AG2798" s="99"/>
    </row>
    <row r="2799" spans="1:33" ht="13" outlineLevel="1" x14ac:dyDescent="0.3">
      <c r="A2799" t="s">
        <v>1017</v>
      </c>
      <c r="C2799" s="31"/>
      <c r="D2799" s="36" t="s">
        <v>1019</v>
      </c>
      <c r="E2799" s="36" t="s">
        <v>1020</v>
      </c>
      <c r="F2799" s="22" t="s">
        <v>1021</v>
      </c>
      <c r="G2799" s="22" t="s">
        <v>1022</v>
      </c>
      <c r="H2799" s="22" t="s">
        <v>1023</v>
      </c>
      <c r="I2799" s="22" t="s">
        <v>1024</v>
      </c>
      <c r="J2799" s="22" t="s">
        <v>1025</v>
      </c>
      <c r="K2799" s="22" t="s">
        <v>1026</v>
      </c>
      <c r="L2799" s="22"/>
      <c r="M2799" s="36"/>
      <c r="N2799" s="36"/>
      <c r="O2799" s="36" t="s">
        <v>1027</v>
      </c>
      <c r="P2799" s="36" t="s">
        <v>1028</v>
      </c>
      <c r="Q2799" s="36" t="s">
        <v>1028</v>
      </c>
      <c r="R2799" s="36" t="s">
        <v>1028</v>
      </c>
      <c r="S2799" s="36" t="s">
        <v>1029</v>
      </c>
      <c r="T2799" s="36"/>
      <c r="U2799" s="36"/>
      <c r="V2799" s="58"/>
      <c r="W2799" s="36" t="s">
        <v>1030</v>
      </c>
      <c r="X2799" s="36" t="s">
        <v>1031</v>
      </c>
      <c r="Y2799" s="36"/>
      <c r="Z2799" s="36"/>
      <c r="AA2799" s="40"/>
      <c r="AB2799" s="60"/>
      <c r="AC2799" s="98"/>
      <c r="AD2799" s="36"/>
      <c r="AE2799" s="36"/>
      <c r="AF2799" s="36"/>
      <c r="AG2799" s="99"/>
    </row>
    <row r="2800" spans="1:33" ht="13" outlineLevel="1" x14ac:dyDescent="0.3">
      <c r="A2800" t="s">
        <v>1041</v>
      </c>
      <c r="C2800" s="31" t="s">
        <v>131</v>
      </c>
      <c r="D2800" s="33">
        <v>0</v>
      </c>
      <c r="E2800" s="33">
        <v>0</v>
      </c>
      <c r="F2800" s="23">
        <v>0</v>
      </c>
      <c r="G2800" s="23">
        <v>0</v>
      </c>
      <c r="H2800" s="23">
        <v>0</v>
      </c>
      <c r="I2800" s="23">
        <v>0</v>
      </c>
      <c r="J2800" s="23">
        <v>0</v>
      </c>
      <c r="K2800" s="23">
        <v>0</v>
      </c>
      <c r="L2800" s="23">
        <f>SUM(F2800:K2800)</f>
        <v>0</v>
      </c>
      <c r="M2800" s="33">
        <f>O2800-E2800</f>
        <v>0</v>
      </c>
      <c r="N2800" s="33">
        <f>O2800-D2800</f>
        <v>0</v>
      </c>
      <c r="O2800" s="33">
        <v>0</v>
      </c>
      <c r="P2800" s="33">
        <v>0</v>
      </c>
      <c r="Q2800" s="33">
        <v>0</v>
      </c>
      <c r="R2800" s="33">
        <v>0</v>
      </c>
      <c r="S2800" s="33">
        <v>0</v>
      </c>
      <c r="T2800" s="33">
        <f>R2800-S2800</f>
        <v>0</v>
      </c>
      <c r="U2800" s="38" t="str">
        <f>IFERROR((R2800/O2800)*100%,"∞")</f>
        <v>∞</v>
      </c>
      <c r="V2800" s="59">
        <f>O2800+W2800</f>
        <v>0</v>
      </c>
      <c r="W2800" s="33">
        <v>0</v>
      </c>
      <c r="X2800" s="33">
        <v>0</v>
      </c>
      <c r="Y2800" s="33"/>
      <c r="Z2800" s="33"/>
      <c r="AA2800" s="42"/>
      <c r="AB2800" s="60"/>
      <c r="AC2800" s="105"/>
      <c r="AD2800" s="93"/>
      <c r="AE2800" s="33">
        <f>SUM(AC2800:AD2800)</f>
        <v>0</v>
      </c>
      <c r="AF2800" s="33">
        <f>R2800+AE2800</f>
        <v>0</v>
      </c>
      <c r="AG2800" s="101">
        <f>AF2800-O2800</f>
        <v>0</v>
      </c>
    </row>
    <row r="2801" spans="1:14" outlineLevel="1" x14ac:dyDescent="0.25">
      <c r="A2801" t="s">
        <v>232</v>
      </c>
    </row>
    <row r="2802" spans="1:14" outlineLevel="1" x14ac:dyDescent="0.25">
      <c r="A2802" t="s">
        <v>944</v>
      </c>
      <c r="M2802" s="19"/>
      <c r="N2802" s="19"/>
    </row>
    <row r="2803" spans="1:14" outlineLevel="1" x14ac:dyDescent="0.25">
      <c r="A2803" t="s">
        <v>946</v>
      </c>
      <c r="E2803" s="19"/>
    </row>
    <row r="2804" spans="1:14" outlineLevel="1" x14ac:dyDescent="0.25">
      <c r="A2804" t="s">
        <v>947</v>
      </c>
      <c r="E2804" s="19"/>
      <c r="F2804" s="19"/>
    </row>
    <row r="2805" spans="1:14" ht="13" outlineLevel="1" x14ac:dyDescent="0.3">
      <c r="A2805" s="20" t="s">
        <v>948</v>
      </c>
    </row>
    <row r="2806" spans="1:14" outlineLevel="1" x14ac:dyDescent="0.25">
      <c r="A2806" s="7" t="s">
        <v>949</v>
      </c>
    </row>
    <row r="2807" spans="1:14" outlineLevel="1" x14ac:dyDescent="0.25">
      <c r="A2807" t="s">
        <v>950</v>
      </c>
    </row>
    <row r="2808" spans="1:14" outlineLevel="1" x14ac:dyDescent="0.25">
      <c r="A2808" t="s">
        <v>951</v>
      </c>
    </row>
    <row r="2809" spans="1:14" ht="13" outlineLevel="1" x14ac:dyDescent="0.3">
      <c r="A2809" s="21" t="str">
        <f>CONCATENATE("sql where a.client = '",$D$172,"' and a.period between '",LEFT($D$170,4),"00' and '",LEFT($D$171,4),"14' and a.version like '%ORIG%'")</f>
        <v>sql where a.client = 'OX' and a.period between '202500' and '202514' and a.version like '%ORIG%'</v>
      </c>
    </row>
    <row r="2810" spans="1:14" outlineLevel="1" x14ac:dyDescent="0.25">
      <c r="A2810" t="s">
        <v>952</v>
      </c>
    </row>
    <row r="2811" spans="1:14" outlineLevel="1" x14ac:dyDescent="0.25">
      <c r="A2811" t="s">
        <v>953</v>
      </c>
    </row>
    <row r="2812" spans="1:14" outlineLevel="1" x14ac:dyDescent="0.25">
      <c r="A2812" t="s">
        <v>954</v>
      </c>
    </row>
    <row r="2813" spans="1:14" ht="13" outlineLevel="1" x14ac:dyDescent="0.3">
      <c r="A2813" s="20" t="s">
        <v>955</v>
      </c>
    </row>
    <row r="2814" spans="1:14" outlineLevel="1" x14ac:dyDescent="0.25">
      <c r="A2814" s="7" t="s">
        <v>956</v>
      </c>
    </row>
    <row r="2815" spans="1:14" outlineLevel="1" x14ac:dyDescent="0.25">
      <c r="A2815" t="s">
        <v>950</v>
      </c>
    </row>
    <row r="2816" spans="1:14" outlineLevel="1" x14ac:dyDescent="0.25">
      <c r="A2816" t="s">
        <v>951</v>
      </c>
    </row>
    <row r="2817" spans="1:3" ht="14.5" outlineLevel="1" x14ac:dyDescent="0.35">
      <c r="A281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817" s="2"/>
    </row>
    <row r="2818" spans="1:3" outlineLevel="1" x14ac:dyDescent="0.25">
      <c r="A2818" t="s">
        <v>952</v>
      </c>
    </row>
    <row r="2819" spans="1:3" outlineLevel="1" x14ac:dyDescent="0.25">
      <c r="A2819" t="s">
        <v>953</v>
      </c>
    </row>
    <row r="2820" spans="1:3" outlineLevel="1" x14ac:dyDescent="0.25">
      <c r="A2820" t="s">
        <v>954</v>
      </c>
    </row>
    <row r="2821" spans="1:3" ht="13" outlineLevel="1" x14ac:dyDescent="0.3">
      <c r="A2821" t="s">
        <v>232</v>
      </c>
      <c r="B2821" s="66" t="s">
        <v>957</v>
      </c>
    </row>
    <row r="2822" spans="1:3" outlineLevel="1" x14ac:dyDescent="0.25">
      <c r="A2822" t="s">
        <v>232</v>
      </c>
      <c r="B2822" t="s">
        <v>958</v>
      </c>
    </row>
    <row r="2823" spans="1:3" outlineLevel="1" x14ac:dyDescent="0.25">
      <c r="A2823" t="s">
        <v>232</v>
      </c>
      <c r="B2823" t="s">
        <v>950</v>
      </c>
    </row>
    <row r="2824" spans="1:3" ht="13" outlineLevel="1" x14ac:dyDescent="0.3">
      <c r="A2824" t="s">
        <v>232</v>
      </c>
      <c r="B282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825" spans="1:3" ht="13" outlineLevel="1" x14ac:dyDescent="0.3">
      <c r="A2825" t="s">
        <v>232</v>
      </c>
      <c r="B2825" s="21" t="s">
        <v>959</v>
      </c>
    </row>
    <row r="2826" spans="1:3" outlineLevel="1" x14ac:dyDescent="0.25">
      <c r="A2826" t="s">
        <v>232</v>
      </c>
      <c r="B2826" t="s">
        <v>960</v>
      </c>
    </row>
    <row r="2827" spans="1:3" outlineLevel="1" x14ac:dyDescent="0.25">
      <c r="A2827" t="s">
        <v>232</v>
      </c>
      <c r="B2827" t="s">
        <v>961</v>
      </c>
    </row>
    <row r="2828" spans="1:3" outlineLevel="1" x14ac:dyDescent="0.25">
      <c r="A2828" t="s">
        <v>232</v>
      </c>
      <c r="B2828" t="str">
        <f>CONCATENATE("sql left outer join acrtrees t on t.client = x.client and x.dim_1 = t.cat_1 and t.att_agrid = '",$F$159,"'")</f>
        <v>sql left outer join acrtrees t on t.client = x.client and x.dim_1 = t.cat_1 and t.att_agrid = '53'</v>
      </c>
    </row>
    <row r="2829" spans="1:3" ht="13" outlineLevel="1" x14ac:dyDescent="0.3">
      <c r="A2829" t="s">
        <v>232</v>
      </c>
      <c r="B282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830" spans="1:3" ht="13" outlineLevel="1" x14ac:dyDescent="0.3">
      <c r="A2830" t="s">
        <v>232</v>
      </c>
      <c r="B2830" s="21" t="s">
        <v>962</v>
      </c>
    </row>
    <row r="2831" spans="1:3" ht="13" outlineLevel="1" x14ac:dyDescent="0.3">
      <c r="A2831" t="s">
        <v>232</v>
      </c>
      <c r="B283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832" spans="1:3" ht="13" outlineLevel="1" x14ac:dyDescent="0.3">
      <c r="A2832" t="s">
        <v>232</v>
      </c>
      <c r="B2832" s="21" t="s">
        <v>963</v>
      </c>
    </row>
    <row r="2833" spans="1:2" outlineLevel="1" x14ac:dyDescent="0.25">
      <c r="A2833" t="s">
        <v>232</v>
      </c>
      <c r="B2833" t="s">
        <v>964</v>
      </c>
    </row>
    <row r="2834" spans="1:2" outlineLevel="1" x14ac:dyDescent="0.25">
      <c r="A2834" t="s">
        <v>232</v>
      </c>
      <c r="B2834" t="s">
        <v>965</v>
      </c>
    </row>
    <row r="2835" spans="1:2" outlineLevel="1" x14ac:dyDescent="0.25">
      <c r="A2835" t="s">
        <v>232</v>
      </c>
      <c r="B2835" t="s">
        <v>966</v>
      </c>
    </row>
    <row r="2836" spans="1:2" outlineLevel="1" x14ac:dyDescent="0.25">
      <c r="A2836" t="s">
        <v>232</v>
      </c>
      <c r="B2836" t="s">
        <v>953</v>
      </c>
    </row>
    <row r="2837" spans="1:2" outlineLevel="1" x14ac:dyDescent="0.25">
      <c r="A2837" t="s">
        <v>232</v>
      </c>
      <c r="B2837" t="s">
        <v>954</v>
      </c>
    </row>
    <row r="2838" spans="1:2" ht="13" outlineLevel="1" x14ac:dyDescent="0.3">
      <c r="A2838" t="s">
        <v>232</v>
      </c>
      <c r="B2838" s="66" t="s">
        <v>967</v>
      </c>
    </row>
    <row r="2839" spans="1:2" outlineLevel="1" x14ac:dyDescent="0.25">
      <c r="A2839" t="s">
        <v>232</v>
      </c>
      <c r="B2839" t="s">
        <v>968</v>
      </c>
    </row>
    <row r="2840" spans="1:2" outlineLevel="1" x14ac:dyDescent="0.25">
      <c r="A2840" t="s">
        <v>232</v>
      </c>
      <c r="B2840" t="s">
        <v>950</v>
      </c>
    </row>
    <row r="2841" spans="1:2" ht="13" outlineLevel="1" x14ac:dyDescent="0.3">
      <c r="A2841" t="s">
        <v>232</v>
      </c>
      <c r="B284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842" spans="1:2" ht="13" outlineLevel="1" x14ac:dyDescent="0.3">
      <c r="A2842" t="s">
        <v>232</v>
      </c>
      <c r="B2842" s="21" t="s">
        <v>969</v>
      </c>
    </row>
    <row r="2843" spans="1:2" ht="13" outlineLevel="1" x14ac:dyDescent="0.3">
      <c r="A2843" t="s">
        <v>232</v>
      </c>
      <c r="B2843" s="21" t="s">
        <v>959</v>
      </c>
    </row>
    <row r="2844" spans="1:2" outlineLevel="1" x14ac:dyDescent="0.25">
      <c r="A2844" t="s">
        <v>232</v>
      </c>
      <c r="B2844" t="s">
        <v>960</v>
      </c>
    </row>
    <row r="2845" spans="1:2" outlineLevel="1" x14ac:dyDescent="0.25">
      <c r="A2845" t="s">
        <v>232</v>
      </c>
      <c r="B2845" t="s">
        <v>961</v>
      </c>
    </row>
    <row r="2846" spans="1:2" outlineLevel="1" x14ac:dyDescent="0.25">
      <c r="A2846" t="s">
        <v>232</v>
      </c>
      <c r="B2846" t="str">
        <f>CONCATENATE("sql left outer join acrtrees t on t.client = x.client and x.dim_1 = t.cat_1 and t.att_agrid = '",$F$159,"'")</f>
        <v>sql left outer join acrtrees t on t.client = x.client and x.dim_1 = t.cat_1 and t.att_agrid = '53'</v>
      </c>
    </row>
    <row r="2847" spans="1:2" ht="13" outlineLevel="1" x14ac:dyDescent="0.3">
      <c r="A2847" t="s">
        <v>232</v>
      </c>
      <c r="B284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848" spans="1:2" ht="13" outlineLevel="1" x14ac:dyDescent="0.3">
      <c r="A2848" t="s">
        <v>232</v>
      </c>
      <c r="B2848" s="21" t="s">
        <v>970</v>
      </c>
    </row>
    <row r="2849" spans="1:2" ht="13" outlineLevel="1" x14ac:dyDescent="0.3">
      <c r="A2849" t="s">
        <v>232</v>
      </c>
      <c r="B2849" s="21" t="s">
        <v>962</v>
      </c>
    </row>
    <row r="2850" spans="1:2" ht="13" outlineLevel="1" x14ac:dyDescent="0.3">
      <c r="A2850" t="s">
        <v>232</v>
      </c>
      <c r="B285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851" spans="1:2" ht="13" outlineLevel="1" x14ac:dyDescent="0.3">
      <c r="A2851" t="s">
        <v>232</v>
      </c>
      <c r="B2851" s="21" t="s">
        <v>970</v>
      </c>
    </row>
    <row r="2852" spans="1:2" ht="13" outlineLevel="1" x14ac:dyDescent="0.3">
      <c r="A2852" t="s">
        <v>232</v>
      </c>
      <c r="B2852" s="21" t="s">
        <v>963</v>
      </c>
    </row>
    <row r="2853" spans="1:2" outlineLevel="1" x14ac:dyDescent="0.25">
      <c r="A2853" t="s">
        <v>232</v>
      </c>
      <c r="B2853" t="s">
        <v>964</v>
      </c>
    </row>
    <row r="2854" spans="1:2" outlineLevel="1" x14ac:dyDescent="0.25">
      <c r="A2854" t="s">
        <v>232</v>
      </c>
      <c r="B2854" t="s">
        <v>965</v>
      </c>
    </row>
    <row r="2855" spans="1:2" outlineLevel="1" x14ac:dyDescent="0.25">
      <c r="A2855" t="s">
        <v>232</v>
      </c>
      <c r="B2855" t="s">
        <v>966</v>
      </c>
    </row>
    <row r="2856" spans="1:2" outlineLevel="1" x14ac:dyDescent="0.25">
      <c r="A2856" t="s">
        <v>232</v>
      </c>
      <c r="B2856" t="s">
        <v>953</v>
      </c>
    </row>
    <row r="2857" spans="1:2" outlineLevel="1" x14ac:dyDescent="0.25">
      <c r="A2857" t="s">
        <v>232</v>
      </c>
      <c r="B2857" t="s">
        <v>954</v>
      </c>
    </row>
    <row r="2858" spans="1:2" ht="13" outlineLevel="1" x14ac:dyDescent="0.3">
      <c r="A2858" s="66" t="s">
        <v>971</v>
      </c>
    </row>
    <row r="2859" spans="1:2" outlineLevel="1" x14ac:dyDescent="0.25">
      <c r="A2859" t="s">
        <v>972</v>
      </c>
    </row>
    <row r="2860" spans="1:2" outlineLevel="1" x14ac:dyDescent="0.25">
      <c r="A2860" t="s">
        <v>950</v>
      </c>
    </row>
    <row r="2861" spans="1:2" ht="13" outlineLevel="1" x14ac:dyDescent="0.3">
      <c r="A286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862" spans="1:2" ht="13" outlineLevel="1" x14ac:dyDescent="0.3">
      <c r="A2862" s="21" t="s">
        <v>959</v>
      </c>
    </row>
    <row r="2863" spans="1:2" outlineLevel="1" x14ac:dyDescent="0.25">
      <c r="A2863" t="s">
        <v>960</v>
      </c>
    </row>
    <row r="2864" spans="1:2" outlineLevel="1" x14ac:dyDescent="0.25">
      <c r="A2864" t="s">
        <v>961</v>
      </c>
    </row>
    <row r="2865" spans="1:1" outlineLevel="1" x14ac:dyDescent="0.25">
      <c r="A2865" t="str">
        <f>CONCATENATE("sql left outer join acrtrees t on t.client = x.client and x.dim_1 = t.cat_1 and t.att_agrid = '",$F$159,"'")</f>
        <v>sql left outer join acrtrees t on t.client = x.client and x.dim_1 = t.cat_1 and t.att_agrid = '53'</v>
      </c>
    </row>
    <row r="2866" spans="1:1" ht="13" outlineLevel="1" x14ac:dyDescent="0.3">
      <c r="A286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867" spans="1:1" ht="13" outlineLevel="1" x14ac:dyDescent="0.3">
      <c r="A2867" s="21" t="s">
        <v>973</v>
      </c>
    </row>
    <row r="2868" spans="1:1" outlineLevel="1" x14ac:dyDescent="0.25">
      <c r="A2868" t="s">
        <v>964</v>
      </c>
    </row>
    <row r="2869" spans="1:1" outlineLevel="1" x14ac:dyDescent="0.25">
      <c r="A2869" t="s">
        <v>965</v>
      </c>
    </row>
    <row r="2870" spans="1:1" outlineLevel="1" x14ac:dyDescent="0.25">
      <c r="A2870" t="s">
        <v>966</v>
      </c>
    </row>
    <row r="2871" spans="1:1" outlineLevel="1" x14ac:dyDescent="0.25">
      <c r="A2871" t="s">
        <v>953</v>
      </c>
    </row>
    <row r="2872" spans="1:1" outlineLevel="1" x14ac:dyDescent="0.25">
      <c r="A2872" t="s">
        <v>954</v>
      </c>
    </row>
    <row r="2873" spans="1:1" ht="13" outlineLevel="1" x14ac:dyDescent="0.3">
      <c r="A2873" s="66" t="s">
        <v>974</v>
      </c>
    </row>
    <row r="2874" spans="1:1" outlineLevel="1" x14ac:dyDescent="0.25">
      <c r="A2874" t="s">
        <v>975</v>
      </c>
    </row>
    <row r="2875" spans="1:1" outlineLevel="1" x14ac:dyDescent="0.25">
      <c r="A2875" t="s">
        <v>950</v>
      </c>
    </row>
    <row r="2876" spans="1:1" ht="13" outlineLevel="1" x14ac:dyDescent="0.3">
      <c r="A287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877" spans="1:1" ht="13" outlineLevel="1" x14ac:dyDescent="0.3">
      <c r="A2877" s="21" t="s">
        <v>959</v>
      </c>
    </row>
    <row r="2878" spans="1:1" outlineLevel="1" x14ac:dyDescent="0.25">
      <c r="A2878" t="s">
        <v>960</v>
      </c>
    </row>
    <row r="2879" spans="1:1" outlineLevel="1" x14ac:dyDescent="0.25">
      <c r="A2879" t="s">
        <v>961</v>
      </c>
    </row>
    <row r="2880" spans="1:1" outlineLevel="1" x14ac:dyDescent="0.25">
      <c r="A2880" t="str">
        <f>CONCATENATE("sql left outer join acrtrees t on t.client = x.client and x.dim_1 = t.cat_1 and t.att_agrid = '",$F$159,"'")</f>
        <v>sql left outer join acrtrees t on t.client = x.client and x.dim_1 = t.cat_1 and t.att_agrid = '53'</v>
      </c>
    </row>
    <row r="2881" spans="1:1" ht="13" outlineLevel="1" x14ac:dyDescent="0.3">
      <c r="A288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882" spans="1:1" ht="13" outlineLevel="1" x14ac:dyDescent="0.3">
      <c r="A2882" s="21" t="s">
        <v>973</v>
      </c>
    </row>
    <row r="2883" spans="1:1" outlineLevel="1" x14ac:dyDescent="0.25">
      <c r="A2883" t="s">
        <v>964</v>
      </c>
    </row>
    <row r="2884" spans="1:1" outlineLevel="1" x14ac:dyDescent="0.25">
      <c r="A2884" t="s">
        <v>965</v>
      </c>
    </row>
    <row r="2885" spans="1:1" outlineLevel="1" x14ac:dyDescent="0.25">
      <c r="A2885" t="s">
        <v>966</v>
      </c>
    </row>
    <row r="2886" spans="1:1" outlineLevel="1" x14ac:dyDescent="0.25">
      <c r="A2886" t="s">
        <v>953</v>
      </c>
    </row>
    <row r="2887" spans="1:1" outlineLevel="1" x14ac:dyDescent="0.25">
      <c r="A2887" t="s">
        <v>954</v>
      </c>
    </row>
    <row r="2888" spans="1:1" ht="13" outlineLevel="1" x14ac:dyDescent="0.3">
      <c r="A2888" s="66" t="s">
        <v>976</v>
      </c>
    </row>
    <row r="2889" spans="1:1" outlineLevel="1" x14ac:dyDescent="0.25">
      <c r="A2889" t="s">
        <v>977</v>
      </c>
    </row>
    <row r="2890" spans="1:1" outlineLevel="1" x14ac:dyDescent="0.25">
      <c r="A2890" t="s">
        <v>950</v>
      </c>
    </row>
    <row r="2891" spans="1:1" ht="13" outlineLevel="1" x14ac:dyDescent="0.3">
      <c r="A289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892" spans="1:1" ht="13" outlineLevel="1" x14ac:dyDescent="0.3">
      <c r="A2892" s="21" t="s">
        <v>959</v>
      </c>
    </row>
    <row r="2893" spans="1:1" outlineLevel="1" x14ac:dyDescent="0.25">
      <c r="A2893" t="s">
        <v>960</v>
      </c>
    </row>
    <row r="2894" spans="1:1" outlineLevel="1" x14ac:dyDescent="0.25">
      <c r="A2894" t="s">
        <v>961</v>
      </c>
    </row>
    <row r="2895" spans="1:1" outlineLevel="1" x14ac:dyDescent="0.25">
      <c r="A2895" t="str">
        <f>CONCATENATE("sql left outer join acrtrees t on t.client = x.client and x.dim_1 = t.cat_1 and t.att_agrid = '",$F$159,"'")</f>
        <v>sql left outer join acrtrees t on t.client = x.client and x.dim_1 = t.cat_1 and t.att_agrid = '53'</v>
      </c>
    </row>
    <row r="2896" spans="1:1" ht="13" outlineLevel="1" x14ac:dyDescent="0.3">
      <c r="A289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897" spans="1:1" ht="13" outlineLevel="1" x14ac:dyDescent="0.3">
      <c r="A2897" s="21" t="s">
        <v>978</v>
      </c>
    </row>
    <row r="2898" spans="1:1" outlineLevel="1" x14ac:dyDescent="0.25">
      <c r="A2898" t="s">
        <v>979</v>
      </c>
    </row>
    <row r="2899" spans="1:1" outlineLevel="1" x14ac:dyDescent="0.25">
      <c r="A2899" t="s">
        <v>980</v>
      </c>
    </row>
    <row r="2900" spans="1:1" outlineLevel="1" x14ac:dyDescent="0.25">
      <c r="A2900" t="s">
        <v>966</v>
      </c>
    </row>
    <row r="2901" spans="1:1" outlineLevel="1" x14ac:dyDescent="0.25">
      <c r="A2901" t="s">
        <v>953</v>
      </c>
    </row>
    <row r="2902" spans="1:1" outlineLevel="1" x14ac:dyDescent="0.25">
      <c r="A2902" t="s">
        <v>954</v>
      </c>
    </row>
    <row r="2903" spans="1:1" ht="13" outlineLevel="1" x14ac:dyDescent="0.3">
      <c r="A2903" s="66" t="s">
        <v>981</v>
      </c>
    </row>
    <row r="2904" spans="1:1" outlineLevel="1" x14ac:dyDescent="0.25">
      <c r="A2904" t="s">
        <v>982</v>
      </c>
    </row>
    <row r="2905" spans="1:1" outlineLevel="1" x14ac:dyDescent="0.25">
      <c r="A2905" t="s">
        <v>950</v>
      </c>
    </row>
    <row r="2906" spans="1:1" ht="13" outlineLevel="1" x14ac:dyDescent="0.3">
      <c r="A290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907" spans="1:1" ht="13" outlineLevel="1" x14ac:dyDescent="0.3">
      <c r="A2907" s="21" t="s">
        <v>969</v>
      </c>
    </row>
    <row r="2908" spans="1:1" ht="13" outlineLevel="1" x14ac:dyDescent="0.3">
      <c r="A2908" s="21" t="s">
        <v>959</v>
      </c>
    </row>
    <row r="2909" spans="1:1" outlineLevel="1" x14ac:dyDescent="0.25">
      <c r="A2909" t="s">
        <v>960</v>
      </c>
    </row>
    <row r="2910" spans="1:1" outlineLevel="1" x14ac:dyDescent="0.25">
      <c r="A2910" t="s">
        <v>961</v>
      </c>
    </row>
    <row r="2911" spans="1:1" outlineLevel="1" x14ac:dyDescent="0.25">
      <c r="A2911" t="str">
        <f>CONCATENATE("sql left outer join acrtrees t on t.client = x.client and x.dim_1 = t.cat_1 and t.att_agrid = '",$F$159,"'")</f>
        <v>sql left outer join acrtrees t on t.client = x.client and x.dim_1 = t.cat_1 and t.att_agrid = '53'</v>
      </c>
    </row>
    <row r="2912" spans="1:1" ht="13" outlineLevel="1" x14ac:dyDescent="0.3">
      <c r="A291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913" spans="1:3" ht="13" outlineLevel="1" x14ac:dyDescent="0.3">
      <c r="A2913" s="21" t="s">
        <v>970</v>
      </c>
    </row>
    <row r="2914" spans="1:3" ht="13" outlineLevel="1" x14ac:dyDescent="0.3">
      <c r="A2914" s="21" t="s">
        <v>978</v>
      </c>
    </row>
    <row r="2915" spans="1:3" outlineLevel="1" x14ac:dyDescent="0.25">
      <c r="A2915" t="s">
        <v>979</v>
      </c>
    </row>
    <row r="2916" spans="1:3" outlineLevel="1" x14ac:dyDescent="0.25">
      <c r="A2916" t="s">
        <v>980</v>
      </c>
    </row>
    <row r="2917" spans="1:3" outlineLevel="1" x14ac:dyDescent="0.25">
      <c r="A2917" t="s">
        <v>966</v>
      </c>
    </row>
    <row r="2918" spans="1:3" outlineLevel="1" x14ac:dyDescent="0.25">
      <c r="A2918" t="s">
        <v>953</v>
      </c>
    </row>
    <row r="2919" spans="1:3" outlineLevel="1" x14ac:dyDescent="0.25">
      <c r="A2919" t="s">
        <v>954</v>
      </c>
    </row>
    <row r="2920" spans="1:3" ht="13" outlineLevel="1" x14ac:dyDescent="0.3">
      <c r="A2920" s="20" t="s">
        <v>983</v>
      </c>
    </row>
    <row r="2921" spans="1:3" outlineLevel="1" x14ac:dyDescent="0.25">
      <c r="A2921" s="7" t="s">
        <v>984</v>
      </c>
    </row>
    <row r="2922" spans="1:3" outlineLevel="1" x14ac:dyDescent="0.25">
      <c r="A2922" t="s">
        <v>950</v>
      </c>
    </row>
    <row r="2923" spans="1:3" outlineLevel="1" x14ac:dyDescent="0.25">
      <c r="A2923" t="s">
        <v>951</v>
      </c>
    </row>
    <row r="2924" spans="1:3" ht="14.5" outlineLevel="1" x14ac:dyDescent="0.35">
      <c r="A292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924" s="2"/>
    </row>
    <row r="2925" spans="1:3" outlineLevel="1" x14ac:dyDescent="0.25">
      <c r="A2925" t="s">
        <v>952</v>
      </c>
    </row>
    <row r="2926" spans="1:3" outlineLevel="1" x14ac:dyDescent="0.25">
      <c r="A2926" t="s">
        <v>953</v>
      </c>
    </row>
    <row r="2927" spans="1:3" outlineLevel="1" x14ac:dyDescent="0.25">
      <c r="A2927" t="s">
        <v>954</v>
      </c>
    </row>
    <row r="2928" spans="1:3" ht="13" outlineLevel="1" x14ac:dyDescent="0.3">
      <c r="A2928" s="20" t="s">
        <v>985</v>
      </c>
    </row>
    <row r="2929" spans="1:1" outlineLevel="1" x14ac:dyDescent="0.25">
      <c r="A2929" s="7" t="s">
        <v>986</v>
      </c>
    </row>
    <row r="2930" spans="1:1" outlineLevel="1" x14ac:dyDescent="0.25">
      <c r="A2930" t="s">
        <v>987</v>
      </c>
    </row>
    <row r="2931" spans="1:1" ht="13" outlineLevel="1" x14ac:dyDescent="0.3">
      <c r="A2931" s="21" t="str">
        <f>CONCATENATE("sql where a.client = '",$D$172,"' and a.period between '",LEFT($D$170,4),"00' and '",IF(RIGHT($D$171,2)="12",CONCATENATE(LEFT($D$171,4),"14"),$D$171),"'")</f>
        <v>sql where a.client = 'OX' and a.period between '202500' and '202506'</v>
      </c>
    </row>
    <row r="2932" spans="1:1" outlineLevel="1" x14ac:dyDescent="0.25">
      <c r="A2932" t="s">
        <v>952</v>
      </c>
    </row>
    <row r="2933" spans="1:1" outlineLevel="1" x14ac:dyDescent="0.25">
      <c r="A2933" t="s">
        <v>953</v>
      </c>
    </row>
    <row r="2934" spans="1:1" outlineLevel="1" x14ac:dyDescent="0.25">
      <c r="A2934" t="s">
        <v>954</v>
      </c>
    </row>
    <row r="2935" spans="1:1" ht="13" outlineLevel="1" x14ac:dyDescent="0.3">
      <c r="A2935" s="20" t="s">
        <v>988</v>
      </c>
    </row>
    <row r="2936" spans="1:1" outlineLevel="1" x14ac:dyDescent="0.25">
      <c r="A2936" s="7" t="s">
        <v>989</v>
      </c>
    </row>
    <row r="2937" spans="1:1" outlineLevel="1" x14ac:dyDescent="0.25">
      <c r="A2937" t="s">
        <v>950</v>
      </c>
    </row>
    <row r="2938" spans="1:1" outlineLevel="1" x14ac:dyDescent="0.25">
      <c r="A2938" t="s">
        <v>951</v>
      </c>
    </row>
    <row r="2939" spans="1:1" ht="13" outlineLevel="1" x14ac:dyDescent="0.3">
      <c r="A293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940" spans="1:1" outlineLevel="1" x14ac:dyDescent="0.25">
      <c r="A2940" t="s">
        <v>952</v>
      </c>
    </row>
    <row r="2941" spans="1:1" outlineLevel="1" x14ac:dyDescent="0.25">
      <c r="A2941" t="s">
        <v>953</v>
      </c>
    </row>
    <row r="2942" spans="1:1" outlineLevel="1" x14ac:dyDescent="0.25">
      <c r="A2942" t="s">
        <v>954</v>
      </c>
    </row>
    <row r="2943" spans="1:1" ht="13" outlineLevel="1" x14ac:dyDescent="0.3">
      <c r="A2943" s="20" t="s">
        <v>990</v>
      </c>
    </row>
    <row r="2944" spans="1:1" outlineLevel="1" x14ac:dyDescent="0.25">
      <c r="A2944" s="7" t="s">
        <v>991</v>
      </c>
    </row>
    <row r="2945" spans="1:1" outlineLevel="1" x14ac:dyDescent="0.25">
      <c r="A2945" t="s">
        <v>950</v>
      </c>
    </row>
    <row r="2946" spans="1:1" outlineLevel="1" x14ac:dyDescent="0.25">
      <c r="A2946" t="s">
        <v>951</v>
      </c>
    </row>
    <row r="2947" spans="1:1" ht="13" outlineLevel="1" x14ac:dyDescent="0.3">
      <c r="A294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948" spans="1:1" outlineLevel="1" x14ac:dyDescent="0.25">
      <c r="A2948" t="s">
        <v>952</v>
      </c>
    </row>
    <row r="2949" spans="1:1" outlineLevel="1" x14ac:dyDescent="0.25">
      <c r="A2949" t="s">
        <v>953</v>
      </c>
    </row>
    <row r="2950" spans="1:1" outlineLevel="1" x14ac:dyDescent="0.25">
      <c r="A2950" t="s">
        <v>954</v>
      </c>
    </row>
    <row r="2951" spans="1:1" ht="13" outlineLevel="1" x14ac:dyDescent="0.3">
      <c r="A2951" s="20" t="s">
        <v>992</v>
      </c>
    </row>
    <row r="2952" spans="1:1" outlineLevel="1" x14ac:dyDescent="0.25">
      <c r="A2952" s="7" t="s">
        <v>993</v>
      </c>
    </row>
    <row r="2953" spans="1:1" outlineLevel="1" x14ac:dyDescent="0.25">
      <c r="A2953" t="s">
        <v>950</v>
      </c>
    </row>
    <row r="2954" spans="1:1" outlineLevel="1" x14ac:dyDescent="0.25">
      <c r="A2954" t="s">
        <v>951</v>
      </c>
    </row>
    <row r="2955" spans="1:1" ht="13" outlineLevel="1" x14ac:dyDescent="0.3">
      <c r="A295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956" spans="1:1" outlineLevel="1" x14ac:dyDescent="0.25">
      <c r="A2956" t="s">
        <v>952</v>
      </c>
    </row>
    <row r="2957" spans="1:1" outlineLevel="1" x14ac:dyDescent="0.25">
      <c r="A2957" t="s">
        <v>953</v>
      </c>
    </row>
    <row r="2958" spans="1:1" outlineLevel="1" x14ac:dyDescent="0.25">
      <c r="A2958" t="s">
        <v>994</v>
      </c>
    </row>
    <row r="2959" spans="1:1" outlineLevel="1" x14ac:dyDescent="0.25">
      <c r="A2959" t="str">
        <f>CONCATENATE("sql left outer join acrtrees t on t.client = u.client and u.dim_1 = t.cat_1 and t.att_agrid = '",$F$159,"'")</f>
        <v>sql left outer join acrtrees t on t.client = u.client and u.dim_1 = t.cat_1 and t.att_agrid = '53'</v>
      </c>
    </row>
    <row r="2960" spans="1:1" outlineLevel="1" x14ac:dyDescent="0.25">
      <c r="A2960" t="str">
        <f>CONCATENATE("sql left outer join acrtrees s on s.client = u.client and u.account = s.cat_1 and s.att_agrid = '",$F$160,"'")</f>
        <v>sql left outer join acrtrees s on s.client = u.client and u.account = s.cat_1 and s.att_agrid = '14'</v>
      </c>
    </row>
    <row r="2961" spans="1:33" outlineLevel="1" x14ac:dyDescent="0.25">
      <c r="A2961" t="str">
        <f>CONCATENATE("sql left outer join acrtrees v on v.client = u.client and u.account = v.cat_1 and v.att_agrid = '",$F$161,"'")</f>
        <v>sql left outer join acrtrees v on v.client = u.client and u.account = v.cat_1 and v.att_agrid = '17'</v>
      </c>
    </row>
    <row r="2962" spans="1:33" outlineLevel="1" x14ac:dyDescent="0.25">
      <c r="A2962" t="str">
        <f>CONCATENATE("sql left outer join agldescription d on d.client = u.client and d.dim_value = t.dim_c and d.attribute_id = '",$F$162,"'")</f>
        <v>sql left outer join agldescription d on d.client = u.client and d.dim_value = t.dim_c and d.attribute_id = '82'</v>
      </c>
    </row>
    <row r="2963" spans="1:33" outlineLevel="1" x14ac:dyDescent="0.25">
      <c r="A2963" t="str">
        <f>CONCATENATE("sql left outer join agldescription e on e.client = u.client and e.dim_value = t.dim_b and e.attribute_id = '",$F$163,"'")</f>
        <v>sql left outer join agldescription e on e.client = u.client and e.dim_value = t.dim_b and e.attribute_id = '81'</v>
      </c>
    </row>
    <row r="2964" spans="1:33" outlineLevel="1" x14ac:dyDescent="0.25">
      <c r="A2964" t="str">
        <f>CONCATENATE("sql left outer join agldescription f on f.client = u.client and f.dim_value = t.dim_e and f.attribute_id = '",$F$164,"'")</f>
        <v>sql left outer join agldescription f on f.client = u.client and f.dim_value = t.dim_e and f.attribute_id = '80'</v>
      </c>
    </row>
    <row r="2965" spans="1:33" outlineLevel="1" x14ac:dyDescent="0.25">
      <c r="A2965" t="str">
        <f>CONCATENATE("sql left outer join agldescription g on g.client = u.client and g.dim_value = u.account and g.attribute_id = '",$F$165,"'")</f>
        <v>sql left outer join agldescription g on g.client = u.client and g.dim_value = u.account and g.attribute_id = 'A0'</v>
      </c>
    </row>
    <row r="2966" spans="1:33" ht="14.5" outlineLevel="1" x14ac:dyDescent="0.35">
      <c r="A2966" s="67" t="s">
        <v>1066</v>
      </c>
      <c r="G2966" s="737" t="s">
        <v>1067</v>
      </c>
    </row>
    <row r="2967" spans="1:33" outlineLevel="1" x14ac:dyDescent="0.25">
      <c r="A2967" t="s">
        <v>1005</v>
      </c>
    </row>
    <row r="2968" spans="1:33" outlineLevel="1" x14ac:dyDescent="0.25">
      <c r="A2968" t="s">
        <v>1006</v>
      </c>
    </row>
    <row r="2969" spans="1:33" outlineLevel="1" x14ac:dyDescent="0.25">
      <c r="A2969" t="s">
        <v>1007</v>
      </c>
    </row>
    <row r="2970" spans="1:33" ht="13" outlineLevel="1" x14ac:dyDescent="0.3">
      <c r="A2970" t="s">
        <v>1012</v>
      </c>
      <c r="C2970" s="29"/>
      <c r="D2970" s="36">
        <v>1000</v>
      </c>
      <c r="E2970" s="36">
        <v>1000</v>
      </c>
      <c r="F2970" s="22">
        <v>1000</v>
      </c>
      <c r="G2970" s="22">
        <v>1000</v>
      </c>
      <c r="H2970" s="22">
        <v>1000</v>
      </c>
      <c r="I2970" s="22">
        <v>1000</v>
      </c>
      <c r="J2970" s="22">
        <v>1000</v>
      </c>
      <c r="K2970" s="22">
        <v>1000</v>
      </c>
      <c r="L2970" s="22"/>
      <c r="M2970" s="36"/>
      <c r="N2970" s="36"/>
      <c r="O2970" s="36">
        <v>1000</v>
      </c>
      <c r="P2970" s="36">
        <v>1000</v>
      </c>
      <c r="Q2970" s="36">
        <v>1000</v>
      </c>
      <c r="R2970" s="36">
        <v>1000</v>
      </c>
      <c r="S2970" s="36">
        <v>1000</v>
      </c>
      <c r="T2970" s="36"/>
      <c r="U2970" s="36"/>
      <c r="V2970" s="58"/>
      <c r="W2970" s="36">
        <v>1000</v>
      </c>
      <c r="X2970" s="36">
        <v>1000</v>
      </c>
      <c r="Y2970" s="36"/>
      <c r="Z2970" s="36"/>
      <c r="AA2970" s="40"/>
      <c r="AB2970" s="60"/>
      <c r="AC2970" s="98"/>
      <c r="AD2970" s="36"/>
      <c r="AE2970" s="36"/>
      <c r="AF2970" s="36"/>
      <c r="AG2970" s="99"/>
    </row>
    <row r="2971" spans="1:33" ht="13" outlineLevel="1" x14ac:dyDescent="0.3">
      <c r="A2971" s="7" t="s">
        <v>1013</v>
      </c>
      <c r="C2971" s="29"/>
      <c r="D2971" s="36">
        <v>0</v>
      </c>
      <c r="E2971" s="36">
        <v>0</v>
      </c>
      <c r="F2971" s="22">
        <v>0</v>
      </c>
      <c r="G2971" s="22">
        <v>0</v>
      </c>
      <c r="H2971" s="22">
        <v>0</v>
      </c>
      <c r="I2971" s="22">
        <v>0</v>
      </c>
      <c r="J2971" s="22">
        <v>0</v>
      </c>
      <c r="K2971" s="22">
        <v>0</v>
      </c>
      <c r="L2971" s="22"/>
      <c r="M2971" s="36"/>
      <c r="N2971" s="36"/>
      <c r="O2971" s="36">
        <v>0</v>
      </c>
      <c r="P2971" s="36">
        <v>0</v>
      </c>
      <c r="Q2971" s="36">
        <v>0</v>
      </c>
      <c r="R2971" s="36">
        <v>0</v>
      </c>
      <c r="S2971" s="36">
        <v>0</v>
      </c>
      <c r="T2971" s="36"/>
      <c r="U2971" s="36"/>
      <c r="V2971" s="58"/>
      <c r="W2971" s="36">
        <v>0</v>
      </c>
      <c r="X2971" s="36">
        <v>0</v>
      </c>
      <c r="Y2971" s="36"/>
      <c r="Z2971" s="36"/>
      <c r="AA2971" s="40"/>
      <c r="AB2971" s="60"/>
      <c r="AC2971" s="98"/>
      <c r="AD2971" s="36"/>
      <c r="AE2971" s="36"/>
      <c r="AF2971" s="36"/>
      <c r="AG2971" s="99"/>
    </row>
    <row r="2972" spans="1:33" ht="13" outlineLevel="1" x14ac:dyDescent="0.3">
      <c r="A2972" t="s">
        <v>1014</v>
      </c>
      <c r="C2972" s="30"/>
      <c r="D2972" s="36"/>
      <c r="E2972" s="36"/>
      <c r="F2972" s="57"/>
      <c r="G2972" s="57"/>
      <c r="H2972" s="57"/>
      <c r="I2972" s="57"/>
      <c r="J2972" s="57"/>
      <c r="K2972" s="57"/>
      <c r="L2972" s="57"/>
      <c r="M2972" s="36"/>
      <c r="N2972" s="36"/>
      <c r="O2972" s="36"/>
      <c r="P2972" s="36" t="s">
        <v>1015</v>
      </c>
      <c r="Q2972" s="36" t="s">
        <v>1016</v>
      </c>
      <c r="R2972" s="36"/>
      <c r="S2972" s="36"/>
      <c r="T2972" s="36"/>
      <c r="U2972" s="36"/>
      <c r="V2972" s="58"/>
      <c r="W2972" s="36"/>
      <c r="X2972" s="36"/>
      <c r="Y2972" s="36"/>
      <c r="Z2972" s="36"/>
      <c r="AA2972" s="40"/>
      <c r="AB2972" s="60"/>
      <c r="AC2972" s="98"/>
      <c r="AD2972" s="36"/>
      <c r="AE2972" s="36"/>
      <c r="AF2972" s="36"/>
      <c r="AG2972" s="99"/>
    </row>
    <row r="2973" spans="1:33" ht="13" outlineLevel="1" x14ac:dyDescent="0.3">
      <c r="A2973" t="s">
        <v>1017</v>
      </c>
      <c r="C2973" s="31"/>
      <c r="D2973" s="36" t="s">
        <v>1019</v>
      </c>
      <c r="E2973" s="36" t="s">
        <v>1020</v>
      </c>
      <c r="F2973" s="22" t="s">
        <v>1021</v>
      </c>
      <c r="G2973" s="22" t="s">
        <v>1022</v>
      </c>
      <c r="H2973" s="22" t="s">
        <v>1023</v>
      </c>
      <c r="I2973" s="22" t="s">
        <v>1024</v>
      </c>
      <c r="J2973" s="22" t="s">
        <v>1025</v>
      </c>
      <c r="K2973" s="22" t="s">
        <v>1026</v>
      </c>
      <c r="L2973" s="22"/>
      <c r="M2973" s="36"/>
      <c r="N2973" s="36"/>
      <c r="O2973" s="36" t="s">
        <v>1027</v>
      </c>
      <c r="P2973" s="36" t="s">
        <v>1028</v>
      </c>
      <c r="Q2973" s="36" t="s">
        <v>1028</v>
      </c>
      <c r="R2973" s="36" t="s">
        <v>1028</v>
      </c>
      <c r="S2973" s="36" t="s">
        <v>1029</v>
      </c>
      <c r="T2973" s="36"/>
      <c r="U2973" s="36"/>
      <c r="V2973" s="58"/>
      <c r="W2973" s="36" t="s">
        <v>1030</v>
      </c>
      <c r="X2973" s="36" t="s">
        <v>1031</v>
      </c>
      <c r="Y2973" s="36"/>
      <c r="Z2973" s="36"/>
      <c r="AA2973" s="40"/>
      <c r="AB2973" s="60"/>
      <c r="AC2973" s="98"/>
      <c r="AD2973" s="36"/>
      <c r="AE2973" s="36"/>
      <c r="AF2973" s="36"/>
      <c r="AG2973" s="99"/>
    </row>
    <row r="2974" spans="1:33" ht="13" outlineLevel="1" x14ac:dyDescent="0.3">
      <c r="A2974" t="s">
        <v>1041</v>
      </c>
      <c r="C2974" s="31" t="s">
        <v>132</v>
      </c>
      <c r="D2974" s="33">
        <v>0</v>
      </c>
      <c r="E2974" s="33">
        <v>0</v>
      </c>
      <c r="F2974" s="23">
        <v>0</v>
      </c>
      <c r="G2974" s="23">
        <v>0</v>
      </c>
      <c r="H2974" s="23">
        <v>0</v>
      </c>
      <c r="I2974" s="23">
        <v>0</v>
      </c>
      <c r="J2974" s="23">
        <v>0</v>
      </c>
      <c r="K2974" s="23">
        <v>0</v>
      </c>
      <c r="L2974" s="23">
        <f>SUM(F2974:K2974)</f>
        <v>0</v>
      </c>
      <c r="M2974" s="33">
        <f>O2974-E2974</f>
        <v>0</v>
      </c>
      <c r="N2974" s="33">
        <f>O2974-D2974</f>
        <v>0</v>
      </c>
      <c r="O2974" s="33">
        <v>0</v>
      </c>
      <c r="P2974" s="33">
        <v>0</v>
      </c>
      <c r="Q2974" s="33">
        <v>0</v>
      </c>
      <c r="R2974" s="33">
        <v>0</v>
      </c>
      <c r="S2974" s="33">
        <v>0</v>
      </c>
      <c r="T2974" s="33">
        <f>R2974-S2974</f>
        <v>0</v>
      </c>
      <c r="U2974" s="38" t="str">
        <f>IFERROR((R2974/O2974)*100%,"∞")</f>
        <v>∞</v>
      </c>
      <c r="V2974" s="59">
        <f>O2974+W2974</f>
        <v>0</v>
      </c>
      <c r="W2974" s="33">
        <v>0</v>
      </c>
      <c r="X2974" s="33">
        <v>0</v>
      </c>
      <c r="Y2974" s="33"/>
      <c r="Z2974" s="33"/>
      <c r="AA2974" s="42"/>
      <c r="AB2974" s="60"/>
      <c r="AC2974" s="105"/>
      <c r="AD2974" s="93"/>
      <c r="AE2974" s="33">
        <f>SUM(AC2974:AD2974)</f>
        <v>0</v>
      </c>
      <c r="AF2974" s="33">
        <f>R2974+AE2974</f>
        <v>0</v>
      </c>
      <c r="AG2974" s="101">
        <f>AF2974-O2974</f>
        <v>0</v>
      </c>
    </row>
    <row r="2975" spans="1:33" outlineLevel="1" x14ac:dyDescent="0.25">
      <c r="A2975" t="s">
        <v>232</v>
      </c>
    </row>
    <row r="2976" spans="1:33" outlineLevel="1" x14ac:dyDescent="0.25">
      <c r="A2976" t="s">
        <v>944</v>
      </c>
      <c r="M2976" s="19"/>
      <c r="N2976" s="19"/>
    </row>
    <row r="2977" spans="1:6" outlineLevel="1" x14ac:dyDescent="0.25">
      <c r="A2977" t="s">
        <v>946</v>
      </c>
      <c r="E2977" s="19"/>
    </row>
    <row r="2978" spans="1:6" outlineLevel="1" x14ac:dyDescent="0.25">
      <c r="A2978" t="s">
        <v>947</v>
      </c>
      <c r="E2978" s="19"/>
      <c r="F2978" s="19"/>
    </row>
    <row r="2979" spans="1:6" ht="13" outlineLevel="1" x14ac:dyDescent="0.3">
      <c r="A2979" s="20" t="s">
        <v>948</v>
      </c>
    </row>
    <row r="2980" spans="1:6" outlineLevel="1" x14ac:dyDescent="0.25">
      <c r="A2980" s="7" t="s">
        <v>949</v>
      </c>
    </row>
    <row r="2981" spans="1:6" outlineLevel="1" x14ac:dyDescent="0.25">
      <c r="A2981" t="s">
        <v>950</v>
      </c>
    </row>
    <row r="2982" spans="1:6" outlineLevel="1" x14ac:dyDescent="0.25">
      <c r="A2982" t="s">
        <v>951</v>
      </c>
    </row>
    <row r="2983" spans="1:6" ht="13" outlineLevel="1" x14ac:dyDescent="0.3">
      <c r="A2983" s="21" t="str">
        <f>CONCATENATE("sql where a.client = '",$D$172,"' and a.period between '",LEFT($D$170,4),"00' and '",LEFT($D$171,4),"14' and a.version like '%ORIG%'")</f>
        <v>sql where a.client = 'OX' and a.period between '202500' and '202514' and a.version like '%ORIG%'</v>
      </c>
    </row>
    <row r="2984" spans="1:6" outlineLevel="1" x14ac:dyDescent="0.25">
      <c r="A2984" t="s">
        <v>952</v>
      </c>
    </row>
    <row r="2985" spans="1:6" outlineLevel="1" x14ac:dyDescent="0.25">
      <c r="A2985" t="s">
        <v>953</v>
      </c>
    </row>
    <row r="2986" spans="1:6" outlineLevel="1" x14ac:dyDescent="0.25">
      <c r="A2986" t="s">
        <v>954</v>
      </c>
    </row>
    <row r="2987" spans="1:6" ht="13" outlineLevel="1" x14ac:dyDescent="0.3">
      <c r="A2987" s="20" t="s">
        <v>955</v>
      </c>
    </row>
    <row r="2988" spans="1:6" outlineLevel="1" x14ac:dyDescent="0.25">
      <c r="A2988" s="7" t="s">
        <v>956</v>
      </c>
    </row>
    <row r="2989" spans="1:6" outlineLevel="1" x14ac:dyDescent="0.25">
      <c r="A2989" t="s">
        <v>950</v>
      </c>
    </row>
    <row r="2990" spans="1:6" outlineLevel="1" x14ac:dyDescent="0.25">
      <c r="A2990" t="s">
        <v>951</v>
      </c>
    </row>
    <row r="2991" spans="1:6" ht="14.5" outlineLevel="1" x14ac:dyDescent="0.35">
      <c r="A2991"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991" s="2"/>
    </row>
    <row r="2992" spans="1:6" outlineLevel="1" x14ac:dyDescent="0.25">
      <c r="A2992" t="s">
        <v>952</v>
      </c>
    </row>
    <row r="2993" spans="1:1" outlineLevel="1" x14ac:dyDescent="0.25">
      <c r="A2993" t="s">
        <v>953</v>
      </c>
    </row>
    <row r="2994" spans="1:1" outlineLevel="1" x14ac:dyDescent="0.25">
      <c r="A2994" t="s">
        <v>954</v>
      </c>
    </row>
    <row r="2995" spans="1:1" ht="13" outlineLevel="1" x14ac:dyDescent="0.3">
      <c r="A2995" s="66" t="s">
        <v>957</v>
      </c>
    </row>
    <row r="2996" spans="1:1" outlineLevel="1" x14ac:dyDescent="0.25">
      <c r="A2996" t="s">
        <v>958</v>
      </c>
    </row>
    <row r="2997" spans="1:1" outlineLevel="1" x14ac:dyDescent="0.25">
      <c r="A2997" t="s">
        <v>950</v>
      </c>
    </row>
    <row r="2998" spans="1:1" ht="13" outlineLevel="1" x14ac:dyDescent="0.3">
      <c r="A299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999" spans="1:1" ht="13" outlineLevel="1" x14ac:dyDescent="0.3">
      <c r="A2999" s="21" t="s">
        <v>959</v>
      </c>
    </row>
    <row r="3000" spans="1:1" outlineLevel="1" x14ac:dyDescent="0.25">
      <c r="A3000" t="s">
        <v>960</v>
      </c>
    </row>
    <row r="3001" spans="1:1" outlineLevel="1" x14ac:dyDescent="0.25">
      <c r="A3001" t="s">
        <v>961</v>
      </c>
    </row>
    <row r="3002" spans="1:1" outlineLevel="1" x14ac:dyDescent="0.25">
      <c r="A3002" t="str">
        <f>CONCATENATE("sql left outer join acrtrees t on t.client = x.client and x.dim_1 = t.cat_1 and t.att_agrid = '",$F$159,"'")</f>
        <v>sql left outer join acrtrees t on t.client = x.client and x.dim_1 = t.cat_1 and t.att_agrid = '53'</v>
      </c>
    </row>
    <row r="3003" spans="1:1" ht="13" outlineLevel="1" x14ac:dyDescent="0.3">
      <c r="A300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004" spans="1:1" ht="13" outlineLevel="1" x14ac:dyDescent="0.3">
      <c r="A3004" s="21" t="s">
        <v>962</v>
      </c>
    </row>
    <row r="3005" spans="1:1" ht="13" outlineLevel="1" x14ac:dyDescent="0.3">
      <c r="A3005"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006" spans="1:1" ht="13" outlineLevel="1" x14ac:dyDescent="0.3">
      <c r="A3006" s="21" t="s">
        <v>963</v>
      </c>
    </row>
    <row r="3007" spans="1:1" outlineLevel="1" x14ac:dyDescent="0.25">
      <c r="A3007" t="s">
        <v>964</v>
      </c>
    </row>
    <row r="3008" spans="1:1" outlineLevel="1" x14ac:dyDescent="0.25">
      <c r="A3008" t="s">
        <v>965</v>
      </c>
    </row>
    <row r="3009" spans="1:1" outlineLevel="1" x14ac:dyDescent="0.25">
      <c r="A3009" t="s">
        <v>966</v>
      </c>
    </row>
    <row r="3010" spans="1:1" outlineLevel="1" x14ac:dyDescent="0.25">
      <c r="A3010" t="s">
        <v>953</v>
      </c>
    </row>
    <row r="3011" spans="1:1" outlineLevel="1" x14ac:dyDescent="0.25">
      <c r="A3011" t="s">
        <v>954</v>
      </c>
    </row>
    <row r="3012" spans="1:1" ht="13" outlineLevel="1" x14ac:dyDescent="0.3">
      <c r="A3012" s="66" t="s">
        <v>967</v>
      </c>
    </row>
    <row r="3013" spans="1:1" outlineLevel="1" x14ac:dyDescent="0.25">
      <c r="A3013" t="s">
        <v>968</v>
      </c>
    </row>
    <row r="3014" spans="1:1" outlineLevel="1" x14ac:dyDescent="0.25">
      <c r="A3014" t="s">
        <v>950</v>
      </c>
    </row>
    <row r="3015" spans="1:1" ht="13" outlineLevel="1" x14ac:dyDescent="0.3">
      <c r="A301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016" spans="1:1" ht="13" outlineLevel="1" x14ac:dyDescent="0.3">
      <c r="A3016" s="21" t="s">
        <v>969</v>
      </c>
    </row>
    <row r="3017" spans="1:1" ht="13" outlineLevel="1" x14ac:dyDescent="0.3">
      <c r="A3017" s="21" t="s">
        <v>959</v>
      </c>
    </row>
    <row r="3018" spans="1:1" outlineLevel="1" x14ac:dyDescent="0.25">
      <c r="A3018" t="s">
        <v>960</v>
      </c>
    </row>
    <row r="3019" spans="1:1" outlineLevel="1" x14ac:dyDescent="0.25">
      <c r="A3019" t="s">
        <v>961</v>
      </c>
    </row>
    <row r="3020" spans="1:1" outlineLevel="1" x14ac:dyDescent="0.25">
      <c r="A3020" t="str">
        <f>CONCATENATE("sql left outer join acrtrees t on t.client = x.client and x.dim_1 = t.cat_1 and t.att_agrid = '",$F$159,"'")</f>
        <v>sql left outer join acrtrees t on t.client = x.client and x.dim_1 = t.cat_1 and t.att_agrid = '53'</v>
      </c>
    </row>
    <row r="3021" spans="1:1" ht="13" outlineLevel="1" x14ac:dyDescent="0.3">
      <c r="A302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022" spans="1:1" ht="13" outlineLevel="1" x14ac:dyDescent="0.3">
      <c r="A3022" s="21" t="s">
        <v>970</v>
      </c>
    </row>
    <row r="3023" spans="1:1" ht="13" outlineLevel="1" x14ac:dyDescent="0.3">
      <c r="A3023" s="21" t="s">
        <v>962</v>
      </c>
    </row>
    <row r="3024" spans="1:1" ht="13" outlineLevel="1" x14ac:dyDescent="0.3">
      <c r="A3024"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025" spans="1:1" ht="13" outlineLevel="1" x14ac:dyDescent="0.3">
      <c r="A3025" s="21" t="s">
        <v>970</v>
      </c>
    </row>
    <row r="3026" spans="1:1" ht="13" outlineLevel="1" x14ac:dyDescent="0.3">
      <c r="A3026" s="21" t="s">
        <v>963</v>
      </c>
    </row>
    <row r="3027" spans="1:1" outlineLevel="1" x14ac:dyDescent="0.25">
      <c r="A3027" t="s">
        <v>964</v>
      </c>
    </row>
    <row r="3028" spans="1:1" outlineLevel="1" x14ac:dyDescent="0.25">
      <c r="A3028" t="s">
        <v>965</v>
      </c>
    </row>
    <row r="3029" spans="1:1" outlineLevel="1" x14ac:dyDescent="0.25">
      <c r="A3029" t="s">
        <v>966</v>
      </c>
    </row>
    <row r="3030" spans="1:1" outlineLevel="1" x14ac:dyDescent="0.25">
      <c r="A3030" t="s">
        <v>953</v>
      </c>
    </row>
    <row r="3031" spans="1:1" outlineLevel="1" x14ac:dyDescent="0.25">
      <c r="A3031" t="s">
        <v>954</v>
      </c>
    </row>
    <row r="3032" spans="1:1" ht="13" outlineLevel="1" x14ac:dyDescent="0.3">
      <c r="A3032" s="66" t="s">
        <v>971</v>
      </c>
    </row>
    <row r="3033" spans="1:1" outlineLevel="1" x14ac:dyDescent="0.25">
      <c r="A3033" t="s">
        <v>972</v>
      </c>
    </row>
    <row r="3034" spans="1:1" outlineLevel="1" x14ac:dyDescent="0.25">
      <c r="A3034" t="s">
        <v>950</v>
      </c>
    </row>
    <row r="3035" spans="1:1" ht="13" outlineLevel="1" x14ac:dyDescent="0.3">
      <c r="A303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036" spans="1:1" ht="13" outlineLevel="1" x14ac:dyDescent="0.3">
      <c r="A3036" s="21" t="s">
        <v>959</v>
      </c>
    </row>
    <row r="3037" spans="1:1" outlineLevel="1" x14ac:dyDescent="0.25">
      <c r="A3037" t="s">
        <v>960</v>
      </c>
    </row>
    <row r="3038" spans="1:1" outlineLevel="1" x14ac:dyDescent="0.25">
      <c r="A3038" t="s">
        <v>961</v>
      </c>
    </row>
    <row r="3039" spans="1:1" outlineLevel="1" x14ac:dyDescent="0.25">
      <c r="A3039" t="str">
        <f>CONCATENATE("sql left outer join acrtrees t on t.client = x.client and x.dim_1 = t.cat_1 and t.att_agrid = '",$F$159,"'")</f>
        <v>sql left outer join acrtrees t on t.client = x.client and x.dim_1 = t.cat_1 and t.att_agrid = '53'</v>
      </c>
    </row>
    <row r="3040" spans="1:1" ht="13" outlineLevel="1" x14ac:dyDescent="0.3">
      <c r="A304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041" spans="1:1" ht="13" outlineLevel="1" x14ac:dyDescent="0.3">
      <c r="A3041" s="21" t="s">
        <v>973</v>
      </c>
    </row>
    <row r="3042" spans="1:1" outlineLevel="1" x14ac:dyDescent="0.25">
      <c r="A3042" t="s">
        <v>964</v>
      </c>
    </row>
    <row r="3043" spans="1:1" outlineLevel="1" x14ac:dyDescent="0.25">
      <c r="A3043" t="s">
        <v>965</v>
      </c>
    </row>
    <row r="3044" spans="1:1" outlineLevel="1" x14ac:dyDescent="0.25">
      <c r="A3044" t="s">
        <v>966</v>
      </c>
    </row>
    <row r="3045" spans="1:1" outlineLevel="1" x14ac:dyDescent="0.25">
      <c r="A3045" t="s">
        <v>953</v>
      </c>
    </row>
    <row r="3046" spans="1:1" outlineLevel="1" x14ac:dyDescent="0.25">
      <c r="A3046" t="s">
        <v>954</v>
      </c>
    </row>
    <row r="3047" spans="1:1" ht="13" outlineLevel="1" x14ac:dyDescent="0.3">
      <c r="A3047" s="66" t="s">
        <v>974</v>
      </c>
    </row>
    <row r="3048" spans="1:1" outlineLevel="1" x14ac:dyDescent="0.25">
      <c r="A3048" t="s">
        <v>975</v>
      </c>
    </row>
    <row r="3049" spans="1:1" outlineLevel="1" x14ac:dyDescent="0.25">
      <c r="A3049" t="s">
        <v>950</v>
      </c>
    </row>
    <row r="3050" spans="1:1" ht="13" outlineLevel="1" x14ac:dyDescent="0.3">
      <c r="A305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051" spans="1:1" ht="13" outlineLevel="1" x14ac:dyDescent="0.3">
      <c r="A3051" s="21" t="s">
        <v>959</v>
      </c>
    </row>
    <row r="3052" spans="1:1" outlineLevel="1" x14ac:dyDescent="0.25">
      <c r="A3052" t="s">
        <v>960</v>
      </c>
    </row>
    <row r="3053" spans="1:1" outlineLevel="1" x14ac:dyDescent="0.25">
      <c r="A3053" t="s">
        <v>961</v>
      </c>
    </row>
    <row r="3054" spans="1:1" outlineLevel="1" x14ac:dyDescent="0.25">
      <c r="A3054" t="str">
        <f>CONCATENATE("sql left outer join acrtrees t on t.client = x.client and x.dim_1 = t.cat_1 and t.att_agrid = '",$F$159,"'")</f>
        <v>sql left outer join acrtrees t on t.client = x.client and x.dim_1 = t.cat_1 and t.att_agrid = '53'</v>
      </c>
    </row>
    <row r="3055" spans="1:1" ht="13" outlineLevel="1" x14ac:dyDescent="0.3">
      <c r="A305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056" spans="1:1" ht="13" outlineLevel="1" x14ac:dyDescent="0.3">
      <c r="A3056" s="21" t="s">
        <v>973</v>
      </c>
    </row>
    <row r="3057" spans="1:1" outlineLevel="1" x14ac:dyDescent="0.25">
      <c r="A3057" t="s">
        <v>964</v>
      </c>
    </row>
    <row r="3058" spans="1:1" outlineLevel="1" x14ac:dyDescent="0.25">
      <c r="A3058" t="s">
        <v>965</v>
      </c>
    </row>
    <row r="3059" spans="1:1" outlineLevel="1" x14ac:dyDescent="0.25">
      <c r="A3059" t="s">
        <v>966</v>
      </c>
    </row>
    <row r="3060" spans="1:1" outlineLevel="1" x14ac:dyDescent="0.25">
      <c r="A3060" t="s">
        <v>953</v>
      </c>
    </row>
    <row r="3061" spans="1:1" outlineLevel="1" x14ac:dyDescent="0.25">
      <c r="A3061" t="s">
        <v>954</v>
      </c>
    </row>
    <row r="3062" spans="1:1" ht="13" outlineLevel="1" x14ac:dyDescent="0.3">
      <c r="A3062" s="66" t="s">
        <v>976</v>
      </c>
    </row>
    <row r="3063" spans="1:1" outlineLevel="1" x14ac:dyDescent="0.25">
      <c r="A3063" t="s">
        <v>977</v>
      </c>
    </row>
    <row r="3064" spans="1:1" outlineLevel="1" x14ac:dyDescent="0.25">
      <c r="A3064" t="s">
        <v>950</v>
      </c>
    </row>
    <row r="3065" spans="1:1" ht="13" outlineLevel="1" x14ac:dyDescent="0.3">
      <c r="A306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066" spans="1:1" ht="13" outlineLevel="1" x14ac:dyDescent="0.3">
      <c r="A3066" s="21" t="s">
        <v>959</v>
      </c>
    </row>
    <row r="3067" spans="1:1" outlineLevel="1" x14ac:dyDescent="0.25">
      <c r="A3067" t="s">
        <v>960</v>
      </c>
    </row>
    <row r="3068" spans="1:1" outlineLevel="1" x14ac:dyDescent="0.25">
      <c r="A3068" t="s">
        <v>961</v>
      </c>
    </row>
    <row r="3069" spans="1:1" outlineLevel="1" x14ac:dyDescent="0.25">
      <c r="A3069" t="str">
        <f>CONCATENATE("sql left outer join acrtrees t on t.client = x.client and x.dim_1 = t.cat_1 and t.att_agrid = '",$F$159,"'")</f>
        <v>sql left outer join acrtrees t on t.client = x.client and x.dim_1 = t.cat_1 and t.att_agrid = '53'</v>
      </c>
    </row>
    <row r="3070" spans="1:1" ht="13" outlineLevel="1" x14ac:dyDescent="0.3">
      <c r="A307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071" spans="1:1" ht="13" outlineLevel="1" x14ac:dyDescent="0.3">
      <c r="A3071" s="21" t="s">
        <v>978</v>
      </c>
    </row>
    <row r="3072" spans="1:1" outlineLevel="1" x14ac:dyDescent="0.25">
      <c r="A3072" t="s">
        <v>979</v>
      </c>
    </row>
    <row r="3073" spans="1:1" outlineLevel="1" x14ac:dyDescent="0.25">
      <c r="A3073" t="s">
        <v>980</v>
      </c>
    </row>
    <row r="3074" spans="1:1" outlineLevel="1" x14ac:dyDescent="0.25">
      <c r="A3074" t="s">
        <v>966</v>
      </c>
    </row>
    <row r="3075" spans="1:1" outlineLevel="1" x14ac:dyDescent="0.25">
      <c r="A3075" t="s">
        <v>953</v>
      </c>
    </row>
    <row r="3076" spans="1:1" outlineLevel="1" x14ac:dyDescent="0.25">
      <c r="A3076" t="s">
        <v>954</v>
      </c>
    </row>
    <row r="3077" spans="1:1" ht="13" outlineLevel="1" x14ac:dyDescent="0.3">
      <c r="A3077" s="66" t="s">
        <v>981</v>
      </c>
    </row>
    <row r="3078" spans="1:1" outlineLevel="1" x14ac:dyDescent="0.25">
      <c r="A3078" t="s">
        <v>982</v>
      </c>
    </row>
    <row r="3079" spans="1:1" outlineLevel="1" x14ac:dyDescent="0.25">
      <c r="A3079" t="s">
        <v>950</v>
      </c>
    </row>
    <row r="3080" spans="1:1" ht="13" outlineLevel="1" x14ac:dyDescent="0.3">
      <c r="A308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081" spans="1:1" ht="13" outlineLevel="1" x14ac:dyDescent="0.3">
      <c r="A3081" s="21" t="s">
        <v>969</v>
      </c>
    </row>
    <row r="3082" spans="1:1" ht="13" outlineLevel="1" x14ac:dyDescent="0.3">
      <c r="A3082" s="21" t="s">
        <v>959</v>
      </c>
    </row>
    <row r="3083" spans="1:1" outlineLevel="1" x14ac:dyDescent="0.25">
      <c r="A3083" t="s">
        <v>960</v>
      </c>
    </row>
    <row r="3084" spans="1:1" outlineLevel="1" x14ac:dyDescent="0.25">
      <c r="A3084" t="s">
        <v>961</v>
      </c>
    </row>
    <row r="3085" spans="1:1" outlineLevel="1" x14ac:dyDescent="0.25">
      <c r="A3085" t="str">
        <f>CONCATENATE("sql left outer join acrtrees t on t.client = x.client and x.dim_1 = t.cat_1 and t.att_agrid = '",$F$159,"'")</f>
        <v>sql left outer join acrtrees t on t.client = x.client and x.dim_1 = t.cat_1 and t.att_agrid = '53'</v>
      </c>
    </row>
    <row r="3086" spans="1:1" ht="13" outlineLevel="1" x14ac:dyDescent="0.3">
      <c r="A308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087" spans="1:1" ht="13" outlineLevel="1" x14ac:dyDescent="0.3">
      <c r="A3087" s="21" t="s">
        <v>970</v>
      </c>
    </row>
    <row r="3088" spans="1:1" ht="13" outlineLevel="1" x14ac:dyDescent="0.3">
      <c r="A3088" s="21" t="s">
        <v>978</v>
      </c>
    </row>
    <row r="3089" spans="1:3" outlineLevel="1" x14ac:dyDescent="0.25">
      <c r="A3089" t="s">
        <v>979</v>
      </c>
    </row>
    <row r="3090" spans="1:3" outlineLevel="1" x14ac:dyDescent="0.25">
      <c r="A3090" t="s">
        <v>980</v>
      </c>
    </row>
    <row r="3091" spans="1:3" outlineLevel="1" x14ac:dyDescent="0.25">
      <c r="A3091" t="s">
        <v>966</v>
      </c>
    </row>
    <row r="3092" spans="1:3" outlineLevel="1" x14ac:dyDescent="0.25">
      <c r="A3092" t="s">
        <v>953</v>
      </c>
    </row>
    <row r="3093" spans="1:3" outlineLevel="1" x14ac:dyDescent="0.25">
      <c r="A3093" t="s">
        <v>954</v>
      </c>
    </row>
    <row r="3094" spans="1:3" ht="13" outlineLevel="1" x14ac:dyDescent="0.3">
      <c r="A3094" s="20" t="s">
        <v>983</v>
      </c>
    </row>
    <row r="3095" spans="1:3" outlineLevel="1" x14ac:dyDescent="0.25">
      <c r="A3095" s="7" t="s">
        <v>984</v>
      </c>
    </row>
    <row r="3096" spans="1:3" outlineLevel="1" x14ac:dyDescent="0.25">
      <c r="A3096" t="s">
        <v>950</v>
      </c>
    </row>
    <row r="3097" spans="1:3" outlineLevel="1" x14ac:dyDescent="0.25">
      <c r="A3097" t="s">
        <v>951</v>
      </c>
    </row>
    <row r="3098" spans="1:3" ht="14.5" outlineLevel="1" x14ac:dyDescent="0.35">
      <c r="A3098"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098" s="2"/>
    </row>
    <row r="3099" spans="1:3" outlineLevel="1" x14ac:dyDescent="0.25">
      <c r="A3099" t="s">
        <v>952</v>
      </c>
    </row>
    <row r="3100" spans="1:3" outlineLevel="1" x14ac:dyDescent="0.25">
      <c r="A3100" t="s">
        <v>953</v>
      </c>
    </row>
    <row r="3101" spans="1:3" outlineLevel="1" x14ac:dyDescent="0.25">
      <c r="A3101" t="s">
        <v>954</v>
      </c>
    </row>
    <row r="3102" spans="1:3" ht="13" outlineLevel="1" x14ac:dyDescent="0.3">
      <c r="A3102" s="20" t="s">
        <v>985</v>
      </c>
    </row>
    <row r="3103" spans="1:3" outlineLevel="1" x14ac:dyDescent="0.25">
      <c r="A3103" s="7" t="s">
        <v>986</v>
      </c>
    </row>
    <row r="3104" spans="1:3" outlineLevel="1" x14ac:dyDescent="0.25">
      <c r="A3104" t="s">
        <v>987</v>
      </c>
    </row>
    <row r="3105" spans="1:1" ht="13" outlineLevel="1" x14ac:dyDescent="0.3">
      <c r="A3105" s="21" t="str">
        <f>CONCATENATE("sql where a.client = '",$D$172,"' and a.period between '",LEFT($D$170,4),"00' and '",IF(RIGHT($D$171,2)="12",CONCATENATE(LEFT($D$171,4),"14"),$D$171),"'")</f>
        <v>sql where a.client = 'OX' and a.period between '202500' and '202506'</v>
      </c>
    </row>
    <row r="3106" spans="1:1" outlineLevel="1" x14ac:dyDescent="0.25">
      <c r="A3106" t="s">
        <v>952</v>
      </c>
    </row>
    <row r="3107" spans="1:1" outlineLevel="1" x14ac:dyDescent="0.25">
      <c r="A3107" t="s">
        <v>953</v>
      </c>
    </row>
    <row r="3108" spans="1:1" outlineLevel="1" x14ac:dyDescent="0.25">
      <c r="A3108" t="s">
        <v>954</v>
      </c>
    </row>
    <row r="3109" spans="1:1" ht="13" outlineLevel="1" x14ac:dyDescent="0.3">
      <c r="A3109" s="20" t="s">
        <v>988</v>
      </c>
    </row>
    <row r="3110" spans="1:1" outlineLevel="1" x14ac:dyDescent="0.25">
      <c r="A3110" s="7" t="s">
        <v>989</v>
      </c>
    </row>
    <row r="3111" spans="1:1" outlineLevel="1" x14ac:dyDescent="0.25">
      <c r="A3111" t="s">
        <v>950</v>
      </c>
    </row>
    <row r="3112" spans="1:1" outlineLevel="1" x14ac:dyDescent="0.25">
      <c r="A3112" t="s">
        <v>951</v>
      </c>
    </row>
    <row r="3113" spans="1:1" ht="13" outlineLevel="1" x14ac:dyDescent="0.3">
      <c r="A3113"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114" spans="1:1" outlineLevel="1" x14ac:dyDescent="0.25">
      <c r="A3114" t="s">
        <v>952</v>
      </c>
    </row>
    <row r="3115" spans="1:1" outlineLevel="1" x14ac:dyDescent="0.25">
      <c r="A3115" t="s">
        <v>953</v>
      </c>
    </row>
    <row r="3116" spans="1:1" outlineLevel="1" x14ac:dyDescent="0.25">
      <c r="A3116" t="s">
        <v>954</v>
      </c>
    </row>
    <row r="3117" spans="1:1" ht="13" outlineLevel="1" x14ac:dyDescent="0.3">
      <c r="A3117" s="20" t="s">
        <v>990</v>
      </c>
    </row>
    <row r="3118" spans="1:1" outlineLevel="1" x14ac:dyDescent="0.25">
      <c r="A3118" s="7" t="s">
        <v>991</v>
      </c>
    </row>
    <row r="3119" spans="1:1" outlineLevel="1" x14ac:dyDescent="0.25">
      <c r="A3119" t="s">
        <v>950</v>
      </c>
    </row>
    <row r="3120" spans="1:1" outlineLevel="1" x14ac:dyDescent="0.25">
      <c r="A3120" t="s">
        <v>951</v>
      </c>
    </row>
    <row r="3121" spans="1:1" ht="13" outlineLevel="1" x14ac:dyDescent="0.3">
      <c r="A312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122" spans="1:1" outlineLevel="1" x14ac:dyDescent="0.25">
      <c r="A3122" t="s">
        <v>952</v>
      </c>
    </row>
    <row r="3123" spans="1:1" outlineLevel="1" x14ac:dyDescent="0.25">
      <c r="A3123" t="s">
        <v>953</v>
      </c>
    </row>
    <row r="3124" spans="1:1" outlineLevel="1" x14ac:dyDescent="0.25">
      <c r="A3124" t="s">
        <v>954</v>
      </c>
    </row>
    <row r="3125" spans="1:1" ht="13" outlineLevel="1" x14ac:dyDescent="0.3">
      <c r="A3125" s="20" t="s">
        <v>992</v>
      </c>
    </row>
    <row r="3126" spans="1:1" outlineLevel="1" x14ac:dyDescent="0.25">
      <c r="A3126" s="7" t="s">
        <v>993</v>
      </c>
    </row>
    <row r="3127" spans="1:1" outlineLevel="1" x14ac:dyDescent="0.25">
      <c r="A3127" t="s">
        <v>950</v>
      </c>
    </row>
    <row r="3128" spans="1:1" outlineLevel="1" x14ac:dyDescent="0.25">
      <c r="A3128" t="s">
        <v>951</v>
      </c>
    </row>
    <row r="3129" spans="1:1" ht="13" outlineLevel="1" x14ac:dyDescent="0.3">
      <c r="A312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130" spans="1:1" outlineLevel="1" x14ac:dyDescent="0.25">
      <c r="A3130" t="s">
        <v>952</v>
      </c>
    </row>
    <row r="3131" spans="1:1" outlineLevel="1" x14ac:dyDescent="0.25">
      <c r="A3131" t="s">
        <v>953</v>
      </c>
    </row>
    <row r="3132" spans="1:1" outlineLevel="1" x14ac:dyDescent="0.25">
      <c r="A3132" t="s">
        <v>994</v>
      </c>
    </row>
    <row r="3133" spans="1:1" outlineLevel="1" x14ac:dyDescent="0.25">
      <c r="A3133" t="str">
        <f>CONCATENATE("sql left outer join acrtrees t on t.client = u.client and u.dim_1 = t.cat_1 and t.att_agrid = '",$F$159,"'")</f>
        <v>sql left outer join acrtrees t on t.client = u.client and u.dim_1 = t.cat_1 and t.att_agrid = '53'</v>
      </c>
    </row>
    <row r="3134" spans="1:1" outlineLevel="1" x14ac:dyDescent="0.25">
      <c r="A3134" t="str">
        <f>CONCATENATE("sql left outer join acrtrees s on s.client = u.client and u.account = s.cat_1 and s.att_agrid = '",$F$160,"'")</f>
        <v>sql left outer join acrtrees s on s.client = u.client and u.account = s.cat_1 and s.att_agrid = '14'</v>
      </c>
    </row>
    <row r="3135" spans="1:1" outlineLevel="1" x14ac:dyDescent="0.25">
      <c r="A3135" t="str">
        <f>CONCATENATE("sql left outer join acrtrees v on v.client = u.client and u.account = v.cat_1 and v.att_agrid = '",$F$161,"'")</f>
        <v>sql left outer join acrtrees v on v.client = u.client and u.account = v.cat_1 and v.att_agrid = '17'</v>
      </c>
    </row>
    <row r="3136" spans="1:1" outlineLevel="1" x14ac:dyDescent="0.25">
      <c r="A3136" t="str">
        <f>CONCATENATE("sql left outer join agldescription d on d.client = u.client and d.dim_value = t.dim_c and d.attribute_id = '",$F$162,"'")</f>
        <v>sql left outer join agldescription d on d.client = u.client and d.dim_value = t.dim_c and d.attribute_id = '82'</v>
      </c>
    </row>
    <row r="3137" spans="1:33" outlineLevel="1" x14ac:dyDescent="0.25">
      <c r="A3137" t="str">
        <f>CONCATENATE("sql left outer join agldescription e on e.client = u.client and e.dim_value = t.dim_b and e.attribute_id = '",$F$163,"'")</f>
        <v>sql left outer join agldescription e on e.client = u.client and e.dim_value = t.dim_b and e.attribute_id = '81'</v>
      </c>
    </row>
    <row r="3138" spans="1:33" outlineLevel="1" x14ac:dyDescent="0.25">
      <c r="A3138" t="str">
        <f>CONCATENATE("sql left outer join agldescription f on f.client = u.client and f.dim_value = t.dim_e and f.attribute_id = '",$F$164,"'")</f>
        <v>sql left outer join agldescription f on f.client = u.client and f.dim_value = t.dim_e and f.attribute_id = '80'</v>
      </c>
    </row>
    <row r="3139" spans="1:33" outlineLevel="1" x14ac:dyDescent="0.25">
      <c r="A3139" t="str">
        <f>CONCATENATE("sql left outer join agldescription g on g.client = u.client and g.dim_value = u.account and g.attribute_id = '",$F$165,"'")</f>
        <v>sql left outer join agldescription g on g.client = u.client and g.dim_value = u.account and g.attribute_id = 'A0'</v>
      </c>
    </row>
    <row r="3140" spans="1:33" ht="14.5" outlineLevel="1" x14ac:dyDescent="0.35">
      <c r="A3140" s="67" t="s">
        <v>1068</v>
      </c>
      <c r="G3140" s="737" t="s">
        <v>1069</v>
      </c>
    </row>
    <row r="3141" spans="1:33" outlineLevel="1" x14ac:dyDescent="0.25">
      <c r="A3141" t="s">
        <v>1005</v>
      </c>
    </row>
    <row r="3142" spans="1:33" outlineLevel="1" x14ac:dyDescent="0.25">
      <c r="A3142" t="s">
        <v>1006</v>
      </c>
    </row>
    <row r="3143" spans="1:33" outlineLevel="1" x14ac:dyDescent="0.25">
      <c r="A3143" t="s">
        <v>1007</v>
      </c>
    </row>
    <row r="3144" spans="1:33" ht="13" outlineLevel="1" x14ac:dyDescent="0.3">
      <c r="A3144" t="s">
        <v>1012</v>
      </c>
      <c r="C3144" s="29"/>
      <c r="D3144" s="36">
        <v>1000</v>
      </c>
      <c r="E3144" s="36">
        <v>1000</v>
      </c>
      <c r="F3144" s="22">
        <v>1000</v>
      </c>
      <c r="G3144" s="22">
        <v>1000</v>
      </c>
      <c r="H3144" s="22">
        <v>1000</v>
      </c>
      <c r="I3144" s="22">
        <v>1000</v>
      </c>
      <c r="J3144" s="22">
        <v>1000</v>
      </c>
      <c r="K3144" s="22">
        <v>1000</v>
      </c>
      <c r="L3144" s="22"/>
      <c r="M3144" s="36"/>
      <c r="N3144" s="36"/>
      <c r="O3144" s="36">
        <v>1000</v>
      </c>
      <c r="P3144" s="36">
        <v>1000</v>
      </c>
      <c r="Q3144" s="36">
        <v>1000</v>
      </c>
      <c r="R3144" s="36">
        <v>1000</v>
      </c>
      <c r="S3144" s="36">
        <v>1000</v>
      </c>
      <c r="T3144" s="36"/>
      <c r="U3144" s="36"/>
      <c r="V3144" s="58"/>
      <c r="W3144" s="36">
        <v>1000</v>
      </c>
      <c r="X3144" s="36">
        <v>1000</v>
      </c>
      <c r="Y3144" s="36"/>
      <c r="Z3144" s="36"/>
      <c r="AA3144" s="40"/>
      <c r="AB3144" s="60"/>
      <c r="AC3144" s="98"/>
      <c r="AD3144" s="36"/>
      <c r="AE3144" s="36"/>
      <c r="AF3144" s="36"/>
      <c r="AG3144" s="99"/>
    </row>
    <row r="3145" spans="1:33" ht="13" outlineLevel="1" x14ac:dyDescent="0.3">
      <c r="A3145" s="7" t="s">
        <v>1013</v>
      </c>
      <c r="C3145" s="29"/>
      <c r="D3145" s="36">
        <v>0</v>
      </c>
      <c r="E3145" s="36">
        <v>0</v>
      </c>
      <c r="F3145" s="22">
        <v>0</v>
      </c>
      <c r="G3145" s="22">
        <v>0</v>
      </c>
      <c r="H3145" s="22">
        <v>0</v>
      </c>
      <c r="I3145" s="22">
        <v>0</v>
      </c>
      <c r="J3145" s="22">
        <v>0</v>
      </c>
      <c r="K3145" s="22">
        <v>0</v>
      </c>
      <c r="L3145" s="22"/>
      <c r="M3145" s="36"/>
      <c r="N3145" s="36"/>
      <c r="O3145" s="36">
        <v>0</v>
      </c>
      <c r="P3145" s="36">
        <v>0</v>
      </c>
      <c r="Q3145" s="36">
        <v>0</v>
      </c>
      <c r="R3145" s="36">
        <v>0</v>
      </c>
      <c r="S3145" s="36">
        <v>0</v>
      </c>
      <c r="T3145" s="36"/>
      <c r="U3145" s="36"/>
      <c r="V3145" s="58"/>
      <c r="W3145" s="36">
        <v>0</v>
      </c>
      <c r="X3145" s="36">
        <v>0</v>
      </c>
      <c r="Y3145" s="36"/>
      <c r="Z3145" s="36"/>
      <c r="AA3145" s="40"/>
      <c r="AB3145" s="60"/>
      <c r="AC3145" s="98"/>
      <c r="AD3145" s="36"/>
      <c r="AE3145" s="36"/>
      <c r="AF3145" s="36"/>
      <c r="AG3145" s="99"/>
    </row>
    <row r="3146" spans="1:33" ht="13" outlineLevel="1" x14ac:dyDescent="0.3">
      <c r="A3146" t="s">
        <v>1014</v>
      </c>
      <c r="C3146" s="30"/>
      <c r="D3146" s="36"/>
      <c r="E3146" s="36"/>
      <c r="F3146" s="57"/>
      <c r="G3146" s="57"/>
      <c r="H3146" s="57"/>
      <c r="I3146" s="57"/>
      <c r="J3146" s="57"/>
      <c r="K3146" s="57"/>
      <c r="L3146" s="57"/>
      <c r="M3146" s="36"/>
      <c r="N3146" s="36"/>
      <c r="O3146" s="36"/>
      <c r="P3146" s="36" t="s">
        <v>1015</v>
      </c>
      <c r="Q3146" s="36" t="s">
        <v>1016</v>
      </c>
      <c r="R3146" s="36"/>
      <c r="S3146" s="36"/>
      <c r="T3146" s="36"/>
      <c r="U3146" s="36"/>
      <c r="V3146" s="58"/>
      <c r="W3146" s="36"/>
      <c r="X3146" s="36"/>
      <c r="Y3146" s="36"/>
      <c r="Z3146" s="36"/>
      <c r="AA3146" s="40"/>
      <c r="AB3146" s="60"/>
      <c r="AC3146" s="98"/>
      <c r="AD3146" s="36"/>
      <c r="AE3146" s="36"/>
      <c r="AF3146" s="36"/>
      <c r="AG3146" s="99"/>
    </row>
    <row r="3147" spans="1:33" ht="13" outlineLevel="1" x14ac:dyDescent="0.3">
      <c r="A3147" t="s">
        <v>1017</v>
      </c>
      <c r="C3147" s="31"/>
      <c r="D3147" s="36" t="s">
        <v>1019</v>
      </c>
      <c r="E3147" s="36" t="s">
        <v>1020</v>
      </c>
      <c r="F3147" s="22" t="s">
        <v>1021</v>
      </c>
      <c r="G3147" s="22" t="s">
        <v>1022</v>
      </c>
      <c r="H3147" s="22" t="s">
        <v>1023</v>
      </c>
      <c r="I3147" s="22" t="s">
        <v>1024</v>
      </c>
      <c r="J3147" s="22" t="s">
        <v>1025</v>
      </c>
      <c r="K3147" s="22" t="s">
        <v>1026</v>
      </c>
      <c r="L3147" s="22"/>
      <c r="M3147" s="36"/>
      <c r="N3147" s="36"/>
      <c r="O3147" s="36" t="s">
        <v>1027</v>
      </c>
      <c r="P3147" s="36" t="s">
        <v>1028</v>
      </c>
      <c r="Q3147" s="36" t="s">
        <v>1028</v>
      </c>
      <c r="R3147" s="36" t="s">
        <v>1028</v>
      </c>
      <c r="S3147" s="36" t="s">
        <v>1029</v>
      </c>
      <c r="T3147" s="36"/>
      <c r="U3147" s="36"/>
      <c r="V3147" s="58"/>
      <c r="W3147" s="36" t="s">
        <v>1030</v>
      </c>
      <c r="X3147" s="36" t="s">
        <v>1031</v>
      </c>
      <c r="Y3147" s="36"/>
      <c r="Z3147" s="36"/>
      <c r="AA3147" s="40"/>
      <c r="AB3147" s="60"/>
      <c r="AC3147" s="98"/>
      <c r="AD3147" s="36"/>
      <c r="AE3147" s="36"/>
      <c r="AF3147" s="36"/>
      <c r="AG3147" s="99"/>
    </row>
    <row r="3148" spans="1:33" ht="13" outlineLevel="1" x14ac:dyDescent="0.3">
      <c r="A3148" t="s">
        <v>1041</v>
      </c>
      <c r="C3148" s="31" t="s">
        <v>133</v>
      </c>
      <c r="D3148" s="33">
        <v>0</v>
      </c>
      <c r="E3148" s="33">
        <v>0</v>
      </c>
      <c r="F3148" s="23">
        <v>0</v>
      </c>
      <c r="G3148" s="23">
        <v>0</v>
      </c>
      <c r="H3148" s="23">
        <v>0</v>
      </c>
      <c r="I3148" s="23">
        <v>0</v>
      </c>
      <c r="J3148" s="23">
        <v>0</v>
      </c>
      <c r="K3148" s="23">
        <v>0</v>
      </c>
      <c r="L3148" s="23">
        <f>SUM(F3148:K3148)</f>
        <v>0</v>
      </c>
      <c r="M3148" s="33">
        <f>O3148-E3148</f>
        <v>0</v>
      </c>
      <c r="N3148" s="33">
        <f>O3148-D3148</f>
        <v>0</v>
      </c>
      <c r="O3148" s="33">
        <v>0</v>
      </c>
      <c r="P3148" s="33">
        <v>0</v>
      </c>
      <c r="Q3148" s="33">
        <v>0</v>
      </c>
      <c r="R3148" s="33">
        <v>0</v>
      </c>
      <c r="S3148" s="33">
        <v>0</v>
      </c>
      <c r="T3148" s="33">
        <f>R3148-S3148</f>
        <v>0</v>
      </c>
      <c r="U3148" s="38" t="str">
        <f>IFERROR((R3148/O3148)*100%,"∞")</f>
        <v>∞</v>
      </c>
      <c r="V3148" s="59">
        <f>O3148+W3148</f>
        <v>0</v>
      </c>
      <c r="W3148" s="33">
        <v>0</v>
      </c>
      <c r="X3148" s="33">
        <v>0</v>
      </c>
      <c r="Y3148" s="33"/>
      <c r="Z3148" s="33"/>
      <c r="AA3148" s="42"/>
      <c r="AB3148" s="60"/>
      <c r="AC3148" s="105"/>
      <c r="AD3148" s="93"/>
      <c r="AE3148" s="33">
        <f>SUM(AC3148:AD3148)</f>
        <v>0</v>
      </c>
      <c r="AF3148" s="33">
        <f>R3148+AE3148</f>
        <v>0</v>
      </c>
      <c r="AG3148" s="101">
        <f>AF3148-O3148</f>
        <v>0</v>
      </c>
    </row>
    <row r="3149" spans="1:33" outlineLevel="1" x14ac:dyDescent="0.25">
      <c r="A3149" t="s">
        <v>232</v>
      </c>
    </row>
    <row r="3150" spans="1:33" outlineLevel="1" x14ac:dyDescent="0.25">
      <c r="A3150" t="s">
        <v>944</v>
      </c>
      <c r="M3150" s="19"/>
      <c r="N3150" s="19"/>
    </row>
    <row r="3151" spans="1:33" outlineLevel="1" x14ac:dyDescent="0.25">
      <c r="A3151" t="s">
        <v>946</v>
      </c>
      <c r="E3151" s="19"/>
    </row>
    <row r="3152" spans="1:33" outlineLevel="1" x14ac:dyDescent="0.25">
      <c r="A3152" t="s">
        <v>947</v>
      </c>
      <c r="E3152" s="19"/>
      <c r="F3152" s="19"/>
    </row>
    <row r="3153" spans="1:3" ht="13" outlineLevel="1" x14ac:dyDescent="0.3">
      <c r="A3153" s="20" t="s">
        <v>948</v>
      </c>
    </row>
    <row r="3154" spans="1:3" outlineLevel="1" x14ac:dyDescent="0.25">
      <c r="A3154" s="7" t="s">
        <v>949</v>
      </c>
    </row>
    <row r="3155" spans="1:3" outlineLevel="1" x14ac:dyDescent="0.25">
      <c r="A3155" t="s">
        <v>950</v>
      </c>
    </row>
    <row r="3156" spans="1:3" outlineLevel="1" x14ac:dyDescent="0.25">
      <c r="A3156" t="s">
        <v>951</v>
      </c>
    </row>
    <row r="3157" spans="1:3" ht="13" outlineLevel="1" x14ac:dyDescent="0.3">
      <c r="A3157" s="21" t="str">
        <f>CONCATENATE("sql where a.client = '",$D$172,"' and a.period between '",LEFT($D$170,4),"00' and '",LEFT($D$171,4),"14' and a.version like '%ORIG%'")</f>
        <v>sql where a.client = 'OX' and a.period between '202500' and '202514' and a.version like '%ORIG%'</v>
      </c>
    </row>
    <row r="3158" spans="1:3" outlineLevel="1" x14ac:dyDescent="0.25">
      <c r="A3158" t="s">
        <v>952</v>
      </c>
    </row>
    <row r="3159" spans="1:3" outlineLevel="1" x14ac:dyDescent="0.25">
      <c r="A3159" t="s">
        <v>953</v>
      </c>
    </row>
    <row r="3160" spans="1:3" outlineLevel="1" x14ac:dyDescent="0.25">
      <c r="A3160" t="s">
        <v>954</v>
      </c>
    </row>
    <row r="3161" spans="1:3" ht="13" outlineLevel="1" x14ac:dyDescent="0.3">
      <c r="A3161" s="20" t="s">
        <v>955</v>
      </c>
    </row>
    <row r="3162" spans="1:3" outlineLevel="1" x14ac:dyDescent="0.25">
      <c r="A3162" s="7" t="s">
        <v>956</v>
      </c>
    </row>
    <row r="3163" spans="1:3" outlineLevel="1" x14ac:dyDescent="0.25">
      <c r="A3163" t="s">
        <v>950</v>
      </c>
    </row>
    <row r="3164" spans="1:3" outlineLevel="1" x14ac:dyDescent="0.25">
      <c r="A3164" t="s">
        <v>951</v>
      </c>
    </row>
    <row r="3165" spans="1:3" ht="14.5" outlineLevel="1" x14ac:dyDescent="0.35">
      <c r="A3165"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165" s="2"/>
    </row>
    <row r="3166" spans="1:3" outlineLevel="1" x14ac:dyDescent="0.25">
      <c r="A3166" t="s">
        <v>952</v>
      </c>
    </row>
    <row r="3167" spans="1:3" outlineLevel="1" x14ac:dyDescent="0.25">
      <c r="A3167" t="s">
        <v>953</v>
      </c>
    </row>
    <row r="3168" spans="1:3" outlineLevel="1" x14ac:dyDescent="0.25">
      <c r="A3168" t="s">
        <v>954</v>
      </c>
    </row>
    <row r="3169" spans="1:1" ht="13" outlineLevel="1" x14ac:dyDescent="0.3">
      <c r="A3169" s="66" t="s">
        <v>957</v>
      </c>
    </row>
    <row r="3170" spans="1:1" outlineLevel="1" x14ac:dyDescent="0.25">
      <c r="A3170" t="s">
        <v>958</v>
      </c>
    </row>
    <row r="3171" spans="1:1" outlineLevel="1" x14ac:dyDescent="0.25">
      <c r="A3171" t="s">
        <v>950</v>
      </c>
    </row>
    <row r="3172" spans="1:1" ht="13" outlineLevel="1" x14ac:dyDescent="0.3">
      <c r="A317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173" spans="1:1" ht="13" outlineLevel="1" x14ac:dyDescent="0.3">
      <c r="A3173" s="21" t="s">
        <v>959</v>
      </c>
    </row>
    <row r="3174" spans="1:1" outlineLevel="1" x14ac:dyDescent="0.25">
      <c r="A3174" t="s">
        <v>960</v>
      </c>
    </row>
    <row r="3175" spans="1:1" outlineLevel="1" x14ac:dyDescent="0.25">
      <c r="A3175" t="s">
        <v>961</v>
      </c>
    </row>
    <row r="3176" spans="1:1" outlineLevel="1" x14ac:dyDescent="0.25">
      <c r="A3176" t="str">
        <f>CONCATENATE("sql left outer join acrtrees t on t.client = x.client and x.dim_1 = t.cat_1 and t.att_agrid = '",$F$159,"'")</f>
        <v>sql left outer join acrtrees t on t.client = x.client and x.dim_1 = t.cat_1 and t.att_agrid = '53'</v>
      </c>
    </row>
    <row r="3177" spans="1:1" ht="13" outlineLevel="1" x14ac:dyDescent="0.3">
      <c r="A317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178" spans="1:1" ht="13" outlineLevel="1" x14ac:dyDescent="0.3">
      <c r="A3178" s="21" t="s">
        <v>962</v>
      </c>
    </row>
    <row r="3179" spans="1:1" ht="13" outlineLevel="1" x14ac:dyDescent="0.3">
      <c r="A3179"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180" spans="1:1" ht="13" outlineLevel="1" x14ac:dyDescent="0.3">
      <c r="A3180" s="21" t="s">
        <v>963</v>
      </c>
    </row>
    <row r="3181" spans="1:1" outlineLevel="1" x14ac:dyDescent="0.25">
      <c r="A3181" t="s">
        <v>964</v>
      </c>
    </row>
    <row r="3182" spans="1:1" outlineLevel="1" x14ac:dyDescent="0.25">
      <c r="A3182" t="s">
        <v>965</v>
      </c>
    </row>
    <row r="3183" spans="1:1" outlineLevel="1" x14ac:dyDescent="0.25">
      <c r="A3183" t="s">
        <v>966</v>
      </c>
    </row>
    <row r="3184" spans="1:1" outlineLevel="1" x14ac:dyDescent="0.25">
      <c r="A3184" t="s">
        <v>953</v>
      </c>
    </row>
    <row r="3185" spans="1:1" outlineLevel="1" x14ac:dyDescent="0.25">
      <c r="A3185" t="s">
        <v>954</v>
      </c>
    </row>
    <row r="3186" spans="1:1" ht="13" outlineLevel="1" x14ac:dyDescent="0.3">
      <c r="A3186" s="66" t="s">
        <v>967</v>
      </c>
    </row>
    <row r="3187" spans="1:1" outlineLevel="1" x14ac:dyDescent="0.25">
      <c r="A3187" t="s">
        <v>968</v>
      </c>
    </row>
    <row r="3188" spans="1:1" outlineLevel="1" x14ac:dyDescent="0.25">
      <c r="A3188" t="s">
        <v>950</v>
      </c>
    </row>
    <row r="3189" spans="1:1" ht="13" outlineLevel="1" x14ac:dyDescent="0.3">
      <c r="A318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190" spans="1:1" ht="13" outlineLevel="1" x14ac:dyDescent="0.3">
      <c r="A3190" s="21" t="s">
        <v>969</v>
      </c>
    </row>
    <row r="3191" spans="1:1" ht="13" outlineLevel="1" x14ac:dyDescent="0.3">
      <c r="A3191" s="21" t="s">
        <v>959</v>
      </c>
    </row>
    <row r="3192" spans="1:1" outlineLevel="1" x14ac:dyDescent="0.25">
      <c r="A3192" t="s">
        <v>960</v>
      </c>
    </row>
    <row r="3193" spans="1:1" outlineLevel="1" x14ac:dyDescent="0.25">
      <c r="A3193" t="s">
        <v>961</v>
      </c>
    </row>
    <row r="3194" spans="1:1" outlineLevel="1" x14ac:dyDescent="0.25">
      <c r="A3194" t="str">
        <f>CONCATENATE("sql left outer join acrtrees t on t.client = x.client and x.dim_1 = t.cat_1 and t.att_agrid = '",$F$159,"'")</f>
        <v>sql left outer join acrtrees t on t.client = x.client and x.dim_1 = t.cat_1 and t.att_agrid = '53'</v>
      </c>
    </row>
    <row r="3195" spans="1:1" ht="13" outlineLevel="1" x14ac:dyDescent="0.3">
      <c r="A319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196" spans="1:1" ht="13" outlineLevel="1" x14ac:dyDescent="0.3">
      <c r="A3196" s="21" t="s">
        <v>970</v>
      </c>
    </row>
    <row r="3197" spans="1:1" ht="13" outlineLevel="1" x14ac:dyDescent="0.3">
      <c r="A3197" s="21" t="s">
        <v>962</v>
      </c>
    </row>
    <row r="3198" spans="1:1" ht="13" outlineLevel="1" x14ac:dyDescent="0.3">
      <c r="A3198"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199" spans="1:1" ht="13" outlineLevel="1" x14ac:dyDescent="0.3">
      <c r="A3199" s="21" t="s">
        <v>970</v>
      </c>
    </row>
    <row r="3200" spans="1:1" ht="13" outlineLevel="1" x14ac:dyDescent="0.3">
      <c r="A3200" s="21" t="s">
        <v>963</v>
      </c>
    </row>
    <row r="3201" spans="1:1" outlineLevel="1" x14ac:dyDescent="0.25">
      <c r="A3201" t="s">
        <v>964</v>
      </c>
    </row>
    <row r="3202" spans="1:1" outlineLevel="1" x14ac:dyDescent="0.25">
      <c r="A3202" t="s">
        <v>965</v>
      </c>
    </row>
    <row r="3203" spans="1:1" outlineLevel="1" x14ac:dyDescent="0.25">
      <c r="A3203" t="s">
        <v>966</v>
      </c>
    </row>
    <row r="3204" spans="1:1" outlineLevel="1" x14ac:dyDescent="0.25">
      <c r="A3204" t="s">
        <v>953</v>
      </c>
    </row>
    <row r="3205" spans="1:1" outlineLevel="1" x14ac:dyDescent="0.25">
      <c r="A3205" t="s">
        <v>954</v>
      </c>
    </row>
    <row r="3206" spans="1:1" ht="13" outlineLevel="1" x14ac:dyDescent="0.3">
      <c r="A3206" s="66" t="s">
        <v>971</v>
      </c>
    </row>
    <row r="3207" spans="1:1" outlineLevel="1" x14ac:dyDescent="0.25">
      <c r="A3207" t="s">
        <v>972</v>
      </c>
    </row>
    <row r="3208" spans="1:1" outlineLevel="1" x14ac:dyDescent="0.25">
      <c r="A3208" t="s">
        <v>950</v>
      </c>
    </row>
    <row r="3209" spans="1:1" ht="13" outlineLevel="1" x14ac:dyDescent="0.3">
      <c r="A320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210" spans="1:1" ht="13" outlineLevel="1" x14ac:dyDescent="0.3">
      <c r="A3210" s="21" t="s">
        <v>959</v>
      </c>
    </row>
    <row r="3211" spans="1:1" outlineLevel="1" x14ac:dyDescent="0.25">
      <c r="A3211" t="s">
        <v>960</v>
      </c>
    </row>
    <row r="3212" spans="1:1" outlineLevel="1" x14ac:dyDescent="0.25">
      <c r="A3212" t="s">
        <v>961</v>
      </c>
    </row>
    <row r="3213" spans="1:1" outlineLevel="1" x14ac:dyDescent="0.25">
      <c r="A3213" t="str">
        <f>CONCATENATE("sql left outer join acrtrees t on t.client = x.client and x.dim_1 = t.cat_1 and t.att_agrid = '",$F$159,"'")</f>
        <v>sql left outer join acrtrees t on t.client = x.client and x.dim_1 = t.cat_1 and t.att_agrid = '53'</v>
      </c>
    </row>
    <row r="3214" spans="1:1" ht="13" outlineLevel="1" x14ac:dyDescent="0.3">
      <c r="A321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215" spans="1:1" ht="13" outlineLevel="1" x14ac:dyDescent="0.3">
      <c r="A3215" s="21" t="s">
        <v>973</v>
      </c>
    </row>
    <row r="3216" spans="1:1" outlineLevel="1" x14ac:dyDescent="0.25">
      <c r="A3216" t="s">
        <v>964</v>
      </c>
    </row>
    <row r="3217" spans="1:1" outlineLevel="1" x14ac:dyDescent="0.25">
      <c r="A3217" t="s">
        <v>965</v>
      </c>
    </row>
    <row r="3218" spans="1:1" outlineLevel="1" x14ac:dyDescent="0.25">
      <c r="A3218" t="s">
        <v>966</v>
      </c>
    </row>
    <row r="3219" spans="1:1" outlineLevel="1" x14ac:dyDescent="0.25">
      <c r="A3219" t="s">
        <v>953</v>
      </c>
    </row>
    <row r="3220" spans="1:1" outlineLevel="1" x14ac:dyDescent="0.25">
      <c r="A3220" t="s">
        <v>954</v>
      </c>
    </row>
    <row r="3221" spans="1:1" ht="13" outlineLevel="1" x14ac:dyDescent="0.3">
      <c r="A3221" s="66" t="s">
        <v>974</v>
      </c>
    </row>
    <row r="3222" spans="1:1" outlineLevel="1" x14ac:dyDescent="0.25">
      <c r="A3222" t="s">
        <v>975</v>
      </c>
    </row>
    <row r="3223" spans="1:1" outlineLevel="1" x14ac:dyDescent="0.25">
      <c r="A3223" t="s">
        <v>950</v>
      </c>
    </row>
    <row r="3224" spans="1:1" ht="13" outlineLevel="1" x14ac:dyDescent="0.3">
      <c r="A322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225" spans="1:1" ht="13" outlineLevel="1" x14ac:dyDescent="0.3">
      <c r="A3225" s="21" t="s">
        <v>959</v>
      </c>
    </row>
    <row r="3226" spans="1:1" outlineLevel="1" x14ac:dyDescent="0.25">
      <c r="A3226" t="s">
        <v>960</v>
      </c>
    </row>
    <row r="3227" spans="1:1" outlineLevel="1" x14ac:dyDescent="0.25">
      <c r="A3227" t="s">
        <v>961</v>
      </c>
    </row>
    <row r="3228" spans="1:1" outlineLevel="1" x14ac:dyDescent="0.25">
      <c r="A3228" t="str">
        <f>CONCATENATE("sql left outer join acrtrees t on t.client = x.client and x.dim_1 = t.cat_1 and t.att_agrid = '",$F$159,"'")</f>
        <v>sql left outer join acrtrees t on t.client = x.client and x.dim_1 = t.cat_1 and t.att_agrid = '53'</v>
      </c>
    </row>
    <row r="3229" spans="1:1" ht="13" outlineLevel="1" x14ac:dyDescent="0.3">
      <c r="A322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230" spans="1:1" ht="13" outlineLevel="1" x14ac:dyDescent="0.3">
      <c r="A3230" s="21" t="s">
        <v>973</v>
      </c>
    </row>
    <row r="3231" spans="1:1" outlineLevel="1" x14ac:dyDescent="0.25">
      <c r="A3231" t="s">
        <v>964</v>
      </c>
    </row>
    <row r="3232" spans="1:1" outlineLevel="1" x14ac:dyDescent="0.25">
      <c r="A3232" t="s">
        <v>965</v>
      </c>
    </row>
    <row r="3233" spans="1:1" outlineLevel="1" x14ac:dyDescent="0.25">
      <c r="A3233" t="s">
        <v>966</v>
      </c>
    </row>
    <row r="3234" spans="1:1" outlineLevel="1" x14ac:dyDescent="0.25">
      <c r="A3234" t="s">
        <v>953</v>
      </c>
    </row>
    <row r="3235" spans="1:1" outlineLevel="1" x14ac:dyDescent="0.25">
      <c r="A3235" t="s">
        <v>954</v>
      </c>
    </row>
    <row r="3236" spans="1:1" ht="13" outlineLevel="1" x14ac:dyDescent="0.3">
      <c r="A3236" s="66" t="s">
        <v>976</v>
      </c>
    </row>
    <row r="3237" spans="1:1" outlineLevel="1" x14ac:dyDescent="0.25">
      <c r="A3237" t="s">
        <v>977</v>
      </c>
    </row>
    <row r="3238" spans="1:1" outlineLevel="1" x14ac:dyDescent="0.25">
      <c r="A3238" t="s">
        <v>950</v>
      </c>
    </row>
    <row r="3239" spans="1:1" ht="13" outlineLevel="1" x14ac:dyDescent="0.3">
      <c r="A323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240" spans="1:1" ht="13" outlineLevel="1" x14ac:dyDescent="0.3">
      <c r="A3240" s="21" t="s">
        <v>959</v>
      </c>
    </row>
    <row r="3241" spans="1:1" outlineLevel="1" x14ac:dyDescent="0.25">
      <c r="A3241" t="s">
        <v>960</v>
      </c>
    </row>
    <row r="3242" spans="1:1" outlineLevel="1" x14ac:dyDescent="0.25">
      <c r="A3242" t="s">
        <v>961</v>
      </c>
    </row>
    <row r="3243" spans="1:1" outlineLevel="1" x14ac:dyDescent="0.25">
      <c r="A3243" t="str">
        <f>CONCATENATE("sql left outer join acrtrees t on t.client = x.client and x.dim_1 = t.cat_1 and t.att_agrid = '",$F$159,"'")</f>
        <v>sql left outer join acrtrees t on t.client = x.client and x.dim_1 = t.cat_1 and t.att_agrid = '53'</v>
      </c>
    </row>
    <row r="3244" spans="1:1" ht="13" outlineLevel="1" x14ac:dyDescent="0.3">
      <c r="A324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245" spans="1:1" ht="13" outlineLevel="1" x14ac:dyDescent="0.3">
      <c r="A3245" s="21" t="s">
        <v>978</v>
      </c>
    </row>
    <row r="3246" spans="1:1" outlineLevel="1" x14ac:dyDescent="0.25">
      <c r="A3246" t="s">
        <v>979</v>
      </c>
    </row>
    <row r="3247" spans="1:1" outlineLevel="1" x14ac:dyDescent="0.25">
      <c r="A3247" t="s">
        <v>980</v>
      </c>
    </row>
    <row r="3248" spans="1:1" outlineLevel="1" x14ac:dyDescent="0.25">
      <c r="A3248" t="s">
        <v>966</v>
      </c>
    </row>
    <row r="3249" spans="1:1" outlineLevel="1" x14ac:dyDescent="0.25">
      <c r="A3249" t="s">
        <v>953</v>
      </c>
    </row>
    <row r="3250" spans="1:1" outlineLevel="1" x14ac:dyDescent="0.25">
      <c r="A3250" t="s">
        <v>954</v>
      </c>
    </row>
    <row r="3251" spans="1:1" ht="13" outlineLevel="1" x14ac:dyDescent="0.3">
      <c r="A3251" s="66" t="s">
        <v>981</v>
      </c>
    </row>
    <row r="3252" spans="1:1" outlineLevel="1" x14ac:dyDescent="0.25">
      <c r="A3252" t="s">
        <v>982</v>
      </c>
    </row>
    <row r="3253" spans="1:1" outlineLevel="1" x14ac:dyDescent="0.25">
      <c r="A3253" t="s">
        <v>950</v>
      </c>
    </row>
    <row r="3254" spans="1:1" ht="13" outlineLevel="1" x14ac:dyDescent="0.3">
      <c r="A325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255" spans="1:1" ht="13" outlineLevel="1" x14ac:dyDescent="0.3">
      <c r="A3255" s="21" t="s">
        <v>969</v>
      </c>
    </row>
    <row r="3256" spans="1:1" ht="13" outlineLevel="1" x14ac:dyDescent="0.3">
      <c r="A3256" s="21" t="s">
        <v>959</v>
      </c>
    </row>
    <row r="3257" spans="1:1" outlineLevel="1" x14ac:dyDescent="0.25">
      <c r="A3257" t="s">
        <v>960</v>
      </c>
    </row>
    <row r="3258" spans="1:1" outlineLevel="1" x14ac:dyDescent="0.25">
      <c r="A3258" t="s">
        <v>961</v>
      </c>
    </row>
    <row r="3259" spans="1:1" outlineLevel="1" x14ac:dyDescent="0.25">
      <c r="A3259" t="str">
        <f>CONCATENATE("sql left outer join acrtrees t on t.client = x.client and x.dim_1 = t.cat_1 and t.att_agrid = '",$F$159,"'")</f>
        <v>sql left outer join acrtrees t on t.client = x.client and x.dim_1 = t.cat_1 and t.att_agrid = '53'</v>
      </c>
    </row>
    <row r="3260" spans="1:1" ht="13" outlineLevel="1" x14ac:dyDescent="0.3">
      <c r="A326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261" spans="1:1" ht="13" outlineLevel="1" x14ac:dyDescent="0.3">
      <c r="A3261" s="21" t="s">
        <v>970</v>
      </c>
    </row>
    <row r="3262" spans="1:1" ht="13" outlineLevel="1" x14ac:dyDescent="0.3">
      <c r="A3262" s="21" t="s">
        <v>978</v>
      </c>
    </row>
    <row r="3263" spans="1:1" outlineLevel="1" x14ac:dyDescent="0.25">
      <c r="A3263" t="s">
        <v>979</v>
      </c>
    </row>
    <row r="3264" spans="1:1" outlineLevel="1" x14ac:dyDescent="0.25">
      <c r="A3264" t="s">
        <v>980</v>
      </c>
    </row>
    <row r="3265" spans="1:3" outlineLevel="1" x14ac:dyDescent="0.25">
      <c r="A3265" t="s">
        <v>966</v>
      </c>
    </row>
    <row r="3266" spans="1:3" outlineLevel="1" x14ac:dyDescent="0.25">
      <c r="A3266" t="s">
        <v>953</v>
      </c>
    </row>
    <row r="3267" spans="1:3" outlineLevel="1" x14ac:dyDescent="0.25">
      <c r="A3267" t="s">
        <v>954</v>
      </c>
    </row>
    <row r="3268" spans="1:3" ht="13" outlineLevel="1" x14ac:dyDescent="0.3">
      <c r="A3268" s="20" t="s">
        <v>983</v>
      </c>
    </row>
    <row r="3269" spans="1:3" outlineLevel="1" x14ac:dyDescent="0.25">
      <c r="A3269" s="7" t="s">
        <v>984</v>
      </c>
    </row>
    <row r="3270" spans="1:3" outlineLevel="1" x14ac:dyDescent="0.25">
      <c r="A3270" t="s">
        <v>950</v>
      </c>
    </row>
    <row r="3271" spans="1:3" outlineLevel="1" x14ac:dyDescent="0.25">
      <c r="A3271" t="s">
        <v>951</v>
      </c>
    </row>
    <row r="3272" spans="1:3" ht="14.5" outlineLevel="1" x14ac:dyDescent="0.35">
      <c r="A3272"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272" s="2"/>
    </row>
    <row r="3273" spans="1:3" outlineLevel="1" x14ac:dyDescent="0.25">
      <c r="A3273" t="s">
        <v>952</v>
      </c>
    </row>
    <row r="3274" spans="1:3" outlineLevel="1" x14ac:dyDescent="0.25">
      <c r="A3274" t="s">
        <v>953</v>
      </c>
    </row>
    <row r="3275" spans="1:3" outlineLevel="1" x14ac:dyDescent="0.25">
      <c r="A3275" t="s">
        <v>954</v>
      </c>
    </row>
    <row r="3276" spans="1:3" ht="13" outlineLevel="1" x14ac:dyDescent="0.3">
      <c r="A3276" s="20" t="s">
        <v>985</v>
      </c>
    </row>
    <row r="3277" spans="1:3" outlineLevel="1" x14ac:dyDescent="0.25">
      <c r="A3277" s="7" t="s">
        <v>986</v>
      </c>
    </row>
    <row r="3278" spans="1:3" outlineLevel="1" x14ac:dyDescent="0.25">
      <c r="A3278" t="s">
        <v>987</v>
      </c>
    </row>
    <row r="3279" spans="1:3" ht="13" outlineLevel="1" x14ac:dyDescent="0.3">
      <c r="A3279" s="21" t="str">
        <f>CONCATENATE("sql where a.client = '",$D$172,"' and a.period between '",LEFT($D$170,4),"00' and '",IF(RIGHT($D$171,2)="12",CONCATENATE(LEFT($D$171,4),"14"),$D$171),"'")</f>
        <v>sql where a.client = 'OX' and a.period between '202500' and '202506'</v>
      </c>
    </row>
    <row r="3280" spans="1:3" outlineLevel="1" x14ac:dyDescent="0.25">
      <c r="A3280" t="s">
        <v>952</v>
      </c>
    </row>
    <row r="3281" spans="1:1" outlineLevel="1" x14ac:dyDescent="0.25">
      <c r="A3281" t="s">
        <v>953</v>
      </c>
    </row>
    <row r="3282" spans="1:1" outlineLevel="1" x14ac:dyDescent="0.25">
      <c r="A3282" t="s">
        <v>954</v>
      </c>
    </row>
    <row r="3283" spans="1:1" ht="13" outlineLevel="1" x14ac:dyDescent="0.3">
      <c r="A3283" s="20" t="s">
        <v>988</v>
      </c>
    </row>
    <row r="3284" spans="1:1" outlineLevel="1" x14ac:dyDescent="0.25">
      <c r="A3284" s="7" t="s">
        <v>989</v>
      </c>
    </row>
    <row r="3285" spans="1:1" outlineLevel="1" x14ac:dyDescent="0.25">
      <c r="A3285" t="s">
        <v>950</v>
      </c>
    </row>
    <row r="3286" spans="1:1" outlineLevel="1" x14ac:dyDescent="0.25">
      <c r="A3286" t="s">
        <v>951</v>
      </c>
    </row>
    <row r="3287" spans="1:1" ht="13" outlineLevel="1" x14ac:dyDescent="0.3">
      <c r="A3287"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288" spans="1:1" outlineLevel="1" x14ac:dyDescent="0.25">
      <c r="A3288" t="s">
        <v>952</v>
      </c>
    </row>
    <row r="3289" spans="1:1" outlineLevel="1" x14ac:dyDescent="0.25">
      <c r="A3289" t="s">
        <v>953</v>
      </c>
    </row>
    <row r="3290" spans="1:1" outlineLevel="1" x14ac:dyDescent="0.25">
      <c r="A3290" t="s">
        <v>954</v>
      </c>
    </row>
    <row r="3291" spans="1:1" ht="13" outlineLevel="1" x14ac:dyDescent="0.3">
      <c r="A3291" s="20" t="s">
        <v>990</v>
      </c>
    </row>
    <row r="3292" spans="1:1" outlineLevel="1" x14ac:dyDescent="0.25">
      <c r="A3292" s="7" t="s">
        <v>991</v>
      </c>
    </row>
    <row r="3293" spans="1:1" outlineLevel="1" x14ac:dyDescent="0.25">
      <c r="A3293" t="s">
        <v>950</v>
      </c>
    </row>
    <row r="3294" spans="1:1" outlineLevel="1" x14ac:dyDescent="0.25">
      <c r="A3294" t="s">
        <v>951</v>
      </c>
    </row>
    <row r="3295" spans="1:1" ht="13" outlineLevel="1" x14ac:dyDescent="0.3">
      <c r="A329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296" spans="1:1" outlineLevel="1" x14ac:dyDescent="0.25">
      <c r="A3296" t="s">
        <v>952</v>
      </c>
    </row>
    <row r="3297" spans="1:1" outlineLevel="1" x14ac:dyDescent="0.25">
      <c r="A3297" t="s">
        <v>953</v>
      </c>
    </row>
    <row r="3298" spans="1:1" outlineLevel="1" x14ac:dyDescent="0.25">
      <c r="A3298" t="s">
        <v>954</v>
      </c>
    </row>
    <row r="3299" spans="1:1" ht="13" outlineLevel="1" x14ac:dyDescent="0.3">
      <c r="A3299" s="20" t="s">
        <v>992</v>
      </c>
    </row>
    <row r="3300" spans="1:1" outlineLevel="1" x14ac:dyDescent="0.25">
      <c r="A3300" s="7" t="s">
        <v>993</v>
      </c>
    </row>
    <row r="3301" spans="1:1" outlineLevel="1" x14ac:dyDescent="0.25">
      <c r="A3301" t="s">
        <v>950</v>
      </c>
    </row>
    <row r="3302" spans="1:1" outlineLevel="1" x14ac:dyDescent="0.25">
      <c r="A3302" t="s">
        <v>951</v>
      </c>
    </row>
    <row r="3303" spans="1:1" ht="13" outlineLevel="1" x14ac:dyDescent="0.3">
      <c r="A330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304" spans="1:1" outlineLevel="1" x14ac:dyDescent="0.25">
      <c r="A3304" t="s">
        <v>952</v>
      </c>
    </row>
    <row r="3305" spans="1:1" outlineLevel="1" x14ac:dyDescent="0.25">
      <c r="A3305" t="s">
        <v>953</v>
      </c>
    </row>
    <row r="3306" spans="1:1" outlineLevel="1" x14ac:dyDescent="0.25">
      <c r="A3306" t="s">
        <v>994</v>
      </c>
    </row>
    <row r="3307" spans="1:1" outlineLevel="1" x14ac:dyDescent="0.25">
      <c r="A3307" t="str">
        <f>CONCATENATE("sql left outer join acrtrees t on t.client = u.client and u.dim_1 = t.cat_1 and t.att_agrid = '",$F$159,"'")</f>
        <v>sql left outer join acrtrees t on t.client = u.client and u.dim_1 = t.cat_1 and t.att_agrid = '53'</v>
      </c>
    </row>
    <row r="3308" spans="1:1" outlineLevel="1" x14ac:dyDescent="0.25">
      <c r="A3308" t="str">
        <f>CONCATENATE("sql left outer join acrtrees s on s.client = u.client and u.account = s.cat_1 and s.att_agrid = '",$F$160,"'")</f>
        <v>sql left outer join acrtrees s on s.client = u.client and u.account = s.cat_1 and s.att_agrid = '14'</v>
      </c>
    </row>
    <row r="3309" spans="1:1" outlineLevel="1" x14ac:dyDescent="0.25">
      <c r="A3309" t="str">
        <f>CONCATENATE("sql left outer join acrtrees v on v.client = u.client and u.account = v.cat_1 and v.att_agrid = '",$F$161,"'")</f>
        <v>sql left outer join acrtrees v on v.client = u.client and u.account = v.cat_1 and v.att_agrid = '17'</v>
      </c>
    </row>
    <row r="3310" spans="1:1" outlineLevel="1" x14ac:dyDescent="0.25">
      <c r="A3310" t="str">
        <f>CONCATENATE("sql left outer join agldescription d on d.client = u.client and d.dim_value = t.dim_c and d.attribute_id = '",$F$162,"'")</f>
        <v>sql left outer join agldescription d on d.client = u.client and d.dim_value = t.dim_c and d.attribute_id = '82'</v>
      </c>
    </row>
    <row r="3311" spans="1:1" outlineLevel="1" x14ac:dyDescent="0.25">
      <c r="A3311" t="str">
        <f>CONCATENATE("sql left outer join agldescription e on e.client = u.client and e.dim_value = t.dim_b and e.attribute_id = '",$F$163,"'")</f>
        <v>sql left outer join agldescription e on e.client = u.client and e.dim_value = t.dim_b and e.attribute_id = '81'</v>
      </c>
    </row>
    <row r="3312" spans="1:1" outlineLevel="1" x14ac:dyDescent="0.25">
      <c r="A3312" t="str">
        <f>CONCATENATE("sql left outer join agldescription f on f.client = u.client and f.dim_value = t.dim_e and f.attribute_id = '",$F$164,"'")</f>
        <v>sql left outer join agldescription f on f.client = u.client and f.dim_value = t.dim_e and f.attribute_id = '80'</v>
      </c>
    </row>
    <row r="3313" spans="1:33" outlineLevel="1" x14ac:dyDescent="0.25">
      <c r="A3313" t="str">
        <f>CONCATENATE("sql left outer join agldescription g on g.client = u.client and g.dim_value = u.account and g.attribute_id = '",$F$165,"'")</f>
        <v>sql left outer join agldescription g on g.client = u.client and g.dim_value = u.account and g.attribute_id = 'A0'</v>
      </c>
    </row>
    <row r="3314" spans="1:33" ht="14.5" outlineLevel="1" x14ac:dyDescent="0.35">
      <c r="A3314" s="67" t="s">
        <v>1070</v>
      </c>
      <c r="G3314" s="737" t="s">
        <v>1071</v>
      </c>
    </row>
    <row r="3315" spans="1:33" outlineLevel="1" x14ac:dyDescent="0.25">
      <c r="A3315" t="s">
        <v>1005</v>
      </c>
    </row>
    <row r="3316" spans="1:33" outlineLevel="1" x14ac:dyDescent="0.25">
      <c r="A3316" t="s">
        <v>1006</v>
      </c>
    </row>
    <row r="3317" spans="1:33" outlineLevel="1" x14ac:dyDescent="0.25">
      <c r="A3317" t="s">
        <v>1007</v>
      </c>
    </row>
    <row r="3318" spans="1:33" ht="13" outlineLevel="1" x14ac:dyDescent="0.3">
      <c r="A3318" t="s">
        <v>1012</v>
      </c>
      <c r="C3318" s="29"/>
      <c r="D3318" s="36">
        <v>1000</v>
      </c>
      <c r="E3318" s="36">
        <v>1000</v>
      </c>
      <c r="F3318" s="22">
        <v>1000</v>
      </c>
      <c r="G3318" s="22">
        <v>1000</v>
      </c>
      <c r="H3318" s="22">
        <v>1000</v>
      </c>
      <c r="I3318" s="22">
        <v>1000</v>
      </c>
      <c r="J3318" s="22">
        <v>1000</v>
      </c>
      <c r="K3318" s="22">
        <v>1000</v>
      </c>
      <c r="L3318" s="22"/>
      <c r="M3318" s="36"/>
      <c r="N3318" s="36"/>
      <c r="O3318" s="36">
        <v>1000</v>
      </c>
      <c r="P3318" s="36">
        <v>1000</v>
      </c>
      <c r="Q3318" s="36">
        <v>1000</v>
      </c>
      <c r="R3318" s="36">
        <v>1000</v>
      </c>
      <c r="S3318" s="36">
        <v>1000</v>
      </c>
      <c r="T3318" s="36"/>
      <c r="U3318" s="36"/>
      <c r="V3318" s="58"/>
      <c r="W3318" s="36">
        <v>1000</v>
      </c>
      <c r="X3318" s="36">
        <v>1000</v>
      </c>
      <c r="Y3318" s="36"/>
      <c r="Z3318" s="36"/>
      <c r="AA3318" s="40"/>
      <c r="AB3318" s="60"/>
      <c r="AC3318" s="98"/>
      <c r="AD3318" s="36"/>
      <c r="AE3318" s="36"/>
      <c r="AF3318" s="36"/>
      <c r="AG3318" s="99"/>
    </row>
    <row r="3319" spans="1:33" ht="13" outlineLevel="1" x14ac:dyDescent="0.3">
      <c r="A3319" s="7" t="s">
        <v>1013</v>
      </c>
      <c r="C3319" s="29"/>
      <c r="D3319" s="36">
        <v>0</v>
      </c>
      <c r="E3319" s="36">
        <v>0</v>
      </c>
      <c r="F3319" s="22">
        <v>0</v>
      </c>
      <c r="G3319" s="22">
        <v>0</v>
      </c>
      <c r="H3319" s="22">
        <v>0</v>
      </c>
      <c r="I3319" s="22">
        <v>0</v>
      </c>
      <c r="J3319" s="22">
        <v>0</v>
      </c>
      <c r="K3319" s="22">
        <v>0</v>
      </c>
      <c r="L3319" s="22"/>
      <c r="M3319" s="36"/>
      <c r="N3319" s="36"/>
      <c r="O3319" s="36">
        <v>0</v>
      </c>
      <c r="P3319" s="36">
        <v>0</v>
      </c>
      <c r="Q3319" s="36">
        <v>0</v>
      </c>
      <c r="R3319" s="36">
        <v>0</v>
      </c>
      <c r="S3319" s="36">
        <v>0</v>
      </c>
      <c r="T3319" s="36"/>
      <c r="U3319" s="36"/>
      <c r="V3319" s="58"/>
      <c r="W3319" s="36">
        <v>0</v>
      </c>
      <c r="X3319" s="36">
        <v>0</v>
      </c>
      <c r="Y3319" s="36"/>
      <c r="Z3319" s="36"/>
      <c r="AA3319" s="40"/>
      <c r="AB3319" s="60"/>
      <c r="AC3319" s="98"/>
      <c r="AD3319" s="36"/>
      <c r="AE3319" s="36"/>
      <c r="AF3319" s="36"/>
      <c r="AG3319" s="99"/>
    </row>
    <row r="3320" spans="1:33" ht="13" outlineLevel="1" x14ac:dyDescent="0.3">
      <c r="A3320" t="s">
        <v>1014</v>
      </c>
      <c r="C3320" s="30"/>
      <c r="D3320" s="36"/>
      <c r="E3320" s="36"/>
      <c r="F3320" s="57"/>
      <c r="G3320" s="57"/>
      <c r="H3320" s="57"/>
      <c r="I3320" s="57"/>
      <c r="J3320" s="57"/>
      <c r="K3320" s="57"/>
      <c r="L3320" s="57"/>
      <c r="M3320" s="36"/>
      <c r="N3320" s="36"/>
      <c r="O3320" s="36"/>
      <c r="P3320" s="36" t="s">
        <v>1015</v>
      </c>
      <c r="Q3320" s="36" t="s">
        <v>1016</v>
      </c>
      <c r="R3320" s="36"/>
      <c r="S3320" s="36"/>
      <c r="T3320" s="36"/>
      <c r="U3320" s="36"/>
      <c r="V3320" s="58"/>
      <c r="W3320" s="36"/>
      <c r="X3320" s="36"/>
      <c r="Y3320" s="36"/>
      <c r="Z3320" s="36"/>
      <c r="AA3320" s="40"/>
      <c r="AB3320" s="60"/>
      <c r="AC3320" s="98"/>
      <c r="AD3320" s="36"/>
      <c r="AE3320" s="36"/>
      <c r="AF3320" s="36"/>
      <c r="AG3320" s="99"/>
    </row>
    <row r="3321" spans="1:33" ht="13" outlineLevel="1" x14ac:dyDescent="0.3">
      <c r="A3321" t="s">
        <v>1017</v>
      </c>
      <c r="C3321" s="31"/>
      <c r="D3321" s="36" t="s">
        <v>1019</v>
      </c>
      <c r="E3321" s="36" t="s">
        <v>1020</v>
      </c>
      <c r="F3321" s="22" t="s">
        <v>1021</v>
      </c>
      <c r="G3321" s="22" t="s">
        <v>1022</v>
      </c>
      <c r="H3321" s="22" t="s">
        <v>1023</v>
      </c>
      <c r="I3321" s="22" t="s">
        <v>1024</v>
      </c>
      <c r="J3321" s="22" t="s">
        <v>1025</v>
      </c>
      <c r="K3321" s="22" t="s">
        <v>1026</v>
      </c>
      <c r="L3321" s="22"/>
      <c r="M3321" s="36"/>
      <c r="N3321" s="36"/>
      <c r="O3321" s="36" t="s">
        <v>1027</v>
      </c>
      <c r="P3321" s="36" t="s">
        <v>1028</v>
      </c>
      <c r="Q3321" s="36" t="s">
        <v>1028</v>
      </c>
      <c r="R3321" s="36" t="s">
        <v>1028</v>
      </c>
      <c r="S3321" s="36" t="s">
        <v>1029</v>
      </c>
      <c r="T3321" s="36"/>
      <c r="U3321" s="36"/>
      <c r="V3321" s="58"/>
      <c r="W3321" s="36" t="s">
        <v>1030</v>
      </c>
      <c r="X3321" s="36" t="s">
        <v>1031</v>
      </c>
      <c r="Y3321" s="36"/>
      <c r="Z3321" s="36"/>
      <c r="AA3321" s="40"/>
      <c r="AB3321" s="60"/>
      <c r="AC3321" s="98"/>
      <c r="AD3321" s="36"/>
      <c r="AE3321" s="36"/>
      <c r="AF3321" s="36"/>
      <c r="AG3321" s="99"/>
    </row>
    <row r="3322" spans="1:33" ht="13" outlineLevel="1" x14ac:dyDescent="0.3">
      <c r="A3322" t="s">
        <v>1041</v>
      </c>
      <c r="C3322" s="31" t="s">
        <v>134</v>
      </c>
      <c r="D3322" s="33">
        <v>0</v>
      </c>
      <c r="E3322" s="33">
        <v>0</v>
      </c>
      <c r="F3322" s="23">
        <v>0</v>
      </c>
      <c r="G3322" s="23">
        <v>0</v>
      </c>
      <c r="H3322" s="23">
        <v>0</v>
      </c>
      <c r="I3322" s="23">
        <v>0</v>
      </c>
      <c r="J3322" s="23">
        <v>0</v>
      </c>
      <c r="K3322" s="23">
        <v>0</v>
      </c>
      <c r="L3322" s="23">
        <f>SUM(F3322:K3322)</f>
        <v>0</v>
      </c>
      <c r="M3322" s="33">
        <f>O3322-E3322</f>
        <v>0</v>
      </c>
      <c r="N3322" s="33">
        <f>O3322-D3322</f>
        <v>0</v>
      </c>
      <c r="O3322" s="33">
        <v>0</v>
      </c>
      <c r="P3322" s="33">
        <v>0</v>
      </c>
      <c r="Q3322" s="33">
        <v>0</v>
      </c>
      <c r="R3322" s="33">
        <v>0</v>
      </c>
      <c r="S3322" s="33">
        <v>0</v>
      </c>
      <c r="T3322" s="33">
        <f>R3322-S3322</f>
        <v>0</v>
      </c>
      <c r="U3322" s="38" t="str">
        <f>IFERROR((R3322/O3322)*100%,"∞")</f>
        <v>∞</v>
      </c>
      <c r="V3322" s="59">
        <f>O3322+W3322</f>
        <v>0</v>
      </c>
      <c r="W3322" s="33">
        <v>0</v>
      </c>
      <c r="X3322" s="33">
        <v>0</v>
      </c>
      <c r="Y3322" s="33"/>
      <c r="Z3322" s="33"/>
      <c r="AA3322" s="42"/>
      <c r="AB3322" s="60"/>
      <c r="AC3322" s="105"/>
      <c r="AD3322" s="93"/>
      <c r="AE3322" s="33">
        <f>SUM(AC3322:AD3322)</f>
        <v>0</v>
      </c>
      <c r="AF3322" s="33">
        <f>R3322+AE3322</f>
        <v>0</v>
      </c>
      <c r="AG3322" s="101">
        <f>AF3322-O3322</f>
        <v>0</v>
      </c>
    </row>
    <row r="3323" spans="1:33" ht="13.5" outlineLevel="1" thickBot="1" x14ac:dyDescent="0.35">
      <c r="C3323" s="80"/>
      <c r="D3323" s="81"/>
      <c r="E3323" s="81"/>
      <c r="F3323" s="82"/>
      <c r="G3323" s="82"/>
      <c r="H3323" s="82"/>
      <c r="I3323" s="82"/>
      <c r="J3323" s="82"/>
      <c r="K3323" s="82"/>
      <c r="L3323" s="82"/>
      <c r="M3323" s="81"/>
      <c r="N3323" s="81"/>
      <c r="O3323" s="81"/>
      <c r="P3323" s="81"/>
      <c r="Q3323" s="81"/>
      <c r="R3323" s="81"/>
      <c r="S3323" s="81"/>
      <c r="T3323" s="81"/>
      <c r="U3323" s="81"/>
      <c r="V3323" s="83"/>
      <c r="W3323" s="81"/>
      <c r="X3323" s="81"/>
      <c r="Y3323" s="81"/>
      <c r="Z3323" s="81"/>
      <c r="AA3323" s="84"/>
      <c r="AB3323" s="60"/>
      <c r="AC3323" s="98"/>
      <c r="AD3323" s="36"/>
      <c r="AE3323" s="36"/>
      <c r="AF3323" s="36"/>
      <c r="AG3323" s="99"/>
    </row>
    <row r="3324" spans="1:33" ht="13.5" thickBot="1" x14ac:dyDescent="0.35">
      <c r="C3324" s="68" t="s">
        <v>135</v>
      </c>
      <c r="D3324" s="69">
        <f t="shared" ref="D3324:K3324" si="3">SUM(D362:D365,D536:D539,D710:D713,D884:D886,D1058:D1060,D1232:D1234,D1406:D1408,D1580:D1583,D1754:D1757,D1928:D1931,D2102:D2105,D2276:D2279,D2450:D2453,D2624:D2627,D2798:D2801,D2972:D2975,D3146:D3149,D3320:D3322)</f>
        <v>0</v>
      </c>
      <c r="E3324" s="69">
        <f t="shared" si="3"/>
        <v>0</v>
      </c>
      <c r="F3324" s="77">
        <f t="shared" si="3"/>
        <v>0</v>
      </c>
      <c r="G3324" s="77">
        <f t="shared" si="3"/>
        <v>0</v>
      </c>
      <c r="H3324" s="77">
        <f t="shared" si="3"/>
        <v>0</v>
      </c>
      <c r="I3324" s="77">
        <f t="shared" si="3"/>
        <v>0</v>
      </c>
      <c r="J3324" s="77">
        <f t="shared" si="3"/>
        <v>0</v>
      </c>
      <c r="K3324" s="77">
        <f t="shared" si="3"/>
        <v>0</v>
      </c>
      <c r="L3324" s="77">
        <f>SUM(F3324:K3324)</f>
        <v>0</v>
      </c>
      <c r="M3324" s="69">
        <f>O3324-E3324</f>
        <v>0</v>
      </c>
      <c r="N3324" s="69">
        <f>O3324-D3324</f>
        <v>0</v>
      </c>
      <c r="O3324" s="69">
        <f>SUM(O362:O365,O536:O539,O710:O713,O884:O886,O1058:O1060,O1232:O1234,O1406:O1408,O1580:O1583,O1754:O1757,O1928:O1931,O2102:O2105,O2276:O2279,O2450:O2453,O2624:O2627,O2798:O2801,O2972:O2975,O3146:O3149,O3320:O3322)</f>
        <v>0</v>
      </c>
      <c r="P3324" s="69">
        <f>SUM(P362:P365,P536:P539,P710:P713,P884:P886,P1058:P1060,P1232:P1234,P1406:P1408,P1580:P1583,P1754:P1757,P1928:P1931,P2102:P2105,P2276:P2279,P2450:P2453,P2624:P2627,P2798:P2801,P2972:P2975,P3146:P3149,P3320:P3322)</f>
        <v>0</v>
      </c>
      <c r="Q3324" s="69">
        <f>SUM(Q362:Q365,Q536:Q539,Q710:Q713,Q884:Q886,Q1058:Q1060,Q1232:Q1234,Q1406:Q1408,Q1580:Q1583,Q1754:Q1757,Q1928:Q1931,Q2102:Q2105,Q2276:Q2279,Q2450:Q2453,Q2624:Q2627,Q2798:Q2801,Q2972:Q2975,Q3146:Q3149,Q3320:Q3322)</f>
        <v>0</v>
      </c>
      <c r="R3324" s="69">
        <f>SUM(R362:R365,R536:R539,R710:R713,R884:R886,R1058:R1060,R1232:R1234,R1406:R1408,R1580:R1583,R1754:R1757,R1928:R1931,R2102:R2105,R2276:R2279,R2450:R2453,R2624:R2627,R2798:R2801,R2972:R2975,R3146:R3149,R3320:R3322)</f>
        <v>0</v>
      </c>
      <c r="S3324" s="69">
        <f>SUM(S362:S365,S536:S539,S710:S713,S884:S886,S1058:S1060,S1232:S1234,S1406:S1408,S1580:S1583,S1754:S1757,S1928:S1931,S2102:S2105,S2276:S2279,S2450:S2453,S2624:S2627,S2798:S2801,S2972:S2975,S3146:S3149,S3320:S3322)</f>
        <v>0</v>
      </c>
      <c r="T3324" s="69">
        <f>R3324-S3324</f>
        <v>0</v>
      </c>
      <c r="U3324" s="70" t="str">
        <f>IFERROR((R3324/O3324)*100%,"∞")</f>
        <v>∞</v>
      </c>
      <c r="V3324" s="76">
        <f>O3324+W3324</f>
        <v>0</v>
      </c>
      <c r="W3324" s="69">
        <f>SUM(W362:W365,W536:W539,W710:W713,W884:W886,W1058:W1060,W1232:W1234,W1406:W1408,W1580:W1583,W1754:W1757,W1928:W1931,W2102:W2105,W2276:W2279,W2450:W2453,W2624:W2627,W2798:W2801,W2972:W2975,W3146:W3149,W3320:W3322)</f>
        <v>0</v>
      </c>
      <c r="X3324" s="69">
        <f>SUM(X362:X365,X536:X539,X710:X713,X884:X886,X1058:X1060,X1232:X1234,X1406:X1408,X1580:X1583,X1754:X1757,X1928:X1931,X2102:X2105,X2276:X2279,X2450:X2453,X2624:X2627,X2798:X2801,X2972:X2975,X3146:X3149,X3320:X3322)</f>
        <v>0</v>
      </c>
      <c r="Y3324" s="69">
        <f>SUM(Y362:Y365,Y536:Y539,Y710:Y713,Y884:Y886,Y1058:Y1060,Y1232:Y1234,Y1406:Y1408,Y1580:Y1583,Y1754:Y1757,Y1928:Y1931,Y2102:Y2105,Y2276:Y2279,Y2450:Y2453,Y2624:Y2627,Y2798:Y2801,Y2972:Y2975,Y3146:Y3149,Y3320:Y3322)</f>
        <v>0</v>
      </c>
      <c r="Z3324" s="69">
        <f>SUM(Z362:Z365,Z536:Z539,Z710:Z713,Z884:Z886,Z1058:Z1060,Z1232:Z1234,Z1406:Z1408,Z1580:Z1583,Z1754:Z1757,Z1928:Z1931,Z2102:Z2105,Z2276:Z2279,Z2450:Z2453,Z2624:Z2627,Z2798:Z2801,Z2972:Z2975,Z3146:Z3149,Z3320:Z3322)</f>
        <v>0</v>
      </c>
      <c r="AA3324" s="69">
        <f>SUM(AA362:AA365,AA536:AA539,AA710:AA713,AA884:AA886,AA1058:AA1060,AA1232:AA1234,AA1406:AA1408,AA1580:AA1583,AA1754:AA1757,AA1928:AA1931,AA2102:AA2105,AA2276:AA2279,AA2450:AA2453,AA2624:AA2627,AA2798:AA2801,AA2972:AA2975,AA3146:AA3149,AA3320:AA3322)</f>
        <v>0</v>
      </c>
      <c r="AB3324" s="60"/>
      <c r="AC3324" s="69">
        <f>SUM(AC362:AC365,AC536:AC539,AC710:AC713,AC884:AC886,AC1058:AC1060,AC1232:AC1234,AC1406:AC1408,AC1580:AC1583,AC1754:AC1757,AC1928:AC1931,AC2102:AC2105,AC2276:AC2279,AC2450:AC2453,AC2624:AC2627,AC2798:AC2801,AC2972:AC2975,AC3146:AC3149,AC3320:AC3322)</f>
        <v>0</v>
      </c>
      <c r="AD3324" s="69">
        <f>SUM(AD362:AD365,AD536:AD539,AD710:AD713,AD884:AD886,AD1058:AD1060,AD1232:AD1234,AD1406:AD1408,AD1580:AD1583,AD1754:AD1757,AD1928:AD1931,AD2102:AD2105,AD2276:AD2279,AD2450:AD2453,AD2624:AD2627,AD2798:AD2801,AD2972:AD2975,AD3146:AD3149,AD3320:AD3322)</f>
        <v>0</v>
      </c>
      <c r="AE3324" s="69">
        <f>SUM(AE362:AE365,AE536:AE539,AE710:AE713,AE884:AE886,AE1058:AE1060,AE1232:AE1234,AE1406:AE1408,AE1580:AE1583,AE1754:AE1757,AE1928:AE1931,AE2102:AE2105,AE2276:AE2279,AE2450:AE2453,AE2624:AE2627,AE2798:AE2801,AE2972:AE2975,AE3146:AE3149,AE3320:AE3322)</f>
        <v>0</v>
      </c>
      <c r="AF3324" s="69">
        <f>SUM(AF362:AF365,AF536:AF539,AF710:AF713,AF884:AF886,AF1058:AF1060,AF1232:AF1234,AF1406:AF1408,AF1580:AF1583,AF1754:AF1757,AF1928:AF1931,AF2102:AF2105,AF2276:AF2279,AF2450:AF2453,AF2624:AF2627,AF2798:AF2801,AF2972:AF2975,AF3146:AF3149,AF3320:AF3322)</f>
        <v>0</v>
      </c>
      <c r="AG3324" s="69">
        <f>SUM(AG362:AG365,AG536:AG539,AG710:AG713,AG884:AG886,AG1058:AG1060,AG1232:AG1234,AG1406:AG1408,AG1580:AG1583,AG1754:AG1757,AG1928:AG1931,AG2102:AG2105,AG2276:AG2279,AG2450:AG2453,AG2624:AG2627,AG2798:AG2801,AG2972:AG2975,AG3146:AG3149,AG3320:AG3322)</f>
        <v>0</v>
      </c>
    </row>
    <row r="3325" spans="1:33" ht="13.5" thickTop="1" x14ac:dyDescent="0.3">
      <c r="C3325" s="71"/>
      <c r="D3325" s="72"/>
      <c r="E3325" s="72"/>
      <c r="F3325" s="73"/>
      <c r="G3325" s="73"/>
      <c r="H3325" s="73"/>
      <c r="I3325" s="73"/>
      <c r="J3325" s="73"/>
      <c r="K3325" s="73"/>
      <c r="L3325" s="73"/>
      <c r="M3325" s="72"/>
      <c r="N3325" s="72"/>
      <c r="O3325" s="72"/>
      <c r="P3325" s="72"/>
      <c r="Q3325" s="72"/>
      <c r="R3325" s="72"/>
      <c r="S3325" s="72"/>
      <c r="T3325" s="72"/>
      <c r="U3325" s="72"/>
      <c r="V3325" s="74"/>
      <c r="W3325" s="72"/>
      <c r="X3325" s="72"/>
      <c r="Y3325" s="72"/>
      <c r="Z3325" s="72"/>
      <c r="AA3325" s="75"/>
      <c r="AB3325" s="60"/>
      <c r="AC3325" s="71"/>
      <c r="AD3325" s="72"/>
      <c r="AE3325" s="72"/>
      <c r="AF3325" s="72"/>
      <c r="AG3325" s="75"/>
    </row>
    <row r="3326" spans="1:33" x14ac:dyDescent="0.25">
      <c r="A3326" t="s">
        <v>232</v>
      </c>
    </row>
    <row r="3327" spans="1:33" x14ac:dyDescent="0.25">
      <c r="A3327" t="s">
        <v>944</v>
      </c>
      <c r="M3327" s="19"/>
      <c r="N3327" s="19"/>
    </row>
    <row r="3328" spans="1:33" x14ac:dyDescent="0.25">
      <c r="A3328" t="s">
        <v>946</v>
      </c>
      <c r="E3328" s="19"/>
    </row>
    <row r="3329" spans="1:6" x14ac:dyDescent="0.25">
      <c r="A3329" t="s">
        <v>947</v>
      </c>
      <c r="E3329" s="19"/>
      <c r="F3329" s="19"/>
    </row>
    <row r="3330" spans="1:6" ht="13" x14ac:dyDescent="0.3">
      <c r="A3330" s="20" t="s">
        <v>948</v>
      </c>
    </row>
    <row r="3331" spans="1:6" x14ac:dyDescent="0.25">
      <c r="A3331" s="7" t="s">
        <v>949</v>
      </c>
    </row>
    <row r="3332" spans="1:6" x14ac:dyDescent="0.25">
      <c r="A3332" t="s">
        <v>950</v>
      </c>
    </row>
    <row r="3333" spans="1:6" x14ac:dyDescent="0.25">
      <c r="A3333" t="s">
        <v>951</v>
      </c>
    </row>
    <row r="3334" spans="1:6" ht="13" x14ac:dyDescent="0.3">
      <c r="A3334" s="21" t="str">
        <f>CONCATENATE("sql where a.client = '",$D$172,"' and a.period between '",LEFT($D$170,4),"00' and '",LEFT($D$171,4),"14' and a.version like '%ORIG%'")</f>
        <v>sql where a.client = 'OX' and a.period between '202500' and '202514' and a.version like '%ORIG%'</v>
      </c>
    </row>
    <row r="3335" spans="1:6" x14ac:dyDescent="0.25">
      <c r="A3335" t="s">
        <v>952</v>
      </c>
    </row>
    <row r="3336" spans="1:6" x14ac:dyDescent="0.25">
      <c r="A3336" t="s">
        <v>953</v>
      </c>
    </row>
    <row r="3337" spans="1:6" x14ac:dyDescent="0.25">
      <c r="A3337" t="s">
        <v>954</v>
      </c>
    </row>
    <row r="3338" spans="1:6" ht="13" x14ac:dyDescent="0.3">
      <c r="A3338" s="20" t="s">
        <v>955</v>
      </c>
    </row>
    <row r="3339" spans="1:6" x14ac:dyDescent="0.25">
      <c r="A3339" s="7" t="s">
        <v>956</v>
      </c>
    </row>
    <row r="3340" spans="1:6" x14ac:dyDescent="0.25">
      <c r="A3340" t="s">
        <v>950</v>
      </c>
    </row>
    <row r="3341" spans="1:6" x14ac:dyDescent="0.25">
      <c r="A3341" t="s">
        <v>951</v>
      </c>
    </row>
    <row r="3342" spans="1:6" ht="14.5" x14ac:dyDescent="0.35">
      <c r="A3342"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342" s="2"/>
    </row>
    <row r="3343" spans="1:6" x14ac:dyDescent="0.25">
      <c r="A3343" t="s">
        <v>952</v>
      </c>
    </row>
    <row r="3344" spans="1:6" x14ac:dyDescent="0.25">
      <c r="A3344" t="s">
        <v>953</v>
      </c>
    </row>
    <row r="3345" spans="1:1" x14ac:dyDescent="0.25">
      <c r="A3345" t="s">
        <v>954</v>
      </c>
    </row>
    <row r="3346" spans="1:1" ht="13" x14ac:dyDescent="0.3">
      <c r="A3346" s="66" t="s">
        <v>957</v>
      </c>
    </row>
    <row r="3347" spans="1:1" x14ac:dyDescent="0.25">
      <c r="A3347" t="s">
        <v>958</v>
      </c>
    </row>
    <row r="3348" spans="1:1" x14ac:dyDescent="0.25">
      <c r="A3348" t="s">
        <v>950</v>
      </c>
    </row>
    <row r="3349" spans="1:1" ht="13" x14ac:dyDescent="0.3">
      <c r="A334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350" spans="1:1" ht="13" x14ac:dyDescent="0.3">
      <c r="A3350" s="21" t="s">
        <v>959</v>
      </c>
    </row>
    <row r="3351" spans="1:1" x14ac:dyDescent="0.25">
      <c r="A3351" t="s">
        <v>960</v>
      </c>
    </row>
    <row r="3352" spans="1:1" x14ac:dyDescent="0.25">
      <c r="A3352" t="s">
        <v>961</v>
      </c>
    </row>
    <row r="3353" spans="1:1" x14ac:dyDescent="0.25">
      <c r="A3353" t="str">
        <f>CONCATENATE("sql left outer join acrtrees t on t.client = x.client and x.dim_1 = t.cat_1 and t.att_agrid = '",$F$159,"'")</f>
        <v>sql left outer join acrtrees t on t.client = x.client and x.dim_1 = t.cat_1 and t.att_agrid = '53'</v>
      </c>
    </row>
    <row r="3354" spans="1:1" ht="13" x14ac:dyDescent="0.3">
      <c r="A335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355" spans="1:1" ht="13" x14ac:dyDescent="0.3">
      <c r="A3355" s="21" t="s">
        <v>962</v>
      </c>
    </row>
    <row r="3356" spans="1:1" ht="13" x14ac:dyDescent="0.3">
      <c r="A3356"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357" spans="1:1" ht="13" x14ac:dyDescent="0.3">
      <c r="A3357" s="21" t="s">
        <v>963</v>
      </c>
    </row>
    <row r="3358" spans="1:1" x14ac:dyDescent="0.25">
      <c r="A3358" t="s">
        <v>964</v>
      </c>
    </row>
    <row r="3359" spans="1:1" x14ac:dyDescent="0.25">
      <c r="A3359" t="s">
        <v>965</v>
      </c>
    </row>
    <row r="3360" spans="1:1" x14ac:dyDescent="0.25">
      <c r="A3360" t="s">
        <v>966</v>
      </c>
    </row>
    <row r="3361" spans="1:1" x14ac:dyDescent="0.25">
      <c r="A3361" t="s">
        <v>953</v>
      </c>
    </row>
    <row r="3362" spans="1:1" x14ac:dyDescent="0.25">
      <c r="A3362" t="s">
        <v>954</v>
      </c>
    </row>
    <row r="3363" spans="1:1" ht="13" x14ac:dyDescent="0.3">
      <c r="A3363" s="66" t="s">
        <v>967</v>
      </c>
    </row>
    <row r="3364" spans="1:1" x14ac:dyDescent="0.25">
      <c r="A3364" t="s">
        <v>968</v>
      </c>
    </row>
    <row r="3365" spans="1:1" x14ac:dyDescent="0.25">
      <c r="A3365" t="s">
        <v>950</v>
      </c>
    </row>
    <row r="3366" spans="1:1" ht="13" x14ac:dyDescent="0.3">
      <c r="A336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367" spans="1:1" ht="13" x14ac:dyDescent="0.3">
      <c r="A3367" s="21" t="s">
        <v>969</v>
      </c>
    </row>
    <row r="3368" spans="1:1" ht="13" x14ac:dyDescent="0.3">
      <c r="A3368" s="21" t="s">
        <v>959</v>
      </c>
    </row>
    <row r="3369" spans="1:1" x14ac:dyDescent="0.25">
      <c r="A3369" t="s">
        <v>960</v>
      </c>
    </row>
    <row r="3370" spans="1:1" x14ac:dyDescent="0.25">
      <c r="A3370" t="s">
        <v>961</v>
      </c>
    </row>
    <row r="3371" spans="1:1" x14ac:dyDescent="0.25">
      <c r="A3371" t="str">
        <f>CONCATENATE("sql left outer join acrtrees t on t.client = x.client and x.dim_1 = t.cat_1 and t.att_agrid = '",$F$159,"'")</f>
        <v>sql left outer join acrtrees t on t.client = x.client and x.dim_1 = t.cat_1 and t.att_agrid = '53'</v>
      </c>
    </row>
    <row r="3372" spans="1:1" ht="13" x14ac:dyDescent="0.3">
      <c r="A337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373" spans="1:1" ht="13" x14ac:dyDescent="0.3">
      <c r="A3373" s="21" t="s">
        <v>970</v>
      </c>
    </row>
    <row r="3374" spans="1:1" ht="13" x14ac:dyDescent="0.3">
      <c r="A3374" s="21" t="s">
        <v>962</v>
      </c>
    </row>
    <row r="3375" spans="1:1" ht="13" x14ac:dyDescent="0.3">
      <c r="A3375"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376" spans="1:1" ht="13" x14ac:dyDescent="0.3">
      <c r="A3376" s="21" t="s">
        <v>970</v>
      </c>
    </row>
    <row r="3377" spans="1:1" ht="13" x14ac:dyDescent="0.3">
      <c r="A3377" s="21" t="s">
        <v>963</v>
      </c>
    </row>
    <row r="3378" spans="1:1" x14ac:dyDescent="0.25">
      <c r="A3378" t="s">
        <v>964</v>
      </c>
    </row>
    <row r="3379" spans="1:1" x14ac:dyDescent="0.25">
      <c r="A3379" t="s">
        <v>965</v>
      </c>
    </row>
    <row r="3380" spans="1:1" x14ac:dyDescent="0.25">
      <c r="A3380" t="s">
        <v>966</v>
      </c>
    </row>
    <row r="3381" spans="1:1" x14ac:dyDescent="0.25">
      <c r="A3381" t="s">
        <v>953</v>
      </c>
    </row>
    <row r="3382" spans="1:1" x14ac:dyDescent="0.25">
      <c r="A3382" t="s">
        <v>954</v>
      </c>
    </row>
    <row r="3383" spans="1:1" ht="13" x14ac:dyDescent="0.3">
      <c r="A3383" s="66" t="s">
        <v>971</v>
      </c>
    </row>
    <row r="3384" spans="1:1" x14ac:dyDescent="0.25">
      <c r="A3384" t="s">
        <v>972</v>
      </c>
    </row>
    <row r="3385" spans="1:1" x14ac:dyDescent="0.25">
      <c r="A3385" t="s">
        <v>950</v>
      </c>
    </row>
    <row r="3386" spans="1:1" ht="13" x14ac:dyDescent="0.3">
      <c r="A338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387" spans="1:1" ht="13" x14ac:dyDescent="0.3">
      <c r="A3387" s="21" t="s">
        <v>959</v>
      </c>
    </row>
    <row r="3388" spans="1:1" x14ac:dyDescent="0.25">
      <c r="A3388" t="s">
        <v>960</v>
      </c>
    </row>
    <row r="3389" spans="1:1" x14ac:dyDescent="0.25">
      <c r="A3389" t="s">
        <v>961</v>
      </c>
    </row>
    <row r="3390" spans="1:1" x14ac:dyDescent="0.25">
      <c r="A3390" t="str">
        <f>CONCATENATE("sql left outer join acrtrees t on t.client = x.client and x.dim_1 = t.cat_1 and t.att_agrid = '",$F$159,"'")</f>
        <v>sql left outer join acrtrees t on t.client = x.client and x.dim_1 = t.cat_1 and t.att_agrid = '53'</v>
      </c>
    </row>
    <row r="3391" spans="1:1" ht="13" x14ac:dyDescent="0.3">
      <c r="A339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392" spans="1:1" ht="13" x14ac:dyDescent="0.3">
      <c r="A3392" s="21" t="s">
        <v>973</v>
      </c>
    </row>
    <row r="3393" spans="1:1" x14ac:dyDescent="0.25">
      <c r="A3393" t="s">
        <v>964</v>
      </c>
    </row>
    <row r="3394" spans="1:1" x14ac:dyDescent="0.25">
      <c r="A3394" t="s">
        <v>965</v>
      </c>
    </row>
    <row r="3395" spans="1:1" x14ac:dyDescent="0.25">
      <c r="A3395" t="s">
        <v>966</v>
      </c>
    </row>
    <row r="3396" spans="1:1" x14ac:dyDescent="0.25">
      <c r="A3396" t="s">
        <v>953</v>
      </c>
    </row>
    <row r="3397" spans="1:1" x14ac:dyDescent="0.25">
      <c r="A3397" t="s">
        <v>954</v>
      </c>
    </row>
    <row r="3398" spans="1:1" ht="13" x14ac:dyDescent="0.3">
      <c r="A3398" s="66" t="s">
        <v>974</v>
      </c>
    </row>
    <row r="3399" spans="1:1" x14ac:dyDescent="0.25">
      <c r="A3399" t="s">
        <v>975</v>
      </c>
    </row>
    <row r="3400" spans="1:1" x14ac:dyDescent="0.25">
      <c r="A3400" t="s">
        <v>950</v>
      </c>
    </row>
    <row r="3401" spans="1:1" ht="13" x14ac:dyDescent="0.3">
      <c r="A340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402" spans="1:1" ht="13" x14ac:dyDescent="0.3">
      <c r="A3402" s="21" t="s">
        <v>959</v>
      </c>
    </row>
    <row r="3403" spans="1:1" x14ac:dyDescent="0.25">
      <c r="A3403" t="s">
        <v>960</v>
      </c>
    </row>
    <row r="3404" spans="1:1" x14ac:dyDescent="0.25">
      <c r="A3404" t="s">
        <v>961</v>
      </c>
    </row>
    <row r="3405" spans="1:1" x14ac:dyDescent="0.25">
      <c r="A3405" t="str">
        <f>CONCATENATE("sql left outer join acrtrees t on t.client = x.client and x.dim_1 = t.cat_1 and t.att_agrid = '",$F$159,"'")</f>
        <v>sql left outer join acrtrees t on t.client = x.client and x.dim_1 = t.cat_1 and t.att_agrid = '53'</v>
      </c>
    </row>
    <row r="3406" spans="1:1" ht="13" x14ac:dyDescent="0.3">
      <c r="A340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407" spans="1:1" ht="13" x14ac:dyDescent="0.3">
      <c r="A3407" s="21" t="s">
        <v>973</v>
      </c>
    </row>
    <row r="3408" spans="1:1" x14ac:dyDescent="0.25">
      <c r="A3408" t="s">
        <v>964</v>
      </c>
    </row>
    <row r="3409" spans="1:1" x14ac:dyDescent="0.25">
      <c r="A3409" t="s">
        <v>965</v>
      </c>
    </row>
    <row r="3410" spans="1:1" x14ac:dyDescent="0.25">
      <c r="A3410" t="s">
        <v>966</v>
      </c>
    </row>
    <row r="3411" spans="1:1" x14ac:dyDescent="0.25">
      <c r="A3411" t="s">
        <v>953</v>
      </c>
    </row>
    <row r="3412" spans="1:1" x14ac:dyDescent="0.25">
      <c r="A3412" t="s">
        <v>954</v>
      </c>
    </row>
    <row r="3413" spans="1:1" ht="13" x14ac:dyDescent="0.3">
      <c r="A3413" s="66" t="s">
        <v>976</v>
      </c>
    </row>
    <row r="3414" spans="1:1" x14ac:dyDescent="0.25">
      <c r="A3414" t="s">
        <v>977</v>
      </c>
    </row>
    <row r="3415" spans="1:1" x14ac:dyDescent="0.25">
      <c r="A3415" t="s">
        <v>950</v>
      </c>
    </row>
    <row r="3416" spans="1:1" ht="13" x14ac:dyDescent="0.3">
      <c r="A341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417" spans="1:1" ht="13" x14ac:dyDescent="0.3">
      <c r="A3417" s="21" t="s">
        <v>959</v>
      </c>
    </row>
    <row r="3418" spans="1:1" x14ac:dyDescent="0.25">
      <c r="A3418" t="s">
        <v>960</v>
      </c>
    </row>
    <row r="3419" spans="1:1" x14ac:dyDescent="0.25">
      <c r="A3419" t="s">
        <v>961</v>
      </c>
    </row>
    <row r="3420" spans="1:1" x14ac:dyDescent="0.25">
      <c r="A3420" t="str">
        <f>CONCATENATE("sql left outer join acrtrees t on t.client = x.client and x.dim_1 = t.cat_1 and t.att_agrid = '",$F$159,"'")</f>
        <v>sql left outer join acrtrees t on t.client = x.client and x.dim_1 = t.cat_1 and t.att_agrid = '53'</v>
      </c>
    </row>
    <row r="3421" spans="1:1" ht="13" x14ac:dyDescent="0.3">
      <c r="A342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422" spans="1:1" ht="13" x14ac:dyDescent="0.3">
      <c r="A3422" s="21" t="s">
        <v>978</v>
      </c>
    </row>
    <row r="3423" spans="1:1" x14ac:dyDescent="0.25">
      <c r="A3423" t="s">
        <v>979</v>
      </c>
    </row>
    <row r="3424" spans="1:1" x14ac:dyDescent="0.25">
      <c r="A3424" t="s">
        <v>980</v>
      </c>
    </row>
    <row r="3425" spans="1:1" x14ac:dyDescent="0.25">
      <c r="A3425" t="s">
        <v>966</v>
      </c>
    </row>
    <row r="3426" spans="1:1" x14ac:dyDescent="0.25">
      <c r="A3426" t="s">
        <v>953</v>
      </c>
    </row>
    <row r="3427" spans="1:1" x14ac:dyDescent="0.25">
      <c r="A3427" t="s">
        <v>954</v>
      </c>
    </row>
    <row r="3428" spans="1:1" ht="13" x14ac:dyDescent="0.3">
      <c r="A3428" s="66" t="s">
        <v>981</v>
      </c>
    </row>
    <row r="3429" spans="1:1" x14ac:dyDescent="0.25">
      <c r="A3429" t="s">
        <v>982</v>
      </c>
    </row>
    <row r="3430" spans="1:1" x14ac:dyDescent="0.25">
      <c r="A3430" t="s">
        <v>950</v>
      </c>
    </row>
    <row r="3431" spans="1:1" ht="13" x14ac:dyDescent="0.3">
      <c r="A343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432" spans="1:1" ht="13" x14ac:dyDescent="0.3">
      <c r="A3432" s="21" t="s">
        <v>969</v>
      </c>
    </row>
    <row r="3433" spans="1:1" ht="13" x14ac:dyDescent="0.3">
      <c r="A3433" s="21" t="s">
        <v>959</v>
      </c>
    </row>
    <row r="3434" spans="1:1" x14ac:dyDescent="0.25">
      <c r="A3434" t="s">
        <v>960</v>
      </c>
    </row>
    <row r="3435" spans="1:1" x14ac:dyDescent="0.25">
      <c r="A3435" t="s">
        <v>961</v>
      </c>
    </row>
    <row r="3436" spans="1:1" x14ac:dyDescent="0.25">
      <c r="A3436" t="str">
        <f>CONCATENATE("sql left outer join acrtrees t on t.client = x.client and x.dim_1 = t.cat_1 and t.att_agrid = '",$F$159,"'")</f>
        <v>sql left outer join acrtrees t on t.client = x.client and x.dim_1 = t.cat_1 and t.att_agrid = '53'</v>
      </c>
    </row>
    <row r="3437" spans="1:1" ht="13" x14ac:dyDescent="0.3">
      <c r="A343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438" spans="1:1" ht="13" x14ac:dyDescent="0.3">
      <c r="A3438" s="21" t="s">
        <v>970</v>
      </c>
    </row>
    <row r="3439" spans="1:1" ht="13" x14ac:dyDescent="0.3">
      <c r="A3439" s="21" t="s">
        <v>978</v>
      </c>
    </row>
    <row r="3440" spans="1:1" x14ac:dyDescent="0.25">
      <c r="A3440" t="s">
        <v>979</v>
      </c>
    </row>
    <row r="3441" spans="1:3" x14ac:dyDescent="0.25">
      <c r="A3441" t="s">
        <v>980</v>
      </c>
    </row>
    <row r="3442" spans="1:3" x14ac:dyDescent="0.25">
      <c r="A3442" t="s">
        <v>966</v>
      </c>
    </row>
    <row r="3443" spans="1:3" x14ac:dyDescent="0.25">
      <c r="A3443" t="s">
        <v>953</v>
      </c>
    </row>
    <row r="3444" spans="1:3" x14ac:dyDescent="0.25">
      <c r="A3444" t="s">
        <v>954</v>
      </c>
    </row>
    <row r="3445" spans="1:3" ht="13" x14ac:dyDescent="0.3">
      <c r="A3445" s="20" t="s">
        <v>983</v>
      </c>
    </row>
    <row r="3446" spans="1:3" x14ac:dyDescent="0.25">
      <c r="A3446" s="7" t="s">
        <v>984</v>
      </c>
    </row>
    <row r="3447" spans="1:3" x14ac:dyDescent="0.25">
      <c r="A3447" t="s">
        <v>950</v>
      </c>
    </row>
    <row r="3448" spans="1:3" x14ac:dyDescent="0.25">
      <c r="A3448" t="s">
        <v>951</v>
      </c>
    </row>
    <row r="3449" spans="1:3" ht="14.5" x14ac:dyDescent="0.35">
      <c r="A3449"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449" s="2"/>
    </row>
    <row r="3450" spans="1:3" x14ac:dyDescent="0.25">
      <c r="A3450" t="s">
        <v>952</v>
      </c>
    </row>
    <row r="3451" spans="1:3" x14ac:dyDescent="0.25">
      <c r="A3451" t="s">
        <v>953</v>
      </c>
    </row>
    <row r="3452" spans="1:3" x14ac:dyDescent="0.25">
      <c r="A3452" t="s">
        <v>954</v>
      </c>
    </row>
    <row r="3453" spans="1:3" ht="13" x14ac:dyDescent="0.3">
      <c r="A3453" s="20" t="s">
        <v>985</v>
      </c>
    </row>
    <row r="3454" spans="1:3" x14ac:dyDescent="0.25">
      <c r="A3454" s="7" t="s">
        <v>986</v>
      </c>
    </row>
    <row r="3455" spans="1:3" x14ac:dyDescent="0.25">
      <c r="A3455" t="s">
        <v>987</v>
      </c>
    </row>
    <row r="3456" spans="1:3" ht="13" x14ac:dyDescent="0.3">
      <c r="A3456" s="21" t="str">
        <f>CONCATENATE("sql where a.client = '",$D$172,"' and a.period between '",LEFT($D$170,4),"00' and '",IF(RIGHT($D$171,2)="12",CONCATENATE(LEFT($D$171,4),"14"),$D$171),"'")</f>
        <v>sql where a.client = 'OX' and a.period between '202500' and '202506'</v>
      </c>
    </row>
    <row r="3457" spans="1:1" x14ac:dyDescent="0.25">
      <c r="A3457" t="s">
        <v>952</v>
      </c>
    </row>
    <row r="3458" spans="1:1" x14ac:dyDescent="0.25">
      <c r="A3458" t="s">
        <v>953</v>
      </c>
    </row>
    <row r="3459" spans="1:1" x14ac:dyDescent="0.25">
      <c r="A3459" t="s">
        <v>954</v>
      </c>
    </row>
    <row r="3460" spans="1:1" ht="13" x14ac:dyDescent="0.3">
      <c r="A3460" s="20" t="s">
        <v>988</v>
      </c>
    </row>
    <row r="3461" spans="1:1" x14ac:dyDescent="0.25">
      <c r="A3461" s="7" t="s">
        <v>989</v>
      </c>
    </row>
    <row r="3462" spans="1:1" x14ac:dyDescent="0.25">
      <c r="A3462" t="s">
        <v>950</v>
      </c>
    </row>
    <row r="3463" spans="1:1" x14ac:dyDescent="0.25">
      <c r="A3463" t="s">
        <v>951</v>
      </c>
    </row>
    <row r="3464" spans="1:1" ht="13" x14ac:dyDescent="0.3">
      <c r="A3464"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465" spans="1:1" x14ac:dyDescent="0.25">
      <c r="A3465" t="s">
        <v>952</v>
      </c>
    </row>
    <row r="3466" spans="1:1" x14ac:dyDescent="0.25">
      <c r="A3466" t="s">
        <v>953</v>
      </c>
    </row>
    <row r="3467" spans="1:1" x14ac:dyDescent="0.25">
      <c r="A3467" t="s">
        <v>954</v>
      </c>
    </row>
    <row r="3468" spans="1:1" ht="13" x14ac:dyDescent="0.3">
      <c r="A3468" s="20" t="s">
        <v>990</v>
      </c>
    </row>
    <row r="3469" spans="1:1" x14ac:dyDescent="0.25">
      <c r="A3469" s="7" t="s">
        <v>991</v>
      </c>
    </row>
    <row r="3470" spans="1:1" x14ac:dyDescent="0.25">
      <c r="A3470" t="s">
        <v>950</v>
      </c>
    </row>
    <row r="3471" spans="1:1" x14ac:dyDescent="0.25">
      <c r="A3471" t="s">
        <v>951</v>
      </c>
    </row>
    <row r="3472" spans="1:1" ht="13" x14ac:dyDescent="0.3">
      <c r="A347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473" spans="1:1" x14ac:dyDescent="0.25">
      <c r="A3473" t="s">
        <v>952</v>
      </c>
    </row>
    <row r="3474" spans="1:1" x14ac:dyDescent="0.25">
      <c r="A3474" t="s">
        <v>953</v>
      </c>
    </row>
    <row r="3475" spans="1:1" x14ac:dyDescent="0.25">
      <c r="A3475" t="s">
        <v>954</v>
      </c>
    </row>
    <row r="3476" spans="1:1" ht="13" x14ac:dyDescent="0.3">
      <c r="A3476" s="20" t="s">
        <v>992</v>
      </c>
    </row>
    <row r="3477" spans="1:1" x14ac:dyDescent="0.25">
      <c r="A3477" s="7" t="s">
        <v>993</v>
      </c>
    </row>
    <row r="3478" spans="1:1" x14ac:dyDescent="0.25">
      <c r="A3478" t="s">
        <v>950</v>
      </c>
    </row>
    <row r="3479" spans="1:1" x14ac:dyDescent="0.25">
      <c r="A3479" t="s">
        <v>951</v>
      </c>
    </row>
    <row r="3480" spans="1:1" ht="13" x14ac:dyDescent="0.3">
      <c r="A348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481" spans="1:1" x14ac:dyDescent="0.25">
      <c r="A3481" t="s">
        <v>952</v>
      </c>
    </row>
    <row r="3482" spans="1:1" x14ac:dyDescent="0.25">
      <c r="A3482" t="s">
        <v>953</v>
      </c>
    </row>
    <row r="3483" spans="1:1" x14ac:dyDescent="0.25">
      <c r="A3483" t="s">
        <v>994</v>
      </c>
    </row>
    <row r="3484" spans="1:1" x14ac:dyDescent="0.25">
      <c r="A3484" t="str">
        <f>CONCATENATE("sql left outer join acrtrees t on t.client = u.client and u.dim_1 = t.cat_1 and t.att_agrid = '",$F$159,"'")</f>
        <v>sql left outer join acrtrees t on t.client = u.client and u.dim_1 = t.cat_1 and t.att_agrid = '53'</v>
      </c>
    </row>
    <row r="3485" spans="1:1" x14ac:dyDescent="0.25">
      <c r="A3485" t="str">
        <f>CONCATENATE("sql left outer join acrtrees s on s.client = u.client and u.account = s.cat_1 and s.att_agrid = '",$F$160,"'")</f>
        <v>sql left outer join acrtrees s on s.client = u.client and u.account = s.cat_1 and s.att_agrid = '14'</v>
      </c>
    </row>
    <row r="3486" spans="1:1" x14ac:dyDescent="0.25">
      <c r="A3486" t="str">
        <f>CONCATENATE("sql left outer join acrtrees v on v.client = u.client and u.account = v.cat_1 and v.att_agrid = '",$F$161,"'")</f>
        <v>sql left outer join acrtrees v on v.client = u.client and u.account = v.cat_1 and v.att_agrid = '17'</v>
      </c>
    </row>
    <row r="3487" spans="1:1" x14ac:dyDescent="0.25">
      <c r="A3487" t="str">
        <f>CONCATENATE("sql left outer join agldescription d on d.client = u.client and d.dim_value = t.dim_c and d.attribute_id = '",$F$162,"'")</f>
        <v>sql left outer join agldescription d on d.client = u.client and d.dim_value = t.dim_c and d.attribute_id = '82'</v>
      </c>
    </row>
    <row r="3488" spans="1:1" x14ac:dyDescent="0.25">
      <c r="A3488" t="str">
        <f>CONCATENATE("sql left outer join agldescription e on e.client = u.client and e.dim_value = t.dim_b and e.attribute_id = '",$F$163,"'")</f>
        <v>sql left outer join agldescription e on e.client = u.client and e.dim_value = t.dim_b and e.attribute_id = '81'</v>
      </c>
    </row>
    <row r="3489" spans="1:33" x14ac:dyDescent="0.25">
      <c r="A3489" t="str">
        <f>CONCATENATE("sql left outer join agldescription f on f.client = u.client and f.dim_value = t.dim_e and f.attribute_id = '",$F$164,"'")</f>
        <v>sql left outer join agldescription f on f.client = u.client and f.dim_value = t.dim_e and f.attribute_id = '80'</v>
      </c>
    </row>
    <row r="3490" spans="1:33" x14ac:dyDescent="0.25">
      <c r="A3490" t="str">
        <f>CONCATENATE("sql left outer join agldescription g on g.client = u.client and g.dim_value = u.account and g.attribute_id = '",$F$165,"'")</f>
        <v>sql left outer join agldescription g on g.client = u.client and g.dim_value = u.account and g.attribute_id = 'A0'</v>
      </c>
    </row>
    <row r="3491" spans="1:33" ht="14.5" x14ac:dyDescent="0.35">
      <c r="A3491" s="67" t="s">
        <v>1072</v>
      </c>
      <c r="G3491" s="737" t="s">
        <v>1073</v>
      </c>
    </row>
    <row r="3492" spans="1:33" x14ac:dyDescent="0.25">
      <c r="A3492" t="s">
        <v>1005</v>
      </c>
    </row>
    <row r="3493" spans="1:33" x14ac:dyDescent="0.25">
      <c r="A3493" t="s">
        <v>1006</v>
      </c>
    </row>
    <row r="3494" spans="1:33" x14ac:dyDescent="0.25">
      <c r="A3494" t="s">
        <v>1007</v>
      </c>
    </row>
    <row r="3495" spans="1:33" ht="13" x14ac:dyDescent="0.3">
      <c r="A3495" t="s">
        <v>1012</v>
      </c>
      <c r="C3495" s="29"/>
      <c r="D3495" s="36">
        <v>1000</v>
      </c>
      <c r="E3495" s="36">
        <v>1000</v>
      </c>
      <c r="F3495" s="22">
        <v>1000</v>
      </c>
      <c r="G3495" s="22">
        <v>1000</v>
      </c>
      <c r="H3495" s="22">
        <v>1000</v>
      </c>
      <c r="I3495" s="22">
        <v>1000</v>
      </c>
      <c r="J3495" s="22">
        <v>1000</v>
      </c>
      <c r="K3495" s="22">
        <v>1000</v>
      </c>
      <c r="L3495" s="22"/>
      <c r="M3495" s="36"/>
      <c r="N3495" s="36"/>
      <c r="O3495" s="36">
        <v>1000</v>
      </c>
      <c r="P3495" s="36">
        <v>1000</v>
      </c>
      <c r="Q3495" s="36">
        <v>1000</v>
      </c>
      <c r="R3495" s="36">
        <v>1000</v>
      </c>
      <c r="S3495" s="36">
        <v>1000</v>
      </c>
      <c r="T3495" s="36"/>
      <c r="U3495" s="36"/>
      <c r="V3495" s="58"/>
      <c r="W3495" s="36">
        <v>1000</v>
      </c>
      <c r="X3495" s="36">
        <v>1000</v>
      </c>
      <c r="Y3495" s="36"/>
      <c r="Z3495" s="36"/>
      <c r="AA3495" s="40"/>
      <c r="AB3495" s="60"/>
      <c r="AC3495" s="98"/>
      <c r="AD3495" s="36"/>
      <c r="AE3495" s="36"/>
      <c r="AF3495" s="36"/>
      <c r="AG3495" s="99"/>
    </row>
    <row r="3496" spans="1:33" ht="13" x14ac:dyDescent="0.3">
      <c r="A3496" s="7" t="s">
        <v>1013</v>
      </c>
      <c r="C3496" s="29"/>
      <c r="D3496" s="36">
        <v>0</v>
      </c>
      <c r="E3496" s="36">
        <v>0</v>
      </c>
      <c r="F3496" s="22">
        <v>0</v>
      </c>
      <c r="G3496" s="22">
        <v>0</v>
      </c>
      <c r="H3496" s="22">
        <v>0</v>
      </c>
      <c r="I3496" s="22">
        <v>0</v>
      </c>
      <c r="J3496" s="22">
        <v>0</v>
      </c>
      <c r="K3496" s="22">
        <v>0</v>
      </c>
      <c r="L3496" s="22"/>
      <c r="M3496" s="36"/>
      <c r="N3496" s="36"/>
      <c r="O3496" s="36">
        <v>0</v>
      </c>
      <c r="P3496" s="36">
        <v>0</v>
      </c>
      <c r="Q3496" s="36">
        <v>0</v>
      </c>
      <c r="R3496" s="36">
        <v>0</v>
      </c>
      <c r="S3496" s="36">
        <v>0</v>
      </c>
      <c r="T3496" s="36"/>
      <c r="U3496" s="36"/>
      <c r="V3496" s="58"/>
      <c r="W3496" s="36">
        <v>0</v>
      </c>
      <c r="X3496" s="36">
        <v>0</v>
      </c>
      <c r="Y3496" s="36"/>
      <c r="Z3496" s="36"/>
      <c r="AA3496" s="40"/>
      <c r="AB3496" s="60"/>
      <c r="AC3496" s="98"/>
      <c r="AD3496" s="36"/>
      <c r="AE3496" s="36"/>
      <c r="AF3496" s="36"/>
      <c r="AG3496" s="99"/>
    </row>
    <row r="3497" spans="1:33" ht="13" x14ac:dyDescent="0.3">
      <c r="A3497" t="s">
        <v>1014</v>
      </c>
      <c r="C3497" s="30"/>
      <c r="D3497" s="36"/>
      <c r="E3497" s="36"/>
      <c r="F3497" s="57"/>
      <c r="G3497" s="57"/>
      <c r="H3497" s="57"/>
      <c r="I3497" s="57"/>
      <c r="J3497" s="57"/>
      <c r="K3497" s="57"/>
      <c r="L3497" s="57"/>
      <c r="M3497" s="36"/>
      <c r="N3497" s="36"/>
      <c r="O3497" s="36"/>
      <c r="P3497" s="36" t="s">
        <v>1015</v>
      </c>
      <c r="Q3497" s="36" t="s">
        <v>1016</v>
      </c>
      <c r="R3497" s="36"/>
      <c r="S3497" s="36"/>
      <c r="T3497" s="36"/>
      <c r="U3497" s="36"/>
      <c r="V3497" s="58"/>
      <c r="W3497" s="36"/>
      <c r="X3497" s="36"/>
      <c r="Y3497" s="36"/>
      <c r="Z3497" s="36"/>
      <c r="AA3497" s="40"/>
      <c r="AB3497" s="60"/>
      <c r="AC3497" s="98"/>
      <c r="AD3497" s="36"/>
      <c r="AE3497" s="36"/>
      <c r="AF3497" s="36"/>
      <c r="AG3497" s="99"/>
    </row>
    <row r="3498" spans="1:33" ht="13" x14ac:dyDescent="0.3">
      <c r="A3498" t="s">
        <v>1017</v>
      </c>
      <c r="C3498" s="79" t="s">
        <v>1018</v>
      </c>
      <c r="D3498" s="36" t="s">
        <v>1019</v>
      </c>
      <c r="E3498" s="36" t="s">
        <v>1020</v>
      </c>
      <c r="F3498" s="22" t="s">
        <v>1021</v>
      </c>
      <c r="G3498" s="22" t="s">
        <v>1022</v>
      </c>
      <c r="H3498" s="22" t="s">
        <v>1023</v>
      </c>
      <c r="I3498" s="22" t="s">
        <v>1024</v>
      </c>
      <c r="J3498" s="22" t="s">
        <v>1025</v>
      </c>
      <c r="K3498" s="22" t="s">
        <v>1026</v>
      </c>
      <c r="L3498" s="22"/>
      <c r="M3498" s="36"/>
      <c r="N3498" s="36"/>
      <c r="O3498" s="36" t="s">
        <v>1027</v>
      </c>
      <c r="P3498" s="36" t="s">
        <v>1028</v>
      </c>
      <c r="Q3498" s="36" t="s">
        <v>1028</v>
      </c>
      <c r="R3498" s="36" t="s">
        <v>1028</v>
      </c>
      <c r="S3498" s="36" t="s">
        <v>1029</v>
      </c>
      <c r="T3498" s="36"/>
      <c r="U3498" s="36"/>
      <c r="V3498" s="58"/>
      <c r="W3498" s="36" t="s">
        <v>1030</v>
      </c>
      <c r="X3498" s="36" t="s">
        <v>1031</v>
      </c>
      <c r="Y3498" s="36"/>
      <c r="Z3498" s="36"/>
      <c r="AA3498" s="40"/>
      <c r="AB3498" s="60"/>
      <c r="AC3498" s="98"/>
      <c r="AD3498" s="36"/>
      <c r="AE3498" s="36"/>
      <c r="AF3498" s="36"/>
      <c r="AG3498" s="99"/>
    </row>
    <row r="3499" spans="1:33" ht="13" x14ac:dyDescent="0.3">
      <c r="C3499" s="78" t="s">
        <v>136</v>
      </c>
      <c r="D3499" s="34">
        <f t="shared" ref="D3499:K3499" si="4">SUM(D3500:D3502,D3675:D3677)</f>
        <v>0</v>
      </c>
      <c r="E3499" s="34">
        <f t="shared" si="4"/>
        <v>0</v>
      </c>
      <c r="F3499" s="24">
        <f t="shared" si="4"/>
        <v>0</v>
      </c>
      <c r="G3499" s="24">
        <f t="shared" si="4"/>
        <v>0</v>
      </c>
      <c r="H3499" s="24">
        <f t="shared" si="4"/>
        <v>0</v>
      </c>
      <c r="I3499" s="24">
        <f t="shared" si="4"/>
        <v>0</v>
      </c>
      <c r="J3499" s="24">
        <f t="shared" si="4"/>
        <v>0</v>
      </c>
      <c r="K3499" s="24">
        <f t="shared" si="4"/>
        <v>0</v>
      </c>
      <c r="L3499" s="24">
        <f>SUM(L3500:L3677)</f>
        <v>0</v>
      </c>
      <c r="M3499" s="34">
        <f>O3499-E3499</f>
        <v>0</v>
      </c>
      <c r="N3499" s="34">
        <f>O3499-D3499</f>
        <v>0</v>
      </c>
      <c r="O3499" s="34">
        <f>SUM(O3500:O3502,O3675:O3677)</f>
        <v>0</v>
      </c>
      <c r="P3499" s="34">
        <f>SUM(P3500:P3502,P3675:P3677)</f>
        <v>0</v>
      </c>
      <c r="Q3499" s="34">
        <f>SUM(Q3500:Q3502,Q3675:Q3677)</f>
        <v>0</v>
      </c>
      <c r="R3499" s="34">
        <f>SUM(R3500:R3502,R3675:R3677)</f>
        <v>0</v>
      </c>
      <c r="S3499" s="34">
        <f>SUM(S3500:S3502,S3675:S3677)</f>
        <v>0</v>
      </c>
      <c r="T3499" s="34">
        <f>R3499-S3499</f>
        <v>0</v>
      </c>
      <c r="U3499" s="94" t="str">
        <f>IFERROR((R3499/O3499)*100%,"∞")</f>
        <v>∞</v>
      </c>
      <c r="V3499" s="95">
        <f>O3499+W3499</f>
        <v>0</v>
      </c>
      <c r="W3499" s="34">
        <f>SUM(W3500:W3502,W3675:W3677)</f>
        <v>0</v>
      </c>
      <c r="X3499" s="34">
        <f>SUM(X3500:X3502,X3675:X3677)</f>
        <v>0</v>
      </c>
      <c r="Y3499" s="34"/>
      <c r="Z3499" s="34"/>
      <c r="AA3499" s="41"/>
      <c r="AB3499" s="60"/>
      <c r="AC3499" s="100">
        <f>SUM(AC3500:AC3502,AC3675:AC3677)</f>
        <v>0</v>
      </c>
      <c r="AD3499" s="33">
        <f>SUM(AD3500:AD3502,AD3675:AD3677)</f>
        <v>0</v>
      </c>
      <c r="AE3499" s="33">
        <f>SUM(AE3500:AE3502,AE3675:AE3677)</f>
        <v>0</v>
      </c>
      <c r="AF3499" s="33">
        <f>SUM(AF3500:AF3502,AF3675:AF3677)</f>
        <v>0</v>
      </c>
      <c r="AG3499" s="101">
        <f>SUM(AG3500:AG3502,AG3675:AG3677)</f>
        <v>0</v>
      </c>
    </row>
    <row r="3500" spans="1:33" ht="13" x14ac:dyDescent="0.3">
      <c r="A3500" t="s">
        <v>232</v>
      </c>
      <c r="C3500" s="78"/>
      <c r="D3500" s="33"/>
      <c r="E3500" s="33"/>
      <c r="F3500" s="23"/>
      <c r="G3500" s="23"/>
      <c r="H3500" s="23"/>
      <c r="I3500" s="23"/>
      <c r="J3500" s="23"/>
      <c r="K3500" s="23"/>
      <c r="L3500" s="23"/>
      <c r="M3500" s="33"/>
      <c r="N3500" s="33"/>
      <c r="O3500" s="33"/>
      <c r="P3500" s="33"/>
      <c r="Q3500" s="33"/>
      <c r="R3500" s="33"/>
      <c r="S3500" s="33"/>
      <c r="T3500" s="33"/>
      <c r="U3500" s="38"/>
      <c r="V3500" s="59"/>
      <c r="W3500" s="33"/>
      <c r="X3500" s="33"/>
      <c r="Y3500" s="33"/>
      <c r="Z3500" s="33"/>
      <c r="AA3500" s="42"/>
      <c r="AB3500" s="60"/>
      <c r="AC3500" s="100"/>
      <c r="AD3500" s="33"/>
      <c r="AE3500" s="33"/>
      <c r="AF3500" s="33"/>
      <c r="AG3500" s="101"/>
    </row>
    <row r="3501" spans="1:33" ht="13" outlineLevel="1" x14ac:dyDescent="0.3">
      <c r="A3501" t="s">
        <v>1033</v>
      </c>
      <c r="C3501" s="79">
        <v>0</v>
      </c>
      <c r="D3501" s="33">
        <v>0</v>
      </c>
      <c r="E3501" s="33">
        <v>0</v>
      </c>
      <c r="F3501" s="23">
        <v>0</v>
      </c>
      <c r="G3501" s="23">
        <v>0</v>
      </c>
      <c r="H3501" s="23">
        <v>0</v>
      </c>
      <c r="I3501" s="23">
        <v>0</v>
      </c>
      <c r="J3501" s="23">
        <v>0</v>
      </c>
      <c r="K3501" s="23">
        <v>0</v>
      </c>
      <c r="L3501" s="23">
        <f>SUM(F3501:K3501)</f>
        <v>0</v>
      </c>
      <c r="M3501" s="33">
        <f>O3501-E3501</f>
        <v>0</v>
      </c>
      <c r="N3501" s="33">
        <f>O3501-D3501</f>
        <v>0</v>
      </c>
      <c r="O3501" s="33">
        <v>0</v>
      </c>
      <c r="P3501" s="33">
        <v>0</v>
      </c>
      <c r="Q3501" s="33">
        <v>0</v>
      </c>
      <c r="R3501" s="33">
        <v>0</v>
      </c>
      <c r="S3501" s="33">
        <v>0</v>
      </c>
      <c r="T3501" s="33">
        <f>R3501-S3501</f>
        <v>0</v>
      </c>
      <c r="U3501" s="38" t="str">
        <f>IFERROR((R3501/O3501)*100%,"∞")</f>
        <v>∞</v>
      </c>
      <c r="V3501" s="59">
        <f>O3501+W3501</f>
        <v>0</v>
      </c>
      <c r="W3501" s="33">
        <v>0</v>
      </c>
      <c r="X3501" s="33">
        <v>0</v>
      </c>
      <c r="Y3501" s="33"/>
      <c r="Z3501" s="33"/>
      <c r="AA3501" s="42"/>
      <c r="AB3501" s="60"/>
      <c r="AC3501" s="105"/>
      <c r="AD3501" s="93"/>
      <c r="AE3501" s="33">
        <f>SUM(AC3501:AD3501)</f>
        <v>0</v>
      </c>
      <c r="AF3501" s="33">
        <f>R3501+AE3501</f>
        <v>0</v>
      </c>
      <c r="AG3501" s="101">
        <f>AF3501-O3501</f>
        <v>0</v>
      </c>
    </row>
    <row r="3502" spans="1:33" outlineLevel="1" x14ac:dyDescent="0.25">
      <c r="A3502" t="s">
        <v>232</v>
      </c>
    </row>
    <row r="3503" spans="1:33" outlineLevel="1" x14ac:dyDescent="0.25">
      <c r="A3503" t="s">
        <v>944</v>
      </c>
      <c r="M3503" s="19"/>
      <c r="N3503" s="19"/>
    </row>
    <row r="3504" spans="1:33" outlineLevel="1" x14ac:dyDescent="0.25">
      <c r="A3504" t="s">
        <v>946</v>
      </c>
      <c r="E3504" s="19"/>
    </row>
    <row r="3505" spans="1:6" outlineLevel="1" x14ac:dyDescent="0.25">
      <c r="A3505" t="s">
        <v>947</v>
      </c>
      <c r="E3505" s="19"/>
      <c r="F3505" s="19"/>
    </row>
    <row r="3506" spans="1:6" ht="13" outlineLevel="1" x14ac:dyDescent="0.3">
      <c r="A3506" s="20" t="s">
        <v>948</v>
      </c>
    </row>
    <row r="3507" spans="1:6" outlineLevel="1" x14ac:dyDescent="0.25">
      <c r="A3507" s="7" t="s">
        <v>949</v>
      </c>
    </row>
    <row r="3508" spans="1:6" outlineLevel="1" x14ac:dyDescent="0.25">
      <c r="A3508" t="s">
        <v>950</v>
      </c>
    </row>
    <row r="3509" spans="1:6" outlineLevel="1" x14ac:dyDescent="0.25">
      <c r="A3509" t="s">
        <v>951</v>
      </c>
    </row>
    <row r="3510" spans="1:6" ht="13" outlineLevel="1" x14ac:dyDescent="0.3">
      <c r="A3510" s="21" t="str">
        <f>CONCATENATE("sql where a.client = '",$D$172,"' and a.period between '",LEFT($D$170,4),"00' and '",LEFT($D$171,4),"14' and a.version like '%ORIG%'")</f>
        <v>sql where a.client = 'OX' and a.period between '202500' and '202514' and a.version like '%ORIG%'</v>
      </c>
    </row>
    <row r="3511" spans="1:6" outlineLevel="1" x14ac:dyDescent="0.25">
      <c r="A3511" t="s">
        <v>952</v>
      </c>
    </row>
    <row r="3512" spans="1:6" outlineLevel="1" x14ac:dyDescent="0.25">
      <c r="A3512" t="s">
        <v>953</v>
      </c>
    </row>
    <row r="3513" spans="1:6" outlineLevel="1" x14ac:dyDescent="0.25">
      <c r="A3513" t="s">
        <v>954</v>
      </c>
    </row>
    <row r="3514" spans="1:6" ht="13" outlineLevel="1" x14ac:dyDescent="0.3">
      <c r="A3514" s="20" t="s">
        <v>955</v>
      </c>
    </row>
    <row r="3515" spans="1:6" outlineLevel="1" x14ac:dyDescent="0.25">
      <c r="A3515" s="7" t="s">
        <v>956</v>
      </c>
    </row>
    <row r="3516" spans="1:6" outlineLevel="1" x14ac:dyDescent="0.25">
      <c r="A3516" t="s">
        <v>950</v>
      </c>
    </row>
    <row r="3517" spans="1:6" outlineLevel="1" x14ac:dyDescent="0.25">
      <c r="A3517" t="s">
        <v>951</v>
      </c>
    </row>
    <row r="3518" spans="1:6" ht="14.5" outlineLevel="1" x14ac:dyDescent="0.35">
      <c r="A3518"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518" s="2"/>
    </row>
    <row r="3519" spans="1:6" outlineLevel="1" x14ac:dyDescent="0.25">
      <c r="A3519" t="s">
        <v>952</v>
      </c>
    </row>
    <row r="3520" spans="1:6" outlineLevel="1" x14ac:dyDescent="0.25">
      <c r="A3520" t="s">
        <v>953</v>
      </c>
    </row>
    <row r="3521" spans="1:1" outlineLevel="1" x14ac:dyDescent="0.25">
      <c r="A3521" t="s">
        <v>954</v>
      </c>
    </row>
    <row r="3522" spans="1:1" ht="13" outlineLevel="1" x14ac:dyDescent="0.3">
      <c r="A3522" s="66" t="s">
        <v>957</v>
      </c>
    </row>
    <row r="3523" spans="1:1" outlineLevel="1" x14ac:dyDescent="0.25">
      <c r="A3523" t="s">
        <v>958</v>
      </c>
    </row>
    <row r="3524" spans="1:1" outlineLevel="1" x14ac:dyDescent="0.25">
      <c r="A3524" t="s">
        <v>950</v>
      </c>
    </row>
    <row r="3525" spans="1:1" ht="13" outlineLevel="1" x14ac:dyDescent="0.3">
      <c r="A352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526" spans="1:1" ht="13" outlineLevel="1" x14ac:dyDescent="0.3">
      <c r="A3526" s="21" t="s">
        <v>959</v>
      </c>
    </row>
    <row r="3527" spans="1:1" outlineLevel="1" x14ac:dyDescent="0.25">
      <c r="A3527" t="s">
        <v>960</v>
      </c>
    </row>
    <row r="3528" spans="1:1" outlineLevel="1" x14ac:dyDescent="0.25">
      <c r="A3528" t="s">
        <v>961</v>
      </c>
    </row>
    <row r="3529" spans="1:1" outlineLevel="1" x14ac:dyDescent="0.25">
      <c r="A3529" t="str">
        <f>CONCATENATE("sql left outer join acrtrees t on t.client = x.client and x.dim_1 = t.cat_1 and t.att_agrid = '",$F$159,"'")</f>
        <v>sql left outer join acrtrees t on t.client = x.client and x.dim_1 = t.cat_1 and t.att_agrid = '53'</v>
      </c>
    </row>
    <row r="3530" spans="1:1" ht="13" outlineLevel="1" x14ac:dyDescent="0.3">
      <c r="A353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531" spans="1:1" ht="13" outlineLevel="1" x14ac:dyDescent="0.3">
      <c r="A3531" s="21" t="s">
        <v>962</v>
      </c>
    </row>
    <row r="3532" spans="1:1" ht="13" outlineLevel="1" x14ac:dyDescent="0.3">
      <c r="A3532"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533" spans="1:1" ht="13" outlineLevel="1" x14ac:dyDescent="0.3">
      <c r="A3533" s="21" t="s">
        <v>963</v>
      </c>
    </row>
    <row r="3534" spans="1:1" outlineLevel="1" x14ac:dyDescent="0.25">
      <c r="A3534" t="s">
        <v>964</v>
      </c>
    </row>
    <row r="3535" spans="1:1" outlineLevel="1" x14ac:dyDescent="0.25">
      <c r="A3535" t="s">
        <v>965</v>
      </c>
    </row>
    <row r="3536" spans="1:1" outlineLevel="1" x14ac:dyDescent="0.25">
      <c r="A3536" t="s">
        <v>966</v>
      </c>
    </row>
    <row r="3537" spans="1:1" outlineLevel="1" x14ac:dyDescent="0.25">
      <c r="A3537" t="s">
        <v>953</v>
      </c>
    </row>
    <row r="3538" spans="1:1" outlineLevel="1" x14ac:dyDescent="0.25">
      <c r="A3538" t="s">
        <v>954</v>
      </c>
    </row>
    <row r="3539" spans="1:1" ht="13" outlineLevel="1" x14ac:dyDescent="0.3">
      <c r="A3539" s="66" t="s">
        <v>967</v>
      </c>
    </row>
    <row r="3540" spans="1:1" outlineLevel="1" x14ac:dyDescent="0.25">
      <c r="A3540" t="s">
        <v>968</v>
      </c>
    </row>
    <row r="3541" spans="1:1" outlineLevel="1" x14ac:dyDescent="0.25">
      <c r="A3541" t="s">
        <v>950</v>
      </c>
    </row>
    <row r="3542" spans="1:1" ht="13" outlineLevel="1" x14ac:dyDescent="0.3">
      <c r="A354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543" spans="1:1" ht="13" outlineLevel="1" x14ac:dyDescent="0.3">
      <c r="A3543" s="21" t="s">
        <v>969</v>
      </c>
    </row>
    <row r="3544" spans="1:1" ht="13" outlineLevel="1" x14ac:dyDescent="0.3">
      <c r="A3544" s="21" t="s">
        <v>959</v>
      </c>
    </row>
    <row r="3545" spans="1:1" outlineLevel="1" x14ac:dyDescent="0.25">
      <c r="A3545" t="s">
        <v>960</v>
      </c>
    </row>
    <row r="3546" spans="1:1" outlineLevel="1" x14ac:dyDescent="0.25">
      <c r="A3546" t="s">
        <v>961</v>
      </c>
    </row>
    <row r="3547" spans="1:1" outlineLevel="1" x14ac:dyDescent="0.25">
      <c r="A3547" t="str">
        <f>CONCATENATE("sql left outer join acrtrees t on t.client = x.client and x.dim_1 = t.cat_1 and t.att_agrid = '",$F$159,"'")</f>
        <v>sql left outer join acrtrees t on t.client = x.client and x.dim_1 = t.cat_1 and t.att_agrid = '53'</v>
      </c>
    </row>
    <row r="3548" spans="1:1" ht="13" outlineLevel="1" x14ac:dyDescent="0.3">
      <c r="A354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549" spans="1:1" ht="13" outlineLevel="1" x14ac:dyDescent="0.3">
      <c r="A3549" s="21" t="s">
        <v>970</v>
      </c>
    </row>
    <row r="3550" spans="1:1" ht="13" outlineLevel="1" x14ac:dyDescent="0.3">
      <c r="A3550" s="21" t="s">
        <v>962</v>
      </c>
    </row>
    <row r="3551" spans="1:1" ht="13" outlineLevel="1" x14ac:dyDescent="0.3">
      <c r="A3551"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552" spans="1:1" ht="13" outlineLevel="1" x14ac:dyDescent="0.3">
      <c r="A3552" s="21" t="s">
        <v>970</v>
      </c>
    </row>
    <row r="3553" spans="1:1" ht="13" outlineLevel="1" x14ac:dyDescent="0.3">
      <c r="A3553" s="21" t="s">
        <v>963</v>
      </c>
    </row>
    <row r="3554" spans="1:1" outlineLevel="1" x14ac:dyDescent="0.25">
      <c r="A3554" t="s">
        <v>964</v>
      </c>
    </row>
    <row r="3555" spans="1:1" outlineLevel="1" x14ac:dyDescent="0.25">
      <c r="A3555" t="s">
        <v>965</v>
      </c>
    </row>
    <row r="3556" spans="1:1" outlineLevel="1" x14ac:dyDescent="0.25">
      <c r="A3556" t="s">
        <v>966</v>
      </c>
    </row>
    <row r="3557" spans="1:1" outlineLevel="1" x14ac:dyDescent="0.25">
      <c r="A3557" t="s">
        <v>953</v>
      </c>
    </row>
    <row r="3558" spans="1:1" outlineLevel="1" x14ac:dyDescent="0.25">
      <c r="A3558" t="s">
        <v>954</v>
      </c>
    </row>
    <row r="3559" spans="1:1" ht="13" outlineLevel="1" x14ac:dyDescent="0.3">
      <c r="A3559" s="66" t="s">
        <v>971</v>
      </c>
    </row>
    <row r="3560" spans="1:1" outlineLevel="1" x14ac:dyDescent="0.25">
      <c r="A3560" t="s">
        <v>972</v>
      </c>
    </row>
    <row r="3561" spans="1:1" outlineLevel="1" x14ac:dyDescent="0.25">
      <c r="A3561" t="s">
        <v>950</v>
      </c>
    </row>
    <row r="3562" spans="1:1" ht="13" outlineLevel="1" x14ac:dyDescent="0.3">
      <c r="A356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563" spans="1:1" ht="13" outlineLevel="1" x14ac:dyDescent="0.3">
      <c r="A3563" s="21" t="s">
        <v>959</v>
      </c>
    </row>
    <row r="3564" spans="1:1" outlineLevel="1" x14ac:dyDescent="0.25">
      <c r="A3564" t="s">
        <v>960</v>
      </c>
    </row>
    <row r="3565" spans="1:1" outlineLevel="1" x14ac:dyDescent="0.25">
      <c r="A3565" t="s">
        <v>961</v>
      </c>
    </row>
    <row r="3566" spans="1:1" outlineLevel="1" x14ac:dyDescent="0.25">
      <c r="A3566" t="str">
        <f>CONCATENATE("sql left outer join acrtrees t on t.client = x.client and x.dim_1 = t.cat_1 and t.att_agrid = '",$F$159,"'")</f>
        <v>sql left outer join acrtrees t on t.client = x.client and x.dim_1 = t.cat_1 and t.att_agrid = '53'</v>
      </c>
    </row>
    <row r="3567" spans="1:1" ht="13" outlineLevel="1" x14ac:dyDescent="0.3">
      <c r="A356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568" spans="1:1" ht="13" outlineLevel="1" x14ac:dyDescent="0.3">
      <c r="A3568" s="21" t="s">
        <v>973</v>
      </c>
    </row>
    <row r="3569" spans="1:1" outlineLevel="1" x14ac:dyDescent="0.25">
      <c r="A3569" t="s">
        <v>964</v>
      </c>
    </row>
    <row r="3570" spans="1:1" outlineLevel="1" x14ac:dyDescent="0.25">
      <c r="A3570" t="s">
        <v>965</v>
      </c>
    </row>
    <row r="3571" spans="1:1" outlineLevel="1" x14ac:dyDescent="0.25">
      <c r="A3571" t="s">
        <v>966</v>
      </c>
    </row>
    <row r="3572" spans="1:1" outlineLevel="1" x14ac:dyDescent="0.25">
      <c r="A3572" t="s">
        <v>953</v>
      </c>
    </row>
    <row r="3573" spans="1:1" outlineLevel="1" x14ac:dyDescent="0.25">
      <c r="A3573" t="s">
        <v>954</v>
      </c>
    </row>
    <row r="3574" spans="1:1" ht="13" outlineLevel="1" x14ac:dyDescent="0.3">
      <c r="A3574" s="66" t="s">
        <v>974</v>
      </c>
    </row>
    <row r="3575" spans="1:1" outlineLevel="1" x14ac:dyDescent="0.25">
      <c r="A3575" t="s">
        <v>975</v>
      </c>
    </row>
    <row r="3576" spans="1:1" outlineLevel="1" x14ac:dyDescent="0.25">
      <c r="A3576" t="s">
        <v>950</v>
      </c>
    </row>
    <row r="3577" spans="1:1" ht="13" outlineLevel="1" x14ac:dyDescent="0.3">
      <c r="A357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578" spans="1:1" ht="13" outlineLevel="1" x14ac:dyDescent="0.3">
      <c r="A3578" s="21" t="s">
        <v>959</v>
      </c>
    </row>
    <row r="3579" spans="1:1" outlineLevel="1" x14ac:dyDescent="0.25">
      <c r="A3579" t="s">
        <v>960</v>
      </c>
    </row>
    <row r="3580" spans="1:1" outlineLevel="1" x14ac:dyDescent="0.25">
      <c r="A3580" t="s">
        <v>961</v>
      </c>
    </row>
    <row r="3581" spans="1:1" outlineLevel="1" x14ac:dyDescent="0.25">
      <c r="A3581" t="str">
        <f>CONCATENATE("sql left outer join acrtrees t on t.client = x.client and x.dim_1 = t.cat_1 and t.att_agrid = '",$F$159,"'")</f>
        <v>sql left outer join acrtrees t on t.client = x.client and x.dim_1 = t.cat_1 and t.att_agrid = '53'</v>
      </c>
    </row>
    <row r="3582" spans="1:1" ht="13" outlineLevel="1" x14ac:dyDescent="0.3">
      <c r="A358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583" spans="1:1" ht="13" outlineLevel="1" x14ac:dyDescent="0.3">
      <c r="A3583" s="21" t="s">
        <v>973</v>
      </c>
    </row>
    <row r="3584" spans="1:1" outlineLevel="1" x14ac:dyDescent="0.25">
      <c r="A3584" t="s">
        <v>964</v>
      </c>
    </row>
    <row r="3585" spans="1:1" outlineLevel="1" x14ac:dyDescent="0.25">
      <c r="A3585" t="s">
        <v>965</v>
      </c>
    </row>
    <row r="3586" spans="1:1" outlineLevel="1" x14ac:dyDescent="0.25">
      <c r="A3586" t="s">
        <v>966</v>
      </c>
    </row>
    <row r="3587" spans="1:1" outlineLevel="1" x14ac:dyDescent="0.25">
      <c r="A3587" t="s">
        <v>953</v>
      </c>
    </row>
    <row r="3588" spans="1:1" outlineLevel="1" x14ac:dyDescent="0.25">
      <c r="A3588" t="s">
        <v>954</v>
      </c>
    </row>
    <row r="3589" spans="1:1" ht="13" outlineLevel="1" x14ac:dyDescent="0.3">
      <c r="A3589" s="66" t="s">
        <v>976</v>
      </c>
    </row>
    <row r="3590" spans="1:1" outlineLevel="1" x14ac:dyDescent="0.25">
      <c r="A3590" t="s">
        <v>977</v>
      </c>
    </row>
    <row r="3591" spans="1:1" outlineLevel="1" x14ac:dyDescent="0.25">
      <c r="A3591" t="s">
        <v>950</v>
      </c>
    </row>
    <row r="3592" spans="1:1" ht="13" outlineLevel="1" x14ac:dyDescent="0.3">
      <c r="A359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593" spans="1:1" ht="13" outlineLevel="1" x14ac:dyDescent="0.3">
      <c r="A3593" s="21" t="s">
        <v>959</v>
      </c>
    </row>
    <row r="3594" spans="1:1" outlineLevel="1" x14ac:dyDescent="0.25">
      <c r="A3594" t="s">
        <v>960</v>
      </c>
    </row>
    <row r="3595" spans="1:1" outlineLevel="1" x14ac:dyDescent="0.25">
      <c r="A3595" t="s">
        <v>961</v>
      </c>
    </row>
    <row r="3596" spans="1:1" outlineLevel="1" x14ac:dyDescent="0.25">
      <c r="A3596" t="str">
        <f>CONCATENATE("sql left outer join acrtrees t on t.client = x.client and x.dim_1 = t.cat_1 and t.att_agrid = '",$F$159,"'")</f>
        <v>sql left outer join acrtrees t on t.client = x.client and x.dim_1 = t.cat_1 and t.att_agrid = '53'</v>
      </c>
    </row>
    <row r="3597" spans="1:1" ht="13" outlineLevel="1" x14ac:dyDescent="0.3">
      <c r="A359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598" spans="1:1" ht="13" outlineLevel="1" x14ac:dyDescent="0.3">
      <c r="A3598" s="21" t="s">
        <v>978</v>
      </c>
    </row>
    <row r="3599" spans="1:1" outlineLevel="1" x14ac:dyDescent="0.25">
      <c r="A3599" t="s">
        <v>979</v>
      </c>
    </row>
    <row r="3600" spans="1:1" outlineLevel="1" x14ac:dyDescent="0.25">
      <c r="A3600" t="s">
        <v>980</v>
      </c>
    </row>
    <row r="3601" spans="1:1" outlineLevel="1" x14ac:dyDescent="0.25">
      <c r="A3601" t="s">
        <v>966</v>
      </c>
    </row>
    <row r="3602" spans="1:1" outlineLevel="1" x14ac:dyDescent="0.25">
      <c r="A3602" t="s">
        <v>953</v>
      </c>
    </row>
    <row r="3603" spans="1:1" outlineLevel="1" x14ac:dyDescent="0.25">
      <c r="A3603" t="s">
        <v>954</v>
      </c>
    </row>
    <row r="3604" spans="1:1" ht="13" outlineLevel="1" x14ac:dyDescent="0.3">
      <c r="A3604" s="66" t="s">
        <v>981</v>
      </c>
    </row>
    <row r="3605" spans="1:1" outlineLevel="1" x14ac:dyDescent="0.25">
      <c r="A3605" t="s">
        <v>982</v>
      </c>
    </row>
    <row r="3606" spans="1:1" outlineLevel="1" x14ac:dyDescent="0.25">
      <c r="A3606" t="s">
        <v>950</v>
      </c>
    </row>
    <row r="3607" spans="1:1" ht="13" outlineLevel="1" x14ac:dyDescent="0.3">
      <c r="A360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608" spans="1:1" ht="13" outlineLevel="1" x14ac:dyDescent="0.3">
      <c r="A3608" s="21" t="s">
        <v>969</v>
      </c>
    </row>
    <row r="3609" spans="1:1" ht="13" outlineLevel="1" x14ac:dyDescent="0.3">
      <c r="A3609" s="21" t="s">
        <v>959</v>
      </c>
    </row>
    <row r="3610" spans="1:1" outlineLevel="1" x14ac:dyDescent="0.25">
      <c r="A3610" t="s">
        <v>960</v>
      </c>
    </row>
    <row r="3611" spans="1:1" outlineLevel="1" x14ac:dyDescent="0.25">
      <c r="A3611" t="s">
        <v>961</v>
      </c>
    </row>
    <row r="3612" spans="1:1" outlineLevel="1" x14ac:dyDescent="0.25">
      <c r="A3612" t="str">
        <f>CONCATENATE("sql left outer join acrtrees t on t.client = x.client and x.dim_1 = t.cat_1 and t.att_agrid = '",$F$159,"'")</f>
        <v>sql left outer join acrtrees t on t.client = x.client and x.dim_1 = t.cat_1 and t.att_agrid = '53'</v>
      </c>
    </row>
    <row r="3613" spans="1:1" ht="13" outlineLevel="1" x14ac:dyDescent="0.3">
      <c r="A361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614" spans="1:1" ht="13" outlineLevel="1" x14ac:dyDescent="0.3">
      <c r="A3614" s="21" t="s">
        <v>970</v>
      </c>
    </row>
    <row r="3615" spans="1:1" ht="13" outlineLevel="1" x14ac:dyDescent="0.3">
      <c r="A3615" s="21" t="s">
        <v>978</v>
      </c>
    </row>
    <row r="3616" spans="1:1" outlineLevel="1" x14ac:dyDescent="0.25">
      <c r="A3616" t="s">
        <v>979</v>
      </c>
    </row>
    <row r="3617" spans="1:3" outlineLevel="1" x14ac:dyDescent="0.25">
      <c r="A3617" t="s">
        <v>980</v>
      </c>
    </row>
    <row r="3618" spans="1:3" outlineLevel="1" x14ac:dyDescent="0.25">
      <c r="A3618" t="s">
        <v>966</v>
      </c>
    </row>
    <row r="3619" spans="1:3" outlineLevel="1" x14ac:dyDescent="0.25">
      <c r="A3619" t="s">
        <v>953</v>
      </c>
    </row>
    <row r="3620" spans="1:3" outlineLevel="1" x14ac:dyDescent="0.25">
      <c r="A3620" t="s">
        <v>954</v>
      </c>
    </row>
    <row r="3621" spans="1:3" ht="13" outlineLevel="1" x14ac:dyDescent="0.3">
      <c r="A3621" s="20" t="s">
        <v>983</v>
      </c>
    </row>
    <row r="3622" spans="1:3" outlineLevel="1" x14ac:dyDescent="0.25">
      <c r="A3622" s="7" t="s">
        <v>984</v>
      </c>
    </row>
    <row r="3623" spans="1:3" outlineLevel="1" x14ac:dyDescent="0.25">
      <c r="A3623" t="s">
        <v>950</v>
      </c>
    </row>
    <row r="3624" spans="1:3" outlineLevel="1" x14ac:dyDescent="0.25">
      <c r="A3624" t="s">
        <v>951</v>
      </c>
    </row>
    <row r="3625" spans="1:3" ht="14.5" outlineLevel="1" x14ac:dyDescent="0.35">
      <c r="A3625"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625" s="2"/>
    </row>
    <row r="3626" spans="1:3" outlineLevel="1" x14ac:dyDescent="0.25">
      <c r="A3626" t="s">
        <v>952</v>
      </c>
    </row>
    <row r="3627" spans="1:3" outlineLevel="1" x14ac:dyDescent="0.25">
      <c r="A3627" t="s">
        <v>953</v>
      </c>
    </row>
    <row r="3628" spans="1:3" outlineLevel="1" x14ac:dyDescent="0.25">
      <c r="A3628" t="s">
        <v>954</v>
      </c>
    </row>
    <row r="3629" spans="1:3" ht="13" outlineLevel="1" x14ac:dyDescent="0.3">
      <c r="A3629" s="20" t="s">
        <v>985</v>
      </c>
    </row>
    <row r="3630" spans="1:3" outlineLevel="1" x14ac:dyDescent="0.25">
      <c r="A3630" s="7" t="s">
        <v>986</v>
      </c>
    </row>
    <row r="3631" spans="1:3" outlineLevel="1" x14ac:dyDescent="0.25">
      <c r="A3631" t="s">
        <v>987</v>
      </c>
    </row>
    <row r="3632" spans="1:3" ht="13" outlineLevel="1" x14ac:dyDescent="0.3">
      <c r="A3632" s="21" t="str">
        <f>CONCATENATE("sql where a.client = '",$D$172,"' and a.period between '",LEFT($D$170,4),"00' and '",IF(RIGHT($D$171,2)="12",CONCATENATE(LEFT($D$171,4),"14"),$D$171),"'")</f>
        <v>sql where a.client = 'OX' and a.period between '202500' and '202506'</v>
      </c>
    </row>
    <row r="3633" spans="1:1" outlineLevel="1" x14ac:dyDescent="0.25">
      <c r="A3633" t="s">
        <v>952</v>
      </c>
    </row>
    <row r="3634" spans="1:1" outlineLevel="1" x14ac:dyDescent="0.25">
      <c r="A3634" t="s">
        <v>953</v>
      </c>
    </row>
    <row r="3635" spans="1:1" outlineLevel="1" x14ac:dyDescent="0.25">
      <c r="A3635" t="s">
        <v>954</v>
      </c>
    </row>
    <row r="3636" spans="1:1" ht="13" outlineLevel="1" x14ac:dyDescent="0.3">
      <c r="A3636" s="20" t="s">
        <v>988</v>
      </c>
    </row>
    <row r="3637" spans="1:1" outlineLevel="1" x14ac:dyDescent="0.25">
      <c r="A3637" s="7" t="s">
        <v>989</v>
      </c>
    </row>
    <row r="3638" spans="1:1" outlineLevel="1" x14ac:dyDescent="0.25">
      <c r="A3638" t="s">
        <v>950</v>
      </c>
    </row>
    <row r="3639" spans="1:1" outlineLevel="1" x14ac:dyDescent="0.25">
      <c r="A3639" t="s">
        <v>951</v>
      </c>
    </row>
    <row r="3640" spans="1:1" ht="13" outlineLevel="1" x14ac:dyDescent="0.3">
      <c r="A3640"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641" spans="1:1" outlineLevel="1" x14ac:dyDescent="0.25">
      <c r="A3641" t="s">
        <v>952</v>
      </c>
    </row>
    <row r="3642" spans="1:1" outlineLevel="1" x14ac:dyDescent="0.25">
      <c r="A3642" t="s">
        <v>953</v>
      </c>
    </row>
    <row r="3643" spans="1:1" outlineLevel="1" x14ac:dyDescent="0.25">
      <c r="A3643" t="s">
        <v>954</v>
      </c>
    </row>
    <row r="3644" spans="1:1" ht="13" outlineLevel="1" x14ac:dyDescent="0.3">
      <c r="A3644" s="20" t="s">
        <v>990</v>
      </c>
    </row>
    <row r="3645" spans="1:1" outlineLevel="1" x14ac:dyDescent="0.25">
      <c r="A3645" s="7" t="s">
        <v>991</v>
      </c>
    </row>
    <row r="3646" spans="1:1" outlineLevel="1" x14ac:dyDescent="0.25">
      <c r="A3646" t="s">
        <v>950</v>
      </c>
    </row>
    <row r="3647" spans="1:1" outlineLevel="1" x14ac:dyDescent="0.25">
      <c r="A3647" t="s">
        <v>951</v>
      </c>
    </row>
    <row r="3648" spans="1:1" ht="13" outlineLevel="1" x14ac:dyDescent="0.3">
      <c r="A364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649" spans="1:1" outlineLevel="1" x14ac:dyDescent="0.25">
      <c r="A3649" t="s">
        <v>952</v>
      </c>
    </row>
    <row r="3650" spans="1:1" outlineLevel="1" x14ac:dyDescent="0.25">
      <c r="A3650" t="s">
        <v>953</v>
      </c>
    </row>
    <row r="3651" spans="1:1" outlineLevel="1" x14ac:dyDescent="0.25">
      <c r="A3651" t="s">
        <v>954</v>
      </c>
    </row>
    <row r="3652" spans="1:1" ht="13" outlineLevel="1" x14ac:dyDescent="0.3">
      <c r="A3652" s="20" t="s">
        <v>992</v>
      </c>
    </row>
    <row r="3653" spans="1:1" outlineLevel="1" x14ac:dyDescent="0.25">
      <c r="A3653" s="7" t="s">
        <v>993</v>
      </c>
    </row>
    <row r="3654" spans="1:1" outlineLevel="1" x14ac:dyDescent="0.25">
      <c r="A3654" t="s">
        <v>950</v>
      </c>
    </row>
    <row r="3655" spans="1:1" outlineLevel="1" x14ac:dyDescent="0.25">
      <c r="A3655" t="s">
        <v>951</v>
      </c>
    </row>
    <row r="3656" spans="1:1" ht="13" outlineLevel="1" x14ac:dyDescent="0.3">
      <c r="A365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657" spans="1:1" outlineLevel="1" x14ac:dyDescent="0.25">
      <c r="A3657" t="s">
        <v>952</v>
      </c>
    </row>
    <row r="3658" spans="1:1" outlineLevel="1" x14ac:dyDescent="0.25">
      <c r="A3658" t="s">
        <v>953</v>
      </c>
    </row>
    <row r="3659" spans="1:1" outlineLevel="1" x14ac:dyDescent="0.25">
      <c r="A3659" t="s">
        <v>994</v>
      </c>
    </row>
    <row r="3660" spans="1:1" outlineLevel="1" x14ac:dyDescent="0.25">
      <c r="A3660" t="str">
        <f>CONCATENATE("sql left outer join acrtrees t on t.client = u.client and u.dim_1 = t.cat_1 and t.att_agrid = '",$F$159,"'")</f>
        <v>sql left outer join acrtrees t on t.client = u.client and u.dim_1 = t.cat_1 and t.att_agrid = '53'</v>
      </c>
    </row>
    <row r="3661" spans="1:1" outlineLevel="1" x14ac:dyDescent="0.25">
      <c r="A3661" t="str">
        <f>CONCATENATE("sql left outer join acrtrees s on s.client = u.client and u.account = s.cat_1 and s.att_agrid = '",$F$160,"'")</f>
        <v>sql left outer join acrtrees s on s.client = u.client and u.account = s.cat_1 and s.att_agrid = '14'</v>
      </c>
    </row>
    <row r="3662" spans="1:1" outlineLevel="1" x14ac:dyDescent="0.25">
      <c r="A3662" t="str">
        <f>CONCATENATE("sql left outer join acrtrees v on v.client = u.client and u.account = v.cat_1 and v.att_agrid = '",$F$161,"'")</f>
        <v>sql left outer join acrtrees v on v.client = u.client and u.account = v.cat_1 and v.att_agrid = '17'</v>
      </c>
    </row>
    <row r="3663" spans="1:1" outlineLevel="1" x14ac:dyDescent="0.25">
      <c r="A3663" t="str">
        <f>CONCATENATE("sql left outer join agldescription d on d.client = u.client and d.dim_value = t.dim_c and d.attribute_id = '",$F$162,"'")</f>
        <v>sql left outer join agldescription d on d.client = u.client and d.dim_value = t.dim_c and d.attribute_id = '82'</v>
      </c>
    </row>
    <row r="3664" spans="1:1" outlineLevel="1" x14ac:dyDescent="0.25">
      <c r="A3664" t="str">
        <f>CONCATENATE("sql left outer join agldescription e on e.client = u.client and e.dim_value = t.dim_b and e.attribute_id = '",$F$163,"'")</f>
        <v>sql left outer join agldescription e on e.client = u.client and e.dim_value = t.dim_b and e.attribute_id = '81'</v>
      </c>
    </row>
    <row r="3665" spans="1:33" outlineLevel="1" x14ac:dyDescent="0.25">
      <c r="A3665" t="str">
        <f>CONCATENATE("sql left outer join agldescription f on f.client = u.client and f.dim_value = t.dim_e and f.attribute_id = '",$F$164,"'")</f>
        <v>sql left outer join agldescription f on f.client = u.client and f.dim_value = t.dim_e and f.attribute_id = '80'</v>
      </c>
    </row>
    <row r="3666" spans="1:33" outlineLevel="1" x14ac:dyDescent="0.25">
      <c r="A3666" t="str">
        <f>CONCATENATE("sql left outer join agldescription g on g.client = u.client and g.dim_value = u.account and g.attribute_id = '",$F$165,"'")</f>
        <v>sql left outer join agldescription g on g.client = u.client and g.dim_value = u.account and g.attribute_id = 'A0'</v>
      </c>
    </row>
    <row r="3667" spans="1:33" ht="14.5" outlineLevel="1" x14ac:dyDescent="0.35">
      <c r="A3667" s="67" t="s">
        <v>1074</v>
      </c>
      <c r="G3667" s="737" t="s">
        <v>1075</v>
      </c>
    </row>
    <row r="3668" spans="1:33" outlineLevel="1" x14ac:dyDescent="0.25">
      <c r="A3668" t="s">
        <v>1005</v>
      </c>
    </row>
    <row r="3669" spans="1:33" outlineLevel="1" x14ac:dyDescent="0.25">
      <c r="A3669" t="s">
        <v>1006</v>
      </c>
    </row>
    <row r="3670" spans="1:33" outlineLevel="1" x14ac:dyDescent="0.25">
      <c r="A3670" t="s">
        <v>1007</v>
      </c>
    </row>
    <row r="3671" spans="1:33" ht="13" outlineLevel="1" x14ac:dyDescent="0.3">
      <c r="A3671" t="s">
        <v>1012</v>
      </c>
      <c r="C3671" s="29"/>
      <c r="D3671" s="36">
        <v>1000</v>
      </c>
      <c r="E3671" s="36">
        <v>1000</v>
      </c>
      <c r="F3671" s="22">
        <v>1000</v>
      </c>
      <c r="G3671" s="22">
        <v>1000</v>
      </c>
      <c r="H3671" s="22">
        <v>1000</v>
      </c>
      <c r="I3671" s="22">
        <v>1000</v>
      </c>
      <c r="J3671" s="22">
        <v>1000</v>
      </c>
      <c r="K3671" s="22">
        <v>1000</v>
      </c>
      <c r="L3671" s="22"/>
      <c r="M3671" s="36"/>
      <c r="N3671" s="36"/>
      <c r="O3671" s="36">
        <v>1000</v>
      </c>
      <c r="P3671" s="36">
        <v>1000</v>
      </c>
      <c r="Q3671" s="36">
        <v>1000</v>
      </c>
      <c r="R3671" s="36">
        <v>1000</v>
      </c>
      <c r="S3671" s="36">
        <v>1000</v>
      </c>
      <c r="T3671" s="36"/>
      <c r="U3671" s="36"/>
      <c r="V3671" s="58"/>
      <c r="W3671" s="36">
        <v>1000</v>
      </c>
      <c r="X3671" s="36">
        <v>1000</v>
      </c>
      <c r="Y3671" s="36"/>
      <c r="Z3671" s="36"/>
      <c r="AA3671" s="40"/>
      <c r="AB3671" s="60"/>
      <c r="AC3671" s="98"/>
      <c r="AD3671" s="36"/>
      <c r="AE3671" s="36"/>
      <c r="AF3671" s="36"/>
      <c r="AG3671" s="99"/>
    </row>
    <row r="3672" spans="1:33" ht="13" outlineLevel="1" x14ac:dyDescent="0.3">
      <c r="A3672" s="7" t="s">
        <v>1013</v>
      </c>
      <c r="C3672" s="29"/>
      <c r="D3672" s="36">
        <v>0</v>
      </c>
      <c r="E3672" s="36">
        <v>0</v>
      </c>
      <c r="F3672" s="22">
        <v>0</v>
      </c>
      <c r="G3672" s="22">
        <v>0</v>
      </c>
      <c r="H3672" s="22">
        <v>0</v>
      </c>
      <c r="I3672" s="22">
        <v>0</v>
      </c>
      <c r="J3672" s="22">
        <v>0</v>
      </c>
      <c r="K3672" s="22">
        <v>0</v>
      </c>
      <c r="L3672" s="22"/>
      <c r="M3672" s="36"/>
      <c r="N3672" s="36"/>
      <c r="O3672" s="36">
        <v>0</v>
      </c>
      <c r="P3672" s="36">
        <v>0</v>
      </c>
      <c r="Q3672" s="36">
        <v>0</v>
      </c>
      <c r="R3672" s="36">
        <v>0</v>
      </c>
      <c r="S3672" s="36">
        <v>0</v>
      </c>
      <c r="T3672" s="36"/>
      <c r="U3672" s="36"/>
      <c r="V3672" s="58"/>
      <c r="W3672" s="36">
        <v>0</v>
      </c>
      <c r="X3672" s="36">
        <v>0</v>
      </c>
      <c r="Y3672" s="36"/>
      <c r="Z3672" s="36"/>
      <c r="AA3672" s="40"/>
      <c r="AB3672" s="60"/>
      <c r="AC3672" s="98"/>
      <c r="AD3672" s="36"/>
      <c r="AE3672" s="36"/>
      <c r="AF3672" s="36"/>
      <c r="AG3672" s="99"/>
    </row>
    <row r="3673" spans="1:33" ht="13" outlineLevel="1" x14ac:dyDescent="0.3">
      <c r="A3673" t="s">
        <v>1014</v>
      </c>
      <c r="C3673" s="30"/>
      <c r="D3673" s="36"/>
      <c r="E3673" s="36"/>
      <c r="F3673" s="57"/>
      <c r="G3673" s="57"/>
      <c r="H3673" s="57"/>
      <c r="I3673" s="57"/>
      <c r="J3673" s="57"/>
      <c r="K3673" s="57"/>
      <c r="L3673" s="57"/>
      <c r="M3673" s="36"/>
      <c r="N3673" s="36"/>
      <c r="O3673" s="36"/>
      <c r="P3673" s="36" t="s">
        <v>1015</v>
      </c>
      <c r="Q3673" s="36" t="s">
        <v>1016</v>
      </c>
      <c r="R3673" s="36"/>
      <c r="S3673" s="36"/>
      <c r="T3673" s="36"/>
      <c r="U3673" s="36"/>
      <c r="V3673" s="58"/>
      <c r="W3673" s="36"/>
      <c r="X3673" s="36"/>
      <c r="Y3673" s="36"/>
      <c r="Z3673" s="36"/>
      <c r="AA3673" s="40"/>
      <c r="AB3673" s="60"/>
      <c r="AC3673" s="98"/>
      <c r="AD3673" s="36"/>
      <c r="AE3673" s="36"/>
      <c r="AF3673" s="36"/>
      <c r="AG3673" s="99"/>
    </row>
    <row r="3674" spans="1:33" ht="13" outlineLevel="1" x14ac:dyDescent="0.3">
      <c r="A3674" t="s">
        <v>1017</v>
      </c>
      <c r="C3674" s="79" t="s">
        <v>1018</v>
      </c>
      <c r="D3674" s="36" t="s">
        <v>1019</v>
      </c>
      <c r="E3674" s="36" t="s">
        <v>1020</v>
      </c>
      <c r="F3674" s="22" t="s">
        <v>1021</v>
      </c>
      <c r="G3674" s="22" t="s">
        <v>1022</v>
      </c>
      <c r="H3674" s="22" t="s">
        <v>1023</v>
      </c>
      <c r="I3674" s="22" t="s">
        <v>1024</v>
      </c>
      <c r="J3674" s="22" t="s">
        <v>1025</v>
      </c>
      <c r="K3674" s="22" t="s">
        <v>1026</v>
      </c>
      <c r="L3674" s="22"/>
      <c r="M3674" s="36"/>
      <c r="N3674" s="36"/>
      <c r="O3674" s="36" t="s">
        <v>1027</v>
      </c>
      <c r="P3674" s="36" t="s">
        <v>1028</v>
      </c>
      <c r="Q3674" s="36" t="s">
        <v>1028</v>
      </c>
      <c r="R3674" s="36" t="s">
        <v>1028</v>
      </c>
      <c r="S3674" s="36" t="s">
        <v>1029</v>
      </c>
      <c r="T3674" s="36"/>
      <c r="U3674" s="36"/>
      <c r="V3674" s="58"/>
      <c r="W3674" s="36" t="s">
        <v>1030</v>
      </c>
      <c r="X3674" s="36" t="s">
        <v>1031</v>
      </c>
      <c r="Y3674" s="36"/>
      <c r="Z3674" s="36"/>
      <c r="AA3674" s="40"/>
      <c r="AB3674" s="60"/>
      <c r="AC3674" s="98"/>
      <c r="AD3674" s="36"/>
      <c r="AE3674" s="36"/>
      <c r="AF3674" s="36"/>
      <c r="AG3674" s="99"/>
    </row>
    <row r="3675" spans="1:33" ht="13" outlineLevel="1" x14ac:dyDescent="0.3">
      <c r="A3675" t="s">
        <v>232</v>
      </c>
      <c r="C3675" s="78"/>
      <c r="D3675" s="33"/>
      <c r="E3675" s="33"/>
      <c r="F3675" s="23"/>
      <c r="G3675" s="23"/>
      <c r="H3675" s="23"/>
      <c r="I3675" s="23"/>
      <c r="J3675" s="23"/>
      <c r="K3675" s="23"/>
      <c r="L3675" s="23"/>
      <c r="M3675" s="33"/>
      <c r="N3675" s="33"/>
      <c r="O3675" s="33"/>
      <c r="P3675" s="33"/>
      <c r="Q3675" s="33"/>
      <c r="R3675" s="33"/>
      <c r="S3675" s="33"/>
      <c r="T3675" s="33"/>
      <c r="U3675" s="38"/>
      <c r="V3675" s="59"/>
      <c r="W3675" s="33"/>
      <c r="X3675" s="33"/>
      <c r="Y3675" s="33"/>
      <c r="Z3675" s="33"/>
      <c r="AA3675" s="42"/>
      <c r="AB3675" s="60"/>
      <c r="AC3675" s="100"/>
      <c r="AD3675" s="33"/>
      <c r="AE3675" s="33"/>
      <c r="AF3675" s="33"/>
      <c r="AG3675" s="101"/>
    </row>
    <row r="3676" spans="1:33" ht="13" outlineLevel="1" x14ac:dyDescent="0.3">
      <c r="A3676" t="s">
        <v>1033</v>
      </c>
      <c r="C3676" s="79">
        <v>0</v>
      </c>
      <c r="D3676" s="33">
        <v>0</v>
      </c>
      <c r="E3676" s="33">
        <v>0</v>
      </c>
      <c r="F3676" s="23">
        <v>0</v>
      </c>
      <c r="G3676" s="23">
        <v>0</v>
      </c>
      <c r="H3676" s="23">
        <v>0</v>
      </c>
      <c r="I3676" s="23">
        <v>0</v>
      </c>
      <c r="J3676" s="23">
        <v>0</v>
      </c>
      <c r="K3676" s="23">
        <v>0</v>
      </c>
      <c r="L3676" s="23">
        <f>SUM(F3676:K3676)</f>
        <v>0</v>
      </c>
      <c r="M3676" s="33">
        <f>O3676-E3676</f>
        <v>0</v>
      </c>
      <c r="N3676" s="33">
        <f>O3676-D3676</f>
        <v>0</v>
      </c>
      <c r="O3676" s="33">
        <v>0</v>
      </c>
      <c r="P3676" s="33">
        <v>0</v>
      </c>
      <c r="Q3676" s="33">
        <v>0</v>
      </c>
      <c r="R3676" s="33">
        <v>0</v>
      </c>
      <c r="S3676" s="33">
        <v>0</v>
      </c>
      <c r="T3676" s="33">
        <f>R3676-S3676</f>
        <v>0</v>
      </c>
      <c r="U3676" s="38" t="str">
        <f>IFERROR((R3676/O3676)*100%,"∞")</f>
        <v>∞</v>
      </c>
      <c r="V3676" s="59">
        <f>O3676+W3676</f>
        <v>0</v>
      </c>
      <c r="W3676" s="33">
        <v>0</v>
      </c>
      <c r="X3676" s="33">
        <v>0</v>
      </c>
      <c r="Y3676" s="33"/>
      <c r="Z3676" s="33"/>
      <c r="AA3676" s="42"/>
      <c r="AB3676" s="60"/>
      <c r="AC3676" s="105"/>
      <c r="AD3676" s="93"/>
      <c r="AE3676" s="33">
        <f>SUM(AC3676:AD3676)</f>
        <v>0</v>
      </c>
      <c r="AF3676" s="33">
        <f>R3676+AE3676</f>
        <v>0</v>
      </c>
      <c r="AG3676" s="101">
        <f>AF3676-O3676</f>
        <v>0</v>
      </c>
    </row>
    <row r="3677" spans="1:33" x14ac:dyDescent="0.25">
      <c r="A3677" t="s">
        <v>232</v>
      </c>
    </row>
    <row r="3678" spans="1:33" x14ac:dyDescent="0.25">
      <c r="A3678" t="s">
        <v>944</v>
      </c>
      <c r="M3678" s="19"/>
      <c r="N3678" s="19"/>
    </row>
    <row r="3679" spans="1:33" x14ac:dyDescent="0.25">
      <c r="A3679" t="s">
        <v>946</v>
      </c>
      <c r="E3679" s="19"/>
    </row>
    <row r="3680" spans="1:33" x14ac:dyDescent="0.25">
      <c r="A3680" t="s">
        <v>947</v>
      </c>
      <c r="E3680" s="19"/>
      <c r="F3680" s="19"/>
    </row>
    <row r="3681" spans="1:3" ht="13" x14ac:dyDescent="0.3">
      <c r="A3681" s="20" t="s">
        <v>948</v>
      </c>
    </row>
    <row r="3682" spans="1:3" x14ac:dyDescent="0.25">
      <c r="A3682" s="7" t="s">
        <v>949</v>
      </c>
    </row>
    <row r="3683" spans="1:3" x14ac:dyDescent="0.25">
      <c r="A3683" t="s">
        <v>950</v>
      </c>
    </row>
    <row r="3684" spans="1:3" x14ac:dyDescent="0.25">
      <c r="A3684" t="s">
        <v>951</v>
      </c>
    </row>
    <row r="3685" spans="1:3" ht="13" x14ac:dyDescent="0.3">
      <c r="A3685" s="21" t="str">
        <f>CONCATENATE("sql where a.client = '",$D$172,"' and a.period between '",LEFT($D$170,4),"00' and '",LEFT($D$171,4),"14' and a.version like '%ORIG%'")</f>
        <v>sql where a.client = 'OX' and a.period between '202500' and '202514' and a.version like '%ORIG%'</v>
      </c>
    </row>
    <row r="3686" spans="1:3" x14ac:dyDescent="0.25">
      <c r="A3686" t="s">
        <v>952</v>
      </c>
    </row>
    <row r="3687" spans="1:3" x14ac:dyDescent="0.25">
      <c r="A3687" t="s">
        <v>953</v>
      </c>
    </row>
    <row r="3688" spans="1:3" x14ac:dyDescent="0.25">
      <c r="A3688" t="s">
        <v>954</v>
      </c>
    </row>
    <row r="3689" spans="1:3" ht="13" x14ac:dyDescent="0.3">
      <c r="A3689" s="20" t="s">
        <v>955</v>
      </c>
    </row>
    <row r="3690" spans="1:3" x14ac:dyDescent="0.25">
      <c r="A3690" s="7" t="s">
        <v>956</v>
      </c>
    </row>
    <row r="3691" spans="1:3" x14ac:dyDescent="0.25">
      <c r="A3691" t="s">
        <v>950</v>
      </c>
    </row>
    <row r="3692" spans="1:3" x14ac:dyDescent="0.25">
      <c r="A3692" t="s">
        <v>951</v>
      </c>
    </row>
    <row r="3693" spans="1:3" ht="14.5" x14ac:dyDescent="0.35">
      <c r="A3693"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693" s="2"/>
    </row>
    <row r="3694" spans="1:3" x14ac:dyDescent="0.25">
      <c r="A3694" t="s">
        <v>952</v>
      </c>
    </row>
    <row r="3695" spans="1:3" x14ac:dyDescent="0.25">
      <c r="A3695" t="s">
        <v>953</v>
      </c>
    </row>
    <row r="3696" spans="1:3" x14ac:dyDescent="0.25">
      <c r="A3696" t="s">
        <v>954</v>
      </c>
    </row>
    <row r="3697" spans="1:1" ht="13" x14ac:dyDescent="0.3">
      <c r="A3697" s="66" t="s">
        <v>957</v>
      </c>
    </row>
    <row r="3698" spans="1:1" x14ac:dyDescent="0.25">
      <c r="A3698" t="s">
        <v>958</v>
      </c>
    </row>
    <row r="3699" spans="1:1" x14ac:dyDescent="0.25">
      <c r="A3699" t="s">
        <v>950</v>
      </c>
    </row>
    <row r="3700" spans="1:1" ht="13" x14ac:dyDescent="0.3">
      <c r="A370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701" spans="1:1" ht="13" x14ac:dyDescent="0.3">
      <c r="A3701" s="21" t="s">
        <v>959</v>
      </c>
    </row>
    <row r="3702" spans="1:1" x14ac:dyDescent="0.25">
      <c r="A3702" t="s">
        <v>960</v>
      </c>
    </row>
    <row r="3703" spans="1:1" x14ac:dyDescent="0.25">
      <c r="A3703" t="s">
        <v>961</v>
      </c>
    </row>
    <row r="3704" spans="1:1" x14ac:dyDescent="0.25">
      <c r="A3704" t="str">
        <f>CONCATENATE("sql left outer join acrtrees t on t.client = x.client and x.dim_1 = t.cat_1 and t.att_agrid = '",$F$159,"'")</f>
        <v>sql left outer join acrtrees t on t.client = x.client and x.dim_1 = t.cat_1 and t.att_agrid = '53'</v>
      </c>
    </row>
    <row r="3705" spans="1:1" ht="13" x14ac:dyDescent="0.3">
      <c r="A370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706" spans="1:1" ht="13" x14ac:dyDescent="0.3">
      <c r="A3706" s="21" t="s">
        <v>962</v>
      </c>
    </row>
    <row r="3707" spans="1:1" ht="13" x14ac:dyDescent="0.3">
      <c r="A3707"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708" spans="1:1" ht="13" x14ac:dyDescent="0.3">
      <c r="A3708" s="21" t="s">
        <v>963</v>
      </c>
    </row>
    <row r="3709" spans="1:1" x14ac:dyDescent="0.25">
      <c r="A3709" t="s">
        <v>964</v>
      </c>
    </row>
    <row r="3710" spans="1:1" x14ac:dyDescent="0.25">
      <c r="A3710" t="s">
        <v>965</v>
      </c>
    </row>
    <row r="3711" spans="1:1" x14ac:dyDescent="0.25">
      <c r="A3711" t="s">
        <v>966</v>
      </c>
    </row>
    <row r="3712" spans="1:1" x14ac:dyDescent="0.25">
      <c r="A3712" t="s">
        <v>953</v>
      </c>
    </row>
    <row r="3713" spans="1:1" x14ac:dyDescent="0.25">
      <c r="A3713" t="s">
        <v>954</v>
      </c>
    </row>
    <row r="3714" spans="1:1" ht="13" x14ac:dyDescent="0.3">
      <c r="A3714" s="66" t="s">
        <v>967</v>
      </c>
    </row>
    <row r="3715" spans="1:1" x14ac:dyDescent="0.25">
      <c r="A3715" t="s">
        <v>968</v>
      </c>
    </row>
    <row r="3716" spans="1:1" x14ac:dyDescent="0.25">
      <c r="A3716" t="s">
        <v>950</v>
      </c>
    </row>
    <row r="3717" spans="1:1" ht="13" x14ac:dyDescent="0.3">
      <c r="A371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718" spans="1:1" ht="13" x14ac:dyDescent="0.3">
      <c r="A3718" s="21" t="s">
        <v>969</v>
      </c>
    </row>
    <row r="3719" spans="1:1" ht="13" x14ac:dyDescent="0.3">
      <c r="A3719" s="21" t="s">
        <v>959</v>
      </c>
    </row>
    <row r="3720" spans="1:1" x14ac:dyDescent="0.25">
      <c r="A3720" t="s">
        <v>960</v>
      </c>
    </row>
    <row r="3721" spans="1:1" x14ac:dyDescent="0.25">
      <c r="A3721" t="s">
        <v>961</v>
      </c>
    </row>
    <row r="3722" spans="1:1" x14ac:dyDescent="0.25">
      <c r="A3722" t="str">
        <f>CONCATENATE("sql left outer join acrtrees t on t.client = x.client and x.dim_1 = t.cat_1 and t.att_agrid = '",$F$159,"'")</f>
        <v>sql left outer join acrtrees t on t.client = x.client and x.dim_1 = t.cat_1 and t.att_agrid = '53'</v>
      </c>
    </row>
    <row r="3723" spans="1:1" ht="13" x14ac:dyDescent="0.3">
      <c r="A372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724" spans="1:1" ht="13" x14ac:dyDescent="0.3">
      <c r="A3724" s="21" t="s">
        <v>970</v>
      </c>
    </row>
    <row r="3725" spans="1:1" ht="13" x14ac:dyDescent="0.3">
      <c r="A3725" s="21" t="s">
        <v>962</v>
      </c>
    </row>
    <row r="3726" spans="1:1" ht="13" x14ac:dyDescent="0.3">
      <c r="A3726"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727" spans="1:1" ht="13" x14ac:dyDescent="0.3">
      <c r="A3727" s="21" t="s">
        <v>970</v>
      </c>
    </row>
    <row r="3728" spans="1:1" ht="13" x14ac:dyDescent="0.3">
      <c r="A3728" s="21" t="s">
        <v>963</v>
      </c>
    </row>
    <row r="3729" spans="1:1" x14ac:dyDescent="0.25">
      <c r="A3729" t="s">
        <v>964</v>
      </c>
    </row>
    <row r="3730" spans="1:1" x14ac:dyDescent="0.25">
      <c r="A3730" t="s">
        <v>965</v>
      </c>
    </row>
    <row r="3731" spans="1:1" x14ac:dyDescent="0.25">
      <c r="A3731" t="s">
        <v>966</v>
      </c>
    </row>
    <row r="3732" spans="1:1" x14ac:dyDescent="0.25">
      <c r="A3732" t="s">
        <v>953</v>
      </c>
    </row>
    <row r="3733" spans="1:1" x14ac:dyDescent="0.25">
      <c r="A3733" t="s">
        <v>954</v>
      </c>
    </row>
    <row r="3734" spans="1:1" ht="13" x14ac:dyDescent="0.3">
      <c r="A3734" s="66" t="s">
        <v>971</v>
      </c>
    </row>
    <row r="3735" spans="1:1" x14ac:dyDescent="0.25">
      <c r="A3735" t="s">
        <v>972</v>
      </c>
    </row>
    <row r="3736" spans="1:1" x14ac:dyDescent="0.25">
      <c r="A3736" t="s">
        <v>950</v>
      </c>
    </row>
    <row r="3737" spans="1:1" ht="13" x14ac:dyDescent="0.3">
      <c r="A373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738" spans="1:1" ht="13" x14ac:dyDescent="0.3">
      <c r="A3738" s="21" t="s">
        <v>959</v>
      </c>
    </row>
    <row r="3739" spans="1:1" x14ac:dyDescent="0.25">
      <c r="A3739" t="s">
        <v>960</v>
      </c>
    </row>
    <row r="3740" spans="1:1" x14ac:dyDescent="0.25">
      <c r="A3740" t="s">
        <v>961</v>
      </c>
    </row>
    <row r="3741" spans="1:1" x14ac:dyDescent="0.25">
      <c r="A3741" t="str">
        <f>CONCATENATE("sql left outer join acrtrees t on t.client = x.client and x.dim_1 = t.cat_1 and t.att_agrid = '",$F$159,"'")</f>
        <v>sql left outer join acrtrees t on t.client = x.client and x.dim_1 = t.cat_1 and t.att_agrid = '53'</v>
      </c>
    </row>
    <row r="3742" spans="1:1" ht="13" x14ac:dyDescent="0.3">
      <c r="A374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743" spans="1:1" ht="13" x14ac:dyDescent="0.3">
      <c r="A3743" s="21" t="s">
        <v>973</v>
      </c>
    </row>
    <row r="3744" spans="1:1" x14ac:dyDescent="0.25">
      <c r="A3744" t="s">
        <v>964</v>
      </c>
    </row>
    <row r="3745" spans="1:1" x14ac:dyDescent="0.25">
      <c r="A3745" t="s">
        <v>965</v>
      </c>
    </row>
    <row r="3746" spans="1:1" x14ac:dyDescent="0.25">
      <c r="A3746" t="s">
        <v>966</v>
      </c>
    </row>
    <row r="3747" spans="1:1" x14ac:dyDescent="0.25">
      <c r="A3747" t="s">
        <v>953</v>
      </c>
    </row>
    <row r="3748" spans="1:1" x14ac:dyDescent="0.25">
      <c r="A3748" t="s">
        <v>954</v>
      </c>
    </row>
    <row r="3749" spans="1:1" ht="13" x14ac:dyDescent="0.3">
      <c r="A3749" s="66" t="s">
        <v>974</v>
      </c>
    </row>
    <row r="3750" spans="1:1" x14ac:dyDescent="0.25">
      <c r="A3750" t="s">
        <v>975</v>
      </c>
    </row>
    <row r="3751" spans="1:1" x14ac:dyDescent="0.25">
      <c r="A3751" t="s">
        <v>950</v>
      </c>
    </row>
    <row r="3752" spans="1:1" ht="13" x14ac:dyDescent="0.3">
      <c r="A375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753" spans="1:1" ht="13" x14ac:dyDescent="0.3">
      <c r="A3753" s="21" t="s">
        <v>959</v>
      </c>
    </row>
    <row r="3754" spans="1:1" x14ac:dyDescent="0.25">
      <c r="A3754" t="s">
        <v>960</v>
      </c>
    </row>
    <row r="3755" spans="1:1" x14ac:dyDescent="0.25">
      <c r="A3755" t="s">
        <v>961</v>
      </c>
    </row>
    <row r="3756" spans="1:1" x14ac:dyDescent="0.25">
      <c r="A3756" t="str">
        <f>CONCATENATE("sql left outer join acrtrees t on t.client = x.client and x.dim_1 = t.cat_1 and t.att_agrid = '",$F$159,"'")</f>
        <v>sql left outer join acrtrees t on t.client = x.client and x.dim_1 = t.cat_1 and t.att_agrid = '53'</v>
      </c>
    </row>
    <row r="3757" spans="1:1" ht="13" x14ac:dyDescent="0.3">
      <c r="A375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758" spans="1:1" ht="13" x14ac:dyDescent="0.3">
      <c r="A3758" s="21" t="s">
        <v>973</v>
      </c>
    </row>
    <row r="3759" spans="1:1" x14ac:dyDescent="0.25">
      <c r="A3759" t="s">
        <v>964</v>
      </c>
    </row>
    <row r="3760" spans="1:1" x14ac:dyDescent="0.25">
      <c r="A3760" t="s">
        <v>965</v>
      </c>
    </row>
    <row r="3761" spans="1:1" x14ac:dyDescent="0.25">
      <c r="A3761" t="s">
        <v>966</v>
      </c>
    </row>
    <row r="3762" spans="1:1" x14ac:dyDescent="0.25">
      <c r="A3762" t="s">
        <v>953</v>
      </c>
    </row>
    <row r="3763" spans="1:1" x14ac:dyDescent="0.25">
      <c r="A3763" t="s">
        <v>954</v>
      </c>
    </row>
    <row r="3764" spans="1:1" ht="13" x14ac:dyDescent="0.3">
      <c r="A3764" s="66" t="s">
        <v>976</v>
      </c>
    </row>
    <row r="3765" spans="1:1" x14ac:dyDescent="0.25">
      <c r="A3765" t="s">
        <v>977</v>
      </c>
    </row>
    <row r="3766" spans="1:1" x14ac:dyDescent="0.25">
      <c r="A3766" t="s">
        <v>950</v>
      </c>
    </row>
    <row r="3767" spans="1:1" ht="13" x14ac:dyDescent="0.3">
      <c r="A376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768" spans="1:1" ht="13" x14ac:dyDescent="0.3">
      <c r="A3768" s="21" t="s">
        <v>959</v>
      </c>
    </row>
    <row r="3769" spans="1:1" x14ac:dyDescent="0.25">
      <c r="A3769" t="s">
        <v>960</v>
      </c>
    </row>
    <row r="3770" spans="1:1" x14ac:dyDescent="0.25">
      <c r="A3770" t="s">
        <v>961</v>
      </c>
    </row>
    <row r="3771" spans="1:1" x14ac:dyDescent="0.25">
      <c r="A3771" t="str">
        <f>CONCATENATE("sql left outer join acrtrees t on t.client = x.client and x.dim_1 = t.cat_1 and t.att_agrid = '",$F$159,"'")</f>
        <v>sql left outer join acrtrees t on t.client = x.client and x.dim_1 = t.cat_1 and t.att_agrid = '53'</v>
      </c>
    </row>
    <row r="3772" spans="1:1" ht="13" x14ac:dyDescent="0.3">
      <c r="A377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773" spans="1:1" ht="13" x14ac:dyDescent="0.3">
      <c r="A3773" s="21" t="s">
        <v>978</v>
      </c>
    </row>
    <row r="3774" spans="1:1" x14ac:dyDescent="0.25">
      <c r="A3774" t="s">
        <v>979</v>
      </c>
    </row>
    <row r="3775" spans="1:1" x14ac:dyDescent="0.25">
      <c r="A3775" t="s">
        <v>980</v>
      </c>
    </row>
    <row r="3776" spans="1:1" x14ac:dyDescent="0.25">
      <c r="A3776" t="s">
        <v>966</v>
      </c>
    </row>
    <row r="3777" spans="1:1" x14ac:dyDescent="0.25">
      <c r="A3777" t="s">
        <v>953</v>
      </c>
    </row>
    <row r="3778" spans="1:1" x14ac:dyDescent="0.25">
      <c r="A3778" t="s">
        <v>954</v>
      </c>
    </row>
    <row r="3779" spans="1:1" ht="13" x14ac:dyDescent="0.3">
      <c r="A3779" s="66" t="s">
        <v>981</v>
      </c>
    </row>
    <row r="3780" spans="1:1" x14ac:dyDescent="0.25">
      <c r="A3780" t="s">
        <v>982</v>
      </c>
    </row>
    <row r="3781" spans="1:1" x14ac:dyDescent="0.25">
      <c r="A3781" t="s">
        <v>950</v>
      </c>
    </row>
    <row r="3782" spans="1:1" ht="13" x14ac:dyDescent="0.3">
      <c r="A378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783" spans="1:1" ht="13" x14ac:dyDescent="0.3">
      <c r="A3783" s="21" t="s">
        <v>969</v>
      </c>
    </row>
    <row r="3784" spans="1:1" ht="13" x14ac:dyDescent="0.3">
      <c r="A3784" s="21" t="s">
        <v>959</v>
      </c>
    </row>
    <row r="3785" spans="1:1" x14ac:dyDescent="0.25">
      <c r="A3785" t="s">
        <v>960</v>
      </c>
    </row>
    <row r="3786" spans="1:1" x14ac:dyDescent="0.25">
      <c r="A3786" t="s">
        <v>961</v>
      </c>
    </row>
    <row r="3787" spans="1:1" x14ac:dyDescent="0.25">
      <c r="A3787" t="str">
        <f>CONCATENATE("sql left outer join acrtrees t on t.client = x.client and x.dim_1 = t.cat_1 and t.att_agrid = '",$F$159,"'")</f>
        <v>sql left outer join acrtrees t on t.client = x.client and x.dim_1 = t.cat_1 and t.att_agrid = '53'</v>
      </c>
    </row>
    <row r="3788" spans="1:1" ht="13" x14ac:dyDescent="0.3">
      <c r="A378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789" spans="1:1" ht="13" x14ac:dyDescent="0.3">
      <c r="A3789" s="21" t="s">
        <v>970</v>
      </c>
    </row>
    <row r="3790" spans="1:1" ht="13" x14ac:dyDescent="0.3">
      <c r="A3790" s="21" t="s">
        <v>978</v>
      </c>
    </row>
    <row r="3791" spans="1:1" x14ac:dyDescent="0.25">
      <c r="A3791" t="s">
        <v>979</v>
      </c>
    </row>
    <row r="3792" spans="1:1" x14ac:dyDescent="0.25">
      <c r="A3792" t="s">
        <v>980</v>
      </c>
    </row>
    <row r="3793" spans="1:3" x14ac:dyDescent="0.25">
      <c r="A3793" t="s">
        <v>966</v>
      </c>
    </row>
    <row r="3794" spans="1:3" x14ac:dyDescent="0.25">
      <c r="A3794" t="s">
        <v>953</v>
      </c>
    </row>
    <row r="3795" spans="1:3" x14ac:dyDescent="0.25">
      <c r="A3795" t="s">
        <v>954</v>
      </c>
    </row>
    <row r="3796" spans="1:3" ht="13" x14ac:dyDescent="0.3">
      <c r="A3796" s="20" t="s">
        <v>983</v>
      </c>
    </row>
    <row r="3797" spans="1:3" x14ac:dyDescent="0.25">
      <c r="A3797" s="7" t="s">
        <v>984</v>
      </c>
    </row>
    <row r="3798" spans="1:3" x14ac:dyDescent="0.25">
      <c r="A3798" t="s">
        <v>950</v>
      </c>
    </row>
    <row r="3799" spans="1:3" x14ac:dyDescent="0.25">
      <c r="A3799" t="s">
        <v>951</v>
      </c>
    </row>
    <row r="3800" spans="1:3" ht="14.5" x14ac:dyDescent="0.35">
      <c r="A3800"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800" s="2"/>
    </row>
    <row r="3801" spans="1:3" x14ac:dyDescent="0.25">
      <c r="A3801" t="s">
        <v>952</v>
      </c>
    </row>
    <row r="3802" spans="1:3" x14ac:dyDescent="0.25">
      <c r="A3802" t="s">
        <v>953</v>
      </c>
    </row>
    <row r="3803" spans="1:3" x14ac:dyDescent="0.25">
      <c r="A3803" t="s">
        <v>954</v>
      </c>
    </row>
    <row r="3804" spans="1:3" ht="13" x14ac:dyDescent="0.3">
      <c r="A3804" s="20" t="s">
        <v>985</v>
      </c>
    </row>
    <row r="3805" spans="1:3" x14ac:dyDescent="0.25">
      <c r="A3805" s="7" t="s">
        <v>986</v>
      </c>
    </row>
    <row r="3806" spans="1:3" x14ac:dyDescent="0.25">
      <c r="A3806" t="s">
        <v>987</v>
      </c>
    </row>
    <row r="3807" spans="1:3" ht="13" x14ac:dyDescent="0.3">
      <c r="A3807" s="21" t="str">
        <f>CONCATENATE("sql where a.client = '",$D$172,"' and a.period between '",LEFT($D$170,4),"00' and '",IF(RIGHT($D$171,2)="12",CONCATENATE(LEFT($D$171,4),"14"),$D$171),"'")</f>
        <v>sql where a.client = 'OX' and a.period between '202500' and '202506'</v>
      </c>
    </row>
    <row r="3808" spans="1:3" x14ac:dyDescent="0.25">
      <c r="A3808" t="s">
        <v>952</v>
      </c>
    </row>
    <row r="3809" spans="1:1" x14ac:dyDescent="0.25">
      <c r="A3809" t="s">
        <v>953</v>
      </c>
    </row>
    <row r="3810" spans="1:1" x14ac:dyDescent="0.25">
      <c r="A3810" t="s">
        <v>954</v>
      </c>
    </row>
    <row r="3811" spans="1:1" ht="13" x14ac:dyDescent="0.3">
      <c r="A3811" s="20" t="s">
        <v>988</v>
      </c>
    </row>
    <row r="3812" spans="1:1" x14ac:dyDescent="0.25">
      <c r="A3812" s="7" t="s">
        <v>989</v>
      </c>
    </row>
    <row r="3813" spans="1:1" x14ac:dyDescent="0.25">
      <c r="A3813" t="s">
        <v>950</v>
      </c>
    </row>
    <row r="3814" spans="1:1" x14ac:dyDescent="0.25">
      <c r="A3814" t="s">
        <v>951</v>
      </c>
    </row>
    <row r="3815" spans="1:1" ht="13" x14ac:dyDescent="0.3">
      <c r="A3815"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816" spans="1:1" x14ac:dyDescent="0.25">
      <c r="A3816" t="s">
        <v>952</v>
      </c>
    </row>
    <row r="3817" spans="1:1" x14ac:dyDescent="0.25">
      <c r="A3817" t="s">
        <v>953</v>
      </c>
    </row>
    <row r="3818" spans="1:1" x14ac:dyDescent="0.25">
      <c r="A3818" t="s">
        <v>954</v>
      </c>
    </row>
    <row r="3819" spans="1:1" ht="13" x14ac:dyDescent="0.3">
      <c r="A3819" s="20" t="s">
        <v>990</v>
      </c>
    </row>
    <row r="3820" spans="1:1" x14ac:dyDescent="0.25">
      <c r="A3820" s="7" t="s">
        <v>991</v>
      </c>
    </row>
    <row r="3821" spans="1:1" x14ac:dyDescent="0.25">
      <c r="A3821" t="s">
        <v>950</v>
      </c>
    </row>
    <row r="3822" spans="1:1" x14ac:dyDescent="0.25">
      <c r="A3822" t="s">
        <v>951</v>
      </c>
    </row>
    <row r="3823" spans="1:1" ht="13" x14ac:dyDescent="0.3">
      <c r="A3823"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824" spans="1:1" x14ac:dyDescent="0.25">
      <c r="A3824" t="s">
        <v>952</v>
      </c>
    </row>
    <row r="3825" spans="1:1" x14ac:dyDescent="0.25">
      <c r="A3825" t="s">
        <v>953</v>
      </c>
    </row>
    <row r="3826" spans="1:1" x14ac:dyDescent="0.25">
      <c r="A3826" t="s">
        <v>954</v>
      </c>
    </row>
    <row r="3827" spans="1:1" ht="13" x14ac:dyDescent="0.3">
      <c r="A3827" s="20" t="s">
        <v>992</v>
      </c>
    </row>
    <row r="3828" spans="1:1" x14ac:dyDescent="0.25">
      <c r="A3828" s="7" t="s">
        <v>993</v>
      </c>
    </row>
    <row r="3829" spans="1:1" x14ac:dyDescent="0.25">
      <c r="A3829" t="s">
        <v>950</v>
      </c>
    </row>
    <row r="3830" spans="1:1" x14ac:dyDescent="0.25">
      <c r="A3830" t="s">
        <v>951</v>
      </c>
    </row>
    <row r="3831" spans="1:1" ht="13" x14ac:dyDescent="0.3">
      <c r="A383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832" spans="1:1" x14ac:dyDescent="0.25">
      <c r="A3832" t="s">
        <v>952</v>
      </c>
    </row>
    <row r="3833" spans="1:1" x14ac:dyDescent="0.25">
      <c r="A3833" t="s">
        <v>953</v>
      </c>
    </row>
    <row r="3834" spans="1:1" x14ac:dyDescent="0.25">
      <c r="A3834" t="s">
        <v>994</v>
      </c>
    </row>
    <row r="3835" spans="1:1" x14ac:dyDescent="0.25">
      <c r="A3835" t="str">
        <f>CONCATENATE("sql left outer join acrtrees t on t.client = u.client and u.dim_1 = t.cat_1 and t.att_agrid = '",$F$159,"'")</f>
        <v>sql left outer join acrtrees t on t.client = u.client and u.dim_1 = t.cat_1 and t.att_agrid = '53'</v>
      </c>
    </row>
    <row r="3836" spans="1:1" x14ac:dyDescent="0.25">
      <c r="A3836" t="str">
        <f>CONCATENATE("sql left outer join acrtrees s on s.client = u.client and u.account = s.cat_1 and s.att_agrid = '",$F$160,"'")</f>
        <v>sql left outer join acrtrees s on s.client = u.client and u.account = s.cat_1 and s.att_agrid = '14'</v>
      </c>
    </row>
    <row r="3837" spans="1:1" x14ac:dyDescent="0.25">
      <c r="A3837" t="str">
        <f>CONCATENATE("sql left outer join acrtrees v on v.client = u.client and u.account = v.cat_1 and v.att_agrid = '",$F$161,"'")</f>
        <v>sql left outer join acrtrees v on v.client = u.client and u.account = v.cat_1 and v.att_agrid = '17'</v>
      </c>
    </row>
    <row r="3838" spans="1:1" x14ac:dyDescent="0.25">
      <c r="A3838" t="str">
        <f>CONCATENATE("sql left outer join agldescription d on d.client = u.client and d.dim_value = t.dim_c and d.attribute_id = '",$F$162,"'")</f>
        <v>sql left outer join agldescription d on d.client = u.client and d.dim_value = t.dim_c and d.attribute_id = '82'</v>
      </c>
    </row>
    <row r="3839" spans="1:1" x14ac:dyDescent="0.25">
      <c r="A3839" t="str">
        <f>CONCATENATE("sql left outer join agldescription e on e.client = u.client and e.dim_value = t.dim_b and e.attribute_id = '",$F$163,"'")</f>
        <v>sql left outer join agldescription e on e.client = u.client and e.dim_value = t.dim_b and e.attribute_id = '81'</v>
      </c>
    </row>
    <row r="3840" spans="1:1" x14ac:dyDescent="0.25">
      <c r="A3840" t="str">
        <f>CONCATENATE("sql left outer join agldescription f on f.client = u.client and f.dim_value = t.dim_e and f.attribute_id = '",$F$164,"'")</f>
        <v>sql left outer join agldescription f on f.client = u.client and f.dim_value = t.dim_e and f.attribute_id = '80'</v>
      </c>
    </row>
    <row r="3841" spans="1:33" x14ac:dyDescent="0.25">
      <c r="A3841" t="str">
        <f>CONCATENATE("sql left outer join agldescription g on g.client = u.client and g.dim_value = u.account and g.attribute_id = '",$F$165,"'")</f>
        <v>sql left outer join agldescription g on g.client = u.client and g.dim_value = u.account and g.attribute_id = 'A0'</v>
      </c>
    </row>
    <row r="3842" spans="1:33" ht="14.5" x14ac:dyDescent="0.35">
      <c r="A3842" s="67" t="s">
        <v>1076</v>
      </c>
      <c r="G3842" s="737" t="s">
        <v>1077</v>
      </c>
    </row>
    <row r="3843" spans="1:33" x14ac:dyDescent="0.25">
      <c r="A3843" t="s">
        <v>1005</v>
      </c>
    </row>
    <row r="3844" spans="1:33" x14ac:dyDescent="0.25">
      <c r="A3844" t="s">
        <v>1006</v>
      </c>
    </row>
    <row r="3845" spans="1:33" x14ac:dyDescent="0.25">
      <c r="A3845" t="s">
        <v>1007</v>
      </c>
    </row>
    <row r="3846" spans="1:33" ht="13" x14ac:dyDescent="0.3">
      <c r="A3846" t="s">
        <v>1012</v>
      </c>
      <c r="C3846" s="29"/>
      <c r="D3846" s="36">
        <v>1000</v>
      </c>
      <c r="E3846" s="36">
        <v>1000</v>
      </c>
      <c r="F3846" s="22">
        <v>1000</v>
      </c>
      <c r="G3846" s="22">
        <v>1000</v>
      </c>
      <c r="H3846" s="22">
        <v>1000</v>
      </c>
      <c r="I3846" s="22">
        <v>1000</v>
      </c>
      <c r="J3846" s="22">
        <v>1000</v>
      </c>
      <c r="K3846" s="22">
        <v>1000</v>
      </c>
      <c r="L3846" s="22"/>
      <c r="M3846" s="36"/>
      <c r="N3846" s="36"/>
      <c r="O3846" s="36">
        <v>1000</v>
      </c>
      <c r="P3846" s="36">
        <v>1000</v>
      </c>
      <c r="Q3846" s="36">
        <v>1000</v>
      </c>
      <c r="R3846" s="36">
        <v>1000</v>
      </c>
      <c r="S3846" s="36">
        <v>1000</v>
      </c>
      <c r="T3846" s="36"/>
      <c r="U3846" s="36"/>
      <c r="V3846" s="58"/>
      <c r="W3846" s="36">
        <v>1000</v>
      </c>
      <c r="X3846" s="36">
        <v>1000</v>
      </c>
      <c r="Y3846" s="36"/>
      <c r="Z3846" s="36"/>
      <c r="AA3846" s="40"/>
      <c r="AB3846" s="60"/>
      <c r="AC3846" s="98"/>
      <c r="AD3846" s="36"/>
      <c r="AE3846" s="36"/>
      <c r="AF3846" s="36"/>
      <c r="AG3846" s="99"/>
    </row>
    <row r="3847" spans="1:33" ht="13" x14ac:dyDescent="0.3">
      <c r="A3847" s="7" t="s">
        <v>1013</v>
      </c>
      <c r="C3847" s="29"/>
      <c r="D3847" s="36">
        <v>0</v>
      </c>
      <c r="E3847" s="36">
        <v>0</v>
      </c>
      <c r="F3847" s="22">
        <v>0</v>
      </c>
      <c r="G3847" s="22">
        <v>0</v>
      </c>
      <c r="H3847" s="22">
        <v>0</v>
      </c>
      <c r="I3847" s="22">
        <v>0</v>
      </c>
      <c r="J3847" s="22">
        <v>0</v>
      </c>
      <c r="K3847" s="22">
        <v>0</v>
      </c>
      <c r="L3847" s="22"/>
      <c r="M3847" s="36"/>
      <c r="N3847" s="36"/>
      <c r="O3847" s="36">
        <v>0</v>
      </c>
      <c r="P3847" s="36">
        <v>0</v>
      </c>
      <c r="Q3847" s="36">
        <v>0</v>
      </c>
      <c r="R3847" s="36">
        <v>0</v>
      </c>
      <c r="S3847" s="36">
        <v>0</v>
      </c>
      <c r="T3847" s="36"/>
      <c r="U3847" s="36"/>
      <c r="V3847" s="58"/>
      <c r="W3847" s="36">
        <v>0</v>
      </c>
      <c r="X3847" s="36">
        <v>0</v>
      </c>
      <c r="Y3847" s="36"/>
      <c r="Z3847" s="36"/>
      <c r="AA3847" s="40"/>
      <c r="AB3847" s="60"/>
      <c r="AC3847" s="98"/>
      <c r="AD3847" s="36"/>
      <c r="AE3847" s="36"/>
      <c r="AF3847" s="36"/>
      <c r="AG3847" s="99"/>
    </row>
    <row r="3848" spans="1:33" ht="13" x14ac:dyDescent="0.3">
      <c r="A3848" t="s">
        <v>1014</v>
      </c>
      <c r="C3848" s="30"/>
      <c r="D3848" s="36"/>
      <c r="E3848" s="36"/>
      <c r="F3848" s="57"/>
      <c r="G3848" s="57"/>
      <c r="H3848" s="57"/>
      <c r="I3848" s="57"/>
      <c r="J3848" s="57"/>
      <c r="K3848" s="57"/>
      <c r="L3848" s="57"/>
      <c r="M3848" s="36"/>
      <c r="N3848" s="36"/>
      <c r="O3848" s="36"/>
      <c r="P3848" s="36" t="s">
        <v>1015</v>
      </c>
      <c r="Q3848" s="36" t="s">
        <v>1016</v>
      </c>
      <c r="R3848" s="36"/>
      <c r="S3848" s="36"/>
      <c r="T3848" s="36"/>
      <c r="U3848" s="36"/>
      <c r="V3848" s="58"/>
      <c r="W3848" s="36"/>
      <c r="X3848" s="36"/>
      <c r="Y3848" s="36"/>
      <c r="Z3848" s="36"/>
      <c r="AA3848" s="40"/>
      <c r="AB3848" s="60"/>
      <c r="AC3848" s="98"/>
      <c r="AD3848" s="36"/>
      <c r="AE3848" s="36"/>
      <c r="AF3848" s="36"/>
      <c r="AG3848" s="99"/>
    </row>
    <row r="3849" spans="1:33" ht="13" x14ac:dyDescent="0.3">
      <c r="A3849" t="s">
        <v>1017</v>
      </c>
      <c r="C3849" s="79" t="s">
        <v>1078</v>
      </c>
      <c r="D3849" s="36" t="s">
        <v>1019</v>
      </c>
      <c r="E3849" s="36" t="s">
        <v>1020</v>
      </c>
      <c r="F3849" s="22" t="s">
        <v>1021</v>
      </c>
      <c r="G3849" s="22" t="s">
        <v>1022</v>
      </c>
      <c r="H3849" s="22" t="s">
        <v>1023</v>
      </c>
      <c r="I3849" s="22" t="s">
        <v>1024</v>
      </c>
      <c r="J3849" s="22" t="s">
        <v>1025</v>
      </c>
      <c r="K3849" s="22" t="s">
        <v>1026</v>
      </c>
      <c r="L3849" s="22"/>
      <c r="M3849" s="36"/>
      <c r="N3849" s="36"/>
      <c r="O3849" s="36" t="s">
        <v>1027</v>
      </c>
      <c r="P3849" s="36" t="s">
        <v>1028</v>
      </c>
      <c r="Q3849" s="36" t="s">
        <v>1028</v>
      </c>
      <c r="R3849" s="36" t="s">
        <v>1028</v>
      </c>
      <c r="S3849" s="36" t="s">
        <v>1029</v>
      </c>
      <c r="T3849" s="36"/>
      <c r="U3849" s="36"/>
      <c r="V3849" s="58"/>
      <c r="W3849" s="36" t="s">
        <v>1030</v>
      </c>
      <c r="X3849" s="36" t="s">
        <v>1031</v>
      </c>
      <c r="Y3849" s="36"/>
      <c r="Z3849" s="36"/>
      <c r="AA3849" s="40"/>
      <c r="AB3849" s="60"/>
      <c r="AC3849" s="98"/>
      <c r="AD3849" s="36"/>
      <c r="AE3849" s="36"/>
      <c r="AF3849" s="36"/>
      <c r="AG3849" s="99"/>
    </row>
    <row r="3850" spans="1:33" ht="13" x14ac:dyDescent="0.3">
      <c r="C3850" s="85"/>
      <c r="D3850" s="86"/>
      <c r="E3850" s="86"/>
      <c r="F3850" s="87"/>
      <c r="G3850" s="87"/>
      <c r="H3850" s="87"/>
      <c r="I3850" s="87"/>
      <c r="J3850" s="87"/>
      <c r="K3850" s="87"/>
      <c r="L3850" s="87"/>
      <c r="M3850" s="86"/>
      <c r="N3850" s="86"/>
      <c r="O3850" s="86"/>
      <c r="P3850" s="86"/>
      <c r="Q3850" s="86"/>
      <c r="R3850" s="86"/>
      <c r="S3850" s="86"/>
      <c r="T3850" s="86"/>
      <c r="U3850" s="86"/>
      <c r="V3850" s="88"/>
      <c r="W3850" s="86"/>
      <c r="X3850" s="86"/>
      <c r="Y3850" s="86"/>
      <c r="Z3850" s="86"/>
      <c r="AA3850" s="89"/>
      <c r="AB3850" s="60"/>
      <c r="AC3850" s="98"/>
      <c r="AD3850" s="36"/>
      <c r="AE3850" s="36"/>
      <c r="AF3850" s="36"/>
      <c r="AG3850" s="99"/>
    </row>
    <row r="3851" spans="1:33" ht="13" x14ac:dyDescent="0.3">
      <c r="C3851" s="78" t="s">
        <v>149</v>
      </c>
      <c r="D3851" s="34">
        <f t="shared" ref="D3851:K3851" si="5">SUM(D3852:D3854)</f>
        <v>0</v>
      </c>
      <c r="E3851" s="34">
        <f t="shared" si="5"/>
        <v>0</v>
      </c>
      <c r="F3851" s="24">
        <f t="shared" si="5"/>
        <v>0</v>
      </c>
      <c r="G3851" s="24">
        <f t="shared" si="5"/>
        <v>0</v>
      </c>
      <c r="H3851" s="24">
        <f t="shared" si="5"/>
        <v>0</v>
      </c>
      <c r="I3851" s="24">
        <f t="shared" si="5"/>
        <v>0</v>
      </c>
      <c r="J3851" s="24">
        <f t="shared" si="5"/>
        <v>0</v>
      </c>
      <c r="K3851" s="24">
        <f t="shared" si="5"/>
        <v>0</v>
      </c>
      <c r="L3851" s="24">
        <f>SUM(F3851:K3851)</f>
        <v>0</v>
      </c>
      <c r="M3851" s="34">
        <f>O3851-E3851</f>
        <v>0</v>
      </c>
      <c r="N3851" s="34">
        <f>O3851-D3851</f>
        <v>0</v>
      </c>
      <c r="O3851" s="34">
        <f>SUM(O3852:O3854)</f>
        <v>0</v>
      </c>
      <c r="P3851" s="34">
        <f>SUM(P3852:P3854)</f>
        <v>0</v>
      </c>
      <c r="Q3851" s="34">
        <f>SUM(Q3852:Q3854)</f>
        <v>0</v>
      </c>
      <c r="R3851" s="34">
        <f>SUM(R3852:R3854)</f>
        <v>0</v>
      </c>
      <c r="S3851" s="34">
        <f>SUM(S3852:S3854)</f>
        <v>0</v>
      </c>
      <c r="T3851" s="34">
        <f>R3851-S3851</f>
        <v>0</v>
      </c>
      <c r="U3851" s="94" t="str">
        <f>IFERROR((R3851/O3851)*100%,"∞")</f>
        <v>∞</v>
      </c>
      <c r="V3851" s="95">
        <f>O3851+W3851</f>
        <v>0</v>
      </c>
      <c r="W3851" s="34">
        <f>SUM(W3852:W3854)</f>
        <v>0</v>
      </c>
      <c r="X3851" s="34">
        <f>SUM(X3852:X3854)</f>
        <v>0</v>
      </c>
      <c r="Y3851" s="34"/>
      <c r="Z3851" s="34"/>
      <c r="AA3851" s="41"/>
      <c r="AB3851" s="60"/>
      <c r="AC3851" s="100">
        <f>SUM(AC3852:AC3854)</f>
        <v>0</v>
      </c>
      <c r="AD3851" s="33">
        <f>SUM(AD3852:AD3854)</f>
        <v>0</v>
      </c>
      <c r="AE3851" s="33">
        <f>SUM(AE3852:AE3854)</f>
        <v>0</v>
      </c>
      <c r="AF3851" s="33">
        <f>SUM(AF3852:AF3854)</f>
        <v>0</v>
      </c>
      <c r="AG3851" s="101">
        <f>SUM(AG3852:AG3854)</f>
        <v>0</v>
      </c>
    </row>
    <row r="3852" spans="1:33" ht="13" x14ac:dyDescent="0.3">
      <c r="A3852" t="s">
        <v>232</v>
      </c>
      <c r="C3852" s="78"/>
      <c r="D3852" s="33"/>
      <c r="E3852" s="33"/>
      <c r="F3852" s="23"/>
      <c r="G3852" s="23"/>
      <c r="H3852" s="23"/>
      <c r="I3852" s="23"/>
      <c r="J3852" s="23"/>
      <c r="K3852" s="23"/>
      <c r="L3852" s="23"/>
      <c r="M3852" s="33"/>
      <c r="N3852" s="33"/>
      <c r="O3852" s="33"/>
      <c r="P3852" s="33"/>
      <c r="Q3852" s="33"/>
      <c r="R3852" s="33"/>
      <c r="S3852" s="33"/>
      <c r="T3852" s="33"/>
      <c r="U3852" s="38"/>
      <c r="V3852" s="59"/>
      <c r="W3852" s="33"/>
      <c r="X3852" s="33"/>
      <c r="Y3852" s="33"/>
      <c r="Z3852" s="33"/>
      <c r="AA3852" s="42"/>
      <c r="AB3852" s="60"/>
      <c r="AC3852" s="100"/>
      <c r="AD3852" s="33"/>
      <c r="AE3852" s="33"/>
      <c r="AF3852" s="33"/>
      <c r="AG3852" s="101"/>
    </row>
    <row r="3853" spans="1:33" ht="13" outlineLevel="1" x14ac:dyDescent="0.3">
      <c r="A3853" t="s">
        <v>1079</v>
      </c>
      <c r="C3853" s="79">
        <v>0</v>
      </c>
      <c r="D3853" s="33">
        <v>0</v>
      </c>
      <c r="E3853" s="33">
        <v>0</v>
      </c>
      <c r="F3853" s="23">
        <v>0</v>
      </c>
      <c r="G3853" s="23">
        <v>0</v>
      </c>
      <c r="H3853" s="23">
        <v>0</v>
      </c>
      <c r="I3853" s="23">
        <v>0</v>
      </c>
      <c r="J3853" s="23">
        <v>0</v>
      </c>
      <c r="K3853" s="23">
        <v>0</v>
      </c>
      <c r="L3853" s="23">
        <f>SUM(F3853:K3853)</f>
        <v>0</v>
      </c>
      <c r="M3853" s="33">
        <f>O3853-E3853</f>
        <v>0</v>
      </c>
      <c r="N3853" s="33">
        <f>O3853-D3853</f>
        <v>0</v>
      </c>
      <c r="O3853" s="33">
        <v>0</v>
      </c>
      <c r="P3853" s="33">
        <v>0</v>
      </c>
      <c r="Q3853" s="33">
        <v>0</v>
      </c>
      <c r="R3853" s="33">
        <v>0</v>
      </c>
      <c r="S3853" s="33">
        <v>0</v>
      </c>
      <c r="T3853" s="33">
        <f>R3853-S3853</f>
        <v>0</v>
      </c>
      <c r="U3853" s="38" t="str">
        <f>IFERROR((R3853/O3853)*100%,"∞")</f>
        <v>∞</v>
      </c>
      <c r="V3853" s="59">
        <f>O3853+W3853</f>
        <v>0</v>
      </c>
      <c r="W3853" s="33">
        <v>0</v>
      </c>
      <c r="X3853" s="33">
        <v>0</v>
      </c>
      <c r="Y3853" s="33"/>
      <c r="Z3853" s="33"/>
      <c r="AA3853" s="42"/>
      <c r="AB3853" s="60"/>
      <c r="AC3853" s="105"/>
      <c r="AD3853" s="93"/>
      <c r="AE3853" s="33">
        <f>SUM(AC3853:AD3853)</f>
        <v>0</v>
      </c>
      <c r="AF3853" s="33">
        <f>R3853+AE3853</f>
        <v>0</v>
      </c>
      <c r="AG3853" s="101">
        <f>AF3853-O3853</f>
        <v>0</v>
      </c>
    </row>
    <row r="3854" spans="1:33" x14ac:dyDescent="0.25">
      <c r="A3854" t="s">
        <v>232</v>
      </c>
    </row>
    <row r="3855" spans="1:33" ht="13.5" thickBot="1" x14ac:dyDescent="0.35">
      <c r="C3855" s="80"/>
      <c r="D3855" s="81"/>
      <c r="E3855" s="81"/>
      <c r="F3855" s="82"/>
      <c r="G3855" s="82"/>
      <c r="H3855" s="82"/>
      <c r="I3855" s="82"/>
      <c r="J3855" s="82"/>
      <c r="K3855" s="82"/>
      <c r="L3855" s="82"/>
      <c r="M3855" s="81"/>
      <c r="N3855" s="81"/>
      <c r="O3855" s="81"/>
      <c r="P3855" s="81"/>
      <c r="Q3855" s="81"/>
      <c r="R3855" s="81"/>
      <c r="S3855" s="81"/>
      <c r="T3855" s="81"/>
      <c r="U3855" s="81"/>
      <c r="V3855" s="83"/>
      <c r="W3855" s="81"/>
      <c r="X3855" s="81"/>
      <c r="Y3855" s="81"/>
      <c r="Z3855" s="81"/>
      <c r="AA3855" s="84"/>
      <c r="AB3855" s="60"/>
      <c r="AC3855" s="100"/>
      <c r="AD3855" s="33"/>
      <c r="AE3855" s="33"/>
      <c r="AF3855" s="33"/>
      <c r="AG3855" s="101"/>
    </row>
    <row r="3856" spans="1:33" ht="13.5" thickBot="1" x14ac:dyDescent="0.35">
      <c r="C3856" s="91" t="s">
        <v>155</v>
      </c>
      <c r="D3856" s="76">
        <f t="shared" ref="D3856:K3856" si="6">D3499+D3851</f>
        <v>0</v>
      </c>
      <c r="E3856" s="76">
        <f t="shared" si="6"/>
        <v>0</v>
      </c>
      <c r="F3856" s="76">
        <f t="shared" si="6"/>
        <v>0</v>
      </c>
      <c r="G3856" s="76">
        <f t="shared" si="6"/>
        <v>0</v>
      </c>
      <c r="H3856" s="76">
        <f t="shared" si="6"/>
        <v>0</v>
      </c>
      <c r="I3856" s="76">
        <f t="shared" si="6"/>
        <v>0</v>
      </c>
      <c r="J3856" s="76">
        <f t="shared" si="6"/>
        <v>0</v>
      </c>
      <c r="K3856" s="76">
        <f t="shared" si="6"/>
        <v>0</v>
      </c>
      <c r="L3856" s="76">
        <f>SUM(F3856:K3856)</f>
        <v>0</v>
      </c>
      <c r="M3856" s="76">
        <f>O3856-E3856</f>
        <v>0</v>
      </c>
      <c r="N3856" s="76">
        <f>O3856-D3856</f>
        <v>0</v>
      </c>
      <c r="O3856" s="76">
        <f>O3499+O3851</f>
        <v>0</v>
      </c>
      <c r="P3856" s="76">
        <f>P3499+P3851</f>
        <v>0</v>
      </c>
      <c r="Q3856" s="76">
        <f>Q3499+Q3851</f>
        <v>0</v>
      </c>
      <c r="R3856" s="76">
        <f>R3499+R3851</f>
        <v>0</v>
      </c>
      <c r="S3856" s="76">
        <f>S3499+S3851</f>
        <v>0</v>
      </c>
      <c r="T3856" s="76">
        <f>R3856-S3856</f>
        <v>0</v>
      </c>
      <c r="U3856" s="92" t="str">
        <f>IFERROR((R3856/O3856)*100%,"∞")</f>
        <v>∞</v>
      </c>
      <c r="V3856" s="76">
        <f>O3856+W3856</f>
        <v>0</v>
      </c>
      <c r="W3856" s="76">
        <f>W3499+W3851</f>
        <v>0</v>
      </c>
      <c r="X3856" s="76">
        <f>X3499+X3851</f>
        <v>0</v>
      </c>
      <c r="Y3856" s="76">
        <f>Y3499+Y3851</f>
        <v>0</v>
      </c>
      <c r="Z3856" s="76">
        <f>Z3499+Z3851</f>
        <v>0</v>
      </c>
      <c r="AA3856" s="76">
        <f>AA3499+AA3851</f>
        <v>0</v>
      </c>
      <c r="AB3856" s="60"/>
      <c r="AC3856" s="76">
        <f>AC3499+AC3851</f>
        <v>0</v>
      </c>
      <c r="AD3856" s="76">
        <f>AD3499+AD3851</f>
        <v>0</v>
      </c>
      <c r="AE3856" s="76">
        <f>AE3499+AE3851</f>
        <v>0</v>
      </c>
      <c r="AF3856" s="76">
        <f>AF3499+AF3851</f>
        <v>0</v>
      </c>
      <c r="AG3856" s="76">
        <f>AG3499+AG3851</f>
        <v>0</v>
      </c>
    </row>
    <row r="3857" spans="1:33" ht="14" thickTop="1" thickBot="1" x14ac:dyDescent="0.35">
      <c r="C3857" s="80"/>
      <c r="D3857" s="81"/>
      <c r="E3857" s="81"/>
      <c r="F3857" s="82"/>
      <c r="G3857" s="82"/>
      <c r="H3857" s="82"/>
      <c r="I3857" s="82"/>
      <c r="J3857" s="82"/>
      <c r="K3857" s="82"/>
      <c r="L3857" s="82"/>
      <c r="M3857" s="81"/>
      <c r="N3857" s="81"/>
      <c r="O3857" s="81"/>
      <c r="P3857" s="81"/>
      <c r="Q3857" s="81"/>
      <c r="R3857" s="81"/>
      <c r="S3857" s="81"/>
      <c r="T3857" s="81"/>
      <c r="U3857" s="81"/>
      <c r="V3857" s="83"/>
      <c r="W3857" s="81"/>
      <c r="X3857" s="81"/>
      <c r="Y3857" s="81"/>
      <c r="Z3857" s="81"/>
      <c r="AA3857" s="84"/>
      <c r="AB3857" s="60"/>
      <c r="AC3857" s="100"/>
      <c r="AD3857" s="33"/>
      <c r="AE3857" s="33"/>
      <c r="AF3857" s="33"/>
      <c r="AG3857" s="101"/>
    </row>
    <row r="3858" spans="1:33" ht="13.5" thickBot="1" x14ac:dyDescent="0.35">
      <c r="C3858" s="91" t="s">
        <v>156</v>
      </c>
      <c r="D3858" s="76">
        <f t="shared" ref="D3858:K3858" si="7">D189+D3324+D3856</f>
        <v>0</v>
      </c>
      <c r="E3858" s="76">
        <f t="shared" si="7"/>
        <v>0</v>
      </c>
      <c r="F3858" s="76">
        <f t="shared" si="7"/>
        <v>0</v>
      </c>
      <c r="G3858" s="76">
        <f t="shared" si="7"/>
        <v>0</v>
      </c>
      <c r="H3858" s="76">
        <f t="shared" si="7"/>
        <v>0</v>
      </c>
      <c r="I3858" s="76">
        <f t="shared" si="7"/>
        <v>0</v>
      </c>
      <c r="J3858" s="76">
        <f t="shared" si="7"/>
        <v>0</v>
      </c>
      <c r="K3858" s="76">
        <f t="shared" si="7"/>
        <v>0</v>
      </c>
      <c r="L3858" s="76">
        <f>SUM(F3858:K3858)</f>
        <v>0</v>
      </c>
      <c r="M3858" s="76">
        <f>O3858-E3858</f>
        <v>0</v>
      </c>
      <c r="N3858" s="76">
        <f>O3858-D3858</f>
        <v>0</v>
      </c>
      <c r="O3858" s="76">
        <f>O189+O3324+O3856</f>
        <v>0</v>
      </c>
      <c r="P3858" s="76">
        <f>P189+P3324+P3856</f>
        <v>0</v>
      </c>
      <c r="Q3858" s="76">
        <f>Q189+Q3324+Q3856</f>
        <v>0</v>
      </c>
      <c r="R3858" s="76">
        <f>R189+R3324+R3856</f>
        <v>0</v>
      </c>
      <c r="S3858" s="76">
        <f>S189+S3324+S3856</f>
        <v>0</v>
      </c>
      <c r="T3858" s="76">
        <f>R3858-S3858</f>
        <v>0</v>
      </c>
      <c r="U3858" s="92" t="str">
        <f>IFERROR((R3858/O3858)*100%,"∞")</f>
        <v>∞</v>
      </c>
      <c r="V3858" s="76">
        <f>O3858+W3858</f>
        <v>0</v>
      </c>
      <c r="W3858" s="76">
        <f>W189+W3324+W3856</f>
        <v>0</v>
      </c>
      <c r="X3858" s="76">
        <f>X189+X3324+X3856</f>
        <v>0</v>
      </c>
      <c r="Y3858" s="76">
        <f>Y189+Y3324+Y3856</f>
        <v>0</v>
      </c>
      <c r="Z3858" s="76">
        <f>Z189+Z3324+Z3856</f>
        <v>0</v>
      </c>
      <c r="AA3858" s="76">
        <f>AA189+AA3324+AA3856</f>
        <v>0</v>
      </c>
      <c r="AB3858" s="60"/>
      <c r="AC3858" s="76">
        <f>AC189+AC3324+AC3856</f>
        <v>0</v>
      </c>
      <c r="AD3858" s="76">
        <f>AD189+AD3324+AD3856</f>
        <v>0</v>
      </c>
      <c r="AE3858" s="76">
        <f>AE189+AE3324+AE3856</f>
        <v>0</v>
      </c>
      <c r="AF3858" s="76">
        <f>AF189+AF3324+AF3856</f>
        <v>0</v>
      </c>
      <c r="AG3858" s="76">
        <f>AG189+AG3324+AG3856</f>
        <v>0</v>
      </c>
    </row>
    <row r="3859" spans="1:33" ht="13.5" thickTop="1" x14ac:dyDescent="0.3">
      <c r="C3859" s="71"/>
      <c r="D3859" s="72"/>
      <c r="E3859" s="72"/>
      <c r="F3859" s="73"/>
      <c r="G3859" s="73"/>
      <c r="H3859" s="73"/>
      <c r="I3859" s="73"/>
      <c r="J3859" s="73"/>
      <c r="K3859" s="73"/>
      <c r="L3859" s="73"/>
      <c r="M3859" s="72"/>
      <c r="N3859" s="72"/>
      <c r="O3859" s="72"/>
      <c r="P3859" s="72"/>
      <c r="Q3859" s="72"/>
      <c r="R3859" s="72"/>
      <c r="S3859" s="72"/>
      <c r="T3859" s="72"/>
      <c r="U3859" s="72"/>
      <c r="V3859" s="74"/>
      <c r="W3859" s="72"/>
      <c r="X3859" s="72"/>
      <c r="Y3859" s="72"/>
      <c r="Z3859" s="72"/>
      <c r="AA3859" s="75"/>
      <c r="AB3859" s="60"/>
      <c r="AC3859" s="100"/>
      <c r="AD3859" s="33"/>
      <c r="AE3859" s="33"/>
      <c r="AF3859" s="33"/>
      <c r="AG3859" s="101"/>
    </row>
    <row r="3860" spans="1:33" x14ac:dyDescent="0.25">
      <c r="A3860" t="s">
        <v>232</v>
      </c>
    </row>
    <row r="3861" spans="1:33" x14ac:dyDescent="0.25">
      <c r="A3861" t="s">
        <v>944</v>
      </c>
      <c r="M3861" s="19"/>
      <c r="N3861" s="19"/>
    </row>
    <row r="3862" spans="1:33" x14ac:dyDescent="0.25">
      <c r="A3862" t="s">
        <v>946</v>
      </c>
      <c r="E3862" s="19"/>
    </row>
    <row r="3863" spans="1:33" x14ac:dyDescent="0.25">
      <c r="A3863" t="s">
        <v>947</v>
      </c>
      <c r="E3863" s="19"/>
      <c r="F3863" s="19"/>
    </row>
    <row r="3864" spans="1:33" ht="13" x14ac:dyDescent="0.3">
      <c r="A3864" s="20" t="s">
        <v>948</v>
      </c>
    </row>
    <row r="3865" spans="1:33" x14ac:dyDescent="0.25">
      <c r="A3865" s="7" t="s">
        <v>949</v>
      </c>
    </row>
    <row r="3866" spans="1:33" x14ac:dyDescent="0.25">
      <c r="A3866" t="s">
        <v>950</v>
      </c>
    </row>
    <row r="3867" spans="1:33" x14ac:dyDescent="0.25">
      <c r="A3867" t="s">
        <v>951</v>
      </c>
    </row>
    <row r="3868" spans="1:33" ht="13" x14ac:dyDescent="0.3">
      <c r="A3868" s="21" t="str">
        <f>CONCATENATE("sql where a.client = '",$D$172,"' and a.period between '",LEFT($D$170,4),"00' and '",LEFT($D$171,4),"14' and a.version like '%ORIG%'")</f>
        <v>sql where a.client = 'OX' and a.period between '202500' and '202514' and a.version like '%ORIG%'</v>
      </c>
    </row>
    <row r="3869" spans="1:33" x14ac:dyDescent="0.25">
      <c r="A3869" t="s">
        <v>952</v>
      </c>
    </row>
    <row r="3870" spans="1:33" x14ac:dyDescent="0.25">
      <c r="A3870" t="s">
        <v>953</v>
      </c>
    </row>
    <row r="3871" spans="1:33" x14ac:dyDescent="0.25">
      <c r="A3871" t="s">
        <v>954</v>
      </c>
    </row>
    <row r="3872" spans="1:33" ht="13" x14ac:dyDescent="0.3">
      <c r="A3872" s="20" t="s">
        <v>955</v>
      </c>
    </row>
    <row r="3873" spans="1:3" x14ac:dyDescent="0.25">
      <c r="A3873" s="7" t="s">
        <v>956</v>
      </c>
    </row>
    <row r="3874" spans="1:3" x14ac:dyDescent="0.25">
      <c r="A3874" t="s">
        <v>950</v>
      </c>
    </row>
    <row r="3875" spans="1:3" x14ac:dyDescent="0.25">
      <c r="A3875" t="s">
        <v>951</v>
      </c>
    </row>
    <row r="3876" spans="1:3" ht="14.5" x14ac:dyDescent="0.35">
      <c r="A387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876" s="2"/>
    </row>
    <row r="3877" spans="1:3" x14ac:dyDescent="0.25">
      <c r="A3877" t="s">
        <v>952</v>
      </c>
    </row>
    <row r="3878" spans="1:3" x14ac:dyDescent="0.25">
      <c r="A3878" t="s">
        <v>953</v>
      </c>
    </row>
    <row r="3879" spans="1:3" x14ac:dyDescent="0.25">
      <c r="A3879" t="s">
        <v>954</v>
      </c>
    </row>
    <row r="3880" spans="1:3" ht="13" x14ac:dyDescent="0.3">
      <c r="A3880" s="66" t="s">
        <v>957</v>
      </c>
    </row>
    <row r="3881" spans="1:3" x14ac:dyDescent="0.25">
      <c r="A3881" t="s">
        <v>958</v>
      </c>
    </row>
    <row r="3882" spans="1:3" x14ac:dyDescent="0.25">
      <c r="A3882" t="s">
        <v>950</v>
      </c>
    </row>
    <row r="3883" spans="1:3" ht="13" x14ac:dyDescent="0.3">
      <c r="A388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884" spans="1:3" ht="13" x14ac:dyDescent="0.3">
      <c r="A3884" s="21" t="s">
        <v>959</v>
      </c>
    </row>
    <row r="3885" spans="1:3" x14ac:dyDescent="0.25">
      <c r="A3885" t="s">
        <v>960</v>
      </c>
    </row>
    <row r="3886" spans="1:3" x14ac:dyDescent="0.25">
      <c r="A3886" t="s">
        <v>961</v>
      </c>
    </row>
    <row r="3887" spans="1:3" x14ac:dyDescent="0.25">
      <c r="A3887" t="str">
        <f>CONCATENATE("sql left outer join acrtrees t on t.client = x.client and x.dim_1 = t.cat_1 and t.att_agrid = '",$F$159,"'")</f>
        <v>sql left outer join acrtrees t on t.client = x.client and x.dim_1 = t.cat_1 and t.att_agrid = '53'</v>
      </c>
    </row>
    <row r="3888" spans="1:3" ht="13" x14ac:dyDescent="0.3">
      <c r="A388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889" spans="1:1" ht="13" x14ac:dyDescent="0.3">
      <c r="A3889" s="21" t="s">
        <v>962</v>
      </c>
    </row>
    <row r="3890" spans="1:1" ht="13" x14ac:dyDescent="0.3">
      <c r="A389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891" spans="1:1" ht="13" x14ac:dyDescent="0.3">
      <c r="A3891" s="21" t="s">
        <v>963</v>
      </c>
    </row>
    <row r="3892" spans="1:1" x14ac:dyDescent="0.25">
      <c r="A3892" t="s">
        <v>964</v>
      </c>
    </row>
    <row r="3893" spans="1:1" x14ac:dyDescent="0.25">
      <c r="A3893" t="s">
        <v>965</v>
      </c>
    </row>
    <row r="3894" spans="1:1" x14ac:dyDescent="0.25">
      <c r="A3894" t="s">
        <v>966</v>
      </c>
    </row>
    <row r="3895" spans="1:1" x14ac:dyDescent="0.25">
      <c r="A3895" t="s">
        <v>953</v>
      </c>
    </row>
    <row r="3896" spans="1:1" x14ac:dyDescent="0.25">
      <c r="A3896" t="s">
        <v>954</v>
      </c>
    </row>
    <row r="3897" spans="1:1" ht="13" x14ac:dyDescent="0.3">
      <c r="A3897" s="66" t="s">
        <v>967</v>
      </c>
    </row>
    <row r="3898" spans="1:1" x14ac:dyDescent="0.25">
      <c r="A3898" t="s">
        <v>968</v>
      </c>
    </row>
    <row r="3899" spans="1:1" x14ac:dyDescent="0.25">
      <c r="A3899" t="s">
        <v>950</v>
      </c>
    </row>
    <row r="3900" spans="1:1" ht="13" x14ac:dyDescent="0.3">
      <c r="A390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901" spans="1:1" ht="13" x14ac:dyDescent="0.3">
      <c r="A3901" s="21" t="s">
        <v>969</v>
      </c>
    </row>
    <row r="3902" spans="1:1" ht="13" x14ac:dyDescent="0.3">
      <c r="A3902" s="21" t="s">
        <v>959</v>
      </c>
    </row>
    <row r="3903" spans="1:1" x14ac:dyDescent="0.25">
      <c r="A3903" t="s">
        <v>960</v>
      </c>
    </row>
    <row r="3904" spans="1:1" x14ac:dyDescent="0.25">
      <c r="A3904" t="s">
        <v>961</v>
      </c>
    </row>
    <row r="3905" spans="1:1" x14ac:dyDescent="0.25">
      <c r="A3905" t="str">
        <f>CONCATENATE("sql left outer join acrtrees t on t.client = x.client and x.dim_1 = t.cat_1 and t.att_agrid = '",$F$159,"'")</f>
        <v>sql left outer join acrtrees t on t.client = x.client and x.dim_1 = t.cat_1 and t.att_agrid = '53'</v>
      </c>
    </row>
    <row r="3906" spans="1:1" ht="13" x14ac:dyDescent="0.3">
      <c r="A390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907" spans="1:1" ht="13" x14ac:dyDescent="0.3">
      <c r="A3907" s="21" t="s">
        <v>970</v>
      </c>
    </row>
    <row r="3908" spans="1:1" ht="13" x14ac:dyDescent="0.3">
      <c r="A3908" s="21" t="s">
        <v>962</v>
      </c>
    </row>
    <row r="3909" spans="1:1" ht="13" x14ac:dyDescent="0.3">
      <c r="A390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910" spans="1:1" ht="13" x14ac:dyDescent="0.3">
      <c r="A3910" s="21" t="s">
        <v>970</v>
      </c>
    </row>
    <row r="3911" spans="1:1" ht="13" x14ac:dyDescent="0.3">
      <c r="A3911" s="21" t="s">
        <v>963</v>
      </c>
    </row>
    <row r="3912" spans="1:1" x14ac:dyDescent="0.25">
      <c r="A3912" t="s">
        <v>964</v>
      </c>
    </row>
    <row r="3913" spans="1:1" x14ac:dyDescent="0.25">
      <c r="A3913" t="s">
        <v>965</v>
      </c>
    </row>
    <row r="3914" spans="1:1" x14ac:dyDescent="0.25">
      <c r="A3914" t="s">
        <v>966</v>
      </c>
    </row>
    <row r="3915" spans="1:1" x14ac:dyDescent="0.25">
      <c r="A3915" t="s">
        <v>953</v>
      </c>
    </row>
    <row r="3916" spans="1:1" x14ac:dyDescent="0.25">
      <c r="A3916" t="s">
        <v>954</v>
      </c>
    </row>
    <row r="3917" spans="1:1" ht="13" x14ac:dyDescent="0.3">
      <c r="A3917" s="66" t="s">
        <v>971</v>
      </c>
    </row>
    <row r="3918" spans="1:1" x14ac:dyDescent="0.25">
      <c r="A3918" t="s">
        <v>972</v>
      </c>
    </row>
    <row r="3919" spans="1:1" x14ac:dyDescent="0.25">
      <c r="A3919" t="s">
        <v>950</v>
      </c>
    </row>
    <row r="3920" spans="1:1" ht="13" x14ac:dyDescent="0.3">
      <c r="A392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921" spans="1:1" ht="13" x14ac:dyDescent="0.3">
      <c r="A3921" s="21" t="s">
        <v>959</v>
      </c>
    </row>
    <row r="3922" spans="1:1" x14ac:dyDescent="0.25">
      <c r="A3922" t="s">
        <v>960</v>
      </c>
    </row>
    <row r="3923" spans="1:1" x14ac:dyDescent="0.25">
      <c r="A3923" t="s">
        <v>961</v>
      </c>
    </row>
    <row r="3924" spans="1:1" x14ac:dyDescent="0.25">
      <c r="A3924" t="str">
        <f>CONCATENATE("sql left outer join acrtrees t on t.client = x.client and x.dim_1 = t.cat_1 and t.att_agrid = '",$F$159,"'")</f>
        <v>sql left outer join acrtrees t on t.client = x.client and x.dim_1 = t.cat_1 and t.att_agrid = '53'</v>
      </c>
    </row>
    <row r="3925" spans="1:1" ht="13" x14ac:dyDescent="0.3">
      <c r="A392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926" spans="1:1" ht="13" x14ac:dyDescent="0.3">
      <c r="A3926" s="21" t="s">
        <v>973</v>
      </c>
    </row>
    <row r="3927" spans="1:1" x14ac:dyDescent="0.25">
      <c r="A3927" t="s">
        <v>964</v>
      </c>
    </row>
    <row r="3928" spans="1:1" x14ac:dyDescent="0.25">
      <c r="A3928" t="s">
        <v>965</v>
      </c>
    </row>
    <row r="3929" spans="1:1" x14ac:dyDescent="0.25">
      <c r="A3929" t="s">
        <v>966</v>
      </c>
    </row>
    <row r="3930" spans="1:1" x14ac:dyDescent="0.25">
      <c r="A3930" t="s">
        <v>953</v>
      </c>
    </row>
    <row r="3931" spans="1:1" x14ac:dyDescent="0.25">
      <c r="A3931" t="s">
        <v>954</v>
      </c>
    </row>
    <row r="3932" spans="1:1" ht="13" x14ac:dyDescent="0.3">
      <c r="A3932" s="66" t="s">
        <v>974</v>
      </c>
    </row>
    <row r="3933" spans="1:1" x14ac:dyDescent="0.25">
      <c r="A3933" t="s">
        <v>975</v>
      </c>
    </row>
    <row r="3934" spans="1:1" x14ac:dyDescent="0.25">
      <c r="A3934" t="s">
        <v>950</v>
      </c>
    </row>
    <row r="3935" spans="1:1" ht="13" x14ac:dyDescent="0.3">
      <c r="A393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936" spans="1:1" ht="13" x14ac:dyDescent="0.3">
      <c r="A3936" s="21" t="s">
        <v>959</v>
      </c>
    </row>
    <row r="3937" spans="1:1" x14ac:dyDescent="0.25">
      <c r="A3937" t="s">
        <v>960</v>
      </c>
    </row>
    <row r="3938" spans="1:1" x14ac:dyDescent="0.25">
      <c r="A3938" t="s">
        <v>961</v>
      </c>
    </row>
    <row r="3939" spans="1:1" x14ac:dyDescent="0.25">
      <c r="A3939" t="str">
        <f>CONCATENATE("sql left outer join acrtrees t on t.client = x.client and x.dim_1 = t.cat_1 and t.att_agrid = '",$F$159,"'")</f>
        <v>sql left outer join acrtrees t on t.client = x.client and x.dim_1 = t.cat_1 and t.att_agrid = '53'</v>
      </c>
    </row>
    <row r="3940" spans="1:1" ht="13" x14ac:dyDescent="0.3">
      <c r="A394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941" spans="1:1" ht="13" x14ac:dyDescent="0.3">
      <c r="A3941" s="21" t="s">
        <v>973</v>
      </c>
    </row>
    <row r="3942" spans="1:1" x14ac:dyDescent="0.25">
      <c r="A3942" t="s">
        <v>964</v>
      </c>
    </row>
    <row r="3943" spans="1:1" x14ac:dyDescent="0.25">
      <c r="A3943" t="s">
        <v>965</v>
      </c>
    </row>
    <row r="3944" spans="1:1" x14ac:dyDescent="0.25">
      <c r="A3944" t="s">
        <v>966</v>
      </c>
    </row>
    <row r="3945" spans="1:1" x14ac:dyDescent="0.25">
      <c r="A3945" t="s">
        <v>953</v>
      </c>
    </row>
    <row r="3946" spans="1:1" x14ac:dyDescent="0.25">
      <c r="A3946" t="s">
        <v>954</v>
      </c>
    </row>
    <row r="3947" spans="1:1" ht="13" x14ac:dyDescent="0.3">
      <c r="A3947" s="66" t="s">
        <v>976</v>
      </c>
    </row>
    <row r="3948" spans="1:1" x14ac:dyDescent="0.25">
      <c r="A3948" t="s">
        <v>977</v>
      </c>
    </row>
    <row r="3949" spans="1:1" x14ac:dyDescent="0.25">
      <c r="A3949" t="s">
        <v>950</v>
      </c>
    </row>
    <row r="3950" spans="1:1" ht="13" x14ac:dyDescent="0.3">
      <c r="A395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951" spans="1:1" ht="13" x14ac:dyDescent="0.3">
      <c r="A3951" s="21" t="s">
        <v>959</v>
      </c>
    </row>
    <row r="3952" spans="1:1" x14ac:dyDescent="0.25">
      <c r="A3952" t="s">
        <v>960</v>
      </c>
    </row>
    <row r="3953" spans="1:1" x14ac:dyDescent="0.25">
      <c r="A3953" t="s">
        <v>961</v>
      </c>
    </row>
    <row r="3954" spans="1:1" x14ac:dyDescent="0.25">
      <c r="A3954" t="str">
        <f>CONCATENATE("sql left outer join acrtrees t on t.client = x.client and x.dim_1 = t.cat_1 and t.att_agrid = '",$F$159,"'")</f>
        <v>sql left outer join acrtrees t on t.client = x.client and x.dim_1 = t.cat_1 and t.att_agrid = '53'</v>
      </c>
    </row>
    <row r="3955" spans="1:1" ht="13" x14ac:dyDescent="0.3">
      <c r="A395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956" spans="1:1" ht="13" x14ac:dyDescent="0.3">
      <c r="A3956" s="21" t="s">
        <v>978</v>
      </c>
    </row>
    <row r="3957" spans="1:1" x14ac:dyDescent="0.25">
      <c r="A3957" t="s">
        <v>979</v>
      </c>
    </row>
    <row r="3958" spans="1:1" x14ac:dyDescent="0.25">
      <c r="A3958" t="s">
        <v>980</v>
      </c>
    </row>
    <row r="3959" spans="1:1" x14ac:dyDescent="0.25">
      <c r="A3959" t="s">
        <v>966</v>
      </c>
    </row>
    <row r="3960" spans="1:1" x14ac:dyDescent="0.25">
      <c r="A3960" t="s">
        <v>953</v>
      </c>
    </row>
    <row r="3961" spans="1:1" x14ac:dyDescent="0.25">
      <c r="A3961" t="s">
        <v>954</v>
      </c>
    </row>
    <row r="3962" spans="1:1" ht="13" x14ac:dyDescent="0.3">
      <c r="A3962" s="66" t="s">
        <v>981</v>
      </c>
    </row>
    <row r="3963" spans="1:1" x14ac:dyDescent="0.25">
      <c r="A3963" t="s">
        <v>982</v>
      </c>
    </row>
    <row r="3964" spans="1:1" x14ac:dyDescent="0.25">
      <c r="A3964" t="s">
        <v>950</v>
      </c>
    </row>
    <row r="3965" spans="1:1" ht="13" x14ac:dyDescent="0.3">
      <c r="A396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966" spans="1:1" ht="13" x14ac:dyDescent="0.3">
      <c r="A3966" s="21" t="s">
        <v>969</v>
      </c>
    </row>
    <row r="3967" spans="1:1" ht="13" x14ac:dyDescent="0.3">
      <c r="A3967" s="21" t="s">
        <v>959</v>
      </c>
    </row>
    <row r="3968" spans="1:1" x14ac:dyDescent="0.25">
      <c r="A3968" t="s">
        <v>960</v>
      </c>
    </row>
    <row r="3969" spans="1:3" x14ac:dyDescent="0.25">
      <c r="A3969" t="s">
        <v>961</v>
      </c>
    </row>
    <row r="3970" spans="1:3" x14ac:dyDescent="0.25">
      <c r="A3970" t="str">
        <f>CONCATENATE("sql left outer join acrtrees t on t.client = x.client and x.dim_1 = t.cat_1 and t.att_agrid = '",$F$159,"'")</f>
        <v>sql left outer join acrtrees t on t.client = x.client and x.dim_1 = t.cat_1 and t.att_agrid = '53'</v>
      </c>
    </row>
    <row r="3971" spans="1:3" ht="13" x14ac:dyDescent="0.3">
      <c r="A397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972" spans="1:3" ht="13" x14ac:dyDescent="0.3">
      <c r="A3972" s="21" t="s">
        <v>970</v>
      </c>
    </row>
    <row r="3973" spans="1:3" ht="13" x14ac:dyDescent="0.3">
      <c r="A3973" s="21" t="s">
        <v>978</v>
      </c>
    </row>
    <row r="3974" spans="1:3" x14ac:dyDescent="0.25">
      <c r="A3974" t="s">
        <v>979</v>
      </c>
    </row>
    <row r="3975" spans="1:3" x14ac:dyDescent="0.25">
      <c r="A3975" t="s">
        <v>980</v>
      </c>
    </row>
    <row r="3976" spans="1:3" x14ac:dyDescent="0.25">
      <c r="A3976" t="s">
        <v>966</v>
      </c>
    </row>
    <row r="3977" spans="1:3" x14ac:dyDescent="0.25">
      <c r="A3977" t="s">
        <v>953</v>
      </c>
    </row>
    <row r="3978" spans="1:3" x14ac:dyDescent="0.25">
      <c r="A3978" t="s">
        <v>954</v>
      </c>
    </row>
    <row r="3979" spans="1:3" ht="13" x14ac:dyDescent="0.3">
      <c r="A3979" s="20" t="s">
        <v>983</v>
      </c>
    </row>
    <row r="3980" spans="1:3" x14ac:dyDescent="0.25">
      <c r="A3980" s="7" t="s">
        <v>984</v>
      </c>
    </row>
    <row r="3981" spans="1:3" x14ac:dyDescent="0.25">
      <c r="A3981" t="s">
        <v>950</v>
      </c>
    </row>
    <row r="3982" spans="1:3" x14ac:dyDescent="0.25">
      <c r="A3982" t="s">
        <v>951</v>
      </c>
    </row>
    <row r="3983" spans="1:3" ht="14.5" x14ac:dyDescent="0.35">
      <c r="A398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983" s="2"/>
    </row>
    <row r="3984" spans="1:3" x14ac:dyDescent="0.25">
      <c r="A3984" t="s">
        <v>952</v>
      </c>
    </row>
    <row r="3985" spans="1:1" x14ac:dyDescent="0.25">
      <c r="A3985" t="s">
        <v>953</v>
      </c>
    </row>
    <row r="3986" spans="1:1" x14ac:dyDescent="0.25">
      <c r="A3986" t="s">
        <v>954</v>
      </c>
    </row>
    <row r="3987" spans="1:1" ht="13" x14ac:dyDescent="0.3">
      <c r="A3987" s="20" t="s">
        <v>985</v>
      </c>
    </row>
    <row r="3988" spans="1:1" x14ac:dyDescent="0.25">
      <c r="A3988" s="7" t="s">
        <v>986</v>
      </c>
    </row>
    <row r="3989" spans="1:1" x14ac:dyDescent="0.25">
      <c r="A3989" t="s">
        <v>987</v>
      </c>
    </row>
    <row r="3990" spans="1:1" ht="13" x14ac:dyDescent="0.3">
      <c r="A3990" s="21" t="str">
        <f>CONCATENATE("sql where a.client = '",$D$172,"' and a.period between '",LEFT($D$170,4),"00' and '",IF(RIGHT($D$171,2)="12",CONCATENATE(LEFT($D$171,4),"14"),$D$171),"'")</f>
        <v>sql where a.client = 'OX' and a.period between '202500' and '202506'</v>
      </c>
    </row>
    <row r="3991" spans="1:1" x14ac:dyDescent="0.25">
      <c r="A3991" t="s">
        <v>952</v>
      </c>
    </row>
    <row r="3992" spans="1:1" x14ac:dyDescent="0.25">
      <c r="A3992" t="s">
        <v>953</v>
      </c>
    </row>
    <row r="3993" spans="1:1" x14ac:dyDescent="0.25">
      <c r="A3993" t="s">
        <v>954</v>
      </c>
    </row>
    <row r="3994" spans="1:1" ht="13" x14ac:dyDescent="0.3">
      <c r="A3994" s="20" t="s">
        <v>988</v>
      </c>
    </row>
    <row r="3995" spans="1:1" x14ac:dyDescent="0.25">
      <c r="A3995" s="7" t="s">
        <v>989</v>
      </c>
    </row>
    <row r="3996" spans="1:1" x14ac:dyDescent="0.25">
      <c r="A3996" t="s">
        <v>950</v>
      </c>
    </row>
    <row r="3997" spans="1:1" x14ac:dyDescent="0.25">
      <c r="A3997" t="s">
        <v>951</v>
      </c>
    </row>
    <row r="3998" spans="1:1" ht="13" x14ac:dyDescent="0.3">
      <c r="A399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999" spans="1:1" x14ac:dyDescent="0.25">
      <c r="A3999" t="s">
        <v>952</v>
      </c>
    </row>
    <row r="4000" spans="1:1" x14ac:dyDescent="0.25">
      <c r="A4000" t="s">
        <v>953</v>
      </c>
    </row>
    <row r="4001" spans="1:1" x14ac:dyDescent="0.25">
      <c r="A4001" t="s">
        <v>954</v>
      </c>
    </row>
    <row r="4002" spans="1:1" ht="13" x14ac:dyDescent="0.3">
      <c r="A4002" s="20" t="s">
        <v>990</v>
      </c>
    </row>
    <row r="4003" spans="1:1" x14ac:dyDescent="0.25">
      <c r="A4003" s="7" t="s">
        <v>991</v>
      </c>
    </row>
    <row r="4004" spans="1:1" x14ac:dyDescent="0.25">
      <c r="A4004" t="s">
        <v>950</v>
      </c>
    </row>
    <row r="4005" spans="1:1" x14ac:dyDescent="0.25">
      <c r="A4005" t="s">
        <v>951</v>
      </c>
    </row>
    <row r="4006" spans="1:1" ht="13" x14ac:dyDescent="0.3">
      <c r="A400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007" spans="1:1" x14ac:dyDescent="0.25">
      <c r="A4007" t="s">
        <v>952</v>
      </c>
    </row>
    <row r="4008" spans="1:1" x14ac:dyDescent="0.25">
      <c r="A4008" t="s">
        <v>953</v>
      </c>
    </row>
    <row r="4009" spans="1:1" x14ac:dyDescent="0.25">
      <c r="A4009" t="s">
        <v>954</v>
      </c>
    </row>
    <row r="4010" spans="1:1" ht="13" x14ac:dyDescent="0.3">
      <c r="A4010" s="20" t="s">
        <v>992</v>
      </c>
    </row>
    <row r="4011" spans="1:1" x14ac:dyDescent="0.25">
      <c r="A4011" s="7" t="s">
        <v>993</v>
      </c>
    </row>
    <row r="4012" spans="1:1" x14ac:dyDescent="0.25">
      <c r="A4012" t="s">
        <v>950</v>
      </c>
    </row>
    <row r="4013" spans="1:1" x14ac:dyDescent="0.25">
      <c r="A4013" t="s">
        <v>951</v>
      </c>
    </row>
    <row r="4014" spans="1:1" ht="13" x14ac:dyDescent="0.3">
      <c r="A401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015" spans="1:1" x14ac:dyDescent="0.25">
      <c r="A4015" t="s">
        <v>952</v>
      </c>
    </row>
    <row r="4016" spans="1:1" x14ac:dyDescent="0.25">
      <c r="A4016" t="s">
        <v>953</v>
      </c>
    </row>
    <row r="4017" spans="1:33" x14ac:dyDescent="0.25">
      <c r="A4017" t="s">
        <v>994</v>
      </c>
    </row>
    <row r="4018" spans="1:33" x14ac:dyDescent="0.25">
      <c r="A4018" t="str">
        <f>CONCATENATE("sql left outer join acrtrees t on t.client = u.client and u.dim_1 = t.cat_1 and t.att_agrid = '",$F$159,"'")</f>
        <v>sql left outer join acrtrees t on t.client = u.client and u.dim_1 = t.cat_1 and t.att_agrid = '53'</v>
      </c>
    </row>
    <row r="4019" spans="1:33" x14ac:dyDescent="0.25">
      <c r="A4019" t="str">
        <f>CONCATENATE("sql left outer join acrtrees s on s.client = u.client and u.account = s.cat_1 and s.att_agrid = '",$F$160,"'")</f>
        <v>sql left outer join acrtrees s on s.client = u.client and u.account = s.cat_1 and s.att_agrid = '14'</v>
      </c>
    </row>
    <row r="4020" spans="1:33" x14ac:dyDescent="0.25">
      <c r="A4020" t="str">
        <f>CONCATENATE("sql left outer join acrtrees v on v.client = u.client and u.account = v.cat_1 and v.att_agrid = '",$F$161,"'")</f>
        <v>sql left outer join acrtrees v on v.client = u.client and u.account = v.cat_1 and v.att_agrid = '17'</v>
      </c>
    </row>
    <row r="4021" spans="1:33" x14ac:dyDescent="0.25">
      <c r="A4021" t="str">
        <f>CONCATENATE("sql left outer join agldescription d on d.client = u.client and d.dim_value = t.dim_c and d.attribute_id = '",$F$162,"'")</f>
        <v>sql left outer join agldescription d on d.client = u.client and d.dim_value = t.dim_c and d.attribute_id = '82'</v>
      </c>
    </row>
    <row r="4022" spans="1:33" x14ac:dyDescent="0.25">
      <c r="A4022" t="str">
        <f>CONCATENATE("sql left outer join agldescription e on e.client = u.client and e.dim_value = t.dim_b and e.attribute_id = '",$F$163,"'")</f>
        <v>sql left outer join agldescription e on e.client = u.client and e.dim_value = t.dim_b and e.attribute_id = '81'</v>
      </c>
    </row>
    <row r="4023" spans="1:33" x14ac:dyDescent="0.25">
      <c r="A4023" t="str">
        <f>CONCATENATE("sql left outer join agldescription f on f.client = u.client and f.dim_value = t.dim_e and f.attribute_id = '",$F$164,"'")</f>
        <v>sql left outer join agldescription f on f.client = u.client and f.dim_value = t.dim_e and f.attribute_id = '80'</v>
      </c>
    </row>
    <row r="4024" spans="1:33" x14ac:dyDescent="0.25">
      <c r="A4024" t="str">
        <f>CONCATENATE("sql left outer join agldescription g on g.client = u.client and g.dim_value = u.account and g.attribute_id = '",$F$165,"'")</f>
        <v>sql left outer join agldescription g on g.client = u.client and g.dim_value = u.account and g.attribute_id = 'A0'</v>
      </c>
    </row>
    <row r="4025" spans="1:33" ht="14.5" x14ac:dyDescent="0.35">
      <c r="A4025" s="67" t="s">
        <v>1080</v>
      </c>
      <c r="G4025" s="737" t="s">
        <v>1081</v>
      </c>
    </row>
    <row r="4026" spans="1:33" x14ac:dyDescent="0.25">
      <c r="A4026" t="s">
        <v>1005</v>
      </c>
    </row>
    <row r="4027" spans="1:33" x14ac:dyDescent="0.25">
      <c r="A4027" t="s">
        <v>1006</v>
      </c>
    </row>
    <row r="4028" spans="1:33" x14ac:dyDescent="0.25">
      <c r="A4028" t="s">
        <v>1007</v>
      </c>
    </row>
    <row r="4029" spans="1:33" ht="13" x14ac:dyDescent="0.3">
      <c r="A4029" t="s">
        <v>1012</v>
      </c>
      <c r="C4029" s="29"/>
      <c r="D4029" s="36">
        <v>1000</v>
      </c>
      <c r="E4029" s="36">
        <v>1000</v>
      </c>
      <c r="F4029" s="22">
        <v>1000</v>
      </c>
      <c r="G4029" s="22">
        <v>1000</v>
      </c>
      <c r="H4029" s="22">
        <v>1000</v>
      </c>
      <c r="I4029" s="22">
        <v>1000</v>
      </c>
      <c r="J4029" s="22">
        <v>1000</v>
      </c>
      <c r="K4029" s="22">
        <v>1000</v>
      </c>
      <c r="L4029" s="22"/>
      <c r="M4029" s="36"/>
      <c r="N4029" s="36"/>
      <c r="O4029" s="36">
        <v>1000</v>
      </c>
      <c r="P4029" s="36">
        <v>1000</v>
      </c>
      <c r="Q4029" s="36">
        <v>1000</v>
      </c>
      <c r="R4029" s="36">
        <v>1000</v>
      </c>
      <c r="S4029" s="36">
        <v>1000</v>
      </c>
      <c r="T4029" s="36"/>
      <c r="U4029" s="36"/>
      <c r="V4029" s="58"/>
      <c r="W4029" s="36">
        <v>1000</v>
      </c>
      <c r="X4029" s="36">
        <v>1000</v>
      </c>
      <c r="Y4029" s="36"/>
      <c r="Z4029" s="36"/>
      <c r="AA4029" s="40"/>
      <c r="AB4029" s="60"/>
      <c r="AC4029" s="100"/>
      <c r="AD4029" s="33"/>
      <c r="AE4029" s="33"/>
      <c r="AF4029" s="33"/>
      <c r="AG4029" s="101"/>
    </row>
    <row r="4030" spans="1:33" ht="13" x14ac:dyDescent="0.3">
      <c r="A4030" s="7" t="s">
        <v>1013</v>
      </c>
      <c r="C4030" s="29"/>
      <c r="D4030" s="36">
        <v>0</v>
      </c>
      <c r="E4030" s="36">
        <v>0</v>
      </c>
      <c r="F4030" s="22">
        <v>0</v>
      </c>
      <c r="G4030" s="22">
        <v>0</v>
      </c>
      <c r="H4030" s="22">
        <v>0</v>
      </c>
      <c r="I4030" s="22">
        <v>0</v>
      </c>
      <c r="J4030" s="22">
        <v>0</v>
      </c>
      <c r="K4030" s="22">
        <v>0</v>
      </c>
      <c r="L4030" s="22"/>
      <c r="M4030" s="36"/>
      <c r="N4030" s="36"/>
      <c r="O4030" s="36">
        <v>0</v>
      </c>
      <c r="P4030" s="36">
        <v>0</v>
      </c>
      <c r="Q4030" s="36">
        <v>0</v>
      </c>
      <c r="R4030" s="36">
        <v>0</v>
      </c>
      <c r="S4030" s="36">
        <v>0</v>
      </c>
      <c r="T4030" s="36"/>
      <c r="U4030" s="36"/>
      <c r="V4030" s="58"/>
      <c r="W4030" s="36">
        <v>0</v>
      </c>
      <c r="X4030" s="36">
        <v>0</v>
      </c>
      <c r="Y4030" s="36"/>
      <c r="Z4030" s="36"/>
      <c r="AA4030" s="40"/>
      <c r="AB4030" s="60"/>
      <c r="AC4030" s="100"/>
      <c r="AD4030" s="33"/>
      <c r="AE4030" s="33"/>
      <c r="AF4030" s="33"/>
      <c r="AG4030" s="101"/>
    </row>
    <row r="4031" spans="1:33" ht="13" x14ac:dyDescent="0.3">
      <c r="A4031" t="s">
        <v>1014</v>
      </c>
      <c r="C4031" s="30"/>
      <c r="D4031" s="36"/>
      <c r="E4031" s="36"/>
      <c r="F4031" s="57"/>
      <c r="G4031" s="57"/>
      <c r="H4031" s="57"/>
      <c r="I4031" s="57"/>
      <c r="J4031" s="57"/>
      <c r="K4031" s="57"/>
      <c r="L4031" s="57"/>
      <c r="M4031" s="36"/>
      <c r="N4031" s="36"/>
      <c r="O4031" s="36"/>
      <c r="P4031" s="36" t="s">
        <v>1015</v>
      </c>
      <c r="Q4031" s="36" t="s">
        <v>1016</v>
      </c>
      <c r="R4031" s="36"/>
      <c r="S4031" s="36"/>
      <c r="T4031" s="36"/>
      <c r="U4031" s="36"/>
      <c r="V4031" s="58"/>
      <c r="W4031" s="36"/>
      <c r="X4031" s="36"/>
      <c r="Y4031" s="36"/>
      <c r="Z4031" s="36"/>
      <c r="AA4031" s="40"/>
      <c r="AB4031" s="60"/>
      <c r="AC4031" s="100"/>
      <c r="AD4031" s="33"/>
      <c r="AE4031" s="33"/>
      <c r="AF4031" s="33"/>
      <c r="AG4031" s="101"/>
    </row>
    <row r="4032" spans="1:33" ht="13" x14ac:dyDescent="0.3">
      <c r="A4032" t="s">
        <v>1017</v>
      </c>
      <c r="C4032" s="79" t="s">
        <v>1018</v>
      </c>
      <c r="D4032" s="36" t="s">
        <v>1019</v>
      </c>
      <c r="E4032" s="36" t="s">
        <v>1020</v>
      </c>
      <c r="F4032" s="22" t="s">
        <v>1021</v>
      </c>
      <c r="G4032" s="22" t="s">
        <v>1022</v>
      </c>
      <c r="H4032" s="22" t="s">
        <v>1023</v>
      </c>
      <c r="I4032" s="22" t="s">
        <v>1024</v>
      </c>
      <c r="J4032" s="22" t="s">
        <v>1025</v>
      </c>
      <c r="K4032" s="22" t="s">
        <v>1026</v>
      </c>
      <c r="L4032" s="22"/>
      <c r="M4032" s="36"/>
      <c r="N4032" s="36"/>
      <c r="O4032" s="36" t="s">
        <v>1027</v>
      </c>
      <c r="P4032" s="36" t="s">
        <v>1028</v>
      </c>
      <c r="Q4032" s="36" t="s">
        <v>1028</v>
      </c>
      <c r="R4032" s="36" t="s">
        <v>1028</v>
      </c>
      <c r="S4032" s="36" t="s">
        <v>1029</v>
      </c>
      <c r="T4032" s="36"/>
      <c r="U4032" s="36"/>
      <c r="V4032" s="58"/>
      <c r="W4032" s="36" t="s">
        <v>1030</v>
      </c>
      <c r="X4032" s="36" t="s">
        <v>1031</v>
      </c>
      <c r="Y4032" s="36"/>
      <c r="Z4032" s="36"/>
      <c r="AA4032" s="40"/>
      <c r="AB4032" s="60"/>
      <c r="AC4032" s="100"/>
      <c r="AD4032" s="33"/>
      <c r="AE4032" s="33"/>
      <c r="AF4032" s="33"/>
      <c r="AG4032" s="101"/>
    </row>
    <row r="4033" spans="1:33" ht="13" x14ac:dyDescent="0.3">
      <c r="A4033" t="s">
        <v>232</v>
      </c>
      <c r="C4033" s="78"/>
      <c r="D4033" s="33"/>
      <c r="E4033" s="33"/>
      <c r="F4033" s="23"/>
      <c r="G4033" s="23"/>
      <c r="H4033" s="23"/>
      <c r="I4033" s="23"/>
      <c r="J4033" s="23"/>
      <c r="K4033" s="23"/>
      <c r="L4033" s="23"/>
      <c r="M4033" s="33"/>
      <c r="N4033" s="33"/>
      <c r="O4033" s="33"/>
      <c r="P4033" s="33"/>
      <c r="Q4033" s="33"/>
      <c r="R4033" s="33"/>
      <c r="S4033" s="33"/>
      <c r="T4033" s="33"/>
      <c r="U4033" s="38"/>
      <c r="V4033" s="59"/>
      <c r="W4033" s="33"/>
      <c r="X4033" s="33"/>
      <c r="Y4033" s="33"/>
      <c r="Z4033" s="33"/>
      <c r="AA4033" s="42"/>
      <c r="AB4033" s="60"/>
      <c r="AC4033" s="100"/>
      <c r="AD4033" s="33"/>
      <c r="AE4033" s="33"/>
      <c r="AF4033" s="33"/>
      <c r="AG4033" s="101"/>
    </row>
    <row r="4034" spans="1:33" ht="13" x14ac:dyDescent="0.3">
      <c r="A4034" t="s">
        <v>1033</v>
      </c>
      <c r="C4034" s="79">
        <v>0</v>
      </c>
      <c r="D4034" s="33">
        <v>0</v>
      </c>
      <c r="E4034" s="33">
        <v>0</v>
      </c>
      <c r="F4034" s="23">
        <v>0</v>
      </c>
      <c r="G4034" s="23">
        <v>0</v>
      </c>
      <c r="H4034" s="23">
        <v>0</v>
      </c>
      <c r="I4034" s="23">
        <v>0</v>
      </c>
      <c r="J4034" s="23">
        <v>0</v>
      </c>
      <c r="K4034" s="23">
        <v>0</v>
      </c>
      <c r="L4034" s="23">
        <f>SUM(F4034:K4034)</f>
        <v>0</v>
      </c>
      <c r="M4034" s="33">
        <f>O4034-E4034</f>
        <v>0</v>
      </c>
      <c r="N4034" s="33">
        <f>O4034-D4034</f>
        <v>0</v>
      </c>
      <c r="O4034" s="33">
        <v>0</v>
      </c>
      <c r="P4034" s="33">
        <v>0</v>
      </c>
      <c r="Q4034" s="33">
        <v>0</v>
      </c>
      <c r="R4034" s="33">
        <v>0</v>
      </c>
      <c r="S4034" s="33">
        <v>0</v>
      </c>
      <c r="T4034" s="33">
        <f>R4034-S4034</f>
        <v>0</v>
      </c>
      <c r="U4034" s="38" t="str">
        <f>IFERROR((R4034/O4034)*100%,"∞")</f>
        <v>∞</v>
      </c>
      <c r="V4034" s="59">
        <f>O4034+W4034</f>
        <v>0</v>
      </c>
      <c r="W4034" s="33">
        <v>0</v>
      </c>
      <c r="X4034" s="33">
        <v>0</v>
      </c>
      <c r="Y4034" s="33"/>
      <c r="Z4034" s="33"/>
      <c r="AA4034" s="42"/>
      <c r="AB4034" s="60"/>
      <c r="AC4034" s="105"/>
      <c r="AD4034" s="93"/>
      <c r="AE4034" s="33">
        <f>SUM(AC4034:AD4034)</f>
        <v>0</v>
      </c>
      <c r="AF4034" s="33">
        <f>R4034+AE4034</f>
        <v>0</v>
      </c>
      <c r="AG4034" s="101">
        <f>AF4034-O4034</f>
        <v>0</v>
      </c>
    </row>
    <row r="4035" spans="1:33" ht="13.5" thickBot="1" x14ac:dyDescent="0.35">
      <c r="C4035" s="80"/>
      <c r="D4035" s="81"/>
      <c r="E4035" s="81"/>
      <c r="F4035" s="82"/>
      <c r="G4035" s="82"/>
      <c r="H4035" s="82"/>
      <c r="I4035" s="82"/>
      <c r="J4035" s="82"/>
      <c r="K4035" s="82"/>
      <c r="L4035" s="82"/>
      <c r="M4035" s="81"/>
      <c r="N4035" s="81"/>
      <c r="O4035" s="81"/>
      <c r="P4035" s="81"/>
      <c r="Q4035" s="81"/>
      <c r="R4035" s="81"/>
      <c r="S4035" s="81"/>
      <c r="T4035" s="81"/>
      <c r="U4035" s="81"/>
      <c r="V4035" s="83"/>
      <c r="W4035" s="81"/>
      <c r="X4035" s="81"/>
      <c r="Y4035" s="81"/>
      <c r="Z4035" s="81"/>
      <c r="AA4035" s="84"/>
      <c r="AB4035" s="60"/>
      <c r="AC4035" s="100"/>
      <c r="AD4035" s="33"/>
      <c r="AE4035" s="33"/>
      <c r="AF4035" s="33"/>
      <c r="AG4035" s="101"/>
    </row>
    <row r="4036" spans="1:33" ht="13.5" thickBot="1" x14ac:dyDescent="0.35">
      <c r="C4036" s="91" t="s">
        <v>158</v>
      </c>
      <c r="D4036" s="76">
        <f>D3858+D4034</f>
        <v>0</v>
      </c>
      <c r="E4036" s="76">
        <f t="shared" ref="E4036:K4036" si="8">E3858+E4034</f>
        <v>0</v>
      </c>
      <c r="F4036" s="76">
        <f t="shared" si="8"/>
        <v>0</v>
      </c>
      <c r="G4036" s="76">
        <f t="shared" si="8"/>
        <v>0</v>
      </c>
      <c r="H4036" s="76">
        <f t="shared" si="8"/>
        <v>0</v>
      </c>
      <c r="I4036" s="76">
        <f t="shared" si="8"/>
        <v>0</v>
      </c>
      <c r="J4036" s="76">
        <f t="shared" si="8"/>
        <v>0</v>
      </c>
      <c r="K4036" s="76">
        <f t="shared" si="8"/>
        <v>0</v>
      </c>
      <c r="L4036" s="76">
        <f>SUM(F4036:K4036)</f>
        <v>0</v>
      </c>
      <c r="M4036" s="76">
        <f>O4036-E4036</f>
        <v>0</v>
      </c>
      <c r="N4036" s="76">
        <f>O4036-D4036</f>
        <v>0</v>
      </c>
      <c r="O4036" s="76">
        <f t="shared" ref="O4036:S4036" si="9">O3858+O4034</f>
        <v>0</v>
      </c>
      <c r="P4036" s="76">
        <f t="shared" si="9"/>
        <v>0</v>
      </c>
      <c r="Q4036" s="76">
        <f t="shared" si="9"/>
        <v>0</v>
      </c>
      <c r="R4036" s="76">
        <f t="shared" si="9"/>
        <v>0</v>
      </c>
      <c r="S4036" s="76">
        <f t="shared" si="9"/>
        <v>0</v>
      </c>
      <c r="T4036" s="76">
        <f>R4036-S4036</f>
        <v>0</v>
      </c>
      <c r="U4036" s="92" t="str">
        <f>IFERROR((R4036/O4036)*100%,"∞")</f>
        <v>∞</v>
      </c>
      <c r="V4036" s="76">
        <f>O4036+W4036</f>
        <v>0</v>
      </c>
      <c r="W4036" s="76">
        <f t="shared" ref="W4036:AG4036" si="10">W3858+W4034</f>
        <v>0</v>
      </c>
      <c r="X4036" s="76">
        <f t="shared" si="10"/>
        <v>0</v>
      </c>
      <c r="Y4036" s="76">
        <f t="shared" si="10"/>
        <v>0</v>
      </c>
      <c r="Z4036" s="76">
        <f t="shared" si="10"/>
        <v>0</v>
      </c>
      <c r="AA4036" s="76">
        <f t="shared" si="10"/>
        <v>0</v>
      </c>
      <c r="AB4036" s="60"/>
      <c r="AC4036" s="76">
        <f t="shared" si="10"/>
        <v>0</v>
      </c>
      <c r="AD4036" s="76">
        <f t="shared" si="10"/>
        <v>0</v>
      </c>
      <c r="AE4036" s="76">
        <f t="shared" si="10"/>
        <v>0</v>
      </c>
      <c r="AF4036" s="76">
        <f t="shared" si="10"/>
        <v>0</v>
      </c>
      <c r="AG4036" s="76">
        <f t="shared" si="10"/>
        <v>0</v>
      </c>
    </row>
    <row r="4037" spans="1:33" ht="13.5" thickTop="1" x14ac:dyDescent="0.3">
      <c r="C4037" s="71"/>
      <c r="D4037" s="72"/>
      <c r="E4037" s="72"/>
      <c r="F4037" s="73"/>
      <c r="G4037" s="73"/>
      <c r="H4037" s="73"/>
      <c r="I4037" s="73"/>
      <c r="J4037" s="73"/>
      <c r="K4037" s="73"/>
      <c r="L4037" s="73"/>
      <c r="M4037" s="72"/>
      <c r="N4037" s="72"/>
      <c r="O4037" s="72"/>
      <c r="P4037" s="72"/>
      <c r="Q4037" s="72"/>
      <c r="R4037" s="72"/>
      <c r="S4037" s="72"/>
      <c r="T4037" s="72"/>
      <c r="U4037" s="72"/>
      <c r="V4037" s="74"/>
      <c r="W4037" s="72"/>
      <c r="X4037" s="72"/>
      <c r="Y4037" s="72"/>
      <c r="Z4037" s="72"/>
      <c r="AA4037" s="75"/>
      <c r="AB4037" s="60"/>
      <c r="AC4037" s="100"/>
      <c r="AD4037" s="33"/>
      <c r="AE4037" s="33"/>
      <c r="AF4037" s="33"/>
      <c r="AG4037" s="101"/>
    </row>
    <row r="4038" spans="1:33" x14ac:dyDescent="0.25">
      <c r="A4038" t="s">
        <v>232</v>
      </c>
    </row>
    <row r="4039" spans="1:33" x14ac:dyDescent="0.25">
      <c r="A4039" t="s">
        <v>944</v>
      </c>
      <c r="M4039" s="19"/>
      <c r="N4039" s="19"/>
    </row>
    <row r="4040" spans="1:33" x14ac:dyDescent="0.25">
      <c r="A4040" t="s">
        <v>946</v>
      </c>
      <c r="E4040" s="19"/>
    </row>
    <row r="4041" spans="1:33" x14ac:dyDescent="0.25">
      <c r="A4041" t="s">
        <v>947</v>
      </c>
      <c r="E4041" s="19"/>
      <c r="F4041" s="19"/>
    </row>
    <row r="4042" spans="1:33" ht="13" x14ac:dyDescent="0.3">
      <c r="A4042" s="20" t="s">
        <v>948</v>
      </c>
    </row>
    <row r="4043" spans="1:33" x14ac:dyDescent="0.25">
      <c r="A4043" s="7" t="s">
        <v>949</v>
      </c>
    </row>
    <row r="4044" spans="1:33" x14ac:dyDescent="0.25">
      <c r="A4044" t="s">
        <v>950</v>
      </c>
    </row>
    <row r="4045" spans="1:33" x14ac:dyDescent="0.25">
      <c r="A4045" t="s">
        <v>951</v>
      </c>
    </row>
    <row r="4046" spans="1:33" ht="13" x14ac:dyDescent="0.3">
      <c r="A4046" s="21" t="str">
        <f>CONCATENATE("sql where a.client = '",$D$172,"' and a.period between '",LEFT($D$170,4),"00' and '",LEFT($D$171,4),"14' and a.version like '%ORIG%'")</f>
        <v>sql where a.client = 'OX' and a.period between '202500' and '202514' and a.version like '%ORIG%'</v>
      </c>
    </row>
    <row r="4047" spans="1:33" x14ac:dyDescent="0.25">
      <c r="A4047" t="s">
        <v>952</v>
      </c>
    </row>
    <row r="4048" spans="1:33" x14ac:dyDescent="0.25">
      <c r="A4048" t="s">
        <v>953</v>
      </c>
    </row>
    <row r="4049" spans="1:3" x14ac:dyDescent="0.25">
      <c r="A4049" t="s">
        <v>954</v>
      </c>
    </row>
    <row r="4050" spans="1:3" ht="13" x14ac:dyDescent="0.3">
      <c r="A4050" s="20" t="s">
        <v>955</v>
      </c>
    </row>
    <row r="4051" spans="1:3" x14ac:dyDescent="0.25">
      <c r="A4051" s="7" t="s">
        <v>956</v>
      </c>
    </row>
    <row r="4052" spans="1:3" x14ac:dyDescent="0.25">
      <c r="A4052" t="s">
        <v>950</v>
      </c>
    </row>
    <row r="4053" spans="1:3" x14ac:dyDescent="0.25">
      <c r="A4053" t="s">
        <v>951</v>
      </c>
    </row>
    <row r="4054" spans="1:3" ht="14.5" x14ac:dyDescent="0.35">
      <c r="A405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4054" s="2"/>
    </row>
    <row r="4055" spans="1:3" x14ac:dyDescent="0.25">
      <c r="A4055" t="s">
        <v>952</v>
      </c>
    </row>
    <row r="4056" spans="1:3" x14ac:dyDescent="0.25">
      <c r="A4056" t="s">
        <v>953</v>
      </c>
    </row>
    <row r="4057" spans="1:3" x14ac:dyDescent="0.25">
      <c r="A4057" t="s">
        <v>954</v>
      </c>
    </row>
    <row r="4058" spans="1:3" ht="13" x14ac:dyDescent="0.3">
      <c r="A4058" s="66" t="s">
        <v>957</v>
      </c>
    </row>
    <row r="4059" spans="1:3" x14ac:dyDescent="0.25">
      <c r="A4059" t="s">
        <v>958</v>
      </c>
    </row>
    <row r="4060" spans="1:3" x14ac:dyDescent="0.25">
      <c r="A4060" t="s">
        <v>950</v>
      </c>
    </row>
    <row r="4061" spans="1:3" ht="13" x14ac:dyDescent="0.3">
      <c r="A406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062" spans="1:3" ht="13" x14ac:dyDescent="0.3">
      <c r="A4062" s="21" t="s">
        <v>959</v>
      </c>
    </row>
    <row r="4063" spans="1:3" x14ac:dyDescent="0.25">
      <c r="A4063" t="s">
        <v>960</v>
      </c>
    </row>
    <row r="4064" spans="1:3" x14ac:dyDescent="0.25">
      <c r="A4064" t="s">
        <v>961</v>
      </c>
    </row>
    <row r="4065" spans="1:1" x14ac:dyDescent="0.25">
      <c r="A4065" t="str">
        <f>CONCATENATE("sql left outer join acrtrees t on t.client = x.client and x.dim_1 = t.cat_1 and t.att_agrid = '",$F$159,"'")</f>
        <v>sql left outer join acrtrees t on t.client = x.client and x.dim_1 = t.cat_1 and t.att_agrid = '53'</v>
      </c>
    </row>
    <row r="4066" spans="1:1" ht="13" x14ac:dyDescent="0.3">
      <c r="A406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067" spans="1:1" ht="13" x14ac:dyDescent="0.3">
      <c r="A4067" s="21" t="s">
        <v>962</v>
      </c>
    </row>
    <row r="4068" spans="1:1" ht="13" x14ac:dyDescent="0.3">
      <c r="A406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4069" spans="1:1" ht="13" x14ac:dyDescent="0.3">
      <c r="A4069" s="21" t="s">
        <v>963</v>
      </c>
    </row>
    <row r="4070" spans="1:1" x14ac:dyDescent="0.25">
      <c r="A4070" t="s">
        <v>964</v>
      </c>
    </row>
    <row r="4071" spans="1:1" x14ac:dyDescent="0.25">
      <c r="A4071" t="s">
        <v>965</v>
      </c>
    </row>
    <row r="4072" spans="1:1" x14ac:dyDescent="0.25">
      <c r="A4072" t="s">
        <v>966</v>
      </c>
    </row>
    <row r="4073" spans="1:1" x14ac:dyDescent="0.25">
      <c r="A4073" t="s">
        <v>953</v>
      </c>
    </row>
    <row r="4074" spans="1:1" x14ac:dyDescent="0.25">
      <c r="A4074" t="s">
        <v>954</v>
      </c>
    </row>
    <row r="4075" spans="1:1" ht="13" x14ac:dyDescent="0.3">
      <c r="A4075" s="66" t="s">
        <v>967</v>
      </c>
    </row>
    <row r="4076" spans="1:1" x14ac:dyDescent="0.25">
      <c r="A4076" t="s">
        <v>968</v>
      </c>
    </row>
    <row r="4077" spans="1:1" x14ac:dyDescent="0.25">
      <c r="A4077" t="s">
        <v>950</v>
      </c>
    </row>
    <row r="4078" spans="1:1" ht="13" x14ac:dyDescent="0.3">
      <c r="A407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079" spans="1:1" ht="13" x14ac:dyDescent="0.3">
      <c r="A4079" s="21" t="s">
        <v>969</v>
      </c>
    </row>
    <row r="4080" spans="1:1" ht="13" x14ac:dyDescent="0.3">
      <c r="A4080" s="21" t="s">
        <v>959</v>
      </c>
    </row>
    <row r="4081" spans="1:1" x14ac:dyDescent="0.25">
      <c r="A4081" t="s">
        <v>960</v>
      </c>
    </row>
    <row r="4082" spans="1:1" x14ac:dyDescent="0.25">
      <c r="A4082" t="s">
        <v>961</v>
      </c>
    </row>
    <row r="4083" spans="1:1" x14ac:dyDescent="0.25">
      <c r="A4083" t="str">
        <f>CONCATENATE("sql left outer join acrtrees t on t.client = x.client and x.dim_1 = t.cat_1 and t.att_agrid = '",$F$159,"'")</f>
        <v>sql left outer join acrtrees t on t.client = x.client and x.dim_1 = t.cat_1 and t.att_agrid = '53'</v>
      </c>
    </row>
    <row r="4084" spans="1:1" ht="13" x14ac:dyDescent="0.3">
      <c r="A408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085" spans="1:1" ht="13" x14ac:dyDescent="0.3">
      <c r="A4085" s="21" t="s">
        <v>970</v>
      </c>
    </row>
    <row r="4086" spans="1:1" ht="13" x14ac:dyDescent="0.3">
      <c r="A4086" s="21" t="s">
        <v>962</v>
      </c>
    </row>
    <row r="4087" spans="1:1" ht="13" x14ac:dyDescent="0.3">
      <c r="A408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4088" spans="1:1" ht="13" x14ac:dyDescent="0.3">
      <c r="A4088" s="21" t="s">
        <v>970</v>
      </c>
    </row>
    <row r="4089" spans="1:1" ht="13" x14ac:dyDescent="0.3">
      <c r="A4089" s="21" t="s">
        <v>963</v>
      </c>
    </row>
    <row r="4090" spans="1:1" x14ac:dyDescent="0.25">
      <c r="A4090" t="s">
        <v>964</v>
      </c>
    </row>
    <row r="4091" spans="1:1" x14ac:dyDescent="0.25">
      <c r="A4091" t="s">
        <v>965</v>
      </c>
    </row>
    <row r="4092" spans="1:1" x14ac:dyDescent="0.25">
      <c r="A4092" t="s">
        <v>966</v>
      </c>
    </row>
    <row r="4093" spans="1:1" x14ac:dyDescent="0.25">
      <c r="A4093" t="s">
        <v>953</v>
      </c>
    </row>
    <row r="4094" spans="1:1" x14ac:dyDescent="0.25">
      <c r="A4094" t="s">
        <v>954</v>
      </c>
    </row>
    <row r="4095" spans="1:1" ht="13" x14ac:dyDescent="0.3">
      <c r="A4095" s="66" t="s">
        <v>971</v>
      </c>
    </row>
    <row r="4096" spans="1:1" x14ac:dyDescent="0.25">
      <c r="A4096" t="s">
        <v>972</v>
      </c>
    </row>
    <row r="4097" spans="1:1" x14ac:dyDescent="0.25">
      <c r="A4097" t="s">
        <v>950</v>
      </c>
    </row>
    <row r="4098" spans="1:1" ht="13" x14ac:dyDescent="0.3">
      <c r="A409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099" spans="1:1" ht="13" x14ac:dyDescent="0.3">
      <c r="A4099" s="21" t="s">
        <v>959</v>
      </c>
    </row>
    <row r="4100" spans="1:1" x14ac:dyDescent="0.25">
      <c r="A4100" t="s">
        <v>960</v>
      </c>
    </row>
    <row r="4101" spans="1:1" x14ac:dyDescent="0.25">
      <c r="A4101" t="s">
        <v>961</v>
      </c>
    </row>
    <row r="4102" spans="1:1" x14ac:dyDescent="0.25">
      <c r="A4102" t="str">
        <f>CONCATENATE("sql left outer join acrtrees t on t.client = x.client and x.dim_1 = t.cat_1 and t.att_agrid = '",$F$159,"'")</f>
        <v>sql left outer join acrtrees t on t.client = x.client and x.dim_1 = t.cat_1 and t.att_agrid = '53'</v>
      </c>
    </row>
    <row r="4103" spans="1:1" ht="13" x14ac:dyDescent="0.3">
      <c r="A410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104" spans="1:1" ht="13" x14ac:dyDescent="0.3">
      <c r="A4104" s="21" t="s">
        <v>973</v>
      </c>
    </row>
    <row r="4105" spans="1:1" x14ac:dyDescent="0.25">
      <c r="A4105" t="s">
        <v>964</v>
      </c>
    </row>
    <row r="4106" spans="1:1" x14ac:dyDescent="0.25">
      <c r="A4106" t="s">
        <v>965</v>
      </c>
    </row>
    <row r="4107" spans="1:1" x14ac:dyDescent="0.25">
      <c r="A4107" t="s">
        <v>966</v>
      </c>
    </row>
    <row r="4108" spans="1:1" x14ac:dyDescent="0.25">
      <c r="A4108" t="s">
        <v>953</v>
      </c>
    </row>
    <row r="4109" spans="1:1" x14ac:dyDescent="0.25">
      <c r="A4109" t="s">
        <v>954</v>
      </c>
    </row>
    <row r="4110" spans="1:1" ht="13" x14ac:dyDescent="0.3">
      <c r="A4110" s="66" t="s">
        <v>974</v>
      </c>
    </row>
    <row r="4111" spans="1:1" x14ac:dyDescent="0.25">
      <c r="A4111" t="s">
        <v>975</v>
      </c>
    </row>
    <row r="4112" spans="1:1" x14ac:dyDescent="0.25">
      <c r="A4112" t="s">
        <v>950</v>
      </c>
    </row>
    <row r="4113" spans="1:1" ht="13" x14ac:dyDescent="0.3">
      <c r="A411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4114" spans="1:1" ht="13" x14ac:dyDescent="0.3">
      <c r="A4114" s="21" t="s">
        <v>959</v>
      </c>
    </row>
    <row r="4115" spans="1:1" x14ac:dyDescent="0.25">
      <c r="A4115" t="s">
        <v>960</v>
      </c>
    </row>
    <row r="4116" spans="1:1" x14ac:dyDescent="0.25">
      <c r="A4116" t="s">
        <v>961</v>
      </c>
    </row>
    <row r="4117" spans="1:1" x14ac:dyDescent="0.25">
      <c r="A4117" t="str">
        <f>CONCATENATE("sql left outer join acrtrees t on t.client = x.client and x.dim_1 = t.cat_1 and t.att_agrid = '",$F$159,"'")</f>
        <v>sql left outer join acrtrees t on t.client = x.client and x.dim_1 = t.cat_1 and t.att_agrid = '53'</v>
      </c>
    </row>
    <row r="4118" spans="1:1" ht="13" x14ac:dyDescent="0.3">
      <c r="A411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4119" spans="1:1" ht="13" x14ac:dyDescent="0.3">
      <c r="A4119" s="21" t="s">
        <v>973</v>
      </c>
    </row>
    <row r="4120" spans="1:1" x14ac:dyDescent="0.25">
      <c r="A4120" t="s">
        <v>964</v>
      </c>
    </row>
    <row r="4121" spans="1:1" x14ac:dyDescent="0.25">
      <c r="A4121" t="s">
        <v>965</v>
      </c>
    </row>
    <row r="4122" spans="1:1" x14ac:dyDescent="0.25">
      <c r="A4122" t="s">
        <v>966</v>
      </c>
    </row>
    <row r="4123" spans="1:1" x14ac:dyDescent="0.25">
      <c r="A4123" t="s">
        <v>953</v>
      </c>
    </row>
    <row r="4124" spans="1:1" x14ac:dyDescent="0.25">
      <c r="A4124" t="s">
        <v>954</v>
      </c>
    </row>
    <row r="4125" spans="1:1" ht="13" x14ac:dyDescent="0.3">
      <c r="A4125" s="66" t="s">
        <v>976</v>
      </c>
    </row>
    <row r="4126" spans="1:1" x14ac:dyDescent="0.25">
      <c r="A4126" t="s">
        <v>977</v>
      </c>
    </row>
    <row r="4127" spans="1:1" x14ac:dyDescent="0.25">
      <c r="A4127" t="s">
        <v>950</v>
      </c>
    </row>
    <row r="4128" spans="1:1" ht="13" x14ac:dyDescent="0.3">
      <c r="A412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129" spans="1:1" ht="13" x14ac:dyDescent="0.3">
      <c r="A4129" s="21" t="s">
        <v>959</v>
      </c>
    </row>
    <row r="4130" spans="1:1" x14ac:dyDescent="0.25">
      <c r="A4130" t="s">
        <v>960</v>
      </c>
    </row>
    <row r="4131" spans="1:1" x14ac:dyDescent="0.25">
      <c r="A4131" t="s">
        <v>961</v>
      </c>
    </row>
    <row r="4132" spans="1:1" x14ac:dyDescent="0.25">
      <c r="A4132" t="str">
        <f>CONCATENATE("sql left outer join acrtrees t on t.client = x.client and x.dim_1 = t.cat_1 and t.att_agrid = '",$F$159,"'")</f>
        <v>sql left outer join acrtrees t on t.client = x.client and x.dim_1 = t.cat_1 and t.att_agrid = '53'</v>
      </c>
    </row>
    <row r="4133" spans="1:1" ht="13" x14ac:dyDescent="0.3">
      <c r="A413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134" spans="1:1" ht="13" x14ac:dyDescent="0.3">
      <c r="A4134" s="21" t="s">
        <v>978</v>
      </c>
    </row>
    <row r="4135" spans="1:1" x14ac:dyDescent="0.25">
      <c r="A4135" t="s">
        <v>979</v>
      </c>
    </row>
    <row r="4136" spans="1:1" x14ac:dyDescent="0.25">
      <c r="A4136" t="s">
        <v>980</v>
      </c>
    </row>
    <row r="4137" spans="1:1" x14ac:dyDescent="0.25">
      <c r="A4137" t="s">
        <v>966</v>
      </c>
    </row>
    <row r="4138" spans="1:1" x14ac:dyDescent="0.25">
      <c r="A4138" t="s">
        <v>953</v>
      </c>
    </row>
    <row r="4139" spans="1:1" x14ac:dyDescent="0.25">
      <c r="A4139" t="s">
        <v>954</v>
      </c>
    </row>
    <row r="4140" spans="1:1" ht="13" x14ac:dyDescent="0.3">
      <c r="A4140" s="66" t="s">
        <v>981</v>
      </c>
    </row>
    <row r="4141" spans="1:1" x14ac:dyDescent="0.25">
      <c r="A4141" t="s">
        <v>982</v>
      </c>
    </row>
    <row r="4142" spans="1:1" x14ac:dyDescent="0.25">
      <c r="A4142" t="s">
        <v>950</v>
      </c>
    </row>
    <row r="4143" spans="1:1" ht="13" x14ac:dyDescent="0.3">
      <c r="A414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144" spans="1:1" ht="13" x14ac:dyDescent="0.3">
      <c r="A4144" s="21" t="s">
        <v>969</v>
      </c>
    </row>
    <row r="4145" spans="1:1" ht="13" x14ac:dyDescent="0.3">
      <c r="A4145" s="21" t="s">
        <v>959</v>
      </c>
    </row>
    <row r="4146" spans="1:1" x14ac:dyDescent="0.25">
      <c r="A4146" t="s">
        <v>960</v>
      </c>
    </row>
    <row r="4147" spans="1:1" x14ac:dyDescent="0.25">
      <c r="A4147" t="s">
        <v>961</v>
      </c>
    </row>
    <row r="4148" spans="1:1" x14ac:dyDescent="0.25">
      <c r="A4148" t="str">
        <f>CONCATENATE("sql left outer join acrtrees t on t.client = x.client and x.dim_1 = t.cat_1 and t.att_agrid = '",$F$159,"'")</f>
        <v>sql left outer join acrtrees t on t.client = x.client and x.dim_1 = t.cat_1 and t.att_agrid = '53'</v>
      </c>
    </row>
    <row r="4149" spans="1:1" ht="13" x14ac:dyDescent="0.3">
      <c r="A414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150" spans="1:1" ht="13" x14ac:dyDescent="0.3">
      <c r="A4150" s="21" t="s">
        <v>970</v>
      </c>
    </row>
    <row r="4151" spans="1:1" ht="13" x14ac:dyDescent="0.3">
      <c r="A4151" s="21" t="s">
        <v>978</v>
      </c>
    </row>
    <row r="4152" spans="1:1" x14ac:dyDescent="0.25">
      <c r="A4152" t="s">
        <v>979</v>
      </c>
    </row>
    <row r="4153" spans="1:1" x14ac:dyDescent="0.25">
      <c r="A4153" t="s">
        <v>980</v>
      </c>
    </row>
    <row r="4154" spans="1:1" x14ac:dyDescent="0.25">
      <c r="A4154" t="s">
        <v>966</v>
      </c>
    </row>
    <row r="4155" spans="1:1" x14ac:dyDescent="0.25">
      <c r="A4155" t="s">
        <v>953</v>
      </c>
    </row>
    <row r="4156" spans="1:1" x14ac:dyDescent="0.25">
      <c r="A4156" t="s">
        <v>954</v>
      </c>
    </row>
    <row r="4157" spans="1:1" ht="13" x14ac:dyDescent="0.3">
      <c r="A4157" s="20" t="s">
        <v>983</v>
      </c>
    </row>
    <row r="4158" spans="1:1" x14ac:dyDescent="0.25">
      <c r="A4158" s="7" t="s">
        <v>984</v>
      </c>
    </row>
    <row r="4159" spans="1:1" x14ac:dyDescent="0.25">
      <c r="A4159" t="s">
        <v>950</v>
      </c>
    </row>
    <row r="4160" spans="1:1" x14ac:dyDescent="0.25">
      <c r="A4160" t="s">
        <v>951</v>
      </c>
    </row>
    <row r="4161" spans="1:3" ht="14.5" x14ac:dyDescent="0.35">
      <c r="A416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4161" s="2"/>
    </row>
    <row r="4162" spans="1:3" x14ac:dyDescent="0.25">
      <c r="A4162" t="s">
        <v>952</v>
      </c>
    </row>
    <row r="4163" spans="1:3" x14ac:dyDescent="0.25">
      <c r="A4163" t="s">
        <v>953</v>
      </c>
    </row>
    <row r="4164" spans="1:3" x14ac:dyDescent="0.25">
      <c r="A4164" t="s">
        <v>954</v>
      </c>
    </row>
    <row r="4165" spans="1:3" ht="13" x14ac:dyDescent="0.3">
      <c r="A4165" s="20" t="s">
        <v>985</v>
      </c>
    </row>
    <row r="4166" spans="1:3" x14ac:dyDescent="0.25">
      <c r="A4166" s="7" t="s">
        <v>986</v>
      </c>
    </row>
    <row r="4167" spans="1:3" x14ac:dyDescent="0.25">
      <c r="A4167" t="s">
        <v>987</v>
      </c>
    </row>
    <row r="4168" spans="1:3" ht="13" x14ac:dyDescent="0.3">
      <c r="A4168" s="21" t="str">
        <f>CONCATENATE("sql where a.client = '",$D$172,"' and a.period between '",LEFT($D$170,4),"00' and '",IF(RIGHT($D$171,2)="12",CONCATENATE(LEFT($D$171,4),"14"),$D$171),"'")</f>
        <v>sql where a.client = 'OX' and a.period between '202500' and '202506'</v>
      </c>
    </row>
    <row r="4169" spans="1:3" x14ac:dyDescent="0.25">
      <c r="A4169" t="s">
        <v>952</v>
      </c>
    </row>
    <row r="4170" spans="1:3" x14ac:dyDescent="0.25">
      <c r="A4170" t="s">
        <v>953</v>
      </c>
    </row>
    <row r="4171" spans="1:3" x14ac:dyDescent="0.25">
      <c r="A4171" t="s">
        <v>954</v>
      </c>
    </row>
    <row r="4172" spans="1:3" ht="13" x14ac:dyDescent="0.3">
      <c r="A4172" s="20" t="s">
        <v>988</v>
      </c>
    </row>
    <row r="4173" spans="1:3" x14ac:dyDescent="0.25">
      <c r="A4173" s="7" t="s">
        <v>989</v>
      </c>
    </row>
    <row r="4174" spans="1:3" x14ac:dyDescent="0.25">
      <c r="A4174" t="s">
        <v>950</v>
      </c>
    </row>
    <row r="4175" spans="1:3" x14ac:dyDescent="0.25">
      <c r="A4175" t="s">
        <v>951</v>
      </c>
    </row>
    <row r="4176" spans="1:3" ht="13" x14ac:dyDescent="0.3">
      <c r="A417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4177" spans="1:1" x14ac:dyDescent="0.25">
      <c r="A4177" t="s">
        <v>952</v>
      </c>
    </row>
    <row r="4178" spans="1:1" x14ac:dyDescent="0.25">
      <c r="A4178" t="s">
        <v>953</v>
      </c>
    </row>
    <row r="4179" spans="1:1" x14ac:dyDescent="0.25">
      <c r="A4179" t="s">
        <v>954</v>
      </c>
    </row>
    <row r="4180" spans="1:1" ht="13" x14ac:dyDescent="0.3">
      <c r="A4180" s="20" t="s">
        <v>990</v>
      </c>
    </row>
    <row r="4181" spans="1:1" x14ac:dyDescent="0.25">
      <c r="A4181" s="7" t="s">
        <v>991</v>
      </c>
    </row>
    <row r="4182" spans="1:1" x14ac:dyDescent="0.25">
      <c r="A4182" t="s">
        <v>950</v>
      </c>
    </row>
    <row r="4183" spans="1:1" x14ac:dyDescent="0.25">
      <c r="A4183" t="s">
        <v>951</v>
      </c>
    </row>
    <row r="4184" spans="1:1" ht="13" x14ac:dyDescent="0.3">
      <c r="A418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185" spans="1:1" x14ac:dyDescent="0.25">
      <c r="A4185" t="s">
        <v>952</v>
      </c>
    </row>
    <row r="4186" spans="1:1" x14ac:dyDescent="0.25">
      <c r="A4186" t="s">
        <v>953</v>
      </c>
    </row>
    <row r="4187" spans="1:1" x14ac:dyDescent="0.25">
      <c r="A4187" t="s">
        <v>954</v>
      </c>
    </row>
    <row r="4188" spans="1:1" ht="13" x14ac:dyDescent="0.3">
      <c r="A4188" s="20" t="s">
        <v>992</v>
      </c>
    </row>
    <row r="4189" spans="1:1" x14ac:dyDescent="0.25">
      <c r="A4189" s="7" t="s">
        <v>993</v>
      </c>
    </row>
    <row r="4190" spans="1:1" x14ac:dyDescent="0.25">
      <c r="A4190" t="s">
        <v>950</v>
      </c>
    </row>
    <row r="4191" spans="1:1" x14ac:dyDescent="0.25">
      <c r="A4191" t="s">
        <v>951</v>
      </c>
    </row>
    <row r="4192" spans="1:1" ht="13" x14ac:dyDescent="0.3">
      <c r="A419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193" spans="1:33" x14ac:dyDescent="0.25">
      <c r="A4193" t="s">
        <v>952</v>
      </c>
    </row>
    <row r="4194" spans="1:33" x14ac:dyDescent="0.25">
      <c r="A4194" t="s">
        <v>953</v>
      </c>
    </row>
    <row r="4195" spans="1:33" x14ac:dyDescent="0.25">
      <c r="A4195" t="s">
        <v>994</v>
      </c>
    </row>
    <row r="4196" spans="1:33" x14ac:dyDescent="0.25">
      <c r="A4196" t="str">
        <f>CONCATENATE("sql left outer join acrtrees t on t.client = u.client and u.dim_1 = t.cat_1 and t.att_agrid = '",$F$159,"'")</f>
        <v>sql left outer join acrtrees t on t.client = u.client and u.dim_1 = t.cat_1 and t.att_agrid = '53'</v>
      </c>
    </row>
    <row r="4197" spans="1:33" x14ac:dyDescent="0.25">
      <c r="A4197" t="str">
        <f>CONCATENATE("sql left outer join acrtrees s on s.client = u.client and u.account = s.cat_1 and s.att_agrid = '",$F$160,"'")</f>
        <v>sql left outer join acrtrees s on s.client = u.client and u.account = s.cat_1 and s.att_agrid = '14'</v>
      </c>
    </row>
    <row r="4198" spans="1:33" x14ac:dyDescent="0.25">
      <c r="A4198" t="str">
        <f>CONCATENATE("sql left outer join acrtrees v on v.client = u.client and u.account = v.cat_1 and v.att_agrid = '",$F$161,"'")</f>
        <v>sql left outer join acrtrees v on v.client = u.client and u.account = v.cat_1 and v.att_agrid = '17'</v>
      </c>
    </row>
    <row r="4199" spans="1:33" x14ac:dyDescent="0.25">
      <c r="A4199" t="str">
        <f>CONCATENATE("sql left outer join agldescription d on d.client = u.client and d.dim_value = t.dim_c and d.attribute_id = '",$F$162,"'")</f>
        <v>sql left outer join agldescription d on d.client = u.client and d.dim_value = t.dim_c and d.attribute_id = '82'</v>
      </c>
    </row>
    <row r="4200" spans="1:33" x14ac:dyDescent="0.25">
      <c r="A4200" t="str">
        <f>CONCATENATE("sql left outer join agldescription e on e.client = u.client and e.dim_value = t.dim_b and e.attribute_id = '",$F$163,"'")</f>
        <v>sql left outer join agldescription e on e.client = u.client and e.dim_value = t.dim_b and e.attribute_id = '81'</v>
      </c>
    </row>
    <row r="4201" spans="1:33" x14ac:dyDescent="0.25">
      <c r="A4201" t="str">
        <f>CONCATENATE("sql left outer join agldescription f on f.client = u.client and f.dim_value = t.dim_e and f.attribute_id = '",$F$164,"'")</f>
        <v>sql left outer join agldescription f on f.client = u.client and f.dim_value = t.dim_e and f.attribute_id = '80'</v>
      </c>
    </row>
    <row r="4202" spans="1:33" x14ac:dyDescent="0.25">
      <c r="A4202" t="str">
        <f>CONCATENATE("sql left outer join agldescription g on g.client = u.client and g.dim_value = u.account and g.attribute_id = '",$F$165,"'")</f>
        <v>sql left outer join agldescription g on g.client = u.client and g.dim_value = u.account and g.attribute_id = 'A0'</v>
      </c>
    </row>
    <row r="4203" spans="1:33" ht="14.5" x14ac:dyDescent="0.35">
      <c r="A4203" s="67" t="s">
        <v>1082</v>
      </c>
      <c r="G4203" s="737" t="s">
        <v>1083</v>
      </c>
    </row>
    <row r="4204" spans="1:33" x14ac:dyDescent="0.25">
      <c r="A4204" t="s">
        <v>1005</v>
      </c>
    </row>
    <row r="4205" spans="1:33" x14ac:dyDescent="0.25">
      <c r="A4205" t="s">
        <v>1006</v>
      </c>
    </row>
    <row r="4206" spans="1:33" x14ac:dyDescent="0.25">
      <c r="A4206" t="s">
        <v>1007</v>
      </c>
    </row>
    <row r="4207" spans="1:33" ht="13" x14ac:dyDescent="0.3">
      <c r="A4207" t="s">
        <v>1012</v>
      </c>
      <c r="C4207" s="29"/>
      <c r="D4207" s="36">
        <v>-1000</v>
      </c>
      <c r="E4207" s="36">
        <v>-1000</v>
      </c>
      <c r="F4207" s="22">
        <v>-1000</v>
      </c>
      <c r="G4207" s="22">
        <v>-1000</v>
      </c>
      <c r="H4207" s="22">
        <v>-1000</v>
      </c>
      <c r="I4207" s="22">
        <v>-1000</v>
      </c>
      <c r="J4207" s="22">
        <v>-1000</v>
      </c>
      <c r="K4207" s="22">
        <v>-1000</v>
      </c>
      <c r="L4207" s="22"/>
      <c r="M4207" s="36"/>
      <c r="N4207" s="36"/>
      <c r="O4207" s="36">
        <v>-1000</v>
      </c>
      <c r="P4207" s="36">
        <v>-1000</v>
      </c>
      <c r="Q4207" s="36">
        <v>-1000</v>
      </c>
      <c r="R4207" s="36">
        <v>-1000</v>
      </c>
      <c r="S4207" s="36">
        <v>-1000</v>
      </c>
      <c r="T4207" s="36"/>
      <c r="U4207" s="36"/>
      <c r="V4207" s="58"/>
      <c r="W4207" s="36">
        <v>-1000</v>
      </c>
      <c r="X4207" s="36">
        <v>-1000</v>
      </c>
      <c r="Y4207" s="36"/>
      <c r="Z4207" s="36"/>
      <c r="AA4207" s="40"/>
      <c r="AB4207" s="60"/>
      <c r="AC4207" s="100"/>
      <c r="AD4207" s="33"/>
      <c r="AE4207" s="33"/>
      <c r="AF4207" s="33"/>
      <c r="AG4207" s="101"/>
    </row>
    <row r="4208" spans="1:33" ht="13" x14ac:dyDescent="0.3">
      <c r="A4208" s="7" t="s">
        <v>1013</v>
      </c>
      <c r="C4208" s="29"/>
      <c r="D4208" s="36">
        <v>0</v>
      </c>
      <c r="E4208" s="36">
        <v>0</v>
      </c>
      <c r="F4208" s="22">
        <v>0</v>
      </c>
      <c r="G4208" s="22">
        <v>0</v>
      </c>
      <c r="H4208" s="22">
        <v>0</v>
      </c>
      <c r="I4208" s="22">
        <v>0</v>
      </c>
      <c r="J4208" s="22">
        <v>0</v>
      </c>
      <c r="K4208" s="22">
        <v>0</v>
      </c>
      <c r="L4208" s="22"/>
      <c r="M4208" s="36"/>
      <c r="N4208" s="36"/>
      <c r="O4208" s="36">
        <v>0</v>
      </c>
      <c r="P4208" s="36">
        <v>0</v>
      </c>
      <c r="Q4208" s="36">
        <v>0</v>
      </c>
      <c r="R4208" s="36">
        <v>0</v>
      </c>
      <c r="S4208" s="36">
        <v>0</v>
      </c>
      <c r="T4208" s="36"/>
      <c r="U4208" s="36"/>
      <c r="V4208" s="58"/>
      <c r="W4208" s="36">
        <v>0</v>
      </c>
      <c r="X4208" s="36">
        <v>0</v>
      </c>
      <c r="Y4208" s="36"/>
      <c r="Z4208" s="36"/>
      <c r="AA4208" s="40"/>
      <c r="AB4208" s="60"/>
      <c r="AC4208" s="100"/>
      <c r="AD4208" s="33"/>
      <c r="AE4208" s="33"/>
      <c r="AF4208" s="33"/>
      <c r="AG4208" s="101"/>
    </row>
    <row r="4209" spans="1:33" ht="13" x14ac:dyDescent="0.3">
      <c r="A4209" t="s">
        <v>1014</v>
      </c>
      <c r="C4209" s="30"/>
      <c r="D4209" s="36"/>
      <c r="E4209" s="36"/>
      <c r="F4209" s="57"/>
      <c r="G4209" s="57"/>
      <c r="H4209" s="57"/>
      <c r="I4209" s="57"/>
      <c r="J4209" s="57"/>
      <c r="K4209" s="57"/>
      <c r="L4209" s="57"/>
      <c r="M4209" s="36"/>
      <c r="N4209" s="36"/>
      <c r="O4209" s="36"/>
      <c r="P4209" s="36" t="s">
        <v>1015</v>
      </c>
      <c r="Q4209" s="36" t="s">
        <v>1016</v>
      </c>
      <c r="R4209" s="36"/>
      <c r="S4209" s="36"/>
      <c r="T4209" s="36"/>
      <c r="U4209" s="36"/>
      <c r="V4209" s="58"/>
      <c r="W4209" s="36"/>
      <c r="X4209" s="36"/>
      <c r="Y4209" s="36"/>
      <c r="Z4209" s="36"/>
      <c r="AA4209" s="40"/>
      <c r="AB4209" s="60"/>
      <c r="AC4209" s="100"/>
      <c r="AD4209" s="33"/>
      <c r="AE4209" s="33"/>
      <c r="AF4209" s="33"/>
      <c r="AG4209" s="101"/>
    </row>
    <row r="4210" spans="1:33" ht="13" x14ac:dyDescent="0.3">
      <c r="A4210" t="s">
        <v>1017</v>
      </c>
      <c r="C4210" s="79" t="s">
        <v>1018</v>
      </c>
      <c r="D4210" s="36" t="s">
        <v>1019</v>
      </c>
      <c r="E4210" s="36" t="s">
        <v>1020</v>
      </c>
      <c r="F4210" s="22" t="s">
        <v>1021</v>
      </c>
      <c r="G4210" s="22" t="s">
        <v>1022</v>
      </c>
      <c r="H4210" s="22" t="s">
        <v>1023</v>
      </c>
      <c r="I4210" s="22" t="s">
        <v>1024</v>
      </c>
      <c r="J4210" s="22" t="s">
        <v>1025</v>
      </c>
      <c r="K4210" s="22" t="s">
        <v>1026</v>
      </c>
      <c r="L4210" s="22"/>
      <c r="M4210" s="36"/>
      <c r="N4210" s="36"/>
      <c r="O4210" s="36" t="s">
        <v>1027</v>
      </c>
      <c r="P4210" s="36" t="s">
        <v>1028</v>
      </c>
      <c r="Q4210" s="36" t="s">
        <v>1028</v>
      </c>
      <c r="R4210" s="36" t="s">
        <v>1028</v>
      </c>
      <c r="S4210" s="36" t="s">
        <v>1029</v>
      </c>
      <c r="T4210" s="36"/>
      <c r="U4210" s="36"/>
      <c r="V4210" s="58"/>
      <c r="W4210" s="36" t="s">
        <v>1030</v>
      </c>
      <c r="X4210" s="36" t="s">
        <v>1031</v>
      </c>
      <c r="Y4210" s="36"/>
      <c r="Z4210" s="36"/>
      <c r="AA4210" s="40"/>
      <c r="AB4210" s="60"/>
      <c r="AC4210" s="100"/>
      <c r="AD4210" s="33"/>
      <c r="AE4210" s="33"/>
      <c r="AF4210" s="33"/>
      <c r="AG4210" s="101"/>
    </row>
    <row r="4211" spans="1:33" ht="13" x14ac:dyDescent="0.3">
      <c r="C4211" s="85"/>
      <c r="D4211" s="86"/>
      <c r="E4211" s="86"/>
      <c r="F4211" s="87"/>
      <c r="G4211" s="87"/>
      <c r="H4211" s="87"/>
      <c r="I4211" s="87"/>
      <c r="J4211" s="87"/>
      <c r="K4211" s="87"/>
      <c r="L4211" s="87"/>
      <c r="M4211" s="86"/>
      <c r="N4211" s="86"/>
      <c r="O4211" s="86"/>
      <c r="P4211" s="86"/>
      <c r="Q4211" s="86"/>
      <c r="R4211" s="86"/>
      <c r="S4211" s="86"/>
      <c r="T4211" s="86"/>
      <c r="U4211" s="86"/>
      <c r="V4211" s="88"/>
      <c r="W4211" s="86"/>
      <c r="X4211" s="86"/>
      <c r="Y4211" s="86"/>
      <c r="Z4211" s="86"/>
      <c r="AA4211" s="89"/>
      <c r="AB4211" s="60"/>
      <c r="AC4211" s="100"/>
      <c r="AD4211" s="33"/>
      <c r="AE4211" s="33"/>
      <c r="AF4211" s="33"/>
      <c r="AG4211" s="101"/>
    </row>
    <row r="4212" spans="1:33" ht="13" x14ac:dyDescent="0.3">
      <c r="C4212" s="78" t="s">
        <v>159</v>
      </c>
      <c r="D4212" s="33"/>
      <c r="E4212" s="33"/>
      <c r="F4212" s="23"/>
      <c r="G4212" s="23"/>
      <c r="H4212" s="23"/>
      <c r="I4212" s="23"/>
      <c r="J4212" s="23"/>
      <c r="K4212" s="23"/>
      <c r="L4212" s="23"/>
      <c r="M4212" s="33"/>
      <c r="N4212" s="33"/>
      <c r="O4212" s="33"/>
      <c r="P4212" s="33"/>
      <c r="Q4212" s="33"/>
      <c r="R4212" s="33"/>
      <c r="S4212" s="33"/>
      <c r="T4212" s="33"/>
      <c r="U4212" s="38"/>
      <c r="V4212" s="59"/>
      <c r="W4212" s="33"/>
      <c r="X4212" s="33"/>
      <c r="Y4212" s="33"/>
      <c r="Z4212" s="33"/>
      <c r="AA4212" s="42"/>
      <c r="AB4212" s="60"/>
      <c r="AC4212" s="100"/>
      <c r="AD4212" s="33"/>
      <c r="AE4212" s="33"/>
      <c r="AF4212" s="33"/>
      <c r="AG4212" s="101"/>
    </row>
    <row r="4213" spans="1:33" ht="13" x14ac:dyDescent="0.3">
      <c r="A4213" t="s">
        <v>232</v>
      </c>
      <c r="C4213" s="78"/>
      <c r="D4213" s="33"/>
      <c r="E4213" s="33"/>
      <c r="F4213" s="23"/>
      <c r="G4213" s="23"/>
      <c r="H4213" s="23"/>
      <c r="I4213" s="23"/>
      <c r="J4213" s="23"/>
      <c r="K4213" s="23"/>
      <c r="L4213" s="23"/>
      <c r="M4213" s="33"/>
      <c r="N4213" s="33"/>
      <c r="O4213" s="33"/>
      <c r="P4213" s="33"/>
      <c r="Q4213" s="33"/>
      <c r="R4213" s="33"/>
      <c r="S4213" s="33"/>
      <c r="T4213" s="33"/>
      <c r="U4213" s="38"/>
      <c r="V4213" s="59"/>
      <c r="W4213" s="33"/>
      <c r="X4213" s="33"/>
      <c r="Y4213" s="33"/>
      <c r="Z4213" s="33"/>
      <c r="AA4213" s="42"/>
      <c r="AB4213" s="60"/>
      <c r="AC4213" s="100"/>
      <c r="AD4213" s="33"/>
      <c r="AE4213" s="33"/>
      <c r="AF4213" s="33"/>
      <c r="AG4213" s="101"/>
    </row>
    <row r="4214" spans="1:33" ht="13" x14ac:dyDescent="0.3">
      <c r="A4214" t="s">
        <v>1033</v>
      </c>
      <c r="C4214" s="79">
        <v>0</v>
      </c>
      <c r="D4214" s="33">
        <v>0</v>
      </c>
      <c r="E4214" s="33">
        <v>0</v>
      </c>
      <c r="F4214" s="23">
        <v>0</v>
      </c>
      <c r="G4214" s="23">
        <v>0</v>
      </c>
      <c r="H4214" s="23">
        <v>0</v>
      </c>
      <c r="I4214" s="23">
        <v>0</v>
      </c>
      <c r="J4214" s="23">
        <v>0</v>
      </c>
      <c r="K4214" s="23">
        <v>0</v>
      </c>
      <c r="L4214" s="23">
        <f>SUM(F4214:K4214)</f>
        <v>0</v>
      </c>
      <c r="M4214" s="33">
        <f>O4214-E4214</f>
        <v>0</v>
      </c>
      <c r="N4214" s="33">
        <f>O4214-D4214</f>
        <v>0</v>
      </c>
      <c r="O4214" s="33">
        <v>0</v>
      </c>
      <c r="P4214" s="33">
        <v>0</v>
      </c>
      <c r="Q4214" s="33">
        <v>0</v>
      </c>
      <c r="R4214" s="33">
        <v>0</v>
      </c>
      <c r="S4214" s="33">
        <v>0</v>
      </c>
      <c r="T4214" s="33">
        <f>R4214-S4214</f>
        <v>0</v>
      </c>
      <c r="U4214" s="38" t="str">
        <f>IFERROR((R4214/O4214)*100%,"∞")</f>
        <v>∞</v>
      </c>
      <c r="V4214" s="59">
        <f>O4214+W4214</f>
        <v>0</v>
      </c>
      <c r="W4214" s="33">
        <v>0</v>
      </c>
      <c r="X4214" s="33">
        <v>0</v>
      </c>
      <c r="Y4214" s="33"/>
      <c r="Z4214" s="33"/>
      <c r="AA4214" s="42"/>
      <c r="AB4214" s="60"/>
      <c r="AC4214" s="105"/>
      <c r="AD4214" s="93"/>
      <c r="AE4214" s="33">
        <f>SUM(AC4214:AD4214)</f>
        <v>0</v>
      </c>
      <c r="AF4214" s="33">
        <f>R4214+AE4214</f>
        <v>0</v>
      </c>
      <c r="AG4214" s="101">
        <f>AF4214-O4214</f>
        <v>0</v>
      </c>
    </row>
    <row r="4215" spans="1:33" x14ac:dyDescent="0.25">
      <c r="A4215" t="s">
        <v>232</v>
      </c>
    </row>
    <row r="4216" spans="1:33" ht="13.5" thickBot="1" x14ac:dyDescent="0.35">
      <c r="C4216" s="80"/>
      <c r="D4216" s="81"/>
      <c r="E4216" s="81"/>
      <c r="F4216" s="82"/>
      <c r="G4216" s="82"/>
      <c r="H4216" s="82"/>
      <c r="I4216" s="82"/>
      <c r="J4216" s="82"/>
      <c r="K4216" s="82"/>
      <c r="L4216" s="82"/>
      <c r="M4216" s="81"/>
      <c r="N4216" s="81"/>
      <c r="O4216" s="81"/>
      <c r="P4216" s="81"/>
      <c r="Q4216" s="81"/>
      <c r="R4216" s="81"/>
      <c r="S4216" s="81"/>
      <c r="T4216" s="81"/>
      <c r="U4216" s="81"/>
      <c r="V4216" s="83"/>
      <c r="W4216" s="81"/>
      <c r="X4216" s="81"/>
      <c r="Y4216" s="81"/>
      <c r="Z4216" s="81"/>
      <c r="AA4216" s="84"/>
      <c r="AB4216" s="60"/>
      <c r="AC4216" s="100"/>
      <c r="AD4216" s="33"/>
      <c r="AE4216" s="33"/>
      <c r="AF4216" s="33"/>
      <c r="AG4216" s="101"/>
    </row>
    <row r="4217" spans="1:33" ht="13.5" thickBot="1" x14ac:dyDescent="0.35">
      <c r="C4217" s="91" t="s">
        <v>164</v>
      </c>
      <c r="D4217" s="76">
        <f t="shared" ref="D4217:K4217" si="11">SUM(D4213:D4215)</f>
        <v>0</v>
      </c>
      <c r="E4217" s="76">
        <f t="shared" si="11"/>
        <v>0</v>
      </c>
      <c r="F4217" s="76">
        <f t="shared" si="11"/>
        <v>0</v>
      </c>
      <c r="G4217" s="76">
        <f t="shared" si="11"/>
        <v>0</v>
      </c>
      <c r="H4217" s="76">
        <f t="shared" si="11"/>
        <v>0</v>
      </c>
      <c r="I4217" s="76">
        <f t="shared" si="11"/>
        <v>0</v>
      </c>
      <c r="J4217" s="76">
        <f t="shared" si="11"/>
        <v>0</v>
      </c>
      <c r="K4217" s="76">
        <f t="shared" si="11"/>
        <v>0</v>
      </c>
      <c r="L4217" s="76">
        <f>SUM(F4217:K4217)</f>
        <v>0</v>
      </c>
      <c r="M4217" s="76">
        <f>O4217-E4217</f>
        <v>0</v>
      </c>
      <c r="N4217" s="76">
        <f>O4217-D4217</f>
        <v>0</v>
      </c>
      <c r="O4217" s="76">
        <f>SUM(O4213:O4215)</f>
        <v>0</v>
      </c>
      <c r="P4217" s="76">
        <f>SUM(P4213:P4215)</f>
        <v>0</v>
      </c>
      <c r="Q4217" s="76">
        <f>SUM(Q4213:Q4215)</f>
        <v>0</v>
      </c>
      <c r="R4217" s="76">
        <f>SUM(R4213:R4215)</f>
        <v>0</v>
      </c>
      <c r="S4217" s="76">
        <f>SUM(S4213:S4215)</f>
        <v>0</v>
      </c>
      <c r="T4217" s="76">
        <f>R4217-S4217</f>
        <v>0</v>
      </c>
      <c r="U4217" s="92" t="str">
        <f>IFERROR((R4217/O4217)*100%,"∞")</f>
        <v>∞</v>
      </c>
      <c r="V4217" s="76">
        <f>O4217+W4217</f>
        <v>0</v>
      </c>
      <c r="W4217" s="76">
        <f>SUM(W4213:W4215)</f>
        <v>0</v>
      </c>
      <c r="X4217" s="76">
        <f>SUM(X4213:X4215)</f>
        <v>0</v>
      </c>
      <c r="Y4217" s="76">
        <f>SUM(Y4213:Y4215)</f>
        <v>0</v>
      </c>
      <c r="Z4217" s="76">
        <f>SUM(Z4213:Z4215)</f>
        <v>0</v>
      </c>
      <c r="AA4217" s="76">
        <f>SUM(AA4213:AA4215)</f>
        <v>0</v>
      </c>
      <c r="AB4217" s="60"/>
      <c r="AC4217" s="76">
        <f>SUM(AC4213:AC4215)</f>
        <v>0</v>
      </c>
      <c r="AD4217" s="76">
        <f>SUM(AD4213:AD4215)</f>
        <v>0</v>
      </c>
      <c r="AE4217" s="76">
        <f>SUM(AE4213:AE4215)</f>
        <v>0</v>
      </c>
      <c r="AF4217" s="76">
        <f>SUM(AF4213:AF4215)</f>
        <v>0</v>
      </c>
      <c r="AG4217" s="76">
        <f>SUM(AG4213:AG4215)</f>
        <v>0</v>
      </c>
    </row>
    <row r="4218" spans="1:33" ht="14" thickTop="1" thickBot="1" x14ac:dyDescent="0.35">
      <c r="C4218" s="80"/>
      <c r="D4218" s="81"/>
      <c r="E4218" s="81"/>
      <c r="F4218" s="82"/>
      <c r="G4218" s="82"/>
      <c r="H4218" s="82"/>
      <c r="I4218" s="82"/>
      <c r="J4218" s="82"/>
      <c r="K4218" s="82"/>
      <c r="L4218" s="82"/>
      <c r="M4218" s="81"/>
      <c r="N4218" s="81"/>
      <c r="O4218" s="81"/>
      <c r="P4218" s="81"/>
      <c r="Q4218" s="81"/>
      <c r="R4218" s="81"/>
      <c r="S4218" s="81"/>
      <c r="T4218" s="81"/>
      <c r="U4218" s="81"/>
      <c r="V4218" s="83"/>
      <c r="W4218" s="81"/>
      <c r="X4218" s="81"/>
      <c r="Y4218" s="81"/>
      <c r="Z4218" s="81"/>
      <c r="AA4218" s="84"/>
      <c r="AB4218" s="60"/>
      <c r="AC4218" s="100"/>
      <c r="AD4218" s="33"/>
      <c r="AE4218" s="33"/>
      <c r="AF4218" s="33"/>
      <c r="AG4218" s="101"/>
    </row>
    <row r="4219" spans="1:33" ht="13.5" thickBot="1" x14ac:dyDescent="0.35">
      <c r="C4219" s="91" t="s">
        <v>165</v>
      </c>
      <c r="D4219" s="76">
        <f t="shared" ref="D4219:K4219" si="12">D4036-D4217</f>
        <v>0</v>
      </c>
      <c r="E4219" s="76">
        <f t="shared" si="12"/>
        <v>0</v>
      </c>
      <c r="F4219" s="76">
        <f t="shared" si="12"/>
        <v>0</v>
      </c>
      <c r="G4219" s="76">
        <f t="shared" si="12"/>
        <v>0</v>
      </c>
      <c r="H4219" s="76">
        <f t="shared" si="12"/>
        <v>0</v>
      </c>
      <c r="I4219" s="76">
        <f t="shared" si="12"/>
        <v>0</v>
      </c>
      <c r="J4219" s="76">
        <f t="shared" si="12"/>
        <v>0</v>
      </c>
      <c r="K4219" s="76">
        <f t="shared" si="12"/>
        <v>0</v>
      </c>
      <c r="L4219" s="76">
        <f>SUM(F4219:K4219)</f>
        <v>0</v>
      </c>
      <c r="M4219" s="76">
        <f>O4219-E4219</f>
        <v>0</v>
      </c>
      <c r="N4219" s="76">
        <f>O4219-D4219</f>
        <v>0</v>
      </c>
      <c r="O4219" s="76">
        <f>O4036-O4217</f>
        <v>0</v>
      </c>
      <c r="P4219" s="76">
        <f>P4036-P4217</f>
        <v>0</v>
      </c>
      <c r="Q4219" s="76">
        <f>Q4036-Q4217</f>
        <v>0</v>
      </c>
      <c r="R4219" s="76">
        <f>R4036-R4217</f>
        <v>0</v>
      </c>
      <c r="S4219" s="76">
        <f>S4036-S4217</f>
        <v>0</v>
      </c>
      <c r="T4219" s="76">
        <f>R4219-S4219</f>
        <v>0</v>
      </c>
      <c r="U4219" s="92" t="str">
        <f>IFERROR((R4219/O4219)*100%,"∞")</f>
        <v>∞</v>
      </c>
      <c r="V4219" s="76">
        <f>O4219+W4219</f>
        <v>0</v>
      </c>
      <c r="W4219" s="76">
        <f>W4036-W4217</f>
        <v>0</v>
      </c>
      <c r="X4219" s="76">
        <f>X4036-X4217</f>
        <v>0</v>
      </c>
      <c r="Y4219" s="76">
        <f>Y4036-Y4217</f>
        <v>0</v>
      </c>
      <c r="Z4219" s="76">
        <f>Z4036-Z4217</f>
        <v>0</v>
      </c>
      <c r="AA4219" s="76">
        <f>AA4036-AA4217</f>
        <v>0</v>
      </c>
      <c r="AB4219" s="60"/>
      <c r="AC4219" s="76">
        <f>AC4036-AC4217</f>
        <v>0</v>
      </c>
      <c r="AD4219" s="76">
        <f>AD4036-AD4217</f>
        <v>0</v>
      </c>
      <c r="AE4219" s="76">
        <f>AE4036-AE4217</f>
        <v>0</v>
      </c>
      <c r="AF4219" s="76">
        <f>AF4036-AF4217</f>
        <v>0</v>
      </c>
      <c r="AG4219" s="76">
        <f>AG4036-AG4217</f>
        <v>0</v>
      </c>
    </row>
    <row r="4220" spans="1:33" ht="13" thickTop="1" x14ac:dyDescent="0.25"/>
  </sheetData>
  <autoFilter ref="A1:A4220" xr:uid="{00000000-0009-0000-0000-000012000000}"/>
  <dataConsolidate/>
  <customSheetViews>
    <customSheetView guid="{903669DD-1133-45D2-B108-C6B5BEA5EB61}" showAutoFilter="1" hiddenColumns="1" state="hidden">
      <selection activeCell="A329" sqref="A329"/>
      <pageMargins left="0" right="0" top="0" bottom="0" header="0" footer="0"/>
      <pageSetup paperSize="8" scale="74" orientation="landscape" r:id="rId1"/>
      <autoFilter ref="A1:A4220" xr:uid="{D5F17D6F-4B8A-4BF8-8A87-0F18E31326E0}"/>
    </customSheetView>
    <customSheetView guid="{7910FD81-BFE7-4CD5-939B-3D7A1CA9601A}" showAutoFilter="1" hiddenColumns="1" state="hidden" topLeftCell="A73">
      <selection activeCell="E183" sqref="E183"/>
      <pageMargins left="0" right="0" top="0" bottom="0" header="0" footer="0"/>
      <pageSetup paperSize="8" scale="74" orientation="landscape" r:id="rId2"/>
      <autoFilter ref="A1:A4220" xr:uid="{6DAD500D-6CB6-4D7C-9735-C1A8A30506DC}"/>
    </customSheetView>
    <customSheetView guid="{051C2D13-0D3D-44C3-A7DB-A0EAFBF115F0}" showAutoFilter="1" hiddenColumns="1" state="hidden">
      <selection activeCell="A329" sqref="A329"/>
      <pageMargins left="0" right="0" top="0" bottom="0" header="0" footer="0"/>
      <pageSetup paperSize="8" scale="74" orientation="landscape" r:id="rId3"/>
      <autoFilter ref="A1:A4220" xr:uid="{549405DA-5BCC-41B9-85B2-784AFA23FB0F}"/>
    </customSheetView>
    <customSheetView guid="{9C479752-7F2F-4739-B52F-47A06FE05EF0}" showAutoFilter="1" hiddenColumns="1" state="hidden" topLeftCell="A301">
      <selection activeCell="A329" sqref="A329"/>
      <pageMargins left="0" right="0" top="0" bottom="0" header="0" footer="0"/>
      <pageSetup paperSize="8" scale="74" orientation="landscape" r:id="rId4"/>
      <autoFilter ref="A1:A4220" xr:uid="{E8D39A37-436F-45BB-A1C7-DBC57EE7132E}"/>
    </customSheetView>
    <customSheetView guid="{A0809A10-8F40-4AD2-8943-60E412AED428}" showAutoFilter="1" hiddenColumns="1" state="hidden">
      <selection activeCell="A329" sqref="A329"/>
      <pageMargins left="0" right="0" top="0" bottom="0" header="0" footer="0"/>
      <pageSetup paperSize="8" scale="74" orientation="landscape" r:id="rId5"/>
      <autoFilter ref="A1:A4220" xr:uid="{1378ABE7-A089-470C-9B87-BD21D9A08008}"/>
    </customSheetView>
    <customSheetView guid="{3E006852-BD2D-4884-A2A1-BFAEAE24582F}" showAutoFilter="1" hiddenColumns="1" state="hidden">
      <selection activeCell="A329" sqref="A329"/>
      <pageMargins left="0" right="0" top="0" bottom="0" header="0" footer="0"/>
      <pageSetup paperSize="8" scale="74" orientation="landscape" r:id="rId6"/>
      <autoFilter ref="A1:A4220" xr:uid="{8D530418-206D-4DB7-97B9-A369A06BCD6C}"/>
    </customSheetView>
    <customSheetView guid="{28ADD64E-1C54-4CF2-8A6A-391E4DF6D903}" showAutoFilter="1" hiddenColumns="1" state="hidden">
      <pageMargins left="0" right="0" top="0" bottom="0" header="0" footer="0"/>
      <pageSetup paperSize="8" scale="74" orientation="landscape" r:id="rId7"/>
      <autoFilter ref="A1:A4220" xr:uid="{9EBF30B1-A471-4CD1-8688-7C0F68570808}"/>
    </customSheetView>
    <customSheetView guid="{B5B78BF3-B1F8-4BBA-8E40-E18C6034B566}" showAutoFilter="1" hiddenColumns="1" state="hidden" topLeftCell="A301">
      <selection activeCell="A329" sqref="A329"/>
      <pageMargins left="0" right="0" top="0" bottom="0" header="0" footer="0"/>
      <pageSetup paperSize="8" scale="74" orientation="landscape" r:id="rId8"/>
      <autoFilter ref="A1:A4220" xr:uid="{C7A085DD-C980-48BC-9492-2170CC49EE11}"/>
    </customSheetView>
    <customSheetView guid="{2F5D2611-A2AC-4668-B979-0EE258BE5F1F}" showAutoFilter="1" hiddenColumns="1" state="hidden">
      <selection activeCell="A329" sqref="A329"/>
      <pageMargins left="0" right="0" top="0" bottom="0" header="0" footer="0"/>
      <pageSetup paperSize="8" scale="74" orientation="landscape" r:id="rId9"/>
      <autoFilter ref="A1:A4220" xr:uid="{ADDBB712-BE27-4634-86EB-A1606ED53CCB}"/>
    </customSheetView>
    <customSheetView guid="{2EE8538C-E3AE-40C6-B22A-073EBF96300A}" showAutoFilter="1" hiddenColumns="1" state="hidden">
      <selection activeCell="A329" sqref="A329"/>
      <pageMargins left="0" right="0" top="0" bottom="0" header="0" footer="0"/>
      <pageSetup paperSize="8" scale="74" orientation="landscape" r:id="rId10"/>
      <autoFilter ref="A1:A4220" xr:uid="{7EED6542-3421-4A99-862E-D7F0807127CC}"/>
    </customSheetView>
    <customSheetView guid="{E4F22399-07D5-465E-AFB1-A36259E00328}" showAutoFilter="1" hiddenColumns="1" topLeftCell="A1364">
      <selection activeCell="C1390" sqref="C1390"/>
      <pageMargins left="0" right="0" top="0" bottom="0" header="0" footer="0"/>
      <pageSetup paperSize="8" scale="74" orientation="landscape" r:id="rId11"/>
      <autoFilter ref="A1:A4220" xr:uid="{2E9C8AB6-0E03-4B5E-8819-073A604C44DD}"/>
    </customSheetView>
  </customSheetViews>
  <mergeCells count="2">
    <mergeCell ref="E170:F170"/>
    <mergeCell ref="E171:F171"/>
  </mergeCells>
  <pageMargins left="0.23622047244094491" right="0.23622047244094491" top="0.74803149606299213" bottom="0.74803149606299213" header="0.31496062992125984" footer="0.31496062992125984"/>
  <pageSetup paperSize="8" scale="74" orientation="landscape" r:id="rId12"/>
  <ignoredErrors>
    <ignoredError sqref="L18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AX147"/>
  <sheetViews>
    <sheetView zoomScale="90" zoomScaleNormal="90" workbookViewId="0">
      <pane xSplit="2" ySplit="3" topLeftCell="C109" activePane="bottomRight" state="frozen"/>
      <selection pane="topRight" activeCell="C1" sqref="C1"/>
      <selection pane="bottomLeft" activeCell="A4" sqref="A4"/>
      <selection pane="bottomRight" activeCell="B116" sqref="B116"/>
    </sheetView>
  </sheetViews>
  <sheetFormatPr defaultColWidth="9.453125" defaultRowHeight="12.5" outlineLevelRow="2" outlineLevelCol="1" x14ac:dyDescent="0.25"/>
  <cols>
    <col min="1" max="1" width="1.54296875" customWidth="1"/>
    <col min="2" max="2" width="55.453125" style="1" customWidth="1"/>
    <col min="3" max="3" width="13.54296875" customWidth="1"/>
    <col min="4" max="4" width="13.54296875" hidden="1" customWidth="1"/>
    <col min="5" max="5" width="13.54296875" hidden="1" customWidth="1" outlineLevel="1"/>
    <col min="6" max="6" width="13.54296875" style="1" hidden="1" customWidth="1" outlineLevel="1"/>
    <col min="7" max="11" width="13.54296875" hidden="1" customWidth="1" outlineLevel="1"/>
    <col min="12" max="12" width="13.54296875" hidden="1" customWidth="1" collapsed="1"/>
    <col min="13" max="13" width="13.54296875" hidden="1" customWidth="1" outlineLevel="1"/>
    <col min="14" max="14" width="13.54296875" customWidth="1" collapsed="1"/>
    <col min="15" max="16" width="13.54296875" customWidth="1" outlineLevel="1"/>
    <col min="17" max="17" width="13.54296875" customWidth="1"/>
    <col min="18" max="19" width="13.54296875" customWidth="1" outlineLevel="1"/>
    <col min="20" max="20" width="13.54296875" hidden="1" customWidth="1" outlineLevel="1"/>
    <col min="21" max="22" width="13.54296875" hidden="1" customWidth="1"/>
    <col min="23" max="23" width="13.54296875" customWidth="1" outlineLevel="1"/>
    <col min="24" max="26" width="13.54296875" hidden="1" customWidth="1" outlineLevel="1"/>
    <col min="27" max="27" width="1.54296875" customWidth="1" collapsed="1"/>
    <col min="28" max="32" width="13.54296875" customWidth="1" outlineLevel="1"/>
    <col min="33" max="33" width="1.54296875" customWidth="1"/>
    <col min="34" max="38" width="11.54296875" customWidth="1"/>
    <col min="39" max="39" width="2.1796875" bestFit="1" customWidth="1"/>
    <col min="40" max="40" width="3.453125" bestFit="1" customWidth="1"/>
    <col min="41" max="41" width="11.54296875" customWidth="1"/>
    <col min="42" max="42" width="1.81640625" bestFit="1" customWidth="1"/>
    <col min="43" max="43" width="11.54296875" customWidth="1"/>
    <col min="48" max="48" width="12.1796875" style="123" bestFit="1" customWidth="1"/>
  </cols>
  <sheetData>
    <row r="1" spans="2:48" s="6" customFormat="1" ht="18.5" thickBot="1" x14ac:dyDescent="0.45">
      <c r="B1" s="17"/>
      <c r="D1" s="18" t="s">
        <v>0</v>
      </c>
      <c r="F1" s="17"/>
      <c r="AV1" s="640"/>
    </row>
    <row r="2" spans="2:48"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627" t="s">
        <v>25</v>
      </c>
      <c r="X2" s="48" t="s">
        <v>26</v>
      </c>
      <c r="Y2" s="48" t="s">
        <v>27</v>
      </c>
      <c r="Z2" s="48" t="s">
        <v>28</v>
      </c>
      <c r="AA2" s="60"/>
      <c r="AB2" s="48" t="s">
        <v>29</v>
      </c>
      <c r="AC2" s="48" t="s">
        <v>30</v>
      </c>
      <c r="AD2" s="48" t="s">
        <v>31</v>
      </c>
      <c r="AE2" s="48" t="s">
        <v>32</v>
      </c>
      <c r="AF2" s="48" t="s">
        <v>33</v>
      </c>
      <c r="AH2" s="626" t="s">
        <v>166</v>
      </c>
    </row>
    <row r="3" spans="2:48"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628" t="s">
        <v>34</v>
      </c>
      <c r="X3" s="55" t="s">
        <v>34</v>
      </c>
      <c r="Y3" s="55" t="s">
        <v>34</v>
      </c>
      <c r="Z3" s="26" t="s">
        <v>34</v>
      </c>
      <c r="AA3" s="60"/>
      <c r="AB3" s="96" t="s">
        <v>34</v>
      </c>
      <c r="AC3" s="55" t="s">
        <v>34</v>
      </c>
      <c r="AD3" s="55" t="s">
        <v>34</v>
      </c>
      <c r="AE3" s="55" t="s">
        <v>34</v>
      </c>
      <c r="AF3" s="97" t="s">
        <v>34</v>
      </c>
    </row>
    <row r="4" spans="2:48" ht="13" x14ac:dyDescent="0.3">
      <c r="B4" s="29"/>
      <c r="C4" s="36"/>
      <c r="D4" s="36"/>
      <c r="E4" s="22"/>
      <c r="F4" s="22"/>
      <c r="G4" s="22"/>
      <c r="H4" s="22"/>
      <c r="I4" s="22"/>
      <c r="J4" s="22"/>
      <c r="K4" s="22"/>
      <c r="L4" s="36"/>
      <c r="M4" s="36"/>
      <c r="N4" s="36"/>
      <c r="O4" s="36"/>
      <c r="P4" s="36"/>
      <c r="Q4" s="36"/>
      <c r="R4" s="36"/>
      <c r="S4" s="36"/>
      <c r="T4" s="36"/>
      <c r="U4" s="58"/>
      <c r="V4" s="36"/>
      <c r="W4" s="629"/>
      <c r="X4" s="36"/>
      <c r="Y4" s="36"/>
      <c r="Z4" s="40"/>
      <c r="AA4" s="60"/>
      <c r="AB4" s="98"/>
      <c r="AC4" s="36"/>
      <c r="AD4" s="36"/>
      <c r="AE4" s="36"/>
      <c r="AF4" s="99"/>
    </row>
    <row r="5" spans="2:48" ht="13" outlineLevel="2" x14ac:dyDescent="0.3">
      <c r="B5" s="31" t="s">
        <v>167</v>
      </c>
      <c r="C5" s="33">
        <v>812</v>
      </c>
      <c r="D5" s="33">
        <v>723</v>
      </c>
      <c r="E5" s="23">
        <v>0</v>
      </c>
      <c r="F5" s="23">
        <v>0</v>
      </c>
      <c r="G5" s="23">
        <v>-15</v>
      </c>
      <c r="H5" s="23">
        <v>0</v>
      </c>
      <c r="I5" s="23">
        <v>-74</v>
      </c>
      <c r="J5" s="23">
        <v>0</v>
      </c>
      <c r="K5" s="23">
        <f t="shared" ref="K5:K68" si="0">SUM(E5:J5)</f>
        <v>-89</v>
      </c>
      <c r="L5" s="33">
        <f t="shared" ref="L5:L68" si="1">N5-D5</f>
        <v>0</v>
      </c>
      <c r="M5" s="33">
        <f t="shared" ref="M5:M68" si="2">N5-C5</f>
        <v>-89</v>
      </c>
      <c r="N5" s="33">
        <v>723</v>
      </c>
      <c r="O5" s="33">
        <v>1089</v>
      </c>
      <c r="P5" s="33">
        <v>-475</v>
      </c>
      <c r="Q5" s="33">
        <v>614</v>
      </c>
      <c r="R5" s="33">
        <v>723</v>
      </c>
      <c r="S5" s="33">
        <f t="shared" ref="S5:S68" si="3">Q5-R5</f>
        <v>-109</v>
      </c>
      <c r="T5" s="38">
        <f t="shared" ref="T5:T68" si="4">IFERROR((Q5/N5)*100%,"∞")</f>
        <v>0.84923928077455046</v>
      </c>
      <c r="U5" s="59">
        <f t="shared" ref="U5:U68" si="5">N5+V5</f>
        <v>723</v>
      </c>
      <c r="V5" s="33">
        <v>0</v>
      </c>
      <c r="W5" s="630">
        <v>0</v>
      </c>
      <c r="X5" s="33"/>
      <c r="Y5" s="33"/>
      <c r="Z5" s="42"/>
      <c r="AA5" s="60"/>
      <c r="AB5" s="105"/>
      <c r="AC5" s="93"/>
      <c r="AD5" s="33">
        <f t="shared" ref="AD5:AD68" si="6">SUM(AB5:AC5)</f>
        <v>0</v>
      </c>
      <c r="AE5" s="33">
        <f t="shared" ref="AE5:AE68" si="7">Q5+AD5</f>
        <v>614</v>
      </c>
      <c r="AF5" s="101">
        <f t="shared" ref="AF5:AF68" si="8">AE5-N5</f>
        <v>-109</v>
      </c>
    </row>
    <row r="6" spans="2:48" ht="13" outlineLevel="2" x14ac:dyDescent="0.3">
      <c r="B6" s="31" t="s">
        <v>168</v>
      </c>
      <c r="C6" s="33">
        <v>4611</v>
      </c>
      <c r="D6" s="33">
        <v>1733</v>
      </c>
      <c r="E6" s="23">
        <v>-2762</v>
      </c>
      <c r="F6" s="23">
        <v>1530</v>
      </c>
      <c r="G6" s="23">
        <v>-56</v>
      </c>
      <c r="H6" s="23">
        <v>17</v>
      </c>
      <c r="I6" s="23">
        <v>-60</v>
      </c>
      <c r="J6" s="23">
        <v>-15</v>
      </c>
      <c r="K6" s="23">
        <f t="shared" si="0"/>
        <v>-1346</v>
      </c>
      <c r="L6" s="33">
        <f t="shared" si="1"/>
        <v>1515</v>
      </c>
      <c r="M6" s="33">
        <f t="shared" si="2"/>
        <v>-1363</v>
      </c>
      <c r="N6" s="33">
        <v>3248</v>
      </c>
      <c r="O6" s="33">
        <v>10536</v>
      </c>
      <c r="P6" s="33">
        <v>-7840</v>
      </c>
      <c r="Q6" s="33">
        <v>2697</v>
      </c>
      <c r="R6" s="33">
        <v>3248</v>
      </c>
      <c r="S6" s="33">
        <f t="shared" si="3"/>
        <v>-551</v>
      </c>
      <c r="T6" s="38">
        <f t="shared" si="4"/>
        <v>0.8303571428571429</v>
      </c>
      <c r="U6" s="59">
        <f t="shared" si="5"/>
        <v>2778</v>
      </c>
      <c r="V6" s="33">
        <v>-470</v>
      </c>
      <c r="W6" s="630">
        <v>-470</v>
      </c>
      <c r="X6" s="33"/>
      <c r="Y6" s="33"/>
      <c r="Z6" s="42"/>
      <c r="AA6" s="60"/>
      <c r="AB6" s="105"/>
      <c r="AC6" s="93"/>
      <c r="AD6" s="33">
        <f t="shared" si="6"/>
        <v>0</v>
      </c>
      <c r="AE6" s="33">
        <f t="shared" si="7"/>
        <v>2697</v>
      </c>
      <c r="AF6" s="101">
        <f t="shared" si="8"/>
        <v>-551</v>
      </c>
    </row>
    <row r="7" spans="2:48" ht="13" outlineLevel="2" x14ac:dyDescent="0.3">
      <c r="B7" s="31" t="s">
        <v>169</v>
      </c>
      <c r="C7" s="33">
        <v>-986</v>
      </c>
      <c r="D7" s="33">
        <v>52</v>
      </c>
      <c r="E7" s="23">
        <v>0</v>
      </c>
      <c r="F7" s="23">
        <v>0</v>
      </c>
      <c r="G7" s="23">
        <v>-1</v>
      </c>
      <c r="H7" s="23">
        <v>0</v>
      </c>
      <c r="I7" s="23">
        <v>1039</v>
      </c>
      <c r="J7" s="23">
        <v>0</v>
      </c>
      <c r="K7" s="23">
        <f t="shared" si="0"/>
        <v>1038</v>
      </c>
      <c r="L7" s="33">
        <f t="shared" si="1"/>
        <v>0</v>
      </c>
      <c r="M7" s="33">
        <f t="shared" si="2"/>
        <v>1038</v>
      </c>
      <c r="N7" s="33">
        <v>52</v>
      </c>
      <c r="O7" s="33">
        <v>55</v>
      </c>
      <c r="P7" s="33">
        <v>0</v>
      </c>
      <c r="Q7" s="33">
        <v>55</v>
      </c>
      <c r="R7" s="33">
        <v>52</v>
      </c>
      <c r="S7" s="33">
        <f t="shared" si="3"/>
        <v>3</v>
      </c>
      <c r="T7" s="38">
        <f t="shared" si="4"/>
        <v>1.0576923076923077</v>
      </c>
      <c r="U7" s="59">
        <f t="shared" si="5"/>
        <v>52</v>
      </c>
      <c r="V7" s="33">
        <v>0</v>
      </c>
      <c r="W7" s="630">
        <v>0</v>
      </c>
      <c r="X7" s="33"/>
      <c r="Y7" s="33"/>
      <c r="Z7" s="42"/>
      <c r="AA7" s="60"/>
      <c r="AB7" s="105"/>
      <c r="AC7" s="93"/>
      <c r="AD7" s="33">
        <f t="shared" si="6"/>
        <v>0</v>
      </c>
      <c r="AE7" s="33">
        <f t="shared" si="7"/>
        <v>55</v>
      </c>
      <c r="AF7" s="101">
        <f t="shared" si="8"/>
        <v>3</v>
      </c>
    </row>
    <row r="8" spans="2:48" ht="13" outlineLevel="2" x14ac:dyDescent="0.3">
      <c r="B8" s="31" t="s">
        <v>170</v>
      </c>
      <c r="C8" s="33">
        <v>121</v>
      </c>
      <c r="D8" s="33">
        <v>159</v>
      </c>
      <c r="E8" s="23">
        <v>0</v>
      </c>
      <c r="F8" s="23">
        <v>0</v>
      </c>
      <c r="G8" s="23">
        <v>-4</v>
      </c>
      <c r="H8" s="23">
        <v>0</v>
      </c>
      <c r="I8" s="23">
        <v>42</v>
      </c>
      <c r="J8" s="23">
        <v>0</v>
      </c>
      <c r="K8" s="23">
        <f t="shared" si="0"/>
        <v>38</v>
      </c>
      <c r="L8" s="33">
        <f t="shared" si="1"/>
        <v>0</v>
      </c>
      <c r="M8" s="33">
        <f t="shared" si="2"/>
        <v>38</v>
      </c>
      <c r="N8" s="33">
        <v>159</v>
      </c>
      <c r="O8" s="33">
        <v>484</v>
      </c>
      <c r="P8" s="33">
        <v>-254</v>
      </c>
      <c r="Q8" s="33">
        <v>230</v>
      </c>
      <c r="R8" s="33">
        <v>159</v>
      </c>
      <c r="S8" s="33">
        <f t="shared" si="3"/>
        <v>71</v>
      </c>
      <c r="T8" s="38">
        <f t="shared" si="4"/>
        <v>1.4465408805031446</v>
      </c>
      <c r="U8" s="59">
        <f t="shared" si="5"/>
        <v>159</v>
      </c>
      <c r="V8" s="33">
        <v>0</v>
      </c>
      <c r="W8" s="630">
        <v>0</v>
      </c>
      <c r="X8" s="33"/>
      <c r="Y8" s="33"/>
      <c r="Z8" s="42"/>
      <c r="AA8" s="60"/>
      <c r="AB8" s="105"/>
      <c r="AC8" s="93"/>
      <c r="AD8" s="33">
        <f t="shared" si="6"/>
        <v>0</v>
      </c>
      <c r="AE8" s="33">
        <f t="shared" si="7"/>
        <v>230</v>
      </c>
      <c r="AF8" s="101">
        <f t="shared" si="8"/>
        <v>71</v>
      </c>
    </row>
    <row r="9" spans="2:48" ht="13" outlineLevel="1" x14ac:dyDescent="0.3">
      <c r="B9" s="32" t="s">
        <v>43</v>
      </c>
      <c r="C9" s="34">
        <f t="shared" ref="C9:J9" si="9">SUBTOTAL(9,C5:C8)</f>
        <v>4558</v>
      </c>
      <c r="D9" s="34">
        <f t="shared" si="9"/>
        <v>2667</v>
      </c>
      <c r="E9" s="24">
        <f t="shared" si="9"/>
        <v>-2762</v>
      </c>
      <c r="F9" s="24">
        <f t="shared" si="9"/>
        <v>1530</v>
      </c>
      <c r="G9" s="24">
        <f t="shared" si="9"/>
        <v>-76</v>
      </c>
      <c r="H9" s="24">
        <f t="shared" si="9"/>
        <v>17</v>
      </c>
      <c r="I9" s="24">
        <f t="shared" si="9"/>
        <v>947</v>
      </c>
      <c r="J9" s="24">
        <f t="shared" si="9"/>
        <v>-15</v>
      </c>
      <c r="K9" s="24">
        <f>SUM(E9:J9)</f>
        <v>-359</v>
      </c>
      <c r="L9" s="34">
        <f t="shared" si="1"/>
        <v>1515</v>
      </c>
      <c r="M9" s="34">
        <f t="shared" si="2"/>
        <v>-376</v>
      </c>
      <c r="N9" s="34">
        <f>SUBTOTAL(9,N5:N8)</f>
        <v>4182</v>
      </c>
      <c r="O9" s="34">
        <f>SUBTOTAL(9,O5:O8)</f>
        <v>12164</v>
      </c>
      <c r="P9" s="34">
        <f>SUBTOTAL(9,P5:P8)</f>
        <v>-8569</v>
      </c>
      <c r="Q9" s="34">
        <f>SUBTOTAL(9,Q5:Q8)</f>
        <v>3596</v>
      </c>
      <c r="R9" s="34">
        <f>SUBTOTAL(9,R5:R8)</f>
        <v>4182</v>
      </c>
      <c r="S9" s="34">
        <f>Q9-R9</f>
        <v>-586</v>
      </c>
      <c r="T9" s="38">
        <f>IFERROR((Q9/N9)*100%,"∞")</f>
        <v>0.8598756575801052</v>
      </c>
      <c r="U9" s="59">
        <f>N9+V9</f>
        <v>3712</v>
      </c>
      <c r="V9" s="34">
        <f>SUBTOTAL(9,V5:V8)</f>
        <v>-470</v>
      </c>
      <c r="W9" s="631">
        <f>SUBTOTAL(9,W5:W8)</f>
        <v>-470</v>
      </c>
      <c r="X9" s="631">
        <f t="shared" ref="X9:AG9" si="10">SUBTOTAL(9,X5:X8)</f>
        <v>0</v>
      </c>
      <c r="Y9" s="631">
        <f t="shared" si="10"/>
        <v>0</v>
      </c>
      <c r="Z9" s="631">
        <f t="shared" si="10"/>
        <v>0</v>
      </c>
      <c r="AA9" s="641">
        <f t="shared" si="10"/>
        <v>0</v>
      </c>
      <c r="AB9" s="641">
        <f t="shared" si="10"/>
        <v>0</v>
      </c>
      <c r="AC9" s="641">
        <f t="shared" si="10"/>
        <v>0</v>
      </c>
      <c r="AD9" s="641">
        <f t="shared" si="10"/>
        <v>0</v>
      </c>
      <c r="AE9" s="641">
        <f t="shared" si="10"/>
        <v>3596</v>
      </c>
      <c r="AF9" s="641">
        <f t="shared" si="10"/>
        <v>-586</v>
      </c>
      <c r="AG9" s="641">
        <f t="shared" si="10"/>
        <v>0</v>
      </c>
      <c r="AH9" s="19">
        <f>AF9-W9</f>
        <v>-116</v>
      </c>
    </row>
    <row r="10" spans="2:48" ht="13" outlineLevel="2" x14ac:dyDescent="0.3">
      <c r="B10" s="31" t="s">
        <v>171</v>
      </c>
      <c r="C10" s="33">
        <v>544</v>
      </c>
      <c r="D10" s="33">
        <v>512</v>
      </c>
      <c r="E10" s="23">
        <v>0</v>
      </c>
      <c r="F10" s="23">
        <v>-147</v>
      </c>
      <c r="G10" s="23">
        <v>-32</v>
      </c>
      <c r="H10" s="23">
        <v>0</v>
      </c>
      <c r="I10" s="23">
        <v>0</v>
      </c>
      <c r="J10" s="23">
        <v>-15</v>
      </c>
      <c r="K10" s="23">
        <f t="shared" si="0"/>
        <v>-194</v>
      </c>
      <c r="L10" s="33">
        <f t="shared" si="1"/>
        <v>-162</v>
      </c>
      <c r="M10" s="33">
        <f t="shared" si="2"/>
        <v>-194</v>
      </c>
      <c r="N10" s="33">
        <v>350</v>
      </c>
      <c r="O10" s="33">
        <v>2561</v>
      </c>
      <c r="P10" s="33">
        <v>-2145</v>
      </c>
      <c r="Q10" s="33">
        <v>417</v>
      </c>
      <c r="R10" s="33">
        <v>350</v>
      </c>
      <c r="S10" s="33">
        <f t="shared" si="3"/>
        <v>67</v>
      </c>
      <c r="T10" s="38">
        <f t="shared" si="4"/>
        <v>1.1914285714285715</v>
      </c>
      <c r="U10" s="59">
        <f t="shared" si="5"/>
        <v>508</v>
      </c>
      <c r="V10" s="33">
        <v>158</v>
      </c>
      <c r="W10" s="630">
        <v>158</v>
      </c>
      <c r="X10" s="33"/>
      <c r="Y10" s="33"/>
      <c r="Z10" s="42"/>
      <c r="AA10" s="60"/>
      <c r="AB10" s="105"/>
      <c r="AC10" s="93"/>
      <c r="AD10" s="33">
        <f t="shared" si="6"/>
        <v>0</v>
      </c>
      <c r="AE10" s="33">
        <f t="shared" si="7"/>
        <v>417</v>
      </c>
      <c r="AF10" s="101">
        <f t="shared" si="8"/>
        <v>67</v>
      </c>
    </row>
    <row r="11" spans="2:48" ht="13" outlineLevel="2" x14ac:dyDescent="0.3">
      <c r="B11" s="31" t="s">
        <v>44</v>
      </c>
      <c r="C11" s="33">
        <v>815</v>
      </c>
      <c r="D11" s="33">
        <v>849</v>
      </c>
      <c r="E11" s="23">
        <v>45</v>
      </c>
      <c r="F11" s="23">
        <v>89</v>
      </c>
      <c r="G11" s="23">
        <v>-28</v>
      </c>
      <c r="H11" s="23">
        <v>0</v>
      </c>
      <c r="I11" s="23">
        <v>18</v>
      </c>
      <c r="J11" s="23">
        <v>0</v>
      </c>
      <c r="K11" s="23">
        <f t="shared" si="0"/>
        <v>124</v>
      </c>
      <c r="L11" s="33">
        <f t="shared" si="1"/>
        <v>90</v>
      </c>
      <c r="M11" s="33">
        <f t="shared" si="2"/>
        <v>124</v>
      </c>
      <c r="N11" s="33">
        <v>939</v>
      </c>
      <c r="O11" s="33">
        <v>1859</v>
      </c>
      <c r="P11" s="33">
        <v>-960</v>
      </c>
      <c r="Q11" s="33">
        <v>899</v>
      </c>
      <c r="R11" s="33">
        <v>939</v>
      </c>
      <c r="S11" s="33">
        <f t="shared" si="3"/>
        <v>-40</v>
      </c>
      <c r="T11" s="38">
        <f t="shared" si="4"/>
        <v>0.95740149094781679</v>
      </c>
      <c r="U11" s="59">
        <f t="shared" si="5"/>
        <v>915</v>
      </c>
      <c r="V11" s="33">
        <v>-24</v>
      </c>
      <c r="W11" s="630">
        <v>-24</v>
      </c>
      <c r="X11" s="33"/>
      <c r="Y11" s="33"/>
      <c r="Z11" s="42"/>
      <c r="AA11" s="60"/>
      <c r="AB11" s="105"/>
      <c r="AC11" s="93"/>
      <c r="AD11" s="33">
        <f t="shared" si="6"/>
        <v>0</v>
      </c>
      <c r="AE11" s="33">
        <f t="shared" si="7"/>
        <v>899</v>
      </c>
      <c r="AF11" s="101">
        <f t="shared" si="8"/>
        <v>-40</v>
      </c>
    </row>
    <row r="12" spans="2:48" ht="13" outlineLevel="1" x14ac:dyDescent="0.3">
      <c r="B12" s="32" t="s">
        <v>172</v>
      </c>
      <c r="C12" s="34">
        <f t="shared" ref="C12:J12" si="11">SUBTOTAL(9,C10:C11)</f>
        <v>1359</v>
      </c>
      <c r="D12" s="34">
        <f t="shared" si="11"/>
        <v>1361</v>
      </c>
      <c r="E12" s="24">
        <f t="shared" si="11"/>
        <v>45</v>
      </c>
      <c r="F12" s="24">
        <f t="shared" si="11"/>
        <v>-58</v>
      </c>
      <c r="G12" s="24">
        <f t="shared" si="11"/>
        <v>-60</v>
      </c>
      <c r="H12" s="24">
        <f t="shared" si="11"/>
        <v>0</v>
      </c>
      <c r="I12" s="24">
        <f t="shared" si="11"/>
        <v>18</v>
      </c>
      <c r="J12" s="24">
        <f t="shared" si="11"/>
        <v>-15</v>
      </c>
      <c r="K12" s="24">
        <f>SUM(E12:J12)</f>
        <v>-70</v>
      </c>
      <c r="L12" s="34">
        <f t="shared" ref="L12" si="12">N12-D12</f>
        <v>-72</v>
      </c>
      <c r="M12" s="34">
        <f t="shared" ref="M12" si="13">N12-C12</f>
        <v>-70</v>
      </c>
      <c r="N12" s="34">
        <f>SUBTOTAL(9,N10:N11)</f>
        <v>1289</v>
      </c>
      <c r="O12" s="34">
        <f>SUBTOTAL(9,O10:O11)</f>
        <v>4420</v>
      </c>
      <c r="P12" s="34">
        <f>SUBTOTAL(9,P10:P11)</f>
        <v>-3105</v>
      </c>
      <c r="Q12" s="34">
        <f>SUBTOTAL(9,Q10:Q11)</f>
        <v>1316</v>
      </c>
      <c r="R12" s="34">
        <f>SUBTOTAL(9,R10:R11)</f>
        <v>1289</v>
      </c>
      <c r="S12" s="34">
        <f>Q12-R12</f>
        <v>27</v>
      </c>
      <c r="T12" s="38">
        <f>IFERROR((Q12/N12)*100%,"∞")</f>
        <v>1.0209464701318851</v>
      </c>
      <c r="U12" s="59">
        <f>N12+V12</f>
        <v>1423</v>
      </c>
      <c r="V12" s="34">
        <f>SUBTOTAL(9,V10:V11)</f>
        <v>134</v>
      </c>
      <c r="W12" s="631">
        <f t="shared" ref="W12:AF12" si="14">SUBTOTAL(9,W10:W11)</f>
        <v>134</v>
      </c>
      <c r="X12" s="34">
        <f t="shared" si="14"/>
        <v>0</v>
      </c>
      <c r="Y12" s="34">
        <f t="shared" si="14"/>
        <v>0</v>
      </c>
      <c r="Z12" s="34">
        <f t="shared" si="14"/>
        <v>0</v>
      </c>
      <c r="AA12" s="34">
        <f t="shared" si="14"/>
        <v>0</v>
      </c>
      <c r="AB12" s="34">
        <f t="shared" si="14"/>
        <v>0</v>
      </c>
      <c r="AC12" s="34">
        <f t="shared" si="14"/>
        <v>0</v>
      </c>
      <c r="AD12" s="34">
        <f t="shared" si="14"/>
        <v>0</v>
      </c>
      <c r="AE12" s="34">
        <f t="shared" si="14"/>
        <v>1316</v>
      </c>
      <c r="AF12" s="34">
        <f t="shared" si="14"/>
        <v>27</v>
      </c>
    </row>
    <row r="13" spans="2:48" ht="13" outlineLevel="2" x14ac:dyDescent="0.3">
      <c r="B13" s="31" t="s">
        <v>46</v>
      </c>
      <c r="C13" s="33">
        <v>1088</v>
      </c>
      <c r="D13" s="33">
        <v>1315</v>
      </c>
      <c r="E13" s="23">
        <v>261</v>
      </c>
      <c r="F13" s="23">
        <v>45</v>
      </c>
      <c r="G13" s="23">
        <v>-7</v>
      </c>
      <c r="H13" s="23">
        <v>0</v>
      </c>
      <c r="I13" s="23">
        <v>-26</v>
      </c>
      <c r="J13" s="23">
        <v>0</v>
      </c>
      <c r="K13" s="23">
        <f t="shared" si="0"/>
        <v>273</v>
      </c>
      <c r="L13" s="33">
        <f t="shared" si="1"/>
        <v>45</v>
      </c>
      <c r="M13" s="33">
        <f t="shared" si="2"/>
        <v>272</v>
      </c>
      <c r="N13" s="33">
        <v>1360</v>
      </c>
      <c r="O13" s="33">
        <v>1512</v>
      </c>
      <c r="P13" s="33">
        <v>-137</v>
      </c>
      <c r="Q13" s="33">
        <v>1374</v>
      </c>
      <c r="R13" s="33">
        <v>1360</v>
      </c>
      <c r="S13" s="33">
        <f t="shared" si="3"/>
        <v>14</v>
      </c>
      <c r="T13" s="38">
        <f t="shared" si="4"/>
        <v>1.0102941176470588</v>
      </c>
      <c r="U13" s="59">
        <f t="shared" si="5"/>
        <v>1483</v>
      </c>
      <c r="V13" s="33">
        <v>123</v>
      </c>
      <c r="W13" s="630">
        <v>123</v>
      </c>
      <c r="X13" s="33"/>
      <c r="Y13" s="33"/>
      <c r="Z13" s="42"/>
      <c r="AA13" s="60"/>
      <c r="AB13" s="105">
        <v>28</v>
      </c>
      <c r="AC13" s="93"/>
      <c r="AD13" s="33">
        <f t="shared" si="6"/>
        <v>28</v>
      </c>
      <c r="AE13" s="33">
        <f t="shared" si="7"/>
        <v>1402</v>
      </c>
      <c r="AF13" s="101">
        <f t="shared" si="8"/>
        <v>42</v>
      </c>
    </row>
    <row r="14" spans="2:48" ht="13" outlineLevel="2" x14ac:dyDescent="0.3">
      <c r="B14" s="31" t="s">
        <v>173</v>
      </c>
      <c r="C14" s="33">
        <v>0</v>
      </c>
      <c r="D14" s="33">
        <v>0</v>
      </c>
      <c r="E14" s="23">
        <v>0</v>
      </c>
      <c r="F14" s="23">
        <v>0</v>
      </c>
      <c r="G14" s="23">
        <v>0</v>
      </c>
      <c r="H14" s="23">
        <v>0</v>
      </c>
      <c r="I14" s="23">
        <v>0</v>
      </c>
      <c r="J14" s="23">
        <v>0</v>
      </c>
      <c r="K14" s="23">
        <f t="shared" si="0"/>
        <v>0</v>
      </c>
      <c r="L14" s="33">
        <f t="shared" si="1"/>
        <v>0</v>
      </c>
      <c r="M14" s="33">
        <f t="shared" si="2"/>
        <v>0</v>
      </c>
      <c r="N14" s="33">
        <v>0</v>
      </c>
      <c r="O14" s="33">
        <v>0</v>
      </c>
      <c r="P14" s="33">
        <v>0</v>
      </c>
      <c r="Q14" s="33">
        <v>0</v>
      </c>
      <c r="R14" s="33">
        <v>0</v>
      </c>
      <c r="S14" s="33">
        <f t="shared" si="3"/>
        <v>0</v>
      </c>
      <c r="T14" s="38" t="str">
        <f t="shared" si="4"/>
        <v>∞</v>
      </c>
      <c r="U14" s="59">
        <f t="shared" si="5"/>
        <v>0</v>
      </c>
      <c r="V14" s="33">
        <v>0</v>
      </c>
      <c r="W14" s="630">
        <v>0</v>
      </c>
      <c r="X14" s="33"/>
      <c r="Y14" s="33"/>
      <c r="Z14" s="42"/>
      <c r="AA14" s="60"/>
      <c r="AB14" s="105"/>
      <c r="AC14" s="93"/>
      <c r="AD14" s="33">
        <f t="shared" si="6"/>
        <v>0</v>
      </c>
      <c r="AE14" s="33">
        <f t="shared" si="7"/>
        <v>0</v>
      </c>
      <c r="AF14" s="101">
        <f t="shared" si="8"/>
        <v>0</v>
      </c>
    </row>
    <row r="15" spans="2:48" ht="13" outlineLevel="2" x14ac:dyDescent="0.3">
      <c r="B15" s="31" t="s">
        <v>47</v>
      </c>
      <c r="C15" s="33">
        <v>185</v>
      </c>
      <c r="D15" s="33">
        <v>181</v>
      </c>
      <c r="E15" s="23">
        <v>0</v>
      </c>
      <c r="F15" s="23">
        <v>2</v>
      </c>
      <c r="G15" s="23">
        <v>-4</v>
      </c>
      <c r="H15" s="23">
        <v>0</v>
      </c>
      <c r="I15" s="23">
        <v>0</v>
      </c>
      <c r="J15" s="23">
        <v>0</v>
      </c>
      <c r="K15" s="23">
        <f t="shared" si="0"/>
        <v>-2</v>
      </c>
      <c r="L15" s="33">
        <f t="shared" si="1"/>
        <v>3</v>
      </c>
      <c r="M15" s="33">
        <f t="shared" si="2"/>
        <v>-1</v>
      </c>
      <c r="N15" s="33">
        <v>184</v>
      </c>
      <c r="O15" s="33">
        <v>297</v>
      </c>
      <c r="P15" s="33">
        <v>-141</v>
      </c>
      <c r="Q15" s="33">
        <v>156</v>
      </c>
      <c r="R15" s="33">
        <v>184</v>
      </c>
      <c r="S15" s="33">
        <f t="shared" si="3"/>
        <v>-28</v>
      </c>
      <c r="T15" s="38">
        <f t="shared" si="4"/>
        <v>0.84782608695652173</v>
      </c>
      <c r="U15" s="59">
        <f t="shared" si="5"/>
        <v>206</v>
      </c>
      <c r="V15" s="33">
        <v>22</v>
      </c>
      <c r="W15" s="630">
        <v>22</v>
      </c>
      <c r="X15" s="33"/>
      <c r="Y15" s="33"/>
      <c r="Z15" s="42"/>
      <c r="AA15" s="60"/>
      <c r="AB15" s="105"/>
      <c r="AC15" s="93"/>
      <c r="AD15" s="33">
        <f t="shared" si="6"/>
        <v>0</v>
      </c>
      <c r="AE15" s="33">
        <f t="shared" si="7"/>
        <v>156</v>
      </c>
      <c r="AF15" s="101">
        <f t="shared" si="8"/>
        <v>-28</v>
      </c>
    </row>
    <row r="16" spans="2:48" ht="13" outlineLevel="2" x14ac:dyDescent="0.3">
      <c r="B16" s="31" t="s">
        <v>48</v>
      </c>
      <c r="C16" s="33">
        <v>365</v>
      </c>
      <c r="D16" s="33">
        <v>362</v>
      </c>
      <c r="E16" s="23">
        <v>0</v>
      </c>
      <c r="F16" s="23">
        <v>0</v>
      </c>
      <c r="G16" s="23">
        <v>-2</v>
      </c>
      <c r="H16" s="23">
        <v>0</v>
      </c>
      <c r="I16" s="23">
        <v>0</v>
      </c>
      <c r="J16" s="23">
        <v>0</v>
      </c>
      <c r="K16" s="23">
        <f t="shared" si="0"/>
        <v>-2</v>
      </c>
      <c r="L16" s="33">
        <f t="shared" si="1"/>
        <v>0</v>
      </c>
      <c r="M16" s="33">
        <f t="shared" si="2"/>
        <v>-3</v>
      </c>
      <c r="N16" s="33">
        <v>362</v>
      </c>
      <c r="O16" s="33">
        <v>386</v>
      </c>
      <c r="P16" s="33">
        <v>-44</v>
      </c>
      <c r="Q16" s="33">
        <v>342</v>
      </c>
      <c r="R16" s="33">
        <v>362</v>
      </c>
      <c r="S16" s="33">
        <f t="shared" si="3"/>
        <v>-20</v>
      </c>
      <c r="T16" s="38">
        <f t="shared" si="4"/>
        <v>0.94475138121546964</v>
      </c>
      <c r="U16" s="59">
        <f t="shared" si="5"/>
        <v>338</v>
      </c>
      <c r="V16" s="33">
        <v>-24</v>
      </c>
      <c r="W16" s="630">
        <v>-24</v>
      </c>
      <c r="X16" s="33"/>
      <c r="Y16" s="33"/>
      <c r="Z16" s="42"/>
      <c r="AA16" s="60"/>
      <c r="AB16" s="105"/>
      <c r="AC16" s="93"/>
      <c r="AD16" s="33">
        <f t="shared" si="6"/>
        <v>0</v>
      </c>
      <c r="AE16" s="33">
        <f t="shared" si="7"/>
        <v>342</v>
      </c>
      <c r="AF16" s="101">
        <f t="shared" si="8"/>
        <v>-20</v>
      </c>
    </row>
    <row r="17" spans="2:34" ht="13" outlineLevel="2" x14ac:dyDescent="0.3">
      <c r="B17" s="31" t="s">
        <v>49</v>
      </c>
      <c r="C17" s="33">
        <v>519</v>
      </c>
      <c r="D17" s="33">
        <v>502</v>
      </c>
      <c r="E17" s="23">
        <v>-14</v>
      </c>
      <c r="F17" s="23">
        <v>0</v>
      </c>
      <c r="G17" s="23">
        <v>-3</v>
      </c>
      <c r="H17" s="23">
        <v>0</v>
      </c>
      <c r="I17" s="23">
        <v>0</v>
      </c>
      <c r="J17" s="23">
        <v>0</v>
      </c>
      <c r="K17" s="23">
        <f t="shared" si="0"/>
        <v>-17</v>
      </c>
      <c r="L17" s="33">
        <f t="shared" si="1"/>
        <v>0</v>
      </c>
      <c r="M17" s="33">
        <f t="shared" si="2"/>
        <v>-17</v>
      </c>
      <c r="N17" s="33">
        <v>502</v>
      </c>
      <c r="O17" s="33">
        <v>805</v>
      </c>
      <c r="P17" s="33">
        <v>-341</v>
      </c>
      <c r="Q17" s="33">
        <v>464</v>
      </c>
      <c r="R17" s="33">
        <v>502</v>
      </c>
      <c r="S17" s="33">
        <f t="shared" si="3"/>
        <v>-38</v>
      </c>
      <c r="T17" s="38">
        <f t="shared" si="4"/>
        <v>0.92430278884462147</v>
      </c>
      <c r="U17" s="59">
        <f t="shared" si="5"/>
        <v>460</v>
      </c>
      <c r="V17" s="33">
        <v>-42</v>
      </c>
      <c r="W17" s="630">
        <v>-42</v>
      </c>
      <c r="X17" s="33"/>
      <c r="Y17" s="33"/>
      <c r="Z17" s="42"/>
      <c r="AA17" s="60"/>
      <c r="AB17" s="105">
        <v>50</v>
      </c>
      <c r="AC17" s="93"/>
      <c r="AD17" s="33">
        <f t="shared" si="6"/>
        <v>50</v>
      </c>
      <c r="AE17" s="33">
        <f t="shared" si="7"/>
        <v>514</v>
      </c>
      <c r="AF17" s="101">
        <f t="shared" si="8"/>
        <v>12</v>
      </c>
    </row>
    <row r="18" spans="2:34" ht="13" outlineLevel="2" x14ac:dyDescent="0.3">
      <c r="B18" s="31" t="s">
        <v>50</v>
      </c>
      <c r="C18" s="33">
        <v>389</v>
      </c>
      <c r="D18" s="33">
        <v>386</v>
      </c>
      <c r="E18" s="23">
        <v>0</v>
      </c>
      <c r="F18" s="23">
        <v>0</v>
      </c>
      <c r="G18" s="23">
        <v>-3</v>
      </c>
      <c r="H18" s="23">
        <v>0</v>
      </c>
      <c r="I18" s="23">
        <v>0</v>
      </c>
      <c r="J18" s="23">
        <v>-30</v>
      </c>
      <c r="K18" s="23">
        <f t="shared" si="0"/>
        <v>-33</v>
      </c>
      <c r="L18" s="33">
        <f t="shared" si="1"/>
        <v>-30</v>
      </c>
      <c r="M18" s="33">
        <f t="shared" si="2"/>
        <v>-33</v>
      </c>
      <c r="N18" s="33">
        <v>356</v>
      </c>
      <c r="O18" s="33">
        <v>400</v>
      </c>
      <c r="P18" s="33">
        <v>-80</v>
      </c>
      <c r="Q18" s="33">
        <v>320</v>
      </c>
      <c r="R18" s="33">
        <v>356</v>
      </c>
      <c r="S18" s="33">
        <f t="shared" si="3"/>
        <v>-36</v>
      </c>
      <c r="T18" s="38">
        <f t="shared" si="4"/>
        <v>0.898876404494382</v>
      </c>
      <c r="U18" s="59">
        <f t="shared" si="5"/>
        <v>370</v>
      </c>
      <c r="V18" s="33">
        <v>14</v>
      </c>
      <c r="W18" s="630">
        <v>14</v>
      </c>
      <c r="X18" s="33"/>
      <c r="Y18" s="33"/>
      <c r="Z18" s="42"/>
      <c r="AA18" s="60"/>
      <c r="AB18" s="105"/>
      <c r="AC18" s="93"/>
      <c r="AD18" s="33">
        <f t="shared" si="6"/>
        <v>0</v>
      </c>
      <c r="AE18" s="33">
        <f t="shared" si="7"/>
        <v>320</v>
      </c>
      <c r="AF18" s="101">
        <f t="shared" si="8"/>
        <v>-36</v>
      </c>
    </row>
    <row r="19" spans="2:34" ht="13" outlineLevel="2" x14ac:dyDescent="0.3">
      <c r="B19" s="31" t="s">
        <v>51</v>
      </c>
      <c r="C19" s="33">
        <v>1303</v>
      </c>
      <c r="D19" s="33">
        <v>1270</v>
      </c>
      <c r="E19" s="23">
        <v>-15</v>
      </c>
      <c r="F19" s="23">
        <v>0</v>
      </c>
      <c r="G19" s="23">
        <v>-17</v>
      </c>
      <c r="H19" s="23">
        <v>0</v>
      </c>
      <c r="I19" s="23">
        <v>0</v>
      </c>
      <c r="J19" s="23">
        <v>0</v>
      </c>
      <c r="K19" s="23">
        <f t="shared" si="0"/>
        <v>-32</v>
      </c>
      <c r="L19" s="33">
        <f t="shared" si="1"/>
        <v>0</v>
      </c>
      <c r="M19" s="33">
        <f t="shared" si="2"/>
        <v>-33</v>
      </c>
      <c r="N19" s="33">
        <v>1270</v>
      </c>
      <c r="O19" s="33">
        <v>1614</v>
      </c>
      <c r="P19" s="33">
        <v>-647</v>
      </c>
      <c r="Q19" s="33">
        <v>968</v>
      </c>
      <c r="R19" s="33">
        <v>1270</v>
      </c>
      <c r="S19" s="33">
        <f t="shared" si="3"/>
        <v>-302</v>
      </c>
      <c r="T19" s="38">
        <f t="shared" si="4"/>
        <v>0.76220472440944886</v>
      </c>
      <c r="U19" s="59">
        <f t="shared" si="5"/>
        <v>1029</v>
      </c>
      <c r="V19" s="33">
        <v>-241</v>
      </c>
      <c r="W19" s="630">
        <v>-241</v>
      </c>
      <c r="X19" s="33"/>
      <c r="Y19" s="33"/>
      <c r="Z19" s="42"/>
      <c r="AA19" s="60"/>
      <c r="AB19" s="105">
        <v>17</v>
      </c>
      <c r="AC19" s="93"/>
      <c r="AD19" s="33">
        <f t="shared" si="6"/>
        <v>17</v>
      </c>
      <c r="AE19" s="33">
        <f t="shared" si="7"/>
        <v>985</v>
      </c>
      <c r="AF19" s="101">
        <f t="shared" si="8"/>
        <v>-285</v>
      </c>
    </row>
    <row r="20" spans="2:34" ht="13" outlineLevel="2" x14ac:dyDescent="0.3">
      <c r="B20" s="31" t="s">
        <v>52</v>
      </c>
      <c r="C20" s="33">
        <v>516</v>
      </c>
      <c r="D20" s="33">
        <v>532</v>
      </c>
      <c r="E20" s="23">
        <v>0</v>
      </c>
      <c r="F20" s="23">
        <v>0</v>
      </c>
      <c r="G20" s="23">
        <v>-7</v>
      </c>
      <c r="H20" s="23">
        <v>0</v>
      </c>
      <c r="I20" s="23">
        <v>22</v>
      </c>
      <c r="J20" s="23">
        <v>0</v>
      </c>
      <c r="K20" s="23">
        <f t="shared" si="0"/>
        <v>15</v>
      </c>
      <c r="L20" s="33">
        <f t="shared" si="1"/>
        <v>0</v>
      </c>
      <c r="M20" s="33">
        <f t="shared" si="2"/>
        <v>16</v>
      </c>
      <c r="N20" s="33">
        <v>532</v>
      </c>
      <c r="O20" s="33">
        <v>995</v>
      </c>
      <c r="P20" s="33">
        <v>-617</v>
      </c>
      <c r="Q20" s="33">
        <v>379</v>
      </c>
      <c r="R20" s="33">
        <v>532</v>
      </c>
      <c r="S20" s="33">
        <f t="shared" si="3"/>
        <v>-153</v>
      </c>
      <c r="T20" s="38">
        <f t="shared" si="4"/>
        <v>0.71240601503759393</v>
      </c>
      <c r="U20" s="59">
        <f t="shared" si="5"/>
        <v>420</v>
      </c>
      <c r="V20" s="33">
        <v>-112</v>
      </c>
      <c r="W20" s="630">
        <v>-112</v>
      </c>
      <c r="X20" s="33"/>
      <c r="Y20" s="33"/>
      <c r="Z20" s="42"/>
      <c r="AA20" s="60"/>
      <c r="AB20" s="105">
        <v>65</v>
      </c>
      <c r="AC20" s="93"/>
      <c r="AD20" s="33">
        <f t="shared" si="6"/>
        <v>65</v>
      </c>
      <c r="AE20" s="33">
        <f t="shared" si="7"/>
        <v>444</v>
      </c>
      <c r="AF20" s="101">
        <f t="shared" si="8"/>
        <v>-88</v>
      </c>
    </row>
    <row r="21" spans="2:34" ht="13" outlineLevel="2" x14ac:dyDescent="0.3">
      <c r="B21" s="31" t="s">
        <v>53</v>
      </c>
      <c r="C21" s="33">
        <v>1456</v>
      </c>
      <c r="D21" s="33">
        <v>1481</v>
      </c>
      <c r="E21" s="23">
        <v>0</v>
      </c>
      <c r="F21" s="23">
        <v>-57</v>
      </c>
      <c r="G21" s="23">
        <v>-2</v>
      </c>
      <c r="H21" s="23">
        <v>0</v>
      </c>
      <c r="I21" s="23">
        <v>27</v>
      </c>
      <c r="J21" s="23">
        <v>-15</v>
      </c>
      <c r="K21" s="23">
        <f t="shared" si="0"/>
        <v>-47</v>
      </c>
      <c r="L21" s="33">
        <f t="shared" si="1"/>
        <v>-72</v>
      </c>
      <c r="M21" s="33">
        <f t="shared" si="2"/>
        <v>-47</v>
      </c>
      <c r="N21" s="33">
        <v>1409</v>
      </c>
      <c r="O21" s="33">
        <v>1299</v>
      </c>
      <c r="P21" s="33">
        <v>-104</v>
      </c>
      <c r="Q21" s="33">
        <v>1195</v>
      </c>
      <c r="R21" s="33">
        <v>1409</v>
      </c>
      <c r="S21" s="33">
        <f t="shared" si="3"/>
        <v>-214</v>
      </c>
      <c r="T21" s="38">
        <f t="shared" si="4"/>
        <v>0.84811923349893537</v>
      </c>
      <c r="U21" s="59">
        <f t="shared" si="5"/>
        <v>1259</v>
      </c>
      <c r="V21" s="33">
        <v>-150</v>
      </c>
      <c r="W21" s="630">
        <v>-150</v>
      </c>
      <c r="X21" s="33"/>
      <c r="Y21" s="33"/>
      <c r="Z21" s="42"/>
      <c r="AA21" s="60"/>
      <c r="AB21" s="105">
        <v>98</v>
      </c>
      <c r="AC21" s="93"/>
      <c r="AD21" s="33">
        <f t="shared" si="6"/>
        <v>98</v>
      </c>
      <c r="AE21" s="33">
        <f t="shared" si="7"/>
        <v>1293</v>
      </c>
      <c r="AF21" s="101">
        <f t="shared" si="8"/>
        <v>-116</v>
      </c>
    </row>
    <row r="22" spans="2:34" ht="13" outlineLevel="2" x14ac:dyDescent="0.3">
      <c r="B22" s="31" t="s">
        <v>54</v>
      </c>
      <c r="C22" s="33">
        <v>0</v>
      </c>
      <c r="D22" s="33">
        <v>-13</v>
      </c>
      <c r="E22" s="23">
        <v>0</v>
      </c>
      <c r="F22" s="23">
        <v>0</v>
      </c>
      <c r="G22" s="23">
        <v>-13</v>
      </c>
      <c r="H22" s="23">
        <v>0</v>
      </c>
      <c r="I22" s="23">
        <v>0</v>
      </c>
      <c r="J22" s="23">
        <v>0</v>
      </c>
      <c r="K22" s="23">
        <f t="shared" si="0"/>
        <v>-13</v>
      </c>
      <c r="L22" s="33">
        <f t="shared" si="1"/>
        <v>0</v>
      </c>
      <c r="M22" s="33">
        <f t="shared" si="2"/>
        <v>-13</v>
      </c>
      <c r="N22" s="33">
        <v>-13</v>
      </c>
      <c r="O22" s="33">
        <v>1461</v>
      </c>
      <c r="P22" s="33">
        <v>-1451</v>
      </c>
      <c r="Q22" s="33">
        <v>10</v>
      </c>
      <c r="R22" s="33">
        <v>-13</v>
      </c>
      <c r="S22" s="33">
        <f t="shared" si="3"/>
        <v>23</v>
      </c>
      <c r="T22" s="38">
        <f t="shared" si="4"/>
        <v>-0.76923076923076927</v>
      </c>
      <c r="U22" s="59">
        <f t="shared" si="5"/>
        <v>9</v>
      </c>
      <c r="V22" s="33">
        <v>22</v>
      </c>
      <c r="W22" s="630">
        <v>22</v>
      </c>
      <c r="X22" s="33"/>
      <c r="Y22" s="33"/>
      <c r="Z22" s="42"/>
      <c r="AA22" s="60"/>
      <c r="AB22" s="105"/>
      <c r="AC22" s="93"/>
      <c r="AD22" s="33">
        <f t="shared" si="6"/>
        <v>0</v>
      </c>
      <c r="AE22" s="33">
        <f t="shared" si="7"/>
        <v>10</v>
      </c>
      <c r="AF22" s="101">
        <f t="shared" si="8"/>
        <v>23</v>
      </c>
    </row>
    <row r="23" spans="2:34" ht="13" outlineLevel="1" x14ac:dyDescent="0.3">
      <c r="B23" s="32" t="s">
        <v>55</v>
      </c>
      <c r="C23" s="34">
        <f t="shared" ref="C23:J23" si="15">SUBTOTAL(9,C13:C22)</f>
        <v>5821</v>
      </c>
      <c r="D23" s="34">
        <f t="shared" si="15"/>
        <v>6016</v>
      </c>
      <c r="E23" s="24">
        <f t="shared" si="15"/>
        <v>232</v>
      </c>
      <c r="F23" s="24">
        <f t="shared" si="15"/>
        <v>-10</v>
      </c>
      <c r="G23" s="24">
        <f t="shared" si="15"/>
        <v>-58</v>
      </c>
      <c r="H23" s="24">
        <f t="shared" si="15"/>
        <v>0</v>
      </c>
      <c r="I23" s="24">
        <f t="shared" si="15"/>
        <v>23</v>
      </c>
      <c r="J23" s="24">
        <f t="shared" si="15"/>
        <v>-45</v>
      </c>
      <c r="K23" s="24">
        <f>SUM(E23:J23)</f>
        <v>142</v>
      </c>
      <c r="L23" s="34">
        <f t="shared" ref="L23:L24" si="16">N23-D23</f>
        <v>-54</v>
      </c>
      <c r="M23" s="34">
        <f t="shared" ref="M23:M24" si="17">N23-C23</f>
        <v>141</v>
      </c>
      <c r="N23" s="34">
        <f>SUBTOTAL(9,N13:N22)</f>
        <v>5962</v>
      </c>
      <c r="O23" s="34">
        <f>SUBTOTAL(9,O13:O22)</f>
        <v>8769</v>
      </c>
      <c r="P23" s="34">
        <f>SUBTOTAL(9,P13:P22)</f>
        <v>-3562</v>
      </c>
      <c r="Q23" s="34">
        <f>SUBTOTAL(9,Q13:Q22)</f>
        <v>5208</v>
      </c>
      <c r="R23" s="34">
        <f>SUBTOTAL(9,R13:R22)</f>
        <v>5962</v>
      </c>
      <c r="S23" s="34">
        <f>Q23-R23</f>
        <v>-754</v>
      </c>
      <c r="T23" s="38">
        <f>IFERROR((Q23/N23)*100%,"∞")</f>
        <v>0.8735323716873532</v>
      </c>
      <c r="U23" s="59">
        <f>N23+V23</f>
        <v>5574</v>
      </c>
      <c r="V23" s="34">
        <f>SUBTOTAL(9,V13:V22)</f>
        <v>-388</v>
      </c>
      <c r="W23" s="631">
        <f t="shared" ref="W23:AF23" si="18">SUBTOTAL(9,W13:W22)</f>
        <v>-388</v>
      </c>
      <c r="X23" s="34">
        <f t="shared" si="18"/>
        <v>0</v>
      </c>
      <c r="Y23" s="34">
        <f t="shared" si="18"/>
        <v>0</v>
      </c>
      <c r="Z23" s="34">
        <f t="shared" si="18"/>
        <v>0</v>
      </c>
      <c r="AA23" s="34">
        <f t="shared" si="18"/>
        <v>0</v>
      </c>
      <c r="AB23" s="34">
        <f t="shared" si="18"/>
        <v>258</v>
      </c>
      <c r="AC23" s="34">
        <f t="shared" si="18"/>
        <v>0</v>
      </c>
      <c r="AD23" s="34">
        <f t="shared" si="18"/>
        <v>258</v>
      </c>
      <c r="AE23" s="34">
        <f t="shared" si="18"/>
        <v>5466</v>
      </c>
      <c r="AF23" s="34">
        <f t="shared" si="18"/>
        <v>-496</v>
      </c>
      <c r="AH23" s="19">
        <f>AF23-W23</f>
        <v>-108</v>
      </c>
    </row>
    <row r="24" spans="2:34" ht="13.5" customHeight="1" thickBot="1" x14ac:dyDescent="0.35">
      <c r="B24" s="53" t="s">
        <v>56</v>
      </c>
      <c r="C24" s="35">
        <f t="shared" ref="C24:J24" si="19">SUBTOTAL(9,C5:C23)</f>
        <v>11738</v>
      </c>
      <c r="D24" s="35">
        <f t="shared" si="19"/>
        <v>10044</v>
      </c>
      <c r="E24" s="25">
        <f t="shared" si="19"/>
        <v>-2485</v>
      </c>
      <c r="F24" s="25">
        <f t="shared" si="19"/>
        <v>1462</v>
      </c>
      <c r="G24" s="25">
        <f t="shared" si="19"/>
        <v>-194</v>
      </c>
      <c r="H24" s="25">
        <f t="shared" si="19"/>
        <v>17</v>
      </c>
      <c r="I24" s="25">
        <f t="shared" si="19"/>
        <v>988</v>
      </c>
      <c r="J24" s="25">
        <f t="shared" si="19"/>
        <v>-75</v>
      </c>
      <c r="K24" s="25">
        <f>SUM(E24:J24)</f>
        <v>-287</v>
      </c>
      <c r="L24" s="35">
        <f t="shared" si="16"/>
        <v>1389</v>
      </c>
      <c r="M24" s="35">
        <f t="shared" si="17"/>
        <v>-305</v>
      </c>
      <c r="N24" s="35">
        <f>SUBTOTAL(9,N5:N23)</f>
        <v>11433</v>
      </c>
      <c r="O24" s="35">
        <f>SUBTOTAL(9,O5:O23)</f>
        <v>25353</v>
      </c>
      <c r="P24" s="35">
        <f>SUBTOTAL(9,P5:P23)</f>
        <v>-15236</v>
      </c>
      <c r="Q24" s="35">
        <f>SUBTOTAL(9,Q5:Q23)</f>
        <v>10120</v>
      </c>
      <c r="R24" s="35">
        <f>SUBTOTAL(9,R5:R23)</f>
        <v>11433</v>
      </c>
      <c r="S24" s="35">
        <f>Q24-R24</f>
        <v>-1313</v>
      </c>
      <c r="T24" s="39">
        <f>IFERROR((Q24/N24)*100%,"∞")</f>
        <v>0.88515700166185607</v>
      </c>
      <c r="U24" s="54">
        <f>N24+V24</f>
        <v>10709</v>
      </c>
      <c r="V24" s="35">
        <f>SUBTOTAL(9,V5:V23)</f>
        <v>-724</v>
      </c>
      <c r="W24" s="632">
        <f t="shared" ref="W24:AF24" si="20">SUBTOTAL(9,W5:W23)</f>
        <v>-724</v>
      </c>
      <c r="X24" s="35">
        <f t="shared" si="20"/>
        <v>0</v>
      </c>
      <c r="Y24" s="35">
        <f t="shared" si="20"/>
        <v>0</v>
      </c>
      <c r="Z24" s="35">
        <f t="shared" si="20"/>
        <v>0</v>
      </c>
      <c r="AA24" s="35">
        <f t="shared" si="20"/>
        <v>0</v>
      </c>
      <c r="AB24" s="35">
        <f t="shared" si="20"/>
        <v>258</v>
      </c>
      <c r="AC24" s="35">
        <f t="shared" si="20"/>
        <v>0</v>
      </c>
      <c r="AD24" s="35">
        <f t="shared" si="20"/>
        <v>258</v>
      </c>
      <c r="AE24" s="35">
        <f t="shared" si="20"/>
        <v>10378</v>
      </c>
      <c r="AF24" s="35">
        <f t="shared" si="20"/>
        <v>-1055</v>
      </c>
      <c r="AH24" s="19">
        <f>AF24-W24</f>
        <v>-331</v>
      </c>
    </row>
    <row r="25" spans="2:34" ht="13.5" outlineLevel="2" thickTop="1" x14ac:dyDescent="0.3">
      <c r="B25" s="31" t="s">
        <v>57</v>
      </c>
      <c r="C25" s="33">
        <v>2381</v>
      </c>
      <c r="D25" s="33">
        <v>1420</v>
      </c>
      <c r="E25" s="23">
        <v>0</v>
      </c>
      <c r="F25" s="23">
        <v>100</v>
      </c>
      <c r="G25" s="23">
        <v>-26</v>
      </c>
      <c r="H25" s="23">
        <v>0</v>
      </c>
      <c r="I25" s="23">
        <v>-935</v>
      </c>
      <c r="J25" s="23">
        <v>0</v>
      </c>
      <c r="K25" s="23">
        <f t="shared" si="0"/>
        <v>-861</v>
      </c>
      <c r="L25" s="33">
        <f t="shared" si="1"/>
        <v>100</v>
      </c>
      <c r="M25" s="33">
        <f t="shared" si="2"/>
        <v>-861</v>
      </c>
      <c r="N25" s="33">
        <v>1520</v>
      </c>
      <c r="O25" s="33">
        <v>2679</v>
      </c>
      <c r="P25" s="33">
        <v>-1454</v>
      </c>
      <c r="Q25" s="33">
        <v>1224</v>
      </c>
      <c r="R25" s="33">
        <v>1520</v>
      </c>
      <c r="S25" s="33">
        <f t="shared" si="3"/>
        <v>-296</v>
      </c>
      <c r="T25" s="38">
        <f t="shared" si="4"/>
        <v>0.80526315789473679</v>
      </c>
      <c r="U25" s="59">
        <f t="shared" si="5"/>
        <v>1677</v>
      </c>
      <c r="V25" s="33">
        <v>157</v>
      </c>
      <c r="W25" s="630">
        <v>157</v>
      </c>
      <c r="X25" s="33"/>
      <c r="Y25" s="33"/>
      <c r="Z25" s="42"/>
      <c r="AA25" s="60"/>
      <c r="AB25" s="105"/>
      <c r="AC25" s="93"/>
      <c r="AD25" s="33">
        <f t="shared" si="6"/>
        <v>0</v>
      </c>
      <c r="AE25" s="33">
        <f t="shared" si="7"/>
        <v>1224</v>
      </c>
      <c r="AF25" s="101">
        <f t="shared" si="8"/>
        <v>-296</v>
      </c>
      <c r="AH25" s="19"/>
    </row>
    <row r="26" spans="2:34" ht="13" outlineLevel="2" x14ac:dyDescent="0.3">
      <c r="B26" s="31" t="s">
        <v>58</v>
      </c>
      <c r="C26" s="33">
        <v>-8277</v>
      </c>
      <c r="D26" s="33">
        <v>-8369</v>
      </c>
      <c r="E26" s="23">
        <v>-1</v>
      </c>
      <c r="F26" s="23">
        <v>0</v>
      </c>
      <c r="G26" s="23">
        <v>-20</v>
      </c>
      <c r="H26" s="23">
        <v>0</v>
      </c>
      <c r="I26" s="23">
        <v>-72</v>
      </c>
      <c r="J26" s="23">
        <v>-30</v>
      </c>
      <c r="K26" s="23">
        <f t="shared" si="0"/>
        <v>-123</v>
      </c>
      <c r="L26" s="33">
        <f t="shared" si="1"/>
        <v>-30</v>
      </c>
      <c r="M26" s="33">
        <f t="shared" si="2"/>
        <v>-122</v>
      </c>
      <c r="N26" s="33">
        <v>-8399</v>
      </c>
      <c r="O26" s="33">
        <v>2218</v>
      </c>
      <c r="P26" s="33">
        <v>-13231</v>
      </c>
      <c r="Q26" s="33">
        <v>-11013</v>
      </c>
      <c r="R26" s="33">
        <v>-8399</v>
      </c>
      <c r="S26" s="33">
        <f t="shared" si="3"/>
        <v>-2614</v>
      </c>
      <c r="T26" s="38">
        <f t="shared" si="4"/>
        <v>1.3112275270865579</v>
      </c>
      <c r="U26" s="59">
        <f t="shared" si="5"/>
        <v>-8399</v>
      </c>
      <c r="V26" s="33">
        <v>0</v>
      </c>
      <c r="W26" s="630">
        <v>0</v>
      </c>
      <c r="X26" s="33"/>
      <c r="Y26" s="33"/>
      <c r="Z26" s="42"/>
      <c r="AA26" s="60"/>
      <c r="AB26" s="105"/>
      <c r="AC26" s="93">
        <v>2506</v>
      </c>
      <c r="AD26" s="33">
        <f t="shared" si="6"/>
        <v>2506</v>
      </c>
      <c r="AE26" s="33">
        <f t="shared" si="7"/>
        <v>-8507</v>
      </c>
      <c r="AF26" s="101">
        <f t="shared" si="8"/>
        <v>-108</v>
      </c>
      <c r="AH26" s="19"/>
    </row>
    <row r="27" spans="2:34" ht="13" outlineLevel="2" x14ac:dyDescent="0.3">
      <c r="B27" s="31" t="s">
        <v>59</v>
      </c>
      <c r="C27" s="33">
        <v>287</v>
      </c>
      <c r="D27" s="33">
        <v>207</v>
      </c>
      <c r="E27" s="23">
        <v>0</v>
      </c>
      <c r="F27" s="23">
        <v>0</v>
      </c>
      <c r="G27" s="23">
        <v>-2</v>
      </c>
      <c r="H27" s="23">
        <v>0</v>
      </c>
      <c r="I27" s="23">
        <v>-78</v>
      </c>
      <c r="J27" s="23">
        <v>0</v>
      </c>
      <c r="K27" s="23">
        <f t="shared" si="0"/>
        <v>-80</v>
      </c>
      <c r="L27" s="33">
        <f t="shared" si="1"/>
        <v>0</v>
      </c>
      <c r="M27" s="33">
        <f t="shared" si="2"/>
        <v>-80</v>
      </c>
      <c r="N27" s="33">
        <v>207</v>
      </c>
      <c r="O27" s="33">
        <v>131</v>
      </c>
      <c r="P27" s="33">
        <v>0</v>
      </c>
      <c r="Q27" s="33">
        <v>131</v>
      </c>
      <c r="R27" s="33">
        <v>207</v>
      </c>
      <c r="S27" s="33">
        <f t="shared" si="3"/>
        <v>-76</v>
      </c>
      <c r="T27" s="38">
        <f t="shared" si="4"/>
        <v>0.63285024154589375</v>
      </c>
      <c r="U27" s="59">
        <f t="shared" si="5"/>
        <v>207</v>
      </c>
      <c r="V27" s="33">
        <v>0</v>
      </c>
      <c r="W27" s="630">
        <v>0</v>
      </c>
      <c r="X27" s="33"/>
      <c r="Y27" s="33"/>
      <c r="Z27" s="42"/>
      <c r="AA27" s="60"/>
      <c r="AB27" s="105"/>
      <c r="AC27" s="93"/>
      <c r="AD27" s="33">
        <f t="shared" si="6"/>
        <v>0</v>
      </c>
      <c r="AE27" s="33">
        <f t="shared" si="7"/>
        <v>131</v>
      </c>
      <c r="AF27" s="101">
        <f t="shared" si="8"/>
        <v>-76</v>
      </c>
      <c r="AH27" s="19"/>
    </row>
    <row r="28" spans="2:34" ht="13" outlineLevel="2" x14ac:dyDescent="0.3">
      <c r="B28" s="31" t="s">
        <v>60</v>
      </c>
      <c r="C28" s="33">
        <v>0</v>
      </c>
      <c r="D28" s="33">
        <v>0</v>
      </c>
      <c r="E28" s="23">
        <v>0</v>
      </c>
      <c r="F28" s="23">
        <v>0</v>
      </c>
      <c r="G28" s="23">
        <v>0</v>
      </c>
      <c r="H28" s="23">
        <v>0</v>
      </c>
      <c r="I28" s="23">
        <v>0</v>
      </c>
      <c r="J28" s="23">
        <v>0</v>
      </c>
      <c r="K28" s="23">
        <f t="shared" si="0"/>
        <v>0</v>
      </c>
      <c r="L28" s="33">
        <f t="shared" si="1"/>
        <v>0</v>
      </c>
      <c r="M28" s="33">
        <f t="shared" si="2"/>
        <v>0</v>
      </c>
      <c r="N28" s="33">
        <v>0</v>
      </c>
      <c r="O28" s="33">
        <v>-1</v>
      </c>
      <c r="P28" s="33">
        <v>-11</v>
      </c>
      <c r="Q28" s="33">
        <v>-12</v>
      </c>
      <c r="R28" s="33">
        <v>0</v>
      </c>
      <c r="S28" s="33">
        <f t="shared" si="3"/>
        <v>-12</v>
      </c>
      <c r="T28" s="38" t="str">
        <f t="shared" si="4"/>
        <v>∞</v>
      </c>
      <c r="U28" s="59">
        <f t="shared" si="5"/>
        <v>0</v>
      </c>
      <c r="V28" s="33">
        <v>0</v>
      </c>
      <c r="W28" s="630">
        <v>0</v>
      </c>
      <c r="X28" s="33"/>
      <c r="Y28" s="33"/>
      <c r="Z28" s="42"/>
      <c r="AA28" s="60"/>
      <c r="AB28" s="105"/>
      <c r="AC28" s="93"/>
      <c r="AD28" s="33">
        <f t="shared" si="6"/>
        <v>0</v>
      </c>
      <c r="AE28" s="33">
        <f t="shared" si="7"/>
        <v>-12</v>
      </c>
      <c r="AF28" s="101">
        <f t="shared" si="8"/>
        <v>-12</v>
      </c>
      <c r="AH28" s="19"/>
    </row>
    <row r="29" spans="2:34" ht="13" outlineLevel="1" x14ac:dyDescent="0.3">
      <c r="B29" s="32" t="s">
        <v>61</v>
      </c>
      <c r="C29" s="34">
        <f t="shared" ref="C29:J29" si="21">SUBTOTAL(9,C25:C28)</f>
        <v>-5609</v>
      </c>
      <c r="D29" s="34">
        <f t="shared" si="21"/>
        <v>-6742</v>
      </c>
      <c r="E29" s="24">
        <f t="shared" si="21"/>
        <v>-1</v>
      </c>
      <c r="F29" s="24">
        <f t="shared" si="21"/>
        <v>100</v>
      </c>
      <c r="G29" s="24">
        <f t="shared" si="21"/>
        <v>-48</v>
      </c>
      <c r="H29" s="24">
        <f t="shared" si="21"/>
        <v>0</v>
      </c>
      <c r="I29" s="24">
        <f t="shared" si="21"/>
        <v>-1085</v>
      </c>
      <c r="J29" s="24">
        <f t="shared" si="21"/>
        <v>-30</v>
      </c>
      <c r="K29" s="24">
        <f>SUM(E29:J29)</f>
        <v>-1064</v>
      </c>
      <c r="L29" s="34">
        <f t="shared" ref="L29" si="22">N29-D29</f>
        <v>70</v>
      </c>
      <c r="M29" s="34">
        <f t="shared" ref="M29" si="23">N29-C29</f>
        <v>-1063</v>
      </c>
      <c r="N29" s="34">
        <f>SUBTOTAL(9,N25:N28)</f>
        <v>-6672</v>
      </c>
      <c r="O29" s="34">
        <f>SUBTOTAL(9,O25:O28)</f>
        <v>5027</v>
      </c>
      <c r="P29" s="34">
        <f>SUBTOTAL(9,P25:P28)</f>
        <v>-14696</v>
      </c>
      <c r="Q29" s="34">
        <f>SUBTOTAL(9,Q25:Q28)</f>
        <v>-9670</v>
      </c>
      <c r="R29" s="34">
        <f>SUBTOTAL(9,R25:R28)</f>
        <v>-6672</v>
      </c>
      <c r="S29" s="34">
        <f>Q29-R29</f>
        <v>-2998</v>
      </c>
      <c r="T29" s="38">
        <f>IFERROR((Q29/N29)*100%,"∞")</f>
        <v>1.4493405275779376</v>
      </c>
      <c r="U29" s="59">
        <f>N29+V29</f>
        <v>-6515</v>
      </c>
      <c r="V29" s="34">
        <f>SUBTOTAL(9,V25:V28)</f>
        <v>157</v>
      </c>
      <c r="W29" s="631">
        <f t="shared" ref="W29:AF29" si="24">SUBTOTAL(9,W25:W28)</f>
        <v>157</v>
      </c>
      <c r="X29" s="34">
        <f t="shared" si="24"/>
        <v>0</v>
      </c>
      <c r="Y29" s="34">
        <f t="shared" si="24"/>
        <v>0</v>
      </c>
      <c r="Z29" s="34">
        <f t="shared" si="24"/>
        <v>0</v>
      </c>
      <c r="AA29" s="34">
        <f t="shared" si="24"/>
        <v>0</v>
      </c>
      <c r="AB29" s="34">
        <f t="shared" si="24"/>
        <v>0</v>
      </c>
      <c r="AC29" s="34">
        <f t="shared" si="24"/>
        <v>2506</v>
      </c>
      <c r="AD29" s="34">
        <f t="shared" si="24"/>
        <v>2506</v>
      </c>
      <c r="AE29" s="34">
        <f t="shared" si="24"/>
        <v>-7164</v>
      </c>
      <c r="AF29" s="34">
        <f t="shared" si="24"/>
        <v>-492</v>
      </c>
      <c r="AH29" s="19">
        <f>AF29-W29</f>
        <v>-649</v>
      </c>
    </row>
    <row r="30" spans="2:34" ht="13" outlineLevel="2" x14ac:dyDescent="0.3">
      <c r="B30" s="31" t="s">
        <v>62</v>
      </c>
      <c r="C30" s="33">
        <v>251</v>
      </c>
      <c r="D30" s="33">
        <v>359</v>
      </c>
      <c r="E30" s="23">
        <v>11</v>
      </c>
      <c r="F30" s="23">
        <v>254</v>
      </c>
      <c r="G30" s="23">
        <v>19</v>
      </c>
      <c r="H30" s="23">
        <v>0</v>
      </c>
      <c r="I30" s="23">
        <v>79</v>
      </c>
      <c r="J30" s="23">
        <v>0</v>
      </c>
      <c r="K30" s="23">
        <f t="shared" si="0"/>
        <v>363</v>
      </c>
      <c r="L30" s="33">
        <f t="shared" si="1"/>
        <v>254</v>
      </c>
      <c r="M30" s="33">
        <f t="shared" si="2"/>
        <v>362</v>
      </c>
      <c r="N30" s="33">
        <v>613</v>
      </c>
      <c r="O30" s="33">
        <v>1154</v>
      </c>
      <c r="P30" s="33">
        <v>-471</v>
      </c>
      <c r="Q30" s="33">
        <v>683</v>
      </c>
      <c r="R30" s="33">
        <v>613</v>
      </c>
      <c r="S30" s="33">
        <f t="shared" si="3"/>
        <v>70</v>
      </c>
      <c r="T30" s="38">
        <f t="shared" si="4"/>
        <v>1.1141924959216967</v>
      </c>
      <c r="U30" s="59">
        <f t="shared" si="5"/>
        <v>613</v>
      </c>
      <c r="V30" s="33">
        <v>0</v>
      </c>
      <c r="W30" s="630">
        <v>0</v>
      </c>
      <c r="X30" s="33"/>
      <c r="Y30" s="33"/>
      <c r="Z30" s="42"/>
      <c r="AA30" s="60"/>
      <c r="AB30" s="105"/>
      <c r="AC30" s="93"/>
      <c r="AD30" s="33">
        <f t="shared" si="6"/>
        <v>0</v>
      </c>
      <c r="AE30" s="33">
        <f t="shared" si="7"/>
        <v>683</v>
      </c>
      <c r="AF30" s="101">
        <f t="shared" si="8"/>
        <v>70</v>
      </c>
      <c r="AH30" s="19"/>
    </row>
    <row r="31" spans="2:34" ht="13" outlineLevel="2" x14ac:dyDescent="0.3">
      <c r="B31" s="31" t="s">
        <v>63</v>
      </c>
      <c r="C31" s="33">
        <v>355</v>
      </c>
      <c r="D31" s="33">
        <v>396</v>
      </c>
      <c r="E31" s="23">
        <v>0</v>
      </c>
      <c r="F31" s="23">
        <v>0</v>
      </c>
      <c r="G31" s="23">
        <v>-16</v>
      </c>
      <c r="H31" s="23">
        <v>0</v>
      </c>
      <c r="I31" s="23">
        <v>57</v>
      </c>
      <c r="J31" s="23">
        <v>0</v>
      </c>
      <c r="K31" s="23">
        <f t="shared" si="0"/>
        <v>41</v>
      </c>
      <c r="L31" s="33">
        <f t="shared" si="1"/>
        <v>0</v>
      </c>
      <c r="M31" s="33">
        <f t="shared" si="2"/>
        <v>41</v>
      </c>
      <c r="N31" s="33">
        <v>396</v>
      </c>
      <c r="O31" s="33">
        <v>377</v>
      </c>
      <c r="P31" s="33">
        <v>-9</v>
      </c>
      <c r="Q31" s="33">
        <v>367</v>
      </c>
      <c r="R31" s="33">
        <v>396</v>
      </c>
      <c r="S31" s="33">
        <f t="shared" si="3"/>
        <v>-29</v>
      </c>
      <c r="T31" s="38">
        <f t="shared" si="4"/>
        <v>0.9267676767676768</v>
      </c>
      <c r="U31" s="59">
        <f t="shared" si="5"/>
        <v>396</v>
      </c>
      <c r="V31" s="33">
        <v>0</v>
      </c>
      <c r="W31" s="630">
        <v>0</v>
      </c>
      <c r="X31" s="33"/>
      <c r="Y31" s="33"/>
      <c r="Z31" s="42"/>
      <c r="AA31" s="60"/>
      <c r="AB31" s="105"/>
      <c r="AC31" s="93"/>
      <c r="AD31" s="33">
        <f t="shared" si="6"/>
        <v>0</v>
      </c>
      <c r="AE31" s="33">
        <f t="shared" si="7"/>
        <v>367</v>
      </c>
      <c r="AF31" s="101">
        <f t="shared" si="8"/>
        <v>-29</v>
      </c>
      <c r="AH31" s="19"/>
    </row>
    <row r="32" spans="2:34" ht="13" outlineLevel="1" x14ac:dyDescent="0.3">
      <c r="B32" s="32" t="s">
        <v>65</v>
      </c>
      <c r="C32" s="34">
        <f t="shared" ref="C32:J32" si="25">SUBTOTAL(9,C30:C31)</f>
        <v>606</v>
      </c>
      <c r="D32" s="34">
        <f t="shared" si="25"/>
        <v>755</v>
      </c>
      <c r="E32" s="24">
        <f t="shared" si="25"/>
        <v>11</v>
      </c>
      <c r="F32" s="24">
        <f t="shared" si="25"/>
        <v>254</v>
      </c>
      <c r="G32" s="24">
        <f t="shared" si="25"/>
        <v>3</v>
      </c>
      <c r="H32" s="24">
        <f t="shared" si="25"/>
        <v>0</v>
      </c>
      <c r="I32" s="24">
        <f t="shared" si="25"/>
        <v>136</v>
      </c>
      <c r="J32" s="24">
        <f t="shared" si="25"/>
        <v>0</v>
      </c>
      <c r="K32" s="24">
        <f>SUM(E32:J32)</f>
        <v>404</v>
      </c>
      <c r="L32" s="34">
        <f t="shared" ref="L32" si="26">N32-D32</f>
        <v>254</v>
      </c>
      <c r="M32" s="34">
        <f t="shared" ref="M32" si="27">N32-C32</f>
        <v>403</v>
      </c>
      <c r="N32" s="34">
        <f>SUBTOTAL(9,N30:N31)</f>
        <v>1009</v>
      </c>
      <c r="O32" s="34">
        <f>SUBTOTAL(9,O30:O31)</f>
        <v>1531</v>
      </c>
      <c r="P32" s="34">
        <f>SUBTOTAL(9,P30:P31)</f>
        <v>-480</v>
      </c>
      <c r="Q32" s="34">
        <f>SUBTOTAL(9,Q30:Q31)</f>
        <v>1050</v>
      </c>
      <c r="R32" s="34">
        <f>SUBTOTAL(9,R30:R31)</f>
        <v>1009</v>
      </c>
      <c r="S32" s="34">
        <f>Q32-R32</f>
        <v>41</v>
      </c>
      <c r="T32" s="38">
        <f>IFERROR((Q32/N32)*100%,"∞")</f>
        <v>1.0406342913776017</v>
      </c>
      <c r="U32" s="59">
        <f>N32+V32</f>
        <v>1009</v>
      </c>
      <c r="V32" s="34">
        <f>SUBTOTAL(9,V30:V31)</f>
        <v>0</v>
      </c>
      <c r="W32" s="631">
        <f t="shared" ref="W32:AF32" si="28">SUBTOTAL(9,W30:W31)</f>
        <v>0</v>
      </c>
      <c r="X32" s="34">
        <f t="shared" si="28"/>
        <v>0</v>
      </c>
      <c r="Y32" s="34">
        <f t="shared" si="28"/>
        <v>0</v>
      </c>
      <c r="Z32" s="34">
        <f t="shared" si="28"/>
        <v>0</v>
      </c>
      <c r="AA32" s="34">
        <f t="shared" si="28"/>
        <v>0</v>
      </c>
      <c r="AB32" s="34">
        <f t="shared" si="28"/>
        <v>0</v>
      </c>
      <c r="AC32" s="34">
        <f t="shared" si="28"/>
        <v>0</v>
      </c>
      <c r="AD32" s="34">
        <f t="shared" si="28"/>
        <v>0</v>
      </c>
      <c r="AE32" s="34">
        <f t="shared" si="28"/>
        <v>1050</v>
      </c>
      <c r="AF32" s="34">
        <f t="shared" si="28"/>
        <v>41</v>
      </c>
      <c r="AH32" s="19">
        <f>AF32-W32</f>
        <v>41</v>
      </c>
    </row>
    <row r="33" spans="2:34" ht="13" outlineLevel="2" x14ac:dyDescent="0.3">
      <c r="B33" s="31" t="s">
        <v>66</v>
      </c>
      <c r="C33" s="33">
        <v>-552</v>
      </c>
      <c r="D33" s="33">
        <v>-668</v>
      </c>
      <c r="E33" s="23">
        <v>0</v>
      </c>
      <c r="F33" s="23">
        <v>0</v>
      </c>
      <c r="G33" s="23">
        <v>-25</v>
      </c>
      <c r="H33" s="23">
        <v>0</v>
      </c>
      <c r="I33" s="23">
        <v>-90</v>
      </c>
      <c r="J33" s="23">
        <v>0</v>
      </c>
      <c r="K33" s="23">
        <f t="shared" si="0"/>
        <v>-115</v>
      </c>
      <c r="L33" s="33">
        <f t="shared" si="1"/>
        <v>0</v>
      </c>
      <c r="M33" s="33">
        <f t="shared" si="2"/>
        <v>-116</v>
      </c>
      <c r="N33" s="33">
        <v>-668</v>
      </c>
      <c r="O33" s="33">
        <v>1163</v>
      </c>
      <c r="P33" s="33">
        <v>-1876</v>
      </c>
      <c r="Q33" s="33">
        <v>-712</v>
      </c>
      <c r="R33" s="33">
        <v>-668</v>
      </c>
      <c r="S33" s="33">
        <f t="shared" si="3"/>
        <v>-44</v>
      </c>
      <c r="T33" s="38">
        <f t="shared" si="4"/>
        <v>1.0658682634730539</v>
      </c>
      <c r="U33" s="59">
        <f t="shared" si="5"/>
        <v>-757</v>
      </c>
      <c r="V33" s="33">
        <v>-89</v>
      </c>
      <c r="W33" s="630">
        <v>-89</v>
      </c>
      <c r="X33" s="33"/>
      <c r="Y33" s="33"/>
      <c r="Z33" s="42"/>
      <c r="AA33" s="60"/>
      <c r="AB33" s="105">
        <v>44</v>
      </c>
      <c r="AC33" s="93"/>
      <c r="AD33" s="33">
        <f t="shared" si="6"/>
        <v>44</v>
      </c>
      <c r="AE33" s="33">
        <f t="shared" si="7"/>
        <v>-668</v>
      </c>
      <c r="AF33" s="101">
        <f t="shared" si="8"/>
        <v>0</v>
      </c>
      <c r="AH33" s="19"/>
    </row>
    <row r="34" spans="2:34" ht="13" outlineLevel="2" x14ac:dyDescent="0.3">
      <c r="B34" s="31" t="s">
        <v>67</v>
      </c>
      <c r="C34" s="33">
        <v>170</v>
      </c>
      <c r="D34" s="33">
        <v>131</v>
      </c>
      <c r="E34" s="23">
        <v>0</v>
      </c>
      <c r="F34" s="23">
        <v>-8</v>
      </c>
      <c r="G34" s="23">
        <v>-5</v>
      </c>
      <c r="H34" s="23">
        <v>0</v>
      </c>
      <c r="I34" s="23">
        <v>-34</v>
      </c>
      <c r="J34" s="23">
        <v>0</v>
      </c>
      <c r="K34" s="23">
        <f t="shared" si="0"/>
        <v>-47</v>
      </c>
      <c r="L34" s="33">
        <f t="shared" si="1"/>
        <v>-8</v>
      </c>
      <c r="M34" s="33">
        <f t="shared" si="2"/>
        <v>-47</v>
      </c>
      <c r="N34" s="33">
        <v>123</v>
      </c>
      <c r="O34" s="33">
        <v>144</v>
      </c>
      <c r="P34" s="33">
        <v>-35</v>
      </c>
      <c r="Q34" s="33">
        <v>109</v>
      </c>
      <c r="R34" s="33">
        <v>123</v>
      </c>
      <c r="S34" s="33">
        <f t="shared" si="3"/>
        <v>-14</v>
      </c>
      <c r="T34" s="38">
        <f t="shared" si="4"/>
        <v>0.88617886178861793</v>
      </c>
      <c r="U34" s="59">
        <f t="shared" si="5"/>
        <v>123</v>
      </c>
      <c r="V34" s="33">
        <v>0</v>
      </c>
      <c r="W34" s="630">
        <v>0</v>
      </c>
      <c r="X34" s="33"/>
      <c r="Y34" s="33"/>
      <c r="Z34" s="42"/>
      <c r="AA34" s="60"/>
      <c r="AB34" s="105">
        <v>14</v>
      </c>
      <c r="AC34" s="93"/>
      <c r="AD34" s="33">
        <f t="shared" si="6"/>
        <v>14</v>
      </c>
      <c r="AE34" s="33">
        <f t="shared" si="7"/>
        <v>123</v>
      </c>
      <c r="AF34" s="101">
        <f t="shared" si="8"/>
        <v>0</v>
      </c>
      <c r="AH34" s="19"/>
    </row>
    <row r="35" spans="2:34"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17</v>
      </c>
      <c r="P35" s="33">
        <v>-223</v>
      </c>
      <c r="Q35" s="33">
        <v>-207</v>
      </c>
      <c r="R35" s="33">
        <v>-192</v>
      </c>
      <c r="S35" s="33">
        <f t="shared" si="3"/>
        <v>-15</v>
      </c>
      <c r="T35" s="38">
        <f t="shared" si="4"/>
        <v>1.078125</v>
      </c>
      <c r="U35" s="59">
        <f t="shared" si="5"/>
        <v>-200</v>
      </c>
      <c r="V35" s="33">
        <v>-8</v>
      </c>
      <c r="W35" s="630">
        <v>-8</v>
      </c>
      <c r="X35" s="33"/>
      <c r="Y35" s="33"/>
      <c r="Z35" s="42"/>
      <c r="AA35" s="60"/>
      <c r="AB35" s="105">
        <v>15</v>
      </c>
      <c r="AC35" s="93"/>
      <c r="AD35" s="33">
        <f t="shared" si="6"/>
        <v>15</v>
      </c>
      <c r="AE35" s="33">
        <f t="shared" si="7"/>
        <v>-192</v>
      </c>
      <c r="AF35" s="101">
        <f t="shared" si="8"/>
        <v>0</v>
      </c>
      <c r="AH35" s="19"/>
    </row>
    <row r="36" spans="2:34" ht="13" outlineLevel="2" x14ac:dyDescent="0.3">
      <c r="B36" s="31" t="s">
        <v>69</v>
      </c>
      <c r="C36" s="33">
        <v>951</v>
      </c>
      <c r="D36" s="33">
        <v>1135</v>
      </c>
      <c r="E36" s="23">
        <v>0</v>
      </c>
      <c r="F36" s="23">
        <v>40</v>
      </c>
      <c r="G36" s="23">
        <v>-23</v>
      </c>
      <c r="H36" s="23">
        <v>0</v>
      </c>
      <c r="I36" s="23">
        <v>207</v>
      </c>
      <c r="J36" s="23">
        <v>15</v>
      </c>
      <c r="K36" s="23">
        <f t="shared" si="0"/>
        <v>239</v>
      </c>
      <c r="L36" s="33">
        <f t="shared" si="1"/>
        <v>55</v>
      </c>
      <c r="M36" s="33">
        <f t="shared" si="2"/>
        <v>239</v>
      </c>
      <c r="N36" s="33">
        <v>1190</v>
      </c>
      <c r="O36" s="33">
        <v>1280</v>
      </c>
      <c r="P36" s="33">
        <v>-208</v>
      </c>
      <c r="Q36" s="33">
        <v>1072</v>
      </c>
      <c r="R36" s="33">
        <v>1190</v>
      </c>
      <c r="S36" s="33">
        <f t="shared" si="3"/>
        <v>-118</v>
      </c>
      <c r="T36" s="38">
        <f t="shared" si="4"/>
        <v>0.9008403361344538</v>
      </c>
      <c r="U36" s="59">
        <f t="shared" si="5"/>
        <v>1097</v>
      </c>
      <c r="V36" s="33">
        <v>-93</v>
      </c>
      <c r="W36" s="630">
        <v>-93</v>
      </c>
      <c r="X36" s="33"/>
      <c r="Y36" s="33"/>
      <c r="Z36" s="42"/>
      <c r="AA36" s="60"/>
      <c r="AB36" s="105">
        <v>118</v>
      </c>
      <c r="AC36" s="93"/>
      <c r="AD36" s="33">
        <f t="shared" si="6"/>
        <v>118</v>
      </c>
      <c r="AE36" s="33">
        <f t="shared" si="7"/>
        <v>1190</v>
      </c>
      <c r="AF36" s="101">
        <f>AE36-N36</f>
        <v>0</v>
      </c>
      <c r="AH36" s="19"/>
    </row>
    <row r="37" spans="2:34" ht="13" outlineLevel="1" x14ac:dyDescent="0.3">
      <c r="B37" s="32" t="s">
        <v>71</v>
      </c>
      <c r="C37" s="34">
        <f t="shared" ref="C37:J37" si="29">SUBTOTAL(9,C33:C36)</f>
        <v>377</v>
      </c>
      <c r="D37" s="34">
        <f t="shared" si="29"/>
        <v>406</v>
      </c>
      <c r="E37" s="24">
        <f t="shared" si="29"/>
        <v>0</v>
      </c>
      <c r="F37" s="24">
        <f t="shared" si="29"/>
        <v>32</v>
      </c>
      <c r="G37" s="24">
        <f t="shared" si="29"/>
        <v>-53</v>
      </c>
      <c r="H37" s="24">
        <f t="shared" si="29"/>
        <v>0</v>
      </c>
      <c r="I37" s="24">
        <f t="shared" si="29"/>
        <v>83</v>
      </c>
      <c r="J37" s="24">
        <f t="shared" si="29"/>
        <v>15</v>
      </c>
      <c r="K37" s="24">
        <f>SUM(E37:J37)</f>
        <v>77</v>
      </c>
      <c r="L37" s="34">
        <f t="shared" ref="L37:L38" si="30">N37-D37</f>
        <v>47</v>
      </c>
      <c r="M37" s="34">
        <f t="shared" ref="M37:M38" si="31">N37-C37</f>
        <v>76</v>
      </c>
      <c r="N37" s="34">
        <f>SUBTOTAL(9,N33:N36)</f>
        <v>453</v>
      </c>
      <c r="O37" s="34">
        <f>SUBTOTAL(9,O33:O36)</f>
        <v>2604</v>
      </c>
      <c r="P37" s="34">
        <f>SUBTOTAL(9,P33:P36)</f>
        <v>-2342</v>
      </c>
      <c r="Q37" s="34">
        <f>SUBTOTAL(9,Q33:Q36)</f>
        <v>262</v>
      </c>
      <c r="R37" s="34">
        <f>SUBTOTAL(9,R33:R36)</f>
        <v>453</v>
      </c>
      <c r="S37" s="34">
        <f>Q37-R37</f>
        <v>-191</v>
      </c>
      <c r="T37" s="38">
        <f>IFERROR((Q37/N37)*100%,"∞")</f>
        <v>0.57836644591611475</v>
      </c>
      <c r="U37" s="59">
        <f>N37+V37</f>
        <v>263</v>
      </c>
      <c r="V37" s="34">
        <f>SUBTOTAL(9,V33:V36)</f>
        <v>-190</v>
      </c>
      <c r="W37" s="631">
        <f t="shared" ref="W37:AF37" si="32">SUBTOTAL(9,W33:W36)</f>
        <v>-190</v>
      </c>
      <c r="X37" s="34">
        <f t="shared" si="32"/>
        <v>0</v>
      </c>
      <c r="Y37" s="34">
        <f t="shared" si="32"/>
        <v>0</v>
      </c>
      <c r="Z37" s="34">
        <f t="shared" si="32"/>
        <v>0</v>
      </c>
      <c r="AA37" s="34">
        <f t="shared" si="32"/>
        <v>0</v>
      </c>
      <c r="AB37" s="34">
        <f t="shared" si="32"/>
        <v>191</v>
      </c>
      <c r="AC37" s="34">
        <f t="shared" si="32"/>
        <v>0</v>
      </c>
      <c r="AD37" s="34">
        <f t="shared" si="32"/>
        <v>191</v>
      </c>
      <c r="AE37" s="34">
        <f t="shared" si="32"/>
        <v>453</v>
      </c>
      <c r="AF37" s="34">
        <f t="shared" si="32"/>
        <v>0</v>
      </c>
      <c r="AH37" s="19">
        <f>AF37-W37</f>
        <v>190</v>
      </c>
    </row>
    <row r="38" spans="2:34" ht="13.5" customHeight="1" thickBot="1" x14ac:dyDescent="0.35">
      <c r="B38" s="53" t="s">
        <v>72</v>
      </c>
      <c r="C38" s="35">
        <f t="shared" ref="C38:J38" si="33">SUBTOTAL(9,C25:C37)</f>
        <v>-4626</v>
      </c>
      <c r="D38" s="35">
        <f t="shared" si="33"/>
        <v>-5581</v>
      </c>
      <c r="E38" s="25">
        <f t="shared" si="33"/>
        <v>10</v>
      </c>
      <c r="F38" s="25">
        <f t="shared" si="33"/>
        <v>386</v>
      </c>
      <c r="G38" s="25">
        <f t="shared" si="33"/>
        <v>-98</v>
      </c>
      <c r="H38" s="25">
        <f t="shared" si="33"/>
        <v>0</v>
      </c>
      <c r="I38" s="25">
        <f t="shared" si="33"/>
        <v>-866</v>
      </c>
      <c r="J38" s="25">
        <f t="shared" si="33"/>
        <v>-15</v>
      </c>
      <c r="K38" s="25">
        <f>SUM(E38:J38)</f>
        <v>-583</v>
      </c>
      <c r="L38" s="35">
        <f t="shared" si="30"/>
        <v>371</v>
      </c>
      <c r="M38" s="35">
        <f t="shared" si="31"/>
        <v>-584</v>
      </c>
      <c r="N38" s="35">
        <f>SUBTOTAL(9,N25:N37)</f>
        <v>-5210</v>
      </c>
      <c r="O38" s="35">
        <f>SUBTOTAL(9,O25:O37)</f>
        <v>9162</v>
      </c>
      <c r="P38" s="35">
        <f>SUBTOTAL(9,P25:P37)</f>
        <v>-17518</v>
      </c>
      <c r="Q38" s="35">
        <f>SUBTOTAL(9,Q25:Q37)</f>
        <v>-8358</v>
      </c>
      <c r="R38" s="35">
        <f>SUBTOTAL(9,R25:R37)</f>
        <v>-5210</v>
      </c>
      <c r="S38" s="35">
        <f>Q38-R38</f>
        <v>-3148</v>
      </c>
      <c r="T38" s="39">
        <f>IFERROR((Q38/N38)*100%,"∞")</f>
        <v>1.6042226487523992</v>
      </c>
      <c r="U38" s="54">
        <f>N38+V38</f>
        <v>-5243</v>
      </c>
      <c r="V38" s="35">
        <f>SUBTOTAL(9,V25:V37)</f>
        <v>-33</v>
      </c>
      <c r="W38" s="632">
        <f t="shared" ref="W38:AF38" si="34">SUBTOTAL(9,W25:W37)</f>
        <v>-33</v>
      </c>
      <c r="X38" s="35">
        <f t="shared" si="34"/>
        <v>0</v>
      </c>
      <c r="Y38" s="35">
        <f t="shared" si="34"/>
        <v>0</v>
      </c>
      <c r="Z38" s="35">
        <f t="shared" si="34"/>
        <v>0</v>
      </c>
      <c r="AA38" s="35">
        <f t="shared" si="34"/>
        <v>0</v>
      </c>
      <c r="AB38" s="35">
        <f t="shared" si="34"/>
        <v>191</v>
      </c>
      <c r="AC38" s="35">
        <f t="shared" si="34"/>
        <v>2506</v>
      </c>
      <c r="AD38" s="35">
        <f t="shared" si="34"/>
        <v>2697</v>
      </c>
      <c r="AE38" s="35">
        <f t="shared" si="34"/>
        <v>-5661</v>
      </c>
      <c r="AF38" s="35">
        <f t="shared" si="34"/>
        <v>-451</v>
      </c>
      <c r="AH38" s="19">
        <f>AF38-W38</f>
        <v>-418</v>
      </c>
    </row>
    <row r="39" spans="2:34" ht="13.5" outlineLevel="2" thickTop="1" x14ac:dyDescent="0.3">
      <c r="B39" s="31" t="s">
        <v>73</v>
      </c>
      <c r="C39" s="33">
        <v>226</v>
      </c>
      <c r="D39" s="33">
        <v>163</v>
      </c>
      <c r="E39" s="23">
        <v>0</v>
      </c>
      <c r="F39" s="23">
        <v>0</v>
      </c>
      <c r="G39" s="23">
        <v>-4</v>
      </c>
      <c r="H39" s="23">
        <v>0</v>
      </c>
      <c r="I39" s="23">
        <v>-60</v>
      </c>
      <c r="J39" s="23">
        <v>0</v>
      </c>
      <c r="K39" s="23">
        <f t="shared" si="0"/>
        <v>-64</v>
      </c>
      <c r="L39" s="33">
        <f t="shared" si="1"/>
        <v>0</v>
      </c>
      <c r="M39" s="33">
        <f t="shared" si="2"/>
        <v>-63</v>
      </c>
      <c r="N39" s="33">
        <v>163</v>
      </c>
      <c r="O39" s="33">
        <v>125</v>
      </c>
      <c r="P39" s="33">
        <v>0</v>
      </c>
      <c r="Q39" s="33">
        <v>125</v>
      </c>
      <c r="R39" s="33">
        <v>163</v>
      </c>
      <c r="S39" s="33">
        <f t="shared" si="3"/>
        <v>-38</v>
      </c>
      <c r="T39" s="38">
        <f t="shared" si="4"/>
        <v>0.76687116564417179</v>
      </c>
      <c r="U39" s="59">
        <f t="shared" si="5"/>
        <v>125</v>
      </c>
      <c r="V39" s="33">
        <v>-38</v>
      </c>
      <c r="W39" s="630">
        <v>-38</v>
      </c>
      <c r="X39" s="33"/>
      <c r="Y39" s="33"/>
      <c r="Z39" s="42"/>
      <c r="AA39" s="60"/>
      <c r="AB39" s="105"/>
      <c r="AC39" s="93"/>
      <c r="AD39" s="33">
        <f t="shared" si="6"/>
        <v>0</v>
      </c>
      <c r="AE39" s="33">
        <f t="shared" si="7"/>
        <v>125</v>
      </c>
      <c r="AF39" s="101">
        <f t="shared" si="8"/>
        <v>-38</v>
      </c>
      <c r="AH39" s="19"/>
    </row>
    <row r="40" spans="2:34" ht="13" outlineLevel="2" x14ac:dyDescent="0.3">
      <c r="B40" s="31" t="s">
        <v>74</v>
      </c>
      <c r="C40" s="33">
        <v>387</v>
      </c>
      <c r="D40" s="33">
        <v>378</v>
      </c>
      <c r="E40" s="23">
        <v>0</v>
      </c>
      <c r="F40" s="23">
        <v>17</v>
      </c>
      <c r="G40" s="23">
        <v>-9</v>
      </c>
      <c r="H40" s="23">
        <v>0</v>
      </c>
      <c r="I40" s="23">
        <v>0</v>
      </c>
      <c r="J40" s="23">
        <v>0</v>
      </c>
      <c r="K40" s="23">
        <f t="shared" si="0"/>
        <v>8</v>
      </c>
      <c r="L40" s="33">
        <f t="shared" si="1"/>
        <v>17</v>
      </c>
      <c r="M40" s="33">
        <f t="shared" si="2"/>
        <v>8</v>
      </c>
      <c r="N40" s="33">
        <v>395</v>
      </c>
      <c r="O40" s="33">
        <v>566</v>
      </c>
      <c r="P40" s="33">
        <v>-191</v>
      </c>
      <c r="Q40" s="33">
        <v>376</v>
      </c>
      <c r="R40" s="33">
        <v>395</v>
      </c>
      <c r="S40" s="33">
        <f t="shared" si="3"/>
        <v>-19</v>
      </c>
      <c r="T40" s="38">
        <f t="shared" si="4"/>
        <v>0.95189873417721516</v>
      </c>
      <c r="U40" s="59">
        <f t="shared" si="5"/>
        <v>414</v>
      </c>
      <c r="V40" s="33">
        <v>19</v>
      </c>
      <c r="W40" s="630">
        <v>19</v>
      </c>
      <c r="X40" s="33"/>
      <c r="Y40" s="33"/>
      <c r="Z40" s="42"/>
      <c r="AA40" s="60"/>
      <c r="AB40" s="105"/>
      <c r="AC40" s="93"/>
      <c r="AD40" s="33">
        <f t="shared" si="6"/>
        <v>0</v>
      </c>
      <c r="AE40" s="33">
        <f t="shared" si="7"/>
        <v>376</v>
      </c>
      <c r="AF40" s="101">
        <f t="shared" si="8"/>
        <v>-19</v>
      </c>
      <c r="AH40" s="19"/>
    </row>
    <row r="41" spans="2:34" ht="13" outlineLevel="2" x14ac:dyDescent="0.3">
      <c r="B41" s="31" t="s">
        <v>75</v>
      </c>
      <c r="C41" s="33">
        <v>258</v>
      </c>
      <c r="D41" s="33">
        <v>254</v>
      </c>
      <c r="E41" s="23">
        <v>0</v>
      </c>
      <c r="F41" s="23">
        <v>115</v>
      </c>
      <c r="G41" s="23">
        <v>-4</v>
      </c>
      <c r="H41" s="23">
        <v>0</v>
      </c>
      <c r="I41" s="23">
        <v>0</v>
      </c>
      <c r="J41" s="23">
        <v>0</v>
      </c>
      <c r="K41" s="23">
        <f t="shared" si="0"/>
        <v>111</v>
      </c>
      <c r="L41" s="33">
        <f t="shared" si="1"/>
        <v>116</v>
      </c>
      <c r="M41" s="33">
        <f t="shared" si="2"/>
        <v>112</v>
      </c>
      <c r="N41" s="33">
        <v>370</v>
      </c>
      <c r="O41" s="33">
        <v>348</v>
      </c>
      <c r="P41" s="33">
        <v>-86</v>
      </c>
      <c r="Q41" s="33">
        <v>262</v>
      </c>
      <c r="R41" s="33">
        <v>370</v>
      </c>
      <c r="S41" s="33">
        <f t="shared" si="3"/>
        <v>-108</v>
      </c>
      <c r="T41" s="38">
        <f t="shared" si="4"/>
        <v>0.70810810810810809</v>
      </c>
      <c r="U41" s="59">
        <f t="shared" si="5"/>
        <v>258</v>
      </c>
      <c r="V41" s="33">
        <v>-112</v>
      </c>
      <c r="W41" s="630">
        <v>-112</v>
      </c>
      <c r="X41" s="33"/>
      <c r="Y41" s="33"/>
      <c r="Z41" s="42"/>
      <c r="AA41" s="60"/>
      <c r="AB41" s="105"/>
      <c r="AC41" s="93"/>
      <c r="AD41" s="33">
        <f t="shared" si="6"/>
        <v>0</v>
      </c>
      <c r="AE41" s="33">
        <f t="shared" si="7"/>
        <v>262</v>
      </c>
      <c r="AF41" s="101">
        <f t="shared" si="8"/>
        <v>-108</v>
      </c>
      <c r="AH41" s="19"/>
    </row>
    <row r="42" spans="2:34" ht="13" outlineLevel="1" x14ac:dyDescent="0.3">
      <c r="B42" s="32" t="s">
        <v>76</v>
      </c>
      <c r="C42" s="34">
        <f t="shared" ref="C42:J42" si="35">SUBTOTAL(9,C39:C41)</f>
        <v>871</v>
      </c>
      <c r="D42" s="34">
        <f t="shared" si="35"/>
        <v>795</v>
      </c>
      <c r="E42" s="24">
        <f t="shared" si="35"/>
        <v>0</v>
      </c>
      <c r="F42" s="24">
        <f t="shared" si="35"/>
        <v>132</v>
      </c>
      <c r="G42" s="24">
        <f t="shared" si="35"/>
        <v>-17</v>
      </c>
      <c r="H42" s="24">
        <f t="shared" si="35"/>
        <v>0</v>
      </c>
      <c r="I42" s="24">
        <f t="shared" si="35"/>
        <v>-60</v>
      </c>
      <c r="J42" s="24">
        <f t="shared" si="35"/>
        <v>0</v>
      </c>
      <c r="K42" s="24">
        <f>SUM(E42:J42)</f>
        <v>55</v>
      </c>
      <c r="L42" s="34">
        <f t="shared" ref="L42" si="36">N42-D42</f>
        <v>133</v>
      </c>
      <c r="M42" s="34">
        <f t="shared" ref="M42" si="37">N42-C42</f>
        <v>57</v>
      </c>
      <c r="N42" s="34">
        <f>SUBTOTAL(9,N39:N41)</f>
        <v>928</v>
      </c>
      <c r="O42" s="34">
        <f>SUBTOTAL(9,O39:O41)</f>
        <v>1039</v>
      </c>
      <c r="P42" s="34">
        <f>SUBTOTAL(9,P39:P41)</f>
        <v>-277</v>
      </c>
      <c r="Q42" s="34">
        <f>SUBTOTAL(9,Q39:Q41)</f>
        <v>763</v>
      </c>
      <c r="R42" s="34">
        <f>SUBTOTAL(9,R39:R41)</f>
        <v>928</v>
      </c>
      <c r="S42" s="34">
        <f>Q42-R42</f>
        <v>-165</v>
      </c>
      <c r="T42" s="38">
        <f>IFERROR((Q42/N42)*100%,"∞")</f>
        <v>0.82219827586206895</v>
      </c>
      <c r="U42" s="59">
        <f>N42+V42</f>
        <v>797</v>
      </c>
      <c r="V42" s="34">
        <f>SUBTOTAL(9,V39:V41)</f>
        <v>-131</v>
      </c>
      <c r="W42" s="631">
        <f t="shared" ref="W42:AF42" si="38">SUBTOTAL(9,W39:W41)</f>
        <v>-131</v>
      </c>
      <c r="X42" s="34">
        <f t="shared" si="38"/>
        <v>0</v>
      </c>
      <c r="Y42" s="34">
        <f t="shared" si="38"/>
        <v>0</v>
      </c>
      <c r="Z42" s="34">
        <f t="shared" si="38"/>
        <v>0</v>
      </c>
      <c r="AA42" s="34">
        <f t="shared" si="38"/>
        <v>0</v>
      </c>
      <c r="AB42" s="34">
        <f t="shared" si="38"/>
        <v>0</v>
      </c>
      <c r="AC42" s="34">
        <f t="shared" si="38"/>
        <v>0</v>
      </c>
      <c r="AD42" s="34">
        <f t="shared" si="38"/>
        <v>0</v>
      </c>
      <c r="AE42" s="34">
        <f t="shared" si="38"/>
        <v>763</v>
      </c>
      <c r="AF42" s="34">
        <f t="shared" si="38"/>
        <v>-165</v>
      </c>
      <c r="AH42" s="19">
        <f>AF42-W42</f>
        <v>-34</v>
      </c>
    </row>
    <row r="43" spans="2:34" ht="13" outlineLevel="2" x14ac:dyDescent="0.3">
      <c r="B43" s="31" t="s">
        <v>77</v>
      </c>
      <c r="C43" s="33">
        <v>463</v>
      </c>
      <c r="D43" s="33">
        <v>216</v>
      </c>
      <c r="E43" s="23">
        <v>-156</v>
      </c>
      <c r="F43" s="23">
        <v>1</v>
      </c>
      <c r="G43" s="23">
        <v>-7</v>
      </c>
      <c r="H43" s="23">
        <v>0</v>
      </c>
      <c r="I43" s="23">
        <v>-83</v>
      </c>
      <c r="J43" s="23">
        <v>0</v>
      </c>
      <c r="K43" s="23">
        <f t="shared" si="0"/>
        <v>-245</v>
      </c>
      <c r="L43" s="33">
        <f t="shared" si="1"/>
        <v>1</v>
      </c>
      <c r="M43" s="33">
        <f t="shared" si="2"/>
        <v>-246</v>
      </c>
      <c r="N43" s="33">
        <v>217</v>
      </c>
      <c r="O43" s="33">
        <v>404</v>
      </c>
      <c r="P43" s="33">
        <v>-272</v>
      </c>
      <c r="Q43" s="33">
        <v>132</v>
      </c>
      <c r="R43" s="33">
        <v>217</v>
      </c>
      <c r="S43" s="33">
        <f t="shared" si="3"/>
        <v>-85</v>
      </c>
      <c r="T43" s="38">
        <f t="shared" si="4"/>
        <v>0.60829493087557607</v>
      </c>
      <c r="U43" s="59">
        <f t="shared" si="5"/>
        <v>155</v>
      </c>
      <c r="V43" s="33">
        <v>-62</v>
      </c>
      <c r="W43" s="630">
        <v>-62</v>
      </c>
      <c r="X43" s="33"/>
      <c r="Y43" s="33"/>
      <c r="Z43" s="42"/>
      <c r="AA43" s="60"/>
      <c r="AB43" s="105"/>
      <c r="AC43" s="93"/>
      <c r="AD43" s="33">
        <f t="shared" si="6"/>
        <v>0</v>
      </c>
      <c r="AE43" s="33">
        <f t="shared" si="7"/>
        <v>132</v>
      </c>
      <c r="AF43" s="101">
        <f t="shared" si="8"/>
        <v>-85</v>
      </c>
      <c r="AH43" s="19"/>
    </row>
    <row r="44" spans="2:34" ht="13" outlineLevel="2" x14ac:dyDescent="0.3">
      <c r="B44" s="31" t="s">
        <v>78</v>
      </c>
      <c r="C44" s="33">
        <v>305</v>
      </c>
      <c r="D44" s="33">
        <v>282</v>
      </c>
      <c r="E44" s="23">
        <v>-4</v>
      </c>
      <c r="F44" s="23">
        <v>99</v>
      </c>
      <c r="G44" s="23">
        <v>-4</v>
      </c>
      <c r="H44" s="23">
        <v>0</v>
      </c>
      <c r="I44" s="23">
        <v>-15</v>
      </c>
      <c r="J44" s="23">
        <v>0</v>
      </c>
      <c r="K44" s="23">
        <f t="shared" si="0"/>
        <v>76</v>
      </c>
      <c r="L44" s="33">
        <f t="shared" si="1"/>
        <v>98</v>
      </c>
      <c r="M44" s="33">
        <f t="shared" si="2"/>
        <v>75</v>
      </c>
      <c r="N44" s="33">
        <v>380</v>
      </c>
      <c r="O44" s="33">
        <v>481</v>
      </c>
      <c r="P44" s="33">
        <v>-99</v>
      </c>
      <c r="Q44" s="33">
        <v>382</v>
      </c>
      <c r="R44" s="33">
        <v>380</v>
      </c>
      <c r="S44" s="33">
        <f t="shared" si="3"/>
        <v>2</v>
      </c>
      <c r="T44" s="38">
        <f t="shared" si="4"/>
        <v>1.0052631578947369</v>
      </c>
      <c r="U44" s="59">
        <f t="shared" si="5"/>
        <v>380</v>
      </c>
      <c r="V44" s="33">
        <v>0</v>
      </c>
      <c r="W44" s="630">
        <v>0</v>
      </c>
      <c r="X44" s="33"/>
      <c r="Y44" s="33"/>
      <c r="Z44" s="42"/>
      <c r="AA44" s="60"/>
      <c r="AB44" s="105">
        <v>26</v>
      </c>
      <c r="AC44" s="93"/>
      <c r="AD44" s="33">
        <f t="shared" si="6"/>
        <v>26</v>
      </c>
      <c r="AE44" s="33">
        <f t="shared" si="7"/>
        <v>408</v>
      </c>
      <c r="AF44" s="101">
        <f t="shared" si="8"/>
        <v>28</v>
      </c>
      <c r="AH44" s="19"/>
    </row>
    <row r="45" spans="2:34" ht="13" outlineLevel="2" x14ac:dyDescent="0.3">
      <c r="B45" s="31" t="s">
        <v>79</v>
      </c>
      <c r="C45" s="33">
        <v>279</v>
      </c>
      <c r="D45" s="33">
        <v>317</v>
      </c>
      <c r="E45" s="23">
        <v>36</v>
      </c>
      <c r="F45" s="23">
        <v>27</v>
      </c>
      <c r="G45" s="23">
        <v>-7</v>
      </c>
      <c r="H45" s="23">
        <v>0</v>
      </c>
      <c r="I45" s="23">
        <v>10</v>
      </c>
      <c r="J45" s="23">
        <v>0</v>
      </c>
      <c r="K45" s="23">
        <f t="shared" si="0"/>
        <v>66</v>
      </c>
      <c r="L45" s="33">
        <f t="shared" si="1"/>
        <v>27</v>
      </c>
      <c r="M45" s="33">
        <f t="shared" si="2"/>
        <v>65</v>
      </c>
      <c r="N45" s="33">
        <v>344</v>
      </c>
      <c r="O45" s="33">
        <v>764</v>
      </c>
      <c r="P45" s="33">
        <v>-426</v>
      </c>
      <c r="Q45" s="33">
        <v>338</v>
      </c>
      <c r="R45" s="33">
        <v>344</v>
      </c>
      <c r="S45" s="33">
        <f t="shared" si="3"/>
        <v>-6</v>
      </c>
      <c r="T45" s="38">
        <f t="shared" si="4"/>
        <v>0.98255813953488369</v>
      </c>
      <c r="U45" s="59">
        <f t="shared" si="5"/>
        <v>337</v>
      </c>
      <c r="V45" s="33">
        <v>-7</v>
      </c>
      <c r="W45" s="630">
        <v>-7</v>
      </c>
      <c r="X45" s="33"/>
      <c r="Y45" s="33"/>
      <c r="Z45" s="42"/>
      <c r="AA45" s="60"/>
      <c r="AB45" s="105"/>
      <c r="AC45" s="93"/>
      <c r="AD45" s="33">
        <f t="shared" si="6"/>
        <v>0</v>
      </c>
      <c r="AE45" s="33">
        <f t="shared" si="7"/>
        <v>338</v>
      </c>
      <c r="AF45" s="101">
        <f t="shared" si="8"/>
        <v>-6</v>
      </c>
      <c r="AH45" s="19"/>
    </row>
    <row r="46" spans="2:34" ht="13" outlineLevel="1" x14ac:dyDescent="0.3">
      <c r="B46" s="32" t="s">
        <v>80</v>
      </c>
      <c r="C46" s="34">
        <f t="shared" ref="C46:J46" si="39">SUBTOTAL(9,C43:C45)</f>
        <v>1047</v>
      </c>
      <c r="D46" s="34">
        <f t="shared" si="39"/>
        <v>815</v>
      </c>
      <c r="E46" s="24">
        <f t="shared" si="39"/>
        <v>-124</v>
      </c>
      <c r="F46" s="24">
        <f t="shared" si="39"/>
        <v>127</v>
      </c>
      <c r="G46" s="24">
        <f t="shared" si="39"/>
        <v>-18</v>
      </c>
      <c r="H46" s="24">
        <f t="shared" si="39"/>
        <v>0</v>
      </c>
      <c r="I46" s="24">
        <f t="shared" si="39"/>
        <v>-88</v>
      </c>
      <c r="J46" s="24">
        <f t="shared" si="39"/>
        <v>0</v>
      </c>
      <c r="K46" s="24">
        <f>SUM(E46:J46)</f>
        <v>-103</v>
      </c>
      <c r="L46" s="34">
        <f t="shared" ref="L46:L47" si="40">N46-D46</f>
        <v>126</v>
      </c>
      <c r="M46" s="34">
        <f t="shared" ref="M46:M47" si="41">N46-C46</f>
        <v>-106</v>
      </c>
      <c r="N46" s="34">
        <f>SUBTOTAL(9,N43:N45)</f>
        <v>941</v>
      </c>
      <c r="O46" s="34">
        <f>SUBTOTAL(9,O43:O45)</f>
        <v>1649</v>
      </c>
      <c r="P46" s="34">
        <f>SUBTOTAL(9,P43:P45)</f>
        <v>-797</v>
      </c>
      <c r="Q46" s="34">
        <f>SUBTOTAL(9,Q43:Q45)</f>
        <v>852</v>
      </c>
      <c r="R46" s="34">
        <f>SUBTOTAL(9,R43:R45)</f>
        <v>941</v>
      </c>
      <c r="S46" s="34">
        <f>Q46-R46</f>
        <v>-89</v>
      </c>
      <c r="T46" s="38">
        <f>IFERROR((Q46/N46)*100%,"∞")</f>
        <v>0.9054197662061636</v>
      </c>
      <c r="U46" s="59">
        <f>N46+V46</f>
        <v>872</v>
      </c>
      <c r="V46" s="34">
        <f>SUBTOTAL(9,V43:V45)</f>
        <v>-69</v>
      </c>
      <c r="W46" s="631">
        <f t="shared" ref="W46:AF46" si="42">SUBTOTAL(9,W43:W45)</f>
        <v>-69</v>
      </c>
      <c r="X46" s="34">
        <f t="shared" si="42"/>
        <v>0</v>
      </c>
      <c r="Y46" s="34">
        <f t="shared" si="42"/>
        <v>0</v>
      </c>
      <c r="Z46" s="34">
        <f t="shared" si="42"/>
        <v>0</v>
      </c>
      <c r="AA46" s="34">
        <f t="shared" si="42"/>
        <v>0</v>
      </c>
      <c r="AB46" s="34">
        <f t="shared" si="42"/>
        <v>26</v>
      </c>
      <c r="AC46" s="34">
        <f t="shared" si="42"/>
        <v>0</v>
      </c>
      <c r="AD46" s="34">
        <f t="shared" si="42"/>
        <v>26</v>
      </c>
      <c r="AE46" s="34">
        <f t="shared" si="42"/>
        <v>878</v>
      </c>
      <c r="AF46" s="34">
        <f t="shared" si="42"/>
        <v>-63</v>
      </c>
      <c r="AH46" s="19">
        <f>AF46-W46</f>
        <v>6</v>
      </c>
    </row>
    <row r="47" spans="2:34" ht="13.5" customHeight="1" thickBot="1" x14ac:dyDescent="0.35">
      <c r="B47" s="53" t="s">
        <v>81</v>
      </c>
      <c r="C47" s="35">
        <f t="shared" ref="C47:J47" si="43">SUBTOTAL(9,C39:C46)</f>
        <v>1918</v>
      </c>
      <c r="D47" s="35">
        <f t="shared" si="43"/>
        <v>1610</v>
      </c>
      <c r="E47" s="25">
        <f t="shared" si="43"/>
        <v>-124</v>
      </c>
      <c r="F47" s="25">
        <f t="shared" si="43"/>
        <v>259</v>
      </c>
      <c r="G47" s="25">
        <f t="shared" si="43"/>
        <v>-35</v>
      </c>
      <c r="H47" s="25">
        <f t="shared" si="43"/>
        <v>0</v>
      </c>
      <c r="I47" s="25">
        <f t="shared" si="43"/>
        <v>-148</v>
      </c>
      <c r="J47" s="25">
        <f t="shared" si="43"/>
        <v>0</v>
      </c>
      <c r="K47" s="25">
        <f>SUM(E47:J47)</f>
        <v>-48</v>
      </c>
      <c r="L47" s="35">
        <f t="shared" si="40"/>
        <v>259</v>
      </c>
      <c r="M47" s="35">
        <f t="shared" si="41"/>
        <v>-49</v>
      </c>
      <c r="N47" s="35">
        <f>SUBTOTAL(9,N39:N46)</f>
        <v>1869</v>
      </c>
      <c r="O47" s="35">
        <f>SUBTOTAL(9,O39:O46)</f>
        <v>2688</v>
      </c>
      <c r="P47" s="35">
        <f>SUBTOTAL(9,P39:P46)</f>
        <v>-1074</v>
      </c>
      <c r="Q47" s="35">
        <f>SUBTOTAL(9,Q39:Q46)</f>
        <v>1615</v>
      </c>
      <c r="R47" s="35">
        <f>SUBTOTAL(9,R39:R46)</f>
        <v>1869</v>
      </c>
      <c r="S47" s="35">
        <f>Q47-R47</f>
        <v>-254</v>
      </c>
      <c r="T47" s="39">
        <f>IFERROR((Q47/N47)*100%,"∞")</f>
        <v>0.86409844836811134</v>
      </c>
      <c r="U47" s="54">
        <f>N47+V47</f>
        <v>1669</v>
      </c>
      <c r="V47" s="35">
        <f>SUBTOTAL(9,V39:V46)</f>
        <v>-200</v>
      </c>
      <c r="W47" s="632">
        <f t="shared" ref="W47:AF47" si="44">SUBTOTAL(9,W39:W46)</f>
        <v>-200</v>
      </c>
      <c r="X47" s="35">
        <f t="shared" si="44"/>
        <v>0</v>
      </c>
      <c r="Y47" s="35">
        <f t="shared" si="44"/>
        <v>0</v>
      </c>
      <c r="Z47" s="35">
        <f t="shared" si="44"/>
        <v>0</v>
      </c>
      <c r="AA47" s="35">
        <f t="shared" si="44"/>
        <v>0</v>
      </c>
      <c r="AB47" s="35">
        <f t="shared" si="44"/>
        <v>26</v>
      </c>
      <c r="AC47" s="35">
        <f t="shared" si="44"/>
        <v>0</v>
      </c>
      <c r="AD47" s="35">
        <f t="shared" si="44"/>
        <v>26</v>
      </c>
      <c r="AE47" s="35">
        <f t="shared" si="44"/>
        <v>1641</v>
      </c>
      <c r="AF47" s="35">
        <f t="shared" si="44"/>
        <v>-228</v>
      </c>
      <c r="AH47" s="19">
        <f>AF47-W47</f>
        <v>-28</v>
      </c>
    </row>
    <row r="48" spans="2:34" ht="13.5" outlineLevel="2" thickTop="1" x14ac:dyDescent="0.3">
      <c r="B48" s="31" t="s">
        <v>82</v>
      </c>
      <c r="C48" s="33">
        <v>-677</v>
      </c>
      <c r="D48" s="33">
        <v>-677</v>
      </c>
      <c r="E48" s="23">
        <v>0</v>
      </c>
      <c r="F48" s="23">
        <v>0</v>
      </c>
      <c r="G48" s="23">
        <v>0</v>
      </c>
      <c r="H48" s="23">
        <v>0</v>
      </c>
      <c r="I48" s="23">
        <v>0</v>
      </c>
      <c r="J48" s="23">
        <v>0</v>
      </c>
      <c r="K48" s="23">
        <f t="shared" si="0"/>
        <v>0</v>
      </c>
      <c r="L48" s="33">
        <f t="shared" si="1"/>
        <v>0</v>
      </c>
      <c r="M48" s="33">
        <f t="shared" si="2"/>
        <v>0</v>
      </c>
      <c r="N48" s="33">
        <v>-677</v>
      </c>
      <c r="O48" s="33">
        <v>4758</v>
      </c>
      <c r="P48" s="33">
        <v>-5683</v>
      </c>
      <c r="Q48" s="33">
        <v>-925</v>
      </c>
      <c r="R48" s="33">
        <v>-677</v>
      </c>
      <c r="S48" s="33">
        <f t="shared" si="3"/>
        <v>-248</v>
      </c>
      <c r="T48" s="38">
        <f t="shared" si="4"/>
        <v>1.3663220088626293</v>
      </c>
      <c r="U48" s="59">
        <f t="shared" si="5"/>
        <v>-900</v>
      </c>
      <c r="V48" s="33">
        <v>-223</v>
      </c>
      <c r="W48" s="630">
        <v>-223</v>
      </c>
      <c r="X48" s="33"/>
      <c r="Y48" s="33"/>
      <c r="Z48" s="42"/>
      <c r="AA48" s="60"/>
      <c r="AB48" s="105"/>
      <c r="AC48" s="93"/>
      <c r="AD48" s="33">
        <f t="shared" si="6"/>
        <v>0</v>
      </c>
      <c r="AE48" s="33">
        <f t="shared" si="7"/>
        <v>-925</v>
      </c>
      <c r="AF48" s="101">
        <f t="shared" si="8"/>
        <v>-248</v>
      </c>
      <c r="AH48" s="19"/>
    </row>
    <row r="49" spans="2:34" ht="13" outlineLevel="2" x14ac:dyDescent="0.3">
      <c r="B49" s="31" t="s">
        <v>83</v>
      </c>
      <c r="C49" s="33">
        <v>5803</v>
      </c>
      <c r="D49" s="33">
        <v>5803</v>
      </c>
      <c r="E49" s="23">
        <v>0</v>
      </c>
      <c r="F49" s="23">
        <v>100</v>
      </c>
      <c r="G49" s="23">
        <v>0</v>
      </c>
      <c r="H49" s="23">
        <v>0</v>
      </c>
      <c r="I49" s="23">
        <v>0</v>
      </c>
      <c r="J49" s="23">
        <v>0</v>
      </c>
      <c r="K49" s="23">
        <f t="shared" si="0"/>
        <v>100</v>
      </c>
      <c r="L49" s="33">
        <f t="shared" si="1"/>
        <v>100</v>
      </c>
      <c r="M49" s="33">
        <f t="shared" si="2"/>
        <v>100</v>
      </c>
      <c r="N49" s="33">
        <v>5903</v>
      </c>
      <c r="O49" s="33">
        <v>7893</v>
      </c>
      <c r="P49" s="33">
        <v>-1879</v>
      </c>
      <c r="Q49" s="33">
        <v>6014</v>
      </c>
      <c r="R49" s="33">
        <v>5903</v>
      </c>
      <c r="S49" s="33">
        <f t="shared" si="3"/>
        <v>111</v>
      </c>
      <c r="T49" s="38">
        <f t="shared" si="4"/>
        <v>1.0188039979671353</v>
      </c>
      <c r="U49" s="59">
        <f t="shared" si="5"/>
        <v>6053</v>
      </c>
      <c r="V49" s="33">
        <v>150</v>
      </c>
      <c r="W49" s="630">
        <v>150</v>
      </c>
      <c r="X49" s="33"/>
      <c r="Y49" s="33"/>
      <c r="Z49" s="42"/>
      <c r="AA49" s="60"/>
      <c r="AB49" s="105"/>
      <c r="AC49" s="93"/>
      <c r="AD49" s="33">
        <f t="shared" si="6"/>
        <v>0</v>
      </c>
      <c r="AE49" s="33">
        <f t="shared" si="7"/>
        <v>6014</v>
      </c>
      <c r="AF49" s="101">
        <f t="shared" si="8"/>
        <v>111</v>
      </c>
      <c r="AH49" s="19"/>
    </row>
    <row r="50" spans="2:34" ht="13" outlineLevel="2" x14ac:dyDescent="0.3">
      <c r="B50" s="31" t="s">
        <v>84</v>
      </c>
      <c r="C50" s="33">
        <v>6021</v>
      </c>
      <c r="D50" s="33">
        <v>6021</v>
      </c>
      <c r="E50" s="23">
        <v>0</v>
      </c>
      <c r="F50" s="23">
        <v>0</v>
      </c>
      <c r="G50" s="23">
        <v>0</v>
      </c>
      <c r="H50" s="23">
        <v>0</v>
      </c>
      <c r="I50" s="23">
        <v>0</v>
      </c>
      <c r="J50" s="23">
        <v>0</v>
      </c>
      <c r="K50" s="23">
        <f t="shared" si="0"/>
        <v>0</v>
      </c>
      <c r="L50" s="33">
        <f t="shared" si="1"/>
        <v>0</v>
      </c>
      <c r="M50" s="33">
        <f t="shared" si="2"/>
        <v>0</v>
      </c>
      <c r="N50" s="33">
        <v>6021</v>
      </c>
      <c r="O50" s="33">
        <v>5985</v>
      </c>
      <c r="P50" s="33">
        <v>3</v>
      </c>
      <c r="Q50" s="33">
        <v>5988</v>
      </c>
      <c r="R50" s="33">
        <v>6021</v>
      </c>
      <c r="S50" s="33">
        <f t="shared" si="3"/>
        <v>-33</v>
      </c>
      <c r="T50" s="38">
        <f t="shared" si="4"/>
        <v>0.99451918285999008</v>
      </c>
      <c r="U50" s="59">
        <f t="shared" si="5"/>
        <v>6054</v>
      </c>
      <c r="V50" s="33">
        <v>33</v>
      </c>
      <c r="W50" s="630">
        <v>33</v>
      </c>
      <c r="X50" s="33"/>
      <c r="Y50" s="33"/>
      <c r="Z50" s="42"/>
      <c r="AA50" s="60"/>
      <c r="AB50" s="105"/>
      <c r="AC50" s="93"/>
      <c r="AD50" s="33">
        <f t="shared" si="6"/>
        <v>0</v>
      </c>
      <c r="AE50" s="33">
        <f t="shared" si="7"/>
        <v>5988</v>
      </c>
      <c r="AF50" s="101">
        <f t="shared" si="8"/>
        <v>-33</v>
      </c>
      <c r="AH50" s="19"/>
    </row>
    <row r="51" spans="2:34" ht="13" outlineLevel="2" x14ac:dyDescent="0.3">
      <c r="B51" s="31" t="s">
        <v>85</v>
      </c>
      <c r="C51" s="33">
        <v>3196</v>
      </c>
      <c r="D51" s="33">
        <v>3196</v>
      </c>
      <c r="E51" s="23">
        <v>0</v>
      </c>
      <c r="F51" s="23">
        <v>0</v>
      </c>
      <c r="G51" s="23">
        <v>0</v>
      </c>
      <c r="H51" s="23">
        <v>0</v>
      </c>
      <c r="I51" s="23">
        <v>0</v>
      </c>
      <c r="J51" s="23">
        <v>0</v>
      </c>
      <c r="K51" s="23">
        <f t="shared" si="0"/>
        <v>0</v>
      </c>
      <c r="L51" s="33">
        <f t="shared" si="1"/>
        <v>0</v>
      </c>
      <c r="M51" s="33">
        <f t="shared" si="2"/>
        <v>0</v>
      </c>
      <c r="N51" s="33">
        <v>3196</v>
      </c>
      <c r="O51" s="33">
        <v>3309</v>
      </c>
      <c r="P51" s="33">
        <v>-89</v>
      </c>
      <c r="Q51" s="33">
        <v>3220</v>
      </c>
      <c r="R51" s="33">
        <v>3196</v>
      </c>
      <c r="S51" s="33">
        <f t="shared" si="3"/>
        <v>24</v>
      </c>
      <c r="T51" s="38">
        <f t="shared" si="4"/>
        <v>1.0075093867334168</v>
      </c>
      <c r="U51" s="59">
        <f t="shared" si="5"/>
        <v>3196</v>
      </c>
      <c r="V51" s="33">
        <v>0</v>
      </c>
      <c r="W51" s="630">
        <v>0</v>
      </c>
      <c r="X51" s="33"/>
      <c r="Y51" s="33"/>
      <c r="Z51" s="42"/>
      <c r="AA51" s="60"/>
      <c r="AB51" s="105"/>
      <c r="AC51" s="93"/>
      <c r="AD51" s="33">
        <f t="shared" si="6"/>
        <v>0</v>
      </c>
      <c r="AE51" s="33">
        <f t="shared" si="7"/>
        <v>3220</v>
      </c>
      <c r="AF51" s="101">
        <f t="shared" si="8"/>
        <v>24</v>
      </c>
      <c r="AH51" s="19"/>
    </row>
    <row r="52" spans="2:34" ht="13" outlineLevel="2" x14ac:dyDescent="0.3">
      <c r="B52" s="31" t="s">
        <v>86</v>
      </c>
      <c r="C52" s="33">
        <v>263</v>
      </c>
      <c r="D52" s="33">
        <v>263</v>
      </c>
      <c r="E52" s="23">
        <v>0</v>
      </c>
      <c r="F52" s="23">
        <v>0</v>
      </c>
      <c r="G52" s="23">
        <v>0</v>
      </c>
      <c r="H52" s="23">
        <v>0</v>
      </c>
      <c r="I52" s="23">
        <v>0</v>
      </c>
      <c r="J52" s="23">
        <v>0</v>
      </c>
      <c r="K52" s="23">
        <f t="shared" si="0"/>
        <v>0</v>
      </c>
      <c r="L52" s="33">
        <f t="shared" si="1"/>
        <v>0</v>
      </c>
      <c r="M52" s="33">
        <f t="shared" si="2"/>
        <v>0</v>
      </c>
      <c r="N52" s="33">
        <v>263</v>
      </c>
      <c r="O52" s="33">
        <v>262</v>
      </c>
      <c r="P52" s="33">
        <v>1</v>
      </c>
      <c r="Q52" s="33">
        <v>263</v>
      </c>
      <c r="R52" s="33">
        <v>263</v>
      </c>
      <c r="S52" s="33">
        <f t="shared" si="3"/>
        <v>0</v>
      </c>
      <c r="T52" s="38">
        <f t="shared" si="4"/>
        <v>1</v>
      </c>
      <c r="U52" s="59">
        <f t="shared" si="5"/>
        <v>263</v>
      </c>
      <c r="V52" s="33">
        <v>0</v>
      </c>
      <c r="W52" s="630">
        <v>0</v>
      </c>
      <c r="X52" s="33"/>
      <c r="Y52" s="33"/>
      <c r="Z52" s="42"/>
      <c r="AA52" s="60"/>
      <c r="AB52" s="105"/>
      <c r="AC52" s="93"/>
      <c r="AD52" s="33">
        <f t="shared" si="6"/>
        <v>0</v>
      </c>
      <c r="AE52" s="33">
        <f t="shared" si="7"/>
        <v>263</v>
      </c>
      <c r="AF52" s="101">
        <f t="shared" si="8"/>
        <v>0</v>
      </c>
      <c r="AH52" s="19"/>
    </row>
    <row r="53" spans="2:34" ht="13" outlineLevel="2" x14ac:dyDescent="0.3">
      <c r="B53" s="31" t="s">
        <v>87</v>
      </c>
      <c r="C53" s="33">
        <v>0</v>
      </c>
      <c r="D53" s="33">
        <v>0</v>
      </c>
      <c r="E53" s="23">
        <v>0</v>
      </c>
      <c r="F53" s="23">
        <v>0</v>
      </c>
      <c r="G53" s="23">
        <v>0</v>
      </c>
      <c r="H53" s="23">
        <v>0</v>
      </c>
      <c r="I53" s="23">
        <v>0</v>
      </c>
      <c r="J53" s="23">
        <v>0</v>
      </c>
      <c r="K53" s="23">
        <f t="shared" si="0"/>
        <v>0</v>
      </c>
      <c r="L53" s="33">
        <f t="shared" si="1"/>
        <v>0</v>
      </c>
      <c r="M53" s="33">
        <f t="shared" si="2"/>
        <v>0</v>
      </c>
      <c r="N53" s="33">
        <v>0</v>
      </c>
      <c r="O53" s="33">
        <v>2080</v>
      </c>
      <c r="P53" s="33">
        <v>-2080</v>
      </c>
      <c r="Q53" s="33">
        <v>0</v>
      </c>
      <c r="R53" s="33">
        <v>0</v>
      </c>
      <c r="S53" s="33">
        <f t="shared" si="3"/>
        <v>0</v>
      </c>
      <c r="T53" s="38" t="str">
        <f t="shared" si="4"/>
        <v>∞</v>
      </c>
      <c r="U53" s="59">
        <f t="shared" si="5"/>
        <v>0</v>
      </c>
      <c r="V53" s="33">
        <v>0</v>
      </c>
      <c r="W53" s="630">
        <v>0</v>
      </c>
      <c r="X53" s="33"/>
      <c r="Y53" s="33"/>
      <c r="Z53" s="42"/>
      <c r="AA53" s="60"/>
      <c r="AB53" s="105"/>
      <c r="AC53" s="93"/>
      <c r="AD53" s="33">
        <f t="shared" si="6"/>
        <v>0</v>
      </c>
      <c r="AE53" s="33">
        <f t="shared" si="7"/>
        <v>0</v>
      </c>
      <c r="AF53" s="101">
        <f t="shared" si="8"/>
        <v>0</v>
      </c>
      <c r="AH53" s="19"/>
    </row>
    <row r="54" spans="2:34" ht="13" outlineLevel="2" x14ac:dyDescent="0.3">
      <c r="B54" s="31" t="s">
        <v>88</v>
      </c>
      <c r="C54" s="33">
        <v>-1960</v>
      </c>
      <c r="D54" s="33">
        <v>-1960</v>
      </c>
      <c r="E54" s="23">
        <v>0</v>
      </c>
      <c r="F54" s="23">
        <v>0</v>
      </c>
      <c r="G54" s="23">
        <v>0</v>
      </c>
      <c r="H54" s="23">
        <v>0</v>
      </c>
      <c r="I54" s="23">
        <v>0</v>
      </c>
      <c r="J54" s="23">
        <v>0</v>
      </c>
      <c r="K54" s="23">
        <f t="shared" si="0"/>
        <v>0</v>
      </c>
      <c r="L54" s="33">
        <f t="shared" si="1"/>
        <v>0</v>
      </c>
      <c r="M54" s="33">
        <f t="shared" si="2"/>
        <v>0</v>
      </c>
      <c r="N54" s="33">
        <v>-1960</v>
      </c>
      <c r="O54" s="33">
        <v>113</v>
      </c>
      <c r="P54" s="33">
        <v>0</v>
      </c>
      <c r="Q54" s="33">
        <v>113</v>
      </c>
      <c r="R54" s="33">
        <v>-1960</v>
      </c>
      <c r="S54" s="33">
        <f t="shared" si="3"/>
        <v>2073</v>
      </c>
      <c r="T54" s="38">
        <f t="shared" si="4"/>
        <v>-5.7653061224489793E-2</v>
      </c>
      <c r="U54" s="59">
        <f t="shared" si="5"/>
        <v>-1960</v>
      </c>
      <c r="V54" s="33">
        <v>0</v>
      </c>
      <c r="W54" s="630">
        <v>0</v>
      </c>
      <c r="X54" s="33"/>
      <c r="Y54" s="33"/>
      <c r="Z54" s="42"/>
      <c r="AA54" s="60"/>
      <c r="AB54" s="105"/>
      <c r="AC54" s="93"/>
      <c r="AD54" s="33">
        <f t="shared" si="6"/>
        <v>0</v>
      </c>
      <c r="AE54" s="33">
        <f t="shared" si="7"/>
        <v>113</v>
      </c>
      <c r="AF54" s="101">
        <f t="shared" si="8"/>
        <v>2073</v>
      </c>
      <c r="AH54" s="19" t="s">
        <v>174</v>
      </c>
    </row>
    <row r="55" spans="2:34" ht="13" outlineLevel="2" x14ac:dyDescent="0.3">
      <c r="B55" s="31" t="s">
        <v>89</v>
      </c>
      <c r="C55" s="33">
        <v>-1086</v>
      </c>
      <c r="D55" s="33">
        <v>-1086</v>
      </c>
      <c r="E55" s="23">
        <v>0</v>
      </c>
      <c r="F55" s="23">
        <v>0</v>
      </c>
      <c r="G55" s="23">
        <v>0</v>
      </c>
      <c r="H55" s="23">
        <v>0</v>
      </c>
      <c r="I55" s="23">
        <v>0</v>
      </c>
      <c r="J55" s="23">
        <v>0</v>
      </c>
      <c r="K55" s="23">
        <f t="shared" si="0"/>
        <v>0</v>
      </c>
      <c r="L55" s="33">
        <f t="shared" si="1"/>
        <v>0</v>
      </c>
      <c r="M55" s="33">
        <f t="shared" si="2"/>
        <v>0</v>
      </c>
      <c r="N55" s="33">
        <v>-1086</v>
      </c>
      <c r="O55" s="33">
        <v>818</v>
      </c>
      <c r="P55" s="33">
        <v>-12</v>
      </c>
      <c r="Q55" s="33">
        <v>806</v>
      </c>
      <c r="R55" s="33">
        <v>-1086</v>
      </c>
      <c r="S55" s="33">
        <f t="shared" si="3"/>
        <v>1892</v>
      </c>
      <c r="T55" s="38">
        <f t="shared" si="4"/>
        <v>-0.74217311233885819</v>
      </c>
      <c r="U55" s="59">
        <f t="shared" si="5"/>
        <v>-1086</v>
      </c>
      <c r="V55" s="33">
        <v>0</v>
      </c>
      <c r="W55" s="630">
        <v>0</v>
      </c>
      <c r="X55" s="33"/>
      <c r="Y55" s="33"/>
      <c r="Z55" s="42"/>
      <c r="AA55" s="60"/>
      <c r="AB55" s="105"/>
      <c r="AC55" s="93"/>
      <c r="AD55" s="33">
        <f t="shared" si="6"/>
        <v>0</v>
      </c>
      <c r="AE55" s="33">
        <f t="shared" si="7"/>
        <v>806</v>
      </c>
      <c r="AF55" s="101">
        <f t="shared" si="8"/>
        <v>1892</v>
      </c>
      <c r="AH55" s="19" t="s">
        <v>175</v>
      </c>
    </row>
    <row r="56" spans="2:34" ht="13" outlineLevel="2" x14ac:dyDescent="0.3">
      <c r="B56" s="31" t="s">
        <v>90</v>
      </c>
      <c r="C56" s="33">
        <v>71</v>
      </c>
      <c r="D56" s="33">
        <v>71</v>
      </c>
      <c r="E56" s="23">
        <v>0</v>
      </c>
      <c r="F56" s="23">
        <v>0</v>
      </c>
      <c r="G56" s="23">
        <v>0</v>
      </c>
      <c r="H56" s="23">
        <v>0</v>
      </c>
      <c r="I56" s="23">
        <v>0</v>
      </c>
      <c r="J56" s="23">
        <v>0</v>
      </c>
      <c r="K56" s="23">
        <f t="shared" si="0"/>
        <v>0</v>
      </c>
      <c r="L56" s="33">
        <f t="shared" si="1"/>
        <v>0</v>
      </c>
      <c r="M56" s="33">
        <f t="shared" si="2"/>
        <v>0</v>
      </c>
      <c r="N56" s="33">
        <v>71</v>
      </c>
      <c r="O56" s="33">
        <v>162</v>
      </c>
      <c r="P56" s="33">
        <v>-90</v>
      </c>
      <c r="Q56" s="33">
        <v>72</v>
      </c>
      <c r="R56" s="33">
        <v>71</v>
      </c>
      <c r="S56" s="33">
        <f t="shared" si="3"/>
        <v>1</v>
      </c>
      <c r="T56" s="38">
        <f t="shared" si="4"/>
        <v>1.0140845070422535</v>
      </c>
      <c r="U56" s="59">
        <f t="shared" si="5"/>
        <v>71</v>
      </c>
      <c r="V56" s="33">
        <v>0</v>
      </c>
      <c r="W56" s="630">
        <v>0</v>
      </c>
      <c r="X56" s="33"/>
      <c r="Y56" s="33"/>
      <c r="Z56" s="42"/>
      <c r="AA56" s="60"/>
      <c r="AB56" s="105"/>
      <c r="AC56" s="93"/>
      <c r="AD56" s="33">
        <f t="shared" si="6"/>
        <v>0</v>
      </c>
      <c r="AE56" s="33">
        <f t="shared" si="7"/>
        <v>72</v>
      </c>
      <c r="AF56" s="101">
        <f t="shared" si="8"/>
        <v>1</v>
      </c>
      <c r="AH56" s="19"/>
    </row>
    <row r="57" spans="2:34" ht="13" outlineLevel="2" x14ac:dyDescent="0.3">
      <c r="B57" s="31" t="s">
        <v>91</v>
      </c>
      <c r="C57" s="33">
        <v>-226</v>
      </c>
      <c r="D57" s="33">
        <v>83</v>
      </c>
      <c r="E57" s="23">
        <v>0</v>
      </c>
      <c r="F57" s="23">
        <v>0</v>
      </c>
      <c r="G57" s="23">
        <v>309</v>
      </c>
      <c r="H57" s="23">
        <v>0</v>
      </c>
      <c r="I57" s="23">
        <v>0</v>
      </c>
      <c r="J57" s="23">
        <v>0</v>
      </c>
      <c r="K57" s="23">
        <f t="shared" si="0"/>
        <v>309</v>
      </c>
      <c r="L57" s="33">
        <f t="shared" si="1"/>
        <v>0</v>
      </c>
      <c r="M57" s="33">
        <f t="shared" si="2"/>
        <v>309</v>
      </c>
      <c r="N57" s="33">
        <v>83</v>
      </c>
      <c r="O57" s="33">
        <v>637</v>
      </c>
      <c r="P57" s="33">
        <v>-398</v>
      </c>
      <c r="Q57" s="33">
        <v>239</v>
      </c>
      <c r="R57" s="33">
        <v>83</v>
      </c>
      <c r="S57" s="33">
        <f t="shared" si="3"/>
        <v>156</v>
      </c>
      <c r="T57" s="38">
        <f t="shared" si="4"/>
        <v>2.8795180722891565</v>
      </c>
      <c r="U57" s="59">
        <f t="shared" si="5"/>
        <v>72</v>
      </c>
      <c r="V57" s="33">
        <v>-11</v>
      </c>
      <c r="W57" s="630">
        <v>-11</v>
      </c>
      <c r="X57" s="33"/>
      <c r="Y57" s="33"/>
      <c r="Z57" s="42"/>
      <c r="AA57" s="60"/>
      <c r="AB57" s="105"/>
      <c r="AC57" s="93"/>
      <c r="AD57" s="33">
        <f t="shared" si="6"/>
        <v>0</v>
      </c>
      <c r="AE57" s="33">
        <f t="shared" si="7"/>
        <v>239</v>
      </c>
      <c r="AF57" s="101">
        <f t="shared" si="8"/>
        <v>156</v>
      </c>
      <c r="AH57" s="19"/>
    </row>
    <row r="58" spans="2:34" ht="13" outlineLevel="1" x14ac:dyDescent="0.3">
      <c r="B58" s="32" t="s">
        <v>92</v>
      </c>
      <c r="C58" s="34">
        <f t="shared" ref="C58:J58" si="45">SUBTOTAL(9,C48:C57)</f>
        <v>11405</v>
      </c>
      <c r="D58" s="34">
        <f t="shared" si="45"/>
        <v>11714</v>
      </c>
      <c r="E58" s="24">
        <f t="shared" si="45"/>
        <v>0</v>
      </c>
      <c r="F58" s="24">
        <f t="shared" si="45"/>
        <v>100</v>
      </c>
      <c r="G58" s="24">
        <f t="shared" si="45"/>
        <v>309</v>
      </c>
      <c r="H58" s="24">
        <f t="shared" si="45"/>
        <v>0</v>
      </c>
      <c r="I58" s="24">
        <f t="shared" si="45"/>
        <v>0</v>
      </c>
      <c r="J58" s="24">
        <f t="shared" si="45"/>
        <v>0</v>
      </c>
      <c r="K58" s="24">
        <f>SUM(E58:J58)</f>
        <v>409</v>
      </c>
      <c r="L58" s="34">
        <f t="shared" ref="L58:L59" si="46">N58-D58</f>
        <v>100</v>
      </c>
      <c r="M58" s="34">
        <f t="shared" ref="M58:M59" si="47">N58-C58</f>
        <v>409</v>
      </c>
      <c r="N58" s="34">
        <f>SUBTOTAL(9,N48:N57)</f>
        <v>11814</v>
      </c>
      <c r="O58" s="34">
        <f>SUBTOTAL(9,O48:O57)</f>
        <v>26017</v>
      </c>
      <c r="P58" s="34">
        <f>SUBTOTAL(9,P48:P57)</f>
        <v>-10227</v>
      </c>
      <c r="Q58" s="34">
        <f>SUBTOTAL(9,Q48:Q57)</f>
        <v>15790</v>
      </c>
      <c r="R58" s="34">
        <f>SUBTOTAL(9,R48:R57)</f>
        <v>11814</v>
      </c>
      <c r="S58" s="34">
        <f>Q58-R58</f>
        <v>3976</v>
      </c>
      <c r="T58" s="38">
        <f>IFERROR((Q58/N58)*100%,"∞")</f>
        <v>1.3365498561029288</v>
      </c>
      <c r="U58" s="59">
        <f>N58+V58</f>
        <v>11763</v>
      </c>
      <c r="V58" s="34">
        <f>SUBTOTAL(9,V48:V57)</f>
        <v>-51</v>
      </c>
      <c r="W58" s="631">
        <f t="shared" ref="W58:AF58" si="48">SUBTOTAL(9,W48:W57)</f>
        <v>-51</v>
      </c>
      <c r="X58" s="34">
        <f t="shared" si="48"/>
        <v>0</v>
      </c>
      <c r="Y58" s="34">
        <f t="shared" si="48"/>
        <v>0</v>
      </c>
      <c r="Z58" s="34">
        <f t="shared" si="48"/>
        <v>0</v>
      </c>
      <c r="AA58" s="34">
        <f t="shared" si="48"/>
        <v>0</v>
      </c>
      <c r="AB58" s="34">
        <f t="shared" si="48"/>
        <v>0</v>
      </c>
      <c r="AC58" s="34">
        <f t="shared" si="48"/>
        <v>0</v>
      </c>
      <c r="AD58" s="34">
        <f t="shared" si="48"/>
        <v>0</v>
      </c>
      <c r="AE58" s="34">
        <f t="shared" si="48"/>
        <v>15790</v>
      </c>
      <c r="AF58" s="34">
        <f t="shared" si="48"/>
        <v>3976</v>
      </c>
      <c r="AH58" s="19">
        <f>AF58-W58</f>
        <v>4027</v>
      </c>
    </row>
    <row r="59" spans="2:34" ht="13.5" customHeight="1" thickBot="1" x14ac:dyDescent="0.35">
      <c r="B59" s="53" t="s">
        <v>93</v>
      </c>
      <c r="C59" s="35">
        <f t="shared" ref="C59:J59" si="49">SUBTOTAL(9,C48:C58)</f>
        <v>11405</v>
      </c>
      <c r="D59" s="35">
        <f t="shared" si="49"/>
        <v>11714</v>
      </c>
      <c r="E59" s="25">
        <f t="shared" si="49"/>
        <v>0</v>
      </c>
      <c r="F59" s="25">
        <f t="shared" si="49"/>
        <v>100</v>
      </c>
      <c r="G59" s="25">
        <f t="shared" si="49"/>
        <v>309</v>
      </c>
      <c r="H59" s="25">
        <f t="shared" si="49"/>
        <v>0</v>
      </c>
      <c r="I59" s="25">
        <f t="shared" si="49"/>
        <v>0</v>
      </c>
      <c r="J59" s="25">
        <f t="shared" si="49"/>
        <v>0</v>
      </c>
      <c r="K59" s="25">
        <f>SUM(E59:J59)</f>
        <v>409</v>
      </c>
      <c r="L59" s="35">
        <f t="shared" si="46"/>
        <v>100</v>
      </c>
      <c r="M59" s="35">
        <f t="shared" si="47"/>
        <v>409</v>
      </c>
      <c r="N59" s="35">
        <f>SUBTOTAL(9,N48:N58)</f>
        <v>11814</v>
      </c>
      <c r="O59" s="35">
        <f>SUBTOTAL(9,O48:O58)</f>
        <v>26017</v>
      </c>
      <c r="P59" s="35">
        <f>SUBTOTAL(9,P48:P58)</f>
        <v>-10227</v>
      </c>
      <c r="Q59" s="35">
        <f>SUBTOTAL(9,Q48:Q58)</f>
        <v>15790</v>
      </c>
      <c r="R59" s="35">
        <f>SUBTOTAL(9,R48:R58)</f>
        <v>11814</v>
      </c>
      <c r="S59" s="35">
        <f>Q59-R59</f>
        <v>3976</v>
      </c>
      <c r="T59" s="39">
        <f>IFERROR((Q59/N59)*100%,"∞")</f>
        <v>1.3365498561029288</v>
      </c>
      <c r="U59" s="54">
        <f>N59+V59</f>
        <v>11763</v>
      </c>
      <c r="V59" s="35">
        <f>SUBTOTAL(9,V48:V58)</f>
        <v>-51</v>
      </c>
      <c r="W59" s="632">
        <f t="shared" ref="W59:AF59" si="50">SUBTOTAL(9,W48:W58)</f>
        <v>-51</v>
      </c>
      <c r="X59" s="35">
        <f t="shared" si="50"/>
        <v>0</v>
      </c>
      <c r="Y59" s="35">
        <f t="shared" si="50"/>
        <v>0</v>
      </c>
      <c r="Z59" s="35">
        <f t="shared" si="50"/>
        <v>0</v>
      </c>
      <c r="AA59" s="35">
        <f t="shared" si="50"/>
        <v>0</v>
      </c>
      <c r="AB59" s="35">
        <f t="shared" si="50"/>
        <v>0</v>
      </c>
      <c r="AC59" s="35">
        <f t="shared" si="50"/>
        <v>0</v>
      </c>
      <c r="AD59" s="35">
        <f t="shared" si="50"/>
        <v>0</v>
      </c>
      <c r="AE59" s="35">
        <f t="shared" si="50"/>
        <v>15790</v>
      </c>
      <c r="AF59" s="35">
        <f t="shared" si="50"/>
        <v>3976</v>
      </c>
      <c r="AH59" s="19">
        <f>AF59-W59</f>
        <v>4027</v>
      </c>
    </row>
    <row r="60" spans="2:34" ht="13.5" outlineLevel="2" thickTop="1" x14ac:dyDescent="0.3">
      <c r="B60" s="31" t="s">
        <v>94</v>
      </c>
      <c r="C60" s="33">
        <v>250</v>
      </c>
      <c r="D60" s="33">
        <v>356</v>
      </c>
      <c r="E60" s="23">
        <v>60</v>
      </c>
      <c r="F60" s="23">
        <v>0</v>
      </c>
      <c r="G60" s="23">
        <v>2</v>
      </c>
      <c r="H60" s="23">
        <v>-8</v>
      </c>
      <c r="I60" s="23">
        <v>44</v>
      </c>
      <c r="J60" s="23">
        <v>-60</v>
      </c>
      <c r="K60" s="23">
        <f t="shared" si="0"/>
        <v>38</v>
      </c>
      <c r="L60" s="33">
        <f t="shared" si="1"/>
        <v>-68</v>
      </c>
      <c r="M60" s="33">
        <f t="shared" si="2"/>
        <v>38</v>
      </c>
      <c r="N60" s="33">
        <v>288</v>
      </c>
      <c r="O60" s="33">
        <v>470</v>
      </c>
      <c r="P60" s="33">
        <v>0</v>
      </c>
      <c r="Q60" s="33">
        <v>470</v>
      </c>
      <c r="R60" s="33">
        <v>288</v>
      </c>
      <c r="S60" s="33">
        <f t="shared" si="3"/>
        <v>182</v>
      </c>
      <c r="T60" s="38">
        <f t="shared" si="4"/>
        <v>1.6319444444444444</v>
      </c>
      <c r="U60" s="59">
        <f t="shared" si="5"/>
        <v>438</v>
      </c>
      <c r="V60" s="33">
        <v>150</v>
      </c>
      <c r="W60" s="630">
        <v>150</v>
      </c>
      <c r="X60" s="33"/>
      <c r="Y60" s="33"/>
      <c r="Z60" s="42"/>
      <c r="AA60" s="60"/>
      <c r="AB60" s="105"/>
      <c r="AC60" s="93"/>
      <c r="AD60" s="33">
        <f t="shared" si="6"/>
        <v>0</v>
      </c>
      <c r="AE60" s="33">
        <f t="shared" si="7"/>
        <v>470</v>
      </c>
      <c r="AF60" s="101">
        <f t="shared" si="8"/>
        <v>182</v>
      </c>
      <c r="AH60" s="19"/>
    </row>
    <row r="61" spans="2:34" ht="13" outlineLevel="2" x14ac:dyDescent="0.3">
      <c r="B61" s="31" t="s">
        <v>95</v>
      </c>
      <c r="C61" s="33">
        <v>129</v>
      </c>
      <c r="D61" s="33">
        <v>125</v>
      </c>
      <c r="E61" s="23">
        <v>0</v>
      </c>
      <c r="F61" s="23">
        <v>0</v>
      </c>
      <c r="G61" s="23">
        <v>-4</v>
      </c>
      <c r="H61" s="23">
        <v>0</v>
      </c>
      <c r="I61" s="23">
        <v>0</v>
      </c>
      <c r="J61" s="23">
        <v>0</v>
      </c>
      <c r="K61" s="23">
        <f t="shared" si="0"/>
        <v>-4</v>
      </c>
      <c r="L61" s="33">
        <f t="shared" si="1"/>
        <v>0</v>
      </c>
      <c r="M61" s="33">
        <f t="shared" si="2"/>
        <v>-4</v>
      </c>
      <c r="N61" s="33">
        <v>125</v>
      </c>
      <c r="O61" s="33">
        <v>123</v>
      </c>
      <c r="P61" s="33">
        <v>0</v>
      </c>
      <c r="Q61" s="33">
        <v>123</v>
      </c>
      <c r="R61" s="33">
        <v>125</v>
      </c>
      <c r="S61" s="33">
        <f t="shared" si="3"/>
        <v>-2</v>
      </c>
      <c r="T61" s="38">
        <f t="shared" si="4"/>
        <v>0.98399999999999999</v>
      </c>
      <c r="U61" s="59">
        <f t="shared" si="5"/>
        <v>125</v>
      </c>
      <c r="V61" s="33">
        <v>0</v>
      </c>
      <c r="W61" s="630">
        <v>0</v>
      </c>
      <c r="X61" s="33"/>
      <c r="Y61" s="33"/>
      <c r="Z61" s="42"/>
      <c r="AA61" s="60"/>
      <c r="AB61" s="105"/>
      <c r="AC61" s="93"/>
      <c r="AD61" s="33">
        <f t="shared" si="6"/>
        <v>0</v>
      </c>
      <c r="AE61" s="33">
        <f t="shared" si="7"/>
        <v>123</v>
      </c>
      <c r="AF61" s="101">
        <f t="shared" si="8"/>
        <v>-2</v>
      </c>
      <c r="AH61" s="19"/>
    </row>
    <row r="62" spans="2:34" ht="13" outlineLevel="2" x14ac:dyDescent="0.3">
      <c r="B62" s="31" t="s">
        <v>96</v>
      </c>
      <c r="C62" s="33">
        <v>4149</v>
      </c>
      <c r="D62" s="33">
        <v>4263</v>
      </c>
      <c r="E62" s="23">
        <v>100</v>
      </c>
      <c r="F62" s="23">
        <v>-85</v>
      </c>
      <c r="G62" s="23">
        <v>15</v>
      </c>
      <c r="H62" s="23">
        <v>-50</v>
      </c>
      <c r="I62" s="23">
        <v>0</v>
      </c>
      <c r="J62" s="23">
        <v>60</v>
      </c>
      <c r="K62" s="23">
        <f t="shared" si="0"/>
        <v>40</v>
      </c>
      <c r="L62" s="33">
        <f t="shared" si="1"/>
        <v>-75</v>
      </c>
      <c r="M62" s="33">
        <f t="shared" si="2"/>
        <v>39</v>
      </c>
      <c r="N62" s="33">
        <v>4188</v>
      </c>
      <c r="O62" s="33">
        <v>4351</v>
      </c>
      <c r="P62" s="33">
        <v>-7</v>
      </c>
      <c r="Q62" s="33">
        <v>4344</v>
      </c>
      <c r="R62" s="33">
        <v>4188</v>
      </c>
      <c r="S62" s="33">
        <f t="shared" si="3"/>
        <v>156</v>
      </c>
      <c r="T62" s="38">
        <f t="shared" si="4"/>
        <v>1.0372492836676217</v>
      </c>
      <c r="U62" s="59">
        <f t="shared" si="5"/>
        <v>4305</v>
      </c>
      <c r="V62" s="33">
        <v>117</v>
      </c>
      <c r="W62" s="630">
        <v>117</v>
      </c>
      <c r="X62" s="33"/>
      <c r="Y62" s="33"/>
      <c r="Z62" s="42"/>
      <c r="AA62" s="60"/>
      <c r="AB62" s="105">
        <v>30</v>
      </c>
      <c r="AC62" s="93"/>
      <c r="AD62" s="33">
        <f t="shared" si="6"/>
        <v>30</v>
      </c>
      <c r="AE62" s="33">
        <f t="shared" si="7"/>
        <v>4374</v>
      </c>
      <c r="AF62" s="101">
        <f t="shared" si="8"/>
        <v>186</v>
      </c>
      <c r="AH62" s="19"/>
    </row>
    <row r="63" spans="2:34" ht="13" outlineLevel="2" x14ac:dyDescent="0.3">
      <c r="B63" s="31" t="s">
        <v>97</v>
      </c>
      <c r="C63" s="33">
        <v>2817</v>
      </c>
      <c r="D63" s="33">
        <v>2777</v>
      </c>
      <c r="E63" s="23">
        <v>0</v>
      </c>
      <c r="F63" s="23">
        <v>0</v>
      </c>
      <c r="G63" s="23">
        <v>-39</v>
      </c>
      <c r="H63" s="23">
        <v>0</v>
      </c>
      <c r="I63" s="23">
        <v>0</v>
      </c>
      <c r="J63" s="23">
        <v>0</v>
      </c>
      <c r="K63" s="23">
        <f t="shared" si="0"/>
        <v>-39</v>
      </c>
      <c r="L63" s="33">
        <f t="shared" si="1"/>
        <v>0</v>
      </c>
      <c r="M63" s="33">
        <f t="shared" si="2"/>
        <v>-40</v>
      </c>
      <c r="N63" s="33">
        <v>2777</v>
      </c>
      <c r="O63" s="33">
        <v>2897</v>
      </c>
      <c r="P63" s="33">
        <v>-90</v>
      </c>
      <c r="Q63" s="33">
        <v>2806</v>
      </c>
      <c r="R63" s="33">
        <v>2777</v>
      </c>
      <c r="S63" s="33">
        <f t="shared" si="3"/>
        <v>29</v>
      </c>
      <c r="T63" s="38">
        <f t="shared" si="4"/>
        <v>1.0104429240187252</v>
      </c>
      <c r="U63" s="59">
        <f t="shared" si="5"/>
        <v>2793</v>
      </c>
      <c r="V63" s="33">
        <v>16</v>
      </c>
      <c r="W63" s="630">
        <v>16</v>
      </c>
      <c r="X63" s="33"/>
      <c r="Y63" s="33"/>
      <c r="Z63" s="42"/>
      <c r="AA63" s="60"/>
      <c r="AB63" s="105"/>
      <c r="AC63" s="93"/>
      <c r="AD63" s="33">
        <f t="shared" si="6"/>
        <v>0</v>
      </c>
      <c r="AE63" s="33">
        <f t="shared" si="7"/>
        <v>2806</v>
      </c>
      <c r="AF63" s="101">
        <f t="shared" si="8"/>
        <v>29</v>
      </c>
      <c r="AH63" s="19"/>
    </row>
    <row r="64" spans="2:34" ht="13" outlineLevel="2" x14ac:dyDescent="0.3">
      <c r="B64" s="31" t="s">
        <v>98</v>
      </c>
      <c r="C64" s="33">
        <v>1607</v>
      </c>
      <c r="D64" s="33">
        <v>1549</v>
      </c>
      <c r="E64" s="23">
        <v>0</v>
      </c>
      <c r="F64" s="23">
        <v>-151</v>
      </c>
      <c r="G64" s="23">
        <v>-17</v>
      </c>
      <c r="H64" s="23">
        <v>0</v>
      </c>
      <c r="I64" s="23">
        <v>-41</v>
      </c>
      <c r="J64" s="23">
        <v>128</v>
      </c>
      <c r="K64" s="23">
        <f t="shared" si="0"/>
        <v>-81</v>
      </c>
      <c r="L64" s="33">
        <f t="shared" si="1"/>
        <v>-23</v>
      </c>
      <c r="M64" s="33">
        <f t="shared" si="2"/>
        <v>-81</v>
      </c>
      <c r="N64" s="33">
        <v>1526</v>
      </c>
      <c r="O64" s="33">
        <v>1549</v>
      </c>
      <c r="P64" s="33">
        <v>-56</v>
      </c>
      <c r="Q64" s="33">
        <v>1494</v>
      </c>
      <c r="R64" s="33">
        <v>1526</v>
      </c>
      <c r="S64" s="33">
        <f t="shared" si="3"/>
        <v>-32</v>
      </c>
      <c r="T64" s="38">
        <f t="shared" si="4"/>
        <v>0.9790301441677588</v>
      </c>
      <c r="U64" s="59">
        <f t="shared" si="5"/>
        <v>1503</v>
      </c>
      <c r="V64" s="33">
        <v>-23</v>
      </c>
      <c r="W64" s="630">
        <v>-23</v>
      </c>
      <c r="X64" s="33"/>
      <c r="Y64" s="33"/>
      <c r="Z64" s="42"/>
      <c r="AA64" s="60"/>
      <c r="AB64" s="105">
        <v>15</v>
      </c>
      <c r="AC64" s="93"/>
      <c r="AD64" s="33">
        <f t="shared" si="6"/>
        <v>15</v>
      </c>
      <c r="AE64" s="33">
        <f t="shared" si="7"/>
        <v>1509</v>
      </c>
      <c r="AF64" s="101">
        <f t="shared" si="8"/>
        <v>-17</v>
      </c>
      <c r="AH64" s="19"/>
    </row>
    <row r="65" spans="2:34" ht="13" outlineLevel="1" x14ac:dyDescent="0.3">
      <c r="B65" s="32" t="s">
        <v>100</v>
      </c>
      <c r="C65" s="34">
        <f t="shared" ref="C65:J65" si="51">SUBTOTAL(9,C60:C64)</f>
        <v>8952</v>
      </c>
      <c r="D65" s="34">
        <f t="shared" si="51"/>
        <v>9070</v>
      </c>
      <c r="E65" s="24">
        <f t="shared" si="51"/>
        <v>160</v>
      </c>
      <c r="F65" s="24">
        <f t="shared" si="51"/>
        <v>-236</v>
      </c>
      <c r="G65" s="24">
        <f t="shared" si="51"/>
        <v>-43</v>
      </c>
      <c r="H65" s="24">
        <f t="shared" si="51"/>
        <v>-58</v>
      </c>
      <c r="I65" s="24">
        <f t="shared" si="51"/>
        <v>3</v>
      </c>
      <c r="J65" s="24">
        <f t="shared" si="51"/>
        <v>128</v>
      </c>
      <c r="K65" s="24">
        <f>SUM(E65:J65)</f>
        <v>-46</v>
      </c>
      <c r="L65" s="34">
        <f t="shared" ref="L65" si="52">N65-D65</f>
        <v>-166</v>
      </c>
      <c r="M65" s="34">
        <f t="shared" ref="M65" si="53">N65-C65</f>
        <v>-48</v>
      </c>
      <c r="N65" s="34">
        <f>SUBTOTAL(9,N60:N64)</f>
        <v>8904</v>
      </c>
      <c r="O65" s="34">
        <f>SUBTOTAL(9,O60:O64)</f>
        <v>9390</v>
      </c>
      <c r="P65" s="34">
        <f>SUBTOTAL(9,P60:P64)</f>
        <v>-153</v>
      </c>
      <c r="Q65" s="34">
        <f>SUBTOTAL(9,Q60:Q64)</f>
        <v>9237</v>
      </c>
      <c r="R65" s="34">
        <f>SUBTOTAL(9,R60:R64)</f>
        <v>8904</v>
      </c>
      <c r="S65" s="34">
        <f>Q65-R65</f>
        <v>333</v>
      </c>
      <c r="T65" s="38">
        <f>IFERROR((Q65/N65)*100%,"∞")</f>
        <v>1.0373989218328841</v>
      </c>
      <c r="U65" s="59">
        <f>N65+V65</f>
        <v>9164</v>
      </c>
      <c r="V65" s="34">
        <f>SUBTOTAL(9,V60:V64)</f>
        <v>260</v>
      </c>
      <c r="W65" s="631">
        <f t="shared" ref="W65:AF65" si="54">SUBTOTAL(9,W60:W64)</f>
        <v>260</v>
      </c>
      <c r="X65" s="34">
        <f t="shared" si="54"/>
        <v>0</v>
      </c>
      <c r="Y65" s="34">
        <f t="shared" si="54"/>
        <v>0</v>
      </c>
      <c r="Z65" s="34">
        <f t="shared" si="54"/>
        <v>0</v>
      </c>
      <c r="AA65" s="34">
        <f t="shared" si="54"/>
        <v>0</v>
      </c>
      <c r="AB65" s="34">
        <f t="shared" si="54"/>
        <v>45</v>
      </c>
      <c r="AC65" s="34">
        <f t="shared" si="54"/>
        <v>0</v>
      </c>
      <c r="AD65" s="34">
        <f t="shared" si="54"/>
        <v>45</v>
      </c>
      <c r="AE65" s="34">
        <f t="shared" si="54"/>
        <v>9282</v>
      </c>
      <c r="AF65" s="34">
        <f t="shared" si="54"/>
        <v>378</v>
      </c>
      <c r="AH65" s="19">
        <f>AF65-W65</f>
        <v>118</v>
      </c>
    </row>
    <row r="66" spans="2:34" ht="13" outlineLevel="2" x14ac:dyDescent="0.3">
      <c r="B66" s="31" t="s">
        <v>101</v>
      </c>
      <c r="C66" s="33">
        <v>1124</v>
      </c>
      <c r="D66" s="33">
        <v>1108</v>
      </c>
      <c r="E66" s="23">
        <v>0</v>
      </c>
      <c r="F66" s="23">
        <v>0</v>
      </c>
      <c r="G66" s="23">
        <v>-21</v>
      </c>
      <c r="H66" s="23">
        <v>0</v>
      </c>
      <c r="I66" s="23">
        <v>5</v>
      </c>
      <c r="J66" s="23">
        <v>0</v>
      </c>
      <c r="K66" s="23">
        <f t="shared" si="0"/>
        <v>-16</v>
      </c>
      <c r="L66" s="33">
        <f t="shared" si="1"/>
        <v>0</v>
      </c>
      <c r="M66" s="33">
        <f t="shared" si="2"/>
        <v>-16</v>
      </c>
      <c r="N66" s="33">
        <v>1108</v>
      </c>
      <c r="O66" s="33">
        <v>1298</v>
      </c>
      <c r="P66" s="33">
        <v>-228</v>
      </c>
      <c r="Q66" s="33">
        <v>1070</v>
      </c>
      <c r="R66" s="33">
        <v>1108</v>
      </c>
      <c r="S66" s="33">
        <f t="shared" si="3"/>
        <v>-38</v>
      </c>
      <c r="T66" s="38">
        <f t="shared" si="4"/>
        <v>0.96570397111913353</v>
      </c>
      <c r="U66" s="59">
        <f t="shared" si="5"/>
        <v>1108</v>
      </c>
      <c r="V66" s="33">
        <v>0</v>
      </c>
      <c r="W66" s="630">
        <v>0</v>
      </c>
      <c r="X66" s="33"/>
      <c r="Y66" s="33"/>
      <c r="Z66" s="42"/>
      <c r="AA66" s="60"/>
      <c r="AB66" s="105"/>
      <c r="AC66" s="93"/>
      <c r="AD66" s="33">
        <f t="shared" si="6"/>
        <v>0</v>
      </c>
      <c r="AE66" s="33">
        <f t="shared" si="7"/>
        <v>1070</v>
      </c>
      <c r="AF66" s="101">
        <f t="shared" si="8"/>
        <v>-38</v>
      </c>
      <c r="AH66" s="19"/>
    </row>
    <row r="67" spans="2:34" ht="13" outlineLevel="2" x14ac:dyDescent="0.3">
      <c r="B67" s="31" t="s">
        <v>102</v>
      </c>
      <c r="C67" s="33">
        <v>230</v>
      </c>
      <c r="D67" s="33">
        <v>230</v>
      </c>
      <c r="E67" s="23">
        <v>0</v>
      </c>
      <c r="F67" s="23">
        <v>0</v>
      </c>
      <c r="G67" s="23">
        <v>0</v>
      </c>
      <c r="H67" s="23">
        <v>0</v>
      </c>
      <c r="I67" s="23">
        <v>0</v>
      </c>
      <c r="J67" s="23">
        <v>0</v>
      </c>
      <c r="K67" s="23">
        <f t="shared" si="0"/>
        <v>0</v>
      </c>
      <c r="L67" s="33">
        <f t="shared" si="1"/>
        <v>0</v>
      </c>
      <c r="M67" s="33">
        <f t="shared" si="2"/>
        <v>0</v>
      </c>
      <c r="N67" s="33">
        <v>230</v>
      </c>
      <c r="O67" s="33">
        <v>384</v>
      </c>
      <c r="P67" s="33">
        <v>-45</v>
      </c>
      <c r="Q67" s="33">
        <v>339</v>
      </c>
      <c r="R67" s="33">
        <v>230</v>
      </c>
      <c r="S67" s="33">
        <f t="shared" si="3"/>
        <v>109</v>
      </c>
      <c r="T67" s="38">
        <f t="shared" si="4"/>
        <v>1.4739130434782608</v>
      </c>
      <c r="U67" s="59">
        <f t="shared" si="5"/>
        <v>310</v>
      </c>
      <c r="V67" s="33">
        <v>80</v>
      </c>
      <c r="W67" s="630">
        <v>80</v>
      </c>
      <c r="X67" s="33"/>
      <c r="Y67" s="33"/>
      <c r="Z67" s="42"/>
      <c r="AA67" s="60"/>
      <c r="AB67" s="105"/>
      <c r="AC67" s="93"/>
      <c r="AD67" s="33">
        <f t="shared" si="6"/>
        <v>0</v>
      </c>
      <c r="AE67" s="33">
        <f t="shared" si="7"/>
        <v>339</v>
      </c>
      <c r="AF67" s="101">
        <f t="shared" si="8"/>
        <v>109</v>
      </c>
      <c r="AH67" s="19"/>
    </row>
    <row r="68" spans="2:34" ht="13" outlineLevel="2" x14ac:dyDescent="0.3">
      <c r="B68" s="31" t="s">
        <v>103</v>
      </c>
      <c r="C68" s="33">
        <v>145</v>
      </c>
      <c r="D68" s="33">
        <v>142</v>
      </c>
      <c r="E68" s="23">
        <v>0</v>
      </c>
      <c r="F68" s="23">
        <v>0</v>
      </c>
      <c r="G68" s="23">
        <v>-11</v>
      </c>
      <c r="H68" s="23">
        <v>0</v>
      </c>
      <c r="I68" s="23">
        <v>8</v>
      </c>
      <c r="J68" s="23">
        <v>-8</v>
      </c>
      <c r="K68" s="23">
        <f t="shared" si="0"/>
        <v>-11</v>
      </c>
      <c r="L68" s="33">
        <f t="shared" si="1"/>
        <v>-8</v>
      </c>
      <c r="M68" s="33">
        <f t="shared" si="2"/>
        <v>-11</v>
      </c>
      <c r="N68" s="33">
        <v>134</v>
      </c>
      <c r="O68" s="33">
        <v>439</v>
      </c>
      <c r="P68" s="33">
        <v>-212</v>
      </c>
      <c r="Q68" s="33">
        <v>226</v>
      </c>
      <c r="R68" s="33">
        <v>134</v>
      </c>
      <c r="S68" s="33">
        <f t="shared" si="3"/>
        <v>92</v>
      </c>
      <c r="T68" s="38">
        <f t="shared" si="4"/>
        <v>1.6865671641791045</v>
      </c>
      <c r="U68" s="59">
        <f t="shared" si="5"/>
        <v>262</v>
      </c>
      <c r="V68" s="33">
        <v>128</v>
      </c>
      <c r="W68" s="630">
        <v>128</v>
      </c>
      <c r="X68" s="33"/>
      <c r="Y68" s="33"/>
      <c r="Z68" s="42"/>
      <c r="AA68" s="60"/>
      <c r="AB68" s="105">
        <v>50</v>
      </c>
      <c r="AC68" s="93"/>
      <c r="AD68" s="33">
        <f t="shared" si="6"/>
        <v>50</v>
      </c>
      <c r="AE68" s="33">
        <f t="shared" si="7"/>
        <v>276</v>
      </c>
      <c r="AF68" s="101">
        <f t="shared" si="8"/>
        <v>142</v>
      </c>
      <c r="AH68" s="19"/>
    </row>
    <row r="69" spans="2:34" ht="13" outlineLevel="2" x14ac:dyDescent="0.3">
      <c r="B69" s="31" t="s">
        <v>104</v>
      </c>
      <c r="C69" s="33">
        <v>503</v>
      </c>
      <c r="D69" s="33">
        <v>495</v>
      </c>
      <c r="E69" s="23">
        <v>0</v>
      </c>
      <c r="F69" s="23">
        <v>0</v>
      </c>
      <c r="G69" s="23">
        <v>-11</v>
      </c>
      <c r="H69" s="23">
        <v>0</v>
      </c>
      <c r="I69" s="23">
        <v>3</v>
      </c>
      <c r="J69" s="23">
        <v>-15</v>
      </c>
      <c r="K69" s="23">
        <f t="shared" ref="K69:K77" si="55">SUM(E69:J69)</f>
        <v>-23</v>
      </c>
      <c r="L69" s="33">
        <f t="shared" ref="L69:L79" si="56">N69-D69</f>
        <v>-15</v>
      </c>
      <c r="M69" s="33">
        <f t="shared" ref="M69:M79" si="57">N69-C69</f>
        <v>-23</v>
      </c>
      <c r="N69" s="33">
        <v>480</v>
      </c>
      <c r="O69" s="33">
        <v>553</v>
      </c>
      <c r="P69" s="33">
        <v>3</v>
      </c>
      <c r="Q69" s="33">
        <v>555</v>
      </c>
      <c r="R69" s="33">
        <v>480</v>
      </c>
      <c r="S69" s="33">
        <f t="shared" ref="S69:S77" si="58">Q69-R69</f>
        <v>75</v>
      </c>
      <c r="T69" s="38">
        <f t="shared" ref="T69:T77" si="59">IFERROR((Q69/N69)*100%,"∞")</f>
        <v>1.15625</v>
      </c>
      <c r="U69" s="59">
        <f t="shared" ref="U69:U77" si="60">N69+V69</f>
        <v>534</v>
      </c>
      <c r="V69" s="33">
        <v>54</v>
      </c>
      <c r="W69" s="630">
        <v>54</v>
      </c>
      <c r="X69" s="33"/>
      <c r="Y69" s="33"/>
      <c r="Z69" s="42"/>
      <c r="AA69" s="60"/>
      <c r="AB69" s="105"/>
      <c r="AC69" s="93"/>
      <c r="AD69" s="33">
        <f t="shared" ref="AD69:AD77" si="61">SUM(AB69:AC69)</f>
        <v>0</v>
      </c>
      <c r="AE69" s="33">
        <f t="shared" ref="AE69:AE77" si="62">Q69+AD69</f>
        <v>555</v>
      </c>
      <c r="AF69" s="101">
        <f t="shared" ref="AF69:AF77" si="63">AE69-N69</f>
        <v>75</v>
      </c>
      <c r="AH69" s="19"/>
    </row>
    <row r="70" spans="2:34" ht="13" outlineLevel="2" x14ac:dyDescent="0.3">
      <c r="B70" s="31" t="s">
        <v>105</v>
      </c>
      <c r="C70" s="33">
        <v>901</v>
      </c>
      <c r="D70" s="33">
        <v>874</v>
      </c>
      <c r="E70" s="23">
        <v>0</v>
      </c>
      <c r="F70" s="23">
        <v>-104</v>
      </c>
      <c r="G70" s="23">
        <v>-34</v>
      </c>
      <c r="H70" s="23">
        <v>0</v>
      </c>
      <c r="I70" s="23">
        <v>7</v>
      </c>
      <c r="J70" s="23">
        <v>-15</v>
      </c>
      <c r="K70" s="23">
        <f t="shared" si="55"/>
        <v>-146</v>
      </c>
      <c r="L70" s="33">
        <f t="shared" si="56"/>
        <v>-119</v>
      </c>
      <c r="M70" s="33">
        <f t="shared" si="57"/>
        <v>-146</v>
      </c>
      <c r="N70" s="33">
        <v>755</v>
      </c>
      <c r="O70" s="33">
        <v>5314</v>
      </c>
      <c r="P70" s="33">
        <v>-4121</v>
      </c>
      <c r="Q70" s="33">
        <v>1193</v>
      </c>
      <c r="R70" s="33">
        <v>755</v>
      </c>
      <c r="S70" s="33">
        <f t="shared" si="58"/>
        <v>438</v>
      </c>
      <c r="T70" s="38">
        <f t="shared" si="59"/>
        <v>1.5801324503311258</v>
      </c>
      <c r="U70" s="59">
        <f t="shared" si="60"/>
        <v>815</v>
      </c>
      <c r="V70" s="33">
        <v>60</v>
      </c>
      <c r="W70" s="630">
        <v>60</v>
      </c>
      <c r="X70" s="33"/>
      <c r="Y70" s="33"/>
      <c r="Z70" s="42"/>
      <c r="AA70" s="60"/>
      <c r="AB70" s="105"/>
      <c r="AC70" s="93"/>
      <c r="AD70" s="33">
        <f t="shared" si="61"/>
        <v>0</v>
      </c>
      <c r="AE70" s="33">
        <f t="shared" si="62"/>
        <v>1193</v>
      </c>
      <c r="AF70" s="101">
        <f t="shared" si="63"/>
        <v>438</v>
      </c>
      <c r="AH70" s="19" t="s">
        <v>176</v>
      </c>
    </row>
    <row r="71" spans="2:34" ht="13" outlineLevel="2" x14ac:dyDescent="0.3">
      <c r="B71" s="31" t="s">
        <v>106</v>
      </c>
      <c r="C71" s="33">
        <v>117</v>
      </c>
      <c r="D71" s="33">
        <v>114</v>
      </c>
      <c r="E71" s="23">
        <v>0</v>
      </c>
      <c r="F71" s="23">
        <v>0</v>
      </c>
      <c r="G71" s="23">
        <v>-3</v>
      </c>
      <c r="H71" s="23">
        <v>0</v>
      </c>
      <c r="I71" s="23">
        <v>0</v>
      </c>
      <c r="J71" s="23">
        <v>0</v>
      </c>
      <c r="K71" s="23">
        <f t="shared" si="55"/>
        <v>-3</v>
      </c>
      <c r="L71" s="33">
        <f t="shared" si="56"/>
        <v>0</v>
      </c>
      <c r="M71" s="33">
        <f t="shared" si="57"/>
        <v>-3</v>
      </c>
      <c r="N71" s="33">
        <v>114</v>
      </c>
      <c r="O71" s="33">
        <v>180</v>
      </c>
      <c r="P71" s="33">
        <v>0</v>
      </c>
      <c r="Q71" s="33">
        <v>180</v>
      </c>
      <c r="R71" s="33">
        <v>114</v>
      </c>
      <c r="S71" s="33">
        <f t="shared" si="58"/>
        <v>66</v>
      </c>
      <c r="T71" s="38">
        <f t="shared" si="59"/>
        <v>1.5789473684210527</v>
      </c>
      <c r="U71" s="59">
        <f t="shared" si="60"/>
        <v>114</v>
      </c>
      <c r="V71" s="33">
        <v>0</v>
      </c>
      <c r="W71" s="630">
        <v>0</v>
      </c>
      <c r="X71" s="33"/>
      <c r="Y71" s="33"/>
      <c r="Z71" s="42"/>
      <c r="AA71" s="60"/>
      <c r="AB71" s="105"/>
      <c r="AC71" s="93"/>
      <c r="AD71" s="33">
        <f t="shared" si="61"/>
        <v>0</v>
      </c>
      <c r="AE71" s="33">
        <f t="shared" si="62"/>
        <v>180</v>
      </c>
      <c r="AF71" s="101">
        <f t="shared" si="63"/>
        <v>66</v>
      </c>
      <c r="AH71" s="19"/>
    </row>
    <row r="72" spans="2:34" ht="13" outlineLevel="1" x14ac:dyDescent="0.3">
      <c r="B72" s="32" t="s">
        <v>107</v>
      </c>
      <c r="C72" s="34">
        <f t="shared" ref="C72:J72" si="64">SUBTOTAL(9,C66:C71)</f>
        <v>3020</v>
      </c>
      <c r="D72" s="34">
        <f t="shared" si="64"/>
        <v>2963</v>
      </c>
      <c r="E72" s="24">
        <f t="shared" si="64"/>
        <v>0</v>
      </c>
      <c r="F72" s="24">
        <f t="shared" si="64"/>
        <v>-104</v>
      </c>
      <c r="G72" s="24">
        <f t="shared" si="64"/>
        <v>-80</v>
      </c>
      <c r="H72" s="24">
        <f t="shared" si="64"/>
        <v>0</v>
      </c>
      <c r="I72" s="24">
        <f t="shared" si="64"/>
        <v>23</v>
      </c>
      <c r="J72" s="24">
        <f t="shared" si="64"/>
        <v>-38</v>
      </c>
      <c r="K72" s="24">
        <f>SUM(E72:J72)</f>
        <v>-199</v>
      </c>
      <c r="L72" s="34">
        <f t="shared" si="56"/>
        <v>-142</v>
      </c>
      <c r="M72" s="34">
        <f t="shared" si="57"/>
        <v>-199</v>
      </c>
      <c r="N72" s="34">
        <f>SUBTOTAL(9,N66:N71)</f>
        <v>2821</v>
      </c>
      <c r="O72" s="34">
        <f>SUBTOTAL(9,O66:O71)</f>
        <v>8168</v>
      </c>
      <c r="P72" s="34">
        <f>SUBTOTAL(9,P66:P71)</f>
        <v>-4603</v>
      </c>
      <c r="Q72" s="34">
        <f>SUBTOTAL(9,Q66:Q71)</f>
        <v>3563</v>
      </c>
      <c r="R72" s="34">
        <f>SUBTOTAL(9,R66:R71)</f>
        <v>2821</v>
      </c>
      <c r="S72" s="34">
        <f>Q72-R72</f>
        <v>742</v>
      </c>
      <c r="T72" s="38">
        <f>IFERROR((Q72/N72)*100%,"∞")</f>
        <v>1.2630272952853598</v>
      </c>
      <c r="U72" s="59">
        <f>N72+V72</f>
        <v>3143</v>
      </c>
      <c r="V72" s="34">
        <f>SUBTOTAL(9,V66:V71)</f>
        <v>322</v>
      </c>
      <c r="W72" s="631">
        <f t="shared" ref="W72:AF72" si="65">SUBTOTAL(9,W66:W71)</f>
        <v>322</v>
      </c>
      <c r="X72" s="34">
        <f t="shared" si="65"/>
        <v>0</v>
      </c>
      <c r="Y72" s="34">
        <f t="shared" si="65"/>
        <v>0</v>
      </c>
      <c r="Z72" s="34">
        <f t="shared" si="65"/>
        <v>0</v>
      </c>
      <c r="AA72" s="34">
        <f t="shared" si="65"/>
        <v>0</v>
      </c>
      <c r="AB72" s="34">
        <f t="shared" si="65"/>
        <v>50</v>
      </c>
      <c r="AC72" s="34">
        <f t="shared" si="65"/>
        <v>0</v>
      </c>
      <c r="AD72" s="34">
        <f t="shared" si="65"/>
        <v>50</v>
      </c>
      <c r="AE72" s="34">
        <f t="shared" si="65"/>
        <v>3613</v>
      </c>
      <c r="AF72" s="34">
        <f t="shared" si="65"/>
        <v>792</v>
      </c>
      <c r="AH72" s="19">
        <f>AF72-W72</f>
        <v>470</v>
      </c>
    </row>
    <row r="73" spans="2:34" ht="13" outlineLevel="2" x14ac:dyDescent="0.3">
      <c r="B73" s="31" t="s">
        <v>111</v>
      </c>
      <c r="C73" s="33">
        <v>672</v>
      </c>
      <c r="D73" s="33">
        <v>666</v>
      </c>
      <c r="E73" s="23">
        <v>0</v>
      </c>
      <c r="F73" s="23">
        <v>0</v>
      </c>
      <c r="G73" s="23">
        <v>-6</v>
      </c>
      <c r="H73" s="23">
        <v>0</v>
      </c>
      <c r="I73" s="23">
        <v>0</v>
      </c>
      <c r="J73" s="23">
        <v>0</v>
      </c>
      <c r="K73" s="23">
        <f t="shared" si="55"/>
        <v>-6</v>
      </c>
      <c r="L73" s="33">
        <f t="shared" si="56"/>
        <v>0</v>
      </c>
      <c r="M73" s="33">
        <f t="shared" si="57"/>
        <v>-6</v>
      </c>
      <c r="N73" s="33">
        <v>666</v>
      </c>
      <c r="O73" s="33">
        <v>707</v>
      </c>
      <c r="P73" s="33">
        <v>-15</v>
      </c>
      <c r="Q73" s="33">
        <v>692</v>
      </c>
      <c r="R73" s="33">
        <v>666</v>
      </c>
      <c r="S73" s="33">
        <f t="shared" si="58"/>
        <v>26</v>
      </c>
      <c r="T73" s="38">
        <f t="shared" si="59"/>
        <v>1.0390390390390389</v>
      </c>
      <c r="U73" s="59">
        <f t="shared" si="60"/>
        <v>716</v>
      </c>
      <c r="V73" s="33">
        <v>50</v>
      </c>
      <c r="W73" s="630">
        <v>50</v>
      </c>
      <c r="X73" s="33"/>
      <c r="Y73" s="33"/>
      <c r="Z73" s="42"/>
      <c r="AA73" s="60"/>
      <c r="AB73" s="105"/>
      <c r="AC73" s="93"/>
      <c r="AD73" s="33">
        <f t="shared" si="61"/>
        <v>0</v>
      </c>
      <c r="AE73" s="33">
        <f t="shared" si="62"/>
        <v>692</v>
      </c>
      <c r="AF73" s="101">
        <f t="shared" si="63"/>
        <v>26</v>
      </c>
      <c r="AH73" s="19"/>
    </row>
    <row r="74" spans="2:34" ht="13" outlineLevel="2" x14ac:dyDescent="0.3">
      <c r="B74" s="31" t="s">
        <v>112</v>
      </c>
      <c r="C74" s="33">
        <v>399</v>
      </c>
      <c r="D74" s="33">
        <v>394</v>
      </c>
      <c r="E74" s="23">
        <v>0</v>
      </c>
      <c r="F74" s="23">
        <v>-27</v>
      </c>
      <c r="G74" s="23">
        <v>-5</v>
      </c>
      <c r="H74" s="23">
        <v>0</v>
      </c>
      <c r="I74" s="23">
        <v>0</v>
      </c>
      <c r="J74" s="23">
        <v>0</v>
      </c>
      <c r="K74" s="23">
        <f t="shared" si="55"/>
        <v>-32</v>
      </c>
      <c r="L74" s="33">
        <f t="shared" si="56"/>
        <v>-28</v>
      </c>
      <c r="M74" s="33">
        <f t="shared" si="57"/>
        <v>-33</v>
      </c>
      <c r="N74" s="33">
        <v>366</v>
      </c>
      <c r="O74" s="33">
        <v>507</v>
      </c>
      <c r="P74" s="33">
        <v>-173</v>
      </c>
      <c r="Q74" s="33">
        <v>334</v>
      </c>
      <c r="R74" s="33">
        <v>366</v>
      </c>
      <c r="S74" s="33">
        <f t="shared" si="58"/>
        <v>-32</v>
      </c>
      <c r="T74" s="38">
        <f t="shared" si="59"/>
        <v>0.91256830601092898</v>
      </c>
      <c r="U74" s="59">
        <f t="shared" si="60"/>
        <v>366</v>
      </c>
      <c r="V74" s="33">
        <v>0</v>
      </c>
      <c r="W74" s="630">
        <v>0</v>
      </c>
      <c r="X74" s="33"/>
      <c r="Y74" s="33"/>
      <c r="Z74" s="42"/>
      <c r="AA74" s="60"/>
      <c r="AB74" s="105"/>
      <c r="AC74" s="93"/>
      <c r="AD74" s="33">
        <f t="shared" si="61"/>
        <v>0</v>
      </c>
      <c r="AE74" s="33">
        <f t="shared" si="62"/>
        <v>334</v>
      </c>
      <c r="AF74" s="101">
        <f t="shared" si="63"/>
        <v>-32</v>
      </c>
      <c r="AH74" s="19"/>
    </row>
    <row r="75" spans="2:34" ht="13" outlineLevel="2" x14ac:dyDescent="0.3">
      <c r="B75" s="31" t="s">
        <v>113</v>
      </c>
      <c r="C75" s="33">
        <v>1046</v>
      </c>
      <c r="D75" s="33">
        <v>1038</v>
      </c>
      <c r="E75" s="23">
        <v>0</v>
      </c>
      <c r="F75" s="23">
        <v>0</v>
      </c>
      <c r="G75" s="23">
        <v>-20</v>
      </c>
      <c r="H75" s="23">
        <v>0</v>
      </c>
      <c r="I75" s="23">
        <v>12</v>
      </c>
      <c r="J75" s="23">
        <v>0</v>
      </c>
      <c r="K75" s="23">
        <f t="shared" si="55"/>
        <v>-8</v>
      </c>
      <c r="L75" s="33">
        <f t="shared" si="56"/>
        <v>0</v>
      </c>
      <c r="M75" s="33">
        <f t="shared" si="57"/>
        <v>-8</v>
      </c>
      <c r="N75" s="33">
        <v>1038</v>
      </c>
      <c r="O75" s="33">
        <v>1473</v>
      </c>
      <c r="P75" s="33">
        <v>-238</v>
      </c>
      <c r="Q75" s="33">
        <v>1235</v>
      </c>
      <c r="R75" s="33">
        <v>1038</v>
      </c>
      <c r="S75" s="33">
        <f t="shared" si="58"/>
        <v>197</v>
      </c>
      <c r="T75" s="38">
        <f t="shared" si="59"/>
        <v>1.1897880539499037</v>
      </c>
      <c r="U75" s="59">
        <f t="shared" si="60"/>
        <v>1238</v>
      </c>
      <c r="V75" s="33">
        <v>200</v>
      </c>
      <c r="W75" s="630">
        <v>200</v>
      </c>
      <c r="X75" s="33"/>
      <c r="Y75" s="33"/>
      <c r="Z75" s="42"/>
      <c r="AA75" s="60"/>
      <c r="AB75" s="105"/>
      <c r="AC75" s="93"/>
      <c r="AD75" s="33">
        <f t="shared" si="61"/>
        <v>0</v>
      </c>
      <c r="AE75" s="33">
        <f t="shared" si="62"/>
        <v>1235</v>
      </c>
      <c r="AF75" s="101">
        <f t="shared" si="63"/>
        <v>197</v>
      </c>
      <c r="AH75" s="19"/>
    </row>
    <row r="76" spans="2:34" ht="13" outlineLevel="2" x14ac:dyDescent="0.3">
      <c r="B76" s="31" t="s">
        <v>177</v>
      </c>
      <c r="C76" s="33">
        <v>754</v>
      </c>
      <c r="D76" s="33">
        <v>733</v>
      </c>
      <c r="E76" s="23">
        <v>0</v>
      </c>
      <c r="F76" s="23">
        <v>45</v>
      </c>
      <c r="G76" s="23">
        <v>-21</v>
      </c>
      <c r="H76" s="23">
        <v>0</v>
      </c>
      <c r="I76" s="23">
        <v>0</v>
      </c>
      <c r="J76" s="23">
        <v>0</v>
      </c>
      <c r="K76" s="23">
        <f t="shared" si="55"/>
        <v>24</v>
      </c>
      <c r="L76" s="33">
        <f t="shared" si="56"/>
        <v>45</v>
      </c>
      <c r="M76" s="33">
        <f t="shared" si="57"/>
        <v>24</v>
      </c>
      <c r="N76" s="33">
        <v>778</v>
      </c>
      <c r="O76" s="33">
        <v>866</v>
      </c>
      <c r="P76" s="33">
        <v>0</v>
      </c>
      <c r="Q76" s="33">
        <v>866</v>
      </c>
      <c r="R76" s="33">
        <v>778</v>
      </c>
      <c r="S76" s="33">
        <f t="shared" si="58"/>
        <v>88</v>
      </c>
      <c r="T76" s="38">
        <f t="shared" si="59"/>
        <v>1.1131105398457584</v>
      </c>
      <c r="U76" s="59">
        <f t="shared" si="60"/>
        <v>897</v>
      </c>
      <c r="V76" s="33">
        <v>119</v>
      </c>
      <c r="W76" s="630">
        <v>119</v>
      </c>
      <c r="X76" s="33"/>
      <c r="Y76" s="33"/>
      <c r="Z76" s="42"/>
      <c r="AA76" s="60"/>
      <c r="AB76" s="105"/>
      <c r="AC76" s="93"/>
      <c r="AD76" s="33">
        <f t="shared" si="61"/>
        <v>0</v>
      </c>
      <c r="AE76" s="33">
        <f t="shared" si="62"/>
        <v>866</v>
      </c>
      <c r="AF76" s="101">
        <f t="shared" si="63"/>
        <v>88</v>
      </c>
      <c r="AH76" s="19"/>
    </row>
    <row r="77" spans="2:34" ht="13" outlineLevel="2" x14ac:dyDescent="0.3">
      <c r="B77" s="31" t="s">
        <v>178</v>
      </c>
      <c r="C77" s="33">
        <v>516</v>
      </c>
      <c r="D77" s="33">
        <v>497</v>
      </c>
      <c r="E77" s="23">
        <v>0</v>
      </c>
      <c r="F77" s="23">
        <v>2</v>
      </c>
      <c r="G77" s="23">
        <v>-8</v>
      </c>
      <c r="H77" s="23">
        <v>0</v>
      </c>
      <c r="I77" s="23">
        <v>-12</v>
      </c>
      <c r="J77" s="23">
        <v>0</v>
      </c>
      <c r="K77" s="23">
        <f t="shared" si="55"/>
        <v>-18</v>
      </c>
      <c r="L77" s="33">
        <f t="shared" si="56"/>
        <v>2</v>
      </c>
      <c r="M77" s="33">
        <f t="shared" si="57"/>
        <v>-17</v>
      </c>
      <c r="N77" s="33">
        <v>499</v>
      </c>
      <c r="O77" s="33">
        <v>541</v>
      </c>
      <c r="P77" s="33">
        <v>-15</v>
      </c>
      <c r="Q77" s="33">
        <v>526</v>
      </c>
      <c r="R77" s="33">
        <v>499</v>
      </c>
      <c r="S77" s="33">
        <f t="shared" si="58"/>
        <v>27</v>
      </c>
      <c r="T77" s="38">
        <f t="shared" si="59"/>
        <v>1.0541082164328657</v>
      </c>
      <c r="U77" s="59">
        <f t="shared" si="60"/>
        <v>521</v>
      </c>
      <c r="V77" s="33">
        <v>22</v>
      </c>
      <c r="W77" s="630">
        <v>22</v>
      </c>
      <c r="X77" s="33"/>
      <c r="Y77" s="33"/>
      <c r="Z77" s="42"/>
      <c r="AA77" s="60"/>
      <c r="AB77" s="105"/>
      <c r="AC77" s="93"/>
      <c r="AD77" s="33">
        <f t="shared" si="61"/>
        <v>0</v>
      </c>
      <c r="AE77" s="33">
        <f t="shared" si="62"/>
        <v>526</v>
      </c>
      <c r="AF77" s="101">
        <f t="shared" si="63"/>
        <v>27</v>
      </c>
      <c r="AH77" s="19"/>
    </row>
    <row r="78" spans="2:34" ht="13" outlineLevel="1" x14ac:dyDescent="0.3">
      <c r="B78" s="32" t="s">
        <v>114</v>
      </c>
      <c r="C78" s="34">
        <f t="shared" ref="C78:J78" si="66">SUBTOTAL(9,C73:C77)</f>
        <v>3387</v>
      </c>
      <c r="D78" s="34">
        <f t="shared" si="66"/>
        <v>3328</v>
      </c>
      <c r="E78" s="24">
        <f t="shared" si="66"/>
        <v>0</v>
      </c>
      <c r="F78" s="24">
        <f t="shared" si="66"/>
        <v>20</v>
      </c>
      <c r="G78" s="24">
        <f t="shared" si="66"/>
        <v>-60</v>
      </c>
      <c r="H78" s="24">
        <f t="shared" si="66"/>
        <v>0</v>
      </c>
      <c r="I78" s="24">
        <f t="shared" si="66"/>
        <v>0</v>
      </c>
      <c r="J78" s="24">
        <f t="shared" si="66"/>
        <v>0</v>
      </c>
      <c r="K78" s="24">
        <f>SUM(E78:J78)</f>
        <v>-40</v>
      </c>
      <c r="L78" s="34">
        <f t="shared" si="56"/>
        <v>19</v>
      </c>
      <c r="M78" s="34">
        <f t="shared" si="57"/>
        <v>-40</v>
      </c>
      <c r="N78" s="34">
        <f>SUBTOTAL(9,N73:N77)</f>
        <v>3347</v>
      </c>
      <c r="O78" s="34">
        <f>SUBTOTAL(9,O73:O77)</f>
        <v>4094</v>
      </c>
      <c r="P78" s="34">
        <f>SUBTOTAL(9,P73:P77)</f>
        <v>-441</v>
      </c>
      <c r="Q78" s="34">
        <f>SUBTOTAL(9,Q73:Q77)</f>
        <v>3653</v>
      </c>
      <c r="R78" s="34">
        <f>SUBTOTAL(9,R73:R77)</f>
        <v>3347</v>
      </c>
      <c r="S78" s="34">
        <f>Q78-R78</f>
        <v>306</v>
      </c>
      <c r="T78" s="38">
        <f>IFERROR((Q78/N78)*100%,"∞")</f>
        <v>1.0914251568568867</v>
      </c>
      <c r="U78" s="59">
        <f>N78+V78</f>
        <v>3738</v>
      </c>
      <c r="V78" s="34">
        <f>SUBTOTAL(9,V73:V77)</f>
        <v>391</v>
      </c>
      <c r="W78" s="631">
        <f t="shared" ref="W78:AF78" si="67">SUBTOTAL(9,W73:W77)</f>
        <v>391</v>
      </c>
      <c r="X78" s="34">
        <f t="shared" si="67"/>
        <v>0</v>
      </c>
      <c r="Y78" s="34">
        <f t="shared" si="67"/>
        <v>0</v>
      </c>
      <c r="Z78" s="34">
        <f t="shared" si="67"/>
        <v>0</v>
      </c>
      <c r="AA78" s="34">
        <f t="shared" si="67"/>
        <v>0</v>
      </c>
      <c r="AB78" s="34">
        <f t="shared" si="67"/>
        <v>0</v>
      </c>
      <c r="AC78" s="34">
        <f t="shared" si="67"/>
        <v>0</v>
      </c>
      <c r="AD78" s="34">
        <f t="shared" si="67"/>
        <v>0</v>
      </c>
      <c r="AE78" s="34">
        <f t="shared" si="67"/>
        <v>3653</v>
      </c>
      <c r="AF78" s="34">
        <f t="shared" si="67"/>
        <v>306</v>
      </c>
      <c r="AH78" s="19">
        <f>AF78-W78</f>
        <v>-85</v>
      </c>
    </row>
    <row r="79" spans="2:34" ht="13.5" customHeight="1" thickBot="1" x14ac:dyDescent="0.35">
      <c r="B79" s="53" t="s">
        <v>115</v>
      </c>
      <c r="C79" s="35">
        <f t="shared" ref="C79:J79" si="68">SUBTOTAL(9,C60:C78)</f>
        <v>15359</v>
      </c>
      <c r="D79" s="35">
        <f t="shared" si="68"/>
        <v>15361</v>
      </c>
      <c r="E79" s="25">
        <f t="shared" si="68"/>
        <v>160</v>
      </c>
      <c r="F79" s="25">
        <f t="shared" si="68"/>
        <v>-320</v>
      </c>
      <c r="G79" s="25">
        <f t="shared" si="68"/>
        <v>-183</v>
      </c>
      <c r="H79" s="25">
        <f t="shared" si="68"/>
        <v>-58</v>
      </c>
      <c r="I79" s="25">
        <f t="shared" si="68"/>
        <v>26</v>
      </c>
      <c r="J79" s="25">
        <f t="shared" si="68"/>
        <v>90</v>
      </c>
      <c r="K79" s="25">
        <f>SUM(E79:J79)</f>
        <v>-285</v>
      </c>
      <c r="L79" s="35">
        <f t="shared" si="56"/>
        <v>-289</v>
      </c>
      <c r="M79" s="35">
        <f t="shared" si="57"/>
        <v>-287</v>
      </c>
      <c r="N79" s="35">
        <f>SUBTOTAL(9,N60:N78)</f>
        <v>15072</v>
      </c>
      <c r="O79" s="35">
        <f>SUBTOTAL(9,O60:O78)</f>
        <v>21652</v>
      </c>
      <c r="P79" s="35">
        <f>SUBTOTAL(9,P60:P78)</f>
        <v>-5197</v>
      </c>
      <c r="Q79" s="35">
        <f>SUBTOTAL(9,Q60:Q78)</f>
        <v>16453</v>
      </c>
      <c r="R79" s="35">
        <f>SUBTOTAL(9,R60:R78)</f>
        <v>15072</v>
      </c>
      <c r="S79" s="35">
        <f>Q79-R79</f>
        <v>1381</v>
      </c>
      <c r="T79" s="39">
        <f>IFERROR((Q79/N79)*100%,"∞")</f>
        <v>1.0916268577494692</v>
      </c>
      <c r="U79" s="54">
        <f>N79+V79</f>
        <v>16045</v>
      </c>
      <c r="V79" s="35">
        <f>SUBTOTAL(9,V60:V78)</f>
        <v>973</v>
      </c>
      <c r="W79" s="632">
        <f t="shared" ref="W79:AF79" si="69">SUBTOTAL(9,W60:W78)</f>
        <v>973</v>
      </c>
      <c r="X79" s="35">
        <f t="shared" si="69"/>
        <v>0</v>
      </c>
      <c r="Y79" s="35">
        <f t="shared" si="69"/>
        <v>0</v>
      </c>
      <c r="Z79" s="35">
        <f t="shared" si="69"/>
        <v>0</v>
      </c>
      <c r="AA79" s="35">
        <f t="shared" si="69"/>
        <v>0</v>
      </c>
      <c r="AB79" s="35">
        <f t="shared" si="69"/>
        <v>95</v>
      </c>
      <c r="AC79" s="35">
        <f t="shared" si="69"/>
        <v>0</v>
      </c>
      <c r="AD79" s="35">
        <f t="shared" si="69"/>
        <v>95</v>
      </c>
      <c r="AE79" s="35">
        <f t="shared" si="69"/>
        <v>16548</v>
      </c>
      <c r="AF79" s="35">
        <f t="shared" si="69"/>
        <v>1476</v>
      </c>
      <c r="AH79" s="19">
        <f>AF79-W79</f>
        <v>503</v>
      </c>
    </row>
    <row r="80" spans="2:34" ht="14" thickTop="1" thickBot="1" x14ac:dyDescent="0.35">
      <c r="B80" s="61"/>
      <c r="C80" s="62"/>
      <c r="D80" s="62"/>
      <c r="E80" s="65"/>
      <c r="F80" s="65"/>
      <c r="G80" s="65"/>
      <c r="H80" s="65"/>
      <c r="I80" s="65"/>
      <c r="J80" s="65"/>
      <c r="K80" s="65"/>
      <c r="L80" s="62"/>
      <c r="M80" s="62"/>
      <c r="N80" s="62"/>
      <c r="O80" s="62"/>
      <c r="P80" s="62"/>
      <c r="Q80" s="62"/>
      <c r="R80" s="62"/>
      <c r="S80" s="62"/>
      <c r="T80" s="62"/>
      <c r="U80" s="64"/>
      <c r="V80" s="62"/>
      <c r="W80" s="633"/>
      <c r="X80" s="62"/>
      <c r="Y80" s="62"/>
      <c r="Z80" s="63"/>
      <c r="AA80" s="60"/>
      <c r="AB80" s="61"/>
      <c r="AC80" s="62"/>
      <c r="AD80" s="62"/>
      <c r="AE80" s="62"/>
      <c r="AF80" s="63"/>
      <c r="AH80" s="19"/>
    </row>
    <row r="81" spans="2:34" ht="13.5" thickBot="1" x14ac:dyDescent="0.35">
      <c r="B81" s="50" t="s">
        <v>116</v>
      </c>
      <c r="C81" s="51">
        <f t="shared" ref="C81:J81" si="70">SUBTOTAL(9,C5:C80)</f>
        <v>35794</v>
      </c>
      <c r="D81" s="51">
        <f t="shared" si="70"/>
        <v>33148</v>
      </c>
      <c r="E81" s="51">
        <f t="shared" si="70"/>
        <v>-2439</v>
      </c>
      <c r="F81" s="51">
        <f t="shared" si="70"/>
        <v>1887</v>
      </c>
      <c r="G81" s="51">
        <f t="shared" si="70"/>
        <v>-201</v>
      </c>
      <c r="H81" s="51">
        <f t="shared" si="70"/>
        <v>-41</v>
      </c>
      <c r="I81" s="51">
        <f t="shared" si="70"/>
        <v>0</v>
      </c>
      <c r="J81" s="51">
        <f t="shared" si="70"/>
        <v>0</v>
      </c>
      <c r="K81" s="51">
        <f>SUM(E81:J81)</f>
        <v>-794</v>
      </c>
      <c r="L81" s="51">
        <f>N81-D81</f>
        <v>1830</v>
      </c>
      <c r="M81" s="51">
        <f>N81-C81</f>
        <v>-816</v>
      </c>
      <c r="N81" s="51">
        <f>SUBTOTAL(9,N5:N80)</f>
        <v>34978</v>
      </c>
      <c r="O81" s="51">
        <f>SUBTOTAL(9,O5:O80)</f>
        <v>84872</v>
      </c>
      <c r="P81" s="51">
        <f>SUBTOTAL(9,P5:P80)</f>
        <v>-49252</v>
      </c>
      <c r="Q81" s="51">
        <f>SUBTOTAL(9,Q5:Q80)</f>
        <v>35620</v>
      </c>
      <c r="R81" s="51">
        <f>SUBTOTAL(9,R5:R80)</f>
        <v>34978</v>
      </c>
      <c r="S81" s="51">
        <f>Q81-R81</f>
        <v>642</v>
      </c>
      <c r="T81" s="52">
        <f>IFERROR((Q81/N81)*100%,"∞")</f>
        <v>1.0183543941906341</v>
      </c>
      <c r="U81" s="51">
        <f>N81+V81</f>
        <v>34943</v>
      </c>
      <c r="V81" s="51">
        <f>SUBTOTAL(9,V5:V80)</f>
        <v>-35</v>
      </c>
      <c r="W81" s="634">
        <f>SUBTOTAL(9,W5:W80)</f>
        <v>-35</v>
      </c>
      <c r="X81" s="51">
        <f>SUBTOTAL(9,X5:X80)</f>
        <v>0</v>
      </c>
      <c r="Y81" s="51">
        <f>SUBTOTAL(9,Y5:Y80)</f>
        <v>0</v>
      </c>
      <c r="Z81" s="51">
        <f>SUBTOTAL(9,Z5:Z80)</f>
        <v>0</v>
      </c>
      <c r="AA81" s="60"/>
      <c r="AB81" s="51">
        <f>SUBTOTAL(9,AB5:AB80)</f>
        <v>570</v>
      </c>
      <c r="AC81" s="51">
        <f>SUBTOTAL(9,AC5:AC80)</f>
        <v>2506</v>
      </c>
      <c r="AD81" s="51">
        <f>SUM(AB81:AC81)</f>
        <v>3076</v>
      </c>
      <c r="AE81" s="51">
        <f>Q81+AD81</f>
        <v>38696</v>
      </c>
      <c r="AF81" s="51">
        <f>AE81-N81</f>
        <v>3718</v>
      </c>
      <c r="AH81" s="19"/>
    </row>
    <row r="82" spans="2:34" ht="13.5" thickTop="1" x14ac:dyDescent="0.3">
      <c r="B82" s="71"/>
      <c r="C82" s="72"/>
      <c r="D82" s="72"/>
      <c r="E82" s="73"/>
      <c r="F82" s="73"/>
      <c r="G82" s="73"/>
      <c r="H82" s="73"/>
      <c r="I82" s="73"/>
      <c r="J82" s="73"/>
      <c r="K82" s="73"/>
      <c r="L82" s="72"/>
      <c r="M82" s="72"/>
      <c r="N82" s="72"/>
      <c r="O82" s="72"/>
      <c r="P82" s="72"/>
      <c r="Q82" s="72"/>
      <c r="R82" s="72"/>
      <c r="S82" s="72"/>
      <c r="T82" s="72"/>
      <c r="U82" s="74"/>
      <c r="V82" s="72"/>
      <c r="W82" s="635"/>
      <c r="X82" s="72"/>
      <c r="Y82" s="72"/>
      <c r="Z82" s="75"/>
      <c r="AA82" s="60"/>
      <c r="AB82" s="71"/>
      <c r="AC82" s="72"/>
      <c r="AD82" s="72"/>
      <c r="AE82" s="72"/>
      <c r="AF82" s="75"/>
    </row>
    <row r="83" spans="2:34" ht="13" outlineLevel="1" x14ac:dyDescent="0.3">
      <c r="B83" s="31" t="s">
        <v>117</v>
      </c>
      <c r="C83" s="33">
        <v>4822</v>
      </c>
      <c r="D83" s="33">
        <v>4822</v>
      </c>
      <c r="E83" s="23">
        <v>0</v>
      </c>
      <c r="F83" s="23">
        <v>0</v>
      </c>
      <c r="G83" s="23">
        <v>0</v>
      </c>
      <c r="H83" s="23">
        <v>0</v>
      </c>
      <c r="I83" s="23">
        <v>0</v>
      </c>
      <c r="J83" s="23">
        <v>0</v>
      </c>
      <c r="K83" s="23">
        <f t="shared" ref="K83:K100" si="71">SUM(E83:J83)</f>
        <v>0</v>
      </c>
      <c r="L83" s="33">
        <f t="shared" ref="L83:L100" si="72">N83-D83</f>
        <v>0</v>
      </c>
      <c r="M83" s="33">
        <f t="shared" ref="M83:M100" si="73">N83-C83</f>
        <v>0</v>
      </c>
      <c r="N83" s="33">
        <v>4822</v>
      </c>
      <c r="O83" s="33">
        <v>5927</v>
      </c>
      <c r="P83" s="33">
        <v>0</v>
      </c>
      <c r="Q83" s="33">
        <v>5927</v>
      </c>
      <c r="R83" s="33">
        <v>4822</v>
      </c>
      <c r="S83" s="33">
        <f t="shared" ref="S83:S100" si="74">Q83-R83</f>
        <v>1105</v>
      </c>
      <c r="T83" s="38">
        <f t="shared" ref="T83:T100" si="75">IFERROR((Q83/N83)*100%,"∞")</f>
        <v>1.2291580257154708</v>
      </c>
      <c r="U83" s="59">
        <f t="shared" ref="U83:U100" si="76">N83+V83</f>
        <v>4822</v>
      </c>
      <c r="V83" s="33">
        <v>0</v>
      </c>
      <c r="W83" s="630">
        <v>0</v>
      </c>
      <c r="X83" s="33"/>
      <c r="Y83" s="33"/>
      <c r="Z83" s="42"/>
      <c r="AA83" s="60"/>
      <c r="AB83" s="105"/>
      <c r="AC83" s="93"/>
      <c r="AD83" s="33">
        <f t="shared" ref="AD83:AD100" si="77">SUM(AB83:AC83)</f>
        <v>0</v>
      </c>
      <c r="AE83" s="33">
        <f t="shared" ref="AE83:AE100" si="78">Q83+AD83</f>
        <v>5927</v>
      </c>
      <c r="AF83" s="101">
        <f t="shared" ref="AF83:AF100" si="79">AE83-N83</f>
        <v>1105</v>
      </c>
    </row>
    <row r="84" spans="2:34" ht="13" outlineLevel="1" x14ac:dyDescent="0.3">
      <c r="B84" s="31" t="s">
        <v>118</v>
      </c>
      <c r="C84" s="33">
        <v>-4822</v>
      </c>
      <c r="D84" s="33">
        <v>-4822</v>
      </c>
      <c r="E84" s="23">
        <v>0</v>
      </c>
      <c r="F84" s="23">
        <v>0</v>
      </c>
      <c r="G84" s="23">
        <v>0</v>
      </c>
      <c r="H84" s="23">
        <v>0</v>
      </c>
      <c r="I84" s="23">
        <v>0</v>
      </c>
      <c r="J84" s="23">
        <v>0</v>
      </c>
      <c r="K84" s="23">
        <f t="shared" si="71"/>
        <v>0</v>
      </c>
      <c r="L84" s="33">
        <f t="shared" si="72"/>
        <v>0</v>
      </c>
      <c r="M84" s="33">
        <f t="shared" si="73"/>
        <v>0</v>
      </c>
      <c r="N84" s="33">
        <v>-4822</v>
      </c>
      <c r="O84" s="33">
        <v>0</v>
      </c>
      <c r="P84" s="33">
        <v>-5927</v>
      </c>
      <c r="Q84" s="33">
        <v>-5927</v>
      </c>
      <c r="R84" s="33">
        <v>-4822</v>
      </c>
      <c r="S84" s="33">
        <f t="shared" si="74"/>
        <v>-1105</v>
      </c>
      <c r="T84" s="38">
        <f t="shared" si="75"/>
        <v>1.2291580257154708</v>
      </c>
      <c r="U84" s="59">
        <f t="shared" si="76"/>
        <v>-4822</v>
      </c>
      <c r="V84" s="33">
        <v>0</v>
      </c>
      <c r="W84" s="630">
        <v>0</v>
      </c>
      <c r="X84" s="33"/>
      <c r="Y84" s="33"/>
      <c r="Z84" s="42"/>
      <c r="AA84" s="60"/>
      <c r="AB84" s="105"/>
      <c r="AC84" s="93"/>
      <c r="AD84" s="33">
        <f t="shared" si="77"/>
        <v>0</v>
      </c>
      <c r="AE84" s="33">
        <f t="shared" si="78"/>
        <v>-5927</v>
      </c>
      <c r="AF84" s="101">
        <f t="shared" si="79"/>
        <v>-1105</v>
      </c>
    </row>
    <row r="85" spans="2:34" ht="13" outlineLevel="1" x14ac:dyDescent="0.3">
      <c r="B85" s="31" t="s">
        <v>119</v>
      </c>
      <c r="C85" s="33">
        <v>0</v>
      </c>
      <c r="D85" s="33">
        <v>0</v>
      </c>
      <c r="E85" s="23">
        <v>0</v>
      </c>
      <c r="F85" s="23">
        <v>0</v>
      </c>
      <c r="G85" s="23">
        <v>0</v>
      </c>
      <c r="H85" s="23">
        <v>0</v>
      </c>
      <c r="I85" s="23">
        <v>0</v>
      </c>
      <c r="J85" s="23">
        <v>0</v>
      </c>
      <c r="K85" s="23">
        <f t="shared" si="71"/>
        <v>0</v>
      </c>
      <c r="L85" s="33">
        <f t="shared" si="72"/>
        <v>0</v>
      </c>
      <c r="M85" s="33">
        <f t="shared" si="73"/>
        <v>0</v>
      </c>
      <c r="N85" s="33">
        <v>0</v>
      </c>
      <c r="O85" s="33">
        <v>-3112</v>
      </c>
      <c r="P85" s="33">
        <v>0</v>
      </c>
      <c r="Q85" s="33">
        <v>-3112</v>
      </c>
      <c r="R85" s="33">
        <v>0</v>
      </c>
      <c r="S85" s="33">
        <f t="shared" si="74"/>
        <v>-3112</v>
      </c>
      <c r="T85" s="38" t="str">
        <f t="shared" si="75"/>
        <v>∞</v>
      </c>
      <c r="U85" s="59">
        <f t="shared" si="76"/>
        <v>0</v>
      </c>
      <c r="V85" s="33">
        <v>0</v>
      </c>
      <c r="W85" s="630">
        <v>0</v>
      </c>
      <c r="X85" s="33"/>
      <c r="Y85" s="33"/>
      <c r="Z85" s="42"/>
      <c r="AA85" s="60"/>
      <c r="AB85" s="105"/>
      <c r="AC85" s="93"/>
      <c r="AD85" s="33">
        <f t="shared" si="77"/>
        <v>0</v>
      </c>
      <c r="AE85" s="33">
        <f t="shared" si="78"/>
        <v>-3112</v>
      </c>
      <c r="AF85" s="101">
        <f t="shared" si="79"/>
        <v>-3112</v>
      </c>
    </row>
    <row r="86" spans="2:34" ht="13" outlineLevel="1" x14ac:dyDescent="0.3">
      <c r="B86" s="31" t="s">
        <v>120</v>
      </c>
      <c r="C86" s="33">
        <v>0</v>
      </c>
      <c r="D86" s="33">
        <v>0</v>
      </c>
      <c r="E86" s="23">
        <v>0</v>
      </c>
      <c r="F86" s="23">
        <v>0</v>
      </c>
      <c r="G86" s="23">
        <v>0</v>
      </c>
      <c r="H86" s="23">
        <v>0</v>
      </c>
      <c r="I86" s="23">
        <v>0</v>
      </c>
      <c r="J86" s="23">
        <v>0</v>
      </c>
      <c r="K86" s="23">
        <f t="shared" si="71"/>
        <v>0</v>
      </c>
      <c r="L86" s="33">
        <f t="shared" si="72"/>
        <v>0</v>
      </c>
      <c r="M86" s="33">
        <f t="shared" si="73"/>
        <v>0</v>
      </c>
      <c r="N86" s="33">
        <v>0</v>
      </c>
      <c r="O86" s="33">
        <v>0</v>
      </c>
      <c r="P86" s="33">
        <v>3112</v>
      </c>
      <c r="Q86" s="33">
        <v>3112</v>
      </c>
      <c r="R86" s="33">
        <v>0</v>
      </c>
      <c r="S86" s="33">
        <f t="shared" si="74"/>
        <v>3112</v>
      </c>
      <c r="T86" s="38" t="str">
        <f t="shared" si="75"/>
        <v>∞</v>
      </c>
      <c r="U86" s="59">
        <f t="shared" si="76"/>
        <v>0</v>
      </c>
      <c r="V86" s="33">
        <v>0</v>
      </c>
      <c r="W86" s="630">
        <v>0</v>
      </c>
      <c r="X86" s="33"/>
      <c r="Y86" s="33"/>
      <c r="Z86" s="42"/>
      <c r="AA86" s="60"/>
      <c r="AB86" s="105"/>
      <c r="AC86" s="93"/>
      <c r="AD86" s="33">
        <f t="shared" si="77"/>
        <v>0</v>
      </c>
      <c r="AE86" s="33">
        <f t="shared" si="78"/>
        <v>3112</v>
      </c>
      <c r="AF86" s="101">
        <f t="shared" si="79"/>
        <v>3112</v>
      </c>
    </row>
    <row r="87" spans="2:34" ht="13" outlineLevel="1" x14ac:dyDescent="0.3">
      <c r="B87" s="31" t="s">
        <v>121</v>
      </c>
      <c r="C87" s="33">
        <v>0</v>
      </c>
      <c r="D87" s="33">
        <v>0</v>
      </c>
      <c r="E87" s="23">
        <v>0</v>
      </c>
      <c r="F87" s="23">
        <v>0</v>
      </c>
      <c r="G87" s="23">
        <v>0</v>
      </c>
      <c r="H87" s="23">
        <v>0</v>
      </c>
      <c r="I87" s="23">
        <v>0</v>
      </c>
      <c r="J87" s="23">
        <v>0</v>
      </c>
      <c r="K87" s="23">
        <f t="shared" si="71"/>
        <v>0</v>
      </c>
      <c r="L87" s="33">
        <f t="shared" si="72"/>
        <v>0</v>
      </c>
      <c r="M87" s="33">
        <f t="shared" si="73"/>
        <v>0</v>
      </c>
      <c r="N87" s="33">
        <v>0</v>
      </c>
      <c r="O87" s="33">
        <v>8562</v>
      </c>
      <c r="P87" s="33">
        <v>0</v>
      </c>
      <c r="Q87" s="33">
        <v>8562</v>
      </c>
      <c r="R87" s="33">
        <v>0</v>
      </c>
      <c r="S87" s="33">
        <f t="shared" si="74"/>
        <v>8562</v>
      </c>
      <c r="T87" s="38" t="str">
        <f t="shared" si="75"/>
        <v>∞</v>
      </c>
      <c r="U87" s="59">
        <f t="shared" si="76"/>
        <v>0</v>
      </c>
      <c r="V87" s="33">
        <v>0</v>
      </c>
      <c r="W87" s="630">
        <v>0</v>
      </c>
      <c r="X87" s="33"/>
      <c r="Y87" s="33"/>
      <c r="Z87" s="42"/>
      <c r="AA87" s="60"/>
      <c r="AB87" s="105"/>
      <c r="AC87" s="93"/>
      <c r="AD87" s="33">
        <f t="shared" si="77"/>
        <v>0</v>
      </c>
      <c r="AE87" s="33">
        <f t="shared" si="78"/>
        <v>8562</v>
      </c>
      <c r="AF87" s="101">
        <f t="shared" si="79"/>
        <v>8562</v>
      </c>
    </row>
    <row r="88" spans="2:34" ht="13" outlineLevel="1" x14ac:dyDescent="0.3">
      <c r="B88" s="31" t="s">
        <v>122</v>
      </c>
      <c r="C88" s="33">
        <v>0</v>
      </c>
      <c r="D88" s="33">
        <v>0</v>
      </c>
      <c r="E88" s="23">
        <v>0</v>
      </c>
      <c r="F88" s="23">
        <v>0</v>
      </c>
      <c r="G88" s="23">
        <v>0</v>
      </c>
      <c r="H88" s="23">
        <v>0</v>
      </c>
      <c r="I88" s="23">
        <v>0</v>
      </c>
      <c r="J88" s="23">
        <v>0</v>
      </c>
      <c r="K88" s="23">
        <f t="shared" si="71"/>
        <v>0</v>
      </c>
      <c r="L88" s="33">
        <f t="shared" si="72"/>
        <v>0</v>
      </c>
      <c r="M88" s="33">
        <f t="shared" si="73"/>
        <v>0</v>
      </c>
      <c r="N88" s="33">
        <v>0</v>
      </c>
      <c r="O88" s="33">
        <v>-8562</v>
      </c>
      <c r="P88" s="33">
        <v>0</v>
      </c>
      <c r="Q88" s="33">
        <v>-8562</v>
      </c>
      <c r="R88" s="33">
        <v>0</v>
      </c>
      <c r="S88" s="33">
        <f t="shared" si="74"/>
        <v>-8562</v>
      </c>
      <c r="T88" s="38" t="str">
        <f t="shared" si="75"/>
        <v>∞</v>
      </c>
      <c r="U88" s="59">
        <f t="shared" si="76"/>
        <v>0</v>
      </c>
      <c r="V88" s="33">
        <v>0</v>
      </c>
      <c r="W88" s="630">
        <v>0</v>
      </c>
      <c r="X88" s="33"/>
      <c r="Y88" s="33"/>
      <c r="Z88" s="42"/>
      <c r="AA88" s="60"/>
      <c r="AB88" s="105"/>
      <c r="AC88" s="93"/>
      <c r="AD88" s="33">
        <f t="shared" si="77"/>
        <v>0</v>
      </c>
      <c r="AE88" s="33">
        <f t="shared" si="78"/>
        <v>-8562</v>
      </c>
      <c r="AF88" s="101">
        <f t="shared" si="79"/>
        <v>-8562</v>
      </c>
    </row>
    <row r="89" spans="2:34" ht="13" outlineLevel="1" x14ac:dyDescent="0.3">
      <c r="B89" s="31" t="s">
        <v>123</v>
      </c>
      <c r="C89" s="33">
        <v>0</v>
      </c>
      <c r="D89" s="33">
        <v>0</v>
      </c>
      <c r="E89" s="23">
        <v>0</v>
      </c>
      <c r="F89" s="23">
        <v>0</v>
      </c>
      <c r="G89" s="23">
        <v>0</v>
      </c>
      <c r="H89" s="23">
        <v>0</v>
      </c>
      <c r="I89" s="23">
        <v>0</v>
      </c>
      <c r="J89" s="23">
        <v>0</v>
      </c>
      <c r="K89" s="23">
        <f t="shared" si="71"/>
        <v>0</v>
      </c>
      <c r="L89" s="33">
        <f t="shared" si="72"/>
        <v>0</v>
      </c>
      <c r="M89" s="33">
        <f t="shared" si="73"/>
        <v>0</v>
      </c>
      <c r="N89" s="33">
        <v>0</v>
      </c>
      <c r="O89" s="33">
        <v>0</v>
      </c>
      <c r="P89" s="33">
        <v>0</v>
      </c>
      <c r="Q89" s="33">
        <v>0</v>
      </c>
      <c r="R89" s="33">
        <v>0</v>
      </c>
      <c r="S89" s="33">
        <f t="shared" si="74"/>
        <v>0</v>
      </c>
      <c r="T89" s="38" t="str">
        <f t="shared" si="75"/>
        <v>∞</v>
      </c>
      <c r="U89" s="59">
        <f t="shared" si="76"/>
        <v>0</v>
      </c>
      <c r="V89" s="33">
        <v>0</v>
      </c>
      <c r="W89" s="630">
        <v>0</v>
      </c>
      <c r="X89" s="33"/>
      <c r="Y89" s="33"/>
      <c r="Z89" s="42"/>
      <c r="AA89" s="60"/>
      <c r="AB89" s="105"/>
      <c r="AC89" s="93">
        <v>-612</v>
      </c>
      <c r="AD89" s="33">
        <f t="shared" si="77"/>
        <v>-612</v>
      </c>
      <c r="AE89" s="33">
        <f t="shared" si="78"/>
        <v>-612</v>
      </c>
      <c r="AF89" s="101">
        <f t="shared" si="79"/>
        <v>-612</v>
      </c>
    </row>
    <row r="90" spans="2:34" ht="13" outlineLevel="1" x14ac:dyDescent="0.3">
      <c r="B90" s="31" t="s">
        <v>124</v>
      </c>
      <c r="C90" s="33">
        <v>0</v>
      </c>
      <c r="D90" s="33">
        <v>0</v>
      </c>
      <c r="E90" s="23">
        <v>0</v>
      </c>
      <c r="F90" s="23">
        <v>0</v>
      </c>
      <c r="G90" s="23">
        <v>0</v>
      </c>
      <c r="H90" s="23">
        <v>0</v>
      </c>
      <c r="I90" s="23">
        <v>0</v>
      </c>
      <c r="J90" s="23">
        <v>0</v>
      </c>
      <c r="K90" s="23">
        <f t="shared" si="71"/>
        <v>0</v>
      </c>
      <c r="L90" s="33">
        <f t="shared" si="72"/>
        <v>0</v>
      </c>
      <c r="M90" s="33">
        <f t="shared" si="73"/>
        <v>0</v>
      </c>
      <c r="N90" s="33">
        <v>0</v>
      </c>
      <c r="O90" s="33">
        <v>612</v>
      </c>
      <c r="P90" s="33">
        <v>0</v>
      </c>
      <c r="Q90" s="33">
        <v>612</v>
      </c>
      <c r="R90" s="33">
        <v>0</v>
      </c>
      <c r="S90" s="33">
        <f t="shared" si="74"/>
        <v>612</v>
      </c>
      <c r="T90" s="38" t="str">
        <f t="shared" si="75"/>
        <v>∞</v>
      </c>
      <c r="U90" s="59">
        <f t="shared" si="76"/>
        <v>0</v>
      </c>
      <c r="V90" s="33">
        <v>0</v>
      </c>
      <c r="W90" s="630">
        <v>0</v>
      </c>
      <c r="X90" s="33"/>
      <c r="Y90" s="33"/>
      <c r="Z90" s="42"/>
      <c r="AA90" s="60"/>
      <c r="AB90" s="105"/>
      <c r="AC90" s="93"/>
      <c r="AD90" s="33">
        <f t="shared" si="77"/>
        <v>0</v>
      </c>
      <c r="AE90" s="33">
        <f t="shared" si="78"/>
        <v>612</v>
      </c>
      <c r="AF90" s="101">
        <f t="shared" si="79"/>
        <v>612</v>
      </c>
      <c r="AH90" t="s">
        <v>179</v>
      </c>
    </row>
    <row r="91" spans="2:34" ht="13" outlineLevel="1" x14ac:dyDescent="0.3">
      <c r="B91" s="31" t="s">
        <v>125</v>
      </c>
      <c r="C91" s="33">
        <v>0</v>
      </c>
      <c r="D91" s="33">
        <v>0</v>
      </c>
      <c r="E91" s="23">
        <v>0</v>
      </c>
      <c r="F91" s="23">
        <v>0</v>
      </c>
      <c r="G91" s="23">
        <v>0</v>
      </c>
      <c r="H91" s="23">
        <v>0</v>
      </c>
      <c r="I91" s="23">
        <v>0</v>
      </c>
      <c r="J91" s="23">
        <v>0</v>
      </c>
      <c r="K91" s="23">
        <f t="shared" si="71"/>
        <v>0</v>
      </c>
      <c r="L91" s="33">
        <f t="shared" si="72"/>
        <v>0</v>
      </c>
      <c r="M91" s="33">
        <f t="shared" si="73"/>
        <v>0</v>
      </c>
      <c r="N91" s="33">
        <v>0</v>
      </c>
      <c r="O91" s="33">
        <v>-249</v>
      </c>
      <c r="P91" s="33">
        <v>0</v>
      </c>
      <c r="Q91" s="33">
        <v>-249</v>
      </c>
      <c r="R91" s="33">
        <v>0</v>
      </c>
      <c r="S91" s="33">
        <f t="shared" si="74"/>
        <v>-249</v>
      </c>
      <c r="T91" s="38" t="str">
        <f t="shared" si="75"/>
        <v>∞</v>
      </c>
      <c r="U91" s="59">
        <f t="shared" si="76"/>
        <v>0</v>
      </c>
      <c r="V91" s="33">
        <v>0</v>
      </c>
      <c r="W91" s="630">
        <v>0</v>
      </c>
      <c r="X91" s="33"/>
      <c r="Y91" s="33"/>
      <c r="Z91" s="42"/>
      <c r="AA91" s="60"/>
      <c r="AB91" s="105"/>
      <c r="AC91" s="93"/>
      <c r="AD91" s="33">
        <f t="shared" si="77"/>
        <v>0</v>
      </c>
      <c r="AE91" s="33">
        <f t="shared" si="78"/>
        <v>-249</v>
      </c>
      <c r="AF91" s="101">
        <f t="shared" si="79"/>
        <v>-249</v>
      </c>
    </row>
    <row r="92" spans="2:34" ht="13" outlineLevel="1" x14ac:dyDescent="0.3">
      <c r="B92" s="31" t="s">
        <v>126</v>
      </c>
      <c r="C92" s="33">
        <v>0</v>
      </c>
      <c r="D92" s="33">
        <v>0</v>
      </c>
      <c r="E92" s="23">
        <v>0</v>
      </c>
      <c r="F92" s="23">
        <v>0</v>
      </c>
      <c r="G92" s="23">
        <v>0</v>
      </c>
      <c r="H92" s="23">
        <v>0</v>
      </c>
      <c r="I92" s="23">
        <v>0</v>
      </c>
      <c r="J92" s="23">
        <v>0</v>
      </c>
      <c r="K92" s="23">
        <f t="shared" si="71"/>
        <v>0</v>
      </c>
      <c r="L92" s="33">
        <f t="shared" si="72"/>
        <v>0</v>
      </c>
      <c r="M92" s="33">
        <f t="shared" si="73"/>
        <v>0</v>
      </c>
      <c r="N92" s="33">
        <v>0</v>
      </c>
      <c r="O92" s="33">
        <v>249</v>
      </c>
      <c r="P92" s="33">
        <v>0</v>
      </c>
      <c r="Q92" s="33">
        <v>249</v>
      </c>
      <c r="R92" s="33">
        <v>0</v>
      </c>
      <c r="S92" s="33">
        <f t="shared" si="74"/>
        <v>249</v>
      </c>
      <c r="T92" s="38" t="str">
        <f t="shared" si="75"/>
        <v>∞</v>
      </c>
      <c r="U92" s="59">
        <f t="shared" si="76"/>
        <v>0</v>
      </c>
      <c r="V92" s="33">
        <v>0</v>
      </c>
      <c r="W92" s="630">
        <v>0</v>
      </c>
      <c r="X92" s="33"/>
      <c r="Y92" s="33"/>
      <c r="Z92" s="42"/>
      <c r="AA92" s="60"/>
      <c r="AB92" s="105"/>
      <c r="AC92" s="93"/>
      <c r="AD92" s="33">
        <f t="shared" si="77"/>
        <v>0</v>
      </c>
      <c r="AE92" s="33">
        <f t="shared" si="78"/>
        <v>249</v>
      </c>
      <c r="AF92" s="101">
        <f t="shared" si="79"/>
        <v>249</v>
      </c>
    </row>
    <row r="93" spans="2:34" ht="13" outlineLevel="1" x14ac:dyDescent="0.3">
      <c r="B93" s="31" t="s">
        <v>127</v>
      </c>
      <c r="C93" s="33">
        <v>0</v>
      </c>
      <c r="D93" s="33">
        <v>0</v>
      </c>
      <c r="E93" s="23">
        <v>0</v>
      </c>
      <c r="F93" s="23">
        <v>0</v>
      </c>
      <c r="G93" s="23">
        <v>0</v>
      </c>
      <c r="H93" s="23">
        <v>0</v>
      </c>
      <c r="I93" s="23">
        <v>0</v>
      </c>
      <c r="J93" s="23">
        <v>0</v>
      </c>
      <c r="K93" s="23">
        <f t="shared" si="71"/>
        <v>0</v>
      </c>
      <c r="L93" s="33">
        <f t="shared" si="72"/>
        <v>0</v>
      </c>
      <c r="M93" s="33">
        <f t="shared" si="73"/>
        <v>0</v>
      </c>
      <c r="N93" s="33">
        <v>0</v>
      </c>
      <c r="O93" s="33">
        <v>15194</v>
      </c>
      <c r="P93" s="33">
        <v>0</v>
      </c>
      <c r="Q93" s="33">
        <v>15194</v>
      </c>
      <c r="R93" s="33">
        <v>0</v>
      </c>
      <c r="S93" s="33">
        <f t="shared" si="74"/>
        <v>15194</v>
      </c>
      <c r="T93" s="38" t="str">
        <f t="shared" si="75"/>
        <v>∞</v>
      </c>
      <c r="U93" s="59">
        <f t="shared" si="76"/>
        <v>0</v>
      </c>
      <c r="V93" s="33">
        <v>0</v>
      </c>
      <c r="W93" s="630">
        <v>0</v>
      </c>
      <c r="X93" s="33"/>
      <c r="Y93" s="33"/>
      <c r="Z93" s="42"/>
      <c r="AA93" s="60"/>
      <c r="AB93" s="105"/>
      <c r="AC93" s="93"/>
      <c r="AD93" s="33">
        <f t="shared" si="77"/>
        <v>0</v>
      </c>
      <c r="AE93" s="33">
        <f t="shared" si="78"/>
        <v>15194</v>
      </c>
      <c r="AF93" s="101">
        <f t="shared" si="79"/>
        <v>15194</v>
      </c>
    </row>
    <row r="94" spans="2:34" ht="13" outlineLevel="1" x14ac:dyDescent="0.3">
      <c r="B94" s="31" t="s">
        <v>128</v>
      </c>
      <c r="C94" s="33">
        <v>0</v>
      </c>
      <c r="D94" s="33">
        <v>0</v>
      </c>
      <c r="E94" s="23">
        <v>0</v>
      </c>
      <c r="F94" s="23">
        <v>0</v>
      </c>
      <c r="G94" s="23">
        <v>0</v>
      </c>
      <c r="H94" s="23">
        <v>0</v>
      </c>
      <c r="I94" s="23">
        <v>0</v>
      </c>
      <c r="J94" s="23">
        <v>0</v>
      </c>
      <c r="K94" s="23">
        <f t="shared" si="71"/>
        <v>0</v>
      </c>
      <c r="L94" s="33">
        <f t="shared" si="72"/>
        <v>0</v>
      </c>
      <c r="M94" s="33">
        <f t="shared" si="73"/>
        <v>0</v>
      </c>
      <c r="N94" s="33">
        <v>0</v>
      </c>
      <c r="O94" s="33">
        <v>-14797</v>
      </c>
      <c r="P94" s="33">
        <v>0</v>
      </c>
      <c r="Q94" s="33">
        <v>-14797</v>
      </c>
      <c r="R94" s="33">
        <v>0</v>
      </c>
      <c r="S94" s="33">
        <f t="shared" si="74"/>
        <v>-14797</v>
      </c>
      <c r="T94" s="38" t="str">
        <f t="shared" si="75"/>
        <v>∞</v>
      </c>
      <c r="U94" s="59">
        <f t="shared" si="76"/>
        <v>0</v>
      </c>
      <c r="V94" s="33">
        <v>0</v>
      </c>
      <c r="W94" s="630">
        <v>0</v>
      </c>
      <c r="X94" s="33"/>
      <c r="Y94" s="33"/>
      <c r="Z94" s="42"/>
      <c r="AA94" s="60"/>
      <c r="AB94" s="105"/>
      <c r="AC94" s="93"/>
      <c r="AD94" s="33">
        <f t="shared" si="77"/>
        <v>0</v>
      </c>
      <c r="AE94" s="33">
        <f t="shared" si="78"/>
        <v>-14797</v>
      </c>
      <c r="AF94" s="101">
        <f t="shared" si="79"/>
        <v>-14797</v>
      </c>
    </row>
    <row r="95" spans="2:34" ht="13" outlineLevel="1" x14ac:dyDescent="0.3">
      <c r="B95" s="31" t="s">
        <v>129</v>
      </c>
      <c r="C95" s="33">
        <v>0</v>
      </c>
      <c r="D95" s="33">
        <v>0</v>
      </c>
      <c r="E95" s="23">
        <v>0</v>
      </c>
      <c r="F95" s="23">
        <v>0</v>
      </c>
      <c r="G95" s="23">
        <v>0</v>
      </c>
      <c r="H95" s="23">
        <v>0</v>
      </c>
      <c r="I95" s="23">
        <v>0</v>
      </c>
      <c r="J95" s="23">
        <v>0</v>
      </c>
      <c r="K95" s="23">
        <f t="shared" si="71"/>
        <v>0</v>
      </c>
      <c r="L95" s="33">
        <f t="shared" si="72"/>
        <v>0</v>
      </c>
      <c r="M95" s="33">
        <f t="shared" si="73"/>
        <v>0</v>
      </c>
      <c r="N95" s="33">
        <v>0</v>
      </c>
      <c r="O95" s="33">
        <v>-397</v>
      </c>
      <c r="P95" s="33">
        <v>0</v>
      </c>
      <c r="Q95" s="33">
        <v>-397</v>
      </c>
      <c r="R95" s="33">
        <v>0</v>
      </c>
      <c r="S95" s="33">
        <f t="shared" si="74"/>
        <v>-397</v>
      </c>
      <c r="T95" s="38" t="str">
        <f t="shared" si="75"/>
        <v>∞</v>
      </c>
      <c r="U95" s="59">
        <f t="shared" si="76"/>
        <v>0</v>
      </c>
      <c r="V95" s="33">
        <v>0</v>
      </c>
      <c r="W95" s="630">
        <v>0</v>
      </c>
      <c r="X95" s="33"/>
      <c r="Y95" s="33"/>
      <c r="Z95" s="42"/>
      <c r="AA95" s="60"/>
      <c r="AB95" s="105"/>
      <c r="AC95" s="93"/>
      <c r="AD95" s="33">
        <f t="shared" si="77"/>
        <v>0</v>
      </c>
      <c r="AE95" s="33">
        <f t="shared" si="78"/>
        <v>-397</v>
      </c>
      <c r="AF95" s="101">
        <f t="shared" si="79"/>
        <v>-397</v>
      </c>
    </row>
    <row r="96" spans="2:34" ht="13" outlineLevel="1" x14ac:dyDescent="0.3">
      <c r="B96" s="31" t="s">
        <v>130</v>
      </c>
      <c r="C96" s="33">
        <v>0</v>
      </c>
      <c r="D96" s="33">
        <v>0</v>
      </c>
      <c r="E96" s="23">
        <v>0</v>
      </c>
      <c r="F96" s="23">
        <v>0</v>
      </c>
      <c r="G96" s="23">
        <v>0</v>
      </c>
      <c r="H96" s="23">
        <v>0</v>
      </c>
      <c r="I96" s="23">
        <v>0</v>
      </c>
      <c r="J96" s="23">
        <v>0</v>
      </c>
      <c r="K96" s="23">
        <f t="shared" si="71"/>
        <v>0</v>
      </c>
      <c r="L96" s="33">
        <f t="shared" si="72"/>
        <v>0</v>
      </c>
      <c r="M96" s="33">
        <f t="shared" si="73"/>
        <v>0</v>
      </c>
      <c r="N96" s="33">
        <v>0</v>
      </c>
      <c r="O96" s="33">
        <v>7320</v>
      </c>
      <c r="P96" s="33">
        <v>0</v>
      </c>
      <c r="Q96" s="33">
        <v>7320</v>
      </c>
      <c r="R96" s="33">
        <v>0</v>
      </c>
      <c r="S96" s="33">
        <f t="shared" si="74"/>
        <v>7320</v>
      </c>
      <c r="T96" s="38" t="str">
        <f t="shared" si="75"/>
        <v>∞</v>
      </c>
      <c r="U96" s="59">
        <f t="shared" si="76"/>
        <v>0</v>
      </c>
      <c r="V96" s="33">
        <v>0</v>
      </c>
      <c r="W96" s="630">
        <v>0</v>
      </c>
      <c r="X96" s="33"/>
      <c r="Y96" s="33"/>
      <c r="Z96" s="42"/>
      <c r="AA96" s="60"/>
      <c r="AB96" s="105"/>
      <c r="AC96" s="93"/>
      <c r="AD96" s="33">
        <f t="shared" si="77"/>
        <v>0</v>
      </c>
      <c r="AE96" s="33">
        <f t="shared" si="78"/>
        <v>7320</v>
      </c>
      <c r="AF96" s="101">
        <f t="shared" si="79"/>
        <v>7320</v>
      </c>
    </row>
    <row r="97" spans="2:36" ht="13" outlineLevel="1" x14ac:dyDescent="0.3">
      <c r="B97" s="31" t="s">
        <v>131</v>
      </c>
      <c r="C97" s="33">
        <v>0</v>
      </c>
      <c r="D97" s="33">
        <v>0</v>
      </c>
      <c r="E97" s="23">
        <v>0</v>
      </c>
      <c r="F97" s="23">
        <v>0</v>
      </c>
      <c r="G97" s="23">
        <v>0</v>
      </c>
      <c r="H97" s="23">
        <v>0</v>
      </c>
      <c r="I97" s="23">
        <v>0</v>
      </c>
      <c r="J97" s="23">
        <v>0</v>
      </c>
      <c r="K97" s="23">
        <f t="shared" si="71"/>
        <v>0</v>
      </c>
      <c r="L97" s="33">
        <f t="shared" si="72"/>
        <v>0</v>
      </c>
      <c r="M97" s="33">
        <f t="shared" si="73"/>
        <v>0</v>
      </c>
      <c r="N97" s="33">
        <v>0</v>
      </c>
      <c r="O97" s="33">
        <v>0</v>
      </c>
      <c r="P97" s="33">
        <v>-7320</v>
      </c>
      <c r="Q97" s="33">
        <v>-7320</v>
      </c>
      <c r="R97" s="33">
        <v>0</v>
      </c>
      <c r="S97" s="33">
        <f t="shared" si="74"/>
        <v>-7320</v>
      </c>
      <c r="T97" s="38" t="str">
        <f t="shared" si="75"/>
        <v>∞</v>
      </c>
      <c r="U97" s="59">
        <f t="shared" si="76"/>
        <v>0</v>
      </c>
      <c r="V97" s="33">
        <v>0</v>
      </c>
      <c r="W97" s="630">
        <v>0</v>
      </c>
      <c r="X97" s="33"/>
      <c r="Y97" s="33"/>
      <c r="Z97" s="42"/>
      <c r="AA97" s="60"/>
      <c r="AB97" s="105"/>
      <c r="AC97" s="93"/>
      <c r="AD97" s="33">
        <f t="shared" si="77"/>
        <v>0</v>
      </c>
      <c r="AE97" s="33">
        <f t="shared" si="78"/>
        <v>-7320</v>
      </c>
      <c r="AF97" s="101">
        <f t="shared" si="79"/>
        <v>-7320</v>
      </c>
    </row>
    <row r="98" spans="2:36" ht="13" outlineLevel="1" x14ac:dyDescent="0.3">
      <c r="B98" s="31" t="s">
        <v>132</v>
      </c>
      <c r="C98" s="33">
        <v>14098</v>
      </c>
      <c r="D98" s="33">
        <v>14098</v>
      </c>
      <c r="E98" s="23">
        <v>0</v>
      </c>
      <c r="F98" s="23">
        <v>0</v>
      </c>
      <c r="G98" s="23">
        <v>0</v>
      </c>
      <c r="H98" s="23">
        <v>0</v>
      </c>
      <c r="I98" s="23">
        <v>0</v>
      </c>
      <c r="J98" s="23">
        <v>424</v>
      </c>
      <c r="K98" s="23">
        <f t="shared" si="71"/>
        <v>424</v>
      </c>
      <c r="L98" s="33">
        <f t="shared" si="72"/>
        <v>425</v>
      </c>
      <c r="M98" s="33">
        <f t="shared" si="73"/>
        <v>425</v>
      </c>
      <c r="N98" s="33">
        <v>14523</v>
      </c>
      <c r="O98" s="33">
        <v>21007</v>
      </c>
      <c r="P98" s="33">
        <v>0</v>
      </c>
      <c r="Q98" s="33">
        <v>21007</v>
      </c>
      <c r="R98" s="33">
        <v>14523</v>
      </c>
      <c r="S98" s="33">
        <f t="shared" si="74"/>
        <v>6484</v>
      </c>
      <c r="T98" s="38">
        <f t="shared" si="75"/>
        <v>1.4464642291537562</v>
      </c>
      <c r="U98" s="59">
        <f t="shared" si="76"/>
        <v>14523</v>
      </c>
      <c r="V98" s="33">
        <v>0</v>
      </c>
      <c r="W98" s="630">
        <v>0</v>
      </c>
      <c r="X98" s="33"/>
      <c r="Y98" s="33"/>
      <c r="Z98" s="42"/>
      <c r="AA98" s="60"/>
      <c r="AB98" s="105"/>
      <c r="AC98" s="93"/>
      <c r="AD98" s="33">
        <f t="shared" si="77"/>
        <v>0</v>
      </c>
      <c r="AE98" s="33">
        <f t="shared" si="78"/>
        <v>21007</v>
      </c>
      <c r="AF98" s="101">
        <f t="shared" si="79"/>
        <v>6484</v>
      </c>
    </row>
    <row r="99" spans="2:36" ht="13" outlineLevel="1" x14ac:dyDescent="0.3">
      <c r="B99" s="31" t="s">
        <v>133</v>
      </c>
      <c r="C99" s="33">
        <v>-20487</v>
      </c>
      <c r="D99" s="33">
        <v>-20487</v>
      </c>
      <c r="E99" s="23">
        <v>0</v>
      </c>
      <c r="F99" s="23">
        <v>0</v>
      </c>
      <c r="G99" s="23">
        <v>0</v>
      </c>
      <c r="H99" s="23">
        <v>0</v>
      </c>
      <c r="I99" s="23">
        <v>0</v>
      </c>
      <c r="J99" s="23">
        <v>-424</v>
      </c>
      <c r="K99" s="23">
        <f t="shared" si="71"/>
        <v>-424</v>
      </c>
      <c r="L99" s="33">
        <f t="shared" si="72"/>
        <v>-424</v>
      </c>
      <c r="M99" s="33">
        <f t="shared" si="73"/>
        <v>-424</v>
      </c>
      <c r="N99" s="33">
        <v>-20911</v>
      </c>
      <c r="O99" s="33">
        <v>0</v>
      </c>
      <c r="P99" s="33">
        <v>-29579</v>
      </c>
      <c r="Q99" s="33">
        <v>-29579</v>
      </c>
      <c r="R99" s="33">
        <v>-20911</v>
      </c>
      <c r="S99" s="33">
        <f t="shared" si="74"/>
        <v>-8668</v>
      </c>
      <c r="T99" s="38">
        <f t="shared" si="75"/>
        <v>1.4145186743819043</v>
      </c>
      <c r="U99" s="59">
        <f t="shared" si="76"/>
        <v>-20911</v>
      </c>
      <c r="V99" s="33">
        <v>0</v>
      </c>
      <c r="W99" s="630">
        <v>0</v>
      </c>
      <c r="X99" s="33"/>
      <c r="Y99" s="33"/>
      <c r="Z99" s="42"/>
      <c r="AA99" s="60"/>
      <c r="AB99" s="105"/>
      <c r="AC99" s="93"/>
      <c r="AD99" s="33">
        <f t="shared" si="77"/>
        <v>0</v>
      </c>
      <c r="AE99" s="33">
        <f t="shared" si="78"/>
        <v>-29579</v>
      </c>
      <c r="AF99" s="101">
        <f t="shared" si="79"/>
        <v>-8668</v>
      </c>
    </row>
    <row r="100" spans="2:36" ht="13" outlineLevel="1" x14ac:dyDescent="0.3">
      <c r="B100" s="31" t="s">
        <v>134</v>
      </c>
      <c r="C100" s="33">
        <v>-3149</v>
      </c>
      <c r="D100" s="33">
        <v>-3149</v>
      </c>
      <c r="E100" s="23">
        <v>0</v>
      </c>
      <c r="F100" s="23">
        <v>0</v>
      </c>
      <c r="G100" s="23">
        <v>0</v>
      </c>
      <c r="H100" s="23">
        <v>0</v>
      </c>
      <c r="I100" s="23">
        <v>0</v>
      </c>
      <c r="J100" s="23">
        <v>0</v>
      </c>
      <c r="K100" s="23">
        <f t="shared" si="71"/>
        <v>0</v>
      </c>
      <c r="L100" s="33">
        <f t="shared" si="72"/>
        <v>0</v>
      </c>
      <c r="M100" s="33">
        <f t="shared" si="73"/>
        <v>0</v>
      </c>
      <c r="N100" s="33">
        <v>-3149</v>
      </c>
      <c r="O100" s="33">
        <v>0</v>
      </c>
      <c r="P100" s="33">
        <v>-3149</v>
      </c>
      <c r="Q100" s="33">
        <v>-3149</v>
      </c>
      <c r="R100" s="33">
        <v>-3149</v>
      </c>
      <c r="S100" s="33">
        <f t="shared" si="74"/>
        <v>0</v>
      </c>
      <c r="T100" s="38">
        <f t="shared" si="75"/>
        <v>1</v>
      </c>
      <c r="U100" s="59">
        <f t="shared" si="76"/>
        <v>-3149</v>
      </c>
      <c r="V100" s="33">
        <v>0</v>
      </c>
      <c r="W100" s="630">
        <v>0</v>
      </c>
      <c r="X100" s="33"/>
      <c r="Y100" s="33"/>
      <c r="Z100" s="42"/>
      <c r="AA100" s="60"/>
      <c r="AB100" s="105"/>
      <c r="AC100" s="93"/>
      <c r="AD100" s="33">
        <f t="shared" si="77"/>
        <v>0</v>
      </c>
      <c r="AE100" s="33">
        <f t="shared" si="78"/>
        <v>-3149</v>
      </c>
      <c r="AF100" s="101">
        <f t="shared" si="79"/>
        <v>0</v>
      </c>
    </row>
    <row r="101" spans="2:36" ht="13.5" outlineLevel="1" thickBot="1" x14ac:dyDescent="0.35">
      <c r="B101" s="80"/>
      <c r="C101" s="81"/>
      <c r="D101" s="81"/>
      <c r="E101" s="82"/>
      <c r="F101" s="82"/>
      <c r="G101" s="82"/>
      <c r="H101" s="82"/>
      <c r="I101" s="82"/>
      <c r="J101" s="82"/>
      <c r="K101" s="82"/>
      <c r="L101" s="81"/>
      <c r="M101" s="81"/>
      <c r="N101" s="81"/>
      <c r="O101" s="81"/>
      <c r="P101" s="81"/>
      <c r="Q101" s="81"/>
      <c r="R101" s="81"/>
      <c r="S101" s="81"/>
      <c r="T101" s="81"/>
      <c r="U101" s="83"/>
      <c r="V101" s="81"/>
      <c r="W101" s="636"/>
      <c r="X101" s="81"/>
      <c r="Y101" s="81"/>
      <c r="Z101" s="84"/>
      <c r="AA101" s="60"/>
      <c r="AB101" s="98"/>
      <c r="AC101" s="36"/>
      <c r="AD101" s="36"/>
      <c r="AE101" s="36"/>
      <c r="AF101" s="99"/>
    </row>
    <row r="102" spans="2:36" ht="13.5" thickBot="1" x14ac:dyDescent="0.35">
      <c r="B102" s="68" t="s">
        <v>135</v>
      </c>
      <c r="C102" s="69">
        <f t="shared" ref="C102:J102" si="80">SUM(C83:C83,C84:C84,C85:C85,C86:C86,C87:C87,C88:C88,C89:C89,C90:C90,C91:C91,C92:C92,C93:C93,C94:C94,C95:C95,C96:C96,C97:C97,C98:C98,C99:C99,C100:C100)</f>
        <v>-9538</v>
      </c>
      <c r="D102" s="69">
        <f t="shared" si="80"/>
        <v>-9538</v>
      </c>
      <c r="E102" s="77">
        <f t="shared" si="80"/>
        <v>0</v>
      </c>
      <c r="F102" s="77">
        <f t="shared" si="80"/>
        <v>0</v>
      </c>
      <c r="G102" s="77">
        <f t="shared" si="80"/>
        <v>0</v>
      </c>
      <c r="H102" s="77">
        <f t="shared" si="80"/>
        <v>0</v>
      </c>
      <c r="I102" s="77">
        <f t="shared" si="80"/>
        <v>0</v>
      </c>
      <c r="J102" s="77">
        <f t="shared" si="80"/>
        <v>0</v>
      </c>
      <c r="K102" s="77">
        <f>SUM(E102:J102)</f>
        <v>0</v>
      </c>
      <c r="L102" s="69">
        <f>N102-D102</f>
        <v>1</v>
      </c>
      <c r="M102" s="69">
        <f>N102-C102</f>
        <v>1</v>
      </c>
      <c r="N102" s="69">
        <f>SUM(N83:N83,N84:N84,N85:N85,N86:N86,N87:N87,N88:N88,N89:N89,N90:N90,N91:N91,N92:N92,N93:N93,N94:N94,N95:N95,N96:N96,N97:N97,N98:N98,N99:N99,N100:N100)</f>
        <v>-9537</v>
      </c>
      <c r="O102" s="69">
        <f>SUM(O83:O83,O84:O84,O85:O85,O86:O86,O87:O87,O88:O88,O89:O89,O90:O90,O91:O91,O92:O92,O93:O93,O94:O94,O95:O95,O96:O96,O97:O97,O98:O98,O99:O99,O100:O100)</f>
        <v>31754</v>
      </c>
      <c r="P102" s="69">
        <f>SUM(P83:P83,P84:P84,P85:P85,P86:P86,P87:P87,P88:P88,P89:P89,P90:P90,P91:P91,P92:P92,P93:P93,P94:P94,P95:P95,P96:P96,P97:P97,P98:P98,P99:P99,P100:P100)</f>
        <v>-42863</v>
      </c>
      <c r="Q102" s="69">
        <f>SUM(Q83:Q83,Q84:Q84,Q85:Q85,Q86:Q86,Q87:Q87,Q88:Q88,Q89:Q89,Q90:Q90,Q91:Q91,Q92:Q92,Q93:Q93,Q94:Q94,Q95:Q95,Q96:Q96,Q97:Q97,Q98:Q98,Q99:Q99,Q100:Q100)</f>
        <v>-11109</v>
      </c>
      <c r="R102" s="69">
        <f>SUM(R83:R83,R84:R84,R85:R85,R86:R86,R87:R87,R88:R88,R89:R89,R90:R90,R91:R91,R92:R92,R93:R93,R94:R94,R95:R95,R96:R96,R97:R97,R98:R98,R99:R99,R100:R100)</f>
        <v>-9537</v>
      </c>
      <c r="S102" s="69">
        <f>Q102-R102</f>
        <v>-1572</v>
      </c>
      <c r="T102" s="70">
        <f>IFERROR((Q102/N102)*100%,"∞")</f>
        <v>1.1648317080843031</v>
      </c>
      <c r="U102" s="76">
        <f>N102+V102</f>
        <v>-9537</v>
      </c>
      <c r="V102" s="69">
        <f>SUM(V83:V83,V84:V84,V85:V85,V86:V86,V87:V87,V88:V88,V89:V89,V90:V90,V91:V91,V92:V92,V93:V93,V94:V94,V95:V95,V96:V96,V97:V97,V98:V98,V99:V99,V100:V100)</f>
        <v>0</v>
      </c>
      <c r="W102" s="637">
        <f>SUM(W83:W83,W84:W84,W85:W85,W86:W86,W87:W87,W88:W88,W89:W89,W90:W90,W91:W91,W92:W92,W93:W93,W94:W94,W95:W95,W96:W96,W97:W97,W98:W98,W99:W99,W100:W100)</f>
        <v>0</v>
      </c>
      <c r="X102" s="69">
        <f>SUM(X83:X83,X84:X84,X85:X85,X86:X86,X87:X87,X88:X88,X89:X89,X90:X90,X91:X91,X92:X92,X93:X93,X94:X94,X95:X95,X96:X96,X97:X97,X98:X98,X99:X99,X100:X100)</f>
        <v>0</v>
      </c>
      <c r="Y102" s="69">
        <f>SUM(Y83:Y83,Y84:Y84,Y85:Y85,Y86:Y86,Y87:Y87,Y88:Y88,Y89:Y89,Y90:Y90,Y91:Y91,Y92:Y92,Y93:Y93,Y94:Y94,Y95:Y95,Y96:Y96,Y97:Y97,Y98:Y98,Y99:Y99,Y100:Y100)</f>
        <v>0</v>
      </c>
      <c r="Z102" s="69">
        <f>SUM(Z83:Z83,Z84:Z84,Z85:Z85,Z86:Z86,Z87:Z87,Z88:Z88,Z89:Z89,Z90:Z90,Z91:Z91,Z92:Z92,Z93:Z93,Z94:Z94,Z95:Z95,Z96:Z96,Z97:Z97,Z98:Z98,Z99:Z99,Z100:Z100)</f>
        <v>0</v>
      </c>
      <c r="AA102" s="60"/>
      <c r="AB102" s="69">
        <f>SUM(AB83:AB83,AB84:AB84,AB85:AB85,AB86:AB86,AB87:AB87,AB88:AB88,AB89:AB89,AB90:AB90,AB91:AB91,AB92:AB92,AB93:AB93,AB94:AB94,AB95:AB95,AB96:AB96,AB97:AB97,AB98:AB98,AB99:AB99,AB100:AB100)</f>
        <v>0</v>
      </c>
      <c r="AC102" s="69">
        <f>SUM(AC83:AC83,AC84:AC84,AC85:AC85,AC86:AC86,AC87:AC87,AC88:AC88,AC89:AC89,AC90:AC90,AC91:AC91,AC92:AC92,AC93:AC93,AC94:AC94,AC95:AC95,AC96:AC96,AC97:AC97,AC98:AC98,AC99:AC99,AC100:AC100)</f>
        <v>-612</v>
      </c>
      <c r="AD102" s="69">
        <f>SUM(AD83:AD83,AD84:AD84,AD85:AD85,AD86:AD86,AD87:AD87,AD88:AD88,AD89:AD89,AD90:AD90,AD91:AD91,AD92:AD92,AD93:AD93,AD94:AD94,AD95:AD95,AD96:AD96,AD97:AD97,AD98:AD98,AD99:AD99,AD100:AD100)</f>
        <v>-612</v>
      </c>
      <c r="AE102" s="69">
        <f>SUM(AE83:AE83,AE84:AE84,AE85:AE85,AE86:AE86,AE87:AE87,AE88:AE88,AE89:AE89,AE90:AE90,AE91:AE91,AE92:AE92,AE93:AE93,AE94:AE94,AE95:AE95,AE96:AE96,AE97:AE97,AE98:AE98,AE99:AE99,AE100:AE100)</f>
        <v>-11721</v>
      </c>
      <c r="AF102" s="69">
        <f>SUM(AF83:AF83,AF84:AF84,AF85:AF85,AF86:AF86,AF87:AF87,AF88:AF88,AF89:AF89,AF90:AF90,AF91:AF91,AF92:AF92,AF93:AF93,AF94:AF94,AF95:AF95,AF96:AF96,AF97:AF97,AF98:AF98,AF99:AF99,AF100:AF100)</f>
        <v>-2184</v>
      </c>
      <c r="AH102" t="s">
        <v>180</v>
      </c>
    </row>
    <row r="103" spans="2:36" ht="13.5" thickTop="1" x14ac:dyDescent="0.3">
      <c r="B103" s="71"/>
      <c r="C103" s="72"/>
      <c r="D103" s="72"/>
      <c r="E103" s="73"/>
      <c r="F103" s="73"/>
      <c r="G103" s="73"/>
      <c r="H103" s="73"/>
      <c r="I103" s="73"/>
      <c r="J103" s="73"/>
      <c r="K103" s="73"/>
      <c r="L103" s="72"/>
      <c r="M103" s="72"/>
      <c r="N103" s="72"/>
      <c r="O103" s="72"/>
      <c r="P103" s="72"/>
      <c r="Q103" s="72"/>
      <c r="R103" s="72"/>
      <c r="S103" s="72"/>
      <c r="T103" s="72"/>
      <c r="U103" s="74"/>
      <c r="V103" s="72"/>
      <c r="W103" s="635"/>
      <c r="X103" s="72"/>
      <c r="Y103" s="72"/>
      <c r="Z103" s="75"/>
      <c r="AA103" s="60"/>
      <c r="AB103" s="71"/>
      <c r="AC103" s="72"/>
      <c r="AD103" s="72"/>
      <c r="AE103" s="72"/>
      <c r="AF103" s="75"/>
    </row>
    <row r="104" spans="2:36" ht="13" x14ac:dyDescent="0.3">
      <c r="B104" s="78" t="s">
        <v>136</v>
      </c>
      <c r="C104" s="34">
        <f t="shared" ref="C104:J104" si="81">SUM(C105:C115,C116:C116)</f>
        <v>1287</v>
      </c>
      <c r="D104" s="34">
        <f t="shared" si="81"/>
        <v>1229</v>
      </c>
      <c r="E104" s="24">
        <f t="shared" si="81"/>
        <v>0</v>
      </c>
      <c r="F104" s="24">
        <f t="shared" si="81"/>
        <v>16</v>
      </c>
      <c r="G104" s="24">
        <f t="shared" si="81"/>
        <v>-58</v>
      </c>
      <c r="H104" s="24">
        <f t="shared" si="81"/>
        <v>74</v>
      </c>
      <c r="I104" s="24">
        <f t="shared" si="81"/>
        <v>0</v>
      </c>
      <c r="J104" s="24">
        <f t="shared" si="81"/>
        <v>0</v>
      </c>
      <c r="K104" s="24">
        <f>SUM(K105:K116)</f>
        <v>32</v>
      </c>
      <c r="L104" s="34">
        <f>N104-D104</f>
        <v>74</v>
      </c>
      <c r="M104" s="34">
        <f>N104-C104</f>
        <v>16</v>
      </c>
      <c r="N104" s="34">
        <f>SUM(N105:N115,N116:N116)</f>
        <v>1303</v>
      </c>
      <c r="O104" s="34">
        <f>SUM(O105:O115,O116:O116)</f>
        <v>74554</v>
      </c>
      <c r="P104" s="34">
        <f>SUM(P105:P115,P116:P116)</f>
        <v>-76853</v>
      </c>
      <c r="Q104" s="34">
        <f>SUM(Q105:Q115,Q116:Q116)</f>
        <v>-2300</v>
      </c>
      <c r="R104" s="34">
        <f>SUM(R105:R115,R116:R116)</f>
        <v>1303</v>
      </c>
      <c r="S104" s="34">
        <f>Q104-R104</f>
        <v>-3603</v>
      </c>
      <c r="T104" s="94">
        <f>IFERROR((Q104/N104)*100%,"∞")</f>
        <v>-1.765157329240215</v>
      </c>
      <c r="U104" s="95">
        <f>N104+V104</f>
        <v>1303</v>
      </c>
      <c r="V104" s="34">
        <f>SUM(V105:V115,V116:V116)</f>
        <v>0</v>
      </c>
      <c r="W104" s="631">
        <f>SUM(W105:W115,W116:W116)</f>
        <v>389</v>
      </c>
      <c r="X104" s="34"/>
      <c r="Y104" s="34"/>
      <c r="Z104" s="41"/>
      <c r="AA104" s="60"/>
      <c r="AB104" s="100">
        <f>SUM(AB105:AB115,AB116:AB116)</f>
        <v>0</v>
      </c>
      <c r="AC104" s="33">
        <f>SUM(AC105:AC115,AC116:AC116)</f>
        <v>1732</v>
      </c>
      <c r="AD104" s="33">
        <f>SUM(AD105:AD115,AD116:AD116)</f>
        <v>1732</v>
      </c>
      <c r="AE104" s="34">
        <f>SUM(AE105:AE115,AE116:AE116)</f>
        <v>-568</v>
      </c>
      <c r="AF104" s="103">
        <f>SUM(AF105:AF115,AF116:AF116)</f>
        <v>-1871</v>
      </c>
      <c r="AH104" s="19"/>
    </row>
    <row r="105" spans="2:36" ht="13" outlineLevel="1" x14ac:dyDescent="0.3">
      <c r="B105" s="79" t="s">
        <v>137</v>
      </c>
      <c r="C105" s="33">
        <v>380</v>
      </c>
      <c r="D105" s="33">
        <v>380</v>
      </c>
      <c r="E105" s="23">
        <v>0</v>
      </c>
      <c r="F105" s="23">
        <v>16</v>
      </c>
      <c r="G105" s="23">
        <v>0</v>
      </c>
      <c r="H105" s="23">
        <v>16</v>
      </c>
      <c r="I105" s="23">
        <v>0</v>
      </c>
      <c r="J105" s="23">
        <v>0</v>
      </c>
      <c r="K105" s="23">
        <f>SUM(E105:J105)</f>
        <v>32</v>
      </c>
      <c r="L105" s="33">
        <f>N105-D105</f>
        <v>16</v>
      </c>
      <c r="M105" s="33">
        <f>N105-C105</f>
        <v>16</v>
      </c>
      <c r="N105" s="33">
        <v>396</v>
      </c>
      <c r="O105" s="33">
        <v>38966</v>
      </c>
      <c r="P105" s="33">
        <v>-39141</v>
      </c>
      <c r="Q105" s="33">
        <v>-176</v>
      </c>
      <c r="R105" s="33">
        <v>396</v>
      </c>
      <c r="S105" s="33">
        <f>Q105-R105</f>
        <v>-572</v>
      </c>
      <c r="T105" s="38">
        <f>IFERROR((Q105/N105)*100%,"∞")</f>
        <v>-0.44444444444444442</v>
      </c>
      <c r="U105" s="59">
        <f>N105+V105</f>
        <v>396</v>
      </c>
      <c r="V105" s="33">
        <v>0</v>
      </c>
      <c r="W105" s="630">
        <v>0</v>
      </c>
      <c r="X105" s="33"/>
      <c r="Y105" s="33"/>
      <c r="Z105" s="42"/>
      <c r="AA105" s="60"/>
      <c r="AB105" s="105"/>
      <c r="AC105" s="93">
        <v>1642</v>
      </c>
      <c r="AD105" s="33">
        <f>SUM(AB105:AC105)</f>
        <v>1642</v>
      </c>
      <c r="AE105" s="33">
        <f>Q105+AD105</f>
        <v>1466</v>
      </c>
      <c r="AF105" s="101">
        <f>AE105-N105</f>
        <v>1070</v>
      </c>
      <c r="AH105" t="s">
        <v>181</v>
      </c>
      <c r="AJ105" t="s">
        <v>182</v>
      </c>
    </row>
    <row r="106" spans="2:36" ht="13" outlineLevel="1" x14ac:dyDescent="0.3">
      <c r="B106" s="79" t="s">
        <v>138</v>
      </c>
      <c r="C106" s="33">
        <v>3062</v>
      </c>
      <c r="D106" s="33">
        <v>3062</v>
      </c>
      <c r="E106" s="23">
        <v>0</v>
      </c>
      <c r="F106" s="23">
        <v>0</v>
      </c>
      <c r="G106" s="23">
        <v>0</v>
      </c>
      <c r="H106" s="23">
        <v>0</v>
      </c>
      <c r="I106" s="23">
        <v>0</v>
      </c>
      <c r="J106" s="23">
        <v>0</v>
      </c>
      <c r="K106" s="23">
        <f t="shared" ref="K106:K114" si="82">SUM(E106:J106)</f>
        <v>0</v>
      </c>
      <c r="L106" s="33">
        <f t="shared" ref="L106:L114" si="83">N106-D106</f>
        <v>0</v>
      </c>
      <c r="M106" s="33">
        <f t="shared" ref="M106:M114" si="84">N106-C106</f>
        <v>0</v>
      </c>
      <c r="N106" s="33">
        <v>3062</v>
      </c>
      <c r="O106" s="33">
        <v>4324</v>
      </c>
      <c r="P106" s="33">
        <v>0</v>
      </c>
      <c r="Q106" s="33">
        <v>4324</v>
      </c>
      <c r="R106" s="33">
        <v>3062</v>
      </c>
      <c r="S106" s="33">
        <f t="shared" ref="S106:S114" si="85">Q106-R106</f>
        <v>1262</v>
      </c>
      <c r="T106" s="38">
        <f t="shared" ref="T106:T114" si="86">IFERROR((Q106/N106)*100%,"∞")</f>
        <v>1.4121489222730241</v>
      </c>
      <c r="U106" s="59">
        <f t="shared" ref="U106:U114" si="87">N106+V106</f>
        <v>3062</v>
      </c>
      <c r="V106" s="33">
        <v>0</v>
      </c>
      <c r="W106" s="630">
        <v>0</v>
      </c>
      <c r="X106" s="33"/>
      <c r="Y106" s="33"/>
      <c r="Z106" s="42"/>
      <c r="AA106" s="60"/>
      <c r="AB106" s="105"/>
      <c r="AC106" s="93"/>
      <c r="AD106" s="33">
        <f t="shared" ref="AD106:AD114" si="88">SUM(AB106:AC106)</f>
        <v>0</v>
      </c>
      <c r="AE106" s="33">
        <f t="shared" ref="AE106:AE114" si="89">Q106+AD106</f>
        <v>4324</v>
      </c>
      <c r="AF106" s="101">
        <f t="shared" ref="AF106:AF114" si="90">AE106-N106</f>
        <v>1262</v>
      </c>
      <c r="AH106" t="s">
        <v>183</v>
      </c>
    </row>
    <row r="107" spans="2:36" ht="13" outlineLevel="1" x14ac:dyDescent="0.3">
      <c r="B107" s="79" t="s">
        <v>139</v>
      </c>
      <c r="C107" s="33">
        <v>602</v>
      </c>
      <c r="D107" s="33">
        <v>602</v>
      </c>
      <c r="E107" s="23">
        <v>0</v>
      </c>
      <c r="F107" s="23">
        <v>0</v>
      </c>
      <c r="G107" s="23">
        <v>0</v>
      </c>
      <c r="H107" s="23">
        <v>0</v>
      </c>
      <c r="I107" s="23">
        <v>0</v>
      </c>
      <c r="J107" s="23">
        <v>0</v>
      </c>
      <c r="K107" s="23">
        <f t="shared" si="82"/>
        <v>0</v>
      </c>
      <c r="L107" s="33">
        <f t="shared" si="83"/>
        <v>0</v>
      </c>
      <c r="M107" s="33">
        <f t="shared" si="84"/>
        <v>0</v>
      </c>
      <c r="N107" s="33">
        <v>602</v>
      </c>
      <c r="O107" s="33">
        <v>426</v>
      </c>
      <c r="P107" s="33">
        <v>0</v>
      </c>
      <c r="Q107" s="33">
        <v>426</v>
      </c>
      <c r="R107" s="33">
        <v>602</v>
      </c>
      <c r="S107" s="33">
        <f t="shared" si="85"/>
        <v>-176</v>
      </c>
      <c r="T107" s="38">
        <f t="shared" si="86"/>
        <v>0.70764119601328901</v>
      </c>
      <c r="U107" s="59">
        <f t="shared" si="87"/>
        <v>602</v>
      </c>
      <c r="V107" s="33">
        <v>0</v>
      </c>
      <c r="W107" s="630">
        <v>800</v>
      </c>
      <c r="X107" s="33"/>
      <c r="Y107" s="33"/>
      <c r="Z107" s="42"/>
      <c r="AA107" s="60"/>
      <c r="AB107" s="105"/>
      <c r="AC107" s="93"/>
      <c r="AD107" s="33">
        <f t="shared" si="88"/>
        <v>0</v>
      </c>
      <c r="AE107" s="33">
        <f t="shared" si="89"/>
        <v>426</v>
      </c>
      <c r="AF107" s="101">
        <f t="shared" si="90"/>
        <v>-176</v>
      </c>
    </row>
    <row r="108" spans="2:36" ht="13" outlineLevel="1" x14ac:dyDescent="0.3">
      <c r="B108" s="79" t="s">
        <v>141</v>
      </c>
      <c r="C108" s="33">
        <v>8228</v>
      </c>
      <c r="D108" s="33">
        <v>8228</v>
      </c>
      <c r="E108" s="23">
        <v>0</v>
      </c>
      <c r="F108" s="23">
        <v>0</v>
      </c>
      <c r="G108" s="23">
        <v>0</v>
      </c>
      <c r="H108" s="23">
        <v>0</v>
      </c>
      <c r="I108" s="23">
        <v>0</v>
      </c>
      <c r="J108" s="23">
        <v>0</v>
      </c>
      <c r="K108" s="23">
        <f t="shared" si="82"/>
        <v>0</v>
      </c>
      <c r="L108" s="33">
        <f t="shared" si="83"/>
        <v>0</v>
      </c>
      <c r="M108" s="33">
        <f t="shared" si="84"/>
        <v>0</v>
      </c>
      <c r="N108" s="33">
        <v>8228</v>
      </c>
      <c r="O108" s="33">
        <v>7965</v>
      </c>
      <c r="P108" s="33">
        <v>0</v>
      </c>
      <c r="Q108" s="33">
        <v>7965</v>
      </c>
      <c r="R108" s="33">
        <v>8228</v>
      </c>
      <c r="S108" s="33">
        <f t="shared" si="85"/>
        <v>-263</v>
      </c>
      <c r="T108" s="38">
        <f t="shared" si="86"/>
        <v>0.96803597472046665</v>
      </c>
      <c r="U108" s="59">
        <f t="shared" si="87"/>
        <v>8228</v>
      </c>
      <c r="V108" s="33">
        <v>0</v>
      </c>
      <c r="W108" s="630">
        <v>0</v>
      </c>
      <c r="X108" s="33"/>
      <c r="Y108" s="33"/>
      <c r="Z108" s="42"/>
      <c r="AA108" s="60"/>
      <c r="AB108" s="105"/>
      <c r="AC108" s="93">
        <v>-1541</v>
      </c>
      <c r="AD108" s="33">
        <f t="shared" si="88"/>
        <v>-1541</v>
      </c>
      <c r="AE108" s="33">
        <f t="shared" si="89"/>
        <v>6424</v>
      </c>
      <c r="AF108" s="101">
        <f t="shared" si="90"/>
        <v>-1804</v>
      </c>
      <c r="AH108" t="s">
        <v>184</v>
      </c>
    </row>
    <row r="109" spans="2:36" ht="13" outlineLevel="1" x14ac:dyDescent="0.3">
      <c r="B109" s="79" t="s">
        <v>142</v>
      </c>
      <c r="C109" s="33">
        <v>-4059</v>
      </c>
      <c r="D109" s="33">
        <v>-4059</v>
      </c>
      <c r="E109" s="23">
        <v>0</v>
      </c>
      <c r="F109" s="23">
        <v>0</v>
      </c>
      <c r="G109" s="23">
        <v>0</v>
      </c>
      <c r="H109" s="23">
        <v>0</v>
      </c>
      <c r="I109" s="23">
        <v>0</v>
      </c>
      <c r="J109" s="23">
        <v>0</v>
      </c>
      <c r="K109" s="23">
        <f t="shared" si="82"/>
        <v>0</v>
      </c>
      <c r="L109" s="33">
        <f t="shared" si="83"/>
        <v>0</v>
      </c>
      <c r="M109" s="33">
        <f t="shared" si="84"/>
        <v>0</v>
      </c>
      <c r="N109" s="33">
        <v>-4059</v>
      </c>
      <c r="O109" s="33">
        <v>121</v>
      </c>
      <c r="P109" s="33">
        <v>-4717</v>
      </c>
      <c r="Q109" s="33">
        <v>-4596</v>
      </c>
      <c r="R109" s="33">
        <v>-4059</v>
      </c>
      <c r="S109" s="33">
        <f t="shared" si="85"/>
        <v>-537</v>
      </c>
      <c r="T109" s="38">
        <f t="shared" si="86"/>
        <v>1.1322985957132299</v>
      </c>
      <c r="U109" s="59">
        <f t="shared" si="87"/>
        <v>-4059</v>
      </c>
      <c r="V109" s="33">
        <v>0</v>
      </c>
      <c r="W109" s="630">
        <v>0</v>
      </c>
      <c r="X109" s="33"/>
      <c r="Y109" s="33"/>
      <c r="Z109" s="42"/>
      <c r="AA109" s="60"/>
      <c r="AB109" s="105"/>
      <c r="AC109" s="93"/>
      <c r="AD109" s="33">
        <f t="shared" si="88"/>
        <v>0</v>
      </c>
      <c r="AE109" s="33">
        <f t="shared" si="89"/>
        <v>-4596</v>
      </c>
      <c r="AF109" s="101">
        <f t="shared" si="90"/>
        <v>-537</v>
      </c>
      <c r="AH109" t="s">
        <v>184</v>
      </c>
      <c r="AI109" s="19">
        <f>AF108+AF109+AF110+AF111</f>
        <v>-1750</v>
      </c>
    </row>
    <row r="110" spans="2:36" ht="13" outlineLevel="1" x14ac:dyDescent="0.3">
      <c r="B110" s="79" t="s">
        <v>143</v>
      </c>
      <c r="C110" s="33">
        <v>-8097</v>
      </c>
      <c r="D110" s="33">
        <v>-8097</v>
      </c>
      <c r="E110" s="23">
        <v>0</v>
      </c>
      <c r="F110" s="23">
        <v>0</v>
      </c>
      <c r="G110" s="23">
        <v>0</v>
      </c>
      <c r="H110" s="23">
        <v>0</v>
      </c>
      <c r="I110" s="23">
        <v>0</v>
      </c>
      <c r="J110" s="23">
        <v>0</v>
      </c>
      <c r="K110" s="23">
        <f t="shared" si="82"/>
        <v>0</v>
      </c>
      <c r="L110" s="33">
        <f t="shared" si="83"/>
        <v>0</v>
      </c>
      <c r="M110" s="33">
        <f t="shared" si="84"/>
        <v>0</v>
      </c>
      <c r="N110" s="33">
        <v>-8097</v>
      </c>
      <c r="O110" s="33">
        <v>0</v>
      </c>
      <c r="P110" s="33">
        <v>-7636</v>
      </c>
      <c r="Q110" s="33">
        <v>-7636</v>
      </c>
      <c r="R110" s="33">
        <v>-8097</v>
      </c>
      <c r="S110" s="33">
        <f t="shared" si="85"/>
        <v>461</v>
      </c>
      <c r="T110" s="38">
        <f t="shared" si="86"/>
        <v>0.94306533283932326</v>
      </c>
      <c r="U110" s="59">
        <f t="shared" si="87"/>
        <v>-8097</v>
      </c>
      <c r="V110" s="33">
        <v>0</v>
      </c>
      <c r="W110" s="630">
        <v>-211</v>
      </c>
      <c r="X110" s="33"/>
      <c r="Y110" s="33"/>
      <c r="Z110" s="42"/>
      <c r="AA110" s="60"/>
      <c r="AB110" s="105"/>
      <c r="AC110" s="93"/>
      <c r="AD110" s="33">
        <f t="shared" si="88"/>
        <v>0</v>
      </c>
      <c r="AE110" s="33">
        <f t="shared" si="89"/>
        <v>-7636</v>
      </c>
      <c r="AF110" s="101">
        <f t="shared" si="90"/>
        <v>461</v>
      </c>
      <c r="AH110" t="s">
        <v>184</v>
      </c>
      <c r="AI110" t="s">
        <v>185</v>
      </c>
    </row>
    <row r="111" spans="2:36" ht="13" outlineLevel="1" x14ac:dyDescent="0.3">
      <c r="B111" s="79" t="s">
        <v>144</v>
      </c>
      <c r="C111" s="33">
        <v>-605</v>
      </c>
      <c r="D111" s="33">
        <v>-605</v>
      </c>
      <c r="E111" s="23">
        <v>0</v>
      </c>
      <c r="F111" s="23">
        <v>0</v>
      </c>
      <c r="G111" s="23">
        <v>0</v>
      </c>
      <c r="H111" s="23">
        <v>0</v>
      </c>
      <c r="I111" s="23">
        <v>0</v>
      </c>
      <c r="J111" s="23">
        <v>0</v>
      </c>
      <c r="K111" s="23">
        <f t="shared" si="82"/>
        <v>0</v>
      </c>
      <c r="L111" s="33">
        <f t="shared" si="83"/>
        <v>0</v>
      </c>
      <c r="M111" s="33">
        <f t="shared" si="84"/>
        <v>0</v>
      </c>
      <c r="N111" s="33">
        <v>-605</v>
      </c>
      <c r="O111" s="33">
        <v>0</v>
      </c>
      <c r="P111" s="33">
        <v>-475</v>
      </c>
      <c r="Q111" s="33">
        <v>-475</v>
      </c>
      <c r="R111" s="33">
        <v>-605</v>
      </c>
      <c r="S111" s="33">
        <f t="shared" si="85"/>
        <v>130</v>
      </c>
      <c r="T111" s="38">
        <f t="shared" si="86"/>
        <v>0.78512396694214881</v>
      </c>
      <c r="U111" s="59">
        <f t="shared" si="87"/>
        <v>-605</v>
      </c>
      <c r="V111" s="33">
        <v>0</v>
      </c>
      <c r="W111" s="630">
        <v>0</v>
      </c>
      <c r="X111" s="33"/>
      <c r="Y111" s="33"/>
      <c r="Z111" s="42"/>
      <c r="AA111" s="60"/>
      <c r="AB111" s="105"/>
      <c r="AC111" s="93"/>
      <c r="AD111" s="33">
        <f t="shared" si="88"/>
        <v>0</v>
      </c>
      <c r="AE111" s="33">
        <f t="shared" si="89"/>
        <v>-475</v>
      </c>
      <c r="AF111" s="101">
        <f t="shared" si="90"/>
        <v>130</v>
      </c>
      <c r="AH111" t="s">
        <v>184</v>
      </c>
    </row>
    <row r="112" spans="2:36" ht="13" outlineLevel="1" x14ac:dyDescent="0.3">
      <c r="B112" s="79" t="s">
        <v>145</v>
      </c>
      <c r="C112" s="33">
        <v>2149</v>
      </c>
      <c r="D112" s="33">
        <v>2091</v>
      </c>
      <c r="E112" s="23">
        <v>0</v>
      </c>
      <c r="F112" s="23">
        <v>0</v>
      </c>
      <c r="G112" s="23">
        <v>-58</v>
      </c>
      <c r="H112" s="23">
        <v>58</v>
      </c>
      <c r="I112" s="23">
        <v>0</v>
      </c>
      <c r="J112" s="23">
        <v>0</v>
      </c>
      <c r="K112" s="23">
        <f t="shared" si="82"/>
        <v>0</v>
      </c>
      <c r="L112" s="33">
        <f t="shared" si="83"/>
        <v>58</v>
      </c>
      <c r="M112" s="33">
        <f t="shared" si="84"/>
        <v>0</v>
      </c>
      <c r="N112" s="33">
        <v>2149</v>
      </c>
      <c r="O112" s="33">
        <v>-90</v>
      </c>
      <c r="P112" s="33">
        <v>0</v>
      </c>
      <c r="Q112" s="33">
        <v>-90</v>
      </c>
      <c r="R112" s="33">
        <v>2149</v>
      </c>
      <c r="S112" s="33">
        <f t="shared" si="85"/>
        <v>-2239</v>
      </c>
      <c r="T112" s="38">
        <f t="shared" si="86"/>
        <v>-4.1879944160074456E-2</v>
      </c>
      <c r="U112" s="59">
        <f t="shared" si="87"/>
        <v>2149</v>
      </c>
      <c r="V112" s="33">
        <v>0</v>
      </c>
      <c r="W112" s="630">
        <v>0</v>
      </c>
      <c r="X112" s="33"/>
      <c r="Y112" s="33"/>
      <c r="Z112" s="42"/>
      <c r="AA112" s="60"/>
      <c r="AB112" s="105"/>
      <c r="AC112" s="93">
        <v>90</v>
      </c>
      <c r="AD112" s="33">
        <f t="shared" si="88"/>
        <v>90</v>
      </c>
      <c r="AE112" s="33">
        <f t="shared" si="89"/>
        <v>0</v>
      </c>
      <c r="AF112" s="101">
        <f t="shared" si="90"/>
        <v>-2149</v>
      </c>
      <c r="AH112" t="s">
        <v>186</v>
      </c>
    </row>
    <row r="113" spans="2:50" ht="13" outlineLevel="1" x14ac:dyDescent="0.3">
      <c r="B113" s="79" t="s">
        <v>146</v>
      </c>
      <c r="C113" s="33">
        <v>165</v>
      </c>
      <c r="D113" s="33">
        <v>165</v>
      </c>
      <c r="E113" s="23">
        <v>0</v>
      </c>
      <c r="F113" s="23">
        <v>0</v>
      </c>
      <c r="G113" s="23">
        <v>0</v>
      </c>
      <c r="H113" s="23">
        <v>0</v>
      </c>
      <c r="I113" s="23">
        <v>0</v>
      </c>
      <c r="J113" s="23">
        <v>0</v>
      </c>
      <c r="K113" s="23">
        <f t="shared" si="82"/>
        <v>0</v>
      </c>
      <c r="L113" s="33">
        <f t="shared" si="83"/>
        <v>0</v>
      </c>
      <c r="M113" s="33">
        <f t="shared" si="84"/>
        <v>0</v>
      </c>
      <c r="N113" s="33">
        <v>165</v>
      </c>
      <c r="O113" s="33">
        <v>37</v>
      </c>
      <c r="P113" s="33">
        <v>0</v>
      </c>
      <c r="Q113" s="33">
        <v>37</v>
      </c>
      <c r="R113" s="33">
        <v>165</v>
      </c>
      <c r="S113" s="33">
        <f t="shared" si="85"/>
        <v>-128</v>
      </c>
      <c r="T113" s="38">
        <f t="shared" si="86"/>
        <v>0.22424242424242424</v>
      </c>
      <c r="U113" s="59">
        <f t="shared" si="87"/>
        <v>165</v>
      </c>
      <c r="V113" s="33">
        <v>0</v>
      </c>
      <c r="W113" s="630">
        <v>-200</v>
      </c>
      <c r="X113" s="33"/>
      <c r="Y113" s="33"/>
      <c r="Z113" s="42"/>
      <c r="AA113" s="60"/>
      <c r="AB113" s="105"/>
      <c r="AC113" s="93"/>
      <c r="AD113" s="33">
        <f t="shared" si="88"/>
        <v>0</v>
      </c>
      <c r="AE113" s="33">
        <f t="shared" si="89"/>
        <v>37</v>
      </c>
      <c r="AF113" s="101">
        <f t="shared" si="90"/>
        <v>-128</v>
      </c>
      <c r="AH113" t="s">
        <v>181</v>
      </c>
    </row>
    <row r="114" spans="2:50" ht="13" outlineLevel="1" x14ac:dyDescent="0.3">
      <c r="B114" s="79" t="s">
        <v>147</v>
      </c>
      <c r="C114" s="33">
        <v>0</v>
      </c>
      <c r="D114" s="33">
        <v>0</v>
      </c>
      <c r="E114" s="23">
        <v>0</v>
      </c>
      <c r="F114" s="23">
        <v>0</v>
      </c>
      <c r="G114" s="23">
        <v>0</v>
      </c>
      <c r="H114" s="23">
        <v>0</v>
      </c>
      <c r="I114" s="23">
        <v>0</v>
      </c>
      <c r="J114" s="23">
        <v>0</v>
      </c>
      <c r="K114" s="23">
        <f t="shared" si="82"/>
        <v>0</v>
      </c>
      <c r="L114" s="33">
        <f t="shared" si="83"/>
        <v>0</v>
      </c>
      <c r="M114" s="33">
        <f t="shared" si="84"/>
        <v>0</v>
      </c>
      <c r="N114" s="33">
        <v>0</v>
      </c>
      <c r="O114" s="33">
        <v>24346</v>
      </c>
      <c r="P114" s="33">
        <v>-24346</v>
      </c>
      <c r="Q114" s="33">
        <v>0</v>
      </c>
      <c r="R114" s="33">
        <v>0</v>
      </c>
      <c r="S114" s="33">
        <f t="shared" si="85"/>
        <v>0</v>
      </c>
      <c r="T114" s="38" t="str">
        <f t="shared" si="86"/>
        <v>∞</v>
      </c>
      <c r="U114" s="59">
        <f t="shared" si="87"/>
        <v>0</v>
      </c>
      <c r="V114" s="33">
        <v>0</v>
      </c>
      <c r="W114" s="630">
        <v>0</v>
      </c>
      <c r="X114" s="33"/>
      <c r="Y114" s="33"/>
      <c r="Z114" s="42"/>
      <c r="AA114" s="60"/>
      <c r="AB114" s="105"/>
      <c r="AC114" s="93"/>
      <c r="AD114" s="33">
        <f t="shared" si="88"/>
        <v>0</v>
      </c>
      <c r="AE114" s="33">
        <f t="shared" si="89"/>
        <v>0</v>
      </c>
      <c r="AF114" s="101">
        <f t="shared" si="90"/>
        <v>0</v>
      </c>
      <c r="AM114" t="s">
        <v>187</v>
      </c>
      <c r="AN114" t="s">
        <v>188</v>
      </c>
      <c r="AO114" t="s">
        <v>189</v>
      </c>
      <c r="AP114" t="s">
        <v>190</v>
      </c>
      <c r="AQ114" t="s">
        <v>191</v>
      </c>
      <c r="AR114" t="s">
        <v>192</v>
      </c>
      <c r="AS114" t="s">
        <v>193</v>
      </c>
      <c r="AT114" t="s">
        <v>194</v>
      </c>
      <c r="AU114" t="s">
        <v>195</v>
      </c>
      <c r="AV114" s="123" t="s">
        <v>196</v>
      </c>
      <c r="AW114" t="s">
        <v>197</v>
      </c>
      <c r="AX114" t="s">
        <v>198</v>
      </c>
    </row>
    <row r="115" spans="2:50" ht="13" outlineLevel="1" x14ac:dyDescent="0.3">
      <c r="B115" s="79" t="s">
        <v>199</v>
      </c>
      <c r="C115" s="33">
        <v>0</v>
      </c>
      <c r="D115" s="33">
        <v>0</v>
      </c>
      <c r="E115" s="23">
        <v>0</v>
      </c>
      <c r="F115" s="23">
        <v>0</v>
      </c>
      <c r="G115" s="23">
        <v>0</v>
      </c>
      <c r="H115" s="23">
        <v>0</v>
      </c>
      <c r="I115" s="23">
        <v>0</v>
      </c>
      <c r="J115" s="23">
        <v>0</v>
      </c>
      <c r="K115" s="23">
        <f>SUM(E115:J115)</f>
        <v>0</v>
      </c>
      <c r="L115" s="33">
        <f>N115-D115</f>
        <v>0</v>
      </c>
      <c r="M115" s="33">
        <f>N115-C115</f>
        <v>0</v>
      </c>
      <c r="N115" s="33">
        <v>0</v>
      </c>
      <c r="O115" s="33">
        <v>-1541</v>
      </c>
      <c r="P115" s="33">
        <v>0</v>
      </c>
      <c r="Q115" s="33">
        <v>-1541</v>
      </c>
      <c r="R115" s="33">
        <v>0</v>
      </c>
      <c r="S115" s="33">
        <f>Q115-R115</f>
        <v>-1541</v>
      </c>
      <c r="T115" s="38" t="str">
        <f>IFERROR((Q115/N115)*100%,"∞")</f>
        <v>∞</v>
      </c>
      <c r="U115" s="59">
        <f>N115+V115</f>
        <v>0</v>
      </c>
      <c r="V115" s="33">
        <v>0</v>
      </c>
      <c r="W115" s="630">
        <v>0</v>
      </c>
      <c r="X115" s="33"/>
      <c r="Y115" s="33"/>
      <c r="Z115" s="42"/>
      <c r="AA115" s="60"/>
      <c r="AB115" s="105"/>
      <c r="AC115" s="93">
        <v>1541</v>
      </c>
      <c r="AD115" s="33">
        <f>SUM(AB115:AC115)</f>
        <v>1541</v>
      </c>
      <c r="AE115" s="33">
        <f>Q115+AD115</f>
        <v>0</v>
      </c>
      <c r="AF115" s="101">
        <f>AE115-N115</f>
        <v>0</v>
      </c>
      <c r="AH115" t="s">
        <v>200</v>
      </c>
      <c r="AI115" t="s">
        <v>201</v>
      </c>
      <c r="AM115" t="s">
        <v>202</v>
      </c>
      <c r="AN115" t="s">
        <v>203</v>
      </c>
      <c r="AO115">
        <v>10354210</v>
      </c>
      <c r="AP115">
        <v>0</v>
      </c>
      <c r="AQ115" s="639">
        <v>44693</v>
      </c>
      <c r="AR115">
        <v>202212</v>
      </c>
      <c r="AS115" t="s">
        <v>204</v>
      </c>
      <c r="AT115" t="s">
        <v>205</v>
      </c>
      <c r="AU115" t="s">
        <v>206</v>
      </c>
      <c r="AV115" s="123">
        <v>-1540509.77</v>
      </c>
      <c r="AW115" t="s">
        <v>207</v>
      </c>
      <c r="AX115" t="s">
        <v>208</v>
      </c>
    </row>
    <row r="116" spans="2:50" ht="13" outlineLevel="1" x14ac:dyDescent="0.3">
      <c r="B116" s="79" t="s">
        <v>148</v>
      </c>
      <c r="C116" s="33">
        <v>-538</v>
      </c>
      <c r="D116" s="33">
        <v>-538</v>
      </c>
      <c r="E116" s="23">
        <v>0</v>
      </c>
      <c r="F116" s="23">
        <v>0</v>
      </c>
      <c r="G116" s="23">
        <v>0</v>
      </c>
      <c r="H116" s="23">
        <v>0</v>
      </c>
      <c r="I116" s="23">
        <v>0</v>
      </c>
      <c r="J116" s="23">
        <v>0</v>
      </c>
      <c r="K116" s="23">
        <f>SUM(E116:J116)</f>
        <v>0</v>
      </c>
      <c r="L116" s="33">
        <f>N116-D116</f>
        <v>0</v>
      </c>
      <c r="M116" s="33">
        <f>N116-C116</f>
        <v>0</v>
      </c>
      <c r="N116" s="33">
        <v>-538</v>
      </c>
      <c r="O116" s="33">
        <v>0</v>
      </c>
      <c r="P116" s="33">
        <v>-538</v>
      </c>
      <c r="Q116" s="33">
        <v>-538</v>
      </c>
      <c r="R116" s="33">
        <v>-538</v>
      </c>
      <c r="S116" s="33">
        <f>Q116-R116</f>
        <v>0</v>
      </c>
      <c r="T116" s="38">
        <f>IFERROR((Q116/N116)*100%,"∞")</f>
        <v>1</v>
      </c>
      <c r="U116" s="59">
        <f>N116+V116</f>
        <v>-538</v>
      </c>
      <c r="V116" s="33">
        <v>0</v>
      </c>
      <c r="W116" s="630">
        <v>0</v>
      </c>
      <c r="X116" s="33"/>
      <c r="Y116" s="33"/>
      <c r="Z116" s="42"/>
      <c r="AA116" s="60"/>
      <c r="AB116" s="105"/>
      <c r="AC116" s="93"/>
      <c r="AD116" s="33">
        <f>SUM(AB116:AC116)</f>
        <v>0</v>
      </c>
      <c r="AE116" s="33">
        <f>Q116+AD116</f>
        <v>-538</v>
      </c>
      <c r="AF116" s="101">
        <f>AE116-N116</f>
        <v>0</v>
      </c>
      <c r="AL116" t="s">
        <v>209</v>
      </c>
      <c r="AM116" t="s">
        <v>202</v>
      </c>
      <c r="AN116" t="s">
        <v>203</v>
      </c>
      <c r="AO116">
        <v>10354210</v>
      </c>
      <c r="AP116">
        <v>1</v>
      </c>
      <c r="AQ116" s="639">
        <v>44693</v>
      </c>
      <c r="AR116">
        <v>202212</v>
      </c>
      <c r="AS116" t="s">
        <v>210</v>
      </c>
      <c r="AT116" t="s">
        <v>211</v>
      </c>
      <c r="AU116" t="s">
        <v>206</v>
      </c>
      <c r="AV116" s="123">
        <v>1540509.77</v>
      </c>
      <c r="AW116" t="s">
        <v>207</v>
      </c>
      <c r="AX116" t="s">
        <v>208</v>
      </c>
    </row>
    <row r="117" spans="2:50" ht="13" x14ac:dyDescent="0.3">
      <c r="B117" s="85"/>
      <c r="C117" s="86"/>
      <c r="D117" s="86"/>
      <c r="E117" s="87"/>
      <c r="F117" s="87"/>
      <c r="G117" s="87"/>
      <c r="H117" s="87"/>
      <c r="I117" s="87"/>
      <c r="J117" s="87"/>
      <c r="K117" s="87"/>
      <c r="L117" s="86"/>
      <c r="M117" s="86"/>
      <c r="N117" s="86"/>
      <c r="O117" s="86"/>
      <c r="P117" s="86"/>
      <c r="Q117" s="86"/>
      <c r="R117" s="86"/>
      <c r="S117" s="86"/>
      <c r="T117" s="86"/>
      <c r="U117" s="88"/>
      <c r="V117" s="86"/>
      <c r="W117" s="638"/>
      <c r="X117" s="86"/>
      <c r="Y117" s="86"/>
      <c r="Z117" s="89"/>
      <c r="AA117" s="60"/>
      <c r="AB117" s="98"/>
      <c r="AC117" s="36"/>
      <c r="AD117" s="36"/>
      <c r="AE117" s="36"/>
      <c r="AF117" s="99"/>
      <c r="AL117" t="s">
        <v>212</v>
      </c>
      <c r="AM117" t="s">
        <v>202</v>
      </c>
      <c r="AN117" t="s">
        <v>203</v>
      </c>
      <c r="AO117">
        <v>10354210</v>
      </c>
      <c r="AP117">
        <v>2</v>
      </c>
      <c r="AQ117" s="639">
        <v>44693</v>
      </c>
      <c r="AR117">
        <v>202212</v>
      </c>
      <c r="AS117" t="s">
        <v>213</v>
      </c>
      <c r="AT117" t="s">
        <v>214</v>
      </c>
      <c r="AU117" t="s">
        <v>215</v>
      </c>
      <c r="AV117" s="123">
        <v>-1540509.77</v>
      </c>
      <c r="AW117" t="s">
        <v>207</v>
      </c>
      <c r="AX117" t="s">
        <v>208</v>
      </c>
    </row>
    <row r="118" spans="2:50" ht="13" x14ac:dyDescent="0.3">
      <c r="B118" s="78" t="s">
        <v>149</v>
      </c>
      <c r="C118" s="34">
        <f t="shared" ref="C118:J118" si="91">SUM(C119:C127)</f>
        <v>633</v>
      </c>
      <c r="D118" s="34">
        <f t="shared" si="91"/>
        <v>895</v>
      </c>
      <c r="E118" s="24">
        <f t="shared" si="91"/>
        <v>0</v>
      </c>
      <c r="F118" s="24">
        <f t="shared" si="91"/>
        <v>0</v>
      </c>
      <c r="G118" s="24">
        <f t="shared" si="91"/>
        <v>262</v>
      </c>
      <c r="H118" s="24">
        <f t="shared" si="91"/>
        <v>0</v>
      </c>
      <c r="I118" s="24">
        <f t="shared" si="91"/>
        <v>0</v>
      </c>
      <c r="J118" s="24">
        <f t="shared" si="91"/>
        <v>0</v>
      </c>
      <c r="K118" s="24">
        <f>SUM(E118:J118)</f>
        <v>262</v>
      </c>
      <c r="L118" s="34">
        <f>N118-D118</f>
        <v>0</v>
      </c>
      <c r="M118" s="34">
        <f>N118-C118</f>
        <v>262</v>
      </c>
      <c r="N118" s="34">
        <f>SUM(N119:N127)</f>
        <v>895</v>
      </c>
      <c r="O118" s="34">
        <f>SUM(O119:O127)</f>
        <v>563</v>
      </c>
      <c r="P118" s="34">
        <f>SUM(P119:P127)</f>
        <v>-1060</v>
      </c>
      <c r="Q118" s="34">
        <f>SUM(Q119:Q127)</f>
        <v>-497</v>
      </c>
      <c r="R118" s="34">
        <f>SUM(R119:R127)</f>
        <v>895</v>
      </c>
      <c r="S118" s="34">
        <f>Q118-R118</f>
        <v>-1392</v>
      </c>
      <c r="T118" s="94">
        <f>IFERROR((Q118/N118)*100%,"∞")</f>
        <v>-0.55530726256983243</v>
      </c>
      <c r="U118" s="95">
        <f>N118+V118</f>
        <v>895</v>
      </c>
      <c r="V118" s="34">
        <f>SUM(V119:V127)</f>
        <v>0</v>
      </c>
      <c r="W118" s="631">
        <f>SUM(W119:W127)</f>
        <v>0</v>
      </c>
      <c r="X118" s="34"/>
      <c r="Y118" s="34"/>
      <c r="Z118" s="41"/>
      <c r="AA118" s="60"/>
      <c r="AB118" s="100">
        <f>SUM(AB119:AB127)</f>
        <v>0</v>
      </c>
      <c r="AC118" s="34">
        <f>SUM(AC119:AC127)</f>
        <v>0</v>
      </c>
      <c r="AD118" s="34">
        <f>SUM(AD119:AD127)</f>
        <v>0</v>
      </c>
      <c r="AE118" s="34">
        <f>SUM(AE119:AE127)</f>
        <v>-497</v>
      </c>
      <c r="AF118" s="103">
        <f>SUM(AF119:AF127)</f>
        <v>-1392</v>
      </c>
      <c r="AM118" t="s">
        <v>202</v>
      </c>
      <c r="AN118" t="s">
        <v>203</v>
      </c>
      <c r="AO118">
        <v>10354210</v>
      </c>
      <c r="AP118">
        <v>3</v>
      </c>
      <c r="AQ118" s="639">
        <v>44693</v>
      </c>
      <c r="AR118">
        <v>202212</v>
      </c>
      <c r="AS118" t="s">
        <v>216</v>
      </c>
      <c r="AT118" t="s">
        <v>217</v>
      </c>
      <c r="AU118" t="s">
        <v>215</v>
      </c>
      <c r="AV118" s="123">
        <v>1540509.77</v>
      </c>
      <c r="AW118" t="s">
        <v>207</v>
      </c>
      <c r="AX118" t="s">
        <v>208</v>
      </c>
    </row>
    <row r="119" spans="2:50" ht="13" outlineLevel="1" x14ac:dyDescent="0.3">
      <c r="B119" s="79" t="s">
        <v>150</v>
      </c>
      <c r="C119" s="33">
        <v>278</v>
      </c>
      <c r="D119" s="33">
        <v>278</v>
      </c>
      <c r="E119" s="23">
        <v>0</v>
      </c>
      <c r="F119" s="23">
        <v>0</v>
      </c>
      <c r="G119" s="23">
        <v>0</v>
      </c>
      <c r="H119" s="23">
        <v>0</v>
      </c>
      <c r="I119" s="23">
        <v>0</v>
      </c>
      <c r="J119" s="23">
        <v>0</v>
      </c>
      <c r="K119" s="23">
        <f>SUM(E119:J119)</f>
        <v>0</v>
      </c>
      <c r="L119" s="33">
        <f>N119-D119</f>
        <v>0</v>
      </c>
      <c r="M119" s="33">
        <f>N119-C119</f>
        <v>0</v>
      </c>
      <c r="N119" s="33">
        <v>278</v>
      </c>
      <c r="O119" s="33">
        <v>0</v>
      </c>
      <c r="P119" s="33">
        <v>0</v>
      </c>
      <c r="Q119" s="33">
        <v>0</v>
      </c>
      <c r="R119" s="33">
        <v>278</v>
      </c>
      <c r="S119" s="33">
        <f>Q119-R119</f>
        <v>-278</v>
      </c>
      <c r="T119" s="38">
        <f>IFERROR((Q119/N119)*100%,"∞")</f>
        <v>0</v>
      </c>
      <c r="U119" s="59">
        <f>N119+V119</f>
        <v>278</v>
      </c>
      <c r="V119" s="33">
        <v>0</v>
      </c>
      <c r="W119" s="630">
        <v>0</v>
      </c>
      <c r="X119" s="33"/>
      <c r="Y119" s="33"/>
      <c r="Z119" s="42"/>
      <c r="AA119" s="60"/>
      <c r="AB119" s="105"/>
      <c r="AC119" s="93"/>
      <c r="AD119" s="33">
        <f>SUM(AB119:AC119)</f>
        <v>0</v>
      </c>
      <c r="AE119" s="33">
        <f>Q119+AD119</f>
        <v>0</v>
      </c>
      <c r="AF119" s="101">
        <f>AE119-N119</f>
        <v>-278</v>
      </c>
      <c r="AV119" s="123">
        <v>0</v>
      </c>
    </row>
    <row r="120" spans="2:50" ht="13" outlineLevel="1" x14ac:dyDescent="0.3">
      <c r="B120" s="79" t="s">
        <v>151</v>
      </c>
      <c r="C120" s="33">
        <v>-390</v>
      </c>
      <c r="D120" s="33">
        <v>540</v>
      </c>
      <c r="E120" s="23">
        <v>0</v>
      </c>
      <c r="F120" s="23">
        <v>0</v>
      </c>
      <c r="G120" s="23">
        <v>930</v>
      </c>
      <c r="H120" s="23">
        <v>0</v>
      </c>
      <c r="I120" s="23">
        <v>0</v>
      </c>
      <c r="J120" s="23">
        <v>0</v>
      </c>
      <c r="K120" s="23">
        <f t="shared" ref="K120:K126" si="92">SUM(E120:J120)</f>
        <v>930</v>
      </c>
      <c r="L120" s="33">
        <f t="shared" ref="L120:L126" si="93">N120-D120</f>
        <v>0</v>
      </c>
      <c r="M120" s="33">
        <f t="shared" ref="M120:M126" si="94">N120-C120</f>
        <v>930</v>
      </c>
      <c r="N120" s="33">
        <v>540</v>
      </c>
      <c r="O120" s="33">
        <v>1667</v>
      </c>
      <c r="P120" s="33">
        <v>0</v>
      </c>
      <c r="Q120" s="33">
        <v>1667</v>
      </c>
      <c r="R120" s="33">
        <v>540</v>
      </c>
      <c r="S120" s="33">
        <f t="shared" ref="S120:S126" si="95">Q120-R120</f>
        <v>1127</v>
      </c>
      <c r="T120" s="38">
        <f t="shared" ref="T120:T126" si="96">IFERROR((Q120/N120)*100%,"∞")</f>
        <v>3.087037037037037</v>
      </c>
      <c r="U120" s="59">
        <f t="shared" ref="U120:U126" si="97">N120+V120</f>
        <v>540</v>
      </c>
      <c r="V120" s="33">
        <v>0</v>
      </c>
      <c r="W120" s="630">
        <v>0</v>
      </c>
      <c r="X120" s="33"/>
      <c r="Y120" s="33"/>
      <c r="Z120" s="42"/>
      <c r="AA120" s="60"/>
      <c r="AB120" s="105"/>
      <c r="AC120" s="93"/>
      <c r="AD120" s="33">
        <f t="shared" ref="AD120:AD126" si="98">SUM(AB120:AC120)</f>
        <v>0</v>
      </c>
      <c r="AE120" s="33">
        <f t="shared" ref="AE120:AE126" si="99">Q120+AD120</f>
        <v>1667</v>
      </c>
      <c r="AF120" s="101">
        <f t="shared" ref="AF120:AF126" si="100">AE120-N120</f>
        <v>1127</v>
      </c>
      <c r="AH120" t="s">
        <v>218</v>
      </c>
    </row>
    <row r="121" spans="2:50" ht="13" outlineLevel="1" x14ac:dyDescent="0.3">
      <c r="B121" s="79" t="s">
        <v>152</v>
      </c>
      <c r="C121" s="33">
        <v>588</v>
      </c>
      <c r="D121" s="33">
        <v>0</v>
      </c>
      <c r="E121" s="23">
        <v>0</v>
      </c>
      <c r="F121" s="23">
        <v>0</v>
      </c>
      <c r="G121" s="23">
        <v>-588</v>
      </c>
      <c r="H121" s="23">
        <v>0</v>
      </c>
      <c r="I121" s="23">
        <v>0</v>
      </c>
      <c r="J121" s="23">
        <v>0</v>
      </c>
      <c r="K121" s="23">
        <f t="shared" si="92"/>
        <v>-588</v>
      </c>
      <c r="L121" s="33">
        <f t="shared" si="93"/>
        <v>0</v>
      </c>
      <c r="M121" s="33">
        <f t="shared" si="94"/>
        <v>-588</v>
      </c>
      <c r="N121" s="33">
        <v>0</v>
      </c>
      <c r="O121" s="33">
        <v>0</v>
      </c>
      <c r="P121" s="33">
        <v>0</v>
      </c>
      <c r="Q121" s="33">
        <v>0</v>
      </c>
      <c r="R121" s="33">
        <v>0</v>
      </c>
      <c r="S121" s="33">
        <f t="shared" si="95"/>
        <v>0</v>
      </c>
      <c r="T121" s="38" t="str">
        <f t="shared" si="96"/>
        <v>∞</v>
      </c>
      <c r="U121" s="59">
        <f t="shared" si="97"/>
        <v>0</v>
      </c>
      <c r="V121" s="33">
        <v>0</v>
      </c>
      <c r="W121" s="630">
        <v>0</v>
      </c>
      <c r="X121" s="33"/>
      <c r="Y121" s="33"/>
      <c r="Z121" s="42"/>
      <c r="AA121" s="60"/>
      <c r="AB121" s="105"/>
      <c r="AC121" s="93"/>
      <c r="AD121" s="33">
        <f t="shared" si="98"/>
        <v>0</v>
      </c>
      <c r="AE121" s="33">
        <f t="shared" si="99"/>
        <v>0</v>
      </c>
      <c r="AF121" s="101">
        <f t="shared" si="100"/>
        <v>0</v>
      </c>
    </row>
    <row r="122" spans="2:50" ht="13" outlineLevel="1" x14ac:dyDescent="0.3">
      <c r="B122" s="79" t="s">
        <v>153</v>
      </c>
      <c r="C122" s="33">
        <v>1170</v>
      </c>
      <c r="D122" s="33">
        <v>1090</v>
      </c>
      <c r="E122" s="23">
        <v>0</v>
      </c>
      <c r="F122" s="23">
        <v>0</v>
      </c>
      <c r="G122" s="23">
        <v>-80</v>
      </c>
      <c r="H122" s="23">
        <v>0</v>
      </c>
      <c r="I122" s="23">
        <v>0</v>
      </c>
      <c r="J122" s="23">
        <v>0</v>
      </c>
      <c r="K122" s="23">
        <f t="shared" si="92"/>
        <v>-80</v>
      </c>
      <c r="L122" s="33">
        <f t="shared" si="93"/>
        <v>0</v>
      </c>
      <c r="M122" s="33">
        <f t="shared" si="94"/>
        <v>-80</v>
      </c>
      <c r="N122" s="33">
        <v>1090</v>
      </c>
      <c r="O122" s="33">
        <v>0</v>
      </c>
      <c r="P122" s="33">
        <v>0</v>
      </c>
      <c r="Q122" s="33">
        <v>0</v>
      </c>
      <c r="R122" s="33">
        <v>1090</v>
      </c>
      <c r="S122" s="33">
        <f t="shared" si="95"/>
        <v>-1090</v>
      </c>
      <c r="T122" s="38">
        <f t="shared" si="96"/>
        <v>0</v>
      </c>
      <c r="U122" s="59">
        <f t="shared" si="97"/>
        <v>1090</v>
      </c>
      <c r="V122" s="33">
        <v>0</v>
      </c>
      <c r="W122" s="630">
        <v>0</v>
      </c>
      <c r="X122" s="33"/>
      <c r="Y122" s="33"/>
      <c r="Z122" s="42"/>
      <c r="AA122" s="60"/>
      <c r="AB122" s="105"/>
      <c r="AC122" s="93"/>
      <c r="AD122" s="33">
        <f t="shared" si="98"/>
        <v>0</v>
      </c>
      <c r="AE122" s="33">
        <f t="shared" si="99"/>
        <v>0</v>
      </c>
      <c r="AF122" s="101">
        <f t="shared" si="100"/>
        <v>-1090</v>
      </c>
    </row>
    <row r="123" spans="2:50" ht="13" outlineLevel="1" x14ac:dyDescent="0.3">
      <c r="B123" s="79" t="s">
        <v>154</v>
      </c>
      <c r="C123" s="33">
        <v>472</v>
      </c>
      <c r="D123" s="33">
        <v>472</v>
      </c>
      <c r="E123" s="23">
        <v>0</v>
      </c>
      <c r="F123" s="23">
        <v>0</v>
      </c>
      <c r="G123" s="23">
        <v>0</v>
      </c>
      <c r="H123" s="23">
        <v>0</v>
      </c>
      <c r="I123" s="23">
        <v>0</v>
      </c>
      <c r="J123" s="23">
        <v>0</v>
      </c>
      <c r="K123" s="23">
        <f t="shared" si="92"/>
        <v>0</v>
      </c>
      <c r="L123" s="33">
        <f t="shared" si="93"/>
        <v>0</v>
      </c>
      <c r="M123" s="33">
        <f t="shared" si="94"/>
        <v>0</v>
      </c>
      <c r="N123" s="33">
        <v>472</v>
      </c>
      <c r="O123" s="33">
        <v>0</v>
      </c>
      <c r="P123" s="33">
        <v>0</v>
      </c>
      <c r="Q123" s="33">
        <v>0</v>
      </c>
      <c r="R123" s="33">
        <v>472</v>
      </c>
      <c r="S123" s="33">
        <f t="shared" si="95"/>
        <v>-472</v>
      </c>
      <c r="T123" s="38">
        <f t="shared" si="96"/>
        <v>0</v>
      </c>
      <c r="U123" s="59">
        <f t="shared" si="97"/>
        <v>472</v>
      </c>
      <c r="V123" s="33">
        <v>0</v>
      </c>
      <c r="W123" s="630">
        <v>0</v>
      </c>
      <c r="X123" s="33"/>
      <c r="Y123" s="33"/>
      <c r="Z123" s="42"/>
      <c r="AA123" s="60"/>
      <c r="AB123" s="105"/>
      <c r="AC123" s="93"/>
      <c r="AD123" s="33">
        <f t="shared" si="98"/>
        <v>0</v>
      </c>
      <c r="AE123" s="33">
        <f t="shared" si="99"/>
        <v>0</v>
      </c>
      <c r="AF123" s="101">
        <f t="shared" si="100"/>
        <v>-472</v>
      </c>
    </row>
    <row r="124" spans="2:50" ht="13" outlineLevel="1" x14ac:dyDescent="0.3">
      <c r="B124" s="79" t="s">
        <v>219</v>
      </c>
      <c r="C124" s="33">
        <v>-485</v>
      </c>
      <c r="D124" s="33">
        <v>-485</v>
      </c>
      <c r="E124" s="23">
        <v>0</v>
      </c>
      <c r="F124" s="23">
        <v>0</v>
      </c>
      <c r="G124" s="23">
        <v>0</v>
      </c>
      <c r="H124" s="23">
        <v>0</v>
      </c>
      <c r="I124" s="23">
        <v>0</v>
      </c>
      <c r="J124" s="23">
        <v>0</v>
      </c>
      <c r="K124" s="23">
        <f t="shared" si="92"/>
        <v>0</v>
      </c>
      <c r="L124" s="33">
        <f t="shared" si="93"/>
        <v>0</v>
      </c>
      <c r="M124" s="33">
        <f t="shared" si="94"/>
        <v>0</v>
      </c>
      <c r="N124" s="33">
        <v>-485</v>
      </c>
      <c r="O124" s="33">
        <v>0</v>
      </c>
      <c r="P124" s="33">
        <v>0</v>
      </c>
      <c r="Q124" s="33">
        <v>0</v>
      </c>
      <c r="R124" s="33">
        <v>-485</v>
      </c>
      <c r="S124" s="33">
        <f t="shared" si="95"/>
        <v>485</v>
      </c>
      <c r="T124" s="38">
        <f t="shared" si="96"/>
        <v>0</v>
      </c>
      <c r="U124" s="59">
        <f t="shared" si="97"/>
        <v>-485</v>
      </c>
      <c r="V124" s="33">
        <v>0</v>
      </c>
      <c r="W124" s="630">
        <v>0</v>
      </c>
      <c r="X124" s="33"/>
      <c r="Y124" s="33"/>
      <c r="Z124" s="42"/>
      <c r="AA124" s="60"/>
      <c r="AB124" s="105"/>
      <c r="AC124" s="93"/>
      <c r="AD124" s="33">
        <f t="shared" si="98"/>
        <v>0</v>
      </c>
      <c r="AE124" s="33">
        <f t="shared" si="99"/>
        <v>0</v>
      </c>
      <c r="AF124" s="101">
        <f t="shared" si="100"/>
        <v>485</v>
      </c>
      <c r="AH124" t="s">
        <v>220</v>
      </c>
    </row>
    <row r="125" spans="2:50" ht="13" outlineLevel="1" x14ac:dyDescent="0.3">
      <c r="B125" s="79" t="s">
        <v>221</v>
      </c>
      <c r="C125" s="33">
        <v>-1000</v>
      </c>
      <c r="D125" s="33">
        <v>-1000</v>
      </c>
      <c r="E125" s="23">
        <v>0</v>
      </c>
      <c r="F125" s="23">
        <v>0</v>
      </c>
      <c r="G125" s="23">
        <v>0</v>
      </c>
      <c r="H125" s="23">
        <v>0</v>
      </c>
      <c r="I125" s="23">
        <v>0</v>
      </c>
      <c r="J125" s="23">
        <v>0</v>
      </c>
      <c r="K125" s="23">
        <f t="shared" si="92"/>
        <v>0</v>
      </c>
      <c r="L125" s="33">
        <f t="shared" si="93"/>
        <v>0</v>
      </c>
      <c r="M125" s="33">
        <f t="shared" si="94"/>
        <v>0</v>
      </c>
      <c r="N125" s="33">
        <v>-1000</v>
      </c>
      <c r="O125" s="33">
        <v>-1104</v>
      </c>
      <c r="P125" s="33">
        <v>0</v>
      </c>
      <c r="Q125" s="33">
        <v>-1104</v>
      </c>
      <c r="R125" s="33">
        <v>-1000</v>
      </c>
      <c r="S125" s="33">
        <f t="shared" si="95"/>
        <v>-104</v>
      </c>
      <c r="T125" s="38">
        <f t="shared" si="96"/>
        <v>1.1040000000000001</v>
      </c>
      <c r="U125" s="59">
        <f t="shared" si="97"/>
        <v>-1000</v>
      </c>
      <c r="V125" s="33">
        <v>0</v>
      </c>
      <c r="W125" s="630">
        <v>0</v>
      </c>
      <c r="X125" s="33"/>
      <c r="Y125" s="33"/>
      <c r="Z125" s="42"/>
      <c r="AA125" s="60"/>
      <c r="AB125" s="105"/>
      <c r="AC125" s="93"/>
      <c r="AD125" s="33">
        <f t="shared" si="98"/>
        <v>0</v>
      </c>
      <c r="AE125" s="33">
        <f t="shared" si="99"/>
        <v>-1104</v>
      </c>
      <c r="AF125" s="101">
        <f t="shared" si="100"/>
        <v>-104</v>
      </c>
    </row>
    <row r="126" spans="2:50" ht="13" outlineLevel="1" x14ac:dyDescent="0.3">
      <c r="B126" s="79" t="s">
        <v>222</v>
      </c>
      <c r="C126" s="33">
        <v>0</v>
      </c>
      <c r="D126" s="33">
        <v>0</v>
      </c>
      <c r="E126" s="23">
        <v>0</v>
      </c>
      <c r="F126" s="23">
        <v>0</v>
      </c>
      <c r="G126" s="23">
        <v>0</v>
      </c>
      <c r="H126" s="23">
        <v>0</v>
      </c>
      <c r="I126" s="23">
        <v>0</v>
      </c>
      <c r="J126" s="23">
        <v>0</v>
      </c>
      <c r="K126" s="23">
        <f t="shared" si="92"/>
        <v>0</v>
      </c>
      <c r="L126" s="33">
        <f t="shared" si="93"/>
        <v>0</v>
      </c>
      <c r="M126" s="33">
        <f t="shared" si="94"/>
        <v>0</v>
      </c>
      <c r="N126" s="33">
        <v>0</v>
      </c>
      <c r="O126" s="33">
        <v>0</v>
      </c>
      <c r="P126" s="33">
        <v>-766</v>
      </c>
      <c r="Q126" s="33">
        <v>-766</v>
      </c>
      <c r="R126" s="33">
        <v>0</v>
      </c>
      <c r="S126" s="33">
        <f t="shared" si="95"/>
        <v>-766</v>
      </c>
      <c r="T126" s="38" t="str">
        <f t="shared" si="96"/>
        <v>∞</v>
      </c>
      <c r="U126" s="59">
        <f t="shared" si="97"/>
        <v>0</v>
      </c>
      <c r="V126" s="33">
        <v>0</v>
      </c>
      <c r="W126" s="630">
        <v>0</v>
      </c>
      <c r="X126" s="33"/>
      <c r="Y126" s="33"/>
      <c r="Z126" s="42"/>
      <c r="AA126" s="60"/>
      <c r="AB126" s="105"/>
      <c r="AC126" s="93"/>
      <c r="AD126" s="33">
        <f t="shared" si="98"/>
        <v>0</v>
      </c>
      <c r="AE126" s="33">
        <f t="shared" si="99"/>
        <v>-766</v>
      </c>
      <c r="AF126" s="101">
        <f t="shared" si="100"/>
        <v>-766</v>
      </c>
      <c r="AH126" t="s">
        <v>223</v>
      </c>
    </row>
    <row r="127" spans="2:50" ht="13" outlineLevel="1" x14ac:dyDescent="0.3">
      <c r="B127" s="79" t="s">
        <v>224</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-294</v>
      </c>
      <c r="Q127" s="33">
        <v>-294</v>
      </c>
      <c r="R127" s="33">
        <v>0</v>
      </c>
      <c r="S127" s="33">
        <f>Q127-R127</f>
        <v>-294</v>
      </c>
      <c r="T127" s="38" t="str">
        <f>IFERROR((Q127/N127)*100%,"∞")</f>
        <v>∞</v>
      </c>
      <c r="U127" s="59">
        <f>N127+V127</f>
        <v>0</v>
      </c>
      <c r="V127" s="33">
        <v>0</v>
      </c>
      <c r="W127" s="630">
        <v>0</v>
      </c>
      <c r="X127" s="33"/>
      <c r="Y127" s="33"/>
      <c r="Z127" s="42"/>
      <c r="AA127" s="60"/>
      <c r="AB127" s="105"/>
      <c r="AC127" s="93"/>
      <c r="AD127" s="33">
        <f>SUM(AB127:AC127)</f>
        <v>0</v>
      </c>
      <c r="AE127" s="33">
        <f>Q127+AD127</f>
        <v>-294</v>
      </c>
      <c r="AF127" s="101">
        <f>AE127-N127</f>
        <v>-294</v>
      </c>
      <c r="AH127" t="s">
        <v>225</v>
      </c>
      <c r="AI127" t="s">
        <v>226</v>
      </c>
    </row>
    <row r="128" spans="2:50"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636"/>
      <c r="X128" s="81"/>
      <c r="Y128" s="81"/>
      <c r="Z128" s="84"/>
      <c r="AA128" s="60"/>
      <c r="AB128" s="100"/>
      <c r="AC128" s="33"/>
      <c r="AD128" s="33"/>
      <c r="AE128" s="33"/>
      <c r="AF128" s="101"/>
    </row>
    <row r="129" spans="2:34" ht="13.5" thickBot="1" x14ac:dyDescent="0.35">
      <c r="B129" s="91" t="s">
        <v>155</v>
      </c>
      <c r="C129" s="76">
        <f t="shared" ref="C129:J129" si="101">C104+C118</f>
        <v>1920</v>
      </c>
      <c r="D129" s="76">
        <f t="shared" si="101"/>
        <v>2124</v>
      </c>
      <c r="E129" s="76">
        <f t="shared" si="101"/>
        <v>0</v>
      </c>
      <c r="F129" s="76">
        <f t="shared" si="101"/>
        <v>16</v>
      </c>
      <c r="G129" s="76">
        <f t="shared" si="101"/>
        <v>204</v>
      </c>
      <c r="H129" s="76">
        <f t="shared" si="101"/>
        <v>74</v>
      </c>
      <c r="I129" s="76">
        <f t="shared" si="101"/>
        <v>0</v>
      </c>
      <c r="J129" s="76">
        <f t="shared" si="101"/>
        <v>0</v>
      </c>
      <c r="K129" s="76">
        <f>SUM(E129:J129)</f>
        <v>294</v>
      </c>
      <c r="L129" s="76">
        <f>N129-D129</f>
        <v>74</v>
      </c>
      <c r="M129" s="76">
        <f>N129-C129</f>
        <v>278</v>
      </c>
      <c r="N129" s="76">
        <f>N104+N118</f>
        <v>2198</v>
      </c>
      <c r="O129" s="76">
        <f>O104+O118</f>
        <v>75117</v>
      </c>
      <c r="P129" s="76">
        <f>P104+P118</f>
        <v>-77913</v>
      </c>
      <c r="Q129" s="76">
        <f>Q104+Q118</f>
        <v>-2797</v>
      </c>
      <c r="R129" s="76">
        <f>R104+R118</f>
        <v>2198</v>
      </c>
      <c r="S129" s="76">
        <f>Q129-R129</f>
        <v>-4995</v>
      </c>
      <c r="T129" s="92">
        <f>IFERROR((Q129/N129)*100%,"∞")</f>
        <v>-1.2725204731574158</v>
      </c>
      <c r="U129" s="76">
        <f>N129+V129</f>
        <v>2198</v>
      </c>
      <c r="V129" s="76">
        <f>V104+V118</f>
        <v>0</v>
      </c>
      <c r="W129" s="637">
        <f>W104+W118</f>
        <v>389</v>
      </c>
      <c r="X129" s="76">
        <f>X104+X118</f>
        <v>0</v>
      </c>
      <c r="Y129" s="76">
        <f>Y104+Y118</f>
        <v>0</v>
      </c>
      <c r="Z129" s="76">
        <f>Z104+Z118</f>
        <v>0</v>
      </c>
      <c r="AA129" s="60"/>
      <c r="AB129" s="76">
        <f>AB104+AB118</f>
        <v>0</v>
      </c>
      <c r="AC129" s="76">
        <f>AC104+AC118</f>
        <v>1732</v>
      </c>
      <c r="AD129" s="76">
        <f>AD104+AD118</f>
        <v>1732</v>
      </c>
      <c r="AE129" s="76">
        <f>AE104+AE118</f>
        <v>-1065</v>
      </c>
      <c r="AF129" s="76">
        <f>AF104+AF118</f>
        <v>-3263</v>
      </c>
    </row>
    <row r="130" spans="2:34"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636"/>
      <c r="X130" s="81"/>
      <c r="Y130" s="81"/>
      <c r="Z130" s="84"/>
      <c r="AA130" s="60"/>
      <c r="AB130" s="100"/>
      <c r="AC130" s="33"/>
      <c r="AD130" s="33"/>
      <c r="AE130" s="33"/>
      <c r="AF130" s="101"/>
    </row>
    <row r="131" spans="2:34" ht="13.5" thickBot="1" x14ac:dyDescent="0.35">
      <c r="B131" s="91" t="s">
        <v>156</v>
      </c>
      <c r="C131" s="76">
        <f t="shared" ref="C131:J131" si="102">C81+C102+C129</f>
        <v>28176</v>
      </c>
      <c r="D131" s="76">
        <f t="shared" si="102"/>
        <v>25734</v>
      </c>
      <c r="E131" s="76">
        <f t="shared" si="102"/>
        <v>-2439</v>
      </c>
      <c r="F131" s="76">
        <f t="shared" si="102"/>
        <v>1903</v>
      </c>
      <c r="G131" s="76">
        <f t="shared" si="102"/>
        <v>3</v>
      </c>
      <c r="H131" s="76">
        <f t="shared" si="102"/>
        <v>33</v>
      </c>
      <c r="I131" s="76">
        <f t="shared" si="102"/>
        <v>0</v>
      </c>
      <c r="J131" s="76">
        <f t="shared" si="102"/>
        <v>0</v>
      </c>
      <c r="K131" s="76">
        <f>SUM(E131:J131)</f>
        <v>-500</v>
      </c>
      <c r="L131" s="76">
        <f>N131-D131</f>
        <v>1905</v>
      </c>
      <c r="M131" s="76">
        <f>N131-C131</f>
        <v>-537</v>
      </c>
      <c r="N131" s="76">
        <f>N81+N102+N129</f>
        <v>27639</v>
      </c>
      <c r="O131" s="76">
        <f>O81+O102+O129</f>
        <v>191743</v>
      </c>
      <c r="P131" s="76">
        <f>P81+P102+P129</f>
        <v>-170028</v>
      </c>
      <c r="Q131" s="76">
        <f>Q81+Q102+Q129</f>
        <v>21714</v>
      </c>
      <c r="R131" s="76">
        <f>R81+R102+R129</f>
        <v>27639</v>
      </c>
      <c r="S131" s="76">
        <f>Q131-R131</f>
        <v>-5925</v>
      </c>
      <c r="T131" s="92">
        <f>IFERROR((Q131/N131)*100%,"∞")</f>
        <v>0.78562900249647238</v>
      </c>
      <c r="U131" s="76">
        <f>N131+V131</f>
        <v>27604</v>
      </c>
      <c r="V131" s="76">
        <f>V81+V102+V129</f>
        <v>-35</v>
      </c>
      <c r="W131" s="637">
        <f>W81+W102+W129</f>
        <v>354</v>
      </c>
      <c r="X131" s="76">
        <f>X81+X102+X129</f>
        <v>0</v>
      </c>
      <c r="Y131" s="76">
        <f>Y81+Y102+Y129</f>
        <v>0</v>
      </c>
      <c r="Z131" s="76">
        <f>Z81+Z102+Z129</f>
        <v>0</v>
      </c>
      <c r="AA131" s="60"/>
      <c r="AB131" s="76">
        <f>AB81+AB102+AB129</f>
        <v>570</v>
      </c>
      <c r="AC131" s="76">
        <f>AC81+AC102+AC129</f>
        <v>3626</v>
      </c>
      <c r="AD131" s="76">
        <f>AD81+AD102+AD129</f>
        <v>4196</v>
      </c>
      <c r="AE131" s="76">
        <f>AE81+AE102+AE129</f>
        <v>25910</v>
      </c>
      <c r="AF131" s="76">
        <f>AF81+AF102+AF129</f>
        <v>-1729</v>
      </c>
    </row>
    <row r="132" spans="2:34"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635"/>
      <c r="X132" s="72"/>
      <c r="Y132" s="72"/>
      <c r="Z132" s="75"/>
      <c r="AA132" s="60"/>
      <c r="AB132" s="100"/>
      <c r="AC132" s="33"/>
      <c r="AD132" s="33"/>
      <c r="AE132" s="33"/>
      <c r="AF132" s="101"/>
    </row>
    <row r="133" spans="2:34" ht="13" x14ac:dyDescent="0.3">
      <c r="B133" s="79" t="s">
        <v>157</v>
      </c>
      <c r="C133" s="33">
        <v>-5063</v>
      </c>
      <c r="D133" s="33">
        <v>-2624</v>
      </c>
      <c r="E133" s="23">
        <v>2439</v>
      </c>
      <c r="F133" s="23">
        <v>-3116</v>
      </c>
      <c r="G133" s="23">
        <v>0</v>
      </c>
      <c r="H133" s="23">
        <v>-1246</v>
      </c>
      <c r="I133" s="23">
        <v>0</v>
      </c>
      <c r="J133" s="23">
        <v>0</v>
      </c>
      <c r="K133" s="23">
        <f>SUM(E133:J133)</f>
        <v>-1923</v>
      </c>
      <c r="L133" s="33">
        <f>N133-D133</f>
        <v>-3116</v>
      </c>
      <c r="M133" s="33">
        <f>N133-C133</f>
        <v>-677</v>
      </c>
      <c r="N133" s="33">
        <f>-5740</f>
        <v>-5740</v>
      </c>
      <c r="O133" s="33">
        <v>-1308</v>
      </c>
      <c r="P133" s="33">
        <v>0</v>
      </c>
      <c r="Q133" s="33">
        <v>-1308</v>
      </c>
      <c r="R133" s="33">
        <f>-5740</f>
        <v>-5740</v>
      </c>
      <c r="S133" s="33">
        <f>Q133-R133</f>
        <v>4432</v>
      </c>
      <c r="T133" s="38">
        <f>IFERROR((Q133/N133)*100%,"∞")</f>
        <v>0.22787456445993032</v>
      </c>
      <c r="U133" s="59">
        <f>N133+V133</f>
        <v>-5740</v>
      </c>
      <c r="V133" s="33">
        <v>0</v>
      </c>
      <c r="W133" s="630">
        <v>0</v>
      </c>
      <c r="X133" s="33"/>
      <c r="Y133" s="33"/>
      <c r="Z133" s="42"/>
      <c r="AA133" s="60"/>
      <c r="AB133" s="105"/>
      <c r="AC133" s="93"/>
      <c r="AD133" s="33">
        <f>SUM(AB133:AC133)</f>
        <v>0</v>
      </c>
      <c r="AE133" s="33">
        <f>Q133+AD133</f>
        <v>-1308</v>
      </c>
      <c r="AF133" s="101">
        <f>AE133-N133</f>
        <v>4432</v>
      </c>
      <c r="AH133" t="s">
        <v>227</v>
      </c>
    </row>
    <row r="134" spans="2:34"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636"/>
      <c r="X134" s="81"/>
      <c r="Y134" s="81"/>
      <c r="Z134" s="84"/>
      <c r="AA134" s="60"/>
      <c r="AB134" s="100"/>
      <c r="AC134" s="33"/>
      <c r="AD134" s="33"/>
      <c r="AE134" s="33"/>
      <c r="AF134" s="101"/>
    </row>
    <row r="135" spans="2:34" ht="13.5" thickBot="1" x14ac:dyDescent="0.35">
      <c r="B135" s="91" t="s">
        <v>158</v>
      </c>
      <c r="C135" s="76">
        <f t="shared" ref="C135:J135" si="103">C131+C133</f>
        <v>23113</v>
      </c>
      <c r="D135" s="76">
        <f t="shared" si="103"/>
        <v>23110</v>
      </c>
      <c r="E135" s="76">
        <f t="shared" si="103"/>
        <v>0</v>
      </c>
      <c r="F135" s="76">
        <f t="shared" si="103"/>
        <v>-1213</v>
      </c>
      <c r="G135" s="76">
        <f t="shared" si="103"/>
        <v>3</v>
      </c>
      <c r="H135" s="76">
        <f t="shared" si="103"/>
        <v>-1213</v>
      </c>
      <c r="I135" s="76">
        <f t="shared" si="103"/>
        <v>0</v>
      </c>
      <c r="J135" s="76">
        <f t="shared" si="103"/>
        <v>0</v>
      </c>
      <c r="K135" s="76">
        <f>SUM(E135:J135)</f>
        <v>-2423</v>
      </c>
      <c r="L135" s="76">
        <f>N135-D135</f>
        <v>-1211</v>
      </c>
      <c r="M135" s="76">
        <f>N135-C135</f>
        <v>-1214</v>
      </c>
      <c r="N135" s="76">
        <f>N131+N133</f>
        <v>21899</v>
      </c>
      <c r="O135" s="76">
        <f>O131+O133</f>
        <v>190435</v>
      </c>
      <c r="P135" s="76">
        <f>P131+P133</f>
        <v>-170028</v>
      </c>
      <c r="Q135" s="76">
        <f>Q131+Q133</f>
        <v>20406</v>
      </c>
      <c r="R135" s="76">
        <f>R131+R133</f>
        <v>21899</v>
      </c>
      <c r="S135" s="76">
        <f>Q135-R135</f>
        <v>-1493</v>
      </c>
      <c r="T135" s="92">
        <f>IFERROR((Q135/N135)*100%,"∞")</f>
        <v>0.93182337093017942</v>
      </c>
      <c r="U135" s="76">
        <f>N135+V135</f>
        <v>21864</v>
      </c>
      <c r="V135" s="76">
        <f>V131+V133</f>
        <v>-35</v>
      </c>
      <c r="W135" s="637">
        <f>W131+W133</f>
        <v>354</v>
      </c>
      <c r="X135" s="76">
        <f>X131+X133</f>
        <v>0</v>
      </c>
      <c r="Y135" s="76">
        <f>Y131+Y133</f>
        <v>0</v>
      </c>
      <c r="Z135" s="76">
        <f>Z131+Z133</f>
        <v>0</v>
      </c>
      <c r="AA135" s="60"/>
      <c r="AB135" s="76">
        <f>AB131+AB133</f>
        <v>570</v>
      </c>
      <c r="AC135" s="76">
        <f>AC131+AC133</f>
        <v>3626</v>
      </c>
      <c r="AD135" s="76">
        <f>AD131+AD133</f>
        <v>4196</v>
      </c>
      <c r="AE135" s="76">
        <f>AE131+AE133</f>
        <v>24602</v>
      </c>
      <c r="AF135" s="76">
        <f>AF131+AF133</f>
        <v>2703</v>
      </c>
    </row>
    <row r="136" spans="2:34"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635"/>
      <c r="X136" s="72"/>
      <c r="Y136" s="72"/>
      <c r="Z136" s="75"/>
      <c r="AA136" s="60"/>
      <c r="AB136" s="100"/>
      <c r="AC136" s="33"/>
      <c r="AD136" s="33"/>
      <c r="AE136" s="33"/>
      <c r="AF136" s="101"/>
    </row>
    <row r="137" spans="2:34"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638"/>
      <c r="X137" s="86"/>
      <c r="Y137" s="86"/>
      <c r="Z137" s="89"/>
      <c r="AA137" s="60"/>
      <c r="AB137" s="100"/>
      <c r="AC137" s="33"/>
      <c r="AD137" s="33"/>
      <c r="AE137" s="33"/>
      <c r="AF137" s="101"/>
    </row>
    <row r="138" spans="2:34"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630"/>
      <c r="X138" s="33"/>
      <c r="Y138" s="33"/>
      <c r="Z138" s="42"/>
      <c r="AA138" s="60"/>
      <c r="AB138" s="100"/>
      <c r="AC138" s="33"/>
      <c r="AD138" s="33"/>
      <c r="AE138" s="33"/>
      <c r="AF138" s="101"/>
    </row>
    <row r="139" spans="2:34" ht="13" x14ac:dyDescent="0.3">
      <c r="B139" s="79" t="s">
        <v>160</v>
      </c>
      <c r="C139" s="33">
        <v>0</v>
      </c>
      <c r="D139" s="33">
        <v>0</v>
      </c>
      <c r="E139" s="23">
        <v>0</v>
      </c>
      <c r="F139" s="23">
        <v>-1212</v>
      </c>
      <c r="G139" s="23">
        <v>0</v>
      </c>
      <c r="H139" s="23">
        <v>-1212</v>
      </c>
      <c r="I139" s="23">
        <v>0</v>
      </c>
      <c r="J139" s="23">
        <v>0</v>
      </c>
      <c r="K139" s="23">
        <f t="shared" ref="K139:K140" si="104">SUM(E139:J139)</f>
        <v>-2424</v>
      </c>
      <c r="L139" s="33">
        <f t="shared" ref="L139:L140" si="105">N139-D139</f>
        <v>-1212</v>
      </c>
      <c r="M139" s="33">
        <f t="shared" ref="M139:M140" si="106">N139-C139</f>
        <v>-1212</v>
      </c>
      <c r="N139" s="33">
        <v>-1212</v>
      </c>
      <c r="O139" s="33">
        <v>0</v>
      </c>
      <c r="P139" s="33">
        <v>-235</v>
      </c>
      <c r="Q139" s="33">
        <v>-235</v>
      </c>
      <c r="R139" s="33">
        <v>-1212</v>
      </c>
      <c r="S139" s="33">
        <f t="shared" ref="S139:S140" si="107">Q139-R139</f>
        <v>977</v>
      </c>
      <c r="T139" s="38">
        <f t="shared" ref="T139:T140" si="108">IFERROR((Q139/N139)*100%,"∞")</f>
        <v>0.19389438943894388</v>
      </c>
      <c r="U139" s="59">
        <f t="shared" ref="U139:U140" si="109">N139+V139</f>
        <v>-1212</v>
      </c>
      <c r="V139" s="33">
        <v>0</v>
      </c>
      <c r="W139" s="630">
        <v>0</v>
      </c>
      <c r="X139" s="33"/>
      <c r="Y139" s="33"/>
      <c r="Z139" s="42"/>
      <c r="AA139" s="60"/>
      <c r="AB139" s="105"/>
      <c r="AC139" s="93"/>
      <c r="AD139" s="33">
        <f t="shared" ref="AD139:AD140" si="110">SUM(AB139:AC139)</f>
        <v>0</v>
      </c>
      <c r="AE139" s="33">
        <f t="shared" ref="AE139:AE140" si="111">Q139+AD139</f>
        <v>-235</v>
      </c>
      <c r="AF139" s="101">
        <f t="shared" ref="AF139:AF140" si="112">AE139-N139</f>
        <v>977</v>
      </c>
    </row>
    <row r="140" spans="2:34" ht="13" x14ac:dyDescent="0.3">
      <c r="B140" s="79" t="s">
        <v>161</v>
      </c>
      <c r="C140" s="33">
        <v>14911</v>
      </c>
      <c r="D140" s="33">
        <v>14911</v>
      </c>
      <c r="E140" s="23">
        <v>0</v>
      </c>
      <c r="F140" s="23">
        <v>0</v>
      </c>
      <c r="G140" s="23">
        <v>0</v>
      </c>
      <c r="H140" s="23">
        <v>0</v>
      </c>
      <c r="I140" s="23">
        <v>0</v>
      </c>
      <c r="J140" s="23">
        <v>0</v>
      </c>
      <c r="K140" s="23">
        <f t="shared" si="104"/>
        <v>0</v>
      </c>
      <c r="L140" s="33">
        <f t="shared" si="105"/>
        <v>0</v>
      </c>
      <c r="M140" s="33">
        <f t="shared" si="106"/>
        <v>0</v>
      </c>
      <c r="N140" s="33">
        <v>14911</v>
      </c>
      <c r="O140" s="33">
        <v>0</v>
      </c>
      <c r="P140" s="33">
        <v>0</v>
      </c>
      <c r="Q140" s="33">
        <v>0</v>
      </c>
      <c r="R140" s="33">
        <v>14911</v>
      </c>
      <c r="S140" s="33">
        <f t="shared" si="107"/>
        <v>-14911</v>
      </c>
      <c r="T140" s="38">
        <f t="shared" si="108"/>
        <v>0</v>
      </c>
      <c r="U140" s="59">
        <f t="shared" si="109"/>
        <v>14911</v>
      </c>
      <c r="V140" s="33">
        <v>0</v>
      </c>
      <c r="W140" s="630">
        <v>0</v>
      </c>
      <c r="X140" s="33"/>
      <c r="Y140" s="33"/>
      <c r="Z140" s="42"/>
      <c r="AA140" s="60"/>
      <c r="AB140" s="105"/>
      <c r="AC140" s="93">
        <v>14911</v>
      </c>
      <c r="AD140" s="33">
        <f t="shared" si="110"/>
        <v>14911</v>
      </c>
      <c r="AE140" s="33">
        <f t="shared" si="111"/>
        <v>14911</v>
      </c>
      <c r="AF140" s="101">
        <f t="shared" si="112"/>
        <v>0</v>
      </c>
    </row>
    <row r="141" spans="2:34" ht="13" x14ac:dyDescent="0.3">
      <c r="B141" s="79" t="s">
        <v>162</v>
      </c>
      <c r="C141" s="33">
        <v>-278</v>
      </c>
      <c r="D141" s="33">
        <v>-278</v>
      </c>
      <c r="E141" s="23">
        <v>0</v>
      </c>
      <c r="F141" s="23">
        <v>0</v>
      </c>
      <c r="G141" s="23">
        <v>0</v>
      </c>
      <c r="H141" s="23">
        <v>0</v>
      </c>
      <c r="I141" s="23">
        <v>0</v>
      </c>
      <c r="J141" s="23">
        <v>0</v>
      </c>
      <c r="K141" s="23">
        <f>SUM(E141:J141)</f>
        <v>0</v>
      </c>
      <c r="L141" s="33">
        <f>N141-D141</f>
        <v>0</v>
      </c>
      <c r="M141" s="33">
        <f>N141-C141</f>
        <v>0</v>
      </c>
      <c r="N141" s="33">
        <v>-278</v>
      </c>
      <c r="O141" s="33">
        <v>-428</v>
      </c>
      <c r="P141" s="33">
        <v>0</v>
      </c>
      <c r="Q141" s="33">
        <v>-428</v>
      </c>
      <c r="R141" s="33">
        <v>-278</v>
      </c>
      <c r="S141" s="33">
        <f>Q141-R141</f>
        <v>-150</v>
      </c>
      <c r="T141" s="38">
        <f>IFERROR((Q141/N141)*100%,"∞")</f>
        <v>1.539568345323741</v>
      </c>
      <c r="U141" s="59">
        <f>N141+V141</f>
        <v>-278</v>
      </c>
      <c r="V141" s="33">
        <v>0</v>
      </c>
      <c r="W141" s="630">
        <v>0</v>
      </c>
      <c r="X141" s="33"/>
      <c r="Y141" s="33"/>
      <c r="Z141" s="42"/>
      <c r="AA141" s="60"/>
      <c r="AB141" s="105"/>
      <c r="AC141" s="93">
        <v>150</v>
      </c>
      <c r="AD141" s="33">
        <f>SUM(AB141:AC141)</f>
        <v>150</v>
      </c>
      <c r="AE141" s="33">
        <f>Q141+AD141</f>
        <v>-278</v>
      </c>
      <c r="AF141" s="101">
        <f>AE141-N141</f>
        <v>0</v>
      </c>
    </row>
    <row r="142" spans="2:34" ht="13" x14ac:dyDescent="0.3">
      <c r="B142" s="79" t="s">
        <v>163</v>
      </c>
      <c r="C142" s="33">
        <v>8476</v>
      </c>
      <c r="D142" s="33">
        <v>8476</v>
      </c>
      <c r="E142" s="23">
        <v>0</v>
      </c>
      <c r="F142" s="23">
        <v>0</v>
      </c>
      <c r="G142" s="23">
        <v>0</v>
      </c>
      <c r="H142" s="23">
        <v>0</v>
      </c>
      <c r="I142" s="23">
        <v>0</v>
      </c>
      <c r="J142" s="23">
        <v>0</v>
      </c>
      <c r="K142" s="23">
        <f>SUM(E142:J142)</f>
        <v>0</v>
      </c>
      <c r="L142" s="33">
        <f>N142-D142</f>
        <v>0</v>
      </c>
      <c r="M142" s="33">
        <f>N142-C142</f>
        <v>0</v>
      </c>
      <c r="N142" s="33">
        <v>8476</v>
      </c>
      <c r="O142" s="33">
        <v>23895</v>
      </c>
      <c r="P142" s="33">
        <v>-21440</v>
      </c>
      <c r="Q142" s="33">
        <v>2455</v>
      </c>
      <c r="R142" s="33">
        <v>8476</v>
      </c>
      <c r="S142" s="33">
        <f>Q142-R142</f>
        <v>-6021</v>
      </c>
      <c r="T142" s="38">
        <f>IFERROR((Q142/N142)*100%,"∞")</f>
        <v>0.28964134025483718</v>
      </c>
      <c r="U142" s="59">
        <f>N142+V142</f>
        <v>8476</v>
      </c>
      <c r="V142" s="33">
        <v>0</v>
      </c>
      <c r="W142" s="630">
        <v>0</v>
      </c>
      <c r="X142" s="33"/>
      <c r="Y142" s="33"/>
      <c r="Z142" s="42"/>
      <c r="AA142" s="60"/>
      <c r="AB142" s="105"/>
      <c r="AC142" s="93">
        <v>6021</v>
      </c>
      <c r="AD142" s="33">
        <f>SUM(AB142:AC142)</f>
        <v>6021</v>
      </c>
      <c r="AE142" s="33">
        <f>Q142+AD142</f>
        <v>8476</v>
      </c>
      <c r="AF142" s="101">
        <f>AE142-N142</f>
        <v>0</v>
      </c>
    </row>
    <row r="143" spans="2:34"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636"/>
      <c r="X143" s="81"/>
      <c r="Y143" s="81"/>
      <c r="Z143" s="84"/>
      <c r="AA143" s="60"/>
      <c r="AB143" s="100"/>
      <c r="AC143" s="33"/>
      <c r="AD143" s="33"/>
      <c r="AE143" s="33"/>
      <c r="AF143" s="101"/>
    </row>
    <row r="144" spans="2:34" ht="13.5" thickBot="1" x14ac:dyDescent="0.35">
      <c r="B144" s="91" t="s">
        <v>164</v>
      </c>
      <c r="C144" s="76">
        <f t="shared" ref="C144:J144" si="113">SUM(C139:C142)</f>
        <v>23109</v>
      </c>
      <c r="D144" s="76">
        <f t="shared" si="113"/>
        <v>23109</v>
      </c>
      <c r="E144" s="76">
        <f t="shared" si="113"/>
        <v>0</v>
      </c>
      <c r="F144" s="76">
        <f t="shared" si="113"/>
        <v>-1212</v>
      </c>
      <c r="G144" s="76">
        <f t="shared" si="113"/>
        <v>0</v>
      </c>
      <c r="H144" s="76">
        <f t="shared" si="113"/>
        <v>-1212</v>
      </c>
      <c r="I144" s="76">
        <f t="shared" si="113"/>
        <v>0</v>
      </c>
      <c r="J144" s="76">
        <f t="shared" si="113"/>
        <v>0</v>
      </c>
      <c r="K144" s="76">
        <f>SUM(E144:J144)</f>
        <v>-2424</v>
      </c>
      <c r="L144" s="76">
        <f>N144-D144</f>
        <v>-1212</v>
      </c>
      <c r="M144" s="76">
        <f>N144-C144</f>
        <v>-1212</v>
      </c>
      <c r="N144" s="76">
        <f>SUM(N139:N142)</f>
        <v>21897</v>
      </c>
      <c r="O144" s="76">
        <f>SUM(O139:O142)</f>
        <v>23467</v>
      </c>
      <c r="P144" s="76">
        <f>SUM(P139:P142)</f>
        <v>-21675</v>
      </c>
      <c r="Q144" s="76">
        <f>SUM(Q139:Q142)</f>
        <v>1792</v>
      </c>
      <c r="R144" s="76">
        <f>SUM(R139:R142)</f>
        <v>21897</v>
      </c>
      <c r="S144" s="76">
        <f>Q144-R144</f>
        <v>-20105</v>
      </c>
      <c r="T144" s="92">
        <f>IFERROR((Q144/N144)*100%,"∞")</f>
        <v>8.1837694661369143E-2</v>
      </c>
      <c r="U144" s="76">
        <f>N144+V144</f>
        <v>21897</v>
      </c>
      <c r="V144" s="76">
        <f>SUM(V139:V142)</f>
        <v>0</v>
      </c>
      <c r="W144" s="637">
        <f>SUM(W139:W142)</f>
        <v>0</v>
      </c>
      <c r="X144" s="76">
        <f>SUM(X139:X142)</f>
        <v>0</v>
      </c>
      <c r="Y144" s="76">
        <f>SUM(Y139:Y142)</f>
        <v>0</v>
      </c>
      <c r="Z144" s="76">
        <f>SUM(Z139:Z142)</f>
        <v>0</v>
      </c>
      <c r="AA144" s="60"/>
      <c r="AB144" s="76">
        <f>SUM(AB139:AB142)</f>
        <v>0</v>
      </c>
      <c r="AC144" s="76">
        <f>SUM(AC139:AC142)</f>
        <v>21082</v>
      </c>
      <c r="AD144" s="76">
        <f>SUM(AD139:AD142)</f>
        <v>21082</v>
      </c>
      <c r="AE144" s="76">
        <f>SUM(AE139:AE142)</f>
        <v>22874</v>
      </c>
      <c r="AF144" s="76">
        <f>SUM(AF139:AF142)</f>
        <v>977</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636"/>
      <c r="X145" s="81"/>
      <c r="Y145" s="81"/>
      <c r="Z145" s="84"/>
      <c r="AA145" s="60"/>
      <c r="AB145" s="100"/>
      <c r="AC145" s="33"/>
      <c r="AD145" s="33"/>
      <c r="AE145" s="33"/>
      <c r="AF145" s="101"/>
    </row>
    <row r="146" spans="2:32" ht="13.5" thickBot="1" x14ac:dyDescent="0.35">
      <c r="B146" s="91" t="s">
        <v>165</v>
      </c>
      <c r="C146" s="76">
        <f t="shared" ref="C146:J146" si="114">C135-C144</f>
        <v>4</v>
      </c>
      <c r="D146" s="76">
        <f t="shared" si="114"/>
        <v>1</v>
      </c>
      <c r="E146" s="76">
        <f t="shared" si="114"/>
        <v>0</v>
      </c>
      <c r="F146" s="76">
        <f t="shared" si="114"/>
        <v>-1</v>
      </c>
      <c r="G146" s="76">
        <f t="shared" si="114"/>
        <v>3</v>
      </c>
      <c r="H146" s="76">
        <f t="shared" si="114"/>
        <v>-1</v>
      </c>
      <c r="I146" s="76">
        <f t="shared" si="114"/>
        <v>0</v>
      </c>
      <c r="J146" s="76">
        <f t="shared" si="114"/>
        <v>0</v>
      </c>
      <c r="K146" s="76">
        <f>SUM(E146:J146)</f>
        <v>1</v>
      </c>
      <c r="L146" s="76">
        <f>N146-D146</f>
        <v>1</v>
      </c>
      <c r="M146" s="76">
        <f>N146-C146</f>
        <v>-2</v>
      </c>
      <c r="N146" s="76">
        <f>N135-N144</f>
        <v>2</v>
      </c>
      <c r="O146" s="76">
        <f>O135-O144</f>
        <v>166968</v>
      </c>
      <c r="P146" s="76">
        <f>P135-P144</f>
        <v>-148353</v>
      </c>
      <c r="Q146" s="76">
        <f>Q135-Q144</f>
        <v>18614</v>
      </c>
      <c r="R146" s="76">
        <f>R135-R144</f>
        <v>2</v>
      </c>
      <c r="S146" s="76">
        <f>Q146-R146</f>
        <v>18612</v>
      </c>
      <c r="T146" s="92">
        <f>IFERROR((Q146/N146)*100%,"∞")</f>
        <v>9307</v>
      </c>
      <c r="U146" s="76">
        <f>N146+V146</f>
        <v>-33</v>
      </c>
      <c r="V146" s="76">
        <f>V135-V144</f>
        <v>-35</v>
      </c>
      <c r="W146" s="637">
        <f>W135-W144</f>
        <v>354</v>
      </c>
      <c r="X146" s="76">
        <f>X135-X144</f>
        <v>0</v>
      </c>
      <c r="Y146" s="76">
        <f>Y135-Y144</f>
        <v>0</v>
      </c>
      <c r="Z146" s="76">
        <f>Z135-Z144</f>
        <v>0</v>
      </c>
      <c r="AA146" s="60"/>
      <c r="AB146" s="76">
        <f>AB135-AB144</f>
        <v>570</v>
      </c>
      <c r="AC146" s="76">
        <f>AC135-AC144</f>
        <v>-17456</v>
      </c>
      <c r="AD146" s="76">
        <f>AD135-AD144</f>
        <v>-16886</v>
      </c>
      <c r="AE146" s="76">
        <f>AE135-AE144</f>
        <v>1728</v>
      </c>
      <c r="AF146" s="76">
        <f>AF135-AF144</f>
        <v>1726</v>
      </c>
    </row>
    <row r="147" spans="2:32" ht="13" thickTop="1" x14ac:dyDescent="0.25"/>
  </sheetData>
  <dataConsolidate/>
  <customSheetViews>
    <customSheetView guid="{903669DD-1133-45D2-B108-C6B5BEA5EB61}" scale="90" hiddenColumns="1">
      <pane xSplit="2" ySplit="3" topLeftCell="C112" activePane="bottomRight" state="frozen"/>
      <selection pane="bottomRight" activeCell="AB123" sqref="AB123"/>
      <pageMargins left="0" right="0" top="0" bottom="0" header="0" footer="0"/>
      <pageSetup paperSize="8" scale="74" orientation="landscape" r:id="rId1"/>
    </customSheetView>
    <customSheetView guid="{7910FD81-BFE7-4CD5-939B-3D7A1CA9601A}" hiddenColumns="1">
      <pane xSplit="2" ySplit="3" topLeftCell="C4" activePane="bottomRight" state="frozen"/>
      <selection pane="bottomRight" activeCell="S14" sqref="S14"/>
      <pageMargins left="0" right="0" top="0" bottom="0" header="0" footer="0"/>
      <pageSetup paperSize="8" scale="74" orientation="landscape" r:id="rId2"/>
    </customSheetView>
    <customSheetView guid="{E4F22399-07D5-465E-AFB1-A36259E00328}" scale="90" hiddenColumns="1">
      <pane xSplit="2" ySplit="3" topLeftCell="C88" activePane="bottomRight" state="frozen"/>
      <selection pane="bottomRight" activeCell="Q105" sqref="Q105"/>
      <pageMargins left="0" right="0" top="0" bottom="0" header="0" footer="0"/>
      <pageSetup paperSize="8" scale="74" orientation="landscape" r:id="rId3"/>
    </customSheetView>
  </customSheetViews>
  <pageMargins left="0.23622047244094491" right="0.23622047244094491" top="0.74803149606299213" bottom="0.74803149606299213" header="0.31496062992125984" footer="0.31496062992125984"/>
  <pageSetup paperSize="8" scale="74"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G4313"/>
  <sheetViews>
    <sheetView topLeftCell="B176" workbookViewId="0">
      <pane xSplit="2" ySplit="4" topLeftCell="D180" activePane="bottomRight" state="frozen"/>
      <selection pane="topRight" activeCell="D176" sqref="D176"/>
      <selection pane="bottomLeft" activeCell="B180" sqref="B180"/>
      <selection pane="bottomRight" activeCell="B176" sqref="A1:XFD1048576"/>
    </sheetView>
  </sheetViews>
  <sheetFormatPr defaultColWidth="9.453125" defaultRowHeight="12.5" outlineLevelRow="2" outlineLevelCol="1" x14ac:dyDescent="0.25"/>
  <cols>
    <col min="1" max="1" width="9.453125" hidden="1" customWidth="1"/>
    <col min="2" max="2" width="1.54296875" customWidth="1"/>
    <col min="3" max="3" width="55.453125" style="1" customWidth="1"/>
    <col min="4" max="5" width="13.54296875" customWidth="1"/>
    <col min="6" max="6" width="13.54296875" hidden="1" customWidth="1" outlineLevel="1"/>
    <col min="7" max="7" width="13.54296875" style="1" hidden="1" customWidth="1" outlineLevel="1"/>
    <col min="8" max="12" width="13.54296875" hidden="1" customWidth="1" outlineLevel="1"/>
    <col min="13" max="13" width="13.54296875" customWidth="1" collapsed="1"/>
    <col min="14" max="14" width="13.54296875" customWidth="1" outlineLevel="1"/>
    <col min="15" max="15" width="13.54296875" customWidth="1"/>
    <col min="16" max="17" width="13.54296875" hidden="1" customWidth="1" outlineLevel="1"/>
    <col min="18" max="18" width="13.54296875" customWidth="1" collapsed="1"/>
    <col min="19" max="21" width="13.54296875" customWidth="1" outlineLevel="1"/>
    <col min="22" max="23" width="13.54296875" customWidth="1"/>
    <col min="24" max="27" width="13.54296875" customWidth="1" outlineLevel="1"/>
    <col min="28" max="28" width="1.54296875" customWidth="1"/>
    <col min="29" max="33" width="13.54296875" customWidth="1" outlineLevel="1"/>
    <col min="34" max="34" width="1.54296875" customWidth="1"/>
    <col min="35" max="44" width="11.54296875" customWidth="1"/>
  </cols>
  <sheetData>
    <row r="1" spans="1:24" hidden="1" x14ac:dyDescent="0.25">
      <c r="A1" t="str">
        <f>CONCATENATE("setparameter select client_name from acrclient where client = '",D172,"'")</f>
        <v>setparameter select client_name from acrclient where client = 'OX'</v>
      </c>
      <c r="X1" s="751"/>
    </row>
    <row r="2" spans="1:24" ht="14.5" hidden="1" x14ac:dyDescent="0.35">
      <c r="A2" t="s">
        <v>944</v>
      </c>
      <c r="C2" s="2"/>
      <c r="D2" s="2"/>
      <c r="E2" s="2"/>
      <c r="F2" s="2"/>
      <c r="G2" s="3" t="s">
        <v>240</v>
      </c>
      <c r="H2" s="4" t="s">
        <v>241</v>
      </c>
      <c r="I2" s="2" t="s">
        <v>242</v>
      </c>
      <c r="J2" s="5">
        <v>-1</v>
      </c>
      <c r="K2" s="2"/>
      <c r="M2" t="s">
        <v>945</v>
      </c>
      <c r="O2" t="s">
        <v>945</v>
      </c>
      <c r="V2" t="s">
        <v>945</v>
      </c>
      <c r="W2" t="s">
        <v>945</v>
      </c>
    </row>
    <row r="3" spans="1:24" ht="14.5" hidden="1" x14ac:dyDescent="0.35">
      <c r="A3" t="s">
        <v>946</v>
      </c>
      <c r="C3" s="2"/>
      <c r="D3" s="2"/>
      <c r="E3" s="2"/>
      <c r="F3" s="2"/>
      <c r="G3" s="3" t="s">
        <v>244</v>
      </c>
      <c r="H3" s="4" t="s">
        <v>245</v>
      </c>
      <c r="I3" s="2" t="s">
        <v>246</v>
      </c>
      <c r="J3" s="5">
        <v>-1</v>
      </c>
      <c r="K3" s="2"/>
      <c r="R3" s="6"/>
      <c r="S3" s="6"/>
      <c r="T3" s="6"/>
    </row>
    <row r="4" spans="1:24" ht="14.5" hidden="1" x14ac:dyDescent="0.35">
      <c r="A4" t="s">
        <v>947</v>
      </c>
      <c r="C4" s="2"/>
      <c r="D4" s="2"/>
      <c r="E4" s="2"/>
      <c r="F4" s="2"/>
      <c r="G4" s="3" t="s">
        <v>250</v>
      </c>
      <c r="H4" s="4" t="s">
        <v>251</v>
      </c>
      <c r="I4" s="2" t="s">
        <v>252</v>
      </c>
      <c r="J4" s="5">
        <v>-1</v>
      </c>
      <c r="K4" s="2"/>
      <c r="R4" s="6"/>
      <c r="S4" s="6"/>
      <c r="T4" s="6"/>
    </row>
    <row r="5" spans="1:24" ht="14.5" hidden="1" x14ac:dyDescent="0.35">
      <c r="A5" s="20" t="s">
        <v>948</v>
      </c>
      <c r="C5" s="2"/>
      <c r="D5" s="2"/>
      <c r="E5" s="2"/>
      <c r="F5" s="2"/>
      <c r="G5" s="3" t="s">
        <v>254</v>
      </c>
      <c r="H5" s="4" t="s">
        <v>255</v>
      </c>
      <c r="I5" s="2" t="s">
        <v>256</v>
      </c>
      <c r="J5" s="5">
        <v>-1</v>
      </c>
      <c r="K5" s="4"/>
      <c r="R5" s="6"/>
      <c r="S5" s="6"/>
      <c r="T5" s="6"/>
    </row>
    <row r="6" spans="1:24" ht="14.5" hidden="1" x14ac:dyDescent="0.35">
      <c r="A6" s="7" t="s">
        <v>949</v>
      </c>
      <c r="C6" s="2"/>
      <c r="D6" s="2"/>
      <c r="E6" s="2"/>
      <c r="F6" s="2"/>
      <c r="G6" s="3" t="s">
        <v>258</v>
      </c>
      <c r="H6" s="4" t="s">
        <v>259</v>
      </c>
      <c r="I6" s="2" t="s">
        <v>260</v>
      </c>
      <c r="J6" s="5">
        <v>-1</v>
      </c>
      <c r="K6" s="4"/>
      <c r="R6" s="6"/>
      <c r="S6" s="6"/>
      <c r="T6" s="6"/>
    </row>
    <row r="7" spans="1:24" ht="14.5" hidden="1" x14ac:dyDescent="0.35">
      <c r="A7" t="s">
        <v>950</v>
      </c>
      <c r="C7" s="2"/>
      <c r="D7" s="2"/>
      <c r="E7" s="2"/>
      <c r="F7" s="2"/>
      <c r="G7" s="3" t="s">
        <v>261</v>
      </c>
      <c r="H7" s="4" t="s">
        <v>262</v>
      </c>
      <c r="I7" s="2" t="s">
        <v>263</v>
      </c>
      <c r="J7" s="5">
        <v>-1</v>
      </c>
      <c r="K7" s="4"/>
      <c r="R7" s="6"/>
      <c r="S7" s="6"/>
      <c r="T7" s="6"/>
    </row>
    <row r="8" spans="1:24" ht="14.5" hidden="1" x14ac:dyDescent="0.35">
      <c r="A8" t="s">
        <v>951</v>
      </c>
      <c r="C8" s="2"/>
      <c r="D8" s="2"/>
      <c r="E8" s="2"/>
      <c r="F8" s="2"/>
      <c r="G8" s="3" t="s">
        <v>264</v>
      </c>
      <c r="H8" s="4" t="s">
        <v>265</v>
      </c>
      <c r="I8" s="2" t="s">
        <v>266</v>
      </c>
      <c r="J8" s="5">
        <v>-1</v>
      </c>
      <c r="K8" s="4"/>
      <c r="R8" s="6"/>
      <c r="S8" s="6"/>
      <c r="T8" s="6"/>
    </row>
    <row r="9" spans="1:24" ht="14.5" hidden="1" x14ac:dyDescent="0.35">
      <c r="A9" s="21" t="str">
        <f>CONCATENATE("sql where a.client = '",$D$172,"' and a.period between '",LEFT($D$170,4),"00' and '",LEFT($D$171,4),"14' and a.version like '%ORIG%'")</f>
        <v>sql where a.client = 'OX' and a.period between '202500' and '202514' and a.version like '%ORIG%'</v>
      </c>
      <c r="C9" s="2"/>
      <c r="D9" s="2"/>
      <c r="E9" s="2"/>
      <c r="F9" s="2"/>
      <c r="G9" s="3" t="s">
        <v>267</v>
      </c>
      <c r="H9" s="4" t="s">
        <v>268</v>
      </c>
      <c r="I9" s="2" t="s">
        <v>269</v>
      </c>
      <c r="J9" s="5">
        <v>-1</v>
      </c>
      <c r="K9" s="4"/>
      <c r="R9" s="6"/>
      <c r="S9" s="6"/>
      <c r="T9" s="6"/>
    </row>
    <row r="10" spans="1:24" ht="14.5" hidden="1" x14ac:dyDescent="0.35">
      <c r="A10" t="s">
        <v>952</v>
      </c>
      <c r="C10" s="2"/>
      <c r="D10" s="2"/>
      <c r="E10" s="2"/>
      <c r="F10" s="2"/>
      <c r="G10" s="3" t="s">
        <v>270</v>
      </c>
      <c r="H10" s="4" t="s">
        <v>271</v>
      </c>
      <c r="I10" s="2" t="s">
        <v>272</v>
      </c>
      <c r="J10" s="5">
        <v>-1</v>
      </c>
      <c r="K10" s="4"/>
      <c r="R10" s="6"/>
      <c r="S10" s="6"/>
      <c r="T10" s="6"/>
    </row>
    <row r="11" spans="1:24" ht="14.5" hidden="1" x14ac:dyDescent="0.35">
      <c r="A11" t="s">
        <v>953</v>
      </c>
      <c r="C11" s="2"/>
      <c r="D11" s="2"/>
      <c r="E11" s="2"/>
      <c r="F11" s="2"/>
      <c r="G11" s="3" t="s">
        <v>273</v>
      </c>
      <c r="H11" s="4" t="s">
        <v>274</v>
      </c>
      <c r="I11" s="2" t="s">
        <v>275</v>
      </c>
      <c r="J11" s="5">
        <v>0</v>
      </c>
      <c r="K11" s="4"/>
      <c r="R11" s="6"/>
      <c r="S11" s="6"/>
      <c r="T11" s="6"/>
    </row>
    <row r="12" spans="1:24" ht="14.5" hidden="1" x14ac:dyDescent="0.35">
      <c r="A12" t="s">
        <v>954</v>
      </c>
      <c r="C12" s="2"/>
      <c r="D12" s="2"/>
      <c r="E12" s="2"/>
      <c r="F12" s="2"/>
      <c r="G12" s="3" t="s">
        <v>277</v>
      </c>
      <c r="H12" s="4" t="s">
        <v>278</v>
      </c>
      <c r="I12" s="2" t="s">
        <v>279</v>
      </c>
      <c r="J12" s="5">
        <v>0</v>
      </c>
      <c r="K12" s="4"/>
      <c r="R12" s="6"/>
      <c r="S12" s="6"/>
      <c r="T12" s="6"/>
    </row>
    <row r="13" spans="1:24" ht="14.5" hidden="1" x14ac:dyDescent="0.35">
      <c r="A13" s="20" t="s">
        <v>955</v>
      </c>
      <c r="C13" s="2"/>
      <c r="D13" s="2"/>
      <c r="E13" s="2"/>
      <c r="F13" s="2"/>
      <c r="G13" s="3" t="s">
        <v>281</v>
      </c>
      <c r="H13" s="4" t="s">
        <v>282</v>
      </c>
      <c r="I13" s="2" t="s">
        <v>283</v>
      </c>
      <c r="J13" s="5">
        <v>0</v>
      </c>
      <c r="K13" s="4"/>
      <c r="R13" s="6"/>
      <c r="S13" s="6"/>
      <c r="T13" s="6"/>
    </row>
    <row r="14" spans="1:24" ht="14.5" hidden="1" x14ac:dyDescent="0.35">
      <c r="A14" s="7" t="s">
        <v>956</v>
      </c>
      <c r="C14" s="2"/>
      <c r="D14" s="2"/>
      <c r="E14" s="2"/>
      <c r="F14" s="2"/>
      <c r="G14" s="3" t="s">
        <v>285</v>
      </c>
      <c r="H14" s="4" t="s">
        <v>282</v>
      </c>
      <c r="I14" s="2" t="s">
        <v>283</v>
      </c>
      <c r="J14" s="5">
        <v>0</v>
      </c>
      <c r="K14" s="4"/>
      <c r="R14" s="6"/>
      <c r="S14" s="6"/>
      <c r="T14" s="6"/>
    </row>
    <row r="15" spans="1:24" ht="14.5" hidden="1" x14ac:dyDescent="0.35">
      <c r="A15" t="s">
        <v>950</v>
      </c>
      <c r="C15" s="2"/>
      <c r="D15" s="2"/>
      <c r="E15" s="2"/>
      <c r="F15" s="2"/>
      <c r="G15" s="3" t="s">
        <v>287</v>
      </c>
      <c r="H15" s="4" t="s">
        <v>282</v>
      </c>
      <c r="I15" s="2" t="s">
        <v>283</v>
      </c>
      <c r="J15" s="5">
        <v>0</v>
      </c>
      <c r="K15" s="4"/>
      <c r="R15" s="6"/>
      <c r="S15" s="6"/>
      <c r="T15" s="6"/>
    </row>
    <row r="16" spans="1:24" ht="14.5" hidden="1" x14ac:dyDescent="0.35">
      <c r="A16" t="s">
        <v>951</v>
      </c>
      <c r="C16" s="2"/>
      <c r="D16" s="2"/>
      <c r="E16" s="2"/>
      <c r="F16" s="2"/>
      <c r="G16" s="3" t="s">
        <v>288</v>
      </c>
      <c r="H16" s="4" t="s">
        <v>282</v>
      </c>
      <c r="I16" s="2" t="s">
        <v>283</v>
      </c>
      <c r="J16" s="5">
        <v>0</v>
      </c>
      <c r="K16" s="4"/>
      <c r="R16" s="6"/>
      <c r="S16" s="6"/>
      <c r="T16" s="6"/>
    </row>
    <row r="17" spans="1:20" ht="14.5" hidden="1" x14ac:dyDescent="0.35">
      <c r="A17"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7" s="2"/>
      <c r="D17" s="2"/>
      <c r="E17" s="2"/>
      <c r="F17" s="2"/>
      <c r="G17" s="3"/>
      <c r="H17" s="3"/>
      <c r="I17" s="3"/>
      <c r="J17" s="3"/>
      <c r="K17" s="4"/>
      <c r="R17" s="6"/>
      <c r="S17" s="6"/>
      <c r="T17" s="6"/>
    </row>
    <row r="18" spans="1:20" ht="14.5" hidden="1" x14ac:dyDescent="0.35">
      <c r="A18" t="s">
        <v>952</v>
      </c>
      <c r="C18" s="2"/>
      <c r="D18" s="2"/>
      <c r="E18" s="2"/>
      <c r="F18" s="2"/>
      <c r="G18" s="3"/>
      <c r="H18" s="3"/>
      <c r="I18" s="3"/>
      <c r="J18" s="3"/>
      <c r="K18" s="4"/>
      <c r="R18" s="6"/>
      <c r="S18" s="6"/>
      <c r="T18" s="6"/>
    </row>
    <row r="19" spans="1:20" ht="14.5" hidden="1" x14ac:dyDescent="0.35">
      <c r="A19" t="s">
        <v>953</v>
      </c>
      <c r="C19" s="2"/>
      <c r="D19" s="2"/>
      <c r="E19" s="2"/>
      <c r="F19" s="2"/>
      <c r="G19" s="3"/>
      <c r="H19" s="3"/>
      <c r="I19" s="3"/>
      <c r="J19" s="3"/>
      <c r="K19" s="4"/>
      <c r="R19" s="6"/>
      <c r="S19" s="6"/>
      <c r="T19" s="6"/>
    </row>
    <row r="20" spans="1:20" ht="14.5" hidden="1" x14ac:dyDescent="0.35">
      <c r="A20" t="s">
        <v>954</v>
      </c>
      <c r="C20" s="2"/>
      <c r="D20" s="2"/>
      <c r="E20" s="2"/>
      <c r="F20" s="2"/>
      <c r="G20" s="3"/>
      <c r="H20" s="3"/>
      <c r="I20" s="3"/>
      <c r="J20" s="3"/>
      <c r="K20" s="4"/>
      <c r="R20" s="6"/>
      <c r="S20" s="6"/>
      <c r="T20" s="6"/>
    </row>
    <row r="21" spans="1:20" ht="13" hidden="1" x14ac:dyDescent="0.3">
      <c r="A21" s="66" t="s">
        <v>957</v>
      </c>
      <c r="C21"/>
      <c r="G21"/>
    </row>
    <row r="22" spans="1:20" hidden="1" x14ac:dyDescent="0.25">
      <c r="A22" t="s">
        <v>958</v>
      </c>
      <c r="C22"/>
      <c r="G22"/>
    </row>
    <row r="23" spans="1:20" hidden="1" x14ac:dyDescent="0.25">
      <c r="A23" t="s">
        <v>950</v>
      </c>
      <c r="C23"/>
      <c r="G23"/>
    </row>
    <row r="24" spans="1:20" ht="13" hidden="1" x14ac:dyDescent="0.3">
      <c r="A2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C24"/>
      <c r="G24"/>
    </row>
    <row r="25" spans="1:20" ht="13" hidden="1" x14ac:dyDescent="0.3">
      <c r="A25" s="21" t="s">
        <v>959</v>
      </c>
      <c r="C25"/>
      <c r="G25"/>
    </row>
    <row r="26" spans="1:20" hidden="1" x14ac:dyDescent="0.25">
      <c r="A26" t="s">
        <v>960</v>
      </c>
      <c r="C26"/>
      <c r="G26"/>
    </row>
    <row r="27" spans="1:20" hidden="1" x14ac:dyDescent="0.25">
      <c r="A27" t="s">
        <v>961</v>
      </c>
      <c r="C27"/>
      <c r="G27"/>
    </row>
    <row r="28" spans="1:20" hidden="1" x14ac:dyDescent="0.25">
      <c r="A28" t="str">
        <f>CONCATENATE("sql left outer join acrtrees t on t.client = x.client and x.dim_1 = t.cat_1 and t.att_agrid = '",$F$159,"'")</f>
        <v>sql left outer join acrtrees t on t.client = x.client and x.dim_1 = t.cat_1 and t.att_agrid = '53'</v>
      </c>
      <c r="C28"/>
      <c r="G28"/>
    </row>
    <row r="29" spans="1:20" ht="13" hidden="1" x14ac:dyDescent="0.3">
      <c r="A2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C29"/>
      <c r="G29"/>
    </row>
    <row r="30" spans="1:20" ht="13" hidden="1" x14ac:dyDescent="0.3">
      <c r="A30" s="21" t="s">
        <v>962</v>
      </c>
      <c r="C30"/>
      <c r="G30"/>
    </row>
    <row r="31" spans="1:20" ht="13" hidden="1" x14ac:dyDescent="0.3">
      <c r="A31"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c r="C31"/>
      <c r="G31"/>
    </row>
    <row r="32" spans="1:20" ht="13" hidden="1" x14ac:dyDescent="0.3">
      <c r="A32" s="21" t="s">
        <v>963</v>
      </c>
      <c r="C32"/>
      <c r="G32"/>
    </row>
    <row r="33" spans="1:7" hidden="1" x14ac:dyDescent="0.25">
      <c r="A33" t="s">
        <v>964</v>
      </c>
      <c r="C33"/>
      <c r="G33"/>
    </row>
    <row r="34" spans="1:7" hidden="1" x14ac:dyDescent="0.25">
      <c r="A34" t="s">
        <v>965</v>
      </c>
      <c r="C34"/>
      <c r="G34"/>
    </row>
    <row r="35" spans="1:7" hidden="1" x14ac:dyDescent="0.25">
      <c r="A35" t="s">
        <v>966</v>
      </c>
      <c r="C35"/>
      <c r="G35"/>
    </row>
    <row r="36" spans="1:7" hidden="1" x14ac:dyDescent="0.25">
      <c r="A36" t="s">
        <v>953</v>
      </c>
      <c r="C36"/>
      <c r="G36"/>
    </row>
    <row r="37" spans="1:7" hidden="1" x14ac:dyDescent="0.25">
      <c r="A37" t="s">
        <v>954</v>
      </c>
      <c r="C37"/>
      <c r="G37"/>
    </row>
    <row r="38" spans="1:7" ht="13" hidden="1" x14ac:dyDescent="0.3">
      <c r="A38" s="66" t="s">
        <v>967</v>
      </c>
      <c r="C38"/>
      <c r="G38"/>
    </row>
    <row r="39" spans="1:7" hidden="1" x14ac:dyDescent="0.25">
      <c r="A39" t="s">
        <v>968</v>
      </c>
      <c r="C39"/>
      <c r="G39"/>
    </row>
    <row r="40" spans="1:7" hidden="1" x14ac:dyDescent="0.25">
      <c r="A40" t="s">
        <v>950</v>
      </c>
      <c r="C40"/>
      <c r="G40"/>
    </row>
    <row r="41" spans="1:7" ht="13" hidden="1" x14ac:dyDescent="0.3">
      <c r="A4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c r="C41" s="9"/>
      <c r="G41"/>
    </row>
    <row r="42" spans="1:7" ht="13" hidden="1" x14ac:dyDescent="0.3">
      <c r="A42" s="21" t="s">
        <v>969</v>
      </c>
      <c r="C42" s="9"/>
      <c r="G42"/>
    </row>
    <row r="43" spans="1:7" ht="13" hidden="1" x14ac:dyDescent="0.3">
      <c r="A43" s="21" t="s">
        <v>959</v>
      </c>
      <c r="C43"/>
      <c r="G43"/>
    </row>
    <row r="44" spans="1:7" hidden="1" x14ac:dyDescent="0.25">
      <c r="A44" t="s">
        <v>960</v>
      </c>
      <c r="C44"/>
      <c r="G44"/>
    </row>
    <row r="45" spans="1:7" hidden="1" x14ac:dyDescent="0.25">
      <c r="A45" t="s">
        <v>961</v>
      </c>
      <c r="C45"/>
      <c r="G45"/>
    </row>
    <row r="46" spans="1:7" hidden="1" x14ac:dyDescent="0.25">
      <c r="A46" t="str">
        <f>CONCATENATE("sql left outer join acrtrees t on t.client = x.client and x.dim_1 = t.cat_1 and t.att_agrid = '",$F$159,"'")</f>
        <v>sql left outer join acrtrees t on t.client = x.client and x.dim_1 = t.cat_1 and t.att_agrid = '53'</v>
      </c>
      <c r="C46"/>
      <c r="G46"/>
    </row>
    <row r="47" spans="1:7" ht="13" hidden="1" x14ac:dyDescent="0.3">
      <c r="A4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c r="C47"/>
      <c r="G47"/>
    </row>
    <row r="48" spans="1:7" ht="13" hidden="1" x14ac:dyDescent="0.3">
      <c r="A48" s="21" t="s">
        <v>970</v>
      </c>
      <c r="C48"/>
      <c r="G48"/>
    </row>
    <row r="49" spans="1:15" ht="13" hidden="1" x14ac:dyDescent="0.3">
      <c r="A49" s="21" t="s">
        <v>962</v>
      </c>
      <c r="C49"/>
      <c r="G49"/>
    </row>
    <row r="50" spans="1:15" ht="13" hidden="1" x14ac:dyDescent="0.3">
      <c r="A50"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c r="C50" s="8"/>
      <c r="G50"/>
    </row>
    <row r="51" spans="1:15" ht="13" hidden="1" x14ac:dyDescent="0.3">
      <c r="A51" s="21" t="s">
        <v>970</v>
      </c>
      <c r="C51"/>
      <c r="G51"/>
    </row>
    <row r="52" spans="1:15" ht="13" hidden="1" x14ac:dyDescent="0.3">
      <c r="A52" s="21" t="s">
        <v>963</v>
      </c>
      <c r="C52"/>
      <c r="G52"/>
    </row>
    <row r="53" spans="1:15" hidden="1" x14ac:dyDescent="0.25">
      <c r="A53" t="s">
        <v>964</v>
      </c>
      <c r="C53"/>
      <c r="G53"/>
    </row>
    <row r="54" spans="1:15" hidden="1" x14ac:dyDescent="0.25">
      <c r="A54" t="s">
        <v>965</v>
      </c>
      <c r="C54"/>
      <c r="G54"/>
    </row>
    <row r="55" spans="1:15" hidden="1" x14ac:dyDescent="0.25">
      <c r="A55" t="s">
        <v>966</v>
      </c>
      <c r="C55"/>
      <c r="G55"/>
    </row>
    <row r="56" spans="1:15" hidden="1" x14ac:dyDescent="0.25">
      <c r="A56" t="s">
        <v>953</v>
      </c>
      <c r="C56"/>
      <c r="G56"/>
    </row>
    <row r="57" spans="1:15" hidden="1" x14ac:dyDescent="0.25">
      <c r="A57" t="s">
        <v>954</v>
      </c>
      <c r="C57"/>
      <c r="G57"/>
    </row>
    <row r="58" spans="1:15" ht="13" hidden="1" x14ac:dyDescent="0.3">
      <c r="A58" s="66" t="s">
        <v>971</v>
      </c>
      <c r="C58"/>
      <c r="G58"/>
    </row>
    <row r="59" spans="1:15" hidden="1" x14ac:dyDescent="0.25">
      <c r="A59" t="s">
        <v>972</v>
      </c>
      <c r="B59" s="7"/>
      <c r="C59"/>
      <c r="G59"/>
    </row>
    <row r="60" spans="1:15" hidden="1" x14ac:dyDescent="0.25">
      <c r="A60" t="s">
        <v>950</v>
      </c>
      <c r="C60"/>
      <c r="G60"/>
      <c r="O60" s="10"/>
    </row>
    <row r="61" spans="1:15" ht="13" hidden="1" x14ac:dyDescent="0.3">
      <c r="A6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B61" s="9"/>
      <c r="C61"/>
      <c r="G61"/>
      <c r="O61" s="10"/>
    </row>
    <row r="62" spans="1:15" ht="13" hidden="1" x14ac:dyDescent="0.3">
      <c r="A62" s="21" t="s">
        <v>959</v>
      </c>
      <c r="B62" s="9"/>
      <c r="C62"/>
      <c r="G62"/>
      <c r="N62" s="10"/>
    </row>
    <row r="63" spans="1:15" hidden="1" x14ac:dyDescent="0.25">
      <c r="A63" t="s">
        <v>960</v>
      </c>
      <c r="C63"/>
      <c r="G63"/>
      <c r="N63" s="10"/>
    </row>
    <row r="64" spans="1:15" hidden="1" x14ac:dyDescent="0.25">
      <c r="A64" t="s">
        <v>961</v>
      </c>
      <c r="C64"/>
      <c r="G64"/>
      <c r="N64" s="10"/>
    </row>
    <row r="65" spans="1:14" hidden="1" x14ac:dyDescent="0.25">
      <c r="A65" t="str">
        <f>CONCATENATE("sql left outer join acrtrees t on t.client = x.client and x.dim_1 = t.cat_1 and t.att_agrid = '",$F$159,"'")</f>
        <v>sql left outer join acrtrees t on t.client = x.client and x.dim_1 = t.cat_1 and t.att_agrid = '53'</v>
      </c>
      <c r="C65"/>
      <c r="G65"/>
    </row>
    <row r="66" spans="1:14" ht="13" hidden="1" x14ac:dyDescent="0.3">
      <c r="A6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B66" s="9"/>
      <c r="C66"/>
      <c r="G66"/>
    </row>
    <row r="67" spans="1:14" ht="13" hidden="1" x14ac:dyDescent="0.3">
      <c r="A67" s="21" t="s">
        <v>973</v>
      </c>
      <c r="B67" s="9"/>
      <c r="C67"/>
      <c r="G67"/>
    </row>
    <row r="68" spans="1:14" hidden="1" x14ac:dyDescent="0.25">
      <c r="A68" t="s">
        <v>964</v>
      </c>
      <c r="C68"/>
      <c r="G68"/>
    </row>
    <row r="69" spans="1:14" hidden="1" x14ac:dyDescent="0.25">
      <c r="A69" t="s">
        <v>965</v>
      </c>
      <c r="C69"/>
      <c r="G69"/>
    </row>
    <row r="70" spans="1:14" hidden="1" x14ac:dyDescent="0.25">
      <c r="A70" t="s">
        <v>966</v>
      </c>
      <c r="C70"/>
      <c r="G70"/>
    </row>
    <row r="71" spans="1:14" hidden="1" x14ac:dyDescent="0.25">
      <c r="A71" t="s">
        <v>953</v>
      </c>
      <c r="C71"/>
      <c r="G71"/>
    </row>
    <row r="72" spans="1:14" hidden="1" x14ac:dyDescent="0.25">
      <c r="A72" t="s">
        <v>954</v>
      </c>
      <c r="B72" s="7"/>
      <c r="C72"/>
      <c r="G72"/>
    </row>
    <row r="73" spans="1:14" ht="13" hidden="1" x14ac:dyDescent="0.3">
      <c r="A73" s="66" t="s">
        <v>974</v>
      </c>
      <c r="C73"/>
      <c r="G73"/>
    </row>
    <row r="74" spans="1:14" hidden="1" x14ac:dyDescent="0.25">
      <c r="A74" t="s">
        <v>975</v>
      </c>
      <c r="B74" s="7"/>
      <c r="C74"/>
      <c r="G74"/>
    </row>
    <row r="75" spans="1:14" hidden="1" x14ac:dyDescent="0.25">
      <c r="A75" t="s">
        <v>950</v>
      </c>
      <c r="C75"/>
      <c r="G75"/>
    </row>
    <row r="76" spans="1:14" ht="13" hidden="1" x14ac:dyDescent="0.3">
      <c r="A7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c r="B76" s="9"/>
      <c r="C76"/>
      <c r="G76"/>
    </row>
    <row r="77" spans="1:14" ht="13" hidden="1" x14ac:dyDescent="0.3">
      <c r="A77" s="21" t="s">
        <v>959</v>
      </c>
      <c r="B77" s="9"/>
      <c r="C77"/>
      <c r="G77"/>
      <c r="N77" s="10"/>
    </row>
    <row r="78" spans="1:14" hidden="1" x14ac:dyDescent="0.25">
      <c r="A78" t="s">
        <v>960</v>
      </c>
      <c r="C78"/>
      <c r="G78"/>
      <c r="N78" s="10"/>
    </row>
    <row r="79" spans="1:14" hidden="1" x14ac:dyDescent="0.25">
      <c r="A79" t="s">
        <v>961</v>
      </c>
      <c r="C79"/>
      <c r="G79"/>
      <c r="N79" s="10"/>
    </row>
    <row r="80" spans="1:14" hidden="1" x14ac:dyDescent="0.25">
      <c r="A80" t="str">
        <f>CONCATENATE("sql left outer join acrtrees t on t.client = x.client and x.dim_1 = t.cat_1 and t.att_agrid = '",$F$159,"'")</f>
        <v>sql left outer join acrtrees t on t.client = x.client and x.dim_1 = t.cat_1 and t.att_agrid = '53'</v>
      </c>
      <c r="C80"/>
      <c r="G80"/>
      <c r="N80" s="10"/>
    </row>
    <row r="81" spans="1:14" ht="13" hidden="1" x14ac:dyDescent="0.3">
      <c r="A8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c r="B81" s="9"/>
      <c r="C81"/>
      <c r="G81"/>
    </row>
    <row r="82" spans="1:14" ht="13" hidden="1" x14ac:dyDescent="0.3">
      <c r="A82" s="21" t="s">
        <v>973</v>
      </c>
      <c r="B82" s="9"/>
      <c r="C82"/>
      <c r="G82"/>
    </row>
    <row r="83" spans="1:14" hidden="1" x14ac:dyDescent="0.25">
      <c r="A83" t="s">
        <v>964</v>
      </c>
      <c r="C83"/>
      <c r="G83"/>
    </row>
    <row r="84" spans="1:14" hidden="1" x14ac:dyDescent="0.25">
      <c r="A84" t="s">
        <v>965</v>
      </c>
      <c r="C84"/>
      <c r="G84"/>
      <c r="N84" s="10"/>
    </row>
    <row r="85" spans="1:14" hidden="1" x14ac:dyDescent="0.25">
      <c r="A85" t="s">
        <v>966</v>
      </c>
      <c r="C85"/>
      <c r="G85"/>
      <c r="N85" s="10"/>
    </row>
    <row r="86" spans="1:14" hidden="1" x14ac:dyDescent="0.25">
      <c r="A86" t="s">
        <v>953</v>
      </c>
      <c r="C86"/>
      <c r="G86"/>
      <c r="N86" s="10"/>
    </row>
    <row r="87" spans="1:14" hidden="1" x14ac:dyDescent="0.25">
      <c r="A87" t="s">
        <v>954</v>
      </c>
      <c r="C87"/>
      <c r="G87"/>
      <c r="N87" s="10"/>
    </row>
    <row r="88" spans="1:14" ht="13" hidden="1" x14ac:dyDescent="0.3">
      <c r="A88" s="66" t="s">
        <v>976</v>
      </c>
      <c r="C88"/>
      <c r="G88"/>
    </row>
    <row r="89" spans="1:14" hidden="1" x14ac:dyDescent="0.25">
      <c r="A89" t="s">
        <v>977</v>
      </c>
      <c r="B89" s="7"/>
      <c r="C89"/>
      <c r="G89"/>
    </row>
    <row r="90" spans="1:14" hidden="1" x14ac:dyDescent="0.25">
      <c r="A90" t="s">
        <v>950</v>
      </c>
      <c r="C90"/>
      <c r="G90"/>
    </row>
    <row r="91" spans="1:14" ht="13" hidden="1" x14ac:dyDescent="0.3">
      <c r="A9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c r="B91" s="9"/>
      <c r="C91"/>
      <c r="G91"/>
    </row>
    <row r="92" spans="1:14" ht="13" hidden="1" x14ac:dyDescent="0.3">
      <c r="A92" s="21" t="s">
        <v>959</v>
      </c>
      <c r="B92" s="9"/>
      <c r="C92"/>
      <c r="G92"/>
    </row>
    <row r="93" spans="1:14" hidden="1" x14ac:dyDescent="0.25">
      <c r="A93" t="s">
        <v>960</v>
      </c>
      <c r="C93"/>
      <c r="G93"/>
    </row>
    <row r="94" spans="1:14" hidden="1" x14ac:dyDescent="0.25">
      <c r="A94" t="s">
        <v>961</v>
      </c>
      <c r="C94"/>
      <c r="G94"/>
    </row>
    <row r="95" spans="1:14" hidden="1" x14ac:dyDescent="0.25">
      <c r="A95" t="str">
        <f>CONCATENATE("sql left outer join acrtrees t on t.client = x.client and x.dim_1 = t.cat_1 and t.att_agrid = '",$F$159,"'")</f>
        <v>sql left outer join acrtrees t on t.client = x.client and x.dim_1 = t.cat_1 and t.att_agrid = '53'</v>
      </c>
      <c r="C95"/>
      <c r="G95"/>
    </row>
    <row r="96" spans="1:14" ht="13" hidden="1" x14ac:dyDescent="0.3">
      <c r="A9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c r="B96" s="9"/>
      <c r="C96"/>
      <c r="G96"/>
    </row>
    <row r="97" spans="1:14" ht="13" hidden="1" x14ac:dyDescent="0.3">
      <c r="A97" s="21" t="s">
        <v>978</v>
      </c>
      <c r="B97" s="9"/>
      <c r="C97"/>
      <c r="G97"/>
    </row>
    <row r="98" spans="1:14" hidden="1" x14ac:dyDescent="0.25">
      <c r="A98" t="s">
        <v>979</v>
      </c>
      <c r="C98"/>
      <c r="G98"/>
    </row>
    <row r="99" spans="1:14" hidden="1" x14ac:dyDescent="0.25">
      <c r="A99" t="s">
        <v>980</v>
      </c>
      <c r="C99"/>
      <c r="G99"/>
    </row>
    <row r="100" spans="1:14" hidden="1" x14ac:dyDescent="0.25">
      <c r="A100" t="s">
        <v>966</v>
      </c>
      <c r="C100"/>
      <c r="G100"/>
    </row>
    <row r="101" spans="1:14" hidden="1" x14ac:dyDescent="0.25">
      <c r="A101" t="s">
        <v>953</v>
      </c>
      <c r="C101"/>
      <c r="G101"/>
    </row>
    <row r="102" spans="1:14" hidden="1" x14ac:dyDescent="0.25">
      <c r="A102" t="s">
        <v>954</v>
      </c>
      <c r="C102"/>
      <c r="G102"/>
      <c r="N102" s="10"/>
    </row>
    <row r="103" spans="1:14" ht="13" hidden="1" x14ac:dyDescent="0.3">
      <c r="A103" s="66" t="s">
        <v>981</v>
      </c>
      <c r="C103"/>
      <c r="G103"/>
    </row>
    <row r="104" spans="1:14" hidden="1" x14ac:dyDescent="0.25">
      <c r="A104" t="s">
        <v>982</v>
      </c>
      <c r="B104" s="7"/>
      <c r="C104"/>
      <c r="G104"/>
    </row>
    <row r="105" spans="1:14" hidden="1" x14ac:dyDescent="0.25">
      <c r="A105" t="s">
        <v>950</v>
      </c>
      <c r="C105"/>
      <c r="G105"/>
    </row>
    <row r="106" spans="1:14" ht="13" hidden="1" x14ac:dyDescent="0.3">
      <c r="A10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c r="B106" s="9"/>
      <c r="C106"/>
      <c r="G106"/>
    </row>
    <row r="107" spans="1:14" ht="13" hidden="1" x14ac:dyDescent="0.3">
      <c r="A107" s="21" t="s">
        <v>969</v>
      </c>
      <c r="B107" s="9"/>
      <c r="C107"/>
      <c r="G107"/>
    </row>
    <row r="108" spans="1:14" ht="13" hidden="1" x14ac:dyDescent="0.3">
      <c r="A108" s="21" t="s">
        <v>959</v>
      </c>
      <c r="B108" s="9"/>
      <c r="C108"/>
      <c r="G108"/>
    </row>
    <row r="109" spans="1:14" hidden="1" x14ac:dyDescent="0.25">
      <c r="A109" t="s">
        <v>960</v>
      </c>
      <c r="C109"/>
      <c r="G109"/>
    </row>
    <row r="110" spans="1:14" hidden="1" x14ac:dyDescent="0.25">
      <c r="A110" t="s">
        <v>961</v>
      </c>
      <c r="C110"/>
      <c r="G110"/>
    </row>
    <row r="111" spans="1:14" hidden="1" x14ac:dyDescent="0.25">
      <c r="A111" t="str">
        <f>CONCATENATE("sql left outer join acrtrees t on t.client = x.client and x.dim_1 = t.cat_1 and t.att_agrid = '",$F$159,"'")</f>
        <v>sql left outer join acrtrees t on t.client = x.client and x.dim_1 = t.cat_1 and t.att_agrid = '53'</v>
      </c>
      <c r="C111"/>
      <c r="G111"/>
    </row>
    <row r="112" spans="1:14" ht="13" hidden="1" x14ac:dyDescent="0.3">
      <c r="A11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c r="B112" s="9"/>
      <c r="C112"/>
      <c r="G112"/>
    </row>
    <row r="113" spans="1:20" ht="13" hidden="1" x14ac:dyDescent="0.3">
      <c r="A113" s="21" t="s">
        <v>970</v>
      </c>
      <c r="B113" s="9"/>
      <c r="C113"/>
      <c r="G113"/>
    </row>
    <row r="114" spans="1:20" ht="13" hidden="1" x14ac:dyDescent="0.3">
      <c r="A114" s="21" t="s">
        <v>978</v>
      </c>
      <c r="B114" s="9"/>
      <c r="C114"/>
      <c r="G114"/>
    </row>
    <row r="115" spans="1:20" hidden="1" x14ac:dyDescent="0.25">
      <c r="A115" t="s">
        <v>979</v>
      </c>
      <c r="C115"/>
      <c r="G115"/>
    </row>
    <row r="116" spans="1:20" hidden="1" x14ac:dyDescent="0.25">
      <c r="A116" t="s">
        <v>980</v>
      </c>
      <c r="C116"/>
      <c r="G116"/>
    </row>
    <row r="117" spans="1:20" hidden="1" x14ac:dyDescent="0.25">
      <c r="A117" t="s">
        <v>966</v>
      </c>
      <c r="C117"/>
      <c r="G117"/>
    </row>
    <row r="118" spans="1:20" hidden="1" x14ac:dyDescent="0.25">
      <c r="A118" t="s">
        <v>953</v>
      </c>
      <c r="C118"/>
      <c r="G118"/>
    </row>
    <row r="119" spans="1:20" hidden="1" x14ac:dyDescent="0.25">
      <c r="A119" t="s">
        <v>954</v>
      </c>
      <c r="C119"/>
      <c r="G119"/>
    </row>
    <row r="120" spans="1:20" ht="14.5" hidden="1" x14ac:dyDescent="0.35">
      <c r="A120" s="20" t="s">
        <v>983</v>
      </c>
      <c r="C120" s="2"/>
      <c r="D120" s="2"/>
      <c r="E120" s="2"/>
      <c r="F120" s="2"/>
      <c r="G120" s="3"/>
      <c r="H120" s="3"/>
      <c r="I120" s="3"/>
      <c r="J120" s="3"/>
      <c r="K120" s="4"/>
      <c r="R120" s="6"/>
      <c r="S120" s="6"/>
      <c r="T120" s="6"/>
    </row>
    <row r="121" spans="1:20" ht="14.5" hidden="1" x14ac:dyDescent="0.35">
      <c r="A121" s="7" t="s">
        <v>984</v>
      </c>
      <c r="C121" s="2"/>
      <c r="D121" s="2"/>
      <c r="E121" s="2"/>
      <c r="F121" s="2"/>
      <c r="G121" s="3"/>
      <c r="H121" s="3"/>
      <c r="I121" s="3"/>
      <c r="J121" s="3"/>
      <c r="K121" s="4"/>
      <c r="R121" s="6"/>
      <c r="S121" s="6"/>
      <c r="T121" s="6"/>
    </row>
    <row r="122" spans="1:20" ht="14.5" hidden="1" x14ac:dyDescent="0.35">
      <c r="A122" t="s">
        <v>950</v>
      </c>
      <c r="C122" s="2"/>
      <c r="D122" s="2"/>
      <c r="E122" s="2"/>
      <c r="F122" s="2"/>
      <c r="G122" s="3"/>
      <c r="H122" s="3"/>
      <c r="I122" s="3"/>
      <c r="J122" s="3"/>
      <c r="K122" s="4"/>
      <c r="R122" s="6"/>
      <c r="S122" s="6"/>
      <c r="T122" s="6"/>
    </row>
    <row r="123" spans="1:20" ht="14.5" hidden="1" x14ac:dyDescent="0.35">
      <c r="A123" t="s">
        <v>951</v>
      </c>
      <c r="C123" s="2"/>
      <c r="D123" s="2"/>
      <c r="E123" s="2"/>
      <c r="F123" s="2"/>
      <c r="G123" s="3"/>
      <c r="H123" s="3"/>
      <c r="I123" s="3"/>
      <c r="J123" s="3"/>
      <c r="K123" s="4"/>
      <c r="R123" s="6"/>
      <c r="S123" s="6"/>
      <c r="T123" s="6"/>
    </row>
    <row r="124" spans="1:20" ht="14.5" hidden="1" x14ac:dyDescent="0.35">
      <c r="A124"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24" s="2"/>
      <c r="D124" s="2"/>
      <c r="E124" s="2"/>
      <c r="F124" s="2"/>
      <c r="G124" s="3"/>
      <c r="H124" s="3"/>
      <c r="I124" s="3"/>
      <c r="J124" s="3"/>
      <c r="K124" s="4"/>
      <c r="R124" s="6"/>
      <c r="T124" s="6"/>
    </row>
    <row r="125" spans="1:20" ht="14.5" hidden="1" x14ac:dyDescent="0.35">
      <c r="A125" t="s">
        <v>952</v>
      </c>
      <c r="C125" s="2"/>
      <c r="D125" s="2"/>
      <c r="E125" s="2"/>
      <c r="F125" s="2"/>
      <c r="G125" s="3"/>
      <c r="H125" s="3"/>
      <c r="I125" s="3"/>
      <c r="J125" s="3"/>
      <c r="K125" s="4"/>
      <c r="R125" s="6"/>
      <c r="S125" s="6"/>
      <c r="T125" s="6"/>
    </row>
    <row r="126" spans="1:20" ht="14.5" hidden="1" x14ac:dyDescent="0.35">
      <c r="A126" t="s">
        <v>953</v>
      </c>
      <c r="C126" s="2"/>
      <c r="D126" s="2"/>
      <c r="E126" s="2"/>
      <c r="F126" s="2"/>
      <c r="G126" s="3"/>
      <c r="H126" s="3"/>
      <c r="I126" s="3"/>
      <c r="J126" s="3"/>
      <c r="K126" s="4"/>
      <c r="R126" s="6"/>
      <c r="S126" s="6"/>
      <c r="T126" s="6"/>
    </row>
    <row r="127" spans="1:20" ht="14.5" hidden="1" x14ac:dyDescent="0.35">
      <c r="A127" t="s">
        <v>954</v>
      </c>
      <c r="C127" s="2"/>
      <c r="D127" s="2"/>
      <c r="E127" s="2"/>
      <c r="F127" s="2"/>
      <c r="G127" s="3"/>
      <c r="H127" s="3"/>
      <c r="I127" s="3"/>
      <c r="J127" s="3"/>
      <c r="K127" s="4"/>
      <c r="R127" s="6"/>
      <c r="S127" s="6"/>
      <c r="T127" s="6"/>
    </row>
    <row r="128" spans="1:20" ht="14.5" hidden="1" x14ac:dyDescent="0.35">
      <c r="A128" s="20" t="s">
        <v>985</v>
      </c>
      <c r="C128" s="2"/>
      <c r="D128" s="2"/>
      <c r="E128" s="2"/>
      <c r="F128" s="2"/>
      <c r="G128"/>
      <c r="K128" s="2"/>
      <c r="R128" s="6"/>
      <c r="S128" s="6"/>
      <c r="T128" s="6"/>
    </row>
    <row r="129" spans="1:20" ht="14.5" hidden="1" x14ac:dyDescent="0.35">
      <c r="A129" s="7" t="s">
        <v>986</v>
      </c>
      <c r="C129" s="2"/>
      <c r="D129" s="2"/>
      <c r="E129" s="2"/>
      <c r="F129" s="2"/>
      <c r="G129"/>
      <c r="K129" s="2"/>
      <c r="R129" s="6"/>
      <c r="S129" s="6"/>
      <c r="T129" s="6"/>
    </row>
    <row r="130" spans="1:20" ht="14.5" hidden="1" x14ac:dyDescent="0.35">
      <c r="A130" t="s">
        <v>987</v>
      </c>
      <c r="C130" s="2"/>
      <c r="D130" s="2"/>
      <c r="E130" s="2"/>
      <c r="F130" s="2"/>
      <c r="G130"/>
      <c r="K130" s="2"/>
      <c r="R130" s="6"/>
      <c r="S130" s="6"/>
      <c r="T130" s="6"/>
    </row>
    <row r="131" spans="1:20" ht="14.5" hidden="1" x14ac:dyDescent="0.35">
      <c r="A131" s="21" t="str">
        <f>CONCATENATE("sql where a.client = '",$D$172,"' and a.period between '",LEFT($D$170,4),"00' and '",IF(RIGHT($D$171,2)="12",CONCATENATE(LEFT($D$171,4),"14"),$D$171),"'")</f>
        <v>sql where a.client = 'OX' and a.period between '202500' and '202506'</v>
      </c>
      <c r="C131" s="2"/>
      <c r="D131" s="2"/>
      <c r="E131" s="2"/>
      <c r="F131" s="2"/>
      <c r="G131"/>
      <c r="K131" s="2"/>
      <c r="R131" s="6"/>
      <c r="S131" s="6"/>
      <c r="T131" s="6"/>
    </row>
    <row r="132" spans="1:20" ht="14.5" hidden="1" x14ac:dyDescent="0.35">
      <c r="A132" t="s">
        <v>952</v>
      </c>
      <c r="C132" s="2"/>
      <c r="D132" s="2"/>
      <c r="E132" s="2"/>
      <c r="F132" s="2"/>
      <c r="G132"/>
      <c r="K132" s="2"/>
      <c r="R132" s="6"/>
      <c r="S132" s="6"/>
      <c r="T132" s="6"/>
    </row>
    <row r="133" spans="1:20" ht="14.5" hidden="1" x14ac:dyDescent="0.35">
      <c r="A133" t="s">
        <v>953</v>
      </c>
      <c r="C133" s="2"/>
      <c r="D133" s="2"/>
      <c r="E133" s="2"/>
      <c r="F133" s="2"/>
      <c r="G133"/>
      <c r="K133" s="2"/>
      <c r="R133" s="6"/>
      <c r="S133" s="6"/>
      <c r="T133" s="6"/>
    </row>
    <row r="134" spans="1:20" ht="14.5" hidden="1" x14ac:dyDescent="0.35">
      <c r="A134" t="s">
        <v>954</v>
      </c>
      <c r="C134" s="2"/>
      <c r="D134" s="2"/>
      <c r="E134" s="2"/>
      <c r="F134" s="2"/>
      <c r="G134"/>
      <c r="K134" s="2"/>
      <c r="R134" s="6"/>
      <c r="S134" s="6"/>
      <c r="T134" s="6"/>
    </row>
    <row r="135" spans="1:20" ht="14.5" hidden="1" x14ac:dyDescent="0.35">
      <c r="A135" s="20" t="s">
        <v>988</v>
      </c>
      <c r="C135" s="2"/>
      <c r="D135" s="2"/>
      <c r="E135" s="2"/>
      <c r="F135" s="2"/>
      <c r="G135"/>
      <c r="K135" s="2"/>
      <c r="R135" s="6"/>
      <c r="S135" s="6"/>
      <c r="T135" s="6"/>
    </row>
    <row r="136" spans="1:20" ht="14.5" hidden="1" x14ac:dyDescent="0.35">
      <c r="A136" s="7" t="s">
        <v>989</v>
      </c>
      <c r="C136" s="2"/>
      <c r="D136" s="2"/>
      <c r="E136" s="2"/>
      <c r="F136" s="2"/>
      <c r="G136" s="3"/>
      <c r="H136" s="3"/>
      <c r="I136" s="3"/>
      <c r="J136" s="3"/>
      <c r="K136" s="4"/>
      <c r="R136" s="6"/>
      <c r="S136" s="6"/>
      <c r="T136" s="6"/>
    </row>
    <row r="137" spans="1:20" ht="14.5" hidden="1" x14ac:dyDescent="0.35">
      <c r="A137" t="s">
        <v>950</v>
      </c>
      <c r="C137" s="2"/>
      <c r="D137" s="2"/>
      <c r="E137" s="2"/>
      <c r="F137" s="2"/>
      <c r="G137" s="3"/>
      <c r="H137" s="3"/>
      <c r="I137" s="3"/>
      <c r="J137" s="3"/>
      <c r="K137" s="4"/>
      <c r="R137" s="6"/>
      <c r="S137" s="6"/>
      <c r="T137" s="6"/>
    </row>
    <row r="138" spans="1:20" ht="14.5" hidden="1" x14ac:dyDescent="0.35">
      <c r="A138" t="s">
        <v>951</v>
      </c>
      <c r="C138" s="2"/>
      <c r="D138" s="2"/>
      <c r="E138" s="2"/>
      <c r="F138" s="2"/>
      <c r="G138" s="3"/>
      <c r="H138" s="3"/>
      <c r="I138" s="3"/>
      <c r="J138" s="3"/>
      <c r="K138" s="4"/>
      <c r="R138" s="6"/>
      <c r="S138" s="6"/>
      <c r="T138" s="6"/>
    </row>
    <row r="139" spans="1:20" ht="14.5" hidden="1" x14ac:dyDescent="0.35">
      <c r="A139"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c r="C139" s="2"/>
      <c r="D139" s="2"/>
      <c r="E139" s="2"/>
      <c r="F139" s="2"/>
      <c r="G139" s="3"/>
      <c r="H139" s="3"/>
      <c r="I139" s="3"/>
      <c r="J139" s="3"/>
      <c r="K139" s="4"/>
      <c r="R139" s="6"/>
      <c r="T139" s="6"/>
    </row>
    <row r="140" spans="1:20" ht="14.5" hidden="1" x14ac:dyDescent="0.35">
      <c r="A140" t="s">
        <v>952</v>
      </c>
      <c r="C140" s="2"/>
      <c r="D140" s="2"/>
      <c r="E140" s="2"/>
      <c r="F140" s="2"/>
      <c r="G140" s="3"/>
      <c r="H140" s="3"/>
      <c r="I140" s="3"/>
      <c r="J140" s="3"/>
      <c r="K140" s="4"/>
      <c r="R140" s="6"/>
      <c r="S140" s="6"/>
      <c r="T140" s="6"/>
    </row>
    <row r="141" spans="1:20" ht="14.5" hidden="1" x14ac:dyDescent="0.35">
      <c r="A141" t="s">
        <v>953</v>
      </c>
      <c r="C141" s="2"/>
      <c r="D141" s="2"/>
      <c r="E141" s="2"/>
      <c r="F141" s="2"/>
      <c r="G141" s="3"/>
      <c r="H141" s="3"/>
      <c r="I141" s="3"/>
      <c r="J141" s="3"/>
      <c r="K141" s="4"/>
      <c r="R141" s="6"/>
      <c r="S141" s="6"/>
      <c r="T141" s="6"/>
    </row>
    <row r="142" spans="1:20" ht="14.5" hidden="1" x14ac:dyDescent="0.35">
      <c r="A142" t="s">
        <v>954</v>
      </c>
      <c r="C142" s="2"/>
      <c r="D142" s="2"/>
      <c r="E142" s="2"/>
      <c r="F142" s="2"/>
      <c r="G142" s="3"/>
      <c r="H142" s="3"/>
      <c r="I142" s="3"/>
      <c r="J142" s="3"/>
      <c r="K142" s="4"/>
      <c r="R142" s="6"/>
      <c r="S142" s="6"/>
      <c r="T142" s="6"/>
    </row>
    <row r="143" spans="1:20" ht="14.5" hidden="1" x14ac:dyDescent="0.35">
      <c r="A143" s="20" t="s">
        <v>990</v>
      </c>
      <c r="C143" s="2"/>
      <c r="D143" s="2"/>
      <c r="E143" s="2"/>
      <c r="F143" s="2"/>
      <c r="G143" s="3"/>
      <c r="H143" s="3"/>
      <c r="I143" s="3"/>
      <c r="J143" s="3"/>
      <c r="K143" s="4"/>
      <c r="R143" s="6"/>
      <c r="S143" s="6"/>
      <c r="T143" s="6"/>
    </row>
    <row r="144" spans="1:20" ht="14.5" hidden="1" x14ac:dyDescent="0.35">
      <c r="A144" s="7" t="s">
        <v>991</v>
      </c>
      <c r="C144" s="2"/>
      <c r="D144" s="2"/>
      <c r="E144" s="2"/>
      <c r="F144" s="2"/>
      <c r="G144" s="3"/>
      <c r="H144" s="3"/>
      <c r="I144" s="3"/>
      <c r="J144" s="3"/>
      <c r="K144" s="4"/>
      <c r="R144" s="6"/>
      <c r="S144" s="6"/>
      <c r="T144" s="6"/>
    </row>
    <row r="145" spans="1:20" ht="14.5" hidden="1" x14ac:dyDescent="0.35">
      <c r="A145" t="s">
        <v>950</v>
      </c>
      <c r="C145" s="2"/>
      <c r="D145" s="2"/>
      <c r="E145" s="2"/>
      <c r="F145" s="2"/>
      <c r="G145" s="3"/>
      <c r="H145" s="3"/>
      <c r="I145" s="3"/>
      <c r="J145" s="3"/>
      <c r="K145" s="4"/>
      <c r="R145" s="6"/>
      <c r="S145" s="6"/>
      <c r="T145" s="6"/>
    </row>
    <row r="146" spans="1:20" ht="14.5" hidden="1" x14ac:dyDescent="0.35">
      <c r="A146" t="s">
        <v>951</v>
      </c>
      <c r="C146" s="2"/>
      <c r="D146" s="2"/>
      <c r="E146" s="2"/>
      <c r="F146" s="2"/>
      <c r="G146" s="3"/>
      <c r="H146" s="3"/>
      <c r="I146" s="3"/>
      <c r="J146" s="3"/>
      <c r="K146" s="4"/>
      <c r="R146" s="6"/>
      <c r="S146" s="6"/>
      <c r="T146" s="6"/>
    </row>
    <row r="147" spans="1:20" ht="14.5" hidden="1" x14ac:dyDescent="0.35">
      <c r="A14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c r="C147" s="2"/>
      <c r="D147" s="2"/>
      <c r="E147" s="2"/>
      <c r="F147" s="2"/>
      <c r="G147" s="3"/>
      <c r="H147" s="3"/>
      <c r="I147" s="3"/>
      <c r="J147" s="3"/>
      <c r="K147" s="4"/>
      <c r="R147" s="6"/>
      <c r="S147" t="str">
        <f>CONCATENATE(LEFT($D$171,4)+VLOOKUP(RIGHT($D$171+1,2),$G$2:$J$16,4,FALSE),"-",IF(LEN(MONTH($D$174))=1,CONCATENATE("0",MONTH($D$174)),MONTH($D$174)),"-",LEFT(TEXT($D$174,"DD/MM/YYYY"),2))</f>
        <v>2024-10-14</v>
      </c>
      <c r="T147" s="6"/>
    </row>
    <row r="148" spans="1:20" ht="14.5" hidden="1" x14ac:dyDescent="0.35">
      <c r="A148" t="s">
        <v>952</v>
      </c>
      <c r="C148" s="2"/>
      <c r="D148" s="2"/>
      <c r="E148" s="2"/>
      <c r="F148" s="2"/>
      <c r="G148" s="3"/>
      <c r="H148" s="3"/>
      <c r="I148" s="3"/>
      <c r="J148" s="3"/>
      <c r="K148" s="4"/>
      <c r="R148" s="6"/>
      <c r="S148" s="6"/>
      <c r="T148" s="6"/>
    </row>
    <row r="149" spans="1:20" ht="14.5" hidden="1" x14ac:dyDescent="0.35">
      <c r="A149" t="s">
        <v>953</v>
      </c>
      <c r="C149" s="2"/>
      <c r="D149" s="2"/>
      <c r="E149" s="2"/>
      <c r="F149" s="2"/>
      <c r="G149" s="3"/>
      <c r="H149" s="3"/>
      <c r="I149" s="3"/>
      <c r="J149" s="3"/>
      <c r="K149" s="4"/>
      <c r="R149" s="6"/>
      <c r="S149" s="6"/>
      <c r="T149" s="6"/>
    </row>
    <row r="150" spans="1:20" ht="14.5" hidden="1" x14ac:dyDescent="0.35">
      <c r="A150" t="s">
        <v>954</v>
      </c>
      <c r="C150" s="2"/>
      <c r="D150" s="2"/>
      <c r="E150" s="2"/>
      <c r="F150" s="2"/>
      <c r="G150" s="3"/>
      <c r="H150" s="3"/>
      <c r="I150" s="3"/>
      <c r="J150" s="3"/>
      <c r="K150" s="4"/>
      <c r="R150" s="6"/>
      <c r="S150" s="6"/>
      <c r="T150" s="6"/>
    </row>
    <row r="151" spans="1:20" ht="14.5" hidden="1" x14ac:dyDescent="0.35">
      <c r="A151" s="20" t="s">
        <v>992</v>
      </c>
      <c r="C151" s="2"/>
      <c r="D151" s="2"/>
      <c r="E151" s="2"/>
      <c r="F151" s="2"/>
      <c r="G151" s="3"/>
      <c r="H151" s="3"/>
      <c r="I151" s="3"/>
      <c r="J151" s="3"/>
      <c r="K151" s="4"/>
      <c r="R151" s="6"/>
      <c r="S151" s="6"/>
      <c r="T151" s="6"/>
    </row>
    <row r="152" spans="1:20" ht="14.5" hidden="1" x14ac:dyDescent="0.35">
      <c r="A152" s="7" t="s">
        <v>993</v>
      </c>
      <c r="C152" s="2"/>
      <c r="D152" s="2"/>
      <c r="E152" s="2"/>
      <c r="F152" s="2"/>
      <c r="G152" s="3"/>
      <c r="H152" s="3"/>
      <c r="I152" s="3"/>
      <c r="J152" s="3"/>
      <c r="K152" s="4"/>
      <c r="R152" s="6"/>
      <c r="S152" s="6"/>
      <c r="T152" s="6"/>
    </row>
    <row r="153" spans="1:20" ht="14.5" hidden="1" x14ac:dyDescent="0.35">
      <c r="A153" t="s">
        <v>950</v>
      </c>
      <c r="C153" s="2"/>
      <c r="D153" s="2"/>
      <c r="E153" s="2"/>
      <c r="F153" s="2"/>
      <c r="G153" s="3"/>
      <c r="H153" s="3"/>
      <c r="I153" s="3"/>
      <c r="J153" s="3"/>
      <c r="K153" s="4"/>
      <c r="R153" s="6"/>
      <c r="S153" s="6"/>
      <c r="T153" s="6"/>
    </row>
    <row r="154" spans="1:20" ht="14.5" hidden="1" x14ac:dyDescent="0.35">
      <c r="A154" t="s">
        <v>951</v>
      </c>
      <c r="C154" s="2"/>
      <c r="D154" s="2"/>
      <c r="E154" s="2"/>
      <c r="F154" s="2"/>
      <c r="G154" s="3"/>
      <c r="H154" s="3"/>
      <c r="I154" s="3"/>
      <c r="J154" s="3"/>
      <c r="K154" s="4"/>
      <c r="R154" s="6"/>
      <c r="S154" s="6"/>
      <c r="T154" s="6"/>
    </row>
    <row r="155" spans="1:20" ht="14.5" hidden="1" x14ac:dyDescent="0.35">
      <c r="A155"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c r="C155" s="2"/>
      <c r="D155" s="2"/>
      <c r="E155" s="2"/>
      <c r="F155" s="2"/>
      <c r="G155" s="3"/>
      <c r="H155" s="3"/>
      <c r="I155" s="3"/>
      <c r="J155" s="3"/>
      <c r="K155" s="4"/>
      <c r="R155" s="6"/>
      <c r="S155" s="6"/>
      <c r="T155" s="6"/>
    </row>
    <row r="156" spans="1:20" ht="14.5" hidden="1" x14ac:dyDescent="0.35">
      <c r="A156" t="s">
        <v>952</v>
      </c>
      <c r="C156" s="2"/>
      <c r="D156" s="2"/>
      <c r="E156" s="2"/>
      <c r="F156" s="2"/>
      <c r="G156" s="3"/>
      <c r="H156" s="3"/>
      <c r="I156" s="3"/>
      <c r="J156" s="3"/>
      <c r="K156" s="4"/>
      <c r="R156" s="6"/>
      <c r="S156" s="6"/>
      <c r="T156" s="6"/>
    </row>
    <row r="157" spans="1:20" ht="14.5" hidden="1" x14ac:dyDescent="0.35">
      <c r="A157" t="s">
        <v>953</v>
      </c>
      <c r="C157" s="2"/>
      <c r="D157" s="2"/>
      <c r="E157" s="2"/>
      <c r="F157" s="2"/>
      <c r="G157" s="3"/>
      <c r="H157" s="3"/>
      <c r="I157" s="3"/>
      <c r="J157" s="3"/>
      <c r="K157" s="4"/>
      <c r="R157" s="6"/>
      <c r="S157" s="6"/>
      <c r="T157" s="6"/>
    </row>
    <row r="158" spans="1:20" ht="14.5" hidden="1" x14ac:dyDescent="0.35">
      <c r="A158" t="s">
        <v>994</v>
      </c>
      <c r="C158" s="2"/>
      <c r="D158" s="2"/>
      <c r="E158" s="2"/>
      <c r="F158" s="2"/>
      <c r="G158" s="3"/>
      <c r="H158" s="3"/>
      <c r="I158" s="3"/>
      <c r="J158" s="3"/>
      <c r="K158" s="4"/>
      <c r="R158" s="6"/>
      <c r="S158" s="6"/>
      <c r="T158" s="6"/>
    </row>
    <row r="159" spans="1:20" ht="14.5" hidden="1" x14ac:dyDescent="0.35">
      <c r="A159" t="str">
        <f>CONCATENATE("sql left outer join acrtrees t on t.client = u.client and u.dim_1 = t.cat_1 and t.att_agrid = '",$F$159,"'")</f>
        <v>sql left outer join acrtrees t on t.client = u.client and u.dim_1 = t.cat_1 and t.att_agrid = '53'</v>
      </c>
      <c r="C159" s="2"/>
      <c r="E159" s="2"/>
      <c r="F159" s="90">
        <v>53</v>
      </c>
      <c r="G159" s="11" t="s">
        <v>995</v>
      </c>
      <c r="H159" s="3"/>
      <c r="J159" s="3"/>
      <c r="K159" s="4"/>
      <c r="R159" s="6"/>
      <c r="S159" s="6"/>
      <c r="T159" s="6"/>
    </row>
    <row r="160" spans="1:20" ht="14.5" hidden="1" x14ac:dyDescent="0.35">
      <c r="A160" t="str">
        <f>CONCATENATE("sql left outer join acrtrees s on s.client = u.client and u.account = s.cat_1 and s.att_agrid = '",$F$160,"'")</f>
        <v>sql left outer join acrtrees s on s.client = u.client and u.account = s.cat_1 and s.att_agrid = '14'</v>
      </c>
      <c r="C160" s="2"/>
      <c r="E160" s="2"/>
      <c r="F160" s="90">
        <v>14</v>
      </c>
      <c r="G160" s="11" t="s">
        <v>996</v>
      </c>
      <c r="H160" s="3"/>
      <c r="J160" s="3"/>
      <c r="K160" s="4"/>
      <c r="R160" s="6"/>
      <c r="S160" s="6"/>
      <c r="T160" s="6"/>
    </row>
    <row r="161" spans="1:20" ht="14.5" hidden="1" x14ac:dyDescent="0.35">
      <c r="A161" t="str">
        <f>CONCATENATE("sql left outer join acrtrees v on v.client = u.client and u.account = v.cat_1 and v.att_agrid = '",$F$161,"'")</f>
        <v>sql left outer join acrtrees v on v.client = u.client and u.account = v.cat_1 and v.att_agrid = '17'</v>
      </c>
      <c r="C161" s="2"/>
      <c r="E161" s="2"/>
      <c r="F161" s="90">
        <v>17</v>
      </c>
      <c r="G161" s="11" t="s">
        <v>997</v>
      </c>
      <c r="H161" s="3"/>
      <c r="J161" s="3"/>
      <c r="K161" s="4"/>
      <c r="R161" s="6"/>
      <c r="S161" s="6"/>
      <c r="T161" s="6"/>
    </row>
    <row r="162" spans="1:20" ht="14.5" hidden="1" x14ac:dyDescent="0.35">
      <c r="A162" t="str">
        <f>CONCATENATE("sql left outer join agldescription d on d.client = u.client and d.dim_value = t.dim_c and d.attribute_id = '",$F$162,"'")</f>
        <v>sql left outer join agldescription d on d.client = u.client and d.dim_value = t.dim_c and d.attribute_id = '82'</v>
      </c>
      <c r="C162" s="2"/>
      <c r="E162" s="2"/>
      <c r="F162" s="90">
        <v>82</v>
      </c>
      <c r="G162" s="11" t="s">
        <v>998</v>
      </c>
      <c r="H162" s="3"/>
      <c r="J162" s="3"/>
      <c r="K162" s="4"/>
      <c r="R162" s="6"/>
      <c r="S162" s="6"/>
      <c r="T162" s="6"/>
    </row>
    <row r="163" spans="1:20" ht="14.5" hidden="1" x14ac:dyDescent="0.35">
      <c r="A163" t="str">
        <f>CONCATENATE("sql left outer join agldescription e on e.client = u.client and e.dim_value = t.dim_b and e.attribute_id = '",$F$163,"'")</f>
        <v>sql left outer join agldescription e on e.client = u.client and e.dim_value = t.dim_b and e.attribute_id = '81'</v>
      </c>
      <c r="C163" s="2"/>
      <c r="E163" s="2"/>
      <c r="F163" s="90">
        <v>81</v>
      </c>
      <c r="G163" s="11" t="s">
        <v>999</v>
      </c>
      <c r="H163" s="3"/>
      <c r="J163" s="3"/>
      <c r="K163" s="4"/>
      <c r="R163" s="6"/>
      <c r="S163" s="6"/>
      <c r="T163" s="6"/>
    </row>
    <row r="164" spans="1:20" ht="14.5" hidden="1" x14ac:dyDescent="0.35">
      <c r="A164" t="str">
        <f>CONCATENATE("sql left outer join agldescription f on f.client = u.client and f.dim_value = t.dim_e and f.attribute_id = '",$F$164,"'")</f>
        <v>sql left outer join agldescription f on f.client = u.client and f.dim_value = t.dim_e and f.attribute_id = '80'</v>
      </c>
      <c r="C164" s="2"/>
      <c r="E164" s="2"/>
      <c r="F164" s="90">
        <v>80</v>
      </c>
      <c r="G164" s="11" t="s">
        <v>1000</v>
      </c>
      <c r="H164" s="3"/>
      <c r="J164" s="3"/>
      <c r="K164" s="4"/>
      <c r="R164" s="6"/>
      <c r="S164" s="6"/>
      <c r="T164" s="6"/>
    </row>
    <row r="165" spans="1:20" ht="14.5" hidden="1" x14ac:dyDescent="0.35">
      <c r="A165" t="str">
        <f>CONCATENATE("sql left outer join agldescription g on g.client = u.client and g.dim_value = u.account and g.attribute_id = '",$F$165,"'")</f>
        <v>sql left outer join agldescription g on g.client = u.client and g.dim_value = u.account and g.attribute_id = 'A0'</v>
      </c>
      <c r="C165" s="2"/>
      <c r="E165" s="2"/>
      <c r="F165" s="736" t="s">
        <v>1001</v>
      </c>
      <c r="G165" s="737" t="s">
        <v>1002</v>
      </c>
      <c r="H165" s="3"/>
      <c r="J165" s="3"/>
      <c r="K165" s="4"/>
      <c r="R165" s="6"/>
      <c r="S165" s="6"/>
      <c r="T165" s="6"/>
    </row>
    <row r="166" spans="1:20" ht="14.5" hidden="1" x14ac:dyDescent="0.35">
      <c r="A166" s="67" t="s">
        <v>1003</v>
      </c>
      <c r="C166" s="2"/>
      <c r="E166" s="2"/>
      <c r="F166" s="2"/>
      <c r="G166" s="11" t="s">
        <v>1004</v>
      </c>
      <c r="H166" s="3"/>
      <c r="J166" s="3"/>
      <c r="K166" s="4"/>
      <c r="R166" s="6"/>
      <c r="S166" s="6"/>
      <c r="T166" s="6"/>
    </row>
    <row r="167" spans="1:20" ht="14.5" hidden="1" x14ac:dyDescent="0.35">
      <c r="A167" t="s">
        <v>1005</v>
      </c>
      <c r="C167" s="2"/>
      <c r="D167" s="2"/>
      <c r="E167" s="2"/>
      <c r="F167" s="2"/>
      <c r="G167" s="3"/>
      <c r="H167" s="3"/>
      <c r="I167" s="3"/>
      <c r="J167" s="3"/>
      <c r="K167" s="4"/>
      <c r="R167" s="6"/>
      <c r="S167" s="6"/>
      <c r="T167" s="6"/>
    </row>
    <row r="168" spans="1:20" ht="14.5" hidden="1" x14ac:dyDescent="0.35">
      <c r="A168" t="s">
        <v>1006</v>
      </c>
      <c r="C168" s="2"/>
      <c r="D168" s="2"/>
      <c r="E168" s="2"/>
      <c r="F168" s="2"/>
      <c r="G168" s="3"/>
      <c r="H168" s="3"/>
      <c r="I168" s="3"/>
      <c r="J168" s="3"/>
      <c r="K168" s="4"/>
      <c r="R168" s="6"/>
      <c r="S168" s="6"/>
      <c r="T168" s="6"/>
    </row>
    <row r="169" spans="1:20" ht="14.5" hidden="1" x14ac:dyDescent="0.35">
      <c r="A169" t="s">
        <v>1007</v>
      </c>
      <c r="C169" s="2"/>
      <c r="D169" s="2"/>
      <c r="E169" s="2"/>
      <c r="F169" s="2"/>
      <c r="G169" s="3"/>
      <c r="H169" s="3"/>
      <c r="I169" s="3"/>
      <c r="J169" s="3"/>
      <c r="K169" s="4"/>
      <c r="R169" s="6"/>
      <c r="S169" s="6"/>
      <c r="T169" s="6"/>
    </row>
    <row r="170" spans="1:20" ht="14.5" hidden="1" x14ac:dyDescent="0.35">
      <c r="A170" t="s">
        <v>232</v>
      </c>
      <c r="C170" s="12" t="s">
        <v>239</v>
      </c>
      <c r="D170" s="13">
        <f>_control!G2</f>
        <v>202501</v>
      </c>
      <c r="E170" s="842" t="str">
        <f>CONCATENATE(VLOOKUP(RIGHT(D170,2),$G$2:$H$16,2,FALSE)," ",LEFT(D170,4)+VLOOKUP(RIGHT(D170,2),$G$2:$J$16,4,FALSE))</f>
        <v>01 April 2024</v>
      </c>
      <c r="F170" s="843"/>
      <c r="G170" s="3"/>
      <c r="J170" s="2"/>
      <c r="K170" s="2"/>
      <c r="R170" s="6"/>
      <c r="S170" s="6"/>
      <c r="T170" s="6"/>
    </row>
    <row r="171" spans="1:20" ht="14.5" hidden="1" x14ac:dyDescent="0.35">
      <c r="A171" t="s">
        <v>232</v>
      </c>
      <c r="C171" s="12" t="s">
        <v>243</v>
      </c>
      <c r="D171" s="13">
        <f>_control!G3</f>
        <v>202506</v>
      </c>
      <c r="E171" s="842" t="str">
        <f>CONCATENATE(VLOOKUP(RIGHT(D171,2),$G$2:$I$16,3,FALSE)," ",LEFT(D171,4)+VLOOKUP(RIGHT(D171,2),$G$2:$J$16,4,FALSE))</f>
        <v>30 September 2024</v>
      </c>
      <c r="F171" s="843"/>
      <c r="G171" s="3"/>
      <c r="J171" s="2"/>
      <c r="K171" s="2"/>
      <c r="R171" s="6"/>
      <c r="S171" s="6"/>
      <c r="T171" s="6"/>
    </row>
    <row r="172" spans="1:20" ht="14.5" hidden="1" x14ac:dyDescent="0.35">
      <c r="A172" t="s">
        <v>232</v>
      </c>
      <c r="C172" s="12" t="s">
        <v>247</v>
      </c>
      <c r="D172" s="13" t="str">
        <f>_control!G4</f>
        <v>OX</v>
      </c>
      <c r="E172" s="14" t="str">
        <f>E176</f>
        <v>Oxford City Council</v>
      </c>
      <c r="F172" s="15"/>
      <c r="G172" s="3"/>
      <c r="J172" s="2"/>
      <c r="K172" s="2"/>
      <c r="R172" s="6"/>
      <c r="S172" s="6"/>
      <c r="T172" s="6"/>
    </row>
    <row r="173" spans="1:20" ht="14.5" hidden="1" x14ac:dyDescent="0.35">
      <c r="A173" t="s">
        <v>232</v>
      </c>
      <c r="C173" s="12" t="s">
        <v>253</v>
      </c>
      <c r="D173" s="16">
        <f>_control!G5</f>
        <v>45535</v>
      </c>
      <c r="E173" s="14"/>
      <c r="F173" s="15"/>
      <c r="G173" s="3"/>
      <c r="J173" s="2"/>
      <c r="K173" s="2"/>
      <c r="R173" s="6"/>
      <c r="S173" s="6"/>
      <c r="T173" s="6"/>
    </row>
    <row r="174" spans="1:20" ht="14.5" hidden="1" x14ac:dyDescent="0.35">
      <c r="A174" t="s">
        <v>232</v>
      </c>
      <c r="C174" s="12" t="s">
        <v>257</v>
      </c>
      <c r="D174" s="16">
        <f>_control!G6</f>
        <v>45579</v>
      </c>
      <c r="E174" s="14"/>
      <c r="F174" s="15"/>
      <c r="G174" s="3"/>
      <c r="J174" s="2"/>
      <c r="K174" s="2"/>
      <c r="R174" s="6"/>
      <c r="S174" s="6"/>
      <c r="T174" s="6"/>
    </row>
    <row r="175" spans="1:20" ht="14.5" hidden="1" x14ac:dyDescent="0.35">
      <c r="A175" t="s">
        <v>1084</v>
      </c>
      <c r="C175" s="772"/>
      <c r="D175" s="773"/>
      <c r="E175" s="774" t="s">
        <v>1009</v>
      </c>
      <c r="F175" s="774"/>
      <c r="G175" s="3"/>
      <c r="J175" s="2"/>
      <c r="K175" s="2"/>
      <c r="R175" s="6"/>
      <c r="S175" s="6"/>
      <c r="T175" s="6"/>
    </row>
    <row r="176" spans="1:20" s="6" customFormat="1" ht="18.5" thickBot="1" x14ac:dyDescent="0.45">
      <c r="A176" s="6" t="s">
        <v>1008</v>
      </c>
      <c r="C176" s="17"/>
      <c r="E176" s="18" t="s">
        <v>0</v>
      </c>
      <c r="G176" s="17"/>
    </row>
    <row r="177" spans="1:33" ht="72" customHeight="1" thickBot="1" x14ac:dyDescent="0.3">
      <c r="C177" s="28" t="str">
        <f>_control!F9</f>
        <v>General Fund Outturn Report 24/25 @ 30 September 2024</v>
      </c>
      <c r="D177" s="48" t="s">
        <v>2</v>
      </c>
      <c r="E177" s="48" t="s">
        <v>3</v>
      </c>
      <c r="F177" s="49" t="s">
        <v>4</v>
      </c>
      <c r="G177" s="49" t="s">
        <v>5</v>
      </c>
      <c r="H177" s="49" t="s">
        <v>6</v>
      </c>
      <c r="I177" s="49" t="s">
        <v>7</v>
      </c>
      <c r="J177" s="49" t="s">
        <v>8</v>
      </c>
      <c r="K177" s="49" t="s">
        <v>9</v>
      </c>
      <c r="L177" s="49" t="s">
        <v>10</v>
      </c>
      <c r="M177" s="48" t="s">
        <v>11</v>
      </c>
      <c r="N177" s="48" t="s">
        <v>12</v>
      </c>
      <c r="O177" s="48" t="s">
        <v>13</v>
      </c>
      <c r="P177" s="48" t="s">
        <v>14</v>
      </c>
      <c r="Q177" s="48" t="s">
        <v>15</v>
      </c>
      <c r="R177" s="48" t="s">
        <v>16</v>
      </c>
      <c r="S177" s="48" t="s">
        <v>17</v>
      </c>
      <c r="T177" s="48" t="s">
        <v>18</v>
      </c>
      <c r="U177" s="48" t="s">
        <v>19</v>
      </c>
      <c r="V177" s="48" t="s">
        <v>20</v>
      </c>
      <c r="W177" s="48" t="s">
        <v>24</v>
      </c>
      <c r="X177" s="48" t="s">
        <v>25</v>
      </c>
      <c r="Y177" s="48" t="s">
        <v>26</v>
      </c>
      <c r="Z177" s="48" t="s">
        <v>27</v>
      </c>
      <c r="AA177" s="48" t="s">
        <v>28</v>
      </c>
      <c r="AB177" s="60"/>
      <c r="AC177" s="48" t="s">
        <v>29</v>
      </c>
      <c r="AD177" s="48" t="s">
        <v>30</v>
      </c>
      <c r="AE177" s="48" t="s">
        <v>31</v>
      </c>
      <c r="AF177" s="48" t="s">
        <v>32</v>
      </c>
      <c r="AG177" s="48" t="s">
        <v>33</v>
      </c>
    </row>
    <row r="178" spans="1:33" ht="21" x14ac:dyDescent="0.5">
      <c r="C178" s="47"/>
      <c r="D178" s="55" t="s">
        <v>34</v>
      </c>
      <c r="E178" s="55" t="s">
        <v>34</v>
      </c>
      <c r="F178" s="56" t="s">
        <v>34</v>
      </c>
      <c r="G178" s="56" t="s">
        <v>34</v>
      </c>
      <c r="H178" s="56" t="s">
        <v>34</v>
      </c>
      <c r="I178" s="56" t="s">
        <v>34</v>
      </c>
      <c r="J178" s="56" t="s">
        <v>34</v>
      </c>
      <c r="K178" s="56" t="s">
        <v>34</v>
      </c>
      <c r="L178" s="56" t="s">
        <v>34</v>
      </c>
      <c r="M178" s="55" t="s">
        <v>34</v>
      </c>
      <c r="N178" s="55" t="s">
        <v>34</v>
      </c>
      <c r="O178" s="55" t="s">
        <v>34</v>
      </c>
      <c r="P178" s="55" t="s">
        <v>34</v>
      </c>
      <c r="Q178" s="55" t="s">
        <v>34</v>
      </c>
      <c r="R178" s="55" t="s">
        <v>34</v>
      </c>
      <c r="S178" s="55" t="s">
        <v>34</v>
      </c>
      <c r="T178" s="55" t="s">
        <v>34</v>
      </c>
      <c r="U178" s="55" t="s">
        <v>35</v>
      </c>
      <c r="V178" s="55" t="s">
        <v>34</v>
      </c>
      <c r="W178" s="55" t="s">
        <v>34</v>
      </c>
      <c r="X178" s="55" t="s">
        <v>34</v>
      </c>
      <c r="Y178" s="55" t="s">
        <v>34</v>
      </c>
      <c r="Z178" s="55" t="s">
        <v>34</v>
      </c>
      <c r="AA178" s="26" t="s">
        <v>34</v>
      </c>
      <c r="AB178" s="60"/>
      <c r="AC178" s="96" t="s">
        <v>34</v>
      </c>
      <c r="AD178" s="55" t="s">
        <v>34</v>
      </c>
      <c r="AE178" s="55" t="s">
        <v>34</v>
      </c>
      <c r="AF178" s="55" t="s">
        <v>34</v>
      </c>
      <c r="AG178" s="97" t="s">
        <v>34</v>
      </c>
    </row>
    <row r="179" spans="1:33" ht="13" hidden="1" x14ac:dyDescent="0.3">
      <c r="A179" t="s">
        <v>1010</v>
      </c>
      <c r="C179" s="29" t="s">
        <v>1011</v>
      </c>
      <c r="D179" s="36"/>
      <c r="E179" s="36"/>
      <c r="F179" s="22"/>
      <c r="G179" s="22"/>
      <c r="H179" s="22"/>
      <c r="I179" s="22"/>
      <c r="J179" s="22"/>
      <c r="K179" s="22"/>
      <c r="L179" s="22"/>
      <c r="M179" s="36"/>
      <c r="N179" s="36"/>
      <c r="O179" s="36"/>
      <c r="P179" s="36"/>
      <c r="Q179" s="36"/>
      <c r="R179" s="36"/>
      <c r="S179" s="36"/>
      <c r="T179" s="36"/>
      <c r="U179" s="36"/>
      <c r="V179" s="58"/>
      <c r="W179" s="36"/>
      <c r="X179" s="36"/>
      <c r="Y179" s="36"/>
      <c r="Z179" s="36"/>
      <c r="AA179" s="40"/>
      <c r="AB179" s="60"/>
      <c r="AC179" s="98"/>
      <c r="AD179" s="36"/>
      <c r="AE179" s="36"/>
      <c r="AF179" s="36"/>
      <c r="AG179" s="99"/>
    </row>
    <row r="180" spans="1:33" ht="13" x14ac:dyDescent="0.3">
      <c r="C180" s="29"/>
      <c r="D180" s="36"/>
      <c r="E180" s="36"/>
      <c r="F180" s="22"/>
      <c r="G180" s="22"/>
      <c r="H180" s="22"/>
      <c r="I180" s="22"/>
      <c r="J180" s="22"/>
      <c r="K180" s="22"/>
      <c r="L180" s="22"/>
      <c r="M180" s="36"/>
      <c r="N180" s="36"/>
      <c r="O180" s="36"/>
      <c r="P180" s="36"/>
      <c r="Q180" s="36"/>
      <c r="R180" s="36"/>
      <c r="S180" s="36"/>
      <c r="T180" s="36"/>
      <c r="U180" s="36"/>
      <c r="V180" s="58"/>
      <c r="W180" s="36"/>
      <c r="X180" s="36"/>
      <c r="Y180" s="36"/>
      <c r="Z180" s="36"/>
      <c r="AA180" s="40"/>
      <c r="AB180" s="60"/>
      <c r="AC180" s="98"/>
      <c r="AD180" s="36"/>
      <c r="AE180" s="36"/>
      <c r="AF180" s="36"/>
      <c r="AG180" s="99"/>
    </row>
    <row r="181" spans="1:33" ht="13" hidden="1" x14ac:dyDescent="0.3">
      <c r="A181" t="s">
        <v>1012</v>
      </c>
      <c r="C181" s="29"/>
      <c r="D181" s="36">
        <v>1000</v>
      </c>
      <c r="E181" s="36">
        <v>1000</v>
      </c>
      <c r="F181" s="22">
        <v>1000</v>
      </c>
      <c r="G181" s="22">
        <v>1000</v>
      </c>
      <c r="H181" s="22">
        <v>1000</v>
      </c>
      <c r="I181" s="22">
        <v>1000</v>
      </c>
      <c r="J181" s="22">
        <v>1000</v>
      </c>
      <c r="K181" s="22">
        <v>1000</v>
      </c>
      <c r="L181" s="22"/>
      <c r="M181" s="36"/>
      <c r="N181" s="36"/>
      <c r="O181" s="36">
        <v>1000</v>
      </c>
      <c r="P181" s="36">
        <v>1000</v>
      </c>
      <c r="Q181" s="36">
        <v>1000</v>
      </c>
      <c r="R181" s="36">
        <v>1000</v>
      </c>
      <c r="S181" s="36">
        <v>1000</v>
      </c>
      <c r="T181" s="36"/>
      <c r="U181" s="36"/>
      <c r="V181" s="58"/>
      <c r="W181" s="36">
        <v>1000</v>
      </c>
      <c r="X181" s="36">
        <v>1000</v>
      </c>
      <c r="Y181" s="36"/>
      <c r="Z181" s="36"/>
      <c r="AA181" s="40"/>
      <c r="AB181" s="60"/>
      <c r="AC181" s="98"/>
      <c r="AD181" s="36"/>
      <c r="AE181" s="36"/>
      <c r="AF181" s="36"/>
      <c r="AG181" s="99"/>
    </row>
    <row r="182" spans="1:33" ht="13" hidden="1" x14ac:dyDescent="0.3">
      <c r="A182" s="7" t="s">
        <v>1013</v>
      </c>
      <c r="C182" s="29"/>
      <c r="D182" s="36">
        <v>0</v>
      </c>
      <c r="E182" s="36">
        <v>0</v>
      </c>
      <c r="F182" s="22">
        <v>0</v>
      </c>
      <c r="G182" s="22">
        <v>0</v>
      </c>
      <c r="H182" s="22">
        <v>0</v>
      </c>
      <c r="I182" s="22">
        <v>0</v>
      </c>
      <c r="J182" s="22">
        <v>0</v>
      </c>
      <c r="K182" s="22">
        <v>0</v>
      </c>
      <c r="L182" s="22"/>
      <c r="M182" s="36"/>
      <c r="N182" s="36"/>
      <c r="O182" s="36">
        <v>0</v>
      </c>
      <c r="P182" s="36">
        <v>0</v>
      </c>
      <c r="Q182" s="36">
        <v>0</v>
      </c>
      <c r="R182" s="36">
        <v>0</v>
      </c>
      <c r="S182" s="36">
        <v>0</v>
      </c>
      <c r="T182" s="36"/>
      <c r="U182" s="36"/>
      <c r="V182" s="58"/>
      <c r="W182" s="36">
        <v>0</v>
      </c>
      <c r="X182" s="36">
        <v>0</v>
      </c>
      <c r="Y182" s="36"/>
      <c r="Z182" s="36"/>
      <c r="AA182" s="40"/>
      <c r="AB182" s="60"/>
      <c r="AC182" s="98"/>
      <c r="AD182" s="36"/>
      <c r="AE182" s="36"/>
      <c r="AF182" s="36"/>
      <c r="AG182" s="99"/>
    </row>
    <row r="183" spans="1:33" ht="13" hidden="1" x14ac:dyDescent="0.3">
      <c r="A183" t="s">
        <v>1014</v>
      </c>
      <c r="C183" s="30"/>
      <c r="D183" s="36"/>
      <c r="E183" s="36"/>
      <c r="F183" s="57"/>
      <c r="G183" s="57"/>
      <c r="H183" s="57"/>
      <c r="I183" s="57"/>
      <c r="J183" s="57"/>
      <c r="K183" s="57"/>
      <c r="L183" s="57"/>
      <c r="M183" s="36"/>
      <c r="N183" s="36"/>
      <c r="O183" s="36"/>
      <c r="P183" s="36" t="s">
        <v>1015</v>
      </c>
      <c r="Q183" s="36" t="s">
        <v>1016</v>
      </c>
      <c r="R183" s="36"/>
      <c r="S183" s="36"/>
      <c r="T183" s="36"/>
      <c r="U183" s="36"/>
      <c r="V183" s="58"/>
      <c r="W183" s="36"/>
      <c r="X183" s="36"/>
      <c r="Y183" s="36"/>
      <c r="Z183" s="36"/>
      <c r="AA183" s="40"/>
      <c r="AB183" s="60"/>
      <c r="AC183" s="98"/>
      <c r="AD183" s="36"/>
      <c r="AE183" s="36"/>
      <c r="AF183" s="36"/>
      <c r="AG183" s="99"/>
    </row>
    <row r="184" spans="1:33" ht="13" hidden="1" x14ac:dyDescent="0.3">
      <c r="A184" t="s">
        <v>1017</v>
      </c>
      <c r="C184" s="31" t="s">
        <v>1018</v>
      </c>
      <c r="D184" s="36" t="s">
        <v>1019</v>
      </c>
      <c r="E184" s="36" t="s">
        <v>1020</v>
      </c>
      <c r="F184" s="22" t="s">
        <v>1021</v>
      </c>
      <c r="G184" s="22" t="s">
        <v>1022</v>
      </c>
      <c r="H184" s="22" t="s">
        <v>1023</v>
      </c>
      <c r="I184" s="22" t="s">
        <v>1024</v>
      </c>
      <c r="J184" s="22" t="s">
        <v>1025</v>
      </c>
      <c r="K184" s="22" t="s">
        <v>1026</v>
      </c>
      <c r="L184" s="22"/>
      <c r="M184" s="36"/>
      <c r="N184" s="36"/>
      <c r="O184" s="36" t="s">
        <v>1027</v>
      </c>
      <c r="P184" s="36" t="s">
        <v>1028</v>
      </c>
      <c r="Q184" s="36" t="s">
        <v>1028</v>
      </c>
      <c r="R184" s="36" t="s">
        <v>1028</v>
      </c>
      <c r="S184" s="36" t="s">
        <v>1029</v>
      </c>
      <c r="T184" s="36"/>
      <c r="U184" s="36"/>
      <c r="V184" s="58"/>
      <c r="W184" s="36" t="s">
        <v>1030</v>
      </c>
      <c r="X184" s="36" t="s">
        <v>1031</v>
      </c>
      <c r="Y184" s="36"/>
      <c r="Z184" s="36"/>
      <c r="AA184" s="40"/>
      <c r="AB184" s="60"/>
      <c r="AC184" s="98"/>
      <c r="AD184" s="36"/>
      <c r="AE184" s="36"/>
      <c r="AF184" s="36"/>
      <c r="AG184" s="99"/>
    </row>
    <row r="185" spans="1:33" ht="13" hidden="1" x14ac:dyDescent="0.3">
      <c r="A185" s="6" t="s">
        <v>1032</v>
      </c>
      <c r="C185" s="30"/>
      <c r="D185" s="33"/>
      <c r="E185" s="33"/>
      <c r="F185" s="23"/>
      <c r="G185" s="23"/>
      <c r="H185" s="23"/>
      <c r="I185" s="23"/>
      <c r="J185" s="23"/>
      <c r="K185" s="23"/>
      <c r="L185" s="23"/>
      <c r="M185" s="33"/>
      <c r="N185" s="33"/>
      <c r="O185" s="33"/>
      <c r="P185" s="33"/>
      <c r="Q185" s="33"/>
      <c r="R185" s="33"/>
      <c r="S185" s="33"/>
      <c r="T185" s="33"/>
      <c r="U185" s="36"/>
      <c r="V185" s="59"/>
      <c r="W185" s="33"/>
      <c r="X185" s="33"/>
      <c r="Y185" s="33"/>
      <c r="Z185" s="33"/>
      <c r="AA185" s="42"/>
      <c r="AB185" s="60"/>
      <c r="AC185" s="100"/>
      <c r="AD185" s="33"/>
      <c r="AE185" s="33"/>
      <c r="AF185" s="33"/>
      <c r="AG185" s="101"/>
    </row>
    <row r="186" spans="1:33" ht="13" outlineLevel="2" x14ac:dyDescent="0.3">
      <c r="A186" t="s">
        <v>1085</v>
      </c>
      <c r="C186" s="31" t="s">
        <v>36</v>
      </c>
      <c r="D186" s="33">
        <v>796</v>
      </c>
      <c r="E186" s="33">
        <v>1070</v>
      </c>
      <c r="F186" s="23">
        <v>217</v>
      </c>
      <c r="G186" s="23">
        <v>0</v>
      </c>
      <c r="H186" s="23">
        <v>57</v>
      </c>
      <c r="I186" s="23">
        <v>0</v>
      </c>
      <c r="J186" s="23">
        <v>0</v>
      </c>
      <c r="K186" s="23">
        <v>0</v>
      </c>
      <c r="L186" s="23">
        <f t="shared" ref="L186:L249" si="0">SUM(F186:K186)</f>
        <v>274</v>
      </c>
      <c r="M186" s="33">
        <f t="shared" ref="M186:M249" si="1">O186-E186</f>
        <v>0</v>
      </c>
      <c r="N186" s="33">
        <f t="shared" ref="N186:N249" si="2">O186-D186</f>
        <v>274</v>
      </c>
      <c r="O186" s="33">
        <v>1070</v>
      </c>
      <c r="P186" s="33">
        <v>283</v>
      </c>
      <c r="Q186" s="33">
        <v>-28</v>
      </c>
      <c r="R186" s="33">
        <v>255</v>
      </c>
      <c r="S186" s="33">
        <v>644</v>
      </c>
      <c r="T186" s="33">
        <f t="shared" ref="T186:T249" si="3">R186-S186</f>
        <v>-389</v>
      </c>
      <c r="U186" s="38">
        <f t="shared" ref="U186:U249" si="4">IFERROR((R186/O186)*100%,"∞")</f>
        <v>0.23831775700934579</v>
      </c>
      <c r="V186" s="59">
        <f t="shared" ref="V186:V249" si="5">O186+W186</f>
        <v>1070</v>
      </c>
      <c r="W186" s="33">
        <v>0</v>
      </c>
      <c r="X186" s="33">
        <v>0</v>
      </c>
      <c r="Y186" s="33"/>
      <c r="Z186" s="33"/>
      <c r="AA186" s="42"/>
      <c r="AB186" s="60"/>
      <c r="AC186" s="105"/>
      <c r="AD186" s="93"/>
      <c r="AE186" s="33">
        <f t="shared" ref="AE186:AE249" si="6">SUM(AC186:AD186)</f>
        <v>0</v>
      </c>
      <c r="AF186" s="33">
        <f t="shared" ref="AF186:AF249" si="7">R186+AE186</f>
        <v>255</v>
      </c>
      <c r="AG186" s="101">
        <f t="shared" ref="AG186:AG249" si="8">AF186-O186</f>
        <v>-815</v>
      </c>
    </row>
    <row r="187" spans="1:33" ht="13" outlineLevel="2" x14ac:dyDescent="0.3">
      <c r="A187" t="s">
        <v>1085</v>
      </c>
      <c r="C187" s="31" t="s">
        <v>37</v>
      </c>
      <c r="D187" s="33">
        <v>57</v>
      </c>
      <c r="E187" s="33">
        <v>63</v>
      </c>
      <c r="F187" s="23">
        <v>0</v>
      </c>
      <c r="G187" s="23">
        <v>0</v>
      </c>
      <c r="H187" s="23">
        <v>6</v>
      </c>
      <c r="I187" s="23">
        <v>0</v>
      </c>
      <c r="J187" s="23">
        <v>0</v>
      </c>
      <c r="K187" s="23">
        <v>0</v>
      </c>
      <c r="L187" s="23">
        <f t="shared" si="0"/>
        <v>6</v>
      </c>
      <c r="M187" s="33">
        <f t="shared" si="1"/>
        <v>0</v>
      </c>
      <c r="N187" s="33">
        <f t="shared" si="2"/>
        <v>6</v>
      </c>
      <c r="O187" s="33">
        <v>63</v>
      </c>
      <c r="P187" s="33">
        <v>14</v>
      </c>
      <c r="Q187" s="33">
        <v>0</v>
      </c>
      <c r="R187" s="33">
        <v>14</v>
      </c>
      <c r="S187" s="33">
        <v>31</v>
      </c>
      <c r="T187" s="33">
        <f t="shared" si="3"/>
        <v>-17</v>
      </c>
      <c r="U187" s="38">
        <f t="shared" si="4"/>
        <v>0.22222222222222221</v>
      </c>
      <c r="V187" s="59">
        <f t="shared" si="5"/>
        <v>63</v>
      </c>
      <c r="W187" s="33">
        <v>0</v>
      </c>
      <c r="X187" s="33">
        <v>0</v>
      </c>
      <c r="Y187" s="33"/>
      <c r="Z187" s="33"/>
      <c r="AA187" s="42"/>
      <c r="AB187" s="60"/>
      <c r="AC187" s="105"/>
      <c r="AD187" s="93"/>
      <c r="AE187" s="33">
        <f t="shared" si="6"/>
        <v>0</v>
      </c>
      <c r="AF187" s="33">
        <f t="shared" si="7"/>
        <v>14</v>
      </c>
      <c r="AG187" s="101">
        <f t="shared" si="8"/>
        <v>-49</v>
      </c>
    </row>
    <row r="188" spans="1:33" ht="13" outlineLevel="2" x14ac:dyDescent="0.3">
      <c r="A188" t="s">
        <v>1085</v>
      </c>
      <c r="C188" s="31" t="s">
        <v>38</v>
      </c>
      <c r="D188" s="33">
        <v>363</v>
      </c>
      <c r="E188" s="33">
        <v>494</v>
      </c>
      <c r="F188" s="23">
        <v>0</v>
      </c>
      <c r="G188" s="23">
        <v>0</v>
      </c>
      <c r="H188" s="23">
        <v>131</v>
      </c>
      <c r="I188" s="23">
        <v>0</v>
      </c>
      <c r="J188" s="23">
        <v>0</v>
      </c>
      <c r="K188" s="23">
        <v>0</v>
      </c>
      <c r="L188" s="23">
        <f t="shared" si="0"/>
        <v>131</v>
      </c>
      <c r="M188" s="33">
        <f t="shared" si="1"/>
        <v>0</v>
      </c>
      <c r="N188" s="33">
        <f t="shared" si="2"/>
        <v>131</v>
      </c>
      <c r="O188" s="33">
        <v>494</v>
      </c>
      <c r="P188" s="33">
        <v>1137</v>
      </c>
      <c r="Q188" s="33">
        <v>-482</v>
      </c>
      <c r="R188" s="33">
        <v>655</v>
      </c>
      <c r="S188" s="33">
        <v>249</v>
      </c>
      <c r="T188" s="33">
        <f t="shared" si="3"/>
        <v>406</v>
      </c>
      <c r="U188" s="38">
        <f t="shared" si="4"/>
        <v>1.3259109311740891</v>
      </c>
      <c r="V188" s="59">
        <f t="shared" si="5"/>
        <v>494</v>
      </c>
      <c r="W188" s="33">
        <v>0</v>
      </c>
      <c r="X188" s="33">
        <v>0</v>
      </c>
      <c r="Y188" s="33"/>
      <c r="Z188" s="33"/>
      <c r="AA188" s="42"/>
      <c r="AB188" s="60"/>
      <c r="AC188" s="105"/>
      <c r="AD188" s="93"/>
      <c r="AE188" s="33">
        <f t="shared" si="6"/>
        <v>0</v>
      </c>
      <c r="AF188" s="33">
        <f t="shared" si="7"/>
        <v>655</v>
      </c>
      <c r="AG188" s="101">
        <f t="shared" si="8"/>
        <v>161</v>
      </c>
    </row>
    <row r="189" spans="1:33" ht="13" outlineLevel="2" x14ac:dyDescent="0.3">
      <c r="A189" t="s">
        <v>1085</v>
      </c>
      <c r="C189" s="31" t="s">
        <v>39</v>
      </c>
      <c r="D189" s="33">
        <v>1857</v>
      </c>
      <c r="E189" s="33">
        <v>2066</v>
      </c>
      <c r="F189" s="23">
        <v>0</v>
      </c>
      <c r="G189" s="23">
        <v>0</v>
      </c>
      <c r="H189" s="23">
        <v>209</v>
      </c>
      <c r="I189" s="23">
        <v>0</v>
      </c>
      <c r="J189" s="23">
        <v>0</v>
      </c>
      <c r="K189" s="23">
        <v>0</v>
      </c>
      <c r="L189" s="23">
        <f t="shared" si="0"/>
        <v>209</v>
      </c>
      <c r="M189" s="33">
        <f t="shared" si="1"/>
        <v>0</v>
      </c>
      <c r="N189" s="33">
        <f t="shared" si="2"/>
        <v>209</v>
      </c>
      <c r="O189" s="33">
        <v>2066</v>
      </c>
      <c r="P189" s="33">
        <v>4127</v>
      </c>
      <c r="Q189" s="33">
        <v>-2479</v>
      </c>
      <c r="R189" s="33">
        <v>1648</v>
      </c>
      <c r="S189" s="33">
        <v>1033</v>
      </c>
      <c r="T189" s="33">
        <f t="shared" si="3"/>
        <v>615</v>
      </c>
      <c r="U189" s="38">
        <f t="shared" si="4"/>
        <v>0.79767666989351405</v>
      </c>
      <c r="V189" s="59">
        <f t="shared" si="5"/>
        <v>2066</v>
      </c>
      <c r="W189" s="33">
        <v>0</v>
      </c>
      <c r="X189" s="33">
        <v>0</v>
      </c>
      <c r="Y189" s="33"/>
      <c r="Z189" s="33"/>
      <c r="AA189" s="42"/>
      <c r="AB189" s="60"/>
      <c r="AC189" s="105"/>
      <c r="AD189" s="93"/>
      <c r="AE189" s="33">
        <f t="shared" si="6"/>
        <v>0</v>
      </c>
      <c r="AF189" s="33">
        <f t="shared" si="7"/>
        <v>1648</v>
      </c>
      <c r="AG189" s="101">
        <f t="shared" si="8"/>
        <v>-418</v>
      </c>
    </row>
    <row r="190" spans="1:33" ht="13" outlineLevel="2" x14ac:dyDescent="0.3">
      <c r="A190" t="s">
        <v>1085</v>
      </c>
      <c r="C190" s="31" t="s">
        <v>40</v>
      </c>
      <c r="D190" s="33">
        <v>1818</v>
      </c>
      <c r="E190" s="33">
        <v>1851</v>
      </c>
      <c r="F190" s="23">
        <v>0</v>
      </c>
      <c r="G190" s="23">
        <v>0</v>
      </c>
      <c r="H190" s="23">
        <v>34</v>
      </c>
      <c r="I190" s="23">
        <v>0</v>
      </c>
      <c r="J190" s="23">
        <v>0</v>
      </c>
      <c r="K190" s="23">
        <v>0</v>
      </c>
      <c r="L190" s="23">
        <f t="shared" si="0"/>
        <v>34</v>
      </c>
      <c r="M190" s="33">
        <f t="shared" si="1"/>
        <v>0</v>
      </c>
      <c r="N190" s="33">
        <f t="shared" si="2"/>
        <v>33</v>
      </c>
      <c r="O190" s="33">
        <v>1851</v>
      </c>
      <c r="P190" s="33">
        <v>2274</v>
      </c>
      <c r="Q190" s="33">
        <v>-1038</v>
      </c>
      <c r="R190" s="33">
        <v>1236</v>
      </c>
      <c r="S190" s="33">
        <v>926</v>
      </c>
      <c r="T190" s="33">
        <f t="shared" si="3"/>
        <v>310</v>
      </c>
      <c r="U190" s="38">
        <f t="shared" si="4"/>
        <v>0.66774716369529985</v>
      </c>
      <c r="V190" s="59">
        <f t="shared" si="5"/>
        <v>1851</v>
      </c>
      <c r="W190" s="33">
        <v>0</v>
      </c>
      <c r="X190" s="33">
        <v>0</v>
      </c>
      <c r="Y190" s="33"/>
      <c r="Z190" s="33"/>
      <c r="AA190" s="42"/>
      <c r="AB190" s="60"/>
      <c r="AC190" s="105"/>
      <c r="AD190" s="93"/>
      <c r="AE190" s="33">
        <f t="shared" si="6"/>
        <v>0</v>
      </c>
      <c r="AF190" s="33">
        <f t="shared" si="7"/>
        <v>1236</v>
      </c>
      <c r="AG190" s="101">
        <f t="shared" si="8"/>
        <v>-615</v>
      </c>
    </row>
    <row r="191" spans="1:33" ht="13" outlineLevel="2" x14ac:dyDescent="0.3">
      <c r="A191" t="s">
        <v>1085</v>
      </c>
      <c r="C191" s="31" t="s">
        <v>41</v>
      </c>
      <c r="D191" s="33">
        <v>16</v>
      </c>
      <c r="E191" s="33">
        <v>86</v>
      </c>
      <c r="F191" s="23">
        <v>0</v>
      </c>
      <c r="G191" s="23">
        <v>0</v>
      </c>
      <c r="H191" s="23">
        <v>70</v>
      </c>
      <c r="I191" s="23">
        <v>0</v>
      </c>
      <c r="J191" s="23">
        <v>0</v>
      </c>
      <c r="K191" s="23">
        <v>0</v>
      </c>
      <c r="L191" s="23">
        <f t="shared" si="0"/>
        <v>70</v>
      </c>
      <c r="M191" s="33">
        <f t="shared" si="1"/>
        <v>0</v>
      </c>
      <c r="N191" s="33">
        <f t="shared" si="2"/>
        <v>70</v>
      </c>
      <c r="O191" s="33">
        <v>86</v>
      </c>
      <c r="P191" s="33">
        <v>1</v>
      </c>
      <c r="Q191" s="33">
        <v>0</v>
      </c>
      <c r="R191" s="33">
        <v>1</v>
      </c>
      <c r="S191" s="33">
        <v>43</v>
      </c>
      <c r="T191" s="33">
        <f t="shared" si="3"/>
        <v>-42</v>
      </c>
      <c r="U191" s="38">
        <f t="shared" si="4"/>
        <v>1.1627906976744186E-2</v>
      </c>
      <c r="V191" s="59">
        <f t="shared" si="5"/>
        <v>86</v>
      </c>
      <c r="W191" s="33">
        <v>0</v>
      </c>
      <c r="X191" s="33">
        <v>0</v>
      </c>
      <c r="Y191" s="33"/>
      <c r="Z191" s="33"/>
      <c r="AA191" s="42"/>
      <c r="AB191" s="60"/>
      <c r="AC191" s="105"/>
      <c r="AD191" s="93"/>
      <c r="AE191" s="33">
        <f t="shared" si="6"/>
        <v>0</v>
      </c>
      <c r="AF191" s="33">
        <f t="shared" si="7"/>
        <v>1</v>
      </c>
      <c r="AG191" s="101">
        <f t="shared" si="8"/>
        <v>-85</v>
      </c>
    </row>
    <row r="192" spans="1:33" ht="13" outlineLevel="1" x14ac:dyDescent="0.3">
      <c r="A192" t="s">
        <v>1086</v>
      </c>
      <c r="C192" s="32" t="s">
        <v>43</v>
      </c>
      <c r="D192" s="34">
        <f t="shared" ref="D192:K192" si="9">SUBTOTAL(9,D186:D191)</f>
        <v>4907</v>
      </c>
      <c r="E192" s="34">
        <f t="shared" si="9"/>
        <v>5630</v>
      </c>
      <c r="F192" s="24">
        <f t="shared" si="9"/>
        <v>217</v>
      </c>
      <c r="G192" s="24">
        <f t="shared" si="9"/>
        <v>0</v>
      </c>
      <c r="H192" s="24">
        <f t="shared" si="9"/>
        <v>507</v>
      </c>
      <c r="I192" s="24">
        <f t="shared" si="9"/>
        <v>0</v>
      </c>
      <c r="J192" s="24">
        <f t="shared" si="9"/>
        <v>0</v>
      </c>
      <c r="K192" s="24">
        <f t="shared" si="9"/>
        <v>0</v>
      </c>
      <c r="L192" s="24">
        <f>SUM(F192:K192)</f>
        <v>724</v>
      </c>
      <c r="M192" s="34">
        <f t="shared" si="1"/>
        <v>0</v>
      </c>
      <c r="N192" s="34">
        <f t="shared" si="2"/>
        <v>723</v>
      </c>
      <c r="O192" s="34">
        <f>SUBTOTAL(9,O186:O191)</f>
        <v>5630</v>
      </c>
      <c r="P192" s="34">
        <f>SUBTOTAL(9,P186:P191)</f>
        <v>7836</v>
      </c>
      <c r="Q192" s="34">
        <f>SUBTOTAL(9,Q186:Q191)</f>
        <v>-4027</v>
      </c>
      <c r="R192" s="34">
        <f>SUBTOTAL(9,R186:R191)</f>
        <v>3809</v>
      </c>
      <c r="S192" s="34">
        <f>SUBTOTAL(9,S186:S191)</f>
        <v>2926</v>
      </c>
      <c r="T192" s="34">
        <f>R192-S192</f>
        <v>883</v>
      </c>
      <c r="U192" s="38">
        <f>IFERROR((R192/O192)*100%,"∞")</f>
        <v>0.67655417406749552</v>
      </c>
      <c r="V192" s="59">
        <f>O192+W192</f>
        <v>5630</v>
      </c>
      <c r="W192" s="34">
        <f>SUBTOTAL(9,W186:W191)</f>
        <v>0</v>
      </c>
      <c r="X192" s="34">
        <f>SUBTOTAL(9,X186:X191)</f>
        <v>0</v>
      </c>
      <c r="Y192" s="34"/>
      <c r="Z192" s="34"/>
      <c r="AA192" s="41"/>
      <c r="AB192" s="60"/>
      <c r="AC192" s="102">
        <f>SUBTOTAL(9,AC111:AC191)</f>
        <v>0</v>
      </c>
      <c r="AD192" s="34">
        <f>SUBTOTAL(9,AD111:AD191)</f>
        <v>0</v>
      </c>
      <c r="AE192" s="34"/>
      <c r="AF192" s="34"/>
      <c r="AG192" s="103"/>
    </row>
    <row r="193" spans="1:33" ht="13" outlineLevel="2" x14ac:dyDescent="0.3">
      <c r="A193" t="s">
        <v>1085</v>
      </c>
      <c r="C193" s="31" t="s">
        <v>44</v>
      </c>
      <c r="D193" s="33">
        <v>814</v>
      </c>
      <c r="E193" s="33">
        <v>928</v>
      </c>
      <c r="F193" s="23">
        <v>0</v>
      </c>
      <c r="G193" s="23">
        <v>15</v>
      </c>
      <c r="H193" s="23">
        <v>149</v>
      </c>
      <c r="I193" s="23">
        <v>0</v>
      </c>
      <c r="J193" s="23">
        <v>-35</v>
      </c>
      <c r="K193" s="23">
        <v>0</v>
      </c>
      <c r="L193" s="23">
        <f t="shared" si="0"/>
        <v>129</v>
      </c>
      <c r="M193" s="33">
        <f t="shared" si="1"/>
        <v>15</v>
      </c>
      <c r="N193" s="33">
        <f t="shared" si="2"/>
        <v>129</v>
      </c>
      <c r="O193" s="33">
        <v>943</v>
      </c>
      <c r="P193" s="33">
        <v>921</v>
      </c>
      <c r="Q193" s="33">
        <v>-559</v>
      </c>
      <c r="R193" s="33">
        <v>362</v>
      </c>
      <c r="S193" s="33">
        <v>513</v>
      </c>
      <c r="T193" s="33">
        <f t="shared" si="3"/>
        <v>-151</v>
      </c>
      <c r="U193" s="38">
        <f t="shared" si="4"/>
        <v>0.38388123011664899</v>
      </c>
      <c r="V193" s="59">
        <f t="shared" si="5"/>
        <v>953</v>
      </c>
      <c r="W193" s="33">
        <v>10</v>
      </c>
      <c r="X193" s="33">
        <v>10</v>
      </c>
      <c r="Y193" s="33"/>
      <c r="Z193" s="33"/>
      <c r="AA193" s="42"/>
      <c r="AB193" s="60"/>
      <c r="AC193" s="105"/>
      <c r="AD193" s="93"/>
      <c r="AE193" s="33">
        <f t="shared" si="6"/>
        <v>0</v>
      </c>
      <c r="AF193" s="33">
        <f t="shared" si="7"/>
        <v>362</v>
      </c>
      <c r="AG193" s="101">
        <f t="shared" si="8"/>
        <v>-581</v>
      </c>
    </row>
    <row r="194" spans="1:33" ht="13" outlineLevel="1" x14ac:dyDescent="0.3">
      <c r="A194" t="s">
        <v>1086</v>
      </c>
      <c r="C194" s="32" t="s">
        <v>45</v>
      </c>
      <c r="D194" s="34">
        <f t="shared" ref="D194:K194" si="10">SUBTOTAL(9,D193:D193)</f>
        <v>814</v>
      </c>
      <c r="E194" s="34">
        <f t="shared" si="10"/>
        <v>928</v>
      </c>
      <c r="F194" s="24">
        <f t="shared" si="10"/>
        <v>0</v>
      </c>
      <c r="G194" s="24">
        <f t="shared" si="10"/>
        <v>15</v>
      </c>
      <c r="H194" s="24">
        <f t="shared" si="10"/>
        <v>149</v>
      </c>
      <c r="I194" s="24">
        <f t="shared" si="10"/>
        <v>0</v>
      </c>
      <c r="J194" s="24">
        <f t="shared" si="10"/>
        <v>-35</v>
      </c>
      <c r="K194" s="24">
        <f t="shared" si="10"/>
        <v>0</v>
      </c>
      <c r="L194" s="24">
        <f>SUM(F194:K194)</f>
        <v>129</v>
      </c>
      <c r="M194" s="34">
        <f t="shared" si="1"/>
        <v>15</v>
      </c>
      <c r="N194" s="34">
        <f t="shared" si="2"/>
        <v>129</v>
      </c>
      <c r="O194" s="34">
        <f>SUBTOTAL(9,O193:O193)</f>
        <v>943</v>
      </c>
      <c r="P194" s="34">
        <f>SUBTOTAL(9,P193:P193)</f>
        <v>921</v>
      </c>
      <c r="Q194" s="34">
        <f>SUBTOTAL(9,Q193:Q193)</f>
        <v>-559</v>
      </c>
      <c r="R194" s="34">
        <f>SUBTOTAL(9,R193:R193)</f>
        <v>362</v>
      </c>
      <c r="S194" s="34">
        <f>SUBTOTAL(9,S193:S193)</f>
        <v>513</v>
      </c>
      <c r="T194" s="34">
        <f>R194-S194</f>
        <v>-151</v>
      </c>
      <c r="U194" s="38">
        <f>IFERROR((R194/O194)*100%,"∞")</f>
        <v>0.38388123011664899</v>
      </c>
      <c r="V194" s="59">
        <f>O194+W194</f>
        <v>953</v>
      </c>
      <c r="W194" s="34">
        <f>SUBTOTAL(9,W193:W193)</f>
        <v>10</v>
      </c>
      <c r="X194" s="34">
        <f>SUBTOTAL(9,X193:X193)</f>
        <v>10</v>
      </c>
      <c r="Y194" s="34"/>
      <c r="Z194" s="34"/>
      <c r="AA194" s="41"/>
      <c r="AB194" s="60"/>
      <c r="AC194" s="102">
        <f>SUBTOTAL(9,AC113:AC193)</f>
        <v>0</v>
      </c>
      <c r="AD194" s="34">
        <f>SUBTOTAL(9,AD113:AD193)</f>
        <v>0</v>
      </c>
      <c r="AE194" s="34"/>
      <c r="AF194" s="34"/>
      <c r="AG194" s="103"/>
    </row>
    <row r="195" spans="1:33" ht="13" outlineLevel="2" x14ac:dyDescent="0.3">
      <c r="A195" t="s">
        <v>1085</v>
      </c>
      <c r="C195" s="31" t="s">
        <v>46</v>
      </c>
      <c r="D195" s="33">
        <v>991</v>
      </c>
      <c r="E195" s="33">
        <v>1474</v>
      </c>
      <c r="F195" s="23">
        <v>-65</v>
      </c>
      <c r="G195" s="23">
        <v>0</v>
      </c>
      <c r="H195" s="23">
        <v>686</v>
      </c>
      <c r="I195" s="23">
        <v>0</v>
      </c>
      <c r="J195" s="23">
        <v>-137</v>
      </c>
      <c r="K195" s="23">
        <v>0</v>
      </c>
      <c r="L195" s="23">
        <f t="shared" si="0"/>
        <v>484</v>
      </c>
      <c r="M195" s="33">
        <f t="shared" si="1"/>
        <v>0</v>
      </c>
      <c r="N195" s="33">
        <f t="shared" si="2"/>
        <v>483</v>
      </c>
      <c r="O195" s="33">
        <v>1474</v>
      </c>
      <c r="P195" s="33">
        <v>989</v>
      </c>
      <c r="Q195" s="33">
        <v>-304</v>
      </c>
      <c r="R195" s="33">
        <v>685</v>
      </c>
      <c r="S195" s="33">
        <v>781</v>
      </c>
      <c r="T195" s="33">
        <f t="shared" si="3"/>
        <v>-96</v>
      </c>
      <c r="U195" s="38">
        <f t="shared" si="4"/>
        <v>0.46472184531886024</v>
      </c>
      <c r="V195" s="59">
        <f t="shared" si="5"/>
        <v>1639</v>
      </c>
      <c r="W195" s="33">
        <v>165</v>
      </c>
      <c r="X195" s="33">
        <v>165</v>
      </c>
      <c r="Y195" s="33"/>
      <c r="Z195" s="33"/>
      <c r="AA195" s="42"/>
      <c r="AB195" s="60"/>
      <c r="AC195" s="105"/>
      <c r="AD195" s="93"/>
      <c r="AE195" s="33">
        <f t="shared" si="6"/>
        <v>0</v>
      </c>
      <c r="AF195" s="33">
        <f t="shared" si="7"/>
        <v>685</v>
      </c>
      <c r="AG195" s="101">
        <f t="shared" si="8"/>
        <v>-789</v>
      </c>
    </row>
    <row r="196" spans="1:33" ht="13" outlineLevel="2" x14ac:dyDescent="0.3">
      <c r="A196" t="s">
        <v>1085</v>
      </c>
      <c r="C196" s="31" t="s">
        <v>47</v>
      </c>
      <c r="D196" s="33">
        <v>145</v>
      </c>
      <c r="E196" s="33">
        <v>301</v>
      </c>
      <c r="F196" s="23">
        <v>0</v>
      </c>
      <c r="G196" s="23">
        <v>0</v>
      </c>
      <c r="H196" s="23">
        <v>38</v>
      </c>
      <c r="I196" s="23">
        <v>0</v>
      </c>
      <c r="J196" s="23">
        <v>118</v>
      </c>
      <c r="K196" s="23">
        <v>0</v>
      </c>
      <c r="L196" s="23">
        <f t="shared" si="0"/>
        <v>156</v>
      </c>
      <c r="M196" s="33">
        <f t="shared" si="1"/>
        <v>0</v>
      </c>
      <c r="N196" s="33">
        <f t="shared" si="2"/>
        <v>156</v>
      </c>
      <c r="O196" s="33">
        <v>301</v>
      </c>
      <c r="P196" s="33">
        <v>408</v>
      </c>
      <c r="Q196" s="33">
        <v>-512</v>
      </c>
      <c r="R196" s="33">
        <v>-105</v>
      </c>
      <c r="S196" s="33">
        <v>32</v>
      </c>
      <c r="T196" s="33">
        <f t="shared" si="3"/>
        <v>-137</v>
      </c>
      <c r="U196" s="38">
        <f t="shared" si="4"/>
        <v>-0.34883720930232559</v>
      </c>
      <c r="V196" s="59">
        <f t="shared" si="5"/>
        <v>301</v>
      </c>
      <c r="W196" s="33">
        <v>0</v>
      </c>
      <c r="X196" s="33">
        <v>0</v>
      </c>
      <c r="Y196" s="33"/>
      <c r="Z196" s="33"/>
      <c r="AA196" s="42"/>
      <c r="AB196" s="60"/>
      <c r="AC196" s="105"/>
      <c r="AD196" s="93"/>
      <c r="AE196" s="33">
        <f t="shared" si="6"/>
        <v>0</v>
      </c>
      <c r="AF196" s="33">
        <f t="shared" si="7"/>
        <v>-105</v>
      </c>
      <c r="AG196" s="101">
        <f t="shared" si="8"/>
        <v>-406</v>
      </c>
    </row>
    <row r="197" spans="1:33" ht="13" outlineLevel="2" x14ac:dyDescent="0.3">
      <c r="A197" t="s">
        <v>1085</v>
      </c>
      <c r="C197" s="31" t="s">
        <v>49</v>
      </c>
      <c r="D197" s="33">
        <v>607</v>
      </c>
      <c r="E197" s="33">
        <v>678</v>
      </c>
      <c r="F197" s="23">
        <v>-5</v>
      </c>
      <c r="G197" s="23">
        <v>0</v>
      </c>
      <c r="H197" s="23">
        <v>118</v>
      </c>
      <c r="I197" s="23">
        <v>0</v>
      </c>
      <c r="J197" s="23">
        <v>-42</v>
      </c>
      <c r="K197" s="23">
        <v>0</v>
      </c>
      <c r="L197" s="23">
        <f t="shared" si="0"/>
        <v>71</v>
      </c>
      <c r="M197" s="33">
        <f t="shared" si="1"/>
        <v>0</v>
      </c>
      <c r="N197" s="33">
        <f t="shared" si="2"/>
        <v>71</v>
      </c>
      <c r="O197" s="33">
        <v>678</v>
      </c>
      <c r="P197" s="33">
        <v>503</v>
      </c>
      <c r="Q197" s="33">
        <v>-154</v>
      </c>
      <c r="R197" s="33">
        <v>349</v>
      </c>
      <c r="S197" s="33">
        <v>417</v>
      </c>
      <c r="T197" s="33">
        <f t="shared" si="3"/>
        <v>-68</v>
      </c>
      <c r="U197" s="38">
        <f t="shared" si="4"/>
        <v>0.51474926253687314</v>
      </c>
      <c r="V197" s="59">
        <f t="shared" si="5"/>
        <v>630</v>
      </c>
      <c r="W197" s="33">
        <v>-48</v>
      </c>
      <c r="X197" s="33">
        <v>-48</v>
      </c>
      <c r="Y197" s="33"/>
      <c r="Z197" s="33"/>
      <c r="AA197" s="42"/>
      <c r="AB197" s="60"/>
      <c r="AC197" s="105"/>
      <c r="AD197" s="93"/>
      <c r="AE197" s="33">
        <f t="shared" si="6"/>
        <v>0</v>
      </c>
      <c r="AF197" s="33">
        <f t="shared" si="7"/>
        <v>349</v>
      </c>
      <c r="AG197" s="101">
        <f t="shared" si="8"/>
        <v>-329</v>
      </c>
    </row>
    <row r="198" spans="1:33" ht="13" outlineLevel="2" x14ac:dyDescent="0.3">
      <c r="A198" t="s">
        <v>1085</v>
      </c>
      <c r="C198" s="31" t="s">
        <v>50</v>
      </c>
      <c r="D198" s="33">
        <v>159</v>
      </c>
      <c r="E198" s="33">
        <v>176</v>
      </c>
      <c r="F198" s="23">
        <v>0</v>
      </c>
      <c r="G198" s="23">
        <v>0</v>
      </c>
      <c r="H198" s="23">
        <v>11</v>
      </c>
      <c r="I198" s="23">
        <v>0</v>
      </c>
      <c r="J198" s="23">
        <v>6</v>
      </c>
      <c r="K198" s="23">
        <v>0</v>
      </c>
      <c r="L198" s="23">
        <f t="shared" si="0"/>
        <v>17</v>
      </c>
      <c r="M198" s="33">
        <f t="shared" si="1"/>
        <v>0</v>
      </c>
      <c r="N198" s="33">
        <f t="shared" si="2"/>
        <v>17</v>
      </c>
      <c r="O198" s="33">
        <v>176</v>
      </c>
      <c r="P198" s="33">
        <v>125</v>
      </c>
      <c r="Q198" s="33">
        <v>-76</v>
      </c>
      <c r="R198" s="33">
        <v>49</v>
      </c>
      <c r="S198" s="33">
        <v>78</v>
      </c>
      <c r="T198" s="33">
        <f t="shared" si="3"/>
        <v>-29</v>
      </c>
      <c r="U198" s="38">
        <f t="shared" si="4"/>
        <v>0.27840909090909088</v>
      </c>
      <c r="V198" s="59">
        <f t="shared" si="5"/>
        <v>164</v>
      </c>
      <c r="W198" s="33">
        <v>-12</v>
      </c>
      <c r="X198" s="33">
        <v>-12</v>
      </c>
      <c r="Y198" s="33"/>
      <c r="Z198" s="33"/>
      <c r="AA198" s="42"/>
      <c r="AB198" s="60"/>
      <c r="AC198" s="105"/>
      <c r="AD198" s="93"/>
      <c r="AE198" s="33">
        <f t="shared" si="6"/>
        <v>0</v>
      </c>
      <c r="AF198" s="33">
        <f t="shared" si="7"/>
        <v>49</v>
      </c>
      <c r="AG198" s="101">
        <f t="shared" si="8"/>
        <v>-127</v>
      </c>
    </row>
    <row r="199" spans="1:33" ht="13" outlineLevel="2" x14ac:dyDescent="0.3">
      <c r="A199" t="s">
        <v>1085</v>
      </c>
      <c r="C199" s="31" t="s">
        <v>52</v>
      </c>
      <c r="D199" s="33">
        <v>284</v>
      </c>
      <c r="E199" s="33">
        <v>381</v>
      </c>
      <c r="F199" s="23">
        <v>0</v>
      </c>
      <c r="G199" s="23">
        <v>0</v>
      </c>
      <c r="H199" s="23">
        <v>26</v>
      </c>
      <c r="I199" s="23">
        <v>0</v>
      </c>
      <c r="J199" s="23">
        <v>70</v>
      </c>
      <c r="K199" s="23">
        <v>0</v>
      </c>
      <c r="L199" s="23">
        <f t="shared" si="0"/>
        <v>96</v>
      </c>
      <c r="M199" s="33">
        <f t="shared" si="1"/>
        <v>0</v>
      </c>
      <c r="N199" s="33">
        <f t="shared" si="2"/>
        <v>97</v>
      </c>
      <c r="O199" s="33">
        <v>381</v>
      </c>
      <c r="P199" s="33">
        <v>517</v>
      </c>
      <c r="Q199" s="33">
        <v>-304</v>
      </c>
      <c r="R199" s="33">
        <v>214</v>
      </c>
      <c r="S199" s="33">
        <v>150</v>
      </c>
      <c r="T199" s="33">
        <f t="shared" si="3"/>
        <v>64</v>
      </c>
      <c r="U199" s="38">
        <f t="shared" si="4"/>
        <v>0.56167979002624668</v>
      </c>
      <c r="V199" s="59">
        <f t="shared" si="5"/>
        <v>381</v>
      </c>
      <c r="W199" s="33">
        <v>0</v>
      </c>
      <c r="X199" s="33">
        <v>0</v>
      </c>
      <c r="Y199" s="33"/>
      <c r="Z199" s="33"/>
      <c r="AA199" s="42"/>
      <c r="AB199" s="60"/>
      <c r="AC199" s="105"/>
      <c r="AD199" s="93"/>
      <c r="AE199" s="33">
        <f t="shared" si="6"/>
        <v>0</v>
      </c>
      <c r="AF199" s="33">
        <f t="shared" si="7"/>
        <v>214</v>
      </c>
      <c r="AG199" s="101">
        <f t="shared" si="8"/>
        <v>-167</v>
      </c>
    </row>
    <row r="200" spans="1:33" ht="13" outlineLevel="2" x14ac:dyDescent="0.3">
      <c r="A200" t="s">
        <v>1085</v>
      </c>
      <c r="C200" s="31" t="s">
        <v>53</v>
      </c>
      <c r="D200" s="33">
        <v>1383</v>
      </c>
      <c r="E200" s="33">
        <v>1423</v>
      </c>
      <c r="F200" s="23">
        <v>0</v>
      </c>
      <c r="G200" s="23">
        <v>0</v>
      </c>
      <c r="H200" s="23">
        <v>36</v>
      </c>
      <c r="I200" s="23">
        <v>0</v>
      </c>
      <c r="J200" s="23">
        <v>3</v>
      </c>
      <c r="K200" s="23">
        <v>0</v>
      </c>
      <c r="L200" s="23">
        <f t="shared" si="0"/>
        <v>39</v>
      </c>
      <c r="M200" s="33">
        <f t="shared" si="1"/>
        <v>0</v>
      </c>
      <c r="N200" s="33">
        <f t="shared" si="2"/>
        <v>40</v>
      </c>
      <c r="O200" s="33">
        <v>1423</v>
      </c>
      <c r="P200" s="33">
        <v>749</v>
      </c>
      <c r="Q200" s="33">
        <v>-1</v>
      </c>
      <c r="R200" s="33">
        <v>748</v>
      </c>
      <c r="S200" s="33">
        <v>742</v>
      </c>
      <c r="T200" s="33">
        <f t="shared" si="3"/>
        <v>6</v>
      </c>
      <c r="U200" s="38">
        <f t="shared" si="4"/>
        <v>0.52565003513703445</v>
      </c>
      <c r="V200" s="59">
        <f t="shared" si="5"/>
        <v>1366</v>
      </c>
      <c r="W200" s="33">
        <v>-57</v>
      </c>
      <c r="X200" s="33">
        <v>-57</v>
      </c>
      <c r="Y200" s="33"/>
      <c r="Z200" s="33"/>
      <c r="AA200" s="42"/>
      <c r="AB200" s="60"/>
      <c r="AC200" s="105"/>
      <c r="AD200" s="93"/>
      <c r="AE200" s="33">
        <f t="shared" si="6"/>
        <v>0</v>
      </c>
      <c r="AF200" s="33">
        <f t="shared" si="7"/>
        <v>748</v>
      </c>
      <c r="AG200" s="101">
        <f t="shared" si="8"/>
        <v>-675</v>
      </c>
    </row>
    <row r="201" spans="1:33" ht="13" outlineLevel="2" x14ac:dyDescent="0.3">
      <c r="A201" t="s">
        <v>1085</v>
      </c>
      <c r="C201" s="31" t="s">
        <v>54</v>
      </c>
      <c r="D201" s="33">
        <v>0</v>
      </c>
      <c r="E201" s="33">
        <v>12</v>
      </c>
      <c r="F201" s="23">
        <v>0</v>
      </c>
      <c r="G201" s="23">
        <v>0</v>
      </c>
      <c r="H201" s="23">
        <v>12</v>
      </c>
      <c r="I201" s="23">
        <v>0</v>
      </c>
      <c r="J201" s="23">
        <v>0</v>
      </c>
      <c r="K201" s="23">
        <v>0</v>
      </c>
      <c r="L201" s="23">
        <f t="shared" si="0"/>
        <v>12</v>
      </c>
      <c r="M201" s="33">
        <f t="shared" si="1"/>
        <v>0</v>
      </c>
      <c r="N201" s="33">
        <f t="shared" si="2"/>
        <v>12</v>
      </c>
      <c r="O201" s="33">
        <v>12</v>
      </c>
      <c r="P201" s="33">
        <v>111</v>
      </c>
      <c r="Q201" s="33">
        <v>-107</v>
      </c>
      <c r="R201" s="33">
        <v>4</v>
      </c>
      <c r="S201" s="33">
        <v>6</v>
      </c>
      <c r="T201" s="33">
        <f t="shared" si="3"/>
        <v>-2</v>
      </c>
      <c r="U201" s="38">
        <f t="shared" si="4"/>
        <v>0.33333333333333331</v>
      </c>
      <c r="V201" s="59">
        <f t="shared" si="5"/>
        <v>12</v>
      </c>
      <c r="W201" s="33">
        <v>0</v>
      </c>
      <c r="X201" s="33">
        <v>0</v>
      </c>
      <c r="Y201" s="33"/>
      <c r="Z201" s="33"/>
      <c r="AA201" s="42"/>
      <c r="AB201" s="60"/>
      <c r="AC201" s="105"/>
      <c r="AD201" s="93"/>
      <c r="AE201" s="33">
        <f t="shared" si="6"/>
        <v>0</v>
      </c>
      <c r="AF201" s="33">
        <f t="shared" si="7"/>
        <v>4</v>
      </c>
      <c r="AG201" s="101">
        <f t="shared" si="8"/>
        <v>-8</v>
      </c>
    </row>
    <row r="202" spans="1:33" ht="13" outlineLevel="1" x14ac:dyDescent="0.3">
      <c r="A202" t="s">
        <v>1086</v>
      </c>
      <c r="C202" s="32" t="s">
        <v>55</v>
      </c>
      <c r="D202" s="34">
        <f t="shared" ref="D202:K202" si="11">SUBTOTAL(9,D195:D201)</f>
        <v>3569</v>
      </c>
      <c r="E202" s="34">
        <f t="shared" si="11"/>
        <v>4445</v>
      </c>
      <c r="F202" s="24">
        <f t="shared" si="11"/>
        <v>-70</v>
      </c>
      <c r="G202" s="24">
        <f t="shared" si="11"/>
        <v>0</v>
      </c>
      <c r="H202" s="24">
        <f t="shared" si="11"/>
        <v>927</v>
      </c>
      <c r="I202" s="24">
        <f t="shared" si="11"/>
        <v>0</v>
      </c>
      <c r="J202" s="24">
        <f t="shared" si="11"/>
        <v>18</v>
      </c>
      <c r="K202" s="24">
        <f t="shared" si="11"/>
        <v>0</v>
      </c>
      <c r="L202" s="24">
        <f>SUM(F202:K202)</f>
        <v>875</v>
      </c>
      <c r="M202" s="34">
        <f t="shared" si="1"/>
        <v>0</v>
      </c>
      <c r="N202" s="34">
        <f t="shared" si="2"/>
        <v>876</v>
      </c>
      <c r="O202" s="34">
        <f>SUBTOTAL(9,O195:O201)</f>
        <v>4445</v>
      </c>
      <c r="P202" s="34">
        <f>SUBTOTAL(9,P195:P201)</f>
        <v>3402</v>
      </c>
      <c r="Q202" s="34">
        <f>SUBTOTAL(9,Q195:Q201)</f>
        <v>-1458</v>
      </c>
      <c r="R202" s="34">
        <f>SUBTOTAL(9,R195:R201)</f>
        <v>1944</v>
      </c>
      <c r="S202" s="34">
        <f>SUBTOTAL(9,S195:S201)</f>
        <v>2206</v>
      </c>
      <c r="T202" s="34">
        <f>R202-S202</f>
        <v>-262</v>
      </c>
      <c r="U202" s="38">
        <f>IFERROR((R202/O202)*100%,"∞")</f>
        <v>0.43734533183352081</v>
      </c>
      <c r="V202" s="59">
        <f>O202+W202</f>
        <v>4493</v>
      </c>
      <c r="W202" s="34">
        <f>SUBTOTAL(9,W195:W201)</f>
        <v>48</v>
      </c>
      <c r="X202" s="34">
        <f>SUBTOTAL(9,X195:X201)</f>
        <v>48</v>
      </c>
      <c r="Y202" s="34"/>
      <c r="Z202" s="34"/>
      <c r="AA202" s="41"/>
      <c r="AB202" s="60"/>
      <c r="AC202" s="102">
        <f>SUBTOTAL(9,AC121:AC201)</f>
        <v>0</v>
      </c>
      <c r="AD202" s="34">
        <f>SUBTOTAL(9,AD121:AD201)</f>
        <v>0</v>
      </c>
      <c r="AE202" s="34"/>
      <c r="AF202" s="34"/>
      <c r="AG202" s="103"/>
    </row>
    <row r="203" spans="1:33" ht="14.5" customHeight="1" thickBot="1" x14ac:dyDescent="0.35">
      <c r="A203" s="7" t="s">
        <v>1086</v>
      </c>
      <c r="C203" s="53" t="s">
        <v>56</v>
      </c>
      <c r="D203" s="35">
        <f t="shared" ref="D203:K203" si="12">SUBTOTAL(9,D186:D202)</f>
        <v>9290</v>
      </c>
      <c r="E203" s="35">
        <f t="shared" si="12"/>
        <v>11003</v>
      </c>
      <c r="F203" s="25">
        <f t="shared" si="12"/>
        <v>147</v>
      </c>
      <c r="G203" s="25">
        <f t="shared" si="12"/>
        <v>15</v>
      </c>
      <c r="H203" s="25">
        <f t="shared" si="12"/>
        <v>1583</v>
      </c>
      <c r="I203" s="25">
        <f t="shared" si="12"/>
        <v>0</v>
      </c>
      <c r="J203" s="25">
        <f t="shared" si="12"/>
        <v>-17</v>
      </c>
      <c r="K203" s="25">
        <f t="shared" si="12"/>
        <v>0</v>
      </c>
      <c r="L203" s="25">
        <f>SUM(F203:K203)</f>
        <v>1728</v>
      </c>
      <c r="M203" s="35">
        <f t="shared" si="1"/>
        <v>15</v>
      </c>
      <c r="N203" s="35">
        <f t="shared" si="2"/>
        <v>1728</v>
      </c>
      <c r="O203" s="35">
        <f>SUBTOTAL(9,O186:O202)</f>
        <v>11018</v>
      </c>
      <c r="P203" s="35">
        <f>SUBTOTAL(9,P186:P202)</f>
        <v>12159</v>
      </c>
      <c r="Q203" s="35">
        <f>SUBTOTAL(9,Q186:Q202)</f>
        <v>-6044</v>
      </c>
      <c r="R203" s="35">
        <f>SUBTOTAL(9,R186:R202)</f>
        <v>6115</v>
      </c>
      <c r="S203" s="35">
        <f>SUBTOTAL(9,S186:S202)</f>
        <v>5645</v>
      </c>
      <c r="T203" s="35">
        <f>R203-S203</f>
        <v>470</v>
      </c>
      <c r="U203" s="39">
        <f>IFERROR((R203/O203)*100%,"∞")</f>
        <v>0.55500090760573606</v>
      </c>
      <c r="V203" s="54">
        <f>O203+W203</f>
        <v>11076</v>
      </c>
      <c r="W203" s="35">
        <f>SUBTOTAL(9,W186:W202)</f>
        <v>58</v>
      </c>
      <c r="X203" s="35">
        <f>SUBTOTAL(9,X186:X202)</f>
        <v>58</v>
      </c>
      <c r="Y203" s="35"/>
      <c r="Z203" s="35"/>
      <c r="AA203" s="43"/>
      <c r="AB203" s="60"/>
      <c r="AC203" s="104">
        <f>SUBTOTAL(9,AC121:AC202)</f>
        <v>0</v>
      </c>
      <c r="AD203" s="104">
        <f>SUBTOTAL(9,AD121:AD202)</f>
        <v>0</v>
      </c>
      <c r="AE203" s="35">
        <f>SUM(AC203:AD203)</f>
        <v>0</v>
      </c>
      <c r="AF203" s="35">
        <f>R203+AE203</f>
        <v>6115</v>
      </c>
      <c r="AG203" s="43">
        <f>AF203-O203</f>
        <v>-4903</v>
      </c>
    </row>
    <row r="204" spans="1:33" ht="13.5" outlineLevel="2" thickTop="1" x14ac:dyDescent="0.3">
      <c r="A204" t="s">
        <v>1085</v>
      </c>
      <c r="C204" s="31" t="s">
        <v>57</v>
      </c>
      <c r="D204" s="33">
        <v>1590</v>
      </c>
      <c r="E204" s="33">
        <v>1751</v>
      </c>
      <c r="F204" s="23">
        <v>0</v>
      </c>
      <c r="G204" s="23">
        <v>0</v>
      </c>
      <c r="H204" s="23">
        <v>156</v>
      </c>
      <c r="I204" s="23">
        <v>0</v>
      </c>
      <c r="J204" s="23">
        <v>5</v>
      </c>
      <c r="K204" s="23">
        <v>0</v>
      </c>
      <c r="L204" s="23">
        <f t="shared" si="0"/>
        <v>161</v>
      </c>
      <c r="M204" s="33">
        <f t="shared" si="1"/>
        <v>0</v>
      </c>
      <c r="N204" s="33">
        <f t="shared" si="2"/>
        <v>161</v>
      </c>
      <c r="O204" s="33">
        <v>1751</v>
      </c>
      <c r="P204" s="33">
        <v>1793</v>
      </c>
      <c r="Q204" s="33">
        <v>-528</v>
      </c>
      <c r="R204" s="33">
        <v>1265</v>
      </c>
      <c r="S204" s="33">
        <v>895</v>
      </c>
      <c r="T204" s="33">
        <f t="shared" si="3"/>
        <v>370</v>
      </c>
      <c r="U204" s="38">
        <f t="shared" si="4"/>
        <v>0.72244431753283833</v>
      </c>
      <c r="V204" s="59">
        <f t="shared" si="5"/>
        <v>1751</v>
      </c>
      <c r="W204" s="33">
        <v>0</v>
      </c>
      <c r="X204" s="33">
        <v>0</v>
      </c>
      <c r="Y204" s="33"/>
      <c r="Z204" s="33"/>
      <c r="AA204" s="42"/>
      <c r="AB204" s="60"/>
      <c r="AC204" s="105"/>
      <c r="AD204" s="93"/>
      <c r="AE204" s="33">
        <f t="shared" si="6"/>
        <v>0</v>
      </c>
      <c r="AF204" s="33">
        <f t="shared" si="7"/>
        <v>1265</v>
      </c>
      <c r="AG204" s="101">
        <f t="shared" si="8"/>
        <v>-486</v>
      </c>
    </row>
    <row r="205" spans="1:33" ht="13" outlineLevel="2" x14ac:dyDescent="0.3">
      <c r="A205" t="s">
        <v>1085</v>
      </c>
      <c r="C205" s="31" t="s">
        <v>58</v>
      </c>
      <c r="D205" s="33">
        <v>-10598</v>
      </c>
      <c r="E205" s="33">
        <v>-10430</v>
      </c>
      <c r="F205" s="23">
        <v>0</v>
      </c>
      <c r="G205" s="23">
        <v>0</v>
      </c>
      <c r="H205" s="23">
        <v>168</v>
      </c>
      <c r="I205" s="23">
        <v>0</v>
      </c>
      <c r="J205" s="23">
        <v>0</v>
      </c>
      <c r="K205" s="23">
        <v>0</v>
      </c>
      <c r="L205" s="23">
        <f t="shared" si="0"/>
        <v>168</v>
      </c>
      <c r="M205" s="33">
        <f t="shared" si="1"/>
        <v>0</v>
      </c>
      <c r="N205" s="33">
        <f t="shared" si="2"/>
        <v>168</v>
      </c>
      <c r="O205" s="33">
        <v>-10430</v>
      </c>
      <c r="P205" s="33">
        <v>1341</v>
      </c>
      <c r="Q205" s="33">
        <v>-5860</v>
      </c>
      <c r="R205" s="33">
        <v>-4519</v>
      </c>
      <c r="S205" s="33">
        <v>-5354</v>
      </c>
      <c r="T205" s="33">
        <f t="shared" si="3"/>
        <v>835</v>
      </c>
      <c r="U205" s="38">
        <f t="shared" si="4"/>
        <v>0.43326941514860978</v>
      </c>
      <c r="V205" s="59">
        <f t="shared" si="5"/>
        <v>-10430</v>
      </c>
      <c r="W205" s="33">
        <v>0</v>
      </c>
      <c r="X205" s="33">
        <v>0</v>
      </c>
      <c r="Y205" s="33"/>
      <c r="Z205" s="33"/>
      <c r="AA205" s="42"/>
      <c r="AB205" s="60"/>
      <c r="AC205" s="105"/>
      <c r="AD205" s="93"/>
      <c r="AE205" s="33">
        <f t="shared" si="6"/>
        <v>0</v>
      </c>
      <c r="AF205" s="33">
        <f t="shared" si="7"/>
        <v>-4519</v>
      </c>
      <c r="AG205" s="101">
        <f t="shared" si="8"/>
        <v>5911</v>
      </c>
    </row>
    <row r="206" spans="1:33" ht="13" outlineLevel="2" x14ac:dyDescent="0.3">
      <c r="A206" t="s">
        <v>1085</v>
      </c>
      <c r="C206" s="31" t="s">
        <v>59</v>
      </c>
      <c r="D206" s="33">
        <v>214</v>
      </c>
      <c r="E206" s="33">
        <v>223</v>
      </c>
      <c r="F206" s="23">
        <v>0</v>
      </c>
      <c r="G206" s="23">
        <v>0</v>
      </c>
      <c r="H206" s="23">
        <v>8</v>
      </c>
      <c r="I206" s="23">
        <v>0</v>
      </c>
      <c r="J206" s="23">
        <v>0</v>
      </c>
      <c r="K206" s="23">
        <v>0</v>
      </c>
      <c r="L206" s="23">
        <f t="shared" si="0"/>
        <v>8</v>
      </c>
      <c r="M206" s="33">
        <f t="shared" si="1"/>
        <v>0</v>
      </c>
      <c r="N206" s="33">
        <f t="shared" si="2"/>
        <v>9</v>
      </c>
      <c r="O206" s="33">
        <v>223</v>
      </c>
      <c r="P206" s="33">
        <v>38</v>
      </c>
      <c r="Q206" s="33">
        <v>0</v>
      </c>
      <c r="R206" s="33">
        <v>38</v>
      </c>
      <c r="S206" s="33">
        <v>111</v>
      </c>
      <c r="T206" s="33">
        <f t="shared" si="3"/>
        <v>-73</v>
      </c>
      <c r="U206" s="38">
        <f t="shared" si="4"/>
        <v>0.17040358744394618</v>
      </c>
      <c r="V206" s="59">
        <f t="shared" si="5"/>
        <v>223</v>
      </c>
      <c r="W206" s="33">
        <v>0</v>
      </c>
      <c r="X206" s="33">
        <v>0</v>
      </c>
      <c r="Y206" s="33"/>
      <c r="Z206" s="33"/>
      <c r="AA206" s="42"/>
      <c r="AB206" s="60"/>
      <c r="AC206" s="105"/>
      <c r="AD206" s="93"/>
      <c r="AE206" s="33">
        <f t="shared" si="6"/>
        <v>0</v>
      </c>
      <c r="AF206" s="33">
        <f t="shared" si="7"/>
        <v>38</v>
      </c>
      <c r="AG206" s="101">
        <f t="shared" si="8"/>
        <v>-185</v>
      </c>
    </row>
    <row r="207" spans="1:33" ht="13" outlineLevel="2" x14ac:dyDescent="0.3">
      <c r="A207" t="s">
        <v>1085</v>
      </c>
      <c r="C207" s="31" t="s">
        <v>229</v>
      </c>
      <c r="D207" s="33">
        <v>477</v>
      </c>
      <c r="E207" s="33">
        <v>622</v>
      </c>
      <c r="F207" s="23">
        <v>-15</v>
      </c>
      <c r="G207" s="23">
        <v>0</v>
      </c>
      <c r="H207" s="23">
        <v>199</v>
      </c>
      <c r="I207" s="23">
        <v>0</v>
      </c>
      <c r="J207" s="23">
        <v>-39</v>
      </c>
      <c r="K207" s="23">
        <v>0</v>
      </c>
      <c r="L207" s="23">
        <f t="shared" si="0"/>
        <v>145</v>
      </c>
      <c r="M207" s="33">
        <f t="shared" si="1"/>
        <v>0</v>
      </c>
      <c r="N207" s="33">
        <f t="shared" si="2"/>
        <v>145</v>
      </c>
      <c r="O207" s="33">
        <v>622</v>
      </c>
      <c r="P207" s="33">
        <v>878</v>
      </c>
      <c r="Q207" s="33">
        <v>-550</v>
      </c>
      <c r="R207" s="33">
        <v>328</v>
      </c>
      <c r="S207" s="33">
        <v>392</v>
      </c>
      <c r="T207" s="33">
        <f t="shared" si="3"/>
        <v>-64</v>
      </c>
      <c r="U207" s="38">
        <f t="shared" si="4"/>
        <v>0.52733118971061088</v>
      </c>
      <c r="V207" s="59">
        <f t="shared" si="5"/>
        <v>622</v>
      </c>
      <c r="W207" s="33">
        <v>0</v>
      </c>
      <c r="X207" s="33">
        <v>0</v>
      </c>
      <c r="Y207" s="33"/>
      <c r="Z207" s="33"/>
      <c r="AA207" s="42"/>
      <c r="AB207" s="60"/>
      <c r="AC207" s="105"/>
      <c r="AD207" s="93"/>
      <c r="AE207" s="33">
        <f t="shared" si="6"/>
        <v>0</v>
      </c>
      <c r="AF207" s="33">
        <f t="shared" si="7"/>
        <v>328</v>
      </c>
      <c r="AG207" s="101">
        <f t="shared" si="8"/>
        <v>-294</v>
      </c>
    </row>
    <row r="208" spans="1:33" ht="13" outlineLevel="2" x14ac:dyDescent="0.3">
      <c r="A208" t="s">
        <v>1085</v>
      </c>
      <c r="C208" s="31" t="s">
        <v>230</v>
      </c>
      <c r="D208" s="33">
        <v>401</v>
      </c>
      <c r="E208" s="33">
        <v>359</v>
      </c>
      <c r="F208" s="23">
        <v>0</v>
      </c>
      <c r="G208" s="23">
        <v>0</v>
      </c>
      <c r="H208" s="23">
        <v>18</v>
      </c>
      <c r="I208" s="23">
        <v>0</v>
      </c>
      <c r="J208" s="23">
        <v>-60</v>
      </c>
      <c r="K208" s="23">
        <v>0</v>
      </c>
      <c r="L208" s="23">
        <f t="shared" si="0"/>
        <v>-42</v>
      </c>
      <c r="M208" s="33">
        <f t="shared" si="1"/>
        <v>0</v>
      </c>
      <c r="N208" s="33">
        <f t="shared" si="2"/>
        <v>-42</v>
      </c>
      <c r="O208" s="33">
        <v>359</v>
      </c>
      <c r="P208" s="33">
        <v>119</v>
      </c>
      <c r="Q208" s="33">
        <v>-12</v>
      </c>
      <c r="R208" s="33">
        <v>107</v>
      </c>
      <c r="S208" s="33">
        <v>180</v>
      </c>
      <c r="T208" s="33">
        <f t="shared" si="3"/>
        <v>-73</v>
      </c>
      <c r="U208" s="38">
        <f t="shared" si="4"/>
        <v>0.29805013927576601</v>
      </c>
      <c r="V208" s="59">
        <f t="shared" si="5"/>
        <v>359</v>
      </c>
      <c r="W208" s="33">
        <v>0</v>
      </c>
      <c r="X208" s="33">
        <v>0</v>
      </c>
      <c r="Y208" s="33"/>
      <c r="Z208" s="33"/>
      <c r="AA208" s="42"/>
      <c r="AB208" s="60"/>
      <c r="AC208" s="105"/>
      <c r="AD208" s="93"/>
      <c r="AE208" s="33">
        <f t="shared" si="6"/>
        <v>0</v>
      </c>
      <c r="AF208" s="33">
        <f t="shared" si="7"/>
        <v>107</v>
      </c>
      <c r="AG208" s="101">
        <f t="shared" si="8"/>
        <v>-252</v>
      </c>
    </row>
    <row r="209" spans="1:33" ht="13" outlineLevel="2" x14ac:dyDescent="0.3">
      <c r="A209" t="s">
        <v>1085</v>
      </c>
      <c r="C209" s="31" t="s">
        <v>60</v>
      </c>
      <c r="D209" s="33">
        <v>0</v>
      </c>
      <c r="E209" s="33">
        <v>0</v>
      </c>
      <c r="F209" s="23">
        <v>0</v>
      </c>
      <c r="G209" s="23">
        <v>0</v>
      </c>
      <c r="H209" s="23">
        <v>0</v>
      </c>
      <c r="I209" s="23">
        <v>0</v>
      </c>
      <c r="J209" s="23">
        <v>0</v>
      </c>
      <c r="K209" s="23">
        <v>0</v>
      </c>
      <c r="L209" s="23">
        <f t="shared" si="0"/>
        <v>0</v>
      </c>
      <c r="M209" s="33">
        <f t="shared" si="1"/>
        <v>0</v>
      </c>
      <c r="N209" s="33">
        <f t="shared" si="2"/>
        <v>0</v>
      </c>
      <c r="O209" s="33">
        <v>0</v>
      </c>
      <c r="P209" s="33">
        <v>0</v>
      </c>
      <c r="Q209" s="33">
        <v>0</v>
      </c>
      <c r="R209" s="33">
        <v>0</v>
      </c>
      <c r="S209" s="33">
        <v>0</v>
      </c>
      <c r="T209" s="33">
        <f t="shared" si="3"/>
        <v>0</v>
      </c>
      <c r="U209" s="38" t="str">
        <f t="shared" si="4"/>
        <v>∞</v>
      </c>
      <c r="V209" s="59">
        <f t="shared" si="5"/>
        <v>0</v>
      </c>
      <c r="W209" s="33">
        <v>0</v>
      </c>
      <c r="X209" s="33">
        <v>0</v>
      </c>
      <c r="Y209" s="33"/>
      <c r="Z209" s="33"/>
      <c r="AA209" s="42"/>
      <c r="AB209" s="60"/>
      <c r="AC209" s="105"/>
      <c r="AD209" s="93"/>
      <c r="AE209" s="33">
        <f t="shared" si="6"/>
        <v>0</v>
      </c>
      <c r="AF209" s="33">
        <f t="shared" si="7"/>
        <v>0</v>
      </c>
      <c r="AG209" s="101">
        <f t="shared" si="8"/>
        <v>0</v>
      </c>
    </row>
    <row r="210" spans="1:33" ht="13" outlineLevel="1" x14ac:dyDescent="0.3">
      <c r="A210" t="s">
        <v>1086</v>
      </c>
      <c r="C210" s="32" t="s">
        <v>61</v>
      </c>
      <c r="D210" s="34">
        <f t="shared" ref="D210:K210" si="13">SUBTOTAL(9,D204:D209)</f>
        <v>-7916</v>
      </c>
      <c r="E210" s="34">
        <f t="shared" si="13"/>
        <v>-7475</v>
      </c>
      <c r="F210" s="24">
        <f t="shared" si="13"/>
        <v>-15</v>
      </c>
      <c r="G210" s="24">
        <f t="shared" si="13"/>
        <v>0</v>
      </c>
      <c r="H210" s="24">
        <f t="shared" si="13"/>
        <v>549</v>
      </c>
      <c r="I210" s="24">
        <f t="shared" si="13"/>
        <v>0</v>
      </c>
      <c r="J210" s="24">
        <f t="shared" si="13"/>
        <v>-94</v>
      </c>
      <c r="K210" s="24">
        <f t="shared" si="13"/>
        <v>0</v>
      </c>
      <c r="L210" s="24">
        <f>SUM(F210:K210)</f>
        <v>440</v>
      </c>
      <c r="M210" s="34">
        <f t="shared" si="1"/>
        <v>0</v>
      </c>
      <c r="N210" s="34">
        <f t="shared" si="2"/>
        <v>441</v>
      </c>
      <c r="O210" s="34">
        <f>SUBTOTAL(9,O204:O209)</f>
        <v>-7475</v>
      </c>
      <c r="P210" s="34">
        <f>SUBTOTAL(9,P204:P209)</f>
        <v>4169</v>
      </c>
      <c r="Q210" s="34">
        <f>SUBTOTAL(9,Q204:Q209)</f>
        <v>-6950</v>
      </c>
      <c r="R210" s="34">
        <f>SUBTOTAL(9,R204:R209)</f>
        <v>-2781</v>
      </c>
      <c r="S210" s="34">
        <f>SUBTOTAL(9,S204:S209)</f>
        <v>-3776</v>
      </c>
      <c r="T210" s="34">
        <f>R210-S210</f>
        <v>995</v>
      </c>
      <c r="U210" s="38">
        <f>IFERROR((R210/O210)*100%,"∞")</f>
        <v>0.3720401337792642</v>
      </c>
      <c r="V210" s="59">
        <f>O210+W210</f>
        <v>-7475</v>
      </c>
      <c r="W210" s="34">
        <f>SUBTOTAL(9,W204:W209)</f>
        <v>0</v>
      </c>
      <c r="X210" s="34">
        <f>SUBTOTAL(9,X204:X209)</f>
        <v>0</v>
      </c>
      <c r="Y210" s="34"/>
      <c r="Z210" s="34"/>
      <c r="AA210" s="41"/>
      <c r="AB210" s="60"/>
      <c r="AC210" s="102">
        <f>SUBTOTAL(9,AC129:AC209)</f>
        <v>0</v>
      </c>
      <c r="AD210" s="34">
        <f>SUBTOTAL(9,AD129:AD209)</f>
        <v>0</v>
      </c>
      <c r="AE210" s="34"/>
      <c r="AF210" s="34"/>
      <c r="AG210" s="103"/>
    </row>
    <row r="211" spans="1:33" ht="13" outlineLevel="2" x14ac:dyDescent="0.3">
      <c r="A211" t="s">
        <v>1085</v>
      </c>
      <c r="C211" s="31" t="s">
        <v>62</v>
      </c>
      <c r="D211" s="33">
        <v>389</v>
      </c>
      <c r="E211" s="33">
        <v>447</v>
      </c>
      <c r="F211" s="23">
        <v>0</v>
      </c>
      <c r="G211" s="23">
        <v>0</v>
      </c>
      <c r="H211" s="23">
        <v>58</v>
      </c>
      <c r="I211" s="23">
        <v>0</v>
      </c>
      <c r="J211" s="23">
        <v>0</v>
      </c>
      <c r="K211" s="23">
        <v>0</v>
      </c>
      <c r="L211" s="23">
        <f t="shared" si="0"/>
        <v>58</v>
      </c>
      <c r="M211" s="33">
        <f t="shared" si="1"/>
        <v>0</v>
      </c>
      <c r="N211" s="33">
        <f t="shared" si="2"/>
        <v>58</v>
      </c>
      <c r="O211" s="33">
        <v>447</v>
      </c>
      <c r="P211" s="33">
        <v>557</v>
      </c>
      <c r="Q211" s="33">
        <v>-420</v>
      </c>
      <c r="R211" s="33">
        <v>136</v>
      </c>
      <c r="S211" s="33">
        <v>242</v>
      </c>
      <c r="T211" s="33">
        <f t="shared" si="3"/>
        <v>-106</v>
      </c>
      <c r="U211" s="38">
        <f t="shared" si="4"/>
        <v>0.30425055928411632</v>
      </c>
      <c r="V211" s="59">
        <f t="shared" si="5"/>
        <v>447</v>
      </c>
      <c r="W211" s="33">
        <v>0</v>
      </c>
      <c r="X211" s="33">
        <v>0</v>
      </c>
      <c r="Y211" s="33"/>
      <c r="Z211" s="33"/>
      <c r="AA211" s="42"/>
      <c r="AB211" s="60"/>
      <c r="AC211" s="105"/>
      <c r="AD211" s="93"/>
      <c r="AE211" s="33">
        <f t="shared" si="6"/>
        <v>0</v>
      </c>
      <c r="AF211" s="33">
        <f t="shared" si="7"/>
        <v>136</v>
      </c>
      <c r="AG211" s="101">
        <f t="shared" si="8"/>
        <v>-311</v>
      </c>
    </row>
    <row r="212" spans="1:33" ht="13" outlineLevel="2" x14ac:dyDescent="0.3">
      <c r="A212" t="s">
        <v>1085</v>
      </c>
      <c r="C212" s="31" t="s">
        <v>63</v>
      </c>
      <c r="D212" s="33">
        <v>472</v>
      </c>
      <c r="E212" s="33">
        <v>543</v>
      </c>
      <c r="F212" s="23">
        <v>0</v>
      </c>
      <c r="G212" s="23">
        <v>0</v>
      </c>
      <c r="H212" s="23">
        <v>71</v>
      </c>
      <c r="I212" s="23">
        <v>0</v>
      </c>
      <c r="J212" s="23">
        <v>0</v>
      </c>
      <c r="K212" s="23">
        <v>0</v>
      </c>
      <c r="L212" s="23">
        <f t="shared" si="0"/>
        <v>71</v>
      </c>
      <c r="M212" s="33">
        <f t="shared" si="1"/>
        <v>0</v>
      </c>
      <c r="N212" s="33">
        <f t="shared" si="2"/>
        <v>71</v>
      </c>
      <c r="O212" s="33">
        <v>543</v>
      </c>
      <c r="P212" s="33">
        <v>133</v>
      </c>
      <c r="Q212" s="33">
        <v>0</v>
      </c>
      <c r="R212" s="33">
        <v>133</v>
      </c>
      <c r="S212" s="33">
        <v>272</v>
      </c>
      <c r="T212" s="33">
        <f t="shared" si="3"/>
        <v>-139</v>
      </c>
      <c r="U212" s="38">
        <f t="shared" si="4"/>
        <v>0.24493554327808473</v>
      </c>
      <c r="V212" s="59">
        <f t="shared" si="5"/>
        <v>543</v>
      </c>
      <c r="W212" s="33">
        <v>0</v>
      </c>
      <c r="X212" s="33">
        <v>0</v>
      </c>
      <c r="Y212" s="33"/>
      <c r="Z212" s="33"/>
      <c r="AA212" s="42"/>
      <c r="AB212" s="60"/>
      <c r="AC212" s="105"/>
      <c r="AD212" s="93"/>
      <c r="AE212" s="33">
        <f t="shared" si="6"/>
        <v>0</v>
      </c>
      <c r="AF212" s="33">
        <f t="shared" si="7"/>
        <v>133</v>
      </c>
      <c r="AG212" s="101">
        <f t="shared" si="8"/>
        <v>-410</v>
      </c>
    </row>
    <row r="213" spans="1:33" ht="13" outlineLevel="2" x14ac:dyDescent="0.3">
      <c r="A213" t="s">
        <v>1085</v>
      </c>
      <c r="C213" s="31" t="s">
        <v>64</v>
      </c>
      <c r="D213" s="33">
        <v>68</v>
      </c>
      <c r="E213" s="33">
        <v>89</v>
      </c>
      <c r="F213" s="23">
        <v>0</v>
      </c>
      <c r="G213" s="23">
        <v>0</v>
      </c>
      <c r="H213" s="23">
        <v>21</v>
      </c>
      <c r="I213" s="23">
        <v>0</v>
      </c>
      <c r="J213" s="23">
        <v>0</v>
      </c>
      <c r="K213" s="23">
        <v>0</v>
      </c>
      <c r="L213" s="23">
        <f t="shared" si="0"/>
        <v>21</v>
      </c>
      <c r="M213" s="33">
        <f t="shared" si="1"/>
        <v>0</v>
      </c>
      <c r="N213" s="33">
        <f t="shared" si="2"/>
        <v>21</v>
      </c>
      <c r="O213" s="33">
        <v>89</v>
      </c>
      <c r="P213" s="33">
        <v>79</v>
      </c>
      <c r="Q213" s="33">
        <v>0</v>
      </c>
      <c r="R213" s="33">
        <v>79</v>
      </c>
      <c r="S213" s="33">
        <v>44</v>
      </c>
      <c r="T213" s="33">
        <f t="shared" si="3"/>
        <v>35</v>
      </c>
      <c r="U213" s="38">
        <f t="shared" si="4"/>
        <v>0.88764044943820219</v>
      </c>
      <c r="V213" s="59">
        <f t="shared" si="5"/>
        <v>89</v>
      </c>
      <c r="W213" s="33">
        <v>0</v>
      </c>
      <c r="X213" s="33">
        <v>0</v>
      </c>
      <c r="Y213" s="33"/>
      <c r="Z213" s="33"/>
      <c r="AA213" s="42"/>
      <c r="AB213" s="60"/>
      <c r="AC213" s="105"/>
      <c r="AD213" s="93"/>
      <c r="AE213" s="33">
        <f t="shared" si="6"/>
        <v>0</v>
      </c>
      <c r="AF213" s="33">
        <f t="shared" si="7"/>
        <v>79</v>
      </c>
      <c r="AG213" s="101">
        <f t="shared" si="8"/>
        <v>-10</v>
      </c>
    </row>
    <row r="214" spans="1:33" ht="13" outlineLevel="1" x14ac:dyDescent="0.3">
      <c r="A214" t="s">
        <v>1086</v>
      </c>
      <c r="C214" s="32" t="s">
        <v>65</v>
      </c>
      <c r="D214" s="34">
        <f t="shared" ref="D214:K214" si="14">SUBTOTAL(9,D211:D213)</f>
        <v>929</v>
      </c>
      <c r="E214" s="34">
        <f t="shared" si="14"/>
        <v>1079</v>
      </c>
      <c r="F214" s="24">
        <f t="shared" si="14"/>
        <v>0</v>
      </c>
      <c r="G214" s="24">
        <f t="shared" si="14"/>
        <v>0</v>
      </c>
      <c r="H214" s="24">
        <f t="shared" si="14"/>
        <v>150</v>
      </c>
      <c r="I214" s="24">
        <f t="shared" si="14"/>
        <v>0</v>
      </c>
      <c r="J214" s="24">
        <f t="shared" si="14"/>
        <v>0</v>
      </c>
      <c r="K214" s="24">
        <f t="shared" si="14"/>
        <v>0</v>
      </c>
      <c r="L214" s="24">
        <f>SUM(F214:K214)</f>
        <v>150</v>
      </c>
      <c r="M214" s="34">
        <f t="shared" si="1"/>
        <v>0</v>
      </c>
      <c r="N214" s="34">
        <f t="shared" si="2"/>
        <v>150</v>
      </c>
      <c r="O214" s="34">
        <f>SUBTOTAL(9,O211:O213)</f>
        <v>1079</v>
      </c>
      <c r="P214" s="34">
        <f>SUBTOTAL(9,P211:P213)</f>
        <v>769</v>
      </c>
      <c r="Q214" s="34">
        <f>SUBTOTAL(9,Q211:Q213)</f>
        <v>-420</v>
      </c>
      <c r="R214" s="34">
        <f>SUBTOTAL(9,R211:R213)</f>
        <v>348</v>
      </c>
      <c r="S214" s="34">
        <f>SUBTOTAL(9,S211:S213)</f>
        <v>558</v>
      </c>
      <c r="T214" s="34">
        <f>R214-S214</f>
        <v>-210</v>
      </c>
      <c r="U214" s="38">
        <f>IFERROR((R214/O214)*100%,"∞")</f>
        <v>0.32252085264133457</v>
      </c>
      <c r="V214" s="59">
        <f>O214+W214</f>
        <v>1079</v>
      </c>
      <c r="W214" s="34">
        <f>SUBTOTAL(9,W211:W213)</f>
        <v>0</v>
      </c>
      <c r="X214" s="34">
        <f>SUBTOTAL(9,X211:X213)</f>
        <v>0</v>
      </c>
      <c r="Y214" s="34"/>
      <c r="Z214" s="34"/>
      <c r="AA214" s="41"/>
      <c r="AB214" s="60"/>
      <c r="AC214" s="102">
        <f>SUBTOTAL(9,AC133:AC213)</f>
        <v>0</v>
      </c>
      <c r="AD214" s="34">
        <f>SUBTOTAL(9,AD133:AD213)</f>
        <v>0</v>
      </c>
      <c r="AE214" s="34"/>
      <c r="AF214" s="34"/>
      <c r="AG214" s="103"/>
    </row>
    <row r="215" spans="1:33" ht="13" outlineLevel="2" x14ac:dyDescent="0.3">
      <c r="A215" t="s">
        <v>1085</v>
      </c>
      <c r="C215" s="31" t="s">
        <v>66</v>
      </c>
      <c r="D215" s="33">
        <v>-753</v>
      </c>
      <c r="E215" s="33">
        <v>-780</v>
      </c>
      <c r="F215" s="23">
        <v>0</v>
      </c>
      <c r="G215" s="23">
        <v>0</v>
      </c>
      <c r="H215" s="23">
        <v>92</v>
      </c>
      <c r="I215" s="23">
        <v>0</v>
      </c>
      <c r="J215" s="23">
        <v>-119</v>
      </c>
      <c r="K215" s="23">
        <v>0</v>
      </c>
      <c r="L215" s="23">
        <f t="shared" si="0"/>
        <v>-27</v>
      </c>
      <c r="M215" s="33">
        <f t="shared" si="1"/>
        <v>0</v>
      </c>
      <c r="N215" s="33">
        <f t="shared" si="2"/>
        <v>-27</v>
      </c>
      <c r="O215" s="33">
        <v>-780</v>
      </c>
      <c r="P215" s="33">
        <v>620</v>
      </c>
      <c r="Q215" s="33">
        <v>-1047</v>
      </c>
      <c r="R215" s="33">
        <v>-426</v>
      </c>
      <c r="S215" s="33">
        <v>-561</v>
      </c>
      <c r="T215" s="33">
        <f t="shared" si="3"/>
        <v>135</v>
      </c>
      <c r="U215" s="38">
        <f t="shared" si="4"/>
        <v>0.5461538461538461</v>
      </c>
      <c r="V215" s="59">
        <f t="shared" si="5"/>
        <v>-780</v>
      </c>
      <c r="W215" s="33">
        <v>0</v>
      </c>
      <c r="X215" s="33">
        <v>0</v>
      </c>
      <c r="Y215" s="33"/>
      <c r="Z215" s="33"/>
      <c r="AA215" s="42"/>
      <c r="AB215" s="60"/>
      <c r="AC215" s="105"/>
      <c r="AD215" s="93"/>
      <c r="AE215" s="33">
        <f t="shared" si="6"/>
        <v>0</v>
      </c>
      <c r="AF215" s="33">
        <f t="shared" si="7"/>
        <v>-426</v>
      </c>
      <c r="AG215" s="101">
        <f t="shared" si="8"/>
        <v>354</v>
      </c>
    </row>
    <row r="216" spans="1:33" ht="13" outlineLevel="2" x14ac:dyDescent="0.3">
      <c r="A216" t="s">
        <v>1085</v>
      </c>
      <c r="C216" s="31" t="s">
        <v>67</v>
      </c>
      <c r="D216" s="33">
        <v>121</v>
      </c>
      <c r="E216" s="33">
        <v>228</v>
      </c>
      <c r="F216" s="23">
        <v>0</v>
      </c>
      <c r="G216" s="23">
        <v>0</v>
      </c>
      <c r="H216" s="23">
        <v>33</v>
      </c>
      <c r="I216" s="23">
        <v>0</v>
      </c>
      <c r="J216" s="23">
        <v>74</v>
      </c>
      <c r="K216" s="23">
        <v>0</v>
      </c>
      <c r="L216" s="23">
        <f t="shared" si="0"/>
        <v>107</v>
      </c>
      <c r="M216" s="33">
        <f t="shared" si="1"/>
        <v>0</v>
      </c>
      <c r="N216" s="33">
        <f t="shared" si="2"/>
        <v>107</v>
      </c>
      <c r="O216" s="33">
        <v>228</v>
      </c>
      <c r="P216" s="33">
        <v>81</v>
      </c>
      <c r="Q216" s="33">
        <v>-8</v>
      </c>
      <c r="R216" s="33">
        <v>72</v>
      </c>
      <c r="S216" s="33">
        <v>83</v>
      </c>
      <c r="T216" s="33">
        <f t="shared" si="3"/>
        <v>-11</v>
      </c>
      <c r="U216" s="38">
        <f t="shared" si="4"/>
        <v>0.31578947368421051</v>
      </c>
      <c r="V216" s="59">
        <f t="shared" si="5"/>
        <v>228</v>
      </c>
      <c r="W216" s="33">
        <v>0</v>
      </c>
      <c r="X216" s="33">
        <v>0</v>
      </c>
      <c r="Y216" s="33"/>
      <c r="Z216" s="33"/>
      <c r="AA216" s="42"/>
      <c r="AB216" s="60"/>
      <c r="AC216" s="105"/>
      <c r="AD216" s="93"/>
      <c r="AE216" s="33">
        <f t="shared" si="6"/>
        <v>0</v>
      </c>
      <c r="AF216" s="33">
        <f t="shared" si="7"/>
        <v>72</v>
      </c>
      <c r="AG216" s="101">
        <f t="shared" si="8"/>
        <v>-156</v>
      </c>
    </row>
    <row r="217" spans="1:33" ht="13" outlineLevel="2" x14ac:dyDescent="0.3">
      <c r="A217" t="s">
        <v>1085</v>
      </c>
      <c r="C217" s="31" t="s">
        <v>68</v>
      </c>
      <c r="D217" s="33">
        <v>-191</v>
      </c>
      <c r="E217" s="33">
        <v>-188</v>
      </c>
      <c r="F217" s="23">
        <v>0</v>
      </c>
      <c r="G217" s="23">
        <v>0</v>
      </c>
      <c r="H217" s="23">
        <v>3</v>
      </c>
      <c r="I217" s="23">
        <v>0</v>
      </c>
      <c r="J217" s="23">
        <v>0</v>
      </c>
      <c r="K217" s="23">
        <v>0</v>
      </c>
      <c r="L217" s="23">
        <f t="shared" si="0"/>
        <v>3</v>
      </c>
      <c r="M217" s="33">
        <f t="shared" si="1"/>
        <v>0</v>
      </c>
      <c r="N217" s="33">
        <f t="shared" si="2"/>
        <v>3</v>
      </c>
      <c r="O217" s="33">
        <v>-188</v>
      </c>
      <c r="P217" s="33">
        <v>42</v>
      </c>
      <c r="Q217" s="33">
        <v>-174</v>
      </c>
      <c r="R217" s="33">
        <v>-133</v>
      </c>
      <c r="S217" s="33">
        <v>-98</v>
      </c>
      <c r="T217" s="33">
        <f t="shared" si="3"/>
        <v>-35</v>
      </c>
      <c r="U217" s="38">
        <f t="shared" si="4"/>
        <v>0.70744680851063835</v>
      </c>
      <c r="V217" s="59">
        <f t="shared" si="5"/>
        <v>-188</v>
      </c>
      <c r="W217" s="33">
        <v>0</v>
      </c>
      <c r="X217" s="33">
        <v>0</v>
      </c>
      <c r="Y217" s="33"/>
      <c r="Z217" s="33"/>
      <c r="AA217" s="42"/>
      <c r="AB217" s="60"/>
      <c r="AC217" s="105"/>
      <c r="AD217" s="93"/>
      <c r="AE217" s="33">
        <f t="shared" si="6"/>
        <v>0</v>
      </c>
      <c r="AF217" s="33">
        <f t="shared" si="7"/>
        <v>-133</v>
      </c>
      <c r="AG217" s="101">
        <f t="shared" si="8"/>
        <v>55</v>
      </c>
    </row>
    <row r="218" spans="1:33" ht="13" outlineLevel="2" x14ac:dyDescent="0.3">
      <c r="A218" t="s">
        <v>1085</v>
      </c>
      <c r="C218" s="31" t="s">
        <v>69</v>
      </c>
      <c r="D218" s="33">
        <v>1261</v>
      </c>
      <c r="E218" s="33">
        <v>1409</v>
      </c>
      <c r="F218" s="23">
        <v>0</v>
      </c>
      <c r="G218" s="23">
        <v>0</v>
      </c>
      <c r="H218" s="23">
        <v>102</v>
      </c>
      <c r="I218" s="23">
        <v>0</v>
      </c>
      <c r="J218" s="23">
        <v>46</v>
      </c>
      <c r="K218" s="23">
        <v>0</v>
      </c>
      <c r="L218" s="23">
        <f t="shared" si="0"/>
        <v>148</v>
      </c>
      <c r="M218" s="33">
        <f t="shared" si="1"/>
        <v>0</v>
      </c>
      <c r="N218" s="33">
        <f t="shared" si="2"/>
        <v>148</v>
      </c>
      <c r="O218" s="33">
        <v>1409</v>
      </c>
      <c r="P218" s="33">
        <v>714</v>
      </c>
      <c r="Q218" s="33">
        <v>-126</v>
      </c>
      <c r="R218" s="33">
        <v>589</v>
      </c>
      <c r="S218" s="33">
        <v>667</v>
      </c>
      <c r="T218" s="33">
        <f t="shared" si="3"/>
        <v>-78</v>
      </c>
      <c r="U218" s="38">
        <f t="shared" si="4"/>
        <v>0.41802696948190204</v>
      </c>
      <c r="V218" s="59">
        <f t="shared" si="5"/>
        <v>1409</v>
      </c>
      <c r="W218" s="33">
        <v>0</v>
      </c>
      <c r="X218" s="33">
        <v>0</v>
      </c>
      <c r="Y218" s="33"/>
      <c r="Z218" s="33"/>
      <c r="AA218" s="42"/>
      <c r="AB218" s="60"/>
      <c r="AC218" s="105"/>
      <c r="AD218" s="93"/>
      <c r="AE218" s="33">
        <f t="shared" si="6"/>
        <v>0</v>
      </c>
      <c r="AF218" s="33">
        <f t="shared" si="7"/>
        <v>589</v>
      </c>
      <c r="AG218" s="101">
        <f t="shared" si="8"/>
        <v>-820</v>
      </c>
    </row>
    <row r="219" spans="1:33" ht="13" outlineLevel="2" x14ac:dyDescent="0.3">
      <c r="A219" t="s">
        <v>1085</v>
      </c>
      <c r="C219" s="31" t="s">
        <v>70</v>
      </c>
      <c r="D219" s="33">
        <v>-130</v>
      </c>
      <c r="E219" s="33">
        <v>141</v>
      </c>
      <c r="F219" s="23">
        <v>0</v>
      </c>
      <c r="G219" s="23">
        <v>0</v>
      </c>
      <c r="H219" s="23">
        <v>233</v>
      </c>
      <c r="I219" s="23">
        <v>0</v>
      </c>
      <c r="J219" s="23">
        <v>39</v>
      </c>
      <c r="K219" s="23">
        <v>0</v>
      </c>
      <c r="L219" s="23">
        <f t="shared" si="0"/>
        <v>272</v>
      </c>
      <c r="M219" s="33">
        <f t="shared" si="1"/>
        <v>0</v>
      </c>
      <c r="N219" s="33">
        <f t="shared" si="2"/>
        <v>271</v>
      </c>
      <c r="O219" s="33">
        <v>141</v>
      </c>
      <c r="P219" s="33">
        <v>1891</v>
      </c>
      <c r="Q219" s="33">
        <v>-1971</v>
      </c>
      <c r="R219" s="33">
        <v>-81</v>
      </c>
      <c r="S219" s="33">
        <v>71</v>
      </c>
      <c r="T219" s="33">
        <f t="shared" si="3"/>
        <v>-152</v>
      </c>
      <c r="U219" s="38">
        <f t="shared" si="4"/>
        <v>-0.57446808510638303</v>
      </c>
      <c r="V219" s="59">
        <f t="shared" si="5"/>
        <v>319</v>
      </c>
      <c r="W219" s="33">
        <v>178</v>
      </c>
      <c r="X219" s="33">
        <v>178</v>
      </c>
      <c r="Y219" s="33"/>
      <c r="Z219" s="33"/>
      <c r="AA219" s="42"/>
      <c r="AB219" s="60"/>
      <c r="AC219" s="105"/>
      <c r="AD219" s="93"/>
      <c r="AE219" s="33">
        <f t="shared" si="6"/>
        <v>0</v>
      </c>
      <c r="AF219" s="33">
        <f t="shared" si="7"/>
        <v>-81</v>
      </c>
      <c r="AG219" s="101">
        <f t="shared" si="8"/>
        <v>-222</v>
      </c>
    </row>
    <row r="220" spans="1:33" ht="13" outlineLevel="1" x14ac:dyDescent="0.3">
      <c r="A220" t="s">
        <v>1086</v>
      </c>
      <c r="C220" s="32" t="s">
        <v>71</v>
      </c>
      <c r="D220" s="34">
        <f t="shared" ref="D220:K220" si="15">SUBTOTAL(9,D215:D219)</f>
        <v>308</v>
      </c>
      <c r="E220" s="34">
        <f t="shared" si="15"/>
        <v>810</v>
      </c>
      <c r="F220" s="24">
        <f t="shared" si="15"/>
        <v>0</v>
      </c>
      <c r="G220" s="24">
        <f t="shared" si="15"/>
        <v>0</v>
      </c>
      <c r="H220" s="24">
        <f t="shared" si="15"/>
        <v>463</v>
      </c>
      <c r="I220" s="24">
        <f t="shared" si="15"/>
        <v>0</v>
      </c>
      <c r="J220" s="24">
        <f t="shared" si="15"/>
        <v>40</v>
      </c>
      <c r="K220" s="24">
        <f t="shared" si="15"/>
        <v>0</v>
      </c>
      <c r="L220" s="24">
        <f>SUM(F220:K220)</f>
        <v>503</v>
      </c>
      <c r="M220" s="34">
        <f t="shared" si="1"/>
        <v>0</v>
      </c>
      <c r="N220" s="34">
        <f t="shared" si="2"/>
        <v>502</v>
      </c>
      <c r="O220" s="34">
        <f>SUBTOTAL(9,O215:O219)</f>
        <v>810</v>
      </c>
      <c r="P220" s="34">
        <f>SUBTOTAL(9,P215:P219)</f>
        <v>3348</v>
      </c>
      <c r="Q220" s="34">
        <f>SUBTOTAL(9,Q215:Q219)</f>
        <v>-3326</v>
      </c>
      <c r="R220" s="34">
        <f>SUBTOTAL(9,R215:R219)</f>
        <v>21</v>
      </c>
      <c r="S220" s="34">
        <f>SUBTOTAL(9,S215:S219)</f>
        <v>162</v>
      </c>
      <c r="T220" s="34">
        <f>R220-S220</f>
        <v>-141</v>
      </c>
      <c r="U220" s="38">
        <f>IFERROR((R220/O220)*100%,"∞")</f>
        <v>2.5925925925925925E-2</v>
      </c>
      <c r="V220" s="59">
        <f>O220+W220</f>
        <v>988</v>
      </c>
      <c r="W220" s="34">
        <f>SUBTOTAL(9,W215:W219)</f>
        <v>178</v>
      </c>
      <c r="X220" s="34">
        <f>SUBTOTAL(9,X215:X219)</f>
        <v>178</v>
      </c>
      <c r="Y220" s="34"/>
      <c r="Z220" s="34"/>
      <c r="AA220" s="41"/>
      <c r="AB220" s="60"/>
      <c r="AC220" s="102">
        <f>SUBTOTAL(9,AC139:AC219)</f>
        <v>0</v>
      </c>
      <c r="AD220" s="34">
        <f>SUBTOTAL(9,AD139:AD219)</f>
        <v>0</v>
      </c>
      <c r="AE220" s="34"/>
      <c r="AF220" s="34"/>
      <c r="AG220" s="103"/>
    </row>
    <row r="221" spans="1:33" ht="14.5" customHeight="1" thickBot="1" x14ac:dyDescent="0.35">
      <c r="A221" s="7" t="s">
        <v>1086</v>
      </c>
      <c r="C221" s="53" t="s">
        <v>72</v>
      </c>
      <c r="D221" s="35">
        <f t="shared" ref="D221:K221" si="16">SUBTOTAL(9,D204:D220)</f>
        <v>-6679</v>
      </c>
      <c r="E221" s="35">
        <f t="shared" si="16"/>
        <v>-5586</v>
      </c>
      <c r="F221" s="25">
        <f t="shared" si="16"/>
        <v>-15</v>
      </c>
      <c r="G221" s="25">
        <f t="shared" si="16"/>
        <v>0</v>
      </c>
      <c r="H221" s="25">
        <f t="shared" si="16"/>
        <v>1162</v>
      </c>
      <c r="I221" s="25">
        <f t="shared" si="16"/>
        <v>0</v>
      </c>
      <c r="J221" s="25">
        <f t="shared" si="16"/>
        <v>-54</v>
      </c>
      <c r="K221" s="25">
        <f t="shared" si="16"/>
        <v>0</v>
      </c>
      <c r="L221" s="25">
        <f>SUM(F221:K221)</f>
        <v>1093</v>
      </c>
      <c r="M221" s="35">
        <f t="shared" si="1"/>
        <v>0</v>
      </c>
      <c r="N221" s="35">
        <f t="shared" si="2"/>
        <v>1093</v>
      </c>
      <c r="O221" s="35">
        <f>SUBTOTAL(9,O204:O220)</f>
        <v>-5586</v>
      </c>
      <c r="P221" s="35">
        <f>SUBTOTAL(9,P204:P220)</f>
        <v>8286</v>
      </c>
      <c r="Q221" s="35">
        <f>SUBTOTAL(9,Q204:Q220)</f>
        <v>-10696</v>
      </c>
      <c r="R221" s="35">
        <f>SUBTOTAL(9,R204:R220)</f>
        <v>-2412</v>
      </c>
      <c r="S221" s="35">
        <f>SUBTOTAL(9,S204:S220)</f>
        <v>-3056</v>
      </c>
      <c r="T221" s="35">
        <f>R221-S221</f>
        <v>644</v>
      </c>
      <c r="U221" s="39">
        <f>IFERROR((R221/O221)*100%,"∞")</f>
        <v>0.43179377013963482</v>
      </c>
      <c r="V221" s="54">
        <f>O221+W221</f>
        <v>-5408</v>
      </c>
      <c r="W221" s="35">
        <f>SUBTOTAL(9,W204:W220)</f>
        <v>178</v>
      </c>
      <c r="X221" s="35">
        <f>SUBTOTAL(9,X204:X220)</f>
        <v>178</v>
      </c>
      <c r="Y221" s="35"/>
      <c r="Z221" s="35"/>
      <c r="AA221" s="43"/>
      <c r="AB221" s="60"/>
      <c r="AC221" s="104">
        <f>SUBTOTAL(9,AC139:AC220)</f>
        <v>0</v>
      </c>
      <c r="AD221" s="104">
        <f>SUBTOTAL(9,AD139:AD220)</f>
        <v>0</v>
      </c>
      <c r="AE221" s="35">
        <f>SUM(AC221:AD221)</f>
        <v>0</v>
      </c>
      <c r="AF221" s="35">
        <f>R221+AE221</f>
        <v>-2412</v>
      </c>
      <c r="AG221" s="43">
        <f>AF221-O221</f>
        <v>3174</v>
      </c>
    </row>
    <row r="222" spans="1:33" ht="13.5" outlineLevel="2" thickTop="1" x14ac:dyDescent="0.3">
      <c r="A222" t="s">
        <v>1085</v>
      </c>
      <c r="C222" s="31" t="s">
        <v>73</v>
      </c>
      <c r="D222" s="33">
        <v>135</v>
      </c>
      <c r="E222" s="33">
        <v>144</v>
      </c>
      <c r="F222" s="23">
        <v>0</v>
      </c>
      <c r="G222" s="23">
        <v>0</v>
      </c>
      <c r="H222" s="23">
        <v>9</v>
      </c>
      <c r="I222" s="23">
        <v>0</v>
      </c>
      <c r="J222" s="23">
        <v>0</v>
      </c>
      <c r="K222" s="23">
        <v>0</v>
      </c>
      <c r="L222" s="23">
        <f t="shared" si="0"/>
        <v>9</v>
      </c>
      <c r="M222" s="33">
        <f t="shared" si="1"/>
        <v>0</v>
      </c>
      <c r="N222" s="33">
        <f t="shared" si="2"/>
        <v>9</v>
      </c>
      <c r="O222" s="33">
        <v>144</v>
      </c>
      <c r="P222" s="33">
        <v>68</v>
      </c>
      <c r="Q222" s="33">
        <v>0</v>
      </c>
      <c r="R222" s="33">
        <v>68</v>
      </c>
      <c r="S222" s="33">
        <v>72</v>
      </c>
      <c r="T222" s="33">
        <f t="shared" si="3"/>
        <v>-4</v>
      </c>
      <c r="U222" s="38">
        <f t="shared" si="4"/>
        <v>0.47222222222222221</v>
      </c>
      <c r="V222" s="59">
        <f t="shared" si="5"/>
        <v>144</v>
      </c>
      <c r="W222" s="33">
        <v>0</v>
      </c>
      <c r="X222" s="33">
        <v>0</v>
      </c>
      <c r="Y222" s="33"/>
      <c r="Z222" s="33"/>
      <c r="AA222" s="42"/>
      <c r="AB222" s="60"/>
      <c r="AC222" s="105"/>
      <c r="AD222" s="93"/>
      <c r="AE222" s="33">
        <f t="shared" si="6"/>
        <v>0</v>
      </c>
      <c r="AF222" s="33">
        <f t="shared" si="7"/>
        <v>68</v>
      </c>
      <c r="AG222" s="101">
        <f t="shared" si="8"/>
        <v>-76</v>
      </c>
    </row>
    <row r="223" spans="1:33" ht="13" outlineLevel="2" x14ac:dyDescent="0.3">
      <c r="A223" t="s">
        <v>1085</v>
      </c>
      <c r="C223" s="31" t="s">
        <v>74</v>
      </c>
      <c r="D223" s="33">
        <v>471</v>
      </c>
      <c r="E223" s="33">
        <v>519</v>
      </c>
      <c r="F223" s="23">
        <v>0</v>
      </c>
      <c r="G223" s="23">
        <v>0</v>
      </c>
      <c r="H223" s="23">
        <v>47</v>
      </c>
      <c r="I223" s="23">
        <v>0</v>
      </c>
      <c r="J223" s="23">
        <v>0</v>
      </c>
      <c r="K223" s="23">
        <v>0</v>
      </c>
      <c r="L223" s="23">
        <f t="shared" si="0"/>
        <v>47</v>
      </c>
      <c r="M223" s="33">
        <f t="shared" si="1"/>
        <v>0</v>
      </c>
      <c r="N223" s="33">
        <f t="shared" si="2"/>
        <v>48</v>
      </c>
      <c r="O223" s="33">
        <v>519</v>
      </c>
      <c r="P223" s="33">
        <v>232</v>
      </c>
      <c r="Q223" s="33">
        <v>-4</v>
      </c>
      <c r="R223" s="33">
        <v>227</v>
      </c>
      <c r="S223" s="33">
        <v>259</v>
      </c>
      <c r="T223" s="33">
        <f t="shared" si="3"/>
        <v>-32</v>
      </c>
      <c r="U223" s="38">
        <f t="shared" si="4"/>
        <v>0.43737957610789979</v>
      </c>
      <c r="V223" s="59">
        <f t="shared" si="5"/>
        <v>485</v>
      </c>
      <c r="W223" s="33">
        <v>-34</v>
      </c>
      <c r="X223" s="33">
        <v>-34</v>
      </c>
      <c r="Y223" s="33"/>
      <c r="Z223" s="33"/>
      <c r="AA223" s="42"/>
      <c r="AB223" s="60"/>
      <c r="AC223" s="105"/>
      <c r="AD223" s="93"/>
      <c r="AE223" s="33">
        <f t="shared" si="6"/>
        <v>0</v>
      </c>
      <c r="AF223" s="33">
        <f t="shared" si="7"/>
        <v>227</v>
      </c>
      <c r="AG223" s="101">
        <f t="shared" si="8"/>
        <v>-292</v>
      </c>
    </row>
    <row r="224" spans="1:33" ht="13" outlineLevel="2" x14ac:dyDescent="0.3">
      <c r="A224" t="s">
        <v>1085</v>
      </c>
      <c r="C224" s="31" t="s">
        <v>75</v>
      </c>
      <c r="D224" s="33">
        <v>287</v>
      </c>
      <c r="E224" s="33">
        <v>333</v>
      </c>
      <c r="F224" s="23">
        <v>0</v>
      </c>
      <c r="G224" s="23">
        <v>0</v>
      </c>
      <c r="H224" s="23">
        <v>24</v>
      </c>
      <c r="I224" s="23">
        <v>0</v>
      </c>
      <c r="J224" s="23">
        <v>22</v>
      </c>
      <c r="K224" s="23">
        <v>0</v>
      </c>
      <c r="L224" s="23">
        <f t="shared" si="0"/>
        <v>46</v>
      </c>
      <c r="M224" s="33">
        <f t="shared" si="1"/>
        <v>0</v>
      </c>
      <c r="N224" s="33">
        <f t="shared" si="2"/>
        <v>46</v>
      </c>
      <c r="O224" s="33">
        <v>333</v>
      </c>
      <c r="P224" s="33">
        <v>162</v>
      </c>
      <c r="Q224" s="33">
        <v>0</v>
      </c>
      <c r="R224" s="33">
        <v>162</v>
      </c>
      <c r="S224" s="33">
        <v>167</v>
      </c>
      <c r="T224" s="33">
        <f t="shared" si="3"/>
        <v>-5</v>
      </c>
      <c r="U224" s="38">
        <f t="shared" si="4"/>
        <v>0.48648648648648651</v>
      </c>
      <c r="V224" s="59">
        <f t="shared" si="5"/>
        <v>333</v>
      </c>
      <c r="W224" s="33">
        <v>0</v>
      </c>
      <c r="X224" s="33">
        <v>0</v>
      </c>
      <c r="Y224" s="33"/>
      <c r="Z224" s="33"/>
      <c r="AA224" s="42"/>
      <c r="AB224" s="60"/>
      <c r="AC224" s="105"/>
      <c r="AD224" s="93"/>
      <c r="AE224" s="33">
        <f t="shared" si="6"/>
        <v>0</v>
      </c>
      <c r="AF224" s="33">
        <f t="shared" si="7"/>
        <v>162</v>
      </c>
      <c r="AG224" s="101">
        <f t="shared" si="8"/>
        <v>-171</v>
      </c>
    </row>
    <row r="225" spans="1:33" ht="13" outlineLevel="1" x14ac:dyDescent="0.3">
      <c r="A225" t="s">
        <v>1086</v>
      </c>
      <c r="C225" s="32" t="s">
        <v>76</v>
      </c>
      <c r="D225" s="34">
        <f t="shared" ref="D225:K225" si="17">SUBTOTAL(9,D222:D224)</f>
        <v>893</v>
      </c>
      <c r="E225" s="34">
        <f t="shared" si="17"/>
        <v>996</v>
      </c>
      <c r="F225" s="24">
        <f t="shared" si="17"/>
        <v>0</v>
      </c>
      <c r="G225" s="24">
        <f t="shared" si="17"/>
        <v>0</v>
      </c>
      <c r="H225" s="24">
        <f t="shared" si="17"/>
        <v>80</v>
      </c>
      <c r="I225" s="24">
        <f t="shared" si="17"/>
        <v>0</v>
      </c>
      <c r="J225" s="24">
        <f t="shared" si="17"/>
        <v>22</v>
      </c>
      <c r="K225" s="24">
        <f t="shared" si="17"/>
        <v>0</v>
      </c>
      <c r="L225" s="24">
        <f>SUM(F225:K225)</f>
        <v>102</v>
      </c>
      <c r="M225" s="34">
        <f t="shared" si="1"/>
        <v>0</v>
      </c>
      <c r="N225" s="34">
        <f t="shared" si="2"/>
        <v>103</v>
      </c>
      <c r="O225" s="34">
        <f>SUBTOTAL(9,O222:O224)</f>
        <v>996</v>
      </c>
      <c r="P225" s="34">
        <f>SUBTOTAL(9,P222:P224)</f>
        <v>462</v>
      </c>
      <c r="Q225" s="34">
        <f>SUBTOTAL(9,Q222:Q224)</f>
        <v>-4</v>
      </c>
      <c r="R225" s="34">
        <f>SUBTOTAL(9,R222:R224)</f>
        <v>457</v>
      </c>
      <c r="S225" s="34">
        <f>SUBTOTAL(9,S222:S224)</f>
        <v>498</v>
      </c>
      <c r="T225" s="34">
        <f>R225-S225</f>
        <v>-41</v>
      </c>
      <c r="U225" s="38">
        <f>IFERROR((R225/O225)*100%,"∞")</f>
        <v>0.45883534136546184</v>
      </c>
      <c r="V225" s="59">
        <f>O225+W225</f>
        <v>962</v>
      </c>
      <c r="W225" s="34">
        <f>SUBTOTAL(9,W222:W224)</f>
        <v>-34</v>
      </c>
      <c r="X225" s="34">
        <f>SUBTOTAL(9,X222:X224)</f>
        <v>-34</v>
      </c>
      <c r="Y225" s="34"/>
      <c r="Z225" s="34"/>
      <c r="AA225" s="41"/>
      <c r="AB225" s="60"/>
      <c r="AC225" s="102">
        <f>SUBTOTAL(9,AC144:AC224)</f>
        <v>0</v>
      </c>
      <c r="AD225" s="34">
        <f>SUBTOTAL(9,AD144:AD224)</f>
        <v>0</v>
      </c>
      <c r="AE225" s="34"/>
      <c r="AF225" s="34"/>
      <c r="AG225" s="103"/>
    </row>
    <row r="226" spans="1:33" ht="13" outlineLevel="2" x14ac:dyDescent="0.3">
      <c r="A226" t="s">
        <v>1085</v>
      </c>
      <c r="C226" s="31" t="s">
        <v>77</v>
      </c>
      <c r="D226" s="33">
        <v>255</v>
      </c>
      <c r="E226" s="33">
        <v>295</v>
      </c>
      <c r="F226" s="23">
        <v>0</v>
      </c>
      <c r="G226" s="23">
        <v>0</v>
      </c>
      <c r="H226" s="23">
        <v>40</v>
      </c>
      <c r="I226" s="23">
        <v>0</v>
      </c>
      <c r="J226" s="23">
        <v>0</v>
      </c>
      <c r="K226" s="23">
        <v>0</v>
      </c>
      <c r="L226" s="23">
        <f t="shared" si="0"/>
        <v>40</v>
      </c>
      <c r="M226" s="33">
        <f t="shared" si="1"/>
        <v>0</v>
      </c>
      <c r="N226" s="33">
        <f t="shared" si="2"/>
        <v>40</v>
      </c>
      <c r="O226" s="33">
        <v>295</v>
      </c>
      <c r="P226" s="33">
        <v>208</v>
      </c>
      <c r="Q226" s="33">
        <v>-6</v>
      </c>
      <c r="R226" s="33">
        <v>202</v>
      </c>
      <c r="S226" s="33">
        <v>161</v>
      </c>
      <c r="T226" s="33">
        <f t="shared" si="3"/>
        <v>41</v>
      </c>
      <c r="U226" s="38">
        <f t="shared" si="4"/>
        <v>0.68474576271186438</v>
      </c>
      <c r="V226" s="59">
        <f t="shared" si="5"/>
        <v>155</v>
      </c>
      <c r="W226" s="33">
        <v>-140</v>
      </c>
      <c r="X226" s="33">
        <v>-140</v>
      </c>
      <c r="Y226" s="33"/>
      <c r="Z226" s="33"/>
      <c r="AA226" s="42"/>
      <c r="AB226" s="60"/>
      <c r="AC226" s="105"/>
      <c r="AD226" s="93"/>
      <c r="AE226" s="33">
        <f t="shared" si="6"/>
        <v>0</v>
      </c>
      <c r="AF226" s="33">
        <f t="shared" si="7"/>
        <v>202</v>
      </c>
      <c r="AG226" s="101">
        <f t="shared" si="8"/>
        <v>-93</v>
      </c>
    </row>
    <row r="227" spans="1:33" ht="13" outlineLevel="2" x14ac:dyDescent="0.3">
      <c r="A227" t="s">
        <v>1085</v>
      </c>
      <c r="C227" s="31" t="s">
        <v>78</v>
      </c>
      <c r="D227" s="33">
        <v>363</v>
      </c>
      <c r="E227" s="33">
        <v>391</v>
      </c>
      <c r="F227" s="23">
        <v>9</v>
      </c>
      <c r="G227" s="23">
        <v>53</v>
      </c>
      <c r="H227" s="23">
        <v>25</v>
      </c>
      <c r="I227" s="23">
        <v>0</v>
      </c>
      <c r="J227" s="23">
        <v>-6</v>
      </c>
      <c r="K227" s="23">
        <v>0</v>
      </c>
      <c r="L227" s="23">
        <f t="shared" si="0"/>
        <v>81</v>
      </c>
      <c r="M227" s="33">
        <f t="shared" si="1"/>
        <v>52</v>
      </c>
      <c r="N227" s="33">
        <f t="shared" si="2"/>
        <v>80</v>
      </c>
      <c r="O227" s="33">
        <v>443</v>
      </c>
      <c r="P227" s="33">
        <v>255</v>
      </c>
      <c r="Q227" s="33">
        <v>-23</v>
      </c>
      <c r="R227" s="33">
        <v>232</v>
      </c>
      <c r="S227" s="33">
        <v>253</v>
      </c>
      <c r="T227" s="33">
        <f t="shared" si="3"/>
        <v>-21</v>
      </c>
      <c r="U227" s="38">
        <f t="shared" si="4"/>
        <v>0.52370203160270878</v>
      </c>
      <c r="V227" s="59">
        <f t="shared" si="5"/>
        <v>443</v>
      </c>
      <c r="W227" s="33">
        <v>0</v>
      </c>
      <c r="X227" s="33">
        <v>0</v>
      </c>
      <c r="Y227" s="33"/>
      <c r="Z227" s="33"/>
      <c r="AA227" s="42"/>
      <c r="AB227" s="60"/>
      <c r="AC227" s="105"/>
      <c r="AD227" s="93"/>
      <c r="AE227" s="33">
        <f t="shared" si="6"/>
        <v>0</v>
      </c>
      <c r="AF227" s="33">
        <f t="shared" si="7"/>
        <v>232</v>
      </c>
      <c r="AG227" s="101">
        <f t="shared" si="8"/>
        <v>-211</v>
      </c>
    </row>
    <row r="228" spans="1:33" ht="13" outlineLevel="2" x14ac:dyDescent="0.3">
      <c r="A228" t="s">
        <v>1085</v>
      </c>
      <c r="C228" s="31" t="s">
        <v>79</v>
      </c>
      <c r="D228" s="33">
        <v>239</v>
      </c>
      <c r="E228" s="33">
        <v>287</v>
      </c>
      <c r="F228" s="23">
        <v>0</v>
      </c>
      <c r="G228" s="23">
        <v>0</v>
      </c>
      <c r="H228" s="23">
        <v>53</v>
      </c>
      <c r="I228" s="23">
        <v>0</v>
      </c>
      <c r="J228" s="23">
        <v>-5</v>
      </c>
      <c r="K228" s="23">
        <v>0</v>
      </c>
      <c r="L228" s="23">
        <f t="shared" si="0"/>
        <v>48</v>
      </c>
      <c r="M228" s="33">
        <f t="shared" si="1"/>
        <v>0</v>
      </c>
      <c r="N228" s="33">
        <f t="shared" si="2"/>
        <v>48</v>
      </c>
      <c r="O228" s="33">
        <v>287</v>
      </c>
      <c r="P228" s="33">
        <v>481</v>
      </c>
      <c r="Q228" s="33">
        <v>-310</v>
      </c>
      <c r="R228" s="33">
        <v>172</v>
      </c>
      <c r="S228" s="33">
        <v>134</v>
      </c>
      <c r="T228" s="33">
        <f t="shared" si="3"/>
        <v>38</v>
      </c>
      <c r="U228" s="38">
        <f t="shared" si="4"/>
        <v>0.5993031358885017</v>
      </c>
      <c r="V228" s="59">
        <f t="shared" si="5"/>
        <v>384</v>
      </c>
      <c r="W228" s="33">
        <v>97</v>
      </c>
      <c r="X228" s="33">
        <v>97</v>
      </c>
      <c r="Y228" s="33"/>
      <c r="Z228" s="33"/>
      <c r="AA228" s="42"/>
      <c r="AB228" s="60"/>
      <c r="AC228" s="105"/>
      <c r="AD228" s="93"/>
      <c r="AE228" s="33">
        <f t="shared" si="6"/>
        <v>0</v>
      </c>
      <c r="AF228" s="33">
        <f t="shared" si="7"/>
        <v>172</v>
      </c>
      <c r="AG228" s="101">
        <f t="shared" si="8"/>
        <v>-115</v>
      </c>
    </row>
    <row r="229" spans="1:33" ht="13" outlineLevel="1" x14ac:dyDescent="0.3">
      <c r="A229" t="s">
        <v>1086</v>
      </c>
      <c r="C229" s="32" t="s">
        <v>80</v>
      </c>
      <c r="D229" s="34">
        <f t="shared" ref="D229:K229" si="18">SUBTOTAL(9,D226:D228)</f>
        <v>857</v>
      </c>
      <c r="E229" s="34">
        <f t="shared" si="18"/>
        <v>973</v>
      </c>
      <c r="F229" s="24">
        <f t="shared" si="18"/>
        <v>9</v>
      </c>
      <c r="G229" s="24">
        <f t="shared" si="18"/>
        <v>53</v>
      </c>
      <c r="H229" s="24">
        <f t="shared" si="18"/>
        <v>118</v>
      </c>
      <c r="I229" s="24">
        <f t="shared" si="18"/>
        <v>0</v>
      </c>
      <c r="J229" s="24">
        <f t="shared" si="18"/>
        <v>-11</v>
      </c>
      <c r="K229" s="24">
        <f t="shared" si="18"/>
        <v>0</v>
      </c>
      <c r="L229" s="24">
        <f>SUM(F229:K229)</f>
        <v>169</v>
      </c>
      <c r="M229" s="34">
        <f t="shared" si="1"/>
        <v>52</v>
      </c>
      <c r="N229" s="34">
        <f t="shared" si="2"/>
        <v>168</v>
      </c>
      <c r="O229" s="34">
        <f>SUBTOTAL(9,O226:O228)</f>
        <v>1025</v>
      </c>
      <c r="P229" s="34">
        <f>SUBTOTAL(9,P226:P228)</f>
        <v>944</v>
      </c>
      <c r="Q229" s="34">
        <f>SUBTOTAL(9,Q226:Q228)</f>
        <v>-339</v>
      </c>
      <c r="R229" s="34">
        <f>SUBTOTAL(9,R226:R228)</f>
        <v>606</v>
      </c>
      <c r="S229" s="34">
        <f>SUBTOTAL(9,S226:S228)</f>
        <v>548</v>
      </c>
      <c r="T229" s="34">
        <f>R229-S229</f>
        <v>58</v>
      </c>
      <c r="U229" s="38">
        <f>IFERROR((R229/O229)*100%,"∞")</f>
        <v>0.59121951219512192</v>
      </c>
      <c r="V229" s="59">
        <f>O229+W229</f>
        <v>982</v>
      </c>
      <c r="W229" s="34">
        <f>SUBTOTAL(9,W226:W228)</f>
        <v>-43</v>
      </c>
      <c r="X229" s="34">
        <f>SUBTOTAL(9,X226:X228)</f>
        <v>-43</v>
      </c>
      <c r="Y229" s="34"/>
      <c r="Z229" s="34"/>
      <c r="AA229" s="41"/>
      <c r="AB229" s="60"/>
      <c r="AC229" s="102">
        <f>SUBTOTAL(9,AC148:AC228)</f>
        <v>0</v>
      </c>
      <c r="AD229" s="34">
        <f>SUBTOTAL(9,AD148:AD228)</f>
        <v>0</v>
      </c>
      <c r="AE229" s="34"/>
      <c r="AF229" s="34"/>
      <c r="AG229" s="103"/>
    </row>
    <row r="230" spans="1:33" ht="14.5" customHeight="1" thickBot="1" x14ac:dyDescent="0.35">
      <c r="A230" s="7" t="s">
        <v>1086</v>
      </c>
      <c r="C230" s="53" t="s">
        <v>81</v>
      </c>
      <c r="D230" s="35">
        <f t="shared" ref="D230:K230" si="19">SUBTOTAL(9,D222:D229)</f>
        <v>1750</v>
      </c>
      <c r="E230" s="35">
        <f t="shared" si="19"/>
        <v>1969</v>
      </c>
      <c r="F230" s="25">
        <f t="shared" si="19"/>
        <v>9</v>
      </c>
      <c r="G230" s="25">
        <f t="shared" si="19"/>
        <v>53</v>
      </c>
      <c r="H230" s="25">
        <f t="shared" si="19"/>
        <v>198</v>
      </c>
      <c r="I230" s="25">
        <f t="shared" si="19"/>
        <v>0</v>
      </c>
      <c r="J230" s="25">
        <f t="shared" si="19"/>
        <v>11</v>
      </c>
      <c r="K230" s="25">
        <f t="shared" si="19"/>
        <v>0</v>
      </c>
      <c r="L230" s="25">
        <f>SUM(F230:K230)</f>
        <v>271</v>
      </c>
      <c r="M230" s="35">
        <f t="shared" si="1"/>
        <v>52</v>
      </c>
      <c r="N230" s="35">
        <f t="shared" si="2"/>
        <v>271</v>
      </c>
      <c r="O230" s="35">
        <f>SUBTOTAL(9,O222:O229)</f>
        <v>2021</v>
      </c>
      <c r="P230" s="35">
        <f>SUBTOTAL(9,P222:P229)</f>
        <v>1406</v>
      </c>
      <c r="Q230" s="35">
        <f>SUBTOTAL(9,Q222:Q229)</f>
        <v>-343</v>
      </c>
      <c r="R230" s="35">
        <f>SUBTOTAL(9,R222:R229)</f>
        <v>1063</v>
      </c>
      <c r="S230" s="35">
        <f>SUBTOTAL(9,S222:S229)</f>
        <v>1046</v>
      </c>
      <c r="T230" s="35">
        <f>R230-S230</f>
        <v>17</v>
      </c>
      <c r="U230" s="39">
        <f>IFERROR((R230/O230)*100%,"∞")</f>
        <v>0.52597723899059867</v>
      </c>
      <c r="V230" s="54">
        <f>O230+W230</f>
        <v>1944</v>
      </c>
      <c r="W230" s="35">
        <f>SUBTOTAL(9,W222:W229)</f>
        <v>-77</v>
      </c>
      <c r="X230" s="35">
        <f>SUBTOTAL(9,X222:X229)</f>
        <v>-77</v>
      </c>
      <c r="Y230" s="35"/>
      <c r="Z230" s="35"/>
      <c r="AA230" s="43"/>
      <c r="AB230" s="60"/>
      <c r="AC230" s="104">
        <f>SUBTOTAL(9,AC148:AC229)</f>
        <v>0</v>
      </c>
      <c r="AD230" s="104">
        <f>SUBTOTAL(9,AD148:AD229)</f>
        <v>0</v>
      </c>
      <c r="AE230" s="35">
        <f>SUM(AC230:AD230)</f>
        <v>0</v>
      </c>
      <c r="AF230" s="35">
        <f>R230+AE230</f>
        <v>1063</v>
      </c>
      <c r="AG230" s="43">
        <f>AF230-O230</f>
        <v>-958</v>
      </c>
    </row>
    <row r="231" spans="1:33" ht="13.5" outlineLevel="2" thickTop="1" x14ac:dyDescent="0.3">
      <c r="A231" t="s">
        <v>1085</v>
      </c>
      <c r="C231" s="31" t="s">
        <v>82</v>
      </c>
      <c r="D231" s="33">
        <v>-2390</v>
      </c>
      <c r="E231" s="33">
        <v>-2040</v>
      </c>
      <c r="F231" s="23">
        <v>0</v>
      </c>
      <c r="G231" s="23">
        <v>0</v>
      </c>
      <c r="H231" s="23">
        <v>350</v>
      </c>
      <c r="I231" s="23">
        <v>0</v>
      </c>
      <c r="J231" s="23">
        <v>0</v>
      </c>
      <c r="K231" s="23">
        <v>0</v>
      </c>
      <c r="L231" s="23">
        <f t="shared" si="0"/>
        <v>350</v>
      </c>
      <c r="M231" s="33">
        <f t="shared" si="1"/>
        <v>0</v>
      </c>
      <c r="N231" s="33">
        <f t="shared" si="2"/>
        <v>350</v>
      </c>
      <c r="O231" s="33">
        <v>-2040</v>
      </c>
      <c r="P231" s="33">
        <v>3425</v>
      </c>
      <c r="Q231" s="33">
        <v>-4247</v>
      </c>
      <c r="R231" s="33">
        <v>-822</v>
      </c>
      <c r="S231" s="33">
        <v>-323</v>
      </c>
      <c r="T231" s="33">
        <f t="shared" si="3"/>
        <v>-499</v>
      </c>
      <c r="U231" s="38">
        <f t="shared" si="4"/>
        <v>0.40294117647058825</v>
      </c>
      <c r="V231" s="59">
        <f t="shared" si="5"/>
        <v>-2040</v>
      </c>
      <c r="W231" s="33">
        <v>0</v>
      </c>
      <c r="X231" s="33">
        <v>0</v>
      </c>
      <c r="Y231" s="33"/>
      <c r="Z231" s="33"/>
      <c r="AA231" s="42"/>
      <c r="AB231" s="60"/>
      <c r="AC231" s="105"/>
      <c r="AD231" s="93"/>
      <c r="AE231" s="33">
        <f t="shared" si="6"/>
        <v>0</v>
      </c>
      <c r="AF231" s="33">
        <f t="shared" si="7"/>
        <v>-822</v>
      </c>
      <c r="AG231" s="101">
        <f t="shared" si="8"/>
        <v>1218</v>
      </c>
    </row>
    <row r="232" spans="1:33" ht="13" outlineLevel="2" x14ac:dyDescent="0.3">
      <c r="A232" t="s">
        <v>1085</v>
      </c>
      <c r="C232" s="31" t="s">
        <v>83</v>
      </c>
      <c r="D232" s="33">
        <v>6176</v>
      </c>
      <c r="E232" s="33">
        <v>6591</v>
      </c>
      <c r="F232" s="23">
        <v>0</v>
      </c>
      <c r="G232" s="23">
        <v>0</v>
      </c>
      <c r="H232" s="23">
        <v>415</v>
      </c>
      <c r="I232" s="23">
        <v>0</v>
      </c>
      <c r="J232" s="23">
        <v>0</v>
      </c>
      <c r="K232" s="23">
        <v>0</v>
      </c>
      <c r="L232" s="23">
        <f t="shared" si="0"/>
        <v>415</v>
      </c>
      <c r="M232" s="33">
        <f t="shared" si="1"/>
        <v>0</v>
      </c>
      <c r="N232" s="33">
        <f t="shared" si="2"/>
        <v>415</v>
      </c>
      <c r="O232" s="33">
        <v>6591</v>
      </c>
      <c r="P232" s="33">
        <v>4300</v>
      </c>
      <c r="Q232" s="33">
        <v>-1386</v>
      </c>
      <c r="R232" s="33">
        <v>2914</v>
      </c>
      <c r="S232" s="33">
        <v>3296</v>
      </c>
      <c r="T232" s="33">
        <f t="shared" si="3"/>
        <v>-382</v>
      </c>
      <c r="U232" s="38">
        <f t="shared" si="4"/>
        <v>0.44211803975117586</v>
      </c>
      <c r="V232" s="59">
        <f t="shared" si="5"/>
        <v>6591</v>
      </c>
      <c r="W232" s="33">
        <v>0</v>
      </c>
      <c r="X232" s="33">
        <v>0</v>
      </c>
      <c r="Y232" s="33"/>
      <c r="Z232" s="33"/>
      <c r="AA232" s="42"/>
      <c r="AB232" s="60"/>
      <c r="AC232" s="105"/>
      <c r="AD232" s="93"/>
      <c r="AE232" s="33">
        <f t="shared" si="6"/>
        <v>0</v>
      </c>
      <c r="AF232" s="33">
        <f t="shared" si="7"/>
        <v>2914</v>
      </c>
      <c r="AG232" s="101">
        <f t="shared" si="8"/>
        <v>-3677</v>
      </c>
    </row>
    <row r="233" spans="1:33" ht="13" outlineLevel="2" x14ac:dyDescent="0.3">
      <c r="A233" t="s">
        <v>1085</v>
      </c>
      <c r="C233" s="31" t="s">
        <v>84</v>
      </c>
      <c r="D233" s="33">
        <v>6185</v>
      </c>
      <c r="E233" s="33">
        <v>6545</v>
      </c>
      <c r="F233" s="23">
        <v>0</v>
      </c>
      <c r="G233" s="23">
        <v>0</v>
      </c>
      <c r="H233" s="23">
        <v>359</v>
      </c>
      <c r="I233" s="23">
        <v>0</v>
      </c>
      <c r="J233" s="23">
        <v>0</v>
      </c>
      <c r="K233" s="23">
        <v>0</v>
      </c>
      <c r="L233" s="23">
        <f t="shared" si="0"/>
        <v>359</v>
      </c>
      <c r="M233" s="33">
        <f t="shared" si="1"/>
        <v>0</v>
      </c>
      <c r="N233" s="33">
        <f t="shared" si="2"/>
        <v>360</v>
      </c>
      <c r="O233" s="33">
        <v>6545</v>
      </c>
      <c r="P233" s="33">
        <v>3272</v>
      </c>
      <c r="Q233" s="33">
        <v>-27</v>
      </c>
      <c r="R233" s="33">
        <v>3245</v>
      </c>
      <c r="S233" s="33">
        <v>3272</v>
      </c>
      <c r="T233" s="33">
        <f t="shared" si="3"/>
        <v>-27</v>
      </c>
      <c r="U233" s="38">
        <f t="shared" si="4"/>
        <v>0.49579831932773111</v>
      </c>
      <c r="V233" s="59">
        <f t="shared" si="5"/>
        <v>6545</v>
      </c>
      <c r="W233" s="33">
        <v>0</v>
      </c>
      <c r="X233" s="33">
        <v>0</v>
      </c>
      <c r="Y233" s="33"/>
      <c r="Z233" s="33"/>
      <c r="AA233" s="42"/>
      <c r="AB233" s="60"/>
      <c r="AC233" s="105"/>
      <c r="AD233" s="93"/>
      <c r="AE233" s="33">
        <f t="shared" si="6"/>
        <v>0</v>
      </c>
      <c r="AF233" s="33">
        <f t="shared" si="7"/>
        <v>3245</v>
      </c>
      <c r="AG233" s="101">
        <f t="shared" si="8"/>
        <v>-3300</v>
      </c>
    </row>
    <row r="234" spans="1:33" ht="13" outlineLevel="2" x14ac:dyDescent="0.3">
      <c r="A234" t="s">
        <v>1085</v>
      </c>
      <c r="C234" s="31" t="s">
        <v>85</v>
      </c>
      <c r="D234" s="33">
        <v>3479</v>
      </c>
      <c r="E234" s="33">
        <v>3766</v>
      </c>
      <c r="F234" s="23">
        <v>0</v>
      </c>
      <c r="G234" s="23">
        <v>0</v>
      </c>
      <c r="H234" s="23">
        <v>287</v>
      </c>
      <c r="I234" s="23">
        <v>0</v>
      </c>
      <c r="J234" s="23">
        <v>0</v>
      </c>
      <c r="K234" s="23">
        <v>0</v>
      </c>
      <c r="L234" s="23">
        <f t="shared" si="0"/>
        <v>287</v>
      </c>
      <c r="M234" s="33">
        <f t="shared" si="1"/>
        <v>0</v>
      </c>
      <c r="N234" s="33">
        <f t="shared" si="2"/>
        <v>287</v>
      </c>
      <c r="O234" s="33">
        <v>3766</v>
      </c>
      <c r="P234" s="33">
        <v>1986</v>
      </c>
      <c r="Q234" s="33">
        <v>-167</v>
      </c>
      <c r="R234" s="33">
        <v>1819</v>
      </c>
      <c r="S234" s="33">
        <v>1885</v>
      </c>
      <c r="T234" s="33">
        <f t="shared" si="3"/>
        <v>-66</v>
      </c>
      <c r="U234" s="38">
        <f t="shared" si="4"/>
        <v>0.4830058417419012</v>
      </c>
      <c r="V234" s="59">
        <f t="shared" si="5"/>
        <v>3766</v>
      </c>
      <c r="W234" s="33">
        <v>0</v>
      </c>
      <c r="X234" s="33">
        <v>0</v>
      </c>
      <c r="Y234" s="33"/>
      <c r="Z234" s="33"/>
      <c r="AA234" s="42"/>
      <c r="AB234" s="60"/>
      <c r="AC234" s="105"/>
      <c r="AD234" s="93"/>
      <c r="AE234" s="33">
        <f t="shared" si="6"/>
        <v>0</v>
      </c>
      <c r="AF234" s="33">
        <f t="shared" si="7"/>
        <v>1819</v>
      </c>
      <c r="AG234" s="101">
        <f t="shared" si="8"/>
        <v>-1947</v>
      </c>
    </row>
    <row r="235" spans="1:33" ht="13" outlineLevel="2" x14ac:dyDescent="0.3">
      <c r="A235" t="s">
        <v>1085</v>
      </c>
      <c r="C235" s="31" t="s">
        <v>86</v>
      </c>
      <c r="D235" s="33">
        <v>263</v>
      </c>
      <c r="E235" s="33">
        <v>294</v>
      </c>
      <c r="F235" s="23">
        <v>0</v>
      </c>
      <c r="G235" s="23">
        <v>0</v>
      </c>
      <c r="H235" s="23">
        <v>31</v>
      </c>
      <c r="I235" s="23">
        <v>0</v>
      </c>
      <c r="J235" s="23">
        <v>0</v>
      </c>
      <c r="K235" s="23">
        <v>0</v>
      </c>
      <c r="L235" s="23">
        <f t="shared" si="0"/>
        <v>31</v>
      </c>
      <c r="M235" s="33">
        <f t="shared" si="1"/>
        <v>0</v>
      </c>
      <c r="N235" s="33">
        <f t="shared" si="2"/>
        <v>31</v>
      </c>
      <c r="O235" s="33">
        <v>294</v>
      </c>
      <c r="P235" s="33">
        <v>142</v>
      </c>
      <c r="Q235" s="33">
        <v>-1</v>
      </c>
      <c r="R235" s="33">
        <v>141</v>
      </c>
      <c r="S235" s="33">
        <v>147</v>
      </c>
      <c r="T235" s="33">
        <f t="shared" si="3"/>
        <v>-6</v>
      </c>
      <c r="U235" s="38">
        <f t="shared" si="4"/>
        <v>0.47959183673469385</v>
      </c>
      <c r="V235" s="59">
        <f t="shared" si="5"/>
        <v>294</v>
      </c>
      <c r="W235" s="33">
        <v>0</v>
      </c>
      <c r="X235" s="33">
        <v>0</v>
      </c>
      <c r="Y235" s="33"/>
      <c r="Z235" s="33"/>
      <c r="AA235" s="42"/>
      <c r="AB235" s="60"/>
      <c r="AC235" s="105"/>
      <c r="AD235" s="93"/>
      <c r="AE235" s="33">
        <f t="shared" si="6"/>
        <v>0</v>
      </c>
      <c r="AF235" s="33">
        <f t="shared" si="7"/>
        <v>141</v>
      </c>
      <c r="AG235" s="101">
        <f t="shared" si="8"/>
        <v>-153</v>
      </c>
    </row>
    <row r="236" spans="1:33" ht="13" outlineLevel="2" x14ac:dyDescent="0.3">
      <c r="A236" t="s">
        <v>1085</v>
      </c>
      <c r="C236" s="31" t="s">
        <v>87</v>
      </c>
      <c r="D236" s="33">
        <v>0</v>
      </c>
      <c r="E236" s="33">
        <v>0</v>
      </c>
      <c r="F236" s="23">
        <v>0</v>
      </c>
      <c r="G236" s="23">
        <v>0</v>
      </c>
      <c r="H236" s="23">
        <v>0</v>
      </c>
      <c r="I236" s="23">
        <v>0</v>
      </c>
      <c r="J236" s="23">
        <v>0</v>
      </c>
      <c r="K236" s="23">
        <v>0</v>
      </c>
      <c r="L236" s="23">
        <f t="shared" si="0"/>
        <v>0</v>
      </c>
      <c r="M236" s="33">
        <f t="shared" si="1"/>
        <v>0</v>
      </c>
      <c r="N236" s="33">
        <f t="shared" si="2"/>
        <v>0</v>
      </c>
      <c r="O236" s="33">
        <v>0</v>
      </c>
      <c r="P236" s="33">
        <v>2387</v>
      </c>
      <c r="Q236" s="33">
        <v>-2387</v>
      </c>
      <c r="R236" s="33">
        <v>0</v>
      </c>
      <c r="S236" s="33">
        <v>0</v>
      </c>
      <c r="T236" s="33">
        <f t="shared" si="3"/>
        <v>0</v>
      </c>
      <c r="U236" s="38" t="str">
        <f t="shared" si="4"/>
        <v>∞</v>
      </c>
      <c r="V236" s="59">
        <f t="shared" si="5"/>
        <v>0</v>
      </c>
      <c r="W236" s="33">
        <v>0</v>
      </c>
      <c r="X236" s="33">
        <v>0</v>
      </c>
      <c r="Y236" s="33"/>
      <c r="Z236" s="33"/>
      <c r="AA236" s="42"/>
      <c r="AB236" s="60"/>
      <c r="AC236" s="105"/>
      <c r="AD236" s="93"/>
      <c r="AE236" s="33">
        <f t="shared" si="6"/>
        <v>0</v>
      </c>
      <c r="AF236" s="33">
        <f t="shared" si="7"/>
        <v>0</v>
      </c>
      <c r="AG236" s="101">
        <f t="shared" si="8"/>
        <v>0</v>
      </c>
    </row>
    <row r="237" spans="1:33" ht="13" outlineLevel="2" x14ac:dyDescent="0.3">
      <c r="A237" t="s">
        <v>1085</v>
      </c>
      <c r="C237" s="31" t="s">
        <v>88</v>
      </c>
      <c r="D237" s="33">
        <v>525</v>
      </c>
      <c r="E237" s="33">
        <v>662</v>
      </c>
      <c r="F237" s="23">
        <v>0</v>
      </c>
      <c r="G237" s="23">
        <v>0</v>
      </c>
      <c r="H237" s="23">
        <v>137</v>
      </c>
      <c r="I237" s="23">
        <v>0</v>
      </c>
      <c r="J237" s="23">
        <v>0</v>
      </c>
      <c r="K237" s="23">
        <v>0</v>
      </c>
      <c r="L237" s="23">
        <f t="shared" si="0"/>
        <v>137</v>
      </c>
      <c r="M237" s="33">
        <f t="shared" si="1"/>
        <v>0</v>
      </c>
      <c r="N237" s="33">
        <f t="shared" si="2"/>
        <v>137</v>
      </c>
      <c r="O237" s="33">
        <v>662</v>
      </c>
      <c r="P237" s="33">
        <v>331</v>
      </c>
      <c r="Q237" s="33">
        <v>1</v>
      </c>
      <c r="R237" s="33">
        <v>332</v>
      </c>
      <c r="S237" s="33">
        <v>331</v>
      </c>
      <c r="T237" s="33">
        <f t="shared" si="3"/>
        <v>1</v>
      </c>
      <c r="U237" s="38">
        <f t="shared" si="4"/>
        <v>0.50151057401812693</v>
      </c>
      <c r="V237" s="59">
        <f t="shared" si="5"/>
        <v>662</v>
      </c>
      <c r="W237" s="33">
        <v>0</v>
      </c>
      <c r="X237" s="33">
        <v>0</v>
      </c>
      <c r="Y237" s="33"/>
      <c r="Z237" s="33"/>
      <c r="AA237" s="42"/>
      <c r="AB237" s="60"/>
      <c r="AC237" s="105"/>
      <c r="AD237" s="93"/>
      <c r="AE237" s="33">
        <f t="shared" si="6"/>
        <v>0</v>
      </c>
      <c r="AF237" s="33">
        <f t="shared" si="7"/>
        <v>332</v>
      </c>
      <c r="AG237" s="101">
        <f t="shared" si="8"/>
        <v>-330</v>
      </c>
    </row>
    <row r="238" spans="1:33" ht="13" outlineLevel="2" x14ac:dyDescent="0.3">
      <c r="A238" t="s">
        <v>1085</v>
      </c>
      <c r="C238" s="31" t="s">
        <v>89</v>
      </c>
      <c r="D238" s="33">
        <v>-724</v>
      </c>
      <c r="E238" s="33">
        <v>-724</v>
      </c>
      <c r="F238" s="23">
        <v>0</v>
      </c>
      <c r="G238" s="23">
        <v>0</v>
      </c>
      <c r="H238" s="23">
        <v>0</v>
      </c>
      <c r="I238" s="23">
        <v>0</v>
      </c>
      <c r="J238" s="23">
        <v>0</v>
      </c>
      <c r="K238" s="23">
        <v>0</v>
      </c>
      <c r="L238" s="23">
        <f t="shared" si="0"/>
        <v>0</v>
      </c>
      <c r="M238" s="33">
        <f t="shared" si="1"/>
        <v>0</v>
      </c>
      <c r="N238" s="33">
        <f t="shared" si="2"/>
        <v>0</v>
      </c>
      <c r="O238" s="33">
        <v>-724</v>
      </c>
      <c r="P238" s="33">
        <v>100</v>
      </c>
      <c r="Q238" s="33">
        <v>0</v>
      </c>
      <c r="R238" s="33">
        <v>100</v>
      </c>
      <c r="S238" s="33">
        <v>125</v>
      </c>
      <c r="T238" s="33">
        <f t="shared" si="3"/>
        <v>-25</v>
      </c>
      <c r="U238" s="38">
        <f t="shared" si="4"/>
        <v>-0.13812154696132597</v>
      </c>
      <c r="V238" s="59">
        <f t="shared" si="5"/>
        <v>-724</v>
      </c>
      <c r="W238" s="33">
        <v>0</v>
      </c>
      <c r="X238" s="33">
        <v>0</v>
      </c>
      <c r="Y238" s="33"/>
      <c r="Z238" s="33"/>
      <c r="AA238" s="42"/>
      <c r="AB238" s="60"/>
      <c r="AC238" s="105"/>
      <c r="AD238" s="93"/>
      <c r="AE238" s="33">
        <f t="shared" si="6"/>
        <v>0</v>
      </c>
      <c r="AF238" s="33">
        <f t="shared" si="7"/>
        <v>100</v>
      </c>
      <c r="AG238" s="101">
        <f t="shared" si="8"/>
        <v>824</v>
      </c>
    </row>
    <row r="239" spans="1:33" ht="13" outlineLevel="2" x14ac:dyDescent="0.3">
      <c r="A239" t="s">
        <v>1085</v>
      </c>
      <c r="C239" s="31" t="s">
        <v>90</v>
      </c>
      <c r="D239" s="33">
        <v>-590</v>
      </c>
      <c r="E239" s="33">
        <v>-312</v>
      </c>
      <c r="F239" s="23">
        <v>0</v>
      </c>
      <c r="G239" s="23">
        <v>0</v>
      </c>
      <c r="H239" s="23">
        <v>278</v>
      </c>
      <c r="I239" s="23">
        <v>0</v>
      </c>
      <c r="J239" s="23">
        <v>0</v>
      </c>
      <c r="K239" s="23">
        <v>0</v>
      </c>
      <c r="L239" s="23">
        <f t="shared" si="0"/>
        <v>278</v>
      </c>
      <c r="M239" s="33">
        <f t="shared" si="1"/>
        <v>0</v>
      </c>
      <c r="N239" s="33">
        <f t="shared" si="2"/>
        <v>278</v>
      </c>
      <c r="O239" s="33">
        <v>-312</v>
      </c>
      <c r="P239" s="33">
        <v>446</v>
      </c>
      <c r="Q239" s="33">
        <v>-224</v>
      </c>
      <c r="R239" s="33">
        <v>222</v>
      </c>
      <c r="S239" s="33">
        <v>-156</v>
      </c>
      <c r="T239" s="33">
        <f t="shared" si="3"/>
        <v>378</v>
      </c>
      <c r="U239" s="38">
        <f t="shared" si="4"/>
        <v>-0.71153846153846156</v>
      </c>
      <c r="V239" s="59">
        <f t="shared" si="5"/>
        <v>-312</v>
      </c>
      <c r="W239" s="33">
        <v>0</v>
      </c>
      <c r="X239" s="33">
        <v>0</v>
      </c>
      <c r="Y239" s="33"/>
      <c r="Z239" s="33"/>
      <c r="AA239" s="42"/>
      <c r="AB239" s="60"/>
      <c r="AC239" s="105"/>
      <c r="AD239" s="93"/>
      <c r="AE239" s="33">
        <f t="shared" si="6"/>
        <v>0</v>
      </c>
      <c r="AF239" s="33">
        <f t="shared" si="7"/>
        <v>222</v>
      </c>
      <c r="AG239" s="101">
        <f t="shared" si="8"/>
        <v>534</v>
      </c>
    </row>
    <row r="240" spans="1:33" ht="13" outlineLevel="2" x14ac:dyDescent="0.3">
      <c r="A240" t="s">
        <v>1085</v>
      </c>
      <c r="C240" s="31" t="s">
        <v>91</v>
      </c>
      <c r="D240" s="33">
        <v>9</v>
      </c>
      <c r="E240" s="33">
        <v>12</v>
      </c>
      <c r="F240" s="23">
        <v>0</v>
      </c>
      <c r="G240" s="23">
        <v>0</v>
      </c>
      <c r="H240" s="23">
        <v>3</v>
      </c>
      <c r="I240" s="23">
        <v>0</v>
      </c>
      <c r="J240" s="23">
        <v>0</v>
      </c>
      <c r="K240" s="23">
        <v>0</v>
      </c>
      <c r="L240" s="23">
        <f t="shared" si="0"/>
        <v>3</v>
      </c>
      <c r="M240" s="33">
        <f t="shared" si="1"/>
        <v>0</v>
      </c>
      <c r="N240" s="33">
        <f t="shared" si="2"/>
        <v>3</v>
      </c>
      <c r="O240" s="33">
        <v>12</v>
      </c>
      <c r="P240" s="33">
        <v>145</v>
      </c>
      <c r="Q240" s="33">
        <v>177</v>
      </c>
      <c r="R240" s="33">
        <v>322</v>
      </c>
      <c r="S240" s="33">
        <v>8</v>
      </c>
      <c r="T240" s="33">
        <f t="shared" si="3"/>
        <v>314</v>
      </c>
      <c r="U240" s="38">
        <f t="shared" si="4"/>
        <v>26.833333333333332</v>
      </c>
      <c r="V240" s="59">
        <f t="shared" si="5"/>
        <v>12</v>
      </c>
      <c r="W240" s="33">
        <v>0</v>
      </c>
      <c r="X240" s="33">
        <v>0</v>
      </c>
      <c r="Y240" s="33"/>
      <c r="Z240" s="33"/>
      <c r="AA240" s="42"/>
      <c r="AB240" s="60"/>
      <c r="AC240" s="105"/>
      <c r="AD240" s="93"/>
      <c r="AE240" s="33">
        <f t="shared" si="6"/>
        <v>0</v>
      </c>
      <c r="AF240" s="33">
        <f t="shared" si="7"/>
        <v>322</v>
      </c>
      <c r="AG240" s="101">
        <f t="shared" si="8"/>
        <v>310</v>
      </c>
    </row>
    <row r="241" spans="1:33" ht="13" outlineLevel="1" x14ac:dyDescent="0.3">
      <c r="A241" t="s">
        <v>1086</v>
      </c>
      <c r="C241" s="32" t="s">
        <v>92</v>
      </c>
      <c r="D241" s="34">
        <f t="shared" ref="D241:K241" si="20">SUBTOTAL(9,D231:D240)</f>
        <v>12933</v>
      </c>
      <c r="E241" s="34">
        <f t="shared" si="20"/>
        <v>14794</v>
      </c>
      <c r="F241" s="24">
        <f t="shared" si="20"/>
        <v>0</v>
      </c>
      <c r="G241" s="24">
        <f t="shared" si="20"/>
        <v>0</v>
      </c>
      <c r="H241" s="24">
        <f t="shared" si="20"/>
        <v>1860</v>
      </c>
      <c r="I241" s="24">
        <f t="shared" si="20"/>
        <v>0</v>
      </c>
      <c r="J241" s="24">
        <f t="shared" si="20"/>
        <v>0</v>
      </c>
      <c r="K241" s="24">
        <f t="shared" si="20"/>
        <v>0</v>
      </c>
      <c r="L241" s="24">
        <f>SUM(F241:K241)</f>
        <v>1860</v>
      </c>
      <c r="M241" s="34">
        <f t="shared" si="1"/>
        <v>0</v>
      </c>
      <c r="N241" s="34">
        <f t="shared" si="2"/>
        <v>1861</v>
      </c>
      <c r="O241" s="34">
        <f>SUBTOTAL(9,O231:O240)</f>
        <v>14794</v>
      </c>
      <c r="P241" s="34">
        <f>SUBTOTAL(9,P231:P240)</f>
        <v>16534</v>
      </c>
      <c r="Q241" s="34">
        <f>SUBTOTAL(9,Q231:Q240)</f>
        <v>-8261</v>
      </c>
      <c r="R241" s="34">
        <f>SUBTOTAL(9,R231:R240)</f>
        <v>8273</v>
      </c>
      <c r="S241" s="34">
        <f>SUBTOTAL(9,S231:S240)</f>
        <v>8585</v>
      </c>
      <c r="T241" s="34">
        <f>R241-S241</f>
        <v>-312</v>
      </c>
      <c r="U241" s="38">
        <f>IFERROR((R241/O241)*100%,"∞")</f>
        <v>0.5592131945383263</v>
      </c>
      <c r="V241" s="59">
        <f>O241+W241</f>
        <v>14794</v>
      </c>
      <c r="W241" s="34">
        <f>SUBTOTAL(9,W231:W240)</f>
        <v>0</v>
      </c>
      <c r="X241" s="34">
        <f>SUBTOTAL(9,X231:X240)</f>
        <v>0</v>
      </c>
      <c r="Y241" s="34"/>
      <c r="Z241" s="34"/>
      <c r="AA241" s="41"/>
      <c r="AB241" s="60"/>
      <c r="AC241" s="102">
        <f>SUBTOTAL(9,AC160:AC240)</f>
        <v>0</v>
      </c>
      <c r="AD241" s="34">
        <f>SUBTOTAL(9,AD160:AD240)</f>
        <v>0</v>
      </c>
      <c r="AE241" s="34"/>
      <c r="AF241" s="34"/>
      <c r="AG241" s="103"/>
    </row>
    <row r="242" spans="1:33" ht="14.5" customHeight="1" thickBot="1" x14ac:dyDescent="0.35">
      <c r="A242" s="7" t="s">
        <v>1086</v>
      </c>
      <c r="C242" s="53" t="s">
        <v>93</v>
      </c>
      <c r="D242" s="35">
        <f t="shared" ref="D242:K242" si="21">SUBTOTAL(9,D231:D241)</f>
        <v>12933</v>
      </c>
      <c r="E242" s="35">
        <f t="shared" si="21"/>
        <v>14794</v>
      </c>
      <c r="F242" s="25">
        <f t="shared" si="21"/>
        <v>0</v>
      </c>
      <c r="G242" s="25">
        <f t="shared" si="21"/>
        <v>0</v>
      </c>
      <c r="H242" s="25">
        <f t="shared" si="21"/>
        <v>1860</v>
      </c>
      <c r="I242" s="25">
        <f t="shared" si="21"/>
        <v>0</v>
      </c>
      <c r="J242" s="25">
        <f t="shared" si="21"/>
        <v>0</v>
      </c>
      <c r="K242" s="25">
        <f t="shared" si="21"/>
        <v>0</v>
      </c>
      <c r="L242" s="25">
        <f>SUM(F242:K242)</f>
        <v>1860</v>
      </c>
      <c r="M242" s="35">
        <f t="shared" si="1"/>
        <v>0</v>
      </c>
      <c r="N242" s="35">
        <f t="shared" si="2"/>
        <v>1861</v>
      </c>
      <c r="O242" s="35">
        <f>SUBTOTAL(9,O231:O241)</f>
        <v>14794</v>
      </c>
      <c r="P242" s="35">
        <f>SUBTOTAL(9,P231:P241)</f>
        <v>16534</v>
      </c>
      <c r="Q242" s="35">
        <f>SUBTOTAL(9,Q231:Q241)</f>
        <v>-8261</v>
      </c>
      <c r="R242" s="35">
        <f>SUBTOTAL(9,R231:R241)</f>
        <v>8273</v>
      </c>
      <c r="S242" s="35">
        <f>SUBTOTAL(9,S231:S241)</f>
        <v>8585</v>
      </c>
      <c r="T242" s="35">
        <f>R242-S242</f>
        <v>-312</v>
      </c>
      <c r="U242" s="39">
        <f>IFERROR((R242/O242)*100%,"∞")</f>
        <v>0.5592131945383263</v>
      </c>
      <c r="V242" s="54">
        <f>O242+W242</f>
        <v>14794</v>
      </c>
      <c r="W242" s="35">
        <f>SUBTOTAL(9,W231:W241)</f>
        <v>0</v>
      </c>
      <c r="X242" s="35">
        <f>SUBTOTAL(9,X231:X241)</f>
        <v>0</v>
      </c>
      <c r="Y242" s="35"/>
      <c r="Z242" s="35"/>
      <c r="AA242" s="43"/>
      <c r="AB242" s="60"/>
      <c r="AC242" s="104">
        <f>SUBTOTAL(9,AC160:AC241)</f>
        <v>0</v>
      </c>
      <c r="AD242" s="104">
        <f>SUBTOTAL(9,AD160:AD241)</f>
        <v>0</v>
      </c>
      <c r="AE242" s="35">
        <f>SUM(AC242:AD242)</f>
        <v>0</v>
      </c>
      <c r="AF242" s="35">
        <f>R242+AE242</f>
        <v>8273</v>
      </c>
      <c r="AG242" s="43">
        <f>AF242-O242</f>
        <v>-6521</v>
      </c>
    </row>
    <row r="243" spans="1:33" ht="13.5" outlineLevel="2" thickTop="1" x14ac:dyDescent="0.3">
      <c r="A243" t="s">
        <v>1085</v>
      </c>
      <c r="C243" s="31" t="s">
        <v>94</v>
      </c>
      <c r="D243" s="33">
        <v>153</v>
      </c>
      <c r="E243" s="33">
        <v>197</v>
      </c>
      <c r="F243" s="23">
        <v>0</v>
      </c>
      <c r="G243" s="23">
        <v>0</v>
      </c>
      <c r="H243" s="23">
        <v>43</v>
      </c>
      <c r="I243" s="23">
        <v>0</v>
      </c>
      <c r="J243" s="23">
        <v>0</v>
      </c>
      <c r="K243" s="23">
        <v>0</v>
      </c>
      <c r="L243" s="23">
        <f t="shared" si="0"/>
        <v>43</v>
      </c>
      <c r="M243" s="33">
        <f t="shared" si="1"/>
        <v>0</v>
      </c>
      <c r="N243" s="33">
        <f t="shared" si="2"/>
        <v>44</v>
      </c>
      <c r="O243" s="33">
        <v>197</v>
      </c>
      <c r="P243" s="33">
        <v>206</v>
      </c>
      <c r="Q243" s="33">
        <v>0</v>
      </c>
      <c r="R243" s="33">
        <v>206</v>
      </c>
      <c r="S243" s="33">
        <v>98</v>
      </c>
      <c r="T243" s="33">
        <f t="shared" si="3"/>
        <v>108</v>
      </c>
      <c r="U243" s="38">
        <f t="shared" si="4"/>
        <v>1.0456852791878173</v>
      </c>
      <c r="V243" s="59">
        <f t="shared" si="5"/>
        <v>197</v>
      </c>
      <c r="W243" s="33">
        <v>0</v>
      </c>
      <c r="X243" s="33">
        <v>0</v>
      </c>
      <c r="Y243" s="33"/>
      <c r="Z243" s="33"/>
      <c r="AA243" s="42"/>
      <c r="AB243" s="60"/>
      <c r="AC243" s="105"/>
      <c r="AD243" s="93"/>
      <c r="AE243" s="33">
        <f t="shared" si="6"/>
        <v>0</v>
      </c>
      <c r="AF243" s="33">
        <f t="shared" si="7"/>
        <v>206</v>
      </c>
      <c r="AG243" s="101">
        <f t="shared" si="8"/>
        <v>9</v>
      </c>
    </row>
    <row r="244" spans="1:33" ht="13" outlineLevel="2" x14ac:dyDescent="0.3">
      <c r="A244" t="s">
        <v>1085</v>
      </c>
      <c r="C244" s="31" t="s">
        <v>95</v>
      </c>
      <c r="D244" s="33">
        <v>135</v>
      </c>
      <c r="E244" s="33">
        <v>143</v>
      </c>
      <c r="F244" s="23">
        <v>0</v>
      </c>
      <c r="G244" s="23">
        <v>0</v>
      </c>
      <c r="H244" s="23">
        <v>9</v>
      </c>
      <c r="I244" s="23">
        <v>0</v>
      </c>
      <c r="J244" s="23">
        <v>0</v>
      </c>
      <c r="K244" s="23">
        <v>0</v>
      </c>
      <c r="L244" s="23">
        <f t="shared" si="0"/>
        <v>9</v>
      </c>
      <c r="M244" s="33">
        <f t="shared" si="1"/>
        <v>0</v>
      </c>
      <c r="N244" s="33">
        <f t="shared" si="2"/>
        <v>8</v>
      </c>
      <c r="O244" s="33">
        <v>143</v>
      </c>
      <c r="P244" s="33">
        <v>68</v>
      </c>
      <c r="Q244" s="33">
        <v>0</v>
      </c>
      <c r="R244" s="33">
        <v>68</v>
      </c>
      <c r="S244" s="33">
        <v>72</v>
      </c>
      <c r="T244" s="33">
        <f t="shared" si="3"/>
        <v>-4</v>
      </c>
      <c r="U244" s="38">
        <f t="shared" si="4"/>
        <v>0.47552447552447552</v>
      </c>
      <c r="V244" s="59">
        <f t="shared" si="5"/>
        <v>143</v>
      </c>
      <c r="W244" s="33">
        <v>0</v>
      </c>
      <c r="X244" s="33">
        <v>0</v>
      </c>
      <c r="Y244" s="33"/>
      <c r="Z244" s="33"/>
      <c r="AA244" s="42"/>
      <c r="AB244" s="60"/>
      <c r="AC244" s="105"/>
      <c r="AD244" s="93"/>
      <c r="AE244" s="33">
        <f t="shared" si="6"/>
        <v>0</v>
      </c>
      <c r="AF244" s="33">
        <f t="shared" si="7"/>
        <v>68</v>
      </c>
      <c r="AG244" s="101">
        <f t="shared" si="8"/>
        <v>-75</v>
      </c>
    </row>
    <row r="245" spans="1:33" ht="13" outlineLevel="2" x14ac:dyDescent="0.3">
      <c r="A245" t="s">
        <v>1085</v>
      </c>
      <c r="C245" s="31" t="s">
        <v>96</v>
      </c>
      <c r="D245" s="33">
        <v>3946</v>
      </c>
      <c r="E245" s="33">
        <v>4322</v>
      </c>
      <c r="F245" s="23">
        <v>0</v>
      </c>
      <c r="G245" s="23">
        <v>0</v>
      </c>
      <c r="H245" s="23">
        <v>375</v>
      </c>
      <c r="I245" s="23">
        <v>0</v>
      </c>
      <c r="J245" s="23">
        <v>0</v>
      </c>
      <c r="K245" s="23">
        <v>0</v>
      </c>
      <c r="L245" s="23">
        <f t="shared" si="0"/>
        <v>375</v>
      </c>
      <c r="M245" s="33">
        <f t="shared" si="1"/>
        <v>0</v>
      </c>
      <c r="N245" s="33">
        <f t="shared" si="2"/>
        <v>376</v>
      </c>
      <c r="O245" s="33">
        <v>4322</v>
      </c>
      <c r="P245" s="33">
        <v>2617</v>
      </c>
      <c r="Q245" s="33">
        <v>-5</v>
      </c>
      <c r="R245" s="33">
        <v>2612</v>
      </c>
      <c r="S245" s="33">
        <v>2161</v>
      </c>
      <c r="T245" s="33">
        <f t="shared" si="3"/>
        <v>451</v>
      </c>
      <c r="U245" s="38">
        <f t="shared" si="4"/>
        <v>0.6043498380379454</v>
      </c>
      <c r="V245" s="59">
        <f t="shared" si="5"/>
        <v>5322</v>
      </c>
      <c r="W245" s="33">
        <v>1000</v>
      </c>
      <c r="X245" s="33">
        <v>1000</v>
      </c>
      <c r="Y245" s="33"/>
      <c r="Z245" s="33"/>
      <c r="AA245" s="42"/>
      <c r="AB245" s="60"/>
      <c r="AC245" s="105"/>
      <c r="AD245" s="93"/>
      <c r="AE245" s="33">
        <f t="shared" si="6"/>
        <v>0</v>
      </c>
      <c r="AF245" s="33">
        <f t="shared" si="7"/>
        <v>2612</v>
      </c>
      <c r="AG245" s="101">
        <f t="shared" si="8"/>
        <v>-1710</v>
      </c>
    </row>
    <row r="246" spans="1:33" ht="13" outlineLevel="2" x14ac:dyDescent="0.3">
      <c r="A246" t="s">
        <v>1085</v>
      </c>
      <c r="C246" s="31" t="s">
        <v>97</v>
      </c>
      <c r="D246" s="33">
        <v>2852</v>
      </c>
      <c r="E246" s="33">
        <v>3040</v>
      </c>
      <c r="F246" s="23">
        <v>0</v>
      </c>
      <c r="G246" s="23">
        <v>0</v>
      </c>
      <c r="H246" s="23">
        <v>299</v>
      </c>
      <c r="I246" s="23">
        <v>0</v>
      </c>
      <c r="J246" s="23">
        <v>-111</v>
      </c>
      <c r="K246" s="23">
        <v>0</v>
      </c>
      <c r="L246" s="23">
        <f t="shared" si="0"/>
        <v>188</v>
      </c>
      <c r="M246" s="33">
        <f t="shared" si="1"/>
        <v>0</v>
      </c>
      <c r="N246" s="33">
        <f t="shared" si="2"/>
        <v>188</v>
      </c>
      <c r="O246" s="33">
        <v>3040</v>
      </c>
      <c r="P246" s="33">
        <v>1545</v>
      </c>
      <c r="Q246" s="33">
        <v>-7</v>
      </c>
      <c r="R246" s="33">
        <v>1538</v>
      </c>
      <c r="S246" s="33">
        <v>1520</v>
      </c>
      <c r="T246" s="33">
        <f t="shared" si="3"/>
        <v>18</v>
      </c>
      <c r="U246" s="38">
        <f t="shared" si="4"/>
        <v>0.50592105263157894</v>
      </c>
      <c r="V246" s="59">
        <f t="shared" si="5"/>
        <v>3067</v>
      </c>
      <c r="W246" s="33">
        <v>27</v>
      </c>
      <c r="X246" s="33">
        <v>27</v>
      </c>
      <c r="Y246" s="33"/>
      <c r="Z246" s="33"/>
      <c r="AA246" s="42"/>
      <c r="AB246" s="60"/>
      <c r="AC246" s="105"/>
      <c r="AD246" s="93"/>
      <c r="AE246" s="33">
        <f t="shared" si="6"/>
        <v>0</v>
      </c>
      <c r="AF246" s="33">
        <f t="shared" si="7"/>
        <v>1538</v>
      </c>
      <c r="AG246" s="101">
        <f t="shared" si="8"/>
        <v>-1502</v>
      </c>
    </row>
    <row r="247" spans="1:33" ht="13" outlineLevel="2" x14ac:dyDescent="0.3">
      <c r="A247" t="s">
        <v>1085</v>
      </c>
      <c r="C247" s="31" t="s">
        <v>98</v>
      </c>
      <c r="D247" s="33">
        <v>1733</v>
      </c>
      <c r="E247" s="33">
        <v>1844</v>
      </c>
      <c r="F247" s="23">
        <v>0</v>
      </c>
      <c r="G247" s="23">
        <v>0</v>
      </c>
      <c r="H247" s="23">
        <v>111</v>
      </c>
      <c r="I247" s="23">
        <v>0</v>
      </c>
      <c r="J247" s="23">
        <v>0</v>
      </c>
      <c r="K247" s="23">
        <v>0</v>
      </c>
      <c r="L247" s="23">
        <f t="shared" si="0"/>
        <v>111</v>
      </c>
      <c r="M247" s="33">
        <f t="shared" si="1"/>
        <v>0</v>
      </c>
      <c r="N247" s="33">
        <f t="shared" si="2"/>
        <v>111</v>
      </c>
      <c r="O247" s="33">
        <v>1844</v>
      </c>
      <c r="P247" s="33">
        <v>851</v>
      </c>
      <c r="Q247" s="33">
        <v>-9</v>
      </c>
      <c r="R247" s="33">
        <v>842</v>
      </c>
      <c r="S247" s="33">
        <v>922</v>
      </c>
      <c r="T247" s="33">
        <f t="shared" si="3"/>
        <v>-80</v>
      </c>
      <c r="U247" s="38">
        <f t="shared" si="4"/>
        <v>0.45661605206073752</v>
      </c>
      <c r="V247" s="59">
        <f t="shared" si="5"/>
        <v>1828</v>
      </c>
      <c r="W247" s="33">
        <v>-16</v>
      </c>
      <c r="X247" s="33">
        <v>-16</v>
      </c>
      <c r="Y247" s="33"/>
      <c r="Z247" s="33"/>
      <c r="AA247" s="42"/>
      <c r="AB247" s="60"/>
      <c r="AC247" s="105"/>
      <c r="AD247" s="93"/>
      <c r="AE247" s="33">
        <f t="shared" si="6"/>
        <v>0</v>
      </c>
      <c r="AF247" s="33">
        <f t="shared" si="7"/>
        <v>842</v>
      </c>
      <c r="AG247" s="101">
        <f t="shared" si="8"/>
        <v>-1002</v>
      </c>
    </row>
    <row r="248" spans="1:33" ht="13" outlineLevel="1" x14ac:dyDescent="0.3">
      <c r="A248" t="s">
        <v>1086</v>
      </c>
      <c r="C248" s="32" t="s">
        <v>100</v>
      </c>
      <c r="D248" s="34">
        <f t="shared" ref="D248:K248" si="22">SUBTOTAL(9,D243:D247)</f>
        <v>8819</v>
      </c>
      <c r="E248" s="34">
        <f t="shared" si="22"/>
        <v>9546</v>
      </c>
      <c r="F248" s="24">
        <f t="shared" si="22"/>
        <v>0</v>
      </c>
      <c r="G248" s="24">
        <f t="shared" si="22"/>
        <v>0</v>
      </c>
      <c r="H248" s="24">
        <f t="shared" si="22"/>
        <v>837</v>
      </c>
      <c r="I248" s="24">
        <f t="shared" si="22"/>
        <v>0</v>
      </c>
      <c r="J248" s="24">
        <f t="shared" si="22"/>
        <v>-111</v>
      </c>
      <c r="K248" s="24">
        <f t="shared" si="22"/>
        <v>0</v>
      </c>
      <c r="L248" s="24">
        <f>SUM(F248:K248)</f>
        <v>726</v>
      </c>
      <c r="M248" s="34">
        <f t="shared" si="1"/>
        <v>0</v>
      </c>
      <c r="N248" s="34">
        <f t="shared" si="2"/>
        <v>727</v>
      </c>
      <c r="O248" s="34">
        <f>SUBTOTAL(9,O243:O247)</f>
        <v>9546</v>
      </c>
      <c r="P248" s="34">
        <f>SUBTOTAL(9,P243:P247)</f>
        <v>5287</v>
      </c>
      <c r="Q248" s="34">
        <f>SUBTOTAL(9,Q243:Q247)</f>
        <v>-21</v>
      </c>
      <c r="R248" s="34">
        <f>SUBTOTAL(9,R243:R247)</f>
        <v>5266</v>
      </c>
      <c r="S248" s="34">
        <f>SUBTOTAL(9,S243:S247)</f>
        <v>4773</v>
      </c>
      <c r="T248" s="34">
        <f>R248-S248</f>
        <v>493</v>
      </c>
      <c r="U248" s="38">
        <f>IFERROR((R248/O248)*100%,"∞")</f>
        <v>0.55164466792373767</v>
      </c>
      <c r="V248" s="59">
        <f>O248+W248</f>
        <v>10557</v>
      </c>
      <c r="W248" s="34">
        <f>SUBTOTAL(9,W243:W247)</f>
        <v>1011</v>
      </c>
      <c r="X248" s="34">
        <f>SUBTOTAL(9,X243:X247)</f>
        <v>1011</v>
      </c>
      <c r="Y248" s="34"/>
      <c r="Z248" s="34"/>
      <c r="AA248" s="41"/>
      <c r="AB248" s="60"/>
      <c r="AC248" s="102">
        <f>SUBTOTAL(9,AC167:AC247)</f>
        <v>0</v>
      </c>
      <c r="AD248" s="34">
        <f>SUBTOTAL(9,AD167:AD247)</f>
        <v>0</v>
      </c>
      <c r="AE248" s="34"/>
      <c r="AF248" s="34"/>
      <c r="AG248" s="103"/>
    </row>
    <row r="249" spans="1:33" ht="13" outlineLevel="2" x14ac:dyDescent="0.3">
      <c r="A249" t="s">
        <v>1085</v>
      </c>
      <c r="C249" s="31" t="s">
        <v>101</v>
      </c>
      <c r="D249" s="33">
        <v>1304</v>
      </c>
      <c r="E249" s="33">
        <v>1394</v>
      </c>
      <c r="F249" s="23">
        <v>0</v>
      </c>
      <c r="G249" s="23">
        <v>0</v>
      </c>
      <c r="H249" s="23">
        <v>91</v>
      </c>
      <c r="I249" s="23">
        <v>0</v>
      </c>
      <c r="J249" s="23">
        <v>0</v>
      </c>
      <c r="K249" s="23">
        <v>0</v>
      </c>
      <c r="L249" s="23">
        <f t="shared" si="0"/>
        <v>91</v>
      </c>
      <c r="M249" s="33">
        <f t="shared" si="1"/>
        <v>0</v>
      </c>
      <c r="N249" s="33">
        <f t="shared" si="2"/>
        <v>90</v>
      </c>
      <c r="O249" s="33">
        <v>1394</v>
      </c>
      <c r="P249" s="33">
        <v>898</v>
      </c>
      <c r="Q249" s="33">
        <v>-84</v>
      </c>
      <c r="R249" s="33">
        <v>814</v>
      </c>
      <c r="S249" s="33">
        <v>697</v>
      </c>
      <c r="T249" s="33">
        <f t="shared" si="3"/>
        <v>117</v>
      </c>
      <c r="U249" s="38">
        <f t="shared" si="4"/>
        <v>0.5839311334289814</v>
      </c>
      <c r="V249" s="59">
        <f t="shared" si="5"/>
        <v>1525</v>
      </c>
      <c r="W249" s="33">
        <v>131</v>
      </c>
      <c r="X249" s="33">
        <v>131</v>
      </c>
      <c r="Y249" s="33"/>
      <c r="Z249" s="33"/>
      <c r="AA249" s="42"/>
      <c r="AB249" s="60"/>
      <c r="AC249" s="105"/>
      <c r="AD249" s="93"/>
      <c r="AE249" s="33">
        <f t="shared" si="6"/>
        <v>0</v>
      </c>
      <c r="AF249" s="33">
        <f t="shared" si="7"/>
        <v>814</v>
      </c>
      <c r="AG249" s="101">
        <f t="shared" si="8"/>
        <v>-580</v>
      </c>
    </row>
    <row r="250" spans="1:33" ht="13" outlineLevel="2" x14ac:dyDescent="0.3">
      <c r="A250" t="s">
        <v>1085</v>
      </c>
      <c r="C250" s="31" t="s">
        <v>102</v>
      </c>
      <c r="D250" s="33">
        <v>445</v>
      </c>
      <c r="E250" s="33">
        <v>445</v>
      </c>
      <c r="F250" s="23">
        <v>0</v>
      </c>
      <c r="G250" s="23">
        <v>0</v>
      </c>
      <c r="H250" s="23">
        <v>0</v>
      </c>
      <c r="I250" s="23">
        <v>0</v>
      </c>
      <c r="J250" s="23">
        <v>0</v>
      </c>
      <c r="K250" s="23">
        <v>0</v>
      </c>
      <c r="L250" s="23">
        <f t="shared" ref="L250:L261" si="23">SUM(F250:K250)</f>
        <v>0</v>
      </c>
      <c r="M250" s="33">
        <f t="shared" ref="M250:M263" si="24">O250-E250</f>
        <v>0</v>
      </c>
      <c r="N250" s="33">
        <f t="shared" ref="N250:N263" si="25">O250-D250</f>
        <v>0</v>
      </c>
      <c r="O250" s="33">
        <v>445</v>
      </c>
      <c r="P250" s="33">
        <v>284</v>
      </c>
      <c r="Q250" s="33">
        <v>-32</v>
      </c>
      <c r="R250" s="33">
        <v>252</v>
      </c>
      <c r="S250" s="33">
        <v>223</v>
      </c>
      <c r="T250" s="33">
        <f t="shared" ref="T250:T261" si="26">R250-S250</f>
        <v>29</v>
      </c>
      <c r="U250" s="38">
        <f t="shared" ref="U250:U261" si="27">IFERROR((R250/O250)*100%,"∞")</f>
        <v>0.56629213483146068</v>
      </c>
      <c r="V250" s="59">
        <f t="shared" ref="V250:V261" si="28">O250+W250</f>
        <v>520</v>
      </c>
      <c r="W250" s="33">
        <v>75</v>
      </c>
      <c r="X250" s="33">
        <v>75</v>
      </c>
      <c r="Y250" s="33"/>
      <c r="Z250" s="33"/>
      <c r="AA250" s="42"/>
      <c r="AB250" s="60"/>
      <c r="AC250" s="105"/>
      <c r="AD250" s="93"/>
      <c r="AE250" s="33">
        <f t="shared" ref="AE250:AE261" si="29">SUM(AC250:AD250)</f>
        <v>0</v>
      </c>
      <c r="AF250" s="33">
        <f t="shared" ref="AF250:AF261" si="30">R250+AE250</f>
        <v>252</v>
      </c>
      <c r="AG250" s="101">
        <f t="shared" ref="AG250:AG261" si="31">AF250-O250</f>
        <v>-193</v>
      </c>
    </row>
    <row r="251" spans="1:33" ht="13" outlineLevel="2" x14ac:dyDescent="0.3">
      <c r="A251" t="s">
        <v>1085</v>
      </c>
      <c r="C251" s="31" t="s">
        <v>103</v>
      </c>
      <c r="D251" s="33">
        <v>267</v>
      </c>
      <c r="E251" s="33">
        <v>331</v>
      </c>
      <c r="F251" s="23">
        <v>0</v>
      </c>
      <c r="G251" s="23">
        <v>0</v>
      </c>
      <c r="H251" s="23">
        <v>64</v>
      </c>
      <c r="I251" s="23">
        <v>0</v>
      </c>
      <c r="J251" s="23">
        <v>0</v>
      </c>
      <c r="K251" s="23">
        <v>0</v>
      </c>
      <c r="L251" s="23">
        <f t="shared" si="23"/>
        <v>64</v>
      </c>
      <c r="M251" s="33">
        <f t="shared" si="24"/>
        <v>0</v>
      </c>
      <c r="N251" s="33">
        <f t="shared" si="25"/>
        <v>64</v>
      </c>
      <c r="O251" s="33">
        <v>331</v>
      </c>
      <c r="P251" s="33">
        <v>281</v>
      </c>
      <c r="Q251" s="33">
        <v>-54</v>
      </c>
      <c r="R251" s="33">
        <v>227</v>
      </c>
      <c r="S251" s="33">
        <v>166</v>
      </c>
      <c r="T251" s="33">
        <f t="shared" si="26"/>
        <v>61</v>
      </c>
      <c r="U251" s="38">
        <f t="shared" si="27"/>
        <v>0.6858006042296072</v>
      </c>
      <c r="V251" s="59">
        <f t="shared" si="28"/>
        <v>331</v>
      </c>
      <c r="W251" s="33">
        <v>0</v>
      </c>
      <c r="X251" s="33">
        <v>0</v>
      </c>
      <c r="Y251" s="33"/>
      <c r="Z251" s="33"/>
      <c r="AA251" s="42"/>
      <c r="AB251" s="60"/>
      <c r="AC251" s="105"/>
      <c r="AD251" s="93"/>
      <c r="AE251" s="33">
        <f t="shared" si="29"/>
        <v>0</v>
      </c>
      <c r="AF251" s="33">
        <f t="shared" si="30"/>
        <v>227</v>
      </c>
      <c r="AG251" s="101">
        <f t="shared" si="31"/>
        <v>-104</v>
      </c>
    </row>
    <row r="252" spans="1:33" ht="13" outlineLevel="2" x14ac:dyDescent="0.3">
      <c r="A252" t="s">
        <v>1085</v>
      </c>
      <c r="C252" s="31" t="s">
        <v>104</v>
      </c>
      <c r="D252" s="33">
        <v>549</v>
      </c>
      <c r="E252" s="33">
        <v>613</v>
      </c>
      <c r="F252" s="23">
        <v>0</v>
      </c>
      <c r="G252" s="23">
        <v>0</v>
      </c>
      <c r="H252" s="23">
        <v>64</v>
      </c>
      <c r="I252" s="23">
        <v>0</v>
      </c>
      <c r="J252" s="23">
        <v>0</v>
      </c>
      <c r="K252" s="23">
        <v>0</v>
      </c>
      <c r="L252" s="23">
        <f t="shared" si="23"/>
        <v>64</v>
      </c>
      <c r="M252" s="33">
        <f t="shared" si="24"/>
        <v>0</v>
      </c>
      <c r="N252" s="33">
        <f t="shared" si="25"/>
        <v>64</v>
      </c>
      <c r="O252" s="33">
        <v>613</v>
      </c>
      <c r="P252" s="33">
        <v>364</v>
      </c>
      <c r="Q252" s="33">
        <v>0</v>
      </c>
      <c r="R252" s="33">
        <v>364</v>
      </c>
      <c r="S252" s="33">
        <v>306</v>
      </c>
      <c r="T252" s="33">
        <f t="shared" si="26"/>
        <v>58</v>
      </c>
      <c r="U252" s="38">
        <f t="shared" si="27"/>
        <v>0.59380097879282223</v>
      </c>
      <c r="V252" s="59">
        <f t="shared" si="28"/>
        <v>733</v>
      </c>
      <c r="W252" s="33">
        <v>120</v>
      </c>
      <c r="X252" s="33">
        <v>120</v>
      </c>
      <c r="Y252" s="33"/>
      <c r="Z252" s="33"/>
      <c r="AA252" s="42"/>
      <c r="AB252" s="60"/>
      <c r="AC252" s="105"/>
      <c r="AD252" s="93"/>
      <c r="AE252" s="33">
        <f t="shared" si="29"/>
        <v>0</v>
      </c>
      <c r="AF252" s="33">
        <f t="shared" si="30"/>
        <v>364</v>
      </c>
      <c r="AG252" s="101">
        <f t="shared" si="31"/>
        <v>-249</v>
      </c>
    </row>
    <row r="253" spans="1:33" ht="13" outlineLevel="2" x14ac:dyDescent="0.3">
      <c r="A253" t="s">
        <v>1085</v>
      </c>
      <c r="C253" s="31" t="s">
        <v>105</v>
      </c>
      <c r="D253" s="33">
        <v>1114</v>
      </c>
      <c r="E253" s="33">
        <v>1412</v>
      </c>
      <c r="F253" s="23">
        <v>0</v>
      </c>
      <c r="G253" s="23">
        <v>0</v>
      </c>
      <c r="H253" s="23">
        <v>186</v>
      </c>
      <c r="I253" s="23">
        <v>0</v>
      </c>
      <c r="J253" s="23">
        <v>112</v>
      </c>
      <c r="K253" s="23">
        <v>0</v>
      </c>
      <c r="L253" s="23">
        <f t="shared" si="23"/>
        <v>298</v>
      </c>
      <c r="M253" s="33">
        <f t="shared" si="24"/>
        <v>0</v>
      </c>
      <c r="N253" s="33">
        <f t="shared" si="25"/>
        <v>298</v>
      </c>
      <c r="O253" s="33">
        <v>1412</v>
      </c>
      <c r="P253" s="33">
        <v>1106</v>
      </c>
      <c r="Q253" s="33">
        <v>-196</v>
      </c>
      <c r="R253" s="33">
        <v>911</v>
      </c>
      <c r="S253" s="33">
        <v>706</v>
      </c>
      <c r="T253" s="33">
        <f t="shared" si="26"/>
        <v>205</v>
      </c>
      <c r="U253" s="38">
        <f t="shared" si="27"/>
        <v>0.64518413597733715</v>
      </c>
      <c r="V253" s="59">
        <f t="shared" si="28"/>
        <v>1322</v>
      </c>
      <c r="W253" s="33">
        <v>-90</v>
      </c>
      <c r="X253" s="33">
        <v>-90</v>
      </c>
      <c r="Y253" s="33"/>
      <c r="Z253" s="33"/>
      <c r="AA253" s="42"/>
      <c r="AB253" s="60"/>
      <c r="AC253" s="105"/>
      <c r="AD253" s="93"/>
      <c r="AE253" s="33">
        <f t="shared" si="29"/>
        <v>0</v>
      </c>
      <c r="AF253" s="33">
        <f t="shared" si="30"/>
        <v>911</v>
      </c>
      <c r="AG253" s="101">
        <f t="shared" si="31"/>
        <v>-501</v>
      </c>
    </row>
    <row r="254" spans="1:33" ht="13" outlineLevel="2" x14ac:dyDescent="0.3">
      <c r="A254" t="s">
        <v>1085</v>
      </c>
      <c r="C254" s="31" t="s">
        <v>106</v>
      </c>
      <c r="D254" s="33">
        <v>126</v>
      </c>
      <c r="E254" s="33">
        <v>136</v>
      </c>
      <c r="F254" s="23">
        <v>0</v>
      </c>
      <c r="G254" s="23">
        <v>0</v>
      </c>
      <c r="H254" s="23">
        <v>10</v>
      </c>
      <c r="I254" s="23">
        <v>0</v>
      </c>
      <c r="J254" s="23">
        <v>0</v>
      </c>
      <c r="K254" s="23">
        <v>0</v>
      </c>
      <c r="L254" s="23">
        <f t="shared" si="23"/>
        <v>10</v>
      </c>
      <c r="M254" s="33">
        <f t="shared" si="24"/>
        <v>0</v>
      </c>
      <c r="N254" s="33">
        <f t="shared" si="25"/>
        <v>10</v>
      </c>
      <c r="O254" s="33">
        <v>136</v>
      </c>
      <c r="P254" s="33">
        <v>109</v>
      </c>
      <c r="Q254" s="33">
        <v>0</v>
      </c>
      <c r="R254" s="33">
        <v>109</v>
      </c>
      <c r="S254" s="33">
        <v>68</v>
      </c>
      <c r="T254" s="33">
        <f t="shared" si="26"/>
        <v>41</v>
      </c>
      <c r="U254" s="38">
        <f t="shared" si="27"/>
        <v>0.80147058823529416</v>
      </c>
      <c r="V254" s="59">
        <f t="shared" si="28"/>
        <v>276</v>
      </c>
      <c r="W254" s="33">
        <v>140</v>
      </c>
      <c r="X254" s="33">
        <v>140</v>
      </c>
      <c r="Y254" s="33"/>
      <c r="Z254" s="33"/>
      <c r="AA254" s="42"/>
      <c r="AB254" s="60"/>
      <c r="AC254" s="105"/>
      <c r="AD254" s="93"/>
      <c r="AE254" s="33">
        <f t="shared" si="29"/>
        <v>0</v>
      </c>
      <c r="AF254" s="33">
        <f t="shared" si="30"/>
        <v>109</v>
      </c>
      <c r="AG254" s="101">
        <f t="shared" si="31"/>
        <v>-27</v>
      </c>
    </row>
    <row r="255" spans="1:33" ht="13" outlineLevel="1" x14ac:dyDescent="0.3">
      <c r="A255" t="s">
        <v>1086</v>
      </c>
      <c r="C255" s="32" t="s">
        <v>107</v>
      </c>
      <c r="D255" s="34">
        <f t="shared" ref="D255:K255" si="32">SUBTOTAL(9,D249:D254)</f>
        <v>3805</v>
      </c>
      <c r="E255" s="34">
        <f t="shared" si="32"/>
        <v>4331</v>
      </c>
      <c r="F255" s="24">
        <f t="shared" si="32"/>
        <v>0</v>
      </c>
      <c r="G255" s="24">
        <f t="shared" si="32"/>
        <v>0</v>
      </c>
      <c r="H255" s="24">
        <f t="shared" si="32"/>
        <v>415</v>
      </c>
      <c r="I255" s="24">
        <f t="shared" si="32"/>
        <v>0</v>
      </c>
      <c r="J255" s="24">
        <f t="shared" si="32"/>
        <v>112</v>
      </c>
      <c r="K255" s="24">
        <f t="shared" si="32"/>
        <v>0</v>
      </c>
      <c r="L255" s="24">
        <f>SUM(F255:K255)</f>
        <v>527</v>
      </c>
      <c r="M255" s="34">
        <f t="shared" si="24"/>
        <v>0</v>
      </c>
      <c r="N255" s="34">
        <f t="shared" si="25"/>
        <v>526</v>
      </c>
      <c r="O255" s="34">
        <f>SUBTOTAL(9,O249:O254)</f>
        <v>4331</v>
      </c>
      <c r="P255" s="34">
        <f>SUBTOTAL(9,P249:P254)</f>
        <v>3042</v>
      </c>
      <c r="Q255" s="34">
        <f>SUBTOTAL(9,Q249:Q254)</f>
        <v>-366</v>
      </c>
      <c r="R255" s="34">
        <f>SUBTOTAL(9,R249:R254)</f>
        <v>2677</v>
      </c>
      <c r="S255" s="34">
        <f>SUBTOTAL(9,S249:S254)</f>
        <v>2166</v>
      </c>
      <c r="T255" s="34">
        <f>R255-S255</f>
        <v>511</v>
      </c>
      <c r="U255" s="38">
        <f>IFERROR((R255/O255)*100%,"∞")</f>
        <v>0.61810205495266679</v>
      </c>
      <c r="V255" s="59">
        <f>O255+W255</f>
        <v>4707</v>
      </c>
      <c r="W255" s="34">
        <f>SUBTOTAL(9,W249:W254)</f>
        <v>376</v>
      </c>
      <c r="X255" s="34">
        <f>SUBTOTAL(9,X249:X254)</f>
        <v>376</v>
      </c>
      <c r="Y255" s="34"/>
      <c r="Z255" s="34"/>
      <c r="AA255" s="41"/>
      <c r="AB255" s="60"/>
      <c r="AC255" s="102">
        <f>SUBTOTAL(9,AC174:AC254)</f>
        <v>0</v>
      </c>
      <c r="AD255" s="34">
        <f>SUBTOTAL(9,AD174:AD254)</f>
        <v>0</v>
      </c>
      <c r="AE255" s="34"/>
      <c r="AF255" s="34"/>
      <c r="AG255" s="103"/>
    </row>
    <row r="256" spans="1:33" ht="13" outlineLevel="2" x14ac:dyDescent="0.3">
      <c r="A256" t="s">
        <v>1085</v>
      </c>
      <c r="C256" s="31" t="s">
        <v>108</v>
      </c>
      <c r="D256" s="33">
        <v>742</v>
      </c>
      <c r="E256" s="33">
        <v>881</v>
      </c>
      <c r="F256" s="23">
        <v>0</v>
      </c>
      <c r="G256" s="23">
        <v>0</v>
      </c>
      <c r="H256" s="23">
        <v>59</v>
      </c>
      <c r="I256" s="23">
        <v>0</v>
      </c>
      <c r="J256" s="23">
        <v>81</v>
      </c>
      <c r="K256" s="23">
        <v>0</v>
      </c>
      <c r="L256" s="23">
        <f t="shared" si="23"/>
        <v>140</v>
      </c>
      <c r="M256" s="33">
        <f t="shared" si="24"/>
        <v>0</v>
      </c>
      <c r="N256" s="33">
        <f t="shared" si="25"/>
        <v>139</v>
      </c>
      <c r="O256" s="33">
        <v>881</v>
      </c>
      <c r="P256" s="33">
        <v>540</v>
      </c>
      <c r="Q256" s="33">
        <v>0</v>
      </c>
      <c r="R256" s="33">
        <v>540</v>
      </c>
      <c r="S256" s="33">
        <v>441</v>
      </c>
      <c r="T256" s="33">
        <f t="shared" si="26"/>
        <v>99</v>
      </c>
      <c r="U256" s="38">
        <f t="shared" si="27"/>
        <v>0.61293984108967081</v>
      </c>
      <c r="V256" s="59">
        <f t="shared" si="28"/>
        <v>881</v>
      </c>
      <c r="W256" s="33">
        <v>0</v>
      </c>
      <c r="X256" s="33">
        <v>0</v>
      </c>
      <c r="Y256" s="33"/>
      <c r="Z256" s="33"/>
      <c r="AA256" s="42"/>
      <c r="AB256" s="60"/>
      <c r="AC256" s="105"/>
      <c r="AD256" s="93"/>
      <c r="AE256" s="33">
        <f t="shared" si="29"/>
        <v>0</v>
      </c>
      <c r="AF256" s="33">
        <f t="shared" si="30"/>
        <v>540</v>
      </c>
      <c r="AG256" s="101">
        <f t="shared" si="31"/>
        <v>-341</v>
      </c>
    </row>
    <row r="257" spans="1:33" ht="13" outlineLevel="2" x14ac:dyDescent="0.3">
      <c r="A257" t="s">
        <v>1085</v>
      </c>
      <c r="C257" s="31" t="s">
        <v>109</v>
      </c>
      <c r="D257" s="33">
        <v>347</v>
      </c>
      <c r="E257" s="33">
        <v>380</v>
      </c>
      <c r="F257" s="23">
        <v>0</v>
      </c>
      <c r="G257" s="23">
        <v>0</v>
      </c>
      <c r="H257" s="23">
        <v>33</v>
      </c>
      <c r="I257" s="23">
        <v>0</v>
      </c>
      <c r="J257" s="23">
        <v>0</v>
      </c>
      <c r="K257" s="23">
        <v>0</v>
      </c>
      <c r="L257" s="23">
        <f t="shared" si="23"/>
        <v>33</v>
      </c>
      <c r="M257" s="33">
        <f t="shared" si="24"/>
        <v>0</v>
      </c>
      <c r="N257" s="33">
        <f t="shared" si="25"/>
        <v>33</v>
      </c>
      <c r="O257" s="33">
        <v>380</v>
      </c>
      <c r="P257" s="33">
        <v>188</v>
      </c>
      <c r="Q257" s="33">
        <v>0</v>
      </c>
      <c r="R257" s="33">
        <v>188</v>
      </c>
      <c r="S257" s="33">
        <v>190</v>
      </c>
      <c r="T257" s="33">
        <f t="shared" si="26"/>
        <v>-2</v>
      </c>
      <c r="U257" s="38">
        <f t="shared" si="27"/>
        <v>0.49473684210526314</v>
      </c>
      <c r="V257" s="59">
        <f t="shared" si="28"/>
        <v>380</v>
      </c>
      <c r="W257" s="33">
        <v>0</v>
      </c>
      <c r="X257" s="33">
        <v>0</v>
      </c>
      <c r="Y257" s="33"/>
      <c r="Z257" s="33"/>
      <c r="AA257" s="42"/>
      <c r="AB257" s="60"/>
      <c r="AC257" s="105"/>
      <c r="AD257" s="93"/>
      <c r="AE257" s="33">
        <f t="shared" si="29"/>
        <v>0</v>
      </c>
      <c r="AF257" s="33">
        <f t="shared" si="30"/>
        <v>188</v>
      </c>
      <c r="AG257" s="101">
        <f t="shared" si="31"/>
        <v>-192</v>
      </c>
    </row>
    <row r="258" spans="1:33" ht="13" outlineLevel="1" x14ac:dyDescent="0.3">
      <c r="A258" t="s">
        <v>1086</v>
      </c>
      <c r="C258" s="32" t="s">
        <v>110</v>
      </c>
      <c r="D258" s="34">
        <f t="shared" ref="D258:K258" si="33">SUBTOTAL(9,D256:D257)</f>
        <v>1089</v>
      </c>
      <c r="E258" s="34">
        <f t="shared" si="33"/>
        <v>1261</v>
      </c>
      <c r="F258" s="24">
        <f t="shared" si="33"/>
        <v>0</v>
      </c>
      <c r="G258" s="24">
        <f t="shared" si="33"/>
        <v>0</v>
      </c>
      <c r="H258" s="24">
        <f t="shared" si="33"/>
        <v>92</v>
      </c>
      <c r="I258" s="24">
        <f t="shared" si="33"/>
        <v>0</v>
      </c>
      <c r="J258" s="24">
        <f t="shared" si="33"/>
        <v>81</v>
      </c>
      <c r="K258" s="24">
        <f t="shared" si="33"/>
        <v>0</v>
      </c>
      <c r="L258" s="24">
        <f>SUM(F258:K258)</f>
        <v>173</v>
      </c>
      <c r="M258" s="34">
        <f t="shared" si="24"/>
        <v>0</v>
      </c>
      <c r="N258" s="34">
        <f t="shared" si="25"/>
        <v>172</v>
      </c>
      <c r="O258" s="34">
        <f>SUBTOTAL(9,O256:O257)</f>
        <v>1261</v>
      </c>
      <c r="P258" s="34">
        <f>SUBTOTAL(9,P256:P257)</f>
        <v>728</v>
      </c>
      <c r="Q258" s="34">
        <f>SUBTOTAL(9,Q256:Q257)</f>
        <v>0</v>
      </c>
      <c r="R258" s="34">
        <f>SUBTOTAL(9,R256:R257)</f>
        <v>728</v>
      </c>
      <c r="S258" s="34">
        <f>SUBTOTAL(9,S256:S257)</f>
        <v>631</v>
      </c>
      <c r="T258" s="34">
        <f>R258-S258</f>
        <v>97</v>
      </c>
      <c r="U258" s="38">
        <f>IFERROR((R258/O258)*100%,"∞")</f>
        <v>0.57731958762886593</v>
      </c>
      <c r="V258" s="59">
        <f>O258+W258</f>
        <v>1261</v>
      </c>
      <c r="W258" s="34">
        <f>SUBTOTAL(9,W256:W257)</f>
        <v>0</v>
      </c>
      <c r="X258" s="34">
        <f>SUBTOTAL(9,X256:X257)</f>
        <v>0</v>
      </c>
      <c r="Y258" s="34"/>
      <c r="Z258" s="34"/>
      <c r="AA258" s="41"/>
      <c r="AB258" s="60"/>
      <c r="AC258" s="102">
        <f>SUBTOTAL(9,AC177:AC257)</f>
        <v>0</v>
      </c>
      <c r="AD258" s="34">
        <f>SUBTOTAL(9,AD177:AD257)</f>
        <v>0</v>
      </c>
      <c r="AE258" s="34"/>
      <c r="AF258" s="34"/>
      <c r="AG258" s="103"/>
    </row>
    <row r="259" spans="1:33" ht="13" outlineLevel="2" x14ac:dyDescent="0.3">
      <c r="A259" t="s">
        <v>1085</v>
      </c>
      <c r="C259" s="31" t="s">
        <v>111</v>
      </c>
      <c r="D259" s="33">
        <v>715</v>
      </c>
      <c r="E259" s="33">
        <v>764</v>
      </c>
      <c r="F259" s="23">
        <v>0</v>
      </c>
      <c r="G259" s="23">
        <v>0</v>
      </c>
      <c r="H259" s="23">
        <v>50</v>
      </c>
      <c r="I259" s="23">
        <v>0</v>
      </c>
      <c r="J259" s="23">
        <v>0</v>
      </c>
      <c r="K259" s="23">
        <v>0</v>
      </c>
      <c r="L259" s="23">
        <f t="shared" si="23"/>
        <v>50</v>
      </c>
      <c r="M259" s="33">
        <f t="shared" si="24"/>
        <v>0</v>
      </c>
      <c r="N259" s="33">
        <f t="shared" si="25"/>
        <v>49</v>
      </c>
      <c r="O259" s="33">
        <v>764</v>
      </c>
      <c r="P259" s="33">
        <v>365</v>
      </c>
      <c r="Q259" s="33">
        <v>-7</v>
      </c>
      <c r="R259" s="33">
        <v>357</v>
      </c>
      <c r="S259" s="33">
        <v>382</v>
      </c>
      <c r="T259" s="33">
        <f t="shared" si="26"/>
        <v>-25</v>
      </c>
      <c r="U259" s="38">
        <f t="shared" si="27"/>
        <v>0.46727748691099474</v>
      </c>
      <c r="V259" s="59">
        <f t="shared" si="28"/>
        <v>741</v>
      </c>
      <c r="W259" s="33">
        <v>-23</v>
      </c>
      <c r="X259" s="33">
        <v>-23</v>
      </c>
      <c r="Y259" s="33"/>
      <c r="Z259" s="33"/>
      <c r="AA259" s="42"/>
      <c r="AB259" s="60"/>
      <c r="AC259" s="105"/>
      <c r="AD259" s="93"/>
      <c r="AE259" s="33">
        <f t="shared" si="29"/>
        <v>0</v>
      </c>
      <c r="AF259" s="33">
        <f t="shared" si="30"/>
        <v>357</v>
      </c>
      <c r="AG259" s="101">
        <f t="shared" si="31"/>
        <v>-407</v>
      </c>
    </row>
    <row r="260" spans="1:33" ht="13" outlineLevel="2" x14ac:dyDescent="0.3">
      <c r="A260" t="s">
        <v>1085</v>
      </c>
      <c r="C260" s="31" t="s">
        <v>112</v>
      </c>
      <c r="D260" s="33">
        <v>401</v>
      </c>
      <c r="E260" s="33">
        <v>418</v>
      </c>
      <c r="F260" s="23">
        <v>0</v>
      </c>
      <c r="G260" s="23">
        <v>0</v>
      </c>
      <c r="H260" s="23">
        <v>17</v>
      </c>
      <c r="I260" s="23">
        <v>0</v>
      </c>
      <c r="J260" s="23">
        <v>0</v>
      </c>
      <c r="K260" s="23">
        <v>0</v>
      </c>
      <c r="L260" s="23">
        <f t="shared" si="23"/>
        <v>17</v>
      </c>
      <c r="M260" s="33">
        <f t="shared" si="24"/>
        <v>0</v>
      </c>
      <c r="N260" s="33">
        <f t="shared" si="25"/>
        <v>17</v>
      </c>
      <c r="O260" s="33">
        <v>418</v>
      </c>
      <c r="P260" s="33">
        <v>566</v>
      </c>
      <c r="Q260" s="33">
        <v>-260</v>
      </c>
      <c r="R260" s="33">
        <v>306</v>
      </c>
      <c r="S260" s="33">
        <v>209</v>
      </c>
      <c r="T260" s="33">
        <f t="shared" si="26"/>
        <v>97</v>
      </c>
      <c r="U260" s="38">
        <f t="shared" si="27"/>
        <v>0.73205741626794263</v>
      </c>
      <c r="V260" s="59">
        <f t="shared" si="28"/>
        <v>438</v>
      </c>
      <c r="W260" s="33">
        <v>20</v>
      </c>
      <c r="X260" s="33">
        <v>20</v>
      </c>
      <c r="Y260" s="33"/>
      <c r="Z260" s="33"/>
      <c r="AA260" s="42"/>
      <c r="AB260" s="60"/>
      <c r="AC260" s="105"/>
      <c r="AD260" s="93"/>
      <c r="AE260" s="33">
        <f t="shared" si="29"/>
        <v>0</v>
      </c>
      <c r="AF260" s="33">
        <f t="shared" si="30"/>
        <v>306</v>
      </c>
      <c r="AG260" s="101">
        <f t="shared" si="31"/>
        <v>-112</v>
      </c>
    </row>
    <row r="261" spans="1:33" ht="13" outlineLevel="2" x14ac:dyDescent="0.3">
      <c r="A261" t="s">
        <v>1085</v>
      </c>
      <c r="C261" s="31" t="s">
        <v>113</v>
      </c>
      <c r="D261" s="33">
        <v>1518</v>
      </c>
      <c r="E261" s="33">
        <v>1670</v>
      </c>
      <c r="F261" s="23">
        <v>0</v>
      </c>
      <c r="G261" s="23">
        <v>0</v>
      </c>
      <c r="H261" s="23">
        <v>174</v>
      </c>
      <c r="I261" s="23">
        <v>0</v>
      </c>
      <c r="J261" s="23">
        <v>-22</v>
      </c>
      <c r="K261" s="23">
        <v>0</v>
      </c>
      <c r="L261" s="23">
        <f t="shared" si="23"/>
        <v>152</v>
      </c>
      <c r="M261" s="33">
        <f t="shared" si="24"/>
        <v>0</v>
      </c>
      <c r="N261" s="33">
        <f t="shared" si="25"/>
        <v>152</v>
      </c>
      <c r="O261" s="33">
        <v>1670</v>
      </c>
      <c r="P261" s="33">
        <v>1026</v>
      </c>
      <c r="Q261" s="33">
        <v>-159</v>
      </c>
      <c r="R261" s="33">
        <v>866</v>
      </c>
      <c r="S261" s="33">
        <v>835</v>
      </c>
      <c r="T261" s="33">
        <f t="shared" si="26"/>
        <v>31</v>
      </c>
      <c r="U261" s="38">
        <f t="shared" si="27"/>
        <v>0.51856287425149705</v>
      </c>
      <c r="V261" s="59">
        <f t="shared" si="28"/>
        <v>1780</v>
      </c>
      <c r="W261" s="33">
        <v>110</v>
      </c>
      <c r="X261" s="33">
        <v>110</v>
      </c>
      <c r="Y261" s="33"/>
      <c r="Z261" s="33"/>
      <c r="AA261" s="42"/>
      <c r="AB261" s="60"/>
      <c r="AC261" s="105"/>
      <c r="AD261" s="93"/>
      <c r="AE261" s="33">
        <f t="shared" si="29"/>
        <v>0</v>
      </c>
      <c r="AF261" s="33">
        <f t="shared" si="30"/>
        <v>866</v>
      </c>
      <c r="AG261" s="101">
        <f t="shared" si="31"/>
        <v>-804</v>
      </c>
    </row>
    <row r="262" spans="1:33" ht="13" outlineLevel="1" x14ac:dyDescent="0.3">
      <c r="A262" t="s">
        <v>1086</v>
      </c>
      <c r="C262" s="32" t="s">
        <v>114</v>
      </c>
      <c r="D262" s="34">
        <f t="shared" ref="D262:K262" si="34">SUBTOTAL(9,D259:D261)</f>
        <v>2634</v>
      </c>
      <c r="E262" s="34">
        <f t="shared" si="34"/>
        <v>2852</v>
      </c>
      <c r="F262" s="24">
        <f t="shared" si="34"/>
        <v>0</v>
      </c>
      <c r="G262" s="24">
        <f t="shared" si="34"/>
        <v>0</v>
      </c>
      <c r="H262" s="24">
        <f t="shared" si="34"/>
        <v>241</v>
      </c>
      <c r="I262" s="24">
        <f t="shared" si="34"/>
        <v>0</v>
      </c>
      <c r="J262" s="24">
        <f t="shared" si="34"/>
        <v>-22</v>
      </c>
      <c r="K262" s="24">
        <f t="shared" si="34"/>
        <v>0</v>
      </c>
      <c r="L262" s="24">
        <f>SUM(F262:K262)</f>
        <v>219</v>
      </c>
      <c r="M262" s="34">
        <f t="shared" si="24"/>
        <v>0</v>
      </c>
      <c r="N262" s="34">
        <f t="shared" si="25"/>
        <v>218</v>
      </c>
      <c r="O262" s="34">
        <f>SUBTOTAL(9,O259:O261)</f>
        <v>2852</v>
      </c>
      <c r="P262" s="34">
        <f>SUBTOTAL(9,P259:P261)</f>
        <v>1957</v>
      </c>
      <c r="Q262" s="34">
        <f>SUBTOTAL(9,Q259:Q261)</f>
        <v>-426</v>
      </c>
      <c r="R262" s="34">
        <f>SUBTOTAL(9,R259:R261)</f>
        <v>1529</v>
      </c>
      <c r="S262" s="34">
        <f>SUBTOTAL(9,S259:S261)</f>
        <v>1426</v>
      </c>
      <c r="T262" s="34">
        <f>R262-S262</f>
        <v>103</v>
      </c>
      <c r="U262" s="38">
        <f>IFERROR((R262/O262)*100%,"∞")</f>
        <v>0.53611500701262271</v>
      </c>
      <c r="V262" s="59">
        <f>O262+W262</f>
        <v>2959</v>
      </c>
      <c r="W262" s="34">
        <f>SUBTOTAL(9,W259:W261)</f>
        <v>107</v>
      </c>
      <c r="X262" s="34">
        <f>SUBTOTAL(9,X259:X261)</f>
        <v>107</v>
      </c>
      <c r="Y262" s="34"/>
      <c r="Z262" s="34"/>
      <c r="AA262" s="41"/>
      <c r="AB262" s="60"/>
      <c r="AC262" s="102">
        <f>SUBTOTAL(9,AC181:AC261)</f>
        <v>0</v>
      </c>
      <c r="AD262" s="34">
        <f>SUBTOTAL(9,AD181:AD261)</f>
        <v>0</v>
      </c>
      <c r="AE262" s="34"/>
      <c r="AF262" s="34"/>
      <c r="AG262" s="103"/>
    </row>
    <row r="263" spans="1:33" ht="14.5" customHeight="1" thickBot="1" x14ac:dyDescent="0.35">
      <c r="A263" s="7" t="s">
        <v>1086</v>
      </c>
      <c r="C263" s="53" t="s">
        <v>115</v>
      </c>
      <c r="D263" s="35">
        <f t="shared" ref="D263:K263" si="35">SUBTOTAL(9,D243:D262)</f>
        <v>16347</v>
      </c>
      <c r="E263" s="35">
        <f t="shared" si="35"/>
        <v>17990</v>
      </c>
      <c r="F263" s="25">
        <f t="shared" si="35"/>
        <v>0</v>
      </c>
      <c r="G263" s="25">
        <f t="shared" si="35"/>
        <v>0</v>
      </c>
      <c r="H263" s="25">
        <f t="shared" si="35"/>
        <v>1585</v>
      </c>
      <c r="I263" s="25">
        <f t="shared" si="35"/>
        <v>0</v>
      </c>
      <c r="J263" s="25">
        <f t="shared" si="35"/>
        <v>60</v>
      </c>
      <c r="K263" s="25">
        <f t="shared" si="35"/>
        <v>0</v>
      </c>
      <c r="L263" s="25">
        <f>SUM(F263:K263)</f>
        <v>1645</v>
      </c>
      <c r="M263" s="35">
        <f t="shared" si="24"/>
        <v>0</v>
      </c>
      <c r="N263" s="35">
        <f t="shared" si="25"/>
        <v>1643</v>
      </c>
      <c r="O263" s="35">
        <f>SUBTOTAL(9,O243:O262)</f>
        <v>17990</v>
      </c>
      <c r="P263" s="35">
        <f>SUBTOTAL(9,P243:P262)</f>
        <v>11014</v>
      </c>
      <c r="Q263" s="35">
        <f>SUBTOTAL(9,Q243:Q262)</f>
        <v>-813</v>
      </c>
      <c r="R263" s="35">
        <f>SUBTOTAL(9,R243:R262)</f>
        <v>10200</v>
      </c>
      <c r="S263" s="35">
        <f>SUBTOTAL(9,S243:S262)</f>
        <v>8996</v>
      </c>
      <c r="T263" s="35">
        <f>R263-S263</f>
        <v>1204</v>
      </c>
      <c r="U263" s="39">
        <f>IFERROR((R263/O263)*100%,"∞")</f>
        <v>0.56698165647581988</v>
      </c>
      <c r="V263" s="54">
        <f>O263+W263</f>
        <v>19484</v>
      </c>
      <c r="W263" s="35">
        <f>SUBTOTAL(9,W243:W262)</f>
        <v>1494</v>
      </c>
      <c r="X263" s="35">
        <f>SUBTOTAL(9,X243:X262)</f>
        <v>1494</v>
      </c>
      <c r="Y263" s="35"/>
      <c r="Z263" s="35"/>
      <c r="AA263" s="43"/>
      <c r="AB263" s="60"/>
      <c r="AC263" s="104">
        <f>SUBTOTAL(9,AC181:AC262)</f>
        <v>0</v>
      </c>
      <c r="AD263" s="104">
        <f>SUBTOTAL(9,AD181:AD262)</f>
        <v>0</v>
      </c>
      <c r="AE263" s="35">
        <f>SUM(AC263:AD263)</f>
        <v>0</v>
      </c>
      <c r="AF263" s="35">
        <f>R263+AE263</f>
        <v>10200</v>
      </c>
      <c r="AG263" s="43">
        <f>AF263-O263</f>
        <v>-7790</v>
      </c>
    </row>
    <row r="264" spans="1:33" ht="14" hidden="1" thickTop="1" thickBot="1" x14ac:dyDescent="0.35">
      <c r="A264" t="s">
        <v>1033</v>
      </c>
      <c r="C264" s="31">
        <v>0</v>
      </c>
      <c r="D264" s="33">
        <v>0</v>
      </c>
      <c r="E264" s="33">
        <v>0</v>
      </c>
      <c r="F264" s="23"/>
      <c r="G264" s="23"/>
      <c r="H264" s="23"/>
      <c r="I264" s="23"/>
      <c r="J264" s="23"/>
      <c r="K264" s="23"/>
      <c r="L264" s="23">
        <f>SUM(F264:K264)</f>
        <v>0</v>
      </c>
      <c r="M264" s="33">
        <f>O264-E264</f>
        <v>0</v>
      </c>
      <c r="N264" s="33">
        <f>O264-D264</f>
        <v>0</v>
      </c>
      <c r="O264" s="33">
        <v>0</v>
      </c>
      <c r="P264" s="33">
        <v>0</v>
      </c>
      <c r="Q264" s="33">
        <v>0</v>
      </c>
      <c r="R264" s="33">
        <v>0</v>
      </c>
      <c r="S264" s="33">
        <v>0</v>
      </c>
      <c r="T264" s="33">
        <f>R264-S264</f>
        <v>0</v>
      </c>
      <c r="U264" s="38" t="str">
        <f>IFERROR((R264/O264)*100%,"∞")</f>
        <v>∞</v>
      </c>
      <c r="V264" s="59">
        <f>O264+W264</f>
        <v>0</v>
      </c>
      <c r="W264" s="33">
        <v>0</v>
      </c>
      <c r="X264" s="33">
        <v>0</v>
      </c>
      <c r="Y264" s="33"/>
      <c r="Z264" s="33"/>
      <c r="AA264" s="42"/>
      <c r="AB264" s="60"/>
      <c r="AC264" s="105"/>
      <c r="AD264" s="93"/>
      <c r="AE264" s="33">
        <f>SUM(AC264:AD264)</f>
        <v>0</v>
      </c>
      <c r="AF264" s="33">
        <f>R264+AE264</f>
        <v>0</v>
      </c>
      <c r="AG264" s="101">
        <f>AF264-O264</f>
        <v>0</v>
      </c>
    </row>
    <row r="265" spans="1:33" ht="14" hidden="1" thickTop="1" thickBot="1" x14ac:dyDescent="0.35">
      <c r="A265" t="s">
        <v>1034</v>
      </c>
      <c r="C265" s="32" t="s">
        <v>1035</v>
      </c>
      <c r="D265" s="34"/>
      <c r="E265" s="34"/>
      <c r="F265" s="24"/>
      <c r="G265" s="24"/>
      <c r="H265" s="24"/>
      <c r="I265" s="24"/>
      <c r="J265" s="24"/>
      <c r="K265" s="24"/>
      <c r="L265" s="24">
        <f>SUM(F265:K265)</f>
        <v>0</v>
      </c>
      <c r="M265" s="34">
        <f t="shared" ref="M265:M266" si="36">O265-E265</f>
        <v>0</v>
      </c>
      <c r="N265" s="34">
        <f t="shared" ref="N265:N266" si="37">O265-D265</f>
        <v>0</v>
      </c>
      <c r="O265" s="34"/>
      <c r="P265" s="34"/>
      <c r="Q265" s="34"/>
      <c r="R265" s="34"/>
      <c r="S265" s="34"/>
      <c r="T265" s="34">
        <f>R265-S265</f>
        <v>0</v>
      </c>
      <c r="U265" s="38" t="str">
        <f>IFERROR((R265/O265)*100%,"∞")</f>
        <v>∞</v>
      </c>
      <c r="V265" s="59">
        <f>O265+W265</f>
        <v>0</v>
      </c>
      <c r="W265" s="34"/>
      <c r="X265" s="34"/>
      <c r="Y265" s="34"/>
      <c r="Z265" s="34"/>
      <c r="AA265" s="41"/>
      <c r="AB265" s="60"/>
      <c r="AC265" s="102">
        <f>SUBTOTAL(9,AC184:AC264)</f>
        <v>0</v>
      </c>
      <c r="AD265" s="34">
        <f>SUBTOTAL(9,AD184:AD264)</f>
        <v>0</v>
      </c>
      <c r="AE265" s="34"/>
      <c r="AF265" s="34"/>
      <c r="AG265" s="103"/>
    </row>
    <row r="266" spans="1:33" ht="14" hidden="1" thickTop="1" thickBot="1" x14ac:dyDescent="0.35">
      <c r="A266" s="7" t="s">
        <v>1036</v>
      </c>
      <c r="C266" s="53" t="s">
        <v>1037</v>
      </c>
      <c r="D266" s="35"/>
      <c r="E266" s="35"/>
      <c r="F266" s="25"/>
      <c r="G266" s="25"/>
      <c r="H266" s="25"/>
      <c r="I266" s="25"/>
      <c r="J266" s="25"/>
      <c r="K266" s="25"/>
      <c r="L266" s="25">
        <f>SUM(F266:K266)</f>
        <v>0</v>
      </c>
      <c r="M266" s="35">
        <f t="shared" si="36"/>
        <v>0</v>
      </c>
      <c r="N266" s="35">
        <f t="shared" si="37"/>
        <v>0</v>
      </c>
      <c r="O266" s="35"/>
      <c r="P266" s="35"/>
      <c r="Q266" s="35"/>
      <c r="R266" s="35"/>
      <c r="S266" s="35"/>
      <c r="T266" s="35">
        <f>R266-S266</f>
        <v>0</v>
      </c>
      <c r="U266" s="39" t="str">
        <f>IFERROR((R266/O266)*100%,"∞")</f>
        <v>∞</v>
      </c>
      <c r="V266" s="54">
        <f>O266+W266</f>
        <v>0</v>
      </c>
      <c r="W266" s="35"/>
      <c r="X266" s="35"/>
      <c r="Y266" s="35"/>
      <c r="Z266" s="35"/>
      <c r="AA266" s="43"/>
      <c r="AB266" s="60"/>
      <c r="AC266" s="104">
        <f>SUBTOTAL(9,AC184:AC265)</f>
        <v>0</v>
      </c>
      <c r="AD266" s="104">
        <f>SUBTOTAL(9,AD184:AD265)</f>
        <v>0</v>
      </c>
      <c r="AE266" s="35">
        <f>SUM(AC266:AD266)</f>
        <v>0</v>
      </c>
      <c r="AF266" s="35">
        <f>R266+AE266</f>
        <v>0</v>
      </c>
      <c r="AG266" s="43">
        <f>AF266-O266</f>
        <v>0</v>
      </c>
    </row>
    <row r="267" spans="1:33" ht="14" thickTop="1" thickBot="1" x14ac:dyDescent="0.35">
      <c r="C267" s="61"/>
      <c r="D267" s="62"/>
      <c r="E267" s="62"/>
      <c r="F267" s="65"/>
      <c r="G267" s="65"/>
      <c r="H267" s="65"/>
      <c r="I267" s="65"/>
      <c r="J267" s="65"/>
      <c r="K267" s="65"/>
      <c r="L267" s="65"/>
      <c r="M267" s="62"/>
      <c r="N267" s="62"/>
      <c r="O267" s="62"/>
      <c r="P267" s="62"/>
      <c r="Q267" s="62"/>
      <c r="R267" s="62"/>
      <c r="S267" s="62"/>
      <c r="T267" s="62"/>
      <c r="U267" s="62"/>
      <c r="V267" s="64"/>
      <c r="W267" s="62"/>
      <c r="X267" s="62"/>
      <c r="Y267" s="62"/>
      <c r="Z267" s="62"/>
      <c r="AA267" s="63"/>
      <c r="AB267" s="60"/>
      <c r="AC267" s="61"/>
      <c r="AD267" s="62"/>
      <c r="AE267" s="62"/>
      <c r="AF267" s="62"/>
      <c r="AG267" s="63"/>
    </row>
    <row r="268" spans="1:33" ht="13.5" thickBot="1" x14ac:dyDescent="0.35">
      <c r="C268" s="50" t="s">
        <v>116</v>
      </c>
      <c r="D268" s="51">
        <f>SUBTOTAL(9,D184:D267)</f>
        <v>33641</v>
      </c>
      <c r="E268" s="51">
        <f t="shared" ref="E268:K268" si="38">SUBTOTAL(9,E184:E267)</f>
        <v>40170</v>
      </c>
      <c r="F268" s="51">
        <f t="shared" si="38"/>
        <v>141</v>
      </c>
      <c r="G268" s="51">
        <f t="shared" si="38"/>
        <v>68</v>
      </c>
      <c r="H268" s="51">
        <f t="shared" si="38"/>
        <v>6388</v>
      </c>
      <c r="I268" s="51">
        <f t="shared" si="38"/>
        <v>0</v>
      </c>
      <c r="J268" s="51">
        <f t="shared" si="38"/>
        <v>0</v>
      </c>
      <c r="K268" s="51">
        <f t="shared" si="38"/>
        <v>0</v>
      </c>
      <c r="L268" s="51">
        <f>SUM(F268:K268)</f>
        <v>6597</v>
      </c>
      <c r="M268" s="51">
        <f>O268-E268</f>
        <v>67</v>
      </c>
      <c r="N268" s="51">
        <f>O268-D268</f>
        <v>6596</v>
      </c>
      <c r="O268" s="51">
        <f t="shared" ref="O268:S268" si="39">SUBTOTAL(9,O184:O267)</f>
        <v>40237</v>
      </c>
      <c r="P268" s="51">
        <f t="shared" si="39"/>
        <v>49399</v>
      </c>
      <c r="Q268" s="51">
        <f t="shared" si="39"/>
        <v>-26157</v>
      </c>
      <c r="R268" s="51">
        <f t="shared" si="39"/>
        <v>23239</v>
      </c>
      <c r="S268" s="51">
        <f t="shared" si="39"/>
        <v>21216</v>
      </c>
      <c r="T268" s="51">
        <f>R268-S268</f>
        <v>2023</v>
      </c>
      <c r="U268" s="52">
        <f>IFERROR((R268/O268)*100%,"∞")</f>
        <v>0.57755299848398245</v>
      </c>
      <c r="V268" s="51">
        <f>O268+W268</f>
        <v>41890</v>
      </c>
      <c r="W268" s="51">
        <f t="shared" ref="W268:AD268" si="40">SUBTOTAL(9,W184:W267)</f>
        <v>1653</v>
      </c>
      <c r="X268" s="51">
        <f t="shared" si="40"/>
        <v>1653</v>
      </c>
      <c r="Y268" s="51">
        <f t="shared" si="40"/>
        <v>0</v>
      </c>
      <c r="Z268" s="51">
        <f t="shared" si="40"/>
        <v>0</v>
      </c>
      <c r="AA268" s="51">
        <f t="shared" si="40"/>
        <v>0</v>
      </c>
      <c r="AB268" s="60"/>
      <c r="AC268" s="51">
        <f t="shared" si="40"/>
        <v>0</v>
      </c>
      <c r="AD268" s="51">
        <f t="shared" si="40"/>
        <v>0</v>
      </c>
      <c r="AE268" s="51">
        <f>SUM(AC268:AD268)</f>
        <v>0</v>
      </c>
      <c r="AF268" s="51">
        <f>R268+AE268</f>
        <v>23239</v>
      </c>
      <c r="AG268" s="51">
        <f>AF268-O268</f>
        <v>-16998</v>
      </c>
    </row>
    <row r="269" spans="1:33" ht="13.5" thickTop="1" x14ac:dyDescent="0.3">
      <c r="C269" s="71"/>
      <c r="D269" s="72"/>
      <c r="E269" s="72"/>
      <c r="F269" s="73"/>
      <c r="G269" s="73"/>
      <c r="H269" s="73"/>
      <c r="I269" s="73"/>
      <c r="J269" s="73"/>
      <c r="K269" s="73"/>
      <c r="L269" s="73"/>
      <c r="M269" s="72"/>
      <c r="N269" s="72"/>
      <c r="O269" s="72"/>
      <c r="P269" s="72"/>
      <c r="Q269" s="72"/>
      <c r="R269" s="72"/>
      <c r="S269" s="72"/>
      <c r="T269" s="72"/>
      <c r="U269" s="72"/>
      <c r="V269" s="74"/>
      <c r="W269" s="72"/>
      <c r="X269" s="72"/>
      <c r="Y269" s="72"/>
      <c r="Z269" s="72"/>
      <c r="AA269" s="75"/>
      <c r="AB269" s="60"/>
      <c r="AC269" s="71"/>
      <c r="AD269" s="72"/>
      <c r="AE269" s="72"/>
      <c r="AF269" s="72"/>
      <c r="AG269" s="75"/>
    </row>
    <row r="270" spans="1:33" ht="13" hidden="1" outlineLevel="1" x14ac:dyDescent="0.3">
      <c r="A270" s="20" t="s">
        <v>1038</v>
      </c>
    </row>
    <row r="271" spans="1:33" hidden="1" outlineLevel="1" x14ac:dyDescent="0.25">
      <c r="A271" t="s">
        <v>944</v>
      </c>
      <c r="M271" s="19"/>
      <c r="N271" s="19"/>
    </row>
    <row r="272" spans="1:33" hidden="1" outlineLevel="1" x14ac:dyDescent="0.25">
      <c r="A272" t="s">
        <v>946</v>
      </c>
      <c r="E272" s="19"/>
    </row>
    <row r="273" spans="1:6" hidden="1" outlineLevel="1" x14ac:dyDescent="0.25">
      <c r="A273" t="s">
        <v>947</v>
      </c>
      <c r="E273" s="19"/>
      <c r="F273" s="19"/>
    </row>
    <row r="274" spans="1:6" ht="13" hidden="1" outlineLevel="1" x14ac:dyDescent="0.3">
      <c r="A274" s="20" t="s">
        <v>948</v>
      </c>
    </row>
    <row r="275" spans="1:6" hidden="1" outlineLevel="1" x14ac:dyDescent="0.25">
      <c r="A275" s="7" t="s">
        <v>949</v>
      </c>
    </row>
    <row r="276" spans="1:6" hidden="1" outlineLevel="1" x14ac:dyDescent="0.25">
      <c r="A276" t="s">
        <v>950</v>
      </c>
    </row>
    <row r="277" spans="1:6" hidden="1" outlineLevel="1" x14ac:dyDescent="0.25">
      <c r="A277" t="s">
        <v>951</v>
      </c>
    </row>
    <row r="278" spans="1:6" ht="13" hidden="1" outlineLevel="1" x14ac:dyDescent="0.3">
      <c r="A278" s="21" t="str">
        <f>CONCATENATE("sql where a.client = '",$D$172,"' and a.period between '",LEFT($D$170,4),"00' and '",LEFT($D$171,4),"14' and a.version like '%ORIG%'")</f>
        <v>sql where a.client = 'OX' and a.period between '202500' and '202514' and a.version like '%ORIG%'</v>
      </c>
    </row>
    <row r="279" spans="1:6" hidden="1" outlineLevel="1" x14ac:dyDescent="0.25">
      <c r="A279" t="s">
        <v>952</v>
      </c>
    </row>
    <row r="280" spans="1:6" hidden="1" outlineLevel="1" x14ac:dyDescent="0.25">
      <c r="A280" t="s">
        <v>953</v>
      </c>
    </row>
    <row r="281" spans="1:6" hidden="1" outlineLevel="1" x14ac:dyDescent="0.25">
      <c r="A281" t="s">
        <v>954</v>
      </c>
    </row>
    <row r="282" spans="1:6" ht="13" hidden="1" outlineLevel="1" x14ac:dyDescent="0.3">
      <c r="A282" s="20" t="s">
        <v>955</v>
      </c>
    </row>
    <row r="283" spans="1:6" hidden="1" outlineLevel="1" x14ac:dyDescent="0.25">
      <c r="A283" s="7" t="s">
        <v>956</v>
      </c>
    </row>
    <row r="284" spans="1:6" hidden="1" outlineLevel="1" x14ac:dyDescent="0.25">
      <c r="A284" t="s">
        <v>950</v>
      </c>
    </row>
    <row r="285" spans="1:6" hidden="1" outlineLevel="1" x14ac:dyDescent="0.25">
      <c r="A285" t="s">
        <v>951</v>
      </c>
    </row>
    <row r="286" spans="1:6" ht="14.5" hidden="1" outlineLevel="1" x14ac:dyDescent="0.35">
      <c r="A28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86" s="2"/>
    </row>
    <row r="287" spans="1:6" hidden="1" outlineLevel="1" x14ac:dyDescent="0.25">
      <c r="A287" t="s">
        <v>952</v>
      </c>
    </row>
    <row r="288" spans="1:6" hidden="1" outlineLevel="1" x14ac:dyDescent="0.25">
      <c r="A288" t="s">
        <v>953</v>
      </c>
    </row>
    <row r="289" spans="1:1" hidden="1" outlineLevel="1" x14ac:dyDescent="0.25">
      <c r="A289" t="s">
        <v>954</v>
      </c>
    </row>
    <row r="290" spans="1:1" ht="13" hidden="1" outlineLevel="1" x14ac:dyDescent="0.3">
      <c r="A290" s="66" t="s">
        <v>957</v>
      </c>
    </row>
    <row r="291" spans="1:1" hidden="1" outlineLevel="1" x14ac:dyDescent="0.25">
      <c r="A291" t="s">
        <v>958</v>
      </c>
    </row>
    <row r="292" spans="1:1" hidden="1" outlineLevel="1" x14ac:dyDescent="0.25">
      <c r="A292" t="s">
        <v>950</v>
      </c>
    </row>
    <row r="293" spans="1:1" ht="13" hidden="1" outlineLevel="1" x14ac:dyDescent="0.3">
      <c r="A29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94" spans="1:1" ht="13" hidden="1" outlineLevel="1" x14ac:dyDescent="0.3">
      <c r="A294" s="21" t="s">
        <v>959</v>
      </c>
    </row>
    <row r="295" spans="1:1" hidden="1" outlineLevel="1" x14ac:dyDescent="0.25">
      <c r="A295" t="s">
        <v>960</v>
      </c>
    </row>
    <row r="296" spans="1:1" hidden="1" outlineLevel="1" x14ac:dyDescent="0.25">
      <c r="A296" t="s">
        <v>961</v>
      </c>
    </row>
    <row r="297" spans="1:1" hidden="1" outlineLevel="1" x14ac:dyDescent="0.25">
      <c r="A297" t="str">
        <f>CONCATENATE("sql left outer join acrtrees t on t.client = x.client and x.dim_1 = t.cat_1 and t.att_agrid = '",$F$159,"'")</f>
        <v>sql left outer join acrtrees t on t.client = x.client and x.dim_1 = t.cat_1 and t.att_agrid = '53'</v>
      </c>
    </row>
    <row r="298" spans="1:1" ht="13" hidden="1" outlineLevel="1" x14ac:dyDescent="0.3">
      <c r="A29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99" spans="1:1" ht="13" hidden="1" outlineLevel="1" x14ac:dyDescent="0.3">
      <c r="A299" s="21" t="s">
        <v>962</v>
      </c>
    </row>
    <row r="300" spans="1:1" ht="13" hidden="1" outlineLevel="1" x14ac:dyDescent="0.3">
      <c r="A30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01" spans="1:1" ht="13" hidden="1" outlineLevel="1" x14ac:dyDescent="0.3">
      <c r="A301" s="21" t="s">
        <v>963</v>
      </c>
    </row>
    <row r="302" spans="1:1" hidden="1" outlineLevel="1" x14ac:dyDescent="0.25">
      <c r="A302" t="s">
        <v>964</v>
      </c>
    </row>
    <row r="303" spans="1:1" hidden="1" outlineLevel="1" x14ac:dyDescent="0.25">
      <c r="A303" t="s">
        <v>965</v>
      </c>
    </row>
    <row r="304" spans="1:1" hidden="1" outlineLevel="1" x14ac:dyDescent="0.25">
      <c r="A304" t="s">
        <v>966</v>
      </c>
    </row>
    <row r="305" spans="1:1" hidden="1" outlineLevel="1" x14ac:dyDescent="0.25">
      <c r="A305" t="s">
        <v>953</v>
      </c>
    </row>
    <row r="306" spans="1:1" hidden="1" outlineLevel="1" x14ac:dyDescent="0.25">
      <c r="A306" t="s">
        <v>954</v>
      </c>
    </row>
    <row r="307" spans="1:1" ht="13" hidden="1" outlineLevel="1" x14ac:dyDescent="0.3">
      <c r="A307" s="66" t="s">
        <v>967</v>
      </c>
    </row>
    <row r="308" spans="1:1" hidden="1" outlineLevel="1" x14ac:dyDescent="0.25">
      <c r="A308" t="s">
        <v>968</v>
      </c>
    </row>
    <row r="309" spans="1:1" hidden="1" outlineLevel="1" x14ac:dyDescent="0.25">
      <c r="A309" t="s">
        <v>950</v>
      </c>
    </row>
    <row r="310" spans="1:1" ht="13" hidden="1" outlineLevel="1" x14ac:dyDescent="0.3">
      <c r="A31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11" spans="1:1" ht="13" hidden="1" outlineLevel="1" x14ac:dyDescent="0.3">
      <c r="A311" s="21" t="s">
        <v>969</v>
      </c>
    </row>
    <row r="312" spans="1:1" ht="13" hidden="1" outlineLevel="1" x14ac:dyDescent="0.3">
      <c r="A312" s="21" t="s">
        <v>959</v>
      </c>
    </row>
    <row r="313" spans="1:1" hidden="1" outlineLevel="1" x14ac:dyDescent="0.25">
      <c r="A313" t="s">
        <v>960</v>
      </c>
    </row>
    <row r="314" spans="1:1" hidden="1" outlineLevel="1" x14ac:dyDescent="0.25">
      <c r="A314" t="s">
        <v>961</v>
      </c>
    </row>
    <row r="315" spans="1:1" hidden="1" outlineLevel="1" x14ac:dyDescent="0.25">
      <c r="A315" t="str">
        <f>CONCATENATE("sql left outer join acrtrees t on t.client = x.client and x.dim_1 = t.cat_1 and t.att_agrid = '",$F$159,"'")</f>
        <v>sql left outer join acrtrees t on t.client = x.client and x.dim_1 = t.cat_1 and t.att_agrid = '53'</v>
      </c>
    </row>
    <row r="316" spans="1:1" ht="13" hidden="1" outlineLevel="1" x14ac:dyDescent="0.3">
      <c r="A31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17" spans="1:1" ht="13" hidden="1" outlineLevel="1" x14ac:dyDescent="0.3">
      <c r="A317" s="21" t="s">
        <v>970</v>
      </c>
    </row>
    <row r="318" spans="1:1" ht="13" hidden="1" outlineLevel="1" x14ac:dyDescent="0.3">
      <c r="A318" s="21" t="s">
        <v>962</v>
      </c>
    </row>
    <row r="319" spans="1:1" ht="13" hidden="1" outlineLevel="1" x14ac:dyDescent="0.3">
      <c r="A31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20" spans="1:1" ht="13" hidden="1" outlineLevel="1" x14ac:dyDescent="0.3">
      <c r="A320" s="21" t="s">
        <v>970</v>
      </c>
    </row>
    <row r="321" spans="1:1" ht="13" hidden="1" outlineLevel="1" x14ac:dyDescent="0.3">
      <c r="A321" s="21" t="s">
        <v>963</v>
      </c>
    </row>
    <row r="322" spans="1:1" hidden="1" outlineLevel="1" x14ac:dyDescent="0.25">
      <c r="A322" t="s">
        <v>964</v>
      </c>
    </row>
    <row r="323" spans="1:1" hidden="1" outlineLevel="1" x14ac:dyDescent="0.25">
      <c r="A323" t="s">
        <v>965</v>
      </c>
    </row>
    <row r="324" spans="1:1" hidden="1" outlineLevel="1" x14ac:dyDescent="0.25">
      <c r="A324" t="s">
        <v>966</v>
      </c>
    </row>
    <row r="325" spans="1:1" hidden="1" outlineLevel="1" x14ac:dyDescent="0.25">
      <c r="A325" t="s">
        <v>953</v>
      </c>
    </row>
    <row r="326" spans="1:1" hidden="1" outlineLevel="1" x14ac:dyDescent="0.25">
      <c r="A326" t="s">
        <v>954</v>
      </c>
    </row>
    <row r="327" spans="1:1" ht="13" hidden="1" outlineLevel="1" x14ac:dyDescent="0.3">
      <c r="A327" s="66" t="s">
        <v>971</v>
      </c>
    </row>
    <row r="328" spans="1:1" hidden="1" outlineLevel="1" x14ac:dyDescent="0.25">
      <c r="A328" t="s">
        <v>972</v>
      </c>
    </row>
    <row r="329" spans="1:1" hidden="1" outlineLevel="1" x14ac:dyDescent="0.25">
      <c r="A329" t="s">
        <v>950</v>
      </c>
    </row>
    <row r="330" spans="1:1" ht="13" hidden="1" outlineLevel="1" x14ac:dyDescent="0.3">
      <c r="A33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31" spans="1:1" ht="13" hidden="1" outlineLevel="1" x14ac:dyDescent="0.3">
      <c r="A331" s="21" t="s">
        <v>959</v>
      </c>
    </row>
    <row r="332" spans="1:1" hidden="1" outlineLevel="1" x14ac:dyDescent="0.25">
      <c r="A332" t="s">
        <v>960</v>
      </c>
    </row>
    <row r="333" spans="1:1" hidden="1" outlineLevel="1" x14ac:dyDescent="0.25">
      <c r="A333" t="s">
        <v>961</v>
      </c>
    </row>
    <row r="334" spans="1:1" hidden="1" outlineLevel="1" x14ac:dyDescent="0.25">
      <c r="A334" t="str">
        <f>CONCATENATE("sql left outer join acrtrees t on t.client = x.client and x.dim_1 = t.cat_1 and t.att_agrid = '",$F$159,"'")</f>
        <v>sql left outer join acrtrees t on t.client = x.client and x.dim_1 = t.cat_1 and t.att_agrid = '53'</v>
      </c>
    </row>
    <row r="335" spans="1:1" ht="13" hidden="1" outlineLevel="1" x14ac:dyDescent="0.3">
      <c r="A33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36" spans="1:1" ht="13" hidden="1" outlineLevel="1" x14ac:dyDescent="0.3">
      <c r="A336" s="21" t="s">
        <v>973</v>
      </c>
    </row>
    <row r="337" spans="1:1" hidden="1" outlineLevel="1" x14ac:dyDescent="0.25">
      <c r="A337" t="s">
        <v>964</v>
      </c>
    </row>
    <row r="338" spans="1:1" hidden="1" outlineLevel="1" x14ac:dyDescent="0.25">
      <c r="A338" t="s">
        <v>965</v>
      </c>
    </row>
    <row r="339" spans="1:1" hidden="1" outlineLevel="1" x14ac:dyDescent="0.25">
      <c r="A339" t="s">
        <v>966</v>
      </c>
    </row>
    <row r="340" spans="1:1" hidden="1" outlineLevel="1" x14ac:dyDescent="0.25">
      <c r="A340" t="s">
        <v>953</v>
      </c>
    </row>
    <row r="341" spans="1:1" hidden="1" outlineLevel="1" x14ac:dyDescent="0.25">
      <c r="A341" t="s">
        <v>954</v>
      </c>
    </row>
    <row r="342" spans="1:1" ht="13" hidden="1" outlineLevel="1" x14ac:dyDescent="0.3">
      <c r="A342" s="66" t="s">
        <v>974</v>
      </c>
    </row>
    <row r="343" spans="1:1" hidden="1" outlineLevel="1" x14ac:dyDescent="0.25">
      <c r="A343" t="s">
        <v>975</v>
      </c>
    </row>
    <row r="344" spans="1:1" hidden="1" outlineLevel="1" x14ac:dyDescent="0.25">
      <c r="A344" t="s">
        <v>950</v>
      </c>
    </row>
    <row r="345" spans="1:1" ht="13" hidden="1" outlineLevel="1" x14ac:dyDescent="0.3">
      <c r="A34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46" spans="1:1" ht="13" hidden="1" outlineLevel="1" x14ac:dyDescent="0.3">
      <c r="A346" s="21" t="s">
        <v>959</v>
      </c>
    </row>
    <row r="347" spans="1:1" hidden="1" outlineLevel="1" x14ac:dyDescent="0.25">
      <c r="A347" t="s">
        <v>960</v>
      </c>
    </row>
    <row r="348" spans="1:1" hidden="1" outlineLevel="1" x14ac:dyDescent="0.25">
      <c r="A348" t="s">
        <v>961</v>
      </c>
    </row>
    <row r="349" spans="1:1" hidden="1" outlineLevel="1" x14ac:dyDescent="0.25">
      <c r="A349" t="str">
        <f>CONCATENATE("sql left outer join acrtrees t on t.client = x.client and x.dim_1 = t.cat_1 and t.att_agrid = '",$F$159,"'")</f>
        <v>sql left outer join acrtrees t on t.client = x.client and x.dim_1 = t.cat_1 and t.att_agrid = '53'</v>
      </c>
    </row>
    <row r="350" spans="1:1" ht="13" hidden="1" outlineLevel="1" x14ac:dyDescent="0.3">
      <c r="A35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51" spans="1:1" ht="13" hidden="1" outlineLevel="1" x14ac:dyDescent="0.3">
      <c r="A351" s="21" t="s">
        <v>973</v>
      </c>
    </row>
    <row r="352" spans="1:1" hidden="1" outlineLevel="1" x14ac:dyDescent="0.25">
      <c r="A352" t="s">
        <v>964</v>
      </c>
    </row>
    <row r="353" spans="1:1" hidden="1" outlineLevel="1" x14ac:dyDescent="0.25">
      <c r="A353" t="s">
        <v>965</v>
      </c>
    </row>
    <row r="354" spans="1:1" hidden="1" outlineLevel="1" x14ac:dyDescent="0.25">
      <c r="A354" t="s">
        <v>966</v>
      </c>
    </row>
    <row r="355" spans="1:1" hidden="1" outlineLevel="1" x14ac:dyDescent="0.25">
      <c r="A355" t="s">
        <v>953</v>
      </c>
    </row>
    <row r="356" spans="1:1" hidden="1" outlineLevel="1" x14ac:dyDescent="0.25">
      <c r="A356" t="s">
        <v>954</v>
      </c>
    </row>
    <row r="357" spans="1:1" ht="13" hidden="1" outlineLevel="1" x14ac:dyDescent="0.3">
      <c r="A357" s="66" t="s">
        <v>976</v>
      </c>
    </row>
    <row r="358" spans="1:1" hidden="1" outlineLevel="1" x14ac:dyDescent="0.25">
      <c r="A358" t="s">
        <v>977</v>
      </c>
    </row>
    <row r="359" spans="1:1" hidden="1" outlineLevel="1" x14ac:dyDescent="0.25">
      <c r="A359" t="s">
        <v>950</v>
      </c>
    </row>
    <row r="360" spans="1:1" ht="13" hidden="1" outlineLevel="1" x14ac:dyDescent="0.3">
      <c r="A36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61" spans="1:1" ht="13" hidden="1" outlineLevel="1" x14ac:dyDescent="0.3">
      <c r="A361" s="21" t="s">
        <v>959</v>
      </c>
    </row>
    <row r="362" spans="1:1" hidden="1" outlineLevel="1" x14ac:dyDescent="0.25">
      <c r="A362" t="s">
        <v>960</v>
      </c>
    </row>
    <row r="363" spans="1:1" hidden="1" outlineLevel="1" x14ac:dyDescent="0.25">
      <c r="A363" t="s">
        <v>961</v>
      </c>
    </row>
    <row r="364" spans="1:1" hidden="1" outlineLevel="1" x14ac:dyDescent="0.25">
      <c r="A364" t="str">
        <f>CONCATENATE("sql left outer join acrtrees t on t.client = x.client and x.dim_1 = t.cat_1 and t.att_agrid = '",$F$159,"'")</f>
        <v>sql left outer join acrtrees t on t.client = x.client and x.dim_1 = t.cat_1 and t.att_agrid = '53'</v>
      </c>
    </row>
    <row r="365" spans="1:1" ht="13" hidden="1" outlineLevel="1" x14ac:dyDescent="0.3">
      <c r="A36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66" spans="1:1" ht="13" hidden="1" outlineLevel="1" x14ac:dyDescent="0.3">
      <c r="A366" s="21" t="s">
        <v>978</v>
      </c>
    </row>
    <row r="367" spans="1:1" hidden="1" outlineLevel="1" x14ac:dyDescent="0.25">
      <c r="A367" t="s">
        <v>979</v>
      </c>
    </row>
    <row r="368" spans="1:1" hidden="1" outlineLevel="1" x14ac:dyDescent="0.25">
      <c r="A368" t="s">
        <v>980</v>
      </c>
    </row>
    <row r="369" spans="1:1" hidden="1" outlineLevel="1" x14ac:dyDescent="0.25">
      <c r="A369" t="s">
        <v>966</v>
      </c>
    </row>
    <row r="370" spans="1:1" hidden="1" outlineLevel="1" x14ac:dyDescent="0.25">
      <c r="A370" t="s">
        <v>953</v>
      </c>
    </row>
    <row r="371" spans="1:1" hidden="1" outlineLevel="1" x14ac:dyDescent="0.25">
      <c r="A371" t="s">
        <v>954</v>
      </c>
    </row>
    <row r="372" spans="1:1" ht="13" hidden="1" outlineLevel="1" x14ac:dyDescent="0.3">
      <c r="A372" s="66" t="s">
        <v>981</v>
      </c>
    </row>
    <row r="373" spans="1:1" hidden="1" outlineLevel="1" x14ac:dyDescent="0.25">
      <c r="A373" t="s">
        <v>982</v>
      </c>
    </row>
    <row r="374" spans="1:1" hidden="1" outlineLevel="1" x14ac:dyDescent="0.25">
      <c r="A374" t="s">
        <v>950</v>
      </c>
    </row>
    <row r="375" spans="1:1" ht="13" hidden="1" outlineLevel="1" x14ac:dyDescent="0.3">
      <c r="A37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76" spans="1:1" ht="13" hidden="1" outlineLevel="1" x14ac:dyDescent="0.3">
      <c r="A376" s="21" t="s">
        <v>969</v>
      </c>
    </row>
    <row r="377" spans="1:1" ht="13" hidden="1" outlineLevel="1" x14ac:dyDescent="0.3">
      <c r="A377" s="21" t="s">
        <v>959</v>
      </c>
    </row>
    <row r="378" spans="1:1" hidden="1" outlineLevel="1" x14ac:dyDescent="0.25">
      <c r="A378" t="s">
        <v>960</v>
      </c>
    </row>
    <row r="379" spans="1:1" hidden="1" outlineLevel="1" x14ac:dyDescent="0.25">
      <c r="A379" t="s">
        <v>961</v>
      </c>
    </row>
    <row r="380" spans="1:1" hidden="1" outlineLevel="1" x14ac:dyDescent="0.25">
      <c r="A380" t="str">
        <f>CONCATENATE("sql left outer join acrtrees t on t.client = x.client and x.dim_1 = t.cat_1 and t.att_agrid = '",$F$159,"'")</f>
        <v>sql left outer join acrtrees t on t.client = x.client and x.dim_1 = t.cat_1 and t.att_agrid = '53'</v>
      </c>
    </row>
    <row r="381" spans="1:1" ht="13" hidden="1" outlineLevel="1" x14ac:dyDescent="0.3">
      <c r="A38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82" spans="1:1" ht="13" hidden="1" outlineLevel="1" x14ac:dyDescent="0.3">
      <c r="A382" s="21" t="s">
        <v>970</v>
      </c>
    </row>
    <row r="383" spans="1:1" ht="13" hidden="1" outlineLevel="1" x14ac:dyDescent="0.3">
      <c r="A383" s="21" t="s">
        <v>978</v>
      </c>
    </row>
    <row r="384" spans="1:1" hidden="1" outlineLevel="1" x14ac:dyDescent="0.25">
      <c r="A384" t="s">
        <v>979</v>
      </c>
    </row>
    <row r="385" spans="1:3" hidden="1" outlineLevel="1" x14ac:dyDescent="0.25">
      <c r="A385" t="s">
        <v>980</v>
      </c>
    </row>
    <row r="386" spans="1:3" hidden="1" outlineLevel="1" x14ac:dyDescent="0.25">
      <c r="A386" t="s">
        <v>966</v>
      </c>
    </row>
    <row r="387" spans="1:3" hidden="1" outlineLevel="1" x14ac:dyDescent="0.25">
      <c r="A387" t="s">
        <v>953</v>
      </c>
    </row>
    <row r="388" spans="1:3" hidden="1" outlineLevel="1" x14ac:dyDescent="0.25">
      <c r="A388" t="s">
        <v>954</v>
      </c>
    </row>
    <row r="389" spans="1:3" ht="13" hidden="1" outlineLevel="1" x14ac:dyDescent="0.3">
      <c r="A389" s="20" t="s">
        <v>983</v>
      </c>
    </row>
    <row r="390" spans="1:3" hidden="1" outlineLevel="1" x14ac:dyDescent="0.25">
      <c r="A390" s="7" t="s">
        <v>984</v>
      </c>
    </row>
    <row r="391" spans="1:3" hidden="1" outlineLevel="1" x14ac:dyDescent="0.25">
      <c r="A391" t="s">
        <v>950</v>
      </c>
    </row>
    <row r="392" spans="1:3" hidden="1" outlineLevel="1" x14ac:dyDescent="0.25">
      <c r="A392" t="s">
        <v>951</v>
      </c>
    </row>
    <row r="393" spans="1:3" ht="14.5" hidden="1" outlineLevel="1" x14ac:dyDescent="0.35">
      <c r="A39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93" s="2"/>
    </row>
    <row r="394" spans="1:3" hidden="1" outlineLevel="1" x14ac:dyDescent="0.25">
      <c r="A394" t="s">
        <v>952</v>
      </c>
    </row>
    <row r="395" spans="1:3" hidden="1" outlineLevel="1" x14ac:dyDescent="0.25">
      <c r="A395" t="s">
        <v>953</v>
      </c>
    </row>
    <row r="396" spans="1:3" hidden="1" outlineLevel="1" x14ac:dyDescent="0.25">
      <c r="A396" t="s">
        <v>954</v>
      </c>
    </row>
    <row r="397" spans="1:3" ht="13" hidden="1" outlineLevel="1" x14ac:dyDescent="0.3">
      <c r="A397" s="20" t="s">
        <v>985</v>
      </c>
    </row>
    <row r="398" spans="1:3" hidden="1" outlineLevel="1" x14ac:dyDescent="0.25">
      <c r="A398" s="7" t="s">
        <v>986</v>
      </c>
    </row>
    <row r="399" spans="1:3" hidden="1" outlineLevel="1" x14ac:dyDescent="0.25">
      <c r="A399" t="s">
        <v>987</v>
      </c>
    </row>
    <row r="400" spans="1:3" ht="13" hidden="1" outlineLevel="1" x14ac:dyDescent="0.3">
      <c r="A400" s="21" t="str">
        <f>CONCATENATE("sql where a.client = '",$D$172,"' and a.period between '",LEFT($D$170,4),"00' and '",IF(RIGHT($D$171,2)="12",CONCATENATE(LEFT($D$171,4),"14"),$D$171),"'")</f>
        <v>sql where a.client = 'OX' and a.period between '202500' and '202506'</v>
      </c>
    </row>
    <row r="401" spans="1:1" hidden="1" outlineLevel="1" x14ac:dyDescent="0.25">
      <c r="A401" t="s">
        <v>952</v>
      </c>
    </row>
    <row r="402" spans="1:1" hidden="1" outlineLevel="1" x14ac:dyDescent="0.25">
      <c r="A402" t="s">
        <v>953</v>
      </c>
    </row>
    <row r="403" spans="1:1" hidden="1" outlineLevel="1" x14ac:dyDescent="0.25">
      <c r="A403" t="s">
        <v>954</v>
      </c>
    </row>
    <row r="404" spans="1:1" ht="13" hidden="1" outlineLevel="1" x14ac:dyDescent="0.3">
      <c r="A404" s="20" t="s">
        <v>988</v>
      </c>
    </row>
    <row r="405" spans="1:1" hidden="1" outlineLevel="1" x14ac:dyDescent="0.25">
      <c r="A405" s="7" t="s">
        <v>989</v>
      </c>
    </row>
    <row r="406" spans="1:1" hidden="1" outlineLevel="1" x14ac:dyDescent="0.25">
      <c r="A406" t="s">
        <v>950</v>
      </c>
    </row>
    <row r="407" spans="1:1" hidden="1" outlineLevel="1" x14ac:dyDescent="0.25">
      <c r="A407" t="s">
        <v>951</v>
      </c>
    </row>
    <row r="408" spans="1:1" ht="13" hidden="1" outlineLevel="1" x14ac:dyDescent="0.3">
      <c r="A40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409" spans="1:1" hidden="1" outlineLevel="1" x14ac:dyDescent="0.25">
      <c r="A409" t="s">
        <v>952</v>
      </c>
    </row>
    <row r="410" spans="1:1" hidden="1" outlineLevel="1" x14ac:dyDescent="0.25">
      <c r="A410" t="s">
        <v>953</v>
      </c>
    </row>
    <row r="411" spans="1:1" hidden="1" outlineLevel="1" x14ac:dyDescent="0.25">
      <c r="A411" t="s">
        <v>954</v>
      </c>
    </row>
    <row r="412" spans="1:1" ht="13" hidden="1" outlineLevel="1" x14ac:dyDescent="0.3">
      <c r="A412" s="20" t="s">
        <v>990</v>
      </c>
    </row>
    <row r="413" spans="1:1" hidden="1" outlineLevel="1" x14ac:dyDescent="0.25">
      <c r="A413" s="7" t="s">
        <v>991</v>
      </c>
    </row>
    <row r="414" spans="1:1" hidden="1" outlineLevel="1" x14ac:dyDescent="0.25">
      <c r="A414" t="s">
        <v>950</v>
      </c>
    </row>
    <row r="415" spans="1:1" hidden="1" outlineLevel="1" x14ac:dyDescent="0.25">
      <c r="A415" t="s">
        <v>951</v>
      </c>
    </row>
    <row r="416" spans="1:1" ht="13" hidden="1" outlineLevel="1" x14ac:dyDescent="0.3">
      <c r="A41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17" spans="1:1" hidden="1" outlineLevel="1" x14ac:dyDescent="0.25">
      <c r="A417" t="s">
        <v>952</v>
      </c>
    </row>
    <row r="418" spans="1:1" hidden="1" outlineLevel="1" x14ac:dyDescent="0.25">
      <c r="A418" t="s">
        <v>953</v>
      </c>
    </row>
    <row r="419" spans="1:1" hidden="1" outlineLevel="1" x14ac:dyDescent="0.25">
      <c r="A419" t="s">
        <v>954</v>
      </c>
    </row>
    <row r="420" spans="1:1" ht="13" hidden="1" outlineLevel="1" x14ac:dyDescent="0.3">
      <c r="A420" s="20" t="s">
        <v>992</v>
      </c>
    </row>
    <row r="421" spans="1:1" hidden="1" outlineLevel="1" x14ac:dyDescent="0.25">
      <c r="A421" s="7" t="s">
        <v>993</v>
      </c>
    </row>
    <row r="422" spans="1:1" hidden="1" outlineLevel="1" x14ac:dyDescent="0.25">
      <c r="A422" t="s">
        <v>950</v>
      </c>
    </row>
    <row r="423" spans="1:1" hidden="1" outlineLevel="1" x14ac:dyDescent="0.25">
      <c r="A423" t="s">
        <v>951</v>
      </c>
    </row>
    <row r="424" spans="1:1" ht="13" hidden="1" outlineLevel="1" x14ac:dyDescent="0.3">
      <c r="A42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25" spans="1:1" hidden="1" outlineLevel="1" x14ac:dyDescent="0.25">
      <c r="A425" t="s">
        <v>952</v>
      </c>
    </row>
    <row r="426" spans="1:1" hidden="1" outlineLevel="1" x14ac:dyDescent="0.25">
      <c r="A426" t="s">
        <v>953</v>
      </c>
    </row>
    <row r="427" spans="1:1" hidden="1" outlineLevel="1" x14ac:dyDescent="0.25">
      <c r="A427" t="s">
        <v>994</v>
      </c>
    </row>
    <row r="428" spans="1:1" hidden="1" outlineLevel="1" x14ac:dyDescent="0.25">
      <c r="A428" t="str">
        <f>CONCATENATE("sql left outer join acrtrees t on t.client = u.client and u.dim_1 = t.cat_1 and t.att_agrid = '",$F$159,"'")</f>
        <v>sql left outer join acrtrees t on t.client = u.client and u.dim_1 = t.cat_1 and t.att_agrid = '53'</v>
      </c>
    </row>
    <row r="429" spans="1:1" hidden="1" outlineLevel="1" x14ac:dyDescent="0.25">
      <c r="A429" t="str">
        <f>CONCATENATE("sql left outer join acrtrees s on s.client = u.client and u.account = s.cat_1 and s.att_agrid = '",$F$160,"'")</f>
        <v>sql left outer join acrtrees s on s.client = u.client and u.account = s.cat_1 and s.att_agrid = '14'</v>
      </c>
    </row>
    <row r="430" spans="1:1" hidden="1" outlineLevel="1" x14ac:dyDescent="0.25">
      <c r="A430" t="str">
        <f>CONCATENATE("sql left outer join acrtrees v on v.client = u.client and u.account = v.cat_1 and v.att_agrid = '",$F$161,"'")</f>
        <v>sql left outer join acrtrees v on v.client = u.client and u.account = v.cat_1 and v.att_agrid = '17'</v>
      </c>
    </row>
    <row r="431" spans="1:1" hidden="1" outlineLevel="1" x14ac:dyDescent="0.25">
      <c r="A431" t="str">
        <f>CONCATENATE("sql left outer join agldescription d on d.client = u.client and d.dim_value = t.dim_c and d.attribute_id = '",$F$162,"'")</f>
        <v>sql left outer join agldescription d on d.client = u.client and d.dim_value = t.dim_c and d.attribute_id = '82'</v>
      </c>
    </row>
    <row r="432" spans="1:1" hidden="1" outlineLevel="1" x14ac:dyDescent="0.25">
      <c r="A432" t="str">
        <f>CONCATENATE("sql left outer join agldescription e on e.client = u.client and e.dim_value = t.dim_b and e.attribute_id = '",$F$163,"'")</f>
        <v>sql left outer join agldescription e on e.client = u.client and e.dim_value = t.dim_b and e.attribute_id = '81'</v>
      </c>
    </row>
    <row r="433" spans="1:33" hidden="1" outlineLevel="1" x14ac:dyDescent="0.25">
      <c r="A433" t="str">
        <f>CONCATENATE("sql left outer join agldescription f on f.client = u.client and f.dim_value = t.dim_e and f.attribute_id = '",$F$164,"'")</f>
        <v>sql left outer join agldescription f on f.client = u.client and f.dim_value = t.dim_e and f.attribute_id = '80'</v>
      </c>
    </row>
    <row r="434" spans="1:33" hidden="1" outlineLevel="1" x14ac:dyDescent="0.25">
      <c r="A434" t="str">
        <f>CONCATENATE("sql left outer join agldescription g on g.client = u.client and g.dim_value = u.account and g.attribute_id = '",$F$165,"'")</f>
        <v>sql left outer join agldescription g on g.client = u.client and g.dim_value = u.account and g.attribute_id = 'A0'</v>
      </c>
    </row>
    <row r="435" spans="1:33" ht="14.5" hidden="1" outlineLevel="1" x14ac:dyDescent="0.35">
      <c r="A435" s="67" t="s">
        <v>1039</v>
      </c>
      <c r="G435" s="737" t="s">
        <v>1040</v>
      </c>
    </row>
    <row r="436" spans="1:33" hidden="1" outlineLevel="1" x14ac:dyDescent="0.25">
      <c r="A436" t="s">
        <v>1005</v>
      </c>
    </row>
    <row r="437" spans="1:33" hidden="1" outlineLevel="1" x14ac:dyDescent="0.25">
      <c r="A437" t="s">
        <v>1006</v>
      </c>
    </row>
    <row r="438" spans="1:33" hidden="1" outlineLevel="1" x14ac:dyDescent="0.25">
      <c r="A438" t="s">
        <v>1007</v>
      </c>
    </row>
    <row r="439" spans="1:33" ht="13" hidden="1" outlineLevel="1" x14ac:dyDescent="0.3">
      <c r="A439" t="s">
        <v>1012</v>
      </c>
      <c r="C439" s="29"/>
      <c r="D439" s="36">
        <v>1000</v>
      </c>
      <c r="E439" s="36">
        <v>1000</v>
      </c>
      <c r="F439" s="22">
        <v>1000</v>
      </c>
      <c r="G439" s="22">
        <v>1000</v>
      </c>
      <c r="H439" s="22">
        <v>1000</v>
      </c>
      <c r="I439" s="22">
        <v>1000</v>
      </c>
      <c r="J439" s="22">
        <v>1000</v>
      </c>
      <c r="K439" s="22">
        <v>1000</v>
      </c>
      <c r="L439" s="22"/>
      <c r="M439" s="36"/>
      <c r="N439" s="36"/>
      <c r="O439" s="36">
        <v>1000</v>
      </c>
      <c r="P439" s="36">
        <v>1000</v>
      </c>
      <c r="Q439" s="36">
        <v>1000</v>
      </c>
      <c r="R439" s="36">
        <v>1000</v>
      </c>
      <c r="S439" s="36">
        <v>1000</v>
      </c>
      <c r="T439" s="36"/>
      <c r="U439" s="36"/>
      <c r="V439" s="58"/>
      <c r="W439" s="36">
        <v>1000</v>
      </c>
      <c r="X439" s="36">
        <v>1000</v>
      </c>
      <c r="Y439" s="36"/>
      <c r="Z439" s="36"/>
      <c r="AA439" s="40"/>
      <c r="AB439" s="60"/>
      <c r="AC439" s="98"/>
      <c r="AD439" s="36"/>
      <c r="AE439" s="36"/>
      <c r="AF439" s="36"/>
      <c r="AG439" s="99"/>
    </row>
    <row r="440" spans="1:33" ht="13" hidden="1" outlineLevel="1" x14ac:dyDescent="0.3">
      <c r="A440" s="7" t="s">
        <v>1013</v>
      </c>
      <c r="C440" s="29"/>
      <c r="D440" s="36">
        <v>0</v>
      </c>
      <c r="E440" s="36">
        <v>0</v>
      </c>
      <c r="F440" s="22">
        <v>0</v>
      </c>
      <c r="G440" s="22">
        <v>0</v>
      </c>
      <c r="H440" s="22">
        <v>0</v>
      </c>
      <c r="I440" s="22">
        <v>0</v>
      </c>
      <c r="J440" s="22">
        <v>0</v>
      </c>
      <c r="K440" s="22">
        <v>0</v>
      </c>
      <c r="L440" s="22"/>
      <c r="M440" s="36"/>
      <c r="N440" s="36"/>
      <c r="O440" s="36">
        <v>0</v>
      </c>
      <c r="P440" s="36">
        <v>0</v>
      </c>
      <c r="Q440" s="36">
        <v>0</v>
      </c>
      <c r="R440" s="36">
        <v>0</v>
      </c>
      <c r="S440" s="36">
        <v>0</v>
      </c>
      <c r="T440" s="36"/>
      <c r="U440" s="36"/>
      <c r="V440" s="58"/>
      <c r="W440" s="36">
        <v>0</v>
      </c>
      <c r="X440" s="36">
        <v>0</v>
      </c>
      <c r="Y440" s="36"/>
      <c r="Z440" s="36"/>
      <c r="AA440" s="40"/>
      <c r="AB440" s="60"/>
      <c r="AC440" s="98"/>
      <c r="AD440" s="36"/>
      <c r="AE440" s="36"/>
      <c r="AF440" s="36"/>
      <c r="AG440" s="99"/>
    </row>
    <row r="441" spans="1:33" ht="13" hidden="1" outlineLevel="1" x14ac:dyDescent="0.3">
      <c r="A441" t="s">
        <v>1014</v>
      </c>
      <c r="C441" s="30"/>
      <c r="D441" s="36"/>
      <c r="E441" s="36"/>
      <c r="F441" s="57"/>
      <c r="G441" s="57"/>
      <c r="H441" s="57"/>
      <c r="I441" s="57"/>
      <c r="J441" s="57"/>
      <c r="K441" s="57"/>
      <c r="L441" s="57"/>
      <c r="M441" s="36"/>
      <c r="N441" s="36"/>
      <c r="O441" s="36"/>
      <c r="P441" s="36" t="s">
        <v>1015</v>
      </c>
      <c r="Q441" s="36" t="s">
        <v>1016</v>
      </c>
      <c r="R441" s="36"/>
      <c r="S441" s="36"/>
      <c r="T441" s="36"/>
      <c r="U441" s="36"/>
      <c r="V441" s="58"/>
      <c r="W441" s="36"/>
      <c r="X441" s="36"/>
      <c r="Y441" s="36"/>
      <c r="Z441" s="36"/>
      <c r="AA441" s="40"/>
      <c r="AB441" s="60"/>
      <c r="AC441" s="98"/>
      <c r="AD441" s="36"/>
      <c r="AE441" s="36"/>
      <c r="AF441" s="36"/>
      <c r="AG441" s="99"/>
    </row>
    <row r="442" spans="1:33" ht="13" hidden="1" outlineLevel="1" x14ac:dyDescent="0.3">
      <c r="A442" t="s">
        <v>1017</v>
      </c>
      <c r="C442" s="31"/>
      <c r="D442" s="36" t="s">
        <v>1019</v>
      </c>
      <c r="E442" s="36" t="s">
        <v>1020</v>
      </c>
      <c r="F442" s="22" t="s">
        <v>1021</v>
      </c>
      <c r="G442" s="22" t="s">
        <v>1022</v>
      </c>
      <c r="H442" s="22" t="s">
        <v>1023</v>
      </c>
      <c r="I442" s="22" t="s">
        <v>1024</v>
      </c>
      <c r="J442" s="22" t="s">
        <v>1025</v>
      </c>
      <c r="K442" s="22" t="s">
        <v>1026</v>
      </c>
      <c r="L442" s="22"/>
      <c r="M442" s="36"/>
      <c r="N442" s="36"/>
      <c r="O442" s="36" t="s">
        <v>1027</v>
      </c>
      <c r="P442" s="36" t="s">
        <v>1028</v>
      </c>
      <c r="Q442" s="36" t="s">
        <v>1028</v>
      </c>
      <c r="R442" s="36" t="s">
        <v>1028</v>
      </c>
      <c r="S442" s="36" t="s">
        <v>1029</v>
      </c>
      <c r="T442" s="36"/>
      <c r="U442" s="36"/>
      <c r="V442" s="58"/>
      <c r="W442" s="36" t="s">
        <v>1030</v>
      </c>
      <c r="X442" s="36" t="s">
        <v>1031</v>
      </c>
      <c r="Y442" s="36"/>
      <c r="Z442" s="36"/>
      <c r="AA442" s="40"/>
      <c r="AB442" s="60"/>
      <c r="AC442" s="98"/>
      <c r="AD442" s="36"/>
      <c r="AE442" s="36"/>
      <c r="AF442" s="36"/>
      <c r="AG442" s="99"/>
    </row>
    <row r="443" spans="1:33" ht="13" outlineLevel="1" x14ac:dyDescent="0.3">
      <c r="A443" t="s">
        <v>1041</v>
      </c>
      <c r="C443" s="31" t="s">
        <v>117</v>
      </c>
      <c r="D443" s="33">
        <v>5662</v>
      </c>
      <c r="E443" s="33">
        <v>5662</v>
      </c>
      <c r="F443" s="23">
        <v>0</v>
      </c>
      <c r="G443" s="23">
        <v>0</v>
      </c>
      <c r="H443" s="23">
        <v>0</v>
      </c>
      <c r="I443" s="23">
        <v>0</v>
      </c>
      <c r="J443" s="23">
        <v>0</v>
      </c>
      <c r="K443" s="23">
        <v>0</v>
      </c>
      <c r="L443" s="23">
        <f>SUM(F443:K443)</f>
        <v>0</v>
      </c>
      <c r="M443" s="33">
        <f>O443-E443</f>
        <v>0</v>
      </c>
      <c r="N443" s="33">
        <f>O443-D443</f>
        <v>0</v>
      </c>
      <c r="O443" s="33">
        <v>5662</v>
      </c>
      <c r="P443" s="33">
        <v>0</v>
      </c>
      <c r="Q443" s="33">
        <v>0</v>
      </c>
      <c r="R443" s="33">
        <v>0</v>
      </c>
      <c r="S443" s="33">
        <v>2</v>
      </c>
      <c r="T443" s="33">
        <f>R443-S443</f>
        <v>-2</v>
      </c>
      <c r="U443" s="38">
        <f>IFERROR((R443/O443)*100%,"∞")</f>
        <v>0</v>
      </c>
      <c r="V443" s="59">
        <f>O443+W443</f>
        <v>5662</v>
      </c>
      <c r="W443" s="33">
        <v>0</v>
      </c>
      <c r="X443" s="33">
        <v>0</v>
      </c>
      <c r="Y443" s="33"/>
      <c r="Z443" s="33"/>
      <c r="AA443" s="42"/>
      <c r="AB443" s="60"/>
      <c r="AC443" s="105"/>
      <c r="AD443" s="93"/>
      <c r="AE443" s="33">
        <f>SUM(AC443:AD443)</f>
        <v>0</v>
      </c>
      <c r="AF443" s="33">
        <f>R443+AE443</f>
        <v>0</v>
      </c>
      <c r="AG443" s="101">
        <f>AF443-O443</f>
        <v>-5662</v>
      </c>
    </row>
    <row r="444" spans="1:33" ht="13" hidden="1" outlineLevel="1" x14ac:dyDescent="0.3">
      <c r="A444" t="s">
        <v>232</v>
      </c>
      <c r="C444" s="45"/>
      <c r="D444" s="37"/>
      <c r="E444" s="37"/>
      <c r="M444" s="37"/>
      <c r="N444" s="37"/>
      <c r="O444" s="37"/>
      <c r="P444" s="37"/>
      <c r="Q444" s="37"/>
      <c r="R444" s="37"/>
      <c r="S444" s="37"/>
      <c r="T444" s="37"/>
      <c r="U444" s="46"/>
      <c r="V444" s="27"/>
      <c r="W444" s="37"/>
      <c r="X444" s="37"/>
      <c r="Y444" s="37"/>
      <c r="Z444" s="37"/>
      <c r="AA444" s="37"/>
      <c r="AC444" s="37"/>
      <c r="AD444" s="37"/>
      <c r="AE444" s="37"/>
      <c r="AF444" s="37"/>
      <c r="AG444" s="37"/>
    </row>
    <row r="445" spans="1:33" hidden="1" outlineLevel="1" x14ac:dyDescent="0.25">
      <c r="A445" t="s">
        <v>944</v>
      </c>
      <c r="M445" s="19"/>
      <c r="N445" s="19"/>
    </row>
    <row r="446" spans="1:33" hidden="1" outlineLevel="1" x14ac:dyDescent="0.25">
      <c r="A446" t="s">
        <v>946</v>
      </c>
      <c r="E446" s="19"/>
    </row>
    <row r="447" spans="1:33" hidden="1" outlineLevel="1" x14ac:dyDescent="0.25">
      <c r="A447" t="s">
        <v>947</v>
      </c>
      <c r="E447" s="19"/>
      <c r="F447" s="19"/>
    </row>
    <row r="448" spans="1:33" ht="13" hidden="1" outlineLevel="1" x14ac:dyDescent="0.3">
      <c r="A448" s="20" t="s">
        <v>948</v>
      </c>
    </row>
    <row r="449" spans="1:3" hidden="1" outlineLevel="1" x14ac:dyDescent="0.25">
      <c r="A449" s="7" t="s">
        <v>949</v>
      </c>
    </row>
    <row r="450" spans="1:3" hidden="1" outlineLevel="1" x14ac:dyDescent="0.25">
      <c r="A450" t="s">
        <v>950</v>
      </c>
    </row>
    <row r="451" spans="1:3" hidden="1" outlineLevel="1" x14ac:dyDescent="0.25">
      <c r="A451" t="s">
        <v>951</v>
      </c>
    </row>
    <row r="452" spans="1:3" ht="13" hidden="1" outlineLevel="1" x14ac:dyDescent="0.3">
      <c r="A452" s="21" t="str">
        <f>CONCATENATE("sql where a.client = '",$D$172,"' and a.period between '",LEFT($D$170,4),"00' and '",LEFT($D$171,4),"14' and a.version like '%ORIG%'")</f>
        <v>sql where a.client = 'OX' and a.period between '202500' and '202514' and a.version like '%ORIG%'</v>
      </c>
    </row>
    <row r="453" spans="1:3" hidden="1" outlineLevel="1" x14ac:dyDescent="0.25">
      <c r="A453" t="s">
        <v>952</v>
      </c>
    </row>
    <row r="454" spans="1:3" hidden="1" outlineLevel="1" x14ac:dyDescent="0.25">
      <c r="A454" t="s">
        <v>953</v>
      </c>
    </row>
    <row r="455" spans="1:3" hidden="1" outlineLevel="1" x14ac:dyDescent="0.25">
      <c r="A455" t="s">
        <v>954</v>
      </c>
    </row>
    <row r="456" spans="1:3" ht="13" hidden="1" outlineLevel="1" x14ac:dyDescent="0.3">
      <c r="A456" s="20" t="s">
        <v>955</v>
      </c>
    </row>
    <row r="457" spans="1:3" hidden="1" outlineLevel="1" x14ac:dyDescent="0.25">
      <c r="A457" s="7" t="s">
        <v>956</v>
      </c>
    </row>
    <row r="458" spans="1:3" hidden="1" outlineLevel="1" x14ac:dyDescent="0.25">
      <c r="A458" t="s">
        <v>950</v>
      </c>
    </row>
    <row r="459" spans="1:3" hidden="1" outlineLevel="1" x14ac:dyDescent="0.25">
      <c r="A459" t="s">
        <v>951</v>
      </c>
    </row>
    <row r="460" spans="1:3" ht="14.5" hidden="1" outlineLevel="1" x14ac:dyDescent="0.35">
      <c r="A460"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460" s="2"/>
    </row>
    <row r="461" spans="1:3" hidden="1" outlineLevel="1" x14ac:dyDescent="0.25">
      <c r="A461" t="s">
        <v>952</v>
      </c>
    </row>
    <row r="462" spans="1:3" hidden="1" outlineLevel="1" x14ac:dyDescent="0.25">
      <c r="A462" t="s">
        <v>953</v>
      </c>
    </row>
    <row r="463" spans="1:3" hidden="1" outlineLevel="1" x14ac:dyDescent="0.25">
      <c r="A463" t="s">
        <v>954</v>
      </c>
    </row>
    <row r="464" spans="1:3" ht="13" hidden="1" outlineLevel="1" x14ac:dyDescent="0.3">
      <c r="A464" s="66" t="s">
        <v>957</v>
      </c>
    </row>
    <row r="465" spans="1:1" hidden="1" outlineLevel="1" x14ac:dyDescent="0.25">
      <c r="A465" t="s">
        <v>958</v>
      </c>
    </row>
    <row r="466" spans="1:1" hidden="1" outlineLevel="1" x14ac:dyDescent="0.25">
      <c r="A466" t="s">
        <v>950</v>
      </c>
    </row>
    <row r="467" spans="1:1" ht="13" hidden="1" outlineLevel="1" x14ac:dyDescent="0.3">
      <c r="A46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68" spans="1:1" ht="13" hidden="1" outlineLevel="1" x14ac:dyDescent="0.3">
      <c r="A468" s="21" t="s">
        <v>959</v>
      </c>
    </row>
    <row r="469" spans="1:1" hidden="1" outlineLevel="1" x14ac:dyDescent="0.25">
      <c r="A469" t="s">
        <v>960</v>
      </c>
    </row>
    <row r="470" spans="1:1" hidden="1" outlineLevel="1" x14ac:dyDescent="0.25">
      <c r="A470" t="s">
        <v>961</v>
      </c>
    </row>
    <row r="471" spans="1:1" hidden="1" outlineLevel="1" x14ac:dyDescent="0.25">
      <c r="A471" t="str">
        <f>CONCATENATE("sql left outer join acrtrees t on t.client = x.client and x.dim_1 = t.cat_1 and t.att_agrid = '",$F$159,"'")</f>
        <v>sql left outer join acrtrees t on t.client = x.client and x.dim_1 = t.cat_1 and t.att_agrid = '53'</v>
      </c>
    </row>
    <row r="472" spans="1:1" ht="13" hidden="1" outlineLevel="1" x14ac:dyDescent="0.3">
      <c r="A47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73" spans="1:1" ht="13" hidden="1" outlineLevel="1" x14ac:dyDescent="0.3">
      <c r="A473" s="21" t="s">
        <v>962</v>
      </c>
    </row>
    <row r="474" spans="1:1" ht="13" hidden="1" outlineLevel="1" x14ac:dyDescent="0.3">
      <c r="A474"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475" spans="1:1" ht="13" hidden="1" outlineLevel="1" x14ac:dyDescent="0.3">
      <c r="A475" s="21" t="s">
        <v>963</v>
      </c>
    </row>
    <row r="476" spans="1:1" hidden="1" outlineLevel="1" x14ac:dyDescent="0.25">
      <c r="A476" t="s">
        <v>964</v>
      </c>
    </row>
    <row r="477" spans="1:1" hidden="1" outlineLevel="1" x14ac:dyDescent="0.25">
      <c r="A477" t="s">
        <v>965</v>
      </c>
    </row>
    <row r="478" spans="1:1" hidden="1" outlineLevel="1" x14ac:dyDescent="0.25">
      <c r="A478" t="s">
        <v>966</v>
      </c>
    </row>
    <row r="479" spans="1:1" hidden="1" outlineLevel="1" x14ac:dyDescent="0.25">
      <c r="A479" t="s">
        <v>953</v>
      </c>
    </row>
    <row r="480" spans="1:1" hidden="1" outlineLevel="1" x14ac:dyDescent="0.25">
      <c r="A480" t="s">
        <v>954</v>
      </c>
    </row>
    <row r="481" spans="1:1" ht="13" hidden="1" outlineLevel="1" x14ac:dyDescent="0.3">
      <c r="A481" s="66" t="s">
        <v>967</v>
      </c>
    </row>
    <row r="482" spans="1:1" hidden="1" outlineLevel="1" x14ac:dyDescent="0.25">
      <c r="A482" t="s">
        <v>968</v>
      </c>
    </row>
    <row r="483" spans="1:1" hidden="1" outlineLevel="1" x14ac:dyDescent="0.25">
      <c r="A483" t="s">
        <v>950</v>
      </c>
    </row>
    <row r="484" spans="1:1" ht="13" hidden="1" outlineLevel="1" x14ac:dyDescent="0.3">
      <c r="A48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85" spans="1:1" ht="13" hidden="1" outlineLevel="1" x14ac:dyDescent="0.3">
      <c r="A485" s="21" t="s">
        <v>969</v>
      </c>
    </row>
    <row r="486" spans="1:1" ht="13" hidden="1" outlineLevel="1" x14ac:dyDescent="0.3">
      <c r="A486" s="21" t="s">
        <v>959</v>
      </c>
    </row>
    <row r="487" spans="1:1" hidden="1" outlineLevel="1" x14ac:dyDescent="0.25">
      <c r="A487" t="s">
        <v>960</v>
      </c>
    </row>
    <row r="488" spans="1:1" hidden="1" outlineLevel="1" x14ac:dyDescent="0.25">
      <c r="A488" t="s">
        <v>961</v>
      </c>
    </row>
    <row r="489" spans="1:1" hidden="1" outlineLevel="1" x14ac:dyDescent="0.25">
      <c r="A489" t="str">
        <f>CONCATENATE("sql left outer join acrtrees t on t.client = x.client and x.dim_1 = t.cat_1 and t.att_agrid = '",$F$159,"'")</f>
        <v>sql left outer join acrtrees t on t.client = x.client and x.dim_1 = t.cat_1 and t.att_agrid = '53'</v>
      </c>
    </row>
    <row r="490" spans="1:1" ht="13" hidden="1" outlineLevel="1" x14ac:dyDescent="0.3">
      <c r="A49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91" spans="1:1" ht="13" hidden="1" outlineLevel="1" x14ac:dyDescent="0.3">
      <c r="A491" s="21" t="s">
        <v>970</v>
      </c>
    </row>
    <row r="492" spans="1:1" ht="13" hidden="1" outlineLevel="1" x14ac:dyDescent="0.3">
      <c r="A492" s="21" t="s">
        <v>962</v>
      </c>
    </row>
    <row r="493" spans="1:1" ht="13" hidden="1" outlineLevel="1" x14ac:dyDescent="0.3">
      <c r="A493"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494" spans="1:1" ht="13" hidden="1" outlineLevel="1" x14ac:dyDescent="0.3">
      <c r="A494" s="21" t="s">
        <v>970</v>
      </c>
    </row>
    <row r="495" spans="1:1" ht="13" hidden="1" outlineLevel="1" x14ac:dyDescent="0.3">
      <c r="A495" s="21" t="s">
        <v>963</v>
      </c>
    </row>
    <row r="496" spans="1:1" hidden="1" outlineLevel="1" x14ac:dyDescent="0.25">
      <c r="A496" t="s">
        <v>964</v>
      </c>
    </row>
    <row r="497" spans="1:1" hidden="1" outlineLevel="1" x14ac:dyDescent="0.25">
      <c r="A497" t="s">
        <v>965</v>
      </c>
    </row>
    <row r="498" spans="1:1" hidden="1" outlineLevel="1" x14ac:dyDescent="0.25">
      <c r="A498" t="s">
        <v>966</v>
      </c>
    </row>
    <row r="499" spans="1:1" hidden="1" outlineLevel="1" x14ac:dyDescent="0.25">
      <c r="A499" t="s">
        <v>953</v>
      </c>
    </row>
    <row r="500" spans="1:1" hidden="1" outlineLevel="1" x14ac:dyDescent="0.25">
      <c r="A500" t="s">
        <v>954</v>
      </c>
    </row>
    <row r="501" spans="1:1" ht="13" hidden="1" outlineLevel="1" x14ac:dyDescent="0.3">
      <c r="A501" s="66" t="s">
        <v>971</v>
      </c>
    </row>
    <row r="502" spans="1:1" hidden="1" outlineLevel="1" x14ac:dyDescent="0.25">
      <c r="A502" t="s">
        <v>972</v>
      </c>
    </row>
    <row r="503" spans="1:1" hidden="1" outlineLevel="1" x14ac:dyDescent="0.25">
      <c r="A503" t="s">
        <v>950</v>
      </c>
    </row>
    <row r="504" spans="1:1" ht="13" hidden="1" outlineLevel="1" x14ac:dyDescent="0.3">
      <c r="A50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505" spans="1:1" ht="13" hidden="1" outlineLevel="1" x14ac:dyDescent="0.3">
      <c r="A505" s="21" t="s">
        <v>959</v>
      </c>
    </row>
    <row r="506" spans="1:1" hidden="1" outlineLevel="1" x14ac:dyDescent="0.25">
      <c r="A506" t="s">
        <v>960</v>
      </c>
    </row>
    <row r="507" spans="1:1" hidden="1" outlineLevel="1" x14ac:dyDescent="0.25">
      <c r="A507" t="s">
        <v>961</v>
      </c>
    </row>
    <row r="508" spans="1:1" hidden="1" outlineLevel="1" x14ac:dyDescent="0.25">
      <c r="A508" t="str">
        <f>CONCATENATE("sql left outer join acrtrees t on t.client = x.client and x.dim_1 = t.cat_1 and t.att_agrid = '",$F$159,"'")</f>
        <v>sql left outer join acrtrees t on t.client = x.client and x.dim_1 = t.cat_1 and t.att_agrid = '53'</v>
      </c>
    </row>
    <row r="509" spans="1:1" ht="13" hidden="1" outlineLevel="1" x14ac:dyDescent="0.3">
      <c r="A50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510" spans="1:1" ht="13" hidden="1" outlineLevel="1" x14ac:dyDescent="0.3">
      <c r="A510" s="21" t="s">
        <v>973</v>
      </c>
    </row>
    <row r="511" spans="1:1" hidden="1" outlineLevel="1" x14ac:dyDescent="0.25">
      <c r="A511" t="s">
        <v>964</v>
      </c>
    </row>
    <row r="512" spans="1:1" hidden="1" outlineLevel="1" x14ac:dyDescent="0.25">
      <c r="A512" t="s">
        <v>965</v>
      </c>
    </row>
    <row r="513" spans="1:1" hidden="1" outlineLevel="1" x14ac:dyDescent="0.25">
      <c r="A513" t="s">
        <v>966</v>
      </c>
    </row>
    <row r="514" spans="1:1" hidden="1" outlineLevel="1" x14ac:dyDescent="0.25">
      <c r="A514" t="s">
        <v>953</v>
      </c>
    </row>
    <row r="515" spans="1:1" hidden="1" outlineLevel="1" x14ac:dyDescent="0.25">
      <c r="A515" t="s">
        <v>954</v>
      </c>
    </row>
    <row r="516" spans="1:1" ht="13" hidden="1" outlineLevel="1" x14ac:dyDescent="0.3">
      <c r="A516" s="66" t="s">
        <v>974</v>
      </c>
    </row>
    <row r="517" spans="1:1" hidden="1" outlineLevel="1" x14ac:dyDescent="0.25">
      <c r="A517" t="s">
        <v>975</v>
      </c>
    </row>
    <row r="518" spans="1:1" hidden="1" outlineLevel="1" x14ac:dyDescent="0.25">
      <c r="A518" t="s">
        <v>950</v>
      </c>
    </row>
    <row r="519" spans="1:1" ht="13" hidden="1" outlineLevel="1" x14ac:dyDescent="0.3">
      <c r="A51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520" spans="1:1" ht="13" hidden="1" outlineLevel="1" x14ac:dyDescent="0.3">
      <c r="A520" s="21" t="s">
        <v>959</v>
      </c>
    </row>
    <row r="521" spans="1:1" hidden="1" outlineLevel="1" x14ac:dyDescent="0.25">
      <c r="A521" t="s">
        <v>960</v>
      </c>
    </row>
    <row r="522" spans="1:1" hidden="1" outlineLevel="1" x14ac:dyDescent="0.25">
      <c r="A522" t="s">
        <v>961</v>
      </c>
    </row>
    <row r="523" spans="1:1" hidden="1" outlineLevel="1" x14ac:dyDescent="0.25">
      <c r="A523" t="str">
        <f>CONCATENATE("sql left outer join acrtrees t on t.client = x.client and x.dim_1 = t.cat_1 and t.att_agrid = '",$F$159,"'")</f>
        <v>sql left outer join acrtrees t on t.client = x.client and x.dim_1 = t.cat_1 and t.att_agrid = '53'</v>
      </c>
    </row>
    <row r="524" spans="1:1" ht="13" hidden="1" outlineLevel="1" x14ac:dyDescent="0.3">
      <c r="A52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525" spans="1:1" ht="13" hidden="1" outlineLevel="1" x14ac:dyDescent="0.3">
      <c r="A525" s="21" t="s">
        <v>973</v>
      </c>
    </row>
    <row r="526" spans="1:1" hidden="1" outlineLevel="1" x14ac:dyDescent="0.25">
      <c r="A526" t="s">
        <v>964</v>
      </c>
    </row>
    <row r="527" spans="1:1" hidden="1" outlineLevel="1" x14ac:dyDescent="0.25">
      <c r="A527" t="s">
        <v>965</v>
      </c>
    </row>
    <row r="528" spans="1:1" hidden="1" outlineLevel="1" x14ac:dyDescent="0.25">
      <c r="A528" t="s">
        <v>966</v>
      </c>
    </row>
    <row r="529" spans="1:1" hidden="1" outlineLevel="1" x14ac:dyDescent="0.25">
      <c r="A529" t="s">
        <v>953</v>
      </c>
    </row>
    <row r="530" spans="1:1" hidden="1" outlineLevel="1" x14ac:dyDescent="0.25">
      <c r="A530" t="s">
        <v>954</v>
      </c>
    </row>
    <row r="531" spans="1:1" ht="13" hidden="1" outlineLevel="1" x14ac:dyDescent="0.3">
      <c r="A531" s="66" t="s">
        <v>976</v>
      </c>
    </row>
    <row r="532" spans="1:1" hidden="1" outlineLevel="1" x14ac:dyDescent="0.25">
      <c r="A532" t="s">
        <v>977</v>
      </c>
    </row>
    <row r="533" spans="1:1" hidden="1" outlineLevel="1" x14ac:dyDescent="0.25">
      <c r="A533" t="s">
        <v>950</v>
      </c>
    </row>
    <row r="534" spans="1:1" ht="13" hidden="1" outlineLevel="1" x14ac:dyDescent="0.3">
      <c r="A53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535" spans="1:1" ht="13" hidden="1" outlineLevel="1" x14ac:dyDescent="0.3">
      <c r="A535" s="21" t="s">
        <v>959</v>
      </c>
    </row>
    <row r="536" spans="1:1" hidden="1" outlineLevel="1" x14ac:dyDescent="0.25">
      <c r="A536" t="s">
        <v>960</v>
      </c>
    </row>
    <row r="537" spans="1:1" hidden="1" outlineLevel="1" x14ac:dyDescent="0.25">
      <c r="A537" t="s">
        <v>961</v>
      </c>
    </row>
    <row r="538" spans="1:1" hidden="1" outlineLevel="1" x14ac:dyDescent="0.25">
      <c r="A538" t="str">
        <f>CONCATENATE("sql left outer join acrtrees t on t.client = x.client and x.dim_1 = t.cat_1 and t.att_agrid = '",$F$159,"'")</f>
        <v>sql left outer join acrtrees t on t.client = x.client and x.dim_1 = t.cat_1 and t.att_agrid = '53'</v>
      </c>
    </row>
    <row r="539" spans="1:1" ht="13" hidden="1" outlineLevel="1" x14ac:dyDescent="0.3">
      <c r="A53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540" spans="1:1" ht="13" hidden="1" outlineLevel="1" x14ac:dyDescent="0.3">
      <c r="A540" s="21" t="s">
        <v>978</v>
      </c>
    </row>
    <row r="541" spans="1:1" hidden="1" outlineLevel="1" x14ac:dyDescent="0.25">
      <c r="A541" t="s">
        <v>979</v>
      </c>
    </row>
    <row r="542" spans="1:1" hidden="1" outlineLevel="1" x14ac:dyDescent="0.25">
      <c r="A542" t="s">
        <v>980</v>
      </c>
    </row>
    <row r="543" spans="1:1" hidden="1" outlineLevel="1" x14ac:dyDescent="0.25">
      <c r="A543" t="s">
        <v>966</v>
      </c>
    </row>
    <row r="544" spans="1:1" hidden="1" outlineLevel="1" x14ac:dyDescent="0.25">
      <c r="A544" t="s">
        <v>953</v>
      </c>
    </row>
    <row r="545" spans="1:1" hidden="1" outlineLevel="1" x14ac:dyDescent="0.25">
      <c r="A545" t="s">
        <v>954</v>
      </c>
    </row>
    <row r="546" spans="1:1" ht="13" hidden="1" outlineLevel="1" x14ac:dyDescent="0.3">
      <c r="A546" s="66" t="s">
        <v>981</v>
      </c>
    </row>
    <row r="547" spans="1:1" hidden="1" outlineLevel="1" x14ac:dyDescent="0.25">
      <c r="A547" t="s">
        <v>982</v>
      </c>
    </row>
    <row r="548" spans="1:1" hidden="1" outlineLevel="1" x14ac:dyDescent="0.25">
      <c r="A548" t="s">
        <v>950</v>
      </c>
    </row>
    <row r="549" spans="1:1" ht="13" hidden="1" outlineLevel="1" x14ac:dyDescent="0.3">
      <c r="A54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550" spans="1:1" ht="13" hidden="1" outlineLevel="1" x14ac:dyDescent="0.3">
      <c r="A550" s="21" t="s">
        <v>969</v>
      </c>
    </row>
    <row r="551" spans="1:1" ht="13" hidden="1" outlineLevel="1" x14ac:dyDescent="0.3">
      <c r="A551" s="21" t="s">
        <v>959</v>
      </c>
    </row>
    <row r="552" spans="1:1" hidden="1" outlineLevel="1" x14ac:dyDescent="0.25">
      <c r="A552" t="s">
        <v>960</v>
      </c>
    </row>
    <row r="553" spans="1:1" hidden="1" outlineLevel="1" x14ac:dyDescent="0.25">
      <c r="A553" t="s">
        <v>961</v>
      </c>
    </row>
    <row r="554" spans="1:1" hidden="1" outlineLevel="1" x14ac:dyDescent="0.25">
      <c r="A554" t="str">
        <f>CONCATENATE("sql left outer join acrtrees t on t.client = x.client and x.dim_1 = t.cat_1 and t.att_agrid = '",$F$159,"'")</f>
        <v>sql left outer join acrtrees t on t.client = x.client and x.dim_1 = t.cat_1 and t.att_agrid = '53'</v>
      </c>
    </row>
    <row r="555" spans="1:1" ht="13" hidden="1" outlineLevel="1" x14ac:dyDescent="0.3">
      <c r="A55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556" spans="1:1" ht="13" hidden="1" outlineLevel="1" x14ac:dyDescent="0.3">
      <c r="A556" s="21" t="s">
        <v>970</v>
      </c>
    </row>
    <row r="557" spans="1:1" ht="13" hidden="1" outlineLevel="1" x14ac:dyDescent="0.3">
      <c r="A557" s="21" t="s">
        <v>978</v>
      </c>
    </row>
    <row r="558" spans="1:1" hidden="1" outlineLevel="1" x14ac:dyDescent="0.25">
      <c r="A558" t="s">
        <v>979</v>
      </c>
    </row>
    <row r="559" spans="1:1" hidden="1" outlineLevel="1" x14ac:dyDescent="0.25">
      <c r="A559" t="s">
        <v>980</v>
      </c>
    </row>
    <row r="560" spans="1:1" hidden="1" outlineLevel="1" x14ac:dyDescent="0.25">
      <c r="A560" t="s">
        <v>966</v>
      </c>
    </row>
    <row r="561" spans="1:3" hidden="1" outlineLevel="1" x14ac:dyDescent="0.25">
      <c r="A561" t="s">
        <v>953</v>
      </c>
    </row>
    <row r="562" spans="1:3" hidden="1" outlineLevel="1" x14ac:dyDescent="0.25">
      <c r="A562" t="s">
        <v>954</v>
      </c>
    </row>
    <row r="563" spans="1:3" ht="13" hidden="1" outlineLevel="1" x14ac:dyDescent="0.3">
      <c r="A563" s="20" t="s">
        <v>983</v>
      </c>
    </row>
    <row r="564" spans="1:3" hidden="1" outlineLevel="1" x14ac:dyDescent="0.25">
      <c r="A564" s="7" t="s">
        <v>984</v>
      </c>
    </row>
    <row r="565" spans="1:3" hidden="1" outlineLevel="1" x14ac:dyDescent="0.25">
      <c r="A565" t="s">
        <v>950</v>
      </c>
    </row>
    <row r="566" spans="1:3" hidden="1" outlineLevel="1" x14ac:dyDescent="0.25">
      <c r="A566" t="s">
        <v>951</v>
      </c>
    </row>
    <row r="567" spans="1:3" ht="14.5" hidden="1" outlineLevel="1" x14ac:dyDescent="0.35">
      <c r="A567"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567" s="2"/>
    </row>
    <row r="568" spans="1:3" hidden="1" outlineLevel="1" x14ac:dyDescent="0.25">
      <c r="A568" t="s">
        <v>952</v>
      </c>
    </row>
    <row r="569" spans="1:3" hidden="1" outlineLevel="1" x14ac:dyDescent="0.25">
      <c r="A569" t="s">
        <v>953</v>
      </c>
    </row>
    <row r="570" spans="1:3" hidden="1" outlineLevel="1" x14ac:dyDescent="0.25">
      <c r="A570" t="s">
        <v>954</v>
      </c>
    </row>
    <row r="571" spans="1:3" ht="13" hidden="1" outlineLevel="1" x14ac:dyDescent="0.3">
      <c r="A571" s="20" t="s">
        <v>985</v>
      </c>
    </row>
    <row r="572" spans="1:3" hidden="1" outlineLevel="1" x14ac:dyDescent="0.25">
      <c r="A572" s="7" t="s">
        <v>986</v>
      </c>
    </row>
    <row r="573" spans="1:3" hidden="1" outlineLevel="1" x14ac:dyDescent="0.25">
      <c r="A573" t="s">
        <v>987</v>
      </c>
    </row>
    <row r="574" spans="1:3" ht="13" hidden="1" outlineLevel="1" x14ac:dyDescent="0.3">
      <c r="A574" s="21" t="str">
        <f>CONCATENATE("sql where a.client = '",$D$172,"' and a.period between '",LEFT($D$170,4),"00' and '",IF(RIGHT($D$171,2)="12",CONCATENATE(LEFT($D$171,4),"14"),$D$171),"'")</f>
        <v>sql where a.client = 'OX' and a.period between '202500' and '202506'</v>
      </c>
    </row>
    <row r="575" spans="1:3" hidden="1" outlineLevel="1" x14ac:dyDescent="0.25">
      <c r="A575" t="s">
        <v>952</v>
      </c>
    </row>
    <row r="576" spans="1:3" hidden="1" outlineLevel="1" x14ac:dyDescent="0.25">
      <c r="A576" t="s">
        <v>953</v>
      </c>
    </row>
    <row r="577" spans="1:1" hidden="1" outlineLevel="1" x14ac:dyDescent="0.25">
      <c r="A577" t="s">
        <v>954</v>
      </c>
    </row>
    <row r="578" spans="1:1" ht="13" hidden="1" outlineLevel="1" x14ac:dyDescent="0.3">
      <c r="A578" s="20" t="s">
        <v>988</v>
      </c>
    </row>
    <row r="579" spans="1:1" hidden="1" outlineLevel="1" x14ac:dyDescent="0.25">
      <c r="A579" s="7" t="s">
        <v>989</v>
      </c>
    </row>
    <row r="580" spans="1:1" hidden="1" outlineLevel="1" x14ac:dyDescent="0.25">
      <c r="A580" t="s">
        <v>950</v>
      </c>
    </row>
    <row r="581" spans="1:1" hidden="1" outlineLevel="1" x14ac:dyDescent="0.25">
      <c r="A581" t="s">
        <v>951</v>
      </c>
    </row>
    <row r="582" spans="1:1" ht="13" hidden="1" outlineLevel="1" x14ac:dyDescent="0.3">
      <c r="A582"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583" spans="1:1" hidden="1" outlineLevel="1" x14ac:dyDescent="0.25">
      <c r="A583" t="s">
        <v>952</v>
      </c>
    </row>
    <row r="584" spans="1:1" hidden="1" outlineLevel="1" x14ac:dyDescent="0.25">
      <c r="A584" t="s">
        <v>953</v>
      </c>
    </row>
    <row r="585" spans="1:1" hidden="1" outlineLevel="1" x14ac:dyDescent="0.25">
      <c r="A585" t="s">
        <v>954</v>
      </c>
    </row>
    <row r="586" spans="1:1" ht="13" hidden="1" outlineLevel="1" x14ac:dyDescent="0.3">
      <c r="A586" s="20" t="s">
        <v>990</v>
      </c>
    </row>
    <row r="587" spans="1:1" hidden="1" outlineLevel="1" x14ac:dyDescent="0.25">
      <c r="A587" s="7" t="s">
        <v>991</v>
      </c>
    </row>
    <row r="588" spans="1:1" hidden="1" outlineLevel="1" x14ac:dyDescent="0.25">
      <c r="A588" t="s">
        <v>950</v>
      </c>
    </row>
    <row r="589" spans="1:1" hidden="1" outlineLevel="1" x14ac:dyDescent="0.25">
      <c r="A589" t="s">
        <v>951</v>
      </c>
    </row>
    <row r="590" spans="1:1" ht="13" hidden="1" outlineLevel="1" x14ac:dyDescent="0.3">
      <c r="A59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591" spans="1:1" hidden="1" outlineLevel="1" x14ac:dyDescent="0.25">
      <c r="A591" t="s">
        <v>952</v>
      </c>
    </row>
    <row r="592" spans="1:1" hidden="1" outlineLevel="1" x14ac:dyDescent="0.25">
      <c r="A592" t="s">
        <v>953</v>
      </c>
    </row>
    <row r="593" spans="1:1" hidden="1" outlineLevel="1" x14ac:dyDescent="0.25">
      <c r="A593" t="s">
        <v>954</v>
      </c>
    </row>
    <row r="594" spans="1:1" ht="13" hidden="1" outlineLevel="1" x14ac:dyDescent="0.3">
      <c r="A594" s="20" t="s">
        <v>992</v>
      </c>
    </row>
    <row r="595" spans="1:1" hidden="1" outlineLevel="1" x14ac:dyDescent="0.25">
      <c r="A595" s="7" t="s">
        <v>993</v>
      </c>
    </row>
    <row r="596" spans="1:1" hidden="1" outlineLevel="1" x14ac:dyDescent="0.25">
      <c r="A596" t="s">
        <v>950</v>
      </c>
    </row>
    <row r="597" spans="1:1" hidden="1" outlineLevel="1" x14ac:dyDescent="0.25">
      <c r="A597" t="s">
        <v>951</v>
      </c>
    </row>
    <row r="598" spans="1:1" ht="13" hidden="1" outlineLevel="1" x14ac:dyDescent="0.3">
      <c r="A59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599" spans="1:1" hidden="1" outlineLevel="1" x14ac:dyDescent="0.25">
      <c r="A599" t="s">
        <v>952</v>
      </c>
    </row>
    <row r="600" spans="1:1" hidden="1" outlineLevel="1" x14ac:dyDescent="0.25">
      <c r="A600" t="s">
        <v>953</v>
      </c>
    </row>
    <row r="601" spans="1:1" hidden="1" outlineLevel="1" x14ac:dyDescent="0.25">
      <c r="A601" t="s">
        <v>994</v>
      </c>
    </row>
    <row r="602" spans="1:1" hidden="1" outlineLevel="1" x14ac:dyDescent="0.25">
      <c r="A602" t="str">
        <f>CONCATENATE("sql left outer join acrtrees t on t.client = u.client and u.dim_1 = t.cat_1 and t.att_agrid = '",$F$159,"'")</f>
        <v>sql left outer join acrtrees t on t.client = u.client and u.dim_1 = t.cat_1 and t.att_agrid = '53'</v>
      </c>
    </row>
    <row r="603" spans="1:1" hidden="1" outlineLevel="1" x14ac:dyDescent="0.25">
      <c r="A603" t="str">
        <f>CONCATENATE("sql left outer join acrtrees s on s.client = u.client and u.account = s.cat_1 and s.att_agrid = '",$F$160,"'")</f>
        <v>sql left outer join acrtrees s on s.client = u.client and u.account = s.cat_1 and s.att_agrid = '14'</v>
      </c>
    </row>
    <row r="604" spans="1:1" hidden="1" outlineLevel="1" x14ac:dyDescent="0.25">
      <c r="A604" t="str">
        <f>CONCATENATE("sql left outer join acrtrees v on v.client = u.client and u.account = v.cat_1 and v.att_agrid = '",$F$161,"'")</f>
        <v>sql left outer join acrtrees v on v.client = u.client and u.account = v.cat_1 and v.att_agrid = '17'</v>
      </c>
    </row>
    <row r="605" spans="1:1" hidden="1" outlineLevel="1" x14ac:dyDescent="0.25">
      <c r="A605" t="str">
        <f>CONCATENATE("sql left outer join agldescription d on d.client = u.client and d.dim_value = t.dim_c and d.attribute_id = '",$F$162,"'")</f>
        <v>sql left outer join agldescription d on d.client = u.client and d.dim_value = t.dim_c and d.attribute_id = '82'</v>
      </c>
    </row>
    <row r="606" spans="1:1" hidden="1" outlineLevel="1" x14ac:dyDescent="0.25">
      <c r="A606" t="str">
        <f>CONCATENATE("sql left outer join agldescription e on e.client = u.client and e.dim_value = t.dim_b and e.attribute_id = '",$F$163,"'")</f>
        <v>sql left outer join agldescription e on e.client = u.client and e.dim_value = t.dim_b and e.attribute_id = '81'</v>
      </c>
    </row>
    <row r="607" spans="1:1" hidden="1" outlineLevel="1" x14ac:dyDescent="0.25">
      <c r="A607" t="str">
        <f>CONCATENATE("sql left outer join agldescription f on f.client = u.client and f.dim_value = t.dim_e and f.attribute_id = '",$F$164,"'")</f>
        <v>sql left outer join agldescription f on f.client = u.client and f.dim_value = t.dim_e and f.attribute_id = '80'</v>
      </c>
    </row>
    <row r="608" spans="1:1" hidden="1" outlineLevel="1" x14ac:dyDescent="0.25">
      <c r="A608" t="str">
        <f>CONCATENATE("sql left outer join agldescription g on g.client = u.client and g.dim_value = u.account and g.attribute_id = '",$F$165,"'")</f>
        <v>sql left outer join agldescription g on g.client = u.client and g.dim_value = u.account and g.attribute_id = 'A0'</v>
      </c>
    </row>
    <row r="609" spans="1:33" ht="14.5" hidden="1" outlineLevel="1" x14ac:dyDescent="0.35">
      <c r="A609" s="67" t="s">
        <v>1042</v>
      </c>
      <c r="G609" s="737" t="s">
        <v>1043</v>
      </c>
    </row>
    <row r="610" spans="1:33" hidden="1" outlineLevel="1" x14ac:dyDescent="0.25">
      <c r="A610" t="s">
        <v>1005</v>
      </c>
    </row>
    <row r="611" spans="1:33" hidden="1" outlineLevel="1" x14ac:dyDescent="0.25">
      <c r="A611" t="s">
        <v>1006</v>
      </c>
    </row>
    <row r="612" spans="1:33" hidden="1" outlineLevel="1" x14ac:dyDescent="0.25">
      <c r="A612" t="s">
        <v>1007</v>
      </c>
    </row>
    <row r="613" spans="1:33" ht="13" hidden="1" outlineLevel="1" x14ac:dyDescent="0.3">
      <c r="A613" t="s">
        <v>1012</v>
      </c>
      <c r="C613" s="29"/>
      <c r="D613" s="36">
        <v>1000</v>
      </c>
      <c r="E613" s="36">
        <v>1000</v>
      </c>
      <c r="F613" s="22">
        <v>1000</v>
      </c>
      <c r="G613" s="22">
        <v>1000</v>
      </c>
      <c r="H613" s="22">
        <v>1000</v>
      </c>
      <c r="I613" s="22">
        <v>1000</v>
      </c>
      <c r="J613" s="22">
        <v>1000</v>
      </c>
      <c r="K613" s="22">
        <v>1000</v>
      </c>
      <c r="L613" s="22"/>
      <c r="M613" s="36"/>
      <c r="N613" s="36"/>
      <c r="O613" s="36">
        <v>1000</v>
      </c>
      <c r="P613" s="36">
        <v>1000</v>
      </c>
      <c r="Q613" s="36">
        <v>1000</v>
      </c>
      <c r="R613" s="36">
        <v>1000</v>
      </c>
      <c r="S613" s="36">
        <v>1000</v>
      </c>
      <c r="T613" s="36"/>
      <c r="U613" s="36"/>
      <c r="V613" s="58"/>
      <c r="W613" s="36">
        <v>1000</v>
      </c>
      <c r="X613" s="36">
        <v>1000</v>
      </c>
      <c r="Y613" s="36"/>
      <c r="Z613" s="36"/>
      <c r="AA613" s="40"/>
      <c r="AB613" s="60"/>
      <c r="AC613" s="98"/>
      <c r="AD613" s="36"/>
      <c r="AE613" s="36"/>
      <c r="AF613" s="36"/>
      <c r="AG613" s="99"/>
    </row>
    <row r="614" spans="1:33" ht="13" hidden="1" outlineLevel="1" x14ac:dyDescent="0.3">
      <c r="A614" s="7" t="s">
        <v>1013</v>
      </c>
      <c r="C614" s="29"/>
      <c r="D614" s="36">
        <v>0</v>
      </c>
      <c r="E614" s="36">
        <v>0</v>
      </c>
      <c r="F614" s="22">
        <v>0</v>
      </c>
      <c r="G614" s="22">
        <v>0</v>
      </c>
      <c r="H614" s="22">
        <v>0</v>
      </c>
      <c r="I614" s="22">
        <v>0</v>
      </c>
      <c r="J614" s="22">
        <v>0</v>
      </c>
      <c r="K614" s="22">
        <v>0</v>
      </c>
      <c r="L614" s="22"/>
      <c r="M614" s="36"/>
      <c r="N614" s="36"/>
      <c r="O614" s="36">
        <v>0</v>
      </c>
      <c r="P614" s="36">
        <v>0</v>
      </c>
      <c r="Q614" s="36">
        <v>0</v>
      </c>
      <c r="R614" s="36">
        <v>0</v>
      </c>
      <c r="S614" s="36">
        <v>0</v>
      </c>
      <c r="T614" s="36"/>
      <c r="U614" s="36"/>
      <c r="V614" s="58"/>
      <c r="W614" s="36">
        <v>0</v>
      </c>
      <c r="X614" s="36">
        <v>0</v>
      </c>
      <c r="Y614" s="36"/>
      <c r="Z614" s="36"/>
      <c r="AA614" s="40"/>
      <c r="AB614" s="60"/>
      <c r="AC614" s="98"/>
      <c r="AD614" s="36"/>
      <c r="AE614" s="36"/>
      <c r="AF614" s="36"/>
      <c r="AG614" s="99"/>
    </row>
    <row r="615" spans="1:33" ht="13" hidden="1" outlineLevel="1" x14ac:dyDescent="0.3">
      <c r="A615" t="s">
        <v>1014</v>
      </c>
      <c r="C615" s="30"/>
      <c r="D615" s="36"/>
      <c r="E615" s="36"/>
      <c r="F615" s="57"/>
      <c r="G615" s="57"/>
      <c r="H615" s="57"/>
      <c r="I615" s="57"/>
      <c r="J615" s="57"/>
      <c r="K615" s="57"/>
      <c r="L615" s="57"/>
      <c r="M615" s="36"/>
      <c r="N615" s="36"/>
      <c r="O615" s="36"/>
      <c r="P615" s="36" t="s">
        <v>1015</v>
      </c>
      <c r="Q615" s="36" t="s">
        <v>1016</v>
      </c>
      <c r="R615" s="36"/>
      <c r="S615" s="36"/>
      <c r="T615" s="36"/>
      <c r="U615" s="36"/>
      <c r="V615" s="58"/>
      <c r="W615" s="36"/>
      <c r="X615" s="36"/>
      <c r="Y615" s="36"/>
      <c r="Z615" s="36"/>
      <c r="AA615" s="40"/>
      <c r="AB615" s="60"/>
      <c r="AC615" s="98"/>
      <c r="AD615" s="36"/>
      <c r="AE615" s="36"/>
      <c r="AF615" s="36"/>
      <c r="AG615" s="99"/>
    </row>
    <row r="616" spans="1:33" ht="13" hidden="1" outlineLevel="1" x14ac:dyDescent="0.3">
      <c r="A616" t="s">
        <v>1017</v>
      </c>
      <c r="C616" s="31"/>
      <c r="D616" s="36" t="s">
        <v>1019</v>
      </c>
      <c r="E616" s="36" t="s">
        <v>1020</v>
      </c>
      <c r="F616" s="22" t="s">
        <v>1021</v>
      </c>
      <c r="G616" s="22" t="s">
        <v>1022</v>
      </c>
      <c r="H616" s="22" t="s">
        <v>1023</v>
      </c>
      <c r="I616" s="22" t="s">
        <v>1024</v>
      </c>
      <c r="J616" s="22" t="s">
        <v>1025</v>
      </c>
      <c r="K616" s="22" t="s">
        <v>1026</v>
      </c>
      <c r="L616" s="22"/>
      <c r="M616" s="36"/>
      <c r="N616" s="36"/>
      <c r="O616" s="36" t="s">
        <v>1027</v>
      </c>
      <c r="P616" s="36" t="s">
        <v>1028</v>
      </c>
      <c r="Q616" s="36" t="s">
        <v>1028</v>
      </c>
      <c r="R616" s="36" t="s">
        <v>1028</v>
      </c>
      <c r="S616" s="36" t="s">
        <v>1029</v>
      </c>
      <c r="T616" s="36"/>
      <c r="U616" s="36"/>
      <c r="V616" s="58"/>
      <c r="W616" s="36" t="s">
        <v>1030</v>
      </c>
      <c r="X616" s="36" t="s">
        <v>1031</v>
      </c>
      <c r="Y616" s="36"/>
      <c r="Z616" s="36"/>
      <c r="AA616" s="40"/>
      <c r="AB616" s="60"/>
      <c r="AC616" s="98"/>
      <c r="AD616" s="36"/>
      <c r="AE616" s="36"/>
      <c r="AF616" s="36"/>
      <c r="AG616" s="99"/>
    </row>
    <row r="617" spans="1:33" ht="13" outlineLevel="1" x14ac:dyDescent="0.3">
      <c r="A617" t="s">
        <v>1041</v>
      </c>
      <c r="C617" s="31" t="s">
        <v>118</v>
      </c>
      <c r="D617" s="33">
        <v>-5662</v>
      </c>
      <c r="E617" s="33">
        <v>-5662</v>
      </c>
      <c r="F617" s="23">
        <v>0</v>
      </c>
      <c r="G617" s="23">
        <v>0</v>
      </c>
      <c r="H617" s="23">
        <v>0</v>
      </c>
      <c r="I617" s="23">
        <v>0</v>
      </c>
      <c r="J617" s="23">
        <v>0</v>
      </c>
      <c r="K617" s="23">
        <v>0</v>
      </c>
      <c r="L617" s="23">
        <f>SUM(F617:K617)</f>
        <v>0</v>
      </c>
      <c r="M617" s="33">
        <f>O617-E617</f>
        <v>0</v>
      </c>
      <c r="N617" s="33">
        <f>O617-D617</f>
        <v>0</v>
      </c>
      <c r="O617" s="33">
        <v>-5662</v>
      </c>
      <c r="P617" s="33">
        <v>0</v>
      </c>
      <c r="Q617" s="33">
        <v>0</v>
      </c>
      <c r="R617" s="33">
        <v>0</v>
      </c>
      <c r="S617" s="33">
        <v>-2831</v>
      </c>
      <c r="T617" s="33">
        <f>R617-S617</f>
        <v>2831</v>
      </c>
      <c r="U617" s="38">
        <f>IFERROR((R617/O617)*100%,"∞")</f>
        <v>0</v>
      </c>
      <c r="V617" s="59">
        <f>O617+W617</f>
        <v>-5662</v>
      </c>
      <c r="W617" s="33">
        <v>0</v>
      </c>
      <c r="X617" s="33">
        <v>0</v>
      </c>
      <c r="Y617" s="33"/>
      <c r="Z617" s="33"/>
      <c r="AA617" s="42"/>
      <c r="AB617" s="60"/>
      <c r="AC617" s="105"/>
      <c r="AD617" s="93"/>
      <c r="AE617" s="33">
        <f>SUM(AC617:AD617)</f>
        <v>0</v>
      </c>
      <c r="AF617" s="33">
        <f>R617+AE617</f>
        <v>0</v>
      </c>
      <c r="AG617" s="101">
        <f>AF617-O617</f>
        <v>5662</v>
      </c>
    </row>
    <row r="618" spans="1:33" ht="13" hidden="1" outlineLevel="1" x14ac:dyDescent="0.3">
      <c r="A618" t="s">
        <v>232</v>
      </c>
      <c r="C618" s="45"/>
      <c r="D618" s="37"/>
      <c r="E618" s="37"/>
      <c r="M618" s="37"/>
      <c r="N618" s="37"/>
      <c r="O618" s="37"/>
      <c r="P618" s="37"/>
      <c r="Q618" s="37"/>
      <c r="R618" s="37"/>
      <c r="S618" s="37"/>
      <c r="T618" s="37"/>
      <c r="U618" s="46"/>
      <c r="V618" s="27"/>
      <c r="W618" s="37"/>
      <c r="X618" s="37"/>
      <c r="Y618" s="37"/>
      <c r="Z618" s="37"/>
      <c r="AA618" s="37"/>
      <c r="AC618" s="37"/>
      <c r="AD618" s="37"/>
      <c r="AE618" s="37"/>
      <c r="AF618" s="37"/>
      <c r="AG618" s="37"/>
    </row>
    <row r="619" spans="1:33" hidden="1" outlineLevel="1" x14ac:dyDescent="0.25">
      <c r="A619" t="s">
        <v>944</v>
      </c>
      <c r="M619" s="19"/>
      <c r="N619" s="19"/>
    </row>
    <row r="620" spans="1:33" hidden="1" outlineLevel="1" x14ac:dyDescent="0.25">
      <c r="A620" t="s">
        <v>946</v>
      </c>
      <c r="E620" s="19"/>
    </row>
    <row r="621" spans="1:33" hidden="1" outlineLevel="1" x14ac:dyDescent="0.25">
      <c r="A621" t="s">
        <v>947</v>
      </c>
      <c r="E621" s="19"/>
      <c r="F621" s="19"/>
    </row>
    <row r="622" spans="1:33" ht="13" hidden="1" outlineLevel="1" x14ac:dyDescent="0.3">
      <c r="A622" s="20" t="s">
        <v>948</v>
      </c>
    </row>
    <row r="623" spans="1:33" hidden="1" outlineLevel="1" x14ac:dyDescent="0.25">
      <c r="A623" s="7" t="s">
        <v>949</v>
      </c>
    </row>
    <row r="624" spans="1:33" hidden="1" outlineLevel="1" x14ac:dyDescent="0.25">
      <c r="A624" t="s">
        <v>950</v>
      </c>
    </row>
    <row r="625" spans="1:3" hidden="1" outlineLevel="1" x14ac:dyDescent="0.25">
      <c r="A625" t="s">
        <v>951</v>
      </c>
    </row>
    <row r="626" spans="1:3" ht="13" hidden="1" outlineLevel="1" x14ac:dyDescent="0.3">
      <c r="A626" s="21" t="str">
        <f>CONCATENATE("sql where a.client = '",$D$172,"' and a.period between '",LEFT($D$170,4),"00' and '",LEFT($D$171,4),"14' and a.version like '%ORIG%'")</f>
        <v>sql where a.client = 'OX' and a.period between '202500' and '202514' and a.version like '%ORIG%'</v>
      </c>
    </row>
    <row r="627" spans="1:3" hidden="1" outlineLevel="1" x14ac:dyDescent="0.25">
      <c r="A627" t="s">
        <v>952</v>
      </c>
    </row>
    <row r="628" spans="1:3" hidden="1" outlineLevel="1" x14ac:dyDescent="0.25">
      <c r="A628" t="s">
        <v>953</v>
      </c>
    </row>
    <row r="629" spans="1:3" hidden="1" outlineLevel="1" x14ac:dyDescent="0.25">
      <c r="A629" t="s">
        <v>954</v>
      </c>
    </row>
    <row r="630" spans="1:3" ht="13" hidden="1" outlineLevel="1" x14ac:dyDescent="0.3">
      <c r="A630" s="20" t="s">
        <v>955</v>
      </c>
    </row>
    <row r="631" spans="1:3" hidden="1" outlineLevel="1" x14ac:dyDescent="0.25">
      <c r="A631" s="7" t="s">
        <v>956</v>
      </c>
    </row>
    <row r="632" spans="1:3" hidden="1" outlineLevel="1" x14ac:dyDescent="0.25">
      <c r="A632" t="s">
        <v>950</v>
      </c>
    </row>
    <row r="633" spans="1:3" hidden="1" outlineLevel="1" x14ac:dyDescent="0.25">
      <c r="A633" t="s">
        <v>951</v>
      </c>
    </row>
    <row r="634" spans="1:3" ht="14.5" hidden="1" outlineLevel="1" x14ac:dyDescent="0.35">
      <c r="A63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634" s="2"/>
    </row>
    <row r="635" spans="1:3" hidden="1" outlineLevel="1" x14ac:dyDescent="0.25">
      <c r="A635" t="s">
        <v>952</v>
      </c>
    </row>
    <row r="636" spans="1:3" hidden="1" outlineLevel="1" x14ac:dyDescent="0.25">
      <c r="A636" t="s">
        <v>953</v>
      </c>
    </row>
    <row r="637" spans="1:3" hidden="1" outlineLevel="1" x14ac:dyDescent="0.25">
      <c r="A637" t="s">
        <v>954</v>
      </c>
    </row>
    <row r="638" spans="1:3" ht="13" hidden="1" outlineLevel="1" x14ac:dyDescent="0.3">
      <c r="A638" s="66" t="s">
        <v>957</v>
      </c>
    </row>
    <row r="639" spans="1:3" hidden="1" outlineLevel="1" x14ac:dyDescent="0.25">
      <c r="A639" t="s">
        <v>958</v>
      </c>
    </row>
    <row r="640" spans="1:3" hidden="1" outlineLevel="1" x14ac:dyDescent="0.25">
      <c r="A640" t="s">
        <v>950</v>
      </c>
    </row>
    <row r="641" spans="1:1" ht="13" hidden="1" outlineLevel="1" x14ac:dyDescent="0.3">
      <c r="A64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642" spans="1:1" ht="13" hidden="1" outlineLevel="1" x14ac:dyDescent="0.3">
      <c r="A642" s="21" t="s">
        <v>959</v>
      </c>
    </row>
    <row r="643" spans="1:1" hidden="1" outlineLevel="1" x14ac:dyDescent="0.25">
      <c r="A643" t="s">
        <v>960</v>
      </c>
    </row>
    <row r="644" spans="1:1" hidden="1" outlineLevel="1" x14ac:dyDescent="0.25">
      <c r="A644" t="s">
        <v>961</v>
      </c>
    </row>
    <row r="645" spans="1:1" hidden="1" outlineLevel="1" x14ac:dyDescent="0.25">
      <c r="A645" t="str">
        <f>CONCATENATE("sql left outer join acrtrees t on t.client = x.client and x.dim_1 = t.cat_1 and t.att_agrid = '",$F$159,"'")</f>
        <v>sql left outer join acrtrees t on t.client = x.client and x.dim_1 = t.cat_1 and t.att_agrid = '53'</v>
      </c>
    </row>
    <row r="646" spans="1:1" ht="13" hidden="1" outlineLevel="1" x14ac:dyDescent="0.3">
      <c r="A64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647" spans="1:1" ht="13" hidden="1" outlineLevel="1" x14ac:dyDescent="0.3">
      <c r="A647" s="21" t="s">
        <v>962</v>
      </c>
    </row>
    <row r="648" spans="1:1" ht="13" hidden="1" outlineLevel="1" x14ac:dyDescent="0.3">
      <c r="A64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649" spans="1:1" ht="13" hidden="1" outlineLevel="1" x14ac:dyDescent="0.3">
      <c r="A649" s="21" t="s">
        <v>963</v>
      </c>
    </row>
    <row r="650" spans="1:1" hidden="1" outlineLevel="1" x14ac:dyDescent="0.25">
      <c r="A650" t="s">
        <v>964</v>
      </c>
    </row>
    <row r="651" spans="1:1" hidden="1" outlineLevel="1" x14ac:dyDescent="0.25">
      <c r="A651" t="s">
        <v>965</v>
      </c>
    </row>
    <row r="652" spans="1:1" hidden="1" outlineLevel="1" x14ac:dyDescent="0.25">
      <c r="A652" t="s">
        <v>966</v>
      </c>
    </row>
    <row r="653" spans="1:1" hidden="1" outlineLevel="1" x14ac:dyDescent="0.25">
      <c r="A653" t="s">
        <v>953</v>
      </c>
    </row>
    <row r="654" spans="1:1" hidden="1" outlineLevel="1" x14ac:dyDescent="0.25">
      <c r="A654" t="s">
        <v>954</v>
      </c>
    </row>
    <row r="655" spans="1:1" ht="13" hidden="1" outlineLevel="1" x14ac:dyDescent="0.3">
      <c r="A655" s="66" t="s">
        <v>967</v>
      </c>
    </row>
    <row r="656" spans="1:1" hidden="1" outlineLevel="1" x14ac:dyDescent="0.25">
      <c r="A656" t="s">
        <v>968</v>
      </c>
    </row>
    <row r="657" spans="1:1" hidden="1" outlineLevel="1" x14ac:dyDescent="0.25">
      <c r="A657" t="s">
        <v>950</v>
      </c>
    </row>
    <row r="658" spans="1:1" ht="13" hidden="1" outlineLevel="1" x14ac:dyDescent="0.3">
      <c r="A65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659" spans="1:1" ht="13" hidden="1" outlineLevel="1" x14ac:dyDescent="0.3">
      <c r="A659" s="21" t="s">
        <v>969</v>
      </c>
    </row>
    <row r="660" spans="1:1" ht="13" hidden="1" outlineLevel="1" x14ac:dyDescent="0.3">
      <c r="A660" s="21" t="s">
        <v>959</v>
      </c>
    </row>
    <row r="661" spans="1:1" hidden="1" outlineLevel="1" x14ac:dyDescent="0.25">
      <c r="A661" t="s">
        <v>960</v>
      </c>
    </row>
    <row r="662" spans="1:1" hidden="1" outlineLevel="1" x14ac:dyDescent="0.25">
      <c r="A662" t="s">
        <v>961</v>
      </c>
    </row>
    <row r="663" spans="1:1" hidden="1" outlineLevel="1" x14ac:dyDescent="0.25">
      <c r="A663" t="str">
        <f>CONCATENATE("sql left outer join acrtrees t on t.client = x.client and x.dim_1 = t.cat_1 and t.att_agrid = '",$F$159,"'")</f>
        <v>sql left outer join acrtrees t on t.client = x.client and x.dim_1 = t.cat_1 and t.att_agrid = '53'</v>
      </c>
    </row>
    <row r="664" spans="1:1" ht="13" hidden="1" outlineLevel="1" x14ac:dyDescent="0.3">
      <c r="A66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665" spans="1:1" ht="13" hidden="1" outlineLevel="1" x14ac:dyDescent="0.3">
      <c r="A665" s="21" t="s">
        <v>970</v>
      </c>
    </row>
    <row r="666" spans="1:1" ht="13" hidden="1" outlineLevel="1" x14ac:dyDescent="0.3">
      <c r="A666" s="21" t="s">
        <v>962</v>
      </c>
    </row>
    <row r="667" spans="1:1" ht="13" hidden="1" outlineLevel="1" x14ac:dyDescent="0.3">
      <c r="A66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668" spans="1:1" ht="13" hidden="1" outlineLevel="1" x14ac:dyDescent="0.3">
      <c r="A668" s="21" t="s">
        <v>970</v>
      </c>
    </row>
    <row r="669" spans="1:1" ht="13" hidden="1" outlineLevel="1" x14ac:dyDescent="0.3">
      <c r="A669" s="21" t="s">
        <v>963</v>
      </c>
    </row>
    <row r="670" spans="1:1" hidden="1" outlineLevel="1" x14ac:dyDescent="0.25">
      <c r="A670" t="s">
        <v>964</v>
      </c>
    </row>
    <row r="671" spans="1:1" hidden="1" outlineLevel="1" x14ac:dyDescent="0.25">
      <c r="A671" t="s">
        <v>965</v>
      </c>
    </row>
    <row r="672" spans="1:1" hidden="1" outlineLevel="1" x14ac:dyDescent="0.25">
      <c r="A672" t="s">
        <v>966</v>
      </c>
    </row>
    <row r="673" spans="1:1" hidden="1" outlineLevel="1" x14ac:dyDescent="0.25">
      <c r="A673" t="s">
        <v>953</v>
      </c>
    </row>
    <row r="674" spans="1:1" hidden="1" outlineLevel="1" x14ac:dyDescent="0.25">
      <c r="A674" t="s">
        <v>954</v>
      </c>
    </row>
    <row r="675" spans="1:1" ht="13" hidden="1" outlineLevel="1" x14ac:dyDescent="0.3">
      <c r="A675" s="66" t="s">
        <v>971</v>
      </c>
    </row>
    <row r="676" spans="1:1" hidden="1" outlineLevel="1" x14ac:dyDescent="0.25">
      <c r="A676" t="s">
        <v>972</v>
      </c>
    </row>
    <row r="677" spans="1:1" hidden="1" outlineLevel="1" x14ac:dyDescent="0.25">
      <c r="A677" t="s">
        <v>950</v>
      </c>
    </row>
    <row r="678" spans="1:1" ht="13" hidden="1" outlineLevel="1" x14ac:dyDescent="0.3">
      <c r="A67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679" spans="1:1" ht="13" hidden="1" outlineLevel="1" x14ac:dyDescent="0.3">
      <c r="A679" s="21" t="s">
        <v>959</v>
      </c>
    </row>
    <row r="680" spans="1:1" hidden="1" outlineLevel="1" x14ac:dyDescent="0.25">
      <c r="A680" t="s">
        <v>960</v>
      </c>
    </row>
    <row r="681" spans="1:1" hidden="1" outlineLevel="1" x14ac:dyDescent="0.25">
      <c r="A681" t="s">
        <v>961</v>
      </c>
    </row>
    <row r="682" spans="1:1" hidden="1" outlineLevel="1" x14ac:dyDescent="0.25">
      <c r="A682" t="str">
        <f>CONCATENATE("sql left outer join acrtrees t on t.client = x.client and x.dim_1 = t.cat_1 and t.att_agrid = '",$F$159,"'")</f>
        <v>sql left outer join acrtrees t on t.client = x.client and x.dim_1 = t.cat_1 and t.att_agrid = '53'</v>
      </c>
    </row>
    <row r="683" spans="1:1" ht="13" hidden="1" outlineLevel="1" x14ac:dyDescent="0.3">
      <c r="A68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684" spans="1:1" ht="13" hidden="1" outlineLevel="1" x14ac:dyDescent="0.3">
      <c r="A684" s="21" t="s">
        <v>973</v>
      </c>
    </row>
    <row r="685" spans="1:1" hidden="1" outlineLevel="1" x14ac:dyDescent="0.25">
      <c r="A685" t="s">
        <v>964</v>
      </c>
    </row>
    <row r="686" spans="1:1" hidden="1" outlineLevel="1" x14ac:dyDescent="0.25">
      <c r="A686" t="s">
        <v>965</v>
      </c>
    </row>
    <row r="687" spans="1:1" hidden="1" outlineLevel="1" x14ac:dyDescent="0.25">
      <c r="A687" t="s">
        <v>966</v>
      </c>
    </row>
    <row r="688" spans="1:1" hidden="1" outlineLevel="1" x14ac:dyDescent="0.25">
      <c r="A688" t="s">
        <v>953</v>
      </c>
    </row>
    <row r="689" spans="1:1" hidden="1" outlineLevel="1" x14ac:dyDescent="0.25">
      <c r="A689" t="s">
        <v>954</v>
      </c>
    </row>
    <row r="690" spans="1:1" ht="13" hidden="1" outlineLevel="1" x14ac:dyDescent="0.3">
      <c r="A690" s="66" t="s">
        <v>974</v>
      </c>
    </row>
    <row r="691" spans="1:1" hidden="1" outlineLevel="1" x14ac:dyDescent="0.25">
      <c r="A691" t="s">
        <v>975</v>
      </c>
    </row>
    <row r="692" spans="1:1" hidden="1" outlineLevel="1" x14ac:dyDescent="0.25">
      <c r="A692" t="s">
        <v>950</v>
      </c>
    </row>
    <row r="693" spans="1:1" ht="13" hidden="1" outlineLevel="1" x14ac:dyDescent="0.3">
      <c r="A69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694" spans="1:1" ht="13" hidden="1" outlineLevel="1" x14ac:dyDescent="0.3">
      <c r="A694" s="21" t="s">
        <v>959</v>
      </c>
    </row>
    <row r="695" spans="1:1" hidden="1" outlineLevel="1" x14ac:dyDescent="0.25">
      <c r="A695" t="s">
        <v>960</v>
      </c>
    </row>
    <row r="696" spans="1:1" hidden="1" outlineLevel="1" x14ac:dyDescent="0.25">
      <c r="A696" t="s">
        <v>961</v>
      </c>
    </row>
    <row r="697" spans="1:1" hidden="1" outlineLevel="1" x14ac:dyDescent="0.25">
      <c r="A697" t="str">
        <f>CONCATENATE("sql left outer join acrtrees t on t.client = x.client and x.dim_1 = t.cat_1 and t.att_agrid = '",$F$159,"'")</f>
        <v>sql left outer join acrtrees t on t.client = x.client and x.dim_1 = t.cat_1 and t.att_agrid = '53'</v>
      </c>
    </row>
    <row r="698" spans="1:1" ht="13" hidden="1" outlineLevel="1" x14ac:dyDescent="0.3">
      <c r="A69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699" spans="1:1" ht="13" hidden="1" outlineLevel="1" x14ac:dyDescent="0.3">
      <c r="A699" s="21" t="s">
        <v>973</v>
      </c>
    </row>
    <row r="700" spans="1:1" hidden="1" outlineLevel="1" x14ac:dyDescent="0.25">
      <c r="A700" t="s">
        <v>964</v>
      </c>
    </row>
    <row r="701" spans="1:1" hidden="1" outlineLevel="1" x14ac:dyDescent="0.25">
      <c r="A701" t="s">
        <v>965</v>
      </c>
    </row>
    <row r="702" spans="1:1" hidden="1" outlineLevel="1" x14ac:dyDescent="0.25">
      <c r="A702" t="s">
        <v>966</v>
      </c>
    </row>
    <row r="703" spans="1:1" hidden="1" outlineLevel="1" x14ac:dyDescent="0.25">
      <c r="A703" t="s">
        <v>953</v>
      </c>
    </row>
    <row r="704" spans="1:1" hidden="1" outlineLevel="1" x14ac:dyDescent="0.25">
      <c r="A704" t="s">
        <v>954</v>
      </c>
    </row>
    <row r="705" spans="1:1" ht="13" hidden="1" outlineLevel="1" x14ac:dyDescent="0.3">
      <c r="A705" s="66" t="s">
        <v>976</v>
      </c>
    </row>
    <row r="706" spans="1:1" hidden="1" outlineLevel="1" x14ac:dyDescent="0.25">
      <c r="A706" t="s">
        <v>977</v>
      </c>
    </row>
    <row r="707" spans="1:1" hidden="1" outlineLevel="1" x14ac:dyDescent="0.25">
      <c r="A707" t="s">
        <v>950</v>
      </c>
    </row>
    <row r="708" spans="1:1" ht="13" hidden="1" outlineLevel="1" x14ac:dyDescent="0.3">
      <c r="A70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709" spans="1:1" ht="13" hidden="1" outlineLevel="1" x14ac:dyDescent="0.3">
      <c r="A709" s="21" t="s">
        <v>959</v>
      </c>
    </row>
    <row r="710" spans="1:1" hidden="1" outlineLevel="1" x14ac:dyDescent="0.25">
      <c r="A710" t="s">
        <v>960</v>
      </c>
    </row>
    <row r="711" spans="1:1" hidden="1" outlineLevel="1" x14ac:dyDescent="0.25">
      <c r="A711" t="s">
        <v>961</v>
      </c>
    </row>
    <row r="712" spans="1:1" hidden="1" outlineLevel="1" x14ac:dyDescent="0.25">
      <c r="A712" t="str">
        <f>CONCATENATE("sql left outer join acrtrees t on t.client = x.client and x.dim_1 = t.cat_1 and t.att_agrid = '",$F$159,"'")</f>
        <v>sql left outer join acrtrees t on t.client = x.client and x.dim_1 = t.cat_1 and t.att_agrid = '53'</v>
      </c>
    </row>
    <row r="713" spans="1:1" ht="13" hidden="1" outlineLevel="1" x14ac:dyDescent="0.3">
      <c r="A71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714" spans="1:1" ht="13" hidden="1" outlineLevel="1" x14ac:dyDescent="0.3">
      <c r="A714" s="21" t="s">
        <v>978</v>
      </c>
    </row>
    <row r="715" spans="1:1" hidden="1" outlineLevel="1" x14ac:dyDescent="0.25">
      <c r="A715" t="s">
        <v>979</v>
      </c>
    </row>
    <row r="716" spans="1:1" hidden="1" outlineLevel="1" x14ac:dyDescent="0.25">
      <c r="A716" t="s">
        <v>980</v>
      </c>
    </row>
    <row r="717" spans="1:1" hidden="1" outlineLevel="1" x14ac:dyDescent="0.25">
      <c r="A717" t="s">
        <v>966</v>
      </c>
    </row>
    <row r="718" spans="1:1" hidden="1" outlineLevel="1" x14ac:dyDescent="0.25">
      <c r="A718" t="s">
        <v>953</v>
      </c>
    </row>
    <row r="719" spans="1:1" hidden="1" outlineLevel="1" x14ac:dyDescent="0.25">
      <c r="A719" t="s">
        <v>954</v>
      </c>
    </row>
    <row r="720" spans="1:1" ht="13" hidden="1" outlineLevel="1" x14ac:dyDescent="0.3">
      <c r="A720" s="66" t="s">
        <v>981</v>
      </c>
    </row>
    <row r="721" spans="1:1" hidden="1" outlineLevel="1" x14ac:dyDescent="0.25">
      <c r="A721" t="s">
        <v>982</v>
      </c>
    </row>
    <row r="722" spans="1:1" hidden="1" outlineLevel="1" x14ac:dyDescent="0.25">
      <c r="A722" t="s">
        <v>950</v>
      </c>
    </row>
    <row r="723" spans="1:1" ht="13" hidden="1" outlineLevel="1" x14ac:dyDescent="0.3">
      <c r="A72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724" spans="1:1" ht="13" hidden="1" outlineLevel="1" x14ac:dyDescent="0.3">
      <c r="A724" s="21" t="s">
        <v>969</v>
      </c>
    </row>
    <row r="725" spans="1:1" ht="13" hidden="1" outlineLevel="1" x14ac:dyDescent="0.3">
      <c r="A725" s="21" t="s">
        <v>959</v>
      </c>
    </row>
    <row r="726" spans="1:1" hidden="1" outlineLevel="1" x14ac:dyDescent="0.25">
      <c r="A726" t="s">
        <v>960</v>
      </c>
    </row>
    <row r="727" spans="1:1" hidden="1" outlineLevel="1" x14ac:dyDescent="0.25">
      <c r="A727" t="s">
        <v>961</v>
      </c>
    </row>
    <row r="728" spans="1:1" hidden="1" outlineLevel="1" x14ac:dyDescent="0.25">
      <c r="A728" t="str">
        <f>CONCATENATE("sql left outer join acrtrees t on t.client = x.client and x.dim_1 = t.cat_1 and t.att_agrid = '",$F$159,"'")</f>
        <v>sql left outer join acrtrees t on t.client = x.client and x.dim_1 = t.cat_1 and t.att_agrid = '53'</v>
      </c>
    </row>
    <row r="729" spans="1:1" ht="13" hidden="1" outlineLevel="1" x14ac:dyDescent="0.3">
      <c r="A72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730" spans="1:1" ht="13" hidden="1" outlineLevel="1" x14ac:dyDescent="0.3">
      <c r="A730" s="21" t="s">
        <v>970</v>
      </c>
    </row>
    <row r="731" spans="1:1" ht="13" hidden="1" outlineLevel="1" x14ac:dyDescent="0.3">
      <c r="A731" s="21" t="s">
        <v>978</v>
      </c>
    </row>
    <row r="732" spans="1:1" hidden="1" outlineLevel="1" x14ac:dyDescent="0.25">
      <c r="A732" t="s">
        <v>979</v>
      </c>
    </row>
    <row r="733" spans="1:1" hidden="1" outlineLevel="1" x14ac:dyDescent="0.25">
      <c r="A733" t="s">
        <v>980</v>
      </c>
    </row>
    <row r="734" spans="1:1" hidden="1" outlineLevel="1" x14ac:dyDescent="0.25">
      <c r="A734" t="s">
        <v>966</v>
      </c>
    </row>
    <row r="735" spans="1:1" hidden="1" outlineLevel="1" x14ac:dyDescent="0.25">
      <c r="A735" t="s">
        <v>953</v>
      </c>
    </row>
    <row r="736" spans="1:1" hidden="1" outlineLevel="1" x14ac:dyDescent="0.25">
      <c r="A736" t="s">
        <v>954</v>
      </c>
    </row>
    <row r="737" spans="1:3" ht="13" hidden="1" outlineLevel="1" x14ac:dyDescent="0.3">
      <c r="A737" s="20" t="s">
        <v>983</v>
      </c>
    </row>
    <row r="738" spans="1:3" hidden="1" outlineLevel="1" x14ac:dyDescent="0.25">
      <c r="A738" s="7" t="s">
        <v>984</v>
      </c>
    </row>
    <row r="739" spans="1:3" hidden="1" outlineLevel="1" x14ac:dyDescent="0.25">
      <c r="A739" t="s">
        <v>950</v>
      </c>
    </row>
    <row r="740" spans="1:3" hidden="1" outlineLevel="1" x14ac:dyDescent="0.25">
      <c r="A740" t="s">
        <v>951</v>
      </c>
    </row>
    <row r="741" spans="1:3" ht="14.5" hidden="1" outlineLevel="1" x14ac:dyDescent="0.35">
      <c r="A74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741" s="2"/>
    </row>
    <row r="742" spans="1:3" hidden="1" outlineLevel="1" x14ac:dyDescent="0.25">
      <c r="A742" t="s">
        <v>952</v>
      </c>
    </row>
    <row r="743" spans="1:3" hidden="1" outlineLevel="1" x14ac:dyDescent="0.25">
      <c r="A743" t="s">
        <v>953</v>
      </c>
    </row>
    <row r="744" spans="1:3" hidden="1" outlineLevel="1" x14ac:dyDescent="0.25">
      <c r="A744" t="s">
        <v>954</v>
      </c>
    </row>
    <row r="745" spans="1:3" ht="13" hidden="1" outlineLevel="1" x14ac:dyDescent="0.3">
      <c r="A745" s="20" t="s">
        <v>985</v>
      </c>
    </row>
    <row r="746" spans="1:3" hidden="1" outlineLevel="1" x14ac:dyDescent="0.25">
      <c r="A746" s="7" t="s">
        <v>986</v>
      </c>
    </row>
    <row r="747" spans="1:3" hidden="1" outlineLevel="1" x14ac:dyDescent="0.25">
      <c r="A747" t="s">
        <v>987</v>
      </c>
    </row>
    <row r="748" spans="1:3" ht="13" hidden="1" outlineLevel="1" x14ac:dyDescent="0.3">
      <c r="A748" s="21" t="str">
        <f>CONCATENATE("sql where a.client = '",$D$172,"' and a.period between '",LEFT($D$170,4),"00' and '",IF(RIGHT($D$171,2)="12",CONCATENATE(LEFT($D$171,4),"14"),$D$171),"'")</f>
        <v>sql where a.client = 'OX' and a.period between '202500' and '202506'</v>
      </c>
    </row>
    <row r="749" spans="1:3" hidden="1" outlineLevel="1" x14ac:dyDescent="0.25">
      <c r="A749" t="s">
        <v>952</v>
      </c>
    </row>
    <row r="750" spans="1:3" hidden="1" outlineLevel="1" x14ac:dyDescent="0.25">
      <c r="A750" t="s">
        <v>953</v>
      </c>
    </row>
    <row r="751" spans="1:3" hidden="1" outlineLevel="1" x14ac:dyDescent="0.25">
      <c r="A751" t="s">
        <v>954</v>
      </c>
    </row>
    <row r="752" spans="1:3" ht="13" hidden="1" outlineLevel="1" x14ac:dyDescent="0.3">
      <c r="A752" s="20" t="s">
        <v>988</v>
      </c>
    </row>
    <row r="753" spans="1:1" hidden="1" outlineLevel="1" x14ac:dyDescent="0.25">
      <c r="A753" s="7" t="s">
        <v>989</v>
      </c>
    </row>
    <row r="754" spans="1:1" hidden="1" outlineLevel="1" x14ac:dyDescent="0.25">
      <c r="A754" t="s">
        <v>950</v>
      </c>
    </row>
    <row r="755" spans="1:1" hidden="1" outlineLevel="1" x14ac:dyDescent="0.25">
      <c r="A755" t="s">
        <v>951</v>
      </c>
    </row>
    <row r="756" spans="1:1" ht="13" hidden="1" outlineLevel="1" x14ac:dyDescent="0.3">
      <c r="A75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757" spans="1:1" hidden="1" outlineLevel="1" x14ac:dyDescent="0.25">
      <c r="A757" t="s">
        <v>952</v>
      </c>
    </row>
    <row r="758" spans="1:1" hidden="1" outlineLevel="1" x14ac:dyDescent="0.25">
      <c r="A758" t="s">
        <v>953</v>
      </c>
    </row>
    <row r="759" spans="1:1" hidden="1" outlineLevel="1" x14ac:dyDescent="0.25">
      <c r="A759" t="s">
        <v>954</v>
      </c>
    </row>
    <row r="760" spans="1:1" ht="13" hidden="1" outlineLevel="1" x14ac:dyDescent="0.3">
      <c r="A760" s="20" t="s">
        <v>990</v>
      </c>
    </row>
    <row r="761" spans="1:1" hidden="1" outlineLevel="1" x14ac:dyDescent="0.25">
      <c r="A761" s="7" t="s">
        <v>991</v>
      </c>
    </row>
    <row r="762" spans="1:1" hidden="1" outlineLevel="1" x14ac:dyDescent="0.25">
      <c r="A762" t="s">
        <v>950</v>
      </c>
    </row>
    <row r="763" spans="1:1" hidden="1" outlineLevel="1" x14ac:dyDescent="0.25">
      <c r="A763" t="s">
        <v>951</v>
      </c>
    </row>
    <row r="764" spans="1:1" ht="13" hidden="1" outlineLevel="1" x14ac:dyDescent="0.3">
      <c r="A76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765" spans="1:1" hidden="1" outlineLevel="1" x14ac:dyDescent="0.25">
      <c r="A765" t="s">
        <v>952</v>
      </c>
    </row>
    <row r="766" spans="1:1" hidden="1" outlineLevel="1" x14ac:dyDescent="0.25">
      <c r="A766" t="s">
        <v>953</v>
      </c>
    </row>
    <row r="767" spans="1:1" hidden="1" outlineLevel="1" x14ac:dyDescent="0.25">
      <c r="A767" t="s">
        <v>954</v>
      </c>
    </row>
    <row r="768" spans="1:1" ht="13" hidden="1" outlineLevel="1" x14ac:dyDescent="0.3">
      <c r="A768" s="20" t="s">
        <v>992</v>
      </c>
    </row>
    <row r="769" spans="1:7" hidden="1" outlineLevel="1" x14ac:dyDescent="0.25">
      <c r="A769" s="7" t="s">
        <v>993</v>
      </c>
    </row>
    <row r="770" spans="1:7" hidden="1" outlineLevel="1" x14ac:dyDescent="0.25">
      <c r="A770" t="s">
        <v>950</v>
      </c>
    </row>
    <row r="771" spans="1:7" hidden="1" outlineLevel="1" x14ac:dyDescent="0.25">
      <c r="A771" t="s">
        <v>951</v>
      </c>
    </row>
    <row r="772" spans="1:7" ht="13" hidden="1" outlineLevel="1" x14ac:dyDescent="0.3">
      <c r="A77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773" spans="1:7" hidden="1" outlineLevel="1" x14ac:dyDescent="0.25">
      <c r="A773" t="s">
        <v>952</v>
      </c>
    </row>
    <row r="774" spans="1:7" hidden="1" outlineLevel="1" x14ac:dyDescent="0.25">
      <c r="A774" t="s">
        <v>953</v>
      </c>
    </row>
    <row r="775" spans="1:7" hidden="1" outlineLevel="1" x14ac:dyDescent="0.25">
      <c r="A775" t="s">
        <v>994</v>
      </c>
    </row>
    <row r="776" spans="1:7" hidden="1" outlineLevel="1" x14ac:dyDescent="0.25">
      <c r="A776" t="str">
        <f>CONCATENATE("sql left outer join acrtrees t on t.client = u.client and u.dim_1 = t.cat_1 and t.att_agrid = '",$F$159,"'")</f>
        <v>sql left outer join acrtrees t on t.client = u.client and u.dim_1 = t.cat_1 and t.att_agrid = '53'</v>
      </c>
    </row>
    <row r="777" spans="1:7" hidden="1" outlineLevel="1" x14ac:dyDescent="0.25">
      <c r="A777" t="str">
        <f>CONCATENATE("sql left outer join acrtrees s on s.client = u.client and u.account = s.cat_1 and s.att_agrid = '",$F$160,"'")</f>
        <v>sql left outer join acrtrees s on s.client = u.client and u.account = s.cat_1 and s.att_agrid = '14'</v>
      </c>
    </row>
    <row r="778" spans="1:7" hidden="1" outlineLevel="1" x14ac:dyDescent="0.25">
      <c r="A778" t="str">
        <f>CONCATENATE("sql left outer join acrtrees v on v.client = u.client and u.account = v.cat_1 and v.att_agrid = '",$F$161,"'")</f>
        <v>sql left outer join acrtrees v on v.client = u.client and u.account = v.cat_1 and v.att_agrid = '17'</v>
      </c>
    </row>
    <row r="779" spans="1:7" hidden="1" outlineLevel="1" x14ac:dyDescent="0.25">
      <c r="A779" t="str">
        <f>CONCATENATE("sql left outer join agldescription d on d.client = u.client and d.dim_value = t.dim_c and d.attribute_id = '",$F$162,"'")</f>
        <v>sql left outer join agldescription d on d.client = u.client and d.dim_value = t.dim_c and d.attribute_id = '82'</v>
      </c>
    </row>
    <row r="780" spans="1:7" hidden="1" outlineLevel="1" x14ac:dyDescent="0.25">
      <c r="A780" t="str">
        <f>CONCATENATE("sql left outer join agldescription e on e.client = u.client and e.dim_value = t.dim_b and e.attribute_id = '",$F$163,"'")</f>
        <v>sql left outer join agldescription e on e.client = u.client and e.dim_value = t.dim_b and e.attribute_id = '81'</v>
      </c>
    </row>
    <row r="781" spans="1:7" hidden="1" outlineLevel="1" x14ac:dyDescent="0.25">
      <c r="A781" t="str">
        <f>CONCATENATE("sql left outer join agldescription f on f.client = u.client and f.dim_value = t.dim_e and f.attribute_id = '",$F$164,"'")</f>
        <v>sql left outer join agldescription f on f.client = u.client and f.dim_value = t.dim_e and f.attribute_id = '80'</v>
      </c>
    </row>
    <row r="782" spans="1:7" hidden="1" outlineLevel="1" x14ac:dyDescent="0.25">
      <c r="A782" t="str">
        <f>CONCATENATE("sql left outer join agldescription g on g.client = u.client and g.dim_value = u.account and g.attribute_id = '",$F$165,"'")</f>
        <v>sql left outer join agldescription g on g.client = u.client and g.dim_value = u.account and g.attribute_id = 'A0'</v>
      </c>
    </row>
    <row r="783" spans="1:7" ht="14.5" hidden="1" outlineLevel="1" x14ac:dyDescent="0.35">
      <c r="A783" s="67" t="s">
        <v>1044</v>
      </c>
      <c r="G783" s="737" t="s">
        <v>1045</v>
      </c>
    </row>
    <row r="784" spans="1:7" hidden="1" outlineLevel="1" x14ac:dyDescent="0.25">
      <c r="A784" t="s">
        <v>1005</v>
      </c>
    </row>
    <row r="785" spans="1:33" hidden="1" outlineLevel="1" x14ac:dyDescent="0.25">
      <c r="A785" t="s">
        <v>1006</v>
      </c>
    </row>
    <row r="786" spans="1:33" hidden="1" outlineLevel="1" x14ac:dyDescent="0.25">
      <c r="A786" t="s">
        <v>1007</v>
      </c>
    </row>
    <row r="787" spans="1:33" ht="13" hidden="1" outlineLevel="1" x14ac:dyDescent="0.3">
      <c r="A787" t="s">
        <v>1012</v>
      </c>
      <c r="C787" s="29"/>
      <c r="D787" s="36">
        <v>1000</v>
      </c>
      <c r="E787" s="36">
        <v>1000</v>
      </c>
      <c r="F787" s="22">
        <v>1000</v>
      </c>
      <c r="G787" s="22">
        <v>1000</v>
      </c>
      <c r="H787" s="22">
        <v>1000</v>
      </c>
      <c r="I787" s="22">
        <v>1000</v>
      </c>
      <c r="J787" s="22">
        <v>1000</v>
      </c>
      <c r="K787" s="22">
        <v>1000</v>
      </c>
      <c r="L787" s="22"/>
      <c r="M787" s="36"/>
      <c r="N787" s="36"/>
      <c r="O787" s="36">
        <v>1000</v>
      </c>
      <c r="P787" s="36">
        <v>1000</v>
      </c>
      <c r="Q787" s="36">
        <v>1000</v>
      </c>
      <c r="R787" s="36">
        <v>1000</v>
      </c>
      <c r="S787" s="36">
        <v>1000</v>
      </c>
      <c r="T787" s="36"/>
      <c r="U787" s="36"/>
      <c r="V787" s="58"/>
      <c r="W787" s="36">
        <v>1000</v>
      </c>
      <c r="X787" s="36">
        <v>1000</v>
      </c>
      <c r="Y787" s="36"/>
      <c r="Z787" s="36"/>
      <c r="AA787" s="40"/>
      <c r="AB787" s="60"/>
      <c r="AC787" s="98"/>
      <c r="AD787" s="36"/>
      <c r="AE787" s="36"/>
      <c r="AF787" s="36"/>
      <c r="AG787" s="99"/>
    </row>
    <row r="788" spans="1:33" ht="13" hidden="1" outlineLevel="1" x14ac:dyDescent="0.3">
      <c r="A788" s="7" t="s">
        <v>1013</v>
      </c>
      <c r="C788" s="29"/>
      <c r="D788" s="36">
        <v>0</v>
      </c>
      <c r="E788" s="36">
        <v>0</v>
      </c>
      <c r="F788" s="22">
        <v>0</v>
      </c>
      <c r="G788" s="22">
        <v>0</v>
      </c>
      <c r="H788" s="22">
        <v>0</v>
      </c>
      <c r="I788" s="22">
        <v>0</v>
      </c>
      <c r="J788" s="22">
        <v>0</v>
      </c>
      <c r="K788" s="22">
        <v>0</v>
      </c>
      <c r="L788" s="22"/>
      <c r="M788" s="36"/>
      <c r="N788" s="36"/>
      <c r="O788" s="36">
        <v>0</v>
      </c>
      <c r="P788" s="36">
        <v>0</v>
      </c>
      <c r="Q788" s="36">
        <v>0</v>
      </c>
      <c r="R788" s="36">
        <v>0</v>
      </c>
      <c r="S788" s="36">
        <v>0</v>
      </c>
      <c r="T788" s="36"/>
      <c r="U788" s="36"/>
      <c r="V788" s="58"/>
      <c r="W788" s="36">
        <v>0</v>
      </c>
      <c r="X788" s="36">
        <v>0</v>
      </c>
      <c r="Y788" s="36"/>
      <c r="Z788" s="36"/>
      <c r="AA788" s="40"/>
      <c r="AB788" s="60"/>
      <c r="AC788" s="98"/>
      <c r="AD788" s="36"/>
      <c r="AE788" s="36"/>
      <c r="AF788" s="36"/>
      <c r="AG788" s="99"/>
    </row>
    <row r="789" spans="1:33" ht="13" hidden="1" outlineLevel="1" x14ac:dyDescent="0.3">
      <c r="A789" t="s">
        <v>1014</v>
      </c>
      <c r="C789" s="30"/>
      <c r="D789" s="36"/>
      <c r="E789" s="36"/>
      <c r="F789" s="57"/>
      <c r="G789" s="57"/>
      <c r="H789" s="57"/>
      <c r="I789" s="57"/>
      <c r="J789" s="57"/>
      <c r="K789" s="57"/>
      <c r="L789" s="57"/>
      <c r="M789" s="36"/>
      <c r="N789" s="36"/>
      <c r="O789" s="36"/>
      <c r="P789" s="36" t="s">
        <v>1015</v>
      </c>
      <c r="Q789" s="36" t="s">
        <v>1016</v>
      </c>
      <c r="R789" s="36"/>
      <c r="S789" s="36"/>
      <c r="T789" s="36"/>
      <c r="U789" s="36"/>
      <c r="V789" s="58"/>
      <c r="W789" s="36"/>
      <c r="X789" s="36"/>
      <c r="Y789" s="36"/>
      <c r="Z789" s="36"/>
      <c r="AA789" s="40"/>
      <c r="AB789" s="60"/>
      <c r="AC789" s="98"/>
      <c r="AD789" s="36"/>
      <c r="AE789" s="36"/>
      <c r="AF789" s="36"/>
      <c r="AG789" s="99"/>
    </row>
    <row r="790" spans="1:33" ht="13" hidden="1" outlineLevel="1" x14ac:dyDescent="0.3">
      <c r="A790" t="s">
        <v>1017</v>
      </c>
      <c r="C790" s="31"/>
      <c r="D790" s="36" t="s">
        <v>1019</v>
      </c>
      <c r="E790" s="36" t="s">
        <v>1020</v>
      </c>
      <c r="F790" s="22" t="s">
        <v>1021</v>
      </c>
      <c r="G790" s="22" t="s">
        <v>1022</v>
      </c>
      <c r="H790" s="22" t="s">
        <v>1023</v>
      </c>
      <c r="I790" s="22" t="s">
        <v>1024</v>
      </c>
      <c r="J790" s="22" t="s">
        <v>1025</v>
      </c>
      <c r="K790" s="22" t="s">
        <v>1026</v>
      </c>
      <c r="L790" s="22"/>
      <c r="M790" s="36"/>
      <c r="N790" s="36"/>
      <c r="O790" s="36" t="s">
        <v>1027</v>
      </c>
      <c r="P790" s="36" t="s">
        <v>1028</v>
      </c>
      <c r="Q790" s="36" t="s">
        <v>1028</v>
      </c>
      <c r="R790" s="36" t="s">
        <v>1028</v>
      </c>
      <c r="S790" s="36" t="s">
        <v>1029</v>
      </c>
      <c r="T790" s="36"/>
      <c r="U790" s="36"/>
      <c r="V790" s="58"/>
      <c r="W790" s="36" t="s">
        <v>1030</v>
      </c>
      <c r="X790" s="36" t="s">
        <v>1031</v>
      </c>
      <c r="Y790" s="36"/>
      <c r="Z790" s="36"/>
      <c r="AA790" s="40"/>
      <c r="AB790" s="60"/>
      <c r="AC790" s="98"/>
      <c r="AD790" s="36"/>
      <c r="AE790" s="36"/>
      <c r="AF790" s="36"/>
      <c r="AG790" s="99"/>
    </row>
    <row r="791" spans="1:33" ht="13" hidden="1" outlineLevel="1" x14ac:dyDescent="0.3">
      <c r="A791" t="s">
        <v>1041</v>
      </c>
      <c r="C791" s="31" t="s">
        <v>119</v>
      </c>
      <c r="D791" s="33">
        <v>0</v>
      </c>
      <c r="E791" s="33">
        <v>0</v>
      </c>
      <c r="F791" s="23">
        <v>0</v>
      </c>
      <c r="G791" s="23">
        <v>0</v>
      </c>
      <c r="H791" s="23">
        <v>0</v>
      </c>
      <c r="I791" s="23">
        <v>0</v>
      </c>
      <c r="J791" s="23">
        <v>0</v>
      </c>
      <c r="K791" s="23">
        <v>0</v>
      </c>
      <c r="L791" s="23">
        <f>SUM(F791:K791)</f>
        <v>0</v>
      </c>
      <c r="M791" s="33">
        <f>O791-E791</f>
        <v>0</v>
      </c>
      <c r="N791" s="33">
        <f>O791-D791</f>
        <v>0</v>
      </c>
      <c r="O791" s="33">
        <v>0</v>
      </c>
      <c r="P791" s="33">
        <v>0</v>
      </c>
      <c r="Q791" s="33">
        <v>0</v>
      </c>
      <c r="R791" s="33">
        <v>0</v>
      </c>
      <c r="S791" s="33">
        <v>0</v>
      </c>
      <c r="T791" s="33">
        <f>R791-S791</f>
        <v>0</v>
      </c>
      <c r="U791" s="38" t="str">
        <f>IFERROR((R791/O791)*100%,"∞")</f>
        <v>∞</v>
      </c>
      <c r="V791" s="59">
        <f>O791+W791</f>
        <v>0</v>
      </c>
      <c r="W791" s="33">
        <v>0</v>
      </c>
      <c r="X791" s="33">
        <v>0</v>
      </c>
      <c r="Y791" s="33"/>
      <c r="Z791" s="33"/>
      <c r="AA791" s="42"/>
      <c r="AB791" s="60"/>
      <c r="AC791" s="105"/>
      <c r="AD791" s="93"/>
      <c r="AE791" s="33">
        <f>SUM(AC791:AD791)</f>
        <v>0</v>
      </c>
      <c r="AF791" s="33">
        <f>R791+AE791</f>
        <v>0</v>
      </c>
      <c r="AG791" s="101">
        <f>AF791-O791</f>
        <v>0</v>
      </c>
    </row>
    <row r="792" spans="1:33" hidden="1" outlineLevel="1" x14ac:dyDescent="0.25">
      <c r="A792" t="s">
        <v>232</v>
      </c>
    </row>
    <row r="793" spans="1:33" hidden="1" outlineLevel="1" x14ac:dyDescent="0.25">
      <c r="A793" t="s">
        <v>944</v>
      </c>
      <c r="M793" s="19"/>
      <c r="N793" s="19"/>
    </row>
    <row r="794" spans="1:33" hidden="1" outlineLevel="1" x14ac:dyDescent="0.25">
      <c r="A794" t="s">
        <v>946</v>
      </c>
      <c r="E794" s="19"/>
    </row>
    <row r="795" spans="1:33" hidden="1" outlineLevel="1" x14ac:dyDescent="0.25">
      <c r="A795" t="s">
        <v>947</v>
      </c>
      <c r="E795" s="19"/>
      <c r="F795" s="19"/>
    </row>
    <row r="796" spans="1:33" ht="13" hidden="1" outlineLevel="1" x14ac:dyDescent="0.3">
      <c r="A796" s="20" t="s">
        <v>948</v>
      </c>
    </row>
    <row r="797" spans="1:33" hidden="1" outlineLevel="1" x14ac:dyDescent="0.25">
      <c r="A797" s="7" t="s">
        <v>949</v>
      </c>
    </row>
    <row r="798" spans="1:33" hidden="1" outlineLevel="1" x14ac:dyDescent="0.25">
      <c r="A798" t="s">
        <v>950</v>
      </c>
    </row>
    <row r="799" spans="1:33" hidden="1" outlineLevel="1" x14ac:dyDescent="0.25">
      <c r="A799" t="s">
        <v>951</v>
      </c>
    </row>
    <row r="800" spans="1:33" ht="13" hidden="1" outlineLevel="1" x14ac:dyDescent="0.3">
      <c r="A800" s="21" t="str">
        <f>CONCATENATE("sql where a.client = '",$D$172,"' and a.period between '",LEFT($D$170,4),"00' and '",LEFT($D$171,4),"14' and a.version like '%ORIG%'")</f>
        <v>sql where a.client = 'OX' and a.period between '202500' and '202514' and a.version like '%ORIG%'</v>
      </c>
    </row>
    <row r="801" spans="1:3" hidden="1" outlineLevel="1" x14ac:dyDescent="0.25">
      <c r="A801" t="s">
        <v>952</v>
      </c>
    </row>
    <row r="802" spans="1:3" hidden="1" outlineLevel="1" x14ac:dyDescent="0.25">
      <c r="A802" t="s">
        <v>953</v>
      </c>
    </row>
    <row r="803" spans="1:3" hidden="1" outlineLevel="1" x14ac:dyDescent="0.25">
      <c r="A803" t="s">
        <v>954</v>
      </c>
    </row>
    <row r="804" spans="1:3" ht="13" hidden="1" outlineLevel="1" x14ac:dyDescent="0.3">
      <c r="A804" s="20" t="s">
        <v>955</v>
      </c>
    </row>
    <row r="805" spans="1:3" hidden="1" outlineLevel="1" x14ac:dyDescent="0.25">
      <c r="A805" s="7" t="s">
        <v>956</v>
      </c>
    </row>
    <row r="806" spans="1:3" hidden="1" outlineLevel="1" x14ac:dyDescent="0.25">
      <c r="A806" t="s">
        <v>950</v>
      </c>
    </row>
    <row r="807" spans="1:3" hidden="1" outlineLevel="1" x14ac:dyDescent="0.25">
      <c r="A807" t="s">
        <v>951</v>
      </c>
    </row>
    <row r="808" spans="1:3" ht="14.5" hidden="1" outlineLevel="1" x14ac:dyDescent="0.35">
      <c r="A808"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808" s="2"/>
    </row>
    <row r="809" spans="1:3" hidden="1" outlineLevel="1" x14ac:dyDescent="0.25">
      <c r="A809" t="s">
        <v>952</v>
      </c>
    </row>
    <row r="810" spans="1:3" hidden="1" outlineLevel="1" x14ac:dyDescent="0.25">
      <c r="A810" t="s">
        <v>953</v>
      </c>
    </row>
    <row r="811" spans="1:3" hidden="1" outlineLevel="1" x14ac:dyDescent="0.25">
      <c r="A811" t="s">
        <v>954</v>
      </c>
    </row>
    <row r="812" spans="1:3" ht="13" hidden="1" outlineLevel="1" x14ac:dyDescent="0.3">
      <c r="A812" s="66" t="s">
        <v>957</v>
      </c>
    </row>
    <row r="813" spans="1:3" hidden="1" outlineLevel="1" x14ac:dyDescent="0.25">
      <c r="A813" t="s">
        <v>958</v>
      </c>
    </row>
    <row r="814" spans="1:3" hidden="1" outlineLevel="1" x14ac:dyDescent="0.25">
      <c r="A814" t="s">
        <v>950</v>
      </c>
    </row>
    <row r="815" spans="1:3" ht="13" hidden="1" outlineLevel="1" x14ac:dyDescent="0.3">
      <c r="A81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816" spans="1:3" ht="13" hidden="1" outlineLevel="1" x14ac:dyDescent="0.3">
      <c r="A816" s="21" t="s">
        <v>959</v>
      </c>
    </row>
    <row r="817" spans="1:1" hidden="1" outlineLevel="1" x14ac:dyDescent="0.25">
      <c r="A817" t="s">
        <v>960</v>
      </c>
    </row>
    <row r="818" spans="1:1" hidden="1" outlineLevel="1" x14ac:dyDescent="0.25">
      <c r="A818" t="s">
        <v>961</v>
      </c>
    </row>
    <row r="819" spans="1:1" hidden="1" outlineLevel="1" x14ac:dyDescent="0.25">
      <c r="A819" t="str">
        <f>CONCATENATE("sql left outer join acrtrees t on t.client = x.client and x.dim_1 = t.cat_1 and t.att_agrid = '",$F$159,"'")</f>
        <v>sql left outer join acrtrees t on t.client = x.client and x.dim_1 = t.cat_1 and t.att_agrid = '53'</v>
      </c>
    </row>
    <row r="820" spans="1:1" ht="13" hidden="1" outlineLevel="1" x14ac:dyDescent="0.3">
      <c r="A82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821" spans="1:1" ht="13" hidden="1" outlineLevel="1" x14ac:dyDescent="0.3">
      <c r="A821" s="21" t="s">
        <v>962</v>
      </c>
    </row>
    <row r="822" spans="1:1" ht="13" hidden="1" outlineLevel="1" x14ac:dyDescent="0.3">
      <c r="A822"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823" spans="1:1" ht="13" hidden="1" outlineLevel="1" x14ac:dyDescent="0.3">
      <c r="A823" s="21" t="s">
        <v>963</v>
      </c>
    </row>
    <row r="824" spans="1:1" hidden="1" outlineLevel="1" x14ac:dyDescent="0.25">
      <c r="A824" t="s">
        <v>964</v>
      </c>
    </row>
    <row r="825" spans="1:1" hidden="1" outlineLevel="1" x14ac:dyDescent="0.25">
      <c r="A825" t="s">
        <v>965</v>
      </c>
    </row>
    <row r="826" spans="1:1" hidden="1" outlineLevel="1" x14ac:dyDescent="0.25">
      <c r="A826" t="s">
        <v>966</v>
      </c>
    </row>
    <row r="827" spans="1:1" hidden="1" outlineLevel="1" x14ac:dyDescent="0.25">
      <c r="A827" t="s">
        <v>953</v>
      </c>
    </row>
    <row r="828" spans="1:1" hidden="1" outlineLevel="1" x14ac:dyDescent="0.25">
      <c r="A828" t="s">
        <v>954</v>
      </c>
    </row>
    <row r="829" spans="1:1" ht="13" hidden="1" outlineLevel="1" x14ac:dyDescent="0.3">
      <c r="A829" s="66" t="s">
        <v>967</v>
      </c>
    </row>
    <row r="830" spans="1:1" hidden="1" outlineLevel="1" x14ac:dyDescent="0.25">
      <c r="A830" t="s">
        <v>968</v>
      </c>
    </row>
    <row r="831" spans="1:1" hidden="1" outlineLevel="1" x14ac:dyDescent="0.25">
      <c r="A831" t="s">
        <v>950</v>
      </c>
    </row>
    <row r="832" spans="1:1" ht="13" hidden="1" outlineLevel="1" x14ac:dyDescent="0.3">
      <c r="A83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833" spans="1:1" ht="13" hidden="1" outlineLevel="1" x14ac:dyDescent="0.3">
      <c r="A833" s="21" t="s">
        <v>969</v>
      </c>
    </row>
    <row r="834" spans="1:1" ht="13" hidden="1" outlineLevel="1" x14ac:dyDescent="0.3">
      <c r="A834" s="21" t="s">
        <v>959</v>
      </c>
    </row>
    <row r="835" spans="1:1" hidden="1" outlineLevel="1" x14ac:dyDescent="0.25">
      <c r="A835" t="s">
        <v>960</v>
      </c>
    </row>
    <row r="836" spans="1:1" hidden="1" outlineLevel="1" x14ac:dyDescent="0.25">
      <c r="A836" t="s">
        <v>961</v>
      </c>
    </row>
    <row r="837" spans="1:1" hidden="1" outlineLevel="1" x14ac:dyDescent="0.25">
      <c r="A837" t="str">
        <f>CONCATENATE("sql left outer join acrtrees t on t.client = x.client and x.dim_1 = t.cat_1 and t.att_agrid = '",$F$159,"'")</f>
        <v>sql left outer join acrtrees t on t.client = x.client and x.dim_1 = t.cat_1 and t.att_agrid = '53'</v>
      </c>
    </row>
    <row r="838" spans="1:1" ht="13" hidden="1" outlineLevel="1" x14ac:dyDescent="0.3">
      <c r="A83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839" spans="1:1" ht="13" hidden="1" outlineLevel="1" x14ac:dyDescent="0.3">
      <c r="A839" s="21" t="s">
        <v>970</v>
      </c>
    </row>
    <row r="840" spans="1:1" ht="13" hidden="1" outlineLevel="1" x14ac:dyDescent="0.3">
      <c r="A840" s="21" t="s">
        <v>962</v>
      </c>
    </row>
    <row r="841" spans="1:1" ht="13" hidden="1" outlineLevel="1" x14ac:dyDescent="0.3">
      <c r="A841"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842" spans="1:1" ht="13" hidden="1" outlineLevel="1" x14ac:dyDescent="0.3">
      <c r="A842" s="21" t="s">
        <v>970</v>
      </c>
    </row>
    <row r="843" spans="1:1" ht="13" hidden="1" outlineLevel="1" x14ac:dyDescent="0.3">
      <c r="A843" s="21" t="s">
        <v>963</v>
      </c>
    </row>
    <row r="844" spans="1:1" hidden="1" outlineLevel="1" x14ac:dyDescent="0.25">
      <c r="A844" t="s">
        <v>964</v>
      </c>
    </row>
    <row r="845" spans="1:1" hidden="1" outlineLevel="1" x14ac:dyDescent="0.25">
      <c r="A845" t="s">
        <v>965</v>
      </c>
    </row>
    <row r="846" spans="1:1" hidden="1" outlineLevel="1" x14ac:dyDescent="0.25">
      <c r="A846" t="s">
        <v>966</v>
      </c>
    </row>
    <row r="847" spans="1:1" hidden="1" outlineLevel="1" x14ac:dyDescent="0.25">
      <c r="A847" t="s">
        <v>953</v>
      </c>
    </row>
    <row r="848" spans="1:1" hidden="1" outlineLevel="1" x14ac:dyDescent="0.25">
      <c r="A848" t="s">
        <v>954</v>
      </c>
    </row>
    <row r="849" spans="1:1" ht="13" hidden="1" outlineLevel="1" x14ac:dyDescent="0.3">
      <c r="A849" s="66" t="s">
        <v>971</v>
      </c>
    </row>
    <row r="850" spans="1:1" hidden="1" outlineLevel="1" x14ac:dyDescent="0.25">
      <c r="A850" t="s">
        <v>972</v>
      </c>
    </row>
    <row r="851" spans="1:1" hidden="1" outlineLevel="1" x14ac:dyDescent="0.25">
      <c r="A851" t="s">
        <v>950</v>
      </c>
    </row>
    <row r="852" spans="1:1" ht="13" hidden="1" outlineLevel="1" x14ac:dyDescent="0.3">
      <c r="A85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853" spans="1:1" ht="13" hidden="1" outlineLevel="1" x14ac:dyDescent="0.3">
      <c r="A853" s="21" t="s">
        <v>959</v>
      </c>
    </row>
    <row r="854" spans="1:1" hidden="1" outlineLevel="1" x14ac:dyDescent="0.25">
      <c r="A854" t="s">
        <v>960</v>
      </c>
    </row>
    <row r="855" spans="1:1" hidden="1" outlineLevel="1" x14ac:dyDescent="0.25">
      <c r="A855" t="s">
        <v>961</v>
      </c>
    </row>
    <row r="856" spans="1:1" hidden="1" outlineLevel="1" x14ac:dyDescent="0.25">
      <c r="A856" t="str">
        <f>CONCATENATE("sql left outer join acrtrees t on t.client = x.client and x.dim_1 = t.cat_1 and t.att_agrid = '",$F$159,"'")</f>
        <v>sql left outer join acrtrees t on t.client = x.client and x.dim_1 = t.cat_1 and t.att_agrid = '53'</v>
      </c>
    </row>
    <row r="857" spans="1:1" ht="13" hidden="1" outlineLevel="1" x14ac:dyDescent="0.3">
      <c r="A85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858" spans="1:1" ht="13" hidden="1" outlineLevel="1" x14ac:dyDescent="0.3">
      <c r="A858" s="21" t="s">
        <v>973</v>
      </c>
    </row>
    <row r="859" spans="1:1" hidden="1" outlineLevel="1" x14ac:dyDescent="0.25">
      <c r="A859" t="s">
        <v>964</v>
      </c>
    </row>
    <row r="860" spans="1:1" hidden="1" outlineLevel="1" x14ac:dyDescent="0.25">
      <c r="A860" t="s">
        <v>965</v>
      </c>
    </row>
    <row r="861" spans="1:1" hidden="1" outlineLevel="1" x14ac:dyDescent="0.25">
      <c r="A861" t="s">
        <v>966</v>
      </c>
    </row>
    <row r="862" spans="1:1" hidden="1" outlineLevel="1" x14ac:dyDescent="0.25">
      <c r="A862" t="s">
        <v>953</v>
      </c>
    </row>
    <row r="863" spans="1:1" hidden="1" outlineLevel="1" x14ac:dyDescent="0.25">
      <c r="A863" t="s">
        <v>954</v>
      </c>
    </row>
    <row r="864" spans="1:1" ht="13" hidden="1" outlineLevel="1" x14ac:dyDescent="0.3">
      <c r="A864" s="66" t="s">
        <v>974</v>
      </c>
    </row>
    <row r="865" spans="1:1" hidden="1" outlineLevel="1" x14ac:dyDescent="0.25">
      <c r="A865" t="s">
        <v>975</v>
      </c>
    </row>
    <row r="866" spans="1:1" hidden="1" outlineLevel="1" x14ac:dyDescent="0.25">
      <c r="A866" t="s">
        <v>950</v>
      </c>
    </row>
    <row r="867" spans="1:1" ht="13" hidden="1" outlineLevel="1" x14ac:dyDescent="0.3">
      <c r="A86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868" spans="1:1" ht="13" hidden="1" outlineLevel="1" x14ac:dyDescent="0.3">
      <c r="A868" s="21" t="s">
        <v>959</v>
      </c>
    </row>
    <row r="869" spans="1:1" hidden="1" outlineLevel="1" x14ac:dyDescent="0.25">
      <c r="A869" t="s">
        <v>960</v>
      </c>
    </row>
    <row r="870" spans="1:1" hidden="1" outlineLevel="1" x14ac:dyDescent="0.25">
      <c r="A870" t="s">
        <v>961</v>
      </c>
    </row>
    <row r="871" spans="1:1" hidden="1" outlineLevel="1" x14ac:dyDescent="0.25">
      <c r="A871" t="str">
        <f>CONCATENATE("sql left outer join acrtrees t on t.client = x.client and x.dim_1 = t.cat_1 and t.att_agrid = '",$F$159,"'")</f>
        <v>sql left outer join acrtrees t on t.client = x.client and x.dim_1 = t.cat_1 and t.att_agrid = '53'</v>
      </c>
    </row>
    <row r="872" spans="1:1" ht="13" hidden="1" outlineLevel="1" x14ac:dyDescent="0.3">
      <c r="A87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873" spans="1:1" ht="13" hidden="1" outlineLevel="1" x14ac:dyDescent="0.3">
      <c r="A873" s="21" t="s">
        <v>973</v>
      </c>
    </row>
    <row r="874" spans="1:1" hidden="1" outlineLevel="1" x14ac:dyDescent="0.25">
      <c r="A874" t="s">
        <v>964</v>
      </c>
    </row>
    <row r="875" spans="1:1" hidden="1" outlineLevel="1" x14ac:dyDescent="0.25">
      <c r="A875" t="s">
        <v>965</v>
      </c>
    </row>
    <row r="876" spans="1:1" hidden="1" outlineLevel="1" x14ac:dyDescent="0.25">
      <c r="A876" t="s">
        <v>966</v>
      </c>
    </row>
    <row r="877" spans="1:1" hidden="1" outlineLevel="1" x14ac:dyDescent="0.25">
      <c r="A877" t="s">
        <v>953</v>
      </c>
    </row>
    <row r="878" spans="1:1" hidden="1" outlineLevel="1" x14ac:dyDescent="0.25">
      <c r="A878" t="s">
        <v>954</v>
      </c>
    </row>
    <row r="879" spans="1:1" ht="13" hidden="1" outlineLevel="1" x14ac:dyDescent="0.3">
      <c r="A879" s="66" t="s">
        <v>976</v>
      </c>
    </row>
    <row r="880" spans="1:1" hidden="1" outlineLevel="1" x14ac:dyDescent="0.25">
      <c r="A880" t="s">
        <v>977</v>
      </c>
    </row>
    <row r="881" spans="1:1" hidden="1" outlineLevel="1" x14ac:dyDescent="0.25">
      <c r="A881" t="s">
        <v>950</v>
      </c>
    </row>
    <row r="882" spans="1:1" ht="13" hidden="1" outlineLevel="1" x14ac:dyDescent="0.3">
      <c r="A88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883" spans="1:1" ht="13" hidden="1" outlineLevel="1" x14ac:dyDescent="0.3">
      <c r="A883" s="21" t="s">
        <v>959</v>
      </c>
    </row>
    <row r="884" spans="1:1" hidden="1" outlineLevel="1" x14ac:dyDescent="0.25">
      <c r="A884" t="s">
        <v>960</v>
      </c>
    </row>
    <row r="885" spans="1:1" hidden="1" outlineLevel="1" x14ac:dyDescent="0.25">
      <c r="A885" t="s">
        <v>961</v>
      </c>
    </row>
    <row r="886" spans="1:1" hidden="1" outlineLevel="1" x14ac:dyDescent="0.25">
      <c r="A886" t="str">
        <f>CONCATENATE("sql left outer join acrtrees t on t.client = x.client and x.dim_1 = t.cat_1 and t.att_agrid = '",$F$159,"'")</f>
        <v>sql left outer join acrtrees t on t.client = x.client and x.dim_1 = t.cat_1 and t.att_agrid = '53'</v>
      </c>
    </row>
    <row r="887" spans="1:1" ht="13" hidden="1" outlineLevel="1" x14ac:dyDescent="0.3">
      <c r="A88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888" spans="1:1" ht="13" hidden="1" outlineLevel="1" x14ac:dyDescent="0.3">
      <c r="A888" s="21" t="s">
        <v>978</v>
      </c>
    </row>
    <row r="889" spans="1:1" hidden="1" outlineLevel="1" x14ac:dyDescent="0.25">
      <c r="A889" t="s">
        <v>979</v>
      </c>
    </row>
    <row r="890" spans="1:1" hidden="1" outlineLevel="1" x14ac:dyDescent="0.25">
      <c r="A890" t="s">
        <v>980</v>
      </c>
    </row>
    <row r="891" spans="1:1" hidden="1" outlineLevel="1" x14ac:dyDescent="0.25">
      <c r="A891" t="s">
        <v>966</v>
      </c>
    </row>
    <row r="892" spans="1:1" hidden="1" outlineLevel="1" x14ac:dyDescent="0.25">
      <c r="A892" t="s">
        <v>953</v>
      </c>
    </row>
    <row r="893" spans="1:1" hidden="1" outlineLevel="1" x14ac:dyDescent="0.25">
      <c r="A893" t="s">
        <v>954</v>
      </c>
    </row>
    <row r="894" spans="1:1" ht="13" hidden="1" outlineLevel="1" x14ac:dyDescent="0.3">
      <c r="A894" s="66" t="s">
        <v>981</v>
      </c>
    </row>
    <row r="895" spans="1:1" hidden="1" outlineLevel="1" x14ac:dyDescent="0.25">
      <c r="A895" t="s">
        <v>982</v>
      </c>
    </row>
    <row r="896" spans="1:1" hidden="1" outlineLevel="1" x14ac:dyDescent="0.25">
      <c r="A896" t="s">
        <v>950</v>
      </c>
    </row>
    <row r="897" spans="1:1" ht="13" hidden="1" outlineLevel="1" x14ac:dyDescent="0.3">
      <c r="A89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898" spans="1:1" ht="13" hidden="1" outlineLevel="1" x14ac:dyDescent="0.3">
      <c r="A898" s="21" t="s">
        <v>969</v>
      </c>
    </row>
    <row r="899" spans="1:1" ht="13" hidden="1" outlineLevel="1" x14ac:dyDescent="0.3">
      <c r="A899" s="21" t="s">
        <v>959</v>
      </c>
    </row>
    <row r="900" spans="1:1" hidden="1" outlineLevel="1" x14ac:dyDescent="0.25">
      <c r="A900" t="s">
        <v>960</v>
      </c>
    </row>
    <row r="901" spans="1:1" hidden="1" outlineLevel="1" x14ac:dyDescent="0.25">
      <c r="A901" t="s">
        <v>961</v>
      </c>
    </row>
    <row r="902" spans="1:1" hidden="1" outlineLevel="1" x14ac:dyDescent="0.25">
      <c r="A902" t="str">
        <f>CONCATENATE("sql left outer join acrtrees t on t.client = x.client and x.dim_1 = t.cat_1 and t.att_agrid = '",$F$159,"'")</f>
        <v>sql left outer join acrtrees t on t.client = x.client and x.dim_1 = t.cat_1 and t.att_agrid = '53'</v>
      </c>
    </row>
    <row r="903" spans="1:1" ht="13" hidden="1" outlineLevel="1" x14ac:dyDescent="0.3">
      <c r="A90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904" spans="1:1" ht="13" hidden="1" outlineLevel="1" x14ac:dyDescent="0.3">
      <c r="A904" s="21" t="s">
        <v>970</v>
      </c>
    </row>
    <row r="905" spans="1:1" ht="13" hidden="1" outlineLevel="1" x14ac:dyDescent="0.3">
      <c r="A905" s="21" t="s">
        <v>978</v>
      </c>
    </row>
    <row r="906" spans="1:1" hidden="1" outlineLevel="1" x14ac:dyDescent="0.25">
      <c r="A906" t="s">
        <v>979</v>
      </c>
    </row>
    <row r="907" spans="1:1" hidden="1" outlineLevel="1" x14ac:dyDescent="0.25">
      <c r="A907" t="s">
        <v>980</v>
      </c>
    </row>
    <row r="908" spans="1:1" hidden="1" outlineLevel="1" x14ac:dyDescent="0.25">
      <c r="A908" t="s">
        <v>966</v>
      </c>
    </row>
    <row r="909" spans="1:1" hidden="1" outlineLevel="1" x14ac:dyDescent="0.25">
      <c r="A909" t="s">
        <v>953</v>
      </c>
    </row>
    <row r="910" spans="1:1" hidden="1" outlineLevel="1" x14ac:dyDescent="0.25">
      <c r="A910" t="s">
        <v>954</v>
      </c>
    </row>
    <row r="911" spans="1:1" ht="13" hidden="1" outlineLevel="1" x14ac:dyDescent="0.3">
      <c r="A911" s="20" t="s">
        <v>983</v>
      </c>
    </row>
    <row r="912" spans="1:1" hidden="1" outlineLevel="1" x14ac:dyDescent="0.25">
      <c r="A912" s="7" t="s">
        <v>984</v>
      </c>
    </row>
    <row r="913" spans="1:3" hidden="1" outlineLevel="1" x14ac:dyDescent="0.25">
      <c r="A913" t="s">
        <v>950</v>
      </c>
    </row>
    <row r="914" spans="1:3" hidden="1" outlineLevel="1" x14ac:dyDescent="0.25">
      <c r="A914" t="s">
        <v>951</v>
      </c>
    </row>
    <row r="915" spans="1:3" ht="14.5" hidden="1" outlineLevel="1" x14ac:dyDescent="0.35">
      <c r="A915"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915" s="2"/>
    </row>
    <row r="916" spans="1:3" hidden="1" outlineLevel="1" x14ac:dyDescent="0.25">
      <c r="A916" t="s">
        <v>952</v>
      </c>
    </row>
    <row r="917" spans="1:3" hidden="1" outlineLevel="1" x14ac:dyDescent="0.25">
      <c r="A917" t="s">
        <v>953</v>
      </c>
    </row>
    <row r="918" spans="1:3" hidden="1" outlineLevel="1" x14ac:dyDescent="0.25">
      <c r="A918" t="s">
        <v>954</v>
      </c>
    </row>
    <row r="919" spans="1:3" ht="13" hidden="1" outlineLevel="1" x14ac:dyDescent="0.3">
      <c r="A919" s="20" t="s">
        <v>985</v>
      </c>
    </row>
    <row r="920" spans="1:3" hidden="1" outlineLevel="1" x14ac:dyDescent="0.25">
      <c r="A920" s="7" t="s">
        <v>986</v>
      </c>
    </row>
    <row r="921" spans="1:3" hidden="1" outlineLevel="1" x14ac:dyDescent="0.25">
      <c r="A921" t="s">
        <v>987</v>
      </c>
    </row>
    <row r="922" spans="1:3" ht="13" hidden="1" outlineLevel="1" x14ac:dyDescent="0.3">
      <c r="A922" s="21" t="str">
        <f>CONCATENATE("sql where a.client = '",$D$172,"' and a.period between '",LEFT($D$170,4),"00' and '",IF(RIGHT($D$171,2)="12",CONCATENATE(LEFT($D$171,4),"14"),$D$171),"'")</f>
        <v>sql where a.client = 'OX' and a.period between '202500' and '202506'</v>
      </c>
    </row>
    <row r="923" spans="1:3" hidden="1" outlineLevel="1" x14ac:dyDescent="0.25">
      <c r="A923" t="s">
        <v>952</v>
      </c>
    </row>
    <row r="924" spans="1:3" hidden="1" outlineLevel="1" x14ac:dyDescent="0.25">
      <c r="A924" t="s">
        <v>953</v>
      </c>
    </row>
    <row r="925" spans="1:3" hidden="1" outlineLevel="1" x14ac:dyDescent="0.25">
      <c r="A925" t="s">
        <v>954</v>
      </c>
    </row>
    <row r="926" spans="1:3" ht="13" hidden="1" outlineLevel="1" x14ac:dyDescent="0.3">
      <c r="A926" s="20" t="s">
        <v>988</v>
      </c>
    </row>
    <row r="927" spans="1:3" hidden="1" outlineLevel="1" x14ac:dyDescent="0.25">
      <c r="A927" s="7" t="s">
        <v>989</v>
      </c>
    </row>
    <row r="928" spans="1:3" hidden="1" outlineLevel="1" x14ac:dyDescent="0.25">
      <c r="A928" t="s">
        <v>950</v>
      </c>
    </row>
    <row r="929" spans="1:1" hidden="1" outlineLevel="1" x14ac:dyDescent="0.25">
      <c r="A929" t="s">
        <v>951</v>
      </c>
    </row>
    <row r="930" spans="1:1" ht="13" hidden="1" outlineLevel="1" x14ac:dyDescent="0.3">
      <c r="A930"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931" spans="1:1" hidden="1" outlineLevel="1" x14ac:dyDescent="0.25">
      <c r="A931" t="s">
        <v>952</v>
      </c>
    </row>
    <row r="932" spans="1:1" hidden="1" outlineLevel="1" x14ac:dyDescent="0.25">
      <c r="A932" t="s">
        <v>953</v>
      </c>
    </row>
    <row r="933" spans="1:1" hidden="1" outlineLevel="1" x14ac:dyDescent="0.25">
      <c r="A933" t="s">
        <v>954</v>
      </c>
    </row>
    <row r="934" spans="1:1" ht="13" hidden="1" outlineLevel="1" x14ac:dyDescent="0.3">
      <c r="A934" s="20" t="s">
        <v>990</v>
      </c>
    </row>
    <row r="935" spans="1:1" hidden="1" outlineLevel="1" x14ac:dyDescent="0.25">
      <c r="A935" s="7" t="s">
        <v>991</v>
      </c>
    </row>
    <row r="936" spans="1:1" hidden="1" outlineLevel="1" x14ac:dyDescent="0.25">
      <c r="A936" t="s">
        <v>950</v>
      </c>
    </row>
    <row r="937" spans="1:1" hidden="1" outlineLevel="1" x14ac:dyDescent="0.25">
      <c r="A937" t="s">
        <v>951</v>
      </c>
    </row>
    <row r="938" spans="1:1" ht="13" hidden="1" outlineLevel="1" x14ac:dyDescent="0.3">
      <c r="A93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939" spans="1:1" hidden="1" outlineLevel="1" x14ac:dyDescent="0.25">
      <c r="A939" t="s">
        <v>952</v>
      </c>
    </row>
    <row r="940" spans="1:1" hidden="1" outlineLevel="1" x14ac:dyDescent="0.25">
      <c r="A940" t="s">
        <v>953</v>
      </c>
    </row>
    <row r="941" spans="1:1" hidden="1" outlineLevel="1" x14ac:dyDescent="0.25">
      <c r="A941" t="s">
        <v>954</v>
      </c>
    </row>
    <row r="942" spans="1:1" ht="13" hidden="1" outlineLevel="1" x14ac:dyDescent="0.3">
      <c r="A942" s="20" t="s">
        <v>992</v>
      </c>
    </row>
    <row r="943" spans="1:1" hidden="1" outlineLevel="1" x14ac:dyDescent="0.25">
      <c r="A943" s="7" t="s">
        <v>993</v>
      </c>
    </row>
    <row r="944" spans="1:1" hidden="1" outlineLevel="1" x14ac:dyDescent="0.25">
      <c r="A944" t="s">
        <v>950</v>
      </c>
    </row>
    <row r="945" spans="1:7" hidden="1" outlineLevel="1" x14ac:dyDescent="0.25">
      <c r="A945" t="s">
        <v>951</v>
      </c>
    </row>
    <row r="946" spans="1:7" ht="13" hidden="1" outlineLevel="1" x14ac:dyDescent="0.3">
      <c r="A94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947" spans="1:7" hidden="1" outlineLevel="1" x14ac:dyDescent="0.25">
      <c r="A947" t="s">
        <v>952</v>
      </c>
    </row>
    <row r="948" spans="1:7" hidden="1" outlineLevel="1" x14ac:dyDescent="0.25">
      <c r="A948" t="s">
        <v>953</v>
      </c>
    </row>
    <row r="949" spans="1:7" hidden="1" outlineLevel="1" x14ac:dyDescent="0.25">
      <c r="A949" t="s">
        <v>994</v>
      </c>
    </row>
    <row r="950" spans="1:7" hidden="1" outlineLevel="1" x14ac:dyDescent="0.25">
      <c r="A950" t="str">
        <f>CONCATENATE("sql left outer join acrtrees t on t.client = u.client and u.dim_1 = t.cat_1 and t.att_agrid = '",$F$159,"'")</f>
        <v>sql left outer join acrtrees t on t.client = u.client and u.dim_1 = t.cat_1 and t.att_agrid = '53'</v>
      </c>
    </row>
    <row r="951" spans="1:7" hidden="1" outlineLevel="1" x14ac:dyDescent="0.25">
      <c r="A951" t="str">
        <f>CONCATENATE("sql left outer join acrtrees s on s.client = u.client and u.account = s.cat_1 and s.att_agrid = '",$F$160,"'")</f>
        <v>sql left outer join acrtrees s on s.client = u.client and u.account = s.cat_1 and s.att_agrid = '14'</v>
      </c>
    </row>
    <row r="952" spans="1:7" hidden="1" outlineLevel="1" x14ac:dyDescent="0.25">
      <c r="A952" t="str">
        <f>CONCATENATE("sql left outer join acrtrees v on v.client = u.client and u.account = v.cat_1 and v.att_agrid = '",$F$161,"'")</f>
        <v>sql left outer join acrtrees v on v.client = u.client and u.account = v.cat_1 and v.att_agrid = '17'</v>
      </c>
    </row>
    <row r="953" spans="1:7" hidden="1" outlineLevel="1" x14ac:dyDescent="0.25">
      <c r="A953" t="str">
        <f>CONCATENATE("sql left outer join agldescription d on d.client = u.client and d.dim_value = t.dim_c and d.attribute_id = '",$F$162,"'")</f>
        <v>sql left outer join agldescription d on d.client = u.client and d.dim_value = t.dim_c and d.attribute_id = '82'</v>
      </c>
    </row>
    <row r="954" spans="1:7" hidden="1" outlineLevel="1" x14ac:dyDescent="0.25">
      <c r="A954" t="str">
        <f>CONCATENATE("sql left outer join agldescription e on e.client = u.client and e.dim_value = t.dim_b and e.attribute_id = '",$F$163,"'")</f>
        <v>sql left outer join agldescription e on e.client = u.client and e.dim_value = t.dim_b and e.attribute_id = '81'</v>
      </c>
    </row>
    <row r="955" spans="1:7" hidden="1" outlineLevel="1" x14ac:dyDescent="0.25">
      <c r="A955" t="str">
        <f>CONCATENATE("sql left outer join agldescription f on f.client = u.client and f.dim_value = t.dim_e and f.attribute_id = '",$F$164,"'")</f>
        <v>sql left outer join agldescription f on f.client = u.client and f.dim_value = t.dim_e and f.attribute_id = '80'</v>
      </c>
    </row>
    <row r="956" spans="1:7" hidden="1" outlineLevel="1" x14ac:dyDescent="0.25">
      <c r="A956" t="str">
        <f>CONCATENATE("sql left outer join agldescription g on g.client = u.client and g.dim_value = u.account and g.attribute_id = '",$F$165,"'")</f>
        <v>sql left outer join agldescription g on g.client = u.client and g.dim_value = u.account and g.attribute_id = 'A0'</v>
      </c>
    </row>
    <row r="957" spans="1:7" ht="14.5" hidden="1" outlineLevel="1" x14ac:dyDescent="0.35">
      <c r="A957" s="67" t="s">
        <v>1046</v>
      </c>
      <c r="G957" s="737" t="s">
        <v>1047</v>
      </c>
    </row>
    <row r="958" spans="1:7" hidden="1" outlineLevel="1" x14ac:dyDescent="0.25">
      <c r="A958" t="s">
        <v>1005</v>
      </c>
    </row>
    <row r="959" spans="1:7" hidden="1" outlineLevel="1" x14ac:dyDescent="0.25">
      <c r="A959" t="s">
        <v>1006</v>
      </c>
    </row>
    <row r="960" spans="1:7" hidden="1" outlineLevel="1" x14ac:dyDescent="0.25">
      <c r="A960" t="s">
        <v>1007</v>
      </c>
    </row>
    <row r="961" spans="1:33" ht="13" hidden="1" outlineLevel="1" x14ac:dyDescent="0.3">
      <c r="A961" t="s">
        <v>1012</v>
      </c>
      <c r="C961" s="29"/>
      <c r="D961" s="36">
        <v>1000</v>
      </c>
      <c r="E961" s="36">
        <v>1000</v>
      </c>
      <c r="F961" s="22">
        <v>1000</v>
      </c>
      <c r="G961" s="22">
        <v>1000</v>
      </c>
      <c r="H961" s="22">
        <v>1000</v>
      </c>
      <c r="I961" s="22">
        <v>1000</v>
      </c>
      <c r="J961" s="22">
        <v>1000</v>
      </c>
      <c r="K961" s="22">
        <v>1000</v>
      </c>
      <c r="L961" s="22"/>
      <c r="M961" s="36"/>
      <c r="N961" s="36"/>
      <c r="O961" s="36">
        <v>1000</v>
      </c>
      <c r="P961" s="36">
        <v>1000</v>
      </c>
      <c r="Q961" s="36">
        <v>1000</v>
      </c>
      <c r="R961" s="36">
        <v>1000</v>
      </c>
      <c r="S961" s="36">
        <v>1000</v>
      </c>
      <c r="T961" s="36"/>
      <c r="U961" s="36"/>
      <c r="V961" s="58"/>
      <c r="W961" s="36">
        <v>1000</v>
      </c>
      <c r="X961" s="36">
        <v>1000</v>
      </c>
      <c r="Y961" s="36"/>
      <c r="Z961" s="36"/>
      <c r="AA961" s="40"/>
      <c r="AB961" s="60"/>
      <c r="AC961" s="98"/>
      <c r="AD961" s="36"/>
      <c r="AE961" s="36"/>
      <c r="AF961" s="36"/>
      <c r="AG961" s="99"/>
    </row>
    <row r="962" spans="1:33" ht="13" hidden="1" outlineLevel="1" x14ac:dyDescent="0.3">
      <c r="A962" s="7" t="s">
        <v>1013</v>
      </c>
      <c r="C962" s="29"/>
      <c r="D962" s="36">
        <v>0</v>
      </c>
      <c r="E962" s="36">
        <v>0</v>
      </c>
      <c r="F962" s="22">
        <v>0</v>
      </c>
      <c r="G962" s="22">
        <v>0</v>
      </c>
      <c r="H962" s="22">
        <v>0</v>
      </c>
      <c r="I962" s="22">
        <v>0</v>
      </c>
      <c r="J962" s="22">
        <v>0</v>
      </c>
      <c r="K962" s="22">
        <v>0</v>
      </c>
      <c r="L962" s="22"/>
      <c r="M962" s="36"/>
      <c r="N962" s="36"/>
      <c r="O962" s="36">
        <v>0</v>
      </c>
      <c r="P962" s="36">
        <v>0</v>
      </c>
      <c r="Q962" s="36">
        <v>0</v>
      </c>
      <c r="R962" s="36">
        <v>0</v>
      </c>
      <c r="S962" s="36">
        <v>0</v>
      </c>
      <c r="T962" s="36"/>
      <c r="U962" s="36"/>
      <c r="V962" s="58"/>
      <c r="W962" s="36">
        <v>0</v>
      </c>
      <c r="X962" s="36">
        <v>0</v>
      </c>
      <c r="Y962" s="36"/>
      <c r="Z962" s="36"/>
      <c r="AA962" s="40"/>
      <c r="AB962" s="60"/>
      <c r="AC962" s="98"/>
      <c r="AD962" s="36"/>
      <c r="AE962" s="36"/>
      <c r="AF962" s="36"/>
      <c r="AG962" s="99"/>
    </row>
    <row r="963" spans="1:33" ht="13" hidden="1" outlineLevel="1" x14ac:dyDescent="0.3">
      <c r="A963" t="s">
        <v>1014</v>
      </c>
      <c r="C963" s="30"/>
      <c r="D963" s="36"/>
      <c r="E963" s="36"/>
      <c r="F963" s="57"/>
      <c r="G963" s="57"/>
      <c r="H963" s="57"/>
      <c r="I963" s="57"/>
      <c r="J963" s="57"/>
      <c r="K963" s="57"/>
      <c r="L963" s="57"/>
      <c r="M963" s="36"/>
      <c r="N963" s="36"/>
      <c r="O963" s="36"/>
      <c r="P963" s="36" t="s">
        <v>1015</v>
      </c>
      <c r="Q963" s="36" t="s">
        <v>1016</v>
      </c>
      <c r="R963" s="36"/>
      <c r="S963" s="36"/>
      <c r="T963" s="36"/>
      <c r="U963" s="36"/>
      <c r="V963" s="58"/>
      <c r="W963" s="36"/>
      <c r="X963" s="36"/>
      <c r="Y963" s="36"/>
      <c r="Z963" s="36"/>
      <c r="AA963" s="40"/>
      <c r="AB963" s="60"/>
      <c r="AC963" s="98"/>
      <c r="AD963" s="36"/>
      <c r="AE963" s="36"/>
      <c r="AF963" s="36"/>
      <c r="AG963" s="99"/>
    </row>
    <row r="964" spans="1:33" ht="13" hidden="1" outlineLevel="1" x14ac:dyDescent="0.3">
      <c r="A964" t="s">
        <v>1017</v>
      </c>
      <c r="C964" s="31"/>
      <c r="D964" s="36" t="s">
        <v>1019</v>
      </c>
      <c r="E964" s="36" t="s">
        <v>1020</v>
      </c>
      <c r="F964" s="22" t="s">
        <v>1021</v>
      </c>
      <c r="G964" s="22" t="s">
        <v>1022</v>
      </c>
      <c r="H964" s="22" t="s">
        <v>1023</v>
      </c>
      <c r="I964" s="22" t="s">
        <v>1024</v>
      </c>
      <c r="J964" s="22" t="s">
        <v>1025</v>
      </c>
      <c r="K964" s="22" t="s">
        <v>1026</v>
      </c>
      <c r="L964" s="22"/>
      <c r="M964" s="36"/>
      <c r="N964" s="36"/>
      <c r="O964" s="36" t="s">
        <v>1027</v>
      </c>
      <c r="P964" s="36" t="s">
        <v>1028</v>
      </c>
      <c r="Q964" s="36" t="s">
        <v>1028</v>
      </c>
      <c r="R964" s="36" t="s">
        <v>1028</v>
      </c>
      <c r="S964" s="36" t="s">
        <v>1029</v>
      </c>
      <c r="T964" s="36"/>
      <c r="U964" s="36"/>
      <c r="V964" s="58"/>
      <c r="W964" s="36" t="s">
        <v>1030</v>
      </c>
      <c r="X964" s="36" t="s">
        <v>1031</v>
      </c>
      <c r="Y964" s="36"/>
      <c r="Z964" s="36"/>
      <c r="AA964" s="40"/>
      <c r="AB964" s="60"/>
      <c r="AC964" s="98"/>
      <c r="AD964" s="36"/>
      <c r="AE964" s="36"/>
      <c r="AF964" s="36"/>
      <c r="AG964" s="99"/>
    </row>
    <row r="965" spans="1:33" ht="13" hidden="1" outlineLevel="1" x14ac:dyDescent="0.3">
      <c r="A965" t="s">
        <v>1041</v>
      </c>
      <c r="C965" s="31" t="s">
        <v>120</v>
      </c>
      <c r="D965" s="33">
        <v>0</v>
      </c>
      <c r="E965" s="33">
        <v>0</v>
      </c>
      <c r="F965" s="23">
        <v>0</v>
      </c>
      <c r="G965" s="23">
        <v>0</v>
      </c>
      <c r="H965" s="23">
        <v>0</v>
      </c>
      <c r="I965" s="23">
        <v>0</v>
      </c>
      <c r="J965" s="23">
        <v>0</v>
      </c>
      <c r="K965" s="23">
        <v>0</v>
      </c>
      <c r="L965" s="23">
        <f>SUM(F965:K965)</f>
        <v>0</v>
      </c>
      <c r="M965" s="33">
        <f>O965-E965</f>
        <v>0</v>
      </c>
      <c r="N965" s="33">
        <f>O965-D965</f>
        <v>0</v>
      </c>
      <c r="O965" s="33">
        <v>0</v>
      </c>
      <c r="P965" s="33">
        <v>0</v>
      </c>
      <c r="Q965" s="33">
        <v>0</v>
      </c>
      <c r="R965" s="33">
        <v>0</v>
      </c>
      <c r="S965" s="33">
        <v>0</v>
      </c>
      <c r="T965" s="33">
        <f>R965-S965</f>
        <v>0</v>
      </c>
      <c r="U965" s="38" t="str">
        <f>IFERROR((R965/O965)*100%,"∞")</f>
        <v>∞</v>
      </c>
      <c r="V965" s="59">
        <f>O965+W965</f>
        <v>0</v>
      </c>
      <c r="W965" s="33">
        <v>0</v>
      </c>
      <c r="X965" s="33">
        <v>0</v>
      </c>
      <c r="Y965" s="33"/>
      <c r="Z965" s="33"/>
      <c r="AA965" s="42"/>
      <c r="AB965" s="60"/>
      <c r="AC965" s="105"/>
      <c r="AD965" s="93"/>
      <c r="AE965" s="33">
        <f>SUM(AC965:AD965)</f>
        <v>0</v>
      </c>
      <c r="AF965" s="33">
        <f>R965+AE965</f>
        <v>0</v>
      </c>
      <c r="AG965" s="101">
        <f>AF965-O965</f>
        <v>0</v>
      </c>
    </row>
    <row r="966" spans="1:33" hidden="1" outlineLevel="1" x14ac:dyDescent="0.25">
      <c r="A966" t="s">
        <v>232</v>
      </c>
    </row>
    <row r="967" spans="1:33" hidden="1" outlineLevel="1" x14ac:dyDescent="0.25">
      <c r="A967" t="s">
        <v>944</v>
      </c>
      <c r="M967" s="19"/>
      <c r="N967" s="19"/>
    </row>
    <row r="968" spans="1:33" hidden="1" outlineLevel="1" x14ac:dyDescent="0.25">
      <c r="A968" t="s">
        <v>946</v>
      </c>
      <c r="E968" s="19"/>
    </row>
    <row r="969" spans="1:33" hidden="1" outlineLevel="1" x14ac:dyDescent="0.25">
      <c r="A969" t="s">
        <v>947</v>
      </c>
      <c r="E969" s="19"/>
      <c r="F969" s="19"/>
    </row>
    <row r="970" spans="1:33" ht="13" hidden="1" outlineLevel="1" x14ac:dyDescent="0.3">
      <c r="A970" s="20" t="s">
        <v>948</v>
      </c>
    </row>
    <row r="971" spans="1:33" hidden="1" outlineLevel="1" x14ac:dyDescent="0.25">
      <c r="A971" s="7" t="s">
        <v>949</v>
      </c>
    </row>
    <row r="972" spans="1:33" hidden="1" outlineLevel="1" x14ac:dyDescent="0.25">
      <c r="A972" t="s">
        <v>950</v>
      </c>
    </row>
    <row r="973" spans="1:33" hidden="1" outlineLevel="1" x14ac:dyDescent="0.25">
      <c r="A973" t="s">
        <v>951</v>
      </c>
    </row>
    <row r="974" spans="1:33" ht="13" hidden="1" outlineLevel="1" x14ac:dyDescent="0.3">
      <c r="A974" s="21" t="str">
        <f>CONCATENATE("sql where a.client = '",$D$172,"' and a.period between '",LEFT($D$170,4),"00' and '",LEFT($D$171,4),"14' and a.version like '%ORIG%'")</f>
        <v>sql where a.client = 'OX' and a.period between '202500' and '202514' and a.version like '%ORIG%'</v>
      </c>
    </row>
    <row r="975" spans="1:33" hidden="1" outlineLevel="1" x14ac:dyDescent="0.25">
      <c r="A975" t="s">
        <v>952</v>
      </c>
    </row>
    <row r="976" spans="1:33" hidden="1" outlineLevel="1" x14ac:dyDescent="0.25">
      <c r="A976" t="s">
        <v>953</v>
      </c>
    </row>
    <row r="977" spans="1:3" hidden="1" outlineLevel="1" x14ac:dyDescent="0.25">
      <c r="A977" t="s">
        <v>954</v>
      </c>
    </row>
    <row r="978" spans="1:3" ht="13" hidden="1" outlineLevel="1" x14ac:dyDescent="0.3">
      <c r="A978" s="20" t="s">
        <v>955</v>
      </c>
    </row>
    <row r="979" spans="1:3" hidden="1" outlineLevel="1" x14ac:dyDescent="0.25">
      <c r="A979" s="7" t="s">
        <v>956</v>
      </c>
    </row>
    <row r="980" spans="1:3" hidden="1" outlineLevel="1" x14ac:dyDescent="0.25">
      <c r="A980" t="s">
        <v>950</v>
      </c>
    </row>
    <row r="981" spans="1:3" hidden="1" outlineLevel="1" x14ac:dyDescent="0.25">
      <c r="A981" t="s">
        <v>951</v>
      </c>
    </row>
    <row r="982" spans="1:3" ht="14.5" hidden="1" outlineLevel="1" x14ac:dyDescent="0.35">
      <c r="A982"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982" s="2"/>
    </row>
    <row r="983" spans="1:3" hidden="1" outlineLevel="1" x14ac:dyDescent="0.25">
      <c r="A983" t="s">
        <v>952</v>
      </c>
    </row>
    <row r="984" spans="1:3" hidden="1" outlineLevel="1" x14ac:dyDescent="0.25">
      <c r="A984" t="s">
        <v>953</v>
      </c>
    </row>
    <row r="985" spans="1:3" hidden="1" outlineLevel="1" x14ac:dyDescent="0.25">
      <c r="A985" t="s">
        <v>954</v>
      </c>
    </row>
    <row r="986" spans="1:3" ht="13" hidden="1" outlineLevel="1" x14ac:dyDescent="0.3">
      <c r="A986" s="66" t="s">
        <v>957</v>
      </c>
    </row>
    <row r="987" spans="1:3" hidden="1" outlineLevel="1" x14ac:dyDescent="0.25">
      <c r="A987" t="s">
        <v>958</v>
      </c>
    </row>
    <row r="988" spans="1:3" hidden="1" outlineLevel="1" x14ac:dyDescent="0.25">
      <c r="A988" t="s">
        <v>950</v>
      </c>
    </row>
    <row r="989" spans="1:3" ht="13" hidden="1" outlineLevel="1" x14ac:dyDescent="0.3">
      <c r="A98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990" spans="1:3" ht="13" hidden="1" outlineLevel="1" x14ac:dyDescent="0.3">
      <c r="A990" s="21" t="s">
        <v>959</v>
      </c>
    </row>
    <row r="991" spans="1:3" hidden="1" outlineLevel="1" x14ac:dyDescent="0.25">
      <c r="A991" t="s">
        <v>960</v>
      </c>
    </row>
    <row r="992" spans="1:3" hidden="1" outlineLevel="1" x14ac:dyDescent="0.25">
      <c r="A992" t="s">
        <v>961</v>
      </c>
    </row>
    <row r="993" spans="1:1" hidden="1" outlineLevel="1" x14ac:dyDescent="0.25">
      <c r="A993" t="str">
        <f>CONCATENATE("sql left outer join acrtrees t on t.client = x.client and x.dim_1 = t.cat_1 and t.att_agrid = '",$F$159,"'")</f>
        <v>sql left outer join acrtrees t on t.client = x.client and x.dim_1 = t.cat_1 and t.att_agrid = '53'</v>
      </c>
    </row>
    <row r="994" spans="1:1" ht="13" hidden="1" outlineLevel="1" x14ac:dyDescent="0.3">
      <c r="A99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995" spans="1:1" ht="13" hidden="1" outlineLevel="1" x14ac:dyDescent="0.3">
      <c r="A995" s="21" t="s">
        <v>962</v>
      </c>
    </row>
    <row r="996" spans="1:1" ht="13" hidden="1" outlineLevel="1" x14ac:dyDescent="0.3">
      <c r="A996"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997" spans="1:1" ht="13" hidden="1" outlineLevel="1" x14ac:dyDescent="0.3">
      <c r="A997" s="21" t="s">
        <v>963</v>
      </c>
    </row>
    <row r="998" spans="1:1" hidden="1" outlineLevel="1" x14ac:dyDescent="0.25">
      <c r="A998" t="s">
        <v>964</v>
      </c>
    </row>
    <row r="999" spans="1:1" hidden="1" outlineLevel="1" x14ac:dyDescent="0.25">
      <c r="A999" t="s">
        <v>965</v>
      </c>
    </row>
    <row r="1000" spans="1:1" hidden="1" outlineLevel="1" x14ac:dyDescent="0.25">
      <c r="A1000" t="s">
        <v>966</v>
      </c>
    </row>
    <row r="1001" spans="1:1" hidden="1" outlineLevel="1" x14ac:dyDescent="0.25">
      <c r="A1001" t="s">
        <v>953</v>
      </c>
    </row>
    <row r="1002" spans="1:1" hidden="1" outlineLevel="1" x14ac:dyDescent="0.25">
      <c r="A1002" t="s">
        <v>954</v>
      </c>
    </row>
    <row r="1003" spans="1:1" ht="13" hidden="1" outlineLevel="1" x14ac:dyDescent="0.3">
      <c r="A1003" s="66" t="s">
        <v>967</v>
      </c>
    </row>
    <row r="1004" spans="1:1" hidden="1" outlineLevel="1" x14ac:dyDescent="0.25">
      <c r="A1004" t="s">
        <v>968</v>
      </c>
    </row>
    <row r="1005" spans="1:1" hidden="1" outlineLevel="1" x14ac:dyDescent="0.25">
      <c r="A1005" t="s">
        <v>950</v>
      </c>
    </row>
    <row r="1006" spans="1:1" ht="13" hidden="1" outlineLevel="1" x14ac:dyDescent="0.3">
      <c r="A100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007" spans="1:1" ht="13" hidden="1" outlineLevel="1" x14ac:dyDescent="0.3">
      <c r="A1007" s="21" t="s">
        <v>969</v>
      </c>
    </row>
    <row r="1008" spans="1:1" ht="13" hidden="1" outlineLevel="1" x14ac:dyDescent="0.3">
      <c r="A1008" s="21" t="s">
        <v>959</v>
      </c>
    </row>
    <row r="1009" spans="1:1" hidden="1" outlineLevel="1" x14ac:dyDescent="0.25">
      <c r="A1009" t="s">
        <v>960</v>
      </c>
    </row>
    <row r="1010" spans="1:1" hidden="1" outlineLevel="1" x14ac:dyDescent="0.25">
      <c r="A1010" t="s">
        <v>961</v>
      </c>
    </row>
    <row r="1011" spans="1:1" hidden="1" outlineLevel="1" x14ac:dyDescent="0.25">
      <c r="A1011" t="str">
        <f>CONCATENATE("sql left outer join acrtrees t on t.client = x.client and x.dim_1 = t.cat_1 and t.att_agrid = '",$F$159,"'")</f>
        <v>sql left outer join acrtrees t on t.client = x.client and x.dim_1 = t.cat_1 and t.att_agrid = '53'</v>
      </c>
    </row>
    <row r="1012" spans="1:1" ht="13" hidden="1" outlineLevel="1" x14ac:dyDescent="0.3">
      <c r="A101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013" spans="1:1" ht="13" hidden="1" outlineLevel="1" x14ac:dyDescent="0.3">
      <c r="A1013" s="21" t="s">
        <v>970</v>
      </c>
    </row>
    <row r="1014" spans="1:1" ht="13" hidden="1" outlineLevel="1" x14ac:dyDescent="0.3">
      <c r="A1014" s="21" t="s">
        <v>962</v>
      </c>
    </row>
    <row r="1015" spans="1:1" ht="13" hidden="1" outlineLevel="1" x14ac:dyDescent="0.3">
      <c r="A1015"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016" spans="1:1" ht="13" hidden="1" outlineLevel="1" x14ac:dyDescent="0.3">
      <c r="A1016" s="21" t="s">
        <v>970</v>
      </c>
    </row>
    <row r="1017" spans="1:1" ht="13" hidden="1" outlineLevel="1" x14ac:dyDescent="0.3">
      <c r="A1017" s="21" t="s">
        <v>963</v>
      </c>
    </row>
    <row r="1018" spans="1:1" hidden="1" outlineLevel="1" x14ac:dyDescent="0.25">
      <c r="A1018" t="s">
        <v>964</v>
      </c>
    </row>
    <row r="1019" spans="1:1" hidden="1" outlineLevel="1" x14ac:dyDescent="0.25">
      <c r="A1019" t="s">
        <v>965</v>
      </c>
    </row>
    <row r="1020" spans="1:1" hidden="1" outlineLevel="1" x14ac:dyDescent="0.25">
      <c r="A1020" t="s">
        <v>966</v>
      </c>
    </row>
    <row r="1021" spans="1:1" hidden="1" outlineLevel="1" x14ac:dyDescent="0.25">
      <c r="A1021" t="s">
        <v>953</v>
      </c>
    </row>
    <row r="1022" spans="1:1" hidden="1" outlineLevel="1" x14ac:dyDescent="0.25">
      <c r="A1022" t="s">
        <v>954</v>
      </c>
    </row>
    <row r="1023" spans="1:1" ht="13" hidden="1" outlineLevel="1" x14ac:dyDescent="0.3">
      <c r="A1023" s="66" t="s">
        <v>971</v>
      </c>
    </row>
    <row r="1024" spans="1:1" hidden="1" outlineLevel="1" x14ac:dyDescent="0.25">
      <c r="A1024" t="s">
        <v>972</v>
      </c>
    </row>
    <row r="1025" spans="1:1" hidden="1" outlineLevel="1" x14ac:dyDescent="0.25">
      <c r="A1025" t="s">
        <v>950</v>
      </c>
    </row>
    <row r="1026" spans="1:1" ht="13" hidden="1" outlineLevel="1" x14ac:dyDescent="0.3">
      <c r="A102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027" spans="1:1" ht="13" hidden="1" outlineLevel="1" x14ac:dyDescent="0.3">
      <c r="A1027" s="21" t="s">
        <v>959</v>
      </c>
    </row>
    <row r="1028" spans="1:1" hidden="1" outlineLevel="1" x14ac:dyDescent="0.25">
      <c r="A1028" t="s">
        <v>960</v>
      </c>
    </row>
    <row r="1029" spans="1:1" hidden="1" outlineLevel="1" x14ac:dyDescent="0.25">
      <c r="A1029" t="s">
        <v>961</v>
      </c>
    </row>
    <row r="1030" spans="1:1" hidden="1" outlineLevel="1" x14ac:dyDescent="0.25">
      <c r="A1030" t="str">
        <f>CONCATENATE("sql left outer join acrtrees t on t.client = x.client and x.dim_1 = t.cat_1 and t.att_agrid = '",$F$159,"'")</f>
        <v>sql left outer join acrtrees t on t.client = x.client and x.dim_1 = t.cat_1 and t.att_agrid = '53'</v>
      </c>
    </row>
    <row r="1031" spans="1:1" ht="13" hidden="1" outlineLevel="1" x14ac:dyDescent="0.3">
      <c r="A103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032" spans="1:1" ht="13" hidden="1" outlineLevel="1" x14ac:dyDescent="0.3">
      <c r="A1032" s="21" t="s">
        <v>973</v>
      </c>
    </row>
    <row r="1033" spans="1:1" hidden="1" outlineLevel="1" x14ac:dyDescent="0.25">
      <c r="A1033" t="s">
        <v>964</v>
      </c>
    </row>
    <row r="1034" spans="1:1" hidden="1" outlineLevel="1" x14ac:dyDescent="0.25">
      <c r="A1034" t="s">
        <v>965</v>
      </c>
    </row>
    <row r="1035" spans="1:1" hidden="1" outlineLevel="1" x14ac:dyDescent="0.25">
      <c r="A1035" t="s">
        <v>966</v>
      </c>
    </row>
    <row r="1036" spans="1:1" hidden="1" outlineLevel="1" x14ac:dyDescent="0.25">
      <c r="A1036" t="s">
        <v>953</v>
      </c>
    </row>
    <row r="1037" spans="1:1" hidden="1" outlineLevel="1" x14ac:dyDescent="0.25">
      <c r="A1037" t="s">
        <v>954</v>
      </c>
    </row>
    <row r="1038" spans="1:1" ht="13" hidden="1" outlineLevel="1" x14ac:dyDescent="0.3">
      <c r="A1038" s="66" t="s">
        <v>974</v>
      </c>
    </row>
    <row r="1039" spans="1:1" hidden="1" outlineLevel="1" x14ac:dyDescent="0.25">
      <c r="A1039" t="s">
        <v>975</v>
      </c>
    </row>
    <row r="1040" spans="1:1" hidden="1" outlineLevel="1" x14ac:dyDescent="0.25">
      <c r="A1040" t="s">
        <v>950</v>
      </c>
    </row>
    <row r="1041" spans="1:1" ht="13" hidden="1" outlineLevel="1" x14ac:dyDescent="0.3">
      <c r="A104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042" spans="1:1" ht="13" hidden="1" outlineLevel="1" x14ac:dyDescent="0.3">
      <c r="A1042" s="21" t="s">
        <v>959</v>
      </c>
    </row>
    <row r="1043" spans="1:1" hidden="1" outlineLevel="1" x14ac:dyDescent="0.25">
      <c r="A1043" t="s">
        <v>960</v>
      </c>
    </row>
    <row r="1044" spans="1:1" hidden="1" outlineLevel="1" x14ac:dyDescent="0.25">
      <c r="A1044" t="s">
        <v>961</v>
      </c>
    </row>
    <row r="1045" spans="1:1" hidden="1" outlineLevel="1" x14ac:dyDescent="0.25">
      <c r="A1045" t="str">
        <f>CONCATENATE("sql left outer join acrtrees t on t.client = x.client and x.dim_1 = t.cat_1 and t.att_agrid = '",$F$159,"'")</f>
        <v>sql left outer join acrtrees t on t.client = x.client and x.dim_1 = t.cat_1 and t.att_agrid = '53'</v>
      </c>
    </row>
    <row r="1046" spans="1:1" ht="13" hidden="1" outlineLevel="1" x14ac:dyDescent="0.3">
      <c r="A104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047" spans="1:1" ht="13" hidden="1" outlineLevel="1" x14ac:dyDescent="0.3">
      <c r="A1047" s="21" t="s">
        <v>973</v>
      </c>
    </row>
    <row r="1048" spans="1:1" hidden="1" outlineLevel="1" x14ac:dyDescent="0.25">
      <c r="A1048" t="s">
        <v>964</v>
      </c>
    </row>
    <row r="1049" spans="1:1" hidden="1" outlineLevel="1" x14ac:dyDescent="0.25">
      <c r="A1049" t="s">
        <v>965</v>
      </c>
    </row>
    <row r="1050" spans="1:1" hidden="1" outlineLevel="1" x14ac:dyDescent="0.25">
      <c r="A1050" t="s">
        <v>966</v>
      </c>
    </row>
    <row r="1051" spans="1:1" hidden="1" outlineLevel="1" x14ac:dyDescent="0.25">
      <c r="A1051" t="s">
        <v>953</v>
      </c>
    </row>
    <row r="1052" spans="1:1" hidden="1" outlineLevel="1" x14ac:dyDescent="0.25">
      <c r="A1052" t="s">
        <v>954</v>
      </c>
    </row>
    <row r="1053" spans="1:1" ht="13" hidden="1" outlineLevel="1" x14ac:dyDescent="0.3">
      <c r="A1053" s="66" t="s">
        <v>976</v>
      </c>
    </row>
    <row r="1054" spans="1:1" hidden="1" outlineLevel="1" x14ac:dyDescent="0.25">
      <c r="A1054" t="s">
        <v>977</v>
      </c>
    </row>
    <row r="1055" spans="1:1" hidden="1" outlineLevel="1" x14ac:dyDescent="0.25">
      <c r="A1055" t="s">
        <v>950</v>
      </c>
    </row>
    <row r="1056" spans="1:1" ht="13" hidden="1" outlineLevel="1" x14ac:dyDescent="0.3">
      <c r="A105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057" spans="1:1" ht="13" hidden="1" outlineLevel="1" x14ac:dyDescent="0.3">
      <c r="A1057" s="21" t="s">
        <v>959</v>
      </c>
    </row>
    <row r="1058" spans="1:1" hidden="1" outlineLevel="1" x14ac:dyDescent="0.25">
      <c r="A1058" t="s">
        <v>960</v>
      </c>
    </row>
    <row r="1059" spans="1:1" hidden="1" outlineLevel="1" x14ac:dyDescent="0.25">
      <c r="A1059" t="s">
        <v>961</v>
      </c>
    </row>
    <row r="1060" spans="1:1" hidden="1" outlineLevel="1" x14ac:dyDescent="0.25">
      <c r="A1060" t="str">
        <f>CONCATENATE("sql left outer join acrtrees t on t.client = x.client and x.dim_1 = t.cat_1 and t.att_agrid = '",$F$159,"'")</f>
        <v>sql left outer join acrtrees t on t.client = x.client and x.dim_1 = t.cat_1 and t.att_agrid = '53'</v>
      </c>
    </row>
    <row r="1061" spans="1:1" ht="13" hidden="1" outlineLevel="1" x14ac:dyDescent="0.3">
      <c r="A106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062" spans="1:1" ht="13" hidden="1" outlineLevel="1" x14ac:dyDescent="0.3">
      <c r="A1062" s="21" t="s">
        <v>978</v>
      </c>
    </row>
    <row r="1063" spans="1:1" hidden="1" outlineLevel="1" x14ac:dyDescent="0.25">
      <c r="A1063" t="s">
        <v>979</v>
      </c>
    </row>
    <row r="1064" spans="1:1" hidden="1" outlineLevel="1" x14ac:dyDescent="0.25">
      <c r="A1064" t="s">
        <v>980</v>
      </c>
    </row>
    <row r="1065" spans="1:1" hidden="1" outlineLevel="1" x14ac:dyDescent="0.25">
      <c r="A1065" t="s">
        <v>966</v>
      </c>
    </row>
    <row r="1066" spans="1:1" hidden="1" outlineLevel="1" x14ac:dyDescent="0.25">
      <c r="A1066" t="s">
        <v>953</v>
      </c>
    </row>
    <row r="1067" spans="1:1" hidden="1" outlineLevel="1" x14ac:dyDescent="0.25">
      <c r="A1067" t="s">
        <v>954</v>
      </c>
    </row>
    <row r="1068" spans="1:1" ht="13" hidden="1" outlineLevel="1" x14ac:dyDescent="0.3">
      <c r="A1068" s="66" t="s">
        <v>981</v>
      </c>
    </row>
    <row r="1069" spans="1:1" hidden="1" outlineLevel="1" x14ac:dyDescent="0.25">
      <c r="A1069" t="s">
        <v>982</v>
      </c>
    </row>
    <row r="1070" spans="1:1" hidden="1" outlineLevel="1" x14ac:dyDescent="0.25">
      <c r="A1070" t="s">
        <v>950</v>
      </c>
    </row>
    <row r="1071" spans="1:1" ht="13" hidden="1" outlineLevel="1" x14ac:dyDescent="0.3">
      <c r="A107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072" spans="1:1" ht="13" hidden="1" outlineLevel="1" x14ac:dyDescent="0.3">
      <c r="A1072" s="21" t="s">
        <v>969</v>
      </c>
    </row>
    <row r="1073" spans="1:1" ht="13" hidden="1" outlineLevel="1" x14ac:dyDescent="0.3">
      <c r="A1073" s="21" t="s">
        <v>959</v>
      </c>
    </row>
    <row r="1074" spans="1:1" hidden="1" outlineLevel="1" x14ac:dyDescent="0.25">
      <c r="A1074" t="s">
        <v>960</v>
      </c>
    </row>
    <row r="1075" spans="1:1" hidden="1" outlineLevel="1" x14ac:dyDescent="0.25">
      <c r="A1075" t="s">
        <v>961</v>
      </c>
    </row>
    <row r="1076" spans="1:1" hidden="1" outlineLevel="1" x14ac:dyDescent="0.25">
      <c r="A1076" t="str">
        <f>CONCATENATE("sql left outer join acrtrees t on t.client = x.client and x.dim_1 = t.cat_1 and t.att_agrid = '",$F$159,"'")</f>
        <v>sql left outer join acrtrees t on t.client = x.client and x.dim_1 = t.cat_1 and t.att_agrid = '53'</v>
      </c>
    </row>
    <row r="1077" spans="1:1" ht="13" hidden="1" outlineLevel="1" x14ac:dyDescent="0.3">
      <c r="A107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078" spans="1:1" ht="13" hidden="1" outlineLevel="1" x14ac:dyDescent="0.3">
      <c r="A1078" s="21" t="s">
        <v>970</v>
      </c>
    </row>
    <row r="1079" spans="1:1" ht="13" hidden="1" outlineLevel="1" x14ac:dyDescent="0.3">
      <c r="A1079" s="21" t="s">
        <v>978</v>
      </c>
    </row>
    <row r="1080" spans="1:1" hidden="1" outlineLevel="1" x14ac:dyDescent="0.25">
      <c r="A1080" t="s">
        <v>979</v>
      </c>
    </row>
    <row r="1081" spans="1:1" hidden="1" outlineLevel="1" x14ac:dyDescent="0.25">
      <c r="A1081" t="s">
        <v>980</v>
      </c>
    </row>
    <row r="1082" spans="1:1" hidden="1" outlineLevel="1" x14ac:dyDescent="0.25">
      <c r="A1082" t="s">
        <v>966</v>
      </c>
    </row>
    <row r="1083" spans="1:1" hidden="1" outlineLevel="1" x14ac:dyDescent="0.25">
      <c r="A1083" t="s">
        <v>953</v>
      </c>
    </row>
    <row r="1084" spans="1:1" hidden="1" outlineLevel="1" x14ac:dyDescent="0.25">
      <c r="A1084" t="s">
        <v>954</v>
      </c>
    </row>
    <row r="1085" spans="1:1" ht="13" hidden="1" outlineLevel="1" x14ac:dyDescent="0.3">
      <c r="A1085" s="20" t="s">
        <v>983</v>
      </c>
    </row>
    <row r="1086" spans="1:1" hidden="1" outlineLevel="1" x14ac:dyDescent="0.25">
      <c r="A1086" s="7" t="s">
        <v>984</v>
      </c>
    </row>
    <row r="1087" spans="1:1" hidden="1" outlineLevel="1" x14ac:dyDescent="0.25">
      <c r="A1087" t="s">
        <v>950</v>
      </c>
    </row>
    <row r="1088" spans="1:1" hidden="1" outlineLevel="1" x14ac:dyDescent="0.25">
      <c r="A1088" t="s">
        <v>951</v>
      </c>
    </row>
    <row r="1089" spans="1:3" ht="14.5" hidden="1" outlineLevel="1" x14ac:dyDescent="0.35">
      <c r="A1089"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089" s="2"/>
    </row>
    <row r="1090" spans="1:3" hidden="1" outlineLevel="1" x14ac:dyDescent="0.25">
      <c r="A1090" t="s">
        <v>952</v>
      </c>
    </row>
    <row r="1091" spans="1:3" hidden="1" outlineLevel="1" x14ac:dyDescent="0.25">
      <c r="A1091" t="s">
        <v>953</v>
      </c>
    </row>
    <row r="1092" spans="1:3" hidden="1" outlineLevel="1" x14ac:dyDescent="0.25">
      <c r="A1092" t="s">
        <v>954</v>
      </c>
    </row>
    <row r="1093" spans="1:3" ht="13" hidden="1" outlineLevel="1" x14ac:dyDescent="0.3">
      <c r="A1093" s="20" t="s">
        <v>985</v>
      </c>
    </row>
    <row r="1094" spans="1:3" hidden="1" outlineLevel="1" x14ac:dyDescent="0.25">
      <c r="A1094" s="7" t="s">
        <v>986</v>
      </c>
    </row>
    <row r="1095" spans="1:3" hidden="1" outlineLevel="1" x14ac:dyDescent="0.25">
      <c r="A1095" t="s">
        <v>987</v>
      </c>
    </row>
    <row r="1096" spans="1:3" ht="13" hidden="1" outlineLevel="1" x14ac:dyDescent="0.3">
      <c r="A1096" s="21" t="str">
        <f>CONCATENATE("sql where a.client = '",$D$172,"' and a.period between '",LEFT($D$170,4),"00' and '",IF(RIGHT($D$171,2)="12",CONCATENATE(LEFT($D$171,4),"14"),$D$171),"'")</f>
        <v>sql where a.client = 'OX' and a.period between '202500' and '202506'</v>
      </c>
    </row>
    <row r="1097" spans="1:3" hidden="1" outlineLevel="1" x14ac:dyDescent="0.25">
      <c r="A1097" t="s">
        <v>952</v>
      </c>
    </row>
    <row r="1098" spans="1:3" hidden="1" outlineLevel="1" x14ac:dyDescent="0.25">
      <c r="A1098" t="s">
        <v>953</v>
      </c>
    </row>
    <row r="1099" spans="1:3" hidden="1" outlineLevel="1" x14ac:dyDescent="0.25">
      <c r="A1099" t="s">
        <v>954</v>
      </c>
    </row>
    <row r="1100" spans="1:3" ht="13" hidden="1" outlineLevel="1" x14ac:dyDescent="0.3">
      <c r="A1100" s="20" t="s">
        <v>988</v>
      </c>
    </row>
    <row r="1101" spans="1:3" hidden="1" outlineLevel="1" x14ac:dyDescent="0.25">
      <c r="A1101" s="7" t="s">
        <v>989</v>
      </c>
    </row>
    <row r="1102" spans="1:3" hidden="1" outlineLevel="1" x14ac:dyDescent="0.25">
      <c r="A1102" t="s">
        <v>950</v>
      </c>
    </row>
    <row r="1103" spans="1:3" hidden="1" outlineLevel="1" x14ac:dyDescent="0.25">
      <c r="A1103" t="s">
        <v>951</v>
      </c>
    </row>
    <row r="1104" spans="1:3" ht="13" hidden="1" outlineLevel="1" x14ac:dyDescent="0.3">
      <c r="A1104"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105" spans="1:1" hidden="1" outlineLevel="1" x14ac:dyDescent="0.25">
      <c r="A1105" t="s">
        <v>952</v>
      </c>
    </row>
    <row r="1106" spans="1:1" hidden="1" outlineLevel="1" x14ac:dyDescent="0.25">
      <c r="A1106" t="s">
        <v>953</v>
      </c>
    </row>
    <row r="1107" spans="1:1" hidden="1" outlineLevel="1" x14ac:dyDescent="0.25">
      <c r="A1107" t="s">
        <v>954</v>
      </c>
    </row>
    <row r="1108" spans="1:1" ht="13" hidden="1" outlineLevel="1" x14ac:dyDescent="0.3">
      <c r="A1108" s="20" t="s">
        <v>990</v>
      </c>
    </row>
    <row r="1109" spans="1:1" hidden="1" outlineLevel="1" x14ac:dyDescent="0.25">
      <c r="A1109" s="7" t="s">
        <v>991</v>
      </c>
    </row>
    <row r="1110" spans="1:1" hidden="1" outlineLevel="1" x14ac:dyDescent="0.25">
      <c r="A1110" t="s">
        <v>950</v>
      </c>
    </row>
    <row r="1111" spans="1:1" hidden="1" outlineLevel="1" x14ac:dyDescent="0.25">
      <c r="A1111" t="s">
        <v>951</v>
      </c>
    </row>
    <row r="1112" spans="1:1" ht="13" hidden="1" outlineLevel="1" x14ac:dyDescent="0.3">
      <c r="A111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113" spans="1:1" hidden="1" outlineLevel="1" x14ac:dyDescent="0.25">
      <c r="A1113" t="s">
        <v>952</v>
      </c>
    </row>
    <row r="1114" spans="1:1" hidden="1" outlineLevel="1" x14ac:dyDescent="0.25">
      <c r="A1114" t="s">
        <v>953</v>
      </c>
    </row>
    <row r="1115" spans="1:1" hidden="1" outlineLevel="1" x14ac:dyDescent="0.25">
      <c r="A1115" t="s">
        <v>954</v>
      </c>
    </row>
    <row r="1116" spans="1:1" ht="13" hidden="1" outlineLevel="1" x14ac:dyDescent="0.3">
      <c r="A1116" s="20" t="s">
        <v>992</v>
      </c>
    </row>
    <row r="1117" spans="1:1" hidden="1" outlineLevel="1" x14ac:dyDescent="0.25">
      <c r="A1117" s="7" t="s">
        <v>993</v>
      </c>
    </row>
    <row r="1118" spans="1:1" hidden="1" outlineLevel="1" x14ac:dyDescent="0.25">
      <c r="A1118" t="s">
        <v>950</v>
      </c>
    </row>
    <row r="1119" spans="1:1" hidden="1" outlineLevel="1" x14ac:dyDescent="0.25">
      <c r="A1119" t="s">
        <v>951</v>
      </c>
    </row>
    <row r="1120" spans="1:1" ht="13" hidden="1" outlineLevel="1" x14ac:dyDescent="0.3">
      <c r="A112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121" spans="1:33" hidden="1" outlineLevel="1" x14ac:dyDescent="0.25">
      <c r="A1121" t="s">
        <v>952</v>
      </c>
    </row>
    <row r="1122" spans="1:33" hidden="1" outlineLevel="1" x14ac:dyDescent="0.25">
      <c r="A1122" t="s">
        <v>953</v>
      </c>
    </row>
    <row r="1123" spans="1:33" hidden="1" outlineLevel="1" x14ac:dyDescent="0.25">
      <c r="A1123" t="s">
        <v>994</v>
      </c>
    </row>
    <row r="1124" spans="1:33" hidden="1" outlineLevel="1" x14ac:dyDescent="0.25">
      <c r="A1124" t="str">
        <f>CONCATENATE("sql left outer join acrtrees t on t.client = u.client and u.dim_1 = t.cat_1 and t.att_agrid = '",$F$159,"'")</f>
        <v>sql left outer join acrtrees t on t.client = u.client and u.dim_1 = t.cat_1 and t.att_agrid = '53'</v>
      </c>
    </row>
    <row r="1125" spans="1:33" hidden="1" outlineLevel="1" x14ac:dyDescent="0.25">
      <c r="A1125" t="str">
        <f>CONCATENATE("sql left outer join acrtrees s on s.client = u.client and u.account = s.cat_1 and s.att_agrid = '",$F$160,"'")</f>
        <v>sql left outer join acrtrees s on s.client = u.client and u.account = s.cat_1 and s.att_agrid = '14'</v>
      </c>
    </row>
    <row r="1126" spans="1:33" hidden="1" outlineLevel="1" x14ac:dyDescent="0.25">
      <c r="A1126" t="str">
        <f>CONCATENATE("sql left outer join acrtrees v on v.client = u.client and u.account = v.cat_1 and v.att_agrid = '",$F$161,"'")</f>
        <v>sql left outer join acrtrees v on v.client = u.client and u.account = v.cat_1 and v.att_agrid = '17'</v>
      </c>
    </row>
    <row r="1127" spans="1:33" hidden="1" outlineLevel="1" x14ac:dyDescent="0.25">
      <c r="A1127" t="str">
        <f>CONCATENATE("sql left outer join agldescription d on d.client = u.client and d.dim_value = t.dim_c and d.attribute_id = '",$F$162,"'")</f>
        <v>sql left outer join agldescription d on d.client = u.client and d.dim_value = t.dim_c and d.attribute_id = '82'</v>
      </c>
    </row>
    <row r="1128" spans="1:33" hidden="1" outlineLevel="1" x14ac:dyDescent="0.25">
      <c r="A1128" t="str">
        <f>CONCATENATE("sql left outer join agldescription e on e.client = u.client and e.dim_value = t.dim_b and e.attribute_id = '",$F$163,"'")</f>
        <v>sql left outer join agldescription e on e.client = u.client and e.dim_value = t.dim_b and e.attribute_id = '81'</v>
      </c>
    </row>
    <row r="1129" spans="1:33" hidden="1" outlineLevel="1" x14ac:dyDescent="0.25">
      <c r="A1129" t="str">
        <f>CONCATENATE("sql left outer join agldescription f on f.client = u.client and f.dim_value = t.dim_e and f.attribute_id = '",$F$164,"'")</f>
        <v>sql left outer join agldescription f on f.client = u.client and f.dim_value = t.dim_e and f.attribute_id = '80'</v>
      </c>
    </row>
    <row r="1130" spans="1:33" hidden="1" outlineLevel="1" x14ac:dyDescent="0.25">
      <c r="A1130" t="str">
        <f>CONCATENATE("sql left outer join agldescription g on g.client = u.client and g.dim_value = u.account and g.attribute_id = '",$F$165,"'")</f>
        <v>sql left outer join agldescription g on g.client = u.client and g.dim_value = u.account and g.attribute_id = 'A0'</v>
      </c>
    </row>
    <row r="1131" spans="1:33" ht="14.5" hidden="1" outlineLevel="1" x14ac:dyDescent="0.35">
      <c r="A1131" s="67" t="s">
        <v>1048</v>
      </c>
      <c r="G1131" s="737" t="s">
        <v>1047</v>
      </c>
    </row>
    <row r="1132" spans="1:33" hidden="1" outlineLevel="1" x14ac:dyDescent="0.25">
      <c r="A1132" t="s">
        <v>1005</v>
      </c>
    </row>
    <row r="1133" spans="1:33" hidden="1" outlineLevel="1" x14ac:dyDescent="0.25">
      <c r="A1133" t="s">
        <v>1006</v>
      </c>
    </row>
    <row r="1134" spans="1:33" hidden="1" outlineLevel="1" x14ac:dyDescent="0.25">
      <c r="A1134" t="s">
        <v>1007</v>
      </c>
    </row>
    <row r="1135" spans="1:33" ht="13" hidden="1" outlineLevel="1" x14ac:dyDescent="0.3">
      <c r="A1135" t="s">
        <v>1012</v>
      </c>
      <c r="C1135" s="29"/>
      <c r="D1135" s="36">
        <v>1000</v>
      </c>
      <c r="E1135" s="36">
        <v>1000</v>
      </c>
      <c r="F1135" s="22">
        <v>1000</v>
      </c>
      <c r="G1135" s="22">
        <v>1000</v>
      </c>
      <c r="H1135" s="22">
        <v>1000</v>
      </c>
      <c r="I1135" s="22">
        <v>1000</v>
      </c>
      <c r="J1135" s="22">
        <v>1000</v>
      </c>
      <c r="K1135" s="22">
        <v>1000</v>
      </c>
      <c r="L1135" s="22"/>
      <c r="M1135" s="36"/>
      <c r="N1135" s="36"/>
      <c r="O1135" s="36">
        <v>1000</v>
      </c>
      <c r="P1135" s="36">
        <v>1000</v>
      </c>
      <c r="Q1135" s="36">
        <v>1000</v>
      </c>
      <c r="R1135" s="36">
        <v>1000</v>
      </c>
      <c r="S1135" s="36">
        <v>1000</v>
      </c>
      <c r="T1135" s="36"/>
      <c r="U1135" s="36"/>
      <c r="V1135" s="58"/>
      <c r="W1135" s="36">
        <v>1000</v>
      </c>
      <c r="X1135" s="36">
        <v>1000</v>
      </c>
      <c r="Y1135" s="36"/>
      <c r="Z1135" s="36"/>
      <c r="AA1135" s="40"/>
      <c r="AB1135" s="60"/>
      <c r="AC1135" s="98"/>
      <c r="AD1135" s="36"/>
      <c r="AE1135" s="36"/>
      <c r="AF1135" s="36"/>
      <c r="AG1135" s="99"/>
    </row>
    <row r="1136" spans="1:33" ht="13" hidden="1" outlineLevel="1" x14ac:dyDescent="0.3">
      <c r="A1136" s="7" t="s">
        <v>1013</v>
      </c>
      <c r="C1136" s="29"/>
      <c r="D1136" s="36">
        <v>0</v>
      </c>
      <c r="E1136" s="36">
        <v>0</v>
      </c>
      <c r="F1136" s="22">
        <v>0</v>
      </c>
      <c r="G1136" s="22">
        <v>0</v>
      </c>
      <c r="H1136" s="22">
        <v>0</v>
      </c>
      <c r="I1136" s="22">
        <v>0</v>
      </c>
      <c r="J1136" s="22">
        <v>0</v>
      </c>
      <c r="K1136" s="22">
        <v>0</v>
      </c>
      <c r="L1136" s="22"/>
      <c r="M1136" s="36"/>
      <c r="N1136" s="36"/>
      <c r="O1136" s="36">
        <v>0</v>
      </c>
      <c r="P1136" s="36">
        <v>0</v>
      </c>
      <c r="Q1136" s="36">
        <v>0</v>
      </c>
      <c r="R1136" s="36">
        <v>0</v>
      </c>
      <c r="S1136" s="36">
        <v>0</v>
      </c>
      <c r="T1136" s="36"/>
      <c r="U1136" s="36"/>
      <c r="V1136" s="58"/>
      <c r="W1136" s="36">
        <v>0</v>
      </c>
      <c r="X1136" s="36">
        <v>0</v>
      </c>
      <c r="Y1136" s="36"/>
      <c r="Z1136" s="36"/>
      <c r="AA1136" s="40"/>
      <c r="AB1136" s="60"/>
      <c r="AC1136" s="98"/>
      <c r="AD1136" s="36"/>
      <c r="AE1136" s="36"/>
      <c r="AF1136" s="36"/>
      <c r="AG1136" s="99"/>
    </row>
    <row r="1137" spans="1:33" ht="13" hidden="1" outlineLevel="1" x14ac:dyDescent="0.3">
      <c r="A1137" t="s">
        <v>1014</v>
      </c>
      <c r="C1137" s="30"/>
      <c r="D1137" s="36"/>
      <c r="E1137" s="36"/>
      <c r="F1137" s="57"/>
      <c r="G1137" s="57"/>
      <c r="H1137" s="57"/>
      <c r="I1137" s="57"/>
      <c r="J1137" s="57"/>
      <c r="K1137" s="57"/>
      <c r="L1137" s="57"/>
      <c r="M1137" s="36"/>
      <c r="N1137" s="36"/>
      <c r="O1137" s="36"/>
      <c r="P1137" s="36" t="s">
        <v>1015</v>
      </c>
      <c r="Q1137" s="36" t="s">
        <v>1016</v>
      </c>
      <c r="R1137" s="36"/>
      <c r="S1137" s="36"/>
      <c r="T1137" s="36"/>
      <c r="U1137" s="36"/>
      <c r="V1137" s="58"/>
      <c r="W1137" s="36"/>
      <c r="X1137" s="36"/>
      <c r="Y1137" s="36"/>
      <c r="Z1137" s="36"/>
      <c r="AA1137" s="40"/>
      <c r="AB1137" s="60"/>
      <c r="AC1137" s="98"/>
      <c r="AD1137" s="36"/>
      <c r="AE1137" s="36"/>
      <c r="AF1137" s="36"/>
      <c r="AG1137" s="99"/>
    </row>
    <row r="1138" spans="1:33" ht="13" hidden="1" outlineLevel="1" x14ac:dyDescent="0.3">
      <c r="A1138" t="s">
        <v>1017</v>
      </c>
      <c r="C1138" s="31"/>
      <c r="D1138" s="36" t="s">
        <v>1019</v>
      </c>
      <c r="E1138" s="36" t="s">
        <v>1020</v>
      </c>
      <c r="F1138" s="22" t="s">
        <v>1021</v>
      </c>
      <c r="G1138" s="22" t="s">
        <v>1022</v>
      </c>
      <c r="H1138" s="22" t="s">
        <v>1023</v>
      </c>
      <c r="I1138" s="22" t="s">
        <v>1024</v>
      </c>
      <c r="J1138" s="22" t="s">
        <v>1025</v>
      </c>
      <c r="K1138" s="22" t="s">
        <v>1026</v>
      </c>
      <c r="L1138" s="22"/>
      <c r="M1138" s="36"/>
      <c r="N1138" s="36"/>
      <c r="O1138" s="36" t="s">
        <v>1027</v>
      </c>
      <c r="P1138" s="36" t="s">
        <v>1028</v>
      </c>
      <c r="Q1138" s="36" t="s">
        <v>1028</v>
      </c>
      <c r="R1138" s="36" t="s">
        <v>1028</v>
      </c>
      <c r="S1138" s="36" t="s">
        <v>1029</v>
      </c>
      <c r="T1138" s="36"/>
      <c r="U1138" s="36"/>
      <c r="V1138" s="58"/>
      <c r="W1138" s="36" t="s">
        <v>1030</v>
      </c>
      <c r="X1138" s="36" t="s">
        <v>1031</v>
      </c>
      <c r="Y1138" s="36"/>
      <c r="Z1138" s="36"/>
      <c r="AA1138" s="40"/>
      <c r="AB1138" s="60"/>
      <c r="AC1138" s="98"/>
      <c r="AD1138" s="36"/>
      <c r="AE1138" s="36"/>
      <c r="AF1138" s="36"/>
      <c r="AG1138" s="99"/>
    </row>
    <row r="1139" spans="1:33" ht="13" hidden="1" outlineLevel="1" x14ac:dyDescent="0.3">
      <c r="A1139" t="s">
        <v>1041</v>
      </c>
      <c r="C1139" s="31" t="s">
        <v>121</v>
      </c>
      <c r="D1139" s="33">
        <v>0</v>
      </c>
      <c r="E1139" s="33">
        <v>0</v>
      </c>
      <c r="F1139" s="23">
        <v>0</v>
      </c>
      <c r="G1139" s="23">
        <v>0</v>
      </c>
      <c r="H1139" s="23">
        <v>0</v>
      </c>
      <c r="I1139" s="23">
        <v>0</v>
      </c>
      <c r="J1139" s="23">
        <v>0</v>
      </c>
      <c r="K1139" s="23">
        <v>0</v>
      </c>
      <c r="L1139" s="23">
        <f>SUM(F1139:K1139)</f>
        <v>0</v>
      </c>
      <c r="M1139" s="33">
        <f>O1139-E1139</f>
        <v>0</v>
      </c>
      <c r="N1139" s="33">
        <f>O1139-D1139</f>
        <v>0</v>
      </c>
      <c r="O1139" s="33">
        <v>0</v>
      </c>
      <c r="P1139" s="33">
        <v>0</v>
      </c>
      <c r="Q1139" s="33">
        <v>0</v>
      </c>
      <c r="R1139" s="33">
        <v>0</v>
      </c>
      <c r="S1139" s="33">
        <v>0</v>
      </c>
      <c r="T1139" s="33">
        <f>R1139-S1139</f>
        <v>0</v>
      </c>
      <c r="U1139" s="38" t="str">
        <f>IFERROR((R1139/O1139)*100%,"∞")</f>
        <v>∞</v>
      </c>
      <c r="V1139" s="59">
        <f>O1139+W1139</f>
        <v>0</v>
      </c>
      <c r="W1139" s="33">
        <v>0</v>
      </c>
      <c r="X1139" s="33">
        <v>0</v>
      </c>
      <c r="Y1139" s="33"/>
      <c r="Z1139" s="33"/>
      <c r="AA1139" s="42"/>
      <c r="AB1139" s="60"/>
      <c r="AC1139" s="105"/>
      <c r="AD1139" s="93"/>
      <c r="AE1139" s="33">
        <f>SUM(AC1139:AD1139)</f>
        <v>0</v>
      </c>
      <c r="AF1139" s="33">
        <f>R1139+AE1139</f>
        <v>0</v>
      </c>
      <c r="AG1139" s="101">
        <f>AF1139-O1139</f>
        <v>0</v>
      </c>
    </row>
    <row r="1140" spans="1:33" hidden="1" outlineLevel="1" x14ac:dyDescent="0.25">
      <c r="A1140" t="s">
        <v>232</v>
      </c>
    </row>
    <row r="1141" spans="1:33" hidden="1" outlineLevel="1" x14ac:dyDescent="0.25">
      <c r="A1141" t="s">
        <v>944</v>
      </c>
      <c r="M1141" s="19"/>
      <c r="N1141" s="19"/>
    </row>
    <row r="1142" spans="1:33" hidden="1" outlineLevel="1" x14ac:dyDescent="0.25">
      <c r="A1142" t="s">
        <v>946</v>
      </c>
      <c r="E1142" s="19"/>
    </row>
    <row r="1143" spans="1:33" hidden="1" outlineLevel="1" x14ac:dyDescent="0.25">
      <c r="A1143" t="s">
        <v>947</v>
      </c>
      <c r="E1143" s="19"/>
      <c r="F1143" s="19"/>
    </row>
    <row r="1144" spans="1:33" ht="13" hidden="1" outlineLevel="1" x14ac:dyDescent="0.3">
      <c r="A1144" s="20" t="s">
        <v>948</v>
      </c>
    </row>
    <row r="1145" spans="1:33" hidden="1" outlineLevel="1" x14ac:dyDescent="0.25">
      <c r="A1145" s="7" t="s">
        <v>949</v>
      </c>
    </row>
    <row r="1146" spans="1:33" hidden="1" outlineLevel="1" x14ac:dyDescent="0.25">
      <c r="A1146" t="s">
        <v>950</v>
      </c>
    </row>
    <row r="1147" spans="1:33" hidden="1" outlineLevel="1" x14ac:dyDescent="0.25">
      <c r="A1147" t="s">
        <v>951</v>
      </c>
    </row>
    <row r="1148" spans="1:33" ht="13" hidden="1" outlineLevel="1" x14ac:dyDescent="0.3">
      <c r="A1148" s="21" t="str">
        <f>CONCATENATE("sql where a.client = '",$D$172,"' and a.period between '",LEFT($D$170,4),"00' and '",LEFT($D$171,4),"14' and a.version like '%ORIG%'")</f>
        <v>sql where a.client = 'OX' and a.period between '202500' and '202514' and a.version like '%ORIG%'</v>
      </c>
    </row>
    <row r="1149" spans="1:33" hidden="1" outlineLevel="1" x14ac:dyDescent="0.25">
      <c r="A1149" t="s">
        <v>952</v>
      </c>
    </row>
    <row r="1150" spans="1:33" hidden="1" outlineLevel="1" x14ac:dyDescent="0.25">
      <c r="A1150" t="s">
        <v>953</v>
      </c>
    </row>
    <row r="1151" spans="1:33" hidden="1" outlineLevel="1" x14ac:dyDescent="0.25">
      <c r="A1151" t="s">
        <v>954</v>
      </c>
    </row>
    <row r="1152" spans="1:33" ht="13" hidden="1" outlineLevel="1" x14ac:dyDescent="0.3">
      <c r="A1152" s="20" t="s">
        <v>955</v>
      </c>
    </row>
    <row r="1153" spans="1:3" hidden="1" outlineLevel="1" x14ac:dyDescent="0.25">
      <c r="A1153" s="7" t="s">
        <v>956</v>
      </c>
    </row>
    <row r="1154" spans="1:3" hidden="1" outlineLevel="1" x14ac:dyDescent="0.25">
      <c r="A1154" t="s">
        <v>950</v>
      </c>
    </row>
    <row r="1155" spans="1:3" hidden="1" outlineLevel="1" x14ac:dyDescent="0.25">
      <c r="A1155" t="s">
        <v>951</v>
      </c>
    </row>
    <row r="1156" spans="1:3" ht="14.5" hidden="1" outlineLevel="1" x14ac:dyDescent="0.35">
      <c r="A115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156" s="2"/>
    </row>
    <row r="1157" spans="1:3" hidden="1" outlineLevel="1" x14ac:dyDescent="0.25">
      <c r="A1157" t="s">
        <v>952</v>
      </c>
    </row>
    <row r="1158" spans="1:3" hidden="1" outlineLevel="1" x14ac:dyDescent="0.25">
      <c r="A1158" t="s">
        <v>953</v>
      </c>
    </row>
    <row r="1159" spans="1:3" hidden="1" outlineLevel="1" x14ac:dyDescent="0.25">
      <c r="A1159" t="s">
        <v>954</v>
      </c>
    </row>
    <row r="1160" spans="1:3" ht="13" hidden="1" outlineLevel="1" x14ac:dyDescent="0.3">
      <c r="A1160" s="66" t="s">
        <v>957</v>
      </c>
    </row>
    <row r="1161" spans="1:3" hidden="1" outlineLevel="1" x14ac:dyDescent="0.25">
      <c r="A1161" t="s">
        <v>958</v>
      </c>
    </row>
    <row r="1162" spans="1:3" hidden="1" outlineLevel="1" x14ac:dyDescent="0.25">
      <c r="A1162" t="s">
        <v>950</v>
      </c>
    </row>
    <row r="1163" spans="1:3" ht="13" hidden="1" outlineLevel="1" x14ac:dyDescent="0.3">
      <c r="A116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164" spans="1:3" ht="13" hidden="1" outlineLevel="1" x14ac:dyDescent="0.3">
      <c r="A1164" s="21" t="s">
        <v>959</v>
      </c>
    </row>
    <row r="1165" spans="1:3" hidden="1" outlineLevel="1" x14ac:dyDescent="0.25">
      <c r="A1165" t="s">
        <v>960</v>
      </c>
    </row>
    <row r="1166" spans="1:3" hidden="1" outlineLevel="1" x14ac:dyDescent="0.25">
      <c r="A1166" t="s">
        <v>961</v>
      </c>
    </row>
    <row r="1167" spans="1:3" hidden="1" outlineLevel="1" x14ac:dyDescent="0.25">
      <c r="A1167" t="str">
        <f>CONCATENATE("sql left outer join acrtrees t on t.client = x.client and x.dim_1 = t.cat_1 and t.att_agrid = '",$F$159,"'")</f>
        <v>sql left outer join acrtrees t on t.client = x.client and x.dim_1 = t.cat_1 and t.att_agrid = '53'</v>
      </c>
    </row>
    <row r="1168" spans="1:3" ht="13" hidden="1" outlineLevel="1" x14ac:dyDescent="0.3">
      <c r="A116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169" spans="1:1" ht="13" hidden="1" outlineLevel="1" x14ac:dyDescent="0.3">
      <c r="A1169" s="21" t="s">
        <v>962</v>
      </c>
    </row>
    <row r="1170" spans="1:1" ht="13" hidden="1" outlineLevel="1" x14ac:dyDescent="0.3">
      <c r="A117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171" spans="1:1" ht="13" hidden="1" outlineLevel="1" x14ac:dyDescent="0.3">
      <c r="A1171" s="21" t="s">
        <v>963</v>
      </c>
    </row>
    <row r="1172" spans="1:1" hidden="1" outlineLevel="1" x14ac:dyDescent="0.25">
      <c r="A1172" t="s">
        <v>964</v>
      </c>
    </row>
    <row r="1173" spans="1:1" hidden="1" outlineLevel="1" x14ac:dyDescent="0.25">
      <c r="A1173" t="s">
        <v>965</v>
      </c>
    </row>
    <row r="1174" spans="1:1" hidden="1" outlineLevel="1" x14ac:dyDescent="0.25">
      <c r="A1174" t="s">
        <v>966</v>
      </c>
    </row>
    <row r="1175" spans="1:1" hidden="1" outlineLevel="1" x14ac:dyDescent="0.25">
      <c r="A1175" t="s">
        <v>953</v>
      </c>
    </row>
    <row r="1176" spans="1:1" hidden="1" outlineLevel="1" x14ac:dyDescent="0.25">
      <c r="A1176" t="s">
        <v>954</v>
      </c>
    </row>
    <row r="1177" spans="1:1" ht="13" hidden="1" outlineLevel="1" x14ac:dyDescent="0.3">
      <c r="A1177" s="66" t="s">
        <v>967</v>
      </c>
    </row>
    <row r="1178" spans="1:1" hidden="1" outlineLevel="1" x14ac:dyDescent="0.25">
      <c r="A1178" t="s">
        <v>968</v>
      </c>
    </row>
    <row r="1179" spans="1:1" hidden="1" outlineLevel="1" x14ac:dyDescent="0.25">
      <c r="A1179" t="s">
        <v>950</v>
      </c>
    </row>
    <row r="1180" spans="1:1" ht="13" hidden="1" outlineLevel="1" x14ac:dyDescent="0.3">
      <c r="A118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181" spans="1:1" ht="13" hidden="1" outlineLevel="1" x14ac:dyDescent="0.3">
      <c r="A1181" s="21" t="s">
        <v>969</v>
      </c>
    </row>
    <row r="1182" spans="1:1" ht="13" hidden="1" outlineLevel="1" x14ac:dyDescent="0.3">
      <c r="A1182" s="21" t="s">
        <v>959</v>
      </c>
    </row>
    <row r="1183" spans="1:1" hidden="1" outlineLevel="1" x14ac:dyDescent="0.25">
      <c r="A1183" t="s">
        <v>960</v>
      </c>
    </row>
    <row r="1184" spans="1:1" hidden="1" outlineLevel="1" x14ac:dyDescent="0.25">
      <c r="A1184" t="s">
        <v>961</v>
      </c>
    </row>
    <row r="1185" spans="1:1" hidden="1" outlineLevel="1" x14ac:dyDescent="0.25">
      <c r="A1185" t="str">
        <f>CONCATENATE("sql left outer join acrtrees t on t.client = x.client and x.dim_1 = t.cat_1 and t.att_agrid = '",$F$159,"'")</f>
        <v>sql left outer join acrtrees t on t.client = x.client and x.dim_1 = t.cat_1 and t.att_agrid = '53'</v>
      </c>
    </row>
    <row r="1186" spans="1:1" ht="13" hidden="1" outlineLevel="1" x14ac:dyDescent="0.3">
      <c r="A118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187" spans="1:1" ht="13" hidden="1" outlineLevel="1" x14ac:dyDescent="0.3">
      <c r="A1187" s="21" t="s">
        <v>970</v>
      </c>
    </row>
    <row r="1188" spans="1:1" ht="13" hidden="1" outlineLevel="1" x14ac:dyDescent="0.3">
      <c r="A1188" s="21" t="s">
        <v>962</v>
      </c>
    </row>
    <row r="1189" spans="1:1" ht="13" hidden="1" outlineLevel="1" x14ac:dyDescent="0.3">
      <c r="A118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190" spans="1:1" ht="13" hidden="1" outlineLevel="1" x14ac:dyDescent="0.3">
      <c r="A1190" s="21" t="s">
        <v>970</v>
      </c>
    </row>
    <row r="1191" spans="1:1" ht="13" hidden="1" outlineLevel="1" x14ac:dyDescent="0.3">
      <c r="A1191" s="21" t="s">
        <v>963</v>
      </c>
    </row>
    <row r="1192" spans="1:1" hidden="1" outlineLevel="1" x14ac:dyDescent="0.25">
      <c r="A1192" t="s">
        <v>964</v>
      </c>
    </row>
    <row r="1193" spans="1:1" hidden="1" outlineLevel="1" x14ac:dyDescent="0.25">
      <c r="A1193" t="s">
        <v>965</v>
      </c>
    </row>
    <row r="1194" spans="1:1" hidden="1" outlineLevel="1" x14ac:dyDescent="0.25">
      <c r="A1194" t="s">
        <v>966</v>
      </c>
    </row>
    <row r="1195" spans="1:1" hidden="1" outlineLevel="1" x14ac:dyDescent="0.25">
      <c r="A1195" t="s">
        <v>953</v>
      </c>
    </row>
    <row r="1196" spans="1:1" hidden="1" outlineLevel="1" x14ac:dyDescent="0.25">
      <c r="A1196" t="s">
        <v>954</v>
      </c>
    </row>
    <row r="1197" spans="1:1" ht="13" hidden="1" outlineLevel="1" x14ac:dyDescent="0.3">
      <c r="A1197" s="66" t="s">
        <v>971</v>
      </c>
    </row>
    <row r="1198" spans="1:1" hidden="1" outlineLevel="1" x14ac:dyDescent="0.25">
      <c r="A1198" t="s">
        <v>972</v>
      </c>
    </row>
    <row r="1199" spans="1:1" hidden="1" outlineLevel="1" x14ac:dyDescent="0.25">
      <c r="A1199" t="s">
        <v>950</v>
      </c>
    </row>
    <row r="1200" spans="1:1" ht="13" hidden="1" outlineLevel="1" x14ac:dyDescent="0.3">
      <c r="A120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201" spans="1:1" ht="13" hidden="1" outlineLevel="1" x14ac:dyDescent="0.3">
      <c r="A1201" s="21" t="s">
        <v>959</v>
      </c>
    </row>
    <row r="1202" spans="1:1" hidden="1" outlineLevel="1" x14ac:dyDescent="0.25">
      <c r="A1202" t="s">
        <v>960</v>
      </c>
    </row>
    <row r="1203" spans="1:1" hidden="1" outlineLevel="1" x14ac:dyDescent="0.25">
      <c r="A1203" t="s">
        <v>961</v>
      </c>
    </row>
    <row r="1204" spans="1:1" hidden="1" outlineLevel="1" x14ac:dyDescent="0.25">
      <c r="A1204" t="str">
        <f>CONCATENATE("sql left outer join acrtrees t on t.client = x.client and x.dim_1 = t.cat_1 and t.att_agrid = '",$F$159,"'")</f>
        <v>sql left outer join acrtrees t on t.client = x.client and x.dim_1 = t.cat_1 and t.att_agrid = '53'</v>
      </c>
    </row>
    <row r="1205" spans="1:1" ht="13" hidden="1" outlineLevel="1" x14ac:dyDescent="0.3">
      <c r="A120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206" spans="1:1" ht="13" hidden="1" outlineLevel="1" x14ac:dyDescent="0.3">
      <c r="A1206" s="21" t="s">
        <v>973</v>
      </c>
    </row>
    <row r="1207" spans="1:1" hidden="1" outlineLevel="1" x14ac:dyDescent="0.25">
      <c r="A1207" t="s">
        <v>964</v>
      </c>
    </row>
    <row r="1208" spans="1:1" hidden="1" outlineLevel="1" x14ac:dyDescent="0.25">
      <c r="A1208" t="s">
        <v>965</v>
      </c>
    </row>
    <row r="1209" spans="1:1" hidden="1" outlineLevel="1" x14ac:dyDescent="0.25">
      <c r="A1209" t="s">
        <v>966</v>
      </c>
    </row>
    <row r="1210" spans="1:1" hidden="1" outlineLevel="1" x14ac:dyDescent="0.25">
      <c r="A1210" t="s">
        <v>953</v>
      </c>
    </row>
    <row r="1211" spans="1:1" hidden="1" outlineLevel="1" x14ac:dyDescent="0.25">
      <c r="A1211" t="s">
        <v>954</v>
      </c>
    </row>
    <row r="1212" spans="1:1" ht="13" hidden="1" outlineLevel="1" x14ac:dyDescent="0.3">
      <c r="A1212" s="66" t="s">
        <v>974</v>
      </c>
    </row>
    <row r="1213" spans="1:1" hidden="1" outlineLevel="1" x14ac:dyDescent="0.25">
      <c r="A1213" t="s">
        <v>975</v>
      </c>
    </row>
    <row r="1214" spans="1:1" hidden="1" outlineLevel="1" x14ac:dyDescent="0.25">
      <c r="A1214" t="s">
        <v>950</v>
      </c>
    </row>
    <row r="1215" spans="1:1" ht="13" hidden="1" outlineLevel="1" x14ac:dyDescent="0.3">
      <c r="A121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216" spans="1:1" ht="13" hidden="1" outlineLevel="1" x14ac:dyDescent="0.3">
      <c r="A1216" s="21" t="s">
        <v>959</v>
      </c>
    </row>
    <row r="1217" spans="1:1" hidden="1" outlineLevel="1" x14ac:dyDescent="0.25">
      <c r="A1217" t="s">
        <v>960</v>
      </c>
    </row>
    <row r="1218" spans="1:1" hidden="1" outlineLevel="1" x14ac:dyDescent="0.25">
      <c r="A1218" t="s">
        <v>961</v>
      </c>
    </row>
    <row r="1219" spans="1:1" hidden="1" outlineLevel="1" x14ac:dyDescent="0.25">
      <c r="A1219" t="str">
        <f>CONCATENATE("sql left outer join acrtrees t on t.client = x.client and x.dim_1 = t.cat_1 and t.att_agrid = '",$F$159,"'")</f>
        <v>sql left outer join acrtrees t on t.client = x.client and x.dim_1 = t.cat_1 and t.att_agrid = '53'</v>
      </c>
    </row>
    <row r="1220" spans="1:1" ht="13" hidden="1" outlineLevel="1" x14ac:dyDescent="0.3">
      <c r="A122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221" spans="1:1" ht="13" hidden="1" outlineLevel="1" x14ac:dyDescent="0.3">
      <c r="A1221" s="21" t="s">
        <v>973</v>
      </c>
    </row>
    <row r="1222" spans="1:1" hidden="1" outlineLevel="1" x14ac:dyDescent="0.25">
      <c r="A1222" t="s">
        <v>964</v>
      </c>
    </row>
    <row r="1223" spans="1:1" hidden="1" outlineLevel="1" x14ac:dyDescent="0.25">
      <c r="A1223" t="s">
        <v>965</v>
      </c>
    </row>
    <row r="1224" spans="1:1" hidden="1" outlineLevel="1" x14ac:dyDescent="0.25">
      <c r="A1224" t="s">
        <v>966</v>
      </c>
    </row>
    <row r="1225" spans="1:1" hidden="1" outlineLevel="1" x14ac:dyDescent="0.25">
      <c r="A1225" t="s">
        <v>953</v>
      </c>
    </row>
    <row r="1226" spans="1:1" hidden="1" outlineLevel="1" x14ac:dyDescent="0.25">
      <c r="A1226" t="s">
        <v>954</v>
      </c>
    </row>
    <row r="1227" spans="1:1" ht="13" hidden="1" outlineLevel="1" x14ac:dyDescent="0.3">
      <c r="A1227" s="66" t="s">
        <v>976</v>
      </c>
    </row>
    <row r="1228" spans="1:1" hidden="1" outlineLevel="1" x14ac:dyDescent="0.25">
      <c r="A1228" t="s">
        <v>977</v>
      </c>
    </row>
    <row r="1229" spans="1:1" hidden="1" outlineLevel="1" x14ac:dyDescent="0.25">
      <c r="A1229" t="s">
        <v>950</v>
      </c>
    </row>
    <row r="1230" spans="1:1" ht="13" hidden="1" outlineLevel="1" x14ac:dyDescent="0.3">
      <c r="A123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231" spans="1:1" ht="13" hidden="1" outlineLevel="1" x14ac:dyDescent="0.3">
      <c r="A1231" s="21" t="s">
        <v>959</v>
      </c>
    </row>
    <row r="1232" spans="1:1" hidden="1" outlineLevel="1" x14ac:dyDescent="0.25">
      <c r="A1232" t="s">
        <v>960</v>
      </c>
    </row>
    <row r="1233" spans="1:1" hidden="1" outlineLevel="1" x14ac:dyDescent="0.25">
      <c r="A1233" t="s">
        <v>961</v>
      </c>
    </row>
    <row r="1234" spans="1:1" hidden="1" outlineLevel="1" x14ac:dyDescent="0.25">
      <c r="A1234" t="str">
        <f>CONCATENATE("sql left outer join acrtrees t on t.client = x.client and x.dim_1 = t.cat_1 and t.att_agrid = '",$F$159,"'")</f>
        <v>sql left outer join acrtrees t on t.client = x.client and x.dim_1 = t.cat_1 and t.att_agrid = '53'</v>
      </c>
    </row>
    <row r="1235" spans="1:1" ht="13" hidden="1" outlineLevel="1" x14ac:dyDescent="0.3">
      <c r="A123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236" spans="1:1" ht="13" hidden="1" outlineLevel="1" x14ac:dyDescent="0.3">
      <c r="A1236" s="21" t="s">
        <v>978</v>
      </c>
    </row>
    <row r="1237" spans="1:1" hidden="1" outlineLevel="1" x14ac:dyDescent="0.25">
      <c r="A1237" t="s">
        <v>979</v>
      </c>
    </row>
    <row r="1238" spans="1:1" hidden="1" outlineLevel="1" x14ac:dyDescent="0.25">
      <c r="A1238" t="s">
        <v>980</v>
      </c>
    </row>
    <row r="1239" spans="1:1" hidden="1" outlineLevel="1" x14ac:dyDescent="0.25">
      <c r="A1239" t="s">
        <v>966</v>
      </c>
    </row>
    <row r="1240" spans="1:1" hidden="1" outlineLevel="1" x14ac:dyDescent="0.25">
      <c r="A1240" t="s">
        <v>953</v>
      </c>
    </row>
    <row r="1241" spans="1:1" hidden="1" outlineLevel="1" x14ac:dyDescent="0.25">
      <c r="A1241" t="s">
        <v>954</v>
      </c>
    </row>
    <row r="1242" spans="1:1" ht="13" hidden="1" outlineLevel="1" x14ac:dyDescent="0.3">
      <c r="A1242" s="66" t="s">
        <v>981</v>
      </c>
    </row>
    <row r="1243" spans="1:1" hidden="1" outlineLevel="1" x14ac:dyDescent="0.25">
      <c r="A1243" t="s">
        <v>982</v>
      </c>
    </row>
    <row r="1244" spans="1:1" hidden="1" outlineLevel="1" x14ac:dyDescent="0.25">
      <c r="A1244" t="s">
        <v>950</v>
      </c>
    </row>
    <row r="1245" spans="1:1" ht="13" hidden="1" outlineLevel="1" x14ac:dyDescent="0.3">
      <c r="A124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246" spans="1:1" ht="13" hidden="1" outlineLevel="1" x14ac:dyDescent="0.3">
      <c r="A1246" s="21" t="s">
        <v>969</v>
      </c>
    </row>
    <row r="1247" spans="1:1" ht="13" hidden="1" outlineLevel="1" x14ac:dyDescent="0.3">
      <c r="A1247" s="21" t="s">
        <v>959</v>
      </c>
    </row>
    <row r="1248" spans="1:1" hidden="1" outlineLevel="1" x14ac:dyDescent="0.25">
      <c r="A1248" t="s">
        <v>960</v>
      </c>
    </row>
    <row r="1249" spans="1:3" hidden="1" outlineLevel="1" x14ac:dyDescent="0.25">
      <c r="A1249" t="s">
        <v>961</v>
      </c>
    </row>
    <row r="1250" spans="1:3" hidden="1" outlineLevel="1" x14ac:dyDescent="0.25">
      <c r="A1250" t="str">
        <f>CONCATENATE("sql left outer join acrtrees t on t.client = x.client and x.dim_1 = t.cat_1 and t.att_agrid = '",$F$159,"'")</f>
        <v>sql left outer join acrtrees t on t.client = x.client and x.dim_1 = t.cat_1 and t.att_agrid = '53'</v>
      </c>
    </row>
    <row r="1251" spans="1:3" ht="13" hidden="1" outlineLevel="1" x14ac:dyDescent="0.3">
      <c r="A125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252" spans="1:3" ht="13" hidden="1" outlineLevel="1" x14ac:dyDescent="0.3">
      <c r="A1252" s="21" t="s">
        <v>970</v>
      </c>
    </row>
    <row r="1253" spans="1:3" ht="13" hidden="1" outlineLevel="1" x14ac:dyDescent="0.3">
      <c r="A1253" s="21" t="s">
        <v>978</v>
      </c>
    </row>
    <row r="1254" spans="1:3" hidden="1" outlineLevel="1" x14ac:dyDescent="0.25">
      <c r="A1254" t="s">
        <v>979</v>
      </c>
    </row>
    <row r="1255" spans="1:3" hidden="1" outlineLevel="1" x14ac:dyDescent="0.25">
      <c r="A1255" t="s">
        <v>980</v>
      </c>
    </row>
    <row r="1256" spans="1:3" hidden="1" outlineLevel="1" x14ac:dyDescent="0.25">
      <c r="A1256" t="s">
        <v>966</v>
      </c>
    </row>
    <row r="1257" spans="1:3" hidden="1" outlineLevel="1" x14ac:dyDescent="0.25">
      <c r="A1257" t="s">
        <v>953</v>
      </c>
    </row>
    <row r="1258" spans="1:3" hidden="1" outlineLevel="1" x14ac:dyDescent="0.25">
      <c r="A1258" t="s">
        <v>954</v>
      </c>
    </row>
    <row r="1259" spans="1:3" ht="13" hidden="1" outlineLevel="1" x14ac:dyDescent="0.3">
      <c r="A1259" s="20" t="s">
        <v>983</v>
      </c>
    </row>
    <row r="1260" spans="1:3" hidden="1" outlineLevel="1" x14ac:dyDescent="0.25">
      <c r="A1260" s="7" t="s">
        <v>984</v>
      </c>
    </row>
    <row r="1261" spans="1:3" hidden="1" outlineLevel="1" x14ac:dyDescent="0.25">
      <c r="A1261" t="s">
        <v>950</v>
      </c>
    </row>
    <row r="1262" spans="1:3" hidden="1" outlineLevel="1" x14ac:dyDescent="0.25">
      <c r="A1262" t="s">
        <v>951</v>
      </c>
    </row>
    <row r="1263" spans="1:3" ht="14.5" hidden="1" outlineLevel="1" x14ac:dyDescent="0.35">
      <c r="A126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263" s="2"/>
    </row>
    <row r="1264" spans="1:3" hidden="1" outlineLevel="1" x14ac:dyDescent="0.25">
      <c r="A1264" t="s">
        <v>952</v>
      </c>
    </row>
    <row r="1265" spans="1:1" hidden="1" outlineLevel="1" x14ac:dyDescent="0.25">
      <c r="A1265" t="s">
        <v>953</v>
      </c>
    </row>
    <row r="1266" spans="1:1" hidden="1" outlineLevel="1" x14ac:dyDescent="0.25">
      <c r="A1266" t="s">
        <v>954</v>
      </c>
    </row>
    <row r="1267" spans="1:1" ht="13" hidden="1" outlineLevel="1" x14ac:dyDescent="0.3">
      <c r="A1267" s="20" t="s">
        <v>985</v>
      </c>
    </row>
    <row r="1268" spans="1:1" hidden="1" outlineLevel="1" x14ac:dyDescent="0.25">
      <c r="A1268" s="7" t="s">
        <v>986</v>
      </c>
    </row>
    <row r="1269" spans="1:1" hidden="1" outlineLevel="1" x14ac:dyDescent="0.25">
      <c r="A1269" t="s">
        <v>987</v>
      </c>
    </row>
    <row r="1270" spans="1:1" ht="13" hidden="1" outlineLevel="1" x14ac:dyDescent="0.3">
      <c r="A1270" s="21" t="str">
        <f>CONCATENATE("sql where a.client = '",$D$172,"' and a.period between '",LEFT($D$170,4),"00' and '",IF(RIGHT($D$171,2)="12",CONCATENATE(LEFT($D$171,4),"14"),$D$171),"'")</f>
        <v>sql where a.client = 'OX' and a.period between '202500' and '202506'</v>
      </c>
    </row>
    <row r="1271" spans="1:1" hidden="1" outlineLevel="1" x14ac:dyDescent="0.25">
      <c r="A1271" t="s">
        <v>952</v>
      </c>
    </row>
    <row r="1272" spans="1:1" hidden="1" outlineLevel="1" x14ac:dyDescent="0.25">
      <c r="A1272" t="s">
        <v>953</v>
      </c>
    </row>
    <row r="1273" spans="1:1" hidden="1" outlineLevel="1" x14ac:dyDescent="0.25">
      <c r="A1273" t="s">
        <v>954</v>
      </c>
    </row>
    <row r="1274" spans="1:1" ht="13" hidden="1" outlineLevel="1" x14ac:dyDescent="0.3">
      <c r="A1274" s="20" t="s">
        <v>988</v>
      </c>
    </row>
    <row r="1275" spans="1:1" hidden="1" outlineLevel="1" x14ac:dyDescent="0.25">
      <c r="A1275" s="7" t="s">
        <v>989</v>
      </c>
    </row>
    <row r="1276" spans="1:1" hidden="1" outlineLevel="1" x14ac:dyDescent="0.25">
      <c r="A1276" t="s">
        <v>950</v>
      </c>
    </row>
    <row r="1277" spans="1:1" hidden="1" outlineLevel="1" x14ac:dyDescent="0.25">
      <c r="A1277" t="s">
        <v>951</v>
      </c>
    </row>
    <row r="1278" spans="1:1" ht="13" hidden="1" outlineLevel="1" x14ac:dyDescent="0.3">
      <c r="A127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279" spans="1:1" hidden="1" outlineLevel="1" x14ac:dyDescent="0.25">
      <c r="A1279" t="s">
        <v>952</v>
      </c>
    </row>
    <row r="1280" spans="1:1" hidden="1" outlineLevel="1" x14ac:dyDescent="0.25">
      <c r="A1280" t="s">
        <v>953</v>
      </c>
    </row>
    <row r="1281" spans="1:1" hidden="1" outlineLevel="1" x14ac:dyDescent="0.25">
      <c r="A1281" t="s">
        <v>954</v>
      </c>
    </row>
    <row r="1282" spans="1:1" ht="13" hidden="1" outlineLevel="1" x14ac:dyDescent="0.3">
      <c r="A1282" s="20" t="s">
        <v>990</v>
      </c>
    </row>
    <row r="1283" spans="1:1" hidden="1" outlineLevel="1" x14ac:dyDescent="0.25">
      <c r="A1283" s="7" t="s">
        <v>991</v>
      </c>
    </row>
    <row r="1284" spans="1:1" hidden="1" outlineLevel="1" x14ac:dyDescent="0.25">
      <c r="A1284" t="s">
        <v>950</v>
      </c>
    </row>
    <row r="1285" spans="1:1" hidden="1" outlineLevel="1" x14ac:dyDescent="0.25">
      <c r="A1285" t="s">
        <v>951</v>
      </c>
    </row>
    <row r="1286" spans="1:1" ht="13" hidden="1" outlineLevel="1" x14ac:dyDescent="0.3">
      <c r="A128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287" spans="1:1" hidden="1" outlineLevel="1" x14ac:dyDescent="0.25">
      <c r="A1287" t="s">
        <v>952</v>
      </c>
    </row>
    <row r="1288" spans="1:1" hidden="1" outlineLevel="1" x14ac:dyDescent="0.25">
      <c r="A1288" t="s">
        <v>953</v>
      </c>
    </row>
    <row r="1289" spans="1:1" hidden="1" outlineLevel="1" x14ac:dyDescent="0.25">
      <c r="A1289" t="s">
        <v>954</v>
      </c>
    </row>
    <row r="1290" spans="1:1" ht="13" hidden="1" outlineLevel="1" x14ac:dyDescent="0.3">
      <c r="A1290" s="20" t="s">
        <v>992</v>
      </c>
    </row>
    <row r="1291" spans="1:1" hidden="1" outlineLevel="1" x14ac:dyDescent="0.25">
      <c r="A1291" s="7" t="s">
        <v>993</v>
      </c>
    </row>
    <row r="1292" spans="1:1" hidden="1" outlineLevel="1" x14ac:dyDescent="0.25">
      <c r="A1292" t="s">
        <v>950</v>
      </c>
    </row>
    <row r="1293" spans="1:1" hidden="1" outlineLevel="1" x14ac:dyDescent="0.25">
      <c r="A1293" t="s">
        <v>951</v>
      </c>
    </row>
    <row r="1294" spans="1:1" ht="13" hidden="1" outlineLevel="1" x14ac:dyDescent="0.3">
      <c r="A129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295" spans="1:1" hidden="1" outlineLevel="1" x14ac:dyDescent="0.25">
      <c r="A1295" t="s">
        <v>952</v>
      </c>
    </row>
    <row r="1296" spans="1:1" hidden="1" outlineLevel="1" x14ac:dyDescent="0.25">
      <c r="A1296" t="s">
        <v>953</v>
      </c>
    </row>
    <row r="1297" spans="1:33" hidden="1" outlineLevel="1" x14ac:dyDescent="0.25">
      <c r="A1297" t="s">
        <v>994</v>
      </c>
    </row>
    <row r="1298" spans="1:33" hidden="1" outlineLevel="1" x14ac:dyDescent="0.25">
      <c r="A1298" t="str">
        <f>CONCATENATE("sql left outer join acrtrees t on t.client = u.client and u.dim_1 = t.cat_1 and t.att_agrid = '",$F$159,"'")</f>
        <v>sql left outer join acrtrees t on t.client = u.client and u.dim_1 = t.cat_1 and t.att_agrid = '53'</v>
      </c>
    </row>
    <row r="1299" spans="1:33" hidden="1" outlineLevel="1" x14ac:dyDescent="0.25">
      <c r="A1299" t="str">
        <f>CONCATENATE("sql left outer join acrtrees s on s.client = u.client and u.account = s.cat_1 and s.att_agrid = '",$F$160,"'")</f>
        <v>sql left outer join acrtrees s on s.client = u.client and u.account = s.cat_1 and s.att_agrid = '14'</v>
      </c>
    </row>
    <row r="1300" spans="1:33" hidden="1" outlineLevel="1" x14ac:dyDescent="0.25">
      <c r="A1300" t="str">
        <f>CONCATENATE("sql left outer join acrtrees v on v.client = u.client and u.account = v.cat_1 and v.att_agrid = '",$F$161,"'")</f>
        <v>sql left outer join acrtrees v on v.client = u.client and u.account = v.cat_1 and v.att_agrid = '17'</v>
      </c>
    </row>
    <row r="1301" spans="1:33" hidden="1" outlineLevel="1" x14ac:dyDescent="0.25">
      <c r="A1301" t="str">
        <f>CONCATENATE("sql left outer join agldescription d on d.client = u.client and d.dim_value = t.dim_c and d.attribute_id = '",$F$162,"'")</f>
        <v>sql left outer join agldescription d on d.client = u.client and d.dim_value = t.dim_c and d.attribute_id = '82'</v>
      </c>
    </row>
    <row r="1302" spans="1:33" hidden="1" outlineLevel="1" x14ac:dyDescent="0.25">
      <c r="A1302" t="str">
        <f>CONCATENATE("sql left outer join agldescription e on e.client = u.client and e.dim_value = t.dim_b and e.attribute_id = '",$F$163,"'")</f>
        <v>sql left outer join agldescription e on e.client = u.client and e.dim_value = t.dim_b and e.attribute_id = '81'</v>
      </c>
    </row>
    <row r="1303" spans="1:33" hidden="1" outlineLevel="1" x14ac:dyDescent="0.25">
      <c r="A1303" t="str">
        <f>CONCATENATE("sql left outer join agldescription f on f.client = u.client and f.dim_value = t.dim_e and f.attribute_id = '",$F$164,"'")</f>
        <v>sql left outer join agldescription f on f.client = u.client and f.dim_value = t.dim_e and f.attribute_id = '80'</v>
      </c>
    </row>
    <row r="1304" spans="1:33" hidden="1" outlineLevel="1" x14ac:dyDescent="0.25">
      <c r="A1304" t="str">
        <f>CONCATENATE("sql left outer join agldescription g on g.client = u.client and g.dim_value = u.account and g.attribute_id = '",$F$165,"'")</f>
        <v>sql left outer join agldescription g on g.client = u.client and g.dim_value = u.account and g.attribute_id = 'A0'</v>
      </c>
    </row>
    <row r="1305" spans="1:33" ht="14.5" hidden="1" outlineLevel="1" x14ac:dyDescent="0.35">
      <c r="A1305" s="67" t="s">
        <v>1049</v>
      </c>
      <c r="G1305" s="737" t="s">
        <v>1047</v>
      </c>
    </row>
    <row r="1306" spans="1:33" hidden="1" outlineLevel="1" x14ac:dyDescent="0.25">
      <c r="A1306" t="s">
        <v>1005</v>
      </c>
    </row>
    <row r="1307" spans="1:33" hidden="1" outlineLevel="1" x14ac:dyDescent="0.25">
      <c r="A1307" t="s">
        <v>1006</v>
      </c>
    </row>
    <row r="1308" spans="1:33" hidden="1" outlineLevel="1" x14ac:dyDescent="0.25">
      <c r="A1308" t="s">
        <v>1007</v>
      </c>
    </row>
    <row r="1309" spans="1:33" ht="13" hidden="1" outlineLevel="1" x14ac:dyDescent="0.3">
      <c r="A1309" t="s">
        <v>1012</v>
      </c>
      <c r="C1309" s="29"/>
      <c r="D1309" s="36">
        <v>1000</v>
      </c>
      <c r="E1309" s="36">
        <v>1000</v>
      </c>
      <c r="F1309" s="22">
        <v>1000</v>
      </c>
      <c r="G1309" s="22">
        <v>1000</v>
      </c>
      <c r="H1309" s="22">
        <v>1000</v>
      </c>
      <c r="I1309" s="22">
        <v>1000</v>
      </c>
      <c r="J1309" s="22">
        <v>1000</v>
      </c>
      <c r="K1309" s="22">
        <v>1000</v>
      </c>
      <c r="L1309" s="22"/>
      <c r="M1309" s="36"/>
      <c r="N1309" s="36"/>
      <c r="O1309" s="36">
        <v>1000</v>
      </c>
      <c r="P1309" s="36">
        <v>1000</v>
      </c>
      <c r="Q1309" s="36">
        <v>1000</v>
      </c>
      <c r="R1309" s="36">
        <v>1000</v>
      </c>
      <c r="S1309" s="36">
        <v>1000</v>
      </c>
      <c r="T1309" s="36"/>
      <c r="U1309" s="36"/>
      <c r="V1309" s="58"/>
      <c r="W1309" s="36">
        <v>1000</v>
      </c>
      <c r="X1309" s="36">
        <v>1000</v>
      </c>
      <c r="Y1309" s="36"/>
      <c r="Z1309" s="36"/>
      <c r="AA1309" s="40"/>
      <c r="AB1309" s="60"/>
      <c r="AC1309" s="98"/>
      <c r="AD1309" s="36"/>
      <c r="AE1309" s="36"/>
      <c r="AF1309" s="36"/>
      <c r="AG1309" s="99"/>
    </row>
    <row r="1310" spans="1:33" ht="13" hidden="1" outlineLevel="1" x14ac:dyDescent="0.3">
      <c r="A1310" s="7" t="s">
        <v>1013</v>
      </c>
      <c r="C1310" s="29"/>
      <c r="D1310" s="36">
        <v>0</v>
      </c>
      <c r="E1310" s="36">
        <v>0</v>
      </c>
      <c r="F1310" s="22">
        <v>0</v>
      </c>
      <c r="G1310" s="22">
        <v>0</v>
      </c>
      <c r="H1310" s="22">
        <v>0</v>
      </c>
      <c r="I1310" s="22">
        <v>0</v>
      </c>
      <c r="J1310" s="22">
        <v>0</v>
      </c>
      <c r="K1310" s="22">
        <v>0</v>
      </c>
      <c r="L1310" s="22"/>
      <c r="M1310" s="36"/>
      <c r="N1310" s="36"/>
      <c r="O1310" s="36">
        <v>0</v>
      </c>
      <c r="P1310" s="36">
        <v>0</v>
      </c>
      <c r="Q1310" s="36">
        <v>0</v>
      </c>
      <c r="R1310" s="36">
        <v>0</v>
      </c>
      <c r="S1310" s="36">
        <v>0</v>
      </c>
      <c r="T1310" s="36"/>
      <c r="U1310" s="36"/>
      <c r="V1310" s="58"/>
      <c r="W1310" s="36">
        <v>0</v>
      </c>
      <c r="X1310" s="36">
        <v>0</v>
      </c>
      <c r="Y1310" s="36"/>
      <c r="Z1310" s="36"/>
      <c r="AA1310" s="40"/>
      <c r="AB1310" s="60"/>
      <c r="AC1310" s="98"/>
      <c r="AD1310" s="36"/>
      <c r="AE1310" s="36"/>
      <c r="AF1310" s="36"/>
      <c r="AG1310" s="99"/>
    </row>
    <row r="1311" spans="1:33" ht="13" hidden="1" outlineLevel="1" x14ac:dyDescent="0.3">
      <c r="A1311" t="s">
        <v>1014</v>
      </c>
      <c r="C1311" s="30"/>
      <c r="D1311" s="36"/>
      <c r="E1311" s="36"/>
      <c r="F1311" s="57"/>
      <c r="G1311" s="57"/>
      <c r="H1311" s="57"/>
      <c r="I1311" s="57"/>
      <c r="J1311" s="57"/>
      <c r="K1311" s="57"/>
      <c r="L1311" s="57"/>
      <c r="M1311" s="36"/>
      <c r="N1311" s="36"/>
      <c r="O1311" s="36"/>
      <c r="P1311" s="36" t="s">
        <v>1015</v>
      </c>
      <c r="Q1311" s="36" t="s">
        <v>1016</v>
      </c>
      <c r="R1311" s="36"/>
      <c r="S1311" s="36"/>
      <c r="T1311" s="36"/>
      <c r="U1311" s="36"/>
      <c r="V1311" s="58"/>
      <c r="W1311" s="36"/>
      <c r="X1311" s="36"/>
      <c r="Y1311" s="36"/>
      <c r="Z1311" s="36"/>
      <c r="AA1311" s="40"/>
      <c r="AB1311" s="60"/>
      <c r="AC1311" s="98"/>
      <c r="AD1311" s="36"/>
      <c r="AE1311" s="36"/>
      <c r="AF1311" s="36"/>
      <c r="AG1311" s="99"/>
    </row>
    <row r="1312" spans="1:33" ht="13" hidden="1" outlineLevel="1" x14ac:dyDescent="0.3">
      <c r="A1312" t="s">
        <v>1017</v>
      </c>
      <c r="C1312" s="31"/>
      <c r="D1312" s="36" t="s">
        <v>1019</v>
      </c>
      <c r="E1312" s="36" t="s">
        <v>1020</v>
      </c>
      <c r="F1312" s="22" t="s">
        <v>1021</v>
      </c>
      <c r="G1312" s="22" t="s">
        <v>1022</v>
      </c>
      <c r="H1312" s="22" t="s">
        <v>1023</v>
      </c>
      <c r="I1312" s="22" t="s">
        <v>1024</v>
      </c>
      <c r="J1312" s="22" t="s">
        <v>1025</v>
      </c>
      <c r="K1312" s="22" t="s">
        <v>1026</v>
      </c>
      <c r="L1312" s="22"/>
      <c r="M1312" s="36"/>
      <c r="N1312" s="36"/>
      <c r="O1312" s="36" t="s">
        <v>1027</v>
      </c>
      <c r="P1312" s="36" t="s">
        <v>1028</v>
      </c>
      <c r="Q1312" s="36" t="s">
        <v>1028</v>
      </c>
      <c r="R1312" s="36" t="s">
        <v>1028</v>
      </c>
      <c r="S1312" s="36" t="s">
        <v>1029</v>
      </c>
      <c r="T1312" s="36"/>
      <c r="U1312" s="36"/>
      <c r="V1312" s="58"/>
      <c r="W1312" s="36" t="s">
        <v>1030</v>
      </c>
      <c r="X1312" s="36" t="s">
        <v>1031</v>
      </c>
      <c r="Y1312" s="36"/>
      <c r="Z1312" s="36"/>
      <c r="AA1312" s="40"/>
      <c r="AB1312" s="60"/>
      <c r="AC1312" s="98"/>
      <c r="AD1312" s="36"/>
      <c r="AE1312" s="36"/>
      <c r="AF1312" s="36"/>
      <c r="AG1312" s="99"/>
    </row>
    <row r="1313" spans="1:33" ht="13" hidden="1" outlineLevel="1" x14ac:dyDescent="0.3">
      <c r="A1313" t="s">
        <v>1041</v>
      </c>
      <c r="C1313" s="31" t="s">
        <v>122</v>
      </c>
      <c r="D1313" s="33">
        <v>0</v>
      </c>
      <c r="E1313" s="33">
        <v>0</v>
      </c>
      <c r="F1313" s="23">
        <v>0</v>
      </c>
      <c r="G1313" s="23">
        <v>0</v>
      </c>
      <c r="H1313" s="23">
        <v>0</v>
      </c>
      <c r="I1313" s="23">
        <v>0</v>
      </c>
      <c r="J1313" s="23">
        <v>0</v>
      </c>
      <c r="K1313" s="23">
        <v>0</v>
      </c>
      <c r="L1313" s="23">
        <f>SUM(F1313:K1313)</f>
        <v>0</v>
      </c>
      <c r="M1313" s="33">
        <f>O1313-E1313</f>
        <v>0</v>
      </c>
      <c r="N1313" s="33">
        <f>O1313-D1313</f>
        <v>0</v>
      </c>
      <c r="O1313" s="33">
        <v>0</v>
      </c>
      <c r="P1313" s="33">
        <v>0</v>
      </c>
      <c r="Q1313" s="33">
        <v>0</v>
      </c>
      <c r="R1313" s="33">
        <v>0</v>
      </c>
      <c r="S1313" s="33">
        <v>0</v>
      </c>
      <c r="T1313" s="33">
        <f>R1313-S1313</f>
        <v>0</v>
      </c>
      <c r="U1313" s="38" t="str">
        <f>IFERROR((R1313/O1313)*100%,"∞")</f>
        <v>∞</v>
      </c>
      <c r="V1313" s="59">
        <f>O1313+W1313</f>
        <v>0</v>
      </c>
      <c r="W1313" s="33">
        <v>0</v>
      </c>
      <c r="X1313" s="33">
        <v>0</v>
      </c>
      <c r="Y1313" s="33"/>
      <c r="Z1313" s="33"/>
      <c r="AA1313" s="42"/>
      <c r="AB1313" s="60"/>
      <c r="AC1313" s="105"/>
      <c r="AD1313" s="93"/>
      <c r="AE1313" s="33">
        <f>SUM(AC1313:AD1313)</f>
        <v>0</v>
      </c>
      <c r="AF1313" s="33">
        <f>R1313+AE1313</f>
        <v>0</v>
      </c>
      <c r="AG1313" s="101">
        <f>AF1313-O1313</f>
        <v>0</v>
      </c>
    </row>
    <row r="1314" spans="1:33" hidden="1" outlineLevel="1" x14ac:dyDescent="0.25">
      <c r="A1314" t="s">
        <v>232</v>
      </c>
    </row>
    <row r="1315" spans="1:33" hidden="1" outlineLevel="1" x14ac:dyDescent="0.25">
      <c r="A1315" t="s">
        <v>944</v>
      </c>
      <c r="M1315" s="19"/>
      <c r="N1315" s="19"/>
    </row>
    <row r="1316" spans="1:33" hidden="1" outlineLevel="1" x14ac:dyDescent="0.25">
      <c r="A1316" t="s">
        <v>946</v>
      </c>
      <c r="E1316" s="19"/>
    </row>
    <row r="1317" spans="1:33" hidden="1" outlineLevel="1" x14ac:dyDescent="0.25">
      <c r="A1317" t="s">
        <v>947</v>
      </c>
      <c r="E1317" s="19"/>
      <c r="F1317" s="19"/>
    </row>
    <row r="1318" spans="1:33" ht="13" hidden="1" outlineLevel="1" x14ac:dyDescent="0.3">
      <c r="A1318" s="20" t="s">
        <v>948</v>
      </c>
    </row>
    <row r="1319" spans="1:33" hidden="1" outlineLevel="1" x14ac:dyDescent="0.25">
      <c r="A1319" s="7" t="s">
        <v>949</v>
      </c>
    </row>
    <row r="1320" spans="1:33" hidden="1" outlineLevel="1" x14ac:dyDescent="0.25">
      <c r="A1320" t="s">
        <v>950</v>
      </c>
    </row>
    <row r="1321" spans="1:33" hidden="1" outlineLevel="1" x14ac:dyDescent="0.25">
      <c r="A1321" t="s">
        <v>951</v>
      </c>
    </row>
    <row r="1322" spans="1:33" ht="13" hidden="1" outlineLevel="1" x14ac:dyDescent="0.3">
      <c r="A1322" s="21" t="str">
        <f>CONCATENATE("sql where a.client = '",$D$172,"' and a.period between '",LEFT($D$170,4),"00' and '",LEFT($D$171,4),"14' and a.version like '%ORIG%'")</f>
        <v>sql where a.client = 'OX' and a.period between '202500' and '202514' and a.version like '%ORIG%'</v>
      </c>
    </row>
    <row r="1323" spans="1:33" hidden="1" outlineLevel="1" x14ac:dyDescent="0.25">
      <c r="A1323" t="s">
        <v>952</v>
      </c>
    </row>
    <row r="1324" spans="1:33" hidden="1" outlineLevel="1" x14ac:dyDescent="0.25">
      <c r="A1324" t="s">
        <v>953</v>
      </c>
    </row>
    <row r="1325" spans="1:33" hidden="1" outlineLevel="1" x14ac:dyDescent="0.25">
      <c r="A1325" t="s">
        <v>954</v>
      </c>
    </row>
    <row r="1326" spans="1:33" ht="13" hidden="1" outlineLevel="1" x14ac:dyDescent="0.3">
      <c r="A1326" s="20" t="s">
        <v>955</v>
      </c>
    </row>
    <row r="1327" spans="1:33" hidden="1" outlineLevel="1" x14ac:dyDescent="0.25">
      <c r="A1327" s="7" t="s">
        <v>956</v>
      </c>
    </row>
    <row r="1328" spans="1:33" hidden="1" outlineLevel="1" x14ac:dyDescent="0.25">
      <c r="A1328" t="s">
        <v>950</v>
      </c>
    </row>
    <row r="1329" spans="1:3" hidden="1" outlineLevel="1" x14ac:dyDescent="0.25">
      <c r="A1329" t="s">
        <v>951</v>
      </c>
    </row>
    <row r="1330" spans="1:3" ht="14.5" hidden="1" outlineLevel="1" x14ac:dyDescent="0.35">
      <c r="A1330"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330" s="2"/>
    </row>
    <row r="1331" spans="1:3" hidden="1" outlineLevel="1" x14ac:dyDescent="0.25">
      <c r="A1331" t="s">
        <v>952</v>
      </c>
    </row>
    <row r="1332" spans="1:3" hidden="1" outlineLevel="1" x14ac:dyDescent="0.25">
      <c r="A1332" t="s">
        <v>953</v>
      </c>
    </row>
    <row r="1333" spans="1:3" hidden="1" outlineLevel="1" x14ac:dyDescent="0.25">
      <c r="A1333" t="s">
        <v>954</v>
      </c>
    </row>
    <row r="1334" spans="1:3" ht="13" hidden="1" outlineLevel="1" x14ac:dyDescent="0.3">
      <c r="A1334" s="66" t="s">
        <v>957</v>
      </c>
    </row>
    <row r="1335" spans="1:3" hidden="1" outlineLevel="1" x14ac:dyDescent="0.25">
      <c r="A1335" t="s">
        <v>958</v>
      </c>
    </row>
    <row r="1336" spans="1:3" hidden="1" outlineLevel="1" x14ac:dyDescent="0.25">
      <c r="A1336" t="s">
        <v>950</v>
      </c>
    </row>
    <row r="1337" spans="1:3" ht="13" hidden="1" outlineLevel="1" x14ac:dyDescent="0.3">
      <c r="A133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338" spans="1:3" ht="13" hidden="1" outlineLevel="1" x14ac:dyDescent="0.3">
      <c r="A1338" s="21" t="s">
        <v>959</v>
      </c>
    </row>
    <row r="1339" spans="1:3" hidden="1" outlineLevel="1" x14ac:dyDescent="0.25">
      <c r="A1339" t="s">
        <v>960</v>
      </c>
    </row>
    <row r="1340" spans="1:3" hidden="1" outlineLevel="1" x14ac:dyDescent="0.25">
      <c r="A1340" t="s">
        <v>961</v>
      </c>
    </row>
    <row r="1341" spans="1:3" hidden="1" outlineLevel="1" x14ac:dyDescent="0.25">
      <c r="A1341" t="str">
        <f>CONCATENATE("sql left outer join acrtrees t on t.client = x.client and x.dim_1 = t.cat_1 and t.att_agrid = '",$F$159,"'")</f>
        <v>sql left outer join acrtrees t on t.client = x.client and x.dim_1 = t.cat_1 and t.att_agrid = '53'</v>
      </c>
    </row>
    <row r="1342" spans="1:3" ht="13" hidden="1" outlineLevel="1" x14ac:dyDescent="0.3">
      <c r="A134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343" spans="1:3" ht="13" hidden="1" outlineLevel="1" x14ac:dyDescent="0.3">
      <c r="A1343" s="21" t="s">
        <v>962</v>
      </c>
    </row>
    <row r="1344" spans="1:3" ht="13" hidden="1" outlineLevel="1" x14ac:dyDescent="0.3">
      <c r="A1344"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345" spans="1:1" ht="13" hidden="1" outlineLevel="1" x14ac:dyDescent="0.3">
      <c r="A1345" s="21" t="s">
        <v>963</v>
      </c>
    </row>
    <row r="1346" spans="1:1" hidden="1" outlineLevel="1" x14ac:dyDescent="0.25">
      <c r="A1346" t="s">
        <v>964</v>
      </c>
    </row>
    <row r="1347" spans="1:1" hidden="1" outlineLevel="1" x14ac:dyDescent="0.25">
      <c r="A1347" t="s">
        <v>965</v>
      </c>
    </row>
    <row r="1348" spans="1:1" hidden="1" outlineLevel="1" x14ac:dyDescent="0.25">
      <c r="A1348" t="s">
        <v>966</v>
      </c>
    </row>
    <row r="1349" spans="1:1" hidden="1" outlineLevel="1" x14ac:dyDescent="0.25">
      <c r="A1349" t="s">
        <v>953</v>
      </c>
    </row>
    <row r="1350" spans="1:1" hidden="1" outlineLevel="1" x14ac:dyDescent="0.25">
      <c r="A1350" t="s">
        <v>954</v>
      </c>
    </row>
    <row r="1351" spans="1:1" ht="13" hidden="1" outlineLevel="1" x14ac:dyDescent="0.3">
      <c r="A1351" s="66" t="s">
        <v>967</v>
      </c>
    </row>
    <row r="1352" spans="1:1" hidden="1" outlineLevel="1" x14ac:dyDescent="0.25">
      <c r="A1352" t="s">
        <v>968</v>
      </c>
    </row>
    <row r="1353" spans="1:1" hidden="1" outlineLevel="1" x14ac:dyDescent="0.25">
      <c r="A1353" t="s">
        <v>950</v>
      </c>
    </row>
    <row r="1354" spans="1:1" ht="13" hidden="1" outlineLevel="1" x14ac:dyDescent="0.3">
      <c r="A135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355" spans="1:1" ht="13" hidden="1" outlineLevel="1" x14ac:dyDescent="0.3">
      <c r="A1355" s="21" t="s">
        <v>969</v>
      </c>
    </row>
    <row r="1356" spans="1:1" ht="13" hidden="1" outlineLevel="1" x14ac:dyDescent="0.3">
      <c r="A1356" s="21" t="s">
        <v>959</v>
      </c>
    </row>
    <row r="1357" spans="1:1" hidden="1" outlineLevel="1" x14ac:dyDescent="0.25">
      <c r="A1357" t="s">
        <v>960</v>
      </c>
    </row>
    <row r="1358" spans="1:1" hidden="1" outlineLevel="1" x14ac:dyDescent="0.25">
      <c r="A1358" t="s">
        <v>961</v>
      </c>
    </row>
    <row r="1359" spans="1:1" hidden="1" outlineLevel="1" x14ac:dyDescent="0.25">
      <c r="A1359" t="str">
        <f>CONCATENATE("sql left outer join acrtrees t on t.client = x.client and x.dim_1 = t.cat_1 and t.att_agrid = '",$F$159,"'")</f>
        <v>sql left outer join acrtrees t on t.client = x.client and x.dim_1 = t.cat_1 and t.att_agrid = '53'</v>
      </c>
    </row>
    <row r="1360" spans="1:1" ht="13" hidden="1" outlineLevel="1" x14ac:dyDescent="0.3">
      <c r="A136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361" spans="1:1" ht="13" hidden="1" outlineLevel="1" x14ac:dyDescent="0.3">
      <c r="A1361" s="21" t="s">
        <v>970</v>
      </c>
    </row>
    <row r="1362" spans="1:1" ht="13" hidden="1" outlineLevel="1" x14ac:dyDescent="0.3">
      <c r="A1362" s="21" t="s">
        <v>962</v>
      </c>
    </row>
    <row r="1363" spans="1:1" ht="13" hidden="1" outlineLevel="1" x14ac:dyDescent="0.3">
      <c r="A1363"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364" spans="1:1" ht="13" hidden="1" outlineLevel="1" x14ac:dyDescent="0.3">
      <c r="A1364" s="21" t="s">
        <v>970</v>
      </c>
    </row>
    <row r="1365" spans="1:1" ht="13" hidden="1" outlineLevel="1" x14ac:dyDescent="0.3">
      <c r="A1365" s="21" t="s">
        <v>963</v>
      </c>
    </row>
    <row r="1366" spans="1:1" hidden="1" outlineLevel="1" x14ac:dyDescent="0.25">
      <c r="A1366" t="s">
        <v>964</v>
      </c>
    </row>
    <row r="1367" spans="1:1" hidden="1" outlineLevel="1" x14ac:dyDescent="0.25">
      <c r="A1367" t="s">
        <v>965</v>
      </c>
    </row>
    <row r="1368" spans="1:1" hidden="1" outlineLevel="1" x14ac:dyDescent="0.25">
      <c r="A1368" t="s">
        <v>966</v>
      </c>
    </row>
    <row r="1369" spans="1:1" hidden="1" outlineLevel="1" x14ac:dyDescent="0.25">
      <c r="A1369" t="s">
        <v>953</v>
      </c>
    </row>
    <row r="1370" spans="1:1" hidden="1" outlineLevel="1" x14ac:dyDescent="0.25">
      <c r="A1370" t="s">
        <v>954</v>
      </c>
    </row>
    <row r="1371" spans="1:1" ht="13" hidden="1" outlineLevel="1" x14ac:dyDescent="0.3">
      <c r="A1371" s="66" t="s">
        <v>971</v>
      </c>
    </row>
    <row r="1372" spans="1:1" hidden="1" outlineLevel="1" x14ac:dyDescent="0.25">
      <c r="A1372" t="s">
        <v>972</v>
      </c>
    </row>
    <row r="1373" spans="1:1" hidden="1" outlineLevel="1" x14ac:dyDescent="0.25">
      <c r="A1373" t="s">
        <v>950</v>
      </c>
    </row>
    <row r="1374" spans="1:1" ht="13" hidden="1" outlineLevel="1" x14ac:dyDescent="0.3">
      <c r="A137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375" spans="1:1" ht="13" hidden="1" outlineLevel="1" x14ac:dyDescent="0.3">
      <c r="A1375" s="21" t="s">
        <v>959</v>
      </c>
    </row>
    <row r="1376" spans="1:1" hidden="1" outlineLevel="1" x14ac:dyDescent="0.25">
      <c r="A1376" t="s">
        <v>960</v>
      </c>
    </row>
    <row r="1377" spans="1:1" hidden="1" outlineLevel="1" x14ac:dyDescent="0.25">
      <c r="A1377" t="s">
        <v>961</v>
      </c>
    </row>
    <row r="1378" spans="1:1" hidden="1" outlineLevel="1" x14ac:dyDescent="0.25">
      <c r="A1378" t="str">
        <f>CONCATENATE("sql left outer join acrtrees t on t.client = x.client and x.dim_1 = t.cat_1 and t.att_agrid = '",$F$159,"'")</f>
        <v>sql left outer join acrtrees t on t.client = x.client and x.dim_1 = t.cat_1 and t.att_agrid = '53'</v>
      </c>
    </row>
    <row r="1379" spans="1:1" ht="13" hidden="1" outlineLevel="1" x14ac:dyDescent="0.3">
      <c r="A137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380" spans="1:1" ht="13" hidden="1" outlineLevel="1" x14ac:dyDescent="0.3">
      <c r="A1380" s="21" t="s">
        <v>973</v>
      </c>
    </row>
    <row r="1381" spans="1:1" hidden="1" outlineLevel="1" x14ac:dyDescent="0.25">
      <c r="A1381" t="s">
        <v>964</v>
      </c>
    </row>
    <row r="1382" spans="1:1" hidden="1" outlineLevel="1" x14ac:dyDescent="0.25">
      <c r="A1382" t="s">
        <v>965</v>
      </c>
    </row>
    <row r="1383" spans="1:1" hidden="1" outlineLevel="1" x14ac:dyDescent="0.25">
      <c r="A1383" t="s">
        <v>966</v>
      </c>
    </row>
    <row r="1384" spans="1:1" hidden="1" outlineLevel="1" x14ac:dyDescent="0.25">
      <c r="A1384" t="s">
        <v>953</v>
      </c>
    </row>
    <row r="1385" spans="1:1" hidden="1" outlineLevel="1" x14ac:dyDescent="0.25">
      <c r="A1385" t="s">
        <v>954</v>
      </c>
    </row>
    <row r="1386" spans="1:1" ht="13" hidden="1" outlineLevel="1" x14ac:dyDescent="0.3">
      <c r="A1386" s="66" t="s">
        <v>974</v>
      </c>
    </row>
    <row r="1387" spans="1:1" hidden="1" outlineLevel="1" x14ac:dyDescent="0.25">
      <c r="A1387" t="s">
        <v>975</v>
      </c>
    </row>
    <row r="1388" spans="1:1" hidden="1" outlineLevel="1" x14ac:dyDescent="0.25">
      <c r="A1388" t="s">
        <v>950</v>
      </c>
    </row>
    <row r="1389" spans="1:1" ht="13" hidden="1" outlineLevel="1" x14ac:dyDescent="0.3">
      <c r="A138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390" spans="1:1" ht="13" hidden="1" outlineLevel="1" x14ac:dyDescent="0.3">
      <c r="A1390" s="21" t="s">
        <v>959</v>
      </c>
    </row>
    <row r="1391" spans="1:1" hidden="1" outlineLevel="1" x14ac:dyDescent="0.25">
      <c r="A1391" t="s">
        <v>960</v>
      </c>
    </row>
    <row r="1392" spans="1:1" hidden="1" outlineLevel="1" x14ac:dyDescent="0.25">
      <c r="A1392" t="s">
        <v>961</v>
      </c>
    </row>
    <row r="1393" spans="1:1" hidden="1" outlineLevel="1" x14ac:dyDescent="0.25">
      <c r="A1393" t="str">
        <f>CONCATENATE("sql left outer join acrtrees t on t.client = x.client and x.dim_1 = t.cat_1 and t.att_agrid = '",$F$159,"'")</f>
        <v>sql left outer join acrtrees t on t.client = x.client and x.dim_1 = t.cat_1 and t.att_agrid = '53'</v>
      </c>
    </row>
    <row r="1394" spans="1:1" ht="13" hidden="1" outlineLevel="1" x14ac:dyDescent="0.3">
      <c r="A139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395" spans="1:1" ht="13" hidden="1" outlineLevel="1" x14ac:dyDescent="0.3">
      <c r="A1395" s="21" t="s">
        <v>973</v>
      </c>
    </row>
    <row r="1396" spans="1:1" hidden="1" outlineLevel="1" x14ac:dyDescent="0.25">
      <c r="A1396" t="s">
        <v>964</v>
      </c>
    </row>
    <row r="1397" spans="1:1" hidden="1" outlineLevel="1" x14ac:dyDescent="0.25">
      <c r="A1397" t="s">
        <v>965</v>
      </c>
    </row>
    <row r="1398" spans="1:1" hidden="1" outlineLevel="1" x14ac:dyDescent="0.25">
      <c r="A1398" t="s">
        <v>966</v>
      </c>
    </row>
    <row r="1399" spans="1:1" hidden="1" outlineLevel="1" x14ac:dyDescent="0.25">
      <c r="A1399" t="s">
        <v>953</v>
      </c>
    </row>
    <row r="1400" spans="1:1" hidden="1" outlineLevel="1" x14ac:dyDescent="0.25">
      <c r="A1400" t="s">
        <v>954</v>
      </c>
    </row>
    <row r="1401" spans="1:1" ht="13" hidden="1" outlineLevel="1" x14ac:dyDescent="0.3">
      <c r="A1401" s="66" t="s">
        <v>976</v>
      </c>
    </row>
    <row r="1402" spans="1:1" hidden="1" outlineLevel="1" x14ac:dyDescent="0.25">
      <c r="A1402" t="s">
        <v>977</v>
      </c>
    </row>
    <row r="1403" spans="1:1" hidden="1" outlineLevel="1" x14ac:dyDescent="0.25">
      <c r="A1403" t="s">
        <v>950</v>
      </c>
    </row>
    <row r="1404" spans="1:1" ht="13" hidden="1" outlineLevel="1" x14ac:dyDescent="0.3">
      <c r="A140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405" spans="1:1" ht="13" hidden="1" outlineLevel="1" x14ac:dyDescent="0.3">
      <c r="A1405" s="21" t="s">
        <v>959</v>
      </c>
    </row>
    <row r="1406" spans="1:1" hidden="1" outlineLevel="1" x14ac:dyDescent="0.25">
      <c r="A1406" t="s">
        <v>960</v>
      </c>
    </row>
    <row r="1407" spans="1:1" hidden="1" outlineLevel="1" x14ac:dyDescent="0.25">
      <c r="A1407" t="s">
        <v>961</v>
      </c>
    </row>
    <row r="1408" spans="1:1" hidden="1" outlineLevel="1" x14ac:dyDescent="0.25">
      <c r="A1408" t="str">
        <f>CONCATENATE("sql left outer join acrtrees t on t.client = x.client and x.dim_1 = t.cat_1 and t.att_agrid = '",$F$159,"'")</f>
        <v>sql left outer join acrtrees t on t.client = x.client and x.dim_1 = t.cat_1 and t.att_agrid = '53'</v>
      </c>
    </row>
    <row r="1409" spans="1:1" ht="13" hidden="1" outlineLevel="1" x14ac:dyDescent="0.3">
      <c r="A140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410" spans="1:1" ht="13" hidden="1" outlineLevel="1" x14ac:dyDescent="0.3">
      <c r="A1410" s="21" t="s">
        <v>978</v>
      </c>
    </row>
    <row r="1411" spans="1:1" hidden="1" outlineLevel="1" x14ac:dyDescent="0.25">
      <c r="A1411" t="s">
        <v>979</v>
      </c>
    </row>
    <row r="1412" spans="1:1" hidden="1" outlineLevel="1" x14ac:dyDescent="0.25">
      <c r="A1412" t="s">
        <v>980</v>
      </c>
    </row>
    <row r="1413" spans="1:1" hidden="1" outlineLevel="1" x14ac:dyDescent="0.25">
      <c r="A1413" t="s">
        <v>966</v>
      </c>
    </row>
    <row r="1414" spans="1:1" hidden="1" outlineLevel="1" x14ac:dyDescent="0.25">
      <c r="A1414" t="s">
        <v>953</v>
      </c>
    </row>
    <row r="1415" spans="1:1" hidden="1" outlineLevel="1" x14ac:dyDescent="0.25">
      <c r="A1415" t="s">
        <v>954</v>
      </c>
    </row>
    <row r="1416" spans="1:1" ht="13" hidden="1" outlineLevel="1" x14ac:dyDescent="0.3">
      <c r="A1416" s="66" t="s">
        <v>981</v>
      </c>
    </row>
    <row r="1417" spans="1:1" hidden="1" outlineLevel="1" x14ac:dyDescent="0.25">
      <c r="A1417" t="s">
        <v>982</v>
      </c>
    </row>
    <row r="1418" spans="1:1" hidden="1" outlineLevel="1" x14ac:dyDescent="0.25">
      <c r="A1418" t="s">
        <v>950</v>
      </c>
    </row>
    <row r="1419" spans="1:1" ht="13" hidden="1" outlineLevel="1" x14ac:dyDescent="0.3">
      <c r="A141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420" spans="1:1" ht="13" hidden="1" outlineLevel="1" x14ac:dyDescent="0.3">
      <c r="A1420" s="21" t="s">
        <v>969</v>
      </c>
    </row>
    <row r="1421" spans="1:1" ht="13" hidden="1" outlineLevel="1" x14ac:dyDescent="0.3">
      <c r="A1421" s="21" t="s">
        <v>959</v>
      </c>
    </row>
    <row r="1422" spans="1:1" hidden="1" outlineLevel="1" x14ac:dyDescent="0.25">
      <c r="A1422" t="s">
        <v>960</v>
      </c>
    </row>
    <row r="1423" spans="1:1" hidden="1" outlineLevel="1" x14ac:dyDescent="0.25">
      <c r="A1423" t="s">
        <v>961</v>
      </c>
    </row>
    <row r="1424" spans="1:1" hidden="1" outlineLevel="1" x14ac:dyDescent="0.25">
      <c r="A1424" t="str">
        <f>CONCATENATE("sql left outer join acrtrees t on t.client = x.client and x.dim_1 = t.cat_1 and t.att_agrid = '",$F$159,"'")</f>
        <v>sql left outer join acrtrees t on t.client = x.client and x.dim_1 = t.cat_1 and t.att_agrid = '53'</v>
      </c>
    </row>
    <row r="1425" spans="1:3" ht="13" hidden="1" outlineLevel="1" x14ac:dyDescent="0.3">
      <c r="A142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426" spans="1:3" ht="13" hidden="1" outlineLevel="1" x14ac:dyDescent="0.3">
      <c r="A1426" s="21" t="s">
        <v>970</v>
      </c>
    </row>
    <row r="1427" spans="1:3" ht="13" hidden="1" outlineLevel="1" x14ac:dyDescent="0.3">
      <c r="A1427" s="21" t="s">
        <v>978</v>
      </c>
    </row>
    <row r="1428" spans="1:3" hidden="1" outlineLevel="1" x14ac:dyDescent="0.25">
      <c r="A1428" t="s">
        <v>979</v>
      </c>
    </row>
    <row r="1429" spans="1:3" hidden="1" outlineLevel="1" x14ac:dyDescent="0.25">
      <c r="A1429" t="s">
        <v>980</v>
      </c>
    </row>
    <row r="1430" spans="1:3" hidden="1" outlineLevel="1" x14ac:dyDescent="0.25">
      <c r="A1430" t="s">
        <v>966</v>
      </c>
    </row>
    <row r="1431" spans="1:3" hidden="1" outlineLevel="1" x14ac:dyDescent="0.25">
      <c r="A1431" t="s">
        <v>953</v>
      </c>
    </row>
    <row r="1432" spans="1:3" hidden="1" outlineLevel="1" x14ac:dyDescent="0.25">
      <c r="A1432" t="s">
        <v>954</v>
      </c>
    </row>
    <row r="1433" spans="1:3" ht="13" hidden="1" outlineLevel="1" x14ac:dyDescent="0.3">
      <c r="A1433" s="20" t="s">
        <v>983</v>
      </c>
    </row>
    <row r="1434" spans="1:3" hidden="1" outlineLevel="1" x14ac:dyDescent="0.25">
      <c r="A1434" s="7" t="s">
        <v>984</v>
      </c>
    </row>
    <row r="1435" spans="1:3" hidden="1" outlineLevel="1" x14ac:dyDescent="0.25">
      <c r="A1435" t="s">
        <v>950</v>
      </c>
    </row>
    <row r="1436" spans="1:3" hidden="1" outlineLevel="1" x14ac:dyDescent="0.25">
      <c r="A1436" t="s">
        <v>951</v>
      </c>
    </row>
    <row r="1437" spans="1:3" ht="14.5" hidden="1" outlineLevel="1" x14ac:dyDescent="0.35">
      <c r="A1437"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437" s="2"/>
    </row>
    <row r="1438" spans="1:3" hidden="1" outlineLevel="1" x14ac:dyDescent="0.25">
      <c r="A1438" t="s">
        <v>952</v>
      </c>
    </row>
    <row r="1439" spans="1:3" hidden="1" outlineLevel="1" x14ac:dyDescent="0.25">
      <c r="A1439" t="s">
        <v>953</v>
      </c>
    </row>
    <row r="1440" spans="1:3" hidden="1" outlineLevel="1" x14ac:dyDescent="0.25">
      <c r="A1440" t="s">
        <v>954</v>
      </c>
    </row>
    <row r="1441" spans="1:1" ht="13" hidden="1" outlineLevel="1" x14ac:dyDescent="0.3">
      <c r="A1441" s="20" t="s">
        <v>985</v>
      </c>
    </row>
    <row r="1442" spans="1:1" hidden="1" outlineLevel="1" x14ac:dyDescent="0.25">
      <c r="A1442" s="7" t="s">
        <v>986</v>
      </c>
    </row>
    <row r="1443" spans="1:1" hidden="1" outlineLevel="1" x14ac:dyDescent="0.25">
      <c r="A1443" t="s">
        <v>987</v>
      </c>
    </row>
    <row r="1444" spans="1:1" ht="13" hidden="1" outlineLevel="1" x14ac:dyDescent="0.3">
      <c r="A1444" s="21" t="str">
        <f>CONCATENATE("sql where a.client = '",$D$172,"' and a.period between '",LEFT($D$170,4),"00' and '",IF(RIGHT($D$171,2)="12",CONCATENATE(LEFT($D$171,4),"14"),$D$171),"'")</f>
        <v>sql where a.client = 'OX' and a.period between '202500' and '202506'</v>
      </c>
    </row>
    <row r="1445" spans="1:1" hidden="1" outlineLevel="1" x14ac:dyDescent="0.25">
      <c r="A1445" t="s">
        <v>952</v>
      </c>
    </row>
    <row r="1446" spans="1:1" hidden="1" outlineLevel="1" x14ac:dyDescent="0.25">
      <c r="A1446" t="s">
        <v>953</v>
      </c>
    </row>
    <row r="1447" spans="1:1" hidden="1" outlineLevel="1" x14ac:dyDescent="0.25">
      <c r="A1447" t="s">
        <v>954</v>
      </c>
    </row>
    <row r="1448" spans="1:1" ht="13" hidden="1" outlineLevel="1" x14ac:dyDescent="0.3">
      <c r="A1448" s="20" t="s">
        <v>988</v>
      </c>
    </row>
    <row r="1449" spans="1:1" hidden="1" outlineLevel="1" x14ac:dyDescent="0.25">
      <c r="A1449" s="7" t="s">
        <v>989</v>
      </c>
    </row>
    <row r="1450" spans="1:1" hidden="1" outlineLevel="1" x14ac:dyDescent="0.25">
      <c r="A1450" t="s">
        <v>950</v>
      </c>
    </row>
    <row r="1451" spans="1:1" hidden="1" outlineLevel="1" x14ac:dyDescent="0.25">
      <c r="A1451" t="s">
        <v>951</v>
      </c>
    </row>
    <row r="1452" spans="1:1" ht="13" hidden="1" outlineLevel="1" x14ac:dyDescent="0.3">
      <c r="A1452"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453" spans="1:1" hidden="1" outlineLevel="1" x14ac:dyDescent="0.25">
      <c r="A1453" t="s">
        <v>952</v>
      </c>
    </row>
    <row r="1454" spans="1:1" hidden="1" outlineLevel="1" x14ac:dyDescent="0.25">
      <c r="A1454" t="s">
        <v>953</v>
      </c>
    </row>
    <row r="1455" spans="1:1" hidden="1" outlineLevel="1" x14ac:dyDescent="0.25">
      <c r="A1455" t="s">
        <v>954</v>
      </c>
    </row>
    <row r="1456" spans="1:1" ht="13" hidden="1" outlineLevel="1" x14ac:dyDescent="0.3">
      <c r="A1456" s="20" t="s">
        <v>990</v>
      </c>
    </row>
    <row r="1457" spans="1:1" hidden="1" outlineLevel="1" x14ac:dyDescent="0.25">
      <c r="A1457" s="7" t="s">
        <v>991</v>
      </c>
    </row>
    <row r="1458" spans="1:1" hidden="1" outlineLevel="1" x14ac:dyDescent="0.25">
      <c r="A1458" t="s">
        <v>950</v>
      </c>
    </row>
    <row r="1459" spans="1:1" hidden="1" outlineLevel="1" x14ac:dyDescent="0.25">
      <c r="A1459" t="s">
        <v>951</v>
      </c>
    </row>
    <row r="1460" spans="1:1" ht="13" hidden="1" outlineLevel="1" x14ac:dyDescent="0.3">
      <c r="A146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461" spans="1:1" hidden="1" outlineLevel="1" x14ac:dyDescent="0.25">
      <c r="A1461" t="s">
        <v>952</v>
      </c>
    </row>
    <row r="1462" spans="1:1" hidden="1" outlineLevel="1" x14ac:dyDescent="0.25">
      <c r="A1462" t="s">
        <v>953</v>
      </c>
    </row>
    <row r="1463" spans="1:1" hidden="1" outlineLevel="1" x14ac:dyDescent="0.25">
      <c r="A1463" t="s">
        <v>954</v>
      </c>
    </row>
    <row r="1464" spans="1:1" ht="13" hidden="1" outlineLevel="1" x14ac:dyDescent="0.3">
      <c r="A1464" s="20" t="s">
        <v>992</v>
      </c>
    </row>
    <row r="1465" spans="1:1" hidden="1" outlineLevel="1" x14ac:dyDescent="0.25">
      <c r="A1465" s="7" t="s">
        <v>993</v>
      </c>
    </row>
    <row r="1466" spans="1:1" hidden="1" outlineLevel="1" x14ac:dyDescent="0.25">
      <c r="A1466" t="s">
        <v>950</v>
      </c>
    </row>
    <row r="1467" spans="1:1" hidden="1" outlineLevel="1" x14ac:dyDescent="0.25">
      <c r="A1467" t="s">
        <v>951</v>
      </c>
    </row>
    <row r="1468" spans="1:1" ht="13" hidden="1" outlineLevel="1" x14ac:dyDescent="0.3">
      <c r="A146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469" spans="1:1" hidden="1" outlineLevel="1" x14ac:dyDescent="0.25">
      <c r="A1469" t="s">
        <v>952</v>
      </c>
    </row>
    <row r="1470" spans="1:1" hidden="1" outlineLevel="1" x14ac:dyDescent="0.25">
      <c r="A1470" t="s">
        <v>953</v>
      </c>
    </row>
    <row r="1471" spans="1:1" hidden="1" outlineLevel="1" x14ac:dyDescent="0.25">
      <c r="A1471" t="s">
        <v>994</v>
      </c>
    </row>
    <row r="1472" spans="1:1" hidden="1" outlineLevel="1" x14ac:dyDescent="0.25">
      <c r="A1472" t="str">
        <f>CONCATENATE("sql left outer join acrtrees t on t.client = u.client and u.dim_1 = t.cat_1 and t.att_agrid = '",$F$159,"'")</f>
        <v>sql left outer join acrtrees t on t.client = u.client and u.dim_1 = t.cat_1 and t.att_agrid = '53'</v>
      </c>
    </row>
    <row r="1473" spans="1:33" hidden="1" outlineLevel="1" x14ac:dyDescent="0.25">
      <c r="A1473" t="str">
        <f>CONCATENATE("sql left outer join acrtrees s on s.client = u.client and u.account = s.cat_1 and s.att_agrid = '",$F$160,"'")</f>
        <v>sql left outer join acrtrees s on s.client = u.client and u.account = s.cat_1 and s.att_agrid = '14'</v>
      </c>
    </row>
    <row r="1474" spans="1:33" hidden="1" outlineLevel="1" x14ac:dyDescent="0.25">
      <c r="A1474" t="str">
        <f>CONCATENATE("sql left outer join acrtrees v on v.client = u.client and u.account = v.cat_1 and v.att_agrid = '",$F$161,"'")</f>
        <v>sql left outer join acrtrees v on v.client = u.client and u.account = v.cat_1 and v.att_agrid = '17'</v>
      </c>
    </row>
    <row r="1475" spans="1:33" hidden="1" outlineLevel="1" x14ac:dyDescent="0.25">
      <c r="A1475" t="str">
        <f>CONCATENATE("sql left outer join agldescription d on d.client = u.client and d.dim_value = t.dim_c and d.attribute_id = '",$F$162,"'")</f>
        <v>sql left outer join agldescription d on d.client = u.client and d.dim_value = t.dim_c and d.attribute_id = '82'</v>
      </c>
    </row>
    <row r="1476" spans="1:33" hidden="1" outlineLevel="1" x14ac:dyDescent="0.25">
      <c r="A1476" t="str">
        <f>CONCATENATE("sql left outer join agldescription e on e.client = u.client and e.dim_value = t.dim_b and e.attribute_id = '",$F$163,"'")</f>
        <v>sql left outer join agldescription e on e.client = u.client and e.dim_value = t.dim_b and e.attribute_id = '81'</v>
      </c>
    </row>
    <row r="1477" spans="1:33" hidden="1" outlineLevel="1" x14ac:dyDescent="0.25">
      <c r="A1477" t="str">
        <f>CONCATENATE("sql left outer join agldescription f on f.client = u.client and f.dim_value = t.dim_e and f.attribute_id = '",$F$164,"'")</f>
        <v>sql left outer join agldescription f on f.client = u.client and f.dim_value = t.dim_e and f.attribute_id = '80'</v>
      </c>
    </row>
    <row r="1478" spans="1:33" hidden="1" outlineLevel="1" x14ac:dyDescent="0.25">
      <c r="A1478" t="str">
        <f>CONCATENATE("sql left outer join agldescription g on g.client = u.client and g.dim_value = u.account and g.attribute_id = '",$F$165,"'")</f>
        <v>sql left outer join agldescription g on g.client = u.client and g.dim_value = u.account and g.attribute_id = 'A0'</v>
      </c>
    </row>
    <row r="1479" spans="1:33" ht="14.5" hidden="1" outlineLevel="1" x14ac:dyDescent="0.35">
      <c r="A1479" s="67" t="s">
        <v>1050</v>
      </c>
      <c r="G1479" s="737" t="s">
        <v>1047</v>
      </c>
    </row>
    <row r="1480" spans="1:33" hidden="1" outlineLevel="1" x14ac:dyDescent="0.25">
      <c r="A1480" t="s">
        <v>1005</v>
      </c>
    </row>
    <row r="1481" spans="1:33" hidden="1" outlineLevel="1" x14ac:dyDescent="0.25">
      <c r="A1481" t="s">
        <v>1006</v>
      </c>
    </row>
    <row r="1482" spans="1:33" hidden="1" outlineLevel="1" x14ac:dyDescent="0.25">
      <c r="A1482" t="s">
        <v>1007</v>
      </c>
    </row>
    <row r="1483" spans="1:33" ht="13" hidden="1" outlineLevel="1" x14ac:dyDescent="0.3">
      <c r="A1483" t="s">
        <v>1012</v>
      </c>
      <c r="C1483" s="29"/>
      <c r="D1483" s="36">
        <v>1000</v>
      </c>
      <c r="E1483" s="36">
        <v>1000</v>
      </c>
      <c r="F1483" s="22">
        <v>1000</v>
      </c>
      <c r="G1483" s="22">
        <v>1000</v>
      </c>
      <c r="H1483" s="22">
        <v>1000</v>
      </c>
      <c r="I1483" s="22">
        <v>1000</v>
      </c>
      <c r="J1483" s="22">
        <v>1000</v>
      </c>
      <c r="K1483" s="22">
        <v>1000</v>
      </c>
      <c r="L1483" s="22"/>
      <c r="M1483" s="36"/>
      <c r="N1483" s="36"/>
      <c r="O1483" s="36">
        <v>1000</v>
      </c>
      <c r="P1483" s="36">
        <v>1000</v>
      </c>
      <c r="Q1483" s="36">
        <v>1000</v>
      </c>
      <c r="R1483" s="36">
        <v>1000</v>
      </c>
      <c r="S1483" s="36">
        <v>1000</v>
      </c>
      <c r="T1483" s="36"/>
      <c r="U1483" s="36"/>
      <c r="V1483" s="58"/>
      <c r="W1483" s="36">
        <v>1000</v>
      </c>
      <c r="X1483" s="36">
        <v>1000</v>
      </c>
      <c r="Y1483" s="36"/>
      <c r="Z1483" s="36"/>
      <c r="AA1483" s="40"/>
      <c r="AB1483" s="60"/>
      <c r="AC1483" s="98"/>
      <c r="AD1483" s="36"/>
      <c r="AE1483" s="36"/>
      <c r="AF1483" s="36"/>
      <c r="AG1483" s="99"/>
    </row>
    <row r="1484" spans="1:33" ht="13" hidden="1" outlineLevel="1" x14ac:dyDescent="0.3">
      <c r="A1484" s="7" t="s">
        <v>1013</v>
      </c>
      <c r="C1484" s="29"/>
      <c r="D1484" s="36">
        <v>0</v>
      </c>
      <c r="E1484" s="36">
        <v>0</v>
      </c>
      <c r="F1484" s="22">
        <v>0</v>
      </c>
      <c r="G1484" s="22">
        <v>0</v>
      </c>
      <c r="H1484" s="22">
        <v>0</v>
      </c>
      <c r="I1484" s="22">
        <v>0</v>
      </c>
      <c r="J1484" s="22">
        <v>0</v>
      </c>
      <c r="K1484" s="22">
        <v>0</v>
      </c>
      <c r="L1484" s="22"/>
      <c r="M1484" s="36"/>
      <c r="N1484" s="36"/>
      <c r="O1484" s="36">
        <v>0</v>
      </c>
      <c r="P1484" s="36">
        <v>0</v>
      </c>
      <c r="Q1484" s="36">
        <v>0</v>
      </c>
      <c r="R1484" s="36">
        <v>0</v>
      </c>
      <c r="S1484" s="36">
        <v>0</v>
      </c>
      <c r="T1484" s="36"/>
      <c r="U1484" s="36"/>
      <c r="V1484" s="58"/>
      <c r="W1484" s="36">
        <v>0</v>
      </c>
      <c r="X1484" s="36">
        <v>0</v>
      </c>
      <c r="Y1484" s="36"/>
      <c r="Z1484" s="36"/>
      <c r="AA1484" s="40"/>
      <c r="AB1484" s="60"/>
      <c r="AC1484" s="98"/>
      <c r="AD1484" s="36"/>
      <c r="AE1484" s="36"/>
      <c r="AF1484" s="36"/>
      <c r="AG1484" s="99"/>
    </row>
    <row r="1485" spans="1:33" ht="13" hidden="1" outlineLevel="1" x14ac:dyDescent="0.3">
      <c r="A1485" t="s">
        <v>1014</v>
      </c>
      <c r="C1485" s="30"/>
      <c r="D1485" s="36"/>
      <c r="E1485" s="36"/>
      <c r="F1485" s="57"/>
      <c r="G1485" s="57"/>
      <c r="H1485" s="57"/>
      <c r="I1485" s="57"/>
      <c r="J1485" s="57"/>
      <c r="K1485" s="57"/>
      <c r="L1485" s="57"/>
      <c r="M1485" s="36"/>
      <c r="N1485" s="36"/>
      <c r="O1485" s="36"/>
      <c r="P1485" s="36" t="s">
        <v>1015</v>
      </c>
      <c r="Q1485" s="36" t="s">
        <v>1016</v>
      </c>
      <c r="R1485" s="36"/>
      <c r="S1485" s="36"/>
      <c r="T1485" s="36"/>
      <c r="U1485" s="36"/>
      <c r="V1485" s="58"/>
      <c r="W1485" s="36"/>
      <c r="X1485" s="36"/>
      <c r="Y1485" s="36"/>
      <c r="Z1485" s="36"/>
      <c r="AA1485" s="40"/>
      <c r="AB1485" s="60"/>
      <c r="AC1485" s="98"/>
      <c r="AD1485" s="36"/>
      <c r="AE1485" s="36"/>
      <c r="AF1485" s="36"/>
      <c r="AG1485" s="99"/>
    </row>
    <row r="1486" spans="1:33" ht="13" hidden="1" outlineLevel="1" x14ac:dyDescent="0.3">
      <c r="A1486" t="s">
        <v>1017</v>
      </c>
      <c r="C1486" s="31"/>
      <c r="D1486" s="36" t="s">
        <v>1019</v>
      </c>
      <c r="E1486" s="36" t="s">
        <v>1020</v>
      </c>
      <c r="F1486" s="22" t="s">
        <v>1021</v>
      </c>
      <c r="G1486" s="22" t="s">
        <v>1022</v>
      </c>
      <c r="H1486" s="22" t="s">
        <v>1023</v>
      </c>
      <c r="I1486" s="22" t="s">
        <v>1024</v>
      </c>
      <c r="J1486" s="22" t="s">
        <v>1025</v>
      </c>
      <c r="K1486" s="22" t="s">
        <v>1026</v>
      </c>
      <c r="L1486" s="22"/>
      <c r="M1486" s="36"/>
      <c r="N1486" s="36"/>
      <c r="O1486" s="36" t="s">
        <v>1027</v>
      </c>
      <c r="P1486" s="36" t="s">
        <v>1028</v>
      </c>
      <c r="Q1486" s="36" t="s">
        <v>1028</v>
      </c>
      <c r="R1486" s="36" t="s">
        <v>1028</v>
      </c>
      <c r="S1486" s="36" t="s">
        <v>1029</v>
      </c>
      <c r="T1486" s="36"/>
      <c r="U1486" s="36"/>
      <c r="V1486" s="58"/>
      <c r="W1486" s="36" t="s">
        <v>1030</v>
      </c>
      <c r="X1486" s="36" t="s">
        <v>1031</v>
      </c>
      <c r="Y1486" s="36"/>
      <c r="Z1486" s="36"/>
      <c r="AA1486" s="40"/>
      <c r="AB1486" s="60"/>
      <c r="AC1486" s="98"/>
      <c r="AD1486" s="36"/>
      <c r="AE1486" s="36"/>
      <c r="AF1486" s="36"/>
      <c r="AG1486" s="99"/>
    </row>
    <row r="1487" spans="1:33" ht="13" hidden="1" outlineLevel="1" x14ac:dyDescent="0.3">
      <c r="A1487" t="s">
        <v>1041</v>
      </c>
      <c r="C1487" s="31" t="s">
        <v>123</v>
      </c>
      <c r="D1487" s="33">
        <v>0</v>
      </c>
      <c r="E1487" s="33">
        <v>0</v>
      </c>
      <c r="F1487" s="23">
        <v>0</v>
      </c>
      <c r="G1487" s="23">
        <v>0</v>
      </c>
      <c r="H1487" s="23">
        <v>0</v>
      </c>
      <c r="I1487" s="23">
        <v>0</v>
      </c>
      <c r="J1487" s="23">
        <v>0</v>
      </c>
      <c r="K1487" s="23">
        <v>0</v>
      </c>
      <c r="L1487" s="23">
        <f>SUM(F1487:K1487)</f>
        <v>0</v>
      </c>
      <c r="M1487" s="33">
        <f>O1487-E1487</f>
        <v>0</v>
      </c>
      <c r="N1487" s="33">
        <f>O1487-D1487</f>
        <v>0</v>
      </c>
      <c r="O1487" s="33">
        <v>0</v>
      </c>
      <c r="P1487" s="33">
        <v>0</v>
      </c>
      <c r="Q1487" s="33">
        <v>0</v>
      </c>
      <c r="R1487" s="33">
        <v>0</v>
      </c>
      <c r="S1487" s="33">
        <v>0</v>
      </c>
      <c r="T1487" s="33">
        <f>R1487-S1487</f>
        <v>0</v>
      </c>
      <c r="U1487" s="38" t="str">
        <f>IFERROR((R1487/O1487)*100%,"∞")</f>
        <v>∞</v>
      </c>
      <c r="V1487" s="59">
        <f>O1487+W1487</f>
        <v>0</v>
      </c>
      <c r="W1487" s="33">
        <v>0</v>
      </c>
      <c r="X1487" s="33">
        <v>0</v>
      </c>
      <c r="Y1487" s="33"/>
      <c r="Z1487" s="33"/>
      <c r="AA1487" s="42"/>
      <c r="AB1487" s="60"/>
      <c r="AC1487" s="105"/>
      <c r="AD1487" s="93"/>
      <c r="AE1487" s="33">
        <f>SUM(AC1487:AD1487)</f>
        <v>0</v>
      </c>
      <c r="AF1487" s="33">
        <f>R1487+AE1487</f>
        <v>0</v>
      </c>
      <c r="AG1487" s="101">
        <f>AF1487-O1487</f>
        <v>0</v>
      </c>
    </row>
    <row r="1488" spans="1:33" hidden="1" outlineLevel="1" x14ac:dyDescent="0.25">
      <c r="A1488" t="s">
        <v>232</v>
      </c>
    </row>
    <row r="1489" spans="1:14" hidden="1" outlineLevel="1" x14ac:dyDescent="0.25">
      <c r="A1489" t="s">
        <v>944</v>
      </c>
      <c r="M1489" s="19"/>
      <c r="N1489" s="19"/>
    </row>
    <row r="1490" spans="1:14" hidden="1" outlineLevel="1" x14ac:dyDescent="0.25">
      <c r="A1490" t="s">
        <v>946</v>
      </c>
      <c r="E1490" s="19"/>
    </row>
    <row r="1491" spans="1:14" hidden="1" outlineLevel="1" x14ac:dyDescent="0.25">
      <c r="A1491" t="s">
        <v>947</v>
      </c>
      <c r="E1491" s="19"/>
      <c r="F1491" s="19"/>
    </row>
    <row r="1492" spans="1:14" ht="13" hidden="1" outlineLevel="1" x14ac:dyDescent="0.3">
      <c r="A1492" s="20" t="s">
        <v>948</v>
      </c>
    </row>
    <row r="1493" spans="1:14" hidden="1" outlineLevel="1" x14ac:dyDescent="0.25">
      <c r="A1493" s="7" t="s">
        <v>949</v>
      </c>
    </row>
    <row r="1494" spans="1:14" hidden="1" outlineLevel="1" x14ac:dyDescent="0.25">
      <c r="A1494" t="s">
        <v>950</v>
      </c>
    </row>
    <row r="1495" spans="1:14" hidden="1" outlineLevel="1" x14ac:dyDescent="0.25">
      <c r="A1495" t="s">
        <v>951</v>
      </c>
    </row>
    <row r="1496" spans="1:14" ht="13" hidden="1" outlineLevel="1" x14ac:dyDescent="0.3">
      <c r="A1496" s="21" t="str">
        <f>CONCATENATE("sql where a.client = '",$D$172,"' and a.period between '",LEFT($D$170,4),"00' and '",LEFT($D$171,4),"14' and a.version like '%ORIG%'")</f>
        <v>sql where a.client = 'OX' and a.period between '202500' and '202514' and a.version like '%ORIG%'</v>
      </c>
    </row>
    <row r="1497" spans="1:14" hidden="1" outlineLevel="1" x14ac:dyDescent="0.25">
      <c r="A1497" t="s">
        <v>952</v>
      </c>
    </row>
    <row r="1498" spans="1:14" hidden="1" outlineLevel="1" x14ac:dyDescent="0.25">
      <c r="A1498" t="s">
        <v>953</v>
      </c>
    </row>
    <row r="1499" spans="1:14" hidden="1" outlineLevel="1" x14ac:dyDescent="0.25">
      <c r="A1499" t="s">
        <v>954</v>
      </c>
    </row>
    <row r="1500" spans="1:14" ht="13" hidden="1" outlineLevel="1" x14ac:dyDescent="0.3">
      <c r="A1500" s="20" t="s">
        <v>955</v>
      </c>
    </row>
    <row r="1501" spans="1:14" hidden="1" outlineLevel="1" x14ac:dyDescent="0.25">
      <c r="A1501" s="7" t="s">
        <v>956</v>
      </c>
    </row>
    <row r="1502" spans="1:14" hidden="1" outlineLevel="1" x14ac:dyDescent="0.25">
      <c r="A1502" t="s">
        <v>950</v>
      </c>
    </row>
    <row r="1503" spans="1:14" hidden="1" outlineLevel="1" x14ac:dyDescent="0.25">
      <c r="A1503" t="s">
        <v>951</v>
      </c>
    </row>
    <row r="1504" spans="1:14" ht="14.5" hidden="1" outlineLevel="1" x14ac:dyDescent="0.35">
      <c r="A150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504" s="2"/>
    </row>
    <row r="1505" spans="1:1" hidden="1" outlineLevel="1" x14ac:dyDescent="0.25">
      <c r="A1505" t="s">
        <v>952</v>
      </c>
    </row>
    <row r="1506" spans="1:1" hidden="1" outlineLevel="1" x14ac:dyDescent="0.25">
      <c r="A1506" t="s">
        <v>953</v>
      </c>
    </row>
    <row r="1507" spans="1:1" hidden="1" outlineLevel="1" x14ac:dyDescent="0.25">
      <c r="A1507" t="s">
        <v>954</v>
      </c>
    </row>
    <row r="1508" spans="1:1" ht="13" hidden="1" outlineLevel="1" x14ac:dyDescent="0.3">
      <c r="A1508" s="66" t="s">
        <v>957</v>
      </c>
    </row>
    <row r="1509" spans="1:1" hidden="1" outlineLevel="1" x14ac:dyDescent="0.25">
      <c r="A1509" t="s">
        <v>958</v>
      </c>
    </row>
    <row r="1510" spans="1:1" hidden="1" outlineLevel="1" x14ac:dyDescent="0.25">
      <c r="A1510" t="s">
        <v>950</v>
      </c>
    </row>
    <row r="1511" spans="1:1" ht="13" hidden="1" outlineLevel="1" x14ac:dyDescent="0.3">
      <c r="A151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512" spans="1:1" ht="13" hidden="1" outlineLevel="1" x14ac:dyDescent="0.3">
      <c r="A1512" s="21" t="s">
        <v>959</v>
      </c>
    </row>
    <row r="1513" spans="1:1" hidden="1" outlineLevel="1" x14ac:dyDescent="0.25">
      <c r="A1513" t="s">
        <v>960</v>
      </c>
    </row>
    <row r="1514" spans="1:1" hidden="1" outlineLevel="1" x14ac:dyDescent="0.25">
      <c r="A1514" t="s">
        <v>961</v>
      </c>
    </row>
    <row r="1515" spans="1:1" hidden="1" outlineLevel="1" x14ac:dyDescent="0.25">
      <c r="A1515" t="str">
        <f>CONCATENATE("sql left outer join acrtrees t on t.client = x.client and x.dim_1 = t.cat_1 and t.att_agrid = '",$F$159,"'")</f>
        <v>sql left outer join acrtrees t on t.client = x.client and x.dim_1 = t.cat_1 and t.att_agrid = '53'</v>
      </c>
    </row>
    <row r="1516" spans="1:1" ht="13" hidden="1" outlineLevel="1" x14ac:dyDescent="0.3">
      <c r="A151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517" spans="1:1" ht="13" hidden="1" outlineLevel="1" x14ac:dyDescent="0.3">
      <c r="A1517" s="21" t="s">
        <v>962</v>
      </c>
    </row>
    <row r="1518" spans="1:1" ht="13" hidden="1" outlineLevel="1" x14ac:dyDescent="0.3">
      <c r="A151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519" spans="1:1" ht="13" hidden="1" outlineLevel="1" x14ac:dyDescent="0.3">
      <c r="A1519" s="21" t="s">
        <v>963</v>
      </c>
    </row>
    <row r="1520" spans="1:1" hidden="1" outlineLevel="1" x14ac:dyDescent="0.25">
      <c r="A1520" t="s">
        <v>964</v>
      </c>
    </row>
    <row r="1521" spans="1:1" hidden="1" outlineLevel="1" x14ac:dyDescent="0.25">
      <c r="A1521" t="s">
        <v>965</v>
      </c>
    </row>
    <row r="1522" spans="1:1" hidden="1" outlineLevel="1" x14ac:dyDescent="0.25">
      <c r="A1522" t="s">
        <v>966</v>
      </c>
    </row>
    <row r="1523" spans="1:1" hidden="1" outlineLevel="1" x14ac:dyDescent="0.25">
      <c r="A1523" t="s">
        <v>953</v>
      </c>
    </row>
    <row r="1524" spans="1:1" hidden="1" outlineLevel="1" x14ac:dyDescent="0.25">
      <c r="A1524" t="s">
        <v>954</v>
      </c>
    </row>
    <row r="1525" spans="1:1" ht="13" hidden="1" outlineLevel="1" x14ac:dyDescent="0.3">
      <c r="A1525" s="66" t="s">
        <v>967</v>
      </c>
    </row>
    <row r="1526" spans="1:1" hidden="1" outlineLevel="1" x14ac:dyDescent="0.25">
      <c r="A1526" t="s">
        <v>968</v>
      </c>
    </row>
    <row r="1527" spans="1:1" hidden="1" outlineLevel="1" x14ac:dyDescent="0.25">
      <c r="A1527" t="s">
        <v>950</v>
      </c>
    </row>
    <row r="1528" spans="1:1" ht="13" hidden="1" outlineLevel="1" x14ac:dyDescent="0.3">
      <c r="A152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529" spans="1:1" ht="13" hidden="1" outlineLevel="1" x14ac:dyDescent="0.3">
      <c r="A1529" s="21" t="s">
        <v>969</v>
      </c>
    </row>
    <row r="1530" spans="1:1" ht="13" hidden="1" outlineLevel="1" x14ac:dyDescent="0.3">
      <c r="A1530" s="21" t="s">
        <v>959</v>
      </c>
    </row>
    <row r="1531" spans="1:1" hidden="1" outlineLevel="1" x14ac:dyDescent="0.25">
      <c r="A1531" t="s">
        <v>960</v>
      </c>
    </row>
    <row r="1532" spans="1:1" hidden="1" outlineLevel="1" x14ac:dyDescent="0.25">
      <c r="A1532" t="s">
        <v>961</v>
      </c>
    </row>
    <row r="1533" spans="1:1" hidden="1" outlineLevel="1" x14ac:dyDescent="0.25">
      <c r="A1533" t="str">
        <f>CONCATENATE("sql left outer join acrtrees t on t.client = x.client and x.dim_1 = t.cat_1 and t.att_agrid = '",$F$159,"'")</f>
        <v>sql left outer join acrtrees t on t.client = x.client and x.dim_1 = t.cat_1 and t.att_agrid = '53'</v>
      </c>
    </row>
    <row r="1534" spans="1:1" ht="13" hidden="1" outlineLevel="1" x14ac:dyDescent="0.3">
      <c r="A153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535" spans="1:1" ht="13" hidden="1" outlineLevel="1" x14ac:dyDescent="0.3">
      <c r="A1535" s="21" t="s">
        <v>970</v>
      </c>
    </row>
    <row r="1536" spans="1:1" ht="13" hidden="1" outlineLevel="1" x14ac:dyDescent="0.3">
      <c r="A1536" s="21" t="s">
        <v>962</v>
      </c>
    </row>
    <row r="1537" spans="1:1" ht="13" hidden="1" outlineLevel="1" x14ac:dyDescent="0.3">
      <c r="A153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538" spans="1:1" ht="13" hidden="1" outlineLevel="1" x14ac:dyDescent="0.3">
      <c r="A1538" s="21" t="s">
        <v>970</v>
      </c>
    </row>
    <row r="1539" spans="1:1" ht="13" hidden="1" outlineLevel="1" x14ac:dyDescent="0.3">
      <c r="A1539" s="21" t="s">
        <v>963</v>
      </c>
    </row>
    <row r="1540" spans="1:1" hidden="1" outlineLevel="1" x14ac:dyDescent="0.25">
      <c r="A1540" t="s">
        <v>964</v>
      </c>
    </row>
    <row r="1541" spans="1:1" hidden="1" outlineLevel="1" x14ac:dyDescent="0.25">
      <c r="A1541" t="s">
        <v>965</v>
      </c>
    </row>
    <row r="1542" spans="1:1" hidden="1" outlineLevel="1" x14ac:dyDescent="0.25">
      <c r="A1542" t="s">
        <v>966</v>
      </c>
    </row>
    <row r="1543" spans="1:1" hidden="1" outlineLevel="1" x14ac:dyDescent="0.25">
      <c r="A1543" t="s">
        <v>953</v>
      </c>
    </row>
    <row r="1544" spans="1:1" hidden="1" outlineLevel="1" x14ac:dyDescent="0.25">
      <c r="A1544" t="s">
        <v>954</v>
      </c>
    </row>
    <row r="1545" spans="1:1" ht="13" hidden="1" outlineLevel="1" x14ac:dyDescent="0.3">
      <c r="A1545" s="66" t="s">
        <v>971</v>
      </c>
    </row>
    <row r="1546" spans="1:1" hidden="1" outlineLevel="1" x14ac:dyDescent="0.25">
      <c r="A1546" t="s">
        <v>972</v>
      </c>
    </row>
    <row r="1547" spans="1:1" hidden="1" outlineLevel="1" x14ac:dyDescent="0.25">
      <c r="A1547" t="s">
        <v>950</v>
      </c>
    </row>
    <row r="1548" spans="1:1" ht="13" hidden="1" outlineLevel="1" x14ac:dyDescent="0.3">
      <c r="A154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549" spans="1:1" ht="13" hidden="1" outlineLevel="1" x14ac:dyDescent="0.3">
      <c r="A1549" s="21" t="s">
        <v>959</v>
      </c>
    </row>
    <row r="1550" spans="1:1" hidden="1" outlineLevel="1" x14ac:dyDescent="0.25">
      <c r="A1550" t="s">
        <v>960</v>
      </c>
    </row>
    <row r="1551" spans="1:1" hidden="1" outlineLevel="1" x14ac:dyDescent="0.25">
      <c r="A1551" t="s">
        <v>961</v>
      </c>
    </row>
    <row r="1552" spans="1:1" hidden="1" outlineLevel="1" x14ac:dyDescent="0.25">
      <c r="A1552" t="str">
        <f>CONCATENATE("sql left outer join acrtrees t on t.client = x.client and x.dim_1 = t.cat_1 and t.att_agrid = '",$F$159,"'")</f>
        <v>sql left outer join acrtrees t on t.client = x.client and x.dim_1 = t.cat_1 and t.att_agrid = '53'</v>
      </c>
    </row>
    <row r="1553" spans="1:1" ht="13" hidden="1" outlineLevel="1" x14ac:dyDescent="0.3">
      <c r="A155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554" spans="1:1" ht="13" hidden="1" outlineLevel="1" x14ac:dyDescent="0.3">
      <c r="A1554" s="21" t="s">
        <v>973</v>
      </c>
    </row>
    <row r="1555" spans="1:1" hidden="1" outlineLevel="1" x14ac:dyDescent="0.25">
      <c r="A1555" t="s">
        <v>964</v>
      </c>
    </row>
    <row r="1556" spans="1:1" hidden="1" outlineLevel="1" x14ac:dyDescent="0.25">
      <c r="A1556" t="s">
        <v>965</v>
      </c>
    </row>
    <row r="1557" spans="1:1" hidden="1" outlineLevel="1" x14ac:dyDescent="0.25">
      <c r="A1557" t="s">
        <v>966</v>
      </c>
    </row>
    <row r="1558" spans="1:1" hidden="1" outlineLevel="1" x14ac:dyDescent="0.25">
      <c r="A1558" t="s">
        <v>953</v>
      </c>
    </row>
    <row r="1559" spans="1:1" hidden="1" outlineLevel="1" x14ac:dyDescent="0.25">
      <c r="A1559" t="s">
        <v>954</v>
      </c>
    </row>
    <row r="1560" spans="1:1" ht="13" hidden="1" outlineLevel="1" x14ac:dyDescent="0.3">
      <c r="A1560" s="66" t="s">
        <v>974</v>
      </c>
    </row>
    <row r="1561" spans="1:1" hidden="1" outlineLevel="1" x14ac:dyDescent="0.25">
      <c r="A1561" t="s">
        <v>975</v>
      </c>
    </row>
    <row r="1562" spans="1:1" hidden="1" outlineLevel="1" x14ac:dyDescent="0.25">
      <c r="A1562" t="s">
        <v>950</v>
      </c>
    </row>
    <row r="1563" spans="1:1" ht="13" hidden="1" outlineLevel="1" x14ac:dyDescent="0.3">
      <c r="A156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564" spans="1:1" ht="13" hidden="1" outlineLevel="1" x14ac:dyDescent="0.3">
      <c r="A1564" s="21" t="s">
        <v>959</v>
      </c>
    </row>
    <row r="1565" spans="1:1" hidden="1" outlineLevel="1" x14ac:dyDescent="0.25">
      <c r="A1565" t="s">
        <v>960</v>
      </c>
    </row>
    <row r="1566" spans="1:1" hidden="1" outlineLevel="1" x14ac:dyDescent="0.25">
      <c r="A1566" t="s">
        <v>961</v>
      </c>
    </row>
    <row r="1567" spans="1:1" hidden="1" outlineLevel="1" x14ac:dyDescent="0.25">
      <c r="A1567" t="str">
        <f>CONCATENATE("sql left outer join acrtrees t on t.client = x.client and x.dim_1 = t.cat_1 and t.att_agrid = '",$F$159,"'")</f>
        <v>sql left outer join acrtrees t on t.client = x.client and x.dim_1 = t.cat_1 and t.att_agrid = '53'</v>
      </c>
    </row>
    <row r="1568" spans="1:1" ht="13" hidden="1" outlineLevel="1" x14ac:dyDescent="0.3">
      <c r="A156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569" spans="1:1" ht="13" hidden="1" outlineLevel="1" x14ac:dyDescent="0.3">
      <c r="A1569" s="21" t="s">
        <v>973</v>
      </c>
    </row>
    <row r="1570" spans="1:1" hidden="1" outlineLevel="1" x14ac:dyDescent="0.25">
      <c r="A1570" t="s">
        <v>964</v>
      </c>
    </row>
    <row r="1571" spans="1:1" hidden="1" outlineLevel="1" x14ac:dyDescent="0.25">
      <c r="A1571" t="s">
        <v>965</v>
      </c>
    </row>
    <row r="1572" spans="1:1" hidden="1" outlineLevel="1" x14ac:dyDescent="0.25">
      <c r="A1572" t="s">
        <v>966</v>
      </c>
    </row>
    <row r="1573" spans="1:1" hidden="1" outlineLevel="1" x14ac:dyDescent="0.25">
      <c r="A1573" t="s">
        <v>953</v>
      </c>
    </row>
    <row r="1574" spans="1:1" hidden="1" outlineLevel="1" x14ac:dyDescent="0.25">
      <c r="A1574" t="s">
        <v>954</v>
      </c>
    </row>
    <row r="1575" spans="1:1" ht="13" hidden="1" outlineLevel="1" x14ac:dyDescent="0.3">
      <c r="A1575" s="66" t="s">
        <v>976</v>
      </c>
    </row>
    <row r="1576" spans="1:1" hidden="1" outlineLevel="1" x14ac:dyDescent="0.25">
      <c r="A1576" t="s">
        <v>977</v>
      </c>
    </row>
    <row r="1577" spans="1:1" hidden="1" outlineLevel="1" x14ac:dyDescent="0.25">
      <c r="A1577" t="s">
        <v>950</v>
      </c>
    </row>
    <row r="1578" spans="1:1" ht="13" hidden="1" outlineLevel="1" x14ac:dyDescent="0.3">
      <c r="A157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579" spans="1:1" ht="13" hidden="1" outlineLevel="1" x14ac:dyDescent="0.3">
      <c r="A1579" s="21" t="s">
        <v>959</v>
      </c>
    </row>
    <row r="1580" spans="1:1" hidden="1" outlineLevel="1" x14ac:dyDescent="0.25">
      <c r="A1580" t="s">
        <v>960</v>
      </c>
    </row>
    <row r="1581" spans="1:1" hidden="1" outlineLevel="1" x14ac:dyDescent="0.25">
      <c r="A1581" t="s">
        <v>961</v>
      </c>
    </row>
    <row r="1582" spans="1:1" hidden="1" outlineLevel="1" x14ac:dyDescent="0.25">
      <c r="A1582" t="str">
        <f>CONCATENATE("sql left outer join acrtrees t on t.client = x.client and x.dim_1 = t.cat_1 and t.att_agrid = '",$F$159,"'")</f>
        <v>sql left outer join acrtrees t on t.client = x.client and x.dim_1 = t.cat_1 and t.att_agrid = '53'</v>
      </c>
    </row>
    <row r="1583" spans="1:1" ht="13" hidden="1" outlineLevel="1" x14ac:dyDescent="0.3">
      <c r="A158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584" spans="1:1" ht="13" hidden="1" outlineLevel="1" x14ac:dyDescent="0.3">
      <c r="A1584" s="21" t="s">
        <v>978</v>
      </c>
    </row>
    <row r="1585" spans="1:1" hidden="1" outlineLevel="1" x14ac:dyDescent="0.25">
      <c r="A1585" t="s">
        <v>979</v>
      </c>
    </row>
    <row r="1586" spans="1:1" hidden="1" outlineLevel="1" x14ac:dyDescent="0.25">
      <c r="A1586" t="s">
        <v>980</v>
      </c>
    </row>
    <row r="1587" spans="1:1" hidden="1" outlineLevel="1" x14ac:dyDescent="0.25">
      <c r="A1587" t="s">
        <v>966</v>
      </c>
    </row>
    <row r="1588" spans="1:1" hidden="1" outlineLevel="1" x14ac:dyDescent="0.25">
      <c r="A1588" t="s">
        <v>953</v>
      </c>
    </row>
    <row r="1589" spans="1:1" hidden="1" outlineLevel="1" x14ac:dyDescent="0.25">
      <c r="A1589" t="s">
        <v>954</v>
      </c>
    </row>
    <row r="1590" spans="1:1" ht="13" hidden="1" outlineLevel="1" x14ac:dyDescent="0.3">
      <c r="A1590" s="66" t="s">
        <v>981</v>
      </c>
    </row>
    <row r="1591" spans="1:1" hidden="1" outlineLevel="1" x14ac:dyDescent="0.25">
      <c r="A1591" t="s">
        <v>982</v>
      </c>
    </row>
    <row r="1592" spans="1:1" hidden="1" outlineLevel="1" x14ac:dyDescent="0.25">
      <c r="A1592" t="s">
        <v>950</v>
      </c>
    </row>
    <row r="1593" spans="1:1" ht="13" hidden="1" outlineLevel="1" x14ac:dyDescent="0.3">
      <c r="A159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594" spans="1:1" ht="13" hidden="1" outlineLevel="1" x14ac:dyDescent="0.3">
      <c r="A1594" s="21" t="s">
        <v>969</v>
      </c>
    </row>
    <row r="1595" spans="1:1" ht="13" hidden="1" outlineLevel="1" x14ac:dyDescent="0.3">
      <c r="A1595" s="21" t="s">
        <v>959</v>
      </c>
    </row>
    <row r="1596" spans="1:1" hidden="1" outlineLevel="1" x14ac:dyDescent="0.25">
      <c r="A1596" t="s">
        <v>960</v>
      </c>
    </row>
    <row r="1597" spans="1:1" hidden="1" outlineLevel="1" x14ac:dyDescent="0.25">
      <c r="A1597" t="s">
        <v>961</v>
      </c>
    </row>
    <row r="1598" spans="1:1" hidden="1" outlineLevel="1" x14ac:dyDescent="0.25">
      <c r="A1598" t="str">
        <f>CONCATENATE("sql left outer join acrtrees t on t.client = x.client and x.dim_1 = t.cat_1 and t.att_agrid = '",$F$159,"'")</f>
        <v>sql left outer join acrtrees t on t.client = x.client and x.dim_1 = t.cat_1 and t.att_agrid = '53'</v>
      </c>
    </row>
    <row r="1599" spans="1:1" ht="13" hidden="1" outlineLevel="1" x14ac:dyDescent="0.3">
      <c r="A159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600" spans="1:1" ht="13" hidden="1" outlineLevel="1" x14ac:dyDescent="0.3">
      <c r="A1600" s="21" t="s">
        <v>970</v>
      </c>
    </row>
    <row r="1601" spans="1:3" ht="13" hidden="1" outlineLevel="1" x14ac:dyDescent="0.3">
      <c r="A1601" s="21" t="s">
        <v>978</v>
      </c>
    </row>
    <row r="1602" spans="1:3" hidden="1" outlineLevel="1" x14ac:dyDescent="0.25">
      <c r="A1602" t="s">
        <v>979</v>
      </c>
    </row>
    <row r="1603" spans="1:3" hidden="1" outlineLevel="1" x14ac:dyDescent="0.25">
      <c r="A1603" t="s">
        <v>980</v>
      </c>
    </row>
    <row r="1604" spans="1:3" hidden="1" outlineLevel="1" x14ac:dyDescent="0.25">
      <c r="A1604" t="s">
        <v>966</v>
      </c>
    </row>
    <row r="1605" spans="1:3" hidden="1" outlineLevel="1" x14ac:dyDescent="0.25">
      <c r="A1605" t="s">
        <v>953</v>
      </c>
    </row>
    <row r="1606" spans="1:3" hidden="1" outlineLevel="1" x14ac:dyDescent="0.25">
      <c r="A1606" t="s">
        <v>954</v>
      </c>
    </row>
    <row r="1607" spans="1:3" ht="13" hidden="1" outlineLevel="1" x14ac:dyDescent="0.3">
      <c r="A1607" s="20" t="s">
        <v>983</v>
      </c>
    </row>
    <row r="1608" spans="1:3" hidden="1" outlineLevel="1" x14ac:dyDescent="0.25">
      <c r="A1608" s="7" t="s">
        <v>984</v>
      </c>
    </row>
    <row r="1609" spans="1:3" hidden="1" outlineLevel="1" x14ac:dyDescent="0.25">
      <c r="A1609" t="s">
        <v>950</v>
      </c>
    </row>
    <row r="1610" spans="1:3" hidden="1" outlineLevel="1" x14ac:dyDescent="0.25">
      <c r="A1610" t="s">
        <v>951</v>
      </c>
    </row>
    <row r="1611" spans="1:3" ht="14.5" hidden="1" outlineLevel="1" x14ac:dyDescent="0.35">
      <c r="A161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611" s="2"/>
    </row>
    <row r="1612" spans="1:3" hidden="1" outlineLevel="1" x14ac:dyDescent="0.25">
      <c r="A1612" t="s">
        <v>952</v>
      </c>
    </row>
    <row r="1613" spans="1:3" hidden="1" outlineLevel="1" x14ac:dyDescent="0.25">
      <c r="A1613" t="s">
        <v>953</v>
      </c>
    </row>
    <row r="1614" spans="1:3" hidden="1" outlineLevel="1" x14ac:dyDescent="0.25">
      <c r="A1614" t="s">
        <v>954</v>
      </c>
    </row>
    <row r="1615" spans="1:3" ht="13" hidden="1" outlineLevel="1" x14ac:dyDescent="0.3">
      <c r="A1615" s="20" t="s">
        <v>985</v>
      </c>
    </row>
    <row r="1616" spans="1:3" hidden="1" outlineLevel="1" x14ac:dyDescent="0.25">
      <c r="A1616" s="7" t="s">
        <v>986</v>
      </c>
    </row>
    <row r="1617" spans="1:1" hidden="1" outlineLevel="1" x14ac:dyDescent="0.25">
      <c r="A1617" t="s">
        <v>987</v>
      </c>
    </row>
    <row r="1618" spans="1:1" ht="13" hidden="1" outlineLevel="1" x14ac:dyDescent="0.3">
      <c r="A1618" s="21" t="str">
        <f>CONCATENATE("sql where a.client = '",$D$172,"' and a.period between '",LEFT($D$170,4),"00' and '",IF(RIGHT($D$171,2)="12",CONCATENATE(LEFT($D$171,4),"14"),$D$171),"'")</f>
        <v>sql where a.client = 'OX' and a.period between '202500' and '202506'</v>
      </c>
    </row>
    <row r="1619" spans="1:1" hidden="1" outlineLevel="1" x14ac:dyDescent="0.25">
      <c r="A1619" t="s">
        <v>952</v>
      </c>
    </row>
    <row r="1620" spans="1:1" hidden="1" outlineLevel="1" x14ac:dyDescent="0.25">
      <c r="A1620" t="s">
        <v>953</v>
      </c>
    </row>
    <row r="1621" spans="1:1" hidden="1" outlineLevel="1" x14ac:dyDescent="0.25">
      <c r="A1621" t="s">
        <v>954</v>
      </c>
    </row>
    <row r="1622" spans="1:1" ht="13" hidden="1" outlineLevel="1" x14ac:dyDescent="0.3">
      <c r="A1622" s="20" t="s">
        <v>988</v>
      </c>
    </row>
    <row r="1623" spans="1:1" hidden="1" outlineLevel="1" x14ac:dyDescent="0.25">
      <c r="A1623" s="7" t="s">
        <v>989</v>
      </c>
    </row>
    <row r="1624" spans="1:1" hidden="1" outlineLevel="1" x14ac:dyDescent="0.25">
      <c r="A1624" t="s">
        <v>950</v>
      </c>
    </row>
    <row r="1625" spans="1:1" hidden="1" outlineLevel="1" x14ac:dyDescent="0.25">
      <c r="A1625" t="s">
        <v>951</v>
      </c>
    </row>
    <row r="1626" spans="1:1" ht="13" hidden="1" outlineLevel="1" x14ac:dyDescent="0.3">
      <c r="A162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627" spans="1:1" hidden="1" outlineLevel="1" x14ac:dyDescent="0.25">
      <c r="A1627" t="s">
        <v>952</v>
      </c>
    </row>
    <row r="1628" spans="1:1" hidden="1" outlineLevel="1" x14ac:dyDescent="0.25">
      <c r="A1628" t="s">
        <v>953</v>
      </c>
    </row>
    <row r="1629" spans="1:1" hidden="1" outlineLevel="1" x14ac:dyDescent="0.25">
      <c r="A1629" t="s">
        <v>954</v>
      </c>
    </row>
    <row r="1630" spans="1:1" ht="13" hidden="1" outlineLevel="1" x14ac:dyDescent="0.3">
      <c r="A1630" s="20" t="s">
        <v>990</v>
      </c>
    </row>
    <row r="1631" spans="1:1" hidden="1" outlineLevel="1" x14ac:dyDescent="0.25">
      <c r="A1631" s="7" t="s">
        <v>991</v>
      </c>
    </row>
    <row r="1632" spans="1:1" hidden="1" outlineLevel="1" x14ac:dyDescent="0.25">
      <c r="A1632" t="s">
        <v>950</v>
      </c>
    </row>
    <row r="1633" spans="1:1" hidden="1" outlineLevel="1" x14ac:dyDescent="0.25">
      <c r="A1633" t="s">
        <v>951</v>
      </c>
    </row>
    <row r="1634" spans="1:1" ht="13" hidden="1" outlineLevel="1" x14ac:dyDescent="0.3">
      <c r="A163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635" spans="1:1" hidden="1" outlineLevel="1" x14ac:dyDescent="0.25">
      <c r="A1635" t="s">
        <v>952</v>
      </c>
    </row>
    <row r="1636" spans="1:1" hidden="1" outlineLevel="1" x14ac:dyDescent="0.25">
      <c r="A1636" t="s">
        <v>953</v>
      </c>
    </row>
    <row r="1637" spans="1:1" hidden="1" outlineLevel="1" x14ac:dyDescent="0.25">
      <c r="A1637" t="s">
        <v>954</v>
      </c>
    </row>
    <row r="1638" spans="1:1" ht="13" hidden="1" outlineLevel="1" x14ac:dyDescent="0.3">
      <c r="A1638" s="20" t="s">
        <v>992</v>
      </c>
    </row>
    <row r="1639" spans="1:1" hidden="1" outlineLevel="1" x14ac:dyDescent="0.25">
      <c r="A1639" s="7" t="s">
        <v>993</v>
      </c>
    </row>
    <row r="1640" spans="1:1" hidden="1" outlineLevel="1" x14ac:dyDescent="0.25">
      <c r="A1640" t="s">
        <v>950</v>
      </c>
    </row>
    <row r="1641" spans="1:1" hidden="1" outlineLevel="1" x14ac:dyDescent="0.25">
      <c r="A1641" t="s">
        <v>951</v>
      </c>
    </row>
    <row r="1642" spans="1:1" ht="13" hidden="1" outlineLevel="1" x14ac:dyDescent="0.3">
      <c r="A164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643" spans="1:1" hidden="1" outlineLevel="1" x14ac:dyDescent="0.25">
      <c r="A1643" t="s">
        <v>952</v>
      </c>
    </row>
    <row r="1644" spans="1:1" hidden="1" outlineLevel="1" x14ac:dyDescent="0.25">
      <c r="A1644" t="s">
        <v>953</v>
      </c>
    </row>
    <row r="1645" spans="1:1" hidden="1" outlineLevel="1" x14ac:dyDescent="0.25">
      <c r="A1645" t="s">
        <v>994</v>
      </c>
    </row>
    <row r="1646" spans="1:1" hidden="1" outlineLevel="1" x14ac:dyDescent="0.25">
      <c r="A1646" t="str">
        <f>CONCATENATE("sql left outer join acrtrees t on t.client = u.client and u.dim_1 = t.cat_1 and t.att_agrid = '",$F$159,"'")</f>
        <v>sql left outer join acrtrees t on t.client = u.client and u.dim_1 = t.cat_1 and t.att_agrid = '53'</v>
      </c>
    </row>
    <row r="1647" spans="1:1" hidden="1" outlineLevel="1" x14ac:dyDescent="0.25">
      <c r="A1647" t="str">
        <f>CONCATENATE("sql left outer join acrtrees s on s.client = u.client and u.account = s.cat_1 and s.att_agrid = '",$F$160,"'")</f>
        <v>sql left outer join acrtrees s on s.client = u.client and u.account = s.cat_1 and s.att_agrid = '14'</v>
      </c>
    </row>
    <row r="1648" spans="1:1" hidden="1" outlineLevel="1" x14ac:dyDescent="0.25">
      <c r="A1648" t="str">
        <f>CONCATENATE("sql left outer join acrtrees v on v.client = u.client and u.account = v.cat_1 and v.att_agrid = '",$F$161,"'")</f>
        <v>sql left outer join acrtrees v on v.client = u.client and u.account = v.cat_1 and v.att_agrid = '17'</v>
      </c>
    </row>
    <row r="1649" spans="1:33" hidden="1" outlineLevel="1" x14ac:dyDescent="0.25">
      <c r="A1649" t="str">
        <f>CONCATENATE("sql left outer join agldescription d on d.client = u.client and d.dim_value = t.dim_c and d.attribute_id = '",$F$162,"'")</f>
        <v>sql left outer join agldescription d on d.client = u.client and d.dim_value = t.dim_c and d.attribute_id = '82'</v>
      </c>
    </row>
    <row r="1650" spans="1:33" hidden="1" outlineLevel="1" x14ac:dyDescent="0.25">
      <c r="A1650" t="str">
        <f>CONCATENATE("sql left outer join agldescription e on e.client = u.client and e.dim_value = t.dim_b and e.attribute_id = '",$F$163,"'")</f>
        <v>sql left outer join agldescription e on e.client = u.client and e.dim_value = t.dim_b and e.attribute_id = '81'</v>
      </c>
    </row>
    <row r="1651" spans="1:33" hidden="1" outlineLevel="1" x14ac:dyDescent="0.25">
      <c r="A1651" t="str">
        <f>CONCATENATE("sql left outer join agldescription f on f.client = u.client and f.dim_value = t.dim_e and f.attribute_id = '",$F$164,"'")</f>
        <v>sql left outer join agldescription f on f.client = u.client and f.dim_value = t.dim_e and f.attribute_id = '80'</v>
      </c>
    </row>
    <row r="1652" spans="1:33" hidden="1" outlineLevel="1" x14ac:dyDescent="0.25">
      <c r="A1652" t="str">
        <f>CONCATENATE("sql left outer join agldescription g on g.client = u.client and g.dim_value = u.account and g.attribute_id = '",$F$165,"'")</f>
        <v>sql left outer join agldescription g on g.client = u.client and g.dim_value = u.account and g.attribute_id = 'A0'</v>
      </c>
    </row>
    <row r="1653" spans="1:33" ht="14.5" hidden="1" outlineLevel="1" x14ac:dyDescent="0.35">
      <c r="A1653" s="67" t="s">
        <v>1051</v>
      </c>
      <c r="G1653" s="737" t="s">
        <v>1047</v>
      </c>
    </row>
    <row r="1654" spans="1:33" hidden="1" outlineLevel="1" x14ac:dyDescent="0.25">
      <c r="A1654" t="s">
        <v>1005</v>
      </c>
    </row>
    <row r="1655" spans="1:33" hidden="1" outlineLevel="1" x14ac:dyDescent="0.25">
      <c r="A1655" t="s">
        <v>1006</v>
      </c>
    </row>
    <row r="1656" spans="1:33" hidden="1" outlineLevel="1" x14ac:dyDescent="0.25">
      <c r="A1656" t="s">
        <v>1007</v>
      </c>
    </row>
    <row r="1657" spans="1:33" ht="13" hidden="1" outlineLevel="1" x14ac:dyDescent="0.3">
      <c r="A1657" t="s">
        <v>1012</v>
      </c>
      <c r="C1657" s="29"/>
      <c r="D1657" s="36">
        <v>1000</v>
      </c>
      <c r="E1657" s="36">
        <v>1000</v>
      </c>
      <c r="F1657" s="22">
        <v>1000</v>
      </c>
      <c r="G1657" s="22">
        <v>1000</v>
      </c>
      <c r="H1657" s="22">
        <v>1000</v>
      </c>
      <c r="I1657" s="22">
        <v>1000</v>
      </c>
      <c r="J1657" s="22">
        <v>1000</v>
      </c>
      <c r="K1657" s="22">
        <v>1000</v>
      </c>
      <c r="L1657" s="22"/>
      <c r="M1657" s="36"/>
      <c r="N1657" s="36"/>
      <c r="O1657" s="36">
        <v>1000</v>
      </c>
      <c r="P1657" s="36">
        <v>1000</v>
      </c>
      <c r="Q1657" s="36">
        <v>1000</v>
      </c>
      <c r="R1657" s="36">
        <v>1000</v>
      </c>
      <c r="S1657" s="36">
        <v>1000</v>
      </c>
      <c r="T1657" s="36"/>
      <c r="U1657" s="36"/>
      <c r="V1657" s="58"/>
      <c r="W1657" s="36">
        <v>1000</v>
      </c>
      <c r="X1657" s="36">
        <v>1000</v>
      </c>
      <c r="Y1657" s="36"/>
      <c r="Z1657" s="36"/>
      <c r="AA1657" s="40"/>
      <c r="AB1657" s="60"/>
      <c r="AC1657" s="98"/>
      <c r="AD1657" s="36"/>
      <c r="AE1657" s="36"/>
      <c r="AF1657" s="36"/>
      <c r="AG1657" s="99"/>
    </row>
    <row r="1658" spans="1:33" ht="13" hidden="1" outlineLevel="1" x14ac:dyDescent="0.3">
      <c r="A1658" s="7" t="s">
        <v>1013</v>
      </c>
      <c r="C1658" s="29"/>
      <c r="D1658" s="36">
        <v>0</v>
      </c>
      <c r="E1658" s="36">
        <v>0</v>
      </c>
      <c r="F1658" s="22">
        <v>0</v>
      </c>
      <c r="G1658" s="22">
        <v>0</v>
      </c>
      <c r="H1658" s="22">
        <v>0</v>
      </c>
      <c r="I1658" s="22">
        <v>0</v>
      </c>
      <c r="J1658" s="22">
        <v>0</v>
      </c>
      <c r="K1658" s="22">
        <v>0</v>
      </c>
      <c r="L1658" s="22"/>
      <c r="M1658" s="36"/>
      <c r="N1658" s="36"/>
      <c r="O1658" s="36">
        <v>0</v>
      </c>
      <c r="P1658" s="36">
        <v>0</v>
      </c>
      <c r="Q1658" s="36">
        <v>0</v>
      </c>
      <c r="R1658" s="36">
        <v>0</v>
      </c>
      <c r="S1658" s="36">
        <v>0</v>
      </c>
      <c r="T1658" s="36"/>
      <c r="U1658" s="36"/>
      <c r="V1658" s="58"/>
      <c r="W1658" s="36">
        <v>0</v>
      </c>
      <c r="X1658" s="36">
        <v>0</v>
      </c>
      <c r="Y1658" s="36"/>
      <c r="Z1658" s="36"/>
      <c r="AA1658" s="40"/>
      <c r="AB1658" s="60"/>
      <c r="AC1658" s="98"/>
      <c r="AD1658" s="36"/>
      <c r="AE1658" s="36"/>
      <c r="AF1658" s="36"/>
      <c r="AG1658" s="99"/>
    </row>
    <row r="1659" spans="1:33" ht="13" hidden="1" outlineLevel="1" x14ac:dyDescent="0.3">
      <c r="A1659" t="s">
        <v>1014</v>
      </c>
      <c r="C1659" s="30"/>
      <c r="D1659" s="36"/>
      <c r="E1659" s="36"/>
      <c r="F1659" s="57"/>
      <c r="G1659" s="57"/>
      <c r="H1659" s="57"/>
      <c r="I1659" s="57"/>
      <c r="J1659" s="57"/>
      <c r="K1659" s="57"/>
      <c r="L1659" s="57"/>
      <c r="M1659" s="36"/>
      <c r="N1659" s="36"/>
      <c r="O1659" s="36"/>
      <c r="P1659" s="36" t="s">
        <v>1015</v>
      </c>
      <c r="Q1659" s="36" t="s">
        <v>1016</v>
      </c>
      <c r="R1659" s="36"/>
      <c r="S1659" s="36"/>
      <c r="T1659" s="36"/>
      <c r="U1659" s="36"/>
      <c r="V1659" s="58"/>
      <c r="W1659" s="36"/>
      <c r="X1659" s="36"/>
      <c r="Y1659" s="36"/>
      <c r="Z1659" s="36"/>
      <c r="AA1659" s="40"/>
      <c r="AB1659" s="60"/>
      <c r="AC1659" s="98"/>
      <c r="AD1659" s="36"/>
      <c r="AE1659" s="36"/>
      <c r="AF1659" s="36"/>
      <c r="AG1659" s="99"/>
    </row>
    <row r="1660" spans="1:33" ht="13" hidden="1" outlineLevel="1" x14ac:dyDescent="0.3">
      <c r="A1660" t="s">
        <v>1017</v>
      </c>
      <c r="C1660" s="31"/>
      <c r="D1660" s="36" t="s">
        <v>1019</v>
      </c>
      <c r="E1660" s="36" t="s">
        <v>1020</v>
      </c>
      <c r="F1660" s="22" t="s">
        <v>1021</v>
      </c>
      <c r="G1660" s="22" t="s">
        <v>1022</v>
      </c>
      <c r="H1660" s="22" t="s">
        <v>1023</v>
      </c>
      <c r="I1660" s="22" t="s">
        <v>1024</v>
      </c>
      <c r="J1660" s="22" t="s">
        <v>1025</v>
      </c>
      <c r="K1660" s="22" t="s">
        <v>1026</v>
      </c>
      <c r="L1660" s="22"/>
      <c r="M1660" s="36"/>
      <c r="N1660" s="36"/>
      <c r="O1660" s="36" t="s">
        <v>1027</v>
      </c>
      <c r="P1660" s="36" t="s">
        <v>1028</v>
      </c>
      <c r="Q1660" s="36" t="s">
        <v>1028</v>
      </c>
      <c r="R1660" s="36" t="s">
        <v>1028</v>
      </c>
      <c r="S1660" s="36" t="s">
        <v>1029</v>
      </c>
      <c r="T1660" s="36"/>
      <c r="U1660" s="36"/>
      <c r="V1660" s="58"/>
      <c r="W1660" s="36" t="s">
        <v>1030</v>
      </c>
      <c r="X1660" s="36" t="s">
        <v>1031</v>
      </c>
      <c r="Y1660" s="36"/>
      <c r="Z1660" s="36"/>
      <c r="AA1660" s="40"/>
      <c r="AB1660" s="60"/>
      <c r="AC1660" s="98"/>
      <c r="AD1660" s="36"/>
      <c r="AE1660" s="36"/>
      <c r="AF1660" s="36"/>
      <c r="AG1660" s="99"/>
    </row>
    <row r="1661" spans="1:33" ht="13" hidden="1" outlineLevel="1" x14ac:dyDescent="0.3">
      <c r="A1661" t="s">
        <v>1041</v>
      </c>
      <c r="C1661" s="31" t="s">
        <v>124</v>
      </c>
      <c r="D1661" s="33">
        <v>0</v>
      </c>
      <c r="E1661" s="33">
        <v>0</v>
      </c>
      <c r="F1661" s="23">
        <v>0</v>
      </c>
      <c r="G1661" s="23">
        <v>0</v>
      </c>
      <c r="H1661" s="23">
        <v>0</v>
      </c>
      <c r="I1661" s="23">
        <v>0</v>
      </c>
      <c r="J1661" s="23">
        <v>0</v>
      </c>
      <c r="K1661" s="23">
        <v>0</v>
      </c>
      <c r="L1661" s="23">
        <f>SUM(F1661:K1661)</f>
        <v>0</v>
      </c>
      <c r="M1661" s="33">
        <f>O1661-E1661</f>
        <v>0</v>
      </c>
      <c r="N1661" s="33">
        <f>O1661-D1661</f>
        <v>0</v>
      </c>
      <c r="O1661" s="33">
        <v>0</v>
      </c>
      <c r="P1661" s="33">
        <v>0</v>
      </c>
      <c r="Q1661" s="33">
        <v>0</v>
      </c>
      <c r="R1661" s="33">
        <v>0</v>
      </c>
      <c r="S1661" s="33">
        <v>0</v>
      </c>
      <c r="T1661" s="33">
        <f>R1661-S1661</f>
        <v>0</v>
      </c>
      <c r="U1661" s="38" t="str">
        <f>IFERROR((R1661/O1661)*100%,"∞")</f>
        <v>∞</v>
      </c>
      <c r="V1661" s="59">
        <f>O1661+W1661</f>
        <v>0</v>
      </c>
      <c r="W1661" s="33">
        <v>0</v>
      </c>
      <c r="X1661" s="33">
        <v>0</v>
      </c>
      <c r="Y1661" s="33"/>
      <c r="Z1661" s="33"/>
      <c r="AA1661" s="42"/>
      <c r="AB1661" s="60"/>
      <c r="AC1661" s="105"/>
      <c r="AD1661" s="93"/>
      <c r="AE1661" s="33">
        <f>SUM(AC1661:AD1661)</f>
        <v>0</v>
      </c>
      <c r="AF1661" s="33">
        <f>R1661+AE1661</f>
        <v>0</v>
      </c>
      <c r="AG1661" s="101">
        <f>AF1661-O1661</f>
        <v>0</v>
      </c>
    </row>
    <row r="1662" spans="1:33" hidden="1" outlineLevel="1" x14ac:dyDescent="0.25">
      <c r="A1662" t="s">
        <v>232</v>
      </c>
    </row>
    <row r="1663" spans="1:33" hidden="1" outlineLevel="1" x14ac:dyDescent="0.25">
      <c r="A1663" t="s">
        <v>944</v>
      </c>
      <c r="M1663" s="19"/>
      <c r="N1663" s="19"/>
    </row>
    <row r="1664" spans="1:33" hidden="1" outlineLevel="1" x14ac:dyDescent="0.25">
      <c r="A1664" t="s">
        <v>946</v>
      </c>
      <c r="E1664" s="19"/>
    </row>
    <row r="1665" spans="1:6" hidden="1" outlineLevel="1" x14ac:dyDescent="0.25">
      <c r="A1665" t="s">
        <v>947</v>
      </c>
      <c r="E1665" s="19"/>
      <c r="F1665" s="19"/>
    </row>
    <row r="1666" spans="1:6" ht="13" hidden="1" outlineLevel="1" x14ac:dyDescent="0.3">
      <c r="A1666" s="20" t="s">
        <v>948</v>
      </c>
    </row>
    <row r="1667" spans="1:6" hidden="1" outlineLevel="1" x14ac:dyDescent="0.25">
      <c r="A1667" s="7" t="s">
        <v>949</v>
      </c>
    </row>
    <row r="1668" spans="1:6" hidden="1" outlineLevel="1" x14ac:dyDescent="0.25">
      <c r="A1668" t="s">
        <v>950</v>
      </c>
    </row>
    <row r="1669" spans="1:6" hidden="1" outlineLevel="1" x14ac:dyDescent="0.25">
      <c r="A1669" t="s">
        <v>951</v>
      </c>
    </row>
    <row r="1670" spans="1:6" ht="13" hidden="1" outlineLevel="1" x14ac:dyDescent="0.3">
      <c r="A1670" s="21" t="str">
        <f>CONCATENATE("sql where a.client = '",$D$172,"' and a.period between '",LEFT($D$170,4),"00' and '",LEFT($D$171,4),"14' and a.version like '%ORIG%'")</f>
        <v>sql where a.client = 'OX' and a.period between '202500' and '202514' and a.version like '%ORIG%'</v>
      </c>
    </row>
    <row r="1671" spans="1:6" hidden="1" outlineLevel="1" x14ac:dyDescent="0.25">
      <c r="A1671" t="s">
        <v>952</v>
      </c>
    </row>
    <row r="1672" spans="1:6" hidden="1" outlineLevel="1" x14ac:dyDescent="0.25">
      <c r="A1672" t="s">
        <v>953</v>
      </c>
    </row>
    <row r="1673" spans="1:6" hidden="1" outlineLevel="1" x14ac:dyDescent="0.25">
      <c r="A1673" t="s">
        <v>954</v>
      </c>
    </row>
    <row r="1674" spans="1:6" ht="13" hidden="1" outlineLevel="1" x14ac:dyDescent="0.3">
      <c r="A1674" s="20" t="s">
        <v>955</v>
      </c>
    </row>
    <row r="1675" spans="1:6" hidden="1" outlineLevel="1" x14ac:dyDescent="0.25">
      <c r="A1675" s="7" t="s">
        <v>956</v>
      </c>
    </row>
    <row r="1676" spans="1:6" hidden="1" outlineLevel="1" x14ac:dyDescent="0.25">
      <c r="A1676" t="s">
        <v>950</v>
      </c>
    </row>
    <row r="1677" spans="1:6" hidden="1" outlineLevel="1" x14ac:dyDescent="0.25">
      <c r="A1677" t="s">
        <v>951</v>
      </c>
    </row>
    <row r="1678" spans="1:6" ht="14.5" hidden="1" outlineLevel="1" x14ac:dyDescent="0.35">
      <c r="A1678"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678" s="2"/>
    </row>
    <row r="1679" spans="1:6" hidden="1" outlineLevel="1" x14ac:dyDescent="0.25">
      <c r="A1679" t="s">
        <v>952</v>
      </c>
    </row>
    <row r="1680" spans="1:6" hidden="1" outlineLevel="1" x14ac:dyDescent="0.25">
      <c r="A1680" t="s">
        <v>953</v>
      </c>
    </row>
    <row r="1681" spans="1:1" hidden="1" outlineLevel="1" x14ac:dyDescent="0.25">
      <c r="A1681" t="s">
        <v>954</v>
      </c>
    </row>
    <row r="1682" spans="1:1" ht="13" hidden="1" outlineLevel="1" x14ac:dyDescent="0.3">
      <c r="A1682" s="66" t="s">
        <v>957</v>
      </c>
    </row>
    <row r="1683" spans="1:1" hidden="1" outlineLevel="1" x14ac:dyDescent="0.25">
      <c r="A1683" t="s">
        <v>958</v>
      </c>
    </row>
    <row r="1684" spans="1:1" hidden="1" outlineLevel="1" x14ac:dyDescent="0.25">
      <c r="A1684" t="s">
        <v>950</v>
      </c>
    </row>
    <row r="1685" spans="1:1" ht="13" hidden="1" outlineLevel="1" x14ac:dyDescent="0.3">
      <c r="A168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686" spans="1:1" ht="13" hidden="1" outlineLevel="1" x14ac:dyDescent="0.3">
      <c r="A1686" s="21" t="s">
        <v>959</v>
      </c>
    </row>
    <row r="1687" spans="1:1" hidden="1" outlineLevel="1" x14ac:dyDescent="0.25">
      <c r="A1687" t="s">
        <v>960</v>
      </c>
    </row>
    <row r="1688" spans="1:1" hidden="1" outlineLevel="1" x14ac:dyDescent="0.25">
      <c r="A1688" t="s">
        <v>961</v>
      </c>
    </row>
    <row r="1689" spans="1:1" hidden="1" outlineLevel="1" x14ac:dyDescent="0.25">
      <c r="A1689" t="str">
        <f>CONCATENATE("sql left outer join acrtrees t on t.client = x.client and x.dim_1 = t.cat_1 and t.att_agrid = '",$F$159,"'")</f>
        <v>sql left outer join acrtrees t on t.client = x.client and x.dim_1 = t.cat_1 and t.att_agrid = '53'</v>
      </c>
    </row>
    <row r="1690" spans="1:1" ht="13" hidden="1" outlineLevel="1" x14ac:dyDescent="0.3">
      <c r="A169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691" spans="1:1" ht="13" hidden="1" outlineLevel="1" x14ac:dyDescent="0.3">
      <c r="A1691" s="21" t="s">
        <v>962</v>
      </c>
    </row>
    <row r="1692" spans="1:1" ht="13" hidden="1" outlineLevel="1" x14ac:dyDescent="0.3">
      <c r="A1692"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693" spans="1:1" ht="13" hidden="1" outlineLevel="1" x14ac:dyDescent="0.3">
      <c r="A1693" s="21" t="s">
        <v>963</v>
      </c>
    </row>
    <row r="1694" spans="1:1" hidden="1" outlineLevel="1" x14ac:dyDescent="0.25">
      <c r="A1694" t="s">
        <v>964</v>
      </c>
    </row>
    <row r="1695" spans="1:1" hidden="1" outlineLevel="1" x14ac:dyDescent="0.25">
      <c r="A1695" t="s">
        <v>965</v>
      </c>
    </row>
    <row r="1696" spans="1:1" hidden="1" outlineLevel="1" x14ac:dyDescent="0.25">
      <c r="A1696" t="s">
        <v>966</v>
      </c>
    </row>
    <row r="1697" spans="1:1" hidden="1" outlineLevel="1" x14ac:dyDescent="0.25">
      <c r="A1697" t="s">
        <v>953</v>
      </c>
    </row>
    <row r="1698" spans="1:1" hidden="1" outlineLevel="1" x14ac:dyDescent="0.25">
      <c r="A1698" t="s">
        <v>954</v>
      </c>
    </row>
    <row r="1699" spans="1:1" ht="13" hidden="1" outlineLevel="1" x14ac:dyDescent="0.3">
      <c r="A1699" s="66" t="s">
        <v>967</v>
      </c>
    </row>
    <row r="1700" spans="1:1" hidden="1" outlineLevel="1" x14ac:dyDescent="0.25">
      <c r="A1700" t="s">
        <v>968</v>
      </c>
    </row>
    <row r="1701" spans="1:1" hidden="1" outlineLevel="1" x14ac:dyDescent="0.25">
      <c r="A1701" t="s">
        <v>950</v>
      </c>
    </row>
    <row r="1702" spans="1:1" ht="13" hidden="1" outlineLevel="1" x14ac:dyDescent="0.3">
      <c r="A170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703" spans="1:1" ht="13" hidden="1" outlineLevel="1" x14ac:dyDescent="0.3">
      <c r="A1703" s="21" t="s">
        <v>969</v>
      </c>
    </row>
    <row r="1704" spans="1:1" ht="13" hidden="1" outlineLevel="1" x14ac:dyDescent="0.3">
      <c r="A1704" s="21" t="s">
        <v>959</v>
      </c>
    </row>
    <row r="1705" spans="1:1" hidden="1" outlineLevel="1" x14ac:dyDescent="0.25">
      <c r="A1705" t="s">
        <v>960</v>
      </c>
    </row>
    <row r="1706" spans="1:1" hidden="1" outlineLevel="1" x14ac:dyDescent="0.25">
      <c r="A1706" t="s">
        <v>961</v>
      </c>
    </row>
    <row r="1707" spans="1:1" hidden="1" outlineLevel="1" x14ac:dyDescent="0.25">
      <c r="A1707" t="str">
        <f>CONCATENATE("sql left outer join acrtrees t on t.client = x.client and x.dim_1 = t.cat_1 and t.att_agrid = '",$F$159,"'")</f>
        <v>sql left outer join acrtrees t on t.client = x.client and x.dim_1 = t.cat_1 and t.att_agrid = '53'</v>
      </c>
    </row>
    <row r="1708" spans="1:1" ht="13" hidden="1" outlineLevel="1" x14ac:dyDescent="0.3">
      <c r="A170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709" spans="1:1" ht="13" hidden="1" outlineLevel="1" x14ac:dyDescent="0.3">
      <c r="A1709" s="21" t="s">
        <v>970</v>
      </c>
    </row>
    <row r="1710" spans="1:1" ht="13" hidden="1" outlineLevel="1" x14ac:dyDescent="0.3">
      <c r="A1710" s="21" t="s">
        <v>962</v>
      </c>
    </row>
    <row r="1711" spans="1:1" ht="13" hidden="1" outlineLevel="1" x14ac:dyDescent="0.3">
      <c r="A1711"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712" spans="1:1" ht="13" hidden="1" outlineLevel="1" x14ac:dyDescent="0.3">
      <c r="A1712" s="21" t="s">
        <v>970</v>
      </c>
    </row>
    <row r="1713" spans="1:1" ht="13" hidden="1" outlineLevel="1" x14ac:dyDescent="0.3">
      <c r="A1713" s="21" t="s">
        <v>963</v>
      </c>
    </row>
    <row r="1714" spans="1:1" hidden="1" outlineLevel="1" x14ac:dyDescent="0.25">
      <c r="A1714" t="s">
        <v>964</v>
      </c>
    </row>
    <row r="1715" spans="1:1" hidden="1" outlineLevel="1" x14ac:dyDescent="0.25">
      <c r="A1715" t="s">
        <v>965</v>
      </c>
    </row>
    <row r="1716" spans="1:1" hidden="1" outlineLevel="1" x14ac:dyDescent="0.25">
      <c r="A1716" t="s">
        <v>966</v>
      </c>
    </row>
    <row r="1717" spans="1:1" hidden="1" outlineLevel="1" x14ac:dyDescent="0.25">
      <c r="A1717" t="s">
        <v>953</v>
      </c>
    </row>
    <row r="1718" spans="1:1" hidden="1" outlineLevel="1" x14ac:dyDescent="0.25">
      <c r="A1718" t="s">
        <v>954</v>
      </c>
    </row>
    <row r="1719" spans="1:1" ht="13" hidden="1" outlineLevel="1" x14ac:dyDescent="0.3">
      <c r="A1719" s="66" t="s">
        <v>971</v>
      </c>
    </row>
    <row r="1720" spans="1:1" hidden="1" outlineLevel="1" x14ac:dyDescent="0.25">
      <c r="A1720" t="s">
        <v>972</v>
      </c>
    </row>
    <row r="1721" spans="1:1" hidden="1" outlineLevel="1" x14ac:dyDescent="0.25">
      <c r="A1721" t="s">
        <v>950</v>
      </c>
    </row>
    <row r="1722" spans="1:1" ht="13" hidden="1" outlineLevel="1" x14ac:dyDescent="0.3">
      <c r="A172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723" spans="1:1" ht="13" hidden="1" outlineLevel="1" x14ac:dyDescent="0.3">
      <c r="A1723" s="21" t="s">
        <v>959</v>
      </c>
    </row>
    <row r="1724" spans="1:1" hidden="1" outlineLevel="1" x14ac:dyDescent="0.25">
      <c r="A1724" t="s">
        <v>960</v>
      </c>
    </row>
    <row r="1725" spans="1:1" hidden="1" outlineLevel="1" x14ac:dyDescent="0.25">
      <c r="A1725" t="s">
        <v>961</v>
      </c>
    </row>
    <row r="1726" spans="1:1" hidden="1" outlineLevel="1" x14ac:dyDescent="0.25">
      <c r="A1726" t="str">
        <f>CONCATENATE("sql left outer join acrtrees t on t.client = x.client and x.dim_1 = t.cat_1 and t.att_agrid = '",$F$159,"'")</f>
        <v>sql left outer join acrtrees t on t.client = x.client and x.dim_1 = t.cat_1 and t.att_agrid = '53'</v>
      </c>
    </row>
    <row r="1727" spans="1:1" ht="13" hidden="1" outlineLevel="1" x14ac:dyDescent="0.3">
      <c r="A172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728" spans="1:1" ht="13" hidden="1" outlineLevel="1" x14ac:dyDescent="0.3">
      <c r="A1728" s="21" t="s">
        <v>973</v>
      </c>
    </row>
    <row r="1729" spans="1:1" hidden="1" outlineLevel="1" x14ac:dyDescent="0.25">
      <c r="A1729" t="s">
        <v>964</v>
      </c>
    </row>
    <row r="1730" spans="1:1" hidden="1" outlineLevel="1" x14ac:dyDescent="0.25">
      <c r="A1730" t="s">
        <v>965</v>
      </c>
    </row>
    <row r="1731" spans="1:1" hidden="1" outlineLevel="1" x14ac:dyDescent="0.25">
      <c r="A1731" t="s">
        <v>966</v>
      </c>
    </row>
    <row r="1732" spans="1:1" hidden="1" outlineLevel="1" x14ac:dyDescent="0.25">
      <c r="A1732" t="s">
        <v>953</v>
      </c>
    </row>
    <row r="1733" spans="1:1" hidden="1" outlineLevel="1" x14ac:dyDescent="0.25">
      <c r="A1733" t="s">
        <v>954</v>
      </c>
    </row>
    <row r="1734" spans="1:1" ht="13" hidden="1" outlineLevel="1" x14ac:dyDescent="0.3">
      <c r="A1734" s="66" t="s">
        <v>974</v>
      </c>
    </row>
    <row r="1735" spans="1:1" hidden="1" outlineLevel="1" x14ac:dyDescent="0.25">
      <c r="A1735" t="s">
        <v>975</v>
      </c>
    </row>
    <row r="1736" spans="1:1" hidden="1" outlineLevel="1" x14ac:dyDescent="0.25">
      <c r="A1736" t="s">
        <v>950</v>
      </c>
    </row>
    <row r="1737" spans="1:1" ht="13" hidden="1" outlineLevel="1" x14ac:dyDescent="0.3">
      <c r="A173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738" spans="1:1" ht="13" hidden="1" outlineLevel="1" x14ac:dyDescent="0.3">
      <c r="A1738" s="21" t="s">
        <v>959</v>
      </c>
    </row>
    <row r="1739" spans="1:1" hidden="1" outlineLevel="1" x14ac:dyDescent="0.25">
      <c r="A1739" t="s">
        <v>960</v>
      </c>
    </row>
    <row r="1740" spans="1:1" hidden="1" outlineLevel="1" x14ac:dyDescent="0.25">
      <c r="A1740" t="s">
        <v>961</v>
      </c>
    </row>
    <row r="1741" spans="1:1" hidden="1" outlineLevel="1" x14ac:dyDescent="0.25">
      <c r="A1741" t="str">
        <f>CONCATENATE("sql left outer join acrtrees t on t.client = x.client and x.dim_1 = t.cat_1 and t.att_agrid = '",$F$159,"'")</f>
        <v>sql left outer join acrtrees t on t.client = x.client and x.dim_1 = t.cat_1 and t.att_agrid = '53'</v>
      </c>
    </row>
    <row r="1742" spans="1:1" ht="13" hidden="1" outlineLevel="1" x14ac:dyDescent="0.3">
      <c r="A174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743" spans="1:1" ht="13" hidden="1" outlineLevel="1" x14ac:dyDescent="0.3">
      <c r="A1743" s="21" t="s">
        <v>973</v>
      </c>
    </row>
    <row r="1744" spans="1:1" hidden="1" outlineLevel="1" x14ac:dyDescent="0.25">
      <c r="A1744" t="s">
        <v>964</v>
      </c>
    </row>
    <row r="1745" spans="1:1" hidden="1" outlineLevel="1" x14ac:dyDescent="0.25">
      <c r="A1745" t="s">
        <v>965</v>
      </c>
    </row>
    <row r="1746" spans="1:1" hidden="1" outlineLevel="1" x14ac:dyDescent="0.25">
      <c r="A1746" t="s">
        <v>966</v>
      </c>
    </row>
    <row r="1747" spans="1:1" hidden="1" outlineLevel="1" x14ac:dyDescent="0.25">
      <c r="A1747" t="s">
        <v>953</v>
      </c>
    </row>
    <row r="1748" spans="1:1" hidden="1" outlineLevel="1" x14ac:dyDescent="0.25">
      <c r="A1748" t="s">
        <v>954</v>
      </c>
    </row>
    <row r="1749" spans="1:1" ht="13" hidden="1" outlineLevel="1" x14ac:dyDescent="0.3">
      <c r="A1749" s="66" t="s">
        <v>976</v>
      </c>
    </row>
    <row r="1750" spans="1:1" hidden="1" outlineLevel="1" x14ac:dyDescent="0.25">
      <c r="A1750" t="s">
        <v>977</v>
      </c>
    </row>
    <row r="1751" spans="1:1" hidden="1" outlineLevel="1" x14ac:dyDescent="0.25">
      <c r="A1751" t="s">
        <v>950</v>
      </c>
    </row>
    <row r="1752" spans="1:1" ht="13" hidden="1" outlineLevel="1" x14ac:dyDescent="0.3">
      <c r="A175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753" spans="1:1" ht="13" hidden="1" outlineLevel="1" x14ac:dyDescent="0.3">
      <c r="A1753" s="21" t="s">
        <v>959</v>
      </c>
    </row>
    <row r="1754" spans="1:1" hidden="1" outlineLevel="1" x14ac:dyDescent="0.25">
      <c r="A1754" t="s">
        <v>960</v>
      </c>
    </row>
    <row r="1755" spans="1:1" hidden="1" outlineLevel="1" x14ac:dyDescent="0.25">
      <c r="A1755" t="s">
        <v>961</v>
      </c>
    </row>
    <row r="1756" spans="1:1" hidden="1" outlineLevel="1" x14ac:dyDescent="0.25">
      <c r="A1756" t="str">
        <f>CONCATENATE("sql left outer join acrtrees t on t.client = x.client and x.dim_1 = t.cat_1 and t.att_agrid = '",$F$159,"'")</f>
        <v>sql left outer join acrtrees t on t.client = x.client and x.dim_1 = t.cat_1 and t.att_agrid = '53'</v>
      </c>
    </row>
    <row r="1757" spans="1:1" ht="13" hidden="1" outlineLevel="1" x14ac:dyDescent="0.3">
      <c r="A175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758" spans="1:1" ht="13" hidden="1" outlineLevel="1" x14ac:dyDescent="0.3">
      <c r="A1758" s="21" t="s">
        <v>978</v>
      </c>
    </row>
    <row r="1759" spans="1:1" hidden="1" outlineLevel="1" x14ac:dyDescent="0.25">
      <c r="A1759" t="s">
        <v>979</v>
      </c>
    </row>
    <row r="1760" spans="1:1" hidden="1" outlineLevel="1" x14ac:dyDescent="0.25">
      <c r="A1760" t="s">
        <v>980</v>
      </c>
    </row>
    <row r="1761" spans="1:1" hidden="1" outlineLevel="1" x14ac:dyDescent="0.25">
      <c r="A1761" t="s">
        <v>966</v>
      </c>
    </row>
    <row r="1762" spans="1:1" hidden="1" outlineLevel="1" x14ac:dyDescent="0.25">
      <c r="A1762" t="s">
        <v>953</v>
      </c>
    </row>
    <row r="1763" spans="1:1" hidden="1" outlineLevel="1" x14ac:dyDescent="0.25">
      <c r="A1763" t="s">
        <v>954</v>
      </c>
    </row>
    <row r="1764" spans="1:1" ht="13" hidden="1" outlineLevel="1" x14ac:dyDescent="0.3">
      <c r="A1764" s="66" t="s">
        <v>981</v>
      </c>
    </row>
    <row r="1765" spans="1:1" hidden="1" outlineLevel="1" x14ac:dyDescent="0.25">
      <c r="A1765" t="s">
        <v>982</v>
      </c>
    </row>
    <row r="1766" spans="1:1" hidden="1" outlineLevel="1" x14ac:dyDescent="0.25">
      <c r="A1766" t="s">
        <v>950</v>
      </c>
    </row>
    <row r="1767" spans="1:1" ht="13" hidden="1" outlineLevel="1" x14ac:dyDescent="0.3">
      <c r="A176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768" spans="1:1" ht="13" hidden="1" outlineLevel="1" x14ac:dyDescent="0.3">
      <c r="A1768" s="21" t="s">
        <v>969</v>
      </c>
    </row>
    <row r="1769" spans="1:1" ht="13" hidden="1" outlineLevel="1" x14ac:dyDescent="0.3">
      <c r="A1769" s="21" t="s">
        <v>959</v>
      </c>
    </row>
    <row r="1770" spans="1:1" hidden="1" outlineLevel="1" x14ac:dyDescent="0.25">
      <c r="A1770" t="s">
        <v>960</v>
      </c>
    </row>
    <row r="1771" spans="1:1" hidden="1" outlineLevel="1" x14ac:dyDescent="0.25">
      <c r="A1771" t="s">
        <v>961</v>
      </c>
    </row>
    <row r="1772" spans="1:1" hidden="1" outlineLevel="1" x14ac:dyDescent="0.25">
      <c r="A1772" t="str">
        <f>CONCATENATE("sql left outer join acrtrees t on t.client = x.client and x.dim_1 = t.cat_1 and t.att_agrid = '",$F$159,"'")</f>
        <v>sql left outer join acrtrees t on t.client = x.client and x.dim_1 = t.cat_1 and t.att_agrid = '53'</v>
      </c>
    </row>
    <row r="1773" spans="1:1" ht="13" hidden="1" outlineLevel="1" x14ac:dyDescent="0.3">
      <c r="A177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774" spans="1:1" ht="13" hidden="1" outlineLevel="1" x14ac:dyDescent="0.3">
      <c r="A1774" s="21" t="s">
        <v>970</v>
      </c>
    </row>
    <row r="1775" spans="1:1" ht="13" hidden="1" outlineLevel="1" x14ac:dyDescent="0.3">
      <c r="A1775" s="21" t="s">
        <v>978</v>
      </c>
    </row>
    <row r="1776" spans="1:1" hidden="1" outlineLevel="1" x14ac:dyDescent="0.25">
      <c r="A1776" t="s">
        <v>979</v>
      </c>
    </row>
    <row r="1777" spans="1:3" hidden="1" outlineLevel="1" x14ac:dyDescent="0.25">
      <c r="A1777" t="s">
        <v>980</v>
      </c>
    </row>
    <row r="1778" spans="1:3" hidden="1" outlineLevel="1" x14ac:dyDescent="0.25">
      <c r="A1778" t="s">
        <v>966</v>
      </c>
    </row>
    <row r="1779" spans="1:3" hidden="1" outlineLevel="1" x14ac:dyDescent="0.25">
      <c r="A1779" t="s">
        <v>953</v>
      </c>
    </row>
    <row r="1780" spans="1:3" hidden="1" outlineLevel="1" x14ac:dyDescent="0.25">
      <c r="A1780" t="s">
        <v>954</v>
      </c>
    </row>
    <row r="1781" spans="1:3" ht="13" hidden="1" outlineLevel="1" x14ac:dyDescent="0.3">
      <c r="A1781" s="20" t="s">
        <v>983</v>
      </c>
    </row>
    <row r="1782" spans="1:3" hidden="1" outlineLevel="1" x14ac:dyDescent="0.25">
      <c r="A1782" s="7" t="s">
        <v>984</v>
      </c>
    </row>
    <row r="1783" spans="1:3" hidden="1" outlineLevel="1" x14ac:dyDescent="0.25">
      <c r="A1783" t="s">
        <v>950</v>
      </c>
    </row>
    <row r="1784" spans="1:3" hidden="1" outlineLevel="1" x14ac:dyDescent="0.25">
      <c r="A1784" t="s">
        <v>951</v>
      </c>
    </row>
    <row r="1785" spans="1:3" ht="14.5" hidden="1" outlineLevel="1" x14ac:dyDescent="0.35">
      <c r="A1785"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785" s="2"/>
    </row>
    <row r="1786" spans="1:3" hidden="1" outlineLevel="1" x14ac:dyDescent="0.25">
      <c r="A1786" t="s">
        <v>952</v>
      </c>
    </row>
    <row r="1787" spans="1:3" hidden="1" outlineLevel="1" x14ac:dyDescent="0.25">
      <c r="A1787" t="s">
        <v>953</v>
      </c>
    </row>
    <row r="1788" spans="1:3" hidden="1" outlineLevel="1" x14ac:dyDescent="0.25">
      <c r="A1788" t="s">
        <v>954</v>
      </c>
    </row>
    <row r="1789" spans="1:3" ht="13" hidden="1" outlineLevel="1" x14ac:dyDescent="0.3">
      <c r="A1789" s="20" t="s">
        <v>985</v>
      </c>
    </row>
    <row r="1790" spans="1:3" hidden="1" outlineLevel="1" x14ac:dyDescent="0.25">
      <c r="A1790" s="7" t="s">
        <v>986</v>
      </c>
    </row>
    <row r="1791" spans="1:3" hidden="1" outlineLevel="1" x14ac:dyDescent="0.25">
      <c r="A1791" t="s">
        <v>987</v>
      </c>
    </row>
    <row r="1792" spans="1:3" ht="13" hidden="1" outlineLevel="1" x14ac:dyDescent="0.3">
      <c r="A1792" s="21" t="str">
        <f>CONCATENATE("sql where a.client = '",$D$172,"' and a.period between '",LEFT($D$170,4),"00' and '",IF(RIGHT($D$171,2)="12",CONCATENATE(LEFT($D$171,4),"14"),$D$171),"'")</f>
        <v>sql where a.client = 'OX' and a.period between '202500' and '202506'</v>
      </c>
    </row>
    <row r="1793" spans="1:1" hidden="1" outlineLevel="1" x14ac:dyDescent="0.25">
      <c r="A1793" t="s">
        <v>952</v>
      </c>
    </row>
    <row r="1794" spans="1:1" hidden="1" outlineLevel="1" x14ac:dyDescent="0.25">
      <c r="A1794" t="s">
        <v>953</v>
      </c>
    </row>
    <row r="1795" spans="1:1" hidden="1" outlineLevel="1" x14ac:dyDescent="0.25">
      <c r="A1795" t="s">
        <v>954</v>
      </c>
    </row>
    <row r="1796" spans="1:1" ht="13" hidden="1" outlineLevel="1" x14ac:dyDescent="0.3">
      <c r="A1796" s="20" t="s">
        <v>988</v>
      </c>
    </row>
    <row r="1797" spans="1:1" hidden="1" outlineLevel="1" x14ac:dyDescent="0.25">
      <c r="A1797" s="7" t="s">
        <v>989</v>
      </c>
    </row>
    <row r="1798" spans="1:1" hidden="1" outlineLevel="1" x14ac:dyDescent="0.25">
      <c r="A1798" t="s">
        <v>950</v>
      </c>
    </row>
    <row r="1799" spans="1:1" hidden="1" outlineLevel="1" x14ac:dyDescent="0.25">
      <c r="A1799" t="s">
        <v>951</v>
      </c>
    </row>
    <row r="1800" spans="1:1" ht="13" hidden="1" outlineLevel="1" x14ac:dyDescent="0.3">
      <c r="A1800"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801" spans="1:1" hidden="1" outlineLevel="1" x14ac:dyDescent="0.25">
      <c r="A1801" t="s">
        <v>952</v>
      </c>
    </row>
    <row r="1802" spans="1:1" hidden="1" outlineLevel="1" x14ac:dyDescent="0.25">
      <c r="A1802" t="s">
        <v>953</v>
      </c>
    </row>
    <row r="1803" spans="1:1" hidden="1" outlineLevel="1" x14ac:dyDescent="0.25">
      <c r="A1803" t="s">
        <v>954</v>
      </c>
    </row>
    <row r="1804" spans="1:1" ht="13" hidden="1" outlineLevel="1" x14ac:dyDescent="0.3">
      <c r="A1804" s="20" t="s">
        <v>990</v>
      </c>
    </row>
    <row r="1805" spans="1:1" hidden="1" outlineLevel="1" x14ac:dyDescent="0.25">
      <c r="A1805" s="7" t="s">
        <v>991</v>
      </c>
    </row>
    <row r="1806" spans="1:1" hidden="1" outlineLevel="1" x14ac:dyDescent="0.25">
      <c r="A1806" t="s">
        <v>950</v>
      </c>
    </row>
    <row r="1807" spans="1:1" hidden="1" outlineLevel="1" x14ac:dyDescent="0.25">
      <c r="A1807" t="s">
        <v>951</v>
      </c>
    </row>
    <row r="1808" spans="1:1" ht="13" hidden="1" outlineLevel="1" x14ac:dyDescent="0.3">
      <c r="A180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809" spans="1:1" hidden="1" outlineLevel="1" x14ac:dyDescent="0.25">
      <c r="A1809" t="s">
        <v>952</v>
      </c>
    </row>
    <row r="1810" spans="1:1" hidden="1" outlineLevel="1" x14ac:dyDescent="0.25">
      <c r="A1810" t="s">
        <v>953</v>
      </c>
    </row>
    <row r="1811" spans="1:1" hidden="1" outlineLevel="1" x14ac:dyDescent="0.25">
      <c r="A1811" t="s">
        <v>954</v>
      </c>
    </row>
    <row r="1812" spans="1:1" ht="13" hidden="1" outlineLevel="1" x14ac:dyDescent="0.3">
      <c r="A1812" s="20" t="s">
        <v>992</v>
      </c>
    </row>
    <row r="1813" spans="1:1" hidden="1" outlineLevel="1" x14ac:dyDescent="0.25">
      <c r="A1813" s="7" t="s">
        <v>993</v>
      </c>
    </row>
    <row r="1814" spans="1:1" hidden="1" outlineLevel="1" x14ac:dyDescent="0.25">
      <c r="A1814" t="s">
        <v>950</v>
      </c>
    </row>
    <row r="1815" spans="1:1" hidden="1" outlineLevel="1" x14ac:dyDescent="0.25">
      <c r="A1815" t="s">
        <v>951</v>
      </c>
    </row>
    <row r="1816" spans="1:1" ht="13" hidden="1" outlineLevel="1" x14ac:dyDescent="0.3">
      <c r="A181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817" spans="1:1" hidden="1" outlineLevel="1" x14ac:dyDescent="0.25">
      <c r="A1817" t="s">
        <v>952</v>
      </c>
    </row>
    <row r="1818" spans="1:1" hidden="1" outlineLevel="1" x14ac:dyDescent="0.25">
      <c r="A1818" t="s">
        <v>953</v>
      </c>
    </row>
    <row r="1819" spans="1:1" hidden="1" outlineLevel="1" x14ac:dyDescent="0.25">
      <c r="A1819" t="s">
        <v>994</v>
      </c>
    </row>
    <row r="1820" spans="1:1" hidden="1" outlineLevel="1" x14ac:dyDescent="0.25">
      <c r="A1820" t="str">
        <f>CONCATENATE("sql left outer join acrtrees t on t.client = u.client and u.dim_1 = t.cat_1 and t.att_agrid = '",$F$159,"'")</f>
        <v>sql left outer join acrtrees t on t.client = u.client and u.dim_1 = t.cat_1 and t.att_agrid = '53'</v>
      </c>
    </row>
    <row r="1821" spans="1:1" hidden="1" outlineLevel="1" x14ac:dyDescent="0.25">
      <c r="A1821" t="str">
        <f>CONCATENATE("sql left outer join acrtrees s on s.client = u.client and u.account = s.cat_1 and s.att_agrid = '",$F$160,"'")</f>
        <v>sql left outer join acrtrees s on s.client = u.client and u.account = s.cat_1 and s.att_agrid = '14'</v>
      </c>
    </row>
    <row r="1822" spans="1:1" hidden="1" outlineLevel="1" x14ac:dyDescent="0.25">
      <c r="A1822" t="str">
        <f>CONCATENATE("sql left outer join acrtrees v on v.client = u.client and u.account = v.cat_1 and v.att_agrid = '",$F$161,"'")</f>
        <v>sql left outer join acrtrees v on v.client = u.client and u.account = v.cat_1 and v.att_agrid = '17'</v>
      </c>
    </row>
    <row r="1823" spans="1:1" hidden="1" outlineLevel="1" x14ac:dyDescent="0.25">
      <c r="A1823" t="str">
        <f>CONCATENATE("sql left outer join agldescription d on d.client = u.client and d.dim_value = t.dim_c and d.attribute_id = '",$F$162,"'")</f>
        <v>sql left outer join agldescription d on d.client = u.client and d.dim_value = t.dim_c and d.attribute_id = '82'</v>
      </c>
    </row>
    <row r="1824" spans="1:1" hidden="1" outlineLevel="1" x14ac:dyDescent="0.25">
      <c r="A1824" t="str">
        <f>CONCATENATE("sql left outer join agldescription e on e.client = u.client and e.dim_value = t.dim_b and e.attribute_id = '",$F$163,"'")</f>
        <v>sql left outer join agldescription e on e.client = u.client and e.dim_value = t.dim_b and e.attribute_id = '81'</v>
      </c>
    </row>
    <row r="1825" spans="1:33" hidden="1" outlineLevel="1" x14ac:dyDescent="0.25">
      <c r="A1825" t="str">
        <f>CONCATENATE("sql left outer join agldescription f on f.client = u.client and f.dim_value = t.dim_e and f.attribute_id = '",$F$164,"'")</f>
        <v>sql left outer join agldescription f on f.client = u.client and f.dim_value = t.dim_e and f.attribute_id = '80'</v>
      </c>
    </row>
    <row r="1826" spans="1:33" hidden="1" outlineLevel="1" x14ac:dyDescent="0.25">
      <c r="A1826" t="str">
        <f>CONCATENATE("sql left outer join agldescription g on g.client = u.client and g.dim_value = u.account and g.attribute_id = '",$F$165,"'")</f>
        <v>sql left outer join agldescription g on g.client = u.client and g.dim_value = u.account and g.attribute_id = 'A0'</v>
      </c>
    </row>
    <row r="1827" spans="1:33" ht="14.5" hidden="1" outlineLevel="1" x14ac:dyDescent="0.35">
      <c r="A1827" s="67" t="s">
        <v>1052</v>
      </c>
      <c r="G1827" s="737" t="s">
        <v>1053</v>
      </c>
    </row>
    <row r="1828" spans="1:33" hidden="1" outlineLevel="1" x14ac:dyDescent="0.25">
      <c r="A1828" t="s">
        <v>1005</v>
      </c>
    </row>
    <row r="1829" spans="1:33" hidden="1" outlineLevel="1" x14ac:dyDescent="0.25">
      <c r="A1829" t="s">
        <v>1006</v>
      </c>
    </row>
    <row r="1830" spans="1:33" hidden="1" outlineLevel="1" x14ac:dyDescent="0.25">
      <c r="A1830" t="s">
        <v>1007</v>
      </c>
    </row>
    <row r="1831" spans="1:33" ht="13" hidden="1" outlineLevel="1" x14ac:dyDescent="0.3">
      <c r="A1831" t="s">
        <v>1012</v>
      </c>
      <c r="C1831" s="29"/>
      <c r="D1831" s="36">
        <v>1000</v>
      </c>
      <c r="E1831" s="36">
        <v>1000</v>
      </c>
      <c r="F1831" s="22">
        <v>1000</v>
      </c>
      <c r="G1831" s="22">
        <v>1000</v>
      </c>
      <c r="H1831" s="22">
        <v>1000</v>
      </c>
      <c r="I1831" s="22">
        <v>1000</v>
      </c>
      <c r="J1831" s="22">
        <v>1000</v>
      </c>
      <c r="K1831" s="22">
        <v>1000</v>
      </c>
      <c r="L1831" s="22"/>
      <c r="M1831" s="36"/>
      <c r="N1831" s="36"/>
      <c r="O1831" s="36">
        <v>1000</v>
      </c>
      <c r="P1831" s="36">
        <v>1000</v>
      </c>
      <c r="Q1831" s="36">
        <v>1000</v>
      </c>
      <c r="R1831" s="36">
        <v>1000</v>
      </c>
      <c r="S1831" s="36">
        <v>1000</v>
      </c>
      <c r="T1831" s="36"/>
      <c r="U1831" s="36"/>
      <c r="V1831" s="58"/>
      <c r="W1831" s="36">
        <v>1000</v>
      </c>
      <c r="X1831" s="36">
        <v>1000</v>
      </c>
      <c r="Y1831" s="36"/>
      <c r="Z1831" s="36"/>
      <c r="AA1831" s="40"/>
      <c r="AB1831" s="60"/>
      <c r="AC1831" s="98"/>
      <c r="AD1831" s="36"/>
      <c r="AE1831" s="36"/>
      <c r="AF1831" s="36"/>
      <c r="AG1831" s="99"/>
    </row>
    <row r="1832" spans="1:33" ht="13" hidden="1" outlineLevel="1" x14ac:dyDescent="0.3">
      <c r="A1832" s="7" t="s">
        <v>1013</v>
      </c>
      <c r="C1832" s="29"/>
      <c r="D1832" s="36">
        <v>0</v>
      </c>
      <c r="E1832" s="36">
        <v>0</v>
      </c>
      <c r="F1832" s="22">
        <v>0</v>
      </c>
      <c r="G1832" s="22">
        <v>0</v>
      </c>
      <c r="H1832" s="22">
        <v>0</v>
      </c>
      <c r="I1832" s="22">
        <v>0</v>
      </c>
      <c r="J1832" s="22">
        <v>0</v>
      </c>
      <c r="K1832" s="22">
        <v>0</v>
      </c>
      <c r="L1832" s="22"/>
      <c r="M1832" s="36"/>
      <c r="N1832" s="36"/>
      <c r="O1832" s="36">
        <v>0</v>
      </c>
      <c r="P1832" s="36">
        <v>0</v>
      </c>
      <c r="Q1832" s="36">
        <v>0</v>
      </c>
      <c r="R1832" s="36">
        <v>0</v>
      </c>
      <c r="S1832" s="36">
        <v>0</v>
      </c>
      <c r="T1832" s="36"/>
      <c r="U1832" s="36"/>
      <c r="V1832" s="58"/>
      <c r="W1832" s="36">
        <v>0</v>
      </c>
      <c r="X1832" s="36">
        <v>0</v>
      </c>
      <c r="Y1832" s="36"/>
      <c r="Z1832" s="36"/>
      <c r="AA1832" s="40"/>
      <c r="AB1832" s="60"/>
      <c r="AC1832" s="98"/>
      <c r="AD1832" s="36"/>
      <c r="AE1832" s="36"/>
      <c r="AF1832" s="36"/>
      <c r="AG1832" s="99"/>
    </row>
    <row r="1833" spans="1:33" ht="13" hidden="1" outlineLevel="1" x14ac:dyDescent="0.3">
      <c r="A1833" t="s">
        <v>1014</v>
      </c>
      <c r="C1833" s="30"/>
      <c r="D1833" s="36"/>
      <c r="E1833" s="36"/>
      <c r="F1833" s="57"/>
      <c r="G1833" s="57"/>
      <c r="H1833" s="57"/>
      <c r="I1833" s="57"/>
      <c r="J1833" s="57"/>
      <c r="K1833" s="57"/>
      <c r="L1833" s="57"/>
      <c r="M1833" s="36"/>
      <c r="N1833" s="36"/>
      <c r="O1833" s="36"/>
      <c r="P1833" s="36" t="s">
        <v>1015</v>
      </c>
      <c r="Q1833" s="36" t="s">
        <v>1016</v>
      </c>
      <c r="R1833" s="36"/>
      <c r="S1833" s="36"/>
      <c r="T1833" s="36"/>
      <c r="U1833" s="36"/>
      <c r="V1833" s="58"/>
      <c r="W1833" s="36"/>
      <c r="X1833" s="36"/>
      <c r="Y1833" s="36"/>
      <c r="Z1833" s="36"/>
      <c r="AA1833" s="40"/>
      <c r="AB1833" s="60"/>
      <c r="AC1833" s="98"/>
      <c r="AD1833" s="36"/>
      <c r="AE1833" s="36"/>
      <c r="AF1833" s="36"/>
      <c r="AG1833" s="99"/>
    </row>
    <row r="1834" spans="1:33" ht="13" hidden="1" outlineLevel="1" x14ac:dyDescent="0.3">
      <c r="A1834" t="s">
        <v>1017</v>
      </c>
      <c r="C1834" s="31"/>
      <c r="D1834" s="36" t="s">
        <v>1019</v>
      </c>
      <c r="E1834" s="36" t="s">
        <v>1020</v>
      </c>
      <c r="F1834" s="22" t="s">
        <v>1021</v>
      </c>
      <c r="G1834" s="22" t="s">
        <v>1022</v>
      </c>
      <c r="H1834" s="22" t="s">
        <v>1023</v>
      </c>
      <c r="I1834" s="22" t="s">
        <v>1024</v>
      </c>
      <c r="J1834" s="22" t="s">
        <v>1025</v>
      </c>
      <c r="K1834" s="22" t="s">
        <v>1026</v>
      </c>
      <c r="L1834" s="22"/>
      <c r="M1834" s="36"/>
      <c r="N1834" s="36"/>
      <c r="O1834" s="36" t="s">
        <v>1027</v>
      </c>
      <c r="P1834" s="36" t="s">
        <v>1028</v>
      </c>
      <c r="Q1834" s="36" t="s">
        <v>1028</v>
      </c>
      <c r="R1834" s="36" t="s">
        <v>1028</v>
      </c>
      <c r="S1834" s="36" t="s">
        <v>1029</v>
      </c>
      <c r="T1834" s="36"/>
      <c r="U1834" s="36"/>
      <c r="V1834" s="58"/>
      <c r="W1834" s="36" t="s">
        <v>1030</v>
      </c>
      <c r="X1834" s="36" t="s">
        <v>1031</v>
      </c>
      <c r="Y1834" s="36"/>
      <c r="Z1834" s="36"/>
      <c r="AA1834" s="40"/>
      <c r="AB1834" s="60"/>
      <c r="AC1834" s="98"/>
      <c r="AD1834" s="36"/>
      <c r="AE1834" s="36"/>
      <c r="AF1834" s="36"/>
      <c r="AG1834" s="99"/>
    </row>
    <row r="1835" spans="1:33" ht="13" outlineLevel="1" x14ac:dyDescent="0.3">
      <c r="A1835" t="s">
        <v>1041</v>
      </c>
      <c r="C1835" s="31" t="s">
        <v>125</v>
      </c>
      <c r="D1835" s="33">
        <v>0</v>
      </c>
      <c r="E1835" s="33">
        <v>0</v>
      </c>
      <c r="F1835" s="23">
        <v>0</v>
      </c>
      <c r="G1835" s="23">
        <v>0</v>
      </c>
      <c r="H1835" s="23">
        <v>0</v>
      </c>
      <c r="I1835" s="23">
        <v>0</v>
      </c>
      <c r="J1835" s="23">
        <v>0</v>
      </c>
      <c r="K1835" s="23">
        <v>0</v>
      </c>
      <c r="L1835" s="23">
        <f>SUM(F1835:K1835)</f>
        <v>0</v>
      </c>
      <c r="M1835" s="33">
        <f>O1835-E1835</f>
        <v>0</v>
      </c>
      <c r="N1835" s="33">
        <f>O1835-D1835</f>
        <v>0</v>
      </c>
      <c r="O1835" s="33">
        <v>0</v>
      </c>
      <c r="P1835" s="33">
        <v>-1079</v>
      </c>
      <c r="Q1835" s="33">
        <v>0</v>
      </c>
      <c r="R1835" s="33">
        <v>-1079</v>
      </c>
      <c r="S1835" s="33">
        <v>0</v>
      </c>
      <c r="T1835" s="33">
        <f>R1835-S1835</f>
        <v>-1079</v>
      </c>
      <c r="U1835" s="38" t="str">
        <f>IFERROR((R1835/O1835)*100%,"∞")</f>
        <v>∞</v>
      </c>
      <c r="V1835" s="59">
        <f>O1835+W1835</f>
        <v>0</v>
      </c>
      <c r="W1835" s="33">
        <v>0</v>
      </c>
      <c r="X1835" s="33">
        <v>0</v>
      </c>
      <c r="Y1835" s="33"/>
      <c r="Z1835" s="33"/>
      <c r="AA1835" s="42"/>
      <c r="AB1835" s="60"/>
      <c r="AC1835" s="105"/>
      <c r="AD1835" s="93"/>
      <c r="AE1835" s="33">
        <f>SUM(AC1835:AD1835)</f>
        <v>0</v>
      </c>
      <c r="AF1835" s="33">
        <f>R1835+AE1835</f>
        <v>-1079</v>
      </c>
      <c r="AG1835" s="101">
        <f>AF1835-O1835</f>
        <v>-1079</v>
      </c>
    </row>
    <row r="1836" spans="1:33" hidden="1" outlineLevel="1" x14ac:dyDescent="0.25">
      <c r="A1836" t="s">
        <v>232</v>
      </c>
    </row>
    <row r="1837" spans="1:33" hidden="1" outlineLevel="1" x14ac:dyDescent="0.25">
      <c r="A1837" t="s">
        <v>944</v>
      </c>
      <c r="M1837" s="19"/>
      <c r="N1837" s="19"/>
    </row>
    <row r="1838" spans="1:33" hidden="1" outlineLevel="1" x14ac:dyDescent="0.25">
      <c r="A1838" t="s">
        <v>946</v>
      </c>
      <c r="E1838" s="19"/>
    </row>
    <row r="1839" spans="1:33" hidden="1" outlineLevel="1" x14ac:dyDescent="0.25">
      <c r="A1839" t="s">
        <v>947</v>
      </c>
      <c r="E1839" s="19"/>
      <c r="F1839" s="19"/>
    </row>
    <row r="1840" spans="1:33" ht="13" hidden="1" outlineLevel="1" x14ac:dyDescent="0.3">
      <c r="A1840" s="20" t="s">
        <v>948</v>
      </c>
    </row>
    <row r="1841" spans="1:3" hidden="1" outlineLevel="1" x14ac:dyDescent="0.25">
      <c r="A1841" s="7" t="s">
        <v>949</v>
      </c>
    </row>
    <row r="1842" spans="1:3" hidden="1" outlineLevel="1" x14ac:dyDescent="0.25">
      <c r="A1842" t="s">
        <v>950</v>
      </c>
    </row>
    <row r="1843" spans="1:3" hidden="1" outlineLevel="1" x14ac:dyDescent="0.25">
      <c r="A1843" t="s">
        <v>951</v>
      </c>
    </row>
    <row r="1844" spans="1:3" ht="13" hidden="1" outlineLevel="1" x14ac:dyDescent="0.3">
      <c r="A1844" s="21" t="str">
        <f>CONCATENATE("sql where a.client = '",$D$172,"' and a.period between '",LEFT($D$170,4),"00' and '",LEFT($D$171,4),"14' and a.version like '%ORIG%'")</f>
        <v>sql where a.client = 'OX' and a.period between '202500' and '202514' and a.version like '%ORIG%'</v>
      </c>
    </row>
    <row r="1845" spans="1:3" hidden="1" outlineLevel="1" x14ac:dyDescent="0.25">
      <c r="A1845" t="s">
        <v>952</v>
      </c>
    </row>
    <row r="1846" spans="1:3" hidden="1" outlineLevel="1" x14ac:dyDescent="0.25">
      <c r="A1846" t="s">
        <v>953</v>
      </c>
    </row>
    <row r="1847" spans="1:3" hidden="1" outlineLevel="1" x14ac:dyDescent="0.25">
      <c r="A1847" t="s">
        <v>954</v>
      </c>
    </row>
    <row r="1848" spans="1:3" ht="13" hidden="1" outlineLevel="1" x14ac:dyDescent="0.3">
      <c r="A1848" s="20" t="s">
        <v>955</v>
      </c>
    </row>
    <row r="1849" spans="1:3" hidden="1" outlineLevel="1" x14ac:dyDescent="0.25">
      <c r="A1849" s="7" t="s">
        <v>956</v>
      </c>
    </row>
    <row r="1850" spans="1:3" hidden="1" outlineLevel="1" x14ac:dyDescent="0.25">
      <c r="A1850" t="s">
        <v>950</v>
      </c>
    </row>
    <row r="1851" spans="1:3" hidden="1" outlineLevel="1" x14ac:dyDescent="0.25">
      <c r="A1851" t="s">
        <v>951</v>
      </c>
    </row>
    <row r="1852" spans="1:3" ht="14.5" hidden="1" outlineLevel="1" x14ac:dyDescent="0.35">
      <c r="A1852"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1852" s="2"/>
    </row>
    <row r="1853" spans="1:3" hidden="1" outlineLevel="1" x14ac:dyDescent="0.25">
      <c r="A1853" t="s">
        <v>952</v>
      </c>
    </row>
    <row r="1854" spans="1:3" hidden="1" outlineLevel="1" x14ac:dyDescent="0.25">
      <c r="A1854" t="s">
        <v>953</v>
      </c>
    </row>
    <row r="1855" spans="1:3" hidden="1" outlineLevel="1" x14ac:dyDescent="0.25">
      <c r="A1855" t="s">
        <v>954</v>
      </c>
    </row>
    <row r="1856" spans="1:3" ht="13" hidden="1" outlineLevel="1" x14ac:dyDescent="0.3">
      <c r="A1856" s="66" t="s">
        <v>957</v>
      </c>
    </row>
    <row r="1857" spans="1:1" hidden="1" outlineLevel="1" x14ac:dyDescent="0.25">
      <c r="A1857" t="s">
        <v>958</v>
      </c>
    </row>
    <row r="1858" spans="1:1" hidden="1" outlineLevel="1" x14ac:dyDescent="0.25">
      <c r="A1858" t="s">
        <v>950</v>
      </c>
    </row>
    <row r="1859" spans="1:1" ht="13" hidden="1" outlineLevel="1" x14ac:dyDescent="0.3">
      <c r="A185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860" spans="1:1" ht="13" hidden="1" outlineLevel="1" x14ac:dyDescent="0.3">
      <c r="A1860" s="21" t="s">
        <v>959</v>
      </c>
    </row>
    <row r="1861" spans="1:1" hidden="1" outlineLevel="1" x14ac:dyDescent="0.25">
      <c r="A1861" t="s">
        <v>960</v>
      </c>
    </row>
    <row r="1862" spans="1:1" hidden="1" outlineLevel="1" x14ac:dyDescent="0.25">
      <c r="A1862" t="s">
        <v>961</v>
      </c>
    </row>
    <row r="1863" spans="1:1" hidden="1" outlineLevel="1" x14ac:dyDescent="0.25">
      <c r="A1863" t="str">
        <f>CONCATENATE("sql left outer join acrtrees t on t.client = x.client and x.dim_1 = t.cat_1 and t.att_agrid = '",$F$159,"'")</f>
        <v>sql left outer join acrtrees t on t.client = x.client and x.dim_1 = t.cat_1 and t.att_agrid = '53'</v>
      </c>
    </row>
    <row r="1864" spans="1:1" ht="13" hidden="1" outlineLevel="1" x14ac:dyDescent="0.3">
      <c r="A186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865" spans="1:1" ht="13" hidden="1" outlineLevel="1" x14ac:dyDescent="0.3">
      <c r="A1865" s="21" t="s">
        <v>962</v>
      </c>
    </row>
    <row r="1866" spans="1:1" ht="13" hidden="1" outlineLevel="1" x14ac:dyDescent="0.3">
      <c r="A1866"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1867" spans="1:1" ht="13" hidden="1" outlineLevel="1" x14ac:dyDescent="0.3">
      <c r="A1867" s="21" t="s">
        <v>963</v>
      </c>
    </row>
    <row r="1868" spans="1:1" hidden="1" outlineLevel="1" x14ac:dyDescent="0.25">
      <c r="A1868" t="s">
        <v>964</v>
      </c>
    </row>
    <row r="1869" spans="1:1" hidden="1" outlineLevel="1" x14ac:dyDescent="0.25">
      <c r="A1869" t="s">
        <v>965</v>
      </c>
    </row>
    <row r="1870" spans="1:1" hidden="1" outlineLevel="1" x14ac:dyDescent="0.25">
      <c r="A1870" t="s">
        <v>966</v>
      </c>
    </row>
    <row r="1871" spans="1:1" hidden="1" outlineLevel="1" x14ac:dyDescent="0.25">
      <c r="A1871" t="s">
        <v>953</v>
      </c>
    </row>
    <row r="1872" spans="1:1" hidden="1" outlineLevel="1" x14ac:dyDescent="0.25">
      <c r="A1872" t="s">
        <v>954</v>
      </c>
    </row>
    <row r="1873" spans="1:1" ht="13" hidden="1" outlineLevel="1" x14ac:dyDescent="0.3">
      <c r="A1873" s="66" t="s">
        <v>967</v>
      </c>
    </row>
    <row r="1874" spans="1:1" hidden="1" outlineLevel="1" x14ac:dyDescent="0.25">
      <c r="A1874" t="s">
        <v>968</v>
      </c>
    </row>
    <row r="1875" spans="1:1" hidden="1" outlineLevel="1" x14ac:dyDescent="0.25">
      <c r="A1875" t="s">
        <v>950</v>
      </c>
    </row>
    <row r="1876" spans="1:1" ht="13" hidden="1" outlineLevel="1" x14ac:dyDescent="0.3">
      <c r="A187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877" spans="1:1" ht="13" hidden="1" outlineLevel="1" x14ac:dyDescent="0.3">
      <c r="A1877" s="21" t="s">
        <v>969</v>
      </c>
    </row>
    <row r="1878" spans="1:1" ht="13" hidden="1" outlineLevel="1" x14ac:dyDescent="0.3">
      <c r="A1878" s="21" t="s">
        <v>959</v>
      </c>
    </row>
    <row r="1879" spans="1:1" hidden="1" outlineLevel="1" x14ac:dyDescent="0.25">
      <c r="A1879" t="s">
        <v>960</v>
      </c>
    </row>
    <row r="1880" spans="1:1" hidden="1" outlineLevel="1" x14ac:dyDescent="0.25">
      <c r="A1880" t="s">
        <v>961</v>
      </c>
    </row>
    <row r="1881" spans="1:1" hidden="1" outlineLevel="1" x14ac:dyDescent="0.25">
      <c r="A1881" t="str">
        <f>CONCATENATE("sql left outer join acrtrees t on t.client = x.client and x.dim_1 = t.cat_1 and t.att_agrid = '",$F$159,"'")</f>
        <v>sql left outer join acrtrees t on t.client = x.client and x.dim_1 = t.cat_1 and t.att_agrid = '53'</v>
      </c>
    </row>
    <row r="1882" spans="1:1" ht="13" hidden="1" outlineLevel="1" x14ac:dyDescent="0.3">
      <c r="A188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883" spans="1:1" ht="13" hidden="1" outlineLevel="1" x14ac:dyDescent="0.3">
      <c r="A1883" s="21" t="s">
        <v>970</v>
      </c>
    </row>
    <row r="1884" spans="1:1" ht="13" hidden="1" outlineLevel="1" x14ac:dyDescent="0.3">
      <c r="A1884" s="21" t="s">
        <v>962</v>
      </c>
    </row>
    <row r="1885" spans="1:1" ht="13" hidden="1" outlineLevel="1" x14ac:dyDescent="0.3">
      <c r="A1885"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1886" spans="1:1" ht="13" hidden="1" outlineLevel="1" x14ac:dyDescent="0.3">
      <c r="A1886" s="21" t="s">
        <v>970</v>
      </c>
    </row>
    <row r="1887" spans="1:1" ht="13" hidden="1" outlineLevel="1" x14ac:dyDescent="0.3">
      <c r="A1887" s="21" t="s">
        <v>963</v>
      </c>
    </row>
    <row r="1888" spans="1:1" hidden="1" outlineLevel="1" x14ac:dyDescent="0.25">
      <c r="A1888" t="s">
        <v>964</v>
      </c>
    </row>
    <row r="1889" spans="1:1" hidden="1" outlineLevel="1" x14ac:dyDescent="0.25">
      <c r="A1889" t="s">
        <v>965</v>
      </c>
    </row>
    <row r="1890" spans="1:1" hidden="1" outlineLevel="1" x14ac:dyDescent="0.25">
      <c r="A1890" t="s">
        <v>966</v>
      </c>
    </row>
    <row r="1891" spans="1:1" hidden="1" outlineLevel="1" x14ac:dyDescent="0.25">
      <c r="A1891" t="s">
        <v>953</v>
      </c>
    </row>
    <row r="1892" spans="1:1" hidden="1" outlineLevel="1" x14ac:dyDescent="0.25">
      <c r="A1892" t="s">
        <v>954</v>
      </c>
    </row>
    <row r="1893" spans="1:1" ht="13" hidden="1" outlineLevel="1" x14ac:dyDescent="0.3">
      <c r="A1893" s="66" t="s">
        <v>971</v>
      </c>
    </row>
    <row r="1894" spans="1:1" hidden="1" outlineLevel="1" x14ac:dyDescent="0.25">
      <c r="A1894" t="s">
        <v>972</v>
      </c>
    </row>
    <row r="1895" spans="1:1" hidden="1" outlineLevel="1" x14ac:dyDescent="0.25">
      <c r="A1895" t="s">
        <v>950</v>
      </c>
    </row>
    <row r="1896" spans="1:1" ht="13" hidden="1" outlineLevel="1" x14ac:dyDescent="0.3">
      <c r="A189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897" spans="1:1" ht="13" hidden="1" outlineLevel="1" x14ac:dyDescent="0.3">
      <c r="A1897" s="21" t="s">
        <v>959</v>
      </c>
    </row>
    <row r="1898" spans="1:1" hidden="1" outlineLevel="1" x14ac:dyDescent="0.25">
      <c r="A1898" t="s">
        <v>960</v>
      </c>
    </row>
    <row r="1899" spans="1:1" hidden="1" outlineLevel="1" x14ac:dyDescent="0.25">
      <c r="A1899" t="s">
        <v>961</v>
      </c>
    </row>
    <row r="1900" spans="1:1" hidden="1" outlineLevel="1" x14ac:dyDescent="0.25">
      <c r="A1900" t="str">
        <f>CONCATENATE("sql left outer join acrtrees t on t.client = x.client and x.dim_1 = t.cat_1 and t.att_agrid = '",$F$159,"'")</f>
        <v>sql left outer join acrtrees t on t.client = x.client and x.dim_1 = t.cat_1 and t.att_agrid = '53'</v>
      </c>
    </row>
    <row r="1901" spans="1:1" ht="13" hidden="1" outlineLevel="1" x14ac:dyDescent="0.3">
      <c r="A190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902" spans="1:1" ht="13" hidden="1" outlineLevel="1" x14ac:dyDescent="0.3">
      <c r="A1902" s="21" t="s">
        <v>973</v>
      </c>
    </row>
    <row r="1903" spans="1:1" hidden="1" outlineLevel="1" x14ac:dyDescent="0.25">
      <c r="A1903" t="s">
        <v>964</v>
      </c>
    </row>
    <row r="1904" spans="1:1" hidden="1" outlineLevel="1" x14ac:dyDescent="0.25">
      <c r="A1904" t="s">
        <v>965</v>
      </c>
    </row>
    <row r="1905" spans="1:1" hidden="1" outlineLevel="1" x14ac:dyDescent="0.25">
      <c r="A1905" t="s">
        <v>966</v>
      </c>
    </row>
    <row r="1906" spans="1:1" hidden="1" outlineLevel="1" x14ac:dyDescent="0.25">
      <c r="A1906" t="s">
        <v>953</v>
      </c>
    </row>
    <row r="1907" spans="1:1" hidden="1" outlineLevel="1" x14ac:dyDescent="0.25">
      <c r="A1907" t="s">
        <v>954</v>
      </c>
    </row>
    <row r="1908" spans="1:1" ht="13" hidden="1" outlineLevel="1" x14ac:dyDescent="0.3">
      <c r="A1908" s="66" t="s">
        <v>974</v>
      </c>
    </row>
    <row r="1909" spans="1:1" hidden="1" outlineLevel="1" x14ac:dyDescent="0.25">
      <c r="A1909" t="s">
        <v>975</v>
      </c>
    </row>
    <row r="1910" spans="1:1" hidden="1" outlineLevel="1" x14ac:dyDescent="0.25">
      <c r="A1910" t="s">
        <v>950</v>
      </c>
    </row>
    <row r="1911" spans="1:1" ht="13" hidden="1" outlineLevel="1" x14ac:dyDescent="0.3">
      <c r="A191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1912" spans="1:1" ht="13" hidden="1" outlineLevel="1" x14ac:dyDescent="0.3">
      <c r="A1912" s="21" t="s">
        <v>959</v>
      </c>
    </row>
    <row r="1913" spans="1:1" hidden="1" outlineLevel="1" x14ac:dyDescent="0.25">
      <c r="A1913" t="s">
        <v>960</v>
      </c>
    </row>
    <row r="1914" spans="1:1" hidden="1" outlineLevel="1" x14ac:dyDescent="0.25">
      <c r="A1914" t="s">
        <v>961</v>
      </c>
    </row>
    <row r="1915" spans="1:1" hidden="1" outlineLevel="1" x14ac:dyDescent="0.25">
      <c r="A1915" t="str">
        <f>CONCATENATE("sql left outer join acrtrees t on t.client = x.client and x.dim_1 = t.cat_1 and t.att_agrid = '",$F$159,"'")</f>
        <v>sql left outer join acrtrees t on t.client = x.client and x.dim_1 = t.cat_1 and t.att_agrid = '53'</v>
      </c>
    </row>
    <row r="1916" spans="1:1" ht="13" hidden="1" outlineLevel="1" x14ac:dyDescent="0.3">
      <c r="A191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1917" spans="1:1" ht="13" hidden="1" outlineLevel="1" x14ac:dyDescent="0.3">
      <c r="A1917" s="21" t="s">
        <v>973</v>
      </c>
    </row>
    <row r="1918" spans="1:1" hidden="1" outlineLevel="1" x14ac:dyDescent="0.25">
      <c r="A1918" t="s">
        <v>964</v>
      </c>
    </row>
    <row r="1919" spans="1:1" hidden="1" outlineLevel="1" x14ac:dyDescent="0.25">
      <c r="A1919" t="s">
        <v>965</v>
      </c>
    </row>
    <row r="1920" spans="1:1" hidden="1" outlineLevel="1" x14ac:dyDescent="0.25">
      <c r="A1920" t="s">
        <v>966</v>
      </c>
    </row>
    <row r="1921" spans="1:1" hidden="1" outlineLevel="1" x14ac:dyDescent="0.25">
      <c r="A1921" t="s">
        <v>953</v>
      </c>
    </row>
    <row r="1922" spans="1:1" hidden="1" outlineLevel="1" x14ac:dyDescent="0.25">
      <c r="A1922" t="s">
        <v>954</v>
      </c>
    </row>
    <row r="1923" spans="1:1" ht="13" hidden="1" outlineLevel="1" x14ac:dyDescent="0.3">
      <c r="A1923" s="66" t="s">
        <v>976</v>
      </c>
    </row>
    <row r="1924" spans="1:1" hidden="1" outlineLevel="1" x14ac:dyDescent="0.25">
      <c r="A1924" t="s">
        <v>977</v>
      </c>
    </row>
    <row r="1925" spans="1:1" hidden="1" outlineLevel="1" x14ac:dyDescent="0.25">
      <c r="A1925" t="s">
        <v>950</v>
      </c>
    </row>
    <row r="1926" spans="1:1" ht="13" hidden="1" outlineLevel="1" x14ac:dyDescent="0.3">
      <c r="A192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1927" spans="1:1" ht="13" hidden="1" outlineLevel="1" x14ac:dyDescent="0.3">
      <c r="A1927" s="21" t="s">
        <v>959</v>
      </c>
    </row>
    <row r="1928" spans="1:1" hidden="1" outlineLevel="1" x14ac:dyDescent="0.25">
      <c r="A1928" t="s">
        <v>960</v>
      </c>
    </row>
    <row r="1929" spans="1:1" hidden="1" outlineLevel="1" x14ac:dyDescent="0.25">
      <c r="A1929" t="s">
        <v>961</v>
      </c>
    </row>
    <row r="1930" spans="1:1" hidden="1" outlineLevel="1" x14ac:dyDescent="0.25">
      <c r="A1930" t="str">
        <f>CONCATENATE("sql left outer join acrtrees t on t.client = x.client and x.dim_1 = t.cat_1 and t.att_agrid = '",$F$159,"'")</f>
        <v>sql left outer join acrtrees t on t.client = x.client and x.dim_1 = t.cat_1 and t.att_agrid = '53'</v>
      </c>
    </row>
    <row r="1931" spans="1:1" ht="13" hidden="1" outlineLevel="1" x14ac:dyDescent="0.3">
      <c r="A193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1932" spans="1:1" ht="13" hidden="1" outlineLevel="1" x14ac:dyDescent="0.3">
      <c r="A1932" s="21" t="s">
        <v>978</v>
      </c>
    </row>
    <row r="1933" spans="1:1" hidden="1" outlineLevel="1" x14ac:dyDescent="0.25">
      <c r="A1933" t="s">
        <v>979</v>
      </c>
    </row>
    <row r="1934" spans="1:1" hidden="1" outlineLevel="1" x14ac:dyDescent="0.25">
      <c r="A1934" t="s">
        <v>980</v>
      </c>
    </row>
    <row r="1935" spans="1:1" hidden="1" outlineLevel="1" x14ac:dyDescent="0.25">
      <c r="A1935" t="s">
        <v>966</v>
      </c>
    </row>
    <row r="1936" spans="1:1" hidden="1" outlineLevel="1" x14ac:dyDescent="0.25">
      <c r="A1936" t="s">
        <v>953</v>
      </c>
    </row>
    <row r="1937" spans="1:1" hidden="1" outlineLevel="1" x14ac:dyDescent="0.25">
      <c r="A1937" t="s">
        <v>954</v>
      </c>
    </row>
    <row r="1938" spans="1:1" ht="13" hidden="1" outlineLevel="1" x14ac:dyDescent="0.3">
      <c r="A1938" s="66" t="s">
        <v>981</v>
      </c>
    </row>
    <row r="1939" spans="1:1" hidden="1" outlineLevel="1" x14ac:dyDescent="0.25">
      <c r="A1939" t="s">
        <v>982</v>
      </c>
    </row>
    <row r="1940" spans="1:1" hidden="1" outlineLevel="1" x14ac:dyDescent="0.25">
      <c r="A1940" t="s">
        <v>950</v>
      </c>
    </row>
    <row r="1941" spans="1:1" ht="13" hidden="1" outlineLevel="1" x14ac:dyDescent="0.3">
      <c r="A194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1942" spans="1:1" ht="13" hidden="1" outlineLevel="1" x14ac:dyDescent="0.3">
      <c r="A1942" s="21" t="s">
        <v>969</v>
      </c>
    </row>
    <row r="1943" spans="1:1" ht="13" hidden="1" outlineLevel="1" x14ac:dyDescent="0.3">
      <c r="A1943" s="21" t="s">
        <v>959</v>
      </c>
    </row>
    <row r="1944" spans="1:1" hidden="1" outlineLevel="1" x14ac:dyDescent="0.25">
      <c r="A1944" t="s">
        <v>960</v>
      </c>
    </row>
    <row r="1945" spans="1:1" hidden="1" outlineLevel="1" x14ac:dyDescent="0.25">
      <c r="A1945" t="s">
        <v>961</v>
      </c>
    </row>
    <row r="1946" spans="1:1" hidden="1" outlineLevel="1" x14ac:dyDescent="0.25">
      <c r="A1946" t="str">
        <f>CONCATENATE("sql left outer join acrtrees t on t.client = x.client and x.dim_1 = t.cat_1 and t.att_agrid = '",$F$159,"'")</f>
        <v>sql left outer join acrtrees t on t.client = x.client and x.dim_1 = t.cat_1 and t.att_agrid = '53'</v>
      </c>
    </row>
    <row r="1947" spans="1:1" ht="13" hidden="1" outlineLevel="1" x14ac:dyDescent="0.3">
      <c r="A194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1948" spans="1:1" ht="13" hidden="1" outlineLevel="1" x14ac:dyDescent="0.3">
      <c r="A1948" s="21" t="s">
        <v>970</v>
      </c>
    </row>
    <row r="1949" spans="1:1" ht="13" hidden="1" outlineLevel="1" x14ac:dyDescent="0.3">
      <c r="A1949" s="21" t="s">
        <v>978</v>
      </c>
    </row>
    <row r="1950" spans="1:1" hidden="1" outlineLevel="1" x14ac:dyDescent="0.25">
      <c r="A1950" t="s">
        <v>979</v>
      </c>
    </row>
    <row r="1951" spans="1:1" hidden="1" outlineLevel="1" x14ac:dyDescent="0.25">
      <c r="A1951" t="s">
        <v>980</v>
      </c>
    </row>
    <row r="1952" spans="1:1" hidden="1" outlineLevel="1" x14ac:dyDescent="0.25">
      <c r="A1952" t="s">
        <v>966</v>
      </c>
    </row>
    <row r="1953" spans="1:3" hidden="1" outlineLevel="1" x14ac:dyDescent="0.25">
      <c r="A1953" t="s">
        <v>953</v>
      </c>
    </row>
    <row r="1954" spans="1:3" hidden="1" outlineLevel="1" x14ac:dyDescent="0.25">
      <c r="A1954" t="s">
        <v>954</v>
      </c>
    </row>
    <row r="1955" spans="1:3" ht="13" hidden="1" outlineLevel="1" x14ac:dyDescent="0.3">
      <c r="A1955" s="20" t="s">
        <v>983</v>
      </c>
    </row>
    <row r="1956" spans="1:3" hidden="1" outlineLevel="1" x14ac:dyDescent="0.25">
      <c r="A1956" s="7" t="s">
        <v>984</v>
      </c>
    </row>
    <row r="1957" spans="1:3" hidden="1" outlineLevel="1" x14ac:dyDescent="0.25">
      <c r="A1957" t="s">
        <v>950</v>
      </c>
    </row>
    <row r="1958" spans="1:3" hidden="1" outlineLevel="1" x14ac:dyDescent="0.25">
      <c r="A1958" t="s">
        <v>951</v>
      </c>
    </row>
    <row r="1959" spans="1:3" ht="14.5" hidden="1" outlineLevel="1" x14ac:dyDescent="0.35">
      <c r="A1959"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1959" s="2"/>
    </row>
    <row r="1960" spans="1:3" hidden="1" outlineLevel="1" x14ac:dyDescent="0.25">
      <c r="A1960" t="s">
        <v>952</v>
      </c>
    </row>
    <row r="1961" spans="1:3" hidden="1" outlineLevel="1" x14ac:dyDescent="0.25">
      <c r="A1961" t="s">
        <v>953</v>
      </c>
    </row>
    <row r="1962" spans="1:3" hidden="1" outlineLevel="1" x14ac:dyDescent="0.25">
      <c r="A1962" t="s">
        <v>954</v>
      </c>
    </row>
    <row r="1963" spans="1:3" ht="13" hidden="1" outlineLevel="1" x14ac:dyDescent="0.3">
      <c r="A1963" s="20" t="s">
        <v>985</v>
      </c>
    </row>
    <row r="1964" spans="1:3" hidden="1" outlineLevel="1" x14ac:dyDescent="0.25">
      <c r="A1964" s="7" t="s">
        <v>986</v>
      </c>
    </row>
    <row r="1965" spans="1:3" hidden="1" outlineLevel="1" x14ac:dyDescent="0.25">
      <c r="A1965" t="s">
        <v>987</v>
      </c>
    </row>
    <row r="1966" spans="1:3" ht="13" hidden="1" outlineLevel="1" x14ac:dyDescent="0.3">
      <c r="A1966" s="21" t="str">
        <f>CONCATENATE("sql where a.client = '",$D$172,"' and a.period between '",LEFT($D$170,4),"00' and '",IF(RIGHT($D$171,2)="12",CONCATENATE(LEFT($D$171,4),"14"),$D$171),"'")</f>
        <v>sql where a.client = 'OX' and a.period between '202500' and '202506'</v>
      </c>
    </row>
    <row r="1967" spans="1:3" hidden="1" outlineLevel="1" x14ac:dyDescent="0.25">
      <c r="A1967" t="s">
        <v>952</v>
      </c>
    </row>
    <row r="1968" spans="1:3" hidden="1" outlineLevel="1" x14ac:dyDescent="0.25">
      <c r="A1968" t="s">
        <v>953</v>
      </c>
    </row>
    <row r="1969" spans="1:1" hidden="1" outlineLevel="1" x14ac:dyDescent="0.25">
      <c r="A1969" t="s">
        <v>954</v>
      </c>
    </row>
    <row r="1970" spans="1:1" ht="13" hidden="1" outlineLevel="1" x14ac:dyDescent="0.3">
      <c r="A1970" s="20" t="s">
        <v>988</v>
      </c>
    </row>
    <row r="1971" spans="1:1" hidden="1" outlineLevel="1" x14ac:dyDescent="0.25">
      <c r="A1971" s="7" t="s">
        <v>989</v>
      </c>
    </row>
    <row r="1972" spans="1:1" hidden="1" outlineLevel="1" x14ac:dyDescent="0.25">
      <c r="A1972" t="s">
        <v>950</v>
      </c>
    </row>
    <row r="1973" spans="1:1" hidden="1" outlineLevel="1" x14ac:dyDescent="0.25">
      <c r="A1973" t="s">
        <v>951</v>
      </c>
    </row>
    <row r="1974" spans="1:1" ht="13" hidden="1" outlineLevel="1" x14ac:dyDescent="0.3">
      <c r="A1974"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1975" spans="1:1" hidden="1" outlineLevel="1" x14ac:dyDescent="0.25">
      <c r="A1975" t="s">
        <v>952</v>
      </c>
    </row>
    <row r="1976" spans="1:1" hidden="1" outlineLevel="1" x14ac:dyDescent="0.25">
      <c r="A1976" t="s">
        <v>953</v>
      </c>
    </row>
    <row r="1977" spans="1:1" hidden="1" outlineLevel="1" x14ac:dyDescent="0.25">
      <c r="A1977" t="s">
        <v>954</v>
      </c>
    </row>
    <row r="1978" spans="1:1" ht="13" hidden="1" outlineLevel="1" x14ac:dyDescent="0.3">
      <c r="A1978" s="20" t="s">
        <v>990</v>
      </c>
    </row>
    <row r="1979" spans="1:1" hidden="1" outlineLevel="1" x14ac:dyDescent="0.25">
      <c r="A1979" s="7" t="s">
        <v>991</v>
      </c>
    </row>
    <row r="1980" spans="1:1" hidden="1" outlineLevel="1" x14ac:dyDescent="0.25">
      <c r="A1980" t="s">
        <v>950</v>
      </c>
    </row>
    <row r="1981" spans="1:1" hidden="1" outlineLevel="1" x14ac:dyDescent="0.25">
      <c r="A1981" t="s">
        <v>951</v>
      </c>
    </row>
    <row r="1982" spans="1:1" ht="13" hidden="1" outlineLevel="1" x14ac:dyDescent="0.3">
      <c r="A198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983" spans="1:1" hidden="1" outlineLevel="1" x14ac:dyDescent="0.25">
      <c r="A1983" t="s">
        <v>952</v>
      </c>
    </row>
    <row r="1984" spans="1:1" hidden="1" outlineLevel="1" x14ac:dyDescent="0.25">
      <c r="A1984" t="s">
        <v>953</v>
      </c>
    </row>
    <row r="1985" spans="1:1" hidden="1" outlineLevel="1" x14ac:dyDescent="0.25">
      <c r="A1985" t="s">
        <v>954</v>
      </c>
    </row>
    <row r="1986" spans="1:1" ht="13" hidden="1" outlineLevel="1" x14ac:dyDescent="0.3">
      <c r="A1986" s="20" t="s">
        <v>992</v>
      </c>
    </row>
    <row r="1987" spans="1:1" hidden="1" outlineLevel="1" x14ac:dyDescent="0.25">
      <c r="A1987" s="7" t="s">
        <v>993</v>
      </c>
    </row>
    <row r="1988" spans="1:1" hidden="1" outlineLevel="1" x14ac:dyDescent="0.25">
      <c r="A1988" t="s">
        <v>950</v>
      </c>
    </row>
    <row r="1989" spans="1:1" hidden="1" outlineLevel="1" x14ac:dyDescent="0.25">
      <c r="A1989" t="s">
        <v>951</v>
      </c>
    </row>
    <row r="1990" spans="1:1" ht="13" hidden="1" outlineLevel="1" x14ac:dyDescent="0.3">
      <c r="A199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1991" spans="1:1" hidden="1" outlineLevel="1" x14ac:dyDescent="0.25">
      <c r="A1991" t="s">
        <v>952</v>
      </c>
    </row>
    <row r="1992" spans="1:1" hidden="1" outlineLevel="1" x14ac:dyDescent="0.25">
      <c r="A1992" t="s">
        <v>953</v>
      </c>
    </row>
    <row r="1993" spans="1:1" hidden="1" outlineLevel="1" x14ac:dyDescent="0.25">
      <c r="A1993" t="s">
        <v>994</v>
      </c>
    </row>
    <row r="1994" spans="1:1" hidden="1" outlineLevel="1" x14ac:dyDescent="0.25">
      <c r="A1994" t="str">
        <f>CONCATENATE("sql left outer join acrtrees t on t.client = u.client and u.dim_1 = t.cat_1 and t.att_agrid = '",$F$159,"'")</f>
        <v>sql left outer join acrtrees t on t.client = u.client and u.dim_1 = t.cat_1 and t.att_agrid = '53'</v>
      </c>
    </row>
    <row r="1995" spans="1:1" hidden="1" outlineLevel="1" x14ac:dyDescent="0.25">
      <c r="A1995" t="str">
        <f>CONCATENATE("sql left outer join acrtrees s on s.client = u.client and u.account = s.cat_1 and s.att_agrid = '",$F$160,"'")</f>
        <v>sql left outer join acrtrees s on s.client = u.client and u.account = s.cat_1 and s.att_agrid = '14'</v>
      </c>
    </row>
    <row r="1996" spans="1:1" hidden="1" outlineLevel="1" x14ac:dyDescent="0.25">
      <c r="A1996" t="str">
        <f>CONCATENATE("sql left outer join acrtrees v on v.client = u.client and u.account = v.cat_1 and v.att_agrid = '",$F$161,"'")</f>
        <v>sql left outer join acrtrees v on v.client = u.client and u.account = v.cat_1 and v.att_agrid = '17'</v>
      </c>
    </row>
    <row r="1997" spans="1:1" hidden="1" outlineLevel="1" x14ac:dyDescent="0.25">
      <c r="A1997" t="str">
        <f>CONCATENATE("sql left outer join agldescription d on d.client = u.client and d.dim_value = t.dim_c and d.attribute_id = '",$F$162,"'")</f>
        <v>sql left outer join agldescription d on d.client = u.client and d.dim_value = t.dim_c and d.attribute_id = '82'</v>
      </c>
    </row>
    <row r="1998" spans="1:1" hidden="1" outlineLevel="1" x14ac:dyDescent="0.25">
      <c r="A1998" t="str">
        <f>CONCATENATE("sql left outer join agldescription e on e.client = u.client and e.dim_value = t.dim_b and e.attribute_id = '",$F$163,"'")</f>
        <v>sql left outer join agldescription e on e.client = u.client and e.dim_value = t.dim_b and e.attribute_id = '81'</v>
      </c>
    </row>
    <row r="1999" spans="1:1" hidden="1" outlineLevel="1" x14ac:dyDescent="0.25">
      <c r="A1999" t="str">
        <f>CONCATENATE("sql left outer join agldescription f on f.client = u.client and f.dim_value = t.dim_e and f.attribute_id = '",$F$164,"'")</f>
        <v>sql left outer join agldescription f on f.client = u.client and f.dim_value = t.dim_e and f.attribute_id = '80'</v>
      </c>
    </row>
    <row r="2000" spans="1:1" hidden="1" outlineLevel="1" x14ac:dyDescent="0.25">
      <c r="A2000" t="str">
        <f>CONCATENATE("sql left outer join agldescription g on g.client = u.client and g.dim_value = u.account and g.attribute_id = '",$F$165,"'")</f>
        <v>sql left outer join agldescription g on g.client = u.client and g.dim_value = u.account and g.attribute_id = 'A0'</v>
      </c>
    </row>
    <row r="2001" spans="1:33" ht="14.5" hidden="1" outlineLevel="1" x14ac:dyDescent="0.35">
      <c r="A2001" s="67" t="s">
        <v>1054</v>
      </c>
      <c r="G2001" s="737" t="s">
        <v>1055</v>
      </c>
    </row>
    <row r="2002" spans="1:33" hidden="1" outlineLevel="1" x14ac:dyDescent="0.25">
      <c r="A2002" t="s">
        <v>1005</v>
      </c>
    </row>
    <row r="2003" spans="1:33" hidden="1" outlineLevel="1" x14ac:dyDescent="0.25">
      <c r="A2003" t="s">
        <v>1006</v>
      </c>
    </row>
    <row r="2004" spans="1:33" hidden="1" outlineLevel="1" x14ac:dyDescent="0.25">
      <c r="A2004" t="s">
        <v>1007</v>
      </c>
    </row>
    <row r="2005" spans="1:33" ht="13" hidden="1" outlineLevel="1" x14ac:dyDescent="0.3">
      <c r="A2005" t="s">
        <v>1012</v>
      </c>
      <c r="C2005" s="29"/>
      <c r="D2005" s="36">
        <v>1000</v>
      </c>
      <c r="E2005" s="36">
        <v>1000</v>
      </c>
      <c r="F2005" s="22">
        <v>1000</v>
      </c>
      <c r="G2005" s="22">
        <v>1000</v>
      </c>
      <c r="H2005" s="22">
        <v>1000</v>
      </c>
      <c r="I2005" s="22">
        <v>1000</v>
      </c>
      <c r="J2005" s="22">
        <v>1000</v>
      </c>
      <c r="K2005" s="22">
        <v>1000</v>
      </c>
      <c r="L2005" s="22"/>
      <c r="M2005" s="36"/>
      <c r="N2005" s="36"/>
      <c r="O2005" s="36">
        <v>1000</v>
      </c>
      <c r="P2005" s="36">
        <v>1000</v>
      </c>
      <c r="Q2005" s="36">
        <v>1000</v>
      </c>
      <c r="R2005" s="36">
        <v>1000</v>
      </c>
      <c r="S2005" s="36">
        <v>1000</v>
      </c>
      <c r="T2005" s="36"/>
      <c r="U2005" s="36"/>
      <c r="V2005" s="58"/>
      <c r="W2005" s="36">
        <v>1000</v>
      </c>
      <c r="X2005" s="36">
        <v>1000</v>
      </c>
      <c r="Y2005" s="36"/>
      <c r="Z2005" s="36"/>
      <c r="AA2005" s="40"/>
      <c r="AB2005" s="60"/>
      <c r="AC2005" s="98"/>
      <c r="AD2005" s="36"/>
      <c r="AE2005" s="36"/>
      <c r="AF2005" s="36"/>
      <c r="AG2005" s="99"/>
    </row>
    <row r="2006" spans="1:33" ht="13" hidden="1" outlineLevel="1" x14ac:dyDescent="0.3">
      <c r="A2006" s="7" t="s">
        <v>1013</v>
      </c>
      <c r="C2006" s="29"/>
      <c r="D2006" s="36">
        <v>0</v>
      </c>
      <c r="E2006" s="36">
        <v>0</v>
      </c>
      <c r="F2006" s="22">
        <v>0</v>
      </c>
      <c r="G2006" s="22">
        <v>0</v>
      </c>
      <c r="H2006" s="22">
        <v>0</v>
      </c>
      <c r="I2006" s="22">
        <v>0</v>
      </c>
      <c r="J2006" s="22">
        <v>0</v>
      </c>
      <c r="K2006" s="22">
        <v>0</v>
      </c>
      <c r="L2006" s="22"/>
      <c r="M2006" s="36"/>
      <c r="N2006" s="36"/>
      <c r="O2006" s="36">
        <v>0</v>
      </c>
      <c r="P2006" s="36">
        <v>0</v>
      </c>
      <c r="Q2006" s="36">
        <v>0</v>
      </c>
      <c r="R2006" s="36">
        <v>0</v>
      </c>
      <c r="S2006" s="36">
        <v>0</v>
      </c>
      <c r="T2006" s="36"/>
      <c r="U2006" s="36"/>
      <c r="V2006" s="58"/>
      <c r="W2006" s="36">
        <v>0</v>
      </c>
      <c r="X2006" s="36">
        <v>0</v>
      </c>
      <c r="Y2006" s="36"/>
      <c r="Z2006" s="36"/>
      <c r="AA2006" s="40"/>
      <c r="AB2006" s="60"/>
      <c r="AC2006" s="98"/>
      <c r="AD2006" s="36"/>
      <c r="AE2006" s="36"/>
      <c r="AF2006" s="36"/>
      <c r="AG2006" s="99"/>
    </row>
    <row r="2007" spans="1:33" ht="13" hidden="1" outlineLevel="1" x14ac:dyDescent="0.3">
      <c r="A2007" t="s">
        <v>1014</v>
      </c>
      <c r="C2007" s="30"/>
      <c r="D2007" s="36"/>
      <c r="E2007" s="36"/>
      <c r="F2007" s="57"/>
      <c r="G2007" s="57"/>
      <c r="H2007" s="57"/>
      <c r="I2007" s="57"/>
      <c r="J2007" s="57"/>
      <c r="K2007" s="57"/>
      <c r="L2007" s="57"/>
      <c r="M2007" s="36"/>
      <c r="N2007" s="36"/>
      <c r="O2007" s="36"/>
      <c r="P2007" s="36" t="s">
        <v>1015</v>
      </c>
      <c r="Q2007" s="36" t="s">
        <v>1016</v>
      </c>
      <c r="R2007" s="36"/>
      <c r="S2007" s="36"/>
      <c r="T2007" s="36"/>
      <c r="U2007" s="36"/>
      <c r="V2007" s="58"/>
      <c r="W2007" s="36"/>
      <c r="X2007" s="36"/>
      <c r="Y2007" s="36"/>
      <c r="Z2007" s="36"/>
      <c r="AA2007" s="40"/>
      <c r="AB2007" s="60"/>
      <c r="AC2007" s="98"/>
      <c r="AD2007" s="36"/>
      <c r="AE2007" s="36"/>
      <c r="AF2007" s="36"/>
      <c r="AG2007" s="99"/>
    </row>
    <row r="2008" spans="1:33" ht="13" hidden="1" outlineLevel="1" x14ac:dyDescent="0.3">
      <c r="A2008" t="s">
        <v>1017</v>
      </c>
      <c r="C2008" s="31"/>
      <c r="D2008" s="36" t="s">
        <v>1019</v>
      </c>
      <c r="E2008" s="36" t="s">
        <v>1020</v>
      </c>
      <c r="F2008" s="22" t="s">
        <v>1021</v>
      </c>
      <c r="G2008" s="22" t="s">
        <v>1022</v>
      </c>
      <c r="H2008" s="22" t="s">
        <v>1023</v>
      </c>
      <c r="I2008" s="22" t="s">
        <v>1024</v>
      </c>
      <c r="J2008" s="22" t="s">
        <v>1025</v>
      </c>
      <c r="K2008" s="22" t="s">
        <v>1026</v>
      </c>
      <c r="L2008" s="22"/>
      <c r="M2008" s="36"/>
      <c r="N2008" s="36"/>
      <c r="O2008" s="36" t="s">
        <v>1027</v>
      </c>
      <c r="P2008" s="36" t="s">
        <v>1028</v>
      </c>
      <c r="Q2008" s="36" t="s">
        <v>1028</v>
      </c>
      <c r="R2008" s="36" t="s">
        <v>1028</v>
      </c>
      <c r="S2008" s="36" t="s">
        <v>1029</v>
      </c>
      <c r="T2008" s="36"/>
      <c r="U2008" s="36"/>
      <c r="V2008" s="58"/>
      <c r="W2008" s="36" t="s">
        <v>1030</v>
      </c>
      <c r="X2008" s="36" t="s">
        <v>1031</v>
      </c>
      <c r="Y2008" s="36"/>
      <c r="Z2008" s="36"/>
      <c r="AA2008" s="40"/>
      <c r="AB2008" s="60"/>
      <c r="AC2008" s="98"/>
      <c r="AD2008" s="36"/>
      <c r="AE2008" s="36"/>
      <c r="AF2008" s="36"/>
      <c r="AG2008" s="99"/>
    </row>
    <row r="2009" spans="1:33" ht="13" outlineLevel="1" x14ac:dyDescent="0.3">
      <c r="A2009" t="s">
        <v>1041</v>
      </c>
      <c r="C2009" s="31" t="s">
        <v>126</v>
      </c>
      <c r="D2009" s="33">
        <v>0</v>
      </c>
      <c r="E2009" s="33">
        <v>0</v>
      </c>
      <c r="F2009" s="23">
        <v>0</v>
      </c>
      <c r="G2009" s="23">
        <v>0</v>
      </c>
      <c r="H2009" s="23">
        <v>0</v>
      </c>
      <c r="I2009" s="23">
        <v>0</v>
      </c>
      <c r="J2009" s="23">
        <v>0</v>
      </c>
      <c r="K2009" s="23">
        <v>0</v>
      </c>
      <c r="L2009" s="23">
        <f>SUM(F2009:K2009)</f>
        <v>0</v>
      </c>
      <c r="M2009" s="33">
        <f>O2009-E2009</f>
        <v>0</v>
      </c>
      <c r="N2009" s="33">
        <f>O2009-D2009</f>
        <v>0</v>
      </c>
      <c r="O2009" s="33">
        <v>0</v>
      </c>
      <c r="P2009" s="33">
        <v>1079</v>
      </c>
      <c r="Q2009" s="33">
        <v>0</v>
      </c>
      <c r="R2009" s="33">
        <v>1079</v>
      </c>
      <c r="S2009" s="33">
        <v>0</v>
      </c>
      <c r="T2009" s="33">
        <f>R2009-S2009</f>
        <v>1079</v>
      </c>
      <c r="U2009" s="38" t="str">
        <f>IFERROR((R2009/O2009)*100%,"∞")</f>
        <v>∞</v>
      </c>
      <c r="V2009" s="59">
        <f>O2009+W2009</f>
        <v>0</v>
      </c>
      <c r="W2009" s="33">
        <v>0</v>
      </c>
      <c r="X2009" s="33">
        <v>0</v>
      </c>
      <c r="Y2009" s="33"/>
      <c r="Z2009" s="33"/>
      <c r="AA2009" s="42"/>
      <c r="AB2009" s="60"/>
      <c r="AC2009" s="105"/>
      <c r="AD2009" s="93"/>
      <c r="AE2009" s="33">
        <f>SUM(AC2009:AD2009)</f>
        <v>0</v>
      </c>
      <c r="AF2009" s="33">
        <f>R2009+AE2009</f>
        <v>1079</v>
      </c>
      <c r="AG2009" s="101">
        <f>AF2009-O2009</f>
        <v>1079</v>
      </c>
    </row>
    <row r="2010" spans="1:33" hidden="1" outlineLevel="1" x14ac:dyDescent="0.25">
      <c r="A2010" t="s">
        <v>232</v>
      </c>
    </row>
    <row r="2011" spans="1:33" hidden="1" outlineLevel="1" x14ac:dyDescent="0.25">
      <c r="A2011" t="s">
        <v>944</v>
      </c>
      <c r="M2011" s="19"/>
      <c r="N2011" s="19"/>
    </row>
    <row r="2012" spans="1:33" hidden="1" outlineLevel="1" x14ac:dyDescent="0.25">
      <c r="A2012" t="s">
        <v>946</v>
      </c>
      <c r="E2012" s="19"/>
    </row>
    <row r="2013" spans="1:33" hidden="1" outlineLevel="1" x14ac:dyDescent="0.25">
      <c r="A2013" t="s">
        <v>947</v>
      </c>
      <c r="E2013" s="19"/>
      <c r="F2013" s="19"/>
    </row>
    <row r="2014" spans="1:33" ht="13" hidden="1" outlineLevel="1" x14ac:dyDescent="0.3">
      <c r="A2014" s="20" t="s">
        <v>948</v>
      </c>
    </row>
    <row r="2015" spans="1:33" hidden="1" outlineLevel="1" x14ac:dyDescent="0.25">
      <c r="A2015" s="7" t="s">
        <v>949</v>
      </c>
    </row>
    <row r="2016" spans="1:33" hidden="1" outlineLevel="1" x14ac:dyDescent="0.25">
      <c r="A2016" t="s">
        <v>950</v>
      </c>
    </row>
    <row r="2017" spans="1:3" hidden="1" outlineLevel="1" x14ac:dyDescent="0.25">
      <c r="A2017" t="s">
        <v>951</v>
      </c>
    </row>
    <row r="2018" spans="1:3" ht="13" hidden="1" outlineLevel="1" x14ac:dyDescent="0.3">
      <c r="A2018" s="21" t="str">
        <f>CONCATENATE("sql where a.client = '",$D$172,"' and a.period between '",LEFT($D$170,4),"00' and '",LEFT($D$171,4),"14' and a.version like '%ORIG%'")</f>
        <v>sql where a.client = 'OX' and a.period between '202500' and '202514' and a.version like '%ORIG%'</v>
      </c>
    </row>
    <row r="2019" spans="1:3" hidden="1" outlineLevel="1" x14ac:dyDescent="0.25">
      <c r="A2019" t="s">
        <v>952</v>
      </c>
    </row>
    <row r="2020" spans="1:3" hidden="1" outlineLevel="1" x14ac:dyDescent="0.25">
      <c r="A2020" t="s">
        <v>953</v>
      </c>
    </row>
    <row r="2021" spans="1:3" hidden="1" outlineLevel="1" x14ac:dyDescent="0.25">
      <c r="A2021" t="s">
        <v>954</v>
      </c>
    </row>
    <row r="2022" spans="1:3" ht="13" hidden="1" outlineLevel="1" x14ac:dyDescent="0.3">
      <c r="A2022" s="20" t="s">
        <v>955</v>
      </c>
    </row>
    <row r="2023" spans="1:3" hidden="1" outlineLevel="1" x14ac:dyDescent="0.25">
      <c r="A2023" s="7" t="s">
        <v>956</v>
      </c>
    </row>
    <row r="2024" spans="1:3" hidden="1" outlineLevel="1" x14ac:dyDescent="0.25">
      <c r="A2024" t="s">
        <v>950</v>
      </c>
    </row>
    <row r="2025" spans="1:3" hidden="1" outlineLevel="1" x14ac:dyDescent="0.25">
      <c r="A2025" t="s">
        <v>951</v>
      </c>
    </row>
    <row r="2026" spans="1:3" ht="14.5" hidden="1" outlineLevel="1" x14ac:dyDescent="0.35">
      <c r="A202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026" s="2"/>
    </row>
    <row r="2027" spans="1:3" hidden="1" outlineLevel="1" x14ac:dyDescent="0.25">
      <c r="A2027" t="s">
        <v>952</v>
      </c>
    </row>
    <row r="2028" spans="1:3" hidden="1" outlineLevel="1" x14ac:dyDescent="0.25">
      <c r="A2028" t="s">
        <v>953</v>
      </c>
    </row>
    <row r="2029" spans="1:3" hidden="1" outlineLevel="1" x14ac:dyDescent="0.25">
      <c r="A2029" t="s">
        <v>954</v>
      </c>
    </row>
    <row r="2030" spans="1:3" ht="13" hidden="1" outlineLevel="1" x14ac:dyDescent="0.3">
      <c r="A2030" s="66" t="s">
        <v>957</v>
      </c>
    </row>
    <row r="2031" spans="1:3" hidden="1" outlineLevel="1" x14ac:dyDescent="0.25">
      <c r="A2031" t="s">
        <v>958</v>
      </c>
    </row>
    <row r="2032" spans="1:3" hidden="1" outlineLevel="1" x14ac:dyDescent="0.25">
      <c r="A2032" t="s">
        <v>950</v>
      </c>
    </row>
    <row r="2033" spans="1:1" ht="13" hidden="1" outlineLevel="1" x14ac:dyDescent="0.3">
      <c r="A203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034" spans="1:1" ht="13" hidden="1" outlineLevel="1" x14ac:dyDescent="0.3">
      <c r="A2034" s="21" t="s">
        <v>959</v>
      </c>
    </row>
    <row r="2035" spans="1:1" hidden="1" outlineLevel="1" x14ac:dyDescent="0.25">
      <c r="A2035" t="s">
        <v>960</v>
      </c>
    </row>
    <row r="2036" spans="1:1" hidden="1" outlineLevel="1" x14ac:dyDescent="0.25">
      <c r="A2036" t="s">
        <v>961</v>
      </c>
    </row>
    <row r="2037" spans="1:1" hidden="1" outlineLevel="1" x14ac:dyDescent="0.25">
      <c r="A2037" t="str">
        <f>CONCATENATE("sql left outer join acrtrees t on t.client = x.client and x.dim_1 = t.cat_1 and t.att_agrid = '",$F$159,"'")</f>
        <v>sql left outer join acrtrees t on t.client = x.client and x.dim_1 = t.cat_1 and t.att_agrid = '53'</v>
      </c>
    </row>
    <row r="2038" spans="1:1" ht="13" hidden="1" outlineLevel="1" x14ac:dyDescent="0.3">
      <c r="A203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039" spans="1:1" ht="13" hidden="1" outlineLevel="1" x14ac:dyDescent="0.3">
      <c r="A2039" s="21" t="s">
        <v>962</v>
      </c>
    </row>
    <row r="2040" spans="1:1" ht="13" hidden="1" outlineLevel="1" x14ac:dyDescent="0.3">
      <c r="A204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041" spans="1:1" ht="13" hidden="1" outlineLevel="1" x14ac:dyDescent="0.3">
      <c r="A2041" s="21" t="s">
        <v>963</v>
      </c>
    </row>
    <row r="2042" spans="1:1" hidden="1" outlineLevel="1" x14ac:dyDescent="0.25">
      <c r="A2042" t="s">
        <v>964</v>
      </c>
    </row>
    <row r="2043" spans="1:1" hidden="1" outlineLevel="1" x14ac:dyDescent="0.25">
      <c r="A2043" t="s">
        <v>965</v>
      </c>
    </row>
    <row r="2044" spans="1:1" hidden="1" outlineLevel="1" x14ac:dyDescent="0.25">
      <c r="A2044" t="s">
        <v>966</v>
      </c>
    </row>
    <row r="2045" spans="1:1" hidden="1" outlineLevel="1" x14ac:dyDescent="0.25">
      <c r="A2045" t="s">
        <v>953</v>
      </c>
    </row>
    <row r="2046" spans="1:1" hidden="1" outlineLevel="1" x14ac:dyDescent="0.25">
      <c r="A2046" t="s">
        <v>954</v>
      </c>
    </row>
    <row r="2047" spans="1:1" ht="13" hidden="1" outlineLevel="1" x14ac:dyDescent="0.3">
      <c r="A2047" s="66" t="s">
        <v>967</v>
      </c>
    </row>
    <row r="2048" spans="1:1" hidden="1" outlineLevel="1" x14ac:dyDescent="0.25">
      <c r="A2048" t="s">
        <v>968</v>
      </c>
    </row>
    <row r="2049" spans="1:1" hidden="1" outlineLevel="1" x14ac:dyDescent="0.25">
      <c r="A2049" t="s">
        <v>950</v>
      </c>
    </row>
    <row r="2050" spans="1:1" ht="13" hidden="1" outlineLevel="1" x14ac:dyDescent="0.3">
      <c r="A205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051" spans="1:1" ht="13" hidden="1" outlineLevel="1" x14ac:dyDescent="0.3">
      <c r="A2051" s="21" t="s">
        <v>969</v>
      </c>
    </row>
    <row r="2052" spans="1:1" ht="13" hidden="1" outlineLevel="1" x14ac:dyDescent="0.3">
      <c r="A2052" s="21" t="s">
        <v>959</v>
      </c>
    </row>
    <row r="2053" spans="1:1" hidden="1" outlineLevel="1" x14ac:dyDescent="0.25">
      <c r="A2053" t="s">
        <v>960</v>
      </c>
    </row>
    <row r="2054" spans="1:1" hidden="1" outlineLevel="1" x14ac:dyDescent="0.25">
      <c r="A2054" t="s">
        <v>961</v>
      </c>
    </row>
    <row r="2055" spans="1:1" hidden="1" outlineLevel="1" x14ac:dyDescent="0.25">
      <c r="A2055" t="str">
        <f>CONCATENATE("sql left outer join acrtrees t on t.client = x.client and x.dim_1 = t.cat_1 and t.att_agrid = '",$F$159,"'")</f>
        <v>sql left outer join acrtrees t on t.client = x.client and x.dim_1 = t.cat_1 and t.att_agrid = '53'</v>
      </c>
    </row>
    <row r="2056" spans="1:1" ht="13" hidden="1" outlineLevel="1" x14ac:dyDescent="0.3">
      <c r="A205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057" spans="1:1" ht="13" hidden="1" outlineLevel="1" x14ac:dyDescent="0.3">
      <c r="A2057" s="21" t="s">
        <v>970</v>
      </c>
    </row>
    <row r="2058" spans="1:1" ht="13" hidden="1" outlineLevel="1" x14ac:dyDescent="0.3">
      <c r="A2058" s="21" t="s">
        <v>962</v>
      </c>
    </row>
    <row r="2059" spans="1:1" ht="13" hidden="1" outlineLevel="1" x14ac:dyDescent="0.3">
      <c r="A205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060" spans="1:1" ht="13" hidden="1" outlineLevel="1" x14ac:dyDescent="0.3">
      <c r="A2060" s="21" t="s">
        <v>970</v>
      </c>
    </row>
    <row r="2061" spans="1:1" ht="13" hidden="1" outlineLevel="1" x14ac:dyDescent="0.3">
      <c r="A2061" s="21" t="s">
        <v>963</v>
      </c>
    </row>
    <row r="2062" spans="1:1" hidden="1" outlineLevel="1" x14ac:dyDescent="0.25">
      <c r="A2062" t="s">
        <v>964</v>
      </c>
    </row>
    <row r="2063" spans="1:1" hidden="1" outlineLevel="1" x14ac:dyDescent="0.25">
      <c r="A2063" t="s">
        <v>965</v>
      </c>
    </row>
    <row r="2064" spans="1:1" hidden="1" outlineLevel="1" x14ac:dyDescent="0.25">
      <c r="A2064" t="s">
        <v>966</v>
      </c>
    </row>
    <row r="2065" spans="1:1" hidden="1" outlineLevel="1" x14ac:dyDescent="0.25">
      <c r="A2065" t="s">
        <v>953</v>
      </c>
    </row>
    <row r="2066" spans="1:1" hidden="1" outlineLevel="1" x14ac:dyDescent="0.25">
      <c r="A2066" t="s">
        <v>954</v>
      </c>
    </row>
    <row r="2067" spans="1:1" ht="13" hidden="1" outlineLevel="1" x14ac:dyDescent="0.3">
      <c r="A2067" s="66" t="s">
        <v>971</v>
      </c>
    </row>
    <row r="2068" spans="1:1" hidden="1" outlineLevel="1" x14ac:dyDescent="0.25">
      <c r="A2068" t="s">
        <v>972</v>
      </c>
    </row>
    <row r="2069" spans="1:1" hidden="1" outlineLevel="1" x14ac:dyDescent="0.25">
      <c r="A2069" t="s">
        <v>950</v>
      </c>
    </row>
    <row r="2070" spans="1:1" ht="13" hidden="1" outlineLevel="1" x14ac:dyDescent="0.3">
      <c r="A207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071" spans="1:1" ht="13" hidden="1" outlineLevel="1" x14ac:dyDescent="0.3">
      <c r="A2071" s="21" t="s">
        <v>959</v>
      </c>
    </row>
    <row r="2072" spans="1:1" hidden="1" outlineLevel="1" x14ac:dyDescent="0.25">
      <c r="A2072" t="s">
        <v>960</v>
      </c>
    </row>
    <row r="2073" spans="1:1" hidden="1" outlineLevel="1" x14ac:dyDescent="0.25">
      <c r="A2073" t="s">
        <v>961</v>
      </c>
    </row>
    <row r="2074" spans="1:1" hidden="1" outlineLevel="1" x14ac:dyDescent="0.25">
      <c r="A2074" t="str">
        <f>CONCATENATE("sql left outer join acrtrees t on t.client = x.client and x.dim_1 = t.cat_1 and t.att_agrid = '",$F$159,"'")</f>
        <v>sql left outer join acrtrees t on t.client = x.client and x.dim_1 = t.cat_1 and t.att_agrid = '53'</v>
      </c>
    </row>
    <row r="2075" spans="1:1" ht="13" hidden="1" outlineLevel="1" x14ac:dyDescent="0.3">
      <c r="A207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076" spans="1:1" ht="13" hidden="1" outlineLevel="1" x14ac:dyDescent="0.3">
      <c r="A2076" s="21" t="s">
        <v>973</v>
      </c>
    </row>
    <row r="2077" spans="1:1" hidden="1" outlineLevel="1" x14ac:dyDescent="0.25">
      <c r="A2077" t="s">
        <v>964</v>
      </c>
    </row>
    <row r="2078" spans="1:1" hidden="1" outlineLevel="1" x14ac:dyDescent="0.25">
      <c r="A2078" t="s">
        <v>965</v>
      </c>
    </row>
    <row r="2079" spans="1:1" hidden="1" outlineLevel="1" x14ac:dyDescent="0.25">
      <c r="A2079" t="s">
        <v>966</v>
      </c>
    </row>
    <row r="2080" spans="1:1" hidden="1" outlineLevel="1" x14ac:dyDescent="0.25">
      <c r="A2080" t="s">
        <v>953</v>
      </c>
    </row>
    <row r="2081" spans="1:1" hidden="1" outlineLevel="1" x14ac:dyDescent="0.25">
      <c r="A2081" t="s">
        <v>954</v>
      </c>
    </row>
    <row r="2082" spans="1:1" ht="13" hidden="1" outlineLevel="1" x14ac:dyDescent="0.3">
      <c r="A2082" s="66" t="s">
        <v>974</v>
      </c>
    </row>
    <row r="2083" spans="1:1" hidden="1" outlineLevel="1" x14ac:dyDescent="0.25">
      <c r="A2083" t="s">
        <v>975</v>
      </c>
    </row>
    <row r="2084" spans="1:1" hidden="1" outlineLevel="1" x14ac:dyDescent="0.25">
      <c r="A2084" t="s">
        <v>950</v>
      </c>
    </row>
    <row r="2085" spans="1:1" ht="13" hidden="1" outlineLevel="1" x14ac:dyDescent="0.3">
      <c r="A208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086" spans="1:1" ht="13" hidden="1" outlineLevel="1" x14ac:dyDescent="0.3">
      <c r="A2086" s="21" t="s">
        <v>959</v>
      </c>
    </row>
    <row r="2087" spans="1:1" hidden="1" outlineLevel="1" x14ac:dyDescent="0.25">
      <c r="A2087" t="s">
        <v>960</v>
      </c>
    </row>
    <row r="2088" spans="1:1" hidden="1" outlineLevel="1" x14ac:dyDescent="0.25">
      <c r="A2088" t="s">
        <v>961</v>
      </c>
    </row>
    <row r="2089" spans="1:1" hidden="1" outlineLevel="1" x14ac:dyDescent="0.25">
      <c r="A2089" t="str">
        <f>CONCATENATE("sql left outer join acrtrees t on t.client = x.client and x.dim_1 = t.cat_1 and t.att_agrid = '",$F$159,"'")</f>
        <v>sql left outer join acrtrees t on t.client = x.client and x.dim_1 = t.cat_1 and t.att_agrid = '53'</v>
      </c>
    </row>
    <row r="2090" spans="1:1" ht="13" hidden="1" outlineLevel="1" x14ac:dyDescent="0.3">
      <c r="A209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091" spans="1:1" ht="13" hidden="1" outlineLevel="1" x14ac:dyDescent="0.3">
      <c r="A2091" s="21" t="s">
        <v>973</v>
      </c>
    </row>
    <row r="2092" spans="1:1" hidden="1" outlineLevel="1" x14ac:dyDescent="0.25">
      <c r="A2092" t="s">
        <v>964</v>
      </c>
    </row>
    <row r="2093" spans="1:1" hidden="1" outlineLevel="1" x14ac:dyDescent="0.25">
      <c r="A2093" t="s">
        <v>965</v>
      </c>
    </row>
    <row r="2094" spans="1:1" hidden="1" outlineLevel="1" x14ac:dyDescent="0.25">
      <c r="A2094" t="s">
        <v>966</v>
      </c>
    </row>
    <row r="2095" spans="1:1" hidden="1" outlineLevel="1" x14ac:dyDescent="0.25">
      <c r="A2095" t="s">
        <v>953</v>
      </c>
    </row>
    <row r="2096" spans="1:1" hidden="1" outlineLevel="1" x14ac:dyDescent="0.25">
      <c r="A2096" t="s">
        <v>954</v>
      </c>
    </row>
    <row r="2097" spans="1:1" ht="13" hidden="1" outlineLevel="1" x14ac:dyDescent="0.3">
      <c r="A2097" s="66" t="s">
        <v>976</v>
      </c>
    </row>
    <row r="2098" spans="1:1" hidden="1" outlineLevel="1" x14ac:dyDescent="0.25">
      <c r="A2098" t="s">
        <v>977</v>
      </c>
    </row>
    <row r="2099" spans="1:1" hidden="1" outlineLevel="1" x14ac:dyDescent="0.25">
      <c r="A2099" t="s">
        <v>950</v>
      </c>
    </row>
    <row r="2100" spans="1:1" ht="13" hidden="1" outlineLevel="1" x14ac:dyDescent="0.3">
      <c r="A210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101" spans="1:1" ht="13" hidden="1" outlineLevel="1" x14ac:dyDescent="0.3">
      <c r="A2101" s="21" t="s">
        <v>959</v>
      </c>
    </row>
    <row r="2102" spans="1:1" hidden="1" outlineLevel="1" x14ac:dyDescent="0.25">
      <c r="A2102" t="s">
        <v>960</v>
      </c>
    </row>
    <row r="2103" spans="1:1" hidden="1" outlineLevel="1" x14ac:dyDescent="0.25">
      <c r="A2103" t="s">
        <v>961</v>
      </c>
    </row>
    <row r="2104" spans="1:1" hidden="1" outlineLevel="1" x14ac:dyDescent="0.25">
      <c r="A2104" t="str">
        <f>CONCATENATE("sql left outer join acrtrees t on t.client = x.client and x.dim_1 = t.cat_1 and t.att_agrid = '",$F$159,"'")</f>
        <v>sql left outer join acrtrees t on t.client = x.client and x.dim_1 = t.cat_1 and t.att_agrid = '53'</v>
      </c>
    </row>
    <row r="2105" spans="1:1" ht="13" hidden="1" outlineLevel="1" x14ac:dyDescent="0.3">
      <c r="A210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106" spans="1:1" ht="13" hidden="1" outlineLevel="1" x14ac:dyDescent="0.3">
      <c r="A2106" s="21" t="s">
        <v>978</v>
      </c>
    </row>
    <row r="2107" spans="1:1" hidden="1" outlineLevel="1" x14ac:dyDescent="0.25">
      <c r="A2107" t="s">
        <v>979</v>
      </c>
    </row>
    <row r="2108" spans="1:1" hidden="1" outlineLevel="1" x14ac:dyDescent="0.25">
      <c r="A2108" t="s">
        <v>980</v>
      </c>
    </row>
    <row r="2109" spans="1:1" hidden="1" outlineLevel="1" x14ac:dyDescent="0.25">
      <c r="A2109" t="s">
        <v>966</v>
      </c>
    </row>
    <row r="2110" spans="1:1" hidden="1" outlineLevel="1" x14ac:dyDescent="0.25">
      <c r="A2110" t="s">
        <v>953</v>
      </c>
    </row>
    <row r="2111" spans="1:1" hidden="1" outlineLevel="1" x14ac:dyDescent="0.25">
      <c r="A2111" t="s">
        <v>954</v>
      </c>
    </row>
    <row r="2112" spans="1:1" ht="13" hidden="1" outlineLevel="1" x14ac:dyDescent="0.3">
      <c r="A2112" s="66" t="s">
        <v>981</v>
      </c>
    </row>
    <row r="2113" spans="1:1" hidden="1" outlineLevel="1" x14ac:dyDescent="0.25">
      <c r="A2113" t="s">
        <v>982</v>
      </c>
    </row>
    <row r="2114" spans="1:1" hidden="1" outlineLevel="1" x14ac:dyDescent="0.25">
      <c r="A2114" t="s">
        <v>950</v>
      </c>
    </row>
    <row r="2115" spans="1:1" ht="13" hidden="1" outlineLevel="1" x14ac:dyDescent="0.3">
      <c r="A211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116" spans="1:1" ht="13" hidden="1" outlineLevel="1" x14ac:dyDescent="0.3">
      <c r="A2116" s="21" t="s">
        <v>969</v>
      </c>
    </row>
    <row r="2117" spans="1:1" ht="13" hidden="1" outlineLevel="1" x14ac:dyDescent="0.3">
      <c r="A2117" s="21" t="s">
        <v>959</v>
      </c>
    </row>
    <row r="2118" spans="1:1" hidden="1" outlineLevel="1" x14ac:dyDescent="0.25">
      <c r="A2118" t="s">
        <v>960</v>
      </c>
    </row>
    <row r="2119" spans="1:1" hidden="1" outlineLevel="1" x14ac:dyDescent="0.25">
      <c r="A2119" t="s">
        <v>961</v>
      </c>
    </row>
    <row r="2120" spans="1:1" hidden="1" outlineLevel="1" x14ac:dyDescent="0.25">
      <c r="A2120" t="str">
        <f>CONCATENATE("sql left outer join acrtrees t on t.client = x.client and x.dim_1 = t.cat_1 and t.att_agrid = '",$F$159,"'")</f>
        <v>sql left outer join acrtrees t on t.client = x.client and x.dim_1 = t.cat_1 and t.att_agrid = '53'</v>
      </c>
    </row>
    <row r="2121" spans="1:1" ht="13" hidden="1" outlineLevel="1" x14ac:dyDescent="0.3">
      <c r="A212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122" spans="1:1" ht="13" hidden="1" outlineLevel="1" x14ac:dyDescent="0.3">
      <c r="A2122" s="21" t="s">
        <v>970</v>
      </c>
    </row>
    <row r="2123" spans="1:1" ht="13" hidden="1" outlineLevel="1" x14ac:dyDescent="0.3">
      <c r="A2123" s="21" t="s">
        <v>978</v>
      </c>
    </row>
    <row r="2124" spans="1:1" hidden="1" outlineLevel="1" x14ac:dyDescent="0.25">
      <c r="A2124" t="s">
        <v>979</v>
      </c>
    </row>
    <row r="2125" spans="1:1" hidden="1" outlineLevel="1" x14ac:dyDescent="0.25">
      <c r="A2125" t="s">
        <v>980</v>
      </c>
    </row>
    <row r="2126" spans="1:1" hidden="1" outlineLevel="1" x14ac:dyDescent="0.25">
      <c r="A2126" t="s">
        <v>966</v>
      </c>
    </row>
    <row r="2127" spans="1:1" hidden="1" outlineLevel="1" x14ac:dyDescent="0.25">
      <c r="A2127" t="s">
        <v>953</v>
      </c>
    </row>
    <row r="2128" spans="1:1" hidden="1" outlineLevel="1" x14ac:dyDescent="0.25">
      <c r="A2128" t="s">
        <v>954</v>
      </c>
    </row>
    <row r="2129" spans="1:3" ht="13" hidden="1" outlineLevel="1" x14ac:dyDescent="0.3">
      <c r="A2129" s="20" t="s">
        <v>983</v>
      </c>
    </row>
    <row r="2130" spans="1:3" hidden="1" outlineLevel="1" x14ac:dyDescent="0.25">
      <c r="A2130" s="7" t="s">
        <v>984</v>
      </c>
    </row>
    <row r="2131" spans="1:3" hidden="1" outlineLevel="1" x14ac:dyDescent="0.25">
      <c r="A2131" t="s">
        <v>950</v>
      </c>
    </row>
    <row r="2132" spans="1:3" hidden="1" outlineLevel="1" x14ac:dyDescent="0.25">
      <c r="A2132" t="s">
        <v>951</v>
      </c>
    </row>
    <row r="2133" spans="1:3" ht="14.5" hidden="1" outlineLevel="1" x14ac:dyDescent="0.35">
      <c r="A213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133" s="2"/>
    </row>
    <row r="2134" spans="1:3" hidden="1" outlineLevel="1" x14ac:dyDescent="0.25">
      <c r="A2134" t="s">
        <v>952</v>
      </c>
    </row>
    <row r="2135" spans="1:3" hidden="1" outlineLevel="1" x14ac:dyDescent="0.25">
      <c r="A2135" t="s">
        <v>953</v>
      </c>
    </row>
    <row r="2136" spans="1:3" hidden="1" outlineLevel="1" x14ac:dyDescent="0.25">
      <c r="A2136" t="s">
        <v>954</v>
      </c>
    </row>
    <row r="2137" spans="1:3" ht="13" hidden="1" outlineLevel="1" x14ac:dyDescent="0.3">
      <c r="A2137" s="20" t="s">
        <v>985</v>
      </c>
    </row>
    <row r="2138" spans="1:3" hidden="1" outlineLevel="1" x14ac:dyDescent="0.25">
      <c r="A2138" s="7" t="s">
        <v>986</v>
      </c>
    </row>
    <row r="2139" spans="1:3" hidden="1" outlineLevel="1" x14ac:dyDescent="0.25">
      <c r="A2139" t="s">
        <v>987</v>
      </c>
    </row>
    <row r="2140" spans="1:3" ht="13" hidden="1" outlineLevel="1" x14ac:dyDescent="0.3">
      <c r="A2140" s="21" t="str">
        <f>CONCATENATE("sql where a.client = '",$D$172,"' and a.period between '",LEFT($D$170,4),"00' and '",IF(RIGHT($D$171,2)="12",CONCATENATE(LEFT($D$171,4),"14"),$D$171),"'")</f>
        <v>sql where a.client = 'OX' and a.period between '202500' and '202506'</v>
      </c>
    </row>
    <row r="2141" spans="1:3" hidden="1" outlineLevel="1" x14ac:dyDescent="0.25">
      <c r="A2141" t="s">
        <v>952</v>
      </c>
    </row>
    <row r="2142" spans="1:3" hidden="1" outlineLevel="1" x14ac:dyDescent="0.25">
      <c r="A2142" t="s">
        <v>953</v>
      </c>
    </row>
    <row r="2143" spans="1:3" hidden="1" outlineLevel="1" x14ac:dyDescent="0.25">
      <c r="A2143" t="s">
        <v>954</v>
      </c>
    </row>
    <row r="2144" spans="1:3" ht="13" hidden="1" outlineLevel="1" x14ac:dyDescent="0.3">
      <c r="A2144" s="20" t="s">
        <v>988</v>
      </c>
    </row>
    <row r="2145" spans="1:1" hidden="1" outlineLevel="1" x14ac:dyDescent="0.25">
      <c r="A2145" s="7" t="s">
        <v>989</v>
      </c>
    </row>
    <row r="2146" spans="1:1" hidden="1" outlineLevel="1" x14ac:dyDescent="0.25">
      <c r="A2146" t="s">
        <v>950</v>
      </c>
    </row>
    <row r="2147" spans="1:1" hidden="1" outlineLevel="1" x14ac:dyDescent="0.25">
      <c r="A2147" t="s">
        <v>951</v>
      </c>
    </row>
    <row r="2148" spans="1:1" ht="13" hidden="1" outlineLevel="1" x14ac:dyDescent="0.3">
      <c r="A214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149" spans="1:1" hidden="1" outlineLevel="1" x14ac:dyDescent="0.25">
      <c r="A2149" t="s">
        <v>952</v>
      </c>
    </row>
    <row r="2150" spans="1:1" hidden="1" outlineLevel="1" x14ac:dyDescent="0.25">
      <c r="A2150" t="s">
        <v>953</v>
      </c>
    </row>
    <row r="2151" spans="1:1" hidden="1" outlineLevel="1" x14ac:dyDescent="0.25">
      <c r="A2151" t="s">
        <v>954</v>
      </c>
    </row>
    <row r="2152" spans="1:1" ht="13" hidden="1" outlineLevel="1" x14ac:dyDescent="0.3">
      <c r="A2152" s="20" t="s">
        <v>990</v>
      </c>
    </row>
    <row r="2153" spans="1:1" hidden="1" outlineLevel="1" x14ac:dyDescent="0.25">
      <c r="A2153" s="7" t="s">
        <v>991</v>
      </c>
    </row>
    <row r="2154" spans="1:1" hidden="1" outlineLevel="1" x14ac:dyDescent="0.25">
      <c r="A2154" t="s">
        <v>950</v>
      </c>
    </row>
    <row r="2155" spans="1:1" hidden="1" outlineLevel="1" x14ac:dyDescent="0.25">
      <c r="A2155" t="s">
        <v>951</v>
      </c>
    </row>
    <row r="2156" spans="1:1" ht="13" hidden="1" outlineLevel="1" x14ac:dyDescent="0.3">
      <c r="A215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157" spans="1:1" hidden="1" outlineLevel="1" x14ac:dyDescent="0.25">
      <c r="A2157" t="s">
        <v>952</v>
      </c>
    </row>
    <row r="2158" spans="1:1" hidden="1" outlineLevel="1" x14ac:dyDescent="0.25">
      <c r="A2158" t="s">
        <v>953</v>
      </c>
    </row>
    <row r="2159" spans="1:1" hidden="1" outlineLevel="1" x14ac:dyDescent="0.25">
      <c r="A2159" t="s">
        <v>954</v>
      </c>
    </row>
    <row r="2160" spans="1:1" ht="13" hidden="1" outlineLevel="1" x14ac:dyDescent="0.3">
      <c r="A2160" s="20" t="s">
        <v>992</v>
      </c>
    </row>
    <row r="2161" spans="1:7" hidden="1" outlineLevel="1" x14ac:dyDescent="0.25">
      <c r="A2161" s="7" t="s">
        <v>993</v>
      </c>
    </row>
    <row r="2162" spans="1:7" hidden="1" outlineLevel="1" x14ac:dyDescent="0.25">
      <c r="A2162" t="s">
        <v>950</v>
      </c>
    </row>
    <row r="2163" spans="1:7" hidden="1" outlineLevel="1" x14ac:dyDescent="0.25">
      <c r="A2163" t="s">
        <v>951</v>
      </c>
    </row>
    <row r="2164" spans="1:7" ht="13" hidden="1" outlineLevel="1" x14ac:dyDescent="0.3">
      <c r="A216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165" spans="1:7" hidden="1" outlineLevel="1" x14ac:dyDescent="0.25">
      <c r="A2165" t="s">
        <v>952</v>
      </c>
    </row>
    <row r="2166" spans="1:7" hidden="1" outlineLevel="1" x14ac:dyDescent="0.25">
      <c r="A2166" t="s">
        <v>953</v>
      </c>
    </row>
    <row r="2167" spans="1:7" hidden="1" outlineLevel="1" x14ac:dyDescent="0.25">
      <c r="A2167" t="s">
        <v>994</v>
      </c>
    </row>
    <row r="2168" spans="1:7" hidden="1" outlineLevel="1" x14ac:dyDescent="0.25">
      <c r="A2168" t="str">
        <f>CONCATENATE("sql left outer join acrtrees t on t.client = u.client and u.dim_1 = t.cat_1 and t.att_agrid = '",$F$159,"'")</f>
        <v>sql left outer join acrtrees t on t.client = u.client and u.dim_1 = t.cat_1 and t.att_agrid = '53'</v>
      </c>
    </row>
    <row r="2169" spans="1:7" hidden="1" outlineLevel="1" x14ac:dyDescent="0.25">
      <c r="A2169" t="str">
        <f>CONCATENATE("sql left outer join acrtrees s on s.client = u.client and u.account = s.cat_1 and s.att_agrid = '",$F$160,"'")</f>
        <v>sql left outer join acrtrees s on s.client = u.client and u.account = s.cat_1 and s.att_agrid = '14'</v>
      </c>
    </row>
    <row r="2170" spans="1:7" hidden="1" outlineLevel="1" x14ac:dyDescent="0.25">
      <c r="A2170" t="str">
        <f>CONCATENATE("sql left outer join acrtrees v on v.client = u.client and u.account = v.cat_1 and v.att_agrid = '",$F$161,"'")</f>
        <v>sql left outer join acrtrees v on v.client = u.client and u.account = v.cat_1 and v.att_agrid = '17'</v>
      </c>
    </row>
    <row r="2171" spans="1:7" hidden="1" outlineLevel="1" x14ac:dyDescent="0.25">
      <c r="A2171" t="str">
        <f>CONCATENATE("sql left outer join agldescription d on d.client = u.client and d.dim_value = t.dim_c and d.attribute_id = '",$F$162,"'")</f>
        <v>sql left outer join agldescription d on d.client = u.client and d.dim_value = t.dim_c and d.attribute_id = '82'</v>
      </c>
    </row>
    <row r="2172" spans="1:7" hidden="1" outlineLevel="1" x14ac:dyDescent="0.25">
      <c r="A2172" t="str">
        <f>CONCATENATE("sql left outer join agldescription e on e.client = u.client and e.dim_value = t.dim_b and e.attribute_id = '",$F$163,"'")</f>
        <v>sql left outer join agldescription e on e.client = u.client and e.dim_value = t.dim_b and e.attribute_id = '81'</v>
      </c>
    </row>
    <row r="2173" spans="1:7" hidden="1" outlineLevel="1" x14ac:dyDescent="0.25">
      <c r="A2173" t="str">
        <f>CONCATENATE("sql left outer join agldescription f on f.client = u.client and f.dim_value = t.dim_e and f.attribute_id = '",$F$164,"'")</f>
        <v>sql left outer join agldescription f on f.client = u.client and f.dim_value = t.dim_e and f.attribute_id = '80'</v>
      </c>
    </row>
    <row r="2174" spans="1:7" hidden="1" outlineLevel="1" x14ac:dyDescent="0.25">
      <c r="A2174" t="str">
        <f>CONCATENATE("sql left outer join agldescription g on g.client = u.client and g.dim_value = u.account and g.attribute_id = '",$F$165,"'")</f>
        <v>sql left outer join agldescription g on g.client = u.client and g.dim_value = u.account and g.attribute_id = 'A0'</v>
      </c>
    </row>
    <row r="2175" spans="1:7" ht="14.5" hidden="1" outlineLevel="1" x14ac:dyDescent="0.35">
      <c r="A2175" s="67" t="s">
        <v>1056</v>
      </c>
      <c r="G2175" s="737" t="s">
        <v>1057</v>
      </c>
    </row>
    <row r="2176" spans="1:7" hidden="1" outlineLevel="1" x14ac:dyDescent="0.25">
      <c r="A2176" t="s">
        <v>1005</v>
      </c>
    </row>
    <row r="2177" spans="1:33" hidden="1" outlineLevel="1" x14ac:dyDescent="0.25">
      <c r="A2177" t="s">
        <v>1006</v>
      </c>
    </row>
    <row r="2178" spans="1:33" hidden="1" outlineLevel="1" x14ac:dyDescent="0.25">
      <c r="A2178" t="s">
        <v>1007</v>
      </c>
    </row>
    <row r="2179" spans="1:33" ht="13" hidden="1" outlineLevel="1" x14ac:dyDescent="0.3">
      <c r="A2179" t="s">
        <v>1012</v>
      </c>
      <c r="C2179" s="29"/>
      <c r="D2179" s="36">
        <v>1000</v>
      </c>
      <c r="E2179" s="36">
        <v>1000</v>
      </c>
      <c r="F2179" s="22">
        <v>1000</v>
      </c>
      <c r="G2179" s="22">
        <v>1000</v>
      </c>
      <c r="H2179" s="22">
        <v>1000</v>
      </c>
      <c r="I2179" s="22">
        <v>1000</v>
      </c>
      <c r="J2179" s="22">
        <v>1000</v>
      </c>
      <c r="K2179" s="22">
        <v>1000</v>
      </c>
      <c r="L2179" s="22"/>
      <c r="M2179" s="36"/>
      <c r="N2179" s="36"/>
      <c r="O2179" s="36">
        <v>1000</v>
      </c>
      <c r="P2179" s="36">
        <v>1000</v>
      </c>
      <c r="Q2179" s="36">
        <v>1000</v>
      </c>
      <c r="R2179" s="36">
        <v>1000</v>
      </c>
      <c r="S2179" s="36">
        <v>1000</v>
      </c>
      <c r="T2179" s="36"/>
      <c r="U2179" s="36"/>
      <c r="V2179" s="58"/>
      <c r="W2179" s="36">
        <v>1000</v>
      </c>
      <c r="X2179" s="36">
        <v>1000</v>
      </c>
      <c r="Y2179" s="36"/>
      <c r="Z2179" s="36"/>
      <c r="AA2179" s="40"/>
      <c r="AB2179" s="60"/>
      <c r="AC2179" s="98"/>
      <c r="AD2179" s="36"/>
      <c r="AE2179" s="36"/>
      <c r="AF2179" s="36"/>
      <c r="AG2179" s="99"/>
    </row>
    <row r="2180" spans="1:33" ht="13" hidden="1" outlineLevel="1" x14ac:dyDescent="0.3">
      <c r="A2180" s="7" t="s">
        <v>1013</v>
      </c>
      <c r="C2180" s="29"/>
      <c r="D2180" s="36">
        <v>0</v>
      </c>
      <c r="E2180" s="36">
        <v>0</v>
      </c>
      <c r="F2180" s="22">
        <v>0</v>
      </c>
      <c r="G2180" s="22">
        <v>0</v>
      </c>
      <c r="H2180" s="22">
        <v>0</v>
      </c>
      <c r="I2180" s="22">
        <v>0</v>
      </c>
      <c r="J2180" s="22">
        <v>0</v>
      </c>
      <c r="K2180" s="22">
        <v>0</v>
      </c>
      <c r="L2180" s="22"/>
      <c r="M2180" s="36"/>
      <c r="N2180" s="36"/>
      <c r="O2180" s="36">
        <v>0</v>
      </c>
      <c r="P2180" s="36">
        <v>0</v>
      </c>
      <c r="Q2180" s="36">
        <v>0</v>
      </c>
      <c r="R2180" s="36">
        <v>0</v>
      </c>
      <c r="S2180" s="36">
        <v>0</v>
      </c>
      <c r="T2180" s="36"/>
      <c r="U2180" s="36"/>
      <c r="V2180" s="58"/>
      <c r="W2180" s="36">
        <v>0</v>
      </c>
      <c r="X2180" s="36">
        <v>0</v>
      </c>
      <c r="Y2180" s="36"/>
      <c r="Z2180" s="36"/>
      <c r="AA2180" s="40"/>
      <c r="AB2180" s="60"/>
      <c r="AC2180" s="98"/>
      <c r="AD2180" s="36"/>
      <c r="AE2180" s="36"/>
      <c r="AF2180" s="36"/>
      <c r="AG2180" s="99"/>
    </row>
    <row r="2181" spans="1:33" ht="13" hidden="1" outlineLevel="1" x14ac:dyDescent="0.3">
      <c r="A2181" t="s">
        <v>1014</v>
      </c>
      <c r="C2181" s="30"/>
      <c r="D2181" s="36"/>
      <c r="E2181" s="36"/>
      <c r="F2181" s="57"/>
      <c r="G2181" s="57"/>
      <c r="H2181" s="57"/>
      <c r="I2181" s="57"/>
      <c r="J2181" s="57"/>
      <c r="K2181" s="57"/>
      <c r="L2181" s="57"/>
      <c r="M2181" s="36"/>
      <c r="N2181" s="36"/>
      <c r="O2181" s="36"/>
      <c r="P2181" s="36" t="s">
        <v>1015</v>
      </c>
      <c r="Q2181" s="36" t="s">
        <v>1016</v>
      </c>
      <c r="R2181" s="36"/>
      <c r="S2181" s="36"/>
      <c r="T2181" s="36"/>
      <c r="U2181" s="36"/>
      <c r="V2181" s="58"/>
      <c r="W2181" s="36"/>
      <c r="X2181" s="36"/>
      <c r="Y2181" s="36"/>
      <c r="Z2181" s="36"/>
      <c r="AA2181" s="40"/>
      <c r="AB2181" s="60"/>
      <c r="AC2181" s="98"/>
      <c r="AD2181" s="36"/>
      <c r="AE2181" s="36"/>
      <c r="AF2181" s="36"/>
      <c r="AG2181" s="99"/>
    </row>
    <row r="2182" spans="1:33" ht="13" hidden="1" outlineLevel="1" x14ac:dyDescent="0.3">
      <c r="A2182" t="s">
        <v>1017</v>
      </c>
      <c r="C2182" s="31"/>
      <c r="D2182" s="36" t="s">
        <v>1019</v>
      </c>
      <c r="E2182" s="36" t="s">
        <v>1020</v>
      </c>
      <c r="F2182" s="22" t="s">
        <v>1021</v>
      </c>
      <c r="G2182" s="22" t="s">
        <v>1022</v>
      </c>
      <c r="H2182" s="22" t="s">
        <v>1023</v>
      </c>
      <c r="I2182" s="22" t="s">
        <v>1024</v>
      </c>
      <c r="J2182" s="22" t="s">
        <v>1025</v>
      </c>
      <c r="K2182" s="22" t="s">
        <v>1026</v>
      </c>
      <c r="L2182" s="22"/>
      <c r="M2182" s="36"/>
      <c r="N2182" s="36"/>
      <c r="O2182" s="36" t="s">
        <v>1027</v>
      </c>
      <c r="P2182" s="36" t="s">
        <v>1028</v>
      </c>
      <c r="Q2182" s="36" t="s">
        <v>1028</v>
      </c>
      <c r="R2182" s="36" t="s">
        <v>1028</v>
      </c>
      <c r="S2182" s="36" t="s">
        <v>1029</v>
      </c>
      <c r="T2182" s="36"/>
      <c r="U2182" s="36"/>
      <c r="V2182" s="58"/>
      <c r="W2182" s="36" t="s">
        <v>1030</v>
      </c>
      <c r="X2182" s="36" t="s">
        <v>1031</v>
      </c>
      <c r="Y2182" s="36"/>
      <c r="Z2182" s="36"/>
      <c r="AA2182" s="40"/>
      <c r="AB2182" s="60"/>
      <c r="AC2182" s="98"/>
      <c r="AD2182" s="36"/>
      <c r="AE2182" s="36"/>
      <c r="AF2182" s="36"/>
      <c r="AG2182" s="99"/>
    </row>
    <row r="2183" spans="1:33" ht="13" hidden="1" outlineLevel="1" x14ac:dyDescent="0.3">
      <c r="A2183" t="s">
        <v>1041</v>
      </c>
      <c r="C2183" s="31" t="s">
        <v>127</v>
      </c>
      <c r="D2183" s="33">
        <v>0</v>
      </c>
      <c r="E2183" s="33">
        <v>0</v>
      </c>
      <c r="F2183" s="23">
        <v>0</v>
      </c>
      <c r="G2183" s="23">
        <v>0</v>
      </c>
      <c r="H2183" s="23">
        <v>0</v>
      </c>
      <c r="I2183" s="23">
        <v>0</v>
      </c>
      <c r="J2183" s="23">
        <v>0</v>
      </c>
      <c r="K2183" s="23">
        <v>0</v>
      </c>
      <c r="L2183" s="23">
        <f>SUM(F2183:K2183)</f>
        <v>0</v>
      </c>
      <c r="M2183" s="33">
        <f>O2183-E2183</f>
        <v>0</v>
      </c>
      <c r="N2183" s="33">
        <f>O2183-D2183</f>
        <v>0</v>
      </c>
      <c r="O2183" s="33">
        <v>0</v>
      </c>
      <c r="P2183" s="33">
        <v>0</v>
      </c>
      <c r="Q2183" s="33">
        <v>0</v>
      </c>
      <c r="R2183" s="33">
        <v>0</v>
      </c>
      <c r="S2183" s="33">
        <v>0</v>
      </c>
      <c r="T2183" s="33">
        <f>R2183-S2183</f>
        <v>0</v>
      </c>
      <c r="U2183" s="38" t="str">
        <f>IFERROR((R2183/O2183)*100%,"∞")</f>
        <v>∞</v>
      </c>
      <c r="V2183" s="59">
        <f>O2183+W2183</f>
        <v>0</v>
      </c>
      <c r="W2183" s="33">
        <v>0</v>
      </c>
      <c r="X2183" s="33">
        <v>0</v>
      </c>
      <c r="Y2183" s="33"/>
      <c r="Z2183" s="33"/>
      <c r="AA2183" s="42"/>
      <c r="AB2183" s="60"/>
      <c r="AC2183" s="105"/>
      <c r="AD2183" s="93"/>
      <c r="AE2183" s="33">
        <f>SUM(AC2183:AD2183)</f>
        <v>0</v>
      </c>
      <c r="AF2183" s="33">
        <f>R2183+AE2183</f>
        <v>0</v>
      </c>
      <c r="AG2183" s="101">
        <f>AF2183-O2183</f>
        <v>0</v>
      </c>
    </row>
    <row r="2184" spans="1:33" hidden="1" outlineLevel="1" x14ac:dyDescent="0.25">
      <c r="A2184" t="s">
        <v>232</v>
      </c>
    </row>
    <row r="2185" spans="1:33" hidden="1" outlineLevel="1" x14ac:dyDescent="0.25">
      <c r="A2185" t="s">
        <v>944</v>
      </c>
      <c r="M2185" s="19"/>
      <c r="N2185" s="19"/>
    </row>
    <row r="2186" spans="1:33" hidden="1" outlineLevel="1" x14ac:dyDescent="0.25">
      <c r="A2186" t="s">
        <v>946</v>
      </c>
      <c r="E2186" s="19"/>
    </row>
    <row r="2187" spans="1:33" hidden="1" outlineLevel="1" x14ac:dyDescent="0.25">
      <c r="A2187" t="s">
        <v>947</v>
      </c>
      <c r="E2187" s="19"/>
      <c r="F2187" s="19"/>
    </row>
    <row r="2188" spans="1:33" ht="13" hidden="1" outlineLevel="1" x14ac:dyDescent="0.3">
      <c r="A2188" s="20" t="s">
        <v>948</v>
      </c>
    </row>
    <row r="2189" spans="1:33" hidden="1" outlineLevel="1" x14ac:dyDescent="0.25">
      <c r="A2189" s="7" t="s">
        <v>949</v>
      </c>
    </row>
    <row r="2190" spans="1:33" hidden="1" outlineLevel="1" x14ac:dyDescent="0.25">
      <c r="A2190" t="s">
        <v>950</v>
      </c>
    </row>
    <row r="2191" spans="1:33" hidden="1" outlineLevel="1" x14ac:dyDescent="0.25">
      <c r="A2191" t="s">
        <v>951</v>
      </c>
    </row>
    <row r="2192" spans="1:33" ht="13" hidden="1" outlineLevel="1" x14ac:dyDescent="0.3">
      <c r="A2192" s="21" t="str">
        <f>CONCATENATE("sql where a.client = '",$D$172,"' and a.period between '",LEFT($D$170,4),"00' and '",LEFT($D$171,4),"14' and a.version like '%ORIG%'")</f>
        <v>sql where a.client = 'OX' and a.period between '202500' and '202514' and a.version like '%ORIG%'</v>
      </c>
    </row>
    <row r="2193" spans="1:3" hidden="1" outlineLevel="1" x14ac:dyDescent="0.25">
      <c r="A2193" t="s">
        <v>952</v>
      </c>
    </row>
    <row r="2194" spans="1:3" hidden="1" outlineLevel="1" x14ac:dyDescent="0.25">
      <c r="A2194" t="s">
        <v>953</v>
      </c>
    </row>
    <row r="2195" spans="1:3" hidden="1" outlineLevel="1" x14ac:dyDescent="0.25">
      <c r="A2195" t="s">
        <v>954</v>
      </c>
    </row>
    <row r="2196" spans="1:3" ht="13" hidden="1" outlineLevel="1" x14ac:dyDescent="0.3">
      <c r="A2196" s="20" t="s">
        <v>955</v>
      </c>
    </row>
    <row r="2197" spans="1:3" hidden="1" outlineLevel="1" x14ac:dyDescent="0.25">
      <c r="A2197" s="7" t="s">
        <v>956</v>
      </c>
    </row>
    <row r="2198" spans="1:3" hidden="1" outlineLevel="1" x14ac:dyDescent="0.25">
      <c r="A2198" t="s">
        <v>950</v>
      </c>
    </row>
    <row r="2199" spans="1:3" hidden="1" outlineLevel="1" x14ac:dyDescent="0.25">
      <c r="A2199" t="s">
        <v>951</v>
      </c>
    </row>
    <row r="2200" spans="1:3" ht="14.5" hidden="1" outlineLevel="1" x14ac:dyDescent="0.35">
      <c r="A2200"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200" s="2"/>
    </row>
    <row r="2201" spans="1:3" hidden="1" outlineLevel="1" x14ac:dyDescent="0.25">
      <c r="A2201" t="s">
        <v>952</v>
      </c>
    </row>
    <row r="2202" spans="1:3" hidden="1" outlineLevel="1" x14ac:dyDescent="0.25">
      <c r="A2202" t="s">
        <v>953</v>
      </c>
    </row>
    <row r="2203" spans="1:3" hidden="1" outlineLevel="1" x14ac:dyDescent="0.25">
      <c r="A2203" t="s">
        <v>954</v>
      </c>
    </row>
    <row r="2204" spans="1:3" ht="13" hidden="1" outlineLevel="1" x14ac:dyDescent="0.3">
      <c r="A2204" s="66" t="s">
        <v>957</v>
      </c>
    </row>
    <row r="2205" spans="1:3" hidden="1" outlineLevel="1" x14ac:dyDescent="0.25">
      <c r="A2205" t="s">
        <v>958</v>
      </c>
    </row>
    <row r="2206" spans="1:3" hidden="1" outlineLevel="1" x14ac:dyDescent="0.25">
      <c r="A2206" t="s">
        <v>950</v>
      </c>
    </row>
    <row r="2207" spans="1:3" ht="13" hidden="1" outlineLevel="1" x14ac:dyDescent="0.3">
      <c r="A220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208" spans="1:3" ht="13" hidden="1" outlineLevel="1" x14ac:dyDescent="0.3">
      <c r="A2208" s="21" t="s">
        <v>959</v>
      </c>
    </row>
    <row r="2209" spans="1:1" hidden="1" outlineLevel="1" x14ac:dyDescent="0.25">
      <c r="A2209" t="s">
        <v>960</v>
      </c>
    </row>
    <row r="2210" spans="1:1" hidden="1" outlineLevel="1" x14ac:dyDescent="0.25">
      <c r="A2210" t="s">
        <v>961</v>
      </c>
    </row>
    <row r="2211" spans="1:1" hidden="1" outlineLevel="1" x14ac:dyDescent="0.25">
      <c r="A2211" t="str">
        <f>CONCATENATE("sql left outer join acrtrees t on t.client = x.client and x.dim_1 = t.cat_1 and t.att_agrid = '",$F$159,"'")</f>
        <v>sql left outer join acrtrees t on t.client = x.client and x.dim_1 = t.cat_1 and t.att_agrid = '53'</v>
      </c>
    </row>
    <row r="2212" spans="1:1" ht="13" hidden="1" outlineLevel="1" x14ac:dyDescent="0.3">
      <c r="A221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213" spans="1:1" ht="13" hidden="1" outlineLevel="1" x14ac:dyDescent="0.3">
      <c r="A2213" s="21" t="s">
        <v>962</v>
      </c>
    </row>
    <row r="2214" spans="1:1" ht="13" hidden="1" outlineLevel="1" x14ac:dyDescent="0.3">
      <c r="A2214"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215" spans="1:1" ht="13" hidden="1" outlineLevel="1" x14ac:dyDescent="0.3">
      <c r="A2215" s="21" t="s">
        <v>963</v>
      </c>
    </row>
    <row r="2216" spans="1:1" hidden="1" outlineLevel="1" x14ac:dyDescent="0.25">
      <c r="A2216" t="s">
        <v>964</v>
      </c>
    </row>
    <row r="2217" spans="1:1" hidden="1" outlineLevel="1" x14ac:dyDescent="0.25">
      <c r="A2217" t="s">
        <v>965</v>
      </c>
    </row>
    <row r="2218" spans="1:1" hidden="1" outlineLevel="1" x14ac:dyDescent="0.25">
      <c r="A2218" t="s">
        <v>966</v>
      </c>
    </row>
    <row r="2219" spans="1:1" hidden="1" outlineLevel="1" x14ac:dyDescent="0.25">
      <c r="A2219" t="s">
        <v>953</v>
      </c>
    </row>
    <row r="2220" spans="1:1" hidden="1" outlineLevel="1" x14ac:dyDescent="0.25">
      <c r="A2220" t="s">
        <v>954</v>
      </c>
    </row>
    <row r="2221" spans="1:1" ht="13" hidden="1" outlineLevel="1" x14ac:dyDescent="0.3">
      <c r="A2221" s="66" t="s">
        <v>967</v>
      </c>
    </row>
    <row r="2222" spans="1:1" hidden="1" outlineLevel="1" x14ac:dyDescent="0.25">
      <c r="A2222" t="s">
        <v>968</v>
      </c>
    </row>
    <row r="2223" spans="1:1" hidden="1" outlineLevel="1" x14ac:dyDescent="0.25">
      <c r="A2223" t="s">
        <v>950</v>
      </c>
    </row>
    <row r="2224" spans="1:1" ht="13" hidden="1" outlineLevel="1" x14ac:dyDescent="0.3">
      <c r="A222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225" spans="1:1" ht="13" hidden="1" outlineLevel="1" x14ac:dyDescent="0.3">
      <c r="A2225" s="21" t="s">
        <v>969</v>
      </c>
    </row>
    <row r="2226" spans="1:1" ht="13" hidden="1" outlineLevel="1" x14ac:dyDescent="0.3">
      <c r="A2226" s="21" t="s">
        <v>959</v>
      </c>
    </row>
    <row r="2227" spans="1:1" hidden="1" outlineLevel="1" x14ac:dyDescent="0.25">
      <c r="A2227" t="s">
        <v>960</v>
      </c>
    </row>
    <row r="2228" spans="1:1" hidden="1" outlineLevel="1" x14ac:dyDescent="0.25">
      <c r="A2228" t="s">
        <v>961</v>
      </c>
    </row>
    <row r="2229" spans="1:1" hidden="1" outlineLevel="1" x14ac:dyDescent="0.25">
      <c r="A2229" t="str">
        <f>CONCATENATE("sql left outer join acrtrees t on t.client = x.client and x.dim_1 = t.cat_1 and t.att_agrid = '",$F$159,"'")</f>
        <v>sql left outer join acrtrees t on t.client = x.client and x.dim_1 = t.cat_1 and t.att_agrid = '53'</v>
      </c>
    </row>
    <row r="2230" spans="1:1" ht="13" hidden="1" outlineLevel="1" x14ac:dyDescent="0.3">
      <c r="A223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231" spans="1:1" ht="13" hidden="1" outlineLevel="1" x14ac:dyDescent="0.3">
      <c r="A2231" s="21" t="s">
        <v>970</v>
      </c>
    </row>
    <row r="2232" spans="1:1" ht="13" hidden="1" outlineLevel="1" x14ac:dyDescent="0.3">
      <c r="A2232" s="21" t="s">
        <v>962</v>
      </c>
    </row>
    <row r="2233" spans="1:1" ht="13" hidden="1" outlineLevel="1" x14ac:dyDescent="0.3">
      <c r="A2233"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234" spans="1:1" ht="13" hidden="1" outlineLevel="1" x14ac:dyDescent="0.3">
      <c r="A2234" s="21" t="s">
        <v>970</v>
      </c>
    </row>
    <row r="2235" spans="1:1" ht="13" hidden="1" outlineLevel="1" x14ac:dyDescent="0.3">
      <c r="A2235" s="21" t="s">
        <v>963</v>
      </c>
    </row>
    <row r="2236" spans="1:1" hidden="1" outlineLevel="1" x14ac:dyDescent="0.25">
      <c r="A2236" t="s">
        <v>964</v>
      </c>
    </row>
    <row r="2237" spans="1:1" hidden="1" outlineLevel="1" x14ac:dyDescent="0.25">
      <c r="A2237" t="s">
        <v>965</v>
      </c>
    </row>
    <row r="2238" spans="1:1" hidden="1" outlineLevel="1" x14ac:dyDescent="0.25">
      <c r="A2238" t="s">
        <v>966</v>
      </c>
    </row>
    <row r="2239" spans="1:1" hidden="1" outlineLevel="1" x14ac:dyDescent="0.25">
      <c r="A2239" t="s">
        <v>953</v>
      </c>
    </row>
    <row r="2240" spans="1:1" hidden="1" outlineLevel="1" x14ac:dyDescent="0.25">
      <c r="A2240" t="s">
        <v>954</v>
      </c>
    </row>
    <row r="2241" spans="1:1" ht="13" hidden="1" outlineLevel="1" x14ac:dyDescent="0.3">
      <c r="A2241" s="66" t="s">
        <v>971</v>
      </c>
    </row>
    <row r="2242" spans="1:1" hidden="1" outlineLevel="1" x14ac:dyDescent="0.25">
      <c r="A2242" t="s">
        <v>972</v>
      </c>
    </row>
    <row r="2243" spans="1:1" hidden="1" outlineLevel="1" x14ac:dyDescent="0.25">
      <c r="A2243" t="s">
        <v>950</v>
      </c>
    </row>
    <row r="2244" spans="1:1" ht="13" hidden="1" outlineLevel="1" x14ac:dyDescent="0.3">
      <c r="A224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245" spans="1:1" ht="13" hidden="1" outlineLevel="1" x14ac:dyDescent="0.3">
      <c r="A2245" s="21" t="s">
        <v>959</v>
      </c>
    </row>
    <row r="2246" spans="1:1" hidden="1" outlineLevel="1" x14ac:dyDescent="0.25">
      <c r="A2246" t="s">
        <v>960</v>
      </c>
    </row>
    <row r="2247" spans="1:1" hidden="1" outlineLevel="1" x14ac:dyDescent="0.25">
      <c r="A2247" t="s">
        <v>961</v>
      </c>
    </row>
    <row r="2248" spans="1:1" hidden="1" outlineLevel="1" x14ac:dyDescent="0.25">
      <c r="A2248" t="str">
        <f>CONCATENATE("sql left outer join acrtrees t on t.client = x.client and x.dim_1 = t.cat_1 and t.att_agrid = '",$F$159,"'")</f>
        <v>sql left outer join acrtrees t on t.client = x.client and x.dim_1 = t.cat_1 and t.att_agrid = '53'</v>
      </c>
    </row>
    <row r="2249" spans="1:1" ht="13" hidden="1" outlineLevel="1" x14ac:dyDescent="0.3">
      <c r="A224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250" spans="1:1" ht="13" hidden="1" outlineLevel="1" x14ac:dyDescent="0.3">
      <c r="A2250" s="21" t="s">
        <v>973</v>
      </c>
    </row>
    <row r="2251" spans="1:1" hidden="1" outlineLevel="1" x14ac:dyDescent="0.25">
      <c r="A2251" t="s">
        <v>964</v>
      </c>
    </row>
    <row r="2252" spans="1:1" hidden="1" outlineLevel="1" x14ac:dyDescent="0.25">
      <c r="A2252" t="s">
        <v>965</v>
      </c>
    </row>
    <row r="2253" spans="1:1" hidden="1" outlineLevel="1" x14ac:dyDescent="0.25">
      <c r="A2253" t="s">
        <v>966</v>
      </c>
    </row>
    <row r="2254" spans="1:1" hidden="1" outlineLevel="1" x14ac:dyDescent="0.25">
      <c r="A2254" t="s">
        <v>953</v>
      </c>
    </row>
    <row r="2255" spans="1:1" hidden="1" outlineLevel="1" x14ac:dyDescent="0.25">
      <c r="A2255" t="s">
        <v>954</v>
      </c>
    </row>
    <row r="2256" spans="1:1" ht="13" hidden="1" outlineLevel="1" x14ac:dyDescent="0.3">
      <c r="A2256" s="66" t="s">
        <v>974</v>
      </c>
    </row>
    <row r="2257" spans="1:1" hidden="1" outlineLevel="1" x14ac:dyDescent="0.25">
      <c r="A2257" t="s">
        <v>975</v>
      </c>
    </row>
    <row r="2258" spans="1:1" hidden="1" outlineLevel="1" x14ac:dyDescent="0.25">
      <c r="A2258" t="s">
        <v>950</v>
      </c>
    </row>
    <row r="2259" spans="1:1" ht="13" hidden="1" outlineLevel="1" x14ac:dyDescent="0.3">
      <c r="A225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260" spans="1:1" ht="13" hidden="1" outlineLevel="1" x14ac:dyDescent="0.3">
      <c r="A2260" s="21" t="s">
        <v>959</v>
      </c>
    </row>
    <row r="2261" spans="1:1" hidden="1" outlineLevel="1" x14ac:dyDescent="0.25">
      <c r="A2261" t="s">
        <v>960</v>
      </c>
    </row>
    <row r="2262" spans="1:1" hidden="1" outlineLevel="1" x14ac:dyDescent="0.25">
      <c r="A2262" t="s">
        <v>961</v>
      </c>
    </row>
    <row r="2263" spans="1:1" hidden="1" outlineLevel="1" x14ac:dyDescent="0.25">
      <c r="A2263" t="str">
        <f>CONCATENATE("sql left outer join acrtrees t on t.client = x.client and x.dim_1 = t.cat_1 and t.att_agrid = '",$F$159,"'")</f>
        <v>sql left outer join acrtrees t on t.client = x.client and x.dim_1 = t.cat_1 and t.att_agrid = '53'</v>
      </c>
    </row>
    <row r="2264" spans="1:1" ht="13" hidden="1" outlineLevel="1" x14ac:dyDescent="0.3">
      <c r="A226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265" spans="1:1" ht="13" hidden="1" outlineLevel="1" x14ac:dyDescent="0.3">
      <c r="A2265" s="21" t="s">
        <v>973</v>
      </c>
    </row>
    <row r="2266" spans="1:1" hidden="1" outlineLevel="1" x14ac:dyDescent="0.25">
      <c r="A2266" t="s">
        <v>964</v>
      </c>
    </row>
    <row r="2267" spans="1:1" hidden="1" outlineLevel="1" x14ac:dyDescent="0.25">
      <c r="A2267" t="s">
        <v>965</v>
      </c>
    </row>
    <row r="2268" spans="1:1" hidden="1" outlineLevel="1" x14ac:dyDescent="0.25">
      <c r="A2268" t="s">
        <v>966</v>
      </c>
    </row>
    <row r="2269" spans="1:1" hidden="1" outlineLevel="1" x14ac:dyDescent="0.25">
      <c r="A2269" t="s">
        <v>953</v>
      </c>
    </row>
    <row r="2270" spans="1:1" hidden="1" outlineLevel="1" x14ac:dyDescent="0.25">
      <c r="A2270" t="s">
        <v>954</v>
      </c>
    </row>
    <row r="2271" spans="1:1" ht="13" hidden="1" outlineLevel="1" x14ac:dyDescent="0.3">
      <c r="A2271" s="66" t="s">
        <v>976</v>
      </c>
    </row>
    <row r="2272" spans="1:1" hidden="1" outlineLevel="1" x14ac:dyDescent="0.25">
      <c r="A2272" t="s">
        <v>977</v>
      </c>
    </row>
    <row r="2273" spans="1:1" hidden="1" outlineLevel="1" x14ac:dyDescent="0.25">
      <c r="A2273" t="s">
        <v>950</v>
      </c>
    </row>
    <row r="2274" spans="1:1" ht="13" hidden="1" outlineLevel="1" x14ac:dyDescent="0.3">
      <c r="A227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275" spans="1:1" ht="13" hidden="1" outlineLevel="1" x14ac:dyDescent="0.3">
      <c r="A2275" s="21" t="s">
        <v>959</v>
      </c>
    </row>
    <row r="2276" spans="1:1" hidden="1" outlineLevel="1" x14ac:dyDescent="0.25">
      <c r="A2276" t="s">
        <v>960</v>
      </c>
    </row>
    <row r="2277" spans="1:1" hidden="1" outlineLevel="1" x14ac:dyDescent="0.25">
      <c r="A2277" t="s">
        <v>961</v>
      </c>
    </row>
    <row r="2278" spans="1:1" hidden="1" outlineLevel="1" x14ac:dyDescent="0.25">
      <c r="A2278" t="str">
        <f>CONCATENATE("sql left outer join acrtrees t on t.client = x.client and x.dim_1 = t.cat_1 and t.att_agrid = '",$F$159,"'")</f>
        <v>sql left outer join acrtrees t on t.client = x.client and x.dim_1 = t.cat_1 and t.att_agrid = '53'</v>
      </c>
    </row>
    <row r="2279" spans="1:1" ht="13" hidden="1" outlineLevel="1" x14ac:dyDescent="0.3">
      <c r="A227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280" spans="1:1" ht="13" hidden="1" outlineLevel="1" x14ac:dyDescent="0.3">
      <c r="A2280" s="21" t="s">
        <v>978</v>
      </c>
    </row>
    <row r="2281" spans="1:1" hidden="1" outlineLevel="1" x14ac:dyDescent="0.25">
      <c r="A2281" t="s">
        <v>979</v>
      </c>
    </row>
    <row r="2282" spans="1:1" hidden="1" outlineLevel="1" x14ac:dyDescent="0.25">
      <c r="A2282" t="s">
        <v>980</v>
      </c>
    </row>
    <row r="2283" spans="1:1" hidden="1" outlineLevel="1" x14ac:dyDescent="0.25">
      <c r="A2283" t="s">
        <v>966</v>
      </c>
    </row>
    <row r="2284" spans="1:1" hidden="1" outlineLevel="1" x14ac:dyDescent="0.25">
      <c r="A2284" t="s">
        <v>953</v>
      </c>
    </row>
    <row r="2285" spans="1:1" hidden="1" outlineLevel="1" x14ac:dyDescent="0.25">
      <c r="A2285" t="s">
        <v>954</v>
      </c>
    </row>
    <row r="2286" spans="1:1" ht="13" hidden="1" outlineLevel="1" x14ac:dyDescent="0.3">
      <c r="A2286" s="66" t="s">
        <v>981</v>
      </c>
    </row>
    <row r="2287" spans="1:1" hidden="1" outlineLevel="1" x14ac:dyDescent="0.25">
      <c r="A2287" t="s">
        <v>982</v>
      </c>
    </row>
    <row r="2288" spans="1:1" hidden="1" outlineLevel="1" x14ac:dyDescent="0.25">
      <c r="A2288" t="s">
        <v>950</v>
      </c>
    </row>
    <row r="2289" spans="1:1" ht="13" hidden="1" outlineLevel="1" x14ac:dyDescent="0.3">
      <c r="A228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290" spans="1:1" ht="13" hidden="1" outlineLevel="1" x14ac:dyDescent="0.3">
      <c r="A2290" s="21" t="s">
        <v>969</v>
      </c>
    </row>
    <row r="2291" spans="1:1" ht="13" hidden="1" outlineLevel="1" x14ac:dyDescent="0.3">
      <c r="A2291" s="21" t="s">
        <v>959</v>
      </c>
    </row>
    <row r="2292" spans="1:1" hidden="1" outlineLevel="1" x14ac:dyDescent="0.25">
      <c r="A2292" t="s">
        <v>960</v>
      </c>
    </row>
    <row r="2293" spans="1:1" hidden="1" outlineLevel="1" x14ac:dyDescent="0.25">
      <c r="A2293" t="s">
        <v>961</v>
      </c>
    </row>
    <row r="2294" spans="1:1" hidden="1" outlineLevel="1" x14ac:dyDescent="0.25">
      <c r="A2294" t="str">
        <f>CONCATENATE("sql left outer join acrtrees t on t.client = x.client and x.dim_1 = t.cat_1 and t.att_agrid = '",$F$159,"'")</f>
        <v>sql left outer join acrtrees t on t.client = x.client and x.dim_1 = t.cat_1 and t.att_agrid = '53'</v>
      </c>
    </row>
    <row r="2295" spans="1:1" ht="13" hidden="1" outlineLevel="1" x14ac:dyDescent="0.3">
      <c r="A229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296" spans="1:1" ht="13" hidden="1" outlineLevel="1" x14ac:dyDescent="0.3">
      <c r="A2296" s="21" t="s">
        <v>970</v>
      </c>
    </row>
    <row r="2297" spans="1:1" ht="13" hidden="1" outlineLevel="1" x14ac:dyDescent="0.3">
      <c r="A2297" s="21" t="s">
        <v>978</v>
      </c>
    </row>
    <row r="2298" spans="1:1" hidden="1" outlineLevel="1" x14ac:dyDescent="0.25">
      <c r="A2298" t="s">
        <v>979</v>
      </c>
    </row>
    <row r="2299" spans="1:1" hidden="1" outlineLevel="1" x14ac:dyDescent="0.25">
      <c r="A2299" t="s">
        <v>980</v>
      </c>
    </row>
    <row r="2300" spans="1:1" hidden="1" outlineLevel="1" x14ac:dyDescent="0.25">
      <c r="A2300" t="s">
        <v>966</v>
      </c>
    </row>
    <row r="2301" spans="1:1" hidden="1" outlineLevel="1" x14ac:dyDescent="0.25">
      <c r="A2301" t="s">
        <v>953</v>
      </c>
    </row>
    <row r="2302" spans="1:1" hidden="1" outlineLevel="1" x14ac:dyDescent="0.25">
      <c r="A2302" t="s">
        <v>954</v>
      </c>
    </row>
    <row r="2303" spans="1:1" ht="13" hidden="1" outlineLevel="1" x14ac:dyDescent="0.3">
      <c r="A2303" s="20" t="s">
        <v>983</v>
      </c>
    </row>
    <row r="2304" spans="1:1" hidden="1" outlineLevel="1" x14ac:dyDescent="0.25">
      <c r="A2304" s="7" t="s">
        <v>984</v>
      </c>
    </row>
    <row r="2305" spans="1:3" hidden="1" outlineLevel="1" x14ac:dyDescent="0.25">
      <c r="A2305" t="s">
        <v>950</v>
      </c>
    </row>
    <row r="2306" spans="1:3" hidden="1" outlineLevel="1" x14ac:dyDescent="0.25">
      <c r="A2306" t="s">
        <v>951</v>
      </c>
    </row>
    <row r="2307" spans="1:3" ht="14.5" hidden="1" outlineLevel="1" x14ac:dyDescent="0.35">
      <c r="A2307"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307" s="2"/>
    </row>
    <row r="2308" spans="1:3" hidden="1" outlineLevel="1" x14ac:dyDescent="0.25">
      <c r="A2308" t="s">
        <v>952</v>
      </c>
    </row>
    <row r="2309" spans="1:3" hidden="1" outlineLevel="1" x14ac:dyDescent="0.25">
      <c r="A2309" t="s">
        <v>953</v>
      </c>
    </row>
    <row r="2310" spans="1:3" hidden="1" outlineLevel="1" x14ac:dyDescent="0.25">
      <c r="A2310" t="s">
        <v>954</v>
      </c>
    </row>
    <row r="2311" spans="1:3" ht="13" hidden="1" outlineLevel="1" x14ac:dyDescent="0.3">
      <c r="A2311" s="20" t="s">
        <v>985</v>
      </c>
    </row>
    <row r="2312" spans="1:3" hidden="1" outlineLevel="1" x14ac:dyDescent="0.25">
      <c r="A2312" s="7" t="s">
        <v>986</v>
      </c>
    </row>
    <row r="2313" spans="1:3" hidden="1" outlineLevel="1" x14ac:dyDescent="0.25">
      <c r="A2313" t="s">
        <v>987</v>
      </c>
    </row>
    <row r="2314" spans="1:3" ht="13" hidden="1" outlineLevel="1" x14ac:dyDescent="0.3">
      <c r="A2314" s="21" t="str">
        <f>CONCATENATE("sql where a.client = '",$D$172,"' and a.period between '",LEFT($D$170,4),"00' and '",IF(RIGHT($D$171,2)="12",CONCATENATE(LEFT($D$171,4),"14"),$D$171),"'")</f>
        <v>sql where a.client = 'OX' and a.period between '202500' and '202506'</v>
      </c>
    </row>
    <row r="2315" spans="1:3" hidden="1" outlineLevel="1" x14ac:dyDescent="0.25">
      <c r="A2315" t="s">
        <v>952</v>
      </c>
    </row>
    <row r="2316" spans="1:3" hidden="1" outlineLevel="1" x14ac:dyDescent="0.25">
      <c r="A2316" t="s">
        <v>953</v>
      </c>
    </row>
    <row r="2317" spans="1:3" hidden="1" outlineLevel="1" x14ac:dyDescent="0.25">
      <c r="A2317" t="s">
        <v>954</v>
      </c>
    </row>
    <row r="2318" spans="1:3" ht="13" hidden="1" outlineLevel="1" x14ac:dyDescent="0.3">
      <c r="A2318" s="20" t="s">
        <v>988</v>
      </c>
    </row>
    <row r="2319" spans="1:3" hidden="1" outlineLevel="1" x14ac:dyDescent="0.25">
      <c r="A2319" s="7" t="s">
        <v>989</v>
      </c>
    </row>
    <row r="2320" spans="1:3" hidden="1" outlineLevel="1" x14ac:dyDescent="0.25">
      <c r="A2320" t="s">
        <v>950</v>
      </c>
    </row>
    <row r="2321" spans="1:1" hidden="1" outlineLevel="1" x14ac:dyDescent="0.25">
      <c r="A2321" t="s">
        <v>951</v>
      </c>
    </row>
    <row r="2322" spans="1:1" ht="13" hidden="1" outlineLevel="1" x14ac:dyDescent="0.3">
      <c r="A2322"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323" spans="1:1" hidden="1" outlineLevel="1" x14ac:dyDescent="0.25">
      <c r="A2323" t="s">
        <v>952</v>
      </c>
    </row>
    <row r="2324" spans="1:1" hidden="1" outlineLevel="1" x14ac:dyDescent="0.25">
      <c r="A2324" t="s">
        <v>953</v>
      </c>
    </row>
    <row r="2325" spans="1:1" hidden="1" outlineLevel="1" x14ac:dyDescent="0.25">
      <c r="A2325" t="s">
        <v>954</v>
      </c>
    </row>
    <row r="2326" spans="1:1" ht="13" hidden="1" outlineLevel="1" x14ac:dyDescent="0.3">
      <c r="A2326" s="20" t="s">
        <v>990</v>
      </c>
    </row>
    <row r="2327" spans="1:1" hidden="1" outlineLevel="1" x14ac:dyDescent="0.25">
      <c r="A2327" s="7" t="s">
        <v>991</v>
      </c>
    </row>
    <row r="2328" spans="1:1" hidden="1" outlineLevel="1" x14ac:dyDescent="0.25">
      <c r="A2328" t="s">
        <v>950</v>
      </c>
    </row>
    <row r="2329" spans="1:1" hidden="1" outlineLevel="1" x14ac:dyDescent="0.25">
      <c r="A2329" t="s">
        <v>951</v>
      </c>
    </row>
    <row r="2330" spans="1:1" ht="13" hidden="1" outlineLevel="1" x14ac:dyDescent="0.3">
      <c r="A233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331" spans="1:1" hidden="1" outlineLevel="1" x14ac:dyDescent="0.25">
      <c r="A2331" t="s">
        <v>952</v>
      </c>
    </row>
    <row r="2332" spans="1:1" hidden="1" outlineLevel="1" x14ac:dyDescent="0.25">
      <c r="A2332" t="s">
        <v>953</v>
      </c>
    </row>
    <row r="2333" spans="1:1" hidden="1" outlineLevel="1" x14ac:dyDescent="0.25">
      <c r="A2333" t="s">
        <v>954</v>
      </c>
    </row>
    <row r="2334" spans="1:1" ht="13" hidden="1" outlineLevel="1" x14ac:dyDescent="0.3">
      <c r="A2334" s="20" t="s">
        <v>992</v>
      </c>
    </row>
    <row r="2335" spans="1:1" hidden="1" outlineLevel="1" x14ac:dyDescent="0.25">
      <c r="A2335" s="7" t="s">
        <v>993</v>
      </c>
    </row>
    <row r="2336" spans="1:1" hidden="1" outlineLevel="1" x14ac:dyDescent="0.25">
      <c r="A2336" t="s">
        <v>950</v>
      </c>
    </row>
    <row r="2337" spans="1:7" hidden="1" outlineLevel="1" x14ac:dyDescent="0.25">
      <c r="A2337" t="s">
        <v>951</v>
      </c>
    </row>
    <row r="2338" spans="1:7" ht="13" hidden="1" outlineLevel="1" x14ac:dyDescent="0.3">
      <c r="A233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339" spans="1:7" hidden="1" outlineLevel="1" x14ac:dyDescent="0.25">
      <c r="A2339" t="s">
        <v>952</v>
      </c>
    </row>
    <row r="2340" spans="1:7" hidden="1" outlineLevel="1" x14ac:dyDescent="0.25">
      <c r="A2340" t="s">
        <v>953</v>
      </c>
    </row>
    <row r="2341" spans="1:7" hidden="1" outlineLevel="1" x14ac:dyDescent="0.25">
      <c r="A2341" t="s">
        <v>994</v>
      </c>
    </row>
    <row r="2342" spans="1:7" hidden="1" outlineLevel="1" x14ac:dyDescent="0.25">
      <c r="A2342" t="str">
        <f>CONCATENATE("sql left outer join acrtrees t on t.client = u.client and u.dim_1 = t.cat_1 and t.att_agrid = '",$F$159,"'")</f>
        <v>sql left outer join acrtrees t on t.client = u.client and u.dim_1 = t.cat_1 and t.att_agrid = '53'</v>
      </c>
    </row>
    <row r="2343" spans="1:7" hidden="1" outlineLevel="1" x14ac:dyDescent="0.25">
      <c r="A2343" t="str">
        <f>CONCATENATE("sql left outer join acrtrees s on s.client = u.client and u.account = s.cat_1 and s.att_agrid = '",$F$160,"'")</f>
        <v>sql left outer join acrtrees s on s.client = u.client and u.account = s.cat_1 and s.att_agrid = '14'</v>
      </c>
    </row>
    <row r="2344" spans="1:7" hidden="1" outlineLevel="1" x14ac:dyDescent="0.25">
      <c r="A2344" t="str">
        <f>CONCATENATE("sql left outer join acrtrees v on v.client = u.client and u.account = v.cat_1 and v.att_agrid = '",$F$161,"'")</f>
        <v>sql left outer join acrtrees v on v.client = u.client and u.account = v.cat_1 and v.att_agrid = '17'</v>
      </c>
    </row>
    <row r="2345" spans="1:7" hidden="1" outlineLevel="1" x14ac:dyDescent="0.25">
      <c r="A2345" t="str">
        <f>CONCATENATE("sql left outer join agldescription d on d.client = u.client and d.dim_value = t.dim_c and d.attribute_id = '",$F$162,"'")</f>
        <v>sql left outer join agldescription d on d.client = u.client and d.dim_value = t.dim_c and d.attribute_id = '82'</v>
      </c>
    </row>
    <row r="2346" spans="1:7" hidden="1" outlineLevel="1" x14ac:dyDescent="0.25">
      <c r="A2346" t="str">
        <f>CONCATENATE("sql left outer join agldescription e on e.client = u.client and e.dim_value = t.dim_b and e.attribute_id = '",$F$163,"'")</f>
        <v>sql left outer join agldescription e on e.client = u.client and e.dim_value = t.dim_b and e.attribute_id = '81'</v>
      </c>
    </row>
    <row r="2347" spans="1:7" hidden="1" outlineLevel="1" x14ac:dyDescent="0.25">
      <c r="A2347" t="str">
        <f>CONCATENATE("sql left outer join agldescription f on f.client = u.client and f.dim_value = t.dim_e and f.attribute_id = '",$F$164,"'")</f>
        <v>sql left outer join agldescription f on f.client = u.client and f.dim_value = t.dim_e and f.attribute_id = '80'</v>
      </c>
    </row>
    <row r="2348" spans="1:7" hidden="1" outlineLevel="1" x14ac:dyDescent="0.25">
      <c r="A2348" t="str">
        <f>CONCATENATE("sql left outer join agldescription g on g.client = u.client and g.dim_value = u.account and g.attribute_id = '",$F$165,"'")</f>
        <v>sql left outer join agldescription g on g.client = u.client and g.dim_value = u.account and g.attribute_id = 'A0'</v>
      </c>
    </row>
    <row r="2349" spans="1:7" ht="14.5" hidden="1" outlineLevel="1" x14ac:dyDescent="0.35">
      <c r="A2349" s="67" t="s">
        <v>1058</v>
      </c>
      <c r="G2349" s="737" t="s">
        <v>1059</v>
      </c>
    </row>
    <row r="2350" spans="1:7" hidden="1" outlineLevel="1" x14ac:dyDescent="0.25">
      <c r="A2350" t="s">
        <v>1005</v>
      </c>
    </row>
    <row r="2351" spans="1:7" hidden="1" outlineLevel="1" x14ac:dyDescent="0.25">
      <c r="A2351" t="s">
        <v>1006</v>
      </c>
    </row>
    <row r="2352" spans="1:7" hidden="1" outlineLevel="1" x14ac:dyDescent="0.25">
      <c r="A2352" t="s">
        <v>1007</v>
      </c>
    </row>
    <row r="2353" spans="1:33" ht="13" hidden="1" outlineLevel="1" x14ac:dyDescent="0.3">
      <c r="A2353" t="s">
        <v>1012</v>
      </c>
      <c r="C2353" s="29"/>
      <c r="D2353" s="36">
        <v>1000</v>
      </c>
      <c r="E2353" s="36">
        <v>1000</v>
      </c>
      <c r="F2353" s="22">
        <v>1000</v>
      </c>
      <c r="G2353" s="22">
        <v>1000</v>
      </c>
      <c r="H2353" s="22">
        <v>1000</v>
      </c>
      <c r="I2353" s="22">
        <v>1000</v>
      </c>
      <c r="J2353" s="22">
        <v>1000</v>
      </c>
      <c r="K2353" s="22">
        <v>1000</v>
      </c>
      <c r="L2353" s="22"/>
      <c r="M2353" s="36"/>
      <c r="N2353" s="36"/>
      <c r="O2353" s="36">
        <v>1000</v>
      </c>
      <c r="P2353" s="36">
        <v>1000</v>
      </c>
      <c r="Q2353" s="36">
        <v>1000</v>
      </c>
      <c r="R2353" s="36">
        <v>1000</v>
      </c>
      <c r="S2353" s="36">
        <v>1000</v>
      </c>
      <c r="T2353" s="36"/>
      <c r="U2353" s="36"/>
      <c r="V2353" s="58"/>
      <c r="W2353" s="36">
        <v>1000</v>
      </c>
      <c r="X2353" s="36">
        <v>1000</v>
      </c>
      <c r="Y2353" s="36"/>
      <c r="Z2353" s="36"/>
      <c r="AA2353" s="40"/>
      <c r="AB2353" s="60"/>
      <c r="AC2353" s="98"/>
      <c r="AD2353" s="36"/>
      <c r="AE2353" s="36"/>
      <c r="AF2353" s="36"/>
      <c r="AG2353" s="99"/>
    </row>
    <row r="2354" spans="1:33" ht="13" hidden="1" outlineLevel="1" x14ac:dyDescent="0.3">
      <c r="A2354" s="7" t="s">
        <v>1013</v>
      </c>
      <c r="C2354" s="29"/>
      <c r="D2354" s="36">
        <v>0</v>
      </c>
      <c r="E2354" s="36">
        <v>0</v>
      </c>
      <c r="F2354" s="22">
        <v>0</v>
      </c>
      <c r="G2354" s="22">
        <v>0</v>
      </c>
      <c r="H2354" s="22">
        <v>0</v>
      </c>
      <c r="I2354" s="22">
        <v>0</v>
      </c>
      <c r="J2354" s="22">
        <v>0</v>
      </c>
      <c r="K2354" s="22">
        <v>0</v>
      </c>
      <c r="L2354" s="22"/>
      <c r="M2354" s="36"/>
      <c r="N2354" s="36"/>
      <c r="O2354" s="36">
        <v>0</v>
      </c>
      <c r="P2354" s="36">
        <v>0</v>
      </c>
      <c r="Q2354" s="36">
        <v>0</v>
      </c>
      <c r="R2354" s="36">
        <v>0</v>
      </c>
      <c r="S2354" s="36">
        <v>0</v>
      </c>
      <c r="T2354" s="36"/>
      <c r="U2354" s="36"/>
      <c r="V2354" s="58"/>
      <c r="W2354" s="36">
        <v>0</v>
      </c>
      <c r="X2354" s="36">
        <v>0</v>
      </c>
      <c r="Y2354" s="36"/>
      <c r="Z2354" s="36"/>
      <c r="AA2354" s="40"/>
      <c r="AB2354" s="60"/>
      <c r="AC2354" s="98"/>
      <c r="AD2354" s="36"/>
      <c r="AE2354" s="36"/>
      <c r="AF2354" s="36"/>
      <c r="AG2354" s="99"/>
    </row>
    <row r="2355" spans="1:33" ht="13" hidden="1" outlineLevel="1" x14ac:dyDescent="0.3">
      <c r="A2355" t="s">
        <v>1014</v>
      </c>
      <c r="C2355" s="30"/>
      <c r="D2355" s="36"/>
      <c r="E2355" s="36"/>
      <c r="F2355" s="57"/>
      <c r="G2355" s="57"/>
      <c r="H2355" s="57"/>
      <c r="I2355" s="57"/>
      <c r="J2355" s="57"/>
      <c r="K2355" s="57"/>
      <c r="L2355" s="57"/>
      <c r="M2355" s="36"/>
      <c r="N2355" s="36"/>
      <c r="O2355" s="36"/>
      <c r="P2355" s="36" t="s">
        <v>1015</v>
      </c>
      <c r="Q2355" s="36" t="s">
        <v>1016</v>
      </c>
      <c r="R2355" s="36"/>
      <c r="S2355" s="36"/>
      <c r="T2355" s="36"/>
      <c r="U2355" s="36"/>
      <c r="V2355" s="58"/>
      <c r="W2355" s="36"/>
      <c r="X2355" s="36"/>
      <c r="Y2355" s="36"/>
      <c r="Z2355" s="36"/>
      <c r="AA2355" s="40"/>
      <c r="AB2355" s="60"/>
      <c r="AC2355" s="98"/>
      <c r="AD2355" s="36"/>
      <c r="AE2355" s="36"/>
      <c r="AF2355" s="36"/>
      <c r="AG2355" s="99"/>
    </row>
    <row r="2356" spans="1:33" ht="13" hidden="1" outlineLevel="1" x14ac:dyDescent="0.3">
      <c r="A2356" t="s">
        <v>1017</v>
      </c>
      <c r="C2356" s="31"/>
      <c r="D2356" s="36" t="s">
        <v>1019</v>
      </c>
      <c r="E2356" s="36" t="s">
        <v>1020</v>
      </c>
      <c r="F2356" s="22" t="s">
        <v>1021</v>
      </c>
      <c r="G2356" s="22" t="s">
        <v>1022</v>
      </c>
      <c r="H2356" s="22" t="s">
        <v>1023</v>
      </c>
      <c r="I2356" s="22" t="s">
        <v>1024</v>
      </c>
      <c r="J2356" s="22" t="s">
        <v>1025</v>
      </c>
      <c r="K2356" s="22" t="s">
        <v>1026</v>
      </c>
      <c r="L2356" s="22"/>
      <c r="M2356" s="36"/>
      <c r="N2356" s="36"/>
      <c r="O2356" s="36" t="s">
        <v>1027</v>
      </c>
      <c r="P2356" s="36" t="s">
        <v>1028</v>
      </c>
      <c r="Q2356" s="36" t="s">
        <v>1028</v>
      </c>
      <c r="R2356" s="36" t="s">
        <v>1028</v>
      </c>
      <c r="S2356" s="36" t="s">
        <v>1029</v>
      </c>
      <c r="T2356" s="36"/>
      <c r="U2356" s="36"/>
      <c r="V2356" s="58"/>
      <c r="W2356" s="36" t="s">
        <v>1030</v>
      </c>
      <c r="X2356" s="36" t="s">
        <v>1031</v>
      </c>
      <c r="Y2356" s="36"/>
      <c r="Z2356" s="36"/>
      <c r="AA2356" s="40"/>
      <c r="AB2356" s="60"/>
      <c r="AC2356" s="98"/>
      <c r="AD2356" s="36"/>
      <c r="AE2356" s="36"/>
      <c r="AF2356" s="36"/>
      <c r="AG2356" s="99"/>
    </row>
    <row r="2357" spans="1:33" ht="13" hidden="1" outlineLevel="1" x14ac:dyDescent="0.3">
      <c r="A2357" t="s">
        <v>1041</v>
      </c>
      <c r="C2357" s="31" t="s">
        <v>128</v>
      </c>
      <c r="D2357" s="33">
        <v>0</v>
      </c>
      <c r="E2357" s="33">
        <v>0</v>
      </c>
      <c r="F2357" s="23">
        <v>0</v>
      </c>
      <c r="G2357" s="23">
        <v>0</v>
      </c>
      <c r="H2357" s="23">
        <v>0</v>
      </c>
      <c r="I2357" s="23">
        <v>0</v>
      </c>
      <c r="J2357" s="23">
        <v>0</v>
      </c>
      <c r="K2357" s="23">
        <v>0</v>
      </c>
      <c r="L2357" s="23">
        <f>SUM(F2357:K2357)</f>
        <v>0</v>
      </c>
      <c r="M2357" s="33">
        <f>O2357-E2357</f>
        <v>0</v>
      </c>
      <c r="N2357" s="33">
        <f>O2357-D2357</f>
        <v>0</v>
      </c>
      <c r="O2357" s="33">
        <v>0</v>
      </c>
      <c r="P2357" s="33">
        <v>0</v>
      </c>
      <c r="Q2357" s="33">
        <v>0</v>
      </c>
      <c r="R2357" s="33">
        <v>0</v>
      </c>
      <c r="S2357" s="33">
        <v>0</v>
      </c>
      <c r="T2357" s="33">
        <f>R2357-S2357</f>
        <v>0</v>
      </c>
      <c r="U2357" s="38" t="str">
        <f>IFERROR((R2357/O2357)*100%,"∞")</f>
        <v>∞</v>
      </c>
      <c r="V2357" s="59">
        <f>O2357+W2357</f>
        <v>0</v>
      </c>
      <c r="W2357" s="33">
        <v>0</v>
      </c>
      <c r="X2357" s="33">
        <v>0</v>
      </c>
      <c r="Y2357" s="33"/>
      <c r="Z2357" s="33"/>
      <c r="AA2357" s="42"/>
      <c r="AB2357" s="60"/>
      <c r="AC2357" s="105"/>
      <c r="AD2357" s="93"/>
      <c r="AE2357" s="33">
        <f>SUM(AC2357:AD2357)</f>
        <v>0</v>
      </c>
      <c r="AF2357" s="33">
        <f>R2357+AE2357</f>
        <v>0</v>
      </c>
      <c r="AG2357" s="101">
        <f>AF2357-O2357</f>
        <v>0</v>
      </c>
    </row>
    <row r="2358" spans="1:33" hidden="1" outlineLevel="1" x14ac:dyDescent="0.25">
      <c r="A2358" t="s">
        <v>232</v>
      </c>
    </row>
    <row r="2359" spans="1:33" hidden="1" outlineLevel="1" x14ac:dyDescent="0.25">
      <c r="A2359" t="s">
        <v>944</v>
      </c>
      <c r="M2359" s="19"/>
      <c r="N2359" s="19"/>
    </row>
    <row r="2360" spans="1:33" hidden="1" outlineLevel="1" x14ac:dyDescent="0.25">
      <c r="A2360" t="s">
        <v>946</v>
      </c>
      <c r="E2360" s="19"/>
    </row>
    <row r="2361" spans="1:33" hidden="1" outlineLevel="1" x14ac:dyDescent="0.25">
      <c r="A2361" t="s">
        <v>947</v>
      </c>
      <c r="E2361" s="19"/>
      <c r="F2361" s="19"/>
    </row>
    <row r="2362" spans="1:33" ht="13" hidden="1" outlineLevel="1" x14ac:dyDescent="0.3">
      <c r="A2362" s="20" t="s">
        <v>948</v>
      </c>
    </row>
    <row r="2363" spans="1:33" hidden="1" outlineLevel="1" x14ac:dyDescent="0.25">
      <c r="A2363" s="7" t="s">
        <v>949</v>
      </c>
    </row>
    <row r="2364" spans="1:33" hidden="1" outlineLevel="1" x14ac:dyDescent="0.25">
      <c r="A2364" t="s">
        <v>950</v>
      </c>
    </row>
    <row r="2365" spans="1:33" hidden="1" outlineLevel="1" x14ac:dyDescent="0.25">
      <c r="A2365" t="s">
        <v>951</v>
      </c>
    </row>
    <row r="2366" spans="1:33" ht="13" hidden="1" outlineLevel="1" x14ac:dyDescent="0.3">
      <c r="A2366" s="21" t="str">
        <f>CONCATENATE("sql where a.client = '",$D$172,"' and a.period between '",LEFT($D$170,4),"00' and '",LEFT($D$171,4),"14' and a.version like '%ORIG%'")</f>
        <v>sql where a.client = 'OX' and a.period between '202500' and '202514' and a.version like '%ORIG%'</v>
      </c>
    </row>
    <row r="2367" spans="1:33" hidden="1" outlineLevel="1" x14ac:dyDescent="0.25">
      <c r="A2367" t="s">
        <v>952</v>
      </c>
    </row>
    <row r="2368" spans="1:33" hidden="1" outlineLevel="1" x14ac:dyDescent="0.25">
      <c r="A2368" t="s">
        <v>953</v>
      </c>
    </row>
    <row r="2369" spans="1:3" hidden="1" outlineLevel="1" x14ac:dyDescent="0.25">
      <c r="A2369" t="s">
        <v>954</v>
      </c>
    </row>
    <row r="2370" spans="1:3" ht="13" hidden="1" outlineLevel="1" x14ac:dyDescent="0.3">
      <c r="A2370" s="20" t="s">
        <v>955</v>
      </c>
    </row>
    <row r="2371" spans="1:3" hidden="1" outlineLevel="1" x14ac:dyDescent="0.25">
      <c r="A2371" s="7" t="s">
        <v>956</v>
      </c>
    </row>
    <row r="2372" spans="1:3" hidden="1" outlineLevel="1" x14ac:dyDescent="0.25">
      <c r="A2372" t="s">
        <v>950</v>
      </c>
    </row>
    <row r="2373" spans="1:3" hidden="1" outlineLevel="1" x14ac:dyDescent="0.25">
      <c r="A2373" t="s">
        <v>951</v>
      </c>
    </row>
    <row r="2374" spans="1:3" ht="14.5" hidden="1" outlineLevel="1" x14ac:dyDescent="0.35">
      <c r="A237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374" s="2"/>
    </row>
    <row r="2375" spans="1:3" hidden="1" outlineLevel="1" x14ac:dyDescent="0.25">
      <c r="A2375" t="s">
        <v>952</v>
      </c>
    </row>
    <row r="2376" spans="1:3" hidden="1" outlineLevel="1" x14ac:dyDescent="0.25">
      <c r="A2376" t="s">
        <v>953</v>
      </c>
    </row>
    <row r="2377" spans="1:3" hidden="1" outlineLevel="1" x14ac:dyDescent="0.25">
      <c r="A2377" t="s">
        <v>954</v>
      </c>
    </row>
    <row r="2378" spans="1:3" ht="13" hidden="1" outlineLevel="1" x14ac:dyDescent="0.3">
      <c r="A2378" s="66" t="s">
        <v>957</v>
      </c>
    </row>
    <row r="2379" spans="1:3" hidden="1" outlineLevel="1" x14ac:dyDescent="0.25">
      <c r="A2379" t="s">
        <v>958</v>
      </c>
    </row>
    <row r="2380" spans="1:3" hidden="1" outlineLevel="1" x14ac:dyDescent="0.25">
      <c r="A2380" t="s">
        <v>950</v>
      </c>
    </row>
    <row r="2381" spans="1:3" ht="13" hidden="1" outlineLevel="1" x14ac:dyDescent="0.3">
      <c r="A238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382" spans="1:3" ht="13" hidden="1" outlineLevel="1" x14ac:dyDescent="0.3">
      <c r="A2382" s="21" t="s">
        <v>959</v>
      </c>
    </row>
    <row r="2383" spans="1:3" hidden="1" outlineLevel="1" x14ac:dyDescent="0.25">
      <c r="A2383" t="s">
        <v>960</v>
      </c>
    </row>
    <row r="2384" spans="1:3" hidden="1" outlineLevel="1" x14ac:dyDescent="0.25">
      <c r="A2384" t="s">
        <v>961</v>
      </c>
    </row>
    <row r="2385" spans="1:1" hidden="1" outlineLevel="1" x14ac:dyDescent="0.25">
      <c r="A2385" t="str">
        <f>CONCATENATE("sql left outer join acrtrees t on t.client = x.client and x.dim_1 = t.cat_1 and t.att_agrid = '",$F$159,"'")</f>
        <v>sql left outer join acrtrees t on t.client = x.client and x.dim_1 = t.cat_1 and t.att_agrid = '53'</v>
      </c>
    </row>
    <row r="2386" spans="1:1" ht="13" hidden="1" outlineLevel="1" x14ac:dyDescent="0.3">
      <c r="A238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387" spans="1:1" ht="13" hidden="1" outlineLevel="1" x14ac:dyDescent="0.3">
      <c r="A2387" s="21" t="s">
        <v>962</v>
      </c>
    </row>
    <row r="2388" spans="1:1" ht="13" hidden="1" outlineLevel="1" x14ac:dyDescent="0.3">
      <c r="A238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389" spans="1:1" ht="13" hidden="1" outlineLevel="1" x14ac:dyDescent="0.3">
      <c r="A2389" s="21" t="s">
        <v>963</v>
      </c>
    </row>
    <row r="2390" spans="1:1" hidden="1" outlineLevel="1" x14ac:dyDescent="0.25">
      <c r="A2390" t="s">
        <v>964</v>
      </c>
    </row>
    <row r="2391" spans="1:1" hidden="1" outlineLevel="1" x14ac:dyDescent="0.25">
      <c r="A2391" t="s">
        <v>965</v>
      </c>
    </row>
    <row r="2392" spans="1:1" hidden="1" outlineLevel="1" x14ac:dyDescent="0.25">
      <c r="A2392" t="s">
        <v>966</v>
      </c>
    </row>
    <row r="2393" spans="1:1" hidden="1" outlineLevel="1" x14ac:dyDescent="0.25">
      <c r="A2393" t="s">
        <v>953</v>
      </c>
    </row>
    <row r="2394" spans="1:1" hidden="1" outlineLevel="1" x14ac:dyDescent="0.25">
      <c r="A2394" t="s">
        <v>954</v>
      </c>
    </row>
    <row r="2395" spans="1:1" ht="13" hidden="1" outlineLevel="1" x14ac:dyDescent="0.3">
      <c r="A2395" s="66" t="s">
        <v>967</v>
      </c>
    </row>
    <row r="2396" spans="1:1" hidden="1" outlineLevel="1" x14ac:dyDescent="0.25">
      <c r="A2396" t="s">
        <v>968</v>
      </c>
    </row>
    <row r="2397" spans="1:1" hidden="1" outlineLevel="1" x14ac:dyDescent="0.25">
      <c r="A2397" t="s">
        <v>950</v>
      </c>
    </row>
    <row r="2398" spans="1:1" ht="13" hidden="1" outlineLevel="1" x14ac:dyDescent="0.3">
      <c r="A239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399" spans="1:1" ht="13" hidden="1" outlineLevel="1" x14ac:dyDescent="0.3">
      <c r="A2399" s="21" t="s">
        <v>969</v>
      </c>
    </row>
    <row r="2400" spans="1:1" ht="13" hidden="1" outlineLevel="1" x14ac:dyDescent="0.3">
      <c r="A2400" s="21" t="s">
        <v>959</v>
      </c>
    </row>
    <row r="2401" spans="1:1" hidden="1" outlineLevel="1" x14ac:dyDescent="0.25">
      <c r="A2401" t="s">
        <v>960</v>
      </c>
    </row>
    <row r="2402" spans="1:1" hidden="1" outlineLevel="1" x14ac:dyDescent="0.25">
      <c r="A2402" t="s">
        <v>961</v>
      </c>
    </row>
    <row r="2403" spans="1:1" hidden="1" outlineLevel="1" x14ac:dyDescent="0.25">
      <c r="A2403" t="str">
        <f>CONCATENATE("sql left outer join acrtrees t on t.client = x.client and x.dim_1 = t.cat_1 and t.att_agrid = '",$F$159,"'")</f>
        <v>sql left outer join acrtrees t on t.client = x.client and x.dim_1 = t.cat_1 and t.att_agrid = '53'</v>
      </c>
    </row>
    <row r="2404" spans="1:1" ht="13" hidden="1" outlineLevel="1" x14ac:dyDescent="0.3">
      <c r="A240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405" spans="1:1" ht="13" hidden="1" outlineLevel="1" x14ac:dyDescent="0.3">
      <c r="A2405" s="21" t="s">
        <v>970</v>
      </c>
    </row>
    <row r="2406" spans="1:1" ht="13" hidden="1" outlineLevel="1" x14ac:dyDescent="0.3">
      <c r="A2406" s="21" t="s">
        <v>962</v>
      </c>
    </row>
    <row r="2407" spans="1:1" ht="13" hidden="1" outlineLevel="1" x14ac:dyDescent="0.3">
      <c r="A240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408" spans="1:1" ht="13" hidden="1" outlineLevel="1" x14ac:dyDescent="0.3">
      <c r="A2408" s="21" t="s">
        <v>970</v>
      </c>
    </row>
    <row r="2409" spans="1:1" ht="13" hidden="1" outlineLevel="1" x14ac:dyDescent="0.3">
      <c r="A2409" s="21" t="s">
        <v>963</v>
      </c>
    </row>
    <row r="2410" spans="1:1" hidden="1" outlineLevel="1" x14ac:dyDescent="0.25">
      <c r="A2410" t="s">
        <v>964</v>
      </c>
    </row>
    <row r="2411" spans="1:1" hidden="1" outlineLevel="1" x14ac:dyDescent="0.25">
      <c r="A2411" t="s">
        <v>965</v>
      </c>
    </row>
    <row r="2412" spans="1:1" hidden="1" outlineLevel="1" x14ac:dyDescent="0.25">
      <c r="A2412" t="s">
        <v>966</v>
      </c>
    </row>
    <row r="2413" spans="1:1" hidden="1" outlineLevel="1" x14ac:dyDescent="0.25">
      <c r="A2413" t="s">
        <v>953</v>
      </c>
    </row>
    <row r="2414" spans="1:1" hidden="1" outlineLevel="1" x14ac:dyDescent="0.25">
      <c r="A2414" t="s">
        <v>954</v>
      </c>
    </row>
    <row r="2415" spans="1:1" ht="13" hidden="1" outlineLevel="1" x14ac:dyDescent="0.3">
      <c r="A2415" s="66" t="s">
        <v>971</v>
      </c>
    </row>
    <row r="2416" spans="1:1" hidden="1" outlineLevel="1" x14ac:dyDescent="0.25">
      <c r="A2416" t="s">
        <v>972</v>
      </c>
    </row>
    <row r="2417" spans="1:1" hidden="1" outlineLevel="1" x14ac:dyDescent="0.25">
      <c r="A2417" t="s">
        <v>950</v>
      </c>
    </row>
    <row r="2418" spans="1:1" ht="13" hidden="1" outlineLevel="1" x14ac:dyDescent="0.3">
      <c r="A241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419" spans="1:1" ht="13" hidden="1" outlineLevel="1" x14ac:dyDescent="0.3">
      <c r="A2419" s="21" t="s">
        <v>959</v>
      </c>
    </row>
    <row r="2420" spans="1:1" hidden="1" outlineLevel="1" x14ac:dyDescent="0.25">
      <c r="A2420" t="s">
        <v>960</v>
      </c>
    </row>
    <row r="2421" spans="1:1" hidden="1" outlineLevel="1" x14ac:dyDescent="0.25">
      <c r="A2421" t="s">
        <v>961</v>
      </c>
    </row>
    <row r="2422" spans="1:1" hidden="1" outlineLevel="1" x14ac:dyDescent="0.25">
      <c r="A2422" t="str">
        <f>CONCATENATE("sql left outer join acrtrees t on t.client = x.client and x.dim_1 = t.cat_1 and t.att_agrid = '",$F$159,"'")</f>
        <v>sql left outer join acrtrees t on t.client = x.client and x.dim_1 = t.cat_1 and t.att_agrid = '53'</v>
      </c>
    </row>
    <row r="2423" spans="1:1" ht="13" hidden="1" outlineLevel="1" x14ac:dyDescent="0.3">
      <c r="A242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424" spans="1:1" ht="13" hidden="1" outlineLevel="1" x14ac:dyDescent="0.3">
      <c r="A2424" s="21" t="s">
        <v>973</v>
      </c>
    </row>
    <row r="2425" spans="1:1" hidden="1" outlineLevel="1" x14ac:dyDescent="0.25">
      <c r="A2425" t="s">
        <v>964</v>
      </c>
    </row>
    <row r="2426" spans="1:1" hidden="1" outlineLevel="1" x14ac:dyDescent="0.25">
      <c r="A2426" t="s">
        <v>965</v>
      </c>
    </row>
    <row r="2427" spans="1:1" hidden="1" outlineLevel="1" x14ac:dyDescent="0.25">
      <c r="A2427" t="s">
        <v>966</v>
      </c>
    </row>
    <row r="2428" spans="1:1" hidden="1" outlineLevel="1" x14ac:dyDescent="0.25">
      <c r="A2428" t="s">
        <v>953</v>
      </c>
    </row>
    <row r="2429" spans="1:1" hidden="1" outlineLevel="1" x14ac:dyDescent="0.25">
      <c r="A2429" t="s">
        <v>954</v>
      </c>
    </row>
    <row r="2430" spans="1:1" ht="13" hidden="1" outlineLevel="1" x14ac:dyDescent="0.3">
      <c r="A2430" s="66" t="s">
        <v>974</v>
      </c>
    </row>
    <row r="2431" spans="1:1" hidden="1" outlineLevel="1" x14ac:dyDescent="0.25">
      <c r="A2431" t="s">
        <v>975</v>
      </c>
    </row>
    <row r="2432" spans="1:1" hidden="1" outlineLevel="1" x14ac:dyDescent="0.25">
      <c r="A2432" t="s">
        <v>950</v>
      </c>
    </row>
    <row r="2433" spans="1:1" ht="13" hidden="1" outlineLevel="1" x14ac:dyDescent="0.3">
      <c r="A243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434" spans="1:1" ht="13" hidden="1" outlineLevel="1" x14ac:dyDescent="0.3">
      <c r="A2434" s="21" t="s">
        <v>959</v>
      </c>
    </row>
    <row r="2435" spans="1:1" hidden="1" outlineLevel="1" x14ac:dyDescent="0.25">
      <c r="A2435" t="s">
        <v>960</v>
      </c>
    </row>
    <row r="2436" spans="1:1" hidden="1" outlineLevel="1" x14ac:dyDescent="0.25">
      <c r="A2436" t="s">
        <v>961</v>
      </c>
    </row>
    <row r="2437" spans="1:1" hidden="1" outlineLevel="1" x14ac:dyDescent="0.25">
      <c r="A2437" t="str">
        <f>CONCATENATE("sql left outer join acrtrees t on t.client = x.client and x.dim_1 = t.cat_1 and t.att_agrid = '",$F$159,"'")</f>
        <v>sql left outer join acrtrees t on t.client = x.client and x.dim_1 = t.cat_1 and t.att_agrid = '53'</v>
      </c>
    </row>
    <row r="2438" spans="1:1" ht="13" hidden="1" outlineLevel="1" x14ac:dyDescent="0.3">
      <c r="A243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439" spans="1:1" ht="13" hidden="1" outlineLevel="1" x14ac:dyDescent="0.3">
      <c r="A2439" s="21" t="s">
        <v>973</v>
      </c>
    </row>
    <row r="2440" spans="1:1" hidden="1" outlineLevel="1" x14ac:dyDescent="0.25">
      <c r="A2440" t="s">
        <v>964</v>
      </c>
    </row>
    <row r="2441" spans="1:1" hidden="1" outlineLevel="1" x14ac:dyDescent="0.25">
      <c r="A2441" t="s">
        <v>965</v>
      </c>
    </row>
    <row r="2442" spans="1:1" hidden="1" outlineLevel="1" x14ac:dyDescent="0.25">
      <c r="A2442" t="s">
        <v>966</v>
      </c>
    </row>
    <row r="2443" spans="1:1" hidden="1" outlineLevel="1" x14ac:dyDescent="0.25">
      <c r="A2443" t="s">
        <v>953</v>
      </c>
    </row>
    <row r="2444" spans="1:1" hidden="1" outlineLevel="1" x14ac:dyDescent="0.25">
      <c r="A2444" t="s">
        <v>954</v>
      </c>
    </row>
    <row r="2445" spans="1:1" ht="13" hidden="1" outlineLevel="1" x14ac:dyDescent="0.3">
      <c r="A2445" s="66" t="s">
        <v>976</v>
      </c>
    </row>
    <row r="2446" spans="1:1" hidden="1" outlineLevel="1" x14ac:dyDescent="0.25">
      <c r="A2446" t="s">
        <v>977</v>
      </c>
    </row>
    <row r="2447" spans="1:1" hidden="1" outlineLevel="1" x14ac:dyDescent="0.25">
      <c r="A2447" t="s">
        <v>950</v>
      </c>
    </row>
    <row r="2448" spans="1:1" ht="13" hidden="1" outlineLevel="1" x14ac:dyDescent="0.3">
      <c r="A244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449" spans="1:1" ht="13" hidden="1" outlineLevel="1" x14ac:dyDescent="0.3">
      <c r="A2449" s="21" t="s">
        <v>959</v>
      </c>
    </row>
    <row r="2450" spans="1:1" hidden="1" outlineLevel="1" x14ac:dyDescent="0.25">
      <c r="A2450" t="s">
        <v>960</v>
      </c>
    </row>
    <row r="2451" spans="1:1" hidden="1" outlineLevel="1" x14ac:dyDescent="0.25">
      <c r="A2451" t="s">
        <v>961</v>
      </c>
    </row>
    <row r="2452" spans="1:1" hidden="1" outlineLevel="1" x14ac:dyDescent="0.25">
      <c r="A2452" t="str">
        <f>CONCATENATE("sql left outer join acrtrees t on t.client = x.client and x.dim_1 = t.cat_1 and t.att_agrid = '",$F$159,"'")</f>
        <v>sql left outer join acrtrees t on t.client = x.client and x.dim_1 = t.cat_1 and t.att_agrid = '53'</v>
      </c>
    </row>
    <row r="2453" spans="1:1" ht="13" hidden="1" outlineLevel="1" x14ac:dyDescent="0.3">
      <c r="A245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454" spans="1:1" ht="13" hidden="1" outlineLevel="1" x14ac:dyDescent="0.3">
      <c r="A2454" s="21" t="s">
        <v>978</v>
      </c>
    </row>
    <row r="2455" spans="1:1" hidden="1" outlineLevel="1" x14ac:dyDescent="0.25">
      <c r="A2455" t="s">
        <v>979</v>
      </c>
    </row>
    <row r="2456" spans="1:1" hidden="1" outlineLevel="1" x14ac:dyDescent="0.25">
      <c r="A2456" t="s">
        <v>980</v>
      </c>
    </row>
    <row r="2457" spans="1:1" hidden="1" outlineLevel="1" x14ac:dyDescent="0.25">
      <c r="A2457" t="s">
        <v>966</v>
      </c>
    </row>
    <row r="2458" spans="1:1" hidden="1" outlineLevel="1" x14ac:dyDescent="0.25">
      <c r="A2458" t="s">
        <v>953</v>
      </c>
    </row>
    <row r="2459" spans="1:1" hidden="1" outlineLevel="1" x14ac:dyDescent="0.25">
      <c r="A2459" t="s">
        <v>954</v>
      </c>
    </row>
    <row r="2460" spans="1:1" ht="13" hidden="1" outlineLevel="1" x14ac:dyDescent="0.3">
      <c r="A2460" s="66" t="s">
        <v>981</v>
      </c>
    </row>
    <row r="2461" spans="1:1" hidden="1" outlineLevel="1" x14ac:dyDescent="0.25">
      <c r="A2461" t="s">
        <v>982</v>
      </c>
    </row>
    <row r="2462" spans="1:1" hidden="1" outlineLevel="1" x14ac:dyDescent="0.25">
      <c r="A2462" t="s">
        <v>950</v>
      </c>
    </row>
    <row r="2463" spans="1:1" ht="13" hidden="1" outlineLevel="1" x14ac:dyDescent="0.3">
      <c r="A246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464" spans="1:1" ht="13" hidden="1" outlineLevel="1" x14ac:dyDescent="0.3">
      <c r="A2464" s="21" t="s">
        <v>969</v>
      </c>
    </row>
    <row r="2465" spans="1:1" ht="13" hidden="1" outlineLevel="1" x14ac:dyDescent="0.3">
      <c r="A2465" s="21" t="s">
        <v>959</v>
      </c>
    </row>
    <row r="2466" spans="1:1" hidden="1" outlineLevel="1" x14ac:dyDescent="0.25">
      <c r="A2466" t="s">
        <v>960</v>
      </c>
    </row>
    <row r="2467" spans="1:1" hidden="1" outlineLevel="1" x14ac:dyDescent="0.25">
      <c r="A2467" t="s">
        <v>961</v>
      </c>
    </row>
    <row r="2468" spans="1:1" hidden="1" outlineLevel="1" x14ac:dyDescent="0.25">
      <c r="A2468" t="str">
        <f>CONCATENATE("sql left outer join acrtrees t on t.client = x.client and x.dim_1 = t.cat_1 and t.att_agrid = '",$F$159,"'")</f>
        <v>sql left outer join acrtrees t on t.client = x.client and x.dim_1 = t.cat_1 and t.att_agrid = '53'</v>
      </c>
    </row>
    <row r="2469" spans="1:1" ht="13" hidden="1" outlineLevel="1" x14ac:dyDescent="0.3">
      <c r="A246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470" spans="1:1" ht="13" hidden="1" outlineLevel="1" x14ac:dyDescent="0.3">
      <c r="A2470" s="21" t="s">
        <v>970</v>
      </c>
    </row>
    <row r="2471" spans="1:1" ht="13" hidden="1" outlineLevel="1" x14ac:dyDescent="0.3">
      <c r="A2471" s="21" t="s">
        <v>978</v>
      </c>
    </row>
    <row r="2472" spans="1:1" hidden="1" outlineLevel="1" x14ac:dyDescent="0.25">
      <c r="A2472" t="s">
        <v>979</v>
      </c>
    </row>
    <row r="2473" spans="1:1" hidden="1" outlineLevel="1" x14ac:dyDescent="0.25">
      <c r="A2473" t="s">
        <v>980</v>
      </c>
    </row>
    <row r="2474" spans="1:1" hidden="1" outlineLevel="1" x14ac:dyDescent="0.25">
      <c r="A2474" t="s">
        <v>966</v>
      </c>
    </row>
    <row r="2475" spans="1:1" hidden="1" outlineLevel="1" x14ac:dyDescent="0.25">
      <c r="A2475" t="s">
        <v>953</v>
      </c>
    </row>
    <row r="2476" spans="1:1" hidden="1" outlineLevel="1" x14ac:dyDescent="0.25">
      <c r="A2476" t="s">
        <v>954</v>
      </c>
    </row>
    <row r="2477" spans="1:1" ht="13" hidden="1" outlineLevel="1" x14ac:dyDescent="0.3">
      <c r="A2477" s="20" t="s">
        <v>983</v>
      </c>
    </row>
    <row r="2478" spans="1:1" hidden="1" outlineLevel="1" x14ac:dyDescent="0.25">
      <c r="A2478" s="7" t="s">
        <v>984</v>
      </c>
    </row>
    <row r="2479" spans="1:1" hidden="1" outlineLevel="1" x14ac:dyDescent="0.25">
      <c r="A2479" t="s">
        <v>950</v>
      </c>
    </row>
    <row r="2480" spans="1:1" hidden="1" outlineLevel="1" x14ac:dyDescent="0.25">
      <c r="A2480" t="s">
        <v>951</v>
      </c>
    </row>
    <row r="2481" spans="1:3" ht="14.5" hidden="1" outlineLevel="1" x14ac:dyDescent="0.35">
      <c r="A248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481" s="2"/>
    </row>
    <row r="2482" spans="1:3" hidden="1" outlineLevel="1" x14ac:dyDescent="0.25">
      <c r="A2482" t="s">
        <v>952</v>
      </c>
    </row>
    <row r="2483" spans="1:3" hidden="1" outlineLevel="1" x14ac:dyDescent="0.25">
      <c r="A2483" t="s">
        <v>953</v>
      </c>
    </row>
    <row r="2484" spans="1:3" hidden="1" outlineLevel="1" x14ac:dyDescent="0.25">
      <c r="A2484" t="s">
        <v>954</v>
      </c>
    </row>
    <row r="2485" spans="1:3" ht="13" hidden="1" outlineLevel="1" x14ac:dyDescent="0.3">
      <c r="A2485" s="20" t="s">
        <v>985</v>
      </c>
    </row>
    <row r="2486" spans="1:3" hidden="1" outlineLevel="1" x14ac:dyDescent="0.25">
      <c r="A2486" s="7" t="s">
        <v>986</v>
      </c>
    </row>
    <row r="2487" spans="1:3" hidden="1" outlineLevel="1" x14ac:dyDescent="0.25">
      <c r="A2487" t="s">
        <v>987</v>
      </c>
    </row>
    <row r="2488" spans="1:3" ht="13" hidden="1" outlineLevel="1" x14ac:dyDescent="0.3">
      <c r="A2488" s="21" t="str">
        <f>CONCATENATE("sql where a.client = '",$D$172,"' and a.period between '",LEFT($D$170,4),"00' and '",IF(RIGHT($D$171,2)="12",CONCATENATE(LEFT($D$171,4),"14"),$D$171),"'")</f>
        <v>sql where a.client = 'OX' and a.period between '202500' and '202506'</v>
      </c>
    </row>
    <row r="2489" spans="1:3" hidden="1" outlineLevel="1" x14ac:dyDescent="0.25">
      <c r="A2489" t="s">
        <v>952</v>
      </c>
    </row>
    <row r="2490" spans="1:3" hidden="1" outlineLevel="1" x14ac:dyDescent="0.25">
      <c r="A2490" t="s">
        <v>953</v>
      </c>
    </row>
    <row r="2491" spans="1:3" hidden="1" outlineLevel="1" x14ac:dyDescent="0.25">
      <c r="A2491" t="s">
        <v>954</v>
      </c>
    </row>
    <row r="2492" spans="1:3" ht="13" hidden="1" outlineLevel="1" x14ac:dyDescent="0.3">
      <c r="A2492" s="20" t="s">
        <v>988</v>
      </c>
    </row>
    <row r="2493" spans="1:3" hidden="1" outlineLevel="1" x14ac:dyDescent="0.25">
      <c r="A2493" s="7" t="s">
        <v>989</v>
      </c>
    </row>
    <row r="2494" spans="1:3" hidden="1" outlineLevel="1" x14ac:dyDescent="0.25">
      <c r="A2494" t="s">
        <v>950</v>
      </c>
    </row>
    <row r="2495" spans="1:3" hidden="1" outlineLevel="1" x14ac:dyDescent="0.25">
      <c r="A2495" t="s">
        <v>951</v>
      </c>
    </row>
    <row r="2496" spans="1:3" ht="13" hidden="1" outlineLevel="1" x14ac:dyDescent="0.3">
      <c r="A249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497" spans="1:1" hidden="1" outlineLevel="1" x14ac:dyDescent="0.25">
      <c r="A2497" t="s">
        <v>952</v>
      </c>
    </row>
    <row r="2498" spans="1:1" hidden="1" outlineLevel="1" x14ac:dyDescent="0.25">
      <c r="A2498" t="s">
        <v>953</v>
      </c>
    </row>
    <row r="2499" spans="1:1" hidden="1" outlineLevel="1" x14ac:dyDescent="0.25">
      <c r="A2499" t="s">
        <v>954</v>
      </c>
    </row>
    <row r="2500" spans="1:1" ht="13" hidden="1" outlineLevel="1" x14ac:dyDescent="0.3">
      <c r="A2500" s="20" t="s">
        <v>990</v>
      </c>
    </row>
    <row r="2501" spans="1:1" hidden="1" outlineLevel="1" x14ac:dyDescent="0.25">
      <c r="A2501" s="7" t="s">
        <v>991</v>
      </c>
    </row>
    <row r="2502" spans="1:1" hidden="1" outlineLevel="1" x14ac:dyDescent="0.25">
      <c r="A2502" t="s">
        <v>950</v>
      </c>
    </row>
    <row r="2503" spans="1:1" hidden="1" outlineLevel="1" x14ac:dyDescent="0.25">
      <c r="A2503" t="s">
        <v>951</v>
      </c>
    </row>
    <row r="2504" spans="1:1" ht="13" hidden="1" outlineLevel="1" x14ac:dyDescent="0.3">
      <c r="A250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505" spans="1:1" hidden="1" outlineLevel="1" x14ac:dyDescent="0.25">
      <c r="A2505" t="s">
        <v>952</v>
      </c>
    </row>
    <row r="2506" spans="1:1" hidden="1" outlineLevel="1" x14ac:dyDescent="0.25">
      <c r="A2506" t="s">
        <v>953</v>
      </c>
    </row>
    <row r="2507" spans="1:1" hidden="1" outlineLevel="1" x14ac:dyDescent="0.25">
      <c r="A2507" t="s">
        <v>954</v>
      </c>
    </row>
    <row r="2508" spans="1:1" ht="13" hidden="1" outlineLevel="1" x14ac:dyDescent="0.3">
      <c r="A2508" s="20" t="s">
        <v>992</v>
      </c>
    </row>
    <row r="2509" spans="1:1" hidden="1" outlineLevel="1" x14ac:dyDescent="0.25">
      <c r="A2509" s="7" t="s">
        <v>993</v>
      </c>
    </row>
    <row r="2510" spans="1:1" hidden="1" outlineLevel="1" x14ac:dyDescent="0.25">
      <c r="A2510" t="s">
        <v>950</v>
      </c>
    </row>
    <row r="2511" spans="1:1" hidden="1" outlineLevel="1" x14ac:dyDescent="0.25">
      <c r="A2511" t="s">
        <v>951</v>
      </c>
    </row>
    <row r="2512" spans="1:1" ht="13" hidden="1" outlineLevel="1" x14ac:dyDescent="0.3">
      <c r="A251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513" spans="1:33" hidden="1" outlineLevel="1" x14ac:dyDescent="0.25">
      <c r="A2513" t="s">
        <v>952</v>
      </c>
    </row>
    <row r="2514" spans="1:33" hidden="1" outlineLevel="1" x14ac:dyDescent="0.25">
      <c r="A2514" t="s">
        <v>953</v>
      </c>
    </row>
    <row r="2515" spans="1:33" hidden="1" outlineLevel="1" x14ac:dyDescent="0.25">
      <c r="A2515" t="s">
        <v>994</v>
      </c>
    </row>
    <row r="2516" spans="1:33" hidden="1" outlineLevel="1" x14ac:dyDescent="0.25">
      <c r="A2516" t="str">
        <f>CONCATENATE("sql left outer join acrtrees t on t.client = u.client and u.dim_1 = t.cat_1 and t.att_agrid = '",$F$159,"'")</f>
        <v>sql left outer join acrtrees t on t.client = u.client and u.dim_1 = t.cat_1 and t.att_agrid = '53'</v>
      </c>
    </row>
    <row r="2517" spans="1:33" hidden="1" outlineLevel="1" x14ac:dyDescent="0.25">
      <c r="A2517" t="str">
        <f>CONCATENATE("sql left outer join acrtrees s on s.client = u.client and u.account = s.cat_1 and s.att_agrid = '",$F$160,"'")</f>
        <v>sql left outer join acrtrees s on s.client = u.client and u.account = s.cat_1 and s.att_agrid = '14'</v>
      </c>
    </row>
    <row r="2518" spans="1:33" hidden="1" outlineLevel="1" x14ac:dyDescent="0.25">
      <c r="A2518" t="str">
        <f>CONCATENATE("sql left outer join acrtrees v on v.client = u.client and u.account = v.cat_1 and v.att_agrid = '",$F$161,"'")</f>
        <v>sql left outer join acrtrees v on v.client = u.client and u.account = v.cat_1 and v.att_agrid = '17'</v>
      </c>
    </row>
    <row r="2519" spans="1:33" hidden="1" outlineLevel="1" x14ac:dyDescent="0.25">
      <c r="A2519" t="str">
        <f>CONCATENATE("sql left outer join agldescription d on d.client = u.client and d.dim_value = t.dim_c and d.attribute_id = '",$F$162,"'")</f>
        <v>sql left outer join agldescription d on d.client = u.client and d.dim_value = t.dim_c and d.attribute_id = '82'</v>
      </c>
    </row>
    <row r="2520" spans="1:33" hidden="1" outlineLevel="1" x14ac:dyDescent="0.25">
      <c r="A2520" t="str">
        <f>CONCATENATE("sql left outer join agldescription e on e.client = u.client and e.dim_value = t.dim_b and e.attribute_id = '",$F$163,"'")</f>
        <v>sql left outer join agldescription e on e.client = u.client and e.dim_value = t.dim_b and e.attribute_id = '81'</v>
      </c>
    </row>
    <row r="2521" spans="1:33" hidden="1" outlineLevel="1" x14ac:dyDescent="0.25">
      <c r="A2521" t="str">
        <f>CONCATENATE("sql left outer join agldescription f on f.client = u.client and f.dim_value = t.dim_e and f.attribute_id = '",$F$164,"'")</f>
        <v>sql left outer join agldescription f on f.client = u.client and f.dim_value = t.dim_e and f.attribute_id = '80'</v>
      </c>
    </row>
    <row r="2522" spans="1:33" hidden="1" outlineLevel="1" x14ac:dyDescent="0.25">
      <c r="A2522" t="str">
        <f>CONCATENATE("sql left outer join agldescription g on g.client = u.client and g.dim_value = u.account and g.attribute_id = '",$F$165,"'")</f>
        <v>sql left outer join agldescription g on g.client = u.client and g.dim_value = u.account and g.attribute_id = 'A0'</v>
      </c>
    </row>
    <row r="2523" spans="1:33" ht="14.5" hidden="1" outlineLevel="1" x14ac:dyDescent="0.35">
      <c r="A2523" s="67" t="s">
        <v>1060</v>
      </c>
      <c r="G2523" s="737" t="s">
        <v>1061</v>
      </c>
    </row>
    <row r="2524" spans="1:33" hidden="1" outlineLevel="1" x14ac:dyDescent="0.25">
      <c r="A2524" t="s">
        <v>1005</v>
      </c>
    </row>
    <row r="2525" spans="1:33" hidden="1" outlineLevel="1" x14ac:dyDescent="0.25">
      <c r="A2525" t="s">
        <v>1006</v>
      </c>
    </row>
    <row r="2526" spans="1:33" hidden="1" outlineLevel="1" x14ac:dyDescent="0.25">
      <c r="A2526" t="s">
        <v>1007</v>
      </c>
    </row>
    <row r="2527" spans="1:33" ht="13" hidden="1" outlineLevel="1" x14ac:dyDescent="0.3">
      <c r="A2527" t="s">
        <v>1012</v>
      </c>
      <c r="C2527" s="29"/>
      <c r="D2527" s="36">
        <v>1000</v>
      </c>
      <c r="E2527" s="36">
        <v>1000</v>
      </c>
      <c r="F2527" s="22">
        <v>1000</v>
      </c>
      <c r="G2527" s="22">
        <v>1000</v>
      </c>
      <c r="H2527" s="22">
        <v>1000</v>
      </c>
      <c r="I2527" s="22">
        <v>1000</v>
      </c>
      <c r="J2527" s="22">
        <v>1000</v>
      </c>
      <c r="K2527" s="22">
        <v>1000</v>
      </c>
      <c r="L2527" s="22"/>
      <c r="M2527" s="36"/>
      <c r="N2527" s="36"/>
      <c r="O2527" s="36">
        <v>1000</v>
      </c>
      <c r="P2527" s="36">
        <v>1000</v>
      </c>
      <c r="Q2527" s="36">
        <v>1000</v>
      </c>
      <c r="R2527" s="36">
        <v>1000</v>
      </c>
      <c r="S2527" s="36">
        <v>1000</v>
      </c>
      <c r="T2527" s="36"/>
      <c r="U2527" s="36"/>
      <c r="V2527" s="58"/>
      <c r="W2527" s="36">
        <v>1000</v>
      </c>
      <c r="X2527" s="36">
        <v>1000</v>
      </c>
      <c r="Y2527" s="36"/>
      <c r="Z2527" s="36"/>
      <c r="AA2527" s="40"/>
      <c r="AB2527" s="60"/>
      <c r="AC2527" s="98"/>
      <c r="AD2527" s="36"/>
      <c r="AE2527" s="36"/>
      <c r="AF2527" s="36"/>
      <c r="AG2527" s="99"/>
    </row>
    <row r="2528" spans="1:33" ht="13" hidden="1" outlineLevel="1" x14ac:dyDescent="0.3">
      <c r="A2528" s="7" t="s">
        <v>1013</v>
      </c>
      <c r="C2528" s="29"/>
      <c r="D2528" s="36">
        <v>0</v>
      </c>
      <c r="E2528" s="36">
        <v>0</v>
      </c>
      <c r="F2528" s="22">
        <v>0</v>
      </c>
      <c r="G2528" s="22">
        <v>0</v>
      </c>
      <c r="H2528" s="22">
        <v>0</v>
      </c>
      <c r="I2528" s="22">
        <v>0</v>
      </c>
      <c r="J2528" s="22">
        <v>0</v>
      </c>
      <c r="K2528" s="22">
        <v>0</v>
      </c>
      <c r="L2528" s="22"/>
      <c r="M2528" s="36"/>
      <c r="N2528" s="36"/>
      <c r="O2528" s="36">
        <v>0</v>
      </c>
      <c r="P2528" s="36">
        <v>0</v>
      </c>
      <c r="Q2528" s="36">
        <v>0</v>
      </c>
      <c r="R2528" s="36">
        <v>0</v>
      </c>
      <c r="S2528" s="36">
        <v>0</v>
      </c>
      <c r="T2528" s="36"/>
      <c r="U2528" s="36"/>
      <c r="V2528" s="58"/>
      <c r="W2528" s="36">
        <v>0</v>
      </c>
      <c r="X2528" s="36">
        <v>0</v>
      </c>
      <c r="Y2528" s="36"/>
      <c r="Z2528" s="36"/>
      <c r="AA2528" s="40"/>
      <c r="AB2528" s="60"/>
      <c r="AC2528" s="98"/>
      <c r="AD2528" s="36"/>
      <c r="AE2528" s="36"/>
      <c r="AF2528" s="36"/>
      <c r="AG2528" s="99"/>
    </row>
    <row r="2529" spans="1:33" ht="13" hidden="1" outlineLevel="1" x14ac:dyDescent="0.3">
      <c r="A2529" t="s">
        <v>1014</v>
      </c>
      <c r="C2529" s="30"/>
      <c r="D2529" s="36"/>
      <c r="E2529" s="36"/>
      <c r="F2529" s="57"/>
      <c r="G2529" s="57"/>
      <c r="H2529" s="57"/>
      <c r="I2529" s="57"/>
      <c r="J2529" s="57"/>
      <c r="K2529" s="57"/>
      <c r="L2529" s="57"/>
      <c r="M2529" s="36"/>
      <c r="N2529" s="36"/>
      <c r="O2529" s="36"/>
      <c r="P2529" s="36" t="s">
        <v>1015</v>
      </c>
      <c r="Q2529" s="36" t="s">
        <v>1016</v>
      </c>
      <c r="R2529" s="36"/>
      <c r="S2529" s="36"/>
      <c r="T2529" s="36"/>
      <c r="U2529" s="36"/>
      <c r="V2529" s="58"/>
      <c r="W2529" s="36"/>
      <c r="X2529" s="36"/>
      <c r="Y2529" s="36"/>
      <c r="Z2529" s="36"/>
      <c r="AA2529" s="40"/>
      <c r="AB2529" s="60"/>
      <c r="AC2529" s="98"/>
      <c r="AD2529" s="36"/>
      <c r="AE2529" s="36"/>
      <c r="AF2529" s="36"/>
      <c r="AG2529" s="99"/>
    </row>
    <row r="2530" spans="1:33" ht="13" hidden="1" outlineLevel="1" x14ac:dyDescent="0.3">
      <c r="A2530" t="s">
        <v>1017</v>
      </c>
      <c r="C2530" s="31"/>
      <c r="D2530" s="36" t="s">
        <v>1019</v>
      </c>
      <c r="E2530" s="36" t="s">
        <v>1020</v>
      </c>
      <c r="F2530" s="22" t="s">
        <v>1021</v>
      </c>
      <c r="G2530" s="22" t="s">
        <v>1022</v>
      </c>
      <c r="H2530" s="22" t="s">
        <v>1023</v>
      </c>
      <c r="I2530" s="22" t="s">
        <v>1024</v>
      </c>
      <c r="J2530" s="22" t="s">
        <v>1025</v>
      </c>
      <c r="K2530" s="22" t="s">
        <v>1026</v>
      </c>
      <c r="L2530" s="22"/>
      <c r="M2530" s="36"/>
      <c r="N2530" s="36"/>
      <c r="O2530" s="36" t="s">
        <v>1027</v>
      </c>
      <c r="P2530" s="36" t="s">
        <v>1028</v>
      </c>
      <c r="Q2530" s="36" t="s">
        <v>1028</v>
      </c>
      <c r="R2530" s="36" t="s">
        <v>1028</v>
      </c>
      <c r="S2530" s="36" t="s">
        <v>1029</v>
      </c>
      <c r="T2530" s="36"/>
      <c r="U2530" s="36"/>
      <c r="V2530" s="58"/>
      <c r="W2530" s="36" t="s">
        <v>1030</v>
      </c>
      <c r="X2530" s="36" t="s">
        <v>1031</v>
      </c>
      <c r="Y2530" s="36"/>
      <c r="Z2530" s="36"/>
      <c r="AA2530" s="40"/>
      <c r="AB2530" s="60"/>
      <c r="AC2530" s="98"/>
      <c r="AD2530" s="36"/>
      <c r="AE2530" s="36"/>
      <c r="AF2530" s="36"/>
      <c r="AG2530" s="99"/>
    </row>
    <row r="2531" spans="1:33" ht="13" hidden="1" outlineLevel="1" x14ac:dyDescent="0.3">
      <c r="A2531" t="s">
        <v>1041</v>
      </c>
      <c r="C2531" s="31" t="s">
        <v>129</v>
      </c>
      <c r="D2531" s="33">
        <v>0</v>
      </c>
      <c r="E2531" s="33">
        <v>0</v>
      </c>
      <c r="F2531" s="23">
        <v>0</v>
      </c>
      <c r="G2531" s="23">
        <v>0</v>
      </c>
      <c r="H2531" s="23">
        <v>0</v>
      </c>
      <c r="I2531" s="23">
        <v>0</v>
      </c>
      <c r="J2531" s="23">
        <v>0</v>
      </c>
      <c r="K2531" s="23">
        <v>0</v>
      </c>
      <c r="L2531" s="23">
        <f>SUM(F2531:K2531)</f>
        <v>0</v>
      </c>
      <c r="M2531" s="33">
        <f>O2531-E2531</f>
        <v>0</v>
      </c>
      <c r="N2531" s="33">
        <f>O2531-D2531</f>
        <v>0</v>
      </c>
      <c r="O2531" s="33">
        <v>0</v>
      </c>
      <c r="P2531" s="33">
        <v>0</v>
      </c>
      <c r="Q2531" s="33">
        <v>0</v>
      </c>
      <c r="R2531" s="33">
        <v>0</v>
      </c>
      <c r="S2531" s="33">
        <v>0</v>
      </c>
      <c r="T2531" s="33">
        <f>R2531-S2531</f>
        <v>0</v>
      </c>
      <c r="U2531" s="38" t="str">
        <f>IFERROR((R2531/O2531)*100%,"∞")</f>
        <v>∞</v>
      </c>
      <c r="V2531" s="59">
        <f>O2531+W2531</f>
        <v>0</v>
      </c>
      <c r="W2531" s="33">
        <v>0</v>
      </c>
      <c r="X2531" s="33">
        <v>0</v>
      </c>
      <c r="Y2531" s="33"/>
      <c r="Z2531" s="33"/>
      <c r="AA2531" s="42"/>
      <c r="AB2531" s="60"/>
      <c r="AC2531" s="105"/>
      <c r="AD2531" s="93"/>
      <c r="AE2531" s="33">
        <f>SUM(AC2531:AD2531)</f>
        <v>0</v>
      </c>
      <c r="AF2531" s="33">
        <f>R2531+AE2531</f>
        <v>0</v>
      </c>
      <c r="AG2531" s="101">
        <f>AF2531-O2531</f>
        <v>0</v>
      </c>
    </row>
    <row r="2532" spans="1:33" hidden="1" outlineLevel="1" x14ac:dyDescent="0.25">
      <c r="A2532" t="s">
        <v>232</v>
      </c>
    </row>
    <row r="2533" spans="1:33" hidden="1" outlineLevel="1" x14ac:dyDescent="0.25">
      <c r="A2533" t="s">
        <v>944</v>
      </c>
      <c r="M2533" s="19"/>
      <c r="N2533" s="19"/>
    </row>
    <row r="2534" spans="1:33" hidden="1" outlineLevel="1" x14ac:dyDescent="0.25">
      <c r="A2534" t="s">
        <v>946</v>
      </c>
      <c r="E2534" s="19"/>
    </row>
    <row r="2535" spans="1:33" hidden="1" outlineLevel="1" x14ac:dyDescent="0.25">
      <c r="A2535" t="s">
        <v>947</v>
      </c>
      <c r="E2535" s="19"/>
      <c r="F2535" s="19"/>
    </row>
    <row r="2536" spans="1:33" ht="13" hidden="1" outlineLevel="1" x14ac:dyDescent="0.3">
      <c r="A2536" s="20" t="s">
        <v>948</v>
      </c>
    </row>
    <row r="2537" spans="1:33" hidden="1" outlineLevel="1" x14ac:dyDescent="0.25">
      <c r="A2537" s="7" t="s">
        <v>949</v>
      </c>
    </row>
    <row r="2538" spans="1:33" hidden="1" outlineLevel="1" x14ac:dyDescent="0.25">
      <c r="A2538" t="s">
        <v>950</v>
      </c>
    </row>
    <row r="2539" spans="1:33" hidden="1" outlineLevel="1" x14ac:dyDescent="0.25">
      <c r="A2539" t="s">
        <v>951</v>
      </c>
    </row>
    <row r="2540" spans="1:33" ht="13" hidden="1" outlineLevel="1" x14ac:dyDescent="0.3">
      <c r="A2540" s="21" t="str">
        <f>CONCATENATE("sql where a.client = '",$D$172,"' and a.period between '",LEFT($D$170,4),"00' and '",LEFT($D$171,4),"14' and a.version like '%ORIG%'")</f>
        <v>sql where a.client = 'OX' and a.period between '202500' and '202514' and a.version like '%ORIG%'</v>
      </c>
    </row>
    <row r="2541" spans="1:33" hidden="1" outlineLevel="1" x14ac:dyDescent="0.25">
      <c r="A2541" t="s">
        <v>952</v>
      </c>
    </row>
    <row r="2542" spans="1:33" hidden="1" outlineLevel="1" x14ac:dyDescent="0.25">
      <c r="A2542" t="s">
        <v>953</v>
      </c>
    </row>
    <row r="2543" spans="1:33" hidden="1" outlineLevel="1" x14ac:dyDescent="0.25">
      <c r="A2543" t="s">
        <v>954</v>
      </c>
    </row>
    <row r="2544" spans="1:33" ht="13" hidden="1" outlineLevel="1" x14ac:dyDescent="0.3">
      <c r="A2544" s="20" t="s">
        <v>955</v>
      </c>
    </row>
    <row r="2545" spans="1:3" hidden="1" outlineLevel="1" x14ac:dyDescent="0.25">
      <c r="A2545" s="7" t="s">
        <v>956</v>
      </c>
    </row>
    <row r="2546" spans="1:3" hidden="1" outlineLevel="1" x14ac:dyDescent="0.25">
      <c r="A2546" t="s">
        <v>950</v>
      </c>
    </row>
    <row r="2547" spans="1:3" hidden="1" outlineLevel="1" x14ac:dyDescent="0.25">
      <c r="A2547" t="s">
        <v>951</v>
      </c>
    </row>
    <row r="2548" spans="1:3" ht="14.5" hidden="1" outlineLevel="1" x14ac:dyDescent="0.35">
      <c r="A2548"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548" s="2"/>
    </row>
    <row r="2549" spans="1:3" hidden="1" outlineLevel="1" x14ac:dyDescent="0.25">
      <c r="A2549" t="s">
        <v>952</v>
      </c>
    </row>
    <row r="2550" spans="1:3" hidden="1" outlineLevel="1" x14ac:dyDescent="0.25">
      <c r="A2550" t="s">
        <v>953</v>
      </c>
    </row>
    <row r="2551" spans="1:3" hidden="1" outlineLevel="1" x14ac:dyDescent="0.25">
      <c r="A2551" t="s">
        <v>954</v>
      </c>
    </row>
    <row r="2552" spans="1:3" ht="13" hidden="1" outlineLevel="1" x14ac:dyDescent="0.3">
      <c r="A2552" s="66" t="s">
        <v>957</v>
      </c>
    </row>
    <row r="2553" spans="1:3" hidden="1" outlineLevel="1" x14ac:dyDescent="0.25">
      <c r="A2553" t="s">
        <v>958</v>
      </c>
    </row>
    <row r="2554" spans="1:3" hidden="1" outlineLevel="1" x14ac:dyDescent="0.25">
      <c r="A2554" t="s">
        <v>950</v>
      </c>
    </row>
    <row r="2555" spans="1:3" ht="13" hidden="1" outlineLevel="1" x14ac:dyDescent="0.3">
      <c r="A255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556" spans="1:3" ht="13" hidden="1" outlineLevel="1" x14ac:dyDescent="0.3">
      <c r="A2556" s="21" t="s">
        <v>959</v>
      </c>
    </row>
    <row r="2557" spans="1:3" hidden="1" outlineLevel="1" x14ac:dyDescent="0.25">
      <c r="A2557" t="s">
        <v>960</v>
      </c>
    </row>
    <row r="2558" spans="1:3" hidden="1" outlineLevel="1" x14ac:dyDescent="0.25">
      <c r="A2558" t="s">
        <v>961</v>
      </c>
    </row>
    <row r="2559" spans="1:3" hidden="1" outlineLevel="1" x14ac:dyDescent="0.25">
      <c r="A2559" t="str">
        <f>CONCATENATE("sql left outer join acrtrees t on t.client = x.client and x.dim_1 = t.cat_1 and t.att_agrid = '",$F$159,"'")</f>
        <v>sql left outer join acrtrees t on t.client = x.client and x.dim_1 = t.cat_1 and t.att_agrid = '53'</v>
      </c>
    </row>
    <row r="2560" spans="1:3" ht="13" hidden="1" outlineLevel="1" x14ac:dyDescent="0.3">
      <c r="A256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561" spans="1:1" ht="13" hidden="1" outlineLevel="1" x14ac:dyDescent="0.3">
      <c r="A2561" s="21" t="s">
        <v>962</v>
      </c>
    </row>
    <row r="2562" spans="1:1" ht="13" hidden="1" outlineLevel="1" x14ac:dyDescent="0.3">
      <c r="A2562"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563" spans="1:1" ht="13" hidden="1" outlineLevel="1" x14ac:dyDescent="0.3">
      <c r="A2563" s="21" t="s">
        <v>963</v>
      </c>
    </row>
    <row r="2564" spans="1:1" hidden="1" outlineLevel="1" x14ac:dyDescent="0.25">
      <c r="A2564" t="s">
        <v>964</v>
      </c>
    </row>
    <row r="2565" spans="1:1" hidden="1" outlineLevel="1" x14ac:dyDescent="0.25">
      <c r="A2565" t="s">
        <v>965</v>
      </c>
    </row>
    <row r="2566" spans="1:1" hidden="1" outlineLevel="1" x14ac:dyDescent="0.25">
      <c r="A2566" t="s">
        <v>966</v>
      </c>
    </row>
    <row r="2567" spans="1:1" hidden="1" outlineLevel="1" x14ac:dyDescent="0.25">
      <c r="A2567" t="s">
        <v>953</v>
      </c>
    </row>
    <row r="2568" spans="1:1" hidden="1" outlineLevel="1" x14ac:dyDescent="0.25">
      <c r="A2568" t="s">
        <v>954</v>
      </c>
    </row>
    <row r="2569" spans="1:1" ht="13" hidden="1" outlineLevel="1" x14ac:dyDescent="0.3">
      <c r="A2569" s="66" t="s">
        <v>967</v>
      </c>
    </row>
    <row r="2570" spans="1:1" hidden="1" outlineLevel="1" x14ac:dyDescent="0.25">
      <c r="A2570" t="s">
        <v>968</v>
      </c>
    </row>
    <row r="2571" spans="1:1" hidden="1" outlineLevel="1" x14ac:dyDescent="0.25">
      <c r="A2571" t="s">
        <v>950</v>
      </c>
    </row>
    <row r="2572" spans="1:1" ht="13" hidden="1" outlineLevel="1" x14ac:dyDescent="0.3">
      <c r="A2572"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573" spans="1:1" ht="13" hidden="1" outlineLevel="1" x14ac:dyDescent="0.3">
      <c r="A2573" s="21" t="s">
        <v>969</v>
      </c>
    </row>
    <row r="2574" spans="1:1" ht="13" hidden="1" outlineLevel="1" x14ac:dyDescent="0.3">
      <c r="A2574" s="21" t="s">
        <v>959</v>
      </c>
    </row>
    <row r="2575" spans="1:1" hidden="1" outlineLevel="1" x14ac:dyDescent="0.25">
      <c r="A2575" t="s">
        <v>960</v>
      </c>
    </row>
    <row r="2576" spans="1:1" hidden="1" outlineLevel="1" x14ac:dyDescent="0.25">
      <c r="A2576" t="s">
        <v>961</v>
      </c>
    </row>
    <row r="2577" spans="1:1" hidden="1" outlineLevel="1" x14ac:dyDescent="0.25">
      <c r="A2577" t="str">
        <f>CONCATENATE("sql left outer join acrtrees t on t.client = x.client and x.dim_1 = t.cat_1 and t.att_agrid = '",$F$159,"'")</f>
        <v>sql left outer join acrtrees t on t.client = x.client and x.dim_1 = t.cat_1 and t.att_agrid = '53'</v>
      </c>
    </row>
    <row r="2578" spans="1:1" ht="13" hidden="1" outlineLevel="1" x14ac:dyDescent="0.3">
      <c r="A257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579" spans="1:1" ht="13" hidden="1" outlineLevel="1" x14ac:dyDescent="0.3">
      <c r="A2579" s="21" t="s">
        <v>970</v>
      </c>
    </row>
    <row r="2580" spans="1:1" ht="13" hidden="1" outlineLevel="1" x14ac:dyDescent="0.3">
      <c r="A2580" s="21" t="s">
        <v>962</v>
      </c>
    </row>
    <row r="2581" spans="1:1" ht="13" hidden="1" outlineLevel="1" x14ac:dyDescent="0.3">
      <c r="A2581"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582" spans="1:1" ht="13" hidden="1" outlineLevel="1" x14ac:dyDescent="0.3">
      <c r="A2582" s="21" t="s">
        <v>970</v>
      </c>
    </row>
    <row r="2583" spans="1:1" ht="13" hidden="1" outlineLevel="1" x14ac:dyDescent="0.3">
      <c r="A2583" s="21" t="s">
        <v>963</v>
      </c>
    </row>
    <row r="2584" spans="1:1" hidden="1" outlineLevel="1" x14ac:dyDescent="0.25">
      <c r="A2584" t="s">
        <v>964</v>
      </c>
    </row>
    <row r="2585" spans="1:1" hidden="1" outlineLevel="1" x14ac:dyDescent="0.25">
      <c r="A2585" t="s">
        <v>965</v>
      </c>
    </row>
    <row r="2586" spans="1:1" hidden="1" outlineLevel="1" x14ac:dyDescent="0.25">
      <c r="A2586" t="s">
        <v>966</v>
      </c>
    </row>
    <row r="2587" spans="1:1" hidden="1" outlineLevel="1" x14ac:dyDescent="0.25">
      <c r="A2587" t="s">
        <v>953</v>
      </c>
    </row>
    <row r="2588" spans="1:1" hidden="1" outlineLevel="1" x14ac:dyDescent="0.25">
      <c r="A2588" t="s">
        <v>954</v>
      </c>
    </row>
    <row r="2589" spans="1:1" ht="13" hidden="1" outlineLevel="1" x14ac:dyDescent="0.3">
      <c r="A2589" s="66" t="s">
        <v>971</v>
      </c>
    </row>
    <row r="2590" spans="1:1" hidden="1" outlineLevel="1" x14ac:dyDescent="0.25">
      <c r="A2590" t="s">
        <v>972</v>
      </c>
    </row>
    <row r="2591" spans="1:1" hidden="1" outlineLevel="1" x14ac:dyDescent="0.25">
      <c r="A2591" t="s">
        <v>950</v>
      </c>
    </row>
    <row r="2592" spans="1:1" ht="13" hidden="1" outlineLevel="1" x14ac:dyDescent="0.3">
      <c r="A259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593" spans="1:1" ht="13" hidden="1" outlineLevel="1" x14ac:dyDescent="0.3">
      <c r="A2593" s="21" t="s">
        <v>959</v>
      </c>
    </row>
    <row r="2594" spans="1:1" hidden="1" outlineLevel="1" x14ac:dyDescent="0.25">
      <c r="A2594" t="s">
        <v>960</v>
      </c>
    </row>
    <row r="2595" spans="1:1" hidden="1" outlineLevel="1" x14ac:dyDescent="0.25">
      <c r="A2595" t="s">
        <v>961</v>
      </c>
    </row>
    <row r="2596" spans="1:1" hidden="1" outlineLevel="1" x14ac:dyDescent="0.25">
      <c r="A2596" t="str">
        <f>CONCATENATE("sql left outer join acrtrees t on t.client = x.client and x.dim_1 = t.cat_1 and t.att_agrid = '",$F$159,"'")</f>
        <v>sql left outer join acrtrees t on t.client = x.client and x.dim_1 = t.cat_1 and t.att_agrid = '53'</v>
      </c>
    </row>
    <row r="2597" spans="1:1" ht="13" hidden="1" outlineLevel="1" x14ac:dyDescent="0.3">
      <c r="A259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598" spans="1:1" ht="13" hidden="1" outlineLevel="1" x14ac:dyDescent="0.3">
      <c r="A2598" s="21" t="s">
        <v>973</v>
      </c>
    </row>
    <row r="2599" spans="1:1" hidden="1" outlineLevel="1" x14ac:dyDescent="0.25">
      <c r="A2599" t="s">
        <v>964</v>
      </c>
    </row>
    <row r="2600" spans="1:1" hidden="1" outlineLevel="1" x14ac:dyDescent="0.25">
      <c r="A2600" t="s">
        <v>965</v>
      </c>
    </row>
    <row r="2601" spans="1:1" hidden="1" outlineLevel="1" x14ac:dyDescent="0.25">
      <c r="A2601" t="s">
        <v>966</v>
      </c>
    </row>
    <row r="2602" spans="1:1" hidden="1" outlineLevel="1" x14ac:dyDescent="0.25">
      <c r="A2602" t="s">
        <v>953</v>
      </c>
    </row>
    <row r="2603" spans="1:1" hidden="1" outlineLevel="1" x14ac:dyDescent="0.25">
      <c r="A2603" t="s">
        <v>954</v>
      </c>
    </row>
    <row r="2604" spans="1:1" ht="13" hidden="1" outlineLevel="1" x14ac:dyDescent="0.3">
      <c r="A2604" s="66" t="s">
        <v>974</v>
      </c>
    </row>
    <row r="2605" spans="1:1" hidden="1" outlineLevel="1" x14ac:dyDescent="0.25">
      <c r="A2605" t="s">
        <v>975</v>
      </c>
    </row>
    <row r="2606" spans="1:1" hidden="1" outlineLevel="1" x14ac:dyDescent="0.25">
      <c r="A2606" t="s">
        <v>950</v>
      </c>
    </row>
    <row r="2607" spans="1:1" ht="13" hidden="1" outlineLevel="1" x14ac:dyDescent="0.3">
      <c r="A260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608" spans="1:1" ht="13" hidden="1" outlineLevel="1" x14ac:dyDescent="0.3">
      <c r="A2608" s="21" t="s">
        <v>959</v>
      </c>
    </row>
    <row r="2609" spans="1:1" hidden="1" outlineLevel="1" x14ac:dyDescent="0.25">
      <c r="A2609" t="s">
        <v>960</v>
      </c>
    </row>
    <row r="2610" spans="1:1" hidden="1" outlineLevel="1" x14ac:dyDescent="0.25">
      <c r="A2610" t="s">
        <v>961</v>
      </c>
    </row>
    <row r="2611" spans="1:1" hidden="1" outlineLevel="1" x14ac:dyDescent="0.25">
      <c r="A2611" t="str">
        <f>CONCATENATE("sql left outer join acrtrees t on t.client = x.client and x.dim_1 = t.cat_1 and t.att_agrid = '",$F$159,"'")</f>
        <v>sql left outer join acrtrees t on t.client = x.client and x.dim_1 = t.cat_1 and t.att_agrid = '53'</v>
      </c>
    </row>
    <row r="2612" spans="1:1" ht="13" hidden="1" outlineLevel="1" x14ac:dyDescent="0.3">
      <c r="A261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613" spans="1:1" ht="13" hidden="1" outlineLevel="1" x14ac:dyDescent="0.3">
      <c r="A2613" s="21" t="s">
        <v>973</v>
      </c>
    </row>
    <row r="2614" spans="1:1" hidden="1" outlineLevel="1" x14ac:dyDescent="0.25">
      <c r="A2614" t="s">
        <v>964</v>
      </c>
    </row>
    <row r="2615" spans="1:1" hidden="1" outlineLevel="1" x14ac:dyDescent="0.25">
      <c r="A2615" t="s">
        <v>965</v>
      </c>
    </row>
    <row r="2616" spans="1:1" hidden="1" outlineLevel="1" x14ac:dyDescent="0.25">
      <c r="A2616" t="s">
        <v>966</v>
      </c>
    </row>
    <row r="2617" spans="1:1" hidden="1" outlineLevel="1" x14ac:dyDescent="0.25">
      <c r="A2617" t="s">
        <v>953</v>
      </c>
    </row>
    <row r="2618" spans="1:1" hidden="1" outlineLevel="1" x14ac:dyDescent="0.25">
      <c r="A2618" t="s">
        <v>954</v>
      </c>
    </row>
    <row r="2619" spans="1:1" ht="13" hidden="1" outlineLevel="1" x14ac:dyDescent="0.3">
      <c r="A2619" s="66" t="s">
        <v>976</v>
      </c>
    </row>
    <row r="2620" spans="1:1" hidden="1" outlineLevel="1" x14ac:dyDescent="0.25">
      <c r="A2620" t="s">
        <v>977</v>
      </c>
    </row>
    <row r="2621" spans="1:1" hidden="1" outlineLevel="1" x14ac:dyDescent="0.25">
      <c r="A2621" t="s">
        <v>950</v>
      </c>
    </row>
    <row r="2622" spans="1:1" ht="13" hidden="1" outlineLevel="1" x14ac:dyDescent="0.3">
      <c r="A2622"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623" spans="1:1" ht="13" hidden="1" outlineLevel="1" x14ac:dyDescent="0.3">
      <c r="A2623" s="21" t="s">
        <v>959</v>
      </c>
    </row>
    <row r="2624" spans="1:1" hidden="1" outlineLevel="1" x14ac:dyDescent="0.25">
      <c r="A2624" t="s">
        <v>960</v>
      </c>
    </row>
    <row r="2625" spans="1:1" hidden="1" outlineLevel="1" x14ac:dyDescent="0.25">
      <c r="A2625" t="s">
        <v>961</v>
      </c>
    </row>
    <row r="2626" spans="1:1" hidden="1" outlineLevel="1" x14ac:dyDescent="0.25">
      <c r="A2626" t="str">
        <f>CONCATENATE("sql left outer join acrtrees t on t.client = x.client and x.dim_1 = t.cat_1 and t.att_agrid = '",$F$159,"'")</f>
        <v>sql left outer join acrtrees t on t.client = x.client and x.dim_1 = t.cat_1 and t.att_agrid = '53'</v>
      </c>
    </row>
    <row r="2627" spans="1:1" ht="13" hidden="1" outlineLevel="1" x14ac:dyDescent="0.3">
      <c r="A2627"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628" spans="1:1" ht="13" hidden="1" outlineLevel="1" x14ac:dyDescent="0.3">
      <c r="A2628" s="21" t="s">
        <v>978</v>
      </c>
    </row>
    <row r="2629" spans="1:1" hidden="1" outlineLevel="1" x14ac:dyDescent="0.25">
      <c r="A2629" t="s">
        <v>979</v>
      </c>
    </row>
    <row r="2630" spans="1:1" hidden="1" outlineLevel="1" x14ac:dyDescent="0.25">
      <c r="A2630" t="s">
        <v>980</v>
      </c>
    </row>
    <row r="2631" spans="1:1" hidden="1" outlineLevel="1" x14ac:dyDescent="0.25">
      <c r="A2631" t="s">
        <v>966</v>
      </c>
    </row>
    <row r="2632" spans="1:1" hidden="1" outlineLevel="1" x14ac:dyDescent="0.25">
      <c r="A2632" t="s">
        <v>953</v>
      </c>
    </row>
    <row r="2633" spans="1:1" hidden="1" outlineLevel="1" x14ac:dyDescent="0.25">
      <c r="A2633" t="s">
        <v>954</v>
      </c>
    </row>
    <row r="2634" spans="1:1" ht="13" hidden="1" outlineLevel="1" x14ac:dyDescent="0.3">
      <c r="A2634" s="66" t="s">
        <v>981</v>
      </c>
    </row>
    <row r="2635" spans="1:1" hidden="1" outlineLevel="1" x14ac:dyDescent="0.25">
      <c r="A2635" t="s">
        <v>982</v>
      </c>
    </row>
    <row r="2636" spans="1:1" hidden="1" outlineLevel="1" x14ac:dyDescent="0.25">
      <c r="A2636" t="s">
        <v>950</v>
      </c>
    </row>
    <row r="2637" spans="1:1" ht="13" hidden="1" outlineLevel="1" x14ac:dyDescent="0.3">
      <c r="A2637"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638" spans="1:1" ht="13" hidden="1" outlineLevel="1" x14ac:dyDescent="0.3">
      <c r="A2638" s="21" t="s">
        <v>969</v>
      </c>
    </row>
    <row r="2639" spans="1:1" ht="13" hidden="1" outlineLevel="1" x14ac:dyDescent="0.3">
      <c r="A2639" s="21" t="s">
        <v>959</v>
      </c>
    </row>
    <row r="2640" spans="1:1" hidden="1" outlineLevel="1" x14ac:dyDescent="0.25">
      <c r="A2640" t="s">
        <v>960</v>
      </c>
    </row>
    <row r="2641" spans="1:3" hidden="1" outlineLevel="1" x14ac:dyDescent="0.25">
      <c r="A2641" t="s">
        <v>961</v>
      </c>
    </row>
    <row r="2642" spans="1:3" hidden="1" outlineLevel="1" x14ac:dyDescent="0.25">
      <c r="A2642" t="str">
        <f>CONCATENATE("sql left outer join acrtrees t on t.client = x.client and x.dim_1 = t.cat_1 and t.att_agrid = '",$F$159,"'")</f>
        <v>sql left outer join acrtrees t on t.client = x.client and x.dim_1 = t.cat_1 and t.att_agrid = '53'</v>
      </c>
    </row>
    <row r="2643" spans="1:3" ht="13" hidden="1" outlineLevel="1" x14ac:dyDescent="0.3">
      <c r="A264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644" spans="1:3" ht="13" hidden="1" outlineLevel="1" x14ac:dyDescent="0.3">
      <c r="A2644" s="21" t="s">
        <v>970</v>
      </c>
    </row>
    <row r="2645" spans="1:3" ht="13" hidden="1" outlineLevel="1" x14ac:dyDescent="0.3">
      <c r="A2645" s="21" t="s">
        <v>978</v>
      </c>
    </row>
    <row r="2646" spans="1:3" hidden="1" outlineLevel="1" x14ac:dyDescent="0.25">
      <c r="A2646" t="s">
        <v>979</v>
      </c>
    </row>
    <row r="2647" spans="1:3" hidden="1" outlineLevel="1" x14ac:dyDescent="0.25">
      <c r="A2647" t="s">
        <v>980</v>
      </c>
    </row>
    <row r="2648" spans="1:3" hidden="1" outlineLevel="1" x14ac:dyDescent="0.25">
      <c r="A2648" t="s">
        <v>966</v>
      </c>
    </row>
    <row r="2649" spans="1:3" hidden="1" outlineLevel="1" x14ac:dyDescent="0.25">
      <c r="A2649" t="s">
        <v>953</v>
      </c>
    </row>
    <row r="2650" spans="1:3" hidden="1" outlineLevel="1" x14ac:dyDescent="0.25">
      <c r="A2650" t="s">
        <v>954</v>
      </c>
    </row>
    <row r="2651" spans="1:3" ht="13" hidden="1" outlineLevel="1" x14ac:dyDescent="0.3">
      <c r="A2651" s="20" t="s">
        <v>983</v>
      </c>
    </row>
    <row r="2652" spans="1:3" hidden="1" outlineLevel="1" x14ac:dyDescent="0.25">
      <c r="A2652" s="7" t="s">
        <v>984</v>
      </c>
    </row>
    <row r="2653" spans="1:3" hidden="1" outlineLevel="1" x14ac:dyDescent="0.25">
      <c r="A2653" t="s">
        <v>950</v>
      </c>
    </row>
    <row r="2654" spans="1:3" hidden="1" outlineLevel="1" x14ac:dyDescent="0.25">
      <c r="A2654" t="s">
        <v>951</v>
      </c>
    </row>
    <row r="2655" spans="1:3" ht="14.5" hidden="1" outlineLevel="1" x14ac:dyDescent="0.35">
      <c r="A2655"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655" s="2"/>
    </row>
    <row r="2656" spans="1:3" hidden="1" outlineLevel="1" x14ac:dyDescent="0.25">
      <c r="A2656" t="s">
        <v>952</v>
      </c>
    </row>
    <row r="2657" spans="1:1" hidden="1" outlineLevel="1" x14ac:dyDescent="0.25">
      <c r="A2657" t="s">
        <v>953</v>
      </c>
    </row>
    <row r="2658" spans="1:1" hidden="1" outlineLevel="1" x14ac:dyDescent="0.25">
      <c r="A2658" t="s">
        <v>954</v>
      </c>
    </row>
    <row r="2659" spans="1:1" ht="13" hidden="1" outlineLevel="1" x14ac:dyDescent="0.3">
      <c r="A2659" s="20" t="s">
        <v>985</v>
      </c>
    </row>
    <row r="2660" spans="1:1" hidden="1" outlineLevel="1" x14ac:dyDescent="0.25">
      <c r="A2660" s="7" t="s">
        <v>986</v>
      </c>
    </row>
    <row r="2661" spans="1:1" hidden="1" outlineLevel="1" x14ac:dyDescent="0.25">
      <c r="A2661" t="s">
        <v>987</v>
      </c>
    </row>
    <row r="2662" spans="1:1" ht="13" hidden="1" outlineLevel="1" x14ac:dyDescent="0.3">
      <c r="A2662" s="21" t="str">
        <f>CONCATENATE("sql where a.client = '",$D$172,"' and a.period between '",LEFT($D$170,4),"00' and '",IF(RIGHT($D$171,2)="12",CONCATENATE(LEFT($D$171,4),"14"),$D$171),"'")</f>
        <v>sql where a.client = 'OX' and a.period between '202500' and '202506'</v>
      </c>
    </row>
    <row r="2663" spans="1:1" hidden="1" outlineLevel="1" x14ac:dyDescent="0.25">
      <c r="A2663" t="s">
        <v>952</v>
      </c>
    </row>
    <row r="2664" spans="1:1" hidden="1" outlineLevel="1" x14ac:dyDescent="0.25">
      <c r="A2664" t="s">
        <v>953</v>
      </c>
    </row>
    <row r="2665" spans="1:1" hidden="1" outlineLevel="1" x14ac:dyDescent="0.25">
      <c r="A2665" t="s">
        <v>954</v>
      </c>
    </row>
    <row r="2666" spans="1:1" ht="13" hidden="1" outlineLevel="1" x14ac:dyDescent="0.3">
      <c r="A2666" s="20" t="s">
        <v>988</v>
      </c>
    </row>
    <row r="2667" spans="1:1" hidden="1" outlineLevel="1" x14ac:dyDescent="0.25">
      <c r="A2667" s="7" t="s">
        <v>989</v>
      </c>
    </row>
    <row r="2668" spans="1:1" hidden="1" outlineLevel="1" x14ac:dyDescent="0.25">
      <c r="A2668" t="s">
        <v>950</v>
      </c>
    </row>
    <row r="2669" spans="1:1" hidden="1" outlineLevel="1" x14ac:dyDescent="0.25">
      <c r="A2669" t="s">
        <v>951</v>
      </c>
    </row>
    <row r="2670" spans="1:1" ht="13" hidden="1" outlineLevel="1" x14ac:dyDescent="0.3">
      <c r="A2670"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671" spans="1:1" hidden="1" outlineLevel="1" x14ac:dyDescent="0.25">
      <c r="A2671" t="s">
        <v>952</v>
      </c>
    </row>
    <row r="2672" spans="1:1" hidden="1" outlineLevel="1" x14ac:dyDescent="0.25">
      <c r="A2672" t="s">
        <v>953</v>
      </c>
    </row>
    <row r="2673" spans="1:1" hidden="1" outlineLevel="1" x14ac:dyDescent="0.25">
      <c r="A2673" t="s">
        <v>954</v>
      </c>
    </row>
    <row r="2674" spans="1:1" ht="13" hidden="1" outlineLevel="1" x14ac:dyDescent="0.3">
      <c r="A2674" s="20" t="s">
        <v>990</v>
      </c>
    </row>
    <row r="2675" spans="1:1" hidden="1" outlineLevel="1" x14ac:dyDescent="0.25">
      <c r="A2675" s="7" t="s">
        <v>991</v>
      </c>
    </row>
    <row r="2676" spans="1:1" hidden="1" outlineLevel="1" x14ac:dyDescent="0.25">
      <c r="A2676" t="s">
        <v>950</v>
      </c>
    </row>
    <row r="2677" spans="1:1" hidden="1" outlineLevel="1" x14ac:dyDescent="0.25">
      <c r="A2677" t="s">
        <v>951</v>
      </c>
    </row>
    <row r="2678" spans="1:1" ht="13" hidden="1" outlineLevel="1" x14ac:dyDescent="0.3">
      <c r="A267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679" spans="1:1" hidden="1" outlineLevel="1" x14ac:dyDescent="0.25">
      <c r="A2679" t="s">
        <v>952</v>
      </c>
    </row>
    <row r="2680" spans="1:1" hidden="1" outlineLevel="1" x14ac:dyDescent="0.25">
      <c r="A2680" t="s">
        <v>953</v>
      </c>
    </row>
    <row r="2681" spans="1:1" hidden="1" outlineLevel="1" x14ac:dyDescent="0.25">
      <c r="A2681" t="s">
        <v>954</v>
      </c>
    </row>
    <row r="2682" spans="1:1" ht="13" hidden="1" outlineLevel="1" x14ac:dyDescent="0.3">
      <c r="A2682" s="20" t="s">
        <v>992</v>
      </c>
    </row>
    <row r="2683" spans="1:1" hidden="1" outlineLevel="1" x14ac:dyDescent="0.25">
      <c r="A2683" s="7" t="s">
        <v>993</v>
      </c>
    </row>
    <row r="2684" spans="1:1" hidden="1" outlineLevel="1" x14ac:dyDescent="0.25">
      <c r="A2684" t="s">
        <v>950</v>
      </c>
    </row>
    <row r="2685" spans="1:1" hidden="1" outlineLevel="1" x14ac:dyDescent="0.25">
      <c r="A2685" t="s">
        <v>951</v>
      </c>
    </row>
    <row r="2686" spans="1:1" ht="13" hidden="1" outlineLevel="1" x14ac:dyDescent="0.3">
      <c r="A268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687" spans="1:1" hidden="1" outlineLevel="1" x14ac:dyDescent="0.25">
      <c r="A2687" t="s">
        <v>952</v>
      </c>
    </row>
    <row r="2688" spans="1:1" hidden="1" outlineLevel="1" x14ac:dyDescent="0.25">
      <c r="A2688" t="s">
        <v>953</v>
      </c>
    </row>
    <row r="2689" spans="1:33" hidden="1" outlineLevel="1" x14ac:dyDescent="0.25">
      <c r="A2689" t="s">
        <v>994</v>
      </c>
    </row>
    <row r="2690" spans="1:33" hidden="1" outlineLevel="1" x14ac:dyDescent="0.25">
      <c r="A2690" t="str">
        <f>CONCATENATE("sql left outer join acrtrees t on t.client = u.client and u.dim_1 = t.cat_1 and t.att_agrid = '",$F$159,"'")</f>
        <v>sql left outer join acrtrees t on t.client = u.client and u.dim_1 = t.cat_1 and t.att_agrid = '53'</v>
      </c>
    </row>
    <row r="2691" spans="1:33" hidden="1" outlineLevel="1" x14ac:dyDescent="0.25">
      <c r="A2691" t="str">
        <f>CONCATENATE("sql left outer join acrtrees s on s.client = u.client and u.account = s.cat_1 and s.att_agrid = '",$F$160,"'")</f>
        <v>sql left outer join acrtrees s on s.client = u.client and u.account = s.cat_1 and s.att_agrid = '14'</v>
      </c>
    </row>
    <row r="2692" spans="1:33" hidden="1" outlineLevel="1" x14ac:dyDescent="0.25">
      <c r="A2692" t="str">
        <f>CONCATENATE("sql left outer join acrtrees v on v.client = u.client and u.account = v.cat_1 and v.att_agrid = '",$F$161,"'")</f>
        <v>sql left outer join acrtrees v on v.client = u.client and u.account = v.cat_1 and v.att_agrid = '17'</v>
      </c>
    </row>
    <row r="2693" spans="1:33" hidden="1" outlineLevel="1" x14ac:dyDescent="0.25">
      <c r="A2693" t="str">
        <f>CONCATENATE("sql left outer join agldescription d on d.client = u.client and d.dim_value = t.dim_c and d.attribute_id = '",$F$162,"'")</f>
        <v>sql left outer join agldescription d on d.client = u.client and d.dim_value = t.dim_c and d.attribute_id = '82'</v>
      </c>
    </row>
    <row r="2694" spans="1:33" hidden="1" outlineLevel="1" x14ac:dyDescent="0.25">
      <c r="A2694" t="str">
        <f>CONCATENATE("sql left outer join agldescription e on e.client = u.client and e.dim_value = t.dim_b and e.attribute_id = '",$F$163,"'")</f>
        <v>sql left outer join agldescription e on e.client = u.client and e.dim_value = t.dim_b and e.attribute_id = '81'</v>
      </c>
    </row>
    <row r="2695" spans="1:33" hidden="1" outlineLevel="1" x14ac:dyDescent="0.25">
      <c r="A2695" t="str">
        <f>CONCATENATE("sql left outer join agldescription f on f.client = u.client and f.dim_value = t.dim_e and f.attribute_id = '",$F$164,"'")</f>
        <v>sql left outer join agldescription f on f.client = u.client and f.dim_value = t.dim_e and f.attribute_id = '80'</v>
      </c>
    </row>
    <row r="2696" spans="1:33" hidden="1" outlineLevel="1" x14ac:dyDescent="0.25">
      <c r="A2696" t="str">
        <f>CONCATENATE("sql left outer join agldescription g on g.client = u.client and g.dim_value = u.account and g.attribute_id = '",$F$165,"'")</f>
        <v>sql left outer join agldescription g on g.client = u.client and g.dim_value = u.account and g.attribute_id = 'A0'</v>
      </c>
    </row>
    <row r="2697" spans="1:33" ht="14.5" hidden="1" outlineLevel="1" x14ac:dyDescent="0.35">
      <c r="A2697" s="67" t="s">
        <v>1062</v>
      </c>
      <c r="G2697" s="737" t="s">
        <v>1063</v>
      </c>
    </row>
    <row r="2698" spans="1:33" hidden="1" outlineLevel="1" x14ac:dyDescent="0.25">
      <c r="A2698" t="s">
        <v>1005</v>
      </c>
    </row>
    <row r="2699" spans="1:33" hidden="1" outlineLevel="1" x14ac:dyDescent="0.25">
      <c r="A2699" t="s">
        <v>1006</v>
      </c>
    </row>
    <row r="2700" spans="1:33" hidden="1" outlineLevel="1" x14ac:dyDescent="0.25">
      <c r="A2700" t="s">
        <v>1007</v>
      </c>
    </row>
    <row r="2701" spans="1:33" ht="13" hidden="1" outlineLevel="1" x14ac:dyDescent="0.3">
      <c r="A2701" t="s">
        <v>1012</v>
      </c>
      <c r="C2701" s="29"/>
      <c r="D2701" s="36">
        <v>1000</v>
      </c>
      <c r="E2701" s="36">
        <v>1000</v>
      </c>
      <c r="F2701" s="22">
        <v>1000</v>
      </c>
      <c r="G2701" s="22">
        <v>1000</v>
      </c>
      <c r="H2701" s="22">
        <v>1000</v>
      </c>
      <c r="I2701" s="22">
        <v>1000</v>
      </c>
      <c r="J2701" s="22">
        <v>1000</v>
      </c>
      <c r="K2701" s="22">
        <v>1000</v>
      </c>
      <c r="L2701" s="22"/>
      <c r="M2701" s="36"/>
      <c r="N2701" s="36"/>
      <c r="O2701" s="36">
        <v>1000</v>
      </c>
      <c r="P2701" s="36">
        <v>1000</v>
      </c>
      <c r="Q2701" s="36">
        <v>1000</v>
      </c>
      <c r="R2701" s="36">
        <v>1000</v>
      </c>
      <c r="S2701" s="36">
        <v>1000</v>
      </c>
      <c r="T2701" s="36"/>
      <c r="U2701" s="36"/>
      <c r="V2701" s="58"/>
      <c r="W2701" s="36">
        <v>1000</v>
      </c>
      <c r="X2701" s="36">
        <v>1000</v>
      </c>
      <c r="Y2701" s="36"/>
      <c r="Z2701" s="36"/>
      <c r="AA2701" s="40"/>
      <c r="AB2701" s="60"/>
      <c r="AC2701" s="98"/>
      <c r="AD2701" s="36"/>
      <c r="AE2701" s="36"/>
      <c r="AF2701" s="36"/>
      <c r="AG2701" s="99"/>
    </row>
    <row r="2702" spans="1:33" ht="13" hidden="1" outlineLevel="1" x14ac:dyDescent="0.3">
      <c r="A2702" s="7" t="s">
        <v>1013</v>
      </c>
      <c r="C2702" s="29"/>
      <c r="D2702" s="36">
        <v>0</v>
      </c>
      <c r="E2702" s="36">
        <v>0</v>
      </c>
      <c r="F2702" s="22">
        <v>0</v>
      </c>
      <c r="G2702" s="22">
        <v>0</v>
      </c>
      <c r="H2702" s="22">
        <v>0</v>
      </c>
      <c r="I2702" s="22">
        <v>0</v>
      </c>
      <c r="J2702" s="22">
        <v>0</v>
      </c>
      <c r="K2702" s="22">
        <v>0</v>
      </c>
      <c r="L2702" s="22"/>
      <c r="M2702" s="36"/>
      <c r="N2702" s="36"/>
      <c r="O2702" s="36">
        <v>0</v>
      </c>
      <c r="P2702" s="36">
        <v>0</v>
      </c>
      <c r="Q2702" s="36">
        <v>0</v>
      </c>
      <c r="R2702" s="36">
        <v>0</v>
      </c>
      <c r="S2702" s="36">
        <v>0</v>
      </c>
      <c r="T2702" s="36"/>
      <c r="U2702" s="36"/>
      <c r="V2702" s="58"/>
      <c r="W2702" s="36">
        <v>0</v>
      </c>
      <c r="X2702" s="36">
        <v>0</v>
      </c>
      <c r="Y2702" s="36"/>
      <c r="Z2702" s="36"/>
      <c r="AA2702" s="40"/>
      <c r="AB2702" s="60"/>
      <c r="AC2702" s="98"/>
      <c r="AD2702" s="36"/>
      <c r="AE2702" s="36"/>
      <c r="AF2702" s="36"/>
      <c r="AG2702" s="99"/>
    </row>
    <row r="2703" spans="1:33" ht="13" hidden="1" outlineLevel="1" x14ac:dyDescent="0.3">
      <c r="A2703" t="s">
        <v>1014</v>
      </c>
      <c r="C2703" s="30"/>
      <c r="D2703" s="36"/>
      <c r="E2703" s="36"/>
      <c r="F2703" s="57"/>
      <c r="G2703" s="57"/>
      <c r="H2703" s="57"/>
      <c r="I2703" s="57"/>
      <c r="J2703" s="57"/>
      <c r="K2703" s="57"/>
      <c r="L2703" s="57"/>
      <c r="M2703" s="36"/>
      <c r="N2703" s="36"/>
      <c r="O2703" s="36"/>
      <c r="P2703" s="36" t="s">
        <v>1015</v>
      </c>
      <c r="Q2703" s="36" t="s">
        <v>1016</v>
      </c>
      <c r="R2703" s="36"/>
      <c r="S2703" s="36"/>
      <c r="T2703" s="36"/>
      <c r="U2703" s="36"/>
      <c r="V2703" s="58"/>
      <c r="W2703" s="36"/>
      <c r="X2703" s="36"/>
      <c r="Y2703" s="36"/>
      <c r="Z2703" s="36"/>
      <c r="AA2703" s="40"/>
      <c r="AB2703" s="60"/>
      <c r="AC2703" s="98"/>
      <c r="AD2703" s="36"/>
      <c r="AE2703" s="36"/>
      <c r="AF2703" s="36"/>
      <c r="AG2703" s="99"/>
    </row>
    <row r="2704" spans="1:33" ht="13" hidden="1" outlineLevel="1" x14ac:dyDescent="0.3">
      <c r="A2704" t="s">
        <v>1017</v>
      </c>
      <c r="C2704" s="31"/>
      <c r="D2704" s="36" t="s">
        <v>1019</v>
      </c>
      <c r="E2704" s="36" t="s">
        <v>1020</v>
      </c>
      <c r="F2704" s="22" t="s">
        <v>1021</v>
      </c>
      <c r="G2704" s="22" t="s">
        <v>1022</v>
      </c>
      <c r="H2704" s="22" t="s">
        <v>1023</v>
      </c>
      <c r="I2704" s="22" t="s">
        <v>1024</v>
      </c>
      <c r="J2704" s="22" t="s">
        <v>1025</v>
      </c>
      <c r="K2704" s="22" t="s">
        <v>1026</v>
      </c>
      <c r="L2704" s="22"/>
      <c r="M2704" s="36"/>
      <c r="N2704" s="36"/>
      <c r="O2704" s="36" t="s">
        <v>1027</v>
      </c>
      <c r="P2704" s="36" t="s">
        <v>1028</v>
      </c>
      <c r="Q2704" s="36" t="s">
        <v>1028</v>
      </c>
      <c r="R2704" s="36" t="s">
        <v>1028</v>
      </c>
      <c r="S2704" s="36" t="s">
        <v>1029</v>
      </c>
      <c r="T2704" s="36"/>
      <c r="U2704" s="36"/>
      <c r="V2704" s="58"/>
      <c r="W2704" s="36" t="s">
        <v>1030</v>
      </c>
      <c r="X2704" s="36" t="s">
        <v>1031</v>
      </c>
      <c r="Y2704" s="36"/>
      <c r="Z2704" s="36"/>
      <c r="AA2704" s="40"/>
      <c r="AB2704" s="60"/>
      <c r="AC2704" s="98"/>
      <c r="AD2704" s="36"/>
      <c r="AE2704" s="36"/>
      <c r="AF2704" s="36"/>
      <c r="AG2704" s="99"/>
    </row>
    <row r="2705" spans="1:33" ht="13" hidden="1" outlineLevel="1" x14ac:dyDescent="0.3">
      <c r="A2705" t="s">
        <v>1041</v>
      </c>
      <c r="C2705" s="31" t="s">
        <v>130</v>
      </c>
      <c r="D2705" s="33">
        <v>0</v>
      </c>
      <c r="E2705" s="33">
        <v>0</v>
      </c>
      <c r="F2705" s="23">
        <v>0</v>
      </c>
      <c r="G2705" s="23">
        <v>0</v>
      </c>
      <c r="H2705" s="23">
        <v>0</v>
      </c>
      <c r="I2705" s="23">
        <v>0</v>
      </c>
      <c r="J2705" s="23">
        <v>0</v>
      </c>
      <c r="K2705" s="23">
        <v>0</v>
      </c>
      <c r="L2705" s="23">
        <f>SUM(F2705:K2705)</f>
        <v>0</v>
      </c>
      <c r="M2705" s="33">
        <f>O2705-E2705</f>
        <v>0</v>
      </c>
      <c r="N2705" s="33">
        <f>O2705-D2705</f>
        <v>0</v>
      </c>
      <c r="O2705" s="33">
        <v>0</v>
      </c>
      <c r="P2705" s="33">
        <v>0</v>
      </c>
      <c r="Q2705" s="33">
        <v>0</v>
      </c>
      <c r="R2705" s="33">
        <v>0</v>
      </c>
      <c r="S2705" s="33">
        <v>0</v>
      </c>
      <c r="T2705" s="33">
        <f>R2705-S2705</f>
        <v>0</v>
      </c>
      <c r="U2705" s="38" t="str">
        <f>IFERROR((R2705/O2705)*100%,"∞")</f>
        <v>∞</v>
      </c>
      <c r="V2705" s="59">
        <f>O2705+W2705</f>
        <v>0</v>
      </c>
      <c r="W2705" s="33">
        <v>0</v>
      </c>
      <c r="X2705" s="33">
        <v>0</v>
      </c>
      <c r="Y2705" s="33"/>
      <c r="Z2705" s="33"/>
      <c r="AA2705" s="42"/>
      <c r="AB2705" s="60"/>
      <c r="AC2705" s="105"/>
      <c r="AD2705" s="93"/>
      <c r="AE2705" s="33">
        <f>SUM(AC2705:AD2705)</f>
        <v>0</v>
      </c>
      <c r="AF2705" s="33">
        <f>R2705+AE2705</f>
        <v>0</v>
      </c>
      <c r="AG2705" s="101">
        <f>AF2705-O2705</f>
        <v>0</v>
      </c>
    </row>
    <row r="2706" spans="1:33" hidden="1" outlineLevel="1" x14ac:dyDescent="0.25">
      <c r="A2706" t="s">
        <v>232</v>
      </c>
    </row>
    <row r="2707" spans="1:33" hidden="1" outlineLevel="1" x14ac:dyDescent="0.25">
      <c r="A2707" t="s">
        <v>944</v>
      </c>
      <c r="M2707" s="19"/>
      <c r="N2707" s="19"/>
    </row>
    <row r="2708" spans="1:33" hidden="1" outlineLevel="1" x14ac:dyDescent="0.25">
      <c r="A2708" t="s">
        <v>946</v>
      </c>
      <c r="E2708" s="19"/>
    </row>
    <row r="2709" spans="1:33" hidden="1" outlineLevel="1" x14ac:dyDescent="0.25">
      <c r="A2709" t="s">
        <v>947</v>
      </c>
      <c r="E2709" s="19"/>
      <c r="F2709" s="19"/>
    </row>
    <row r="2710" spans="1:33" ht="13" hidden="1" outlineLevel="1" x14ac:dyDescent="0.3">
      <c r="A2710" s="20" t="s">
        <v>948</v>
      </c>
    </row>
    <row r="2711" spans="1:33" hidden="1" outlineLevel="1" x14ac:dyDescent="0.25">
      <c r="A2711" s="7" t="s">
        <v>949</v>
      </c>
    </row>
    <row r="2712" spans="1:33" hidden="1" outlineLevel="1" x14ac:dyDescent="0.25">
      <c r="A2712" t="s">
        <v>950</v>
      </c>
    </row>
    <row r="2713" spans="1:33" hidden="1" outlineLevel="1" x14ac:dyDescent="0.25">
      <c r="A2713" t="s">
        <v>951</v>
      </c>
    </row>
    <row r="2714" spans="1:33" ht="13" hidden="1" outlineLevel="1" x14ac:dyDescent="0.3">
      <c r="A2714" s="21" t="str">
        <f>CONCATENATE("sql where a.client = '",$D$172,"' and a.period between '",LEFT($D$170,4),"00' and '",LEFT($D$171,4),"14' and a.version like '%ORIG%'")</f>
        <v>sql where a.client = 'OX' and a.period between '202500' and '202514' and a.version like '%ORIG%'</v>
      </c>
    </row>
    <row r="2715" spans="1:33" hidden="1" outlineLevel="1" x14ac:dyDescent="0.25">
      <c r="A2715" t="s">
        <v>952</v>
      </c>
    </row>
    <row r="2716" spans="1:33" hidden="1" outlineLevel="1" x14ac:dyDescent="0.25">
      <c r="A2716" t="s">
        <v>953</v>
      </c>
    </row>
    <row r="2717" spans="1:33" hidden="1" outlineLevel="1" x14ac:dyDescent="0.25">
      <c r="A2717" t="s">
        <v>954</v>
      </c>
    </row>
    <row r="2718" spans="1:33" ht="13" hidden="1" outlineLevel="1" x14ac:dyDescent="0.3">
      <c r="A2718" s="20" t="s">
        <v>955</v>
      </c>
    </row>
    <row r="2719" spans="1:33" hidden="1" outlineLevel="1" x14ac:dyDescent="0.25">
      <c r="A2719" s="7" t="s">
        <v>956</v>
      </c>
    </row>
    <row r="2720" spans="1:33" hidden="1" outlineLevel="1" x14ac:dyDescent="0.25">
      <c r="A2720" t="s">
        <v>950</v>
      </c>
    </row>
    <row r="2721" spans="1:3" hidden="1" outlineLevel="1" x14ac:dyDescent="0.25">
      <c r="A2721" t="s">
        <v>951</v>
      </c>
    </row>
    <row r="2722" spans="1:3" ht="14.5" hidden="1" outlineLevel="1" x14ac:dyDescent="0.35">
      <c r="A2722"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722" s="2"/>
    </row>
    <row r="2723" spans="1:3" hidden="1" outlineLevel="1" x14ac:dyDescent="0.25">
      <c r="A2723" t="s">
        <v>952</v>
      </c>
    </row>
    <row r="2724" spans="1:3" hidden="1" outlineLevel="1" x14ac:dyDescent="0.25">
      <c r="A2724" t="s">
        <v>953</v>
      </c>
    </row>
    <row r="2725" spans="1:3" hidden="1" outlineLevel="1" x14ac:dyDescent="0.25">
      <c r="A2725" t="s">
        <v>954</v>
      </c>
    </row>
    <row r="2726" spans="1:3" ht="13" hidden="1" outlineLevel="1" x14ac:dyDescent="0.3">
      <c r="A2726" s="66" t="s">
        <v>957</v>
      </c>
    </row>
    <row r="2727" spans="1:3" hidden="1" outlineLevel="1" x14ac:dyDescent="0.25">
      <c r="A2727" t="s">
        <v>958</v>
      </c>
    </row>
    <row r="2728" spans="1:3" hidden="1" outlineLevel="1" x14ac:dyDescent="0.25">
      <c r="A2728" t="s">
        <v>950</v>
      </c>
    </row>
    <row r="2729" spans="1:3" ht="13" hidden="1" outlineLevel="1" x14ac:dyDescent="0.3">
      <c r="A2729"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730" spans="1:3" ht="13" hidden="1" outlineLevel="1" x14ac:dyDescent="0.3">
      <c r="A2730" s="21" t="s">
        <v>959</v>
      </c>
    </row>
    <row r="2731" spans="1:3" hidden="1" outlineLevel="1" x14ac:dyDescent="0.25">
      <c r="A2731" t="s">
        <v>960</v>
      </c>
    </row>
    <row r="2732" spans="1:3" hidden="1" outlineLevel="1" x14ac:dyDescent="0.25">
      <c r="A2732" t="s">
        <v>961</v>
      </c>
    </row>
    <row r="2733" spans="1:3" hidden="1" outlineLevel="1" x14ac:dyDescent="0.25">
      <c r="A2733" t="str">
        <f>CONCATENATE("sql left outer join acrtrees t on t.client = x.client and x.dim_1 = t.cat_1 and t.att_agrid = '",$F$159,"'")</f>
        <v>sql left outer join acrtrees t on t.client = x.client and x.dim_1 = t.cat_1 and t.att_agrid = '53'</v>
      </c>
    </row>
    <row r="2734" spans="1:3" ht="13" hidden="1" outlineLevel="1" x14ac:dyDescent="0.3">
      <c r="A2734"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735" spans="1:3" ht="13" hidden="1" outlineLevel="1" x14ac:dyDescent="0.3">
      <c r="A2735" s="21" t="s">
        <v>962</v>
      </c>
    </row>
    <row r="2736" spans="1:3" ht="13" hidden="1" outlineLevel="1" x14ac:dyDescent="0.3">
      <c r="A2736"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737" spans="1:1" ht="13" hidden="1" outlineLevel="1" x14ac:dyDescent="0.3">
      <c r="A2737" s="21" t="s">
        <v>963</v>
      </c>
    </row>
    <row r="2738" spans="1:1" hidden="1" outlineLevel="1" x14ac:dyDescent="0.25">
      <c r="A2738" t="s">
        <v>964</v>
      </c>
    </row>
    <row r="2739" spans="1:1" hidden="1" outlineLevel="1" x14ac:dyDescent="0.25">
      <c r="A2739" t="s">
        <v>965</v>
      </c>
    </row>
    <row r="2740" spans="1:1" hidden="1" outlineLevel="1" x14ac:dyDescent="0.25">
      <c r="A2740" t="s">
        <v>966</v>
      </c>
    </row>
    <row r="2741" spans="1:1" hidden="1" outlineLevel="1" x14ac:dyDescent="0.25">
      <c r="A2741" t="s">
        <v>953</v>
      </c>
    </row>
    <row r="2742" spans="1:1" hidden="1" outlineLevel="1" x14ac:dyDescent="0.25">
      <c r="A2742" t="s">
        <v>954</v>
      </c>
    </row>
    <row r="2743" spans="1:1" ht="13" hidden="1" outlineLevel="1" x14ac:dyDescent="0.3">
      <c r="A2743" s="66" t="s">
        <v>967</v>
      </c>
    </row>
    <row r="2744" spans="1:1" hidden="1" outlineLevel="1" x14ac:dyDescent="0.25">
      <c r="A2744" t="s">
        <v>968</v>
      </c>
    </row>
    <row r="2745" spans="1:1" hidden="1" outlineLevel="1" x14ac:dyDescent="0.25">
      <c r="A2745" t="s">
        <v>950</v>
      </c>
    </row>
    <row r="2746" spans="1:1" ht="13" hidden="1" outlineLevel="1" x14ac:dyDescent="0.3">
      <c r="A2746"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747" spans="1:1" ht="13" hidden="1" outlineLevel="1" x14ac:dyDescent="0.3">
      <c r="A2747" s="21" t="s">
        <v>969</v>
      </c>
    </row>
    <row r="2748" spans="1:1" ht="13" hidden="1" outlineLevel="1" x14ac:dyDescent="0.3">
      <c r="A2748" s="21" t="s">
        <v>959</v>
      </c>
    </row>
    <row r="2749" spans="1:1" hidden="1" outlineLevel="1" x14ac:dyDescent="0.25">
      <c r="A2749" t="s">
        <v>960</v>
      </c>
    </row>
    <row r="2750" spans="1:1" hidden="1" outlineLevel="1" x14ac:dyDescent="0.25">
      <c r="A2750" t="s">
        <v>961</v>
      </c>
    </row>
    <row r="2751" spans="1:1" hidden="1" outlineLevel="1" x14ac:dyDescent="0.25">
      <c r="A2751" t="str">
        <f>CONCATENATE("sql left outer join acrtrees t on t.client = x.client and x.dim_1 = t.cat_1 and t.att_agrid = '",$F$159,"'")</f>
        <v>sql left outer join acrtrees t on t.client = x.client and x.dim_1 = t.cat_1 and t.att_agrid = '53'</v>
      </c>
    </row>
    <row r="2752" spans="1:1" ht="13" hidden="1" outlineLevel="1" x14ac:dyDescent="0.3">
      <c r="A2752"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753" spans="1:1" ht="13" hidden="1" outlineLevel="1" x14ac:dyDescent="0.3">
      <c r="A2753" s="21" t="s">
        <v>970</v>
      </c>
    </row>
    <row r="2754" spans="1:1" ht="13" hidden="1" outlineLevel="1" x14ac:dyDescent="0.3">
      <c r="A2754" s="21" t="s">
        <v>962</v>
      </c>
    </row>
    <row r="2755" spans="1:1" ht="13" hidden="1" outlineLevel="1" x14ac:dyDescent="0.3">
      <c r="A2755"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756" spans="1:1" ht="13" hidden="1" outlineLevel="1" x14ac:dyDescent="0.3">
      <c r="A2756" s="21" t="s">
        <v>970</v>
      </c>
    </row>
    <row r="2757" spans="1:1" ht="13" hidden="1" outlineLevel="1" x14ac:dyDescent="0.3">
      <c r="A2757" s="21" t="s">
        <v>963</v>
      </c>
    </row>
    <row r="2758" spans="1:1" hidden="1" outlineLevel="1" x14ac:dyDescent="0.25">
      <c r="A2758" t="s">
        <v>964</v>
      </c>
    </row>
    <row r="2759" spans="1:1" hidden="1" outlineLevel="1" x14ac:dyDescent="0.25">
      <c r="A2759" t="s">
        <v>965</v>
      </c>
    </row>
    <row r="2760" spans="1:1" hidden="1" outlineLevel="1" x14ac:dyDescent="0.25">
      <c r="A2760" t="s">
        <v>966</v>
      </c>
    </row>
    <row r="2761" spans="1:1" hidden="1" outlineLevel="1" x14ac:dyDescent="0.25">
      <c r="A2761" t="s">
        <v>953</v>
      </c>
    </row>
    <row r="2762" spans="1:1" hidden="1" outlineLevel="1" x14ac:dyDescent="0.25">
      <c r="A2762" t="s">
        <v>954</v>
      </c>
    </row>
    <row r="2763" spans="1:1" ht="13" hidden="1" outlineLevel="1" x14ac:dyDescent="0.3">
      <c r="A2763" s="66" t="s">
        <v>971</v>
      </c>
    </row>
    <row r="2764" spans="1:1" hidden="1" outlineLevel="1" x14ac:dyDescent="0.25">
      <c r="A2764" t="s">
        <v>972</v>
      </c>
    </row>
    <row r="2765" spans="1:1" hidden="1" outlineLevel="1" x14ac:dyDescent="0.25">
      <c r="A2765" t="s">
        <v>950</v>
      </c>
    </row>
    <row r="2766" spans="1:1" ht="13" hidden="1" outlineLevel="1" x14ac:dyDescent="0.3">
      <c r="A276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767" spans="1:1" ht="13" hidden="1" outlineLevel="1" x14ac:dyDescent="0.3">
      <c r="A2767" s="21" t="s">
        <v>959</v>
      </c>
    </row>
    <row r="2768" spans="1:1" hidden="1" outlineLevel="1" x14ac:dyDescent="0.25">
      <c r="A2768" t="s">
        <v>960</v>
      </c>
    </row>
    <row r="2769" spans="1:1" hidden="1" outlineLevel="1" x14ac:dyDescent="0.25">
      <c r="A2769" t="s">
        <v>961</v>
      </c>
    </row>
    <row r="2770" spans="1:1" hidden="1" outlineLevel="1" x14ac:dyDescent="0.25">
      <c r="A2770" t="str">
        <f>CONCATENATE("sql left outer join acrtrees t on t.client = x.client and x.dim_1 = t.cat_1 and t.att_agrid = '",$F$159,"'")</f>
        <v>sql left outer join acrtrees t on t.client = x.client and x.dim_1 = t.cat_1 and t.att_agrid = '53'</v>
      </c>
    </row>
    <row r="2771" spans="1:1" ht="13" hidden="1" outlineLevel="1" x14ac:dyDescent="0.3">
      <c r="A277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772" spans="1:1" ht="13" hidden="1" outlineLevel="1" x14ac:dyDescent="0.3">
      <c r="A2772" s="21" t="s">
        <v>973</v>
      </c>
    </row>
    <row r="2773" spans="1:1" hidden="1" outlineLevel="1" x14ac:dyDescent="0.25">
      <c r="A2773" t="s">
        <v>964</v>
      </c>
    </row>
    <row r="2774" spans="1:1" hidden="1" outlineLevel="1" x14ac:dyDescent="0.25">
      <c r="A2774" t="s">
        <v>965</v>
      </c>
    </row>
    <row r="2775" spans="1:1" hidden="1" outlineLevel="1" x14ac:dyDescent="0.25">
      <c r="A2775" t="s">
        <v>966</v>
      </c>
    </row>
    <row r="2776" spans="1:1" hidden="1" outlineLevel="1" x14ac:dyDescent="0.25">
      <c r="A2776" t="s">
        <v>953</v>
      </c>
    </row>
    <row r="2777" spans="1:1" hidden="1" outlineLevel="1" x14ac:dyDescent="0.25">
      <c r="A2777" t="s">
        <v>954</v>
      </c>
    </row>
    <row r="2778" spans="1:1" ht="13" hidden="1" outlineLevel="1" x14ac:dyDescent="0.3">
      <c r="A2778" s="66" t="s">
        <v>974</v>
      </c>
    </row>
    <row r="2779" spans="1:1" hidden="1" outlineLevel="1" x14ac:dyDescent="0.25">
      <c r="A2779" t="s">
        <v>975</v>
      </c>
    </row>
    <row r="2780" spans="1:1" hidden="1" outlineLevel="1" x14ac:dyDescent="0.25">
      <c r="A2780" t="s">
        <v>950</v>
      </c>
    </row>
    <row r="2781" spans="1:1" ht="13" hidden="1" outlineLevel="1" x14ac:dyDescent="0.3">
      <c r="A278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782" spans="1:1" ht="13" hidden="1" outlineLevel="1" x14ac:dyDescent="0.3">
      <c r="A2782" s="21" t="s">
        <v>959</v>
      </c>
    </row>
    <row r="2783" spans="1:1" hidden="1" outlineLevel="1" x14ac:dyDescent="0.25">
      <c r="A2783" t="s">
        <v>960</v>
      </c>
    </row>
    <row r="2784" spans="1:1" hidden="1" outlineLevel="1" x14ac:dyDescent="0.25">
      <c r="A2784" t="s">
        <v>961</v>
      </c>
    </row>
    <row r="2785" spans="1:1" hidden="1" outlineLevel="1" x14ac:dyDescent="0.25">
      <c r="A2785" t="str">
        <f>CONCATENATE("sql left outer join acrtrees t on t.client = x.client and x.dim_1 = t.cat_1 and t.att_agrid = '",$F$159,"'")</f>
        <v>sql left outer join acrtrees t on t.client = x.client and x.dim_1 = t.cat_1 and t.att_agrid = '53'</v>
      </c>
    </row>
    <row r="2786" spans="1:1" ht="13" hidden="1" outlineLevel="1" x14ac:dyDescent="0.3">
      <c r="A278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787" spans="1:1" ht="13" hidden="1" outlineLevel="1" x14ac:dyDescent="0.3">
      <c r="A2787" s="21" t="s">
        <v>973</v>
      </c>
    </row>
    <row r="2788" spans="1:1" hidden="1" outlineLevel="1" x14ac:dyDescent="0.25">
      <c r="A2788" t="s">
        <v>964</v>
      </c>
    </row>
    <row r="2789" spans="1:1" hidden="1" outlineLevel="1" x14ac:dyDescent="0.25">
      <c r="A2789" t="s">
        <v>965</v>
      </c>
    </row>
    <row r="2790" spans="1:1" hidden="1" outlineLevel="1" x14ac:dyDescent="0.25">
      <c r="A2790" t="s">
        <v>966</v>
      </c>
    </row>
    <row r="2791" spans="1:1" hidden="1" outlineLevel="1" x14ac:dyDescent="0.25">
      <c r="A2791" t="s">
        <v>953</v>
      </c>
    </row>
    <row r="2792" spans="1:1" hidden="1" outlineLevel="1" x14ac:dyDescent="0.25">
      <c r="A2792" t="s">
        <v>954</v>
      </c>
    </row>
    <row r="2793" spans="1:1" ht="13" hidden="1" outlineLevel="1" x14ac:dyDescent="0.3">
      <c r="A2793" s="66" t="s">
        <v>976</v>
      </c>
    </row>
    <row r="2794" spans="1:1" hidden="1" outlineLevel="1" x14ac:dyDescent="0.25">
      <c r="A2794" t="s">
        <v>977</v>
      </c>
    </row>
    <row r="2795" spans="1:1" hidden="1" outlineLevel="1" x14ac:dyDescent="0.25">
      <c r="A2795" t="s">
        <v>950</v>
      </c>
    </row>
    <row r="2796" spans="1:1" ht="13" hidden="1" outlineLevel="1" x14ac:dyDescent="0.3">
      <c r="A279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797" spans="1:1" ht="13" hidden="1" outlineLevel="1" x14ac:dyDescent="0.3">
      <c r="A2797" s="21" t="s">
        <v>959</v>
      </c>
    </row>
    <row r="2798" spans="1:1" hidden="1" outlineLevel="1" x14ac:dyDescent="0.25">
      <c r="A2798" t="s">
        <v>960</v>
      </c>
    </row>
    <row r="2799" spans="1:1" hidden="1" outlineLevel="1" x14ac:dyDescent="0.25">
      <c r="A2799" t="s">
        <v>961</v>
      </c>
    </row>
    <row r="2800" spans="1:1" hidden="1" outlineLevel="1" x14ac:dyDescent="0.25">
      <c r="A2800" t="str">
        <f>CONCATENATE("sql left outer join acrtrees t on t.client = x.client and x.dim_1 = t.cat_1 and t.att_agrid = '",$F$159,"'")</f>
        <v>sql left outer join acrtrees t on t.client = x.client and x.dim_1 = t.cat_1 and t.att_agrid = '53'</v>
      </c>
    </row>
    <row r="2801" spans="1:1" ht="13" hidden="1" outlineLevel="1" x14ac:dyDescent="0.3">
      <c r="A280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802" spans="1:1" ht="13" hidden="1" outlineLevel="1" x14ac:dyDescent="0.3">
      <c r="A2802" s="21" t="s">
        <v>978</v>
      </c>
    </row>
    <row r="2803" spans="1:1" hidden="1" outlineLevel="1" x14ac:dyDescent="0.25">
      <c r="A2803" t="s">
        <v>979</v>
      </c>
    </row>
    <row r="2804" spans="1:1" hidden="1" outlineLevel="1" x14ac:dyDescent="0.25">
      <c r="A2804" t="s">
        <v>980</v>
      </c>
    </row>
    <row r="2805" spans="1:1" hidden="1" outlineLevel="1" x14ac:dyDescent="0.25">
      <c r="A2805" t="s">
        <v>966</v>
      </c>
    </row>
    <row r="2806" spans="1:1" hidden="1" outlineLevel="1" x14ac:dyDescent="0.25">
      <c r="A2806" t="s">
        <v>953</v>
      </c>
    </row>
    <row r="2807" spans="1:1" hidden="1" outlineLevel="1" x14ac:dyDescent="0.25">
      <c r="A2807" t="s">
        <v>954</v>
      </c>
    </row>
    <row r="2808" spans="1:1" ht="13" hidden="1" outlineLevel="1" x14ac:dyDescent="0.3">
      <c r="A2808" s="66" t="s">
        <v>981</v>
      </c>
    </row>
    <row r="2809" spans="1:1" hidden="1" outlineLevel="1" x14ac:dyDescent="0.25">
      <c r="A2809" t="s">
        <v>982</v>
      </c>
    </row>
    <row r="2810" spans="1:1" hidden="1" outlineLevel="1" x14ac:dyDescent="0.25">
      <c r="A2810" t="s">
        <v>950</v>
      </c>
    </row>
    <row r="2811" spans="1:1" ht="13" hidden="1" outlineLevel="1" x14ac:dyDescent="0.3">
      <c r="A2811"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812" spans="1:1" ht="13" hidden="1" outlineLevel="1" x14ac:dyDescent="0.3">
      <c r="A2812" s="21" t="s">
        <v>969</v>
      </c>
    </row>
    <row r="2813" spans="1:1" ht="13" hidden="1" outlineLevel="1" x14ac:dyDescent="0.3">
      <c r="A2813" s="21" t="s">
        <v>959</v>
      </c>
    </row>
    <row r="2814" spans="1:1" hidden="1" outlineLevel="1" x14ac:dyDescent="0.25">
      <c r="A2814" t="s">
        <v>960</v>
      </c>
    </row>
    <row r="2815" spans="1:1" hidden="1" outlineLevel="1" x14ac:dyDescent="0.25">
      <c r="A2815" t="s">
        <v>961</v>
      </c>
    </row>
    <row r="2816" spans="1:1" hidden="1" outlineLevel="1" x14ac:dyDescent="0.25">
      <c r="A2816" t="str">
        <f>CONCATENATE("sql left outer join acrtrees t on t.client = x.client and x.dim_1 = t.cat_1 and t.att_agrid = '",$F$159,"'")</f>
        <v>sql left outer join acrtrees t on t.client = x.client and x.dim_1 = t.cat_1 and t.att_agrid = '53'</v>
      </c>
    </row>
    <row r="2817" spans="1:3" ht="13" hidden="1" outlineLevel="1" x14ac:dyDescent="0.3">
      <c r="A2817"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818" spans="1:3" ht="13" hidden="1" outlineLevel="1" x14ac:dyDescent="0.3">
      <c r="A2818" s="21" t="s">
        <v>970</v>
      </c>
    </row>
    <row r="2819" spans="1:3" ht="13" hidden="1" outlineLevel="1" x14ac:dyDescent="0.3">
      <c r="A2819" s="21" t="s">
        <v>978</v>
      </c>
    </row>
    <row r="2820" spans="1:3" hidden="1" outlineLevel="1" x14ac:dyDescent="0.25">
      <c r="A2820" t="s">
        <v>979</v>
      </c>
    </row>
    <row r="2821" spans="1:3" hidden="1" outlineLevel="1" x14ac:dyDescent="0.25">
      <c r="A2821" t="s">
        <v>980</v>
      </c>
    </row>
    <row r="2822" spans="1:3" hidden="1" outlineLevel="1" x14ac:dyDescent="0.25">
      <c r="A2822" t="s">
        <v>966</v>
      </c>
    </row>
    <row r="2823" spans="1:3" hidden="1" outlineLevel="1" x14ac:dyDescent="0.25">
      <c r="A2823" t="s">
        <v>953</v>
      </c>
    </row>
    <row r="2824" spans="1:3" hidden="1" outlineLevel="1" x14ac:dyDescent="0.25">
      <c r="A2824" t="s">
        <v>954</v>
      </c>
    </row>
    <row r="2825" spans="1:3" ht="13" hidden="1" outlineLevel="1" x14ac:dyDescent="0.3">
      <c r="A2825" s="20" t="s">
        <v>983</v>
      </c>
    </row>
    <row r="2826" spans="1:3" hidden="1" outlineLevel="1" x14ac:dyDescent="0.25">
      <c r="A2826" s="7" t="s">
        <v>984</v>
      </c>
    </row>
    <row r="2827" spans="1:3" hidden="1" outlineLevel="1" x14ac:dyDescent="0.25">
      <c r="A2827" t="s">
        <v>950</v>
      </c>
    </row>
    <row r="2828" spans="1:3" hidden="1" outlineLevel="1" x14ac:dyDescent="0.25">
      <c r="A2828" t="s">
        <v>951</v>
      </c>
    </row>
    <row r="2829" spans="1:3" ht="14.5" hidden="1" outlineLevel="1" x14ac:dyDescent="0.35">
      <c r="A2829"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2829" s="2"/>
    </row>
    <row r="2830" spans="1:3" hidden="1" outlineLevel="1" x14ac:dyDescent="0.25">
      <c r="A2830" t="s">
        <v>952</v>
      </c>
    </row>
    <row r="2831" spans="1:3" hidden="1" outlineLevel="1" x14ac:dyDescent="0.25">
      <c r="A2831" t="s">
        <v>953</v>
      </c>
    </row>
    <row r="2832" spans="1:3" hidden="1" outlineLevel="1" x14ac:dyDescent="0.25">
      <c r="A2832" t="s">
        <v>954</v>
      </c>
    </row>
    <row r="2833" spans="1:1" ht="13" hidden="1" outlineLevel="1" x14ac:dyDescent="0.3">
      <c r="A2833" s="20" t="s">
        <v>985</v>
      </c>
    </row>
    <row r="2834" spans="1:1" hidden="1" outlineLevel="1" x14ac:dyDescent="0.25">
      <c r="A2834" s="7" t="s">
        <v>986</v>
      </c>
    </row>
    <row r="2835" spans="1:1" hidden="1" outlineLevel="1" x14ac:dyDescent="0.25">
      <c r="A2835" t="s">
        <v>987</v>
      </c>
    </row>
    <row r="2836" spans="1:1" ht="13" hidden="1" outlineLevel="1" x14ac:dyDescent="0.3">
      <c r="A2836" s="21" t="str">
        <f>CONCATENATE("sql where a.client = '",$D$172,"' and a.period between '",LEFT($D$170,4),"00' and '",IF(RIGHT($D$171,2)="12",CONCATENATE(LEFT($D$171,4),"14"),$D$171),"'")</f>
        <v>sql where a.client = 'OX' and a.period between '202500' and '202506'</v>
      </c>
    </row>
    <row r="2837" spans="1:1" hidden="1" outlineLevel="1" x14ac:dyDescent="0.25">
      <c r="A2837" t="s">
        <v>952</v>
      </c>
    </row>
    <row r="2838" spans="1:1" hidden="1" outlineLevel="1" x14ac:dyDescent="0.25">
      <c r="A2838" t="s">
        <v>953</v>
      </c>
    </row>
    <row r="2839" spans="1:1" hidden="1" outlineLevel="1" x14ac:dyDescent="0.25">
      <c r="A2839" t="s">
        <v>954</v>
      </c>
    </row>
    <row r="2840" spans="1:1" ht="13" hidden="1" outlineLevel="1" x14ac:dyDescent="0.3">
      <c r="A2840" s="20" t="s">
        <v>988</v>
      </c>
    </row>
    <row r="2841" spans="1:1" hidden="1" outlineLevel="1" x14ac:dyDescent="0.25">
      <c r="A2841" s="7" t="s">
        <v>989</v>
      </c>
    </row>
    <row r="2842" spans="1:1" hidden="1" outlineLevel="1" x14ac:dyDescent="0.25">
      <c r="A2842" t="s">
        <v>950</v>
      </c>
    </row>
    <row r="2843" spans="1:1" hidden="1" outlineLevel="1" x14ac:dyDescent="0.25">
      <c r="A2843" t="s">
        <v>951</v>
      </c>
    </row>
    <row r="2844" spans="1:1" ht="13" hidden="1" outlineLevel="1" x14ac:dyDescent="0.3">
      <c r="A2844"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2845" spans="1:1" hidden="1" outlineLevel="1" x14ac:dyDescent="0.25">
      <c r="A2845" t="s">
        <v>952</v>
      </c>
    </row>
    <row r="2846" spans="1:1" hidden="1" outlineLevel="1" x14ac:dyDescent="0.25">
      <c r="A2846" t="s">
        <v>953</v>
      </c>
    </row>
    <row r="2847" spans="1:1" hidden="1" outlineLevel="1" x14ac:dyDescent="0.25">
      <c r="A2847" t="s">
        <v>954</v>
      </c>
    </row>
    <row r="2848" spans="1:1" ht="13" hidden="1" outlineLevel="1" x14ac:dyDescent="0.3">
      <c r="A2848" s="20" t="s">
        <v>990</v>
      </c>
    </row>
    <row r="2849" spans="1:1" hidden="1" outlineLevel="1" x14ac:dyDescent="0.25">
      <c r="A2849" s="7" t="s">
        <v>991</v>
      </c>
    </row>
    <row r="2850" spans="1:1" hidden="1" outlineLevel="1" x14ac:dyDescent="0.25">
      <c r="A2850" t="s">
        <v>950</v>
      </c>
    </row>
    <row r="2851" spans="1:1" hidden="1" outlineLevel="1" x14ac:dyDescent="0.25">
      <c r="A2851" t="s">
        <v>951</v>
      </c>
    </row>
    <row r="2852" spans="1:1" ht="13" hidden="1" outlineLevel="1" x14ac:dyDescent="0.3">
      <c r="A285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853" spans="1:1" hidden="1" outlineLevel="1" x14ac:dyDescent="0.25">
      <c r="A2853" t="s">
        <v>952</v>
      </c>
    </row>
    <row r="2854" spans="1:1" hidden="1" outlineLevel="1" x14ac:dyDescent="0.25">
      <c r="A2854" t="s">
        <v>953</v>
      </c>
    </row>
    <row r="2855" spans="1:1" hidden="1" outlineLevel="1" x14ac:dyDescent="0.25">
      <c r="A2855" t="s">
        <v>954</v>
      </c>
    </row>
    <row r="2856" spans="1:1" ht="13" hidden="1" outlineLevel="1" x14ac:dyDescent="0.3">
      <c r="A2856" s="20" t="s">
        <v>992</v>
      </c>
    </row>
    <row r="2857" spans="1:1" hidden="1" outlineLevel="1" x14ac:dyDescent="0.25">
      <c r="A2857" s="7" t="s">
        <v>993</v>
      </c>
    </row>
    <row r="2858" spans="1:1" hidden="1" outlineLevel="1" x14ac:dyDescent="0.25">
      <c r="A2858" t="s">
        <v>950</v>
      </c>
    </row>
    <row r="2859" spans="1:1" hidden="1" outlineLevel="1" x14ac:dyDescent="0.25">
      <c r="A2859" t="s">
        <v>951</v>
      </c>
    </row>
    <row r="2860" spans="1:1" ht="13" hidden="1" outlineLevel="1" x14ac:dyDescent="0.3">
      <c r="A286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2861" spans="1:1" hidden="1" outlineLevel="1" x14ac:dyDescent="0.25">
      <c r="A2861" t="s">
        <v>952</v>
      </c>
    </row>
    <row r="2862" spans="1:1" hidden="1" outlineLevel="1" x14ac:dyDescent="0.25">
      <c r="A2862" t="s">
        <v>953</v>
      </c>
    </row>
    <row r="2863" spans="1:1" hidden="1" outlineLevel="1" x14ac:dyDescent="0.25">
      <c r="A2863" t="s">
        <v>994</v>
      </c>
    </row>
    <row r="2864" spans="1:1" hidden="1" outlineLevel="1" x14ac:dyDescent="0.25">
      <c r="A2864" t="str">
        <f>CONCATENATE("sql left outer join acrtrees t on t.client = u.client and u.dim_1 = t.cat_1 and t.att_agrid = '",$F$159,"'")</f>
        <v>sql left outer join acrtrees t on t.client = u.client and u.dim_1 = t.cat_1 and t.att_agrid = '53'</v>
      </c>
    </row>
    <row r="2865" spans="1:33" hidden="1" outlineLevel="1" x14ac:dyDescent="0.25">
      <c r="A2865" t="str">
        <f>CONCATENATE("sql left outer join acrtrees s on s.client = u.client and u.account = s.cat_1 and s.att_agrid = '",$F$160,"'")</f>
        <v>sql left outer join acrtrees s on s.client = u.client and u.account = s.cat_1 and s.att_agrid = '14'</v>
      </c>
    </row>
    <row r="2866" spans="1:33" hidden="1" outlineLevel="1" x14ac:dyDescent="0.25">
      <c r="A2866" t="str">
        <f>CONCATENATE("sql left outer join acrtrees v on v.client = u.client and u.account = v.cat_1 and v.att_agrid = '",$F$161,"'")</f>
        <v>sql left outer join acrtrees v on v.client = u.client and u.account = v.cat_1 and v.att_agrid = '17'</v>
      </c>
    </row>
    <row r="2867" spans="1:33" hidden="1" outlineLevel="1" x14ac:dyDescent="0.25">
      <c r="A2867" t="str">
        <f>CONCATENATE("sql left outer join agldescription d on d.client = u.client and d.dim_value = t.dim_c and d.attribute_id = '",$F$162,"'")</f>
        <v>sql left outer join agldescription d on d.client = u.client and d.dim_value = t.dim_c and d.attribute_id = '82'</v>
      </c>
    </row>
    <row r="2868" spans="1:33" hidden="1" outlineLevel="1" x14ac:dyDescent="0.25">
      <c r="A2868" t="str">
        <f>CONCATENATE("sql left outer join agldescription e on e.client = u.client and e.dim_value = t.dim_b and e.attribute_id = '",$F$163,"'")</f>
        <v>sql left outer join agldescription e on e.client = u.client and e.dim_value = t.dim_b and e.attribute_id = '81'</v>
      </c>
    </row>
    <row r="2869" spans="1:33" hidden="1" outlineLevel="1" x14ac:dyDescent="0.25">
      <c r="A2869" t="str">
        <f>CONCATENATE("sql left outer join agldescription f on f.client = u.client and f.dim_value = t.dim_e and f.attribute_id = '",$F$164,"'")</f>
        <v>sql left outer join agldescription f on f.client = u.client and f.dim_value = t.dim_e and f.attribute_id = '80'</v>
      </c>
    </row>
    <row r="2870" spans="1:33" hidden="1" outlineLevel="1" x14ac:dyDescent="0.25">
      <c r="A2870" t="str">
        <f>CONCATENATE("sql left outer join agldescription g on g.client = u.client and g.dim_value = u.account and g.attribute_id = '",$F$165,"'")</f>
        <v>sql left outer join agldescription g on g.client = u.client and g.dim_value = u.account and g.attribute_id = 'A0'</v>
      </c>
    </row>
    <row r="2871" spans="1:33" ht="14.5" hidden="1" outlineLevel="1" x14ac:dyDescent="0.35">
      <c r="A2871" s="67" t="s">
        <v>1064</v>
      </c>
      <c r="G2871" s="737" t="s">
        <v>1065</v>
      </c>
    </row>
    <row r="2872" spans="1:33" hidden="1" outlineLevel="1" x14ac:dyDescent="0.25">
      <c r="A2872" t="s">
        <v>1005</v>
      </c>
    </row>
    <row r="2873" spans="1:33" hidden="1" outlineLevel="1" x14ac:dyDescent="0.25">
      <c r="A2873" t="s">
        <v>1006</v>
      </c>
    </row>
    <row r="2874" spans="1:33" hidden="1" outlineLevel="1" x14ac:dyDescent="0.25">
      <c r="A2874" t="s">
        <v>1007</v>
      </c>
    </row>
    <row r="2875" spans="1:33" ht="13" hidden="1" outlineLevel="1" x14ac:dyDescent="0.3">
      <c r="A2875" t="s">
        <v>1012</v>
      </c>
      <c r="C2875" s="29"/>
      <c r="D2875" s="36">
        <v>1000</v>
      </c>
      <c r="E2875" s="36">
        <v>1000</v>
      </c>
      <c r="F2875" s="22">
        <v>1000</v>
      </c>
      <c r="G2875" s="22">
        <v>1000</v>
      </c>
      <c r="H2875" s="22">
        <v>1000</v>
      </c>
      <c r="I2875" s="22">
        <v>1000</v>
      </c>
      <c r="J2875" s="22">
        <v>1000</v>
      </c>
      <c r="K2875" s="22">
        <v>1000</v>
      </c>
      <c r="L2875" s="22"/>
      <c r="M2875" s="36"/>
      <c r="N2875" s="36"/>
      <c r="O2875" s="36">
        <v>1000</v>
      </c>
      <c r="P2875" s="36">
        <v>1000</v>
      </c>
      <c r="Q2875" s="36">
        <v>1000</v>
      </c>
      <c r="R2875" s="36">
        <v>1000</v>
      </c>
      <c r="S2875" s="36">
        <v>1000</v>
      </c>
      <c r="T2875" s="36"/>
      <c r="U2875" s="36"/>
      <c r="V2875" s="58"/>
      <c r="W2875" s="36">
        <v>1000</v>
      </c>
      <c r="X2875" s="36">
        <v>1000</v>
      </c>
      <c r="Y2875" s="36"/>
      <c r="Z2875" s="36"/>
      <c r="AA2875" s="40"/>
      <c r="AB2875" s="60"/>
      <c r="AC2875" s="98"/>
      <c r="AD2875" s="36"/>
      <c r="AE2875" s="36"/>
      <c r="AF2875" s="36"/>
      <c r="AG2875" s="99"/>
    </row>
    <row r="2876" spans="1:33" ht="13" hidden="1" outlineLevel="1" x14ac:dyDescent="0.3">
      <c r="A2876" s="7" t="s">
        <v>1013</v>
      </c>
      <c r="C2876" s="29"/>
      <c r="D2876" s="36">
        <v>0</v>
      </c>
      <c r="E2876" s="36">
        <v>0</v>
      </c>
      <c r="F2876" s="22">
        <v>0</v>
      </c>
      <c r="G2876" s="22">
        <v>0</v>
      </c>
      <c r="H2876" s="22">
        <v>0</v>
      </c>
      <c r="I2876" s="22">
        <v>0</v>
      </c>
      <c r="J2876" s="22">
        <v>0</v>
      </c>
      <c r="K2876" s="22">
        <v>0</v>
      </c>
      <c r="L2876" s="22"/>
      <c r="M2876" s="36"/>
      <c r="N2876" s="36"/>
      <c r="O2876" s="36">
        <v>0</v>
      </c>
      <c r="P2876" s="36">
        <v>0</v>
      </c>
      <c r="Q2876" s="36">
        <v>0</v>
      </c>
      <c r="R2876" s="36">
        <v>0</v>
      </c>
      <c r="S2876" s="36">
        <v>0</v>
      </c>
      <c r="T2876" s="36"/>
      <c r="U2876" s="36"/>
      <c r="V2876" s="58"/>
      <c r="W2876" s="36">
        <v>0</v>
      </c>
      <c r="X2876" s="36">
        <v>0</v>
      </c>
      <c r="Y2876" s="36"/>
      <c r="Z2876" s="36"/>
      <c r="AA2876" s="40"/>
      <c r="AB2876" s="60"/>
      <c r="AC2876" s="98"/>
      <c r="AD2876" s="36"/>
      <c r="AE2876" s="36"/>
      <c r="AF2876" s="36"/>
      <c r="AG2876" s="99"/>
    </row>
    <row r="2877" spans="1:33" ht="13" hidden="1" outlineLevel="1" x14ac:dyDescent="0.3">
      <c r="A2877" t="s">
        <v>1014</v>
      </c>
      <c r="C2877" s="30"/>
      <c r="D2877" s="36"/>
      <c r="E2877" s="36"/>
      <c r="F2877" s="57"/>
      <c r="G2877" s="57"/>
      <c r="H2877" s="57"/>
      <c r="I2877" s="57"/>
      <c r="J2877" s="57"/>
      <c r="K2877" s="57"/>
      <c r="L2877" s="57"/>
      <c r="M2877" s="36"/>
      <c r="N2877" s="36"/>
      <c r="O2877" s="36"/>
      <c r="P2877" s="36" t="s">
        <v>1015</v>
      </c>
      <c r="Q2877" s="36" t="s">
        <v>1016</v>
      </c>
      <c r="R2877" s="36"/>
      <c r="S2877" s="36"/>
      <c r="T2877" s="36"/>
      <c r="U2877" s="36"/>
      <c r="V2877" s="58"/>
      <c r="W2877" s="36"/>
      <c r="X2877" s="36"/>
      <c r="Y2877" s="36"/>
      <c r="Z2877" s="36"/>
      <c r="AA2877" s="40"/>
      <c r="AB2877" s="60"/>
      <c r="AC2877" s="98"/>
      <c r="AD2877" s="36"/>
      <c r="AE2877" s="36"/>
      <c r="AF2877" s="36"/>
      <c r="AG2877" s="99"/>
    </row>
    <row r="2878" spans="1:33" ht="13" hidden="1" outlineLevel="1" x14ac:dyDescent="0.3">
      <c r="A2878" t="s">
        <v>1017</v>
      </c>
      <c r="C2878" s="31"/>
      <c r="D2878" s="36" t="s">
        <v>1019</v>
      </c>
      <c r="E2878" s="36" t="s">
        <v>1020</v>
      </c>
      <c r="F2878" s="22" t="s">
        <v>1021</v>
      </c>
      <c r="G2878" s="22" t="s">
        <v>1022</v>
      </c>
      <c r="H2878" s="22" t="s">
        <v>1023</v>
      </c>
      <c r="I2878" s="22" t="s">
        <v>1024</v>
      </c>
      <c r="J2878" s="22" t="s">
        <v>1025</v>
      </c>
      <c r="K2878" s="22" t="s">
        <v>1026</v>
      </c>
      <c r="L2878" s="22"/>
      <c r="M2878" s="36"/>
      <c r="N2878" s="36"/>
      <c r="O2878" s="36" t="s">
        <v>1027</v>
      </c>
      <c r="P2878" s="36" t="s">
        <v>1028</v>
      </c>
      <c r="Q2878" s="36" t="s">
        <v>1028</v>
      </c>
      <c r="R2878" s="36" t="s">
        <v>1028</v>
      </c>
      <c r="S2878" s="36" t="s">
        <v>1029</v>
      </c>
      <c r="T2878" s="36"/>
      <c r="U2878" s="36"/>
      <c r="V2878" s="58"/>
      <c r="W2878" s="36" t="s">
        <v>1030</v>
      </c>
      <c r="X2878" s="36" t="s">
        <v>1031</v>
      </c>
      <c r="Y2878" s="36"/>
      <c r="Z2878" s="36"/>
      <c r="AA2878" s="40"/>
      <c r="AB2878" s="60"/>
      <c r="AC2878" s="98"/>
      <c r="AD2878" s="36"/>
      <c r="AE2878" s="36"/>
      <c r="AF2878" s="36"/>
      <c r="AG2878" s="99"/>
    </row>
    <row r="2879" spans="1:33" ht="13" hidden="1" outlineLevel="1" x14ac:dyDescent="0.3">
      <c r="A2879" t="s">
        <v>1041</v>
      </c>
      <c r="C2879" s="31" t="s">
        <v>131</v>
      </c>
      <c r="D2879" s="33">
        <v>0</v>
      </c>
      <c r="E2879" s="33">
        <v>0</v>
      </c>
      <c r="F2879" s="23">
        <v>0</v>
      </c>
      <c r="G2879" s="23">
        <v>0</v>
      </c>
      <c r="H2879" s="23">
        <v>0</v>
      </c>
      <c r="I2879" s="23">
        <v>0</v>
      </c>
      <c r="J2879" s="23">
        <v>0</v>
      </c>
      <c r="K2879" s="23">
        <v>0</v>
      </c>
      <c r="L2879" s="23">
        <f>SUM(F2879:K2879)</f>
        <v>0</v>
      </c>
      <c r="M2879" s="33">
        <f>O2879-E2879</f>
        <v>0</v>
      </c>
      <c r="N2879" s="33">
        <f>O2879-D2879</f>
        <v>0</v>
      </c>
      <c r="O2879" s="33">
        <v>0</v>
      </c>
      <c r="P2879" s="33">
        <v>0</v>
      </c>
      <c r="Q2879" s="33">
        <v>0</v>
      </c>
      <c r="R2879" s="33">
        <v>0</v>
      </c>
      <c r="S2879" s="33">
        <v>0</v>
      </c>
      <c r="T2879" s="33">
        <f>R2879-S2879</f>
        <v>0</v>
      </c>
      <c r="U2879" s="38" t="str">
        <f>IFERROR((R2879/O2879)*100%,"∞")</f>
        <v>∞</v>
      </c>
      <c r="V2879" s="59">
        <f>O2879+W2879</f>
        <v>0</v>
      </c>
      <c r="W2879" s="33">
        <v>0</v>
      </c>
      <c r="X2879" s="33">
        <v>0</v>
      </c>
      <c r="Y2879" s="33"/>
      <c r="Z2879" s="33"/>
      <c r="AA2879" s="42"/>
      <c r="AB2879" s="60"/>
      <c r="AC2879" s="105"/>
      <c r="AD2879" s="93"/>
      <c r="AE2879" s="33">
        <f>SUM(AC2879:AD2879)</f>
        <v>0</v>
      </c>
      <c r="AF2879" s="33">
        <f>R2879+AE2879</f>
        <v>0</v>
      </c>
      <c r="AG2879" s="101">
        <f>AF2879-O2879</f>
        <v>0</v>
      </c>
    </row>
    <row r="2880" spans="1:33" hidden="1" outlineLevel="1" x14ac:dyDescent="0.25">
      <c r="A2880" t="s">
        <v>232</v>
      </c>
    </row>
    <row r="2881" spans="1:14" hidden="1" outlineLevel="1" x14ac:dyDescent="0.25">
      <c r="A2881" t="s">
        <v>944</v>
      </c>
      <c r="M2881" s="19"/>
      <c r="N2881" s="19"/>
    </row>
    <row r="2882" spans="1:14" hidden="1" outlineLevel="1" x14ac:dyDescent="0.25">
      <c r="A2882" t="s">
        <v>946</v>
      </c>
      <c r="E2882" s="19"/>
    </row>
    <row r="2883" spans="1:14" hidden="1" outlineLevel="1" x14ac:dyDescent="0.25">
      <c r="A2883" t="s">
        <v>947</v>
      </c>
      <c r="E2883" s="19"/>
      <c r="F2883" s="19"/>
    </row>
    <row r="2884" spans="1:14" ht="13" hidden="1" outlineLevel="1" x14ac:dyDescent="0.3">
      <c r="A2884" s="20" t="s">
        <v>948</v>
      </c>
    </row>
    <row r="2885" spans="1:14" hidden="1" outlineLevel="1" x14ac:dyDescent="0.25">
      <c r="A2885" s="7" t="s">
        <v>949</v>
      </c>
    </row>
    <row r="2886" spans="1:14" hidden="1" outlineLevel="1" x14ac:dyDescent="0.25">
      <c r="A2886" t="s">
        <v>950</v>
      </c>
    </row>
    <row r="2887" spans="1:14" hidden="1" outlineLevel="1" x14ac:dyDescent="0.25">
      <c r="A2887" t="s">
        <v>951</v>
      </c>
    </row>
    <row r="2888" spans="1:14" ht="13" hidden="1" outlineLevel="1" x14ac:dyDescent="0.3">
      <c r="A2888" s="21" t="str">
        <f>CONCATENATE("sql where a.client = '",$D$172,"' and a.period between '",LEFT($D$170,4),"00' and '",LEFT($D$171,4),"14' and a.version like '%ORIG%'")</f>
        <v>sql where a.client = 'OX' and a.period between '202500' and '202514' and a.version like '%ORIG%'</v>
      </c>
    </row>
    <row r="2889" spans="1:14" hidden="1" outlineLevel="1" x14ac:dyDescent="0.25">
      <c r="A2889" t="s">
        <v>952</v>
      </c>
    </row>
    <row r="2890" spans="1:14" hidden="1" outlineLevel="1" x14ac:dyDescent="0.25">
      <c r="A2890" t="s">
        <v>953</v>
      </c>
    </row>
    <row r="2891" spans="1:14" hidden="1" outlineLevel="1" x14ac:dyDescent="0.25">
      <c r="A2891" t="s">
        <v>954</v>
      </c>
    </row>
    <row r="2892" spans="1:14" ht="13" hidden="1" outlineLevel="1" x14ac:dyDescent="0.3">
      <c r="A2892" s="20" t="s">
        <v>955</v>
      </c>
    </row>
    <row r="2893" spans="1:14" hidden="1" outlineLevel="1" x14ac:dyDescent="0.25">
      <c r="A2893" s="7" t="s">
        <v>956</v>
      </c>
    </row>
    <row r="2894" spans="1:14" hidden="1" outlineLevel="1" x14ac:dyDescent="0.25">
      <c r="A2894" t="s">
        <v>950</v>
      </c>
    </row>
    <row r="2895" spans="1:14" hidden="1" outlineLevel="1" x14ac:dyDescent="0.25">
      <c r="A2895" t="s">
        <v>951</v>
      </c>
    </row>
    <row r="2896" spans="1:14" ht="14.5" hidden="1" outlineLevel="1" x14ac:dyDescent="0.35">
      <c r="A289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2896" s="2"/>
    </row>
    <row r="2897" spans="1:2" hidden="1" outlineLevel="1" x14ac:dyDescent="0.25">
      <c r="A2897" t="s">
        <v>952</v>
      </c>
    </row>
    <row r="2898" spans="1:2" hidden="1" outlineLevel="1" x14ac:dyDescent="0.25">
      <c r="A2898" t="s">
        <v>953</v>
      </c>
    </row>
    <row r="2899" spans="1:2" hidden="1" outlineLevel="1" x14ac:dyDescent="0.25">
      <c r="A2899" t="s">
        <v>954</v>
      </c>
    </row>
    <row r="2900" spans="1:2" ht="13" hidden="1" outlineLevel="1" x14ac:dyDescent="0.3">
      <c r="A2900" t="s">
        <v>232</v>
      </c>
      <c r="B2900" s="66" t="s">
        <v>957</v>
      </c>
    </row>
    <row r="2901" spans="1:2" hidden="1" outlineLevel="1" x14ac:dyDescent="0.25">
      <c r="A2901" t="s">
        <v>232</v>
      </c>
      <c r="B2901" t="s">
        <v>958</v>
      </c>
    </row>
    <row r="2902" spans="1:2" hidden="1" outlineLevel="1" x14ac:dyDescent="0.25">
      <c r="A2902" t="s">
        <v>232</v>
      </c>
      <c r="B2902" t="s">
        <v>950</v>
      </c>
    </row>
    <row r="2903" spans="1:2" ht="13" hidden="1" outlineLevel="1" x14ac:dyDescent="0.3">
      <c r="A2903" t="s">
        <v>232</v>
      </c>
      <c r="B290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904" spans="1:2" ht="13" hidden="1" outlineLevel="1" x14ac:dyDescent="0.3">
      <c r="A2904" t="s">
        <v>232</v>
      </c>
      <c r="B2904" s="21" t="s">
        <v>959</v>
      </c>
    </row>
    <row r="2905" spans="1:2" hidden="1" outlineLevel="1" x14ac:dyDescent="0.25">
      <c r="A2905" t="s">
        <v>232</v>
      </c>
      <c r="B2905" t="s">
        <v>960</v>
      </c>
    </row>
    <row r="2906" spans="1:2" hidden="1" outlineLevel="1" x14ac:dyDescent="0.25">
      <c r="A2906" t="s">
        <v>232</v>
      </c>
      <c r="B2906" t="s">
        <v>961</v>
      </c>
    </row>
    <row r="2907" spans="1:2" hidden="1" outlineLevel="1" x14ac:dyDescent="0.25">
      <c r="A2907" t="s">
        <v>232</v>
      </c>
      <c r="B2907" t="str">
        <f>CONCATENATE("sql left outer join acrtrees t on t.client = x.client and x.dim_1 = t.cat_1 and t.att_agrid = '",$F$159,"'")</f>
        <v>sql left outer join acrtrees t on t.client = x.client and x.dim_1 = t.cat_1 and t.att_agrid = '53'</v>
      </c>
    </row>
    <row r="2908" spans="1:2" ht="13" hidden="1" outlineLevel="1" x14ac:dyDescent="0.3">
      <c r="A2908" t="s">
        <v>232</v>
      </c>
      <c r="B290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909" spans="1:2" ht="13" hidden="1" outlineLevel="1" x14ac:dyDescent="0.3">
      <c r="A2909" t="s">
        <v>232</v>
      </c>
      <c r="B2909" s="21" t="s">
        <v>962</v>
      </c>
    </row>
    <row r="2910" spans="1:2" ht="13" hidden="1" outlineLevel="1" x14ac:dyDescent="0.3">
      <c r="A2910" t="s">
        <v>232</v>
      </c>
      <c r="B291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2911" spans="1:2" ht="13" hidden="1" outlineLevel="1" x14ac:dyDescent="0.3">
      <c r="A2911" t="s">
        <v>232</v>
      </c>
      <c r="B2911" s="21" t="s">
        <v>963</v>
      </c>
    </row>
    <row r="2912" spans="1:2" hidden="1" outlineLevel="1" x14ac:dyDescent="0.25">
      <c r="A2912" t="s">
        <v>232</v>
      </c>
      <c r="B2912" t="s">
        <v>964</v>
      </c>
    </row>
    <row r="2913" spans="1:2" hidden="1" outlineLevel="1" x14ac:dyDescent="0.25">
      <c r="A2913" t="s">
        <v>232</v>
      </c>
      <c r="B2913" t="s">
        <v>965</v>
      </c>
    </row>
    <row r="2914" spans="1:2" hidden="1" outlineLevel="1" x14ac:dyDescent="0.25">
      <c r="A2914" t="s">
        <v>232</v>
      </c>
      <c r="B2914" t="s">
        <v>966</v>
      </c>
    </row>
    <row r="2915" spans="1:2" hidden="1" outlineLevel="1" x14ac:dyDescent="0.25">
      <c r="A2915" t="s">
        <v>232</v>
      </c>
      <c r="B2915" t="s">
        <v>953</v>
      </c>
    </row>
    <row r="2916" spans="1:2" hidden="1" outlineLevel="1" x14ac:dyDescent="0.25">
      <c r="A2916" t="s">
        <v>232</v>
      </c>
      <c r="B2916" t="s">
        <v>954</v>
      </c>
    </row>
    <row r="2917" spans="1:2" ht="13" hidden="1" outlineLevel="1" x14ac:dyDescent="0.3">
      <c r="A2917" t="s">
        <v>232</v>
      </c>
      <c r="B2917" s="66" t="s">
        <v>967</v>
      </c>
    </row>
    <row r="2918" spans="1:2" hidden="1" outlineLevel="1" x14ac:dyDescent="0.25">
      <c r="A2918" t="s">
        <v>232</v>
      </c>
      <c r="B2918" t="s">
        <v>968</v>
      </c>
    </row>
    <row r="2919" spans="1:2" hidden="1" outlineLevel="1" x14ac:dyDescent="0.25">
      <c r="A2919" t="s">
        <v>232</v>
      </c>
      <c r="B2919" t="s">
        <v>950</v>
      </c>
    </row>
    <row r="2920" spans="1:2" ht="13" hidden="1" outlineLevel="1" x14ac:dyDescent="0.3">
      <c r="A2920" t="s">
        <v>232</v>
      </c>
      <c r="B292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921" spans="1:2" ht="13" hidden="1" outlineLevel="1" x14ac:dyDescent="0.3">
      <c r="A2921" t="s">
        <v>232</v>
      </c>
      <c r="B2921" s="21" t="s">
        <v>969</v>
      </c>
    </row>
    <row r="2922" spans="1:2" ht="13" hidden="1" outlineLevel="1" x14ac:dyDescent="0.3">
      <c r="A2922" t="s">
        <v>232</v>
      </c>
      <c r="B2922" s="21" t="s">
        <v>959</v>
      </c>
    </row>
    <row r="2923" spans="1:2" hidden="1" outlineLevel="1" x14ac:dyDescent="0.25">
      <c r="A2923" t="s">
        <v>232</v>
      </c>
      <c r="B2923" t="s">
        <v>960</v>
      </c>
    </row>
    <row r="2924" spans="1:2" hidden="1" outlineLevel="1" x14ac:dyDescent="0.25">
      <c r="A2924" t="s">
        <v>232</v>
      </c>
      <c r="B2924" t="s">
        <v>961</v>
      </c>
    </row>
    <row r="2925" spans="1:2" hidden="1" outlineLevel="1" x14ac:dyDescent="0.25">
      <c r="A2925" t="s">
        <v>232</v>
      </c>
      <c r="B2925" t="str">
        <f>CONCATENATE("sql left outer join acrtrees t on t.client = x.client and x.dim_1 = t.cat_1 and t.att_agrid = '",$F$159,"'")</f>
        <v>sql left outer join acrtrees t on t.client = x.client and x.dim_1 = t.cat_1 and t.att_agrid = '53'</v>
      </c>
    </row>
    <row r="2926" spans="1:2" ht="13" hidden="1" outlineLevel="1" x14ac:dyDescent="0.3">
      <c r="A2926" t="s">
        <v>232</v>
      </c>
      <c r="B292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927" spans="1:2" ht="13" hidden="1" outlineLevel="1" x14ac:dyDescent="0.3">
      <c r="A2927" t="s">
        <v>232</v>
      </c>
      <c r="B2927" s="21" t="s">
        <v>970</v>
      </c>
    </row>
    <row r="2928" spans="1:2" ht="13" hidden="1" outlineLevel="1" x14ac:dyDescent="0.3">
      <c r="A2928" t="s">
        <v>232</v>
      </c>
      <c r="B2928" s="21" t="s">
        <v>962</v>
      </c>
    </row>
    <row r="2929" spans="1:2" ht="13" hidden="1" outlineLevel="1" x14ac:dyDescent="0.3">
      <c r="A2929" t="s">
        <v>232</v>
      </c>
      <c r="B292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2930" spans="1:2" ht="13" hidden="1" outlineLevel="1" x14ac:dyDescent="0.3">
      <c r="A2930" t="s">
        <v>232</v>
      </c>
      <c r="B2930" s="21" t="s">
        <v>970</v>
      </c>
    </row>
    <row r="2931" spans="1:2" ht="13" hidden="1" outlineLevel="1" x14ac:dyDescent="0.3">
      <c r="A2931" t="s">
        <v>232</v>
      </c>
      <c r="B2931" s="21" t="s">
        <v>963</v>
      </c>
    </row>
    <row r="2932" spans="1:2" hidden="1" outlineLevel="1" x14ac:dyDescent="0.25">
      <c r="A2932" t="s">
        <v>232</v>
      </c>
      <c r="B2932" t="s">
        <v>964</v>
      </c>
    </row>
    <row r="2933" spans="1:2" hidden="1" outlineLevel="1" x14ac:dyDescent="0.25">
      <c r="A2933" t="s">
        <v>232</v>
      </c>
      <c r="B2933" t="s">
        <v>965</v>
      </c>
    </row>
    <row r="2934" spans="1:2" hidden="1" outlineLevel="1" x14ac:dyDescent="0.25">
      <c r="A2934" t="s">
        <v>232</v>
      </c>
      <c r="B2934" t="s">
        <v>966</v>
      </c>
    </row>
    <row r="2935" spans="1:2" hidden="1" outlineLevel="1" x14ac:dyDescent="0.25">
      <c r="A2935" t="s">
        <v>232</v>
      </c>
      <c r="B2935" t="s">
        <v>953</v>
      </c>
    </row>
    <row r="2936" spans="1:2" hidden="1" outlineLevel="1" x14ac:dyDescent="0.25">
      <c r="A2936" t="s">
        <v>232</v>
      </c>
      <c r="B2936" t="s">
        <v>954</v>
      </c>
    </row>
    <row r="2937" spans="1:2" ht="13" hidden="1" outlineLevel="1" x14ac:dyDescent="0.3">
      <c r="A2937" s="66" t="s">
        <v>971</v>
      </c>
    </row>
    <row r="2938" spans="1:2" hidden="1" outlineLevel="1" x14ac:dyDescent="0.25">
      <c r="A2938" t="s">
        <v>972</v>
      </c>
    </row>
    <row r="2939" spans="1:2" hidden="1" outlineLevel="1" x14ac:dyDescent="0.25">
      <c r="A2939" t="s">
        <v>950</v>
      </c>
    </row>
    <row r="2940" spans="1:2" ht="13" hidden="1" outlineLevel="1" x14ac:dyDescent="0.3">
      <c r="A294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941" spans="1:2" ht="13" hidden="1" outlineLevel="1" x14ac:dyDescent="0.3">
      <c r="A2941" s="21" t="s">
        <v>959</v>
      </c>
    </row>
    <row r="2942" spans="1:2" hidden="1" outlineLevel="1" x14ac:dyDescent="0.25">
      <c r="A2942" t="s">
        <v>960</v>
      </c>
    </row>
    <row r="2943" spans="1:2" hidden="1" outlineLevel="1" x14ac:dyDescent="0.25">
      <c r="A2943" t="s">
        <v>961</v>
      </c>
    </row>
    <row r="2944" spans="1:2" hidden="1" outlineLevel="1" x14ac:dyDescent="0.25">
      <c r="A2944" t="str">
        <f>CONCATENATE("sql left outer join acrtrees t on t.client = x.client and x.dim_1 = t.cat_1 and t.att_agrid = '",$F$159,"'")</f>
        <v>sql left outer join acrtrees t on t.client = x.client and x.dim_1 = t.cat_1 and t.att_agrid = '53'</v>
      </c>
    </row>
    <row r="2945" spans="1:1" ht="13" hidden="1" outlineLevel="1" x14ac:dyDescent="0.3">
      <c r="A294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946" spans="1:1" ht="13" hidden="1" outlineLevel="1" x14ac:dyDescent="0.3">
      <c r="A2946" s="21" t="s">
        <v>973</v>
      </c>
    </row>
    <row r="2947" spans="1:1" hidden="1" outlineLevel="1" x14ac:dyDescent="0.25">
      <c r="A2947" t="s">
        <v>964</v>
      </c>
    </row>
    <row r="2948" spans="1:1" hidden="1" outlineLevel="1" x14ac:dyDescent="0.25">
      <c r="A2948" t="s">
        <v>965</v>
      </c>
    </row>
    <row r="2949" spans="1:1" hidden="1" outlineLevel="1" x14ac:dyDescent="0.25">
      <c r="A2949" t="s">
        <v>966</v>
      </c>
    </row>
    <row r="2950" spans="1:1" hidden="1" outlineLevel="1" x14ac:dyDescent="0.25">
      <c r="A2950" t="s">
        <v>953</v>
      </c>
    </row>
    <row r="2951" spans="1:1" hidden="1" outlineLevel="1" x14ac:dyDescent="0.25">
      <c r="A2951" t="s">
        <v>954</v>
      </c>
    </row>
    <row r="2952" spans="1:1" ht="13" hidden="1" outlineLevel="1" x14ac:dyDescent="0.3">
      <c r="A2952" s="66" t="s">
        <v>974</v>
      </c>
    </row>
    <row r="2953" spans="1:1" hidden="1" outlineLevel="1" x14ac:dyDescent="0.25">
      <c r="A2953" t="s">
        <v>975</v>
      </c>
    </row>
    <row r="2954" spans="1:1" hidden="1" outlineLevel="1" x14ac:dyDescent="0.25">
      <c r="A2954" t="s">
        <v>950</v>
      </c>
    </row>
    <row r="2955" spans="1:1" ht="13" hidden="1" outlineLevel="1" x14ac:dyDescent="0.3">
      <c r="A295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2956" spans="1:1" ht="13" hidden="1" outlineLevel="1" x14ac:dyDescent="0.3">
      <c r="A2956" s="21" t="s">
        <v>959</v>
      </c>
    </row>
    <row r="2957" spans="1:1" hidden="1" outlineLevel="1" x14ac:dyDescent="0.25">
      <c r="A2957" t="s">
        <v>960</v>
      </c>
    </row>
    <row r="2958" spans="1:1" hidden="1" outlineLevel="1" x14ac:dyDescent="0.25">
      <c r="A2958" t="s">
        <v>961</v>
      </c>
    </row>
    <row r="2959" spans="1:1" hidden="1" outlineLevel="1" x14ac:dyDescent="0.25">
      <c r="A2959" t="str">
        <f>CONCATENATE("sql left outer join acrtrees t on t.client = x.client and x.dim_1 = t.cat_1 and t.att_agrid = '",$F$159,"'")</f>
        <v>sql left outer join acrtrees t on t.client = x.client and x.dim_1 = t.cat_1 and t.att_agrid = '53'</v>
      </c>
    </row>
    <row r="2960" spans="1:1" ht="13" hidden="1" outlineLevel="1" x14ac:dyDescent="0.3">
      <c r="A296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2961" spans="1:1" ht="13" hidden="1" outlineLevel="1" x14ac:dyDescent="0.3">
      <c r="A2961" s="21" t="s">
        <v>973</v>
      </c>
    </row>
    <row r="2962" spans="1:1" hidden="1" outlineLevel="1" x14ac:dyDescent="0.25">
      <c r="A2962" t="s">
        <v>964</v>
      </c>
    </row>
    <row r="2963" spans="1:1" hidden="1" outlineLevel="1" x14ac:dyDescent="0.25">
      <c r="A2963" t="s">
        <v>965</v>
      </c>
    </row>
    <row r="2964" spans="1:1" hidden="1" outlineLevel="1" x14ac:dyDescent="0.25">
      <c r="A2964" t="s">
        <v>966</v>
      </c>
    </row>
    <row r="2965" spans="1:1" hidden="1" outlineLevel="1" x14ac:dyDescent="0.25">
      <c r="A2965" t="s">
        <v>953</v>
      </c>
    </row>
    <row r="2966" spans="1:1" hidden="1" outlineLevel="1" x14ac:dyDescent="0.25">
      <c r="A2966" t="s">
        <v>954</v>
      </c>
    </row>
    <row r="2967" spans="1:1" ht="13" hidden="1" outlineLevel="1" x14ac:dyDescent="0.3">
      <c r="A2967" s="66" t="s">
        <v>976</v>
      </c>
    </row>
    <row r="2968" spans="1:1" hidden="1" outlineLevel="1" x14ac:dyDescent="0.25">
      <c r="A2968" t="s">
        <v>977</v>
      </c>
    </row>
    <row r="2969" spans="1:1" hidden="1" outlineLevel="1" x14ac:dyDescent="0.25">
      <c r="A2969" t="s">
        <v>950</v>
      </c>
    </row>
    <row r="2970" spans="1:1" ht="13" hidden="1" outlineLevel="1" x14ac:dyDescent="0.3">
      <c r="A297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2971" spans="1:1" ht="13" hidden="1" outlineLevel="1" x14ac:dyDescent="0.3">
      <c r="A2971" s="21" t="s">
        <v>959</v>
      </c>
    </row>
    <row r="2972" spans="1:1" hidden="1" outlineLevel="1" x14ac:dyDescent="0.25">
      <c r="A2972" t="s">
        <v>960</v>
      </c>
    </row>
    <row r="2973" spans="1:1" hidden="1" outlineLevel="1" x14ac:dyDescent="0.25">
      <c r="A2973" t="s">
        <v>961</v>
      </c>
    </row>
    <row r="2974" spans="1:1" hidden="1" outlineLevel="1" x14ac:dyDescent="0.25">
      <c r="A2974" t="str">
        <f>CONCATENATE("sql left outer join acrtrees t on t.client = x.client and x.dim_1 = t.cat_1 and t.att_agrid = '",$F$159,"'")</f>
        <v>sql left outer join acrtrees t on t.client = x.client and x.dim_1 = t.cat_1 and t.att_agrid = '53'</v>
      </c>
    </row>
    <row r="2975" spans="1:1" ht="13" hidden="1" outlineLevel="1" x14ac:dyDescent="0.3">
      <c r="A297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2976" spans="1:1" ht="13" hidden="1" outlineLevel="1" x14ac:dyDescent="0.3">
      <c r="A2976" s="21" t="s">
        <v>978</v>
      </c>
    </row>
    <row r="2977" spans="1:1" hidden="1" outlineLevel="1" x14ac:dyDescent="0.25">
      <c r="A2977" t="s">
        <v>979</v>
      </c>
    </row>
    <row r="2978" spans="1:1" hidden="1" outlineLevel="1" x14ac:dyDescent="0.25">
      <c r="A2978" t="s">
        <v>980</v>
      </c>
    </row>
    <row r="2979" spans="1:1" hidden="1" outlineLevel="1" x14ac:dyDescent="0.25">
      <c r="A2979" t="s">
        <v>966</v>
      </c>
    </row>
    <row r="2980" spans="1:1" hidden="1" outlineLevel="1" x14ac:dyDescent="0.25">
      <c r="A2980" t="s">
        <v>953</v>
      </c>
    </row>
    <row r="2981" spans="1:1" hidden="1" outlineLevel="1" x14ac:dyDescent="0.25">
      <c r="A2981" t="s">
        <v>954</v>
      </c>
    </row>
    <row r="2982" spans="1:1" ht="13" hidden="1" outlineLevel="1" x14ac:dyDescent="0.3">
      <c r="A2982" s="66" t="s">
        <v>981</v>
      </c>
    </row>
    <row r="2983" spans="1:1" hidden="1" outlineLevel="1" x14ac:dyDescent="0.25">
      <c r="A2983" t="s">
        <v>982</v>
      </c>
    </row>
    <row r="2984" spans="1:1" hidden="1" outlineLevel="1" x14ac:dyDescent="0.25">
      <c r="A2984" t="s">
        <v>950</v>
      </c>
    </row>
    <row r="2985" spans="1:1" ht="13" hidden="1" outlineLevel="1" x14ac:dyDescent="0.3">
      <c r="A298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2986" spans="1:1" ht="13" hidden="1" outlineLevel="1" x14ac:dyDescent="0.3">
      <c r="A2986" s="21" t="s">
        <v>969</v>
      </c>
    </row>
    <row r="2987" spans="1:1" ht="13" hidden="1" outlineLevel="1" x14ac:dyDescent="0.3">
      <c r="A2987" s="21" t="s">
        <v>959</v>
      </c>
    </row>
    <row r="2988" spans="1:1" hidden="1" outlineLevel="1" x14ac:dyDescent="0.25">
      <c r="A2988" t="s">
        <v>960</v>
      </c>
    </row>
    <row r="2989" spans="1:1" hidden="1" outlineLevel="1" x14ac:dyDescent="0.25">
      <c r="A2989" t="s">
        <v>961</v>
      </c>
    </row>
    <row r="2990" spans="1:1" hidden="1" outlineLevel="1" x14ac:dyDescent="0.25">
      <c r="A2990" t="str">
        <f>CONCATENATE("sql left outer join acrtrees t on t.client = x.client and x.dim_1 = t.cat_1 and t.att_agrid = '",$F$159,"'")</f>
        <v>sql left outer join acrtrees t on t.client = x.client and x.dim_1 = t.cat_1 and t.att_agrid = '53'</v>
      </c>
    </row>
    <row r="2991" spans="1:1" ht="13" hidden="1" outlineLevel="1" x14ac:dyDescent="0.3">
      <c r="A299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2992" spans="1:1" ht="13" hidden="1" outlineLevel="1" x14ac:dyDescent="0.3">
      <c r="A2992" s="21" t="s">
        <v>970</v>
      </c>
    </row>
    <row r="2993" spans="1:3" ht="13" hidden="1" outlineLevel="1" x14ac:dyDescent="0.3">
      <c r="A2993" s="21" t="s">
        <v>978</v>
      </c>
    </row>
    <row r="2994" spans="1:3" hidden="1" outlineLevel="1" x14ac:dyDescent="0.25">
      <c r="A2994" t="s">
        <v>979</v>
      </c>
    </row>
    <row r="2995" spans="1:3" hidden="1" outlineLevel="1" x14ac:dyDescent="0.25">
      <c r="A2995" t="s">
        <v>980</v>
      </c>
    </row>
    <row r="2996" spans="1:3" hidden="1" outlineLevel="1" x14ac:dyDescent="0.25">
      <c r="A2996" t="s">
        <v>966</v>
      </c>
    </row>
    <row r="2997" spans="1:3" hidden="1" outlineLevel="1" x14ac:dyDescent="0.25">
      <c r="A2997" t="s">
        <v>953</v>
      </c>
    </row>
    <row r="2998" spans="1:3" hidden="1" outlineLevel="1" x14ac:dyDescent="0.25">
      <c r="A2998" t="s">
        <v>954</v>
      </c>
    </row>
    <row r="2999" spans="1:3" ht="13" hidden="1" outlineLevel="1" x14ac:dyDescent="0.3">
      <c r="A2999" s="20" t="s">
        <v>983</v>
      </c>
    </row>
    <row r="3000" spans="1:3" hidden="1" outlineLevel="1" x14ac:dyDescent="0.25">
      <c r="A3000" s="7" t="s">
        <v>984</v>
      </c>
    </row>
    <row r="3001" spans="1:3" hidden="1" outlineLevel="1" x14ac:dyDescent="0.25">
      <c r="A3001" t="s">
        <v>950</v>
      </c>
    </row>
    <row r="3002" spans="1:3" hidden="1" outlineLevel="1" x14ac:dyDescent="0.25">
      <c r="A3002" t="s">
        <v>951</v>
      </c>
    </row>
    <row r="3003" spans="1:3" ht="14.5" hidden="1" outlineLevel="1" x14ac:dyDescent="0.35">
      <c r="A300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003" s="2"/>
    </row>
    <row r="3004" spans="1:3" hidden="1" outlineLevel="1" x14ac:dyDescent="0.25">
      <c r="A3004" t="s">
        <v>952</v>
      </c>
    </row>
    <row r="3005" spans="1:3" hidden="1" outlineLevel="1" x14ac:dyDescent="0.25">
      <c r="A3005" t="s">
        <v>953</v>
      </c>
    </row>
    <row r="3006" spans="1:3" hidden="1" outlineLevel="1" x14ac:dyDescent="0.25">
      <c r="A3006" t="s">
        <v>954</v>
      </c>
    </row>
    <row r="3007" spans="1:3" ht="13" hidden="1" outlineLevel="1" x14ac:dyDescent="0.3">
      <c r="A3007" s="20" t="s">
        <v>985</v>
      </c>
    </row>
    <row r="3008" spans="1:3" hidden="1" outlineLevel="1" x14ac:dyDescent="0.25">
      <c r="A3008" s="7" t="s">
        <v>986</v>
      </c>
    </row>
    <row r="3009" spans="1:1" hidden="1" outlineLevel="1" x14ac:dyDescent="0.25">
      <c r="A3009" t="s">
        <v>987</v>
      </c>
    </row>
    <row r="3010" spans="1:1" ht="13" hidden="1" outlineLevel="1" x14ac:dyDescent="0.3">
      <c r="A3010" s="21" t="str">
        <f>CONCATENATE("sql where a.client = '",$D$172,"' and a.period between '",LEFT($D$170,4),"00' and '",IF(RIGHT($D$171,2)="12",CONCATENATE(LEFT($D$171,4),"14"),$D$171),"'")</f>
        <v>sql where a.client = 'OX' and a.period between '202500' and '202506'</v>
      </c>
    </row>
    <row r="3011" spans="1:1" hidden="1" outlineLevel="1" x14ac:dyDescent="0.25">
      <c r="A3011" t="s">
        <v>952</v>
      </c>
    </row>
    <row r="3012" spans="1:1" hidden="1" outlineLevel="1" x14ac:dyDescent="0.25">
      <c r="A3012" t="s">
        <v>953</v>
      </c>
    </row>
    <row r="3013" spans="1:1" hidden="1" outlineLevel="1" x14ac:dyDescent="0.25">
      <c r="A3013" t="s">
        <v>954</v>
      </c>
    </row>
    <row r="3014" spans="1:1" ht="13" hidden="1" outlineLevel="1" x14ac:dyDescent="0.3">
      <c r="A3014" s="20" t="s">
        <v>988</v>
      </c>
    </row>
    <row r="3015" spans="1:1" hidden="1" outlineLevel="1" x14ac:dyDescent="0.25">
      <c r="A3015" s="7" t="s">
        <v>989</v>
      </c>
    </row>
    <row r="3016" spans="1:1" hidden="1" outlineLevel="1" x14ac:dyDescent="0.25">
      <c r="A3016" t="s">
        <v>950</v>
      </c>
    </row>
    <row r="3017" spans="1:1" hidden="1" outlineLevel="1" x14ac:dyDescent="0.25">
      <c r="A3017" t="s">
        <v>951</v>
      </c>
    </row>
    <row r="3018" spans="1:1" ht="13" hidden="1" outlineLevel="1" x14ac:dyDescent="0.3">
      <c r="A301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019" spans="1:1" hidden="1" outlineLevel="1" x14ac:dyDescent="0.25">
      <c r="A3019" t="s">
        <v>952</v>
      </c>
    </row>
    <row r="3020" spans="1:1" hidden="1" outlineLevel="1" x14ac:dyDescent="0.25">
      <c r="A3020" t="s">
        <v>953</v>
      </c>
    </row>
    <row r="3021" spans="1:1" hidden="1" outlineLevel="1" x14ac:dyDescent="0.25">
      <c r="A3021" t="s">
        <v>954</v>
      </c>
    </row>
    <row r="3022" spans="1:1" ht="13" hidden="1" outlineLevel="1" x14ac:dyDescent="0.3">
      <c r="A3022" s="20" t="s">
        <v>990</v>
      </c>
    </row>
    <row r="3023" spans="1:1" hidden="1" outlineLevel="1" x14ac:dyDescent="0.25">
      <c r="A3023" s="7" t="s">
        <v>991</v>
      </c>
    </row>
    <row r="3024" spans="1:1" hidden="1" outlineLevel="1" x14ac:dyDescent="0.25">
      <c r="A3024" t="s">
        <v>950</v>
      </c>
    </row>
    <row r="3025" spans="1:1" hidden="1" outlineLevel="1" x14ac:dyDescent="0.25">
      <c r="A3025" t="s">
        <v>951</v>
      </c>
    </row>
    <row r="3026" spans="1:1" ht="13" hidden="1" outlineLevel="1" x14ac:dyDescent="0.3">
      <c r="A302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027" spans="1:1" hidden="1" outlineLevel="1" x14ac:dyDescent="0.25">
      <c r="A3027" t="s">
        <v>952</v>
      </c>
    </row>
    <row r="3028" spans="1:1" hidden="1" outlineLevel="1" x14ac:dyDescent="0.25">
      <c r="A3028" t="s">
        <v>953</v>
      </c>
    </row>
    <row r="3029" spans="1:1" hidden="1" outlineLevel="1" x14ac:dyDescent="0.25">
      <c r="A3029" t="s">
        <v>954</v>
      </c>
    </row>
    <row r="3030" spans="1:1" ht="13" hidden="1" outlineLevel="1" x14ac:dyDescent="0.3">
      <c r="A3030" s="20" t="s">
        <v>992</v>
      </c>
    </row>
    <row r="3031" spans="1:1" hidden="1" outlineLevel="1" x14ac:dyDescent="0.25">
      <c r="A3031" s="7" t="s">
        <v>993</v>
      </c>
    </row>
    <row r="3032" spans="1:1" hidden="1" outlineLevel="1" x14ac:dyDescent="0.25">
      <c r="A3032" t="s">
        <v>950</v>
      </c>
    </row>
    <row r="3033" spans="1:1" hidden="1" outlineLevel="1" x14ac:dyDescent="0.25">
      <c r="A3033" t="s">
        <v>951</v>
      </c>
    </row>
    <row r="3034" spans="1:1" ht="13" hidden="1" outlineLevel="1" x14ac:dyDescent="0.3">
      <c r="A303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035" spans="1:1" hidden="1" outlineLevel="1" x14ac:dyDescent="0.25">
      <c r="A3035" t="s">
        <v>952</v>
      </c>
    </row>
    <row r="3036" spans="1:1" hidden="1" outlineLevel="1" x14ac:dyDescent="0.25">
      <c r="A3036" t="s">
        <v>953</v>
      </c>
    </row>
    <row r="3037" spans="1:1" hidden="1" outlineLevel="1" x14ac:dyDescent="0.25">
      <c r="A3037" t="s">
        <v>994</v>
      </c>
    </row>
    <row r="3038" spans="1:1" hidden="1" outlineLevel="1" x14ac:dyDescent="0.25">
      <c r="A3038" t="str">
        <f>CONCATENATE("sql left outer join acrtrees t on t.client = u.client and u.dim_1 = t.cat_1 and t.att_agrid = '",$F$159,"'")</f>
        <v>sql left outer join acrtrees t on t.client = u.client and u.dim_1 = t.cat_1 and t.att_agrid = '53'</v>
      </c>
    </row>
    <row r="3039" spans="1:1" hidden="1" outlineLevel="1" x14ac:dyDescent="0.25">
      <c r="A3039" t="str">
        <f>CONCATENATE("sql left outer join acrtrees s on s.client = u.client and u.account = s.cat_1 and s.att_agrid = '",$F$160,"'")</f>
        <v>sql left outer join acrtrees s on s.client = u.client and u.account = s.cat_1 and s.att_agrid = '14'</v>
      </c>
    </row>
    <row r="3040" spans="1:1" hidden="1" outlineLevel="1" x14ac:dyDescent="0.25">
      <c r="A3040" t="str">
        <f>CONCATENATE("sql left outer join acrtrees v on v.client = u.client and u.account = v.cat_1 and v.att_agrid = '",$F$161,"'")</f>
        <v>sql left outer join acrtrees v on v.client = u.client and u.account = v.cat_1 and v.att_agrid = '17'</v>
      </c>
    </row>
    <row r="3041" spans="1:33" hidden="1" outlineLevel="1" x14ac:dyDescent="0.25">
      <c r="A3041" t="str">
        <f>CONCATENATE("sql left outer join agldescription d on d.client = u.client and d.dim_value = t.dim_c and d.attribute_id = '",$F$162,"'")</f>
        <v>sql left outer join agldescription d on d.client = u.client and d.dim_value = t.dim_c and d.attribute_id = '82'</v>
      </c>
    </row>
    <row r="3042" spans="1:33" hidden="1" outlineLevel="1" x14ac:dyDescent="0.25">
      <c r="A3042" t="str">
        <f>CONCATENATE("sql left outer join agldescription e on e.client = u.client and e.dim_value = t.dim_b and e.attribute_id = '",$F$163,"'")</f>
        <v>sql left outer join agldescription e on e.client = u.client and e.dim_value = t.dim_b and e.attribute_id = '81'</v>
      </c>
    </row>
    <row r="3043" spans="1:33" hidden="1" outlineLevel="1" x14ac:dyDescent="0.25">
      <c r="A3043" t="str">
        <f>CONCATENATE("sql left outer join agldescription f on f.client = u.client and f.dim_value = t.dim_e and f.attribute_id = '",$F$164,"'")</f>
        <v>sql left outer join agldescription f on f.client = u.client and f.dim_value = t.dim_e and f.attribute_id = '80'</v>
      </c>
    </row>
    <row r="3044" spans="1:33" hidden="1" outlineLevel="1" x14ac:dyDescent="0.25">
      <c r="A3044" t="str">
        <f>CONCATENATE("sql left outer join agldescription g on g.client = u.client and g.dim_value = u.account and g.attribute_id = '",$F$165,"'")</f>
        <v>sql left outer join agldescription g on g.client = u.client and g.dim_value = u.account and g.attribute_id = 'A0'</v>
      </c>
    </row>
    <row r="3045" spans="1:33" ht="14.5" hidden="1" outlineLevel="1" x14ac:dyDescent="0.35">
      <c r="A3045" s="67" t="s">
        <v>1066</v>
      </c>
      <c r="G3045" s="737" t="s">
        <v>1067</v>
      </c>
    </row>
    <row r="3046" spans="1:33" hidden="1" outlineLevel="1" x14ac:dyDescent="0.25">
      <c r="A3046" t="s">
        <v>1005</v>
      </c>
    </row>
    <row r="3047" spans="1:33" hidden="1" outlineLevel="1" x14ac:dyDescent="0.25">
      <c r="A3047" t="s">
        <v>1006</v>
      </c>
    </row>
    <row r="3048" spans="1:33" hidden="1" outlineLevel="1" x14ac:dyDescent="0.25">
      <c r="A3048" t="s">
        <v>1007</v>
      </c>
    </row>
    <row r="3049" spans="1:33" ht="13" hidden="1" outlineLevel="1" x14ac:dyDescent="0.3">
      <c r="A3049" t="s">
        <v>1012</v>
      </c>
      <c r="C3049" s="29"/>
      <c r="D3049" s="36">
        <v>1000</v>
      </c>
      <c r="E3049" s="36">
        <v>1000</v>
      </c>
      <c r="F3049" s="22">
        <v>1000</v>
      </c>
      <c r="G3049" s="22">
        <v>1000</v>
      </c>
      <c r="H3049" s="22">
        <v>1000</v>
      </c>
      <c r="I3049" s="22">
        <v>1000</v>
      </c>
      <c r="J3049" s="22">
        <v>1000</v>
      </c>
      <c r="K3049" s="22">
        <v>1000</v>
      </c>
      <c r="L3049" s="22"/>
      <c r="M3049" s="36"/>
      <c r="N3049" s="36"/>
      <c r="O3049" s="36">
        <v>1000</v>
      </c>
      <c r="P3049" s="36">
        <v>1000</v>
      </c>
      <c r="Q3049" s="36">
        <v>1000</v>
      </c>
      <c r="R3049" s="36">
        <v>1000</v>
      </c>
      <c r="S3049" s="36">
        <v>1000</v>
      </c>
      <c r="T3049" s="36"/>
      <c r="U3049" s="36"/>
      <c r="V3049" s="58"/>
      <c r="W3049" s="36">
        <v>1000</v>
      </c>
      <c r="X3049" s="36">
        <v>1000</v>
      </c>
      <c r="Y3049" s="36"/>
      <c r="Z3049" s="36"/>
      <c r="AA3049" s="40"/>
      <c r="AB3049" s="60"/>
      <c r="AC3049" s="98"/>
      <c r="AD3049" s="36"/>
      <c r="AE3049" s="36"/>
      <c r="AF3049" s="36"/>
      <c r="AG3049" s="99"/>
    </row>
    <row r="3050" spans="1:33" ht="13" hidden="1" outlineLevel="1" x14ac:dyDescent="0.3">
      <c r="A3050" s="7" t="s">
        <v>1013</v>
      </c>
      <c r="C3050" s="29"/>
      <c r="D3050" s="36">
        <v>0</v>
      </c>
      <c r="E3050" s="36">
        <v>0</v>
      </c>
      <c r="F3050" s="22">
        <v>0</v>
      </c>
      <c r="G3050" s="22">
        <v>0</v>
      </c>
      <c r="H3050" s="22">
        <v>0</v>
      </c>
      <c r="I3050" s="22">
        <v>0</v>
      </c>
      <c r="J3050" s="22">
        <v>0</v>
      </c>
      <c r="K3050" s="22">
        <v>0</v>
      </c>
      <c r="L3050" s="22"/>
      <c r="M3050" s="36"/>
      <c r="N3050" s="36"/>
      <c r="O3050" s="36">
        <v>0</v>
      </c>
      <c r="P3050" s="36">
        <v>0</v>
      </c>
      <c r="Q3050" s="36">
        <v>0</v>
      </c>
      <c r="R3050" s="36">
        <v>0</v>
      </c>
      <c r="S3050" s="36">
        <v>0</v>
      </c>
      <c r="T3050" s="36"/>
      <c r="U3050" s="36"/>
      <c r="V3050" s="58"/>
      <c r="W3050" s="36">
        <v>0</v>
      </c>
      <c r="X3050" s="36">
        <v>0</v>
      </c>
      <c r="Y3050" s="36"/>
      <c r="Z3050" s="36"/>
      <c r="AA3050" s="40"/>
      <c r="AB3050" s="60"/>
      <c r="AC3050" s="98"/>
      <c r="AD3050" s="36"/>
      <c r="AE3050" s="36"/>
      <c r="AF3050" s="36"/>
      <c r="AG3050" s="99"/>
    </row>
    <row r="3051" spans="1:33" ht="13" hidden="1" outlineLevel="1" x14ac:dyDescent="0.3">
      <c r="A3051" t="s">
        <v>1014</v>
      </c>
      <c r="C3051" s="30"/>
      <c r="D3051" s="36"/>
      <c r="E3051" s="36"/>
      <c r="F3051" s="57"/>
      <c r="G3051" s="57"/>
      <c r="H3051" s="57"/>
      <c r="I3051" s="57"/>
      <c r="J3051" s="57"/>
      <c r="K3051" s="57"/>
      <c r="L3051" s="57"/>
      <c r="M3051" s="36"/>
      <c r="N3051" s="36"/>
      <c r="O3051" s="36"/>
      <c r="P3051" s="36" t="s">
        <v>1015</v>
      </c>
      <c r="Q3051" s="36" t="s">
        <v>1016</v>
      </c>
      <c r="R3051" s="36"/>
      <c r="S3051" s="36"/>
      <c r="T3051" s="36"/>
      <c r="U3051" s="36"/>
      <c r="V3051" s="58"/>
      <c r="W3051" s="36"/>
      <c r="X3051" s="36"/>
      <c r="Y3051" s="36"/>
      <c r="Z3051" s="36"/>
      <c r="AA3051" s="40"/>
      <c r="AB3051" s="60"/>
      <c r="AC3051" s="98"/>
      <c r="AD3051" s="36"/>
      <c r="AE3051" s="36"/>
      <c r="AF3051" s="36"/>
      <c r="AG3051" s="99"/>
    </row>
    <row r="3052" spans="1:33" ht="13" hidden="1" outlineLevel="1" x14ac:dyDescent="0.3">
      <c r="A3052" t="s">
        <v>1017</v>
      </c>
      <c r="C3052" s="31"/>
      <c r="D3052" s="36" t="s">
        <v>1019</v>
      </c>
      <c r="E3052" s="36" t="s">
        <v>1020</v>
      </c>
      <c r="F3052" s="22" t="s">
        <v>1021</v>
      </c>
      <c r="G3052" s="22" t="s">
        <v>1022</v>
      </c>
      <c r="H3052" s="22" t="s">
        <v>1023</v>
      </c>
      <c r="I3052" s="22" t="s">
        <v>1024</v>
      </c>
      <c r="J3052" s="22" t="s">
        <v>1025</v>
      </c>
      <c r="K3052" s="22" t="s">
        <v>1026</v>
      </c>
      <c r="L3052" s="22"/>
      <c r="M3052" s="36"/>
      <c r="N3052" s="36"/>
      <c r="O3052" s="36" t="s">
        <v>1027</v>
      </c>
      <c r="P3052" s="36" t="s">
        <v>1028</v>
      </c>
      <c r="Q3052" s="36" t="s">
        <v>1028</v>
      </c>
      <c r="R3052" s="36" t="s">
        <v>1028</v>
      </c>
      <c r="S3052" s="36" t="s">
        <v>1029</v>
      </c>
      <c r="T3052" s="36"/>
      <c r="U3052" s="36"/>
      <c r="V3052" s="58"/>
      <c r="W3052" s="36" t="s">
        <v>1030</v>
      </c>
      <c r="X3052" s="36" t="s">
        <v>1031</v>
      </c>
      <c r="Y3052" s="36"/>
      <c r="Z3052" s="36"/>
      <c r="AA3052" s="40"/>
      <c r="AB3052" s="60"/>
      <c r="AC3052" s="98"/>
      <c r="AD3052" s="36"/>
      <c r="AE3052" s="36"/>
      <c r="AF3052" s="36"/>
      <c r="AG3052" s="99"/>
    </row>
    <row r="3053" spans="1:33" ht="13" outlineLevel="1" x14ac:dyDescent="0.3">
      <c r="A3053" t="s">
        <v>1041</v>
      </c>
      <c r="C3053" s="31" t="s">
        <v>132</v>
      </c>
      <c r="D3053" s="33">
        <v>14098</v>
      </c>
      <c r="E3053" s="33">
        <v>14098</v>
      </c>
      <c r="F3053" s="23">
        <v>0</v>
      </c>
      <c r="G3053" s="23">
        <v>0</v>
      </c>
      <c r="H3053" s="23">
        <v>0</v>
      </c>
      <c r="I3053" s="23">
        <v>0</v>
      </c>
      <c r="J3053" s="23">
        <v>0</v>
      </c>
      <c r="K3053" s="23">
        <v>0</v>
      </c>
      <c r="L3053" s="23">
        <f>SUM(F3053:K3053)</f>
        <v>0</v>
      </c>
      <c r="M3053" s="33">
        <f>O3053-E3053</f>
        <v>0</v>
      </c>
      <c r="N3053" s="33">
        <f>O3053-D3053</f>
        <v>0</v>
      </c>
      <c r="O3053" s="33">
        <v>14098</v>
      </c>
      <c r="P3053" s="33">
        <v>1</v>
      </c>
      <c r="Q3053" s="33">
        <v>0</v>
      </c>
      <c r="R3053" s="33">
        <v>1</v>
      </c>
      <c r="S3053" s="33">
        <v>0</v>
      </c>
      <c r="T3053" s="33">
        <f>R3053-S3053</f>
        <v>1</v>
      </c>
      <c r="U3053" s="38">
        <f>IFERROR((R3053/O3053)*100%,"∞")</f>
        <v>7.0932047098879272E-5</v>
      </c>
      <c r="V3053" s="59">
        <f>O3053+W3053</f>
        <v>14098</v>
      </c>
      <c r="W3053" s="33">
        <v>0</v>
      </c>
      <c r="X3053" s="33">
        <v>0</v>
      </c>
      <c r="Y3053" s="33"/>
      <c r="Z3053" s="33"/>
      <c r="AA3053" s="42"/>
      <c r="AB3053" s="60"/>
      <c r="AC3053" s="105"/>
      <c r="AD3053" s="93"/>
      <c r="AE3053" s="33">
        <f>SUM(AC3053:AD3053)</f>
        <v>0</v>
      </c>
      <c r="AF3053" s="33">
        <f>R3053+AE3053</f>
        <v>1</v>
      </c>
      <c r="AG3053" s="101">
        <f>AF3053-O3053</f>
        <v>-14097</v>
      </c>
    </row>
    <row r="3054" spans="1:33" hidden="1" outlineLevel="1" x14ac:dyDescent="0.25">
      <c r="A3054" t="s">
        <v>232</v>
      </c>
    </row>
    <row r="3055" spans="1:33" hidden="1" outlineLevel="1" x14ac:dyDescent="0.25">
      <c r="A3055" t="s">
        <v>944</v>
      </c>
      <c r="M3055" s="19"/>
      <c r="N3055" s="19"/>
    </row>
    <row r="3056" spans="1:33" hidden="1" outlineLevel="1" x14ac:dyDescent="0.25">
      <c r="A3056" t="s">
        <v>946</v>
      </c>
      <c r="E3056" s="19"/>
    </row>
    <row r="3057" spans="1:6" hidden="1" outlineLevel="1" x14ac:dyDescent="0.25">
      <c r="A3057" t="s">
        <v>947</v>
      </c>
      <c r="E3057" s="19"/>
      <c r="F3057" s="19"/>
    </row>
    <row r="3058" spans="1:6" ht="13" hidden="1" outlineLevel="1" x14ac:dyDescent="0.3">
      <c r="A3058" s="20" t="s">
        <v>948</v>
      </c>
    </row>
    <row r="3059" spans="1:6" hidden="1" outlineLevel="1" x14ac:dyDescent="0.25">
      <c r="A3059" s="7" t="s">
        <v>949</v>
      </c>
    </row>
    <row r="3060" spans="1:6" hidden="1" outlineLevel="1" x14ac:dyDescent="0.25">
      <c r="A3060" t="s">
        <v>950</v>
      </c>
    </row>
    <row r="3061" spans="1:6" hidden="1" outlineLevel="1" x14ac:dyDescent="0.25">
      <c r="A3061" t="s">
        <v>951</v>
      </c>
    </row>
    <row r="3062" spans="1:6" ht="13" hidden="1" outlineLevel="1" x14ac:dyDescent="0.3">
      <c r="A3062" s="21" t="str">
        <f>CONCATENATE("sql where a.client = '",$D$172,"' and a.period between '",LEFT($D$170,4),"00' and '",LEFT($D$171,4),"14' and a.version like '%ORIG%'")</f>
        <v>sql where a.client = 'OX' and a.period between '202500' and '202514' and a.version like '%ORIG%'</v>
      </c>
    </row>
    <row r="3063" spans="1:6" hidden="1" outlineLevel="1" x14ac:dyDescent="0.25">
      <c r="A3063" t="s">
        <v>952</v>
      </c>
    </row>
    <row r="3064" spans="1:6" hidden="1" outlineLevel="1" x14ac:dyDescent="0.25">
      <c r="A3064" t="s">
        <v>953</v>
      </c>
    </row>
    <row r="3065" spans="1:6" hidden="1" outlineLevel="1" x14ac:dyDescent="0.25">
      <c r="A3065" t="s">
        <v>954</v>
      </c>
    </row>
    <row r="3066" spans="1:6" ht="13" hidden="1" outlineLevel="1" x14ac:dyDescent="0.3">
      <c r="A3066" s="20" t="s">
        <v>955</v>
      </c>
    </row>
    <row r="3067" spans="1:6" hidden="1" outlineLevel="1" x14ac:dyDescent="0.25">
      <c r="A3067" s="7" t="s">
        <v>956</v>
      </c>
    </row>
    <row r="3068" spans="1:6" hidden="1" outlineLevel="1" x14ac:dyDescent="0.25">
      <c r="A3068" t="s">
        <v>950</v>
      </c>
    </row>
    <row r="3069" spans="1:6" hidden="1" outlineLevel="1" x14ac:dyDescent="0.25">
      <c r="A3069" t="s">
        <v>951</v>
      </c>
    </row>
    <row r="3070" spans="1:6" ht="14.5" hidden="1" outlineLevel="1" x14ac:dyDescent="0.35">
      <c r="A3070"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070" s="2"/>
    </row>
    <row r="3071" spans="1:6" hidden="1" outlineLevel="1" x14ac:dyDescent="0.25">
      <c r="A3071" t="s">
        <v>952</v>
      </c>
    </row>
    <row r="3072" spans="1:6" hidden="1" outlineLevel="1" x14ac:dyDescent="0.25">
      <c r="A3072" t="s">
        <v>953</v>
      </c>
    </row>
    <row r="3073" spans="1:1" hidden="1" outlineLevel="1" x14ac:dyDescent="0.25">
      <c r="A3073" t="s">
        <v>954</v>
      </c>
    </row>
    <row r="3074" spans="1:1" ht="13" hidden="1" outlineLevel="1" x14ac:dyDescent="0.3">
      <c r="A3074" s="66" t="s">
        <v>957</v>
      </c>
    </row>
    <row r="3075" spans="1:1" hidden="1" outlineLevel="1" x14ac:dyDescent="0.25">
      <c r="A3075" t="s">
        <v>958</v>
      </c>
    </row>
    <row r="3076" spans="1:1" hidden="1" outlineLevel="1" x14ac:dyDescent="0.25">
      <c r="A3076" t="s">
        <v>950</v>
      </c>
    </row>
    <row r="3077" spans="1:1" ht="13" hidden="1" outlineLevel="1" x14ac:dyDescent="0.3">
      <c r="A3077"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078" spans="1:1" ht="13" hidden="1" outlineLevel="1" x14ac:dyDescent="0.3">
      <c r="A3078" s="21" t="s">
        <v>959</v>
      </c>
    </row>
    <row r="3079" spans="1:1" hidden="1" outlineLevel="1" x14ac:dyDescent="0.25">
      <c r="A3079" t="s">
        <v>960</v>
      </c>
    </row>
    <row r="3080" spans="1:1" hidden="1" outlineLevel="1" x14ac:dyDescent="0.25">
      <c r="A3080" t="s">
        <v>961</v>
      </c>
    </row>
    <row r="3081" spans="1:1" hidden="1" outlineLevel="1" x14ac:dyDescent="0.25">
      <c r="A3081" t="str">
        <f>CONCATENATE("sql left outer join acrtrees t on t.client = x.client and x.dim_1 = t.cat_1 and t.att_agrid = '",$F$159,"'")</f>
        <v>sql left outer join acrtrees t on t.client = x.client and x.dim_1 = t.cat_1 and t.att_agrid = '53'</v>
      </c>
    </row>
    <row r="3082" spans="1:1" ht="13" hidden="1" outlineLevel="1" x14ac:dyDescent="0.3">
      <c r="A3082"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083" spans="1:1" ht="13" hidden="1" outlineLevel="1" x14ac:dyDescent="0.3">
      <c r="A3083" s="21" t="s">
        <v>962</v>
      </c>
    </row>
    <row r="3084" spans="1:1" ht="13" hidden="1" outlineLevel="1" x14ac:dyDescent="0.3">
      <c r="A3084"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085" spans="1:1" ht="13" hidden="1" outlineLevel="1" x14ac:dyDescent="0.3">
      <c r="A3085" s="21" t="s">
        <v>963</v>
      </c>
    </row>
    <row r="3086" spans="1:1" hidden="1" outlineLevel="1" x14ac:dyDescent="0.25">
      <c r="A3086" t="s">
        <v>964</v>
      </c>
    </row>
    <row r="3087" spans="1:1" hidden="1" outlineLevel="1" x14ac:dyDescent="0.25">
      <c r="A3087" t="s">
        <v>965</v>
      </c>
    </row>
    <row r="3088" spans="1:1" hidden="1" outlineLevel="1" x14ac:dyDescent="0.25">
      <c r="A3088" t="s">
        <v>966</v>
      </c>
    </row>
    <row r="3089" spans="1:1" hidden="1" outlineLevel="1" x14ac:dyDescent="0.25">
      <c r="A3089" t="s">
        <v>953</v>
      </c>
    </row>
    <row r="3090" spans="1:1" hidden="1" outlineLevel="1" x14ac:dyDescent="0.25">
      <c r="A3090" t="s">
        <v>954</v>
      </c>
    </row>
    <row r="3091" spans="1:1" ht="13" hidden="1" outlineLevel="1" x14ac:dyDescent="0.3">
      <c r="A3091" s="66" t="s">
        <v>967</v>
      </c>
    </row>
    <row r="3092" spans="1:1" hidden="1" outlineLevel="1" x14ac:dyDescent="0.25">
      <c r="A3092" t="s">
        <v>968</v>
      </c>
    </row>
    <row r="3093" spans="1:1" hidden="1" outlineLevel="1" x14ac:dyDescent="0.25">
      <c r="A3093" t="s">
        <v>950</v>
      </c>
    </row>
    <row r="3094" spans="1:1" ht="13" hidden="1" outlineLevel="1" x14ac:dyDescent="0.3">
      <c r="A3094"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095" spans="1:1" ht="13" hidden="1" outlineLevel="1" x14ac:dyDescent="0.3">
      <c r="A3095" s="21" t="s">
        <v>969</v>
      </c>
    </row>
    <row r="3096" spans="1:1" ht="13" hidden="1" outlineLevel="1" x14ac:dyDescent="0.3">
      <c r="A3096" s="21" t="s">
        <v>959</v>
      </c>
    </row>
    <row r="3097" spans="1:1" hidden="1" outlineLevel="1" x14ac:dyDescent="0.25">
      <c r="A3097" t="s">
        <v>960</v>
      </c>
    </row>
    <row r="3098" spans="1:1" hidden="1" outlineLevel="1" x14ac:dyDescent="0.25">
      <c r="A3098" t="s">
        <v>961</v>
      </c>
    </row>
    <row r="3099" spans="1:1" hidden="1" outlineLevel="1" x14ac:dyDescent="0.25">
      <c r="A3099" t="str">
        <f>CONCATENATE("sql left outer join acrtrees t on t.client = x.client and x.dim_1 = t.cat_1 and t.att_agrid = '",$F$159,"'")</f>
        <v>sql left outer join acrtrees t on t.client = x.client and x.dim_1 = t.cat_1 and t.att_agrid = '53'</v>
      </c>
    </row>
    <row r="3100" spans="1:1" ht="13" hidden="1" outlineLevel="1" x14ac:dyDescent="0.3">
      <c r="A310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101" spans="1:1" ht="13" hidden="1" outlineLevel="1" x14ac:dyDescent="0.3">
      <c r="A3101" s="21" t="s">
        <v>970</v>
      </c>
    </row>
    <row r="3102" spans="1:1" ht="13" hidden="1" outlineLevel="1" x14ac:dyDescent="0.3">
      <c r="A3102" s="21" t="s">
        <v>962</v>
      </c>
    </row>
    <row r="3103" spans="1:1" ht="13" hidden="1" outlineLevel="1" x14ac:dyDescent="0.3">
      <c r="A3103"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104" spans="1:1" ht="13" hidden="1" outlineLevel="1" x14ac:dyDescent="0.3">
      <c r="A3104" s="21" t="s">
        <v>970</v>
      </c>
    </row>
    <row r="3105" spans="1:1" ht="13" hidden="1" outlineLevel="1" x14ac:dyDescent="0.3">
      <c r="A3105" s="21" t="s">
        <v>963</v>
      </c>
    </row>
    <row r="3106" spans="1:1" hidden="1" outlineLevel="1" x14ac:dyDescent="0.25">
      <c r="A3106" t="s">
        <v>964</v>
      </c>
    </row>
    <row r="3107" spans="1:1" hidden="1" outlineLevel="1" x14ac:dyDescent="0.25">
      <c r="A3107" t="s">
        <v>965</v>
      </c>
    </row>
    <row r="3108" spans="1:1" hidden="1" outlineLevel="1" x14ac:dyDescent="0.25">
      <c r="A3108" t="s">
        <v>966</v>
      </c>
    </row>
    <row r="3109" spans="1:1" hidden="1" outlineLevel="1" x14ac:dyDescent="0.25">
      <c r="A3109" t="s">
        <v>953</v>
      </c>
    </row>
    <row r="3110" spans="1:1" hidden="1" outlineLevel="1" x14ac:dyDescent="0.25">
      <c r="A3110" t="s">
        <v>954</v>
      </c>
    </row>
    <row r="3111" spans="1:1" ht="13" hidden="1" outlineLevel="1" x14ac:dyDescent="0.3">
      <c r="A3111" s="66" t="s">
        <v>971</v>
      </c>
    </row>
    <row r="3112" spans="1:1" hidden="1" outlineLevel="1" x14ac:dyDescent="0.25">
      <c r="A3112" t="s">
        <v>972</v>
      </c>
    </row>
    <row r="3113" spans="1:1" hidden="1" outlineLevel="1" x14ac:dyDescent="0.25">
      <c r="A3113" t="s">
        <v>950</v>
      </c>
    </row>
    <row r="3114" spans="1:1" ht="13" hidden="1" outlineLevel="1" x14ac:dyDescent="0.3">
      <c r="A311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115" spans="1:1" ht="13" hidden="1" outlineLevel="1" x14ac:dyDescent="0.3">
      <c r="A3115" s="21" t="s">
        <v>959</v>
      </c>
    </row>
    <row r="3116" spans="1:1" hidden="1" outlineLevel="1" x14ac:dyDescent="0.25">
      <c r="A3116" t="s">
        <v>960</v>
      </c>
    </row>
    <row r="3117" spans="1:1" hidden="1" outlineLevel="1" x14ac:dyDescent="0.25">
      <c r="A3117" t="s">
        <v>961</v>
      </c>
    </row>
    <row r="3118" spans="1:1" hidden="1" outlineLevel="1" x14ac:dyDescent="0.25">
      <c r="A3118" t="str">
        <f>CONCATENATE("sql left outer join acrtrees t on t.client = x.client and x.dim_1 = t.cat_1 and t.att_agrid = '",$F$159,"'")</f>
        <v>sql left outer join acrtrees t on t.client = x.client and x.dim_1 = t.cat_1 and t.att_agrid = '53'</v>
      </c>
    </row>
    <row r="3119" spans="1:1" ht="13" hidden="1" outlineLevel="1" x14ac:dyDescent="0.3">
      <c r="A311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120" spans="1:1" ht="13" hidden="1" outlineLevel="1" x14ac:dyDescent="0.3">
      <c r="A3120" s="21" t="s">
        <v>973</v>
      </c>
    </row>
    <row r="3121" spans="1:1" hidden="1" outlineLevel="1" x14ac:dyDescent="0.25">
      <c r="A3121" t="s">
        <v>964</v>
      </c>
    </row>
    <row r="3122" spans="1:1" hidden="1" outlineLevel="1" x14ac:dyDescent="0.25">
      <c r="A3122" t="s">
        <v>965</v>
      </c>
    </row>
    <row r="3123" spans="1:1" hidden="1" outlineLevel="1" x14ac:dyDescent="0.25">
      <c r="A3123" t="s">
        <v>966</v>
      </c>
    </row>
    <row r="3124" spans="1:1" hidden="1" outlineLevel="1" x14ac:dyDescent="0.25">
      <c r="A3124" t="s">
        <v>953</v>
      </c>
    </row>
    <row r="3125" spans="1:1" hidden="1" outlineLevel="1" x14ac:dyDescent="0.25">
      <c r="A3125" t="s">
        <v>954</v>
      </c>
    </row>
    <row r="3126" spans="1:1" ht="13" hidden="1" outlineLevel="1" x14ac:dyDescent="0.3">
      <c r="A3126" s="66" t="s">
        <v>974</v>
      </c>
    </row>
    <row r="3127" spans="1:1" hidden="1" outlineLevel="1" x14ac:dyDescent="0.25">
      <c r="A3127" t="s">
        <v>975</v>
      </c>
    </row>
    <row r="3128" spans="1:1" hidden="1" outlineLevel="1" x14ac:dyDescent="0.25">
      <c r="A3128" t="s">
        <v>950</v>
      </c>
    </row>
    <row r="3129" spans="1:1" ht="13" hidden="1" outlineLevel="1" x14ac:dyDescent="0.3">
      <c r="A312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130" spans="1:1" ht="13" hidden="1" outlineLevel="1" x14ac:dyDescent="0.3">
      <c r="A3130" s="21" t="s">
        <v>959</v>
      </c>
    </row>
    <row r="3131" spans="1:1" hidden="1" outlineLevel="1" x14ac:dyDescent="0.25">
      <c r="A3131" t="s">
        <v>960</v>
      </c>
    </row>
    <row r="3132" spans="1:1" hidden="1" outlineLevel="1" x14ac:dyDescent="0.25">
      <c r="A3132" t="s">
        <v>961</v>
      </c>
    </row>
    <row r="3133" spans="1:1" hidden="1" outlineLevel="1" x14ac:dyDescent="0.25">
      <c r="A3133" t="str">
        <f>CONCATENATE("sql left outer join acrtrees t on t.client = x.client and x.dim_1 = t.cat_1 and t.att_agrid = '",$F$159,"'")</f>
        <v>sql left outer join acrtrees t on t.client = x.client and x.dim_1 = t.cat_1 and t.att_agrid = '53'</v>
      </c>
    </row>
    <row r="3134" spans="1:1" ht="13" hidden="1" outlineLevel="1" x14ac:dyDescent="0.3">
      <c r="A313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135" spans="1:1" ht="13" hidden="1" outlineLevel="1" x14ac:dyDescent="0.3">
      <c r="A3135" s="21" t="s">
        <v>973</v>
      </c>
    </row>
    <row r="3136" spans="1:1" hidden="1" outlineLevel="1" x14ac:dyDescent="0.25">
      <c r="A3136" t="s">
        <v>964</v>
      </c>
    </row>
    <row r="3137" spans="1:1" hidden="1" outlineLevel="1" x14ac:dyDescent="0.25">
      <c r="A3137" t="s">
        <v>965</v>
      </c>
    </row>
    <row r="3138" spans="1:1" hidden="1" outlineLevel="1" x14ac:dyDescent="0.25">
      <c r="A3138" t="s">
        <v>966</v>
      </c>
    </row>
    <row r="3139" spans="1:1" hidden="1" outlineLevel="1" x14ac:dyDescent="0.25">
      <c r="A3139" t="s">
        <v>953</v>
      </c>
    </row>
    <row r="3140" spans="1:1" hidden="1" outlineLevel="1" x14ac:dyDescent="0.25">
      <c r="A3140" t="s">
        <v>954</v>
      </c>
    </row>
    <row r="3141" spans="1:1" ht="13" hidden="1" outlineLevel="1" x14ac:dyDescent="0.3">
      <c r="A3141" s="66" t="s">
        <v>976</v>
      </c>
    </row>
    <row r="3142" spans="1:1" hidden="1" outlineLevel="1" x14ac:dyDescent="0.25">
      <c r="A3142" t="s">
        <v>977</v>
      </c>
    </row>
    <row r="3143" spans="1:1" hidden="1" outlineLevel="1" x14ac:dyDescent="0.25">
      <c r="A3143" t="s">
        <v>950</v>
      </c>
    </row>
    <row r="3144" spans="1:1" ht="13" hidden="1" outlineLevel="1" x14ac:dyDescent="0.3">
      <c r="A3144"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145" spans="1:1" ht="13" hidden="1" outlineLevel="1" x14ac:dyDescent="0.3">
      <c r="A3145" s="21" t="s">
        <v>959</v>
      </c>
    </row>
    <row r="3146" spans="1:1" hidden="1" outlineLevel="1" x14ac:dyDescent="0.25">
      <c r="A3146" t="s">
        <v>960</v>
      </c>
    </row>
    <row r="3147" spans="1:1" hidden="1" outlineLevel="1" x14ac:dyDescent="0.25">
      <c r="A3147" t="s">
        <v>961</v>
      </c>
    </row>
    <row r="3148" spans="1:1" hidden="1" outlineLevel="1" x14ac:dyDescent="0.25">
      <c r="A3148" t="str">
        <f>CONCATENATE("sql left outer join acrtrees t on t.client = x.client and x.dim_1 = t.cat_1 and t.att_agrid = '",$F$159,"'")</f>
        <v>sql left outer join acrtrees t on t.client = x.client and x.dim_1 = t.cat_1 and t.att_agrid = '53'</v>
      </c>
    </row>
    <row r="3149" spans="1:1" ht="13" hidden="1" outlineLevel="1" x14ac:dyDescent="0.3">
      <c r="A3149"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150" spans="1:1" ht="13" hidden="1" outlineLevel="1" x14ac:dyDescent="0.3">
      <c r="A3150" s="21" t="s">
        <v>978</v>
      </c>
    </row>
    <row r="3151" spans="1:1" hidden="1" outlineLevel="1" x14ac:dyDescent="0.25">
      <c r="A3151" t="s">
        <v>979</v>
      </c>
    </row>
    <row r="3152" spans="1:1" hidden="1" outlineLevel="1" x14ac:dyDescent="0.25">
      <c r="A3152" t="s">
        <v>980</v>
      </c>
    </row>
    <row r="3153" spans="1:1" hidden="1" outlineLevel="1" x14ac:dyDescent="0.25">
      <c r="A3153" t="s">
        <v>966</v>
      </c>
    </row>
    <row r="3154" spans="1:1" hidden="1" outlineLevel="1" x14ac:dyDescent="0.25">
      <c r="A3154" t="s">
        <v>953</v>
      </c>
    </row>
    <row r="3155" spans="1:1" hidden="1" outlineLevel="1" x14ac:dyDescent="0.25">
      <c r="A3155" t="s">
        <v>954</v>
      </c>
    </row>
    <row r="3156" spans="1:1" ht="13" hidden="1" outlineLevel="1" x14ac:dyDescent="0.3">
      <c r="A3156" s="66" t="s">
        <v>981</v>
      </c>
    </row>
    <row r="3157" spans="1:1" hidden="1" outlineLevel="1" x14ac:dyDescent="0.25">
      <c r="A3157" t="s">
        <v>982</v>
      </c>
    </row>
    <row r="3158" spans="1:1" hidden="1" outlineLevel="1" x14ac:dyDescent="0.25">
      <c r="A3158" t="s">
        <v>950</v>
      </c>
    </row>
    <row r="3159" spans="1:1" ht="13" hidden="1" outlineLevel="1" x14ac:dyDescent="0.3">
      <c r="A3159"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160" spans="1:1" ht="13" hidden="1" outlineLevel="1" x14ac:dyDescent="0.3">
      <c r="A3160" s="21" t="s">
        <v>969</v>
      </c>
    </row>
    <row r="3161" spans="1:1" ht="13" hidden="1" outlineLevel="1" x14ac:dyDescent="0.3">
      <c r="A3161" s="21" t="s">
        <v>959</v>
      </c>
    </row>
    <row r="3162" spans="1:1" hidden="1" outlineLevel="1" x14ac:dyDescent="0.25">
      <c r="A3162" t="s">
        <v>960</v>
      </c>
    </row>
    <row r="3163" spans="1:1" hidden="1" outlineLevel="1" x14ac:dyDescent="0.25">
      <c r="A3163" t="s">
        <v>961</v>
      </c>
    </row>
    <row r="3164" spans="1:1" hidden="1" outlineLevel="1" x14ac:dyDescent="0.25">
      <c r="A3164" t="str">
        <f>CONCATENATE("sql left outer join acrtrees t on t.client = x.client and x.dim_1 = t.cat_1 and t.att_agrid = '",$F$159,"'")</f>
        <v>sql left outer join acrtrees t on t.client = x.client and x.dim_1 = t.cat_1 and t.att_agrid = '53'</v>
      </c>
    </row>
    <row r="3165" spans="1:1" ht="13" hidden="1" outlineLevel="1" x14ac:dyDescent="0.3">
      <c r="A316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166" spans="1:1" ht="13" hidden="1" outlineLevel="1" x14ac:dyDescent="0.3">
      <c r="A3166" s="21" t="s">
        <v>970</v>
      </c>
    </row>
    <row r="3167" spans="1:1" ht="13" hidden="1" outlineLevel="1" x14ac:dyDescent="0.3">
      <c r="A3167" s="21" t="s">
        <v>978</v>
      </c>
    </row>
    <row r="3168" spans="1:1" hidden="1" outlineLevel="1" x14ac:dyDescent="0.25">
      <c r="A3168" t="s">
        <v>979</v>
      </c>
    </row>
    <row r="3169" spans="1:3" hidden="1" outlineLevel="1" x14ac:dyDescent="0.25">
      <c r="A3169" t="s">
        <v>980</v>
      </c>
    </row>
    <row r="3170" spans="1:3" hidden="1" outlineLevel="1" x14ac:dyDescent="0.25">
      <c r="A3170" t="s">
        <v>966</v>
      </c>
    </row>
    <row r="3171" spans="1:3" hidden="1" outlineLevel="1" x14ac:dyDescent="0.25">
      <c r="A3171" t="s">
        <v>953</v>
      </c>
    </row>
    <row r="3172" spans="1:3" hidden="1" outlineLevel="1" x14ac:dyDescent="0.25">
      <c r="A3172" t="s">
        <v>954</v>
      </c>
    </row>
    <row r="3173" spans="1:3" ht="13" hidden="1" outlineLevel="1" x14ac:dyDescent="0.3">
      <c r="A3173" s="20" t="s">
        <v>983</v>
      </c>
    </row>
    <row r="3174" spans="1:3" hidden="1" outlineLevel="1" x14ac:dyDescent="0.25">
      <c r="A3174" s="7" t="s">
        <v>984</v>
      </c>
    </row>
    <row r="3175" spans="1:3" hidden="1" outlineLevel="1" x14ac:dyDescent="0.25">
      <c r="A3175" t="s">
        <v>950</v>
      </c>
    </row>
    <row r="3176" spans="1:3" hidden="1" outlineLevel="1" x14ac:dyDescent="0.25">
      <c r="A3176" t="s">
        <v>951</v>
      </c>
    </row>
    <row r="3177" spans="1:3" ht="14.5" hidden="1" outlineLevel="1" x14ac:dyDescent="0.35">
      <c r="A3177"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177" s="2"/>
    </row>
    <row r="3178" spans="1:3" hidden="1" outlineLevel="1" x14ac:dyDescent="0.25">
      <c r="A3178" t="s">
        <v>952</v>
      </c>
    </row>
    <row r="3179" spans="1:3" hidden="1" outlineLevel="1" x14ac:dyDescent="0.25">
      <c r="A3179" t="s">
        <v>953</v>
      </c>
    </row>
    <row r="3180" spans="1:3" hidden="1" outlineLevel="1" x14ac:dyDescent="0.25">
      <c r="A3180" t="s">
        <v>954</v>
      </c>
    </row>
    <row r="3181" spans="1:3" ht="13" hidden="1" outlineLevel="1" x14ac:dyDescent="0.3">
      <c r="A3181" s="20" t="s">
        <v>985</v>
      </c>
    </row>
    <row r="3182" spans="1:3" hidden="1" outlineLevel="1" x14ac:dyDescent="0.25">
      <c r="A3182" s="7" t="s">
        <v>986</v>
      </c>
    </row>
    <row r="3183" spans="1:3" hidden="1" outlineLevel="1" x14ac:dyDescent="0.25">
      <c r="A3183" t="s">
        <v>987</v>
      </c>
    </row>
    <row r="3184" spans="1:3" ht="13" hidden="1" outlineLevel="1" x14ac:dyDescent="0.3">
      <c r="A3184" s="21" t="str">
        <f>CONCATENATE("sql where a.client = '",$D$172,"' and a.period between '",LEFT($D$170,4),"00' and '",IF(RIGHT($D$171,2)="12",CONCATENATE(LEFT($D$171,4),"14"),$D$171),"'")</f>
        <v>sql where a.client = 'OX' and a.period between '202500' and '202506'</v>
      </c>
    </row>
    <row r="3185" spans="1:1" hidden="1" outlineLevel="1" x14ac:dyDescent="0.25">
      <c r="A3185" t="s">
        <v>952</v>
      </c>
    </row>
    <row r="3186" spans="1:1" hidden="1" outlineLevel="1" x14ac:dyDescent="0.25">
      <c r="A3186" t="s">
        <v>953</v>
      </c>
    </row>
    <row r="3187" spans="1:1" hidden="1" outlineLevel="1" x14ac:dyDescent="0.25">
      <c r="A3187" t="s">
        <v>954</v>
      </c>
    </row>
    <row r="3188" spans="1:1" ht="13" hidden="1" outlineLevel="1" x14ac:dyDescent="0.3">
      <c r="A3188" s="20" t="s">
        <v>988</v>
      </c>
    </row>
    <row r="3189" spans="1:1" hidden="1" outlineLevel="1" x14ac:dyDescent="0.25">
      <c r="A3189" s="7" t="s">
        <v>989</v>
      </c>
    </row>
    <row r="3190" spans="1:1" hidden="1" outlineLevel="1" x14ac:dyDescent="0.25">
      <c r="A3190" t="s">
        <v>950</v>
      </c>
    </row>
    <row r="3191" spans="1:1" hidden="1" outlineLevel="1" x14ac:dyDescent="0.25">
      <c r="A3191" t="s">
        <v>951</v>
      </c>
    </row>
    <row r="3192" spans="1:1" ht="13" hidden="1" outlineLevel="1" x14ac:dyDescent="0.3">
      <c r="A3192"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193" spans="1:1" hidden="1" outlineLevel="1" x14ac:dyDescent="0.25">
      <c r="A3193" t="s">
        <v>952</v>
      </c>
    </row>
    <row r="3194" spans="1:1" hidden="1" outlineLevel="1" x14ac:dyDescent="0.25">
      <c r="A3194" t="s">
        <v>953</v>
      </c>
    </row>
    <row r="3195" spans="1:1" hidden="1" outlineLevel="1" x14ac:dyDescent="0.25">
      <c r="A3195" t="s">
        <v>954</v>
      </c>
    </row>
    <row r="3196" spans="1:1" ht="13" hidden="1" outlineLevel="1" x14ac:dyDescent="0.3">
      <c r="A3196" s="20" t="s">
        <v>990</v>
      </c>
    </row>
    <row r="3197" spans="1:1" hidden="1" outlineLevel="1" x14ac:dyDescent="0.25">
      <c r="A3197" s="7" t="s">
        <v>991</v>
      </c>
    </row>
    <row r="3198" spans="1:1" hidden="1" outlineLevel="1" x14ac:dyDescent="0.25">
      <c r="A3198" t="s">
        <v>950</v>
      </c>
    </row>
    <row r="3199" spans="1:1" hidden="1" outlineLevel="1" x14ac:dyDescent="0.25">
      <c r="A3199" t="s">
        <v>951</v>
      </c>
    </row>
    <row r="3200" spans="1:1" ht="13" hidden="1" outlineLevel="1" x14ac:dyDescent="0.3">
      <c r="A3200"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201" spans="1:1" hidden="1" outlineLevel="1" x14ac:dyDescent="0.25">
      <c r="A3201" t="s">
        <v>952</v>
      </c>
    </row>
    <row r="3202" spans="1:1" hidden="1" outlineLevel="1" x14ac:dyDescent="0.25">
      <c r="A3202" t="s">
        <v>953</v>
      </c>
    </row>
    <row r="3203" spans="1:1" hidden="1" outlineLevel="1" x14ac:dyDescent="0.25">
      <c r="A3203" t="s">
        <v>954</v>
      </c>
    </row>
    <row r="3204" spans="1:1" ht="13" hidden="1" outlineLevel="1" x14ac:dyDescent="0.3">
      <c r="A3204" s="20" t="s">
        <v>992</v>
      </c>
    </row>
    <row r="3205" spans="1:1" hidden="1" outlineLevel="1" x14ac:dyDescent="0.25">
      <c r="A3205" s="7" t="s">
        <v>993</v>
      </c>
    </row>
    <row r="3206" spans="1:1" hidden="1" outlineLevel="1" x14ac:dyDescent="0.25">
      <c r="A3206" t="s">
        <v>950</v>
      </c>
    </row>
    <row r="3207" spans="1:1" hidden="1" outlineLevel="1" x14ac:dyDescent="0.25">
      <c r="A3207" t="s">
        <v>951</v>
      </c>
    </row>
    <row r="3208" spans="1:1" ht="13" hidden="1" outlineLevel="1" x14ac:dyDescent="0.3">
      <c r="A3208"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209" spans="1:1" hidden="1" outlineLevel="1" x14ac:dyDescent="0.25">
      <c r="A3209" t="s">
        <v>952</v>
      </c>
    </row>
    <row r="3210" spans="1:1" hidden="1" outlineLevel="1" x14ac:dyDescent="0.25">
      <c r="A3210" t="s">
        <v>953</v>
      </c>
    </row>
    <row r="3211" spans="1:1" hidden="1" outlineLevel="1" x14ac:dyDescent="0.25">
      <c r="A3211" t="s">
        <v>994</v>
      </c>
    </row>
    <row r="3212" spans="1:1" hidden="1" outlineLevel="1" x14ac:dyDescent="0.25">
      <c r="A3212" t="str">
        <f>CONCATENATE("sql left outer join acrtrees t on t.client = u.client and u.dim_1 = t.cat_1 and t.att_agrid = '",$F$159,"'")</f>
        <v>sql left outer join acrtrees t on t.client = u.client and u.dim_1 = t.cat_1 and t.att_agrid = '53'</v>
      </c>
    </row>
    <row r="3213" spans="1:1" hidden="1" outlineLevel="1" x14ac:dyDescent="0.25">
      <c r="A3213" t="str">
        <f>CONCATENATE("sql left outer join acrtrees s on s.client = u.client and u.account = s.cat_1 and s.att_agrid = '",$F$160,"'")</f>
        <v>sql left outer join acrtrees s on s.client = u.client and u.account = s.cat_1 and s.att_agrid = '14'</v>
      </c>
    </row>
    <row r="3214" spans="1:1" hidden="1" outlineLevel="1" x14ac:dyDescent="0.25">
      <c r="A3214" t="str">
        <f>CONCATENATE("sql left outer join acrtrees v on v.client = u.client and u.account = v.cat_1 and v.att_agrid = '",$F$161,"'")</f>
        <v>sql left outer join acrtrees v on v.client = u.client and u.account = v.cat_1 and v.att_agrid = '17'</v>
      </c>
    </row>
    <row r="3215" spans="1:1" hidden="1" outlineLevel="1" x14ac:dyDescent="0.25">
      <c r="A3215" t="str">
        <f>CONCATENATE("sql left outer join agldescription d on d.client = u.client and d.dim_value = t.dim_c and d.attribute_id = '",$F$162,"'")</f>
        <v>sql left outer join agldescription d on d.client = u.client and d.dim_value = t.dim_c and d.attribute_id = '82'</v>
      </c>
    </row>
    <row r="3216" spans="1:1" hidden="1" outlineLevel="1" x14ac:dyDescent="0.25">
      <c r="A3216" t="str">
        <f>CONCATENATE("sql left outer join agldescription e on e.client = u.client and e.dim_value = t.dim_b and e.attribute_id = '",$F$163,"'")</f>
        <v>sql left outer join agldescription e on e.client = u.client and e.dim_value = t.dim_b and e.attribute_id = '81'</v>
      </c>
    </row>
    <row r="3217" spans="1:33" hidden="1" outlineLevel="1" x14ac:dyDescent="0.25">
      <c r="A3217" t="str">
        <f>CONCATENATE("sql left outer join agldescription f on f.client = u.client and f.dim_value = t.dim_e and f.attribute_id = '",$F$164,"'")</f>
        <v>sql left outer join agldescription f on f.client = u.client and f.dim_value = t.dim_e and f.attribute_id = '80'</v>
      </c>
    </row>
    <row r="3218" spans="1:33" hidden="1" outlineLevel="1" x14ac:dyDescent="0.25">
      <c r="A3218" t="str">
        <f>CONCATENATE("sql left outer join agldescription g on g.client = u.client and g.dim_value = u.account and g.attribute_id = '",$F$165,"'")</f>
        <v>sql left outer join agldescription g on g.client = u.client and g.dim_value = u.account and g.attribute_id = 'A0'</v>
      </c>
    </row>
    <row r="3219" spans="1:33" ht="14.5" hidden="1" outlineLevel="1" x14ac:dyDescent="0.35">
      <c r="A3219" s="67" t="s">
        <v>1068</v>
      </c>
      <c r="G3219" s="737" t="s">
        <v>1069</v>
      </c>
    </row>
    <row r="3220" spans="1:33" hidden="1" outlineLevel="1" x14ac:dyDescent="0.25">
      <c r="A3220" t="s">
        <v>1005</v>
      </c>
    </row>
    <row r="3221" spans="1:33" hidden="1" outlineLevel="1" x14ac:dyDescent="0.25">
      <c r="A3221" t="s">
        <v>1006</v>
      </c>
    </row>
    <row r="3222" spans="1:33" hidden="1" outlineLevel="1" x14ac:dyDescent="0.25">
      <c r="A3222" t="s">
        <v>1007</v>
      </c>
    </row>
    <row r="3223" spans="1:33" ht="13" hidden="1" outlineLevel="1" x14ac:dyDescent="0.3">
      <c r="A3223" t="s">
        <v>1012</v>
      </c>
      <c r="C3223" s="29"/>
      <c r="D3223" s="36">
        <v>1000</v>
      </c>
      <c r="E3223" s="36">
        <v>1000</v>
      </c>
      <c r="F3223" s="22">
        <v>1000</v>
      </c>
      <c r="G3223" s="22">
        <v>1000</v>
      </c>
      <c r="H3223" s="22">
        <v>1000</v>
      </c>
      <c r="I3223" s="22">
        <v>1000</v>
      </c>
      <c r="J3223" s="22">
        <v>1000</v>
      </c>
      <c r="K3223" s="22">
        <v>1000</v>
      </c>
      <c r="L3223" s="22"/>
      <c r="M3223" s="36"/>
      <c r="N3223" s="36"/>
      <c r="O3223" s="36">
        <v>1000</v>
      </c>
      <c r="P3223" s="36">
        <v>1000</v>
      </c>
      <c r="Q3223" s="36">
        <v>1000</v>
      </c>
      <c r="R3223" s="36">
        <v>1000</v>
      </c>
      <c r="S3223" s="36">
        <v>1000</v>
      </c>
      <c r="T3223" s="36"/>
      <c r="U3223" s="36"/>
      <c r="V3223" s="58"/>
      <c r="W3223" s="36">
        <v>1000</v>
      </c>
      <c r="X3223" s="36">
        <v>1000</v>
      </c>
      <c r="Y3223" s="36"/>
      <c r="Z3223" s="36"/>
      <c r="AA3223" s="40"/>
      <c r="AB3223" s="60"/>
      <c r="AC3223" s="98"/>
      <c r="AD3223" s="36"/>
      <c r="AE3223" s="36"/>
      <c r="AF3223" s="36"/>
      <c r="AG3223" s="99"/>
    </row>
    <row r="3224" spans="1:33" ht="13" hidden="1" outlineLevel="1" x14ac:dyDescent="0.3">
      <c r="A3224" s="7" t="s">
        <v>1013</v>
      </c>
      <c r="C3224" s="29"/>
      <c r="D3224" s="36">
        <v>0</v>
      </c>
      <c r="E3224" s="36">
        <v>0</v>
      </c>
      <c r="F3224" s="22">
        <v>0</v>
      </c>
      <c r="G3224" s="22">
        <v>0</v>
      </c>
      <c r="H3224" s="22">
        <v>0</v>
      </c>
      <c r="I3224" s="22">
        <v>0</v>
      </c>
      <c r="J3224" s="22">
        <v>0</v>
      </c>
      <c r="K3224" s="22">
        <v>0</v>
      </c>
      <c r="L3224" s="22"/>
      <c r="M3224" s="36"/>
      <c r="N3224" s="36"/>
      <c r="O3224" s="36">
        <v>0</v>
      </c>
      <c r="P3224" s="36">
        <v>0</v>
      </c>
      <c r="Q3224" s="36">
        <v>0</v>
      </c>
      <c r="R3224" s="36">
        <v>0</v>
      </c>
      <c r="S3224" s="36">
        <v>0</v>
      </c>
      <c r="T3224" s="36"/>
      <c r="U3224" s="36"/>
      <c r="V3224" s="58"/>
      <c r="W3224" s="36">
        <v>0</v>
      </c>
      <c r="X3224" s="36">
        <v>0</v>
      </c>
      <c r="Y3224" s="36"/>
      <c r="Z3224" s="36"/>
      <c r="AA3224" s="40"/>
      <c r="AB3224" s="60"/>
      <c r="AC3224" s="98"/>
      <c r="AD3224" s="36"/>
      <c r="AE3224" s="36"/>
      <c r="AF3224" s="36"/>
      <c r="AG3224" s="99"/>
    </row>
    <row r="3225" spans="1:33" ht="13" hidden="1" outlineLevel="1" x14ac:dyDescent="0.3">
      <c r="A3225" t="s">
        <v>1014</v>
      </c>
      <c r="C3225" s="30"/>
      <c r="D3225" s="36"/>
      <c r="E3225" s="36"/>
      <c r="F3225" s="57"/>
      <c r="G3225" s="57"/>
      <c r="H3225" s="57"/>
      <c r="I3225" s="57"/>
      <c r="J3225" s="57"/>
      <c r="K3225" s="57"/>
      <c r="L3225" s="57"/>
      <c r="M3225" s="36"/>
      <c r="N3225" s="36"/>
      <c r="O3225" s="36"/>
      <c r="P3225" s="36" t="s">
        <v>1015</v>
      </c>
      <c r="Q3225" s="36" t="s">
        <v>1016</v>
      </c>
      <c r="R3225" s="36"/>
      <c r="S3225" s="36"/>
      <c r="T3225" s="36"/>
      <c r="U3225" s="36"/>
      <c r="V3225" s="58"/>
      <c r="W3225" s="36"/>
      <c r="X3225" s="36"/>
      <c r="Y3225" s="36"/>
      <c r="Z3225" s="36"/>
      <c r="AA3225" s="40"/>
      <c r="AB3225" s="60"/>
      <c r="AC3225" s="98"/>
      <c r="AD3225" s="36"/>
      <c r="AE3225" s="36"/>
      <c r="AF3225" s="36"/>
      <c r="AG3225" s="99"/>
    </row>
    <row r="3226" spans="1:33" ht="13" hidden="1" outlineLevel="1" x14ac:dyDescent="0.3">
      <c r="A3226" t="s">
        <v>1017</v>
      </c>
      <c r="C3226" s="31"/>
      <c r="D3226" s="36" t="s">
        <v>1019</v>
      </c>
      <c r="E3226" s="36" t="s">
        <v>1020</v>
      </c>
      <c r="F3226" s="22" t="s">
        <v>1021</v>
      </c>
      <c r="G3226" s="22" t="s">
        <v>1022</v>
      </c>
      <c r="H3226" s="22" t="s">
        <v>1023</v>
      </c>
      <c r="I3226" s="22" t="s">
        <v>1024</v>
      </c>
      <c r="J3226" s="22" t="s">
        <v>1025</v>
      </c>
      <c r="K3226" s="22" t="s">
        <v>1026</v>
      </c>
      <c r="L3226" s="22"/>
      <c r="M3226" s="36"/>
      <c r="N3226" s="36"/>
      <c r="O3226" s="36" t="s">
        <v>1027</v>
      </c>
      <c r="P3226" s="36" t="s">
        <v>1028</v>
      </c>
      <c r="Q3226" s="36" t="s">
        <v>1028</v>
      </c>
      <c r="R3226" s="36" t="s">
        <v>1028</v>
      </c>
      <c r="S3226" s="36" t="s">
        <v>1029</v>
      </c>
      <c r="T3226" s="36"/>
      <c r="U3226" s="36"/>
      <c r="V3226" s="58"/>
      <c r="W3226" s="36" t="s">
        <v>1030</v>
      </c>
      <c r="X3226" s="36" t="s">
        <v>1031</v>
      </c>
      <c r="Y3226" s="36"/>
      <c r="Z3226" s="36"/>
      <c r="AA3226" s="40"/>
      <c r="AB3226" s="60"/>
      <c r="AC3226" s="98"/>
      <c r="AD3226" s="36"/>
      <c r="AE3226" s="36"/>
      <c r="AF3226" s="36"/>
      <c r="AG3226" s="99"/>
    </row>
    <row r="3227" spans="1:33" ht="13" outlineLevel="1" x14ac:dyDescent="0.3">
      <c r="A3227" t="s">
        <v>1041</v>
      </c>
      <c r="C3227" s="31" t="s">
        <v>133</v>
      </c>
      <c r="D3227" s="33">
        <v>-20561</v>
      </c>
      <c r="E3227" s="33">
        <v>-20561</v>
      </c>
      <c r="F3227" s="23">
        <v>0</v>
      </c>
      <c r="G3227" s="23">
        <v>0</v>
      </c>
      <c r="H3227" s="23">
        <v>0</v>
      </c>
      <c r="I3227" s="23">
        <v>0</v>
      </c>
      <c r="J3227" s="23">
        <v>0</v>
      </c>
      <c r="K3227" s="23">
        <v>0</v>
      </c>
      <c r="L3227" s="23">
        <f>SUM(F3227:K3227)</f>
        <v>0</v>
      </c>
      <c r="M3227" s="33">
        <f>O3227-E3227</f>
        <v>0</v>
      </c>
      <c r="N3227" s="33">
        <f>O3227-D3227</f>
        <v>0</v>
      </c>
      <c r="O3227" s="33">
        <v>-20561</v>
      </c>
      <c r="P3227" s="33">
        <v>0</v>
      </c>
      <c r="Q3227" s="33">
        <v>0</v>
      </c>
      <c r="R3227" s="33">
        <v>0</v>
      </c>
      <c r="S3227" s="33">
        <v>0</v>
      </c>
      <c r="T3227" s="33">
        <f>R3227-S3227</f>
        <v>0</v>
      </c>
      <c r="U3227" s="38">
        <f>IFERROR((R3227/O3227)*100%,"∞")</f>
        <v>0</v>
      </c>
      <c r="V3227" s="59">
        <f>O3227+W3227</f>
        <v>-20561</v>
      </c>
      <c r="W3227" s="33">
        <v>0</v>
      </c>
      <c r="X3227" s="33">
        <v>0</v>
      </c>
      <c r="Y3227" s="33"/>
      <c r="Z3227" s="33"/>
      <c r="AA3227" s="42"/>
      <c r="AB3227" s="60"/>
      <c r="AC3227" s="105"/>
      <c r="AD3227" s="93"/>
      <c r="AE3227" s="33">
        <f>SUM(AC3227:AD3227)</f>
        <v>0</v>
      </c>
      <c r="AF3227" s="33">
        <f>R3227+AE3227</f>
        <v>0</v>
      </c>
      <c r="AG3227" s="101">
        <f>AF3227-O3227</f>
        <v>20561</v>
      </c>
    </row>
    <row r="3228" spans="1:33" hidden="1" outlineLevel="1" x14ac:dyDescent="0.25">
      <c r="A3228" t="s">
        <v>232</v>
      </c>
    </row>
    <row r="3229" spans="1:33" hidden="1" outlineLevel="1" x14ac:dyDescent="0.25">
      <c r="A3229" t="s">
        <v>944</v>
      </c>
      <c r="M3229" s="19"/>
      <c r="N3229" s="19"/>
    </row>
    <row r="3230" spans="1:33" hidden="1" outlineLevel="1" x14ac:dyDescent="0.25">
      <c r="A3230" t="s">
        <v>946</v>
      </c>
      <c r="E3230" s="19"/>
    </row>
    <row r="3231" spans="1:33" hidden="1" outlineLevel="1" x14ac:dyDescent="0.25">
      <c r="A3231" t="s">
        <v>947</v>
      </c>
      <c r="E3231" s="19"/>
      <c r="F3231" s="19"/>
    </row>
    <row r="3232" spans="1:33" ht="13" hidden="1" outlineLevel="1" x14ac:dyDescent="0.3">
      <c r="A3232" s="20" t="s">
        <v>948</v>
      </c>
    </row>
    <row r="3233" spans="1:3" hidden="1" outlineLevel="1" x14ac:dyDescent="0.25">
      <c r="A3233" s="7" t="s">
        <v>949</v>
      </c>
    </row>
    <row r="3234" spans="1:3" hidden="1" outlineLevel="1" x14ac:dyDescent="0.25">
      <c r="A3234" t="s">
        <v>950</v>
      </c>
    </row>
    <row r="3235" spans="1:3" hidden="1" outlineLevel="1" x14ac:dyDescent="0.25">
      <c r="A3235" t="s">
        <v>951</v>
      </c>
    </row>
    <row r="3236" spans="1:3" ht="13" hidden="1" outlineLevel="1" x14ac:dyDescent="0.3">
      <c r="A3236" s="21" t="str">
        <f>CONCATENATE("sql where a.client = '",$D$172,"' and a.period between '",LEFT($D$170,4),"00' and '",LEFT($D$171,4),"14' and a.version like '%ORIG%'")</f>
        <v>sql where a.client = 'OX' and a.period between '202500' and '202514' and a.version like '%ORIG%'</v>
      </c>
    </row>
    <row r="3237" spans="1:3" hidden="1" outlineLevel="1" x14ac:dyDescent="0.25">
      <c r="A3237" t="s">
        <v>952</v>
      </c>
    </row>
    <row r="3238" spans="1:3" hidden="1" outlineLevel="1" x14ac:dyDescent="0.25">
      <c r="A3238" t="s">
        <v>953</v>
      </c>
    </row>
    <row r="3239" spans="1:3" hidden="1" outlineLevel="1" x14ac:dyDescent="0.25">
      <c r="A3239" t="s">
        <v>954</v>
      </c>
    </row>
    <row r="3240" spans="1:3" ht="13" hidden="1" outlineLevel="1" x14ac:dyDescent="0.3">
      <c r="A3240" s="20" t="s">
        <v>955</v>
      </c>
    </row>
    <row r="3241" spans="1:3" hidden="1" outlineLevel="1" x14ac:dyDescent="0.25">
      <c r="A3241" s="7" t="s">
        <v>956</v>
      </c>
    </row>
    <row r="3242" spans="1:3" hidden="1" outlineLevel="1" x14ac:dyDescent="0.25">
      <c r="A3242" t="s">
        <v>950</v>
      </c>
    </row>
    <row r="3243" spans="1:3" hidden="1" outlineLevel="1" x14ac:dyDescent="0.25">
      <c r="A3243" t="s">
        <v>951</v>
      </c>
    </row>
    <row r="3244" spans="1:3" ht="14.5" hidden="1" outlineLevel="1" x14ac:dyDescent="0.35">
      <c r="A324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244" s="2"/>
    </row>
    <row r="3245" spans="1:3" hidden="1" outlineLevel="1" x14ac:dyDescent="0.25">
      <c r="A3245" t="s">
        <v>952</v>
      </c>
    </row>
    <row r="3246" spans="1:3" hidden="1" outlineLevel="1" x14ac:dyDescent="0.25">
      <c r="A3246" t="s">
        <v>953</v>
      </c>
    </row>
    <row r="3247" spans="1:3" hidden="1" outlineLevel="1" x14ac:dyDescent="0.25">
      <c r="A3247" t="s">
        <v>954</v>
      </c>
    </row>
    <row r="3248" spans="1:3" ht="13" hidden="1" outlineLevel="1" x14ac:dyDescent="0.3">
      <c r="A3248" s="66" t="s">
        <v>957</v>
      </c>
    </row>
    <row r="3249" spans="1:1" hidden="1" outlineLevel="1" x14ac:dyDescent="0.25">
      <c r="A3249" t="s">
        <v>958</v>
      </c>
    </row>
    <row r="3250" spans="1:1" hidden="1" outlineLevel="1" x14ac:dyDescent="0.25">
      <c r="A3250" t="s">
        <v>950</v>
      </c>
    </row>
    <row r="3251" spans="1:1" ht="13" hidden="1" outlineLevel="1" x14ac:dyDescent="0.3">
      <c r="A325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252" spans="1:1" ht="13" hidden="1" outlineLevel="1" x14ac:dyDescent="0.3">
      <c r="A3252" s="21" t="s">
        <v>959</v>
      </c>
    </row>
    <row r="3253" spans="1:1" hidden="1" outlineLevel="1" x14ac:dyDescent="0.25">
      <c r="A3253" t="s">
        <v>960</v>
      </c>
    </row>
    <row r="3254" spans="1:1" hidden="1" outlineLevel="1" x14ac:dyDescent="0.25">
      <c r="A3254" t="s">
        <v>961</v>
      </c>
    </row>
    <row r="3255" spans="1:1" hidden="1" outlineLevel="1" x14ac:dyDescent="0.25">
      <c r="A3255" t="str">
        <f>CONCATENATE("sql left outer join acrtrees t on t.client = x.client and x.dim_1 = t.cat_1 and t.att_agrid = '",$F$159,"'")</f>
        <v>sql left outer join acrtrees t on t.client = x.client and x.dim_1 = t.cat_1 and t.att_agrid = '53'</v>
      </c>
    </row>
    <row r="3256" spans="1:1" ht="13" hidden="1" outlineLevel="1" x14ac:dyDescent="0.3">
      <c r="A325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257" spans="1:1" ht="13" hidden="1" outlineLevel="1" x14ac:dyDescent="0.3">
      <c r="A3257" s="21" t="s">
        <v>962</v>
      </c>
    </row>
    <row r="3258" spans="1:1" ht="13" hidden="1" outlineLevel="1" x14ac:dyDescent="0.3">
      <c r="A325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259" spans="1:1" ht="13" hidden="1" outlineLevel="1" x14ac:dyDescent="0.3">
      <c r="A3259" s="21" t="s">
        <v>963</v>
      </c>
    </row>
    <row r="3260" spans="1:1" hidden="1" outlineLevel="1" x14ac:dyDescent="0.25">
      <c r="A3260" t="s">
        <v>964</v>
      </c>
    </row>
    <row r="3261" spans="1:1" hidden="1" outlineLevel="1" x14ac:dyDescent="0.25">
      <c r="A3261" t="s">
        <v>965</v>
      </c>
    </row>
    <row r="3262" spans="1:1" hidden="1" outlineLevel="1" x14ac:dyDescent="0.25">
      <c r="A3262" t="s">
        <v>966</v>
      </c>
    </row>
    <row r="3263" spans="1:1" hidden="1" outlineLevel="1" x14ac:dyDescent="0.25">
      <c r="A3263" t="s">
        <v>953</v>
      </c>
    </row>
    <row r="3264" spans="1:1" hidden="1" outlineLevel="1" x14ac:dyDescent="0.25">
      <c r="A3264" t="s">
        <v>954</v>
      </c>
    </row>
    <row r="3265" spans="1:1" ht="13" hidden="1" outlineLevel="1" x14ac:dyDescent="0.3">
      <c r="A3265" s="66" t="s">
        <v>967</v>
      </c>
    </row>
    <row r="3266" spans="1:1" hidden="1" outlineLevel="1" x14ac:dyDescent="0.25">
      <c r="A3266" t="s">
        <v>968</v>
      </c>
    </row>
    <row r="3267" spans="1:1" hidden="1" outlineLevel="1" x14ac:dyDescent="0.25">
      <c r="A3267" t="s">
        <v>950</v>
      </c>
    </row>
    <row r="3268" spans="1:1" ht="13" hidden="1" outlineLevel="1" x14ac:dyDescent="0.3">
      <c r="A326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269" spans="1:1" ht="13" hidden="1" outlineLevel="1" x14ac:dyDescent="0.3">
      <c r="A3269" s="21" t="s">
        <v>969</v>
      </c>
    </row>
    <row r="3270" spans="1:1" ht="13" hidden="1" outlineLevel="1" x14ac:dyDescent="0.3">
      <c r="A3270" s="21" t="s">
        <v>959</v>
      </c>
    </row>
    <row r="3271" spans="1:1" hidden="1" outlineLevel="1" x14ac:dyDescent="0.25">
      <c r="A3271" t="s">
        <v>960</v>
      </c>
    </row>
    <row r="3272" spans="1:1" hidden="1" outlineLevel="1" x14ac:dyDescent="0.25">
      <c r="A3272" t="s">
        <v>961</v>
      </c>
    </row>
    <row r="3273" spans="1:1" hidden="1" outlineLevel="1" x14ac:dyDescent="0.25">
      <c r="A3273" t="str">
        <f>CONCATENATE("sql left outer join acrtrees t on t.client = x.client and x.dim_1 = t.cat_1 and t.att_agrid = '",$F$159,"'")</f>
        <v>sql left outer join acrtrees t on t.client = x.client and x.dim_1 = t.cat_1 and t.att_agrid = '53'</v>
      </c>
    </row>
    <row r="3274" spans="1:1" ht="13" hidden="1" outlineLevel="1" x14ac:dyDescent="0.3">
      <c r="A327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275" spans="1:1" ht="13" hidden="1" outlineLevel="1" x14ac:dyDescent="0.3">
      <c r="A3275" s="21" t="s">
        <v>970</v>
      </c>
    </row>
    <row r="3276" spans="1:1" ht="13" hidden="1" outlineLevel="1" x14ac:dyDescent="0.3">
      <c r="A3276" s="21" t="s">
        <v>962</v>
      </c>
    </row>
    <row r="3277" spans="1:1" ht="13" hidden="1" outlineLevel="1" x14ac:dyDescent="0.3">
      <c r="A327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278" spans="1:1" ht="13" hidden="1" outlineLevel="1" x14ac:dyDescent="0.3">
      <c r="A3278" s="21" t="s">
        <v>970</v>
      </c>
    </row>
    <row r="3279" spans="1:1" ht="13" hidden="1" outlineLevel="1" x14ac:dyDescent="0.3">
      <c r="A3279" s="21" t="s">
        <v>963</v>
      </c>
    </row>
    <row r="3280" spans="1:1" hidden="1" outlineLevel="1" x14ac:dyDescent="0.25">
      <c r="A3280" t="s">
        <v>964</v>
      </c>
    </row>
    <row r="3281" spans="1:1" hidden="1" outlineLevel="1" x14ac:dyDescent="0.25">
      <c r="A3281" t="s">
        <v>965</v>
      </c>
    </row>
    <row r="3282" spans="1:1" hidden="1" outlineLevel="1" x14ac:dyDescent="0.25">
      <c r="A3282" t="s">
        <v>966</v>
      </c>
    </row>
    <row r="3283" spans="1:1" hidden="1" outlineLevel="1" x14ac:dyDescent="0.25">
      <c r="A3283" t="s">
        <v>953</v>
      </c>
    </row>
    <row r="3284" spans="1:1" hidden="1" outlineLevel="1" x14ac:dyDescent="0.25">
      <c r="A3284" t="s">
        <v>954</v>
      </c>
    </row>
    <row r="3285" spans="1:1" ht="13" hidden="1" outlineLevel="1" x14ac:dyDescent="0.3">
      <c r="A3285" s="66" t="s">
        <v>971</v>
      </c>
    </row>
    <row r="3286" spans="1:1" hidden="1" outlineLevel="1" x14ac:dyDescent="0.25">
      <c r="A3286" t="s">
        <v>972</v>
      </c>
    </row>
    <row r="3287" spans="1:1" hidden="1" outlineLevel="1" x14ac:dyDescent="0.25">
      <c r="A3287" t="s">
        <v>950</v>
      </c>
    </row>
    <row r="3288" spans="1:1" ht="13" hidden="1" outlineLevel="1" x14ac:dyDescent="0.3">
      <c r="A328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289" spans="1:1" ht="13" hidden="1" outlineLevel="1" x14ac:dyDescent="0.3">
      <c r="A3289" s="21" t="s">
        <v>959</v>
      </c>
    </row>
    <row r="3290" spans="1:1" hidden="1" outlineLevel="1" x14ac:dyDescent="0.25">
      <c r="A3290" t="s">
        <v>960</v>
      </c>
    </row>
    <row r="3291" spans="1:1" hidden="1" outlineLevel="1" x14ac:dyDescent="0.25">
      <c r="A3291" t="s">
        <v>961</v>
      </c>
    </row>
    <row r="3292" spans="1:1" hidden="1" outlineLevel="1" x14ac:dyDescent="0.25">
      <c r="A3292" t="str">
        <f>CONCATENATE("sql left outer join acrtrees t on t.client = x.client and x.dim_1 = t.cat_1 and t.att_agrid = '",$F$159,"'")</f>
        <v>sql left outer join acrtrees t on t.client = x.client and x.dim_1 = t.cat_1 and t.att_agrid = '53'</v>
      </c>
    </row>
    <row r="3293" spans="1:1" ht="13" hidden="1" outlineLevel="1" x14ac:dyDescent="0.3">
      <c r="A329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294" spans="1:1" ht="13" hidden="1" outlineLevel="1" x14ac:dyDescent="0.3">
      <c r="A3294" s="21" t="s">
        <v>973</v>
      </c>
    </row>
    <row r="3295" spans="1:1" hidden="1" outlineLevel="1" x14ac:dyDescent="0.25">
      <c r="A3295" t="s">
        <v>964</v>
      </c>
    </row>
    <row r="3296" spans="1:1" hidden="1" outlineLevel="1" x14ac:dyDescent="0.25">
      <c r="A3296" t="s">
        <v>965</v>
      </c>
    </row>
    <row r="3297" spans="1:1" hidden="1" outlineLevel="1" x14ac:dyDescent="0.25">
      <c r="A3297" t="s">
        <v>966</v>
      </c>
    </row>
    <row r="3298" spans="1:1" hidden="1" outlineLevel="1" x14ac:dyDescent="0.25">
      <c r="A3298" t="s">
        <v>953</v>
      </c>
    </row>
    <row r="3299" spans="1:1" hidden="1" outlineLevel="1" x14ac:dyDescent="0.25">
      <c r="A3299" t="s">
        <v>954</v>
      </c>
    </row>
    <row r="3300" spans="1:1" ht="13" hidden="1" outlineLevel="1" x14ac:dyDescent="0.3">
      <c r="A3300" s="66" t="s">
        <v>974</v>
      </c>
    </row>
    <row r="3301" spans="1:1" hidden="1" outlineLevel="1" x14ac:dyDescent="0.25">
      <c r="A3301" t="s">
        <v>975</v>
      </c>
    </row>
    <row r="3302" spans="1:1" hidden="1" outlineLevel="1" x14ac:dyDescent="0.25">
      <c r="A3302" t="s">
        <v>950</v>
      </c>
    </row>
    <row r="3303" spans="1:1" ht="13" hidden="1" outlineLevel="1" x14ac:dyDescent="0.3">
      <c r="A330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304" spans="1:1" ht="13" hidden="1" outlineLevel="1" x14ac:dyDescent="0.3">
      <c r="A3304" s="21" t="s">
        <v>959</v>
      </c>
    </row>
    <row r="3305" spans="1:1" hidden="1" outlineLevel="1" x14ac:dyDescent="0.25">
      <c r="A3305" t="s">
        <v>960</v>
      </c>
    </row>
    <row r="3306" spans="1:1" hidden="1" outlineLevel="1" x14ac:dyDescent="0.25">
      <c r="A3306" t="s">
        <v>961</v>
      </c>
    </row>
    <row r="3307" spans="1:1" hidden="1" outlineLevel="1" x14ac:dyDescent="0.25">
      <c r="A3307" t="str">
        <f>CONCATENATE("sql left outer join acrtrees t on t.client = x.client and x.dim_1 = t.cat_1 and t.att_agrid = '",$F$159,"'")</f>
        <v>sql left outer join acrtrees t on t.client = x.client and x.dim_1 = t.cat_1 and t.att_agrid = '53'</v>
      </c>
    </row>
    <row r="3308" spans="1:1" ht="13" hidden="1" outlineLevel="1" x14ac:dyDescent="0.3">
      <c r="A330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309" spans="1:1" ht="13" hidden="1" outlineLevel="1" x14ac:dyDescent="0.3">
      <c r="A3309" s="21" t="s">
        <v>973</v>
      </c>
    </row>
    <row r="3310" spans="1:1" hidden="1" outlineLevel="1" x14ac:dyDescent="0.25">
      <c r="A3310" t="s">
        <v>964</v>
      </c>
    </row>
    <row r="3311" spans="1:1" hidden="1" outlineLevel="1" x14ac:dyDescent="0.25">
      <c r="A3311" t="s">
        <v>965</v>
      </c>
    </row>
    <row r="3312" spans="1:1" hidden="1" outlineLevel="1" x14ac:dyDescent="0.25">
      <c r="A3312" t="s">
        <v>966</v>
      </c>
    </row>
    <row r="3313" spans="1:1" hidden="1" outlineLevel="1" x14ac:dyDescent="0.25">
      <c r="A3313" t="s">
        <v>953</v>
      </c>
    </row>
    <row r="3314" spans="1:1" hidden="1" outlineLevel="1" x14ac:dyDescent="0.25">
      <c r="A3314" t="s">
        <v>954</v>
      </c>
    </row>
    <row r="3315" spans="1:1" ht="13" hidden="1" outlineLevel="1" x14ac:dyDescent="0.3">
      <c r="A3315" s="66" t="s">
        <v>976</v>
      </c>
    </row>
    <row r="3316" spans="1:1" hidden="1" outlineLevel="1" x14ac:dyDescent="0.25">
      <c r="A3316" t="s">
        <v>977</v>
      </c>
    </row>
    <row r="3317" spans="1:1" hidden="1" outlineLevel="1" x14ac:dyDescent="0.25">
      <c r="A3317" t="s">
        <v>950</v>
      </c>
    </row>
    <row r="3318" spans="1:1" ht="13" hidden="1" outlineLevel="1" x14ac:dyDescent="0.3">
      <c r="A331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319" spans="1:1" ht="13" hidden="1" outlineLevel="1" x14ac:dyDescent="0.3">
      <c r="A3319" s="21" t="s">
        <v>959</v>
      </c>
    </row>
    <row r="3320" spans="1:1" hidden="1" outlineLevel="1" x14ac:dyDescent="0.25">
      <c r="A3320" t="s">
        <v>960</v>
      </c>
    </row>
    <row r="3321" spans="1:1" hidden="1" outlineLevel="1" x14ac:dyDescent="0.25">
      <c r="A3321" t="s">
        <v>961</v>
      </c>
    </row>
    <row r="3322" spans="1:1" hidden="1" outlineLevel="1" x14ac:dyDescent="0.25">
      <c r="A3322" t="str">
        <f>CONCATENATE("sql left outer join acrtrees t on t.client = x.client and x.dim_1 = t.cat_1 and t.att_agrid = '",$F$159,"'")</f>
        <v>sql left outer join acrtrees t on t.client = x.client and x.dim_1 = t.cat_1 and t.att_agrid = '53'</v>
      </c>
    </row>
    <row r="3323" spans="1:1" ht="13" hidden="1" outlineLevel="1" x14ac:dyDescent="0.3">
      <c r="A332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324" spans="1:1" ht="13" hidden="1" outlineLevel="1" x14ac:dyDescent="0.3">
      <c r="A3324" s="21" t="s">
        <v>978</v>
      </c>
    </row>
    <row r="3325" spans="1:1" hidden="1" outlineLevel="1" x14ac:dyDescent="0.25">
      <c r="A3325" t="s">
        <v>979</v>
      </c>
    </row>
    <row r="3326" spans="1:1" hidden="1" outlineLevel="1" x14ac:dyDescent="0.25">
      <c r="A3326" t="s">
        <v>980</v>
      </c>
    </row>
    <row r="3327" spans="1:1" hidden="1" outlineLevel="1" x14ac:dyDescent="0.25">
      <c r="A3327" t="s">
        <v>966</v>
      </c>
    </row>
    <row r="3328" spans="1:1" hidden="1" outlineLevel="1" x14ac:dyDescent="0.25">
      <c r="A3328" t="s">
        <v>953</v>
      </c>
    </row>
    <row r="3329" spans="1:1" hidden="1" outlineLevel="1" x14ac:dyDescent="0.25">
      <c r="A3329" t="s">
        <v>954</v>
      </c>
    </row>
    <row r="3330" spans="1:1" ht="13" hidden="1" outlineLevel="1" x14ac:dyDescent="0.3">
      <c r="A3330" s="66" t="s">
        <v>981</v>
      </c>
    </row>
    <row r="3331" spans="1:1" hidden="1" outlineLevel="1" x14ac:dyDescent="0.25">
      <c r="A3331" t="s">
        <v>982</v>
      </c>
    </row>
    <row r="3332" spans="1:1" hidden="1" outlineLevel="1" x14ac:dyDescent="0.25">
      <c r="A3332" t="s">
        <v>950</v>
      </c>
    </row>
    <row r="3333" spans="1:1" ht="13" hidden="1" outlineLevel="1" x14ac:dyDescent="0.3">
      <c r="A333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334" spans="1:1" ht="13" hidden="1" outlineLevel="1" x14ac:dyDescent="0.3">
      <c r="A3334" s="21" t="s">
        <v>969</v>
      </c>
    </row>
    <row r="3335" spans="1:1" ht="13" hidden="1" outlineLevel="1" x14ac:dyDescent="0.3">
      <c r="A3335" s="21" t="s">
        <v>959</v>
      </c>
    </row>
    <row r="3336" spans="1:1" hidden="1" outlineLevel="1" x14ac:dyDescent="0.25">
      <c r="A3336" t="s">
        <v>960</v>
      </c>
    </row>
    <row r="3337" spans="1:1" hidden="1" outlineLevel="1" x14ac:dyDescent="0.25">
      <c r="A3337" t="s">
        <v>961</v>
      </c>
    </row>
    <row r="3338" spans="1:1" hidden="1" outlineLevel="1" x14ac:dyDescent="0.25">
      <c r="A3338" t="str">
        <f>CONCATENATE("sql left outer join acrtrees t on t.client = x.client and x.dim_1 = t.cat_1 and t.att_agrid = '",$F$159,"'")</f>
        <v>sql left outer join acrtrees t on t.client = x.client and x.dim_1 = t.cat_1 and t.att_agrid = '53'</v>
      </c>
    </row>
    <row r="3339" spans="1:1" ht="13" hidden="1" outlineLevel="1" x14ac:dyDescent="0.3">
      <c r="A333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340" spans="1:1" ht="13" hidden="1" outlineLevel="1" x14ac:dyDescent="0.3">
      <c r="A3340" s="21" t="s">
        <v>970</v>
      </c>
    </row>
    <row r="3341" spans="1:1" ht="13" hidden="1" outlineLevel="1" x14ac:dyDescent="0.3">
      <c r="A3341" s="21" t="s">
        <v>978</v>
      </c>
    </row>
    <row r="3342" spans="1:1" hidden="1" outlineLevel="1" x14ac:dyDescent="0.25">
      <c r="A3342" t="s">
        <v>979</v>
      </c>
    </row>
    <row r="3343" spans="1:1" hidden="1" outlineLevel="1" x14ac:dyDescent="0.25">
      <c r="A3343" t="s">
        <v>980</v>
      </c>
    </row>
    <row r="3344" spans="1:1" hidden="1" outlineLevel="1" x14ac:dyDescent="0.25">
      <c r="A3344" t="s">
        <v>966</v>
      </c>
    </row>
    <row r="3345" spans="1:3" hidden="1" outlineLevel="1" x14ac:dyDescent="0.25">
      <c r="A3345" t="s">
        <v>953</v>
      </c>
    </row>
    <row r="3346" spans="1:3" hidden="1" outlineLevel="1" x14ac:dyDescent="0.25">
      <c r="A3346" t="s">
        <v>954</v>
      </c>
    </row>
    <row r="3347" spans="1:3" ht="13" hidden="1" outlineLevel="1" x14ac:dyDescent="0.3">
      <c r="A3347" s="20" t="s">
        <v>983</v>
      </c>
    </row>
    <row r="3348" spans="1:3" hidden="1" outlineLevel="1" x14ac:dyDescent="0.25">
      <c r="A3348" s="7" t="s">
        <v>984</v>
      </c>
    </row>
    <row r="3349" spans="1:3" hidden="1" outlineLevel="1" x14ac:dyDescent="0.25">
      <c r="A3349" t="s">
        <v>950</v>
      </c>
    </row>
    <row r="3350" spans="1:3" hidden="1" outlineLevel="1" x14ac:dyDescent="0.25">
      <c r="A3350" t="s">
        <v>951</v>
      </c>
    </row>
    <row r="3351" spans="1:3" ht="14.5" hidden="1" outlineLevel="1" x14ac:dyDescent="0.35">
      <c r="A335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351" s="2"/>
    </row>
    <row r="3352" spans="1:3" hidden="1" outlineLevel="1" x14ac:dyDescent="0.25">
      <c r="A3352" t="s">
        <v>952</v>
      </c>
    </row>
    <row r="3353" spans="1:3" hidden="1" outlineLevel="1" x14ac:dyDescent="0.25">
      <c r="A3353" t="s">
        <v>953</v>
      </c>
    </row>
    <row r="3354" spans="1:3" hidden="1" outlineLevel="1" x14ac:dyDescent="0.25">
      <c r="A3354" t="s">
        <v>954</v>
      </c>
    </row>
    <row r="3355" spans="1:3" ht="13" hidden="1" outlineLevel="1" x14ac:dyDescent="0.3">
      <c r="A3355" s="20" t="s">
        <v>985</v>
      </c>
    </row>
    <row r="3356" spans="1:3" hidden="1" outlineLevel="1" x14ac:dyDescent="0.25">
      <c r="A3356" s="7" t="s">
        <v>986</v>
      </c>
    </row>
    <row r="3357" spans="1:3" hidden="1" outlineLevel="1" x14ac:dyDescent="0.25">
      <c r="A3357" t="s">
        <v>987</v>
      </c>
    </row>
    <row r="3358" spans="1:3" ht="13" hidden="1" outlineLevel="1" x14ac:dyDescent="0.3">
      <c r="A3358" s="21" t="str">
        <f>CONCATENATE("sql where a.client = '",$D$172,"' and a.period between '",LEFT($D$170,4),"00' and '",IF(RIGHT($D$171,2)="12",CONCATENATE(LEFT($D$171,4),"14"),$D$171),"'")</f>
        <v>sql where a.client = 'OX' and a.period between '202500' and '202506'</v>
      </c>
    </row>
    <row r="3359" spans="1:3" hidden="1" outlineLevel="1" x14ac:dyDescent="0.25">
      <c r="A3359" t="s">
        <v>952</v>
      </c>
    </row>
    <row r="3360" spans="1:3" hidden="1" outlineLevel="1" x14ac:dyDescent="0.25">
      <c r="A3360" t="s">
        <v>953</v>
      </c>
    </row>
    <row r="3361" spans="1:1" hidden="1" outlineLevel="1" x14ac:dyDescent="0.25">
      <c r="A3361" t="s">
        <v>954</v>
      </c>
    </row>
    <row r="3362" spans="1:1" ht="13" hidden="1" outlineLevel="1" x14ac:dyDescent="0.3">
      <c r="A3362" s="20" t="s">
        <v>988</v>
      </c>
    </row>
    <row r="3363" spans="1:1" hidden="1" outlineLevel="1" x14ac:dyDescent="0.25">
      <c r="A3363" s="7" t="s">
        <v>989</v>
      </c>
    </row>
    <row r="3364" spans="1:1" hidden="1" outlineLevel="1" x14ac:dyDescent="0.25">
      <c r="A3364" t="s">
        <v>950</v>
      </c>
    </row>
    <row r="3365" spans="1:1" hidden="1" outlineLevel="1" x14ac:dyDescent="0.25">
      <c r="A3365" t="s">
        <v>951</v>
      </c>
    </row>
    <row r="3366" spans="1:1" ht="13" hidden="1" outlineLevel="1" x14ac:dyDescent="0.3">
      <c r="A336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367" spans="1:1" hidden="1" outlineLevel="1" x14ac:dyDescent="0.25">
      <c r="A3367" t="s">
        <v>952</v>
      </c>
    </row>
    <row r="3368" spans="1:1" hidden="1" outlineLevel="1" x14ac:dyDescent="0.25">
      <c r="A3368" t="s">
        <v>953</v>
      </c>
    </row>
    <row r="3369" spans="1:1" hidden="1" outlineLevel="1" x14ac:dyDescent="0.25">
      <c r="A3369" t="s">
        <v>954</v>
      </c>
    </row>
    <row r="3370" spans="1:1" ht="13" hidden="1" outlineLevel="1" x14ac:dyDescent="0.3">
      <c r="A3370" s="20" t="s">
        <v>990</v>
      </c>
    </row>
    <row r="3371" spans="1:1" hidden="1" outlineLevel="1" x14ac:dyDescent="0.25">
      <c r="A3371" s="7" t="s">
        <v>991</v>
      </c>
    </row>
    <row r="3372" spans="1:1" hidden="1" outlineLevel="1" x14ac:dyDescent="0.25">
      <c r="A3372" t="s">
        <v>950</v>
      </c>
    </row>
    <row r="3373" spans="1:1" hidden="1" outlineLevel="1" x14ac:dyDescent="0.25">
      <c r="A3373" t="s">
        <v>951</v>
      </c>
    </row>
    <row r="3374" spans="1:1" ht="13" hidden="1" outlineLevel="1" x14ac:dyDescent="0.3">
      <c r="A337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375" spans="1:1" hidden="1" outlineLevel="1" x14ac:dyDescent="0.25">
      <c r="A3375" t="s">
        <v>952</v>
      </c>
    </row>
    <row r="3376" spans="1:1" hidden="1" outlineLevel="1" x14ac:dyDescent="0.25">
      <c r="A3376" t="s">
        <v>953</v>
      </c>
    </row>
    <row r="3377" spans="1:1" hidden="1" outlineLevel="1" x14ac:dyDescent="0.25">
      <c r="A3377" t="s">
        <v>954</v>
      </c>
    </row>
    <row r="3378" spans="1:1" ht="13" hidden="1" outlineLevel="1" x14ac:dyDescent="0.3">
      <c r="A3378" s="20" t="s">
        <v>992</v>
      </c>
    </row>
    <row r="3379" spans="1:1" hidden="1" outlineLevel="1" x14ac:dyDescent="0.25">
      <c r="A3379" s="7" t="s">
        <v>993</v>
      </c>
    </row>
    <row r="3380" spans="1:1" hidden="1" outlineLevel="1" x14ac:dyDescent="0.25">
      <c r="A3380" t="s">
        <v>950</v>
      </c>
    </row>
    <row r="3381" spans="1:1" hidden="1" outlineLevel="1" x14ac:dyDescent="0.25">
      <c r="A3381" t="s">
        <v>951</v>
      </c>
    </row>
    <row r="3382" spans="1:1" ht="13" hidden="1" outlineLevel="1" x14ac:dyDescent="0.3">
      <c r="A338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383" spans="1:1" hidden="1" outlineLevel="1" x14ac:dyDescent="0.25">
      <c r="A3383" t="s">
        <v>952</v>
      </c>
    </row>
    <row r="3384" spans="1:1" hidden="1" outlineLevel="1" x14ac:dyDescent="0.25">
      <c r="A3384" t="s">
        <v>953</v>
      </c>
    </row>
    <row r="3385" spans="1:1" hidden="1" outlineLevel="1" x14ac:dyDescent="0.25">
      <c r="A3385" t="s">
        <v>994</v>
      </c>
    </row>
    <row r="3386" spans="1:1" hidden="1" outlineLevel="1" x14ac:dyDescent="0.25">
      <c r="A3386" t="str">
        <f>CONCATENATE("sql left outer join acrtrees t on t.client = u.client and u.dim_1 = t.cat_1 and t.att_agrid = '",$F$159,"'")</f>
        <v>sql left outer join acrtrees t on t.client = u.client and u.dim_1 = t.cat_1 and t.att_agrid = '53'</v>
      </c>
    </row>
    <row r="3387" spans="1:1" hidden="1" outlineLevel="1" x14ac:dyDescent="0.25">
      <c r="A3387" t="str">
        <f>CONCATENATE("sql left outer join acrtrees s on s.client = u.client and u.account = s.cat_1 and s.att_agrid = '",$F$160,"'")</f>
        <v>sql left outer join acrtrees s on s.client = u.client and u.account = s.cat_1 and s.att_agrid = '14'</v>
      </c>
    </row>
    <row r="3388" spans="1:1" hidden="1" outlineLevel="1" x14ac:dyDescent="0.25">
      <c r="A3388" t="str">
        <f>CONCATENATE("sql left outer join acrtrees v on v.client = u.client and u.account = v.cat_1 and v.att_agrid = '",$F$161,"'")</f>
        <v>sql left outer join acrtrees v on v.client = u.client and u.account = v.cat_1 and v.att_agrid = '17'</v>
      </c>
    </row>
    <row r="3389" spans="1:1" hidden="1" outlineLevel="1" x14ac:dyDescent="0.25">
      <c r="A3389" t="str">
        <f>CONCATENATE("sql left outer join agldescription d on d.client = u.client and d.dim_value = t.dim_c and d.attribute_id = '",$F$162,"'")</f>
        <v>sql left outer join agldescription d on d.client = u.client and d.dim_value = t.dim_c and d.attribute_id = '82'</v>
      </c>
    </row>
    <row r="3390" spans="1:1" hidden="1" outlineLevel="1" x14ac:dyDescent="0.25">
      <c r="A3390" t="str">
        <f>CONCATENATE("sql left outer join agldescription e on e.client = u.client and e.dim_value = t.dim_b and e.attribute_id = '",$F$163,"'")</f>
        <v>sql left outer join agldescription e on e.client = u.client and e.dim_value = t.dim_b and e.attribute_id = '81'</v>
      </c>
    </row>
    <row r="3391" spans="1:1" hidden="1" outlineLevel="1" x14ac:dyDescent="0.25">
      <c r="A3391" t="str">
        <f>CONCATENATE("sql left outer join agldescription f on f.client = u.client and f.dim_value = t.dim_e and f.attribute_id = '",$F$164,"'")</f>
        <v>sql left outer join agldescription f on f.client = u.client and f.dim_value = t.dim_e and f.attribute_id = '80'</v>
      </c>
    </row>
    <row r="3392" spans="1:1" hidden="1" outlineLevel="1" x14ac:dyDescent="0.25">
      <c r="A3392" t="str">
        <f>CONCATENATE("sql left outer join agldescription g on g.client = u.client and g.dim_value = u.account and g.attribute_id = '",$F$165,"'")</f>
        <v>sql left outer join agldescription g on g.client = u.client and g.dim_value = u.account and g.attribute_id = 'A0'</v>
      </c>
    </row>
    <row r="3393" spans="1:33" ht="14.5" hidden="1" outlineLevel="1" x14ac:dyDescent="0.35">
      <c r="A3393" s="67" t="s">
        <v>1070</v>
      </c>
      <c r="G3393" s="737" t="s">
        <v>1071</v>
      </c>
    </row>
    <row r="3394" spans="1:33" hidden="1" outlineLevel="1" x14ac:dyDescent="0.25">
      <c r="A3394" t="s">
        <v>1005</v>
      </c>
    </row>
    <row r="3395" spans="1:33" hidden="1" outlineLevel="1" x14ac:dyDescent="0.25">
      <c r="A3395" t="s">
        <v>1006</v>
      </c>
    </row>
    <row r="3396" spans="1:33" hidden="1" outlineLevel="1" x14ac:dyDescent="0.25">
      <c r="A3396" t="s">
        <v>1007</v>
      </c>
    </row>
    <row r="3397" spans="1:33" ht="13" hidden="1" outlineLevel="1" x14ac:dyDescent="0.3">
      <c r="A3397" t="s">
        <v>1012</v>
      </c>
      <c r="C3397" s="29"/>
      <c r="D3397" s="36">
        <v>1000</v>
      </c>
      <c r="E3397" s="36">
        <v>1000</v>
      </c>
      <c r="F3397" s="22">
        <v>1000</v>
      </c>
      <c r="G3397" s="22">
        <v>1000</v>
      </c>
      <c r="H3397" s="22">
        <v>1000</v>
      </c>
      <c r="I3397" s="22">
        <v>1000</v>
      </c>
      <c r="J3397" s="22">
        <v>1000</v>
      </c>
      <c r="K3397" s="22">
        <v>1000</v>
      </c>
      <c r="L3397" s="22"/>
      <c r="M3397" s="36"/>
      <c r="N3397" s="36"/>
      <c r="O3397" s="36">
        <v>1000</v>
      </c>
      <c r="P3397" s="36">
        <v>1000</v>
      </c>
      <c r="Q3397" s="36">
        <v>1000</v>
      </c>
      <c r="R3397" s="36">
        <v>1000</v>
      </c>
      <c r="S3397" s="36">
        <v>1000</v>
      </c>
      <c r="T3397" s="36"/>
      <c r="U3397" s="36"/>
      <c r="V3397" s="58"/>
      <c r="W3397" s="36">
        <v>1000</v>
      </c>
      <c r="X3397" s="36">
        <v>1000</v>
      </c>
      <c r="Y3397" s="36"/>
      <c r="Z3397" s="36"/>
      <c r="AA3397" s="40"/>
      <c r="AB3397" s="60"/>
      <c r="AC3397" s="98"/>
      <c r="AD3397" s="36"/>
      <c r="AE3397" s="36"/>
      <c r="AF3397" s="36"/>
      <c r="AG3397" s="99"/>
    </row>
    <row r="3398" spans="1:33" ht="13" hidden="1" outlineLevel="1" x14ac:dyDescent="0.3">
      <c r="A3398" s="7" t="s">
        <v>1013</v>
      </c>
      <c r="C3398" s="29"/>
      <c r="D3398" s="36">
        <v>0</v>
      </c>
      <c r="E3398" s="36">
        <v>0</v>
      </c>
      <c r="F3398" s="22">
        <v>0</v>
      </c>
      <c r="G3398" s="22">
        <v>0</v>
      </c>
      <c r="H3398" s="22">
        <v>0</v>
      </c>
      <c r="I3398" s="22">
        <v>0</v>
      </c>
      <c r="J3398" s="22">
        <v>0</v>
      </c>
      <c r="K3398" s="22">
        <v>0</v>
      </c>
      <c r="L3398" s="22"/>
      <c r="M3398" s="36"/>
      <c r="N3398" s="36"/>
      <c r="O3398" s="36">
        <v>0</v>
      </c>
      <c r="P3398" s="36">
        <v>0</v>
      </c>
      <c r="Q3398" s="36">
        <v>0</v>
      </c>
      <c r="R3398" s="36">
        <v>0</v>
      </c>
      <c r="S3398" s="36">
        <v>0</v>
      </c>
      <c r="T3398" s="36"/>
      <c r="U3398" s="36"/>
      <c r="V3398" s="58"/>
      <c r="W3398" s="36">
        <v>0</v>
      </c>
      <c r="X3398" s="36">
        <v>0</v>
      </c>
      <c r="Y3398" s="36"/>
      <c r="Z3398" s="36"/>
      <c r="AA3398" s="40"/>
      <c r="AB3398" s="60"/>
      <c r="AC3398" s="98"/>
      <c r="AD3398" s="36"/>
      <c r="AE3398" s="36"/>
      <c r="AF3398" s="36"/>
      <c r="AG3398" s="99"/>
    </row>
    <row r="3399" spans="1:33" ht="13" hidden="1" outlineLevel="1" x14ac:dyDescent="0.3">
      <c r="A3399" t="s">
        <v>1014</v>
      </c>
      <c r="C3399" s="30"/>
      <c r="D3399" s="36"/>
      <c r="E3399" s="36"/>
      <c r="F3399" s="57"/>
      <c r="G3399" s="57"/>
      <c r="H3399" s="57"/>
      <c r="I3399" s="57"/>
      <c r="J3399" s="57"/>
      <c r="K3399" s="57"/>
      <c r="L3399" s="57"/>
      <c r="M3399" s="36"/>
      <c r="N3399" s="36"/>
      <c r="O3399" s="36"/>
      <c r="P3399" s="36" t="s">
        <v>1015</v>
      </c>
      <c r="Q3399" s="36" t="s">
        <v>1016</v>
      </c>
      <c r="R3399" s="36"/>
      <c r="S3399" s="36"/>
      <c r="T3399" s="36"/>
      <c r="U3399" s="36"/>
      <c r="V3399" s="58"/>
      <c r="W3399" s="36"/>
      <c r="X3399" s="36"/>
      <c r="Y3399" s="36"/>
      <c r="Z3399" s="36"/>
      <c r="AA3399" s="40"/>
      <c r="AB3399" s="60"/>
      <c r="AC3399" s="98"/>
      <c r="AD3399" s="36"/>
      <c r="AE3399" s="36"/>
      <c r="AF3399" s="36"/>
      <c r="AG3399" s="99"/>
    </row>
    <row r="3400" spans="1:33" ht="13" hidden="1" outlineLevel="1" x14ac:dyDescent="0.3">
      <c r="A3400" t="s">
        <v>1017</v>
      </c>
      <c r="C3400" s="31"/>
      <c r="D3400" s="36" t="s">
        <v>1019</v>
      </c>
      <c r="E3400" s="36" t="s">
        <v>1020</v>
      </c>
      <c r="F3400" s="22" t="s">
        <v>1021</v>
      </c>
      <c r="G3400" s="22" t="s">
        <v>1022</v>
      </c>
      <c r="H3400" s="22" t="s">
        <v>1023</v>
      </c>
      <c r="I3400" s="22" t="s">
        <v>1024</v>
      </c>
      <c r="J3400" s="22" t="s">
        <v>1025</v>
      </c>
      <c r="K3400" s="22" t="s">
        <v>1026</v>
      </c>
      <c r="L3400" s="22"/>
      <c r="M3400" s="36"/>
      <c r="N3400" s="36"/>
      <c r="O3400" s="36" t="s">
        <v>1027</v>
      </c>
      <c r="P3400" s="36" t="s">
        <v>1028</v>
      </c>
      <c r="Q3400" s="36" t="s">
        <v>1028</v>
      </c>
      <c r="R3400" s="36" t="s">
        <v>1028</v>
      </c>
      <c r="S3400" s="36" t="s">
        <v>1029</v>
      </c>
      <c r="T3400" s="36"/>
      <c r="U3400" s="36"/>
      <c r="V3400" s="58"/>
      <c r="W3400" s="36" t="s">
        <v>1030</v>
      </c>
      <c r="X3400" s="36" t="s">
        <v>1031</v>
      </c>
      <c r="Y3400" s="36"/>
      <c r="Z3400" s="36"/>
      <c r="AA3400" s="40"/>
      <c r="AB3400" s="60"/>
      <c r="AC3400" s="98"/>
      <c r="AD3400" s="36"/>
      <c r="AE3400" s="36"/>
      <c r="AF3400" s="36"/>
      <c r="AG3400" s="99"/>
    </row>
    <row r="3401" spans="1:33" ht="13" outlineLevel="1" x14ac:dyDescent="0.3">
      <c r="A3401" t="s">
        <v>1041</v>
      </c>
      <c r="C3401" s="31" t="s">
        <v>134</v>
      </c>
      <c r="D3401" s="33">
        <v>-3149</v>
      </c>
      <c r="E3401" s="33">
        <v>-3149</v>
      </c>
      <c r="F3401" s="23">
        <v>0</v>
      </c>
      <c r="G3401" s="23">
        <v>0</v>
      </c>
      <c r="H3401" s="23">
        <v>0</v>
      </c>
      <c r="I3401" s="23">
        <v>0</v>
      </c>
      <c r="J3401" s="23">
        <v>0</v>
      </c>
      <c r="K3401" s="23">
        <v>0</v>
      </c>
      <c r="L3401" s="23">
        <f>SUM(F3401:K3401)</f>
        <v>0</v>
      </c>
      <c r="M3401" s="33">
        <f>O3401-E3401</f>
        <v>0</v>
      </c>
      <c r="N3401" s="33">
        <f>O3401-D3401</f>
        <v>0</v>
      </c>
      <c r="O3401" s="33">
        <v>-3149</v>
      </c>
      <c r="P3401" s="33">
        <v>0</v>
      </c>
      <c r="Q3401" s="33">
        <v>-1049</v>
      </c>
      <c r="R3401" s="33">
        <v>-1049</v>
      </c>
      <c r="S3401" s="33">
        <v>-1574</v>
      </c>
      <c r="T3401" s="33">
        <f>R3401-S3401</f>
        <v>525</v>
      </c>
      <c r="U3401" s="38">
        <f>IFERROR((R3401/O3401)*100%,"∞")</f>
        <v>0.33312162591298827</v>
      </c>
      <c r="V3401" s="59">
        <f>O3401+W3401</f>
        <v>-3149</v>
      </c>
      <c r="W3401" s="33">
        <v>0</v>
      </c>
      <c r="X3401" s="33">
        <v>0</v>
      </c>
      <c r="Y3401" s="33"/>
      <c r="Z3401" s="33"/>
      <c r="AA3401" s="42"/>
      <c r="AB3401" s="60"/>
      <c r="AC3401" s="105"/>
      <c r="AD3401" s="93"/>
      <c r="AE3401" s="33">
        <f>SUM(AC3401:AD3401)</f>
        <v>0</v>
      </c>
      <c r="AF3401" s="33">
        <f>R3401+AE3401</f>
        <v>-1049</v>
      </c>
      <c r="AG3401" s="101">
        <f>AF3401-O3401</f>
        <v>2100</v>
      </c>
    </row>
    <row r="3402" spans="1:33" ht="13.5" outlineLevel="1" thickBot="1" x14ac:dyDescent="0.35">
      <c r="C3402" s="80"/>
      <c r="D3402" s="81"/>
      <c r="E3402" s="81"/>
      <c r="F3402" s="82"/>
      <c r="G3402" s="82"/>
      <c r="H3402" s="82"/>
      <c r="I3402" s="82"/>
      <c r="J3402" s="82"/>
      <c r="K3402" s="82"/>
      <c r="L3402" s="82"/>
      <c r="M3402" s="81"/>
      <c r="N3402" s="81"/>
      <c r="O3402" s="81"/>
      <c r="P3402" s="81"/>
      <c r="Q3402" s="81"/>
      <c r="R3402" s="81"/>
      <c r="S3402" s="81"/>
      <c r="T3402" s="81"/>
      <c r="U3402" s="81"/>
      <c r="V3402" s="83"/>
      <c r="W3402" s="81"/>
      <c r="X3402" s="81"/>
      <c r="Y3402" s="81"/>
      <c r="Z3402" s="81"/>
      <c r="AA3402" s="84"/>
      <c r="AB3402" s="60"/>
      <c r="AC3402" s="98"/>
      <c r="AD3402" s="36"/>
      <c r="AE3402" s="36"/>
      <c r="AF3402" s="36"/>
      <c r="AG3402" s="99"/>
    </row>
    <row r="3403" spans="1:33" ht="13.5" thickBot="1" x14ac:dyDescent="0.35">
      <c r="C3403" s="68" t="s">
        <v>135</v>
      </c>
      <c r="D3403" s="69">
        <f t="shared" ref="D3403:K3403" si="41">SUM(D441:D444,D615:D618,D789:D792,D963:D965,D1137:D1139,D1311:D1313,D1485:D1487,D1659:D1662,D1833:D1836,D2007:D2010,D2181:D2184,D2355:D2358,D2529:D2532,D2703:D2706,D2877:D2880,D3051:D3054,D3225:D3228,D3399:D3401)</f>
        <v>-9612</v>
      </c>
      <c r="E3403" s="69">
        <f t="shared" si="41"/>
        <v>-9612</v>
      </c>
      <c r="F3403" s="77">
        <f t="shared" si="41"/>
        <v>0</v>
      </c>
      <c r="G3403" s="77">
        <f t="shared" si="41"/>
        <v>0</v>
      </c>
      <c r="H3403" s="77">
        <f t="shared" si="41"/>
        <v>0</v>
      </c>
      <c r="I3403" s="77">
        <f t="shared" si="41"/>
        <v>0</v>
      </c>
      <c r="J3403" s="77">
        <f t="shared" si="41"/>
        <v>0</v>
      </c>
      <c r="K3403" s="77">
        <f t="shared" si="41"/>
        <v>0</v>
      </c>
      <c r="L3403" s="77">
        <f>SUM(F3403:K3403)</f>
        <v>0</v>
      </c>
      <c r="M3403" s="69">
        <f>O3403-E3403</f>
        <v>0</v>
      </c>
      <c r="N3403" s="69">
        <f>O3403-D3403</f>
        <v>0</v>
      </c>
      <c r="O3403" s="69">
        <f>SUM(O441:O444,O615:O618,O789:O792,O963:O965,O1137:O1139,O1311:O1313,O1485:O1487,O1659:O1662,O1833:O1836,O2007:O2010,O2181:O2184,O2355:O2358,O2529:O2532,O2703:O2706,O2877:O2880,O3051:O3054,O3225:O3228,O3399:O3401)</f>
        <v>-9612</v>
      </c>
      <c r="P3403" s="69">
        <f>SUM(P441:P444,P615:P618,P789:P792,P963:P965,P1137:P1139,P1311:P1313,P1485:P1487,P1659:P1662,P1833:P1836,P2007:P2010,P2181:P2184,P2355:P2358,P2529:P2532,P2703:P2706,P2877:P2880,P3051:P3054,P3225:P3228,P3399:P3401)</f>
        <v>1</v>
      </c>
      <c r="Q3403" s="69">
        <f>SUM(Q441:Q444,Q615:Q618,Q789:Q792,Q963:Q965,Q1137:Q1139,Q1311:Q1313,Q1485:Q1487,Q1659:Q1662,Q1833:Q1836,Q2007:Q2010,Q2181:Q2184,Q2355:Q2358,Q2529:Q2532,Q2703:Q2706,Q2877:Q2880,Q3051:Q3054,Q3225:Q3228,Q3399:Q3401)</f>
        <v>-1049</v>
      </c>
      <c r="R3403" s="69">
        <f>SUM(R441:R444,R615:R618,R789:R792,R963:R965,R1137:R1139,R1311:R1313,R1485:R1487,R1659:R1662,R1833:R1836,R2007:R2010,R2181:R2184,R2355:R2358,R2529:R2532,R2703:R2706,R2877:R2880,R3051:R3054,R3225:R3228,R3399:R3401)</f>
        <v>-1048</v>
      </c>
      <c r="S3403" s="69">
        <f>SUM(S441:S444,S615:S618,S789:S792,S963:S965,S1137:S1139,S1311:S1313,S1485:S1487,S1659:S1662,S1833:S1836,S2007:S2010,S2181:S2184,S2355:S2358,S2529:S2532,S2703:S2706,S2877:S2880,S3051:S3054,S3225:S3228,S3399:S3401)</f>
        <v>-4403</v>
      </c>
      <c r="T3403" s="69">
        <f>R3403-S3403</f>
        <v>3355</v>
      </c>
      <c r="U3403" s="70">
        <f>IFERROR((R3403/O3403)*100%,"∞")</f>
        <v>0.10903037869330004</v>
      </c>
      <c r="V3403" s="76">
        <f>O3403+W3403</f>
        <v>-9612</v>
      </c>
      <c r="W3403" s="69">
        <f>SUM(W441:W444,W615:W618,W789:W792,W963:W965,W1137:W1139,W1311:W1313,W1485:W1487,W1659:W1662,W1833:W1836,W2007:W2010,W2181:W2184,W2355:W2358,W2529:W2532,W2703:W2706,W2877:W2880,W3051:W3054,W3225:W3228,W3399:W3401)</f>
        <v>0</v>
      </c>
      <c r="X3403" s="69">
        <f>SUM(X441:X444,X615:X618,X789:X792,X963:X965,X1137:X1139,X1311:X1313,X1485:X1487,X1659:X1662,X1833:X1836,X2007:X2010,X2181:X2184,X2355:X2358,X2529:X2532,X2703:X2706,X2877:X2880,X3051:X3054,X3225:X3228,X3399:X3401)</f>
        <v>0</v>
      </c>
      <c r="Y3403" s="69">
        <f>SUM(Y441:Y444,Y615:Y618,Y789:Y792,Y963:Y965,Y1137:Y1139,Y1311:Y1313,Y1485:Y1487,Y1659:Y1662,Y1833:Y1836,Y2007:Y2010,Y2181:Y2184,Y2355:Y2358,Y2529:Y2532,Y2703:Y2706,Y2877:Y2880,Y3051:Y3054,Y3225:Y3228,Y3399:Y3401)</f>
        <v>0</v>
      </c>
      <c r="Z3403" s="69">
        <f>SUM(Z441:Z444,Z615:Z618,Z789:Z792,Z963:Z965,Z1137:Z1139,Z1311:Z1313,Z1485:Z1487,Z1659:Z1662,Z1833:Z1836,Z2007:Z2010,Z2181:Z2184,Z2355:Z2358,Z2529:Z2532,Z2703:Z2706,Z2877:Z2880,Z3051:Z3054,Z3225:Z3228,Z3399:Z3401)</f>
        <v>0</v>
      </c>
      <c r="AA3403" s="69">
        <f>SUM(AA441:AA444,AA615:AA618,AA789:AA792,AA963:AA965,AA1137:AA1139,AA1311:AA1313,AA1485:AA1487,AA1659:AA1662,AA1833:AA1836,AA2007:AA2010,AA2181:AA2184,AA2355:AA2358,AA2529:AA2532,AA2703:AA2706,AA2877:AA2880,AA3051:AA3054,AA3225:AA3228,AA3399:AA3401)</f>
        <v>0</v>
      </c>
      <c r="AB3403" s="60"/>
      <c r="AC3403" s="69">
        <f>SUM(AC441:AC444,AC615:AC618,AC789:AC792,AC963:AC965,AC1137:AC1139,AC1311:AC1313,AC1485:AC1487,AC1659:AC1662,AC1833:AC1836,AC2007:AC2010,AC2181:AC2184,AC2355:AC2358,AC2529:AC2532,AC2703:AC2706,AC2877:AC2880,AC3051:AC3054,AC3225:AC3228,AC3399:AC3401)</f>
        <v>0</v>
      </c>
      <c r="AD3403" s="69">
        <f>SUM(AD441:AD444,AD615:AD618,AD789:AD792,AD963:AD965,AD1137:AD1139,AD1311:AD1313,AD1485:AD1487,AD1659:AD1662,AD1833:AD1836,AD2007:AD2010,AD2181:AD2184,AD2355:AD2358,AD2529:AD2532,AD2703:AD2706,AD2877:AD2880,AD3051:AD3054,AD3225:AD3228,AD3399:AD3401)</f>
        <v>0</v>
      </c>
      <c r="AE3403" s="69">
        <f>SUM(AE441:AE444,AE615:AE618,AE789:AE792,AE963:AE965,AE1137:AE1139,AE1311:AE1313,AE1485:AE1487,AE1659:AE1662,AE1833:AE1836,AE2007:AE2010,AE2181:AE2184,AE2355:AE2358,AE2529:AE2532,AE2703:AE2706,AE2877:AE2880,AE3051:AE3054,AE3225:AE3228,AE3399:AE3401)</f>
        <v>0</v>
      </c>
      <c r="AF3403" s="69">
        <f>SUM(AF441:AF444,AF615:AF618,AF789:AF792,AF963:AF965,AF1137:AF1139,AF1311:AF1313,AF1485:AF1487,AF1659:AF1662,AF1833:AF1836,AF2007:AF2010,AF2181:AF2184,AF2355:AF2358,AF2529:AF2532,AF2703:AF2706,AF2877:AF2880,AF3051:AF3054,AF3225:AF3228,AF3399:AF3401)</f>
        <v>-1048</v>
      </c>
      <c r="AG3403" s="69">
        <f>SUM(AG441:AG444,AG615:AG618,AG789:AG792,AG963:AG965,AG1137:AG1139,AG1311:AG1313,AG1485:AG1487,AG1659:AG1662,AG1833:AG1836,AG2007:AG2010,AG2181:AG2184,AG2355:AG2358,AG2529:AG2532,AG2703:AG2706,AG2877:AG2880,AG3051:AG3054,AG3225:AG3228,AG3399:AG3401)</f>
        <v>8564</v>
      </c>
    </row>
    <row r="3404" spans="1:33" ht="13.5" thickTop="1" x14ac:dyDescent="0.3">
      <c r="C3404" s="71"/>
      <c r="D3404" s="72"/>
      <c r="E3404" s="72"/>
      <c r="F3404" s="73"/>
      <c r="G3404" s="73"/>
      <c r="H3404" s="73"/>
      <c r="I3404" s="73"/>
      <c r="J3404" s="73"/>
      <c r="K3404" s="73"/>
      <c r="L3404" s="73"/>
      <c r="M3404" s="72"/>
      <c r="N3404" s="72"/>
      <c r="O3404" s="72"/>
      <c r="P3404" s="72"/>
      <c r="Q3404" s="72"/>
      <c r="R3404" s="72"/>
      <c r="S3404" s="72"/>
      <c r="T3404" s="72"/>
      <c r="U3404" s="72"/>
      <c r="V3404" s="74"/>
      <c r="W3404" s="72"/>
      <c r="X3404" s="72"/>
      <c r="Y3404" s="72"/>
      <c r="Z3404" s="72"/>
      <c r="AA3404" s="75"/>
      <c r="AB3404" s="60"/>
      <c r="AC3404" s="71"/>
      <c r="AD3404" s="72"/>
      <c r="AE3404" s="72"/>
      <c r="AF3404" s="72"/>
      <c r="AG3404" s="75"/>
    </row>
    <row r="3405" spans="1:33" hidden="1" x14ac:dyDescent="0.25">
      <c r="A3405" t="s">
        <v>232</v>
      </c>
    </row>
    <row r="3406" spans="1:33" hidden="1" x14ac:dyDescent="0.25">
      <c r="A3406" t="s">
        <v>944</v>
      </c>
      <c r="M3406" s="19"/>
      <c r="N3406" s="19"/>
    </row>
    <row r="3407" spans="1:33" hidden="1" x14ac:dyDescent="0.25">
      <c r="A3407" t="s">
        <v>946</v>
      </c>
      <c r="E3407" s="19"/>
    </row>
    <row r="3408" spans="1:33" hidden="1" x14ac:dyDescent="0.25">
      <c r="A3408" t="s">
        <v>947</v>
      </c>
      <c r="E3408" s="19"/>
      <c r="F3408" s="19"/>
    </row>
    <row r="3409" spans="1:3" ht="13" hidden="1" x14ac:dyDescent="0.3">
      <c r="A3409" s="20" t="s">
        <v>948</v>
      </c>
    </row>
    <row r="3410" spans="1:3" hidden="1" x14ac:dyDescent="0.25">
      <c r="A3410" s="7" t="s">
        <v>949</v>
      </c>
    </row>
    <row r="3411" spans="1:3" hidden="1" x14ac:dyDescent="0.25">
      <c r="A3411" t="s">
        <v>950</v>
      </c>
    </row>
    <row r="3412" spans="1:3" hidden="1" x14ac:dyDescent="0.25">
      <c r="A3412" t="s">
        <v>951</v>
      </c>
    </row>
    <row r="3413" spans="1:3" ht="13" hidden="1" x14ac:dyDescent="0.3">
      <c r="A3413" s="21" t="str">
        <f>CONCATENATE("sql where a.client = '",$D$172,"' and a.period between '",LEFT($D$170,4),"00' and '",LEFT($D$171,4),"14' and a.version like '%ORIG%'")</f>
        <v>sql where a.client = 'OX' and a.period between '202500' and '202514' and a.version like '%ORIG%'</v>
      </c>
    </row>
    <row r="3414" spans="1:3" hidden="1" x14ac:dyDescent="0.25">
      <c r="A3414" t="s">
        <v>952</v>
      </c>
    </row>
    <row r="3415" spans="1:3" hidden="1" x14ac:dyDescent="0.25">
      <c r="A3415" t="s">
        <v>953</v>
      </c>
    </row>
    <row r="3416" spans="1:3" hidden="1" x14ac:dyDescent="0.25">
      <c r="A3416" t="s">
        <v>954</v>
      </c>
    </row>
    <row r="3417" spans="1:3" ht="13" hidden="1" x14ac:dyDescent="0.3">
      <c r="A3417" s="20" t="s">
        <v>955</v>
      </c>
    </row>
    <row r="3418" spans="1:3" hidden="1" x14ac:dyDescent="0.25">
      <c r="A3418" s="7" t="s">
        <v>956</v>
      </c>
    </row>
    <row r="3419" spans="1:3" hidden="1" x14ac:dyDescent="0.25">
      <c r="A3419" t="s">
        <v>950</v>
      </c>
    </row>
    <row r="3420" spans="1:3" hidden="1" x14ac:dyDescent="0.25">
      <c r="A3420" t="s">
        <v>951</v>
      </c>
    </row>
    <row r="3421" spans="1:3" ht="14.5" hidden="1" x14ac:dyDescent="0.35">
      <c r="A3421"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421" s="2"/>
    </row>
    <row r="3422" spans="1:3" hidden="1" x14ac:dyDescent="0.25">
      <c r="A3422" t="s">
        <v>952</v>
      </c>
    </row>
    <row r="3423" spans="1:3" hidden="1" x14ac:dyDescent="0.25">
      <c r="A3423" t="s">
        <v>953</v>
      </c>
    </row>
    <row r="3424" spans="1:3" hidden="1" x14ac:dyDescent="0.25">
      <c r="A3424" t="s">
        <v>954</v>
      </c>
    </row>
    <row r="3425" spans="1:1" ht="13" hidden="1" x14ac:dyDescent="0.3">
      <c r="A3425" s="66" t="s">
        <v>957</v>
      </c>
    </row>
    <row r="3426" spans="1:1" hidden="1" x14ac:dyDescent="0.25">
      <c r="A3426" t="s">
        <v>958</v>
      </c>
    </row>
    <row r="3427" spans="1:1" hidden="1" x14ac:dyDescent="0.25">
      <c r="A3427" t="s">
        <v>950</v>
      </c>
    </row>
    <row r="3428" spans="1:1" ht="13" hidden="1" x14ac:dyDescent="0.3">
      <c r="A342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429" spans="1:1" ht="13" hidden="1" x14ac:dyDescent="0.3">
      <c r="A3429" s="21" t="s">
        <v>959</v>
      </c>
    </row>
    <row r="3430" spans="1:1" hidden="1" x14ac:dyDescent="0.25">
      <c r="A3430" t="s">
        <v>960</v>
      </c>
    </row>
    <row r="3431" spans="1:1" hidden="1" x14ac:dyDescent="0.25">
      <c r="A3431" t="s">
        <v>961</v>
      </c>
    </row>
    <row r="3432" spans="1:1" hidden="1" x14ac:dyDescent="0.25">
      <c r="A3432" t="str">
        <f>CONCATENATE("sql left outer join acrtrees t on t.client = x.client and x.dim_1 = t.cat_1 and t.att_agrid = '",$F$159,"'")</f>
        <v>sql left outer join acrtrees t on t.client = x.client and x.dim_1 = t.cat_1 and t.att_agrid = '53'</v>
      </c>
    </row>
    <row r="3433" spans="1:1" ht="13" hidden="1" x14ac:dyDescent="0.3">
      <c r="A343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434" spans="1:1" ht="13" hidden="1" x14ac:dyDescent="0.3">
      <c r="A3434" s="21" t="s">
        <v>962</v>
      </c>
    </row>
    <row r="3435" spans="1:1" ht="13" hidden="1" x14ac:dyDescent="0.3">
      <c r="A3435"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436" spans="1:1" ht="13" hidden="1" x14ac:dyDescent="0.3">
      <c r="A3436" s="21" t="s">
        <v>963</v>
      </c>
    </row>
    <row r="3437" spans="1:1" hidden="1" x14ac:dyDescent="0.25">
      <c r="A3437" t="s">
        <v>964</v>
      </c>
    </row>
    <row r="3438" spans="1:1" hidden="1" x14ac:dyDescent="0.25">
      <c r="A3438" t="s">
        <v>965</v>
      </c>
    </row>
    <row r="3439" spans="1:1" hidden="1" x14ac:dyDescent="0.25">
      <c r="A3439" t="s">
        <v>966</v>
      </c>
    </row>
    <row r="3440" spans="1:1" hidden="1" x14ac:dyDescent="0.25">
      <c r="A3440" t="s">
        <v>953</v>
      </c>
    </row>
    <row r="3441" spans="1:1" hidden="1" x14ac:dyDescent="0.25">
      <c r="A3441" t="s">
        <v>954</v>
      </c>
    </row>
    <row r="3442" spans="1:1" ht="13" hidden="1" x14ac:dyDescent="0.3">
      <c r="A3442" s="66" t="s">
        <v>967</v>
      </c>
    </row>
    <row r="3443" spans="1:1" hidden="1" x14ac:dyDescent="0.25">
      <c r="A3443" t="s">
        <v>968</v>
      </c>
    </row>
    <row r="3444" spans="1:1" hidden="1" x14ac:dyDescent="0.25">
      <c r="A3444" t="s">
        <v>950</v>
      </c>
    </row>
    <row r="3445" spans="1:1" ht="13" hidden="1" x14ac:dyDescent="0.3">
      <c r="A344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446" spans="1:1" ht="13" hidden="1" x14ac:dyDescent="0.3">
      <c r="A3446" s="21" t="s">
        <v>969</v>
      </c>
    </row>
    <row r="3447" spans="1:1" ht="13" hidden="1" x14ac:dyDescent="0.3">
      <c r="A3447" s="21" t="s">
        <v>959</v>
      </c>
    </row>
    <row r="3448" spans="1:1" hidden="1" x14ac:dyDescent="0.25">
      <c r="A3448" t="s">
        <v>960</v>
      </c>
    </row>
    <row r="3449" spans="1:1" hidden="1" x14ac:dyDescent="0.25">
      <c r="A3449" t="s">
        <v>961</v>
      </c>
    </row>
    <row r="3450" spans="1:1" hidden="1" x14ac:dyDescent="0.25">
      <c r="A3450" t="str">
        <f>CONCATENATE("sql left outer join acrtrees t on t.client = x.client and x.dim_1 = t.cat_1 and t.att_agrid = '",$F$159,"'")</f>
        <v>sql left outer join acrtrees t on t.client = x.client and x.dim_1 = t.cat_1 and t.att_agrid = '53'</v>
      </c>
    </row>
    <row r="3451" spans="1:1" ht="13" hidden="1" x14ac:dyDescent="0.3">
      <c r="A345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452" spans="1:1" ht="13" hidden="1" x14ac:dyDescent="0.3">
      <c r="A3452" s="21" t="s">
        <v>970</v>
      </c>
    </row>
    <row r="3453" spans="1:1" ht="13" hidden="1" x14ac:dyDescent="0.3">
      <c r="A3453" s="21" t="s">
        <v>962</v>
      </c>
    </row>
    <row r="3454" spans="1:1" ht="13" hidden="1" x14ac:dyDescent="0.3">
      <c r="A3454"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455" spans="1:1" ht="13" hidden="1" x14ac:dyDescent="0.3">
      <c r="A3455" s="21" t="s">
        <v>970</v>
      </c>
    </row>
    <row r="3456" spans="1:1" ht="13" hidden="1" x14ac:dyDescent="0.3">
      <c r="A3456" s="21" t="s">
        <v>963</v>
      </c>
    </row>
    <row r="3457" spans="1:1" hidden="1" x14ac:dyDescent="0.25">
      <c r="A3457" t="s">
        <v>964</v>
      </c>
    </row>
    <row r="3458" spans="1:1" hidden="1" x14ac:dyDescent="0.25">
      <c r="A3458" t="s">
        <v>965</v>
      </c>
    </row>
    <row r="3459" spans="1:1" hidden="1" x14ac:dyDescent="0.25">
      <c r="A3459" t="s">
        <v>966</v>
      </c>
    </row>
    <row r="3460" spans="1:1" hidden="1" x14ac:dyDescent="0.25">
      <c r="A3460" t="s">
        <v>953</v>
      </c>
    </row>
    <row r="3461" spans="1:1" hidden="1" x14ac:dyDescent="0.25">
      <c r="A3461" t="s">
        <v>954</v>
      </c>
    </row>
    <row r="3462" spans="1:1" ht="13" hidden="1" x14ac:dyDescent="0.3">
      <c r="A3462" s="66" t="s">
        <v>971</v>
      </c>
    </row>
    <row r="3463" spans="1:1" hidden="1" x14ac:dyDescent="0.25">
      <c r="A3463" t="s">
        <v>972</v>
      </c>
    </row>
    <row r="3464" spans="1:1" hidden="1" x14ac:dyDescent="0.25">
      <c r="A3464" t="s">
        <v>950</v>
      </c>
    </row>
    <row r="3465" spans="1:1" ht="13" hidden="1" x14ac:dyDescent="0.3">
      <c r="A346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466" spans="1:1" ht="13" hidden="1" x14ac:dyDescent="0.3">
      <c r="A3466" s="21" t="s">
        <v>959</v>
      </c>
    </row>
    <row r="3467" spans="1:1" hidden="1" x14ac:dyDescent="0.25">
      <c r="A3467" t="s">
        <v>960</v>
      </c>
    </row>
    <row r="3468" spans="1:1" hidden="1" x14ac:dyDescent="0.25">
      <c r="A3468" t="s">
        <v>961</v>
      </c>
    </row>
    <row r="3469" spans="1:1" hidden="1" x14ac:dyDescent="0.25">
      <c r="A3469" t="str">
        <f>CONCATENATE("sql left outer join acrtrees t on t.client = x.client and x.dim_1 = t.cat_1 and t.att_agrid = '",$F$159,"'")</f>
        <v>sql left outer join acrtrees t on t.client = x.client and x.dim_1 = t.cat_1 and t.att_agrid = '53'</v>
      </c>
    </row>
    <row r="3470" spans="1:1" ht="13" hidden="1" x14ac:dyDescent="0.3">
      <c r="A347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471" spans="1:1" ht="13" hidden="1" x14ac:dyDescent="0.3">
      <c r="A3471" s="21" t="s">
        <v>973</v>
      </c>
    </row>
    <row r="3472" spans="1:1" hidden="1" x14ac:dyDescent="0.25">
      <c r="A3472" t="s">
        <v>964</v>
      </c>
    </row>
    <row r="3473" spans="1:1" hidden="1" x14ac:dyDescent="0.25">
      <c r="A3473" t="s">
        <v>965</v>
      </c>
    </row>
    <row r="3474" spans="1:1" hidden="1" x14ac:dyDescent="0.25">
      <c r="A3474" t="s">
        <v>966</v>
      </c>
    </row>
    <row r="3475" spans="1:1" hidden="1" x14ac:dyDescent="0.25">
      <c r="A3475" t="s">
        <v>953</v>
      </c>
    </row>
    <row r="3476" spans="1:1" hidden="1" x14ac:dyDescent="0.25">
      <c r="A3476" t="s">
        <v>954</v>
      </c>
    </row>
    <row r="3477" spans="1:1" ht="13" hidden="1" x14ac:dyDescent="0.3">
      <c r="A3477" s="66" t="s">
        <v>974</v>
      </c>
    </row>
    <row r="3478" spans="1:1" hidden="1" x14ac:dyDescent="0.25">
      <c r="A3478" t="s">
        <v>975</v>
      </c>
    </row>
    <row r="3479" spans="1:1" hidden="1" x14ac:dyDescent="0.25">
      <c r="A3479" t="s">
        <v>950</v>
      </c>
    </row>
    <row r="3480" spans="1:1" ht="13" hidden="1" x14ac:dyDescent="0.3">
      <c r="A348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481" spans="1:1" ht="13" hidden="1" x14ac:dyDescent="0.3">
      <c r="A3481" s="21" t="s">
        <v>959</v>
      </c>
    </row>
    <row r="3482" spans="1:1" hidden="1" x14ac:dyDescent="0.25">
      <c r="A3482" t="s">
        <v>960</v>
      </c>
    </row>
    <row r="3483" spans="1:1" hidden="1" x14ac:dyDescent="0.25">
      <c r="A3483" t="s">
        <v>961</v>
      </c>
    </row>
    <row r="3484" spans="1:1" hidden="1" x14ac:dyDescent="0.25">
      <c r="A3484" t="str">
        <f>CONCATENATE("sql left outer join acrtrees t on t.client = x.client and x.dim_1 = t.cat_1 and t.att_agrid = '",$F$159,"'")</f>
        <v>sql left outer join acrtrees t on t.client = x.client and x.dim_1 = t.cat_1 and t.att_agrid = '53'</v>
      </c>
    </row>
    <row r="3485" spans="1:1" ht="13" hidden="1" x14ac:dyDescent="0.3">
      <c r="A3485"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486" spans="1:1" ht="13" hidden="1" x14ac:dyDescent="0.3">
      <c r="A3486" s="21" t="s">
        <v>973</v>
      </c>
    </row>
    <row r="3487" spans="1:1" hidden="1" x14ac:dyDescent="0.25">
      <c r="A3487" t="s">
        <v>964</v>
      </c>
    </row>
    <row r="3488" spans="1:1" hidden="1" x14ac:dyDescent="0.25">
      <c r="A3488" t="s">
        <v>965</v>
      </c>
    </row>
    <row r="3489" spans="1:1" hidden="1" x14ac:dyDescent="0.25">
      <c r="A3489" t="s">
        <v>966</v>
      </c>
    </row>
    <row r="3490" spans="1:1" hidden="1" x14ac:dyDescent="0.25">
      <c r="A3490" t="s">
        <v>953</v>
      </c>
    </row>
    <row r="3491" spans="1:1" hidden="1" x14ac:dyDescent="0.25">
      <c r="A3491" t="s">
        <v>954</v>
      </c>
    </row>
    <row r="3492" spans="1:1" ht="13" hidden="1" x14ac:dyDescent="0.3">
      <c r="A3492" s="66" t="s">
        <v>976</v>
      </c>
    </row>
    <row r="3493" spans="1:1" hidden="1" x14ac:dyDescent="0.25">
      <c r="A3493" t="s">
        <v>977</v>
      </c>
    </row>
    <row r="3494" spans="1:1" hidden="1" x14ac:dyDescent="0.25">
      <c r="A3494" t="s">
        <v>950</v>
      </c>
    </row>
    <row r="3495" spans="1:1" ht="13" hidden="1" x14ac:dyDescent="0.3">
      <c r="A3495"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496" spans="1:1" ht="13" hidden="1" x14ac:dyDescent="0.3">
      <c r="A3496" s="21" t="s">
        <v>959</v>
      </c>
    </row>
    <row r="3497" spans="1:1" hidden="1" x14ac:dyDescent="0.25">
      <c r="A3497" t="s">
        <v>960</v>
      </c>
    </row>
    <row r="3498" spans="1:1" hidden="1" x14ac:dyDescent="0.25">
      <c r="A3498" t="s">
        <v>961</v>
      </c>
    </row>
    <row r="3499" spans="1:1" hidden="1" x14ac:dyDescent="0.25">
      <c r="A3499" t="str">
        <f>CONCATENATE("sql left outer join acrtrees t on t.client = x.client and x.dim_1 = t.cat_1 and t.att_agrid = '",$F$159,"'")</f>
        <v>sql left outer join acrtrees t on t.client = x.client and x.dim_1 = t.cat_1 and t.att_agrid = '53'</v>
      </c>
    </row>
    <row r="3500" spans="1:1" ht="13" hidden="1" x14ac:dyDescent="0.3">
      <c r="A3500"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501" spans="1:1" ht="13" hidden="1" x14ac:dyDescent="0.3">
      <c r="A3501" s="21" t="s">
        <v>978</v>
      </c>
    </row>
    <row r="3502" spans="1:1" hidden="1" x14ac:dyDescent="0.25">
      <c r="A3502" t="s">
        <v>979</v>
      </c>
    </row>
    <row r="3503" spans="1:1" hidden="1" x14ac:dyDescent="0.25">
      <c r="A3503" t="s">
        <v>980</v>
      </c>
    </row>
    <row r="3504" spans="1:1" hidden="1" x14ac:dyDescent="0.25">
      <c r="A3504" t="s">
        <v>966</v>
      </c>
    </row>
    <row r="3505" spans="1:1" hidden="1" x14ac:dyDescent="0.25">
      <c r="A3505" t="s">
        <v>953</v>
      </c>
    </row>
    <row r="3506" spans="1:1" hidden="1" x14ac:dyDescent="0.25">
      <c r="A3506" t="s">
        <v>954</v>
      </c>
    </row>
    <row r="3507" spans="1:1" ht="13" hidden="1" x14ac:dyDescent="0.3">
      <c r="A3507" s="66" t="s">
        <v>981</v>
      </c>
    </row>
    <row r="3508" spans="1:1" hidden="1" x14ac:dyDescent="0.25">
      <c r="A3508" t="s">
        <v>982</v>
      </c>
    </row>
    <row r="3509" spans="1:1" hidden="1" x14ac:dyDescent="0.25">
      <c r="A3509" t="s">
        <v>950</v>
      </c>
    </row>
    <row r="3510" spans="1:1" ht="13" hidden="1" x14ac:dyDescent="0.3">
      <c r="A351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511" spans="1:1" ht="13" hidden="1" x14ac:dyDescent="0.3">
      <c r="A3511" s="21" t="s">
        <v>969</v>
      </c>
    </row>
    <row r="3512" spans="1:1" ht="13" hidden="1" x14ac:dyDescent="0.3">
      <c r="A3512" s="21" t="s">
        <v>959</v>
      </c>
    </row>
    <row r="3513" spans="1:1" hidden="1" x14ac:dyDescent="0.25">
      <c r="A3513" t="s">
        <v>960</v>
      </c>
    </row>
    <row r="3514" spans="1:1" hidden="1" x14ac:dyDescent="0.25">
      <c r="A3514" t="s">
        <v>961</v>
      </c>
    </row>
    <row r="3515" spans="1:1" hidden="1" x14ac:dyDescent="0.25">
      <c r="A3515" t="str">
        <f>CONCATENATE("sql left outer join acrtrees t on t.client = x.client and x.dim_1 = t.cat_1 and t.att_agrid = '",$F$159,"'")</f>
        <v>sql left outer join acrtrees t on t.client = x.client and x.dim_1 = t.cat_1 and t.att_agrid = '53'</v>
      </c>
    </row>
    <row r="3516" spans="1:1" ht="13" hidden="1" x14ac:dyDescent="0.3">
      <c r="A351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517" spans="1:1" ht="13" hidden="1" x14ac:dyDescent="0.3">
      <c r="A3517" s="21" t="s">
        <v>970</v>
      </c>
    </row>
    <row r="3518" spans="1:1" ht="13" hidden="1" x14ac:dyDescent="0.3">
      <c r="A3518" s="21" t="s">
        <v>978</v>
      </c>
    </row>
    <row r="3519" spans="1:1" hidden="1" x14ac:dyDescent="0.25">
      <c r="A3519" t="s">
        <v>979</v>
      </c>
    </row>
    <row r="3520" spans="1:1" hidden="1" x14ac:dyDescent="0.25">
      <c r="A3520" t="s">
        <v>980</v>
      </c>
    </row>
    <row r="3521" spans="1:3" hidden="1" x14ac:dyDescent="0.25">
      <c r="A3521" t="s">
        <v>966</v>
      </c>
    </row>
    <row r="3522" spans="1:3" hidden="1" x14ac:dyDescent="0.25">
      <c r="A3522" t="s">
        <v>953</v>
      </c>
    </row>
    <row r="3523" spans="1:3" hidden="1" x14ac:dyDescent="0.25">
      <c r="A3523" t="s">
        <v>954</v>
      </c>
    </row>
    <row r="3524" spans="1:3" ht="13" hidden="1" x14ac:dyDescent="0.3">
      <c r="A3524" s="20" t="s">
        <v>983</v>
      </c>
    </row>
    <row r="3525" spans="1:3" hidden="1" x14ac:dyDescent="0.25">
      <c r="A3525" s="7" t="s">
        <v>984</v>
      </c>
    </row>
    <row r="3526" spans="1:3" hidden="1" x14ac:dyDescent="0.25">
      <c r="A3526" t="s">
        <v>950</v>
      </c>
    </row>
    <row r="3527" spans="1:3" hidden="1" x14ac:dyDescent="0.25">
      <c r="A3527" t="s">
        <v>951</v>
      </c>
    </row>
    <row r="3528" spans="1:3" ht="14.5" hidden="1" x14ac:dyDescent="0.35">
      <c r="A3528"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528" s="2"/>
    </row>
    <row r="3529" spans="1:3" hidden="1" x14ac:dyDescent="0.25">
      <c r="A3529" t="s">
        <v>952</v>
      </c>
    </row>
    <row r="3530" spans="1:3" hidden="1" x14ac:dyDescent="0.25">
      <c r="A3530" t="s">
        <v>953</v>
      </c>
    </row>
    <row r="3531" spans="1:3" hidden="1" x14ac:dyDescent="0.25">
      <c r="A3531" t="s">
        <v>954</v>
      </c>
    </row>
    <row r="3532" spans="1:3" ht="13" hidden="1" x14ac:dyDescent="0.3">
      <c r="A3532" s="20" t="s">
        <v>985</v>
      </c>
    </row>
    <row r="3533" spans="1:3" hidden="1" x14ac:dyDescent="0.25">
      <c r="A3533" s="7" t="s">
        <v>986</v>
      </c>
    </row>
    <row r="3534" spans="1:3" hidden="1" x14ac:dyDescent="0.25">
      <c r="A3534" t="s">
        <v>987</v>
      </c>
    </row>
    <row r="3535" spans="1:3" ht="13" hidden="1" x14ac:dyDescent="0.3">
      <c r="A3535" s="21" t="str">
        <f>CONCATENATE("sql where a.client = '",$D$172,"' and a.period between '",LEFT($D$170,4),"00' and '",IF(RIGHT($D$171,2)="12",CONCATENATE(LEFT($D$171,4),"14"),$D$171),"'")</f>
        <v>sql where a.client = 'OX' and a.period between '202500' and '202506'</v>
      </c>
    </row>
    <row r="3536" spans="1:3" hidden="1" x14ac:dyDescent="0.25">
      <c r="A3536" t="s">
        <v>952</v>
      </c>
    </row>
    <row r="3537" spans="1:1" hidden="1" x14ac:dyDescent="0.25">
      <c r="A3537" t="s">
        <v>953</v>
      </c>
    </row>
    <row r="3538" spans="1:1" hidden="1" x14ac:dyDescent="0.25">
      <c r="A3538" t="s">
        <v>954</v>
      </c>
    </row>
    <row r="3539" spans="1:1" ht="13" hidden="1" x14ac:dyDescent="0.3">
      <c r="A3539" s="20" t="s">
        <v>988</v>
      </c>
    </row>
    <row r="3540" spans="1:1" hidden="1" x14ac:dyDescent="0.25">
      <c r="A3540" s="7" t="s">
        <v>989</v>
      </c>
    </row>
    <row r="3541" spans="1:1" hidden="1" x14ac:dyDescent="0.25">
      <c r="A3541" t="s">
        <v>950</v>
      </c>
    </row>
    <row r="3542" spans="1:1" hidden="1" x14ac:dyDescent="0.25">
      <c r="A3542" t="s">
        <v>951</v>
      </c>
    </row>
    <row r="3543" spans="1:1" ht="13" hidden="1" x14ac:dyDescent="0.3">
      <c r="A3543"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544" spans="1:1" hidden="1" x14ac:dyDescent="0.25">
      <c r="A3544" t="s">
        <v>952</v>
      </c>
    </row>
    <row r="3545" spans="1:1" hidden="1" x14ac:dyDescent="0.25">
      <c r="A3545" t="s">
        <v>953</v>
      </c>
    </row>
    <row r="3546" spans="1:1" hidden="1" x14ac:dyDescent="0.25">
      <c r="A3546" t="s">
        <v>954</v>
      </c>
    </row>
    <row r="3547" spans="1:1" ht="13" hidden="1" x14ac:dyDescent="0.3">
      <c r="A3547" s="20" t="s">
        <v>990</v>
      </c>
    </row>
    <row r="3548" spans="1:1" hidden="1" x14ac:dyDescent="0.25">
      <c r="A3548" s="7" t="s">
        <v>991</v>
      </c>
    </row>
    <row r="3549" spans="1:1" hidden="1" x14ac:dyDescent="0.25">
      <c r="A3549" t="s">
        <v>950</v>
      </c>
    </row>
    <row r="3550" spans="1:1" hidden="1" x14ac:dyDescent="0.25">
      <c r="A3550" t="s">
        <v>951</v>
      </c>
    </row>
    <row r="3551" spans="1:1" ht="13" hidden="1" x14ac:dyDescent="0.3">
      <c r="A3551"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552" spans="1:1" hidden="1" x14ac:dyDescent="0.25">
      <c r="A3552" t="s">
        <v>952</v>
      </c>
    </row>
    <row r="3553" spans="1:1" hidden="1" x14ac:dyDescent="0.25">
      <c r="A3553" t="s">
        <v>953</v>
      </c>
    </row>
    <row r="3554" spans="1:1" hidden="1" x14ac:dyDescent="0.25">
      <c r="A3554" t="s">
        <v>954</v>
      </c>
    </row>
    <row r="3555" spans="1:1" ht="13" hidden="1" x14ac:dyDescent="0.3">
      <c r="A3555" s="20" t="s">
        <v>992</v>
      </c>
    </row>
    <row r="3556" spans="1:1" hidden="1" x14ac:dyDescent="0.25">
      <c r="A3556" s="7" t="s">
        <v>993</v>
      </c>
    </row>
    <row r="3557" spans="1:1" hidden="1" x14ac:dyDescent="0.25">
      <c r="A3557" t="s">
        <v>950</v>
      </c>
    </row>
    <row r="3558" spans="1:1" hidden="1" x14ac:dyDescent="0.25">
      <c r="A3558" t="s">
        <v>951</v>
      </c>
    </row>
    <row r="3559" spans="1:1" ht="13" hidden="1" x14ac:dyDescent="0.3">
      <c r="A355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560" spans="1:1" hidden="1" x14ac:dyDescent="0.25">
      <c r="A3560" t="s">
        <v>952</v>
      </c>
    </row>
    <row r="3561" spans="1:1" hidden="1" x14ac:dyDescent="0.25">
      <c r="A3561" t="s">
        <v>953</v>
      </c>
    </row>
    <row r="3562" spans="1:1" hidden="1" x14ac:dyDescent="0.25">
      <c r="A3562" t="s">
        <v>994</v>
      </c>
    </row>
    <row r="3563" spans="1:1" hidden="1" x14ac:dyDescent="0.25">
      <c r="A3563" t="str">
        <f>CONCATENATE("sql left outer join acrtrees t on t.client = u.client and u.dim_1 = t.cat_1 and t.att_agrid = '",$F$159,"'")</f>
        <v>sql left outer join acrtrees t on t.client = u.client and u.dim_1 = t.cat_1 and t.att_agrid = '53'</v>
      </c>
    </row>
    <row r="3564" spans="1:1" hidden="1" x14ac:dyDescent="0.25">
      <c r="A3564" t="str">
        <f>CONCATENATE("sql left outer join acrtrees s on s.client = u.client and u.account = s.cat_1 and s.att_agrid = '",$F$160,"'")</f>
        <v>sql left outer join acrtrees s on s.client = u.client and u.account = s.cat_1 and s.att_agrid = '14'</v>
      </c>
    </row>
    <row r="3565" spans="1:1" hidden="1" x14ac:dyDescent="0.25">
      <c r="A3565" t="str">
        <f>CONCATENATE("sql left outer join acrtrees v on v.client = u.client and u.account = v.cat_1 and v.att_agrid = '",$F$161,"'")</f>
        <v>sql left outer join acrtrees v on v.client = u.client and u.account = v.cat_1 and v.att_agrid = '17'</v>
      </c>
    </row>
    <row r="3566" spans="1:1" hidden="1" x14ac:dyDescent="0.25">
      <c r="A3566" t="str">
        <f>CONCATENATE("sql left outer join agldescription d on d.client = u.client and d.dim_value = t.dim_c and d.attribute_id = '",$F$162,"'")</f>
        <v>sql left outer join agldescription d on d.client = u.client and d.dim_value = t.dim_c and d.attribute_id = '82'</v>
      </c>
    </row>
    <row r="3567" spans="1:1" hidden="1" x14ac:dyDescent="0.25">
      <c r="A3567" t="str">
        <f>CONCATENATE("sql left outer join agldescription e on e.client = u.client and e.dim_value = t.dim_b and e.attribute_id = '",$F$163,"'")</f>
        <v>sql left outer join agldescription e on e.client = u.client and e.dim_value = t.dim_b and e.attribute_id = '81'</v>
      </c>
    </row>
    <row r="3568" spans="1:1" hidden="1" x14ac:dyDescent="0.25">
      <c r="A3568" t="str">
        <f>CONCATENATE("sql left outer join agldescription f on f.client = u.client and f.dim_value = t.dim_e and f.attribute_id = '",$F$164,"'")</f>
        <v>sql left outer join agldescription f on f.client = u.client and f.dim_value = t.dim_e and f.attribute_id = '80'</v>
      </c>
    </row>
    <row r="3569" spans="1:33" hidden="1" x14ac:dyDescent="0.25">
      <c r="A3569" t="str">
        <f>CONCATENATE("sql left outer join agldescription g on g.client = u.client and g.dim_value = u.account and g.attribute_id = '",$F$165,"'")</f>
        <v>sql left outer join agldescription g on g.client = u.client and g.dim_value = u.account and g.attribute_id = 'A0'</v>
      </c>
    </row>
    <row r="3570" spans="1:33" ht="14.5" hidden="1" x14ac:dyDescent="0.35">
      <c r="A3570" s="67" t="s">
        <v>1072</v>
      </c>
      <c r="G3570" s="737" t="s">
        <v>1073</v>
      </c>
    </row>
    <row r="3571" spans="1:33" hidden="1" x14ac:dyDescent="0.25">
      <c r="A3571" t="s">
        <v>1005</v>
      </c>
    </row>
    <row r="3572" spans="1:33" hidden="1" x14ac:dyDescent="0.25">
      <c r="A3572" t="s">
        <v>1006</v>
      </c>
    </row>
    <row r="3573" spans="1:33" hidden="1" x14ac:dyDescent="0.25">
      <c r="A3573" t="s">
        <v>1007</v>
      </c>
    </row>
    <row r="3574" spans="1:33" ht="13" hidden="1" x14ac:dyDescent="0.3">
      <c r="A3574" t="s">
        <v>1012</v>
      </c>
      <c r="C3574" s="29"/>
      <c r="D3574" s="36">
        <v>1000</v>
      </c>
      <c r="E3574" s="36">
        <v>1000</v>
      </c>
      <c r="F3574" s="22">
        <v>1000</v>
      </c>
      <c r="G3574" s="22">
        <v>1000</v>
      </c>
      <c r="H3574" s="22">
        <v>1000</v>
      </c>
      <c r="I3574" s="22">
        <v>1000</v>
      </c>
      <c r="J3574" s="22">
        <v>1000</v>
      </c>
      <c r="K3574" s="22">
        <v>1000</v>
      </c>
      <c r="L3574" s="22"/>
      <c r="M3574" s="36"/>
      <c r="N3574" s="36"/>
      <c r="O3574" s="36">
        <v>1000</v>
      </c>
      <c r="P3574" s="36">
        <v>1000</v>
      </c>
      <c r="Q3574" s="36">
        <v>1000</v>
      </c>
      <c r="R3574" s="36">
        <v>1000</v>
      </c>
      <c r="S3574" s="36">
        <v>1000</v>
      </c>
      <c r="T3574" s="36"/>
      <c r="U3574" s="36"/>
      <c r="V3574" s="58"/>
      <c r="W3574" s="36">
        <v>1000</v>
      </c>
      <c r="X3574" s="36">
        <v>1000</v>
      </c>
      <c r="Y3574" s="36"/>
      <c r="Z3574" s="36"/>
      <c r="AA3574" s="40"/>
      <c r="AB3574" s="60"/>
      <c r="AC3574" s="98"/>
      <c r="AD3574" s="36"/>
      <c r="AE3574" s="36"/>
      <c r="AF3574" s="36"/>
      <c r="AG3574" s="99"/>
    </row>
    <row r="3575" spans="1:33" ht="13" hidden="1" x14ac:dyDescent="0.3">
      <c r="A3575" s="7" t="s">
        <v>1013</v>
      </c>
      <c r="C3575" s="29"/>
      <c r="D3575" s="36">
        <v>0</v>
      </c>
      <c r="E3575" s="36">
        <v>0</v>
      </c>
      <c r="F3575" s="22">
        <v>0</v>
      </c>
      <c r="G3575" s="22">
        <v>0</v>
      </c>
      <c r="H3575" s="22">
        <v>0</v>
      </c>
      <c r="I3575" s="22">
        <v>0</v>
      </c>
      <c r="J3575" s="22">
        <v>0</v>
      </c>
      <c r="K3575" s="22">
        <v>0</v>
      </c>
      <c r="L3575" s="22"/>
      <c r="M3575" s="36"/>
      <c r="N3575" s="36"/>
      <c r="O3575" s="36">
        <v>0</v>
      </c>
      <c r="P3575" s="36">
        <v>0</v>
      </c>
      <c r="Q3575" s="36">
        <v>0</v>
      </c>
      <c r="R3575" s="36">
        <v>0</v>
      </c>
      <c r="S3575" s="36">
        <v>0</v>
      </c>
      <c r="T3575" s="36"/>
      <c r="U3575" s="36"/>
      <c r="V3575" s="58"/>
      <c r="W3575" s="36">
        <v>0</v>
      </c>
      <c r="X3575" s="36">
        <v>0</v>
      </c>
      <c r="Y3575" s="36"/>
      <c r="Z3575" s="36"/>
      <c r="AA3575" s="40"/>
      <c r="AB3575" s="60"/>
      <c r="AC3575" s="98"/>
      <c r="AD3575" s="36"/>
      <c r="AE3575" s="36"/>
      <c r="AF3575" s="36"/>
      <c r="AG3575" s="99"/>
    </row>
    <row r="3576" spans="1:33" ht="13" hidden="1" x14ac:dyDescent="0.3">
      <c r="A3576" t="s">
        <v>1014</v>
      </c>
      <c r="C3576" s="30"/>
      <c r="D3576" s="36"/>
      <c r="E3576" s="36"/>
      <c r="F3576" s="57"/>
      <c r="G3576" s="57"/>
      <c r="H3576" s="57"/>
      <c r="I3576" s="57"/>
      <c r="J3576" s="57"/>
      <c r="K3576" s="57"/>
      <c r="L3576" s="57"/>
      <c r="M3576" s="36"/>
      <c r="N3576" s="36"/>
      <c r="O3576" s="36"/>
      <c r="P3576" s="36" t="s">
        <v>1015</v>
      </c>
      <c r="Q3576" s="36" t="s">
        <v>1016</v>
      </c>
      <c r="R3576" s="36"/>
      <c r="S3576" s="36"/>
      <c r="T3576" s="36"/>
      <c r="U3576" s="36"/>
      <c r="V3576" s="58"/>
      <c r="W3576" s="36"/>
      <c r="X3576" s="36"/>
      <c r="Y3576" s="36"/>
      <c r="Z3576" s="36"/>
      <c r="AA3576" s="40"/>
      <c r="AB3576" s="60"/>
      <c r="AC3576" s="98"/>
      <c r="AD3576" s="36"/>
      <c r="AE3576" s="36"/>
      <c r="AF3576" s="36"/>
      <c r="AG3576" s="99"/>
    </row>
    <row r="3577" spans="1:33" ht="13" hidden="1" x14ac:dyDescent="0.3">
      <c r="A3577" t="s">
        <v>1017</v>
      </c>
      <c r="C3577" s="79" t="s">
        <v>1018</v>
      </c>
      <c r="D3577" s="36" t="s">
        <v>1019</v>
      </c>
      <c r="E3577" s="36" t="s">
        <v>1020</v>
      </c>
      <c r="F3577" s="22" t="s">
        <v>1021</v>
      </c>
      <c r="G3577" s="22" t="s">
        <v>1022</v>
      </c>
      <c r="H3577" s="22" t="s">
        <v>1023</v>
      </c>
      <c r="I3577" s="22" t="s">
        <v>1024</v>
      </c>
      <c r="J3577" s="22" t="s">
        <v>1025</v>
      </c>
      <c r="K3577" s="22" t="s">
        <v>1026</v>
      </c>
      <c r="L3577" s="22"/>
      <c r="M3577" s="36"/>
      <c r="N3577" s="36"/>
      <c r="O3577" s="36" t="s">
        <v>1027</v>
      </c>
      <c r="P3577" s="36" t="s">
        <v>1028</v>
      </c>
      <c r="Q3577" s="36" t="s">
        <v>1028</v>
      </c>
      <c r="R3577" s="36" t="s">
        <v>1028</v>
      </c>
      <c r="S3577" s="36" t="s">
        <v>1029</v>
      </c>
      <c r="T3577" s="36"/>
      <c r="U3577" s="36"/>
      <c r="V3577" s="58"/>
      <c r="W3577" s="36" t="s">
        <v>1030</v>
      </c>
      <c r="X3577" s="36" t="s">
        <v>1031</v>
      </c>
      <c r="Y3577" s="36"/>
      <c r="Z3577" s="36"/>
      <c r="AA3577" s="40"/>
      <c r="AB3577" s="60"/>
      <c r="AC3577" s="98"/>
      <c r="AD3577" s="36"/>
      <c r="AE3577" s="36"/>
      <c r="AF3577" s="36"/>
      <c r="AG3577" s="99"/>
    </row>
    <row r="3578" spans="1:33" ht="13" x14ac:dyDescent="0.3">
      <c r="C3578" s="78" t="s">
        <v>136</v>
      </c>
      <c r="D3578" s="34">
        <f>SUM(D3579:D3588,D3761:D3763)</f>
        <v>-2614</v>
      </c>
      <c r="E3578" s="34">
        <f t="shared" ref="E3578:K3578" si="42">SUM(E3579:E3588,E3761:E3763)</f>
        <v>-1614</v>
      </c>
      <c r="F3578" s="24">
        <f t="shared" si="42"/>
        <v>0</v>
      </c>
      <c r="G3578" s="24">
        <f t="shared" si="42"/>
        <v>0</v>
      </c>
      <c r="H3578" s="24">
        <f t="shared" si="42"/>
        <v>1000</v>
      </c>
      <c r="I3578" s="24">
        <f t="shared" si="42"/>
        <v>0</v>
      </c>
      <c r="J3578" s="24">
        <f t="shared" si="42"/>
        <v>0</v>
      </c>
      <c r="K3578" s="24">
        <f t="shared" si="42"/>
        <v>0</v>
      </c>
      <c r="L3578" s="24">
        <f t="shared" ref="L3578" si="43">SUM(L3579:L3763)</f>
        <v>1000</v>
      </c>
      <c r="M3578" s="34">
        <f>O3578-E3578</f>
        <v>0</v>
      </c>
      <c r="N3578" s="34">
        <f>O3578-D3578</f>
        <v>1000</v>
      </c>
      <c r="O3578" s="34">
        <f t="shared" ref="O3578:S3578" si="44">SUM(O3579:O3588,O3761:O3763)</f>
        <v>-1614</v>
      </c>
      <c r="P3578" s="34">
        <f t="shared" si="44"/>
        <v>18519</v>
      </c>
      <c r="Q3578" s="34">
        <f t="shared" si="44"/>
        <v>3119</v>
      </c>
      <c r="R3578" s="34">
        <f t="shared" si="44"/>
        <v>21639</v>
      </c>
      <c r="S3578" s="34">
        <f t="shared" si="44"/>
        <v>-2338</v>
      </c>
      <c r="T3578" s="34">
        <f>R3578-S3578</f>
        <v>23977</v>
      </c>
      <c r="U3578" s="94">
        <f>IFERROR((R3578/O3578)*100%,"∞")</f>
        <v>-13.407063197026023</v>
      </c>
      <c r="V3578" s="95">
        <f>O3578+W3578</f>
        <v>-1614</v>
      </c>
      <c r="W3578" s="34">
        <f t="shared" ref="W3578:X3578" si="45">SUM(W3579:W3588,W3761:W3763)</f>
        <v>0</v>
      </c>
      <c r="X3578" s="34">
        <f t="shared" si="45"/>
        <v>0</v>
      </c>
      <c r="Y3578" s="34"/>
      <c r="Z3578" s="34"/>
      <c r="AA3578" s="41"/>
      <c r="AB3578" s="60"/>
      <c r="AC3578" s="100">
        <f t="shared" ref="AC3578:AG3578" si="46">SUM(AC3579:AC3588,AC3761:AC3763)</f>
        <v>0</v>
      </c>
      <c r="AD3578" s="33">
        <f t="shared" si="46"/>
        <v>0</v>
      </c>
      <c r="AE3578" s="33">
        <f t="shared" si="46"/>
        <v>0</v>
      </c>
      <c r="AF3578" s="33">
        <f t="shared" si="46"/>
        <v>21639</v>
      </c>
      <c r="AG3578" s="101">
        <f t="shared" si="46"/>
        <v>23253</v>
      </c>
    </row>
    <row r="3579" spans="1:33" ht="13" hidden="1" x14ac:dyDescent="0.3">
      <c r="A3579" t="s">
        <v>232</v>
      </c>
      <c r="C3579" s="78"/>
      <c r="D3579" s="33"/>
      <c r="E3579" s="33"/>
      <c r="F3579" s="23"/>
      <c r="G3579" s="23"/>
      <c r="H3579" s="23"/>
      <c r="I3579" s="23"/>
      <c r="J3579" s="23"/>
      <c r="K3579" s="23"/>
      <c r="L3579" s="23"/>
      <c r="M3579" s="33"/>
      <c r="N3579" s="33"/>
      <c r="O3579" s="33"/>
      <c r="P3579" s="33"/>
      <c r="Q3579" s="33"/>
      <c r="R3579" s="33"/>
      <c r="S3579" s="33"/>
      <c r="T3579" s="33"/>
      <c r="U3579" s="38"/>
      <c r="V3579" s="59"/>
      <c r="W3579" s="33"/>
      <c r="X3579" s="33"/>
      <c r="Y3579" s="33"/>
      <c r="Z3579" s="33"/>
      <c r="AA3579" s="42"/>
      <c r="AB3579" s="60"/>
      <c r="AC3579" s="100"/>
      <c r="AD3579" s="33"/>
      <c r="AE3579" s="33"/>
      <c r="AF3579" s="33"/>
      <c r="AG3579" s="101"/>
    </row>
    <row r="3580" spans="1:33" ht="13" outlineLevel="1" x14ac:dyDescent="0.3">
      <c r="A3580" t="s">
        <v>1085</v>
      </c>
      <c r="C3580" s="79" t="s">
        <v>137</v>
      </c>
      <c r="D3580" s="33">
        <v>380</v>
      </c>
      <c r="E3580" s="33">
        <v>1380</v>
      </c>
      <c r="F3580" s="23">
        <v>0</v>
      </c>
      <c r="G3580" s="23">
        <v>0</v>
      </c>
      <c r="H3580" s="23">
        <v>1000</v>
      </c>
      <c r="I3580" s="23">
        <v>0</v>
      </c>
      <c r="J3580" s="23">
        <v>0</v>
      </c>
      <c r="K3580" s="23">
        <v>0</v>
      </c>
      <c r="L3580" s="23">
        <f>SUM(F3580:K3580)</f>
        <v>1000</v>
      </c>
      <c r="M3580" s="33">
        <f>O3580-E3580</f>
        <v>0</v>
      </c>
      <c r="N3580" s="33">
        <f>O3580-D3580</f>
        <v>1000</v>
      </c>
      <c r="O3580" s="33">
        <v>1380</v>
      </c>
      <c r="P3580" s="33">
        <v>18285</v>
      </c>
      <c r="Q3580" s="33">
        <v>3012</v>
      </c>
      <c r="R3580" s="33">
        <v>21298</v>
      </c>
      <c r="S3580" s="33">
        <v>690</v>
      </c>
      <c r="T3580" s="33">
        <f>R3580-S3580</f>
        <v>20608</v>
      </c>
      <c r="U3580" s="38">
        <f>IFERROR((R3580/O3580)*100%,"∞")</f>
        <v>15.433333333333334</v>
      </c>
      <c r="V3580" s="59">
        <f>O3580+W3580</f>
        <v>1380</v>
      </c>
      <c r="W3580" s="33">
        <v>0</v>
      </c>
      <c r="X3580" s="33">
        <v>0</v>
      </c>
      <c r="Y3580" s="33"/>
      <c r="Z3580" s="33"/>
      <c r="AA3580" s="42"/>
      <c r="AB3580" s="60"/>
      <c r="AC3580" s="105"/>
      <c r="AD3580" s="93"/>
      <c r="AE3580" s="33">
        <f>SUM(AC3580:AD3580)</f>
        <v>0</v>
      </c>
      <c r="AF3580" s="33">
        <f>R3580+AE3580</f>
        <v>21298</v>
      </c>
      <c r="AG3580" s="101">
        <f>AF3580-O3580</f>
        <v>19918</v>
      </c>
    </row>
    <row r="3581" spans="1:33" ht="13" outlineLevel="1" x14ac:dyDescent="0.3">
      <c r="A3581" t="s">
        <v>1085</v>
      </c>
      <c r="C3581" s="79" t="s">
        <v>138</v>
      </c>
      <c r="D3581" s="33">
        <v>3062</v>
      </c>
      <c r="E3581" s="33">
        <v>3062</v>
      </c>
      <c r="F3581" s="23">
        <v>0</v>
      </c>
      <c r="G3581" s="23">
        <v>0</v>
      </c>
      <c r="H3581" s="23">
        <v>0</v>
      </c>
      <c r="I3581" s="23">
        <v>0</v>
      </c>
      <c r="J3581" s="23">
        <v>0</v>
      </c>
      <c r="K3581" s="23">
        <v>0</v>
      </c>
      <c r="L3581" s="23">
        <f t="shared" ref="L3581:L3586" si="47">SUM(F3581:K3581)</f>
        <v>0</v>
      </c>
      <c r="M3581" s="33">
        <f t="shared" ref="M3581:M3586" si="48">O3581-E3581</f>
        <v>0</v>
      </c>
      <c r="N3581" s="33">
        <f t="shared" ref="N3581:N3586" si="49">O3581-D3581</f>
        <v>0</v>
      </c>
      <c r="O3581" s="33">
        <v>3062</v>
      </c>
      <c r="P3581" s="33">
        <v>0</v>
      </c>
      <c r="Q3581" s="33">
        <v>0</v>
      </c>
      <c r="R3581" s="33">
        <v>0</v>
      </c>
      <c r="S3581" s="33">
        <v>0</v>
      </c>
      <c r="T3581" s="33">
        <f t="shared" ref="T3581:T3586" si="50">R3581-S3581</f>
        <v>0</v>
      </c>
      <c r="U3581" s="38">
        <f t="shared" ref="U3581:U3586" si="51">IFERROR((R3581/O3581)*100%,"∞")</f>
        <v>0</v>
      </c>
      <c r="V3581" s="59">
        <f t="shared" ref="V3581:V3586" si="52">O3581+W3581</f>
        <v>3062</v>
      </c>
      <c r="W3581" s="33">
        <v>0</v>
      </c>
      <c r="X3581" s="33">
        <v>0</v>
      </c>
      <c r="Y3581" s="33"/>
      <c r="Z3581" s="33"/>
      <c r="AA3581" s="42"/>
      <c r="AB3581" s="60"/>
      <c r="AC3581" s="105"/>
      <c r="AD3581" s="93"/>
      <c r="AE3581" s="33">
        <f t="shared" ref="AE3581:AE3586" si="53">SUM(AC3581:AD3581)</f>
        <v>0</v>
      </c>
      <c r="AF3581" s="33">
        <f t="shared" ref="AF3581:AF3586" si="54">R3581+AE3581</f>
        <v>0</v>
      </c>
      <c r="AG3581" s="101">
        <f t="shared" ref="AG3581:AG3586" si="55">AF3581-O3581</f>
        <v>-3062</v>
      </c>
    </row>
    <row r="3582" spans="1:33" ht="13" outlineLevel="1" x14ac:dyDescent="0.3">
      <c r="A3582" t="s">
        <v>1085</v>
      </c>
      <c r="C3582" s="79" t="s">
        <v>139</v>
      </c>
      <c r="D3582" s="33">
        <v>602</v>
      </c>
      <c r="E3582" s="33">
        <v>602</v>
      </c>
      <c r="F3582" s="23">
        <v>0</v>
      </c>
      <c r="G3582" s="23">
        <v>0</v>
      </c>
      <c r="H3582" s="23">
        <v>0</v>
      </c>
      <c r="I3582" s="23">
        <v>0</v>
      </c>
      <c r="J3582" s="23">
        <v>0</v>
      </c>
      <c r="K3582" s="23">
        <v>0</v>
      </c>
      <c r="L3582" s="23">
        <f t="shared" si="47"/>
        <v>0</v>
      </c>
      <c r="M3582" s="33">
        <f t="shared" si="48"/>
        <v>0</v>
      </c>
      <c r="N3582" s="33">
        <f t="shared" si="49"/>
        <v>0</v>
      </c>
      <c r="O3582" s="33">
        <v>602</v>
      </c>
      <c r="P3582" s="33">
        <v>199</v>
      </c>
      <c r="Q3582" s="33">
        <v>0</v>
      </c>
      <c r="R3582" s="33">
        <v>199</v>
      </c>
      <c r="S3582" s="33">
        <v>301</v>
      </c>
      <c r="T3582" s="33">
        <f t="shared" si="50"/>
        <v>-102</v>
      </c>
      <c r="U3582" s="38">
        <f t="shared" si="51"/>
        <v>0.33056478405315615</v>
      </c>
      <c r="V3582" s="59">
        <f t="shared" si="52"/>
        <v>602</v>
      </c>
      <c r="W3582" s="33">
        <v>0</v>
      </c>
      <c r="X3582" s="33">
        <v>0</v>
      </c>
      <c r="Y3582" s="33"/>
      <c r="Z3582" s="33"/>
      <c r="AA3582" s="42"/>
      <c r="AB3582" s="60"/>
      <c r="AC3582" s="105"/>
      <c r="AD3582" s="93"/>
      <c r="AE3582" s="33">
        <f t="shared" si="53"/>
        <v>0</v>
      </c>
      <c r="AF3582" s="33">
        <f t="shared" si="54"/>
        <v>199</v>
      </c>
      <c r="AG3582" s="101">
        <f t="shared" si="55"/>
        <v>-403</v>
      </c>
    </row>
    <row r="3583" spans="1:33" ht="13" outlineLevel="1" x14ac:dyDescent="0.3">
      <c r="A3583" t="s">
        <v>1085</v>
      </c>
      <c r="C3583" s="79" t="s">
        <v>141</v>
      </c>
      <c r="D3583" s="33">
        <v>16219</v>
      </c>
      <c r="E3583" s="33">
        <v>16219</v>
      </c>
      <c r="F3583" s="23">
        <v>0</v>
      </c>
      <c r="G3583" s="23">
        <v>0</v>
      </c>
      <c r="H3583" s="23">
        <v>0</v>
      </c>
      <c r="I3583" s="23">
        <v>0</v>
      </c>
      <c r="J3583" s="23">
        <v>0</v>
      </c>
      <c r="K3583" s="23">
        <v>0</v>
      </c>
      <c r="L3583" s="23">
        <f t="shared" si="47"/>
        <v>0</v>
      </c>
      <c r="M3583" s="33">
        <f t="shared" si="48"/>
        <v>0</v>
      </c>
      <c r="N3583" s="33">
        <f t="shared" si="49"/>
        <v>0</v>
      </c>
      <c r="O3583" s="33">
        <v>16219</v>
      </c>
      <c r="P3583" s="33">
        <v>35</v>
      </c>
      <c r="Q3583" s="33">
        <v>0</v>
      </c>
      <c r="R3583" s="33">
        <v>35</v>
      </c>
      <c r="S3583" s="33">
        <v>8110</v>
      </c>
      <c r="T3583" s="33">
        <f t="shared" si="50"/>
        <v>-8075</v>
      </c>
      <c r="U3583" s="38">
        <f t="shared" si="51"/>
        <v>2.1579628830384117E-3</v>
      </c>
      <c r="V3583" s="59">
        <f t="shared" si="52"/>
        <v>16219</v>
      </c>
      <c r="W3583" s="33">
        <v>0</v>
      </c>
      <c r="X3583" s="33">
        <v>0</v>
      </c>
      <c r="Y3583" s="33"/>
      <c r="Z3583" s="33"/>
      <c r="AA3583" s="42"/>
      <c r="AB3583" s="60"/>
      <c r="AC3583" s="105"/>
      <c r="AD3583" s="93"/>
      <c r="AE3583" s="33">
        <f t="shared" si="53"/>
        <v>0</v>
      </c>
      <c r="AF3583" s="33">
        <f t="shared" si="54"/>
        <v>35</v>
      </c>
      <c r="AG3583" s="101">
        <f t="shared" si="55"/>
        <v>-16184</v>
      </c>
    </row>
    <row r="3584" spans="1:33" ht="13" outlineLevel="1" x14ac:dyDescent="0.3">
      <c r="A3584" t="s">
        <v>1085</v>
      </c>
      <c r="C3584" s="79" t="s">
        <v>142</v>
      </c>
      <c r="D3584" s="33">
        <v>-7964</v>
      </c>
      <c r="E3584" s="33">
        <v>-7964</v>
      </c>
      <c r="F3584" s="23">
        <v>0</v>
      </c>
      <c r="G3584" s="23">
        <v>0</v>
      </c>
      <c r="H3584" s="23">
        <v>0</v>
      </c>
      <c r="I3584" s="23">
        <v>0</v>
      </c>
      <c r="J3584" s="23">
        <v>0</v>
      </c>
      <c r="K3584" s="23">
        <v>0</v>
      </c>
      <c r="L3584" s="23">
        <f t="shared" si="47"/>
        <v>0</v>
      </c>
      <c r="M3584" s="33">
        <f t="shared" si="48"/>
        <v>0</v>
      </c>
      <c r="N3584" s="33">
        <f t="shared" si="49"/>
        <v>0</v>
      </c>
      <c r="O3584" s="33">
        <v>-7964</v>
      </c>
      <c r="P3584" s="33">
        <v>0</v>
      </c>
      <c r="Q3584" s="33">
        <v>283</v>
      </c>
      <c r="R3584" s="33">
        <v>283</v>
      </c>
      <c r="S3584" s="33">
        <v>-3982</v>
      </c>
      <c r="T3584" s="33">
        <f t="shared" si="50"/>
        <v>4265</v>
      </c>
      <c r="U3584" s="38">
        <f t="shared" si="51"/>
        <v>-3.5534907081868405E-2</v>
      </c>
      <c r="V3584" s="59">
        <f t="shared" si="52"/>
        <v>-7964</v>
      </c>
      <c r="W3584" s="33">
        <v>0</v>
      </c>
      <c r="X3584" s="33">
        <v>0</v>
      </c>
      <c r="Y3584" s="33"/>
      <c r="Z3584" s="33"/>
      <c r="AA3584" s="42"/>
      <c r="AB3584" s="60"/>
      <c r="AC3584" s="105"/>
      <c r="AD3584" s="93"/>
      <c r="AE3584" s="33">
        <f t="shared" si="53"/>
        <v>0</v>
      </c>
      <c r="AF3584" s="33">
        <f t="shared" si="54"/>
        <v>283</v>
      </c>
      <c r="AG3584" s="101">
        <f t="shared" si="55"/>
        <v>8247</v>
      </c>
    </row>
    <row r="3585" spans="1:33" ht="13" outlineLevel="1" x14ac:dyDescent="0.3">
      <c r="A3585" t="s">
        <v>1085</v>
      </c>
      <c r="C3585" s="79" t="s">
        <v>143</v>
      </c>
      <c r="D3585" s="33">
        <v>-14548</v>
      </c>
      <c r="E3585" s="33">
        <v>-14548</v>
      </c>
      <c r="F3585" s="23">
        <v>0</v>
      </c>
      <c r="G3585" s="23">
        <v>0</v>
      </c>
      <c r="H3585" s="23">
        <v>0</v>
      </c>
      <c r="I3585" s="23">
        <v>0</v>
      </c>
      <c r="J3585" s="23">
        <v>0</v>
      </c>
      <c r="K3585" s="23">
        <v>0</v>
      </c>
      <c r="L3585" s="23">
        <f t="shared" si="47"/>
        <v>0</v>
      </c>
      <c r="M3585" s="33">
        <f t="shared" si="48"/>
        <v>0</v>
      </c>
      <c r="N3585" s="33">
        <f t="shared" si="49"/>
        <v>0</v>
      </c>
      <c r="O3585" s="33">
        <v>-14548</v>
      </c>
      <c r="P3585" s="33">
        <v>0</v>
      </c>
      <c r="Q3585" s="33">
        <v>0</v>
      </c>
      <c r="R3585" s="33">
        <v>0</v>
      </c>
      <c r="S3585" s="33">
        <v>-7274</v>
      </c>
      <c r="T3585" s="33">
        <f t="shared" si="50"/>
        <v>7274</v>
      </c>
      <c r="U3585" s="38">
        <f t="shared" si="51"/>
        <v>0</v>
      </c>
      <c r="V3585" s="59">
        <f t="shared" si="52"/>
        <v>-14548</v>
      </c>
      <c r="W3585" s="33">
        <v>0</v>
      </c>
      <c r="X3585" s="33">
        <v>0</v>
      </c>
      <c r="Y3585" s="33"/>
      <c r="Z3585" s="33"/>
      <c r="AA3585" s="42"/>
      <c r="AB3585" s="60"/>
      <c r="AC3585" s="105"/>
      <c r="AD3585" s="93"/>
      <c r="AE3585" s="33">
        <f t="shared" si="53"/>
        <v>0</v>
      </c>
      <c r="AF3585" s="33">
        <f t="shared" si="54"/>
        <v>0</v>
      </c>
      <c r="AG3585" s="101">
        <f t="shared" si="55"/>
        <v>14548</v>
      </c>
    </row>
    <row r="3586" spans="1:33" ht="13" outlineLevel="1" x14ac:dyDescent="0.3">
      <c r="A3586" t="s">
        <v>1085</v>
      </c>
      <c r="C3586" s="79" t="s">
        <v>144</v>
      </c>
      <c r="D3586" s="33">
        <v>-757</v>
      </c>
      <c r="E3586" s="33">
        <v>-757</v>
      </c>
      <c r="F3586" s="23">
        <v>0</v>
      </c>
      <c r="G3586" s="23">
        <v>0</v>
      </c>
      <c r="H3586" s="23">
        <v>0</v>
      </c>
      <c r="I3586" s="23">
        <v>0</v>
      </c>
      <c r="J3586" s="23">
        <v>0</v>
      </c>
      <c r="K3586" s="23">
        <v>0</v>
      </c>
      <c r="L3586" s="23">
        <f t="shared" si="47"/>
        <v>0</v>
      </c>
      <c r="M3586" s="33">
        <f t="shared" si="48"/>
        <v>0</v>
      </c>
      <c r="N3586" s="33">
        <f t="shared" si="49"/>
        <v>0</v>
      </c>
      <c r="O3586" s="33">
        <v>-757</v>
      </c>
      <c r="P3586" s="33">
        <v>0</v>
      </c>
      <c r="Q3586" s="33">
        <v>0</v>
      </c>
      <c r="R3586" s="33">
        <v>0</v>
      </c>
      <c r="S3586" s="33">
        <v>-379</v>
      </c>
      <c r="T3586" s="33">
        <f t="shared" si="50"/>
        <v>379</v>
      </c>
      <c r="U3586" s="38">
        <f t="shared" si="51"/>
        <v>0</v>
      </c>
      <c r="V3586" s="59">
        <f t="shared" si="52"/>
        <v>-757</v>
      </c>
      <c r="W3586" s="33">
        <v>0</v>
      </c>
      <c r="X3586" s="33">
        <v>0</v>
      </c>
      <c r="Y3586" s="33"/>
      <c r="Z3586" s="33"/>
      <c r="AA3586" s="42"/>
      <c r="AB3586" s="60"/>
      <c r="AC3586" s="105"/>
      <c r="AD3586" s="93"/>
      <c r="AE3586" s="33">
        <f t="shared" si="53"/>
        <v>0</v>
      </c>
      <c r="AF3586" s="33">
        <f t="shared" si="54"/>
        <v>0</v>
      </c>
      <c r="AG3586" s="101">
        <f t="shared" si="55"/>
        <v>757</v>
      </c>
    </row>
    <row r="3587" spans="1:33" ht="13" outlineLevel="1" x14ac:dyDescent="0.3">
      <c r="A3587" t="s">
        <v>1033</v>
      </c>
      <c r="C3587" s="79" t="s">
        <v>146</v>
      </c>
      <c r="D3587" s="33">
        <v>744</v>
      </c>
      <c r="E3587" s="33">
        <v>744</v>
      </c>
      <c r="F3587" s="23">
        <v>0</v>
      </c>
      <c r="G3587" s="23">
        <v>0</v>
      </c>
      <c r="H3587" s="23">
        <v>0</v>
      </c>
      <c r="I3587" s="23">
        <v>0</v>
      </c>
      <c r="J3587" s="23">
        <v>0</v>
      </c>
      <c r="K3587" s="23">
        <v>0</v>
      </c>
      <c r="L3587" s="23">
        <f>SUM(F3587:K3587)</f>
        <v>0</v>
      </c>
      <c r="M3587" s="33">
        <f>O3587-E3587</f>
        <v>0</v>
      </c>
      <c r="N3587" s="33">
        <f>O3587-D3587</f>
        <v>0</v>
      </c>
      <c r="O3587" s="33">
        <v>744</v>
      </c>
      <c r="P3587" s="33">
        <v>0</v>
      </c>
      <c r="Q3587" s="33">
        <v>0</v>
      </c>
      <c r="R3587" s="33">
        <v>0</v>
      </c>
      <c r="S3587" s="33">
        <v>372</v>
      </c>
      <c r="T3587" s="33">
        <f>R3587-S3587</f>
        <v>-372</v>
      </c>
      <c r="U3587" s="38">
        <f>IFERROR((R3587/O3587)*100%,"∞")</f>
        <v>0</v>
      </c>
      <c r="V3587" s="59">
        <f>O3587+W3587</f>
        <v>744</v>
      </c>
      <c r="W3587" s="33">
        <v>0</v>
      </c>
      <c r="X3587" s="33">
        <v>0</v>
      </c>
      <c r="Y3587" s="33"/>
      <c r="Z3587" s="33"/>
      <c r="AA3587" s="42"/>
      <c r="AB3587" s="60"/>
      <c r="AC3587" s="105"/>
      <c r="AD3587" s="93"/>
      <c r="AE3587" s="33">
        <f>SUM(AC3587:AD3587)</f>
        <v>0</v>
      </c>
      <c r="AF3587" s="33">
        <f>R3587+AE3587</f>
        <v>0</v>
      </c>
      <c r="AG3587" s="101">
        <f>AF3587-O3587</f>
        <v>-744</v>
      </c>
    </row>
    <row r="3588" spans="1:33" hidden="1" outlineLevel="1" x14ac:dyDescent="0.25">
      <c r="A3588" t="s">
        <v>232</v>
      </c>
    </row>
    <row r="3589" spans="1:33" hidden="1" outlineLevel="1" x14ac:dyDescent="0.25">
      <c r="A3589" t="s">
        <v>944</v>
      </c>
      <c r="M3589" s="19"/>
      <c r="N3589" s="19"/>
    </row>
    <row r="3590" spans="1:33" hidden="1" outlineLevel="1" x14ac:dyDescent="0.25">
      <c r="A3590" t="s">
        <v>946</v>
      </c>
      <c r="E3590" s="19"/>
    </row>
    <row r="3591" spans="1:33" hidden="1" outlineLevel="1" x14ac:dyDescent="0.25">
      <c r="A3591" t="s">
        <v>947</v>
      </c>
      <c r="E3591" s="19"/>
      <c r="F3591" s="19"/>
    </row>
    <row r="3592" spans="1:33" ht="13" hidden="1" outlineLevel="1" x14ac:dyDescent="0.3">
      <c r="A3592" s="20" t="s">
        <v>948</v>
      </c>
    </row>
    <row r="3593" spans="1:33" hidden="1" outlineLevel="1" x14ac:dyDescent="0.25">
      <c r="A3593" s="7" t="s">
        <v>949</v>
      </c>
    </row>
    <row r="3594" spans="1:33" hidden="1" outlineLevel="1" x14ac:dyDescent="0.25">
      <c r="A3594" t="s">
        <v>950</v>
      </c>
    </row>
    <row r="3595" spans="1:33" hidden="1" outlineLevel="1" x14ac:dyDescent="0.25">
      <c r="A3595" t="s">
        <v>951</v>
      </c>
    </row>
    <row r="3596" spans="1:33" ht="13" hidden="1" outlineLevel="1" x14ac:dyDescent="0.3">
      <c r="A3596" s="21" t="str">
        <f>CONCATENATE("sql where a.client = '",$D$172,"' and a.period between '",LEFT($D$170,4),"00' and '",LEFT($D$171,4),"14' and a.version like '%ORIG%'")</f>
        <v>sql where a.client = 'OX' and a.period between '202500' and '202514' and a.version like '%ORIG%'</v>
      </c>
    </row>
    <row r="3597" spans="1:33" hidden="1" outlineLevel="1" x14ac:dyDescent="0.25">
      <c r="A3597" t="s">
        <v>952</v>
      </c>
    </row>
    <row r="3598" spans="1:33" hidden="1" outlineLevel="1" x14ac:dyDescent="0.25">
      <c r="A3598" t="s">
        <v>953</v>
      </c>
    </row>
    <row r="3599" spans="1:33" hidden="1" outlineLevel="1" x14ac:dyDescent="0.25">
      <c r="A3599" t="s">
        <v>954</v>
      </c>
    </row>
    <row r="3600" spans="1:33" ht="13" hidden="1" outlineLevel="1" x14ac:dyDescent="0.3">
      <c r="A3600" s="20" t="s">
        <v>955</v>
      </c>
    </row>
    <row r="3601" spans="1:3" hidden="1" outlineLevel="1" x14ac:dyDescent="0.25">
      <c r="A3601" s="7" t="s">
        <v>956</v>
      </c>
    </row>
    <row r="3602" spans="1:3" hidden="1" outlineLevel="1" x14ac:dyDescent="0.25">
      <c r="A3602" t="s">
        <v>950</v>
      </c>
    </row>
    <row r="3603" spans="1:3" hidden="1" outlineLevel="1" x14ac:dyDescent="0.25">
      <c r="A3603" t="s">
        <v>951</v>
      </c>
    </row>
    <row r="3604" spans="1:3" ht="14.5" hidden="1" outlineLevel="1" x14ac:dyDescent="0.35">
      <c r="A360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604" s="2"/>
    </row>
    <row r="3605" spans="1:3" hidden="1" outlineLevel="1" x14ac:dyDescent="0.25">
      <c r="A3605" t="s">
        <v>952</v>
      </c>
    </row>
    <row r="3606" spans="1:3" hidden="1" outlineLevel="1" x14ac:dyDescent="0.25">
      <c r="A3606" t="s">
        <v>953</v>
      </c>
    </row>
    <row r="3607" spans="1:3" hidden="1" outlineLevel="1" x14ac:dyDescent="0.25">
      <c r="A3607" t="s">
        <v>954</v>
      </c>
    </row>
    <row r="3608" spans="1:3" ht="13" hidden="1" outlineLevel="1" x14ac:dyDescent="0.3">
      <c r="A3608" s="66" t="s">
        <v>957</v>
      </c>
    </row>
    <row r="3609" spans="1:3" hidden="1" outlineLevel="1" x14ac:dyDescent="0.25">
      <c r="A3609" t="s">
        <v>958</v>
      </c>
    </row>
    <row r="3610" spans="1:3" hidden="1" outlineLevel="1" x14ac:dyDescent="0.25">
      <c r="A3610" t="s">
        <v>950</v>
      </c>
    </row>
    <row r="3611" spans="1:3" ht="13" hidden="1" outlineLevel="1" x14ac:dyDescent="0.3">
      <c r="A361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612" spans="1:3" ht="13" hidden="1" outlineLevel="1" x14ac:dyDescent="0.3">
      <c r="A3612" s="21" t="s">
        <v>959</v>
      </c>
    </row>
    <row r="3613" spans="1:3" hidden="1" outlineLevel="1" x14ac:dyDescent="0.25">
      <c r="A3613" t="s">
        <v>960</v>
      </c>
    </row>
    <row r="3614" spans="1:3" hidden="1" outlineLevel="1" x14ac:dyDescent="0.25">
      <c r="A3614" t="s">
        <v>961</v>
      </c>
    </row>
    <row r="3615" spans="1:3" hidden="1" outlineLevel="1" x14ac:dyDescent="0.25">
      <c r="A3615" t="str">
        <f>CONCATENATE("sql left outer join acrtrees t on t.client = x.client and x.dim_1 = t.cat_1 and t.att_agrid = '",$F$159,"'")</f>
        <v>sql left outer join acrtrees t on t.client = x.client and x.dim_1 = t.cat_1 and t.att_agrid = '53'</v>
      </c>
    </row>
    <row r="3616" spans="1:3" ht="13" hidden="1" outlineLevel="1" x14ac:dyDescent="0.3">
      <c r="A361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617" spans="1:1" ht="13" hidden="1" outlineLevel="1" x14ac:dyDescent="0.3">
      <c r="A3617" s="21" t="s">
        <v>962</v>
      </c>
    </row>
    <row r="3618" spans="1:1" ht="13" hidden="1" outlineLevel="1" x14ac:dyDescent="0.3">
      <c r="A361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619" spans="1:1" ht="13" hidden="1" outlineLevel="1" x14ac:dyDescent="0.3">
      <c r="A3619" s="21" t="s">
        <v>963</v>
      </c>
    </row>
    <row r="3620" spans="1:1" hidden="1" outlineLevel="1" x14ac:dyDescent="0.25">
      <c r="A3620" t="s">
        <v>964</v>
      </c>
    </row>
    <row r="3621" spans="1:1" hidden="1" outlineLevel="1" x14ac:dyDescent="0.25">
      <c r="A3621" t="s">
        <v>965</v>
      </c>
    </row>
    <row r="3622" spans="1:1" hidden="1" outlineLevel="1" x14ac:dyDescent="0.25">
      <c r="A3622" t="s">
        <v>966</v>
      </c>
    </row>
    <row r="3623" spans="1:1" hidden="1" outlineLevel="1" x14ac:dyDescent="0.25">
      <c r="A3623" t="s">
        <v>953</v>
      </c>
    </row>
    <row r="3624" spans="1:1" hidden="1" outlineLevel="1" x14ac:dyDescent="0.25">
      <c r="A3624" t="s">
        <v>954</v>
      </c>
    </row>
    <row r="3625" spans="1:1" ht="13" hidden="1" outlineLevel="1" x14ac:dyDescent="0.3">
      <c r="A3625" s="66" t="s">
        <v>967</v>
      </c>
    </row>
    <row r="3626" spans="1:1" hidden="1" outlineLevel="1" x14ac:dyDescent="0.25">
      <c r="A3626" t="s">
        <v>968</v>
      </c>
    </row>
    <row r="3627" spans="1:1" hidden="1" outlineLevel="1" x14ac:dyDescent="0.25">
      <c r="A3627" t="s">
        <v>950</v>
      </c>
    </row>
    <row r="3628" spans="1:1" ht="13" hidden="1" outlineLevel="1" x14ac:dyDescent="0.3">
      <c r="A362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629" spans="1:1" ht="13" hidden="1" outlineLevel="1" x14ac:dyDescent="0.3">
      <c r="A3629" s="21" t="s">
        <v>969</v>
      </c>
    </row>
    <row r="3630" spans="1:1" ht="13" hidden="1" outlineLevel="1" x14ac:dyDescent="0.3">
      <c r="A3630" s="21" t="s">
        <v>959</v>
      </c>
    </row>
    <row r="3631" spans="1:1" hidden="1" outlineLevel="1" x14ac:dyDescent="0.25">
      <c r="A3631" t="s">
        <v>960</v>
      </c>
    </row>
    <row r="3632" spans="1:1" hidden="1" outlineLevel="1" x14ac:dyDescent="0.25">
      <c r="A3632" t="s">
        <v>961</v>
      </c>
    </row>
    <row r="3633" spans="1:1" hidden="1" outlineLevel="1" x14ac:dyDescent="0.25">
      <c r="A3633" t="str">
        <f>CONCATENATE("sql left outer join acrtrees t on t.client = x.client and x.dim_1 = t.cat_1 and t.att_agrid = '",$F$159,"'")</f>
        <v>sql left outer join acrtrees t on t.client = x.client and x.dim_1 = t.cat_1 and t.att_agrid = '53'</v>
      </c>
    </row>
    <row r="3634" spans="1:1" ht="13" hidden="1" outlineLevel="1" x14ac:dyDescent="0.3">
      <c r="A363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635" spans="1:1" ht="13" hidden="1" outlineLevel="1" x14ac:dyDescent="0.3">
      <c r="A3635" s="21" t="s">
        <v>970</v>
      </c>
    </row>
    <row r="3636" spans="1:1" ht="13" hidden="1" outlineLevel="1" x14ac:dyDescent="0.3">
      <c r="A3636" s="21" t="s">
        <v>962</v>
      </c>
    </row>
    <row r="3637" spans="1:1" ht="13" hidden="1" outlineLevel="1" x14ac:dyDescent="0.3">
      <c r="A363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638" spans="1:1" ht="13" hidden="1" outlineLevel="1" x14ac:dyDescent="0.3">
      <c r="A3638" s="21" t="s">
        <v>970</v>
      </c>
    </row>
    <row r="3639" spans="1:1" ht="13" hidden="1" outlineLevel="1" x14ac:dyDescent="0.3">
      <c r="A3639" s="21" t="s">
        <v>963</v>
      </c>
    </row>
    <row r="3640" spans="1:1" hidden="1" outlineLevel="1" x14ac:dyDescent="0.25">
      <c r="A3640" t="s">
        <v>964</v>
      </c>
    </row>
    <row r="3641" spans="1:1" hidden="1" outlineLevel="1" x14ac:dyDescent="0.25">
      <c r="A3641" t="s">
        <v>965</v>
      </c>
    </row>
    <row r="3642" spans="1:1" hidden="1" outlineLevel="1" x14ac:dyDescent="0.25">
      <c r="A3642" t="s">
        <v>966</v>
      </c>
    </row>
    <row r="3643" spans="1:1" hidden="1" outlineLevel="1" x14ac:dyDescent="0.25">
      <c r="A3643" t="s">
        <v>953</v>
      </c>
    </row>
    <row r="3644" spans="1:1" hidden="1" outlineLevel="1" x14ac:dyDescent="0.25">
      <c r="A3644" t="s">
        <v>954</v>
      </c>
    </row>
    <row r="3645" spans="1:1" ht="13" hidden="1" outlineLevel="1" x14ac:dyDescent="0.3">
      <c r="A3645" s="66" t="s">
        <v>971</v>
      </c>
    </row>
    <row r="3646" spans="1:1" hidden="1" outlineLevel="1" x14ac:dyDescent="0.25">
      <c r="A3646" t="s">
        <v>972</v>
      </c>
    </row>
    <row r="3647" spans="1:1" hidden="1" outlineLevel="1" x14ac:dyDescent="0.25">
      <c r="A3647" t="s">
        <v>950</v>
      </c>
    </row>
    <row r="3648" spans="1:1" ht="13" hidden="1" outlineLevel="1" x14ac:dyDescent="0.3">
      <c r="A364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649" spans="1:1" ht="13" hidden="1" outlineLevel="1" x14ac:dyDescent="0.3">
      <c r="A3649" s="21" t="s">
        <v>959</v>
      </c>
    </row>
    <row r="3650" spans="1:1" hidden="1" outlineLevel="1" x14ac:dyDescent="0.25">
      <c r="A3650" t="s">
        <v>960</v>
      </c>
    </row>
    <row r="3651" spans="1:1" hidden="1" outlineLevel="1" x14ac:dyDescent="0.25">
      <c r="A3651" t="s">
        <v>961</v>
      </c>
    </row>
    <row r="3652" spans="1:1" hidden="1" outlineLevel="1" x14ac:dyDescent="0.25">
      <c r="A3652" t="str">
        <f>CONCATENATE("sql left outer join acrtrees t on t.client = x.client and x.dim_1 = t.cat_1 and t.att_agrid = '",$F$159,"'")</f>
        <v>sql left outer join acrtrees t on t.client = x.client and x.dim_1 = t.cat_1 and t.att_agrid = '53'</v>
      </c>
    </row>
    <row r="3653" spans="1:1" ht="13" hidden="1" outlineLevel="1" x14ac:dyDescent="0.3">
      <c r="A365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654" spans="1:1" ht="13" hidden="1" outlineLevel="1" x14ac:dyDescent="0.3">
      <c r="A3654" s="21" t="s">
        <v>973</v>
      </c>
    </row>
    <row r="3655" spans="1:1" hidden="1" outlineLevel="1" x14ac:dyDescent="0.25">
      <c r="A3655" t="s">
        <v>964</v>
      </c>
    </row>
    <row r="3656" spans="1:1" hidden="1" outlineLevel="1" x14ac:dyDescent="0.25">
      <c r="A3656" t="s">
        <v>965</v>
      </c>
    </row>
    <row r="3657" spans="1:1" hidden="1" outlineLevel="1" x14ac:dyDescent="0.25">
      <c r="A3657" t="s">
        <v>966</v>
      </c>
    </row>
    <row r="3658" spans="1:1" hidden="1" outlineLevel="1" x14ac:dyDescent="0.25">
      <c r="A3658" t="s">
        <v>953</v>
      </c>
    </row>
    <row r="3659" spans="1:1" hidden="1" outlineLevel="1" x14ac:dyDescent="0.25">
      <c r="A3659" t="s">
        <v>954</v>
      </c>
    </row>
    <row r="3660" spans="1:1" ht="13" hidden="1" outlineLevel="1" x14ac:dyDescent="0.3">
      <c r="A3660" s="66" t="s">
        <v>974</v>
      </c>
    </row>
    <row r="3661" spans="1:1" hidden="1" outlineLevel="1" x14ac:dyDescent="0.25">
      <c r="A3661" t="s">
        <v>975</v>
      </c>
    </row>
    <row r="3662" spans="1:1" hidden="1" outlineLevel="1" x14ac:dyDescent="0.25">
      <c r="A3662" t="s">
        <v>950</v>
      </c>
    </row>
    <row r="3663" spans="1:1" ht="13" hidden="1" outlineLevel="1" x14ac:dyDescent="0.3">
      <c r="A366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664" spans="1:1" ht="13" hidden="1" outlineLevel="1" x14ac:dyDescent="0.3">
      <c r="A3664" s="21" t="s">
        <v>959</v>
      </c>
    </row>
    <row r="3665" spans="1:1" hidden="1" outlineLevel="1" x14ac:dyDescent="0.25">
      <c r="A3665" t="s">
        <v>960</v>
      </c>
    </row>
    <row r="3666" spans="1:1" hidden="1" outlineLevel="1" x14ac:dyDescent="0.25">
      <c r="A3666" t="s">
        <v>961</v>
      </c>
    </row>
    <row r="3667" spans="1:1" hidden="1" outlineLevel="1" x14ac:dyDescent="0.25">
      <c r="A3667" t="str">
        <f>CONCATENATE("sql left outer join acrtrees t on t.client = x.client and x.dim_1 = t.cat_1 and t.att_agrid = '",$F$159,"'")</f>
        <v>sql left outer join acrtrees t on t.client = x.client and x.dim_1 = t.cat_1 and t.att_agrid = '53'</v>
      </c>
    </row>
    <row r="3668" spans="1:1" ht="13" hidden="1" outlineLevel="1" x14ac:dyDescent="0.3">
      <c r="A366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669" spans="1:1" ht="13" hidden="1" outlineLevel="1" x14ac:dyDescent="0.3">
      <c r="A3669" s="21" t="s">
        <v>973</v>
      </c>
    </row>
    <row r="3670" spans="1:1" hidden="1" outlineLevel="1" x14ac:dyDescent="0.25">
      <c r="A3670" t="s">
        <v>964</v>
      </c>
    </row>
    <row r="3671" spans="1:1" hidden="1" outlineLevel="1" x14ac:dyDescent="0.25">
      <c r="A3671" t="s">
        <v>965</v>
      </c>
    </row>
    <row r="3672" spans="1:1" hidden="1" outlineLevel="1" x14ac:dyDescent="0.25">
      <c r="A3672" t="s">
        <v>966</v>
      </c>
    </row>
    <row r="3673" spans="1:1" hidden="1" outlineLevel="1" x14ac:dyDescent="0.25">
      <c r="A3673" t="s">
        <v>953</v>
      </c>
    </row>
    <row r="3674" spans="1:1" hidden="1" outlineLevel="1" x14ac:dyDescent="0.25">
      <c r="A3674" t="s">
        <v>954</v>
      </c>
    </row>
    <row r="3675" spans="1:1" ht="13" hidden="1" outlineLevel="1" x14ac:dyDescent="0.3">
      <c r="A3675" s="66" t="s">
        <v>976</v>
      </c>
    </row>
    <row r="3676" spans="1:1" hidden="1" outlineLevel="1" x14ac:dyDescent="0.25">
      <c r="A3676" t="s">
        <v>977</v>
      </c>
    </row>
    <row r="3677" spans="1:1" hidden="1" outlineLevel="1" x14ac:dyDescent="0.25">
      <c r="A3677" t="s">
        <v>950</v>
      </c>
    </row>
    <row r="3678" spans="1:1" ht="13" hidden="1" outlineLevel="1" x14ac:dyDescent="0.3">
      <c r="A367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679" spans="1:1" ht="13" hidden="1" outlineLevel="1" x14ac:dyDescent="0.3">
      <c r="A3679" s="21" t="s">
        <v>959</v>
      </c>
    </row>
    <row r="3680" spans="1:1" hidden="1" outlineLevel="1" x14ac:dyDescent="0.25">
      <c r="A3680" t="s">
        <v>960</v>
      </c>
    </row>
    <row r="3681" spans="1:1" hidden="1" outlineLevel="1" x14ac:dyDescent="0.25">
      <c r="A3681" t="s">
        <v>961</v>
      </c>
    </row>
    <row r="3682" spans="1:1" hidden="1" outlineLevel="1" x14ac:dyDescent="0.25">
      <c r="A3682" t="str">
        <f>CONCATENATE("sql left outer join acrtrees t on t.client = x.client and x.dim_1 = t.cat_1 and t.att_agrid = '",$F$159,"'")</f>
        <v>sql left outer join acrtrees t on t.client = x.client and x.dim_1 = t.cat_1 and t.att_agrid = '53'</v>
      </c>
    </row>
    <row r="3683" spans="1:1" ht="13" hidden="1" outlineLevel="1" x14ac:dyDescent="0.3">
      <c r="A368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684" spans="1:1" ht="13" hidden="1" outlineLevel="1" x14ac:dyDescent="0.3">
      <c r="A3684" s="21" t="s">
        <v>978</v>
      </c>
    </row>
    <row r="3685" spans="1:1" hidden="1" outlineLevel="1" x14ac:dyDescent="0.25">
      <c r="A3685" t="s">
        <v>979</v>
      </c>
    </row>
    <row r="3686" spans="1:1" hidden="1" outlineLevel="1" x14ac:dyDescent="0.25">
      <c r="A3686" t="s">
        <v>980</v>
      </c>
    </row>
    <row r="3687" spans="1:1" hidden="1" outlineLevel="1" x14ac:dyDescent="0.25">
      <c r="A3687" t="s">
        <v>966</v>
      </c>
    </row>
    <row r="3688" spans="1:1" hidden="1" outlineLevel="1" x14ac:dyDescent="0.25">
      <c r="A3688" t="s">
        <v>953</v>
      </c>
    </row>
    <row r="3689" spans="1:1" hidden="1" outlineLevel="1" x14ac:dyDescent="0.25">
      <c r="A3689" t="s">
        <v>954</v>
      </c>
    </row>
    <row r="3690" spans="1:1" ht="13" hidden="1" outlineLevel="1" x14ac:dyDescent="0.3">
      <c r="A3690" s="66" t="s">
        <v>981</v>
      </c>
    </row>
    <row r="3691" spans="1:1" hidden="1" outlineLevel="1" x14ac:dyDescent="0.25">
      <c r="A3691" t="s">
        <v>982</v>
      </c>
    </row>
    <row r="3692" spans="1:1" hidden="1" outlineLevel="1" x14ac:dyDescent="0.25">
      <c r="A3692" t="s">
        <v>950</v>
      </c>
    </row>
    <row r="3693" spans="1:1" ht="13" hidden="1" outlineLevel="1" x14ac:dyDescent="0.3">
      <c r="A369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694" spans="1:1" ht="13" hidden="1" outlineLevel="1" x14ac:dyDescent="0.3">
      <c r="A3694" s="21" t="s">
        <v>969</v>
      </c>
    </row>
    <row r="3695" spans="1:1" ht="13" hidden="1" outlineLevel="1" x14ac:dyDescent="0.3">
      <c r="A3695" s="21" t="s">
        <v>959</v>
      </c>
    </row>
    <row r="3696" spans="1:1" hidden="1" outlineLevel="1" x14ac:dyDescent="0.25">
      <c r="A3696" t="s">
        <v>960</v>
      </c>
    </row>
    <row r="3697" spans="1:3" hidden="1" outlineLevel="1" x14ac:dyDescent="0.25">
      <c r="A3697" t="s">
        <v>961</v>
      </c>
    </row>
    <row r="3698" spans="1:3" hidden="1" outlineLevel="1" x14ac:dyDescent="0.25">
      <c r="A3698" t="str">
        <f>CONCATENATE("sql left outer join acrtrees t on t.client = x.client and x.dim_1 = t.cat_1 and t.att_agrid = '",$F$159,"'")</f>
        <v>sql left outer join acrtrees t on t.client = x.client and x.dim_1 = t.cat_1 and t.att_agrid = '53'</v>
      </c>
    </row>
    <row r="3699" spans="1:3" ht="13" hidden="1" outlineLevel="1" x14ac:dyDescent="0.3">
      <c r="A369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700" spans="1:3" ht="13" hidden="1" outlineLevel="1" x14ac:dyDescent="0.3">
      <c r="A3700" s="21" t="s">
        <v>970</v>
      </c>
    </row>
    <row r="3701" spans="1:3" ht="13" hidden="1" outlineLevel="1" x14ac:dyDescent="0.3">
      <c r="A3701" s="21" t="s">
        <v>978</v>
      </c>
    </row>
    <row r="3702" spans="1:3" hidden="1" outlineLevel="1" x14ac:dyDescent="0.25">
      <c r="A3702" t="s">
        <v>979</v>
      </c>
    </row>
    <row r="3703" spans="1:3" hidden="1" outlineLevel="1" x14ac:dyDescent="0.25">
      <c r="A3703" t="s">
        <v>980</v>
      </c>
    </row>
    <row r="3704" spans="1:3" hidden="1" outlineLevel="1" x14ac:dyDescent="0.25">
      <c r="A3704" t="s">
        <v>966</v>
      </c>
    </row>
    <row r="3705" spans="1:3" hidden="1" outlineLevel="1" x14ac:dyDescent="0.25">
      <c r="A3705" t="s">
        <v>953</v>
      </c>
    </row>
    <row r="3706" spans="1:3" hidden="1" outlineLevel="1" x14ac:dyDescent="0.25">
      <c r="A3706" t="s">
        <v>954</v>
      </c>
    </row>
    <row r="3707" spans="1:3" ht="13" hidden="1" outlineLevel="1" x14ac:dyDescent="0.3">
      <c r="A3707" s="20" t="s">
        <v>983</v>
      </c>
    </row>
    <row r="3708" spans="1:3" hidden="1" outlineLevel="1" x14ac:dyDescent="0.25">
      <c r="A3708" s="7" t="s">
        <v>984</v>
      </c>
    </row>
    <row r="3709" spans="1:3" hidden="1" outlineLevel="1" x14ac:dyDescent="0.25">
      <c r="A3709" t="s">
        <v>950</v>
      </c>
    </row>
    <row r="3710" spans="1:3" hidden="1" outlineLevel="1" x14ac:dyDescent="0.25">
      <c r="A3710" t="s">
        <v>951</v>
      </c>
    </row>
    <row r="3711" spans="1:3" ht="14.5" hidden="1" outlineLevel="1" x14ac:dyDescent="0.35">
      <c r="A371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711" s="2"/>
    </row>
    <row r="3712" spans="1:3" hidden="1" outlineLevel="1" x14ac:dyDescent="0.25">
      <c r="A3712" t="s">
        <v>952</v>
      </c>
    </row>
    <row r="3713" spans="1:1" hidden="1" outlineLevel="1" x14ac:dyDescent="0.25">
      <c r="A3713" t="s">
        <v>953</v>
      </c>
    </row>
    <row r="3714" spans="1:1" hidden="1" outlineLevel="1" x14ac:dyDescent="0.25">
      <c r="A3714" t="s">
        <v>954</v>
      </c>
    </row>
    <row r="3715" spans="1:1" ht="13" hidden="1" outlineLevel="1" x14ac:dyDescent="0.3">
      <c r="A3715" s="20" t="s">
        <v>985</v>
      </c>
    </row>
    <row r="3716" spans="1:1" hidden="1" outlineLevel="1" x14ac:dyDescent="0.25">
      <c r="A3716" s="7" t="s">
        <v>986</v>
      </c>
    </row>
    <row r="3717" spans="1:1" hidden="1" outlineLevel="1" x14ac:dyDescent="0.25">
      <c r="A3717" t="s">
        <v>987</v>
      </c>
    </row>
    <row r="3718" spans="1:1" ht="13" hidden="1" outlineLevel="1" x14ac:dyDescent="0.3">
      <c r="A3718" s="21" t="str">
        <f>CONCATENATE("sql where a.client = '",$D$172,"' and a.period between '",LEFT($D$170,4),"00' and '",IF(RIGHT($D$171,2)="12",CONCATENATE(LEFT($D$171,4),"14"),$D$171),"'")</f>
        <v>sql where a.client = 'OX' and a.period between '202500' and '202506'</v>
      </c>
    </row>
    <row r="3719" spans="1:1" hidden="1" outlineLevel="1" x14ac:dyDescent="0.25">
      <c r="A3719" t="s">
        <v>952</v>
      </c>
    </row>
    <row r="3720" spans="1:1" hidden="1" outlineLevel="1" x14ac:dyDescent="0.25">
      <c r="A3720" t="s">
        <v>953</v>
      </c>
    </row>
    <row r="3721" spans="1:1" hidden="1" outlineLevel="1" x14ac:dyDescent="0.25">
      <c r="A3721" t="s">
        <v>954</v>
      </c>
    </row>
    <row r="3722" spans="1:1" ht="13" hidden="1" outlineLevel="1" x14ac:dyDescent="0.3">
      <c r="A3722" s="20" t="s">
        <v>988</v>
      </c>
    </row>
    <row r="3723" spans="1:1" hidden="1" outlineLevel="1" x14ac:dyDescent="0.25">
      <c r="A3723" s="7" t="s">
        <v>989</v>
      </c>
    </row>
    <row r="3724" spans="1:1" hidden="1" outlineLevel="1" x14ac:dyDescent="0.25">
      <c r="A3724" t="s">
        <v>950</v>
      </c>
    </row>
    <row r="3725" spans="1:1" hidden="1" outlineLevel="1" x14ac:dyDescent="0.25">
      <c r="A3725" t="s">
        <v>951</v>
      </c>
    </row>
    <row r="3726" spans="1:1" ht="13" hidden="1" outlineLevel="1" x14ac:dyDescent="0.3">
      <c r="A372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727" spans="1:1" hidden="1" outlineLevel="1" x14ac:dyDescent="0.25">
      <c r="A3727" t="s">
        <v>952</v>
      </c>
    </row>
    <row r="3728" spans="1:1" hidden="1" outlineLevel="1" x14ac:dyDescent="0.25">
      <c r="A3728" t="s">
        <v>953</v>
      </c>
    </row>
    <row r="3729" spans="1:1" hidden="1" outlineLevel="1" x14ac:dyDescent="0.25">
      <c r="A3729" t="s">
        <v>954</v>
      </c>
    </row>
    <row r="3730" spans="1:1" ht="13" hidden="1" outlineLevel="1" x14ac:dyDescent="0.3">
      <c r="A3730" s="20" t="s">
        <v>990</v>
      </c>
    </row>
    <row r="3731" spans="1:1" hidden="1" outlineLevel="1" x14ac:dyDescent="0.25">
      <c r="A3731" s="7" t="s">
        <v>991</v>
      </c>
    </row>
    <row r="3732" spans="1:1" hidden="1" outlineLevel="1" x14ac:dyDescent="0.25">
      <c r="A3732" t="s">
        <v>950</v>
      </c>
    </row>
    <row r="3733" spans="1:1" hidden="1" outlineLevel="1" x14ac:dyDescent="0.25">
      <c r="A3733" t="s">
        <v>951</v>
      </c>
    </row>
    <row r="3734" spans="1:1" ht="13" hidden="1" outlineLevel="1" x14ac:dyDescent="0.3">
      <c r="A373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735" spans="1:1" hidden="1" outlineLevel="1" x14ac:dyDescent="0.25">
      <c r="A3735" t="s">
        <v>952</v>
      </c>
    </row>
    <row r="3736" spans="1:1" hidden="1" outlineLevel="1" x14ac:dyDescent="0.25">
      <c r="A3736" t="s">
        <v>953</v>
      </c>
    </row>
    <row r="3737" spans="1:1" hidden="1" outlineLevel="1" x14ac:dyDescent="0.25">
      <c r="A3737" t="s">
        <v>954</v>
      </c>
    </row>
    <row r="3738" spans="1:1" ht="13" hidden="1" outlineLevel="1" x14ac:dyDescent="0.3">
      <c r="A3738" s="20" t="s">
        <v>992</v>
      </c>
    </row>
    <row r="3739" spans="1:1" hidden="1" outlineLevel="1" x14ac:dyDescent="0.25">
      <c r="A3739" s="7" t="s">
        <v>993</v>
      </c>
    </row>
    <row r="3740" spans="1:1" hidden="1" outlineLevel="1" x14ac:dyDescent="0.25">
      <c r="A3740" t="s">
        <v>950</v>
      </c>
    </row>
    <row r="3741" spans="1:1" hidden="1" outlineLevel="1" x14ac:dyDescent="0.25">
      <c r="A3741" t="s">
        <v>951</v>
      </c>
    </row>
    <row r="3742" spans="1:1" ht="13" hidden="1" outlineLevel="1" x14ac:dyDescent="0.3">
      <c r="A374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743" spans="1:1" hidden="1" outlineLevel="1" x14ac:dyDescent="0.25">
      <c r="A3743" t="s">
        <v>952</v>
      </c>
    </row>
    <row r="3744" spans="1:1" hidden="1" outlineLevel="1" x14ac:dyDescent="0.25">
      <c r="A3744" t="s">
        <v>953</v>
      </c>
    </row>
    <row r="3745" spans="1:33" hidden="1" outlineLevel="1" x14ac:dyDescent="0.25">
      <c r="A3745" t="s">
        <v>994</v>
      </c>
    </row>
    <row r="3746" spans="1:33" hidden="1" outlineLevel="1" x14ac:dyDescent="0.25">
      <c r="A3746" t="str">
        <f>CONCATENATE("sql left outer join acrtrees t on t.client = u.client and u.dim_1 = t.cat_1 and t.att_agrid = '",$F$159,"'")</f>
        <v>sql left outer join acrtrees t on t.client = u.client and u.dim_1 = t.cat_1 and t.att_agrid = '53'</v>
      </c>
    </row>
    <row r="3747" spans="1:33" hidden="1" outlineLevel="1" x14ac:dyDescent="0.25">
      <c r="A3747" t="str">
        <f>CONCATENATE("sql left outer join acrtrees s on s.client = u.client and u.account = s.cat_1 and s.att_agrid = '",$F$160,"'")</f>
        <v>sql left outer join acrtrees s on s.client = u.client and u.account = s.cat_1 and s.att_agrid = '14'</v>
      </c>
    </row>
    <row r="3748" spans="1:33" hidden="1" outlineLevel="1" x14ac:dyDescent="0.25">
      <c r="A3748" t="str">
        <f>CONCATENATE("sql left outer join acrtrees v on v.client = u.client and u.account = v.cat_1 and v.att_agrid = '",$F$161,"'")</f>
        <v>sql left outer join acrtrees v on v.client = u.client and u.account = v.cat_1 and v.att_agrid = '17'</v>
      </c>
    </row>
    <row r="3749" spans="1:33" hidden="1" outlineLevel="1" x14ac:dyDescent="0.25">
      <c r="A3749" t="str">
        <f>CONCATENATE("sql left outer join agldescription d on d.client = u.client and d.dim_value = t.dim_c and d.attribute_id = '",$F$162,"'")</f>
        <v>sql left outer join agldescription d on d.client = u.client and d.dim_value = t.dim_c and d.attribute_id = '82'</v>
      </c>
    </row>
    <row r="3750" spans="1:33" hidden="1" outlineLevel="1" x14ac:dyDescent="0.25">
      <c r="A3750" t="str">
        <f>CONCATENATE("sql left outer join agldescription e on e.client = u.client and e.dim_value = t.dim_b and e.attribute_id = '",$F$163,"'")</f>
        <v>sql left outer join agldescription e on e.client = u.client and e.dim_value = t.dim_b and e.attribute_id = '81'</v>
      </c>
    </row>
    <row r="3751" spans="1:33" hidden="1" outlineLevel="1" x14ac:dyDescent="0.25">
      <c r="A3751" t="str">
        <f>CONCATENATE("sql left outer join agldescription f on f.client = u.client and f.dim_value = t.dim_e and f.attribute_id = '",$F$164,"'")</f>
        <v>sql left outer join agldescription f on f.client = u.client and f.dim_value = t.dim_e and f.attribute_id = '80'</v>
      </c>
    </row>
    <row r="3752" spans="1:33" hidden="1" outlineLevel="1" x14ac:dyDescent="0.25">
      <c r="A3752" t="str">
        <f>CONCATENATE("sql left outer join agldescription g on g.client = u.client and g.dim_value = u.account and g.attribute_id = '",$F$165,"'")</f>
        <v>sql left outer join agldescription g on g.client = u.client and g.dim_value = u.account and g.attribute_id = 'A0'</v>
      </c>
    </row>
    <row r="3753" spans="1:33" ht="14.5" hidden="1" outlineLevel="1" x14ac:dyDescent="0.35">
      <c r="A3753" s="67" t="s">
        <v>1074</v>
      </c>
      <c r="G3753" s="737" t="s">
        <v>1075</v>
      </c>
    </row>
    <row r="3754" spans="1:33" hidden="1" outlineLevel="1" x14ac:dyDescent="0.25">
      <c r="A3754" t="s">
        <v>1005</v>
      </c>
    </row>
    <row r="3755" spans="1:33" hidden="1" outlineLevel="1" x14ac:dyDescent="0.25">
      <c r="A3755" t="s">
        <v>1006</v>
      </c>
    </row>
    <row r="3756" spans="1:33" hidden="1" outlineLevel="1" x14ac:dyDescent="0.25">
      <c r="A3756" t="s">
        <v>1007</v>
      </c>
    </row>
    <row r="3757" spans="1:33" ht="13" hidden="1" outlineLevel="1" x14ac:dyDescent="0.3">
      <c r="A3757" t="s">
        <v>1012</v>
      </c>
      <c r="C3757" s="29"/>
      <c r="D3757" s="36">
        <v>1000</v>
      </c>
      <c r="E3757" s="36">
        <v>1000</v>
      </c>
      <c r="F3757" s="22">
        <v>1000</v>
      </c>
      <c r="G3757" s="22">
        <v>1000</v>
      </c>
      <c r="H3757" s="22">
        <v>1000</v>
      </c>
      <c r="I3757" s="22">
        <v>1000</v>
      </c>
      <c r="J3757" s="22">
        <v>1000</v>
      </c>
      <c r="K3757" s="22">
        <v>1000</v>
      </c>
      <c r="L3757" s="22"/>
      <c r="M3757" s="36"/>
      <c r="N3757" s="36"/>
      <c r="O3757" s="36">
        <v>1000</v>
      </c>
      <c r="P3757" s="36">
        <v>1000</v>
      </c>
      <c r="Q3757" s="36">
        <v>1000</v>
      </c>
      <c r="R3757" s="36">
        <v>1000</v>
      </c>
      <c r="S3757" s="36">
        <v>1000</v>
      </c>
      <c r="T3757" s="36"/>
      <c r="U3757" s="36"/>
      <c r="V3757" s="58"/>
      <c r="W3757" s="36">
        <v>1000</v>
      </c>
      <c r="X3757" s="36">
        <v>1000</v>
      </c>
      <c r="Y3757" s="36"/>
      <c r="Z3757" s="36"/>
      <c r="AA3757" s="40"/>
      <c r="AB3757" s="60"/>
      <c r="AC3757" s="98"/>
      <c r="AD3757" s="36"/>
      <c r="AE3757" s="36"/>
      <c r="AF3757" s="36"/>
      <c r="AG3757" s="99"/>
    </row>
    <row r="3758" spans="1:33" ht="13" hidden="1" outlineLevel="1" x14ac:dyDescent="0.3">
      <c r="A3758" s="7" t="s">
        <v>1013</v>
      </c>
      <c r="C3758" s="29"/>
      <c r="D3758" s="36">
        <v>0</v>
      </c>
      <c r="E3758" s="36">
        <v>0</v>
      </c>
      <c r="F3758" s="22">
        <v>0</v>
      </c>
      <c r="G3758" s="22">
        <v>0</v>
      </c>
      <c r="H3758" s="22">
        <v>0</v>
      </c>
      <c r="I3758" s="22">
        <v>0</v>
      </c>
      <c r="J3758" s="22">
        <v>0</v>
      </c>
      <c r="K3758" s="22">
        <v>0</v>
      </c>
      <c r="L3758" s="22"/>
      <c r="M3758" s="36"/>
      <c r="N3758" s="36"/>
      <c r="O3758" s="36">
        <v>0</v>
      </c>
      <c r="P3758" s="36">
        <v>0</v>
      </c>
      <c r="Q3758" s="36">
        <v>0</v>
      </c>
      <c r="R3758" s="36">
        <v>0</v>
      </c>
      <c r="S3758" s="36">
        <v>0</v>
      </c>
      <c r="T3758" s="36"/>
      <c r="U3758" s="36"/>
      <c r="V3758" s="58"/>
      <c r="W3758" s="36">
        <v>0</v>
      </c>
      <c r="X3758" s="36">
        <v>0</v>
      </c>
      <c r="Y3758" s="36"/>
      <c r="Z3758" s="36"/>
      <c r="AA3758" s="40"/>
      <c r="AB3758" s="60"/>
      <c r="AC3758" s="98"/>
      <c r="AD3758" s="36"/>
      <c r="AE3758" s="36"/>
      <c r="AF3758" s="36"/>
      <c r="AG3758" s="99"/>
    </row>
    <row r="3759" spans="1:33" ht="13" hidden="1" outlineLevel="1" x14ac:dyDescent="0.3">
      <c r="A3759" t="s">
        <v>1014</v>
      </c>
      <c r="C3759" s="30"/>
      <c r="D3759" s="36"/>
      <c r="E3759" s="36"/>
      <c r="F3759" s="57"/>
      <c r="G3759" s="57"/>
      <c r="H3759" s="57"/>
      <c r="I3759" s="57"/>
      <c r="J3759" s="57"/>
      <c r="K3759" s="57"/>
      <c r="L3759" s="57"/>
      <c r="M3759" s="36"/>
      <c r="N3759" s="36"/>
      <c r="O3759" s="36"/>
      <c r="P3759" s="36" t="s">
        <v>1015</v>
      </c>
      <c r="Q3759" s="36" t="s">
        <v>1016</v>
      </c>
      <c r="R3759" s="36"/>
      <c r="S3759" s="36"/>
      <c r="T3759" s="36"/>
      <c r="U3759" s="36"/>
      <c r="V3759" s="58"/>
      <c r="W3759" s="36"/>
      <c r="X3759" s="36"/>
      <c r="Y3759" s="36"/>
      <c r="Z3759" s="36"/>
      <c r="AA3759" s="40"/>
      <c r="AB3759" s="60"/>
      <c r="AC3759" s="98"/>
      <c r="AD3759" s="36"/>
      <c r="AE3759" s="36"/>
      <c r="AF3759" s="36"/>
      <c r="AG3759" s="99"/>
    </row>
    <row r="3760" spans="1:33" ht="13" hidden="1" outlineLevel="1" x14ac:dyDescent="0.3">
      <c r="A3760" t="s">
        <v>1017</v>
      </c>
      <c r="C3760" s="79" t="s">
        <v>1018</v>
      </c>
      <c r="D3760" s="36" t="s">
        <v>1019</v>
      </c>
      <c r="E3760" s="36" t="s">
        <v>1020</v>
      </c>
      <c r="F3760" s="22" t="s">
        <v>1021</v>
      </c>
      <c r="G3760" s="22" t="s">
        <v>1022</v>
      </c>
      <c r="H3760" s="22" t="s">
        <v>1023</v>
      </c>
      <c r="I3760" s="22" t="s">
        <v>1024</v>
      </c>
      <c r="J3760" s="22" t="s">
        <v>1025</v>
      </c>
      <c r="K3760" s="22" t="s">
        <v>1026</v>
      </c>
      <c r="L3760" s="22"/>
      <c r="M3760" s="36"/>
      <c r="N3760" s="36"/>
      <c r="O3760" s="36" t="s">
        <v>1027</v>
      </c>
      <c r="P3760" s="36" t="s">
        <v>1028</v>
      </c>
      <c r="Q3760" s="36" t="s">
        <v>1028</v>
      </c>
      <c r="R3760" s="36" t="s">
        <v>1028</v>
      </c>
      <c r="S3760" s="36" t="s">
        <v>1029</v>
      </c>
      <c r="T3760" s="36"/>
      <c r="U3760" s="36"/>
      <c r="V3760" s="58"/>
      <c r="W3760" s="36" t="s">
        <v>1030</v>
      </c>
      <c r="X3760" s="36" t="s">
        <v>1031</v>
      </c>
      <c r="Y3760" s="36"/>
      <c r="Z3760" s="36"/>
      <c r="AA3760" s="40"/>
      <c r="AB3760" s="60"/>
      <c r="AC3760" s="98"/>
      <c r="AD3760" s="36"/>
      <c r="AE3760" s="36"/>
      <c r="AF3760" s="36"/>
      <c r="AG3760" s="99"/>
    </row>
    <row r="3761" spans="1:33" ht="13" hidden="1" outlineLevel="1" x14ac:dyDescent="0.3">
      <c r="A3761" t="s">
        <v>232</v>
      </c>
      <c r="C3761" s="78"/>
      <c r="D3761" s="33"/>
      <c r="E3761" s="33"/>
      <c r="F3761" s="23"/>
      <c r="G3761" s="23"/>
      <c r="H3761" s="23"/>
      <c r="I3761" s="23"/>
      <c r="J3761" s="23"/>
      <c r="K3761" s="23"/>
      <c r="L3761" s="23"/>
      <c r="M3761" s="33"/>
      <c r="N3761" s="33"/>
      <c r="O3761" s="33"/>
      <c r="P3761" s="33"/>
      <c r="Q3761" s="33"/>
      <c r="R3761" s="33"/>
      <c r="S3761" s="33"/>
      <c r="T3761" s="33"/>
      <c r="U3761" s="38"/>
      <c r="V3761" s="59"/>
      <c r="W3761" s="33"/>
      <c r="X3761" s="33"/>
      <c r="Y3761" s="33"/>
      <c r="Z3761" s="33"/>
      <c r="AA3761" s="42"/>
      <c r="AB3761" s="60"/>
      <c r="AC3761" s="100"/>
      <c r="AD3761" s="33"/>
      <c r="AE3761" s="33"/>
      <c r="AF3761" s="33"/>
      <c r="AG3761" s="101"/>
    </row>
    <row r="3762" spans="1:33" ht="13" outlineLevel="1" x14ac:dyDescent="0.3">
      <c r="A3762" t="s">
        <v>1033</v>
      </c>
      <c r="C3762" s="79" t="s">
        <v>148</v>
      </c>
      <c r="D3762" s="33">
        <v>-352</v>
      </c>
      <c r="E3762" s="33">
        <v>-352</v>
      </c>
      <c r="F3762" s="23">
        <v>0</v>
      </c>
      <c r="G3762" s="23">
        <v>0</v>
      </c>
      <c r="H3762" s="23">
        <v>0</v>
      </c>
      <c r="I3762" s="23">
        <v>0</v>
      </c>
      <c r="J3762" s="23">
        <v>0</v>
      </c>
      <c r="K3762" s="23">
        <v>0</v>
      </c>
      <c r="L3762" s="23">
        <f>SUM(F3762:K3762)</f>
        <v>0</v>
      </c>
      <c r="M3762" s="33">
        <f>O3762-E3762</f>
        <v>0</v>
      </c>
      <c r="N3762" s="33">
        <f>O3762-D3762</f>
        <v>0</v>
      </c>
      <c r="O3762" s="33">
        <v>-352</v>
      </c>
      <c r="P3762" s="33">
        <v>0</v>
      </c>
      <c r="Q3762" s="33">
        <v>-176</v>
      </c>
      <c r="R3762" s="33">
        <v>-176</v>
      </c>
      <c r="S3762" s="33">
        <v>-176</v>
      </c>
      <c r="T3762" s="33">
        <f>R3762-S3762</f>
        <v>0</v>
      </c>
      <c r="U3762" s="38">
        <f>IFERROR((R3762/O3762)*100%,"∞")</f>
        <v>0.5</v>
      </c>
      <c r="V3762" s="59">
        <f>O3762+W3762</f>
        <v>-352</v>
      </c>
      <c r="W3762" s="33">
        <v>0</v>
      </c>
      <c r="X3762" s="33">
        <v>0</v>
      </c>
      <c r="Y3762" s="33"/>
      <c r="Z3762" s="33"/>
      <c r="AA3762" s="42"/>
      <c r="AB3762" s="60"/>
      <c r="AC3762" s="105"/>
      <c r="AD3762" s="93"/>
      <c r="AE3762" s="33">
        <f>SUM(AC3762:AD3762)</f>
        <v>0</v>
      </c>
      <c r="AF3762" s="33">
        <f>R3762+AE3762</f>
        <v>-176</v>
      </c>
      <c r="AG3762" s="101">
        <f>AF3762-O3762</f>
        <v>176</v>
      </c>
    </row>
    <row r="3763" spans="1:33" hidden="1" x14ac:dyDescent="0.25">
      <c r="A3763" t="s">
        <v>232</v>
      </c>
    </row>
    <row r="3764" spans="1:33" hidden="1" x14ac:dyDescent="0.25">
      <c r="A3764" t="s">
        <v>944</v>
      </c>
      <c r="M3764" s="19"/>
      <c r="N3764" s="19"/>
    </row>
    <row r="3765" spans="1:33" hidden="1" x14ac:dyDescent="0.25">
      <c r="A3765" t="s">
        <v>946</v>
      </c>
      <c r="E3765" s="19"/>
    </row>
    <row r="3766" spans="1:33" hidden="1" x14ac:dyDescent="0.25">
      <c r="A3766" t="s">
        <v>947</v>
      </c>
      <c r="E3766" s="19"/>
      <c r="F3766" s="19"/>
    </row>
    <row r="3767" spans="1:33" ht="13" hidden="1" x14ac:dyDescent="0.3">
      <c r="A3767" s="20" t="s">
        <v>948</v>
      </c>
    </row>
    <row r="3768" spans="1:33" hidden="1" x14ac:dyDescent="0.25">
      <c r="A3768" s="7" t="s">
        <v>949</v>
      </c>
    </row>
    <row r="3769" spans="1:33" hidden="1" x14ac:dyDescent="0.25">
      <c r="A3769" t="s">
        <v>950</v>
      </c>
    </row>
    <row r="3770" spans="1:33" hidden="1" x14ac:dyDescent="0.25">
      <c r="A3770" t="s">
        <v>951</v>
      </c>
    </row>
    <row r="3771" spans="1:33" ht="13" hidden="1" x14ac:dyDescent="0.3">
      <c r="A3771" s="21" t="str">
        <f>CONCATENATE("sql where a.client = '",$D$172,"' and a.period between '",LEFT($D$170,4),"00' and '",LEFT($D$171,4),"14' and a.version like '%ORIG%'")</f>
        <v>sql where a.client = 'OX' and a.period between '202500' and '202514' and a.version like '%ORIG%'</v>
      </c>
    </row>
    <row r="3772" spans="1:33" hidden="1" x14ac:dyDescent="0.25">
      <c r="A3772" t="s">
        <v>952</v>
      </c>
    </row>
    <row r="3773" spans="1:33" hidden="1" x14ac:dyDescent="0.25">
      <c r="A3773" t="s">
        <v>953</v>
      </c>
    </row>
    <row r="3774" spans="1:33" hidden="1" x14ac:dyDescent="0.25">
      <c r="A3774" t="s">
        <v>954</v>
      </c>
    </row>
    <row r="3775" spans="1:33" ht="13" hidden="1" x14ac:dyDescent="0.3">
      <c r="A3775" s="20" t="s">
        <v>955</v>
      </c>
    </row>
    <row r="3776" spans="1:33" hidden="1" x14ac:dyDescent="0.25">
      <c r="A3776" s="7" t="s">
        <v>956</v>
      </c>
    </row>
    <row r="3777" spans="1:3" hidden="1" x14ac:dyDescent="0.25">
      <c r="A3777" t="s">
        <v>950</v>
      </c>
    </row>
    <row r="3778" spans="1:3" hidden="1" x14ac:dyDescent="0.25">
      <c r="A3778" t="s">
        <v>951</v>
      </c>
    </row>
    <row r="3779" spans="1:3" ht="14.5" hidden="1" x14ac:dyDescent="0.35">
      <c r="A3779"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779" s="2"/>
    </row>
    <row r="3780" spans="1:3" hidden="1" x14ac:dyDescent="0.25">
      <c r="A3780" t="s">
        <v>952</v>
      </c>
    </row>
    <row r="3781" spans="1:3" hidden="1" x14ac:dyDescent="0.25">
      <c r="A3781" t="s">
        <v>953</v>
      </c>
    </row>
    <row r="3782" spans="1:3" hidden="1" x14ac:dyDescent="0.25">
      <c r="A3782" t="s">
        <v>954</v>
      </c>
    </row>
    <row r="3783" spans="1:3" ht="13" hidden="1" x14ac:dyDescent="0.3">
      <c r="A3783" s="66" t="s">
        <v>957</v>
      </c>
    </row>
    <row r="3784" spans="1:3" hidden="1" x14ac:dyDescent="0.25">
      <c r="A3784" t="s">
        <v>958</v>
      </c>
    </row>
    <row r="3785" spans="1:3" hidden="1" x14ac:dyDescent="0.25">
      <c r="A3785" t="s">
        <v>950</v>
      </c>
    </row>
    <row r="3786" spans="1:3" ht="13" hidden="1" x14ac:dyDescent="0.3">
      <c r="A3786"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787" spans="1:3" ht="13" hidden="1" x14ac:dyDescent="0.3">
      <c r="A3787" s="21" t="s">
        <v>959</v>
      </c>
    </row>
    <row r="3788" spans="1:3" hidden="1" x14ac:dyDescent="0.25">
      <c r="A3788" t="s">
        <v>960</v>
      </c>
    </row>
    <row r="3789" spans="1:3" hidden="1" x14ac:dyDescent="0.25">
      <c r="A3789" t="s">
        <v>961</v>
      </c>
    </row>
    <row r="3790" spans="1:3" hidden="1" x14ac:dyDescent="0.25">
      <c r="A3790" t="str">
        <f>CONCATENATE("sql left outer join acrtrees t on t.client = x.client and x.dim_1 = t.cat_1 and t.att_agrid = '",$F$159,"'")</f>
        <v>sql left outer join acrtrees t on t.client = x.client and x.dim_1 = t.cat_1 and t.att_agrid = '53'</v>
      </c>
    </row>
    <row r="3791" spans="1:3" ht="13" hidden="1" x14ac:dyDescent="0.3">
      <c r="A3791"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792" spans="1:3" ht="13" hidden="1" x14ac:dyDescent="0.3">
      <c r="A3792" s="21" t="s">
        <v>962</v>
      </c>
    </row>
    <row r="3793" spans="1:1" ht="13" hidden="1" x14ac:dyDescent="0.3">
      <c r="A3793"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794" spans="1:1" ht="13" hidden="1" x14ac:dyDescent="0.3">
      <c r="A3794" s="21" t="s">
        <v>963</v>
      </c>
    </row>
    <row r="3795" spans="1:1" hidden="1" x14ac:dyDescent="0.25">
      <c r="A3795" t="s">
        <v>964</v>
      </c>
    </row>
    <row r="3796" spans="1:1" hidden="1" x14ac:dyDescent="0.25">
      <c r="A3796" t="s">
        <v>965</v>
      </c>
    </row>
    <row r="3797" spans="1:1" hidden="1" x14ac:dyDescent="0.25">
      <c r="A3797" t="s">
        <v>966</v>
      </c>
    </row>
    <row r="3798" spans="1:1" hidden="1" x14ac:dyDescent="0.25">
      <c r="A3798" t="s">
        <v>953</v>
      </c>
    </row>
    <row r="3799" spans="1:1" hidden="1" x14ac:dyDescent="0.25">
      <c r="A3799" t="s">
        <v>954</v>
      </c>
    </row>
    <row r="3800" spans="1:1" ht="13" hidden="1" x14ac:dyDescent="0.3">
      <c r="A3800" s="66" t="s">
        <v>967</v>
      </c>
    </row>
    <row r="3801" spans="1:1" hidden="1" x14ac:dyDescent="0.25">
      <c r="A3801" t="s">
        <v>968</v>
      </c>
    </row>
    <row r="3802" spans="1:1" hidden="1" x14ac:dyDescent="0.25">
      <c r="A3802" t="s">
        <v>950</v>
      </c>
    </row>
    <row r="3803" spans="1:1" ht="13" hidden="1" x14ac:dyDescent="0.3">
      <c r="A380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804" spans="1:1" ht="13" hidden="1" x14ac:dyDescent="0.3">
      <c r="A3804" s="21" t="s">
        <v>969</v>
      </c>
    </row>
    <row r="3805" spans="1:1" ht="13" hidden="1" x14ac:dyDescent="0.3">
      <c r="A3805" s="21" t="s">
        <v>959</v>
      </c>
    </row>
    <row r="3806" spans="1:1" hidden="1" x14ac:dyDescent="0.25">
      <c r="A3806" t="s">
        <v>960</v>
      </c>
    </row>
    <row r="3807" spans="1:1" hidden="1" x14ac:dyDescent="0.25">
      <c r="A3807" t="s">
        <v>961</v>
      </c>
    </row>
    <row r="3808" spans="1:1" hidden="1" x14ac:dyDescent="0.25">
      <c r="A3808" t="str">
        <f>CONCATENATE("sql left outer join acrtrees t on t.client = x.client and x.dim_1 = t.cat_1 and t.att_agrid = '",$F$159,"'")</f>
        <v>sql left outer join acrtrees t on t.client = x.client and x.dim_1 = t.cat_1 and t.att_agrid = '53'</v>
      </c>
    </row>
    <row r="3809" spans="1:1" ht="13" hidden="1" x14ac:dyDescent="0.3">
      <c r="A380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810" spans="1:1" ht="13" hidden="1" x14ac:dyDescent="0.3">
      <c r="A3810" s="21" t="s">
        <v>970</v>
      </c>
    </row>
    <row r="3811" spans="1:1" ht="13" hidden="1" x14ac:dyDescent="0.3">
      <c r="A3811" s="21" t="s">
        <v>962</v>
      </c>
    </row>
    <row r="3812" spans="1:1" ht="13" hidden="1" x14ac:dyDescent="0.3">
      <c r="A3812"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3813" spans="1:1" ht="13" hidden="1" x14ac:dyDescent="0.3">
      <c r="A3813" s="21" t="s">
        <v>970</v>
      </c>
    </row>
    <row r="3814" spans="1:1" ht="13" hidden="1" x14ac:dyDescent="0.3">
      <c r="A3814" s="21" t="s">
        <v>963</v>
      </c>
    </row>
    <row r="3815" spans="1:1" hidden="1" x14ac:dyDescent="0.25">
      <c r="A3815" t="s">
        <v>964</v>
      </c>
    </row>
    <row r="3816" spans="1:1" hidden="1" x14ac:dyDescent="0.25">
      <c r="A3816" t="s">
        <v>965</v>
      </c>
    </row>
    <row r="3817" spans="1:1" hidden="1" x14ac:dyDescent="0.25">
      <c r="A3817" t="s">
        <v>966</v>
      </c>
    </row>
    <row r="3818" spans="1:1" hidden="1" x14ac:dyDescent="0.25">
      <c r="A3818" t="s">
        <v>953</v>
      </c>
    </row>
    <row r="3819" spans="1:1" hidden="1" x14ac:dyDescent="0.25">
      <c r="A3819" t="s">
        <v>954</v>
      </c>
    </row>
    <row r="3820" spans="1:1" ht="13" hidden="1" x14ac:dyDescent="0.3">
      <c r="A3820" s="66" t="s">
        <v>971</v>
      </c>
    </row>
    <row r="3821" spans="1:1" hidden="1" x14ac:dyDescent="0.25">
      <c r="A3821" t="s">
        <v>972</v>
      </c>
    </row>
    <row r="3822" spans="1:1" hidden="1" x14ac:dyDescent="0.25">
      <c r="A3822" t="s">
        <v>950</v>
      </c>
    </row>
    <row r="3823" spans="1:1" ht="13" hidden="1" x14ac:dyDescent="0.3">
      <c r="A382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824" spans="1:1" ht="13" hidden="1" x14ac:dyDescent="0.3">
      <c r="A3824" s="21" t="s">
        <v>959</v>
      </c>
    </row>
    <row r="3825" spans="1:1" hidden="1" x14ac:dyDescent="0.25">
      <c r="A3825" t="s">
        <v>960</v>
      </c>
    </row>
    <row r="3826" spans="1:1" hidden="1" x14ac:dyDescent="0.25">
      <c r="A3826" t="s">
        <v>961</v>
      </c>
    </row>
    <row r="3827" spans="1:1" hidden="1" x14ac:dyDescent="0.25">
      <c r="A3827" t="str">
        <f>CONCATENATE("sql left outer join acrtrees t on t.client = x.client and x.dim_1 = t.cat_1 and t.att_agrid = '",$F$159,"'")</f>
        <v>sql left outer join acrtrees t on t.client = x.client and x.dim_1 = t.cat_1 and t.att_agrid = '53'</v>
      </c>
    </row>
    <row r="3828" spans="1:1" ht="13" hidden="1" x14ac:dyDescent="0.3">
      <c r="A382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829" spans="1:1" ht="13" hidden="1" x14ac:dyDescent="0.3">
      <c r="A3829" s="21" t="s">
        <v>973</v>
      </c>
    </row>
    <row r="3830" spans="1:1" hidden="1" x14ac:dyDescent="0.25">
      <c r="A3830" t="s">
        <v>964</v>
      </c>
    </row>
    <row r="3831" spans="1:1" hidden="1" x14ac:dyDescent="0.25">
      <c r="A3831" t="s">
        <v>965</v>
      </c>
    </row>
    <row r="3832" spans="1:1" hidden="1" x14ac:dyDescent="0.25">
      <c r="A3832" t="s">
        <v>966</v>
      </c>
    </row>
    <row r="3833" spans="1:1" hidden="1" x14ac:dyDescent="0.25">
      <c r="A3833" t="s">
        <v>953</v>
      </c>
    </row>
    <row r="3834" spans="1:1" hidden="1" x14ac:dyDescent="0.25">
      <c r="A3834" t="s">
        <v>954</v>
      </c>
    </row>
    <row r="3835" spans="1:1" ht="13" hidden="1" x14ac:dyDescent="0.3">
      <c r="A3835" s="66" t="s">
        <v>974</v>
      </c>
    </row>
    <row r="3836" spans="1:1" hidden="1" x14ac:dyDescent="0.25">
      <c r="A3836" t="s">
        <v>975</v>
      </c>
    </row>
    <row r="3837" spans="1:1" hidden="1" x14ac:dyDescent="0.25">
      <c r="A3837" t="s">
        <v>950</v>
      </c>
    </row>
    <row r="3838" spans="1:1" ht="13" hidden="1" x14ac:dyDescent="0.3">
      <c r="A383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3839" spans="1:1" ht="13" hidden="1" x14ac:dyDescent="0.3">
      <c r="A3839" s="21" t="s">
        <v>959</v>
      </c>
    </row>
    <row r="3840" spans="1:1" hidden="1" x14ac:dyDescent="0.25">
      <c r="A3840" t="s">
        <v>960</v>
      </c>
    </row>
    <row r="3841" spans="1:1" hidden="1" x14ac:dyDescent="0.25">
      <c r="A3841" t="s">
        <v>961</v>
      </c>
    </row>
    <row r="3842" spans="1:1" hidden="1" x14ac:dyDescent="0.25">
      <c r="A3842" t="str">
        <f>CONCATENATE("sql left outer join acrtrees t on t.client = x.client and x.dim_1 = t.cat_1 and t.att_agrid = '",$F$159,"'")</f>
        <v>sql left outer join acrtrees t on t.client = x.client and x.dim_1 = t.cat_1 and t.att_agrid = '53'</v>
      </c>
    </row>
    <row r="3843" spans="1:1" ht="13" hidden="1" x14ac:dyDescent="0.3">
      <c r="A3843"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3844" spans="1:1" ht="13" hidden="1" x14ac:dyDescent="0.3">
      <c r="A3844" s="21" t="s">
        <v>973</v>
      </c>
    </row>
    <row r="3845" spans="1:1" hidden="1" x14ac:dyDescent="0.25">
      <c r="A3845" t="s">
        <v>964</v>
      </c>
    </row>
    <row r="3846" spans="1:1" hidden="1" x14ac:dyDescent="0.25">
      <c r="A3846" t="s">
        <v>965</v>
      </c>
    </row>
    <row r="3847" spans="1:1" hidden="1" x14ac:dyDescent="0.25">
      <c r="A3847" t="s">
        <v>966</v>
      </c>
    </row>
    <row r="3848" spans="1:1" hidden="1" x14ac:dyDescent="0.25">
      <c r="A3848" t="s">
        <v>953</v>
      </c>
    </row>
    <row r="3849" spans="1:1" hidden="1" x14ac:dyDescent="0.25">
      <c r="A3849" t="s">
        <v>954</v>
      </c>
    </row>
    <row r="3850" spans="1:1" ht="13" hidden="1" x14ac:dyDescent="0.3">
      <c r="A3850" s="66" t="s">
        <v>976</v>
      </c>
    </row>
    <row r="3851" spans="1:1" hidden="1" x14ac:dyDescent="0.25">
      <c r="A3851" t="s">
        <v>977</v>
      </c>
    </row>
    <row r="3852" spans="1:1" hidden="1" x14ac:dyDescent="0.25">
      <c r="A3852" t="s">
        <v>950</v>
      </c>
    </row>
    <row r="3853" spans="1:1" ht="13" hidden="1" x14ac:dyDescent="0.3">
      <c r="A385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854" spans="1:1" ht="13" hidden="1" x14ac:dyDescent="0.3">
      <c r="A3854" s="21" t="s">
        <v>959</v>
      </c>
    </row>
    <row r="3855" spans="1:1" hidden="1" x14ac:dyDescent="0.25">
      <c r="A3855" t="s">
        <v>960</v>
      </c>
    </row>
    <row r="3856" spans="1:1" hidden="1" x14ac:dyDescent="0.25">
      <c r="A3856" t="s">
        <v>961</v>
      </c>
    </row>
    <row r="3857" spans="1:1" hidden="1" x14ac:dyDescent="0.25">
      <c r="A3857" t="str">
        <f>CONCATENATE("sql left outer join acrtrees t on t.client = x.client and x.dim_1 = t.cat_1 and t.att_agrid = '",$F$159,"'")</f>
        <v>sql left outer join acrtrees t on t.client = x.client and x.dim_1 = t.cat_1 and t.att_agrid = '53'</v>
      </c>
    </row>
    <row r="3858" spans="1:1" ht="13" hidden="1" x14ac:dyDescent="0.3">
      <c r="A385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859" spans="1:1" ht="13" hidden="1" x14ac:dyDescent="0.3">
      <c r="A3859" s="21" t="s">
        <v>978</v>
      </c>
    </row>
    <row r="3860" spans="1:1" hidden="1" x14ac:dyDescent="0.25">
      <c r="A3860" t="s">
        <v>979</v>
      </c>
    </row>
    <row r="3861" spans="1:1" hidden="1" x14ac:dyDescent="0.25">
      <c r="A3861" t="s">
        <v>980</v>
      </c>
    </row>
    <row r="3862" spans="1:1" hidden="1" x14ac:dyDescent="0.25">
      <c r="A3862" t="s">
        <v>966</v>
      </c>
    </row>
    <row r="3863" spans="1:1" hidden="1" x14ac:dyDescent="0.25">
      <c r="A3863" t="s">
        <v>953</v>
      </c>
    </row>
    <row r="3864" spans="1:1" hidden="1" x14ac:dyDescent="0.25">
      <c r="A3864" t="s">
        <v>954</v>
      </c>
    </row>
    <row r="3865" spans="1:1" ht="13" hidden="1" x14ac:dyDescent="0.3">
      <c r="A3865" s="66" t="s">
        <v>981</v>
      </c>
    </row>
    <row r="3866" spans="1:1" hidden="1" x14ac:dyDescent="0.25">
      <c r="A3866" t="s">
        <v>982</v>
      </c>
    </row>
    <row r="3867" spans="1:1" hidden="1" x14ac:dyDescent="0.25">
      <c r="A3867" t="s">
        <v>950</v>
      </c>
    </row>
    <row r="3868" spans="1:1" ht="13" hidden="1" x14ac:dyDescent="0.3">
      <c r="A386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869" spans="1:1" ht="13" hidden="1" x14ac:dyDescent="0.3">
      <c r="A3869" s="21" t="s">
        <v>969</v>
      </c>
    </row>
    <row r="3870" spans="1:1" ht="13" hidden="1" x14ac:dyDescent="0.3">
      <c r="A3870" s="21" t="s">
        <v>959</v>
      </c>
    </row>
    <row r="3871" spans="1:1" hidden="1" x14ac:dyDescent="0.25">
      <c r="A3871" t="s">
        <v>960</v>
      </c>
    </row>
    <row r="3872" spans="1:1" hidden="1" x14ac:dyDescent="0.25">
      <c r="A3872" t="s">
        <v>961</v>
      </c>
    </row>
    <row r="3873" spans="1:3" hidden="1" x14ac:dyDescent="0.25">
      <c r="A3873" t="str">
        <f>CONCATENATE("sql left outer join acrtrees t on t.client = x.client and x.dim_1 = t.cat_1 and t.att_agrid = '",$F$159,"'")</f>
        <v>sql left outer join acrtrees t on t.client = x.client and x.dim_1 = t.cat_1 and t.att_agrid = '53'</v>
      </c>
    </row>
    <row r="3874" spans="1:3" ht="13" hidden="1" x14ac:dyDescent="0.3">
      <c r="A387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875" spans="1:3" ht="13" hidden="1" x14ac:dyDescent="0.3">
      <c r="A3875" s="21" t="s">
        <v>970</v>
      </c>
    </row>
    <row r="3876" spans="1:3" ht="13" hidden="1" x14ac:dyDescent="0.3">
      <c r="A3876" s="21" t="s">
        <v>978</v>
      </c>
    </row>
    <row r="3877" spans="1:3" hidden="1" x14ac:dyDescent="0.25">
      <c r="A3877" t="s">
        <v>979</v>
      </c>
    </row>
    <row r="3878" spans="1:3" hidden="1" x14ac:dyDescent="0.25">
      <c r="A3878" t="s">
        <v>980</v>
      </c>
    </row>
    <row r="3879" spans="1:3" hidden="1" x14ac:dyDescent="0.25">
      <c r="A3879" t="s">
        <v>966</v>
      </c>
    </row>
    <row r="3880" spans="1:3" hidden="1" x14ac:dyDescent="0.25">
      <c r="A3880" t="s">
        <v>953</v>
      </c>
    </row>
    <row r="3881" spans="1:3" hidden="1" x14ac:dyDescent="0.25">
      <c r="A3881" t="s">
        <v>954</v>
      </c>
    </row>
    <row r="3882" spans="1:3" ht="13" hidden="1" x14ac:dyDescent="0.3">
      <c r="A3882" s="20" t="s">
        <v>983</v>
      </c>
    </row>
    <row r="3883" spans="1:3" hidden="1" x14ac:dyDescent="0.25">
      <c r="A3883" s="7" t="s">
        <v>984</v>
      </c>
    </row>
    <row r="3884" spans="1:3" hidden="1" x14ac:dyDescent="0.25">
      <c r="A3884" t="s">
        <v>950</v>
      </c>
    </row>
    <row r="3885" spans="1:3" hidden="1" x14ac:dyDescent="0.25">
      <c r="A3885" t="s">
        <v>951</v>
      </c>
    </row>
    <row r="3886" spans="1:3" ht="14.5" hidden="1" x14ac:dyDescent="0.35">
      <c r="A3886"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3886" s="2"/>
    </row>
    <row r="3887" spans="1:3" hidden="1" x14ac:dyDescent="0.25">
      <c r="A3887" t="s">
        <v>952</v>
      </c>
    </row>
    <row r="3888" spans="1:3" hidden="1" x14ac:dyDescent="0.25">
      <c r="A3888" t="s">
        <v>953</v>
      </c>
    </row>
    <row r="3889" spans="1:1" hidden="1" x14ac:dyDescent="0.25">
      <c r="A3889" t="s">
        <v>954</v>
      </c>
    </row>
    <row r="3890" spans="1:1" ht="13" hidden="1" x14ac:dyDescent="0.3">
      <c r="A3890" s="20" t="s">
        <v>985</v>
      </c>
    </row>
    <row r="3891" spans="1:1" hidden="1" x14ac:dyDescent="0.25">
      <c r="A3891" s="7" t="s">
        <v>986</v>
      </c>
    </row>
    <row r="3892" spans="1:1" hidden="1" x14ac:dyDescent="0.25">
      <c r="A3892" t="s">
        <v>987</v>
      </c>
    </row>
    <row r="3893" spans="1:1" ht="13" hidden="1" x14ac:dyDescent="0.3">
      <c r="A3893" s="21" t="str">
        <f>CONCATENATE("sql where a.client = '",$D$172,"' and a.period between '",LEFT($D$170,4),"00' and '",IF(RIGHT($D$171,2)="12",CONCATENATE(LEFT($D$171,4),"14"),$D$171),"'")</f>
        <v>sql where a.client = 'OX' and a.period between '202500' and '202506'</v>
      </c>
    </row>
    <row r="3894" spans="1:1" hidden="1" x14ac:dyDescent="0.25">
      <c r="A3894" t="s">
        <v>952</v>
      </c>
    </row>
    <row r="3895" spans="1:1" hidden="1" x14ac:dyDescent="0.25">
      <c r="A3895" t="s">
        <v>953</v>
      </c>
    </row>
    <row r="3896" spans="1:1" hidden="1" x14ac:dyDescent="0.25">
      <c r="A3896" t="s">
        <v>954</v>
      </c>
    </row>
    <row r="3897" spans="1:1" ht="13" hidden="1" x14ac:dyDescent="0.3">
      <c r="A3897" s="20" t="s">
        <v>988</v>
      </c>
    </row>
    <row r="3898" spans="1:1" hidden="1" x14ac:dyDescent="0.25">
      <c r="A3898" s="7" t="s">
        <v>989</v>
      </c>
    </row>
    <row r="3899" spans="1:1" hidden="1" x14ac:dyDescent="0.25">
      <c r="A3899" t="s">
        <v>950</v>
      </c>
    </row>
    <row r="3900" spans="1:1" hidden="1" x14ac:dyDescent="0.25">
      <c r="A3900" t="s">
        <v>951</v>
      </c>
    </row>
    <row r="3901" spans="1:1" ht="13" hidden="1" x14ac:dyDescent="0.3">
      <c r="A3901"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3902" spans="1:1" hidden="1" x14ac:dyDescent="0.25">
      <c r="A3902" t="s">
        <v>952</v>
      </c>
    </row>
    <row r="3903" spans="1:1" hidden="1" x14ac:dyDescent="0.25">
      <c r="A3903" t="s">
        <v>953</v>
      </c>
    </row>
    <row r="3904" spans="1:1" hidden="1" x14ac:dyDescent="0.25">
      <c r="A3904" t="s">
        <v>954</v>
      </c>
    </row>
    <row r="3905" spans="1:1" ht="13" hidden="1" x14ac:dyDescent="0.3">
      <c r="A3905" s="20" t="s">
        <v>990</v>
      </c>
    </row>
    <row r="3906" spans="1:1" hidden="1" x14ac:dyDescent="0.25">
      <c r="A3906" s="7" t="s">
        <v>991</v>
      </c>
    </row>
    <row r="3907" spans="1:1" hidden="1" x14ac:dyDescent="0.25">
      <c r="A3907" t="s">
        <v>950</v>
      </c>
    </row>
    <row r="3908" spans="1:1" hidden="1" x14ac:dyDescent="0.25">
      <c r="A3908" t="s">
        <v>951</v>
      </c>
    </row>
    <row r="3909" spans="1:1" ht="13" hidden="1" x14ac:dyDescent="0.3">
      <c r="A3909"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910" spans="1:1" hidden="1" x14ac:dyDescent="0.25">
      <c r="A3910" t="s">
        <v>952</v>
      </c>
    </row>
    <row r="3911" spans="1:1" hidden="1" x14ac:dyDescent="0.25">
      <c r="A3911" t="s">
        <v>953</v>
      </c>
    </row>
    <row r="3912" spans="1:1" hidden="1" x14ac:dyDescent="0.25">
      <c r="A3912" t="s">
        <v>954</v>
      </c>
    </row>
    <row r="3913" spans="1:1" ht="13" hidden="1" x14ac:dyDescent="0.3">
      <c r="A3913" s="20" t="s">
        <v>992</v>
      </c>
    </row>
    <row r="3914" spans="1:1" hidden="1" x14ac:dyDescent="0.25">
      <c r="A3914" s="7" t="s">
        <v>993</v>
      </c>
    </row>
    <row r="3915" spans="1:1" hidden="1" x14ac:dyDescent="0.25">
      <c r="A3915" t="s">
        <v>950</v>
      </c>
    </row>
    <row r="3916" spans="1:1" hidden="1" x14ac:dyDescent="0.25">
      <c r="A3916" t="s">
        <v>951</v>
      </c>
    </row>
    <row r="3917" spans="1:1" ht="13" hidden="1" x14ac:dyDescent="0.3">
      <c r="A3917"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3918" spans="1:1" hidden="1" x14ac:dyDescent="0.25">
      <c r="A3918" t="s">
        <v>952</v>
      </c>
    </row>
    <row r="3919" spans="1:1" hidden="1" x14ac:dyDescent="0.25">
      <c r="A3919" t="s">
        <v>953</v>
      </c>
    </row>
    <row r="3920" spans="1:1" hidden="1" x14ac:dyDescent="0.25">
      <c r="A3920" t="s">
        <v>994</v>
      </c>
    </row>
    <row r="3921" spans="1:33" hidden="1" x14ac:dyDescent="0.25">
      <c r="A3921" t="str">
        <f>CONCATENATE("sql left outer join acrtrees t on t.client = u.client and u.dim_1 = t.cat_1 and t.att_agrid = '",$F$159,"'")</f>
        <v>sql left outer join acrtrees t on t.client = u.client and u.dim_1 = t.cat_1 and t.att_agrid = '53'</v>
      </c>
    </row>
    <row r="3922" spans="1:33" hidden="1" x14ac:dyDescent="0.25">
      <c r="A3922" t="str">
        <f>CONCATENATE("sql left outer join acrtrees s on s.client = u.client and u.account = s.cat_1 and s.att_agrid = '",$F$160,"'")</f>
        <v>sql left outer join acrtrees s on s.client = u.client and u.account = s.cat_1 and s.att_agrid = '14'</v>
      </c>
    </row>
    <row r="3923" spans="1:33" hidden="1" x14ac:dyDescent="0.25">
      <c r="A3923" t="str">
        <f>CONCATENATE("sql left outer join acrtrees v on v.client = u.client and u.account = v.cat_1 and v.att_agrid = '",$F$161,"'")</f>
        <v>sql left outer join acrtrees v on v.client = u.client and u.account = v.cat_1 and v.att_agrid = '17'</v>
      </c>
    </row>
    <row r="3924" spans="1:33" hidden="1" x14ac:dyDescent="0.25">
      <c r="A3924" t="str">
        <f>CONCATENATE("sql left outer join agldescription d on d.client = u.client and d.dim_value = t.dim_c and d.attribute_id = '",$F$162,"'")</f>
        <v>sql left outer join agldescription d on d.client = u.client and d.dim_value = t.dim_c and d.attribute_id = '82'</v>
      </c>
    </row>
    <row r="3925" spans="1:33" hidden="1" x14ac:dyDescent="0.25">
      <c r="A3925" t="str">
        <f>CONCATENATE("sql left outer join agldescription e on e.client = u.client and e.dim_value = t.dim_b and e.attribute_id = '",$F$163,"'")</f>
        <v>sql left outer join agldescription e on e.client = u.client and e.dim_value = t.dim_b and e.attribute_id = '81'</v>
      </c>
    </row>
    <row r="3926" spans="1:33" hidden="1" x14ac:dyDescent="0.25">
      <c r="A3926" t="str">
        <f>CONCATENATE("sql left outer join agldescription f on f.client = u.client and f.dim_value = t.dim_e and f.attribute_id = '",$F$164,"'")</f>
        <v>sql left outer join agldescription f on f.client = u.client and f.dim_value = t.dim_e and f.attribute_id = '80'</v>
      </c>
    </row>
    <row r="3927" spans="1:33" hidden="1" x14ac:dyDescent="0.25">
      <c r="A3927" t="str">
        <f>CONCATENATE("sql left outer join agldescription g on g.client = u.client and g.dim_value = u.account and g.attribute_id = '",$F$165,"'")</f>
        <v>sql left outer join agldescription g on g.client = u.client and g.dim_value = u.account and g.attribute_id = 'A0'</v>
      </c>
    </row>
    <row r="3928" spans="1:33" ht="14.5" hidden="1" x14ac:dyDescent="0.35">
      <c r="A3928" s="67" t="s">
        <v>1076</v>
      </c>
      <c r="G3928" s="737" t="s">
        <v>1077</v>
      </c>
    </row>
    <row r="3929" spans="1:33" hidden="1" x14ac:dyDescent="0.25">
      <c r="A3929" t="s">
        <v>1005</v>
      </c>
    </row>
    <row r="3930" spans="1:33" hidden="1" x14ac:dyDescent="0.25">
      <c r="A3930" t="s">
        <v>1006</v>
      </c>
    </row>
    <row r="3931" spans="1:33" hidden="1" x14ac:dyDescent="0.25">
      <c r="A3931" t="s">
        <v>1007</v>
      </c>
    </row>
    <row r="3932" spans="1:33" ht="13" hidden="1" x14ac:dyDescent="0.3">
      <c r="A3932" t="s">
        <v>1012</v>
      </c>
      <c r="C3932" s="29"/>
      <c r="D3932" s="36">
        <v>1000</v>
      </c>
      <c r="E3932" s="36">
        <v>1000</v>
      </c>
      <c r="F3932" s="22">
        <v>1000</v>
      </c>
      <c r="G3932" s="22">
        <v>1000</v>
      </c>
      <c r="H3932" s="22">
        <v>1000</v>
      </c>
      <c r="I3932" s="22">
        <v>1000</v>
      </c>
      <c r="J3932" s="22">
        <v>1000</v>
      </c>
      <c r="K3932" s="22">
        <v>1000</v>
      </c>
      <c r="L3932" s="22"/>
      <c r="M3932" s="36"/>
      <c r="N3932" s="36"/>
      <c r="O3932" s="36">
        <v>1000</v>
      </c>
      <c r="P3932" s="36">
        <v>1000</v>
      </c>
      <c r="Q3932" s="36">
        <v>1000</v>
      </c>
      <c r="R3932" s="36">
        <v>1000</v>
      </c>
      <c r="S3932" s="36">
        <v>1000</v>
      </c>
      <c r="T3932" s="36"/>
      <c r="U3932" s="36"/>
      <c r="V3932" s="58"/>
      <c r="W3932" s="36">
        <v>1000</v>
      </c>
      <c r="X3932" s="36">
        <v>1000</v>
      </c>
      <c r="Y3932" s="36"/>
      <c r="Z3932" s="36"/>
      <c r="AA3932" s="40"/>
      <c r="AB3932" s="60"/>
      <c r="AC3932" s="98"/>
      <c r="AD3932" s="36"/>
      <c r="AE3932" s="36"/>
      <c r="AF3932" s="36"/>
      <c r="AG3932" s="99"/>
    </row>
    <row r="3933" spans="1:33" ht="13" hidden="1" x14ac:dyDescent="0.3">
      <c r="A3933" s="7" t="s">
        <v>1013</v>
      </c>
      <c r="C3933" s="29"/>
      <c r="D3933" s="36">
        <v>0</v>
      </c>
      <c r="E3933" s="36">
        <v>0</v>
      </c>
      <c r="F3933" s="22">
        <v>0</v>
      </c>
      <c r="G3933" s="22">
        <v>0</v>
      </c>
      <c r="H3933" s="22">
        <v>0</v>
      </c>
      <c r="I3933" s="22">
        <v>0</v>
      </c>
      <c r="J3933" s="22">
        <v>0</v>
      </c>
      <c r="K3933" s="22">
        <v>0</v>
      </c>
      <c r="L3933" s="22"/>
      <c r="M3933" s="36"/>
      <c r="N3933" s="36"/>
      <c r="O3933" s="36">
        <v>0</v>
      </c>
      <c r="P3933" s="36">
        <v>0</v>
      </c>
      <c r="Q3933" s="36">
        <v>0</v>
      </c>
      <c r="R3933" s="36">
        <v>0</v>
      </c>
      <c r="S3933" s="36">
        <v>0</v>
      </c>
      <c r="T3933" s="36"/>
      <c r="U3933" s="36"/>
      <c r="V3933" s="58"/>
      <c r="W3933" s="36">
        <v>0</v>
      </c>
      <c r="X3933" s="36">
        <v>0</v>
      </c>
      <c r="Y3933" s="36"/>
      <c r="Z3933" s="36"/>
      <c r="AA3933" s="40"/>
      <c r="AB3933" s="60"/>
      <c r="AC3933" s="98"/>
      <c r="AD3933" s="36"/>
      <c r="AE3933" s="36"/>
      <c r="AF3933" s="36"/>
      <c r="AG3933" s="99"/>
    </row>
    <row r="3934" spans="1:33" ht="13" hidden="1" x14ac:dyDescent="0.3">
      <c r="A3934" t="s">
        <v>1014</v>
      </c>
      <c r="C3934" s="30"/>
      <c r="D3934" s="36"/>
      <c r="E3934" s="36"/>
      <c r="F3934" s="57"/>
      <c r="G3934" s="57"/>
      <c r="H3934" s="57"/>
      <c r="I3934" s="57"/>
      <c r="J3934" s="57"/>
      <c r="K3934" s="57"/>
      <c r="L3934" s="57"/>
      <c r="M3934" s="36"/>
      <c r="N3934" s="36"/>
      <c r="O3934" s="36"/>
      <c r="P3934" s="36" t="s">
        <v>1015</v>
      </c>
      <c r="Q3934" s="36" t="s">
        <v>1016</v>
      </c>
      <c r="R3934" s="36"/>
      <c r="S3934" s="36"/>
      <c r="T3934" s="36"/>
      <c r="U3934" s="36"/>
      <c r="V3934" s="58"/>
      <c r="W3934" s="36"/>
      <c r="X3934" s="36"/>
      <c r="Y3934" s="36"/>
      <c r="Z3934" s="36"/>
      <c r="AA3934" s="40"/>
      <c r="AB3934" s="60"/>
      <c r="AC3934" s="98"/>
      <c r="AD3934" s="36"/>
      <c r="AE3934" s="36"/>
      <c r="AF3934" s="36"/>
      <c r="AG3934" s="99"/>
    </row>
    <row r="3935" spans="1:33" ht="13" hidden="1" x14ac:dyDescent="0.3">
      <c r="A3935" t="s">
        <v>1017</v>
      </c>
      <c r="C3935" s="79" t="s">
        <v>1078</v>
      </c>
      <c r="D3935" s="36" t="s">
        <v>1019</v>
      </c>
      <c r="E3935" s="36" t="s">
        <v>1020</v>
      </c>
      <c r="F3935" s="22" t="s">
        <v>1021</v>
      </c>
      <c r="G3935" s="22" t="s">
        <v>1022</v>
      </c>
      <c r="H3935" s="22" t="s">
        <v>1023</v>
      </c>
      <c r="I3935" s="22" t="s">
        <v>1024</v>
      </c>
      <c r="J3935" s="22" t="s">
        <v>1025</v>
      </c>
      <c r="K3935" s="22" t="s">
        <v>1026</v>
      </c>
      <c r="L3935" s="22"/>
      <c r="M3935" s="36"/>
      <c r="N3935" s="36"/>
      <c r="O3935" s="36" t="s">
        <v>1027</v>
      </c>
      <c r="P3935" s="36" t="s">
        <v>1028</v>
      </c>
      <c r="Q3935" s="36" t="s">
        <v>1028</v>
      </c>
      <c r="R3935" s="36" t="s">
        <v>1028</v>
      </c>
      <c r="S3935" s="36" t="s">
        <v>1029</v>
      </c>
      <c r="T3935" s="36"/>
      <c r="U3935" s="36"/>
      <c r="V3935" s="58"/>
      <c r="W3935" s="36" t="s">
        <v>1030</v>
      </c>
      <c r="X3935" s="36" t="s">
        <v>1031</v>
      </c>
      <c r="Y3935" s="36"/>
      <c r="Z3935" s="36"/>
      <c r="AA3935" s="40"/>
      <c r="AB3935" s="60"/>
      <c r="AC3935" s="98"/>
      <c r="AD3935" s="36"/>
      <c r="AE3935" s="36"/>
      <c r="AF3935" s="36"/>
      <c r="AG3935" s="99"/>
    </row>
    <row r="3936" spans="1:33" ht="13" x14ac:dyDescent="0.3">
      <c r="C3936" s="85"/>
      <c r="D3936" s="86"/>
      <c r="E3936" s="86"/>
      <c r="F3936" s="87"/>
      <c r="G3936" s="87"/>
      <c r="H3936" s="87"/>
      <c r="I3936" s="87"/>
      <c r="J3936" s="87"/>
      <c r="K3936" s="87"/>
      <c r="L3936" s="87"/>
      <c r="M3936" s="86"/>
      <c r="N3936" s="86"/>
      <c r="O3936" s="86"/>
      <c r="P3936" s="86"/>
      <c r="Q3936" s="86"/>
      <c r="R3936" s="86"/>
      <c r="S3936" s="86"/>
      <c r="T3936" s="86"/>
      <c r="U3936" s="86"/>
      <c r="V3936" s="88"/>
      <c r="W3936" s="86"/>
      <c r="X3936" s="86"/>
      <c r="Y3936" s="86"/>
      <c r="Z3936" s="86"/>
      <c r="AA3936" s="89"/>
      <c r="AB3936" s="60"/>
      <c r="AC3936" s="98"/>
      <c r="AD3936" s="36"/>
      <c r="AE3936" s="36"/>
      <c r="AF3936" s="36"/>
      <c r="AG3936" s="99"/>
    </row>
    <row r="3937" spans="1:33" ht="13" x14ac:dyDescent="0.3">
      <c r="C3937" s="78" t="s">
        <v>149</v>
      </c>
      <c r="D3937" s="34">
        <f>SUM(D3938:D3944)</f>
        <v>8556</v>
      </c>
      <c r="E3937" s="34">
        <f t="shared" ref="E3937:K3937" si="56">SUM(E3938:E3944)</f>
        <v>1167</v>
      </c>
      <c r="F3937" s="24">
        <f t="shared" si="56"/>
        <v>0</v>
      </c>
      <c r="G3937" s="24">
        <f t="shared" si="56"/>
        <v>0</v>
      </c>
      <c r="H3937" s="24">
        <f t="shared" si="56"/>
        <v>-7390</v>
      </c>
      <c r="I3937" s="24">
        <f t="shared" si="56"/>
        <v>0</v>
      </c>
      <c r="J3937" s="24">
        <f t="shared" si="56"/>
        <v>0</v>
      </c>
      <c r="K3937" s="24">
        <f t="shared" si="56"/>
        <v>0</v>
      </c>
      <c r="L3937" s="24">
        <f>SUM(F3937:K3937)</f>
        <v>-7390</v>
      </c>
      <c r="M3937" s="34">
        <f>O3937-E3937</f>
        <v>0</v>
      </c>
      <c r="N3937" s="34">
        <f>O3937-D3937</f>
        <v>-7389</v>
      </c>
      <c r="O3937" s="34">
        <f t="shared" ref="O3937:S3937" si="57">SUM(O3938:O3944)</f>
        <v>1167</v>
      </c>
      <c r="P3937" s="34">
        <f t="shared" si="57"/>
        <v>0</v>
      </c>
      <c r="Q3937" s="34">
        <f t="shared" si="57"/>
        <v>0</v>
      </c>
      <c r="R3937" s="34">
        <f t="shared" si="57"/>
        <v>0</v>
      </c>
      <c r="S3937" s="34">
        <f t="shared" si="57"/>
        <v>335</v>
      </c>
      <c r="T3937" s="34">
        <f>R3937-S3937</f>
        <v>-335</v>
      </c>
      <c r="U3937" s="94">
        <f>IFERROR((R3937/O3937)*100%,"∞")</f>
        <v>0</v>
      </c>
      <c r="V3937" s="95">
        <f>O3937+W3937</f>
        <v>1167</v>
      </c>
      <c r="W3937" s="34">
        <f t="shared" ref="W3937:X3937" si="58">SUM(W3938:W3944)</f>
        <v>0</v>
      </c>
      <c r="X3937" s="34">
        <f t="shared" si="58"/>
        <v>0</v>
      </c>
      <c r="Y3937" s="34"/>
      <c r="Z3937" s="34"/>
      <c r="AA3937" s="41"/>
      <c r="AB3937" s="60"/>
      <c r="AC3937" s="100">
        <f t="shared" ref="AC3937:AG3937" si="59">SUM(AC3938:AC3944)</f>
        <v>0</v>
      </c>
      <c r="AD3937" s="33">
        <f t="shared" si="59"/>
        <v>0</v>
      </c>
      <c r="AE3937" s="33">
        <f>SUM(AE3938:AE3944)</f>
        <v>0</v>
      </c>
      <c r="AF3937" s="33">
        <f t="shared" si="59"/>
        <v>0</v>
      </c>
      <c r="AG3937" s="101">
        <f t="shared" si="59"/>
        <v>-1167</v>
      </c>
    </row>
    <row r="3938" spans="1:33" ht="13" hidden="1" x14ac:dyDescent="0.3">
      <c r="A3938" t="s">
        <v>232</v>
      </c>
      <c r="C3938" s="78"/>
      <c r="D3938" s="33"/>
      <c r="E3938" s="33"/>
      <c r="F3938" s="23"/>
      <c r="G3938" s="23"/>
      <c r="H3938" s="23"/>
      <c r="I3938" s="23"/>
      <c r="J3938" s="23"/>
      <c r="K3938" s="23"/>
      <c r="L3938" s="23"/>
      <c r="M3938" s="33"/>
      <c r="N3938" s="33"/>
      <c r="O3938" s="33"/>
      <c r="P3938" s="33"/>
      <c r="Q3938" s="33"/>
      <c r="R3938" s="33"/>
      <c r="S3938" s="33"/>
      <c r="T3938" s="33"/>
      <c r="U3938" s="38"/>
      <c r="V3938" s="59"/>
      <c r="W3938" s="33"/>
      <c r="X3938" s="33"/>
      <c r="Y3938" s="33"/>
      <c r="Z3938" s="33"/>
      <c r="AA3938" s="42"/>
      <c r="AB3938" s="60"/>
      <c r="AC3938" s="100"/>
      <c r="AD3938" s="33"/>
      <c r="AE3938" s="33"/>
      <c r="AF3938" s="33"/>
      <c r="AG3938" s="101"/>
    </row>
    <row r="3939" spans="1:33" ht="13" outlineLevel="1" x14ac:dyDescent="0.3">
      <c r="A3939" t="s">
        <v>1085</v>
      </c>
      <c r="C3939" s="79" t="s">
        <v>150</v>
      </c>
      <c r="D3939" s="33">
        <v>1200</v>
      </c>
      <c r="E3939" s="33">
        <v>219</v>
      </c>
      <c r="F3939" s="23">
        <v>0</v>
      </c>
      <c r="G3939" s="23">
        <v>0</v>
      </c>
      <c r="H3939" s="23">
        <v>-981</v>
      </c>
      <c r="I3939" s="23">
        <v>0</v>
      </c>
      <c r="J3939" s="23">
        <v>0</v>
      </c>
      <c r="K3939" s="23">
        <v>0</v>
      </c>
      <c r="L3939" s="23">
        <f>SUM(F3939:K3939)</f>
        <v>-981</v>
      </c>
      <c r="M3939" s="33">
        <f>O3939-E3939</f>
        <v>0</v>
      </c>
      <c r="N3939" s="33">
        <f>O3939-D3939</f>
        <v>-981</v>
      </c>
      <c r="O3939" s="33">
        <v>219</v>
      </c>
      <c r="P3939" s="33">
        <v>0</v>
      </c>
      <c r="Q3939" s="33">
        <v>0</v>
      </c>
      <c r="R3939" s="33">
        <v>0</v>
      </c>
      <c r="S3939" s="33">
        <v>110</v>
      </c>
      <c r="T3939" s="33">
        <f>R3939-S3939</f>
        <v>-110</v>
      </c>
      <c r="U3939" s="38">
        <f>IFERROR((R3939/O3939)*100%,"∞")</f>
        <v>0</v>
      </c>
      <c r="V3939" s="59">
        <f>O3939+W3939</f>
        <v>219</v>
      </c>
      <c r="W3939" s="33">
        <v>0</v>
      </c>
      <c r="X3939" s="33">
        <v>0</v>
      </c>
      <c r="Y3939" s="33"/>
      <c r="Z3939" s="33"/>
      <c r="AA3939" s="42"/>
      <c r="AB3939" s="60"/>
      <c r="AC3939" s="105"/>
      <c r="AD3939" s="93"/>
      <c r="AE3939" s="33">
        <f>SUM(AC3939:AD3939)</f>
        <v>0</v>
      </c>
      <c r="AF3939" s="33">
        <f>R3939+AE3939</f>
        <v>0</v>
      </c>
      <c r="AG3939" s="101">
        <f>AF3939-O3939</f>
        <v>-219</v>
      </c>
    </row>
    <row r="3940" spans="1:33" ht="13" outlineLevel="1" x14ac:dyDescent="0.3">
      <c r="A3940" t="s">
        <v>1085</v>
      </c>
      <c r="C3940" s="79" t="s">
        <v>151</v>
      </c>
      <c r="D3940" s="33">
        <v>-400</v>
      </c>
      <c r="E3940" s="33">
        <v>-400</v>
      </c>
      <c r="F3940" s="23">
        <v>0</v>
      </c>
      <c r="G3940" s="23">
        <v>0</v>
      </c>
      <c r="H3940" s="23">
        <v>0</v>
      </c>
      <c r="I3940" s="23">
        <v>0</v>
      </c>
      <c r="J3940" s="23">
        <v>0</v>
      </c>
      <c r="K3940" s="23">
        <v>0</v>
      </c>
      <c r="L3940" s="23">
        <f t="shared" ref="L3940:L3942" si="60">SUM(F3940:K3940)</f>
        <v>0</v>
      </c>
      <c r="M3940" s="33">
        <f t="shared" ref="M3940:M3942" si="61">O3940-E3940</f>
        <v>0</v>
      </c>
      <c r="N3940" s="33">
        <f t="shared" ref="N3940:N3942" si="62">O3940-D3940</f>
        <v>0</v>
      </c>
      <c r="O3940" s="33">
        <v>-400</v>
      </c>
      <c r="P3940" s="33">
        <v>0</v>
      </c>
      <c r="Q3940" s="33">
        <v>0</v>
      </c>
      <c r="R3940" s="33">
        <v>0</v>
      </c>
      <c r="S3940" s="33">
        <v>-200</v>
      </c>
      <c r="T3940" s="33">
        <f t="shared" ref="T3940:T3942" si="63">R3940-S3940</f>
        <v>200</v>
      </c>
      <c r="U3940" s="38">
        <f t="shared" ref="U3940:U3942" si="64">IFERROR((R3940/O3940)*100%,"∞")</f>
        <v>0</v>
      </c>
      <c r="V3940" s="59">
        <f t="shared" ref="V3940:V3942" si="65">O3940+W3940</f>
        <v>-400</v>
      </c>
      <c r="W3940" s="33">
        <v>0</v>
      </c>
      <c r="X3940" s="33">
        <v>0</v>
      </c>
      <c r="Y3940" s="33"/>
      <c r="Z3940" s="33"/>
      <c r="AA3940" s="42"/>
      <c r="AB3940" s="60"/>
      <c r="AC3940" s="105"/>
      <c r="AD3940" s="93"/>
      <c r="AE3940" s="33">
        <f t="shared" ref="AE3940:AE3942" si="66">SUM(AC3940:AD3940)</f>
        <v>0</v>
      </c>
      <c r="AF3940" s="33">
        <f t="shared" ref="AF3940:AF3942" si="67">R3940+AE3940</f>
        <v>0</v>
      </c>
      <c r="AG3940" s="101">
        <f t="shared" ref="AG3940:AG3942" si="68">AF3940-O3940</f>
        <v>400</v>
      </c>
    </row>
    <row r="3941" spans="1:33" ht="13" outlineLevel="1" x14ac:dyDescent="0.3">
      <c r="A3941" t="s">
        <v>1085</v>
      </c>
      <c r="C3941" s="79" t="s">
        <v>152</v>
      </c>
      <c r="D3941" s="33">
        <v>7053</v>
      </c>
      <c r="E3941" s="33">
        <v>1143</v>
      </c>
      <c r="F3941" s="23">
        <v>0</v>
      </c>
      <c r="G3941" s="23">
        <v>0</v>
      </c>
      <c r="H3941" s="23">
        <v>-5911</v>
      </c>
      <c r="I3941" s="23">
        <v>0</v>
      </c>
      <c r="J3941" s="23">
        <v>0</v>
      </c>
      <c r="K3941" s="23">
        <v>0</v>
      </c>
      <c r="L3941" s="23">
        <f t="shared" si="60"/>
        <v>-5911</v>
      </c>
      <c r="M3941" s="33">
        <f t="shared" si="61"/>
        <v>0</v>
      </c>
      <c r="N3941" s="33">
        <f t="shared" si="62"/>
        <v>-5910</v>
      </c>
      <c r="O3941" s="33">
        <v>1143</v>
      </c>
      <c r="P3941" s="33">
        <v>0</v>
      </c>
      <c r="Q3941" s="33">
        <v>0</v>
      </c>
      <c r="R3941" s="33">
        <v>0</v>
      </c>
      <c r="S3941" s="33">
        <v>571</v>
      </c>
      <c r="T3941" s="33">
        <f t="shared" si="63"/>
        <v>-571</v>
      </c>
      <c r="U3941" s="38">
        <f t="shared" si="64"/>
        <v>0</v>
      </c>
      <c r="V3941" s="59">
        <f t="shared" si="65"/>
        <v>1143</v>
      </c>
      <c r="W3941" s="33">
        <v>0</v>
      </c>
      <c r="X3941" s="33">
        <v>0</v>
      </c>
      <c r="Y3941" s="33"/>
      <c r="Z3941" s="33"/>
      <c r="AA3941" s="42"/>
      <c r="AB3941" s="60"/>
      <c r="AC3941" s="105"/>
      <c r="AD3941" s="93"/>
      <c r="AE3941" s="33">
        <f t="shared" si="66"/>
        <v>0</v>
      </c>
      <c r="AF3941" s="33">
        <f t="shared" si="67"/>
        <v>0</v>
      </c>
      <c r="AG3941" s="101">
        <f t="shared" si="68"/>
        <v>-1143</v>
      </c>
    </row>
    <row r="3942" spans="1:33" ht="13" outlineLevel="1" x14ac:dyDescent="0.3">
      <c r="A3942" t="s">
        <v>1085</v>
      </c>
      <c r="C3942" s="79" t="s">
        <v>153</v>
      </c>
      <c r="D3942" s="33">
        <v>171</v>
      </c>
      <c r="E3942" s="33">
        <v>-29</v>
      </c>
      <c r="F3942" s="23">
        <v>0</v>
      </c>
      <c r="G3942" s="23">
        <v>0</v>
      </c>
      <c r="H3942" s="23">
        <v>-200</v>
      </c>
      <c r="I3942" s="23">
        <v>0</v>
      </c>
      <c r="J3942" s="23">
        <v>0</v>
      </c>
      <c r="K3942" s="23">
        <v>0</v>
      </c>
      <c r="L3942" s="23">
        <f t="shared" si="60"/>
        <v>-200</v>
      </c>
      <c r="M3942" s="33">
        <f t="shared" si="61"/>
        <v>0</v>
      </c>
      <c r="N3942" s="33">
        <f t="shared" si="62"/>
        <v>-200</v>
      </c>
      <c r="O3942" s="33">
        <v>-29</v>
      </c>
      <c r="P3942" s="33">
        <v>0</v>
      </c>
      <c r="Q3942" s="33">
        <v>0</v>
      </c>
      <c r="R3942" s="33">
        <v>0</v>
      </c>
      <c r="S3942" s="33">
        <v>-114</v>
      </c>
      <c r="T3942" s="33">
        <f t="shared" si="63"/>
        <v>114</v>
      </c>
      <c r="U3942" s="38">
        <f t="shared" si="64"/>
        <v>0</v>
      </c>
      <c r="V3942" s="59">
        <f t="shared" si="65"/>
        <v>-29</v>
      </c>
      <c r="W3942" s="33">
        <v>0</v>
      </c>
      <c r="X3942" s="33">
        <v>0</v>
      </c>
      <c r="Y3942" s="33"/>
      <c r="Z3942" s="33"/>
      <c r="AA3942" s="42"/>
      <c r="AB3942" s="60"/>
      <c r="AC3942" s="105"/>
      <c r="AD3942" s="93"/>
      <c r="AE3942" s="33">
        <f t="shared" si="66"/>
        <v>0</v>
      </c>
      <c r="AF3942" s="33">
        <f t="shared" si="67"/>
        <v>0</v>
      </c>
      <c r="AG3942" s="101">
        <f t="shared" si="68"/>
        <v>29</v>
      </c>
    </row>
    <row r="3943" spans="1:33" ht="13" outlineLevel="1" x14ac:dyDescent="0.3">
      <c r="A3943" t="s">
        <v>1079</v>
      </c>
      <c r="C3943" s="79" t="s">
        <v>154</v>
      </c>
      <c r="D3943" s="33">
        <v>532</v>
      </c>
      <c r="E3943" s="33">
        <v>234</v>
      </c>
      <c r="F3943" s="23">
        <v>0</v>
      </c>
      <c r="G3943" s="23">
        <v>0</v>
      </c>
      <c r="H3943" s="23">
        <v>-298</v>
      </c>
      <c r="I3943" s="23">
        <v>0</v>
      </c>
      <c r="J3943" s="23">
        <v>0</v>
      </c>
      <c r="K3943" s="23">
        <v>0</v>
      </c>
      <c r="L3943" s="23">
        <f>SUM(F3943:K3943)</f>
        <v>-298</v>
      </c>
      <c r="M3943" s="33">
        <f>O3943-E3943</f>
        <v>0</v>
      </c>
      <c r="N3943" s="33">
        <f>O3943-D3943</f>
        <v>-298</v>
      </c>
      <c r="O3943" s="33">
        <v>234</v>
      </c>
      <c r="P3943" s="33">
        <v>0</v>
      </c>
      <c r="Q3943" s="33">
        <v>0</v>
      </c>
      <c r="R3943" s="33">
        <v>0</v>
      </c>
      <c r="S3943" s="33">
        <v>-32</v>
      </c>
      <c r="T3943" s="33">
        <f>R3943-S3943</f>
        <v>32</v>
      </c>
      <c r="U3943" s="38">
        <f>IFERROR((R3943/O3943)*100%,"∞")</f>
        <v>0</v>
      </c>
      <c r="V3943" s="59">
        <f>O3943+W3943</f>
        <v>234</v>
      </c>
      <c r="W3943" s="33">
        <v>0</v>
      </c>
      <c r="X3943" s="33">
        <v>0</v>
      </c>
      <c r="Y3943" s="33"/>
      <c r="Z3943" s="33"/>
      <c r="AA3943" s="42"/>
      <c r="AB3943" s="60"/>
      <c r="AC3943" s="105"/>
      <c r="AD3943" s="93"/>
      <c r="AE3943" s="33">
        <f>SUM(AC3943:AD3943)</f>
        <v>0</v>
      </c>
      <c r="AF3943" s="33">
        <f>R3943+AE3943</f>
        <v>0</v>
      </c>
      <c r="AG3943" s="101">
        <f>AF3943-O3943</f>
        <v>-234</v>
      </c>
    </row>
    <row r="3944" spans="1:33" hidden="1" x14ac:dyDescent="0.25">
      <c r="A3944" t="s">
        <v>232</v>
      </c>
    </row>
    <row r="3945" spans="1:33" ht="13.5" thickBot="1" x14ac:dyDescent="0.35">
      <c r="C3945" s="80"/>
      <c r="D3945" s="81"/>
      <c r="E3945" s="81"/>
      <c r="F3945" s="82"/>
      <c r="G3945" s="82"/>
      <c r="H3945" s="82"/>
      <c r="I3945" s="82"/>
      <c r="J3945" s="82"/>
      <c r="K3945" s="82"/>
      <c r="L3945" s="82"/>
      <c r="M3945" s="81"/>
      <c r="N3945" s="81"/>
      <c r="O3945" s="81"/>
      <c r="P3945" s="81"/>
      <c r="Q3945" s="81"/>
      <c r="R3945" s="81"/>
      <c r="S3945" s="81"/>
      <c r="T3945" s="81"/>
      <c r="U3945" s="81"/>
      <c r="V3945" s="83"/>
      <c r="W3945" s="81"/>
      <c r="X3945" s="81"/>
      <c r="Y3945" s="81"/>
      <c r="Z3945" s="81"/>
      <c r="AA3945" s="84"/>
      <c r="AB3945" s="60"/>
      <c r="AC3945" s="100"/>
      <c r="AD3945" s="33"/>
      <c r="AE3945" s="33"/>
      <c r="AF3945" s="33"/>
      <c r="AG3945" s="101"/>
    </row>
    <row r="3946" spans="1:33" ht="13.5" thickBot="1" x14ac:dyDescent="0.35">
      <c r="C3946" s="91" t="s">
        <v>155</v>
      </c>
      <c r="D3946" s="76">
        <f>D3578+D3937</f>
        <v>5942</v>
      </c>
      <c r="E3946" s="76">
        <f t="shared" ref="E3946:K3946" si="69">E3578+E3937</f>
        <v>-447</v>
      </c>
      <c r="F3946" s="76">
        <f t="shared" si="69"/>
        <v>0</v>
      </c>
      <c r="G3946" s="76">
        <f t="shared" si="69"/>
        <v>0</v>
      </c>
      <c r="H3946" s="76">
        <f t="shared" si="69"/>
        <v>-6390</v>
      </c>
      <c r="I3946" s="76">
        <f t="shared" si="69"/>
        <v>0</v>
      </c>
      <c r="J3946" s="76">
        <f t="shared" si="69"/>
        <v>0</v>
      </c>
      <c r="K3946" s="76">
        <f t="shared" si="69"/>
        <v>0</v>
      </c>
      <c r="L3946" s="76">
        <f>SUM(F3946:K3946)</f>
        <v>-6390</v>
      </c>
      <c r="M3946" s="76">
        <f>O3946-E3946</f>
        <v>0</v>
      </c>
      <c r="N3946" s="76">
        <f>O3946-D3946</f>
        <v>-6389</v>
      </c>
      <c r="O3946" s="76">
        <f t="shared" ref="O3946:S3946" si="70">O3578+O3937</f>
        <v>-447</v>
      </c>
      <c r="P3946" s="76">
        <f t="shared" si="70"/>
        <v>18519</v>
      </c>
      <c r="Q3946" s="76">
        <f t="shared" si="70"/>
        <v>3119</v>
      </c>
      <c r="R3946" s="76">
        <f t="shared" si="70"/>
        <v>21639</v>
      </c>
      <c r="S3946" s="76">
        <f t="shared" si="70"/>
        <v>-2003</v>
      </c>
      <c r="T3946" s="76">
        <f>R3946-S3946</f>
        <v>23642</v>
      </c>
      <c r="U3946" s="92">
        <f>IFERROR((R3946/O3946)*100%,"∞")</f>
        <v>-48.409395973154361</v>
      </c>
      <c r="V3946" s="76">
        <f>O3946+W3946</f>
        <v>-447</v>
      </c>
      <c r="W3946" s="76">
        <f t="shared" ref="W3946:AG3946" si="71">W3578+W3937</f>
        <v>0</v>
      </c>
      <c r="X3946" s="76">
        <f t="shared" si="71"/>
        <v>0</v>
      </c>
      <c r="Y3946" s="76">
        <f t="shared" si="71"/>
        <v>0</v>
      </c>
      <c r="Z3946" s="76">
        <f t="shared" si="71"/>
        <v>0</v>
      </c>
      <c r="AA3946" s="76">
        <f t="shared" si="71"/>
        <v>0</v>
      </c>
      <c r="AB3946" s="60"/>
      <c r="AC3946" s="76">
        <f t="shared" si="71"/>
        <v>0</v>
      </c>
      <c r="AD3946" s="76">
        <f t="shared" si="71"/>
        <v>0</v>
      </c>
      <c r="AE3946" s="76">
        <f>AE3578+AE3937</f>
        <v>0</v>
      </c>
      <c r="AF3946" s="76">
        <f t="shared" si="71"/>
        <v>21639</v>
      </c>
      <c r="AG3946" s="76">
        <f t="shared" si="71"/>
        <v>22086</v>
      </c>
    </row>
    <row r="3947" spans="1:33" ht="14" thickTop="1" thickBot="1" x14ac:dyDescent="0.35">
      <c r="C3947" s="80"/>
      <c r="D3947" s="81"/>
      <c r="E3947" s="81"/>
      <c r="F3947" s="82"/>
      <c r="G3947" s="82"/>
      <c r="H3947" s="82"/>
      <c r="I3947" s="82"/>
      <c r="J3947" s="82"/>
      <c r="K3947" s="82"/>
      <c r="L3947" s="82"/>
      <c r="M3947" s="81"/>
      <c r="N3947" s="81"/>
      <c r="O3947" s="81"/>
      <c r="P3947" s="81"/>
      <c r="Q3947" s="81"/>
      <c r="R3947" s="81"/>
      <c r="S3947" s="81"/>
      <c r="T3947" s="81"/>
      <c r="U3947" s="81"/>
      <c r="V3947" s="83"/>
      <c r="W3947" s="81"/>
      <c r="X3947" s="81"/>
      <c r="Y3947" s="81"/>
      <c r="Z3947" s="81"/>
      <c r="AA3947" s="84"/>
      <c r="AB3947" s="60"/>
      <c r="AC3947" s="100"/>
      <c r="AD3947" s="33"/>
      <c r="AE3947" s="33"/>
      <c r="AF3947" s="33"/>
      <c r="AG3947" s="101"/>
    </row>
    <row r="3948" spans="1:33" ht="13.5" thickBot="1" x14ac:dyDescent="0.35">
      <c r="C3948" s="91" t="s">
        <v>156</v>
      </c>
      <c r="D3948" s="76">
        <f t="shared" ref="D3948:K3948" si="72">D268+D3403+D3946</f>
        <v>29971</v>
      </c>
      <c r="E3948" s="76">
        <f t="shared" si="72"/>
        <v>30111</v>
      </c>
      <c r="F3948" s="76">
        <f t="shared" si="72"/>
        <v>141</v>
      </c>
      <c r="G3948" s="76">
        <f t="shared" si="72"/>
        <v>68</v>
      </c>
      <c r="H3948" s="76">
        <f t="shared" si="72"/>
        <v>-2</v>
      </c>
      <c r="I3948" s="76">
        <f t="shared" si="72"/>
        <v>0</v>
      </c>
      <c r="J3948" s="76">
        <f t="shared" si="72"/>
        <v>0</v>
      </c>
      <c r="K3948" s="76">
        <f t="shared" si="72"/>
        <v>0</v>
      </c>
      <c r="L3948" s="76">
        <f>SUM(F3948:K3948)</f>
        <v>207</v>
      </c>
      <c r="M3948" s="76">
        <f>O3948-E3948</f>
        <v>67</v>
      </c>
      <c r="N3948" s="76">
        <f>O3948-D3948</f>
        <v>207</v>
      </c>
      <c r="O3948" s="76">
        <f>O268+O3403+O3946</f>
        <v>30178</v>
      </c>
      <c r="P3948" s="76">
        <f>P268+P3403+P3946</f>
        <v>67919</v>
      </c>
      <c r="Q3948" s="76">
        <f>Q268+Q3403+Q3946</f>
        <v>-24087</v>
      </c>
      <c r="R3948" s="76">
        <f>R268+R3403+R3946</f>
        <v>43830</v>
      </c>
      <c r="S3948" s="76">
        <f>S268+S3403+S3946</f>
        <v>14810</v>
      </c>
      <c r="T3948" s="76">
        <f>R3948-S3948</f>
        <v>29020</v>
      </c>
      <c r="U3948" s="92">
        <f>IFERROR((R3948/O3948)*100%,"∞")</f>
        <v>1.4523825303201008</v>
      </c>
      <c r="V3948" s="76">
        <f>O3948+W3948</f>
        <v>31831</v>
      </c>
      <c r="W3948" s="76">
        <f>W268+W3403+W3946</f>
        <v>1653</v>
      </c>
      <c r="X3948" s="76">
        <f>X268+X3403+X3946</f>
        <v>1653</v>
      </c>
      <c r="Y3948" s="76">
        <f>Y268+Y3403+Y3946</f>
        <v>0</v>
      </c>
      <c r="Z3948" s="76">
        <f>Z268+Z3403+Z3946</f>
        <v>0</v>
      </c>
      <c r="AA3948" s="76">
        <f>AA268+AA3403+AA3946</f>
        <v>0</v>
      </c>
      <c r="AB3948" s="60"/>
      <c r="AC3948" s="76">
        <f>AC268+AC3403+AC3946</f>
        <v>0</v>
      </c>
      <c r="AD3948" s="76">
        <f>AD268+AD3403+AD3946</f>
        <v>0</v>
      </c>
      <c r="AE3948" s="76">
        <f>AE268+AE3403+AE3946</f>
        <v>0</v>
      </c>
      <c r="AF3948" s="76">
        <f>AF268+AF3403+AF3946</f>
        <v>43830</v>
      </c>
      <c r="AG3948" s="76">
        <f>AG268+AG3403+AG3946</f>
        <v>13652</v>
      </c>
    </row>
    <row r="3949" spans="1:33" ht="13.5" thickTop="1" x14ac:dyDescent="0.3">
      <c r="C3949" s="71"/>
      <c r="D3949" s="72"/>
      <c r="E3949" s="72"/>
      <c r="F3949" s="73"/>
      <c r="G3949" s="73"/>
      <c r="H3949" s="73"/>
      <c r="I3949" s="73"/>
      <c r="J3949" s="73"/>
      <c r="K3949" s="73"/>
      <c r="L3949" s="73"/>
      <c r="M3949" s="72"/>
      <c r="N3949" s="72"/>
      <c r="O3949" s="72"/>
      <c r="P3949" s="72"/>
      <c r="Q3949" s="72"/>
      <c r="R3949" s="72"/>
      <c r="S3949" s="72"/>
      <c r="T3949" s="72"/>
      <c r="U3949" s="72"/>
      <c r="V3949" s="74"/>
      <c r="W3949" s="72"/>
      <c r="X3949" s="72"/>
      <c r="Y3949" s="72"/>
      <c r="Z3949" s="72"/>
      <c r="AA3949" s="75"/>
      <c r="AB3949" s="60"/>
      <c r="AC3949" s="100"/>
      <c r="AD3949" s="33"/>
      <c r="AE3949" s="33"/>
      <c r="AF3949" s="33"/>
      <c r="AG3949" s="101"/>
    </row>
    <row r="3950" spans="1:33" hidden="1" x14ac:dyDescent="0.25">
      <c r="A3950" t="s">
        <v>232</v>
      </c>
    </row>
    <row r="3951" spans="1:33" hidden="1" x14ac:dyDescent="0.25">
      <c r="A3951" t="s">
        <v>944</v>
      </c>
      <c r="M3951" s="19"/>
      <c r="N3951" s="19"/>
    </row>
    <row r="3952" spans="1:33" hidden="1" x14ac:dyDescent="0.25">
      <c r="A3952" t="s">
        <v>946</v>
      </c>
      <c r="E3952" s="19"/>
    </row>
    <row r="3953" spans="1:6" hidden="1" x14ac:dyDescent="0.25">
      <c r="A3953" t="s">
        <v>947</v>
      </c>
      <c r="E3953" s="19"/>
      <c r="F3953" s="19"/>
    </row>
    <row r="3954" spans="1:6" ht="13" hidden="1" x14ac:dyDescent="0.3">
      <c r="A3954" s="20" t="s">
        <v>948</v>
      </c>
    </row>
    <row r="3955" spans="1:6" hidden="1" x14ac:dyDescent="0.25">
      <c r="A3955" s="7" t="s">
        <v>949</v>
      </c>
    </row>
    <row r="3956" spans="1:6" hidden="1" x14ac:dyDescent="0.25">
      <c r="A3956" t="s">
        <v>950</v>
      </c>
    </row>
    <row r="3957" spans="1:6" hidden="1" x14ac:dyDescent="0.25">
      <c r="A3957" t="s">
        <v>951</v>
      </c>
    </row>
    <row r="3958" spans="1:6" ht="13" hidden="1" x14ac:dyDescent="0.3">
      <c r="A3958" s="21" t="str">
        <f>CONCATENATE("sql where a.client = '",$D$172,"' and a.period between '",LEFT($D$170,4),"00' and '",LEFT($D$171,4),"14' and a.version like '%ORIG%'")</f>
        <v>sql where a.client = 'OX' and a.period between '202500' and '202514' and a.version like '%ORIG%'</v>
      </c>
    </row>
    <row r="3959" spans="1:6" hidden="1" x14ac:dyDescent="0.25">
      <c r="A3959" t="s">
        <v>952</v>
      </c>
    </row>
    <row r="3960" spans="1:6" hidden="1" x14ac:dyDescent="0.25">
      <c r="A3960" t="s">
        <v>953</v>
      </c>
    </row>
    <row r="3961" spans="1:6" hidden="1" x14ac:dyDescent="0.25">
      <c r="A3961" t="s">
        <v>954</v>
      </c>
    </row>
    <row r="3962" spans="1:6" ht="13" hidden="1" x14ac:dyDescent="0.3">
      <c r="A3962" s="20" t="s">
        <v>955</v>
      </c>
    </row>
    <row r="3963" spans="1:6" hidden="1" x14ac:dyDescent="0.25">
      <c r="A3963" s="7" t="s">
        <v>956</v>
      </c>
    </row>
    <row r="3964" spans="1:6" hidden="1" x14ac:dyDescent="0.25">
      <c r="A3964" t="s">
        <v>950</v>
      </c>
    </row>
    <row r="3965" spans="1:6" hidden="1" x14ac:dyDescent="0.25">
      <c r="A3965" t="s">
        <v>951</v>
      </c>
    </row>
    <row r="3966" spans="1:6" ht="14.5" hidden="1" x14ac:dyDescent="0.35">
      <c r="A3966"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3966" s="2"/>
    </row>
    <row r="3967" spans="1:6" hidden="1" x14ac:dyDescent="0.25">
      <c r="A3967" t="s">
        <v>952</v>
      </c>
    </row>
    <row r="3968" spans="1:6" hidden="1" x14ac:dyDescent="0.25">
      <c r="A3968" t="s">
        <v>953</v>
      </c>
    </row>
    <row r="3969" spans="1:1" hidden="1" x14ac:dyDescent="0.25">
      <c r="A3969" t="s">
        <v>954</v>
      </c>
    </row>
    <row r="3970" spans="1:1" ht="13" hidden="1" x14ac:dyDescent="0.3">
      <c r="A3970" s="66" t="s">
        <v>957</v>
      </c>
    </row>
    <row r="3971" spans="1:1" hidden="1" x14ac:dyDescent="0.25">
      <c r="A3971" t="s">
        <v>958</v>
      </c>
    </row>
    <row r="3972" spans="1:1" hidden="1" x14ac:dyDescent="0.25">
      <c r="A3972" t="s">
        <v>950</v>
      </c>
    </row>
    <row r="3973" spans="1:1" ht="13" hidden="1" x14ac:dyDescent="0.3">
      <c r="A3973"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3974" spans="1:1" ht="13" hidden="1" x14ac:dyDescent="0.3">
      <c r="A3974" s="21" t="s">
        <v>959</v>
      </c>
    </row>
    <row r="3975" spans="1:1" hidden="1" x14ac:dyDescent="0.25">
      <c r="A3975" t="s">
        <v>960</v>
      </c>
    </row>
    <row r="3976" spans="1:1" hidden="1" x14ac:dyDescent="0.25">
      <c r="A3976" t="s">
        <v>961</v>
      </c>
    </row>
    <row r="3977" spans="1:1" hidden="1" x14ac:dyDescent="0.25">
      <c r="A3977" t="str">
        <f>CONCATENATE("sql left outer join acrtrees t on t.client = x.client and x.dim_1 = t.cat_1 and t.att_agrid = '",$F$159,"'")</f>
        <v>sql left outer join acrtrees t on t.client = x.client and x.dim_1 = t.cat_1 and t.att_agrid = '53'</v>
      </c>
    </row>
    <row r="3978" spans="1:1" ht="13" hidden="1" x14ac:dyDescent="0.3">
      <c r="A3978"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3979" spans="1:1" ht="13" hidden="1" x14ac:dyDescent="0.3">
      <c r="A3979" s="21" t="s">
        <v>962</v>
      </c>
    </row>
    <row r="3980" spans="1:1" ht="13" hidden="1" x14ac:dyDescent="0.3">
      <c r="A3980"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3981" spans="1:1" ht="13" hidden="1" x14ac:dyDescent="0.3">
      <c r="A3981" s="21" t="s">
        <v>963</v>
      </c>
    </row>
    <row r="3982" spans="1:1" hidden="1" x14ac:dyDescent="0.25">
      <c r="A3982" t="s">
        <v>964</v>
      </c>
    </row>
    <row r="3983" spans="1:1" hidden="1" x14ac:dyDescent="0.25">
      <c r="A3983" t="s">
        <v>965</v>
      </c>
    </row>
    <row r="3984" spans="1:1" hidden="1" x14ac:dyDescent="0.25">
      <c r="A3984" t="s">
        <v>966</v>
      </c>
    </row>
    <row r="3985" spans="1:1" hidden="1" x14ac:dyDescent="0.25">
      <c r="A3985" t="s">
        <v>953</v>
      </c>
    </row>
    <row r="3986" spans="1:1" hidden="1" x14ac:dyDescent="0.25">
      <c r="A3986" t="s">
        <v>954</v>
      </c>
    </row>
    <row r="3987" spans="1:1" ht="13" hidden="1" x14ac:dyDescent="0.3">
      <c r="A3987" s="66" t="s">
        <v>967</v>
      </c>
    </row>
    <row r="3988" spans="1:1" hidden="1" x14ac:dyDescent="0.25">
      <c r="A3988" t="s">
        <v>968</v>
      </c>
    </row>
    <row r="3989" spans="1:1" hidden="1" x14ac:dyDescent="0.25">
      <c r="A3989" t="s">
        <v>950</v>
      </c>
    </row>
    <row r="3990" spans="1:1" ht="13" hidden="1" x14ac:dyDescent="0.3">
      <c r="A3990"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3991" spans="1:1" ht="13" hidden="1" x14ac:dyDescent="0.3">
      <c r="A3991" s="21" t="s">
        <v>969</v>
      </c>
    </row>
    <row r="3992" spans="1:1" ht="13" hidden="1" x14ac:dyDescent="0.3">
      <c r="A3992" s="21" t="s">
        <v>959</v>
      </c>
    </row>
    <row r="3993" spans="1:1" hidden="1" x14ac:dyDescent="0.25">
      <c r="A3993" t="s">
        <v>960</v>
      </c>
    </row>
    <row r="3994" spans="1:1" hidden="1" x14ac:dyDescent="0.25">
      <c r="A3994" t="s">
        <v>961</v>
      </c>
    </row>
    <row r="3995" spans="1:1" hidden="1" x14ac:dyDescent="0.25">
      <c r="A3995" t="str">
        <f>CONCATENATE("sql left outer join acrtrees t on t.client = x.client and x.dim_1 = t.cat_1 and t.att_agrid = '",$F$159,"'")</f>
        <v>sql left outer join acrtrees t on t.client = x.client and x.dim_1 = t.cat_1 and t.att_agrid = '53'</v>
      </c>
    </row>
    <row r="3996" spans="1:1" ht="13" hidden="1" x14ac:dyDescent="0.3">
      <c r="A3996"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3997" spans="1:1" ht="13" hidden="1" x14ac:dyDescent="0.3">
      <c r="A3997" s="21" t="s">
        <v>970</v>
      </c>
    </row>
    <row r="3998" spans="1:1" ht="13" hidden="1" x14ac:dyDescent="0.3">
      <c r="A3998" s="21" t="s">
        <v>962</v>
      </c>
    </row>
    <row r="3999" spans="1:1" ht="13" hidden="1" x14ac:dyDescent="0.3">
      <c r="A3999"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4000" spans="1:1" ht="13" hidden="1" x14ac:dyDescent="0.3">
      <c r="A4000" s="21" t="s">
        <v>970</v>
      </c>
    </row>
    <row r="4001" spans="1:1" ht="13" hidden="1" x14ac:dyDescent="0.3">
      <c r="A4001" s="21" t="s">
        <v>963</v>
      </c>
    </row>
    <row r="4002" spans="1:1" hidden="1" x14ac:dyDescent="0.25">
      <c r="A4002" t="s">
        <v>964</v>
      </c>
    </row>
    <row r="4003" spans="1:1" hidden="1" x14ac:dyDescent="0.25">
      <c r="A4003" t="s">
        <v>965</v>
      </c>
    </row>
    <row r="4004" spans="1:1" hidden="1" x14ac:dyDescent="0.25">
      <c r="A4004" t="s">
        <v>966</v>
      </c>
    </row>
    <row r="4005" spans="1:1" hidden="1" x14ac:dyDescent="0.25">
      <c r="A4005" t="s">
        <v>953</v>
      </c>
    </row>
    <row r="4006" spans="1:1" hidden="1" x14ac:dyDescent="0.25">
      <c r="A4006" t="s">
        <v>954</v>
      </c>
    </row>
    <row r="4007" spans="1:1" ht="13" hidden="1" x14ac:dyDescent="0.3">
      <c r="A4007" s="66" t="s">
        <v>971</v>
      </c>
    </row>
    <row r="4008" spans="1:1" hidden="1" x14ac:dyDescent="0.25">
      <c r="A4008" t="s">
        <v>972</v>
      </c>
    </row>
    <row r="4009" spans="1:1" hidden="1" x14ac:dyDescent="0.25">
      <c r="A4009" t="s">
        <v>950</v>
      </c>
    </row>
    <row r="4010" spans="1:1" ht="13" hidden="1" x14ac:dyDescent="0.3">
      <c r="A401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011" spans="1:1" ht="13" hidden="1" x14ac:dyDescent="0.3">
      <c r="A4011" s="21" t="s">
        <v>959</v>
      </c>
    </row>
    <row r="4012" spans="1:1" hidden="1" x14ac:dyDescent="0.25">
      <c r="A4012" t="s">
        <v>960</v>
      </c>
    </row>
    <row r="4013" spans="1:1" hidden="1" x14ac:dyDescent="0.25">
      <c r="A4013" t="s">
        <v>961</v>
      </c>
    </row>
    <row r="4014" spans="1:1" hidden="1" x14ac:dyDescent="0.25">
      <c r="A4014" t="str">
        <f>CONCATENATE("sql left outer join acrtrees t on t.client = x.client and x.dim_1 = t.cat_1 and t.att_agrid = '",$F$159,"'")</f>
        <v>sql left outer join acrtrees t on t.client = x.client and x.dim_1 = t.cat_1 and t.att_agrid = '53'</v>
      </c>
    </row>
    <row r="4015" spans="1:1" ht="13" hidden="1" x14ac:dyDescent="0.3">
      <c r="A401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016" spans="1:1" ht="13" hidden="1" x14ac:dyDescent="0.3">
      <c r="A4016" s="21" t="s">
        <v>973</v>
      </c>
    </row>
    <row r="4017" spans="1:1" hidden="1" x14ac:dyDescent="0.25">
      <c r="A4017" t="s">
        <v>964</v>
      </c>
    </row>
    <row r="4018" spans="1:1" hidden="1" x14ac:dyDescent="0.25">
      <c r="A4018" t="s">
        <v>965</v>
      </c>
    </row>
    <row r="4019" spans="1:1" hidden="1" x14ac:dyDescent="0.25">
      <c r="A4019" t="s">
        <v>966</v>
      </c>
    </row>
    <row r="4020" spans="1:1" hidden="1" x14ac:dyDescent="0.25">
      <c r="A4020" t="s">
        <v>953</v>
      </c>
    </row>
    <row r="4021" spans="1:1" hidden="1" x14ac:dyDescent="0.25">
      <c r="A4021" t="s">
        <v>954</v>
      </c>
    </row>
    <row r="4022" spans="1:1" ht="13" hidden="1" x14ac:dyDescent="0.3">
      <c r="A4022" s="66" t="s">
        <v>974</v>
      </c>
    </row>
    <row r="4023" spans="1:1" hidden="1" x14ac:dyDescent="0.25">
      <c r="A4023" t="s">
        <v>975</v>
      </c>
    </row>
    <row r="4024" spans="1:1" hidden="1" x14ac:dyDescent="0.25">
      <c r="A4024" t="s">
        <v>950</v>
      </c>
    </row>
    <row r="4025" spans="1:1" ht="13" hidden="1" x14ac:dyDescent="0.3">
      <c r="A402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4026" spans="1:1" ht="13" hidden="1" x14ac:dyDescent="0.3">
      <c r="A4026" s="21" t="s">
        <v>959</v>
      </c>
    </row>
    <row r="4027" spans="1:1" hidden="1" x14ac:dyDescent="0.25">
      <c r="A4027" t="s">
        <v>960</v>
      </c>
    </row>
    <row r="4028" spans="1:1" hidden="1" x14ac:dyDescent="0.25">
      <c r="A4028" t="s">
        <v>961</v>
      </c>
    </row>
    <row r="4029" spans="1:1" hidden="1" x14ac:dyDescent="0.25">
      <c r="A4029" t="str">
        <f>CONCATENATE("sql left outer join acrtrees t on t.client = x.client and x.dim_1 = t.cat_1 and t.att_agrid = '",$F$159,"'")</f>
        <v>sql left outer join acrtrees t on t.client = x.client and x.dim_1 = t.cat_1 and t.att_agrid = '53'</v>
      </c>
    </row>
    <row r="4030" spans="1:1" ht="13" hidden="1" x14ac:dyDescent="0.3">
      <c r="A4030"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4031" spans="1:1" ht="13" hidden="1" x14ac:dyDescent="0.3">
      <c r="A4031" s="21" t="s">
        <v>973</v>
      </c>
    </row>
    <row r="4032" spans="1:1" hidden="1" x14ac:dyDescent="0.25">
      <c r="A4032" t="s">
        <v>964</v>
      </c>
    </row>
    <row r="4033" spans="1:1" hidden="1" x14ac:dyDescent="0.25">
      <c r="A4033" t="s">
        <v>965</v>
      </c>
    </row>
    <row r="4034" spans="1:1" hidden="1" x14ac:dyDescent="0.25">
      <c r="A4034" t="s">
        <v>966</v>
      </c>
    </row>
    <row r="4035" spans="1:1" hidden="1" x14ac:dyDescent="0.25">
      <c r="A4035" t="s">
        <v>953</v>
      </c>
    </row>
    <row r="4036" spans="1:1" hidden="1" x14ac:dyDescent="0.25">
      <c r="A4036" t="s">
        <v>954</v>
      </c>
    </row>
    <row r="4037" spans="1:1" ht="13" hidden="1" x14ac:dyDescent="0.3">
      <c r="A4037" s="66" t="s">
        <v>976</v>
      </c>
    </row>
    <row r="4038" spans="1:1" hidden="1" x14ac:dyDescent="0.25">
      <c r="A4038" t="s">
        <v>977</v>
      </c>
    </row>
    <row r="4039" spans="1:1" hidden="1" x14ac:dyDescent="0.25">
      <c r="A4039" t="s">
        <v>950</v>
      </c>
    </row>
    <row r="4040" spans="1:1" ht="13" hidden="1" x14ac:dyDescent="0.3">
      <c r="A4040"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041" spans="1:1" ht="13" hidden="1" x14ac:dyDescent="0.3">
      <c r="A4041" s="21" t="s">
        <v>959</v>
      </c>
    </row>
    <row r="4042" spans="1:1" hidden="1" x14ac:dyDescent="0.25">
      <c r="A4042" t="s">
        <v>960</v>
      </c>
    </row>
    <row r="4043" spans="1:1" hidden="1" x14ac:dyDescent="0.25">
      <c r="A4043" t="s">
        <v>961</v>
      </c>
    </row>
    <row r="4044" spans="1:1" hidden="1" x14ac:dyDescent="0.25">
      <c r="A4044" t="str">
        <f>CONCATENATE("sql left outer join acrtrees t on t.client = x.client and x.dim_1 = t.cat_1 and t.att_agrid = '",$F$159,"'")</f>
        <v>sql left outer join acrtrees t on t.client = x.client and x.dim_1 = t.cat_1 and t.att_agrid = '53'</v>
      </c>
    </row>
    <row r="4045" spans="1:1" ht="13" hidden="1" x14ac:dyDescent="0.3">
      <c r="A4045"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046" spans="1:1" ht="13" hidden="1" x14ac:dyDescent="0.3">
      <c r="A4046" s="21" t="s">
        <v>978</v>
      </c>
    </row>
    <row r="4047" spans="1:1" hidden="1" x14ac:dyDescent="0.25">
      <c r="A4047" t="s">
        <v>979</v>
      </c>
    </row>
    <row r="4048" spans="1:1" hidden="1" x14ac:dyDescent="0.25">
      <c r="A4048" t="s">
        <v>980</v>
      </c>
    </row>
    <row r="4049" spans="1:1" hidden="1" x14ac:dyDescent="0.25">
      <c r="A4049" t="s">
        <v>966</v>
      </c>
    </row>
    <row r="4050" spans="1:1" hidden="1" x14ac:dyDescent="0.25">
      <c r="A4050" t="s">
        <v>953</v>
      </c>
    </row>
    <row r="4051" spans="1:1" hidden="1" x14ac:dyDescent="0.25">
      <c r="A4051" t="s">
        <v>954</v>
      </c>
    </row>
    <row r="4052" spans="1:1" ht="13" hidden="1" x14ac:dyDescent="0.3">
      <c r="A4052" s="66" t="s">
        <v>981</v>
      </c>
    </row>
    <row r="4053" spans="1:1" hidden="1" x14ac:dyDescent="0.25">
      <c r="A4053" t="s">
        <v>982</v>
      </c>
    </row>
    <row r="4054" spans="1:1" hidden="1" x14ac:dyDescent="0.25">
      <c r="A4054" t="s">
        <v>950</v>
      </c>
    </row>
    <row r="4055" spans="1:1" ht="13" hidden="1" x14ac:dyDescent="0.3">
      <c r="A4055"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056" spans="1:1" ht="13" hidden="1" x14ac:dyDescent="0.3">
      <c r="A4056" s="21" t="s">
        <v>969</v>
      </c>
    </row>
    <row r="4057" spans="1:1" ht="13" hidden="1" x14ac:dyDescent="0.3">
      <c r="A4057" s="21" t="s">
        <v>959</v>
      </c>
    </row>
    <row r="4058" spans="1:1" hidden="1" x14ac:dyDescent="0.25">
      <c r="A4058" t="s">
        <v>960</v>
      </c>
    </row>
    <row r="4059" spans="1:1" hidden="1" x14ac:dyDescent="0.25">
      <c r="A4059" t="s">
        <v>961</v>
      </c>
    </row>
    <row r="4060" spans="1:1" hidden="1" x14ac:dyDescent="0.25">
      <c r="A4060" t="str">
        <f>CONCATENATE("sql left outer join acrtrees t on t.client = x.client and x.dim_1 = t.cat_1 and t.att_agrid = '",$F$159,"'")</f>
        <v>sql left outer join acrtrees t on t.client = x.client and x.dim_1 = t.cat_1 and t.att_agrid = '53'</v>
      </c>
    </row>
    <row r="4061" spans="1:1" ht="13" hidden="1" x14ac:dyDescent="0.3">
      <c r="A4061"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062" spans="1:1" ht="13" hidden="1" x14ac:dyDescent="0.3">
      <c r="A4062" s="21" t="s">
        <v>970</v>
      </c>
    </row>
    <row r="4063" spans="1:1" ht="13" hidden="1" x14ac:dyDescent="0.3">
      <c r="A4063" s="21" t="s">
        <v>978</v>
      </c>
    </row>
    <row r="4064" spans="1:1" hidden="1" x14ac:dyDescent="0.25">
      <c r="A4064" t="s">
        <v>979</v>
      </c>
    </row>
    <row r="4065" spans="1:3" hidden="1" x14ac:dyDescent="0.25">
      <c r="A4065" t="s">
        <v>980</v>
      </c>
    </row>
    <row r="4066" spans="1:3" hidden="1" x14ac:dyDescent="0.25">
      <c r="A4066" t="s">
        <v>966</v>
      </c>
    </row>
    <row r="4067" spans="1:3" hidden="1" x14ac:dyDescent="0.25">
      <c r="A4067" t="s">
        <v>953</v>
      </c>
    </row>
    <row r="4068" spans="1:3" hidden="1" x14ac:dyDescent="0.25">
      <c r="A4068" t="s">
        <v>954</v>
      </c>
    </row>
    <row r="4069" spans="1:3" ht="13" hidden="1" x14ac:dyDescent="0.3">
      <c r="A4069" s="20" t="s">
        <v>983</v>
      </c>
    </row>
    <row r="4070" spans="1:3" hidden="1" x14ac:dyDescent="0.25">
      <c r="A4070" s="7" t="s">
        <v>984</v>
      </c>
    </row>
    <row r="4071" spans="1:3" hidden="1" x14ac:dyDescent="0.25">
      <c r="A4071" t="s">
        <v>950</v>
      </c>
    </row>
    <row r="4072" spans="1:3" hidden="1" x14ac:dyDescent="0.25">
      <c r="A4072" t="s">
        <v>951</v>
      </c>
    </row>
    <row r="4073" spans="1:3" ht="14.5" hidden="1" x14ac:dyDescent="0.35">
      <c r="A4073"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4073" s="2"/>
    </row>
    <row r="4074" spans="1:3" hidden="1" x14ac:dyDescent="0.25">
      <c r="A4074" t="s">
        <v>952</v>
      </c>
    </row>
    <row r="4075" spans="1:3" hidden="1" x14ac:dyDescent="0.25">
      <c r="A4075" t="s">
        <v>953</v>
      </c>
    </row>
    <row r="4076" spans="1:3" hidden="1" x14ac:dyDescent="0.25">
      <c r="A4076" t="s">
        <v>954</v>
      </c>
    </row>
    <row r="4077" spans="1:3" ht="13" hidden="1" x14ac:dyDescent="0.3">
      <c r="A4077" s="20" t="s">
        <v>985</v>
      </c>
    </row>
    <row r="4078" spans="1:3" hidden="1" x14ac:dyDescent="0.25">
      <c r="A4078" s="7" t="s">
        <v>986</v>
      </c>
    </row>
    <row r="4079" spans="1:3" hidden="1" x14ac:dyDescent="0.25">
      <c r="A4079" t="s">
        <v>987</v>
      </c>
    </row>
    <row r="4080" spans="1:3" ht="13" hidden="1" x14ac:dyDescent="0.3">
      <c r="A4080" s="21" t="str">
        <f>CONCATENATE("sql where a.client = '",$D$172,"' and a.period between '",LEFT($D$170,4),"00' and '",IF(RIGHT($D$171,2)="12",CONCATENATE(LEFT($D$171,4),"14"),$D$171),"'")</f>
        <v>sql where a.client = 'OX' and a.period between '202500' and '202506'</v>
      </c>
    </row>
    <row r="4081" spans="1:1" hidden="1" x14ac:dyDescent="0.25">
      <c r="A4081" t="s">
        <v>952</v>
      </c>
    </row>
    <row r="4082" spans="1:1" hidden="1" x14ac:dyDescent="0.25">
      <c r="A4082" t="s">
        <v>953</v>
      </c>
    </row>
    <row r="4083" spans="1:1" hidden="1" x14ac:dyDescent="0.25">
      <c r="A4083" t="s">
        <v>954</v>
      </c>
    </row>
    <row r="4084" spans="1:1" ht="13" hidden="1" x14ac:dyDescent="0.3">
      <c r="A4084" s="20" t="s">
        <v>988</v>
      </c>
    </row>
    <row r="4085" spans="1:1" hidden="1" x14ac:dyDescent="0.25">
      <c r="A4085" s="7" t="s">
        <v>989</v>
      </c>
    </row>
    <row r="4086" spans="1:1" hidden="1" x14ac:dyDescent="0.25">
      <c r="A4086" t="s">
        <v>950</v>
      </c>
    </row>
    <row r="4087" spans="1:1" hidden="1" x14ac:dyDescent="0.25">
      <c r="A4087" t="s">
        <v>951</v>
      </c>
    </row>
    <row r="4088" spans="1:1" ht="13" hidden="1" x14ac:dyDescent="0.3">
      <c r="A4088"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4089" spans="1:1" hidden="1" x14ac:dyDescent="0.25">
      <c r="A4089" t="s">
        <v>952</v>
      </c>
    </row>
    <row r="4090" spans="1:1" hidden="1" x14ac:dyDescent="0.25">
      <c r="A4090" t="s">
        <v>953</v>
      </c>
    </row>
    <row r="4091" spans="1:1" hidden="1" x14ac:dyDescent="0.25">
      <c r="A4091" t="s">
        <v>954</v>
      </c>
    </row>
    <row r="4092" spans="1:1" ht="13" hidden="1" x14ac:dyDescent="0.3">
      <c r="A4092" s="20" t="s">
        <v>990</v>
      </c>
    </row>
    <row r="4093" spans="1:1" hidden="1" x14ac:dyDescent="0.25">
      <c r="A4093" s="7" t="s">
        <v>991</v>
      </c>
    </row>
    <row r="4094" spans="1:1" hidden="1" x14ac:dyDescent="0.25">
      <c r="A4094" t="s">
        <v>950</v>
      </c>
    </row>
    <row r="4095" spans="1:1" hidden="1" x14ac:dyDescent="0.25">
      <c r="A4095" t="s">
        <v>951</v>
      </c>
    </row>
    <row r="4096" spans="1:1" ht="13" hidden="1" x14ac:dyDescent="0.3">
      <c r="A4096"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097" spans="1:1" hidden="1" x14ac:dyDescent="0.25">
      <c r="A4097" t="s">
        <v>952</v>
      </c>
    </row>
    <row r="4098" spans="1:1" hidden="1" x14ac:dyDescent="0.25">
      <c r="A4098" t="s">
        <v>953</v>
      </c>
    </row>
    <row r="4099" spans="1:1" hidden="1" x14ac:dyDescent="0.25">
      <c r="A4099" t="s">
        <v>954</v>
      </c>
    </row>
    <row r="4100" spans="1:1" ht="13" hidden="1" x14ac:dyDescent="0.3">
      <c r="A4100" s="20" t="s">
        <v>992</v>
      </c>
    </row>
    <row r="4101" spans="1:1" hidden="1" x14ac:dyDescent="0.25">
      <c r="A4101" s="7" t="s">
        <v>993</v>
      </c>
    </row>
    <row r="4102" spans="1:1" hidden="1" x14ac:dyDescent="0.25">
      <c r="A4102" t="s">
        <v>950</v>
      </c>
    </row>
    <row r="4103" spans="1:1" hidden="1" x14ac:dyDescent="0.25">
      <c r="A4103" t="s">
        <v>951</v>
      </c>
    </row>
    <row r="4104" spans="1:1" ht="13" hidden="1" x14ac:dyDescent="0.3">
      <c r="A410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105" spans="1:1" hidden="1" x14ac:dyDescent="0.25">
      <c r="A4105" t="s">
        <v>952</v>
      </c>
    </row>
    <row r="4106" spans="1:1" hidden="1" x14ac:dyDescent="0.25">
      <c r="A4106" t="s">
        <v>953</v>
      </c>
    </row>
    <row r="4107" spans="1:1" hidden="1" x14ac:dyDescent="0.25">
      <c r="A4107" t="s">
        <v>994</v>
      </c>
    </row>
    <row r="4108" spans="1:1" hidden="1" x14ac:dyDescent="0.25">
      <c r="A4108" t="str">
        <f>CONCATENATE("sql left outer join acrtrees t on t.client = u.client and u.dim_1 = t.cat_1 and t.att_agrid = '",$F$159,"'")</f>
        <v>sql left outer join acrtrees t on t.client = u.client and u.dim_1 = t.cat_1 and t.att_agrid = '53'</v>
      </c>
    </row>
    <row r="4109" spans="1:1" hidden="1" x14ac:dyDescent="0.25">
      <c r="A4109" t="str">
        <f>CONCATENATE("sql left outer join acrtrees s on s.client = u.client and u.account = s.cat_1 and s.att_agrid = '",$F$160,"'")</f>
        <v>sql left outer join acrtrees s on s.client = u.client and u.account = s.cat_1 and s.att_agrid = '14'</v>
      </c>
    </row>
    <row r="4110" spans="1:1" hidden="1" x14ac:dyDescent="0.25">
      <c r="A4110" t="str">
        <f>CONCATENATE("sql left outer join acrtrees v on v.client = u.client and u.account = v.cat_1 and v.att_agrid = '",$F$161,"'")</f>
        <v>sql left outer join acrtrees v on v.client = u.client and u.account = v.cat_1 and v.att_agrid = '17'</v>
      </c>
    </row>
    <row r="4111" spans="1:1" hidden="1" x14ac:dyDescent="0.25">
      <c r="A4111" t="str">
        <f>CONCATENATE("sql left outer join agldescription d on d.client = u.client and d.dim_value = t.dim_c and d.attribute_id = '",$F$162,"'")</f>
        <v>sql left outer join agldescription d on d.client = u.client and d.dim_value = t.dim_c and d.attribute_id = '82'</v>
      </c>
    </row>
    <row r="4112" spans="1:1" hidden="1" x14ac:dyDescent="0.25">
      <c r="A4112" t="str">
        <f>CONCATENATE("sql left outer join agldescription e on e.client = u.client and e.dim_value = t.dim_b and e.attribute_id = '",$F$163,"'")</f>
        <v>sql left outer join agldescription e on e.client = u.client and e.dim_value = t.dim_b and e.attribute_id = '81'</v>
      </c>
    </row>
    <row r="4113" spans="1:33" hidden="1" x14ac:dyDescent="0.25">
      <c r="A4113" t="str">
        <f>CONCATENATE("sql left outer join agldescription f on f.client = u.client and f.dim_value = t.dim_e and f.attribute_id = '",$F$164,"'")</f>
        <v>sql left outer join agldescription f on f.client = u.client and f.dim_value = t.dim_e and f.attribute_id = '80'</v>
      </c>
    </row>
    <row r="4114" spans="1:33" hidden="1" x14ac:dyDescent="0.25">
      <c r="A4114" t="str">
        <f>CONCATENATE("sql left outer join agldescription g on g.client = u.client and g.dim_value = u.account and g.attribute_id = '",$F$165,"'")</f>
        <v>sql left outer join agldescription g on g.client = u.client and g.dim_value = u.account and g.attribute_id = 'A0'</v>
      </c>
    </row>
    <row r="4115" spans="1:33" ht="14.5" hidden="1" x14ac:dyDescent="0.35">
      <c r="A4115" s="67" t="s">
        <v>1080</v>
      </c>
      <c r="G4115" s="737" t="s">
        <v>1081</v>
      </c>
    </row>
    <row r="4116" spans="1:33" hidden="1" x14ac:dyDescent="0.25">
      <c r="A4116" t="s">
        <v>1005</v>
      </c>
    </row>
    <row r="4117" spans="1:33" hidden="1" x14ac:dyDescent="0.25">
      <c r="A4117" t="s">
        <v>1006</v>
      </c>
    </row>
    <row r="4118" spans="1:33" hidden="1" x14ac:dyDescent="0.25">
      <c r="A4118" t="s">
        <v>1007</v>
      </c>
    </row>
    <row r="4119" spans="1:33" ht="13" hidden="1" x14ac:dyDescent="0.3">
      <c r="A4119" t="s">
        <v>1012</v>
      </c>
      <c r="C4119" s="29"/>
      <c r="D4119" s="36">
        <v>1000</v>
      </c>
      <c r="E4119" s="36">
        <v>1000</v>
      </c>
      <c r="F4119" s="22">
        <v>1000</v>
      </c>
      <c r="G4119" s="22">
        <v>1000</v>
      </c>
      <c r="H4119" s="22">
        <v>1000</v>
      </c>
      <c r="I4119" s="22">
        <v>1000</v>
      </c>
      <c r="J4119" s="22">
        <v>1000</v>
      </c>
      <c r="K4119" s="22">
        <v>1000</v>
      </c>
      <c r="L4119" s="22"/>
      <c r="M4119" s="36"/>
      <c r="N4119" s="36"/>
      <c r="O4119" s="36">
        <v>1000</v>
      </c>
      <c r="P4119" s="36">
        <v>1000</v>
      </c>
      <c r="Q4119" s="36">
        <v>1000</v>
      </c>
      <c r="R4119" s="36">
        <v>1000</v>
      </c>
      <c r="S4119" s="36">
        <v>1000</v>
      </c>
      <c r="T4119" s="36"/>
      <c r="U4119" s="36"/>
      <c r="V4119" s="58"/>
      <c r="W4119" s="36">
        <v>1000</v>
      </c>
      <c r="X4119" s="36">
        <v>1000</v>
      </c>
      <c r="Y4119" s="36"/>
      <c r="Z4119" s="36"/>
      <c r="AA4119" s="40"/>
      <c r="AB4119" s="60"/>
      <c r="AC4119" s="100"/>
      <c r="AD4119" s="33"/>
      <c r="AE4119" s="33"/>
      <c r="AF4119" s="33"/>
      <c r="AG4119" s="101"/>
    </row>
    <row r="4120" spans="1:33" ht="13" hidden="1" x14ac:dyDescent="0.3">
      <c r="A4120" s="7" t="s">
        <v>1013</v>
      </c>
      <c r="C4120" s="29"/>
      <c r="D4120" s="36">
        <v>0</v>
      </c>
      <c r="E4120" s="36">
        <v>0</v>
      </c>
      <c r="F4120" s="22">
        <v>0</v>
      </c>
      <c r="G4120" s="22">
        <v>0</v>
      </c>
      <c r="H4120" s="22">
        <v>0</v>
      </c>
      <c r="I4120" s="22">
        <v>0</v>
      </c>
      <c r="J4120" s="22">
        <v>0</v>
      </c>
      <c r="K4120" s="22">
        <v>0</v>
      </c>
      <c r="L4120" s="22"/>
      <c r="M4120" s="36"/>
      <c r="N4120" s="36"/>
      <c r="O4120" s="36">
        <v>0</v>
      </c>
      <c r="P4120" s="36">
        <v>0</v>
      </c>
      <c r="Q4120" s="36">
        <v>0</v>
      </c>
      <c r="R4120" s="36">
        <v>0</v>
      </c>
      <c r="S4120" s="36">
        <v>0</v>
      </c>
      <c r="T4120" s="36"/>
      <c r="U4120" s="36"/>
      <c r="V4120" s="58"/>
      <c r="W4120" s="36">
        <v>0</v>
      </c>
      <c r="X4120" s="36">
        <v>0</v>
      </c>
      <c r="Y4120" s="36"/>
      <c r="Z4120" s="36"/>
      <c r="AA4120" s="40"/>
      <c r="AB4120" s="60"/>
      <c r="AC4120" s="100"/>
      <c r="AD4120" s="33"/>
      <c r="AE4120" s="33"/>
      <c r="AF4120" s="33"/>
      <c r="AG4120" s="101"/>
    </row>
    <row r="4121" spans="1:33" ht="13" hidden="1" x14ac:dyDescent="0.3">
      <c r="A4121" t="s">
        <v>1014</v>
      </c>
      <c r="C4121" s="30"/>
      <c r="D4121" s="36"/>
      <c r="E4121" s="36"/>
      <c r="F4121" s="57"/>
      <c r="G4121" s="57"/>
      <c r="H4121" s="57"/>
      <c r="I4121" s="57"/>
      <c r="J4121" s="57"/>
      <c r="K4121" s="57"/>
      <c r="L4121" s="57"/>
      <c r="M4121" s="36"/>
      <c r="N4121" s="36"/>
      <c r="O4121" s="36"/>
      <c r="P4121" s="36" t="s">
        <v>1015</v>
      </c>
      <c r="Q4121" s="36" t="s">
        <v>1016</v>
      </c>
      <c r="R4121" s="36"/>
      <c r="S4121" s="36"/>
      <c r="T4121" s="36"/>
      <c r="U4121" s="36"/>
      <c r="V4121" s="58"/>
      <c r="W4121" s="36"/>
      <c r="X4121" s="36"/>
      <c r="Y4121" s="36"/>
      <c r="Z4121" s="36"/>
      <c r="AA4121" s="40"/>
      <c r="AB4121" s="60"/>
      <c r="AC4121" s="100"/>
      <c r="AD4121" s="33"/>
      <c r="AE4121" s="33"/>
      <c r="AF4121" s="33"/>
      <c r="AG4121" s="101"/>
    </row>
    <row r="4122" spans="1:33" ht="13" hidden="1" x14ac:dyDescent="0.3">
      <c r="A4122" t="s">
        <v>1017</v>
      </c>
      <c r="C4122" s="79" t="s">
        <v>1018</v>
      </c>
      <c r="D4122" s="36" t="s">
        <v>1019</v>
      </c>
      <c r="E4122" s="36" t="s">
        <v>1020</v>
      </c>
      <c r="F4122" s="22" t="s">
        <v>1021</v>
      </c>
      <c r="G4122" s="22" t="s">
        <v>1022</v>
      </c>
      <c r="H4122" s="22" t="s">
        <v>1023</v>
      </c>
      <c r="I4122" s="22" t="s">
        <v>1024</v>
      </c>
      <c r="J4122" s="22" t="s">
        <v>1025</v>
      </c>
      <c r="K4122" s="22" t="s">
        <v>1026</v>
      </c>
      <c r="L4122" s="22"/>
      <c r="M4122" s="36"/>
      <c r="N4122" s="36"/>
      <c r="O4122" s="36" t="s">
        <v>1027</v>
      </c>
      <c r="P4122" s="36" t="s">
        <v>1028</v>
      </c>
      <c r="Q4122" s="36" t="s">
        <v>1028</v>
      </c>
      <c r="R4122" s="36" t="s">
        <v>1028</v>
      </c>
      <c r="S4122" s="36" t="s">
        <v>1029</v>
      </c>
      <c r="T4122" s="36"/>
      <c r="U4122" s="36"/>
      <c r="V4122" s="58"/>
      <c r="W4122" s="36" t="s">
        <v>1030</v>
      </c>
      <c r="X4122" s="36" t="s">
        <v>1031</v>
      </c>
      <c r="Y4122" s="36"/>
      <c r="Z4122" s="36"/>
      <c r="AA4122" s="40"/>
      <c r="AB4122" s="60"/>
      <c r="AC4122" s="100"/>
      <c r="AD4122" s="33"/>
      <c r="AE4122" s="33"/>
      <c r="AF4122" s="33"/>
      <c r="AG4122" s="101"/>
    </row>
    <row r="4123" spans="1:33" ht="13" hidden="1" x14ac:dyDescent="0.3">
      <c r="A4123" t="s">
        <v>232</v>
      </c>
      <c r="C4123" s="78"/>
      <c r="D4123" s="33"/>
      <c r="E4123" s="33"/>
      <c r="F4123" s="23"/>
      <c r="G4123" s="23"/>
      <c r="H4123" s="23"/>
      <c r="I4123" s="23"/>
      <c r="J4123" s="23"/>
      <c r="K4123" s="23"/>
      <c r="L4123" s="23"/>
      <c r="M4123" s="33"/>
      <c r="N4123" s="33"/>
      <c r="O4123" s="33"/>
      <c r="P4123" s="33"/>
      <c r="Q4123" s="33"/>
      <c r="R4123" s="33"/>
      <c r="S4123" s="33"/>
      <c r="T4123" s="33"/>
      <c r="U4123" s="38"/>
      <c r="V4123" s="59"/>
      <c r="W4123" s="33"/>
      <c r="X4123" s="33"/>
      <c r="Y4123" s="33"/>
      <c r="Z4123" s="33"/>
      <c r="AA4123" s="42"/>
      <c r="AB4123" s="60"/>
      <c r="AC4123" s="100"/>
      <c r="AD4123" s="33"/>
      <c r="AE4123" s="33"/>
      <c r="AF4123" s="33"/>
      <c r="AG4123" s="101"/>
    </row>
    <row r="4124" spans="1:33" ht="13" x14ac:dyDescent="0.3">
      <c r="A4124" t="s">
        <v>1033</v>
      </c>
      <c r="C4124" s="79" t="s">
        <v>157</v>
      </c>
      <c r="D4124" s="33">
        <v>-1367</v>
      </c>
      <c r="E4124" s="33">
        <v>-1507</v>
      </c>
      <c r="F4124" s="23">
        <v>-141</v>
      </c>
      <c r="G4124" s="23">
        <v>-68</v>
      </c>
      <c r="H4124" s="23">
        <v>0</v>
      </c>
      <c r="I4124" s="23">
        <v>0</v>
      </c>
      <c r="J4124" s="23">
        <v>0</v>
      </c>
      <c r="K4124" s="23">
        <v>0</v>
      </c>
      <c r="L4124" s="23">
        <f>SUM(F4124:K4124)</f>
        <v>-209</v>
      </c>
      <c r="M4124" s="33">
        <f>O4124-E4124</f>
        <v>-68</v>
      </c>
      <c r="N4124" s="33">
        <f>O4124-D4124</f>
        <v>-208</v>
      </c>
      <c r="O4124" s="33">
        <v>-1575</v>
      </c>
      <c r="P4124" s="33">
        <v>-209</v>
      </c>
      <c r="Q4124" s="33">
        <v>0</v>
      </c>
      <c r="R4124" s="33">
        <v>-209</v>
      </c>
      <c r="S4124" s="33">
        <v>-893</v>
      </c>
      <c r="T4124" s="33">
        <f>R4124-S4124</f>
        <v>684</v>
      </c>
      <c r="U4124" s="38">
        <f>IFERROR((R4124/O4124)*100%,"∞")</f>
        <v>0.1326984126984127</v>
      </c>
      <c r="V4124" s="59">
        <f>O4124+W4124</f>
        <v>-1575</v>
      </c>
      <c r="W4124" s="33">
        <v>0</v>
      </c>
      <c r="X4124" s="33">
        <v>0</v>
      </c>
      <c r="Y4124" s="33"/>
      <c r="Z4124" s="33"/>
      <c r="AA4124" s="42"/>
      <c r="AB4124" s="60"/>
      <c r="AC4124" s="105"/>
      <c r="AD4124" s="93"/>
      <c r="AE4124" s="33">
        <f>SUM(AC4124:AD4124)</f>
        <v>0</v>
      </c>
      <c r="AF4124" s="33">
        <f>R4124+AE4124</f>
        <v>-209</v>
      </c>
      <c r="AG4124" s="101">
        <f>AF4124-O4124</f>
        <v>1366</v>
      </c>
    </row>
    <row r="4125" spans="1:33" ht="13.5" thickBot="1" x14ac:dyDescent="0.35">
      <c r="C4125" s="80"/>
      <c r="D4125" s="81"/>
      <c r="E4125" s="81"/>
      <c r="F4125" s="82"/>
      <c r="G4125" s="82"/>
      <c r="H4125" s="82"/>
      <c r="I4125" s="82"/>
      <c r="J4125" s="82"/>
      <c r="K4125" s="82"/>
      <c r="L4125" s="82"/>
      <c r="M4125" s="81"/>
      <c r="N4125" s="81"/>
      <c r="O4125" s="81"/>
      <c r="P4125" s="81"/>
      <c r="Q4125" s="81"/>
      <c r="R4125" s="81"/>
      <c r="S4125" s="81"/>
      <c r="T4125" s="81"/>
      <c r="U4125" s="81"/>
      <c r="V4125" s="83"/>
      <c r="W4125" s="81"/>
      <c r="X4125" s="81"/>
      <c r="Y4125" s="81"/>
      <c r="Z4125" s="81"/>
      <c r="AA4125" s="84"/>
      <c r="AB4125" s="60"/>
      <c r="AC4125" s="100"/>
      <c r="AD4125" s="33"/>
      <c r="AE4125" s="33"/>
      <c r="AF4125" s="33"/>
      <c r="AG4125" s="101"/>
    </row>
    <row r="4126" spans="1:33" ht="13.5" thickBot="1" x14ac:dyDescent="0.35">
      <c r="C4126" s="91" t="s">
        <v>158</v>
      </c>
      <c r="D4126" s="76">
        <f>D3948+D4124</f>
        <v>28604</v>
      </c>
      <c r="E4126" s="76">
        <f t="shared" ref="E4126:K4126" si="73">E3948+E4124</f>
        <v>28604</v>
      </c>
      <c r="F4126" s="76">
        <f t="shared" si="73"/>
        <v>0</v>
      </c>
      <c r="G4126" s="76">
        <f t="shared" si="73"/>
        <v>0</v>
      </c>
      <c r="H4126" s="76">
        <f t="shared" si="73"/>
        <v>-2</v>
      </c>
      <c r="I4126" s="76">
        <f t="shared" si="73"/>
        <v>0</v>
      </c>
      <c r="J4126" s="76">
        <f t="shared" si="73"/>
        <v>0</v>
      </c>
      <c r="K4126" s="76">
        <f t="shared" si="73"/>
        <v>0</v>
      </c>
      <c r="L4126" s="76">
        <f>SUM(F4126:K4126)</f>
        <v>-2</v>
      </c>
      <c r="M4126" s="76">
        <f>O4126-E4126</f>
        <v>-1</v>
      </c>
      <c r="N4126" s="76">
        <f>O4126-D4126</f>
        <v>-1</v>
      </c>
      <c r="O4126" s="76">
        <f t="shared" ref="O4126:S4126" si="74">O3948+O4124</f>
        <v>28603</v>
      </c>
      <c r="P4126" s="76">
        <f t="shared" si="74"/>
        <v>67710</v>
      </c>
      <c r="Q4126" s="76">
        <f t="shared" si="74"/>
        <v>-24087</v>
      </c>
      <c r="R4126" s="76">
        <f t="shared" si="74"/>
        <v>43621</v>
      </c>
      <c r="S4126" s="76">
        <f t="shared" si="74"/>
        <v>13917</v>
      </c>
      <c r="T4126" s="76">
        <f>R4126-S4126</f>
        <v>29704</v>
      </c>
      <c r="U4126" s="92">
        <f>IFERROR((R4126/O4126)*100%,"∞")</f>
        <v>1.5250498199489564</v>
      </c>
      <c r="V4126" s="76">
        <f>O4126+W4126</f>
        <v>30256</v>
      </c>
      <c r="W4126" s="76">
        <f t="shared" ref="W4126:AG4126" si="75">W3948+W4124</f>
        <v>1653</v>
      </c>
      <c r="X4126" s="76">
        <f t="shared" si="75"/>
        <v>1653</v>
      </c>
      <c r="Y4126" s="76">
        <f t="shared" si="75"/>
        <v>0</v>
      </c>
      <c r="Z4126" s="76">
        <f t="shared" si="75"/>
        <v>0</v>
      </c>
      <c r="AA4126" s="76">
        <f t="shared" si="75"/>
        <v>0</v>
      </c>
      <c r="AB4126" s="60"/>
      <c r="AC4126" s="76">
        <f t="shared" si="75"/>
        <v>0</v>
      </c>
      <c r="AD4126" s="76">
        <f t="shared" si="75"/>
        <v>0</v>
      </c>
      <c r="AE4126" s="76">
        <f t="shared" si="75"/>
        <v>0</v>
      </c>
      <c r="AF4126" s="76">
        <f t="shared" si="75"/>
        <v>43621</v>
      </c>
      <c r="AG4126" s="76">
        <f t="shared" si="75"/>
        <v>15018</v>
      </c>
    </row>
    <row r="4127" spans="1:33" ht="13.5" thickTop="1" x14ac:dyDescent="0.3">
      <c r="C4127" s="71"/>
      <c r="D4127" s="72"/>
      <c r="E4127" s="72"/>
      <c r="F4127" s="73"/>
      <c r="G4127" s="73"/>
      <c r="H4127" s="73"/>
      <c r="I4127" s="73"/>
      <c r="J4127" s="73"/>
      <c r="K4127" s="73"/>
      <c r="L4127" s="73"/>
      <c r="M4127" s="72"/>
      <c r="N4127" s="72"/>
      <c r="O4127" s="72"/>
      <c r="P4127" s="72"/>
      <c r="Q4127" s="72"/>
      <c r="R4127" s="72"/>
      <c r="S4127" s="72"/>
      <c r="T4127" s="72"/>
      <c r="U4127" s="72"/>
      <c r="V4127" s="74"/>
      <c r="W4127" s="72"/>
      <c r="X4127" s="72"/>
      <c r="Y4127" s="72"/>
      <c r="Z4127" s="72"/>
      <c r="AA4127" s="75"/>
      <c r="AB4127" s="60"/>
      <c r="AC4127" s="100"/>
      <c r="AD4127" s="33"/>
      <c r="AE4127" s="33"/>
      <c r="AF4127" s="33"/>
      <c r="AG4127" s="101"/>
    </row>
    <row r="4128" spans="1:33" hidden="1" x14ac:dyDescent="0.25">
      <c r="A4128" t="s">
        <v>232</v>
      </c>
    </row>
    <row r="4129" spans="1:14" hidden="1" x14ac:dyDescent="0.25">
      <c r="A4129" t="s">
        <v>944</v>
      </c>
      <c r="M4129" s="19"/>
      <c r="N4129" s="19"/>
    </row>
    <row r="4130" spans="1:14" hidden="1" x14ac:dyDescent="0.25">
      <c r="A4130" t="s">
        <v>946</v>
      </c>
      <c r="E4130" s="19"/>
    </row>
    <row r="4131" spans="1:14" hidden="1" x14ac:dyDescent="0.25">
      <c r="A4131" t="s">
        <v>947</v>
      </c>
      <c r="E4131" s="19"/>
      <c r="F4131" s="19"/>
    </row>
    <row r="4132" spans="1:14" ht="13" hidden="1" x14ac:dyDescent="0.3">
      <c r="A4132" s="20" t="s">
        <v>948</v>
      </c>
    </row>
    <row r="4133" spans="1:14" hidden="1" x14ac:dyDescent="0.25">
      <c r="A4133" s="7" t="s">
        <v>949</v>
      </c>
    </row>
    <row r="4134" spans="1:14" hidden="1" x14ac:dyDescent="0.25">
      <c r="A4134" t="s">
        <v>950</v>
      </c>
    </row>
    <row r="4135" spans="1:14" hidden="1" x14ac:dyDescent="0.25">
      <c r="A4135" t="s">
        <v>951</v>
      </c>
    </row>
    <row r="4136" spans="1:14" ht="13" hidden="1" x14ac:dyDescent="0.3">
      <c r="A4136" s="21" t="str">
        <f>CONCATENATE("sql where a.client = '",$D$172,"' and a.period between '",LEFT($D$170,4),"00' and '",LEFT($D$171,4),"14' and a.version like '%ORIG%'")</f>
        <v>sql where a.client = 'OX' and a.period between '202500' and '202514' and a.version like '%ORIG%'</v>
      </c>
    </row>
    <row r="4137" spans="1:14" hidden="1" x14ac:dyDescent="0.25">
      <c r="A4137" t="s">
        <v>952</v>
      </c>
    </row>
    <row r="4138" spans="1:14" hidden="1" x14ac:dyDescent="0.25">
      <c r="A4138" t="s">
        <v>953</v>
      </c>
    </row>
    <row r="4139" spans="1:14" hidden="1" x14ac:dyDescent="0.25">
      <c r="A4139" t="s">
        <v>954</v>
      </c>
    </row>
    <row r="4140" spans="1:14" ht="13" hidden="1" x14ac:dyDescent="0.3">
      <c r="A4140" s="20" t="s">
        <v>955</v>
      </c>
    </row>
    <row r="4141" spans="1:14" hidden="1" x14ac:dyDescent="0.25">
      <c r="A4141" s="7" t="s">
        <v>956</v>
      </c>
    </row>
    <row r="4142" spans="1:14" hidden="1" x14ac:dyDescent="0.25">
      <c r="A4142" t="s">
        <v>950</v>
      </c>
    </row>
    <row r="4143" spans="1:14" hidden="1" x14ac:dyDescent="0.25">
      <c r="A4143" t="s">
        <v>951</v>
      </c>
    </row>
    <row r="4144" spans="1:14" ht="14.5" hidden="1" x14ac:dyDescent="0.35">
      <c r="A4144" s="21" t="str">
        <f>CONCATENATE("sql where a.client = '",$D$172,"' and a.period between '",LEFT($D$170,4),"00' and '",LEFT($D$171,4),"14' and b.last_update &lt; '",RIGHT(TEXT($D$173,"DD/MM/YYYY"),4),"-",IF(LEN(MONTH($D$173))=1,CONCATENATE("0",MONTH($D$173)),MONTH($D$173)),"-",LEFT(TEXT($D$173,"DD/MM/YYYY"),2)," 00:00:00.000' and a.version not like '%CORP%' and a.version not like '%CAP%' and a.version not like '%FCAS%'")</f>
        <v>sql where a.client = 'OX' and a.period between '202500' and '202514' and b.last_update &lt; '2024-08-31 00:00:00.000' and a.version not like '%CORP%' and a.version not like '%CAP%' and a.version not like '%FCAS%'</v>
      </c>
      <c r="C4144" s="2"/>
    </row>
    <row r="4145" spans="1:1" hidden="1" x14ac:dyDescent="0.25">
      <c r="A4145" t="s">
        <v>952</v>
      </c>
    </row>
    <row r="4146" spans="1:1" hidden="1" x14ac:dyDescent="0.25">
      <c r="A4146" t="s">
        <v>953</v>
      </c>
    </row>
    <row r="4147" spans="1:1" hidden="1" x14ac:dyDescent="0.25">
      <c r="A4147" t="s">
        <v>954</v>
      </c>
    </row>
    <row r="4148" spans="1:1" ht="13" hidden="1" x14ac:dyDescent="0.3">
      <c r="A4148" s="66" t="s">
        <v>957</v>
      </c>
    </row>
    <row r="4149" spans="1:1" hidden="1" x14ac:dyDescent="0.25">
      <c r="A4149" t="s">
        <v>958</v>
      </c>
    </row>
    <row r="4150" spans="1:1" hidden="1" x14ac:dyDescent="0.25">
      <c r="A4150" t="s">
        <v>950</v>
      </c>
    </row>
    <row r="4151" spans="1:1" ht="13" hidden="1" x14ac:dyDescent="0.3">
      <c r="A4151"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152" spans="1:1" ht="13" hidden="1" x14ac:dyDescent="0.3">
      <c r="A4152" s="21" t="s">
        <v>959</v>
      </c>
    </row>
    <row r="4153" spans="1:1" hidden="1" x14ac:dyDescent="0.25">
      <c r="A4153" t="s">
        <v>960</v>
      </c>
    </row>
    <row r="4154" spans="1:1" hidden="1" x14ac:dyDescent="0.25">
      <c r="A4154" t="s">
        <v>961</v>
      </c>
    </row>
    <row r="4155" spans="1:1" hidden="1" x14ac:dyDescent="0.25">
      <c r="A4155" t="str">
        <f>CONCATENATE("sql left outer join acrtrees t on t.client = x.client and x.dim_1 = t.cat_1 and t.att_agrid = '",$F$159,"'")</f>
        <v>sql left outer join acrtrees t on t.client = x.client and x.dim_1 = t.cat_1 and t.att_agrid = '53'</v>
      </c>
    </row>
    <row r="4156" spans="1:1" ht="13" hidden="1" x14ac:dyDescent="0.3">
      <c r="A4156"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157" spans="1:1" ht="13" hidden="1" x14ac:dyDescent="0.3">
      <c r="A4157" s="21" t="s">
        <v>962</v>
      </c>
    </row>
    <row r="4158" spans="1:1" ht="13" hidden="1" x14ac:dyDescent="0.3">
      <c r="A4158" s="21" t="str">
        <f>CONCATENATE("sql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x.client = 'OX' and x.period between '202500' and '202514' and x.last_update &lt; '2024-08-31 00:00:00.000' and x.version not like '%CORP%' and x.version not like '%CAP%' and x.version not like '%FCAS%' and x.version not like '%ORIG%'</v>
      </c>
    </row>
    <row r="4159" spans="1:1" ht="13" hidden="1" x14ac:dyDescent="0.3">
      <c r="A4159" s="21" t="s">
        <v>963</v>
      </c>
    </row>
    <row r="4160" spans="1:1" hidden="1" x14ac:dyDescent="0.25">
      <c r="A4160" t="s">
        <v>964</v>
      </c>
    </row>
    <row r="4161" spans="1:1" hidden="1" x14ac:dyDescent="0.25">
      <c r="A4161" t="s">
        <v>965</v>
      </c>
    </row>
    <row r="4162" spans="1:1" hidden="1" x14ac:dyDescent="0.25">
      <c r="A4162" t="s">
        <v>966</v>
      </c>
    </row>
    <row r="4163" spans="1:1" hidden="1" x14ac:dyDescent="0.25">
      <c r="A4163" t="s">
        <v>953</v>
      </c>
    </row>
    <row r="4164" spans="1:1" hidden="1" x14ac:dyDescent="0.25">
      <c r="A4164" t="s">
        <v>954</v>
      </c>
    </row>
    <row r="4165" spans="1:1" ht="13" hidden="1" x14ac:dyDescent="0.3">
      <c r="A4165" s="66" t="s">
        <v>967</v>
      </c>
    </row>
    <row r="4166" spans="1:1" hidden="1" x14ac:dyDescent="0.25">
      <c r="A4166" t="s">
        <v>968</v>
      </c>
    </row>
    <row r="4167" spans="1:1" hidden="1" x14ac:dyDescent="0.25">
      <c r="A4167" t="s">
        <v>950</v>
      </c>
    </row>
    <row r="4168" spans="1:1" ht="13" hidden="1" x14ac:dyDescent="0.3">
      <c r="A4168"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169" spans="1:1" ht="13" hidden="1" x14ac:dyDescent="0.3">
      <c r="A4169" s="21" t="s">
        <v>969</v>
      </c>
    </row>
    <row r="4170" spans="1:1" ht="13" hidden="1" x14ac:dyDescent="0.3">
      <c r="A4170" s="21" t="s">
        <v>959</v>
      </c>
    </row>
    <row r="4171" spans="1:1" hidden="1" x14ac:dyDescent="0.25">
      <c r="A4171" t="s">
        <v>960</v>
      </c>
    </row>
    <row r="4172" spans="1:1" hidden="1" x14ac:dyDescent="0.25">
      <c r="A4172" t="s">
        <v>961</v>
      </c>
    </row>
    <row r="4173" spans="1:1" hidden="1" x14ac:dyDescent="0.25">
      <c r="A4173" t="str">
        <f>CONCATENATE("sql left outer join acrtrees t on t.client = x.client and x.dim_1 = t.cat_1 and t.att_agrid = '",$F$159,"'")</f>
        <v>sql left outer join acrtrees t on t.client = x.client and x.dim_1 = t.cat_1 and t.att_agrid = '53'</v>
      </c>
    </row>
    <row r="4174" spans="1:1" ht="13" hidden="1" x14ac:dyDescent="0.3">
      <c r="A4174"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175" spans="1:1" ht="13" hidden="1" x14ac:dyDescent="0.3">
      <c r="A4175" s="21" t="s">
        <v>970</v>
      </c>
    </row>
    <row r="4176" spans="1:1" ht="13" hidden="1" x14ac:dyDescent="0.3">
      <c r="A4176" s="21" t="s">
        <v>962</v>
      </c>
    </row>
    <row r="4177" spans="1:1" ht="13" hidden="1" x14ac:dyDescent="0.3">
      <c r="A4177" s="21" t="str">
        <f>CONCATENATE("sql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x.client = 'OX' and x.period between '202500' and '202514' and x.last_update between '2024-08-31 00:00:00.000' and '2024-10-14 00:00:00.000'</v>
      </c>
    </row>
    <row r="4178" spans="1:1" ht="13" hidden="1" x14ac:dyDescent="0.3">
      <c r="A4178" s="21" t="s">
        <v>970</v>
      </c>
    </row>
    <row r="4179" spans="1:1" ht="13" hidden="1" x14ac:dyDescent="0.3">
      <c r="A4179" s="21" t="s">
        <v>963</v>
      </c>
    </row>
    <row r="4180" spans="1:1" hidden="1" x14ac:dyDescent="0.25">
      <c r="A4180" t="s">
        <v>964</v>
      </c>
    </row>
    <row r="4181" spans="1:1" hidden="1" x14ac:dyDescent="0.25">
      <c r="A4181" t="s">
        <v>965</v>
      </c>
    </row>
    <row r="4182" spans="1:1" hidden="1" x14ac:dyDescent="0.25">
      <c r="A4182" t="s">
        <v>966</v>
      </c>
    </row>
    <row r="4183" spans="1:1" hidden="1" x14ac:dyDescent="0.25">
      <c r="A4183" t="s">
        <v>953</v>
      </c>
    </row>
    <row r="4184" spans="1:1" hidden="1" x14ac:dyDescent="0.25">
      <c r="A4184" t="s">
        <v>954</v>
      </c>
    </row>
    <row r="4185" spans="1:1" ht="13" hidden="1" x14ac:dyDescent="0.3">
      <c r="A4185" s="66" t="s">
        <v>971</v>
      </c>
    </row>
    <row r="4186" spans="1:1" hidden="1" x14ac:dyDescent="0.25">
      <c r="A4186" t="s">
        <v>972</v>
      </c>
    </row>
    <row r="4187" spans="1:1" hidden="1" x14ac:dyDescent="0.25">
      <c r="A4187" t="s">
        <v>950</v>
      </c>
    </row>
    <row r="4188" spans="1:1" ht="13" hidden="1" x14ac:dyDescent="0.3">
      <c r="A418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189" spans="1:1" ht="13" hidden="1" x14ac:dyDescent="0.3">
      <c r="A4189" s="21" t="s">
        <v>959</v>
      </c>
    </row>
    <row r="4190" spans="1:1" hidden="1" x14ac:dyDescent="0.25">
      <c r="A4190" t="s">
        <v>960</v>
      </c>
    </row>
    <row r="4191" spans="1:1" hidden="1" x14ac:dyDescent="0.25">
      <c r="A4191" t="s">
        <v>961</v>
      </c>
    </row>
    <row r="4192" spans="1:1" hidden="1" x14ac:dyDescent="0.25">
      <c r="A4192" t="str">
        <f>CONCATENATE("sql left outer join acrtrees t on t.client = x.client and x.dim_1 = t.cat_1 and t.att_agrid = '",$F$159,"'")</f>
        <v>sql left outer join acrtrees t on t.client = x.client and x.dim_1 = t.cat_1 and t.att_agrid = '53'</v>
      </c>
    </row>
    <row r="4193" spans="1:1" ht="13" hidden="1" x14ac:dyDescent="0.3">
      <c r="A419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194" spans="1:1" ht="13" hidden="1" x14ac:dyDescent="0.3">
      <c r="A4194" s="21" t="s">
        <v>973</v>
      </c>
    </row>
    <row r="4195" spans="1:1" hidden="1" x14ac:dyDescent="0.25">
      <c r="A4195" t="s">
        <v>964</v>
      </c>
    </row>
    <row r="4196" spans="1:1" hidden="1" x14ac:dyDescent="0.25">
      <c r="A4196" t="s">
        <v>965</v>
      </c>
    </row>
    <row r="4197" spans="1:1" hidden="1" x14ac:dyDescent="0.25">
      <c r="A4197" t="s">
        <v>966</v>
      </c>
    </row>
    <row r="4198" spans="1:1" hidden="1" x14ac:dyDescent="0.25">
      <c r="A4198" t="s">
        <v>953</v>
      </c>
    </row>
    <row r="4199" spans="1:1" hidden="1" x14ac:dyDescent="0.25">
      <c r="A4199" t="s">
        <v>954</v>
      </c>
    </row>
    <row r="4200" spans="1:1" ht="13" hidden="1" x14ac:dyDescent="0.3">
      <c r="A4200" s="66" t="s">
        <v>974</v>
      </c>
    </row>
    <row r="4201" spans="1:1" hidden="1" x14ac:dyDescent="0.25">
      <c r="A4201" t="s">
        <v>975</v>
      </c>
    </row>
    <row r="4202" spans="1:1" hidden="1" x14ac:dyDescent="0.25">
      <c r="A4202" t="s">
        <v>950</v>
      </c>
    </row>
    <row r="4203" spans="1:1" ht="13" hidden="1" x14ac:dyDescent="0.3">
      <c r="A420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 and a.version not like '%CORP%' and a.version not like '%CAP%' and a.version not like '%FCAS%' and a.version not like '%ORIG%'")</f>
        <v>sql where a.client = 'OX' and a.period between '202500' and '202514' and a.last_update between '2024-08-31 00:00:00.000' and '2024-10-14 00:00:00.000' and a.version not like '%CORP%' and a.version not like '%CAP%' and a.version not like '%FCAS%' and a.version not like '%ORIG%'</v>
      </c>
    </row>
    <row r="4204" spans="1:1" ht="13" hidden="1" x14ac:dyDescent="0.3">
      <c r="A4204" s="21" t="s">
        <v>959</v>
      </c>
    </row>
    <row r="4205" spans="1:1" hidden="1" x14ac:dyDescent="0.25">
      <c r="A4205" t="s">
        <v>960</v>
      </c>
    </row>
    <row r="4206" spans="1:1" hidden="1" x14ac:dyDescent="0.25">
      <c r="A4206" t="s">
        <v>961</v>
      </c>
    </row>
    <row r="4207" spans="1:1" hidden="1" x14ac:dyDescent="0.25">
      <c r="A4207" t="str">
        <f>CONCATENATE("sql left outer join acrtrees t on t.client = x.client and x.dim_1 = t.cat_1 and t.att_agrid = '",$F$159,"'")</f>
        <v>sql left outer join acrtrees t on t.client = x.client and x.dim_1 = t.cat_1 and t.att_agrid = '53'</v>
      </c>
    </row>
    <row r="4208" spans="1:1" ht="13" hidden="1" x14ac:dyDescent="0.3">
      <c r="A4208"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 and x.version not like '%CORP%' and x.version not like '%CAP%' and x.version not like '%FCAS%' and x.version not like '%ORIG%'")</f>
        <v>sql where x.client = 'OX' and x.period between '202500' and '202514' and x.last_update between '2024-08-31 00:00:00.000' and '2024-10-14 00:00:00.000' and x.version not like '%CORP%' and x.version not like '%CAP%' and x.version not like '%FCAS%' and x.version not like '%ORIG%'</v>
      </c>
    </row>
    <row r="4209" spans="1:1" ht="13" hidden="1" x14ac:dyDescent="0.3">
      <c r="A4209" s="21" t="s">
        <v>973</v>
      </c>
    </row>
    <row r="4210" spans="1:1" hidden="1" x14ac:dyDescent="0.25">
      <c r="A4210" t="s">
        <v>964</v>
      </c>
    </row>
    <row r="4211" spans="1:1" hidden="1" x14ac:dyDescent="0.25">
      <c r="A4211" t="s">
        <v>965</v>
      </c>
    </row>
    <row r="4212" spans="1:1" hidden="1" x14ac:dyDescent="0.25">
      <c r="A4212" t="s">
        <v>966</v>
      </c>
    </row>
    <row r="4213" spans="1:1" hidden="1" x14ac:dyDescent="0.25">
      <c r="A4213" t="s">
        <v>953</v>
      </c>
    </row>
    <row r="4214" spans="1:1" hidden="1" x14ac:dyDescent="0.25">
      <c r="A4214" t="s">
        <v>954</v>
      </c>
    </row>
    <row r="4215" spans="1:1" ht="13" hidden="1" x14ac:dyDescent="0.3">
      <c r="A4215" s="66" t="s">
        <v>976</v>
      </c>
    </row>
    <row r="4216" spans="1:1" hidden="1" x14ac:dyDescent="0.25">
      <c r="A4216" t="s">
        <v>977</v>
      </c>
    </row>
    <row r="4217" spans="1:1" hidden="1" x14ac:dyDescent="0.25">
      <c r="A4217" t="s">
        <v>950</v>
      </c>
    </row>
    <row r="4218" spans="1:1" ht="13" hidden="1" x14ac:dyDescent="0.3">
      <c r="A4218" s="21" t="str">
        <f>CONCATENATE("sql where a.client = '",$D$172,"' and a.period between '",LEFT($D$170,4),"00' and '",LEFT($D$171,4),"14' and a.last_update &lt; '",RIGHT(TEXT($D$173,"DD/MM/YYYY"),4),"-",IF(LEN(MONTH($D$173))=1,CONCATENATE("0",MONTH($D$173)),MONTH($D$173)),"-",LEFT(TEXT($D$173,"DD/MM/YYYY"),2)," 00:00:00.000' and a.version not like '%CORP%' and a.version not like '%CAP%' and a.version not like '%FCAS%' and a.version not like '%ORIG%'")</f>
        <v>sql where a.client = 'OX' and a.period between '202500' and '202514' and a.last_update &lt; '2024-08-31 00:00:00.000' and a.version not like '%CORP%' and a.version not like '%CAP%' and a.version not like '%FCAS%' and a.version not like '%ORIG%'</v>
      </c>
    </row>
    <row r="4219" spans="1:1" ht="13" hidden="1" x14ac:dyDescent="0.3">
      <c r="A4219" s="21" t="s">
        <v>959</v>
      </c>
    </row>
    <row r="4220" spans="1:1" hidden="1" x14ac:dyDescent="0.25">
      <c r="A4220" t="s">
        <v>960</v>
      </c>
    </row>
    <row r="4221" spans="1:1" hidden="1" x14ac:dyDescent="0.25">
      <c r="A4221" t="s">
        <v>961</v>
      </c>
    </row>
    <row r="4222" spans="1:1" hidden="1" x14ac:dyDescent="0.25">
      <c r="A4222" t="str">
        <f>CONCATENATE("sql left outer join acrtrees t on t.client = x.client and x.dim_1 = t.cat_1 and t.att_agrid = '",$F$159,"'")</f>
        <v>sql left outer join acrtrees t on t.client = x.client and x.dim_1 = t.cat_1 and t.att_agrid = '53'</v>
      </c>
    </row>
    <row r="4223" spans="1:1" ht="13" hidden="1" x14ac:dyDescent="0.3">
      <c r="A4223" s="21" t="str">
        <f>CONCATENATE("sql where x.client = '",$D$172,"' and x.period between '",LEFT($D$170,4),"00' and '",LEFT($D$171,4),"14' and x.last_update &lt; '",RIGHT(TEXT($D$173,"DD/MM/YYYY"),4),"-",IF(LEN(MONTH($D$173))=1,CONCATENATE("0",MONTH($D$173)),MONTH($D$173)),"-",LEFT(TEXT($D$173,"DD/MM/YYYY"),2)," 00:00:00.000' and x.version not like '%CORP%' and x.version not like '%CAP%' and x.version not like '%FCAS%' and x.version not like '%ORIG%'")</f>
        <v>sql where x.client = 'OX' and x.period between '202500' and '202514' and x.last_update &lt; '2024-08-31 00:00:00.000' and x.version not like '%CORP%' and x.version not like '%CAP%' and x.version not like '%FCAS%' and x.version not like '%ORIG%'</v>
      </c>
    </row>
    <row r="4224" spans="1:1" ht="13" hidden="1" x14ac:dyDescent="0.3">
      <c r="A4224" s="21" t="s">
        <v>978</v>
      </c>
    </row>
    <row r="4225" spans="1:1" hidden="1" x14ac:dyDescent="0.25">
      <c r="A4225" t="s">
        <v>979</v>
      </c>
    </row>
    <row r="4226" spans="1:1" hidden="1" x14ac:dyDescent="0.25">
      <c r="A4226" t="s">
        <v>980</v>
      </c>
    </row>
    <row r="4227" spans="1:1" hidden="1" x14ac:dyDescent="0.25">
      <c r="A4227" t="s">
        <v>966</v>
      </c>
    </row>
    <row r="4228" spans="1:1" hidden="1" x14ac:dyDescent="0.25">
      <c r="A4228" t="s">
        <v>953</v>
      </c>
    </row>
    <row r="4229" spans="1:1" hidden="1" x14ac:dyDescent="0.25">
      <c r="A4229" t="s">
        <v>954</v>
      </c>
    </row>
    <row r="4230" spans="1:1" ht="13" hidden="1" x14ac:dyDescent="0.3">
      <c r="A4230" s="66" t="s">
        <v>981</v>
      </c>
    </row>
    <row r="4231" spans="1:1" hidden="1" x14ac:dyDescent="0.25">
      <c r="A4231" t="s">
        <v>982</v>
      </c>
    </row>
    <row r="4232" spans="1:1" hidden="1" x14ac:dyDescent="0.25">
      <c r="A4232" t="s">
        <v>950</v>
      </c>
    </row>
    <row r="4233" spans="1:1" ht="13" hidden="1" x14ac:dyDescent="0.3">
      <c r="A4233" s="21" t="str">
        <f>CONCATENATE("sql where a.client = '",$D$172,"' and a.period between '",LEFT($D$170,4),"00' and '",LEFT($D$171,4),"14' and a.last_update between '",RIGHT(TEXT($D$173,"DD/MM/YYYY"),4),"-",IF(LEN(MONTH($D$173))=1,CONCATENATE("0",MONTH($D$173)),MONTH($D$173)),"-",LEFT(TEXT($D$173,"DD/MM/YYYY"),2)," 00:00:00.000' and '",RIGHT(TEXT($D$174,"DD/MM/YYYY"),4),"-",IF(LEN(MONTH($D$174))=1,CONCATENATE("0",MONTH($D$174)),MONTH($D$174)),"-",LEFT(TEXT($D$174,"DD/MM/YYYY"),2)," 00:00:00.000'")</f>
        <v>sql where a.client = 'OX' and a.period between '202500' and '202514' and a.last_update between '2024-08-31 00:00:00.000' and '2024-10-14 00:00:00.000'</v>
      </c>
    </row>
    <row r="4234" spans="1:1" ht="13" hidden="1" x14ac:dyDescent="0.3">
      <c r="A4234" s="21" t="s">
        <v>969</v>
      </c>
    </row>
    <row r="4235" spans="1:1" ht="13" hidden="1" x14ac:dyDescent="0.3">
      <c r="A4235" s="21" t="s">
        <v>959</v>
      </c>
    </row>
    <row r="4236" spans="1:1" hidden="1" x14ac:dyDescent="0.25">
      <c r="A4236" t="s">
        <v>960</v>
      </c>
    </row>
    <row r="4237" spans="1:1" hidden="1" x14ac:dyDescent="0.25">
      <c r="A4237" t="s">
        <v>961</v>
      </c>
    </row>
    <row r="4238" spans="1:1" hidden="1" x14ac:dyDescent="0.25">
      <c r="A4238" t="str">
        <f>CONCATENATE("sql left outer join acrtrees t on t.client = x.client and x.dim_1 = t.cat_1 and t.att_agrid = '",$F$159,"'")</f>
        <v>sql left outer join acrtrees t on t.client = x.client and x.dim_1 = t.cat_1 and t.att_agrid = '53'</v>
      </c>
    </row>
    <row r="4239" spans="1:1" ht="13" hidden="1" x14ac:dyDescent="0.3">
      <c r="A4239" s="21" t="str">
        <f>CONCATENATE("sql where x.client = '",$D$172,"' and x.period between '",LEFT($D$170,4),"00' and '",LEFT($D$171,4),"14' and x.last_update between '",RIGHT(TEXT($D$173,"DD/MM/YYYY"),4),"-",IF(LEN(MONTH($D$173))=1,CONCATENATE("0",MONTH($D$173)),MONTH($D$173)),"-",LEFT(TEXT($D$173,"DD/MM/YYYY"),2)," 00:00:00.000' and '",RIGHT(TEXT($D$174,"DD/MM/YYYY"),4),"-",IF(LEN(MONTH($D$174))=1,CONCATENATE("0",MONTH($D$174)),MONTH($D$174)),"-",LEFT(TEXT($D$174,"DD/MM/YYYY"),2)," 00:00:00.000'")</f>
        <v>sql where x.client = 'OX' and x.period between '202500' and '202514' and x.last_update between '2024-08-31 00:00:00.000' and '2024-10-14 00:00:00.000'</v>
      </c>
    </row>
    <row r="4240" spans="1:1" ht="13" hidden="1" x14ac:dyDescent="0.3">
      <c r="A4240" s="21" t="s">
        <v>970</v>
      </c>
    </row>
    <row r="4241" spans="1:3" ht="13" hidden="1" x14ac:dyDescent="0.3">
      <c r="A4241" s="21" t="s">
        <v>978</v>
      </c>
    </row>
    <row r="4242" spans="1:3" hidden="1" x14ac:dyDescent="0.25">
      <c r="A4242" t="s">
        <v>979</v>
      </c>
    </row>
    <row r="4243" spans="1:3" hidden="1" x14ac:dyDescent="0.25">
      <c r="A4243" t="s">
        <v>980</v>
      </c>
    </row>
    <row r="4244" spans="1:3" hidden="1" x14ac:dyDescent="0.25">
      <c r="A4244" t="s">
        <v>966</v>
      </c>
    </row>
    <row r="4245" spans="1:3" hidden="1" x14ac:dyDescent="0.25">
      <c r="A4245" t="s">
        <v>953</v>
      </c>
    </row>
    <row r="4246" spans="1:3" hidden="1" x14ac:dyDescent="0.25">
      <c r="A4246" t="s">
        <v>954</v>
      </c>
    </row>
    <row r="4247" spans="1:3" ht="13" hidden="1" x14ac:dyDescent="0.3">
      <c r="A4247" s="20" t="s">
        <v>983</v>
      </c>
    </row>
    <row r="4248" spans="1:3" hidden="1" x14ac:dyDescent="0.25">
      <c r="A4248" s="7" t="s">
        <v>984</v>
      </c>
    </row>
    <row r="4249" spans="1:3" hidden="1" x14ac:dyDescent="0.25">
      <c r="A4249" t="s">
        <v>950</v>
      </c>
    </row>
    <row r="4250" spans="1:3" hidden="1" x14ac:dyDescent="0.25">
      <c r="A4250" t="s">
        <v>951</v>
      </c>
    </row>
    <row r="4251" spans="1:3" ht="14.5" hidden="1" x14ac:dyDescent="0.35">
      <c r="A4251" s="750" t="str">
        <f>CONCATENATE("sql where a.client = '",$D$172,"' and a.period between '",LEFT($D$170,4),"00' and '",LEFT($D$171,4),"14' and b.last_update &lt; '",RIGHT(TEXT($D$174,"DD/MM/YYYY"),4),"-",IF(LEN(MONTH($D$174))=1,CONCATENATE("0",MONTH($D$174)),MONTH($D$174)),"-",LEFT(TEXT($D$174,"DD/MM/YYYY"),2)," 00:00:00.000' and a.version not like '%CORP%' and a.version not like '%CAP%' and a.version not like '%FCAS%'")</f>
        <v>sql where a.client = 'OX' and a.period between '202500' and '202514' and b.last_update &lt; '2024-10-14 00:00:00.000' and a.version not like '%CORP%' and a.version not like '%CAP%' and a.version not like '%FCAS%'</v>
      </c>
      <c r="C4251" s="2"/>
    </row>
    <row r="4252" spans="1:3" hidden="1" x14ac:dyDescent="0.25">
      <c r="A4252" t="s">
        <v>952</v>
      </c>
    </row>
    <row r="4253" spans="1:3" hidden="1" x14ac:dyDescent="0.25">
      <c r="A4253" t="s">
        <v>953</v>
      </c>
    </row>
    <row r="4254" spans="1:3" hidden="1" x14ac:dyDescent="0.25">
      <c r="A4254" t="s">
        <v>954</v>
      </c>
    </row>
    <row r="4255" spans="1:3" ht="13" hidden="1" x14ac:dyDescent="0.3">
      <c r="A4255" s="20" t="s">
        <v>985</v>
      </c>
    </row>
    <row r="4256" spans="1:3" hidden="1" x14ac:dyDescent="0.25">
      <c r="A4256" s="7" t="s">
        <v>986</v>
      </c>
    </row>
    <row r="4257" spans="1:1" hidden="1" x14ac:dyDescent="0.25">
      <c r="A4257" t="s">
        <v>987</v>
      </c>
    </row>
    <row r="4258" spans="1:1" ht="13" hidden="1" x14ac:dyDescent="0.3">
      <c r="A4258" s="21" t="str">
        <f>CONCATENATE("sql where a.client = '",$D$172,"' and a.period between '",LEFT($D$170,4),"00' and '",IF(RIGHT($D$171,2)="12",CONCATENATE(LEFT($D$171,4),"14"),$D$171),"'")</f>
        <v>sql where a.client = 'OX' and a.period between '202500' and '202506'</v>
      </c>
    </row>
    <row r="4259" spans="1:1" hidden="1" x14ac:dyDescent="0.25">
      <c r="A4259" t="s">
        <v>952</v>
      </c>
    </row>
    <row r="4260" spans="1:1" hidden="1" x14ac:dyDescent="0.25">
      <c r="A4260" t="s">
        <v>953</v>
      </c>
    </row>
    <row r="4261" spans="1:1" hidden="1" x14ac:dyDescent="0.25">
      <c r="A4261" t="s">
        <v>954</v>
      </c>
    </row>
    <row r="4262" spans="1:1" ht="13" hidden="1" x14ac:dyDescent="0.3">
      <c r="A4262" s="20" t="s">
        <v>988</v>
      </c>
    </row>
    <row r="4263" spans="1:1" hidden="1" x14ac:dyDescent="0.25">
      <c r="A4263" s="7" t="s">
        <v>989</v>
      </c>
    </row>
    <row r="4264" spans="1:1" hidden="1" x14ac:dyDescent="0.25">
      <c r="A4264" t="s">
        <v>950</v>
      </c>
    </row>
    <row r="4265" spans="1:1" hidden="1" x14ac:dyDescent="0.25">
      <c r="A4265" t="s">
        <v>951</v>
      </c>
    </row>
    <row r="4266" spans="1:1" ht="13" hidden="1" x14ac:dyDescent="0.3">
      <c r="A4266" s="21" t="str">
        <f>CONCATENATE("sql where a.client = '",$D$172,"' and a.period between '",LEFT($D$170,4),"00' and '",IF(RIGHT($D$171,2)="12",CONCATENATE(LEFT($D$171,4),"14"),$D$171),"' and b.last_update &lt; '",RIGHT(TEXT($D$174,"DD/MM/YYYY"),4),"-",IF(LEN(MONTH($D$174))=1,CONCATENATE("0",MONTH($D$174)),MONTH($D$174)),"-",LEFT(TEXT($D$174,"DD/MM/YYYY"),2)," 00:00:00.000' and a.version not like '%CORP%' and a.version not like '%CAP%' and a.version not like '%FCAS%'")</f>
        <v>sql where a.client = 'OX' and a.period between '202500' and '202506' and b.last_update &lt; '2024-10-14 00:00:00.000' and a.version not like '%CORP%' and a.version not like '%CAP%' and a.version not like '%FCAS%'</v>
      </c>
    </row>
    <row r="4267" spans="1:1" hidden="1" x14ac:dyDescent="0.25">
      <c r="A4267" t="s">
        <v>952</v>
      </c>
    </row>
    <row r="4268" spans="1:1" hidden="1" x14ac:dyDescent="0.25">
      <c r="A4268" t="s">
        <v>953</v>
      </c>
    </row>
    <row r="4269" spans="1:1" hidden="1" x14ac:dyDescent="0.25">
      <c r="A4269" t="s">
        <v>954</v>
      </c>
    </row>
    <row r="4270" spans="1:1" ht="13" hidden="1" x14ac:dyDescent="0.3">
      <c r="A4270" s="20" t="s">
        <v>990</v>
      </c>
    </row>
    <row r="4271" spans="1:1" hidden="1" x14ac:dyDescent="0.25">
      <c r="A4271" s="7" t="s">
        <v>991</v>
      </c>
    </row>
    <row r="4272" spans="1:1" hidden="1" x14ac:dyDescent="0.25">
      <c r="A4272" t="s">
        <v>950</v>
      </c>
    </row>
    <row r="4273" spans="1:1" hidden="1" x14ac:dyDescent="0.25">
      <c r="A4273" t="s">
        <v>951</v>
      </c>
    </row>
    <row r="4274" spans="1:1" ht="13" hidden="1" x14ac:dyDescent="0.3">
      <c r="A4274"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275" spans="1:1" hidden="1" x14ac:dyDescent="0.25">
      <c r="A4275" t="s">
        <v>952</v>
      </c>
    </row>
    <row r="4276" spans="1:1" hidden="1" x14ac:dyDescent="0.25">
      <c r="A4276" t="s">
        <v>953</v>
      </c>
    </row>
    <row r="4277" spans="1:1" hidden="1" x14ac:dyDescent="0.25">
      <c r="A4277" t="s">
        <v>954</v>
      </c>
    </row>
    <row r="4278" spans="1:1" ht="13" hidden="1" x14ac:dyDescent="0.3">
      <c r="A4278" s="20" t="s">
        <v>992</v>
      </c>
    </row>
    <row r="4279" spans="1:1" hidden="1" x14ac:dyDescent="0.25">
      <c r="A4279" s="7" t="s">
        <v>993</v>
      </c>
    </row>
    <row r="4280" spans="1:1" hidden="1" x14ac:dyDescent="0.25">
      <c r="A4280" t="s">
        <v>950</v>
      </c>
    </row>
    <row r="4281" spans="1:1" hidden="1" x14ac:dyDescent="0.25">
      <c r="A4281" t="s">
        <v>951</v>
      </c>
    </row>
    <row r="4282" spans="1:1" ht="13" hidden="1" x14ac:dyDescent="0.3">
      <c r="A4282" s="21" t="str">
        <f>CONCATENATE("sql where a.client = '",$D$172,"' and a.period between '",LEFT($D$170,4),"00' and '",LEFT($D$171,4),"14' and b.last_update &lt; '",RIGHT(TEXT($D$174,"DD/MM/YYYY"),4),"-",IF(LEN(MONTH($D$174))=1,CONCATENATE("0",MONTH($D$174)),MONTH($D$174)),"-",LEFT(TEXT($D$174,"DD/MM/YYYY"),2)," 00:00:00.000' and a.version like '%FCAS%'")</f>
        <v>sql where a.client = 'OX' and a.period between '202500' and '202514' and b.last_update &lt; '2024-10-14 00:00:00.000' and a.version like '%FCAS%'</v>
      </c>
    </row>
    <row r="4283" spans="1:1" hidden="1" x14ac:dyDescent="0.25">
      <c r="A4283" t="s">
        <v>952</v>
      </c>
    </row>
    <row r="4284" spans="1:1" hidden="1" x14ac:dyDescent="0.25">
      <c r="A4284" t="s">
        <v>953</v>
      </c>
    </row>
    <row r="4285" spans="1:1" hidden="1" x14ac:dyDescent="0.25">
      <c r="A4285" t="s">
        <v>994</v>
      </c>
    </row>
    <row r="4286" spans="1:1" hidden="1" x14ac:dyDescent="0.25">
      <c r="A4286" t="str">
        <f>CONCATENATE("sql left outer join acrtrees t on t.client = u.client and u.dim_1 = t.cat_1 and t.att_agrid = '",$F$159,"'")</f>
        <v>sql left outer join acrtrees t on t.client = u.client and u.dim_1 = t.cat_1 and t.att_agrid = '53'</v>
      </c>
    </row>
    <row r="4287" spans="1:1" hidden="1" x14ac:dyDescent="0.25">
      <c r="A4287" t="str">
        <f>CONCATENATE("sql left outer join acrtrees s on s.client = u.client and u.account = s.cat_1 and s.att_agrid = '",$F$160,"'")</f>
        <v>sql left outer join acrtrees s on s.client = u.client and u.account = s.cat_1 and s.att_agrid = '14'</v>
      </c>
    </row>
    <row r="4288" spans="1:1" hidden="1" x14ac:dyDescent="0.25">
      <c r="A4288" t="str">
        <f>CONCATENATE("sql left outer join acrtrees v on v.client = u.client and u.account = v.cat_1 and v.att_agrid = '",$F$161,"'")</f>
        <v>sql left outer join acrtrees v on v.client = u.client and u.account = v.cat_1 and v.att_agrid = '17'</v>
      </c>
    </row>
    <row r="4289" spans="1:33" hidden="1" x14ac:dyDescent="0.25">
      <c r="A4289" t="str">
        <f>CONCATENATE("sql left outer join agldescription d on d.client = u.client and d.dim_value = t.dim_c and d.attribute_id = '",$F$162,"'")</f>
        <v>sql left outer join agldescription d on d.client = u.client and d.dim_value = t.dim_c and d.attribute_id = '82'</v>
      </c>
    </row>
    <row r="4290" spans="1:33" hidden="1" x14ac:dyDescent="0.25">
      <c r="A4290" t="str">
        <f>CONCATENATE("sql left outer join agldescription e on e.client = u.client and e.dim_value = t.dim_b and e.attribute_id = '",$F$163,"'")</f>
        <v>sql left outer join agldescription e on e.client = u.client and e.dim_value = t.dim_b and e.attribute_id = '81'</v>
      </c>
    </row>
    <row r="4291" spans="1:33" hidden="1" x14ac:dyDescent="0.25">
      <c r="A4291" t="str">
        <f>CONCATENATE("sql left outer join agldescription f on f.client = u.client and f.dim_value = t.dim_e and f.attribute_id = '",$F$164,"'")</f>
        <v>sql left outer join agldescription f on f.client = u.client and f.dim_value = t.dim_e and f.attribute_id = '80'</v>
      </c>
    </row>
    <row r="4292" spans="1:33" hidden="1" x14ac:dyDescent="0.25">
      <c r="A4292" t="str">
        <f>CONCATENATE("sql left outer join agldescription g on g.client = u.client and g.dim_value = u.account and g.attribute_id = '",$F$165,"'")</f>
        <v>sql left outer join agldescription g on g.client = u.client and g.dim_value = u.account and g.attribute_id = 'A0'</v>
      </c>
    </row>
    <row r="4293" spans="1:33" ht="14.5" hidden="1" x14ac:dyDescent="0.35">
      <c r="A4293" s="67" t="s">
        <v>1082</v>
      </c>
      <c r="G4293" s="737" t="s">
        <v>1083</v>
      </c>
    </row>
    <row r="4294" spans="1:33" hidden="1" x14ac:dyDescent="0.25">
      <c r="A4294" t="s">
        <v>1005</v>
      </c>
    </row>
    <row r="4295" spans="1:33" hidden="1" x14ac:dyDescent="0.25">
      <c r="A4295" t="s">
        <v>1006</v>
      </c>
    </row>
    <row r="4296" spans="1:33" hidden="1" x14ac:dyDescent="0.25">
      <c r="A4296" t="s">
        <v>1007</v>
      </c>
    </row>
    <row r="4297" spans="1:33" ht="13" hidden="1" x14ac:dyDescent="0.3">
      <c r="A4297" t="s">
        <v>1012</v>
      </c>
      <c r="C4297" s="29"/>
      <c r="D4297" s="36">
        <v>-1000</v>
      </c>
      <c r="E4297" s="36">
        <v>-1000</v>
      </c>
      <c r="F4297" s="22">
        <v>-1000</v>
      </c>
      <c r="G4297" s="22">
        <v>-1000</v>
      </c>
      <c r="H4297" s="22">
        <v>-1000</v>
      </c>
      <c r="I4297" s="22">
        <v>-1000</v>
      </c>
      <c r="J4297" s="22">
        <v>-1000</v>
      </c>
      <c r="K4297" s="22">
        <v>-1000</v>
      </c>
      <c r="L4297" s="22"/>
      <c r="M4297" s="36"/>
      <c r="N4297" s="36"/>
      <c r="O4297" s="36">
        <v>-1000</v>
      </c>
      <c r="P4297" s="36">
        <v>-1000</v>
      </c>
      <c r="Q4297" s="36">
        <v>-1000</v>
      </c>
      <c r="R4297" s="36">
        <v>-1000</v>
      </c>
      <c r="S4297" s="36">
        <v>-1000</v>
      </c>
      <c r="T4297" s="36"/>
      <c r="U4297" s="36"/>
      <c r="V4297" s="58"/>
      <c r="W4297" s="36">
        <v>-1000</v>
      </c>
      <c r="X4297" s="36">
        <v>-1000</v>
      </c>
      <c r="Y4297" s="36"/>
      <c r="Z4297" s="36"/>
      <c r="AA4297" s="40"/>
      <c r="AB4297" s="60"/>
      <c r="AC4297" s="100"/>
      <c r="AD4297" s="33"/>
      <c r="AE4297" s="33"/>
      <c r="AF4297" s="33"/>
      <c r="AG4297" s="101"/>
    </row>
    <row r="4298" spans="1:33" ht="13" hidden="1" x14ac:dyDescent="0.3">
      <c r="A4298" s="7" t="s">
        <v>1013</v>
      </c>
      <c r="C4298" s="29"/>
      <c r="D4298" s="36">
        <v>0</v>
      </c>
      <c r="E4298" s="36">
        <v>0</v>
      </c>
      <c r="F4298" s="22">
        <v>0</v>
      </c>
      <c r="G4298" s="22">
        <v>0</v>
      </c>
      <c r="H4298" s="22">
        <v>0</v>
      </c>
      <c r="I4298" s="22">
        <v>0</v>
      </c>
      <c r="J4298" s="22">
        <v>0</v>
      </c>
      <c r="K4298" s="22">
        <v>0</v>
      </c>
      <c r="L4298" s="22"/>
      <c r="M4298" s="36"/>
      <c r="N4298" s="36"/>
      <c r="O4298" s="36">
        <v>0</v>
      </c>
      <c r="P4298" s="36">
        <v>0</v>
      </c>
      <c r="Q4298" s="36">
        <v>0</v>
      </c>
      <c r="R4298" s="36">
        <v>0</v>
      </c>
      <c r="S4298" s="36">
        <v>0</v>
      </c>
      <c r="T4298" s="36"/>
      <c r="U4298" s="36"/>
      <c r="V4298" s="58"/>
      <c r="W4298" s="36">
        <v>0</v>
      </c>
      <c r="X4298" s="36">
        <v>0</v>
      </c>
      <c r="Y4298" s="36"/>
      <c r="Z4298" s="36"/>
      <c r="AA4298" s="40"/>
      <c r="AB4298" s="60"/>
      <c r="AC4298" s="100"/>
      <c r="AD4298" s="33"/>
      <c r="AE4298" s="33"/>
      <c r="AF4298" s="33"/>
      <c r="AG4298" s="101"/>
    </row>
    <row r="4299" spans="1:33" ht="13" hidden="1" x14ac:dyDescent="0.3">
      <c r="A4299" t="s">
        <v>1014</v>
      </c>
      <c r="C4299" s="30"/>
      <c r="D4299" s="36"/>
      <c r="E4299" s="36"/>
      <c r="F4299" s="57"/>
      <c r="G4299" s="57"/>
      <c r="H4299" s="57"/>
      <c r="I4299" s="57"/>
      <c r="J4299" s="57"/>
      <c r="K4299" s="57"/>
      <c r="L4299" s="57"/>
      <c r="M4299" s="36"/>
      <c r="N4299" s="36"/>
      <c r="O4299" s="36"/>
      <c r="P4299" s="36" t="s">
        <v>1015</v>
      </c>
      <c r="Q4299" s="36" t="s">
        <v>1016</v>
      </c>
      <c r="R4299" s="36"/>
      <c r="S4299" s="36"/>
      <c r="T4299" s="36"/>
      <c r="U4299" s="36"/>
      <c r="V4299" s="58"/>
      <c r="W4299" s="36"/>
      <c r="X4299" s="36"/>
      <c r="Y4299" s="36"/>
      <c r="Z4299" s="36"/>
      <c r="AA4299" s="40"/>
      <c r="AB4299" s="60"/>
      <c r="AC4299" s="100"/>
      <c r="AD4299" s="33"/>
      <c r="AE4299" s="33"/>
      <c r="AF4299" s="33"/>
      <c r="AG4299" s="101"/>
    </row>
    <row r="4300" spans="1:33" ht="13" hidden="1" x14ac:dyDescent="0.3">
      <c r="A4300" t="s">
        <v>1017</v>
      </c>
      <c r="C4300" s="79" t="s">
        <v>1018</v>
      </c>
      <c r="D4300" s="36" t="s">
        <v>1019</v>
      </c>
      <c r="E4300" s="36" t="s">
        <v>1020</v>
      </c>
      <c r="F4300" s="22" t="s">
        <v>1021</v>
      </c>
      <c r="G4300" s="22" t="s">
        <v>1022</v>
      </c>
      <c r="H4300" s="22" t="s">
        <v>1023</v>
      </c>
      <c r="I4300" s="22" t="s">
        <v>1024</v>
      </c>
      <c r="J4300" s="22" t="s">
        <v>1025</v>
      </c>
      <c r="K4300" s="22" t="s">
        <v>1026</v>
      </c>
      <c r="L4300" s="22"/>
      <c r="M4300" s="36"/>
      <c r="N4300" s="36"/>
      <c r="O4300" s="36" t="s">
        <v>1027</v>
      </c>
      <c r="P4300" s="36" t="s">
        <v>1028</v>
      </c>
      <c r="Q4300" s="36" t="s">
        <v>1028</v>
      </c>
      <c r="R4300" s="36" t="s">
        <v>1028</v>
      </c>
      <c r="S4300" s="36" t="s">
        <v>1029</v>
      </c>
      <c r="T4300" s="36"/>
      <c r="U4300" s="36"/>
      <c r="V4300" s="58"/>
      <c r="W4300" s="36" t="s">
        <v>1030</v>
      </c>
      <c r="X4300" s="36" t="s">
        <v>1031</v>
      </c>
      <c r="Y4300" s="36"/>
      <c r="Z4300" s="36"/>
      <c r="AA4300" s="40"/>
      <c r="AB4300" s="60"/>
      <c r="AC4300" s="100"/>
      <c r="AD4300" s="33"/>
      <c r="AE4300" s="33"/>
      <c r="AF4300" s="33"/>
      <c r="AG4300" s="101"/>
    </row>
    <row r="4301" spans="1:33" ht="13" x14ac:dyDescent="0.3">
      <c r="C4301" s="85"/>
      <c r="D4301" s="86"/>
      <c r="E4301" s="86"/>
      <c r="F4301" s="87"/>
      <c r="G4301" s="87"/>
      <c r="H4301" s="87"/>
      <c r="I4301" s="87"/>
      <c r="J4301" s="87"/>
      <c r="K4301" s="87"/>
      <c r="L4301" s="87"/>
      <c r="M4301" s="86"/>
      <c r="N4301" s="86"/>
      <c r="O4301" s="86"/>
      <c r="P4301" s="86"/>
      <c r="Q4301" s="86"/>
      <c r="R4301" s="86"/>
      <c r="S4301" s="86"/>
      <c r="T4301" s="86"/>
      <c r="U4301" s="86"/>
      <c r="V4301" s="88"/>
      <c r="W4301" s="86"/>
      <c r="X4301" s="86"/>
      <c r="Y4301" s="86"/>
      <c r="Z4301" s="86"/>
      <c r="AA4301" s="89"/>
      <c r="AB4301" s="60"/>
      <c r="AC4301" s="100"/>
      <c r="AD4301" s="33"/>
      <c r="AE4301" s="33"/>
      <c r="AF4301" s="33"/>
      <c r="AG4301" s="101"/>
    </row>
    <row r="4302" spans="1:33" ht="13" x14ac:dyDescent="0.3">
      <c r="C4302" s="78" t="s">
        <v>159</v>
      </c>
      <c r="D4302" s="33"/>
      <c r="E4302" s="33"/>
      <c r="F4302" s="23"/>
      <c r="G4302" s="23"/>
      <c r="H4302" s="23"/>
      <c r="I4302" s="23"/>
      <c r="J4302" s="23"/>
      <c r="K4302" s="23"/>
      <c r="L4302" s="23"/>
      <c r="M4302" s="33"/>
      <c r="N4302" s="33"/>
      <c r="O4302" s="33"/>
      <c r="P4302" s="33"/>
      <c r="Q4302" s="33"/>
      <c r="R4302" s="33"/>
      <c r="S4302" s="33"/>
      <c r="T4302" s="33"/>
      <c r="U4302" s="38"/>
      <c r="V4302" s="59"/>
      <c r="W4302" s="33"/>
      <c r="X4302" s="33"/>
      <c r="Y4302" s="33"/>
      <c r="Z4302" s="33"/>
      <c r="AA4302" s="42"/>
      <c r="AB4302" s="60"/>
      <c r="AC4302" s="100"/>
      <c r="AD4302" s="33"/>
      <c r="AE4302" s="33"/>
      <c r="AF4302" s="33"/>
      <c r="AG4302" s="101"/>
    </row>
    <row r="4303" spans="1:33" ht="13" hidden="1" x14ac:dyDescent="0.3">
      <c r="A4303" t="s">
        <v>232</v>
      </c>
      <c r="C4303" s="78"/>
      <c r="D4303" s="33"/>
      <c r="E4303" s="33"/>
      <c r="F4303" s="23"/>
      <c r="G4303" s="23"/>
      <c r="H4303" s="23"/>
      <c r="I4303" s="23"/>
      <c r="J4303" s="23"/>
      <c r="K4303" s="23"/>
      <c r="L4303" s="23"/>
      <c r="M4303" s="33"/>
      <c r="N4303" s="33"/>
      <c r="O4303" s="33"/>
      <c r="P4303" s="33"/>
      <c r="Q4303" s="33"/>
      <c r="R4303" s="33"/>
      <c r="S4303" s="33"/>
      <c r="T4303" s="33"/>
      <c r="U4303" s="38"/>
      <c r="V4303" s="59"/>
      <c r="W4303" s="33"/>
      <c r="X4303" s="33"/>
      <c r="Y4303" s="33"/>
      <c r="Z4303" s="33"/>
      <c r="AA4303" s="42"/>
      <c r="AB4303" s="60"/>
      <c r="AC4303" s="100"/>
      <c r="AD4303" s="33"/>
      <c r="AE4303" s="33"/>
      <c r="AF4303" s="33"/>
      <c r="AG4303" s="101"/>
    </row>
    <row r="4304" spans="1:33" ht="13" x14ac:dyDescent="0.3">
      <c r="A4304" t="s">
        <v>1085</v>
      </c>
      <c r="C4304" s="79" t="s">
        <v>160</v>
      </c>
      <c r="D4304" s="33">
        <v>1416</v>
      </c>
      <c r="E4304" s="33">
        <v>1416</v>
      </c>
      <c r="F4304" s="23">
        <v>0</v>
      </c>
      <c r="G4304" s="23">
        <v>0</v>
      </c>
      <c r="H4304" s="23">
        <v>0</v>
      </c>
      <c r="I4304" s="23">
        <v>0</v>
      </c>
      <c r="J4304" s="23">
        <v>0</v>
      </c>
      <c r="K4304" s="23">
        <v>0</v>
      </c>
      <c r="L4304" s="23">
        <f t="shared" ref="L4304:L4305" si="76">SUM(F4304:K4304)</f>
        <v>0</v>
      </c>
      <c r="M4304" s="33">
        <f t="shared" ref="M4304:M4305" si="77">O4304-E4304</f>
        <v>0</v>
      </c>
      <c r="N4304" s="33">
        <f t="shared" ref="N4304:N4305" si="78">O4304-D4304</f>
        <v>0</v>
      </c>
      <c r="O4304" s="33">
        <v>1416</v>
      </c>
      <c r="P4304" s="33">
        <v>0</v>
      </c>
      <c r="Q4304" s="33">
        <v>511</v>
      </c>
      <c r="R4304" s="33">
        <v>511</v>
      </c>
      <c r="S4304" s="33">
        <v>708</v>
      </c>
      <c r="T4304" s="33">
        <f t="shared" ref="T4304:T4305" si="79">R4304-S4304</f>
        <v>-197</v>
      </c>
      <c r="U4304" s="38">
        <f t="shared" ref="U4304:U4305" si="80">IFERROR((R4304/O4304)*100%,"∞")</f>
        <v>0.36087570621468928</v>
      </c>
      <c r="V4304" s="59">
        <f t="shared" ref="V4304:V4305" si="81">O4304+W4304</f>
        <v>1416</v>
      </c>
      <c r="W4304" s="33">
        <v>0</v>
      </c>
      <c r="X4304" s="33">
        <v>0</v>
      </c>
      <c r="Y4304" s="33"/>
      <c r="Z4304" s="33"/>
      <c r="AA4304" s="42"/>
      <c r="AB4304" s="60"/>
      <c r="AC4304" s="105"/>
      <c r="AD4304" s="93"/>
      <c r="AE4304" s="33">
        <f t="shared" ref="AE4304:AE4305" si="82">SUM(AC4304:AD4304)</f>
        <v>0</v>
      </c>
      <c r="AF4304" s="33">
        <f t="shared" ref="AF4304:AF4305" si="83">R4304+AE4304</f>
        <v>511</v>
      </c>
      <c r="AG4304" s="101">
        <f t="shared" ref="AG4304:AG4305" si="84">AF4304-O4304</f>
        <v>-905</v>
      </c>
    </row>
    <row r="4305" spans="1:33" ht="13" x14ac:dyDescent="0.3">
      <c r="A4305" t="s">
        <v>1085</v>
      </c>
      <c r="C4305" s="79" t="s">
        <v>161</v>
      </c>
      <c r="D4305" s="33">
        <v>16278</v>
      </c>
      <c r="E4305" s="33">
        <v>16278</v>
      </c>
      <c r="F4305" s="23">
        <v>0</v>
      </c>
      <c r="G4305" s="23">
        <v>0</v>
      </c>
      <c r="H4305" s="23">
        <v>0</v>
      </c>
      <c r="I4305" s="23">
        <v>0</v>
      </c>
      <c r="J4305" s="23">
        <v>0</v>
      </c>
      <c r="K4305" s="23">
        <v>0</v>
      </c>
      <c r="L4305" s="23">
        <f t="shared" si="76"/>
        <v>0</v>
      </c>
      <c r="M4305" s="33">
        <f t="shared" si="77"/>
        <v>0</v>
      </c>
      <c r="N4305" s="33">
        <f t="shared" si="78"/>
        <v>0</v>
      </c>
      <c r="O4305" s="33">
        <v>16278</v>
      </c>
      <c r="P4305" s="33">
        <v>0</v>
      </c>
      <c r="Q4305" s="33">
        <v>0</v>
      </c>
      <c r="R4305" s="33">
        <v>0</v>
      </c>
      <c r="S4305" s="33">
        <v>8139</v>
      </c>
      <c r="T4305" s="33">
        <f t="shared" si="79"/>
        <v>-8139</v>
      </c>
      <c r="U4305" s="38">
        <f t="shared" si="80"/>
        <v>0</v>
      </c>
      <c r="V4305" s="59">
        <f t="shared" si="81"/>
        <v>16278</v>
      </c>
      <c r="W4305" s="33">
        <v>0</v>
      </c>
      <c r="X4305" s="33">
        <v>0</v>
      </c>
      <c r="Y4305" s="33"/>
      <c r="Z4305" s="33"/>
      <c r="AA4305" s="42"/>
      <c r="AB4305" s="60"/>
      <c r="AC4305" s="105"/>
      <c r="AD4305" s="93"/>
      <c r="AE4305" s="33">
        <f t="shared" si="82"/>
        <v>0</v>
      </c>
      <c r="AF4305" s="33">
        <f t="shared" si="83"/>
        <v>0</v>
      </c>
      <c r="AG4305" s="101">
        <f t="shared" si="84"/>
        <v>-16278</v>
      </c>
    </row>
    <row r="4306" spans="1:33" ht="13" x14ac:dyDescent="0.3">
      <c r="A4306" t="s">
        <v>1085</v>
      </c>
      <c r="C4306" s="79" t="s">
        <v>162</v>
      </c>
      <c r="D4306" s="33">
        <v>-264</v>
      </c>
      <c r="E4306" s="33">
        <v>-264</v>
      </c>
      <c r="F4306" s="23">
        <v>0</v>
      </c>
      <c r="G4306" s="23">
        <v>0</v>
      </c>
      <c r="H4306" s="23">
        <v>0</v>
      </c>
      <c r="I4306" s="23">
        <v>0</v>
      </c>
      <c r="J4306" s="23">
        <v>0</v>
      </c>
      <c r="K4306" s="23">
        <v>0</v>
      </c>
      <c r="L4306" s="23">
        <f>SUM(F4306:K4306)</f>
        <v>0</v>
      </c>
      <c r="M4306" s="33">
        <f>O4306-E4306</f>
        <v>0</v>
      </c>
      <c r="N4306" s="33">
        <f>O4306-D4306</f>
        <v>0</v>
      </c>
      <c r="O4306" s="33">
        <v>-264</v>
      </c>
      <c r="P4306" s="33">
        <v>-137</v>
      </c>
      <c r="Q4306" s="33">
        <v>0</v>
      </c>
      <c r="R4306" s="33">
        <v>-137</v>
      </c>
      <c r="S4306" s="33">
        <v>-132</v>
      </c>
      <c r="T4306" s="33">
        <f>R4306-S4306</f>
        <v>-5</v>
      </c>
      <c r="U4306" s="38">
        <f>IFERROR((R4306/O4306)*100%,"∞")</f>
        <v>0.51893939393939392</v>
      </c>
      <c r="V4306" s="59">
        <f>O4306+W4306</f>
        <v>-264</v>
      </c>
      <c r="W4306" s="33">
        <v>0</v>
      </c>
      <c r="X4306" s="33">
        <v>0</v>
      </c>
      <c r="Y4306" s="33"/>
      <c r="Z4306" s="33"/>
      <c r="AA4306" s="42"/>
      <c r="AB4306" s="60"/>
      <c r="AC4306" s="105"/>
      <c r="AD4306" s="93"/>
      <c r="AE4306" s="33">
        <f>SUM(AC4306:AD4306)</f>
        <v>0</v>
      </c>
      <c r="AF4306" s="33">
        <f>R4306+AE4306</f>
        <v>-137</v>
      </c>
      <c r="AG4306" s="101">
        <f>AF4306-O4306</f>
        <v>127</v>
      </c>
    </row>
    <row r="4307" spans="1:33" ht="13" x14ac:dyDescent="0.3">
      <c r="A4307" t="s">
        <v>1033</v>
      </c>
      <c r="C4307" s="79" t="s">
        <v>163</v>
      </c>
      <c r="D4307" s="33">
        <v>11175</v>
      </c>
      <c r="E4307" s="33">
        <v>11175</v>
      </c>
      <c r="F4307" s="23">
        <v>0</v>
      </c>
      <c r="G4307" s="23">
        <v>0</v>
      </c>
      <c r="H4307" s="23">
        <v>0</v>
      </c>
      <c r="I4307" s="23">
        <v>0</v>
      </c>
      <c r="J4307" s="23">
        <v>0</v>
      </c>
      <c r="K4307" s="23">
        <v>0</v>
      </c>
      <c r="L4307" s="23">
        <f>SUM(F4307:K4307)</f>
        <v>0</v>
      </c>
      <c r="M4307" s="33">
        <f>O4307-E4307</f>
        <v>0</v>
      </c>
      <c r="N4307" s="33">
        <f>O4307-D4307</f>
        <v>0</v>
      </c>
      <c r="O4307" s="33">
        <v>11175</v>
      </c>
      <c r="P4307" s="33">
        <v>-15989</v>
      </c>
      <c r="Q4307" s="33">
        <v>3355</v>
      </c>
      <c r="R4307" s="33">
        <v>-12634</v>
      </c>
      <c r="S4307" s="33">
        <v>5588</v>
      </c>
      <c r="T4307" s="33">
        <f>R4307-S4307</f>
        <v>-18222</v>
      </c>
      <c r="U4307" s="38">
        <f>IFERROR((R4307/O4307)*100%,"∞")</f>
        <v>-1.130559284116331</v>
      </c>
      <c r="V4307" s="59">
        <f>O4307+W4307</f>
        <v>11175</v>
      </c>
      <c r="W4307" s="33">
        <v>0</v>
      </c>
      <c r="X4307" s="33">
        <v>0</v>
      </c>
      <c r="Y4307" s="33"/>
      <c r="Z4307" s="33"/>
      <c r="AA4307" s="42"/>
      <c r="AB4307" s="60"/>
      <c r="AC4307" s="105"/>
      <c r="AD4307" s="93"/>
      <c r="AE4307" s="33">
        <f>SUM(AC4307:AD4307)</f>
        <v>0</v>
      </c>
      <c r="AF4307" s="33">
        <f>R4307+AE4307</f>
        <v>-12634</v>
      </c>
      <c r="AG4307" s="101">
        <f>AF4307-O4307</f>
        <v>-23809</v>
      </c>
    </row>
    <row r="4308" spans="1:33" hidden="1" x14ac:dyDescent="0.25">
      <c r="A4308" t="s">
        <v>232</v>
      </c>
    </row>
    <row r="4309" spans="1:33" ht="13.5" thickBot="1" x14ac:dyDescent="0.35">
      <c r="C4309" s="80"/>
      <c r="D4309" s="81"/>
      <c r="E4309" s="81"/>
      <c r="F4309" s="82"/>
      <c r="G4309" s="82"/>
      <c r="H4309" s="82"/>
      <c r="I4309" s="82"/>
      <c r="J4309" s="82"/>
      <c r="K4309" s="82"/>
      <c r="L4309" s="82"/>
      <c r="M4309" s="81"/>
      <c r="N4309" s="81"/>
      <c r="O4309" s="81"/>
      <c r="P4309" s="81"/>
      <c r="Q4309" s="81"/>
      <c r="R4309" s="81"/>
      <c r="S4309" s="81"/>
      <c r="T4309" s="81"/>
      <c r="U4309" s="81"/>
      <c r="V4309" s="83"/>
      <c r="W4309" s="81"/>
      <c r="X4309" s="81"/>
      <c r="Y4309" s="81"/>
      <c r="Z4309" s="81"/>
      <c r="AA4309" s="84"/>
      <c r="AB4309" s="60"/>
      <c r="AC4309" s="100"/>
      <c r="AD4309" s="33"/>
      <c r="AE4309" s="33"/>
      <c r="AF4309" s="33"/>
      <c r="AG4309" s="101"/>
    </row>
    <row r="4310" spans="1:33" ht="13.5" thickBot="1" x14ac:dyDescent="0.35">
      <c r="C4310" s="91" t="s">
        <v>164</v>
      </c>
      <c r="D4310" s="76">
        <f t="shared" ref="D4310:K4310" si="85">SUM(D4303:D4308)</f>
        <v>28605</v>
      </c>
      <c r="E4310" s="76">
        <f t="shared" si="85"/>
        <v>28605</v>
      </c>
      <c r="F4310" s="76">
        <f t="shared" si="85"/>
        <v>0</v>
      </c>
      <c r="G4310" s="76">
        <f t="shared" si="85"/>
        <v>0</v>
      </c>
      <c r="H4310" s="76">
        <f t="shared" si="85"/>
        <v>0</v>
      </c>
      <c r="I4310" s="76">
        <f t="shared" si="85"/>
        <v>0</v>
      </c>
      <c r="J4310" s="76">
        <f t="shared" si="85"/>
        <v>0</v>
      </c>
      <c r="K4310" s="76">
        <f t="shared" si="85"/>
        <v>0</v>
      </c>
      <c r="L4310" s="76">
        <f>SUM(F4310:K4310)</f>
        <v>0</v>
      </c>
      <c r="M4310" s="76">
        <f>O4310-E4310</f>
        <v>0</v>
      </c>
      <c r="N4310" s="76">
        <f>O4310-D4310</f>
        <v>0</v>
      </c>
      <c r="O4310" s="76">
        <f>SUM(O4303:O4308)</f>
        <v>28605</v>
      </c>
      <c r="P4310" s="76">
        <f>SUM(P4303:P4308)</f>
        <v>-16126</v>
      </c>
      <c r="Q4310" s="76">
        <f>SUM(Q4303:Q4308)</f>
        <v>3866</v>
      </c>
      <c r="R4310" s="76">
        <f>SUM(R4303:R4308)</f>
        <v>-12260</v>
      </c>
      <c r="S4310" s="76">
        <f>SUM(S4303:S4308)</f>
        <v>14303</v>
      </c>
      <c r="T4310" s="76">
        <f>R4310-S4310</f>
        <v>-26563</v>
      </c>
      <c r="U4310" s="92">
        <f>IFERROR((R4310/O4310)*100%,"∞")</f>
        <v>-0.4285963992309037</v>
      </c>
      <c r="V4310" s="76">
        <f>O4310+W4310</f>
        <v>28605</v>
      </c>
      <c r="W4310" s="76">
        <f>SUM(W4303:W4308)</f>
        <v>0</v>
      </c>
      <c r="X4310" s="76">
        <f>SUM(X4303:X4308)</f>
        <v>0</v>
      </c>
      <c r="Y4310" s="76">
        <f t="shared" ref="Y4310:AA4310" si="86">SUM(Y4303:Y4308)</f>
        <v>0</v>
      </c>
      <c r="Z4310" s="76">
        <f t="shared" si="86"/>
        <v>0</v>
      </c>
      <c r="AA4310" s="76">
        <f t="shared" si="86"/>
        <v>0</v>
      </c>
      <c r="AB4310" s="60"/>
      <c r="AC4310" s="76">
        <f t="shared" ref="AC4310:AG4310" si="87">SUM(AC4303:AC4308)</f>
        <v>0</v>
      </c>
      <c r="AD4310" s="76">
        <f t="shared" si="87"/>
        <v>0</v>
      </c>
      <c r="AE4310" s="76">
        <f t="shared" si="87"/>
        <v>0</v>
      </c>
      <c r="AF4310" s="76">
        <f t="shared" si="87"/>
        <v>-12260</v>
      </c>
      <c r="AG4310" s="76">
        <f t="shared" si="87"/>
        <v>-40865</v>
      </c>
    </row>
    <row r="4311" spans="1:33" ht="14" thickTop="1" thickBot="1" x14ac:dyDescent="0.35">
      <c r="C4311" s="80"/>
      <c r="D4311" s="81"/>
      <c r="E4311" s="81"/>
      <c r="F4311" s="82"/>
      <c r="G4311" s="82"/>
      <c r="H4311" s="82"/>
      <c r="I4311" s="82"/>
      <c r="J4311" s="82"/>
      <c r="K4311" s="82"/>
      <c r="L4311" s="82"/>
      <c r="M4311" s="81"/>
      <c r="N4311" s="81"/>
      <c r="O4311" s="81"/>
      <c r="P4311" s="81"/>
      <c r="Q4311" s="81"/>
      <c r="R4311" s="81"/>
      <c r="S4311" s="81"/>
      <c r="T4311" s="81"/>
      <c r="U4311" s="81"/>
      <c r="V4311" s="83"/>
      <c r="W4311" s="81"/>
      <c r="X4311" s="81"/>
      <c r="Y4311" s="81"/>
      <c r="Z4311" s="81"/>
      <c r="AA4311" s="84"/>
      <c r="AB4311" s="60"/>
      <c r="AC4311" s="100"/>
      <c r="AD4311" s="33"/>
      <c r="AE4311" s="33"/>
      <c r="AF4311" s="33"/>
      <c r="AG4311" s="101"/>
    </row>
    <row r="4312" spans="1:33" ht="13.5" thickBot="1" x14ac:dyDescent="0.35">
      <c r="C4312" s="91" t="s">
        <v>165</v>
      </c>
      <c r="D4312" s="76">
        <f t="shared" ref="D4312:K4312" si="88">D4126-D4310</f>
        <v>-1</v>
      </c>
      <c r="E4312" s="76">
        <f t="shared" si="88"/>
        <v>-1</v>
      </c>
      <c r="F4312" s="76">
        <f t="shared" si="88"/>
        <v>0</v>
      </c>
      <c r="G4312" s="76">
        <f t="shared" si="88"/>
        <v>0</v>
      </c>
      <c r="H4312" s="76">
        <f t="shared" si="88"/>
        <v>-2</v>
      </c>
      <c r="I4312" s="76">
        <f t="shared" si="88"/>
        <v>0</v>
      </c>
      <c r="J4312" s="76">
        <f t="shared" si="88"/>
        <v>0</v>
      </c>
      <c r="K4312" s="76">
        <f t="shared" si="88"/>
        <v>0</v>
      </c>
      <c r="L4312" s="76">
        <f>SUM(F4312:K4312)</f>
        <v>-2</v>
      </c>
      <c r="M4312" s="76">
        <f>O4312-E4312</f>
        <v>-1</v>
      </c>
      <c r="N4312" s="76">
        <f>O4312-D4312</f>
        <v>-1</v>
      </c>
      <c r="O4312" s="76">
        <f>O4126-O4310</f>
        <v>-2</v>
      </c>
      <c r="P4312" s="76">
        <f>P4126-P4310</f>
        <v>83836</v>
      </c>
      <c r="Q4312" s="76">
        <f>Q4126-Q4310</f>
        <v>-27953</v>
      </c>
      <c r="R4312" s="76">
        <f>R4126-R4310</f>
        <v>55881</v>
      </c>
      <c r="S4312" s="76">
        <f>S4126-S4310</f>
        <v>-386</v>
      </c>
      <c r="T4312" s="76">
        <f>R4312-S4312</f>
        <v>56267</v>
      </c>
      <c r="U4312" s="92">
        <f>IFERROR((R4312/O4312)*100%,"∞")</f>
        <v>-27940.5</v>
      </c>
      <c r="V4312" s="76">
        <f>O4312+W4312</f>
        <v>1651</v>
      </c>
      <c r="W4312" s="76">
        <f>W4126-W4310</f>
        <v>1653</v>
      </c>
      <c r="X4312" s="76">
        <f>X4126-X4310</f>
        <v>1653</v>
      </c>
      <c r="Y4312" s="76">
        <f t="shared" ref="Y4312:AA4312" si="89">Y4126-Y4310</f>
        <v>0</v>
      </c>
      <c r="Z4312" s="76">
        <f t="shared" si="89"/>
        <v>0</v>
      </c>
      <c r="AA4312" s="76">
        <f t="shared" si="89"/>
        <v>0</v>
      </c>
      <c r="AB4312" s="60"/>
      <c r="AC4312" s="76">
        <f t="shared" ref="AC4312:AG4312" si="90">AC4126-AC4310</f>
        <v>0</v>
      </c>
      <c r="AD4312" s="76">
        <f t="shared" si="90"/>
        <v>0</v>
      </c>
      <c r="AE4312" s="76">
        <f t="shared" si="90"/>
        <v>0</v>
      </c>
      <c r="AF4312" s="76">
        <f t="shared" si="90"/>
        <v>55881</v>
      </c>
      <c r="AG4312" s="76">
        <f t="shared" si="90"/>
        <v>55883</v>
      </c>
    </row>
    <row r="4313" spans="1:33" ht="13" thickTop="1" x14ac:dyDescent="0.25"/>
  </sheetData>
  <autoFilter ref="A1:A4313" xr:uid="{00000000-0009-0000-0000-000013000000}"/>
  <dataConsolidate/>
  <mergeCells count="2">
    <mergeCell ref="E170:F170"/>
    <mergeCell ref="E171:F171"/>
  </mergeCells>
  <pageMargins left="0.23622047244094491" right="0.23622047244094491" top="0.74803149606299213" bottom="0.74803149606299213" header="0.31496062992125984" footer="0.31496062992125984"/>
  <pageSetup paperSize="8" scale="7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2:Z79"/>
  <sheetViews>
    <sheetView topLeftCell="G31" zoomScale="80" workbookViewId="0"/>
  </sheetViews>
  <sheetFormatPr defaultColWidth="9.453125" defaultRowHeight="12.5" x14ac:dyDescent="0.25"/>
  <cols>
    <col min="1" max="2" width="9.453125" style="126" hidden="1" customWidth="1"/>
    <col min="3" max="3" width="13.54296875" style="126" hidden="1" customWidth="1"/>
    <col min="4" max="5" width="9.453125" style="126" hidden="1" customWidth="1"/>
    <col min="6" max="6" width="27.453125" style="136" customWidth="1"/>
    <col min="7" max="7" width="9.453125" style="126"/>
    <col min="8" max="8" width="20.453125" style="126" bestFit="1" customWidth="1"/>
    <col min="9" max="9" width="19.54296875" style="126" bestFit="1" customWidth="1"/>
    <col min="10" max="10" width="22.54296875" style="126" hidden="1" customWidth="1"/>
    <col min="11" max="11" width="24" style="128" hidden="1" customWidth="1"/>
    <col min="12" max="13" width="13.54296875" style="133" hidden="1" customWidth="1"/>
    <col min="14" max="15" width="13.54296875" style="133" customWidth="1"/>
    <col min="16" max="16" width="15.54296875" style="133" customWidth="1"/>
    <col min="17" max="18" width="13.54296875" style="133" customWidth="1"/>
    <col min="19" max="19" width="50.54296875" style="128" customWidth="1"/>
    <col min="20" max="23" width="9.453125" style="126"/>
    <col min="24" max="24" width="21.54296875" style="126" customWidth="1"/>
    <col min="25" max="25" width="15.54296875" style="126" customWidth="1"/>
    <col min="26" max="16384" width="9.453125" style="126"/>
  </cols>
  <sheetData>
    <row r="2" spans="1:26" ht="13" x14ac:dyDescent="0.3">
      <c r="F2" s="127" t="s">
        <v>467</v>
      </c>
      <c r="K2" s="128" t="s">
        <v>468</v>
      </c>
      <c r="L2" s="126"/>
      <c r="M2" s="127"/>
      <c r="N2" s="127"/>
      <c r="O2" s="127"/>
      <c r="P2" s="127"/>
      <c r="Q2" s="127"/>
      <c r="R2" s="127"/>
      <c r="S2" s="129" t="s">
        <v>469</v>
      </c>
    </row>
    <row r="3" spans="1:26" ht="53.9" customHeight="1" x14ac:dyDescent="0.3">
      <c r="F3" s="130" t="s">
        <v>0</v>
      </c>
      <c r="L3" s="131" t="s">
        <v>470</v>
      </c>
      <c r="M3" s="131" t="s">
        <v>471</v>
      </c>
      <c r="N3" s="131"/>
      <c r="O3" s="132" t="s">
        <v>472</v>
      </c>
      <c r="P3" s="132" t="s">
        <v>473</v>
      </c>
      <c r="Q3" s="132" t="s">
        <v>474</v>
      </c>
      <c r="S3" s="126"/>
    </row>
    <row r="4" spans="1:26" ht="26" x14ac:dyDescent="0.3">
      <c r="F4" s="130" t="s">
        <v>475</v>
      </c>
      <c r="L4" s="844" t="s">
        <v>476</v>
      </c>
      <c r="M4" s="844"/>
      <c r="N4" s="134" t="s">
        <v>477</v>
      </c>
      <c r="O4" s="134" t="s">
        <v>478</v>
      </c>
      <c r="P4" s="135" t="s">
        <v>479</v>
      </c>
      <c r="Q4" s="135" t="s">
        <v>480</v>
      </c>
      <c r="R4" s="135" t="s">
        <v>481</v>
      </c>
    </row>
    <row r="5" spans="1:26" ht="39" x14ac:dyDescent="0.3">
      <c r="A5" s="126" t="s">
        <v>482</v>
      </c>
      <c r="B5" s="126" t="s">
        <v>483</v>
      </c>
      <c r="C5" s="126" t="s">
        <v>484</v>
      </c>
      <c r="D5" s="136" t="s">
        <v>485</v>
      </c>
      <c r="E5" s="136" t="s">
        <v>486</v>
      </c>
      <c r="F5" s="137" t="s">
        <v>487</v>
      </c>
      <c r="G5" s="138" t="s">
        <v>488</v>
      </c>
      <c r="H5" s="138" t="s">
        <v>489</v>
      </c>
      <c r="I5" s="138" t="s">
        <v>490</v>
      </c>
      <c r="J5" s="138" t="s">
        <v>489</v>
      </c>
      <c r="K5" s="139" t="s">
        <v>491</v>
      </c>
      <c r="L5" s="140" t="s">
        <v>492</v>
      </c>
      <c r="M5" s="140" t="s">
        <v>493</v>
      </c>
      <c r="N5" s="140" t="s">
        <v>494</v>
      </c>
      <c r="O5" s="140" t="s">
        <v>495</v>
      </c>
      <c r="P5" s="140" t="s">
        <v>495</v>
      </c>
      <c r="Q5" s="140" t="s">
        <v>495</v>
      </c>
      <c r="R5" s="140" t="s">
        <v>495</v>
      </c>
      <c r="S5" s="139" t="s">
        <v>496</v>
      </c>
    </row>
    <row r="6" spans="1:26" ht="15" customHeight="1" x14ac:dyDescent="0.3">
      <c r="F6" s="137"/>
      <c r="G6" s="141"/>
      <c r="H6" s="141"/>
      <c r="I6" s="141"/>
      <c r="J6" s="141"/>
      <c r="K6" s="139"/>
      <c r="L6" s="134" t="s">
        <v>497</v>
      </c>
      <c r="M6" s="134" t="s">
        <v>497</v>
      </c>
      <c r="N6" s="134" t="s">
        <v>34</v>
      </c>
      <c r="O6" s="134" t="s">
        <v>497</v>
      </c>
      <c r="P6" s="134" t="s">
        <v>497</v>
      </c>
      <c r="Q6" s="134" t="s">
        <v>497</v>
      </c>
      <c r="R6" s="134" t="s">
        <v>497</v>
      </c>
      <c r="S6" s="139"/>
    </row>
    <row r="7" spans="1:26" ht="46.5" customHeight="1" x14ac:dyDescent="0.25">
      <c r="F7" s="142" t="s">
        <v>498</v>
      </c>
      <c r="G7" s="143" t="s">
        <v>499</v>
      </c>
      <c r="H7" s="143" t="s">
        <v>500</v>
      </c>
      <c r="I7" s="144" t="s">
        <v>501</v>
      </c>
      <c r="J7" s="144"/>
      <c r="K7" s="145" t="s">
        <v>502</v>
      </c>
      <c r="L7" s="146">
        <v>400</v>
      </c>
      <c r="M7" s="147">
        <v>755</v>
      </c>
      <c r="N7" s="147">
        <f>+SUM(M7+L7)</f>
        <v>1155</v>
      </c>
      <c r="O7" s="148">
        <v>1000</v>
      </c>
      <c r="P7" s="148">
        <v>750</v>
      </c>
      <c r="Q7" s="148">
        <v>500</v>
      </c>
      <c r="R7" s="148"/>
      <c r="S7" s="149" t="s">
        <v>503</v>
      </c>
    </row>
    <row r="8" spans="1:26" ht="37.5" x14ac:dyDescent="0.25">
      <c r="F8" s="142" t="s">
        <v>504</v>
      </c>
      <c r="G8" s="143" t="s">
        <v>499</v>
      </c>
      <c r="H8" s="143" t="s">
        <v>500</v>
      </c>
      <c r="I8" s="144" t="s">
        <v>501</v>
      </c>
      <c r="J8" s="144"/>
      <c r="K8" s="145" t="s">
        <v>502</v>
      </c>
      <c r="L8" s="146">
        <v>300</v>
      </c>
      <c r="M8" s="147">
        <v>0</v>
      </c>
      <c r="N8" s="147">
        <f>+SUM(M8+L8)</f>
        <v>300</v>
      </c>
      <c r="O8" s="148">
        <v>300</v>
      </c>
      <c r="P8" s="148">
        <v>300</v>
      </c>
      <c r="Q8" s="148">
        <v>300</v>
      </c>
      <c r="R8" s="148">
        <v>300</v>
      </c>
      <c r="S8" s="149" t="s">
        <v>505</v>
      </c>
    </row>
    <row r="9" spans="1:26" ht="25" x14ac:dyDescent="0.25">
      <c r="F9" s="142" t="s">
        <v>506</v>
      </c>
      <c r="G9" s="143" t="s">
        <v>499</v>
      </c>
      <c r="H9" s="143" t="s">
        <v>500</v>
      </c>
      <c r="I9" s="144" t="s">
        <v>501</v>
      </c>
      <c r="J9" s="144"/>
      <c r="K9" s="149" t="s">
        <v>507</v>
      </c>
      <c r="L9" s="146">
        <v>-346</v>
      </c>
      <c r="M9" s="147"/>
      <c r="N9" s="147">
        <f>+SUM(M9+L9)</f>
        <v>-346</v>
      </c>
      <c r="O9" s="148">
        <v>350</v>
      </c>
      <c r="P9" s="148">
        <v>350</v>
      </c>
      <c r="Q9" s="148">
        <v>350</v>
      </c>
      <c r="R9" s="148">
        <v>350</v>
      </c>
      <c r="S9" s="149" t="s">
        <v>508</v>
      </c>
    </row>
    <row r="10" spans="1:26" ht="93" customHeight="1" x14ac:dyDescent="0.25">
      <c r="A10" s="126" t="e">
        <f>651/+SUM(E7:E10)</f>
        <v>#DIV/0!</v>
      </c>
      <c r="C10" s="126" t="e">
        <f>4109/+SUM(D7:D10)</f>
        <v>#DIV/0!</v>
      </c>
      <c r="F10" s="142" t="s">
        <v>509</v>
      </c>
      <c r="G10" s="143" t="s">
        <v>499</v>
      </c>
      <c r="H10" s="143" t="s">
        <v>510</v>
      </c>
      <c r="I10" s="144" t="s">
        <v>501</v>
      </c>
      <c r="J10" s="144"/>
      <c r="K10" s="149" t="s">
        <v>502</v>
      </c>
      <c r="L10" s="147">
        <v>1600</v>
      </c>
      <c r="M10" s="147">
        <v>1400</v>
      </c>
      <c r="N10" s="147">
        <f>+SUM(M10+L10)</f>
        <v>3000</v>
      </c>
      <c r="O10" s="148">
        <v>2000</v>
      </c>
      <c r="P10" s="148">
        <v>1000</v>
      </c>
      <c r="Q10" s="148"/>
      <c r="R10" s="148"/>
      <c r="S10" s="149" t="s">
        <v>511</v>
      </c>
      <c r="T10" s="126" t="s">
        <v>512</v>
      </c>
    </row>
    <row r="11" spans="1:26" ht="25" x14ac:dyDescent="0.25">
      <c r="D11" s="126">
        <v>477</v>
      </c>
      <c r="E11" s="126">
        <f t="shared" ref="E11:E34" si="0">+D11/12</f>
        <v>39.75</v>
      </c>
      <c r="F11" s="142" t="s">
        <v>513</v>
      </c>
      <c r="G11" s="150" t="s">
        <v>499</v>
      </c>
      <c r="H11" s="150" t="s">
        <v>514</v>
      </c>
      <c r="I11" s="144" t="s">
        <v>501</v>
      </c>
      <c r="J11" s="144"/>
      <c r="K11" s="149" t="s">
        <v>515</v>
      </c>
      <c r="L11" s="146">
        <v>105</v>
      </c>
      <c r="M11" s="147">
        <v>105</v>
      </c>
      <c r="N11" s="147">
        <f>+SUM(M11+L11)</f>
        <v>210</v>
      </c>
      <c r="O11" s="151">
        <f>+N11*0.75</f>
        <v>157.5</v>
      </c>
      <c r="P11" s="151">
        <f>O11*50%</f>
        <v>78.75</v>
      </c>
      <c r="Q11" s="151">
        <v>0</v>
      </c>
      <c r="R11" s="151"/>
      <c r="S11" s="149" t="s">
        <v>516</v>
      </c>
      <c r="T11" s="126" t="s">
        <v>517</v>
      </c>
    </row>
    <row r="12" spans="1:26" ht="37.5" x14ac:dyDescent="0.25">
      <c r="D12" s="126">
        <f>166*4</f>
        <v>664</v>
      </c>
      <c r="E12" s="126">
        <f t="shared" si="0"/>
        <v>55.333333333333336</v>
      </c>
      <c r="F12" s="142" t="s">
        <v>518</v>
      </c>
      <c r="G12" s="150" t="s">
        <v>499</v>
      </c>
      <c r="H12" s="150" t="s">
        <v>514</v>
      </c>
      <c r="I12" s="144" t="s">
        <v>501</v>
      </c>
      <c r="J12" s="144"/>
      <c r="K12" s="149" t="s">
        <v>519</v>
      </c>
      <c r="L12" s="146">
        <f>166+150</f>
        <v>316</v>
      </c>
      <c r="M12" s="147">
        <f>(166*3)</f>
        <v>498</v>
      </c>
      <c r="N12" s="147">
        <f>+M12+L12</f>
        <v>814</v>
      </c>
      <c r="O12" s="151">
        <f>(47)*12</f>
        <v>564</v>
      </c>
      <c r="P12" s="151">
        <f>(47)*12</f>
        <v>564</v>
      </c>
      <c r="Q12" s="151">
        <f>(47)*12</f>
        <v>564</v>
      </c>
      <c r="R12" s="151">
        <f>(47)*12</f>
        <v>564</v>
      </c>
      <c r="S12" s="149" t="s">
        <v>520</v>
      </c>
    </row>
    <row r="13" spans="1:26" x14ac:dyDescent="0.25">
      <c r="F13" s="142" t="s">
        <v>518</v>
      </c>
      <c r="G13" s="150"/>
      <c r="H13" s="150" t="s">
        <v>514</v>
      </c>
      <c r="I13" s="144"/>
      <c r="J13" s="144"/>
      <c r="K13" s="149"/>
      <c r="L13" s="146"/>
      <c r="M13" s="147">
        <f>9*32</f>
        <v>288</v>
      </c>
      <c r="N13" s="147">
        <f>+M13+L13</f>
        <v>288</v>
      </c>
      <c r="O13" s="151">
        <f>32*12</f>
        <v>384</v>
      </c>
      <c r="P13" s="151"/>
      <c r="Q13" s="151"/>
      <c r="R13" s="151"/>
      <c r="S13" s="149" t="s">
        <v>521</v>
      </c>
    </row>
    <row r="14" spans="1:26" ht="25" x14ac:dyDescent="0.25">
      <c r="A14" s="126">
        <f>222/+SUM(E11:E14)</f>
        <v>1.2442783745913124</v>
      </c>
      <c r="D14" s="126">
        <v>1000</v>
      </c>
      <c r="E14" s="126">
        <f t="shared" si="0"/>
        <v>83.333333333333329</v>
      </c>
      <c r="F14" s="142" t="s">
        <v>1087</v>
      </c>
      <c r="G14" s="150" t="s">
        <v>499</v>
      </c>
      <c r="H14" s="150" t="s">
        <v>523</v>
      </c>
      <c r="I14" s="144" t="s">
        <v>501</v>
      </c>
      <c r="J14" s="144"/>
      <c r="K14" s="149" t="s">
        <v>519</v>
      </c>
      <c r="L14" s="146">
        <v>245</v>
      </c>
      <c r="M14" s="147">
        <f>250+240</f>
        <v>490</v>
      </c>
      <c r="N14" s="147">
        <f t="shared" ref="N14:N30" si="1">+SUM(M14+L14)</f>
        <v>735</v>
      </c>
      <c r="O14" s="152">
        <v>300</v>
      </c>
      <c r="P14" s="152">
        <f>O14*50%</f>
        <v>150</v>
      </c>
      <c r="Q14" s="152">
        <v>0</v>
      </c>
      <c r="R14" s="152"/>
      <c r="S14" s="149" t="s">
        <v>524</v>
      </c>
      <c r="T14" s="126" t="s">
        <v>517</v>
      </c>
    </row>
    <row r="15" spans="1:26" x14ac:dyDescent="0.25">
      <c r="A15" s="126">
        <f>50/66</f>
        <v>0.75757575757575757</v>
      </c>
      <c r="B15" s="126">
        <f>30/66</f>
        <v>0.45454545454545453</v>
      </c>
      <c r="C15" s="126">
        <f>80/800</f>
        <v>0.1</v>
      </c>
      <c r="E15" s="153"/>
      <c r="F15" s="142" t="s">
        <v>525</v>
      </c>
      <c r="G15" s="150" t="s">
        <v>526</v>
      </c>
      <c r="H15" s="150" t="s">
        <v>527</v>
      </c>
      <c r="I15" s="144" t="s">
        <v>528</v>
      </c>
      <c r="J15" s="144"/>
      <c r="K15" s="149" t="s">
        <v>507</v>
      </c>
      <c r="L15" s="147">
        <v>50</v>
      </c>
      <c r="M15" s="147">
        <v>30</v>
      </c>
      <c r="N15" s="147">
        <f t="shared" si="1"/>
        <v>80</v>
      </c>
      <c r="O15" s="151"/>
      <c r="P15" s="151"/>
      <c r="Q15" s="151">
        <v>0</v>
      </c>
      <c r="R15" s="151"/>
      <c r="S15" s="149" t="s">
        <v>529</v>
      </c>
    </row>
    <row r="16" spans="1:26" ht="37.5" x14ac:dyDescent="0.25">
      <c r="A16" s="126" t="e">
        <f>100/E16</f>
        <v>#DIV/0!</v>
      </c>
      <c r="C16" s="126">
        <f>100/1000</f>
        <v>0.1</v>
      </c>
      <c r="E16" s="153"/>
      <c r="F16" s="142" t="s">
        <v>530</v>
      </c>
      <c r="G16" s="143" t="s">
        <v>526</v>
      </c>
      <c r="H16" s="143" t="s">
        <v>527</v>
      </c>
      <c r="I16" s="144" t="s">
        <v>531</v>
      </c>
      <c r="J16" s="144"/>
      <c r="K16" s="149" t="s">
        <v>507</v>
      </c>
      <c r="L16" s="151">
        <v>55</v>
      </c>
      <c r="M16" s="151">
        <v>400</v>
      </c>
      <c r="N16" s="147">
        <f t="shared" si="1"/>
        <v>455</v>
      </c>
      <c r="O16" s="151">
        <v>79</v>
      </c>
      <c r="P16" s="151">
        <v>79</v>
      </c>
      <c r="Q16" s="151">
        <v>79</v>
      </c>
      <c r="R16" s="151">
        <v>79</v>
      </c>
      <c r="S16" s="149" t="s">
        <v>532</v>
      </c>
      <c r="X16" s="154" t="s">
        <v>533</v>
      </c>
      <c r="Y16" s="155" t="s">
        <v>534</v>
      </c>
      <c r="Z16" s="155" t="s">
        <v>535</v>
      </c>
    </row>
    <row r="17" spans="1:26" x14ac:dyDescent="0.25">
      <c r="D17" s="126">
        <f>+L17*12</f>
        <v>600</v>
      </c>
      <c r="E17" s="126">
        <f t="shared" si="0"/>
        <v>50</v>
      </c>
      <c r="F17" s="142" t="s">
        <v>536</v>
      </c>
      <c r="G17" s="150" t="s">
        <v>526</v>
      </c>
      <c r="H17" s="150" t="s">
        <v>537</v>
      </c>
      <c r="I17" s="144" t="s">
        <v>501</v>
      </c>
      <c r="J17" s="144"/>
      <c r="K17" s="149" t="s">
        <v>538</v>
      </c>
      <c r="L17" s="146">
        <v>50</v>
      </c>
      <c r="M17" s="147"/>
      <c r="N17" s="147">
        <f t="shared" si="1"/>
        <v>50</v>
      </c>
      <c r="O17" s="151"/>
      <c r="P17" s="151">
        <v>0</v>
      </c>
      <c r="Q17" s="151">
        <v>0</v>
      </c>
      <c r="R17" s="151"/>
      <c r="S17" s="149" t="s">
        <v>539</v>
      </c>
      <c r="X17" s="156" t="s">
        <v>540</v>
      </c>
      <c r="Y17" s="157">
        <v>0</v>
      </c>
      <c r="Z17" s="157">
        <v>15000</v>
      </c>
    </row>
    <row r="18" spans="1:26" ht="50" x14ac:dyDescent="0.25">
      <c r="A18" s="126">
        <f>483/675</f>
        <v>0.7155555555555555</v>
      </c>
      <c r="B18" s="126">
        <f>483/675</f>
        <v>0.7155555555555555</v>
      </c>
      <c r="C18" s="126">
        <f>675/8100</f>
        <v>8.3333333333333329E-2</v>
      </c>
      <c r="D18" s="126">
        <v>7500</v>
      </c>
      <c r="E18" s="126">
        <f t="shared" si="0"/>
        <v>625</v>
      </c>
      <c r="F18" s="142" t="s">
        <v>541</v>
      </c>
      <c r="G18" s="143" t="s">
        <v>499</v>
      </c>
      <c r="H18" s="143" t="s">
        <v>537</v>
      </c>
      <c r="I18" s="144" t="s">
        <v>501</v>
      </c>
      <c r="J18" s="144"/>
      <c r="K18" s="149" t="s">
        <v>542</v>
      </c>
      <c r="L18" s="146">
        <v>1400</v>
      </c>
      <c r="M18" s="147">
        <v>1400</v>
      </c>
      <c r="N18" s="147">
        <f t="shared" si="1"/>
        <v>2800</v>
      </c>
      <c r="O18" s="148"/>
      <c r="P18" s="148"/>
      <c r="Q18" s="148"/>
      <c r="R18" s="148"/>
      <c r="S18" s="158" t="s">
        <v>543</v>
      </c>
      <c r="T18" s="126" t="s">
        <v>544</v>
      </c>
      <c r="X18" s="156" t="s">
        <v>545</v>
      </c>
      <c r="Y18" s="157">
        <v>0</v>
      </c>
      <c r="Z18" s="157">
        <f>12 *((12*50) + (5 * 50) )</f>
        <v>10200</v>
      </c>
    </row>
    <row r="19" spans="1:26" ht="25" x14ac:dyDescent="0.25">
      <c r="E19" s="153"/>
      <c r="F19" s="142" t="s">
        <v>546</v>
      </c>
      <c r="G19" s="150" t="s">
        <v>499</v>
      </c>
      <c r="H19" s="150" t="s">
        <v>547</v>
      </c>
      <c r="I19" s="144" t="s">
        <v>531</v>
      </c>
      <c r="J19" s="144"/>
      <c r="K19" s="149" t="s">
        <v>515</v>
      </c>
      <c r="L19" s="147">
        <v>50</v>
      </c>
      <c r="M19" s="147"/>
      <c r="N19" s="147">
        <f t="shared" si="1"/>
        <v>50</v>
      </c>
      <c r="O19" s="151">
        <v>0</v>
      </c>
      <c r="P19" s="151">
        <v>0</v>
      </c>
      <c r="Q19" s="151">
        <v>0</v>
      </c>
      <c r="R19" s="151"/>
      <c r="S19" s="149" t="s">
        <v>548</v>
      </c>
      <c r="X19" s="156" t="s">
        <v>549</v>
      </c>
      <c r="Y19" s="157">
        <v>30000</v>
      </c>
      <c r="Z19" s="157">
        <v>0</v>
      </c>
    </row>
    <row r="20" spans="1:26" ht="25" x14ac:dyDescent="0.25">
      <c r="E20" s="153"/>
      <c r="F20" s="142" t="s">
        <v>550</v>
      </c>
      <c r="G20" s="150" t="s">
        <v>499</v>
      </c>
      <c r="H20" s="150" t="s">
        <v>547</v>
      </c>
      <c r="I20" s="144" t="s">
        <v>531</v>
      </c>
      <c r="J20" s="144"/>
      <c r="K20" s="149" t="s">
        <v>515</v>
      </c>
      <c r="L20" s="147">
        <v>15</v>
      </c>
      <c r="M20" s="147"/>
      <c r="N20" s="147">
        <f t="shared" si="1"/>
        <v>15</v>
      </c>
      <c r="O20" s="151">
        <v>0</v>
      </c>
      <c r="P20" s="151">
        <v>0</v>
      </c>
      <c r="Q20" s="151">
        <v>0</v>
      </c>
      <c r="R20" s="151"/>
      <c r="S20" s="149" t="s">
        <v>551</v>
      </c>
      <c r="X20" s="154" t="s">
        <v>552</v>
      </c>
      <c r="Y20" s="159">
        <v>10000</v>
      </c>
      <c r="Z20" s="159">
        <v>0</v>
      </c>
    </row>
    <row r="21" spans="1:26" ht="25" x14ac:dyDescent="0.25">
      <c r="E21" s="153"/>
      <c r="F21" s="142" t="s">
        <v>553</v>
      </c>
      <c r="G21" s="150" t="s">
        <v>499</v>
      </c>
      <c r="H21" s="150" t="s">
        <v>547</v>
      </c>
      <c r="I21" s="144" t="s">
        <v>531</v>
      </c>
      <c r="J21" s="144"/>
      <c r="K21" s="149" t="s">
        <v>515</v>
      </c>
      <c r="L21" s="147">
        <v>100</v>
      </c>
      <c r="M21" s="147"/>
      <c r="N21" s="147">
        <f t="shared" si="1"/>
        <v>100</v>
      </c>
      <c r="O21" s="151">
        <v>0</v>
      </c>
      <c r="P21" s="151">
        <v>0</v>
      </c>
      <c r="Q21" s="151">
        <v>0</v>
      </c>
      <c r="R21" s="151"/>
      <c r="S21" s="149" t="s">
        <v>554</v>
      </c>
      <c r="X21" s="154" t="s">
        <v>555</v>
      </c>
      <c r="Y21" s="159">
        <v>40000</v>
      </c>
      <c r="Z21" s="159">
        <v>0</v>
      </c>
    </row>
    <row r="22" spans="1:26" ht="25" x14ac:dyDescent="0.25">
      <c r="E22" s="153"/>
      <c r="F22" s="142" t="s">
        <v>556</v>
      </c>
      <c r="G22" s="143" t="s">
        <v>499</v>
      </c>
      <c r="H22" s="143" t="s">
        <v>462</v>
      </c>
      <c r="I22" s="144" t="s">
        <v>528</v>
      </c>
      <c r="J22" s="144"/>
      <c r="K22" s="149" t="s">
        <v>515</v>
      </c>
      <c r="L22" s="147">
        <f>144*3</f>
        <v>432</v>
      </c>
      <c r="M22" s="147">
        <v>100</v>
      </c>
      <c r="N22" s="147">
        <f t="shared" si="1"/>
        <v>532</v>
      </c>
      <c r="O22" s="148">
        <v>50</v>
      </c>
      <c r="P22" s="148">
        <v>50</v>
      </c>
      <c r="Q22" s="148">
        <v>50</v>
      </c>
      <c r="R22" s="148"/>
      <c r="S22" s="149" t="s">
        <v>557</v>
      </c>
      <c r="T22" s="126" t="s">
        <v>558</v>
      </c>
      <c r="X22" s="154" t="s">
        <v>559</v>
      </c>
      <c r="Y22" s="159">
        <v>0</v>
      </c>
      <c r="Z22" s="159">
        <f>200*25</f>
        <v>5000</v>
      </c>
    </row>
    <row r="23" spans="1:26" ht="37.5" x14ac:dyDescent="0.25">
      <c r="D23" s="126">
        <v>100000</v>
      </c>
      <c r="E23" s="126">
        <f t="shared" si="0"/>
        <v>8333.3333333333339</v>
      </c>
      <c r="F23" s="142" t="s">
        <v>561</v>
      </c>
      <c r="G23" s="143" t="s">
        <v>499</v>
      </c>
      <c r="H23" s="143" t="s">
        <v>562</v>
      </c>
      <c r="I23" s="144" t="s">
        <v>501</v>
      </c>
      <c r="J23" s="144"/>
      <c r="K23" s="149" t="s">
        <v>563</v>
      </c>
      <c r="L23" s="147"/>
      <c r="M23" s="147"/>
      <c r="N23" s="147">
        <f t="shared" si="1"/>
        <v>0</v>
      </c>
      <c r="O23" s="148">
        <v>600</v>
      </c>
      <c r="P23" s="148">
        <f>+O23*0.75</f>
        <v>450</v>
      </c>
      <c r="Q23" s="148">
        <f>+O23*0.5</f>
        <v>300</v>
      </c>
      <c r="R23" s="148"/>
      <c r="S23" s="149" t="s">
        <v>564</v>
      </c>
      <c r="T23" s="126" t="s">
        <v>565</v>
      </c>
      <c r="X23" s="154" t="s">
        <v>566</v>
      </c>
      <c r="Y23" s="159">
        <v>200000</v>
      </c>
      <c r="Z23" s="159">
        <v>20000</v>
      </c>
    </row>
    <row r="24" spans="1:26" ht="50" x14ac:dyDescent="0.25">
      <c r="D24" s="126">
        <v>240</v>
      </c>
      <c r="E24" s="126">
        <f t="shared" si="0"/>
        <v>20</v>
      </c>
      <c r="F24" s="142" t="s">
        <v>567</v>
      </c>
      <c r="G24" s="143" t="s">
        <v>499</v>
      </c>
      <c r="H24" s="143" t="s">
        <v>562</v>
      </c>
      <c r="I24" s="144" t="s">
        <v>501</v>
      </c>
      <c r="J24" s="144"/>
      <c r="K24" s="149" t="s">
        <v>538</v>
      </c>
      <c r="L24" s="147"/>
      <c r="M24" s="147">
        <v>150</v>
      </c>
      <c r="N24" s="147">
        <f t="shared" si="1"/>
        <v>150</v>
      </c>
      <c r="O24" s="148"/>
      <c r="P24" s="148"/>
      <c r="Q24" s="148">
        <v>0</v>
      </c>
      <c r="R24" s="148"/>
      <c r="S24" s="149" t="s">
        <v>568</v>
      </c>
      <c r="X24" s="154" t="s">
        <v>569</v>
      </c>
      <c r="Y24" s="159">
        <v>0</v>
      </c>
      <c r="Z24" s="159">
        <f>1.5*500*12</f>
        <v>9000</v>
      </c>
    </row>
    <row r="25" spans="1:26" ht="50" x14ac:dyDescent="0.25">
      <c r="D25" s="126">
        <f>+N25/0.45</f>
        <v>300</v>
      </c>
      <c r="E25" s="126">
        <f t="shared" si="0"/>
        <v>25</v>
      </c>
      <c r="F25" s="142" t="s">
        <v>570</v>
      </c>
      <c r="G25" s="150" t="s">
        <v>499</v>
      </c>
      <c r="H25" s="150" t="s">
        <v>562</v>
      </c>
      <c r="I25" s="144" t="s">
        <v>501</v>
      </c>
      <c r="J25" s="144"/>
      <c r="K25" s="149" t="s">
        <v>571</v>
      </c>
      <c r="L25" s="146">
        <v>115</v>
      </c>
      <c r="M25" s="147">
        <v>20</v>
      </c>
      <c r="N25" s="147">
        <f t="shared" si="1"/>
        <v>135</v>
      </c>
      <c r="O25" s="151">
        <v>20</v>
      </c>
      <c r="P25" s="151">
        <v>10</v>
      </c>
      <c r="Q25" s="151">
        <v>0</v>
      </c>
      <c r="R25" s="151"/>
      <c r="S25" s="149" t="s">
        <v>572</v>
      </c>
      <c r="X25" s="154" t="s">
        <v>573</v>
      </c>
      <c r="Y25" s="159">
        <v>0</v>
      </c>
      <c r="Z25" s="159">
        <f>5000</f>
        <v>5000</v>
      </c>
    </row>
    <row r="26" spans="1:26" ht="50" x14ac:dyDescent="0.25">
      <c r="D26" s="126">
        <v>600</v>
      </c>
      <c r="E26" s="126">
        <f t="shared" si="0"/>
        <v>50</v>
      </c>
      <c r="F26" s="142" t="s">
        <v>574</v>
      </c>
      <c r="G26" s="143" t="s">
        <v>499</v>
      </c>
      <c r="H26" s="143" t="s">
        <v>562</v>
      </c>
      <c r="I26" s="144" t="s">
        <v>501</v>
      </c>
      <c r="J26" s="144"/>
      <c r="K26" s="149" t="s">
        <v>571</v>
      </c>
      <c r="L26" s="146">
        <v>60</v>
      </c>
      <c r="M26" s="147"/>
      <c r="N26" s="147">
        <f t="shared" si="1"/>
        <v>60</v>
      </c>
      <c r="O26" s="148"/>
      <c r="P26" s="160"/>
      <c r="Q26" s="148">
        <v>0</v>
      </c>
      <c r="R26" s="148"/>
      <c r="S26" s="161" t="s">
        <v>575</v>
      </c>
      <c r="X26" s="154" t="s">
        <v>576</v>
      </c>
      <c r="Y26" s="159">
        <v>0</v>
      </c>
      <c r="Z26" s="159">
        <f>10000</f>
        <v>10000</v>
      </c>
    </row>
    <row r="27" spans="1:26" ht="50" x14ac:dyDescent="0.25">
      <c r="D27" s="126">
        <v>700</v>
      </c>
      <c r="E27" s="126">
        <f t="shared" si="0"/>
        <v>58.333333333333336</v>
      </c>
      <c r="F27" s="142" t="s">
        <v>577</v>
      </c>
      <c r="G27" s="143" t="s">
        <v>499</v>
      </c>
      <c r="H27" s="143" t="s">
        <v>562</v>
      </c>
      <c r="I27" s="144" t="s">
        <v>501</v>
      </c>
      <c r="J27" s="144"/>
      <c r="K27" s="149" t="s">
        <v>571</v>
      </c>
      <c r="L27" s="146">
        <v>60</v>
      </c>
      <c r="M27" s="147"/>
      <c r="N27" s="147">
        <f t="shared" si="1"/>
        <v>60</v>
      </c>
      <c r="O27" s="148"/>
      <c r="P27" s="148"/>
      <c r="Q27" s="148">
        <v>0</v>
      </c>
      <c r="R27" s="148"/>
      <c r="S27" s="162" t="s">
        <v>578</v>
      </c>
      <c r="X27" s="154" t="s">
        <v>579</v>
      </c>
      <c r="Y27" s="159">
        <f>75000</f>
        <v>75000</v>
      </c>
      <c r="Z27" s="159">
        <v>5000</v>
      </c>
    </row>
    <row r="28" spans="1:26" ht="56.9" customHeight="1" x14ac:dyDescent="0.25">
      <c r="D28" s="126">
        <v>100000</v>
      </c>
      <c r="E28" s="126">
        <f t="shared" si="0"/>
        <v>8333.3333333333339</v>
      </c>
      <c r="F28" s="142" t="s">
        <v>580</v>
      </c>
      <c r="G28" s="143" t="s">
        <v>499</v>
      </c>
      <c r="H28" s="143" t="s">
        <v>562</v>
      </c>
      <c r="I28" s="144" t="s">
        <v>501</v>
      </c>
      <c r="J28" s="144"/>
      <c r="K28" s="149" t="s">
        <v>581</v>
      </c>
      <c r="L28" s="147"/>
      <c r="M28" s="147"/>
      <c r="N28" s="147">
        <f t="shared" si="1"/>
        <v>0</v>
      </c>
      <c r="O28" s="148">
        <v>500</v>
      </c>
      <c r="P28" s="148">
        <f>+O28*0.75</f>
        <v>375</v>
      </c>
      <c r="Q28" s="148">
        <f>+O28*0.5</f>
        <v>250</v>
      </c>
      <c r="R28" s="148"/>
      <c r="S28" s="149" t="s">
        <v>582</v>
      </c>
      <c r="X28" s="154" t="s">
        <v>583</v>
      </c>
      <c r="Y28" s="159">
        <f>250*150</f>
        <v>37500</v>
      </c>
      <c r="Z28" s="159">
        <v>0</v>
      </c>
    </row>
    <row r="29" spans="1:26" ht="13" x14ac:dyDescent="0.3">
      <c r="A29" s="126">
        <f>145/+SUM(E23:E29)</f>
        <v>8.5361067503924633E-3</v>
      </c>
      <c r="C29" s="126">
        <f>755/+SUM(D23:D29)</f>
        <v>3.7038854003139717E-3</v>
      </c>
      <c r="D29" s="126">
        <v>2000</v>
      </c>
      <c r="E29" s="126">
        <f t="shared" si="0"/>
        <v>166.66666666666666</v>
      </c>
      <c r="F29" s="142" t="s">
        <v>584</v>
      </c>
      <c r="G29" s="143" t="s">
        <v>499</v>
      </c>
      <c r="H29" s="143" t="s">
        <v>562</v>
      </c>
      <c r="I29" s="144" t="s">
        <v>501</v>
      </c>
      <c r="J29" s="144"/>
      <c r="K29" s="149" t="s">
        <v>507</v>
      </c>
      <c r="L29" s="146">
        <v>200</v>
      </c>
      <c r="M29" s="147">
        <v>150</v>
      </c>
      <c r="N29" s="147">
        <f t="shared" si="1"/>
        <v>350</v>
      </c>
      <c r="O29" s="148">
        <v>300</v>
      </c>
      <c r="P29" s="148">
        <v>300</v>
      </c>
      <c r="Q29" s="148">
        <v>150</v>
      </c>
      <c r="R29" s="148"/>
      <c r="S29" s="149" t="s">
        <v>585</v>
      </c>
      <c r="T29" s="126" t="s">
        <v>586</v>
      </c>
      <c r="X29" s="163" t="s">
        <v>587</v>
      </c>
      <c r="Y29" s="164">
        <f>SUM(Y17:Y28)</f>
        <v>392500</v>
      </c>
      <c r="Z29" s="164">
        <f>SUM(Z17:Z28)</f>
        <v>79200</v>
      </c>
    </row>
    <row r="30" spans="1:26" ht="50" x14ac:dyDescent="0.25">
      <c r="D30" s="126">
        <f>+N30/0.2</f>
        <v>500</v>
      </c>
      <c r="E30" s="126">
        <f t="shared" si="0"/>
        <v>41.666666666666664</v>
      </c>
      <c r="F30" s="142" t="s">
        <v>588</v>
      </c>
      <c r="G30" s="150" t="s">
        <v>499</v>
      </c>
      <c r="H30" s="150" t="s">
        <v>589</v>
      </c>
      <c r="I30" s="144" t="s">
        <v>501</v>
      </c>
      <c r="J30" s="144"/>
      <c r="K30" s="149" t="s">
        <v>571</v>
      </c>
      <c r="L30" s="146">
        <v>50</v>
      </c>
      <c r="M30" s="151">
        <v>50</v>
      </c>
      <c r="N30" s="151">
        <f t="shared" si="1"/>
        <v>100</v>
      </c>
      <c r="O30" s="151">
        <v>50</v>
      </c>
      <c r="P30" s="151">
        <v>25</v>
      </c>
      <c r="Q30" s="151">
        <v>0</v>
      </c>
      <c r="R30" s="151"/>
      <c r="S30" s="149" t="s">
        <v>590</v>
      </c>
    </row>
    <row r="31" spans="1:26" ht="37.5" x14ac:dyDescent="0.25">
      <c r="E31" s="126">
        <f t="shared" si="0"/>
        <v>0</v>
      </c>
      <c r="F31" s="142" t="s">
        <v>591</v>
      </c>
      <c r="G31" s="143"/>
      <c r="H31" s="143" t="s">
        <v>589</v>
      </c>
      <c r="I31" s="144"/>
      <c r="J31" s="144"/>
      <c r="K31" s="149"/>
      <c r="L31" s="147"/>
      <c r="M31" s="148"/>
      <c r="N31" s="148"/>
      <c r="O31" s="148">
        <v>369</v>
      </c>
      <c r="P31" s="148"/>
      <c r="Q31" s="148"/>
      <c r="R31" s="148"/>
      <c r="S31" s="149" t="s">
        <v>592</v>
      </c>
    </row>
    <row r="32" spans="1:26" ht="50" x14ac:dyDescent="0.25">
      <c r="A32" s="126">
        <f>85/D32</f>
        <v>0.28333333333333333</v>
      </c>
      <c r="D32" s="126">
        <v>300</v>
      </c>
      <c r="E32" s="126">
        <f t="shared" si="0"/>
        <v>25</v>
      </c>
      <c r="F32" s="142" t="s">
        <v>593</v>
      </c>
      <c r="G32" s="143" t="s">
        <v>526</v>
      </c>
      <c r="H32" s="143" t="s">
        <v>594</v>
      </c>
      <c r="I32" s="144" t="s">
        <v>501</v>
      </c>
      <c r="J32" s="144"/>
      <c r="K32" s="149" t="s">
        <v>571</v>
      </c>
      <c r="L32" s="146">
        <v>85</v>
      </c>
      <c r="M32" s="148"/>
      <c r="N32" s="148">
        <v>85</v>
      </c>
      <c r="O32" s="148">
        <v>60</v>
      </c>
      <c r="P32" s="148"/>
      <c r="Q32" s="148">
        <v>0</v>
      </c>
      <c r="R32" s="148"/>
      <c r="S32" s="162" t="s">
        <v>595</v>
      </c>
    </row>
    <row r="33" spans="4:19" x14ac:dyDescent="0.25">
      <c r="E33" s="126">
        <f t="shared" si="0"/>
        <v>0</v>
      </c>
      <c r="F33" s="142"/>
      <c r="G33" s="143"/>
      <c r="H33" s="143"/>
      <c r="I33" s="144"/>
      <c r="J33" s="144"/>
      <c r="K33" s="149"/>
      <c r="L33" s="148"/>
      <c r="M33" s="148"/>
      <c r="N33" s="148"/>
      <c r="O33" s="148"/>
      <c r="P33" s="148"/>
      <c r="Q33" s="148"/>
      <c r="R33" s="148"/>
      <c r="S33" s="149"/>
    </row>
    <row r="34" spans="4:19" ht="13" x14ac:dyDescent="0.3">
      <c r="E34" s="126">
        <f t="shared" si="0"/>
        <v>0</v>
      </c>
      <c r="F34" s="137" t="s">
        <v>457</v>
      </c>
      <c r="G34" s="165"/>
      <c r="H34" s="165"/>
      <c r="I34" s="165"/>
      <c r="J34" s="165"/>
      <c r="K34" s="139"/>
      <c r="L34" s="166">
        <f t="shared" ref="L34:R34" si="2">SUM(L7:L33)</f>
        <v>5342</v>
      </c>
      <c r="M34" s="166">
        <f t="shared" si="2"/>
        <v>5836</v>
      </c>
      <c r="N34" s="166">
        <f t="shared" si="2"/>
        <v>11178</v>
      </c>
      <c r="O34" s="166">
        <f t="shared" si="2"/>
        <v>7083.5</v>
      </c>
      <c r="P34" s="166">
        <f t="shared" si="2"/>
        <v>4481.75</v>
      </c>
      <c r="Q34" s="166">
        <f t="shared" si="2"/>
        <v>2543</v>
      </c>
      <c r="R34" s="166">
        <f t="shared" si="2"/>
        <v>1293</v>
      </c>
      <c r="S34" s="139"/>
    </row>
    <row r="36" spans="4:19" x14ac:dyDescent="0.25">
      <c r="D36" s="126">
        <f>+SUM(D7:D34)</f>
        <v>214881</v>
      </c>
      <c r="E36" s="126">
        <f>+SUM(E7:E34)</f>
        <v>17906.750000000004</v>
      </c>
      <c r="F36" s="136" t="s">
        <v>596</v>
      </c>
      <c r="L36" s="133">
        <f>+L15+L16+L19+L20+L21+L22+L13</f>
        <v>702</v>
      </c>
      <c r="M36" s="133">
        <f t="shared" ref="M36:R36" si="3">+M15+M16+M19+M20+M21+M22+M13</f>
        <v>818</v>
      </c>
      <c r="N36" s="133">
        <f t="shared" si="3"/>
        <v>1520</v>
      </c>
      <c r="O36" s="133">
        <f t="shared" si="3"/>
        <v>513</v>
      </c>
      <c r="P36" s="133">
        <f t="shared" si="3"/>
        <v>129</v>
      </c>
      <c r="Q36" s="133">
        <f t="shared" si="3"/>
        <v>129</v>
      </c>
      <c r="R36" s="133">
        <f t="shared" si="3"/>
        <v>79</v>
      </c>
    </row>
    <row r="37" spans="4:19" x14ac:dyDescent="0.25">
      <c r="F37" s="136" t="s">
        <v>597</v>
      </c>
      <c r="L37" s="133">
        <f>+L7+L8+L9+L10+L11+L12+L14+L17+L18+L23+L24+L25+L26+L27+L28+L29+L30+L31+L32</f>
        <v>4640</v>
      </c>
      <c r="M37" s="133">
        <f t="shared" ref="M37:R37" si="4">+M7+M8+M9+M10+M11+M12+M14+M17+M18+M23+M24+M25+M26+M27+M28+M29+M30+M31+M32</f>
        <v>5018</v>
      </c>
      <c r="N37" s="133">
        <f t="shared" si="4"/>
        <v>9658</v>
      </c>
      <c r="O37" s="133">
        <f t="shared" si="4"/>
        <v>6570.5</v>
      </c>
      <c r="P37" s="133">
        <f t="shared" si="4"/>
        <v>4352.75</v>
      </c>
      <c r="Q37" s="133">
        <f t="shared" si="4"/>
        <v>2414</v>
      </c>
      <c r="R37" s="133">
        <f t="shared" si="4"/>
        <v>1214</v>
      </c>
    </row>
    <row r="38" spans="4:19" x14ac:dyDescent="0.25">
      <c r="D38" s="126">
        <f>5837/D36</f>
        <v>2.7163872096648844E-2</v>
      </c>
      <c r="E38" s="126">
        <f>911/E36</f>
        <v>5.0874670166278071E-2</v>
      </c>
      <c r="F38" s="136" t="s">
        <v>457</v>
      </c>
      <c r="L38" s="167">
        <f>+L37+L36</f>
        <v>5342</v>
      </c>
      <c r="M38" s="167">
        <f t="shared" ref="M38:R38" si="5">+M37+M36</f>
        <v>5836</v>
      </c>
      <c r="N38" s="167">
        <f t="shared" si="5"/>
        <v>11178</v>
      </c>
      <c r="O38" s="167">
        <f t="shared" si="5"/>
        <v>7083.5</v>
      </c>
      <c r="P38" s="167">
        <f t="shared" si="5"/>
        <v>4481.75</v>
      </c>
      <c r="Q38" s="167">
        <f t="shared" si="5"/>
        <v>2543</v>
      </c>
      <c r="R38" s="167">
        <f t="shared" si="5"/>
        <v>1293</v>
      </c>
      <c r="S38" s="168">
        <f>+SUM(N38:R38)</f>
        <v>26579.25</v>
      </c>
    </row>
    <row r="39" spans="4:19" ht="13" thickBot="1" x14ac:dyDescent="0.3">
      <c r="L39" s="169"/>
      <c r="M39" s="169"/>
      <c r="N39" s="169"/>
      <c r="O39" s="169"/>
      <c r="P39" s="169"/>
      <c r="Q39" s="169"/>
      <c r="R39" s="169"/>
    </row>
    <row r="40" spans="4:19" ht="13.5" thickTop="1" x14ac:dyDescent="0.3">
      <c r="D40" s="126">
        <f>9946/D36</f>
        <v>4.6286083925521568E-2</v>
      </c>
      <c r="E40" s="126">
        <f>1562/E36</f>
        <v>8.7229675960182593E-2</v>
      </c>
      <c r="F40" s="130" t="s">
        <v>598</v>
      </c>
    </row>
    <row r="42" spans="4:19" ht="25" x14ac:dyDescent="0.25">
      <c r="F42" s="136" t="s">
        <v>599</v>
      </c>
      <c r="L42" s="170"/>
      <c r="M42" s="170">
        <v>0</v>
      </c>
      <c r="N42" s="170">
        <f>+M42+L42</f>
        <v>0</v>
      </c>
      <c r="O42" s="170">
        <f>180997.666808201/1000</f>
        <v>180.99766680820099</v>
      </c>
      <c r="P42" s="170">
        <f>186445.515581464/1000</f>
        <v>186.44551558146398</v>
      </c>
      <c r="Q42" s="170">
        <f>192057.339154949/1000</f>
        <v>192.05733915494901</v>
      </c>
      <c r="R42" s="170">
        <f>197838.07300617/1000</f>
        <v>197.83807300616999</v>
      </c>
      <c r="S42" s="128" t="s">
        <v>600</v>
      </c>
    </row>
    <row r="45" spans="4:19" ht="13" x14ac:dyDescent="0.3">
      <c r="F45" s="130" t="s">
        <v>601</v>
      </c>
    </row>
    <row r="46" spans="4:19" x14ac:dyDescent="0.25">
      <c r="F46" s="136" t="s">
        <v>604</v>
      </c>
    </row>
    <row r="47" spans="4:19" ht="13" x14ac:dyDescent="0.25">
      <c r="F47" s="136" t="s">
        <v>605</v>
      </c>
      <c r="M47" s="124">
        <v>-32</v>
      </c>
      <c r="N47" s="124">
        <f>+M47+L47</f>
        <v>-32</v>
      </c>
      <c r="O47" s="124"/>
      <c r="P47" s="124"/>
      <c r="Q47" s="124"/>
      <c r="R47" s="124"/>
    </row>
    <row r="48" spans="4:19" x14ac:dyDescent="0.25">
      <c r="F48" s="136" t="s">
        <v>606</v>
      </c>
    </row>
    <row r="49" spans="6:19" ht="13" x14ac:dyDescent="0.25">
      <c r="F49" s="136" t="s">
        <v>607</v>
      </c>
      <c r="M49" s="124">
        <v>-110</v>
      </c>
      <c r="N49" s="124">
        <f>+M49+L49</f>
        <v>-110</v>
      </c>
      <c r="O49" s="124"/>
      <c r="P49" s="124"/>
      <c r="Q49" s="124"/>
      <c r="R49" s="124"/>
    </row>
    <row r="50" spans="6:19" ht="13" x14ac:dyDescent="0.25">
      <c r="F50" s="136" t="s">
        <v>608</v>
      </c>
      <c r="M50" s="124">
        <f>1511543/1000*-1</f>
        <v>-1511.5429999999999</v>
      </c>
      <c r="N50" s="124">
        <f>+M50+L50</f>
        <v>-1511.5429999999999</v>
      </c>
    </row>
    <row r="51" spans="6:19" ht="13" x14ac:dyDescent="0.25">
      <c r="F51" s="136" t="s">
        <v>611</v>
      </c>
      <c r="M51" s="124">
        <v>-300</v>
      </c>
      <c r="N51" s="124">
        <f>+M51</f>
        <v>-300</v>
      </c>
    </row>
    <row r="52" spans="6:19" ht="13" x14ac:dyDescent="0.25">
      <c r="F52" s="136" t="s">
        <v>613</v>
      </c>
      <c r="M52" s="124"/>
      <c r="N52" s="124">
        <f>+M52</f>
        <v>0</v>
      </c>
    </row>
    <row r="53" spans="6:19" ht="13.5" thickBot="1" x14ac:dyDescent="0.35">
      <c r="F53" s="171"/>
      <c r="G53" s="172"/>
      <c r="H53" s="172"/>
      <c r="I53" s="172"/>
      <c r="J53" s="172"/>
      <c r="K53" s="173"/>
      <c r="L53" s="174"/>
      <c r="M53" s="125">
        <f>SUM(M46:M52)</f>
        <v>-1953.5429999999999</v>
      </c>
      <c r="N53" s="125">
        <f>+M53+L53</f>
        <v>-1953.5429999999999</v>
      </c>
      <c r="O53" s="125">
        <f t="shared" ref="O53:Q53" si="6">SUM(O46:O52)</f>
        <v>0</v>
      </c>
      <c r="P53" s="125">
        <f t="shared" si="6"/>
        <v>0</v>
      </c>
      <c r="Q53" s="125">
        <f t="shared" si="6"/>
        <v>0</v>
      </c>
      <c r="R53" s="125"/>
      <c r="S53" s="173"/>
    </row>
    <row r="54" spans="6:19" ht="13" thickTop="1" x14ac:dyDescent="0.25"/>
    <row r="55" spans="6:19" x14ac:dyDescent="0.25">
      <c r="G55" s="126" t="s">
        <v>616</v>
      </c>
      <c r="K55" s="175"/>
      <c r="L55" s="176">
        <f>+L53+L38+L42</f>
        <v>5342</v>
      </c>
      <c r="M55" s="176">
        <f>+M53+M38+M42</f>
        <v>3882.4570000000003</v>
      </c>
      <c r="N55" s="176">
        <f t="shared" ref="N55:R55" si="7">+N53+N38+N42</f>
        <v>9224.4570000000003</v>
      </c>
      <c r="O55" s="176">
        <f t="shared" si="7"/>
        <v>7264.4976668082008</v>
      </c>
      <c r="P55" s="176">
        <f t="shared" si="7"/>
        <v>4668.195515581464</v>
      </c>
      <c r="Q55" s="176">
        <f t="shared" si="7"/>
        <v>2735.0573391549492</v>
      </c>
      <c r="R55" s="176">
        <f t="shared" si="7"/>
        <v>1490.8380730061699</v>
      </c>
    </row>
    <row r="57" spans="6:19" x14ac:dyDescent="0.25">
      <c r="L57" s="177">
        <f>911/+SUM(L37/3)</f>
        <v>0.58900862068965509</v>
      </c>
      <c r="M57" s="177"/>
      <c r="N57" s="177">
        <f>5837/N37</f>
        <v>0.60436943466556226</v>
      </c>
    </row>
    <row r="59" spans="6:19" x14ac:dyDescent="0.25">
      <c r="H59" s="126" t="s">
        <v>617</v>
      </c>
      <c r="L59" s="133">
        <v>1954</v>
      </c>
      <c r="M59" s="133">
        <v>2155</v>
      </c>
      <c r="N59" s="133">
        <v>4109</v>
      </c>
    </row>
    <row r="60" spans="6:19" x14ac:dyDescent="0.25">
      <c r="H60" s="126" t="s">
        <v>618</v>
      </c>
      <c r="L60" s="133">
        <f>+L37-L59</f>
        <v>2686</v>
      </c>
      <c r="M60" s="133">
        <f t="shared" ref="M60:N60" si="8">+M37-M59</f>
        <v>2863</v>
      </c>
      <c r="N60" s="133">
        <f t="shared" si="8"/>
        <v>5549</v>
      </c>
    </row>
    <row r="62" spans="6:19" x14ac:dyDescent="0.25">
      <c r="H62" s="126" t="s">
        <v>619</v>
      </c>
      <c r="L62" s="133">
        <f>+L60/3</f>
        <v>895.33333333333337</v>
      </c>
    </row>
    <row r="64" spans="6:19" x14ac:dyDescent="0.25">
      <c r="H64" s="126" t="s">
        <v>620</v>
      </c>
      <c r="L64" s="133">
        <f>+L32+L30+L29+L27+L26+L25+L18+L17+L14+L12+L11+L9+L8+L7</f>
        <v>3040</v>
      </c>
    </row>
    <row r="65" spans="3:19" s="133" customFormat="1" x14ac:dyDescent="0.25">
      <c r="C65" s="126"/>
      <c r="D65" s="126"/>
      <c r="E65" s="126"/>
      <c r="F65" s="136"/>
      <c r="G65" s="126"/>
      <c r="H65" s="126"/>
      <c r="I65" s="126"/>
      <c r="J65" s="126"/>
      <c r="K65" s="128"/>
      <c r="L65" s="133">
        <f>+L64/3</f>
        <v>1013.3333333333334</v>
      </c>
      <c r="S65" s="128"/>
    </row>
    <row r="67" spans="3:19" s="133" customFormat="1" x14ac:dyDescent="0.25">
      <c r="C67" s="126"/>
      <c r="D67" s="126"/>
      <c r="E67" s="126"/>
      <c r="F67" s="136"/>
      <c r="G67" s="126"/>
      <c r="H67" s="126" t="s">
        <v>621</v>
      </c>
      <c r="I67" s="126"/>
      <c r="J67" s="126"/>
      <c r="K67" s="128"/>
      <c r="L67" s="178">
        <v>0.64852752880921893</v>
      </c>
      <c r="N67" s="133">
        <v>0.101849989945707</v>
      </c>
      <c r="S67" s="128"/>
    </row>
    <row r="69" spans="3:19" s="133" customFormat="1" x14ac:dyDescent="0.25">
      <c r="C69" s="126"/>
      <c r="D69" s="126"/>
      <c r="E69" s="126"/>
      <c r="F69" s="136"/>
      <c r="G69" s="179"/>
      <c r="H69" s="126"/>
      <c r="I69" s="126"/>
      <c r="J69" s="126"/>
      <c r="K69" s="128"/>
      <c r="S69" s="128"/>
    </row>
    <row r="70" spans="3:19" s="133" customFormat="1" x14ac:dyDescent="0.25">
      <c r="C70" s="126" t="s">
        <v>622</v>
      </c>
      <c r="D70" s="126"/>
      <c r="E70" s="126"/>
      <c r="F70" s="180">
        <f>+SUM(N19:N21)</f>
        <v>165</v>
      </c>
      <c r="G70" s="181">
        <f>+F70/$F$79*100</f>
        <v>1.5245310911946781</v>
      </c>
      <c r="H70" s="126"/>
      <c r="I70" s="126"/>
      <c r="J70" s="126"/>
      <c r="K70" s="128"/>
      <c r="S70" s="128"/>
    </row>
    <row r="71" spans="3:19" s="133" customFormat="1" x14ac:dyDescent="0.25">
      <c r="C71" s="126"/>
      <c r="D71" s="126"/>
      <c r="E71" s="126"/>
      <c r="F71" s="180"/>
      <c r="G71" s="181">
        <f t="shared" ref="G71:G79" si="9">+F71/$F$79*100</f>
        <v>0</v>
      </c>
      <c r="H71" s="126"/>
      <c r="I71" s="126"/>
      <c r="J71" s="126"/>
      <c r="K71" s="128"/>
      <c r="S71" s="128"/>
    </row>
    <row r="72" spans="3:19" s="133" customFormat="1" x14ac:dyDescent="0.25">
      <c r="C72" s="126" t="s">
        <v>623</v>
      </c>
      <c r="D72" s="126"/>
      <c r="E72" s="126"/>
      <c r="F72" s="180">
        <f>+SUM(N22)</f>
        <v>532</v>
      </c>
      <c r="G72" s="181">
        <f t="shared" si="9"/>
        <v>4.915457821306477</v>
      </c>
      <c r="H72" s="126"/>
      <c r="I72" s="126"/>
      <c r="J72" s="126"/>
      <c r="K72" s="128"/>
      <c r="S72" s="128"/>
    </row>
    <row r="73" spans="3:19" s="133" customFormat="1" x14ac:dyDescent="0.25">
      <c r="C73" s="126"/>
      <c r="D73" s="126"/>
      <c r="E73" s="126"/>
      <c r="F73" s="180"/>
      <c r="G73" s="181">
        <f t="shared" si="9"/>
        <v>0</v>
      </c>
      <c r="H73" s="126"/>
      <c r="I73" s="126"/>
      <c r="J73" s="126"/>
      <c r="K73" s="128"/>
      <c r="S73" s="128"/>
    </row>
    <row r="74" spans="3:19" s="133" customFormat="1" x14ac:dyDescent="0.25">
      <c r="C74" s="126" t="s">
        <v>523</v>
      </c>
      <c r="D74" s="126"/>
      <c r="E74" s="126"/>
      <c r="F74" s="180">
        <f>+SUM(N11:N14)</f>
        <v>2047</v>
      </c>
      <c r="G74" s="181">
        <f t="shared" si="9"/>
        <v>18.913425113184886</v>
      </c>
      <c r="H74" s="126"/>
      <c r="I74" s="126"/>
      <c r="J74" s="126"/>
      <c r="K74" s="128"/>
      <c r="S74" s="128"/>
    </row>
    <row r="75" spans="3:19" s="133" customFormat="1" x14ac:dyDescent="0.25">
      <c r="C75" s="126" t="s">
        <v>537</v>
      </c>
      <c r="D75" s="126"/>
      <c r="E75" s="126"/>
      <c r="F75" s="180">
        <f>+SUM(N17:N18)</f>
        <v>2850</v>
      </c>
      <c r="G75" s="181">
        <f t="shared" si="9"/>
        <v>26.33280975699898</v>
      </c>
      <c r="H75" s="126"/>
      <c r="I75" s="126"/>
      <c r="J75" s="126"/>
      <c r="K75" s="128"/>
      <c r="S75" s="128"/>
    </row>
    <row r="76" spans="3:19" s="133" customFormat="1" x14ac:dyDescent="0.25">
      <c r="C76" s="126" t="s">
        <v>624</v>
      </c>
      <c r="D76" s="126"/>
      <c r="E76" s="126"/>
      <c r="F76" s="180">
        <f>+SUM(N23:N29)+180+4109</f>
        <v>5044</v>
      </c>
      <c r="G76" s="181">
        <f t="shared" si="9"/>
        <v>46.604453478702759</v>
      </c>
      <c r="H76" s="126"/>
      <c r="I76" s="126"/>
      <c r="J76" s="126"/>
      <c r="K76" s="128"/>
      <c r="S76" s="128"/>
    </row>
    <row r="77" spans="3:19" s="133" customFormat="1" x14ac:dyDescent="0.25">
      <c r="C77" s="126" t="s">
        <v>589</v>
      </c>
      <c r="D77" s="126"/>
      <c r="E77" s="126"/>
      <c r="F77" s="180">
        <f>+SUM(N30:N32)</f>
        <v>185</v>
      </c>
      <c r="G77" s="181">
        <f t="shared" si="9"/>
        <v>1.7093227386122147</v>
      </c>
      <c r="H77" s="126"/>
      <c r="I77" s="126"/>
      <c r="J77" s="126"/>
      <c r="K77" s="128"/>
      <c r="S77" s="128"/>
    </row>
    <row r="78" spans="3:19" s="133" customFormat="1" x14ac:dyDescent="0.25">
      <c r="C78" s="126"/>
      <c r="D78" s="126"/>
      <c r="E78" s="126"/>
      <c r="F78" s="136"/>
      <c r="G78" s="181">
        <f t="shared" si="9"/>
        <v>0</v>
      </c>
      <c r="H78" s="126"/>
      <c r="I78" s="126"/>
      <c r="J78" s="126"/>
      <c r="K78" s="128"/>
      <c r="S78" s="128"/>
    </row>
    <row r="79" spans="3:19" s="133" customFormat="1" x14ac:dyDescent="0.25">
      <c r="C79" s="126"/>
      <c r="D79" s="126"/>
      <c r="E79" s="126"/>
      <c r="F79" s="180">
        <f>+SUM(F70:F77)</f>
        <v>10823</v>
      </c>
      <c r="G79" s="181">
        <f t="shared" si="9"/>
        <v>100</v>
      </c>
      <c r="H79" s="126"/>
      <c r="I79" s="126"/>
      <c r="J79" s="126"/>
      <c r="K79" s="128"/>
      <c r="S79" s="128"/>
    </row>
  </sheetData>
  <customSheetViews>
    <customSheetView guid="{903669DD-1133-45D2-B108-C6B5BEA5EB61}" scale="80" fitToPage="1" hiddenColumns="1" state="hidden" topLeftCell="G31">
      <pageMargins left="0" right="0" top="0" bottom="0" header="0" footer="0"/>
      <pageSetup paperSize="9" scale="73" fitToHeight="0" orientation="landscape" verticalDpi="0" r:id="rId1"/>
    </customSheetView>
    <customSheetView guid="{7910FD81-BFE7-4CD5-939B-3D7A1CA9601A}" fitToPage="1" hiddenColumns="1" state="hidden" topLeftCell="F1">
      <pageMargins left="0" right="0" top="0" bottom="0" header="0" footer="0"/>
      <pageSetup paperSize="9" scale="73" fitToHeight="0" orientation="landscape" verticalDpi="0" r:id="rId2"/>
    </customSheetView>
    <customSheetView guid="{051C2D13-0D3D-44C3-A7DB-A0EAFBF115F0}" scale="80" fitToPage="1" hiddenColumns="1" state="hidden" topLeftCell="G31">
      <pageMargins left="0" right="0" top="0" bottom="0" header="0" footer="0"/>
      <pageSetup paperSize="9" scale="73" fitToHeight="0" orientation="landscape" verticalDpi="0" r:id="rId3"/>
    </customSheetView>
    <customSheetView guid="{9C479752-7F2F-4739-B52F-47A06FE05EF0}" fitToPage="1" hiddenColumns="1" state="hidden" topLeftCell="F1">
      <pageMargins left="0" right="0" top="0" bottom="0" header="0" footer="0"/>
      <pageSetup paperSize="9" scale="73" fitToHeight="0" orientation="landscape" verticalDpi="0" r:id="rId4"/>
    </customSheetView>
    <customSheetView guid="{A0809A10-8F40-4AD2-8943-60E412AED428}" scale="80" fitToPage="1" hiddenColumns="1" state="hidden" topLeftCell="G31">
      <pageMargins left="0" right="0" top="0" bottom="0" header="0" footer="0"/>
      <pageSetup paperSize="9" scale="73" fitToHeight="0" orientation="landscape" verticalDpi="0" r:id="rId5"/>
    </customSheetView>
    <customSheetView guid="{3E006852-BD2D-4884-A2A1-BFAEAE24582F}" scale="80" fitToPage="1" hiddenColumns="1" state="hidden" topLeftCell="G31">
      <pageMargins left="0" right="0" top="0" bottom="0" header="0" footer="0"/>
      <pageSetup paperSize="9" scale="73" fitToHeight="0" orientation="landscape" verticalDpi="0" r:id="rId6"/>
    </customSheetView>
    <customSheetView guid="{28ADD64E-1C54-4CF2-8A6A-391E4DF6D903}" scale="80" fitToPage="1" hiddenColumns="1" state="hidden" topLeftCell="G31">
      <pageMargins left="0" right="0" top="0" bottom="0" header="0" footer="0"/>
      <pageSetup paperSize="9" scale="73" fitToHeight="0" orientation="landscape" verticalDpi="0" r:id="rId7"/>
    </customSheetView>
    <customSheetView guid="{B5B78BF3-B1F8-4BBA-8E40-E18C6034B566}" fitToPage="1" hiddenColumns="1" state="hidden" topLeftCell="F1">
      <pageMargins left="0" right="0" top="0" bottom="0" header="0" footer="0"/>
      <pageSetup paperSize="9" scale="73" fitToHeight="0" orientation="landscape" verticalDpi="0" r:id="rId8"/>
    </customSheetView>
    <customSheetView guid="{2F5D2611-A2AC-4668-B979-0EE258BE5F1F}" scale="80" fitToPage="1" hiddenColumns="1" state="hidden" topLeftCell="G31">
      <pageMargins left="0" right="0" top="0" bottom="0" header="0" footer="0"/>
      <pageSetup paperSize="9" scale="73" fitToHeight="0" orientation="landscape" verticalDpi="0" r:id="rId9"/>
    </customSheetView>
    <customSheetView guid="{2EE8538C-E3AE-40C6-B22A-073EBF96300A}" scale="80" fitToPage="1" hiddenColumns="1" state="hidden" topLeftCell="G31">
      <pageMargins left="0" right="0" top="0" bottom="0" header="0" footer="0"/>
      <pageSetup paperSize="9" scale="73" fitToHeight="0" orientation="landscape" verticalDpi="0" r:id="rId10"/>
    </customSheetView>
    <customSheetView guid="{E4F22399-07D5-465E-AFB1-A36259E00328}" scale="80" fitToPage="1" hiddenColumns="1" state="hidden" topLeftCell="G31">
      <pageMargins left="0" right="0" top="0" bottom="0" header="0" footer="0"/>
      <pageSetup paperSize="9" scale="73" fitToHeight="0" orientation="landscape" verticalDpi="0" r:id="rId11"/>
    </customSheetView>
  </customSheetViews>
  <mergeCells count="1">
    <mergeCell ref="L4:M4"/>
  </mergeCells>
  <conditionalFormatting sqref="G7:H33">
    <cfRule type="containsText" dxfId="13" priority="1" operator="containsText" text="Green">
      <formula>NOT(ISERROR(SEARCH("Green",G7)))</formula>
    </cfRule>
    <cfRule type="containsText" dxfId="12" priority="2" operator="containsText" text="Amber">
      <formula>NOT(ISERROR(SEARCH("Amber",G7)))</formula>
    </cfRule>
    <cfRule type="containsText" dxfId="11" priority="3" operator="containsText" text="Red">
      <formula>NOT(ISERROR(SEARCH("Red",G7)))</formula>
    </cfRule>
  </conditionalFormatting>
  <pageMargins left="0.7" right="0.7" top="0.75" bottom="0.75" header="0.3" footer="0.3"/>
  <pageSetup paperSize="9" scale="73" fitToHeight="0" orientation="landscape" verticalDpi="0"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'U:\My User Profile\awinship\Desktop\COVID 19 info\[OTA COVID-19 Cost Tracker V3.xlsx]Cockpit'!#REF!</xm:f>
          </x14:formula1>
          <xm:sqref>I7:K33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L8965"/>
  <sheetViews>
    <sheetView workbookViewId="0"/>
  </sheetViews>
  <sheetFormatPr defaultColWidth="8.54296875" defaultRowHeight="14.5" outlineLevelRow="1" x14ac:dyDescent="0.35"/>
  <cols>
    <col min="1" max="2" width="9" style="111" bestFit="1" customWidth="1"/>
    <col min="3" max="3" width="3" style="111" bestFit="1" customWidth="1"/>
    <col min="4" max="4" width="9" style="111" bestFit="1" customWidth="1"/>
    <col min="5" max="5" width="11" style="111" bestFit="1" customWidth="1"/>
    <col min="6" max="6" width="7" style="111" bestFit="1" customWidth="1"/>
    <col min="7" max="7" width="9" style="111" bestFit="1" customWidth="1"/>
    <col min="8" max="9" width="8" style="111" bestFit="1" customWidth="1"/>
    <col min="10" max="10" width="6" style="111" bestFit="1" customWidth="1"/>
    <col min="11" max="11" width="100" style="111" bestFit="1" customWidth="1"/>
    <col min="12" max="12" width="20" style="111" bestFit="1" customWidth="1"/>
    <col min="13" max="16384" width="8.54296875" style="111"/>
  </cols>
  <sheetData>
    <row r="1" spans="1:12" x14ac:dyDescent="0.35">
      <c r="A1" s="106" t="s">
        <v>881</v>
      </c>
      <c r="B1" s="106" t="s">
        <v>882</v>
      </c>
      <c r="C1" s="106" t="s">
        <v>188</v>
      </c>
      <c r="D1" s="107" t="s">
        <v>189</v>
      </c>
      <c r="E1" s="109" t="s">
        <v>191</v>
      </c>
      <c r="F1" s="108" t="s">
        <v>192</v>
      </c>
      <c r="G1" s="106" t="s">
        <v>1088</v>
      </c>
      <c r="H1" s="106" t="s">
        <v>1089</v>
      </c>
      <c r="I1" s="106" t="s">
        <v>193</v>
      </c>
      <c r="J1" s="106" t="s">
        <v>194</v>
      </c>
      <c r="K1" s="106" t="s">
        <v>195</v>
      </c>
      <c r="L1" s="110" t="s">
        <v>196</v>
      </c>
    </row>
    <row r="2" spans="1:12" hidden="1" outlineLevel="1" collapsed="1" x14ac:dyDescent="0.35">
      <c r="A2" s="112" t="s">
        <v>1090</v>
      </c>
      <c r="B2" s="112" t="s">
        <v>894</v>
      </c>
      <c r="C2" s="112" t="s">
        <v>695</v>
      </c>
      <c r="D2" s="113">
        <v>10347981</v>
      </c>
      <c r="E2" s="115">
        <v>43924</v>
      </c>
      <c r="F2" s="114">
        <v>202101</v>
      </c>
      <c r="G2" s="112" t="s">
        <v>1091</v>
      </c>
      <c r="H2" s="112" t="s">
        <v>1015</v>
      </c>
      <c r="I2" s="112" t="s">
        <v>1092</v>
      </c>
      <c r="J2" s="112" t="s">
        <v>1093</v>
      </c>
      <c r="K2" s="112" t="s">
        <v>1094</v>
      </c>
      <c r="L2" s="116">
        <v>-51</v>
      </c>
    </row>
    <row r="3" spans="1:12" hidden="1" outlineLevel="1" collapsed="1" x14ac:dyDescent="0.35">
      <c r="A3" s="112" t="s">
        <v>1090</v>
      </c>
      <c r="B3" s="112" t="s">
        <v>893</v>
      </c>
      <c r="C3" s="112" t="s">
        <v>1095</v>
      </c>
      <c r="D3" s="113">
        <v>10348451</v>
      </c>
      <c r="E3" s="115">
        <v>43949</v>
      </c>
      <c r="F3" s="114">
        <v>202101</v>
      </c>
      <c r="G3" s="112" t="s">
        <v>1091</v>
      </c>
      <c r="H3" s="112" t="s">
        <v>1015</v>
      </c>
      <c r="I3" s="112" t="s">
        <v>1096</v>
      </c>
      <c r="J3" s="112" t="s">
        <v>1097</v>
      </c>
      <c r="K3" s="112" t="s">
        <v>1098</v>
      </c>
      <c r="L3" s="116">
        <v>262.10000000000002</v>
      </c>
    </row>
    <row r="4" spans="1:12" hidden="1" outlineLevel="1" collapsed="1" x14ac:dyDescent="0.35">
      <c r="A4" s="112" t="s">
        <v>1090</v>
      </c>
      <c r="B4" s="112" t="s">
        <v>893</v>
      </c>
      <c r="C4" s="112" t="s">
        <v>1099</v>
      </c>
      <c r="D4" s="113">
        <v>1069387</v>
      </c>
      <c r="E4" s="115">
        <v>43923</v>
      </c>
      <c r="F4" s="114">
        <v>202101</v>
      </c>
      <c r="G4" s="112" t="s">
        <v>1091</v>
      </c>
      <c r="H4" s="112" t="s">
        <v>1015</v>
      </c>
      <c r="I4" s="112" t="s">
        <v>761</v>
      </c>
      <c r="J4" s="112" t="s">
        <v>1097</v>
      </c>
      <c r="K4" s="112" t="s">
        <v>1100</v>
      </c>
      <c r="L4" s="116">
        <v>600</v>
      </c>
    </row>
    <row r="5" spans="1:12" hidden="1" outlineLevel="1" collapsed="1" x14ac:dyDescent="0.35">
      <c r="A5" s="112" t="s">
        <v>1090</v>
      </c>
      <c r="B5" s="112" t="s">
        <v>893</v>
      </c>
      <c r="C5" s="112" t="s">
        <v>1095</v>
      </c>
      <c r="D5" s="113">
        <v>10348451</v>
      </c>
      <c r="E5" s="115">
        <v>43949</v>
      </c>
      <c r="F5" s="114">
        <v>202101</v>
      </c>
      <c r="G5" s="112" t="s">
        <v>1091</v>
      </c>
      <c r="H5" s="112" t="s">
        <v>1015</v>
      </c>
      <c r="I5" s="112" t="s">
        <v>1101</v>
      </c>
      <c r="J5" s="112" t="s">
        <v>1097</v>
      </c>
      <c r="K5" s="112" t="s">
        <v>1098</v>
      </c>
      <c r="L5" s="116">
        <v>426.26</v>
      </c>
    </row>
    <row r="6" spans="1:12" hidden="1" outlineLevel="1" collapsed="1" x14ac:dyDescent="0.35">
      <c r="A6" s="112" t="s">
        <v>1090</v>
      </c>
      <c r="B6" s="112" t="s">
        <v>894</v>
      </c>
      <c r="C6" s="112" t="s">
        <v>695</v>
      </c>
      <c r="D6" s="113">
        <v>10348061</v>
      </c>
      <c r="E6" s="115">
        <v>43928</v>
      </c>
      <c r="F6" s="114">
        <v>202101</v>
      </c>
      <c r="G6" s="112" t="s">
        <v>1091</v>
      </c>
      <c r="H6" s="112" t="s">
        <v>1015</v>
      </c>
      <c r="I6" s="112" t="s">
        <v>1102</v>
      </c>
      <c r="J6" s="112" t="s">
        <v>1093</v>
      </c>
      <c r="K6" s="112" t="s">
        <v>1103</v>
      </c>
      <c r="L6" s="116">
        <v>-5000</v>
      </c>
    </row>
    <row r="7" spans="1:12" hidden="1" outlineLevel="1" collapsed="1" x14ac:dyDescent="0.35">
      <c r="A7" s="112" t="s">
        <v>1090</v>
      </c>
      <c r="B7" s="112" t="s">
        <v>893</v>
      </c>
      <c r="C7" s="112" t="s">
        <v>695</v>
      </c>
      <c r="D7" s="113">
        <v>10348061</v>
      </c>
      <c r="E7" s="115">
        <v>43928</v>
      </c>
      <c r="F7" s="114">
        <v>202101</v>
      </c>
      <c r="G7" s="112" t="s">
        <v>1091</v>
      </c>
      <c r="H7" s="112" t="s">
        <v>1015</v>
      </c>
      <c r="I7" s="112" t="s">
        <v>1104</v>
      </c>
      <c r="J7" s="112" t="s">
        <v>1097</v>
      </c>
      <c r="K7" s="112" t="s">
        <v>1105</v>
      </c>
      <c r="L7" s="116">
        <v>896.13</v>
      </c>
    </row>
    <row r="8" spans="1:12" hidden="1" outlineLevel="1" collapsed="1" x14ac:dyDescent="0.35">
      <c r="A8" s="112" t="s">
        <v>1090</v>
      </c>
      <c r="B8" s="112" t="s">
        <v>893</v>
      </c>
      <c r="C8" s="112" t="s">
        <v>1106</v>
      </c>
      <c r="D8" s="113">
        <v>3097169</v>
      </c>
      <c r="E8" s="115">
        <v>43921</v>
      </c>
      <c r="F8" s="114">
        <v>202101</v>
      </c>
      <c r="G8" s="112" t="s">
        <v>1091</v>
      </c>
      <c r="H8" s="112" t="s">
        <v>1015</v>
      </c>
      <c r="I8" s="112" t="s">
        <v>775</v>
      </c>
      <c r="J8" s="112" t="s">
        <v>1097</v>
      </c>
      <c r="K8" s="112" t="s">
        <v>1107</v>
      </c>
      <c r="L8" s="116">
        <v>340</v>
      </c>
    </row>
    <row r="9" spans="1:12" hidden="1" outlineLevel="1" collapsed="1" x14ac:dyDescent="0.35">
      <c r="A9" s="112" t="s">
        <v>1090</v>
      </c>
      <c r="B9" s="112" t="s">
        <v>893</v>
      </c>
      <c r="C9" s="112" t="s">
        <v>1099</v>
      </c>
      <c r="D9" s="113">
        <v>1069728</v>
      </c>
      <c r="E9" s="115">
        <v>43927</v>
      </c>
      <c r="F9" s="114">
        <v>202101</v>
      </c>
      <c r="G9" s="112" t="s">
        <v>1091</v>
      </c>
      <c r="H9" s="112" t="s">
        <v>1015</v>
      </c>
      <c r="I9" s="112" t="s">
        <v>775</v>
      </c>
      <c r="J9" s="112" t="s">
        <v>1097</v>
      </c>
      <c r="K9" s="112" t="s">
        <v>1108</v>
      </c>
      <c r="L9" s="116">
        <v>2000</v>
      </c>
    </row>
    <row r="10" spans="1:12" hidden="1" outlineLevel="1" collapsed="1" x14ac:dyDescent="0.35">
      <c r="A10" s="112" t="s">
        <v>1090</v>
      </c>
      <c r="B10" s="112" t="s">
        <v>893</v>
      </c>
      <c r="C10" s="112" t="s">
        <v>1095</v>
      </c>
      <c r="D10" s="113">
        <v>10348451</v>
      </c>
      <c r="E10" s="115">
        <v>43949</v>
      </c>
      <c r="F10" s="114">
        <v>202101</v>
      </c>
      <c r="G10" s="112" t="s">
        <v>1091</v>
      </c>
      <c r="H10" s="112" t="s">
        <v>1015</v>
      </c>
      <c r="I10" s="112" t="s">
        <v>1096</v>
      </c>
      <c r="J10" s="112" t="s">
        <v>1097</v>
      </c>
      <c r="K10" s="112" t="s">
        <v>1098</v>
      </c>
      <c r="L10" s="116">
        <v>411.93</v>
      </c>
    </row>
    <row r="11" spans="1:12" hidden="1" outlineLevel="1" collapsed="1" x14ac:dyDescent="0.35">
      <c r="A11" s="112" t="s">
        <v>1090</v>
      </c>
      <c r="B11" s="112" t="s">
        <v>893</v>
      </c>
      <c r="C11" s="112" t="s">
        <v>1095</v>
      </c>
      <c r="D11" s="113">
        <v>10348451</v>
      </c>
      <c r="E11" s="115">
        <v>43949</v>
      </c>
      <c r="F11" s="114">
        <v>202101</v>
      </c>
      <c r="G11" s="112" t="s">
        <v>1091</v>
      </c>
      <c r="H11" s="112" t="s">
        <v>1015</v>
      </c>
      <c r="I11" s="112" t="s">
        <v>1101</v>
      </c>
      <c r="J11" s="112" t="s">
        <v>1097</v>
      </c>
      <c r="K11" s="112" t="s">
        <v>1098</v>
      </c>
      <c r="L11" s="116">
        <v>602.15</v>
      </c>
    </row>
    <row r="12" spans="1:12" hidden="1" outlineLevel="1" collapsed="1" x14ac:dyDescent="0.35">
      <c r="A12" s="112" t="s">
        <v>1090</v>
      </c>
      <c r="B12" s="112" t="s">
        <v>893</v>
      </c>
      <c r="C12" s="112" t="s">
        <v>695</v>
      </c>
      <c r="D12" s="113">
        <v>10347948</v>
      </c>
      <c r="E12" s="115">
        <v>43923</v>
      </c>
      <c r="F12" s="114">
        <v>202101</v>
      </c>
      <c r="G12" s="112" t="s">
        <v>1091</v>
      </c>
      <c r="H12" s="112" t="s">
        <v>1015</v>
      </c>
      <c r="I12" s="112" t="s">
        <v>777</v>
      </c>
      <c r="J12" s="112" t="s">
        <v>1109</v>
      </c>
      <c r="K12" s="112" t="s">
        <v>1110</v>
      </c>
      <c r="L12" s="116">
        <v>-635.25</v>
      </c>
    </row>
    <row r="13" spans="1:12" hidden="1" outlineLevel="1" collapsed="1" x14ac:dyDescent="0.35">
      <c r="A13" s="112" t="s">
        <v>1090</v>
      </c>
      <c r="B13" s="112" t="s">
        <v>894</v>
      </c>
      <c r="C13" s="112" t="s">
        <v>1099</v>
      </c>
      <c r="D13" s="113">
        <v>1068984</v>
      </c>
      <c r="E13" s="115">
        <v>43594</v>
      </c>
      <c r="F13" s="114">
        <v>202101</v>
      </c>
      <c r="G13" s="112" t="s">
        <v>1091</v>
      </c>
      <c r="H13" s="112" t="s">
        <v>1015</v>
      </c>
      <c r="I13" s="112" t="s">
        <v>761</v>
      </c>
      <c r="J13" s="112" t="s">
        <v>1093</v>
      </c>
      <c r="K13" s="112" t="s">
        <v>1111</v>
      </c>
      <c r="L13" s="116">
        <v>4041</v>
      </c>
    </row>
    <row r="14" spans="1:12" hidden="1" outlineLevel="1" collapsed="1" x14ac:dyDescent="0.35">
      <c r="A14" s="112" t="s">
        <v>1090</v>
      </c>
      <c r="B14" s="112" t="s">
        <v>893</v>
      </c>
      <c r="C14" s="112" t="s">
        <v>1106</v>
      </c>
      <c r="D14" s="113">
        <v>3098362</v>
      </c>
      <c r="E14" s="115">
        <v>43935</v>
      </c>
      <c r="F14" s="114">
        <v>202101</v>
      </c>
      <c r="G14" s="112" t="s">
        <v>1091</v>
      </c>
      <c r="H14" s="112" t="s">
        <v>1015</v>
      </c>
      <c r="I14" s="112" t="s">
        <v>775</v>
      </c>
      <c r="J14" s="112" t="s">
        <v>1097</v>
      </c>
      <c r="K14" s="112" t="s">
        <v>1112</v>
      </c>
      <c r="L14" s="116">
        <v>340</v>
      </c>
    </row>
    <row r="15" spans="1:12" hidden="1" outlineLevel="1" collapsed="1" x14ac:dyDescent="0.35">
      <c r="A15" s="112" t="s">
        <v>1090</v>
      </c>
      <c r="B15" s="112" t="s">
        <v>892</v>
      </c>
      <c r="C15" s="112" t="s">
        <v>1095</v>
      </c>
      <c r="D15" s="113">
        <v>10348451</v>
      </c>
      <c r="E15" s="115">
        <v>43949</v>
      </c>
      <c r="F15" s="114">
        <v>202101</v>
      </c>
      <c r="G15" s="112" t="s">
        <v>1091</v>
      </c>
      <c r="H15" s="112" t="s">
        <v>1015</v>
      </c>
      <c r="I15" s="112" t="s">
        <v>1113</v>
      </c>
      <c r="J15" s="112" t="s">
        <v>1114</v>
      </c>
      <c r="K15" s="112" t="s">
        <v>1098</v>
      </c>
      <c r="L15" s="116">
        <v>29.94</v>
      </c>
    </row>
    <row r="16" spans="1:12" hidden="1" outlineLevel="1" collapsed="1" x14ac:dyDescent="0.35">
      <c r="A16" s="112" t="s">
        <v>1090</v>
      </c>
      <c r="B16" s="112" t="s">
        <v>893</v>
      </c>
      <c r="C16" s="112" t="s">
        <v>1095</v>
      </c>
      <c r="D16" s="113">
        <v>10348451</v>
      </c>
      <c r="E16" s="115">
        <v>43949</v>
      </c>
      <c r="F16" s="114">
        <v>202101</v>
      </c>
      <c r="G16" s="112" t="s">
        <v>1091</v>
      </c>
      <c r="H16" s="112" t="s">
        <v>1015</v>
      </c>
      <c r="I16" s="112" t="s">
        <v>1101</v>
      </c>
      <c r="J16" s="112" t="s">
        <v>1097</v>
      </c>
      <c r="K16" s="112" t="s">
        <v>1098</v>
      </c>
      <c r="L16" s="116">
        <v>146.41999999999999</v>
      </c>
    </row>
    <row r="17" spans="1:12" hidden="1" outlineLevel="1" collapsed="1" x14ac:dyDescent="0.35">
      <c r="A17" s="112" t="s">
        <v>1090</v>
      </c>
      <c r="B17" s="112" t="s">
        <v>893</v>
      </c>
      <c r="C17" s="112" t="s">
        <v>695</v>
      </c>
      <c r="D17" s="113">
        <v>10347981</v>
      </c>
      <c r="E17" s="115">
        <v>43924</v>
      </c>
      <c r="F17" s="114">
        <v>202101</v>
      </c>
      <c r="G17" s="112" t="s">
        <v>1091</v>
      </c>
      <c r="H17" s="112" t="s">
        <v>1015</v>
      </c>
      <c r="I17" s="112" t="s">
        <v>761</v>
      </c>
      <c r="J17" s="112" t="s">
        <v>1097</v>
      </c>
      <c r="K17" s="112" t="s">
        <v>1115</v>
      </c>
      <c r="L17" s="116">
        <v>-126</v>
      </c>
    </row>
    <row r="18" spans="1:12" hidden="1" outlineLevel="1" collapsed="1" x14ac:dyDescent="0.35">
      <c r="A18" s="112" t="s">
        <v>1090</v>
      </c>
      <c r="B18" s="112" t="s">
        <v>894</v>
      </c>
      <c r="C18" s="112" t="s">
        <v>1095</v>
      </c>
      <c r="D18" s="113">
        <v>10348451</v>
      </c>
      <c r="E18" s="115">
        <v>43949</v>
      </c>
      <c r="F18" s="114">
        <v>202101</v>
      </c>
      <c r="G18" s="112" t="s">
        <v>1091</v>
      </c>
      <c r="H18" s="112" t="s">
        <v>1015</v>
      </c>
      <c r="I18" s="112" t="s">
        <v>1116</v>
      </c>
      <c r="J18" s="112" t="s">
        <v>1117</v>
      </c>
      <c r="K18" s="112" t="s">
        <v>1098</v>
      </c>
      <c r="L18" s="116">
        <v>1289.48</v>
      </c>
    </row>
    <row r="19" spans="1:12" hidden="1" outlineLevel="1" collapsed="1" x14ac:dyDescent="0.35">
      <c r="A19" s="112" t="s">
        <v>1090</v>
      </c>
      <c r="B19" s="112" t="s">
        <v>894</v>
      </c>
      <c r="C19" s="112" t="s">
        <v>1095</v>
      </c>
      <c r="D19" s="113">
        <v>10348451</v>
      </c>
      <c r="E19" s="115">
        <v>43949</v>
      </c>
      <c r="F19" s="114">
        <v>202101</v>
      </c>
      <c r="G19" s="112" t="s">
        <v>1091</v>
      </c>
      <c r="H19" s="112" t="s">
        <v>1015</v>
      </c>
      <c r="I19" s="112" t="s">
        <v>1116</v>
      </c>
      <c r="J19" s="112" t="s">
        <v>1118</v>
      </c>
      <c r="K19" s="112" t="s">
        <v>1098</v>
      </c>
      <c r="L19" s="116">
        <v>371.73</v>
      </c>
    </row>
    <row r="20" spans="1:12" hidden="1" outlineLevel="1" collapsed="1" x14ac:dyDescent="0.35">
      <c r="A20" s="112" t="s">
        <v>1090</v>
      </c>
      <c r="B20" s="112" t="s">
        <v>894</v>
      </c>
      <c r="C20" s="112" t="s">
        <v>1095</v>
      </c>
      <c r="D20" s="113">
        <v>10348451</v>
      </c>
      <c r="E20" s="115">
        <v>43949</v>
      </c>
      <c r="F20" s="114">
        <v>202101</v>
      </c>
      <c r="G20" s="112" t="s">
        <v>1091</v>
      </c>
      <c r="H20" s="112" t="s">
        <v>1015</v>
      </c>
      <c r="I20" s="112" t="s">
        <v>1116</v>
      </c>
      <c r="J20" s="112" t="s">
        <v>1118</v>
      </c>
      <c r="K20" s="112" t="s">
        <v>1098</v>
      </c>
      <c r="L20" s="116">
        <v>504.85</v>
      </c>
    </row>
    <row r="21" spans="1:12" hidden="1" outlineLevel="1" collapsed="1" x14ac:dyDescent="0.35">
      <c r="A21" s="112" t="s">
        <v>1090</v>
      </c>
      <c r="B21" s="112" t="s">
        <v>894</v>
      </c>
      <c r="C21" s="112" t="s">
        <v>1119</v>
      </c>
      <c r="D21" s="113">
        <v>10348046</v>
      </c>
      <c r="E21" s="115">
        <v>43928</v>
      </c>
      <c r="F21" s="114">
        <v>202101</v>
      </c>
      <c r="G21" s="112" t="s">
        <v>1091</v>
      </c>
      <c r="H21" s="112" t="s">
        <v>1015</v>
      </c>
      <c r="I21" s="112" t="s">
        <v>761</v>
      </c>
      <c r="J21" s="112" t="s">
        <v>1093</v>
      </c>
      <c r="K21" s="112" t="s">
        <v>1120</v>
      </c>
      <c r="L21" s="116">
        <v>-4041</v>
      </c>
    </row>
    <row r="22" spans="1:12" hidden="1" outlineLevel="1" collapsed="1" x14ac:dyDescent="0.35">
      <c r="A22" s="112" t="s">
        <v>1090</v>
      </c>
      <c r="B22" s="112" t="s">
        <v>892</v>
      </c>
      <c r="C22" s="112" t="s">
        <v>1095</v>
      </c>
      <c r="D22" s="113">
        <v>10348451</v>
      </c>
      <c r="E22" s="115">
        <v>43949</v>
      </c>
      <c r="F22" s="114">
        <v>202101</v>
      </c>
      <c r="G22" s="112" t="s">
        <v>1091</v>
      </c>
      <c r="H22" s="112" t="s">
        <v>1015</v>
      </c>
      <c r="I22" s="112" t="s">
        <v>1101</v>
      </c>
      <c r="J22" s="112" t="s">
        <v>1114</v>
      </c>
      <c r="K22" s="112" t="s">
        <v>1098</v>
      </c>
      <c r="L22" s="116">
        <v>1021.5</v>
      </c>
    </row>
    <row r="23" spans="1:12" hidden="1" outlineLevel="1" collapsed="1" x14ac:dyDescent="0.35">
      <c r="A23" s="112" t="s">
        <v>1090</v>
      </c>
      <c r="B23" s="112" t="s">
        <v>893</v>
      </c>
      <c r="C23" s="112" t="s">
        <v>695</v>
      </c>
      <c r="D23" s="113">
        <v>10347981</v>
      </c>
      <c r="E23" s="115">
        <v>43924</v>
      </c>
      <c r="F23" s="114">
        <v>202101</v>
      </c>
      <c r="G23" s="112" t="s">
        <v>1091</v>
      </c>
      <c r="H23" s="112" t="s">
        <v>1015</v>
      </c>
      <c r="I23" s="112" t="s">
        <v>775</v>
      </c>
      <c r="J23" s="112" t="s">
        <v>1097</v>
      </c>
      <c r="K23" s="112" t="s">
        <v>1121</v>
      </c>
      <c r="L23" s="116">
        <v>-330</v>
      </c>
    </row>
    <row r="24" spans="1:12" hidden="1" outlineLevel="1" collapsed="1" x14ac:dyDescent="0.35">
      <c r="A24" s="112" t="s">
        <v>1090</v>
      </c>
      <c r="B24" s="112" t="s">
        <v>893</v>
      </c>
      <c r="C24" s="112" t="s">
        <v>695</v>
      </c>
      <c r="D24" s="113">
        <v>10347981</v>
      </c>
      <c r="E24" s="115">
        <v>43924</v>
      </c>
      <c r="F24" s="114">
        <v>202101</v>
      </c>
      <c r="G24" s="112" t="s">
        <v>1091</v>
      </c>
      <c r="H24" s="112" t="s">
        <v>1015</v>
      </c>
      <c r="I24" s="112" t="s">
        <v>761</v>
      </c>
      <c r="J24" s="112" t="s">
        <v>1097</v>
      </c>
      <c r="K24" s="112" t="s">
        <v>1122</v>
      </c>
      <c r="L24" s="116">
        <v>-150</v>
      </c>
    </row>
    <row r="25" spans="1:12" hidden="1" outlineLevel="1" collapsed="1" x14ac:dyDescent="0.35">
      <c r="A25" s="112" t="s">
        <v>1090</v>
      </c>
      <c r="B25" s="112" t="s">
        <v>893</v>
      </c>
      <c r="C25" s="112" t="s">
        <v>695</v>
      </c>
      <c r="D25" s="113">
        <v>10347981</v>
      </c>
      <c r="E25" s="115">
        <v>43924</v>
      </c>
      <c r="F25" s="114">
        <v>202101</v>
      </c>
      <c r="G25" s="112" t="s">
        <v>1091</v>
      </c>
      <c r="H25" s="112" t="s">
        <v>1015</v>
      </c>
      <c r="I25" s="112" t="s">
        <v>775</v>
      </c>
      <c r="J25" s="112" t="s">
        <v>1097</v>
      </c>
      <c r="K25" s="112" t="s">
        <v>1123</v>
      </c>
      <c r="L25" s="116">
        <v>-5350.4</v>
      </c>
    </row>
    <row r="26" spans="1:12" hidden="1" outlineLevel="1" collapsed="1" x14ac:dyDescent="0.35">
      <c r="A26" s="112" t="s">
        <v>1090</v>
      </c>
      <c r="B26" s="112" t="s">
        <v>893</v>
      </c>
      <c r="C26" s="112" t="s">
        <v>695</v>
      </c>
      <c r="D26" s="113">
        <v>10347981</v>
      </c>
      <c r="E26" s="115">
        <v>43924</v>
      </c>
      <c r="F26" s="114">
        <v>202101</v>
      </c>
      <c r="G26" s="112" t="s">
        <v>1091</v>
      </c>
      <c r="H26" s="112" t="s">
        <v>1015</v>
      </c>
      <c r="I26" s="112" t="s">
        <v>1124</v>
      </c>
      <c r="J26" s="112" t="s">
        <v>1097</v>
      </c>
      <c r="K26" s="112" t="s">
        <v>1125</v>
      </c>
      <c r="L26" s="116">
        <v>-3500</v>
      </c>
    </row>
    <row r="27" spans="1:12" hidden="1" outlineLevel="1" collapsed="1" x14ac:dyDescent="0.35">
      <c r="A27" s="112" t="s">
        <v>1090</v>
      </c>
      <c r="B27" s="112" t="s">
        <v>893</v>
      </c>
      <c r="C27" s="112" t="s">
        <v>695</v>
      </c>
      <c r="D27" s="113">
        <v>10347981</v>
      </c>
      <c r="E27" s="115">
        <v>43924</v>
      </c>
      <c r="F27" s="114">
        <v>202101</v>
      </c>
      <c r="G27" s="112" t="s">
        <v>1091</v>
      </c>
      <c r="H27" s="112" t="s">
        <v>1015</v>
      </c>
      <c r="I27" s="112" t="s">
        <v>775</v>
      </c>
      <c r="J27" s="112" t="s">
        <v>1109</v>
      </c>
      <c r="K27" s="112" t="s">
        <v>1126</v>
      </c>
      <c r="L27" s="116">
        <v>-235</v>
      </c>
    </row>
    <row r="28" spans="1:12" hidden="1" outlineLevel="1" collapsed="1" x14ac:dyDescent="0.35">
      <c r="A28" s="112" t="s">
        <v>1090</v>
      </c>
      <c r="B28" s="112" t="s">
        <v>893</v>
      </c>
      <c r="C28" s="112" t="s">
        <v>695</v>
      </c>
      <c r="D28" s="113">
        <v>10347981</v>
      </c>
      <c r="E28" s="115">
        <v>43924</v>
      </c>
      <c r="F28" s="114">
        <v>202101</v>
      </c>
      <c r="G28" s="112" t="s">
        <v>1091</v>
      </c>
      <c r="H28" s="112" t="s">
        <v>1015</v>
      </c>
      <c r="I28" s="112" t="s">
        <v>761</v>
      </c>
      <c r="J28" s="112" t="s">
        <v>1109</v>
      </c>
      <c r="K28" s="112" t="s">
        <v>1127</v>
      </c>
      <c r="L28" s="116">
        <v>-735</v>
      </c>
    </row>
    <row r="29" spans="1:12" hidden="1" outlineLevel="1" collapsed="1" x14ac:dyDescent="0.35">
      <c r="A29" s="112" t="s">
        <v>1090</v>
      </c>
      <c r="B29" s="112" t="s">
        <v>894</v>
      </c>
      <c r="C29" s="112" t="s">
        <v>1095</v>
      </c>
      <c r="D29" s="113">
        <v>10348451</v>
      </c>
      <c r="E29" s="115">
        <v>43949</v>
      </c>
      <c r="F29" s="114">
        <v>202101</v>
      </c>
      <c r="G29" s="112" t="s">
        <v>1091</v>
      </c>
      <c r="H29" s="112" t="s">
        <v>1015</v>
      </c>
      <c r="I29" s="112" t="s">
        <v>1128</v>
      </c>
      <c r="J29" s="112" t="s">
        <v>1118</v>
      </c>
      <c r="K29" s="112" t="s">
        <v>1098</v>
      </c>
      <c r="L29" s="116">
        <v>243</v>
      </c>
    </row>
    <row r="30" spans="1:12" hidden="1" outlineLevel="1" collapsed="1" x14ac:dyDescent="0.35">
      <c r="A30" s="112" t="s">
        <v>1090</v>
      </c>
      <c r="B30" s="112" t="s">
        <v>894</v>
      </c>
      <c r="C30" s="112" t="s">
        <v>1095</v>
      </c>
      <c r="D30" s="113">
        <v>10348451</v>
      </c>
      <c r="E30" s="115">
        <v>43949</v>
      </c>
      <c r="F30" s="114">
        <v>202101</v>
      </c>
      <c r="G30" s="112" t="s">
        <v>1091</v>
      </c>
      <c r="H30" s="112" t="s">
        <v>1015</v>
      </c>
      <c r="I30" s="112" t="s">
        <v>1096</v>
      </c>
      <c r="J30" s="112" t="s">
        <v>1129</v>
      </c>
      <c r="K30" s="112" t="s">
        <v>1098</v>
      </c>
      <c r="L30" s="116">
        <v>150.86000000000001</v>
      </c>
    </row>
    <row r="31" spans="1:12" hidden="1" outlineLevel="1" collapsed="1" x14ac:dyDescent="0.35">
      <c r="A31" s="112" t="s">
        <v>1090</v>
      </c>
      <c r="B31" s="112" t="s">
        <v>894</v>
      </c>
      <c r="C31" s="112" t="s">
        <v>1095</v>
      </c>
      <c r="D31" s="113">
        <v>10348451</v>
      </c>
      <c r="E31" s="115">
        <v>43949</v>
      </c>
      <c r="F31" s="114">
        <v>202101</v>
      </c>
      <c r="G31" s="112" t="s">
        <v>1091</v>
      </c>
      <c r="H31" s="112" t="s">
        <v>1015</v>
      </c>
      <c r="I31" s="112" t="s">
        <v>1101</v>
      </c>
      <c r="J31" s="112" t="s">
        <v>1118</v>
      </c>
      <c r="K31" s="112" t="s">
        <v>1098</v>
      </c>
      <c r="L31" s="116">
        <v>60.22</v>
      </c>
    </row>
    <row r="32" spans="1:12" hidden="1" outlineLevel="1" collapsed="1" x14ac:dyDescent="0.35">
      <c r="A32" s="112" t="s">
        <v>1090</v>
      </c>
      <c r="B32" s="112" t="s">
        <v>894</v>
      </c>
      <c r="C32" s="112" t="s">
        <v>1095</v>
      </c>
      <c r="D32" s="113">
        <v>10348451</v>
      </c>
      <c r="E32" s="115">
        <v>43949</v>
      </c>
      <c r="F32" s="114">
        <v>202101</v>
      </c>
      <c r="G32" s="112" t="s">
        <v>1091</v>
      </c>
      <c r="H32" s="112" t="s">
        <v>1015</v>
      </c>
      <c r="I32" s="112" t="s">
        <v>1096</v>
      </c>
      <c r="J32" s="112" t="s">
        <v>1118</v>
      </c>
      <c r="K32" s="112" t="s">
        <v>1098</v>
      </c>
      <c r="L32" s="116">
        <v>33.119999999999997</v>
      </c>
    </row>
    <row r="33" spans="1:12" hidden="1" outlineLevel="1" collapsed="1" x14ac:dyDescent="0.35">
      <c r="A33" s="112" t="s">
        <v>1090</v>
      </c>
      <c r="B33" s="112" t="s">
        <v>893</v>
      </c>
      <c r="C33" s="112" t="s">
        <v>695</v>
      </c>
      <c r="D33" s="113">
        <v>10348321</v>
      </c>
      <c r="E33" s="115">
        <v>43941</v>
      </c>
      <c r="F33" s="114">
        <v>202101</v>
      </c>
      <c r="G33" s="112" t="s">
        <v>1091</v>
      </c>
      <c r="H33" s="112" t="s">
        <v>1015</v>
      </c>
      <c r="I33" s="112" t="s">
        <v>775</v>
      </c>
      <c r="J33" s="112" t="s">
        <v>1097</v>
      </c>
      <c r="K33" s="112" t="s">
        <v>1130</v>
      </c>
      <c r="L33" s="116">
        <v>2400</v>
      </c>
    </row>
    <row r="34" spans="1:12" hidden="1" outlineLevel="1" collapsed="1" x14ac:dyDescent="0.35">
      <c r="A34" s="112" t="s">
        <v>1090</v>
      </c>
      <c r="B34" s="112" t="s">
        <v>894</v>
      </c>
      <c r="C34" s="112" t="s">
        <v>695</v>
      </c>
      <c r="D34" s="113">
        <v>10348061</v>
      </c>
      <c r="E34" s="115">
        <v>43928</v>
      </c>
      <c r="F34" s="114">
        <v>202101</v>
      </c>
      <c r="G34" s="112" t="s">
        <v>1091</v>
      </c>
      <c r="H34" s="112" t="s">
        <v>1016</v>
      </c>
      <c r="I34" s="112" t="s">
        <v>1131</v>
      </c>
      <c r="J34" s="112" t="s">
        <v>1093</v>
      </c>
      <c r="K34" s="112" t="s">
        <v>1132</v>
      </c>
      <c r="L34" s="116">
        <v>-5200</v>
      </c>
    </row>
    <row r="35" spans="1:12" hidden="1" outlineLevel="1" collapsed="1" x14ac:dyDescent="0.35">
      <c r="A35" s="112" t="s">
        <v>1090</v>
      </c>
      <c r="B35" s="112" t="s">
        <v>893</v>
      </c>
      <c r="C35" s="112" t="s">
        <v>1095</v>
      </c>
      <c r="D35" s="113">
        <v>10348451</v>
      </c>
      <c r="E35" s="115">
        <v>43949</v>
      </c>
      <c r="F35" s="114">
        <v>202101</v>
      </c>
      <c r="G35" s="112" t="s">
        <v>1091</v>
      </c>
      <c r="H35" s="112" t="s">
        <v>1015</v>
      </c>
      <c r="I35" s="112" t="s">
        <v>1101</v>
      </c>
      <c r="J35" s="112" t="s">
        <v>1097</v>
      </c>
      <c r="K35" s="112" t="s">
        <v>1098</v>
      </c>
      <c r="L35" s="116">
        <v>483.07</v>
      </c>
    </row>
    <row r="36" spans="1:12" hidden="1" outlineLevel="1" collapsed="1" x14ac:dyDescent="0.35">
      <c r="A36" s="112" t="s">
        <v>1090</v>
      </c>
      <c r="B36" s="112" t="s">
        <v>893</v>
      </c>
      <c r="C36" s="112" t="s">
        <v>1095</v>
      </c>
      <c r="D36" s="113">
        <v>10348451</v>
      </c>
      <c r="E36" s="115">
        <v>43949</v>
      </c>
      <c r="F36" s="114">
        <v>202101</v>
      </c>
      <c r="G36" s="112" t="s">
        <v>1091</v>
      </c>
      <c r="H36" s="112" t="s">
        <v>1015</v>
      </c>
      <c r="I36" s="112" t="s">
        <v>1096</v>
      </c>
      <c r="J36" s="112" t="s">
        <v>1097</v>
      </c>
      <c r="K36" s="112" t="s">
        <v>1098</v>
      </c>
      <c r="L36" s="116">
        <v>310.49</v>
      </c>
    </row>
    <row r="37" spans="1:12" hidden="1" outlineLevel="1" collapsed="1" x14ac:dyDescent="0.35">
      <c r="A37" s="112" t="s">
        <v>1090</v>
      </c>
      <c r="B37" s="112" t="s">
        <v>893</v>
      </c>
      <c r="C37" s="112" t="s">
        <v>1099</v>
      </c>
      <c r="D37" s="113">
        <v>1069681</v>
      </c>
      <c r="E37" s="115">
        <v>43918</v>
      </c>
      <c r="F37" s="114">
        <v>202101</v>
      </c>
      <c r="G37" s="112" t="s">
        <v>1091</v>
      </c>
      <c r="H37" s="112" t="s">
        <v>1015</v>
      </c>
      <c r="I37" s="112" t="s">
        <v>1133</v>
      </c>
      <c r="J37" s="112" t="s">
        <v>1097</v>
      </c>
      <c r="K37" s="112" t="s">
        <v>1134</v>
      </c>
      <c r="L37" s="116">
        <v>21.45</v>
      </c>
    </row>
    <row r="38" spans="1:12" hidden="1" outlineLevel="1" collapsed="1" x14ac:dyDescent="0.35">
      <c r="A38" s="112" t="s">
        <v>1090</v>
      </c>
      <c r="B38" s="112" t="s">
        <v>893</v>
      </c>
      <c r="C38" s="112" t="s">
        <v>1095</v>
      </c>
      <c r="D38" s="113">
        <v>10348451</v>
      </c>
      <c r="E38" s="115">
        <v>43949</v>
      </c>
      <c r="F38" s="114">
        <v>202101</v>
      </c>
      <c r="G38" s="112" t="s">
        <v>1091</v>
      </c>
      <c r="H38" s="112" t="s">
        <v>1015</v>
      </c>
      <c r="I38" s="112" t="s">
        <v>1096</v>
      </c>
      <c r="J38" s="112" t="s">
        <v>1097</v>
      </c>
      <c r="K38" s="112" t="s">
        <v>1098</v>
      </c>
      <c r="L38" s="116">
        <v>78.010000000000005</v>
      </c>
    </row>
    <row r="39" spans="1:12" hidden="1" outlineLevel="1" collapsed="1" x14ac:dyDescent="0.35">
      <c r="A39" s="112" t="s">
        <v>1090</v>
      </c>
      <c r="B39" s="112" t="s">
        <v>894</v>
      </c>
      <c r="C39" s="112" t="s">
        <v>695</v>
      </c>
      <c r="D39" s="113">
        <v>10348100</v>
      </c>
      <c r="E39" s="115">
        <v>43929</v>
      </c>
      <c r="F39" s="114">
        <v>202101</v>
      </c>
      <c r="G39" s="112" t="s">
        <v>1091</v>
      </c>
      <c r="H39" s="112" t="s">
        <v>1016</v>
      </c>
      <c r="I39" s="112" t="s">
        <v>680</v>
      </c>
      <c r="J39" s="112" t="s">
        <v>1135</v>
      </c>
      <c r="K39" s="112" t="s">
        <v>1136</v>
      </c>
      <c r="L39" s="116">
        <v>-4500</v>
      </c>
    </row>
    <row r="40" spans="1:12" hidden="1" outlineLevel="1" collapsed="1" x14ac:dyDescent="0.35">
      <c r="A40" s="112" t="s">
        <v>1090</v>
      </c>
      <c r="B40" s="112" t="s">
        <v>893</v>
      </c>
      <c r="C40" s="112" t="s">
        <v>1099</v>
      </c>
      <c r="D40" s="113">
        <v>1069590</v>
      </c>
      <c r="E40" s="115">
        <v>43931</v>
      </c>
      <c r="F40" s="114">
        <v>202101</v>
      </c>
      <c r="G40" s="112" t="s">
        <v>1091</v>
      </c>
      <c r="H40" s="112" t="s">
        <v>1015</v>
      </c>
      <c r="I40" s="112" t="s">
        <v>1137</v>
      </c>
      <c r="J40" s="112" t="s">
        <v>1097</v>
      </c>
      <c r="K40" s="112" t="s">
        <v>1138</v>
      </c>
      <c r="L40" s="116">
        <v>795.56</v>
      </c>
    </row>
    <row r="41" spans="1:12" hidden="1" outlineLevel="1" collapsed="1" x14ac:dyDescent="0.35">
      <c r="A41" s="112" t="s">
        <v>1090</v>
      </c>
      <c r="B41" s="112" t="s">
        <v>893</v>
      </c>
      <c r="C41" s="112" t="s">
        <v>695</v>
      </c>
      <c r="D41" s="113">
        <v>10348431</v>
      </c>
      <c r="E41" s="115">
        <v>43945</v>
      </c>
      <c r="F41" s="114">
        <v>202101</v>
      </c>
      <c r="G41" s="112" t="s">
        <v>1091</v>
      </c>
      <c r="H41" s="112" t="s">
        <v>1015</v>
      </c>
      <c r="I41" s="112" t="s">
        <v>775</v>
      </c>
      <c r="J41" s="112" t="s">
        <v>1097</v>
      </c>
      <c r="K41" s="112" t="s">
        <v>1139</v>
      </c>
      <c r="L41" s="116">
        <v>340</v>
      </c>
    </row>
    <row r="42" spans="1:12" hidden="1" outlineLevel="1" collapsed="1" x14ac:dyDescent="0.35">
      <c r="A42" s="112" t="s">
        <v>1090</v>
      </c>
      <c r="B42" s="112" t="s">
        <v>893</v>
      </c>
      <c r="C42" s="112" t="s">
        <v>695</v>
      </c>
      <c r="D42" s="113">
        <v>10348431</v>
      </c>
      <c r="E42" s="115">
        <v>43945</v>
      </c>
      <c r="F42" s="114">
        <v>202101</v>
      </c>
      <c r="G42" s="112" t="s">
        <v>1091</v>
      </c>
      <c r="H42" s="112" t="s">
        <v>1015</v>
      </c>
      <c r="I42" s="112" t="s">
        <v>775</v>
      </c>
      <c r="J42" s="112" t="s">
        <v>1097</v>
      </c>
      <c r="K42" s="112" t="s">
        <v>1140</v>
      </c>
      <c r="L42" s="116">
        <v>340</v>
      </c>
    </row>
    <row r="43" spans="1:12" hidden="1" outlineLevel="1" collapsed="1" x14ac:dyDescent="0.35">
      <c r="A43" s="112" t="s">
        <v>1090</v>
      </c>
      <c r="B43" s="112" t="s">
        <v>892</v>
      </c>
      <c r="C43" s="112" t="s">
        <v>695</v>
      </c>
      <c r="D43" s="113">
        <v>10348431</v>
      </c>
      <c r="E43" s="115">
        <v>43945</v>
      </c>
      <c r="F43" s="114">
        <v>202101</v>
      </c>
      <c r="G43" s="112" t="s">
        <v>1091</v>
      </c>
      <c r="H43" s="112" t="s">
        <v>1015</v>
      </c>
      <c r="I43" s="112" t="s">
        <v>775</v>
      </c>
      <c r="J43" s="112" t="s">
        <v>1141</v>
      </c>
      <c r="K43" s="112" t="s">
        <v>1142</v>
      </c>
      <c r="L43" s="116">
        <v>170</v>
      </c>
    </row>
    <row r="44" spans="1:12" hidden="1" outlineLevel="1" collapsed="1" x14ac:dyDescent="0.35">
      <c r="A44" s="112" t="s">
        <v>1090</v>
      </c>
      <c r="B44" s="112" t="s">
        <v>894</v>
      </c>
      <c r="C44" s="112" t="s">
        <v>1095</v>
      </c>
      <c r="D44" s="113">
        <v>10348451</v>
      </c>
      <c r="E44" s="115">
        <v>43949</v>
      </c>
      <c r="F44" s="114">
        <v>202101</v>
      </c>
      <c r="G44" s="112" t="s">
        <v>1091</v>
      </c>
      <c r="H44" s="112" t="s">
        <v>1015</v>
      </c>
      <c r="I44" s="112" t="s">
        <v>1096</v>
      </c>
      <c r="J44" s="112" t="s">
        <v>1118</v>
      </c>
      <c r="K44" s="112" t="s">
        <v>1098</v>
      </c>
      <c r="L44" s="116">
        <v>42.37</v>
      </c>
    </row>
    <row r="45" spans="1:12" hidden="1" outlineLevel="1" collapsed="1" x14ac:dyDescent="0.35">
      <c r="A45" s="112" t="s">
        <v>1090</v>
      </c>
      <c r="B45" s="112" t="s">
        <v>893</v>
      </c>
      <c r="C45" s="112" t="s">
        <v>695</v>
      </c>
      <c r="D45" s="113">
        <v>10348321</v>
      </c>
      <c r="E45" s="115">
        <v>43941</v>
      </c>
      <c r="F45" s="114">
        <v>202101</v>
      </c>
      <c r="G45" s="112" t="s">
        <v>1091</v>
      </c>
      <c r="H45" s="112" t="s">
        <v>1015</v>
      </c>
      <c r="I45" s="112" t="s">
        <v>775</v>
      </c>
      <c r="J45" s="112" t="s">
        <v>1097</v>
      </c>
      <c r="K45" s="112" t="s">
        <v>1143</v>
      </c>
      <c r="L45" s="116">
        <v>330</v>
      </c>
    </row>
    <row r="46" spans="1:12" hidden="1" outlineLevel="1" collapsed="1" x14ac:dyDescent="0.35">
      <c r="A46" s="112" t="s">
        <v>1090</v>
      </c>
      <c r="B46" s="112" t="s">
        <v>893</v>
      </c>
      <c r="C46" s="112" t="s">
        <v>695</v>
      </c>
      <c r="D46" s="113">
        <v>10348321</v>
      </c>
      <c r="E46" s="115">
        <v>43941</v>
      </c>
      <c r="F46" s="114">
        <v>202101</v>
      </c>
      <c r="G46" s="112" t="s">
        <v>1091</v>
      </c>
      <c r="H46" s="112" t="s">
        <v>1015</v>
      </c>
      <c r="I46" s="112" t="s">
        <v>775</v>
      </c>
      <c r="J46" s="112" t="s">
        <v>1097</v>
      </c>
      <c r="K46" s="112" t="s">
        <v>1144</v>
      </c>
      <c r="L46" s="116">
        <v>5350.4</v>
      </c>
    </row>
    <row r="47" spans="1:12" hidden="1" outlineLevel="1" collapsed="1" x14ac:dyDescent="0.35">
      <c r="A47" s="112" t="s">
        <v>1090</v>
      </c>
      <c r="B47" s="112" t="s">
        <v>894</v>
      </c>
      <c r="C47" s="112" t="s">
        <v>695</v>
      </c>
      <c r="D47" s="113">
        <v>10348061</v>
      </c>
      <c r="E47" s="115">
        <v>43928</v>
      </c>
      <c r="F47" s="114">
        <v>202101</v>
      </c>
      <c r="G47" s="112" t="s">
        <v>1091</v>
      </c>
      <c r="H47" s="112" t="s">
        <v>1016</v>
      </c>
      <c r="I47" s="112" t="s">
        <v>1131</v>
      </c>
      <c r="J47" s="112" t="s">
        <v>1093</v>
      </c>
      <c r="K47" s="112" t="s">
        <v>1145</v>
      </c>
      <c r="L47" s="116">
        <v>6000</v>
      </c>
    </row>
    <row r="48" spans="1:12" hidden="1" outlineLevel="1" collapsed="1" x14ac:dyDescent="0.35">
      <c r="A48" s="112" t="s">
        <v>1090</v>
      </c>
      <c r="B48" s="112" t="s">
        <v>893</v>
      </c>
      <c r="C48" s="112" t="s">
        <v>695</v>
      </c>
      <c r="D48" s="113">
        <v>10348324</v>
      </c>
      <c r="E48" s="115">
        <v>43941</v>
      </c>
      <c r="F48" s="114">
        <v>202101</v>
      </c>
      <c r="G48" s="112" t="s">
        <v>1091</v>
      </c>
      <c r="H48" s="112" t="s">
        <v>1015</v>
      </c>
      <c r="I48" s="112" t="s">
        <v>1104</v>
      </c>
      <c r="J48" s="112" t="s">
        <v>1097</v>
      </c>
      <c r="K48" s="112" t="s">
        <v>1146</v>
      </c>
      <c r="L48" s="116">
        <v>1282.18</v>
      </c>
    </row>
    <row r="49" spans="1:12" hidden="1" outlineLevel="1" collapsed="1" x14ac:dyDescent="0.35">
      <c r="A49" s="112" t="s">
        <v>1090</v>
      </c>
      <c r="B49" s="112" t="s">
        <v>893</v>
      </c>
      <c r="C49" s="112" t="s">
        <v>695</v>
      </c>
      <c r="D49" s="113">
        <v>10348321</v>
      </c>
      <c r="E49" s="115">
        <v>43941</v>
      </c>
      <c r="F49" s="114">
        <v>202101</v>
      </c>
      <c r="G49" s="112" t="s">
        <v>1091</v>
      </c>
      <c r="H49" s="112" t="s">
        <v>1015</v>
      </c>
      <c r="I49" s="112" t="s">
        <v>761</v>
      </c>
      <c r="J49" s="112" t="s">
        <v>1097</v>
      </c>
      <c r="K49" s="112" t="s">
        <v>1147</v>
      </c>
      <c r="L49" s="116">
        <v>126</v>
      </c>
    </row>
    <row r="50" spans="1:12" hidden="1" outlineLevel="1" collapsed="1" x14ac:dyDescent="0.35">
      <c r="A50" s="112" t="s">
        <v>1090</v>
      </c>
      <c r="B50" s="112" t="s">
        <v>894</v>
      </c>
      <c r="C50" s="112" t="s">
        <v>1099</v>
      </c>
      <c r="D50" s="113">
        <v>1068933</v>
      </c>
      <c r="E50" s="115">
        <v>43899</v>
      </c>
      <c r="F50" s="114">
        <v>202101</v>
      </c>
      <c r="G50" s="112" t="s">
        <v>1091</v>
      </c>
      <c r="H50" s="112" t="s">
        <v>1015</v>
      </c>
      <c r="I50" s="112" t="s">
        <v>1148</v>
      </c>
      <c r="J50" s="112" t="s">
        <v>1093</v>
      </c>
      <c r="K50" s="112" t="s">
        <v>1149</v>
      </c>
      <c r="L50" s="116">
        <v>240</v>
      </c>
    </row>
    <row r="51" spans="1:12" hidden="1" outlineLevel="1" collapsed="1" x14ac:dyDescent="0.35">
      <c r="A51" s="112" t="s">
        <v>1090</v>
      </c>
      <c r="B51" s="112" t="s">
        <v>894</v>
      </c>
      <c r="C51" s="112" t="s">
        <v>1095</v>
      </c>
      <c r="D51" s="113">
        <v>10348451</v>
      </c>
      <c r="E51" s="115">
        <v>43949</v>
      </c>
      <c r="F51" s="114">
        <v>202101</v>
      </c>
      <c r="G51" s="112" t="s">
        <v>1091</v>
      </c>
      <c r="H51" s="112" t="s">
        <v>1015</v>
      </c>
      <c r="I51" s="112" t="s">
        <v>1101</v>
      </c>
      <c r="J51" s="112" t="s">
        <v>1093</v>
      </c>
      <c r="K51" s="112" t="s">
        <v>1098</v>
      </c>
      <c r="L51" s="116">
        <v>441.01</v>
      </c>
    </row>
    <row r="52" spans="1:12" hidden="1" outlineLevel="1" collapsed="1" x14ac:dyDescent="0.35">
      <c r="A52" s="112" t="s">
        <v>1090</v>
      </c>
      <c r="B52" s="112" t="s">
        <v>893</v>
      </c>
      <c r="C52" s="112" t="s">
        <v>1150</v>
      </c>
      <c r="D52" s="113">
        <v>10348573</v>
      </c>
      <c r="E52" s="115">
        <v>43958</v>
      </c>
      <c r="F52" s="114">
        <v>202101</v>
      </c>
      <c r="G52" s="112" t="s">
        <v>1091</v>
      </c>
      <c r="H52" s="112" t="s">
        <v>1015</v>
      </c>
      <c r="I52" s="112" t="s">
        <v>777</v>
      </c>
      <c r="J52" s="112" t="s">
        <v>1109</v>
      </c>
      <c r="K52" s="112" t="s">
        <v>1151</v>
      </c>
      <c r="L52" s="116">
        <v>635.25</v>
      </c>
    </row>
    <row r="53" spans="1:12" hidden="1" outlineLevel="1" collapsed="1" x14ac:dyDescent="0.35">
      <c r="A53" s="112" t="s">
        <v>1090</v>
      </c>
      <c r="B53" s="112" t="s">
        <v>894</v>
      </c>
      <c r="C53" s="112" t="s">
        <v>1095</v>
      </c>
      <c r="D53" s="113">
        <v>10348451</v>
      </c>
      <c r="E53" s="115">
        <v>43949</v>
      </c>
      <c r="F53" s="114">
        <v>202101</v>
      </c>
      <c r="G53" s="112" t="s">
        <v>1091</v>
      </c>
      <c r="H53" s="112" t="s">
        <v>1015</v>
      </c>
      <c r="I53" s="112" t="s">
        <v>1101</v>
      </c>
      <c r="J53" s="112" t="s">
        <v>1118</v>
      </c>
      <c r="K53" s="112" t="s">
        <v>1098</v>
      </c>
      <c r="L53" s="116">
        <v>298.97000000000003</v>
      </c>
    </row>
    <row r="54" spans="1:12" hidden="1" outlineLevel="1" collapsed="1" x14ac:dyDescent="0.35">
      <c r="A54" s="112" t="s">
        <v>1090</v>
      </c>
      <c r="B54" s="112" t="s">
        <v>893</v>
      </c>
      <c r="C54" s="112" t="s">
        <v>695</v>
      </c>
      <c r="D54" s="113">
        <v>10347981</v>
      </c>
      <c r="E54" s="115">
        <v>43924</v>
      </c>
      <c r="F54" s="114">
        <v>202101</v>
      </c>
      <c r="G54" s="112" t="s">
        <v>1091</v>
      </c>
      <c r="H54" s="112" t="s">
        <v>1015</v>
      </c>
      <c r="I54" s="112" t="s">
        <v>775</v>
      </c>
      <c r="J54" s="112" t="s">
        <v>1109</v>
      </c>
      <c r="K54" s="112" t="s">
        <v>1152</v>
      </c>
      <c r="L54" s="116">
        <v>-285</v>
      </c>
    </row>
    <row r="55" spans="1:12" hidden="1" outlineLevel="1" collapsed="1" x14ac:dyDescent="0.35">
      <c r="A55" s="112" t="s">
        <v>1090</v>
      </c>
      <c r="B55" s="112" t="s">
        <v>893</v>
      </c>
      <c r="C55" s="112" t="s">
        <v>695</v>
      </c>
      <c r="D55" s="113">
        <v>10348321</v>
      </c>
      <c r="E55" s="115">
        <v>43941</v>
      </c>
      <c r="F55" s="114">
        <v>202101</v>
      </c>
      <c r="G55" s="112" t="s">
        <v>1091</v>
      </c>
      <c r="H55" s="112" t="s">
        <v>1015</v>
      </c>
      <c r="I55" s="112" t="s">
        <v>1153</v>
      </c>
      <c r="J55" s="112" t="s">
        <v>1097</v>
      </c>
      <c r="K55" s="112" t="s">
        <v>1154</v>
      </c>
      <c r="L55" s="116">
        <v>-2400</v>
      </c>
    </row>
    <row r="56" spans="1:12" hidden="1" outlineLevel="1" collapsed="1" x14ac:dyDescent="0.35">
      <c r="A56" s="112" t="s">
        <v>1090</v>
      </c>
      <c r="B56" s="112" t="s">
        <v>893</v>
      </c>
      <c r="C56" s="112" t="s">
        <v>695</v>
      </c>
      <c r="D56" s="113">
        <v>10348321</v>
      </c>
      <c r="E56" s="115">
        <v>43941</v>
      </c>
      <c r="F56" s="114">
        <v>202101</v>
      </c>
      <c r="G56" s="112" t="s">
        <v>1091</v>
      </c>
      <c r="H56" s="112" t="s">
        <v>1015</v>
      </c>
      <c r="I56" s="112" t="s">
        <v>1153</v>
      </c>
      <c r="J56" s="112" t="s">
        <v>1097</v>
      </c>
      <c r="K56" s="112" t="s">
        <v>1155</v>
      </c>
      <c r="L56" s="116">
        <v>-126</v>
      </c>
    </row>
    <row r="57" spans="1:12" hidden="1" outlineLevel="1" collapsed="1" x14ac:dyDescent="0.35">
      <c r="A57" s="112" t="s">
        <v>1090</v>
      </c>
      <c r="B57" s="112" t="s">
        <v>893</v>
      </c>
      <c r="C57" s="112" t="s">
        <v>695</v>
      </c>
      <c r="D57" s="113">
        <v>10348321</v>
      </c>
      <c r="E57" s="115">
        <v>43941</v>
      </c>
      <c r="F57" s="114">
        <v>202101</v>
      </c>
      <c r="G57" s="112" t="s">
        <v>1091</v>
      </c>
      <c r="H57" s="112" t="s">
        <v>1015</v>
      </c>
      <c r="I57" s="112" t="s">
        <v>1153</v>
      </c>
      <c r="J57" s="112" t="s">
        <v>1097</v>
      </c>
      <c r="K57" s="112" t="s">
        <v>1156</v>
      </c>
      <c r="L57" s="116">
        <v>-5350.4</v>
      </c>
    </row>
    <row r="58" spans="1:12" hidden="1" outlineLevel="1" collapsed="1" x14ac:dyDescent="0.35">
      <c r="A58" s="112" t="s">
        <v>1090</v>
      </c>
      <c r="B58" s="112" t="s">
        <v>892</v>
      </c>
      <c r="C58" s="112" t="s">
        <v>1095</v>
      </c>
      <c r="D58" s="113">
        <v>10348451</v>
      </c>
      <c r="E58" s="115">
        <v>43949</v>
      </c>
      <c r="F58" s="114">
        <v>202101</v>
      </c>
      <c r="G58" s="112" t="s">
        <v>1091</v>
      </c>
      <c r="H58" s="112" t="s">
        <v>1015</v>
      </c>
      <c r="I58" s="112" t="s">
        <v>1096</v>
      </c>
      <c r="J58" s="112" t="s">
        <v>1114</v>
      </c>
      <c r="K58" s="112" t="s">
        <v>1098</v>
      </c>
      <c r="L58" s="116">
        <v>1005.55</v>
      </c>
    </row>
    <row r="59" spans="1:12" hidden="1" outlineLevel="1" collapsed="1" x14ac:dyDescent="0.35">
      <c r="A59" s="112" t="s">
        <v>1090</v>
      </c>
      <c r="B59" s="112" t="s">
        <v>894</v>
      </c>
      <c r="C59" s="112" t="s">
        <v>1095</v>
      </c>
      <c r="D59" s="113">
        <v>10348451</v>
      </c>
      <c r="E59" s="115">
        <v>43949</v>
      </c>
      <c r="F59" s="114">
        <v>202101</v>
      </c>
      <c r="G59" s="112" t="s">
        <v>1091</v>
      </c>
      <c r="H59" s="112" t="s">
        <v>1015</v>
      </c>
      <c r="I59" s="112" t="s">
        <v>1116</v>
      </c>
      <c r="J59" s="112" t="s">
        <v>1118</v>
      </c>
      <c r="K59" s="112" t="s">
        <v>1098</v>
      </c>
      <c r="L59" s="116">
        <v>1602.5</v>
      </c>
    </row>
    <row r="60" spans="1:12" hidden="1" outlineLevel="1" collapsed="1" x14ac:dyDescent="0.35">
      <c r="A60" s="112" t="s">
        <v>1090</v>
      </c>
      <c r="B60" s="112" t="s">
        <v>893</v>
      </c>
      <c r="C60" s="112" t="s">
        <v>1095</v>
      </c>
      <c r="D60" s="113">
        <v>10348451</v>
      </c>
      <c r="E60" s="115">
        <v>43949</v>
      </c>
      <c r="F60" s="114">
        <v>202101</v>
      </c>
      <c r="G60" s="112" t="s">
        <v>1091</v>
      </c>
      <c r="H60" s="112" t="s">
        <v>1015</v>
      </c>
      <c r="I60" s="112" t="s">
        <v>1096</v>
      </c>
      <c r="J60" s="112" t="s">
        <v>1097</v>
      </c>
      <c r="K60" s="112" t="s">
        <v>1098</v>
      </c>
      <c r="L60" s="116">
        <v>323.45</v>
      </c>
    </row>
    <row r="61" spans="1:12" hidden="1" outlineLevel="1" collapsed="1" x14ac:dyDescent="0.35">
      <c r="A61" s="112" t="s">
        <v>1090</v>
      </c>
      <c r="B61" s="112" t="s">
        <v>894</v>
      </c>
      <c r="C61" s="112" t="s">
        <v>1095</v>
      </c>
      <c r="D61" s="113">
        <v>10348451</v>
      </c>
      <c r="E61" s="115">
        <v>43949</v>
      </c>
      <c r="F61" s="114">
        <v>202101</v>
      </c>
      <c r="G61" s="112" t="s">
        <v>1091</v>
      </c>
      <c r="H61" s="112" t="s">
        <v>1015</v>
      </c>
      <c r="I61" s="112" t="s">
        <v>1096</v>
      </c>
      <c r="J61" s="112" t="s">
        <v>1093</v>
      </c>
      <c r="K61" s="112" t="s">
        <v>1098</v>
      </c>
      <c r="L61" s="116">
        <v>310.49</v>
      </c>
    </row>
    <row r="62" spans="1:12" hidden="1" outlineLevel="1" collapsed="1" x14ac:dyDescent="0.35">
      <c r="A62" s="112" t="s">
        <v>1090</v>
      </c>
      <c r="B62" s="112" t="s">
        <v>892</v>
      </c>
      <c r="C62" s="112" t="s">
        <v>1095</v>
      </c>
      <c r="D62" s="113">
        <v>10348451</v>
      </c>
      <c r="E62" s="115">
        <v>43949</v>
      </c>
      <c r="F62" s="114">
        <v>202101</v>
      </c>
      <c r="G62" s="112" t="s">
        <v>1091</v>
      </c>
      <c r="H62" s="112" t="s">
        <v>1015</v>
      </c>
      <c r="I62" s="112" t="s">
        <v>1096</v>
      </c>
      <c r="J62" s="112" t="s">
        <v>1114</v>
      </c>
      <c r="K62" s="112" t="s">
        <v>1098</v>
      </c>
      <c r="L62" s="116">
        <v>765.02</v>
      </c>
    </row>
    <row r="63" spans="1:12" hidden="1" outlineLevel="1" collapsed="1" x14ac:dyDescent="0.35">
      <c r="A63" s="112" t="s">
        <v>1090</v>
      </c>
      <c r="B63" s="112" t="s">
        <v>893</v>
      </c>
      <c r="C63" s="112" t="s">
        <v>695</v>
      </c>
      <c r="D63" s="113">
        <v>10348321</v>
      </c>
      <c r="E63" s="115">
        <v>43941</v>
      </c>
      <c r="F63" s="114">
        <v>202101</v>
      </c>
      <c r="G63" s="112" t="s">
        <v>1091</v>
      </c>
      <c r="H63" s="112" t="s">
        <v>1015</v>
      </c>
      <c r="I63" s="112" t="s">
        <v>1153</v>
      </c>
      <c r="J63" s="112" t="s">
        <v>1097</v>
      </c>
      <c r="K63" s="112" t="s">
        <v>1157</v>
      </c>
      <c r="L63" s="116">
        <v>-330</v>
      </c>
    </row>
    <row r="64" spans="1:12" hidden="1" outlineLevel="1" collapsed="1" x14ac:dyDescent="0.35">
      <c r="A64" s="112" t="s">
        <v>1090</v>
      </c>
      <c r="B64" s="112" t="s">
        <v>893</v>
      </c>
      <c r="C64" s="112" t="s">
        <v>695</v>
      </c>
      <c r="D64" s="113">
        <v>10347981</v>
      </c>
      <c r="E64" s="115">
        <v>43924</v>
      </c>
      <c r="F64" s="114">
        <v>202101</v>
      </c>
      <c r="G64" s="112" t="s">
        <v>1091</v>
      </c>
      <c r="H64" s="112" t="s">
        <v>1015</v>
      </c>
      <c r="I64" s="112" t="s">
        <v>761</v>
      </c>
      <c r="J64" s="112" t="s">
        <v>1109</v>
      </c>
      <c r="K64" s="112" t="s">
        <v>1158</v>
      </c>
      <c r="L64" s="116">
        <v>-2000</v>
      </c>
    </row>
    <row r="65" spans="1:12" hidden="1" outlineLevel="1" collapsed="1" x14ac:dyDescent="0.35">
      <c r="A65" s="112" t="s">
        <v>1090</v>
      </c>
      <c r="B65" s="112" t="s">
        <v>894</v>
      </c>
      <c r="C65" s="112" t="s">
        <v>1119</v>
      </c>
      <c r="D65" s="113">
        <v>10348046</v>
      </c>
      <c r="E65" s="115">
        <v>43928</v>
      </c>
      <c r="F65" s="114">
        <v>202101</v>
      </c>
      <c r="G65" s="112" t="s">
        <v>1091</v>
      </c>
      <c r="H65" s="112" t="s">
        <v>1015</v>
      </c>
      <c r="I65" s="112" t="s">
        <v>761</v>
      </c>
      <c r="J65" s="112" t="s">
        <v>1135</v>
      </c>
      <c r="K65" s="112" t="s">
        <v>1120</v>
      </c>
      <c r="L65" s="116">
        <v>4041</v>
      </c>
    </row>
    <row r="66" spans="1:12" hidden="1" outlineLevel="1" collapsed="1" x14ac:dyDescent="0.35">
      <c r="A66" s="112" t="s">
        <v>1090</v>
      </c>
      <c r="B66" s="112" t="s">
        <v>894</v>
      </c>
      <c r="C66" s="112" t="s">
        <v>695</v>
      </c>
      <c r="D66" s="113">
        <v>10348061</v>
      </c>
      <c r="E66" s="115">
        <v>43928</v>
      </c>
      <c r="F66" s="114">
        <v>202101</v>
      </c>
      <c r="G66" s="112" t="s">
        <v>1091</v>
      </c>
      <c r="H66" s="112" t="s">
        <v>1016</v>
      </c>
      <c r="I66" s="112" t="s">
        <v>1131</v>
      </c>
      <c r="J66" s="112" t="s">
        <v>1117</v>
      </c>
      <c r="K66" s="112" t="s">
        <v>1159</v>
      </c>
      <c r="L66" s="116">
        <v>10400</v>
      </c>
    </row>
    <row r="67" spans="1:12" hidden="1" outlineLevel="1" collapsed="1" x14ac:dyDescent="0.35">
      <c r="A67" s="112" t="s">
        <v>1090</v>
      </c>
      <c r="B67" s="112" t="s">
        <v>893</v>
      </c>
      <c r="C67" s="112" t="s">
        <v>695</v>
      </c>
      <c r="D67" s="113">
        <v>10347981</v>
      </c>
      <c r="E67" s="115">
        <v>43924</v>
      </c>
      <c r="F67" s="114">
        <v>202101</v>
      </c>
      <c r="G67" s="112" t="s">
        <v>1091</v>
      </c>
      <c r="H67" s="112" t="s">
        <v>1015</v>
      </c>
      <c r="I67" s="112" t="s">
        <v>775</v>
      </c>
      <c r="J67" s="112" t="s">
        <v>1097</v>
      </c>
      <c r="K67" s="112" t="s">
        <v>1160</v>
      </c>
      <c r="L67" s="116">
        <v>-340</v>
      </c>
    </row>
    <row r="68" spans="1:12" hidden="1" outlineLevel="1" collapsed="1" x14ac:dyDescent="0.35">
      <c r="A68" s="112" t="s">
        <v>1090</v>
      </c>
      <c r="B68" s="112" t="s">
        <v>893</v>
      </c>
      <c r="C68" s="112" t="s">
        <v>695</v>
      </c>
      <c r="D68" s="113">
        <v>10347981</v>
      </c>
      <c r="E68" s="115">
        <v>43924</v>
      </c>
      <c r="F68" s="114">
        <v>202101</v>
      </c>
      <c r="G68" s="112" t="s">
        <v>1091</v>
      </c>
      <c r="H68" s="112" t="s">
        <v>1015</v>
      </c>
      <c r="I68" s="112" t="s">
        <v>775</v>
      </c>
      <c r="J68" s="112" t="s">
        <v>1097</v>
      </c>
      <c r="K68" s="112" t="s">
        <v>1161</v>
      </c>
      <c r="L68" s="116">
        <v>-2400</v>
      </c>
    </row>
    <row r="69" spans="1:12" hidden="1" outlineLevel="1" collapsed="1" x14ac:dyDescent="0.35">
      <c r="A69" s="112" t="s">
        <v>1090</v>
      </c>
      <c r="B69" s="112" t="s">
        <v>893</v>
      </c>
      <c r="C69" s="112" t="s">
        <v>695</v>
      </c>
      <c r="D69" s="113">
        <v>10347981</v>
      </c>
      <c r="E69" s="115">
        <v>43924</v>
      </c>
      <c r="F69" s="114">
        <v>202101</v>
      </c>
      <c r="G69" s="112" t="s">
        <v>1091</v>
      </c>
      <c r="H69" s="112" t="s">
        <v>1015</v>
      </c>
      <c r="I69" s="112" t="s">
        <v>775</v>
      </c>
      <c r="J69" s="112" t="s">
        <v>1097</v>
      </c>
      <c r="K69" s="112" t="s">
        <v>1162</v>
      </c>
      <c r="L69" s="116">
        <v>-340</v>
      </c>
    </row>
    <row r="70" spans="1:12" hidden="1" outlineLevel="1" collapsed="1" x14ac:dyDescent="0.35">
      <c r="A70" s="112" t="s">
        <v>1090</v>
      </c>
      <c r="B70" s="112" t="s">
        <v>894</v>
      </c>
      <c r="C70" s="112" t="s">
        <v>695</v>
      </c>
      <c r="D70" s="113">
        <v>10348048</v>
      </c>
      <c r="E70" s="115">
        <v>43928</v>
      </c>
      <c r="F70" s="114">
        <v>202101</v>
      </c>
      <c r="G70" s="112" t="s">
        <v>1091</v>
      </c>
      <c r="H70" s="112" t="s">
        <v>1015</v>
      </c>
      <c r="I70" s="112" t="s">
        <v>761</v>
      </c>
      <c r="J70" s="112" t="s">
        <v>1135</v>
      </c>
      <c r="K70" s="112" t="s">
        <v>1163</v>
      </c>
      <c r="L70" s="116">
        <v>-4041</v>
      </c>
    </row>
    <row r="71" spans="1:12" hidden="1" outlineLevel="1" collapsed="1" x14ac:dyDescent="0.35">
      <c r="A71" s="112" t="s">
        <v>1090</v>
      </c>
      <c r="B71" s="112" t="s">
        <v>893</v>
      </c>
      <c r="C71" s="112" t="s">
        <v>1095</v>
      </c>
      <c r="D71" s="113">
        <v>10348451</v>
      </c>
      <c r="E71" s="115">
        <v>43949</v>
      </c>
      <c r="F71" s="114">
        <v>202101</v>
      </c>
      <c r="G71" s="112" t="s">
        <v>1091</v>
      </c>
      <c r="H71" s="112" t="s">
        <v>1015</v>
      </c>
      <c r="I71" s="112" t="s">
        <v>1096</v>
      </c>
      <c r="J71" s="112" t="s">
        <v>1097</v>
      </c>
      <c r="K71" s="112" t="s">
        <v>1098</v>
      </c>
      <c r="L71" s="116">
        <v>262.10000000000002</v>
      </c>
    </row>
    <row r="72" spans="1:12" hidden="1" outlineLevel="1" collapsed="1" x14ac:dyDescent="0.35">
      <c r="A72" s="112" t="s">
        <v>1090</v>
      </c>
      <c r="B72" s="112" t="s">
        <v>894</v>
      </c>
      <c r="C72" s="112" t="s">
        <v>1095</v>
      </c>
      <c r="D72" s="113">
        <v>10348451</v>
      </c>
      <c r="E72" s="115">
        <v>43949</v>
      </c>
      <c r="F72" s="114">
        <v>202101</v>
      </c>
      <c r="G72" s="112" t="s">
        <v>1091</v>
      </c>
      <c r="H72" s="112" t="s">
        <v>1015</v>
      </c>
      <c r="I72" s="112" t="s">
        <v>1096</v>
      </c>
      <c r="J72" s="112" t="s">
        <v>1117</v>
      </c>
      <c r="K72" s="112" t="s">
        <v>1098</v>
      </c>
      <c r="L72" s="116">
        <v>76.930000000000007</v>
      </c>
    </row>
    <row r="73" spans="1:12" hidden="1" outlineLevel="1" collapsed="1" x14ac:dyDescent="0.35">
      <c r="A73" s="112" t="s">
        <v>1090</v>
      </c>
      <c r="B73" s="112" t="s">
        <v>892</v>
      </c>
      <c r="C73" s="112" t="s">
        <v>1095</v>
      </c>
      <c r="D73" s="113">
        <v>10348451</v>
      </c>
      <c r="E73" s="115">
        <v>43949</v>
      </c>
      <c r="F73" s="114">
        <v>202101</v>
      </c>
      <c r="G73" s="112" t="s">
        <v>1091</v>
      </c>
      <c r="H73" s="112" t="s">
        <v>1015</v>
      </c>
      <c r="I73" s="112" t="s">
        <v>1101</v>
      </c>
      <c r="J73" s="112" t="s">
        <v>1114</v>
      </c>
      <c r="K73" s="112" t="s">
        <v>1098</v>
      </c>
      <c r="L73" s="116">
        <v>1299.01</v>
      </c>
    </row>
    <row r="74" spans="1:12" hidden="1" outlineLevel="1" collapsed="1" x14ac:dyDescent="0.35">
      <c r="A74" s="112" t="s">
        <v>1090</v>
      </c>
      <c r="B74" s="112" t="s">
        <v>893</v>
      </c>
      <c r="C74" s="112" t="s">
        <v>1095</v>
      </c>
      <c r="D74" s="113">
        <v>10348451</v>
      </c>
      <c r="E74" s="115">
        <v>43949</v>
      </c>
      <c r="F74" s="114">
        <v>202101</v>
      </c>
      <c r="G74" s="112" t="s">
        <v>1091</v>
      </c>
      <c r="H74" s="112" t="s">
        <v>1015</v>
      </c>
      <c r="I74" s="112" t="s">
        <v>1101</v>
      </c>
      <c r="J74" s="112" t="s">
        <v>1097</v>
      </c>
      <c r="K74" s="112" t="s">
        <v>1098</v>
      </c>
      <c r="L74" s="116">
        <v>426.26</v>
      </c>
    </row>
    <row r="75" spans="1:12" hidden="1" outlineLevel="1" collapsed="1" x14ac:dyDescent="0.35">
      <c r="A75" s="112" t="s">
        <v>1090</v>
      </c>
      <c r="B75" s="112" t="s">
        <v>893</v>
      </c>
      <c r="C75" s="112" t="s">
        <v>695</v>
      </c>
      <c r="D75" s="113">
        <v>10347981</v>
      </c>
      <c r="E75" s="115">
        <v>43924</v>
      </c>
      <c r="F75" s="114">
        <v>202101</v>
      </c>
      <c r="G75" s="112" t="s">
        <v>1091</v>
      </c>
      <c r="H75" s="112" t="s">
        <v>1015</v>
      </c>
      <c r="I75" s="112" t="s">
        <v>1164</v>
      </c>
      <c r="J75" s="112" t="s">
        <v>1097</v>
      </c>
      <c r="K75" s="112" t="s">
        <v>1165</v>
      </c>
      <c r="L75" s="116">
        <v>-1468.28</v>
      </c>
    </row>
    <row r="76" spans="1:12" hidden="1" outlineLevel="1" collapsed="1" x14ac:dyDescent="0.35">
      <c r="A76" s="112" t="s">
        <v>1090</v>
      </c>
      <c r="B76" s="112" t="s">
        <v>894</v>
      </c>
      <c r="C76" s="112" t="s">
        <v>1095</v>
      </c>
      <c r="D76" s="113">
        <v>10348451</v>
      </c>
      <c r="E76" s="115">
        <v>43949</v>
      </c>
      <c r="F76" s="114">
        <v>202101</v>
      </c>
      <c r="G76" s="112" t="s">
        <v>1091</v>
      </c>
      <c r="H76" s="112" t="s">
        <v>1015</v>
      </c>
      <c r="I76" s="112" t="s">
        <v>1101</v>
      </c>
      <c r="J76" s="112" t="s">
        <v>1093</v>
      </c>
      <c r="K76" s="112" t="s">
        <v>1098</v>
      </c>
      <c r="L76" s="116">
        <v>483.07</v>
      </c>
    </row>
    <row r="77" spans="1:12" hidden="1" outlineLevel="1" collapsed="1" x14ac:dyDescent="0.35">
      <c r="A77" s="112" t="s">
        <v>1090</v>
      </c>
      <c r="B77" s="112" t="s">
        <v>894</v>
      </c>
      <c r="C77" s="112" t="s">
        <v>695</v>
      </c>
      <c r="D77" s="113">
        <v>10347981</v>
      </c>
      <c r="E77" s="115">
        <v>43924</v>
      </c>
      <c r="F77" s="114">
        <v>202101</v>
      </c>
      <c r="G77" s="112" t="s">
        <v>1091</v>
      </c>
      <c r="H77" s="112" t="s">
        <v>1015</v>
      </c>
      <c r="I77" s="112" t="s">
        <v>761</v>
      </c>
      <c r="J77" s="112" t="s">
        <v>1135</v>
      </c>
      <c r="K77" s="112" t="s">
        <v>1166</v>
      </c>
      <c r="L77" s="116">
        <v>-1132.3699999999999</v>
      </c>
    </row>
    <row r="78" spans="1:12" hidden="1" outlineLevel="1" collapsed="1" x14ac:dyDescent="0.35">
      <c r="A78" s="112" t="s">
        <v>1090</v>
      </c>
      <c r="B78" s="112" t="s">
        <v>893</v>
      </c>
      <c r="C78" s="112" t="s">
        <v>1095</v>
      </c>
      <c r="D78" s="113">
        <v>10348451</v>
      </c>
      <c r="E78" s="115">
        <v>43949</v>
      </c>
      <c r="F78" s="114">
        <v>202101</v>
      </c>
      <c r="G78" s="112" t="s">
        <v>1091</v>
      </c>
      <c r="H78" s="112" t="s">
        <v>1015</v>
      </c>
      <c r="I78" s="112" t="s">
        <v>1101</v>
      </c>
      <c r="J78" s="112" t="s">
        <v>1097</v>
      </c>
      <c r="K78" s="112" t="s">
        <v>1098</v>
      </c>
      <c r="L78" s="116">
        <v>498.28</v>
      </c>
    </row>
    <row r="79" spans="1:12" hidden="1" outlineLevel="1" collapsed="1" x14ac:dyDescent="0.35">
      <c r="A79" s="112" t="s">
        <v>1090</v>
      </c>
      <c r="B79" s="112" t="s">
        <v>894</v>
      </c>
      <c r="C79" s="112" t="s">
        <v>695</v>
      </c>
      <c r="D79" s="113">
        <v>10348061</v>
      </c>
      <c r="E79" s="115">
        <v>43928</v>
      </c>
      <c r="F79" s="114">
        <v>202101</v>
      </c>
      <c r="G79" s="112" t="s">
        <v>1091</v>
      </c>
      <c r="H79" s="112" t="s">
        <v>1016</v>
      </c>
      <c r="I79" s="112" t="s">
        <v>1131</v>
      </c>
      <c r="J79" s="112" t="s">
        <v>1093</v>
      </c>
      <c r="K79" s="112" t="s">
        <v>1167</v>
      </c>
      <c r="L79" s="116">
        <v>24000</v>
      </c>
    </row>
    <row r="80" spans="1:12" hidden="1" outlineLevel="1" collapsed="1" x14ac:dyDescent="0.35">
      <c r="A80" s="112" t="s">
        <v>1090</v>
      </c>
      <c r="B80" s="112" t="s">
        <v>893</v>
      </c>
      <c r="C80" s="112" t="s">
        <v>695</v>
      </c>
      <c r="D80" s="113">
        <v>10347981</v>
      </c>
      <c r="E80" s="115">
        <v>43924</v>
      </c>
      <c r="F80" s="114">
        <v>202101</v>
      </c>
      <c r="G80" s="112" t="s">
        <v>1091</v>
      </c>
      <c r="H80" s="112" t="s">
        <v>1015</v>
      </c>
      <c r="I80" s="112" t="s">
        <v>761</v>
      </c>
      <c r="J80" s="112" t="s">
        <v>1109</v>
      </c>
      <c r="K80" s="112" t="s">
        <v>1168</v>
      </c>
      <c r="L80" s="116">
        <v>-2000</v>
      </c>
    </row>
    <row r="81" spans="1:12" hidden="1" outlineLevel="1" collapsed="1" x14ac:dyDescent="0.35">
      <c r="A81" s="112" t="s">
        <v>1090</v>
      </c>
      <c r="B81" s="112" t="s">
        <v>894</v>
      </c>
      <c r="C81" s="112" t="s">
        <v>1095</v>
      </c>
      <c r="D81" s="113">
        <v>10348451</v>
      </c>
      <c r="E81" s="115">
        <v>43949</v>
      </c>
      <c r="F81" s="114">
        <v>202101</v>
      </c>
      <c r="G81" s="112" t="s">
        <v>1091</v>
      </c>
      <c r="H81" s="112" t="s">
        <v>1015</v>
      </c>
      <c r="I81" s="112" t="s">
        <v>1096</v>
      </c>
      <c r="J81" s="112" t="s">
        <v>1093</v>
      </c>
      <c r="K81" s="112" t="s">
        <v>1098</v>
      </c>
      <c r="L81" s="116">
        <v>477.46</v>
      </c>
    </row>
    <row r="82" spans="1:12" hidden="1" outlineLevel="1" collapsed="1" x14ac:dyDescent="0.35">
      <c r="A82" s="112" t="s">
        <v>1090</v>
      </c>
      <c r="B82" s="112" t="s">
        <v>894</v>
      </c>
      <c r="C82" s="112" t="s">
        <v>1095</v>
      </c>
      <c r="D82" s="113">
        <v>10348451</v>
      </c>
      <c r="E82" s="115">
        <v>43949</v>
      </c>
      <c r="F82" s="114">
        <v>202101</v>
      </c>
      <c r="G82" s="112" t="s">
        <v>1091</v>
      </c>
      <c r="H82" s="112" t="s">
        <v>1015</v>
      </c>
      <c r="I82" s="112" t="s">
        <v>1096</v>
      </c>
      <c r="J82" s="112" t="s">
        <v>1118</v>
      </c>
      <c r="K82" s="112" t="s">
        <v>1098</v>
      </c>
      <c r="L82" s="116">
        <v>120.13</v>
      </c>
    </row>
    <row r="83" spans="1:12" hidden="1" outlineLevel="1" collapsed="1" x14ac:dyDescent="0.35">
      <c r="A83" s="112" t="s">
        <v>1090</v>
      </c>
      <c r="B83" s="112" t="s">
        <v>893</v>
      </c>
      <c r="C83" s="112" t="s">
        <v>1095</v>
      </c>
      <c r="D83" s="113">
        <v>10348451</v>
      </c>
      <c r="E83" s="115">
        <v>43949</v>
      </c>
      <c r="F83" s="114">
        <v>202101</v>
      </c>
      <c r="G83" s="112" t="s">
        <v>1091</v>
      </c>
      <c r="H83" s="112" t="s">
        <v>1015</v>
      </c>
      <c r="I83" s="112" t="s">
        <v>1116</v>
      </c>
      <c r="J83" s="112" t="s">
        <v>1097</v>
      </c>
      <c r="K83" s="112" t="s">
        <v>1098</v>
      </c>
      <c r="L83" s="116">
        <v>903.8</v>
      </c>
    </row>
    <row r="84" spans="1:12" hidden="1" outlineLevel="1" collapsed="1" x14ac:dyDescent="0.35">
      <c r="A84" s="112" t="s">
        <v>1090</v>
      </c>
      <c r="B84" s="112" t="s">
        <v>894</v>
      </c>
      <c r="C84" s="112" t="s">
        <v>1095</v>
      </c>
      <c r="D84" s="113">
        <v>10348451</v>
      </c>
      <c r="E84" s="115">
        <v>43949</v>
      </c>
      <c r="F84" s="114">
        <v>202101</v>
      </c>
      <c r="G84" s="112" t="s">
        <v>1091</v>
      </c>
      <c r="H84" s="112" t="s">
        <v>1015</v>
      </c>
      <c r="I84" s="112" t="s">
        <v>1116</v>
      </c>
      <c r="J84" s="112" t="s">
        <v>1129</v>
      </c>
      <c r="K84" s="112" t="s">
        <v>1098</v>
      </c>
      <c r="L84" s="116">
        <v>1693.45</v>
      </c>
    </row>
    <row r="85" spans="1:12" hidden="1" outlineLevel="1" collapsed="1" x14ac:dyDescent="0.35">
      <c r="A85" s="112" t="s">
        <v>1090</v>
      </c>
      <c r="B85" s="112" t="s">
        <v>894</v>
      </c>
      <c r="C85" s="112" t="s">
        <v>1095</v>
      </c>
      <c r="D85" s="113">
        <v>10348451</v>
      </c>
      <c r="E85" s="115">
        <v>43949</v>
      </c>
      <c r="F85" s="114">
        <v>202101</v>
      </c>
      <c r="G85" s="112" t="s">
        <v>1091</v>
      </c>
      <c r="H85" s="112" t="s">
        <v>1015</v>
      </c>
      <c r="I85" s="112" t="s">
        <v>1096</v>
      </c>
      <c r="J85" s="112" t="s">
        <v>1093</v>
      </c>
      <c r="K85" s="112" t="s">
        <v>1098</v>
      </c>
      <c r="L85" s="116">
        <v>263.62</v>
      </c>
    </row>
    <row r="86" spans="1:12" hidden="1" outlineLevel="1" collapsed="1" x14ac:dyDescent="0.35">
      <c r="A86" s="112" t="s">
        <v>1090</v>
      </c>
      <c r="B86" s="112" t="s">
        <v>893</v>
      </c>
      <c r="C86" s="112" t="s">
        <v>695</v>
      </c>
      <c r="D86" s="113">
        <v>10347981</v>
      </c>
      <c r="E86" s="115">
        <v>43924</v>
      </c>
      <c r="F86" s="114">
        <v>202101</v>
      </c>
      <c r="G86" s="112" t="s">
        <v>1091</v>
      </c>
      <c r="H86" s="112" t="s">
        <v>1015</v>
      </c>
      <c r="I86" s="112" t="s">
        <v>1169</v>
      </c>
      <c r="J86" s="112" t="s">
        <v>1097</v>
      </c>
      <c r="K86" s="112" t="s">
        <v>1170</v>
      </c>
      <c r="L86" s="116">
        <v>-170</v>
      </c>
    </row>
    <row r="87" spans="1:12" hidden="1" outlineLevel="1" collapsed="1" x14ac:dyDescent="0.35">
      <c r="A87" s="112" t="s">
        <v>1090</v>
      </c>
      <c r="B87" s="112" t="s">
        <v>893</v>
      </c>
      <c r="C87" s="112" t="s">
        <v>695</v>
      </c>
      <c r="D87" s="113">
        <v>10347981</v>
      </c>
      <c r="E87" s="115">
        <v>43924</v>
      </c>
      <c r="F87" s="114">
        <v>202101</v>
      </c>
      <c r="G87" s="112" t="s">
        <v>1091</v>
      </c>
      <c r="H87" s="112" t="s">
        <v>1015</v>
      </c>
      <c r="I87" s="112" t="s">
        <v>775</v>
      </c>
      <c r="J87" s="112" t="s">
        <v>1109</v>
      </c>
      <c r="K87" s="112" t="s">
        <v>1171</v>
      </c>
      <c r="L87" s="116">
        <v>-285</v>
      </c>
    </row>
    <row r="88" spans="1:12" hidden="1" outlineLevel="1" collapsed="1" x14ac:dyDescent="0.35">
      <c r="A88" s="112" t="s">
        <v>1090</v>
      </c>
      <c r="B88" s="112" t="s">
        <v>893</v>
      </c>
      <c r="C88" s="112" t="s">
        <v>1095</v>
      </c>
      <c r="D88" s="113">
        <v>10348451</v>
      </c>
      <c r="E88" s="115">
        <v>43949</v>
      </c>
      <c r="F88" s="114">
        <v>202101</v>
      </c>
      <c r="G88" s="112" t="s">
        <v>1091</v>
      </c>
      <c r="H88" s="112" t="s">
        <v>1015</v>
      </c>
      <c r="I88" s="112" t="s">
        <v>1096</v>
      </c>
      <c r="J88" s="112" t="s">
        <v>1097</v>
      </c>
      <c r="K88" s="112" t="s">
        <v>1098</v>
      </c>
      <c r="L88" s="116">
        <v>323.45</v>
      </c>
    </row>
    <row r="89" spans="1:12" hidden="1" outlineLevel="1" collapsed="1" x14ac:dyDescent="0.35">
      <c r="A89" s="112" t="s">
        <v>1090</v>
      </c>
      <c r="B89" s="112" t="s">
        <v>893</v>
      </c>
      <c r="C89" s="112" t="s">
        <v>1095</v>
      </c>
      <c r="D89" s="113">
        <v>10348451</v>
      </c>
      <c r="E89" s="115">
        <v>43949</v>
      </c>
      <c r="F89" s="114">
        <v>202101</v>
      </c>
      <c r="G89" s="112" t="s">
        <v>1091</v>
      </c>
      <c r="H89" s="112" t="s">
        <v>1015</v>
      </c>
      <c r="I89" s="112" t="s">
        <v>1116</v>
      </c>
      <c r="J89" s="112" t="s">
        <v>1097</v>
      </c>
      <c r="K89" s="112" t="s">
        <v>1098</v>
      </c>
      <c r="L89" s="116">
        <v>3075.83</v>
      </c>
    </row>
    <row r="90" spans="1:12" hidden="1" outlineLevel="1" collapsed="1" x14ac:dyDescent="0.35">
      <c r="A90" s="112" t="s">
        <v>1090</v>
      </c>
      <c r="B90" s="112" t="s">
        <v>893</v>
      </c>
      <c r="C90" s="112" t="s">
        <v>1095</v>
      </c>
      <c r="D90" s="113">
        <v>10348451</v>
      </c>
      <c r="E90" s="115">
        <v>43949</v>
      </c>
      <c r="F90" s="114">
        <v>202101</v>
      </c>
      <c r="G90" s="112" t="s">
        <v>1091</v>
      </c>
      <c r="H90" s="112" t="s">
        <v>1015</v>
      </c>
      <c r="I90" s="112" t="s">
        <v>1116</v>
      </c>
      <c r="J90" s="112" t="s">
        <v>1097</v>
      </c>
      <c r="K90" s="112" t="s">
        <v>1098</v>
      </c>
      <c r="L90" s="116">
        <v>2981.92</v>
      </c>
    </row>
    <row r="91" spans="1:12" hidden="1" outlineLevel="1" collapsed="1" x14ac:dyDescent="0.35">
      <c r="A91" s="112" t="s">
        <v>1090</v>
      </c>
      <c r="B91" s="112" t="s">
        <v>892</v>
      </c>
      <c r="C91" s="112" t="s">
        <v>1095</v>
      </c>
      <c r="D91" s="113">
        <v>10348451</v>
      </c>
      <c r="E91" s="115">
        <v>43949</v>
      </c>
      <c r="F91" s="114">
        <v>202101</v>
      </c>
      <c r="G91" s="112" t="s">
        <v>1091</v>
      </c>
      <c r="H91" s="112" t="s">
        <v>1015</v>
      </c>
      <c r="I91" s="112" t="s">
        <v>1116</v>
      </c>
      <c r="J91" s="112" t="s">
        <v>1114</v>
      </c>
      <c r="K91" s="112" t="s">
        <v>1098</v>
      </c>
      <c r="L91" s="116">
        <v>6275.64</v>
      </c>
    </row>
    <row r="92" spans="1:12" hidden="1" outlineLevel="1" collapsed="1" x14ac:dyDescent="0.35">
      <c r="A92" s="112" t="s">
        <v>1090</v>
      </c>
      <c r="B92" s="112" t="s">
        <v>893</v>
      </c>
      <c r="C92" s="112" t="s">
        <v>695</v>
      </c>
      <c r="D92" s="113">
        <v>10348431</v>
      </c>
      <c r="E92" s="115">
        <v>43945</v>
      </c>
      <c r="F92" s="114">
        <v>202101</v>
      </c>
      <c r="G92" s="112" t="s">
        <v>1091</v>
      </c>
      <c r="H92" s="112" t="s">
        <v>1015</v>
      </c>
      <c r="I92" s="112" t="s">
        <v>1169</v>
      </c>
      <c r="J92" s="112" t="s">
        <v>1097</v>
      </c>
      <c r="K92" s="112" t="s">
        <v>1172</v>
      </c>
      <c r="L92" s="116">
        <v>170</v>
      </c>
    </row>
    <row r="93" spans="1:12" hidden="1" outlineLevel="1" collapsed="1" x14ac:dyDescent="0.35">
      <c r="A93" s="112" t="s">
        <v>1090</v>
      </c>
      <c r="B93" s="112" t="s">
        <v>893</v>
      </c>
      <c r="C93" s="112" t="s">
        <v>695</v>
      </c>
      <c r="D93" s="113">
        <v>10348431</v>
      </c>
      <c r="E93" s="115">
        <v>43945</v>
      </c>
      <c r="F93" s="114">
        <v>202101</v>
      </c>
      <c r="G93" s="112" t="s">
        <v>1091</v>
      </c>
      <c r="H93" s="112" t="s">
        <v>1015</v>
      </c>
      <c r="I93" s="112" t="s">
        <v>1169</v>
      </c>
      <c r="J93" s="112" t="s">
        <v>1097</v>
      </c>
      <c r="K93" s="112" t="s">
        <v>1173</v>
      </c>
      <c r="L93" s="116">
        <v>110</v>
      </c>
    </row>
    <row r="94" spans="1:12" hidden="1" outlineLevel="1" collapsed="1" x14ac:dyDescent="0.35">
      <c r="A94" s="112" t="s">
        <v>1090</v>
      </c>
      <c r="B94" s="112" t="s">
        <v>893</v>
      </c>
      <c r="C94" s="112" t="s">
        <v>695</v>
      </c>
      <c r="D94" s="113">
        <v>10347981</v>
      </c>
      <c r="E94" s="115">
        <v>43924</v>
      </c>
      <c r="F94" s="114">
        <v>202101</v>
      </c>
      <c r="G94" s="112" t="s">
        <v>1091</v>
      </c>
      <c r="H94" s="112" t="s">
        <v>1015</v>
      </c>
      <c r="I94" s="112" t="s">
        <v>761</v>
      </c>
      <c r="J94" s="112" t="s">
        <v>1109</v>
      </c>
      <c r="K94" s="112" t="s">
        <v>1174</v>
      </c>
      <c r="L94" s="116">
        <v>-5000</v>
      </c>
    </row>
    <row r="95" spans="1:12" hidden="1" outlineLevel="1" collapsed="1" x14ac:dyDescent="0.35">
      <c r="A95" s="112" t="s">
        <v>1090</v>
      </c>
      <c r="B95" s="112" t="s">
        <v>892</v>
      </c>
      <c r="C95" s="112" t="s">
        <v>1095</v>
      </c>
      <c r="D95" s="113">
        <v>10348451</v>
      </c>
      <c r="E95" s="115">
        <v>43949</v>
      </c>
      <c r="F95" s="114">
        <v>202101</v>
      </c>
      <c r="G95" s="112" t="s">
        <v>1091</v>
      </c>
      <c r="H95" s="112" t="s">
        <v>1015</v>
      </c>
      <c r="I95" s="112" t="s">
        <v>1116</v>
      </c>
      <c r="J95" s="112" t="s">
        <v>1114</v>
      </c>
      <c r="K95" s="112" t="s">
        <v>1098</v>
      </c>
      <c r="L95" s="116">
        <v>8018.58</v>
      </c>
    </row>
    <row r="96" spans="1:12" hidden="1" outlineLevel="1" collapsed="1" x14ac:dyDescent="0.35">
      <c r="A96" s="112" t="s">
        <v>1090</v>
      </c>
      <c r="B96" s="112" t="s">
        <v>894</v>
      </c>
      <c r="C96" s="112" t="s">
        <v>1095</v>
      </c>
      <c r="D96" s="113">
        <v>10348451</v>
      </c>
      <c r="E96" s="115">
        <v>43949</v>
      </c>
      <c r="F96" s="114">
        <v>202101</v>
      </c>
      <c r="G96" s="112" t="s">
        <v>1091</v>
      </c>
      <c r="H96" s="112" t="s">
        <v>1015</v>
      </c>
      <c r="I96" s="112" t="s">
        <v>1116</v>
      </c>
      <c r="J96" s="112" t="s">
        <v>1093</v>
      </c>
      <c r="K96" s="112" t="s">
        <v>1098</v>
      </c>
      <c r="L96" s="116">
        <v>4191.83</v>
      </c>
    </row>
    <row r="97" spans="1:12" hidden="1" outlineLevel="1" collapsed="1" x14ac:dyDescent="0.35">
      <c r="A97" s="112" t="s">
        <v>1090</v>
      </c>
      <c r="B97" s="112" t="s">
        <v>893</v>
      </c>
      <c r="C97" s="112" t="s">
        <v>1095</v>
      </c>
      <c r="D97" s="113">
        <v>10348451</v>
      </c>
      <c r="E97" s="115">
        <v>43949</v>
      </c>
      <c r="F97" s="114">
        <v>202101</v>
      </c>
      <c r="G97" s="112" t="s">
        <v>1091</v>
      </c>
      <c r="H97" s="112" t="s">
        <v>1015</v>
      </c>
      <c r="I97" s="112" t="s">
        <v>1116</v>
      </c>
      <c r="J97" s="112" t="s">
        <v>1097</v>
      </c>
      <c r="K97" s="112" t="s">
        <v>1098</v>
      </c>
      <c r="L97" s="116">
        <v>2631.25</v>
      </c>
    </row>
    <row r="98" spans="1:12" hidden="1" outlineLevel="1" collapsed="1" x14ac:dyDescent="0.35">
      <c r="A98" s="112" t="s">
        <v>1090</v>
      </c>
      <c r="B98" s="112" t="s">
        <v>894</v>
      </c>
      <c r="C98" s="112" t="s">
        <v>1095</v>
      </c>
      <c r="D98" s="113">
        <v>10348451</v>
      </c>
      <c r="E98" s="115">
        <v>43949</v>
      </c>
      <c r="F98" s="114">
        <v>202101</v>
      </c>
      <c r="G98" s="112" t="s">
        <v>1091</v>
      </c>
      <c r="H98" s="112" t="s">
        <v>1015</v>
      </c>
      <c r="I98" s="112" t="s">
        <v>1101</v>
      </c>
      <c r="J98" s="112" t="s">
        <v>1093</v>
      </c>
      <c r="K98" s="112" t="s">
        <v>1098</v>
      </c>
      <c r="L98" s="116">
        <v>679.08</v>
      </c>
    </row>
    <row r="99" spans="1:12" hidden="1" outlineLevel="1" collapsed="1" x14ac:dyDescent="0.35">
      <c r="A99" s="112" t="s">
        <v>1090</v>
      </c>
      <c r="B99" s="112" t="s">
        <v>894</v>
      </c>
      <c r="C99" s="112" t="s">
        <v>1095</v>
      </c>
      <c r="D99" s="113">
        <v>10348451</v>
      </c>
      <c r="E99" s="115">
        <v>43949</v>
      </c>
      <c r="F99" s="114">
        <v>202101</v>
      </c>
      <c r="G99" s="112" t="s">
        <v>1091</v>
      </c>
      <c r="H99" s="112" t="s">
        <v>1015</v>
      </c>
      <c r="I99" s="112" t="s">
        <v>1101</v>
      </c>
      <c r="J99" s="112" t="s">
        <v>1129</v>
      </c>
      <c r="K99" s="112" t="s">
        <v>1098</v>
      </c>
      <c r="L99" s="116">
        <v>274.33999999999997</v>
      </c>
    </row>
    <row r="100" spans="1:12" hidden="1" outlineLevel="1" collapsed="1" x14ac:dyDescent="0.35">
      <c r="A100" s="112" t="s">
        <v>1090</v>
      </c>
      <c r="B100" s="112" t="s">
        <v>893</v>
      </c>
      <c r="C100" s="112" t="s">
        <v>1095</v>
      </c>
      <c r="D100" s="113">
        <v>10348451</v>
      </c>
      <c r="E100" s="115">
        <v>43949</v>
      </c>
      <c r="F100" s="114">
        <v>202101</v>
      </c>
      <c r="G100" s="112" t="s">
        <v>1091</v>
      </c>
      <c r="H100" s="112" t="s">
        <v>1015</v>
      </c>
      <c r="I100" s="112" t="s">
        <v>1116</v>
      </c>
      <c r="J100" s="112" t="s">
        <v>1097</v>
      </c>
      <c r="K100" s="112" t="s">
        <v>1098</v>
      </c>
      <c r="L100" s="116">
        <v>2981.92</v>
      </c>
    </row>
    <row r="101" spans="1:12" hidden="1" outlineLevel="1" collapsed="1" x14ac:dyDescent="0.35">
      <c r="A101" s="112" t="s">
        <v>1090</v>
      </c>
      <c r="B101" s="112" t="s">
        <v>894</v>
      </c>
      <c r="C101" s="112" t="s">
        <v>695</v>
      </c>
      <c r="D101" s="113">
        <v>10347981</v>
      </c>
      <c r="E101" s="115">
        <v>43924</v>
      </c>
      <c r="F101" s="114">
        <v>202101</v>
      </c>
      <c r="G101" s="112" t="s">
        <v>1091</v>
      </c>
      <c r="H101" s="112" t="s">
        <v>1015</v>
      </c>
      <c r="I101" s="112" t="s">
        <v>775</v>
      </c>
      <c r="J101" s="112" t="s">
        <v>1175</v>
      </c>
      <c r="K101" s="112" t="s">
        <v>1176</v>
      </c>
      <c r="L101" s="116">
        <v>-200</v>
      </c>
    </row>
    <row r="102" spans="1:12" hidden="1" outlineLevel="1" collapsed="1" x14ac:dyDescent="0.35">
      <c r="A102" s="112" t="s">
        <v>1090</v>
      </c>
      <c r="B102" s="112" t="s">
        <v>893</v>
      </c>
      <c r="C102" s="112" t="s">
        <v>1095</v>
      </c>
      <c r="D102" s="113">
        <v>10348451</v>
      </c>
      <c r="E102" s="115">
        <v>43949</v>
      </c>
      <c r="F102" s="114">
        <v>202101</v>
      </c>
      <c r="G102" s="112" t="s">
        <v>1091</v>
      </c>
      <c r="H102" s="112" t="s">
        <v>1015</v>
      </c>
      <c r="I102" s="112" t="s">
        <v>1096</v>
      </c>
      <c r="J102" s="112" t="s">
        <v>1097</v>
      </c>
      <c r="K102" s="112" t="s">
        <v>1098</v>
      </c>
      <c r="L102" s="116">
        <v>310.49</v>
      </c>
    </row>
    <row r="103" spans="1:12" hidden="1" outlineLevel="1" collapsed="1" x14ac:dyDescent="0.35">
      <c r="A103" s="112" t="s">
        <v>1090</v>
      </c>
      <c r="B103" s="112" t="s">
        <v>893</v>
      </c>
      <c r="C103" s="112" t="s">
        <v>695</v>
      </c>
      <c r="D103" s="113">
        <v>10347981</v>
      </c>
      <c r="E103" s="115">
        <v>43924</v>
      </c>
      <c r="F103" s="114">
        <v>202101</v>
      </c>
      <c r="G103" s="112" t="s">
        <v>1091</v>
      </c>
      <c r="H103" s="112" t="s">
        <v>1015</v>
      </c>
      <c r="I103" s="112" t="s">
        <v>1169</v>
      </c>
      <c r="J103" s="112" t="s">
        <v>1097</v>
      </c>
      <c r="K103" s="112" t="s">
        <v>1177</v>
      </c>
      <c r="L103" s="116">
        <v>-110</v>
      </c>
    </row>
    <row r="104" spans="1:12" hidden="1" outlineLevel="1" collapsed="1" x14ac:dyDescent="0.35">
      <c r="A104" s="112" t="s">
        <v>1090</v>
      </c>
      <c r="B104" s="112" t="s">
        <v>894</v>
      </c>
      <c r="C104" s="112" t="s">
        <v>1095</v>
      </c>
      <c r="D104" s="113">
        <v>10348451</v>
      </c>
      <c r="E104" s="115">
        <v>43949</v>
      </c>
      <c r="F104" s="114">
        <v>202101</v>
      </c>
      <c r="G104" s="112" t="s">
        <v>1091</v>
      </c>
      <c r="H104" s="112" t="s">
        <v>1015</v>
      </c>
      <c r="I104" s="112" t="s">
        <v>1128</v>
      </c>
      <c r="J104" s="112" t="s">
        <v>1093</v>
      </c>
      <c r="K104" s="112" t="s">
        <v>1098</v>
      </c>
      <c r="L104" s="116">
        <v>80</v>
      </c>
    </row>
    <row r="105" spans="1:12" hidden="1" outlineLevel="1" collapsed="1" x14ac:dyDescent="0.35">
      <c r="A105" s="112" t="s">
        <v>1090</v>
      </c>
      <c r="B105" s="112" t="s">
        <v>893</v>
      </c>
      <c r="C105" s="112" t="s">
        <v>1095</v>
      </c>
      <c r="D105" s="113">
        <v>10348451</v>
      </c>
      <c r="E105" s="115">
        <v>43949</v>
      </c>
      <c r="F105" s="114">
        <v>202101</v>
      </c>
      <c r="G105" s="112" t="s">
        <v>1091</v>
      </c>
      <c r="H105" s="112" t="s">
        <v>1015</v>
      </c>
      <c r="I105" s="112" t="s">
        <v>1116</v>
      </c>
      <c r="J105" s="112" t="s">
        <v>1097</v>
      </c>
      <c r="K105" s="112" t="s">
        <v>1098</v>
      </c>
      <c r="L105" s="116">
        <v>3075.83</v>
      </c>
    </row>
    <row r="106" spans="1:12" hidden="1" outlineLevel="1" collapsed="1" x14ac:dyDescent="0.35">
      <c r="A106" s="112" t="s">
        <v>1090</v>
      </c>
      <c r="B106" s="112" t="s">
        <v>893</v>
      </c>
      <c r="C106" s="112" t="s">
        <v>695</v>
      </c>
      <c r="D106" s="113">
        <v>10347981</v>
      </c>
      <c r="E106" s="115">
        <v>43924</v>
      </c>
      <c r="F106" s="114">
        <v>202101</v>
      </c>
      <c r="G106" s="112" t="s">
        <v>1091</v>
      </c>
      <c r="H106" s="112" t="s">
        <v>1015</v>
      </c>
      <c r="I106" s="112" t="s">
        <v>775</v>
      </c>
      <c r="J106" s="112" t="s">
        <v>1109</v>
      </c>
      <c r="K106" s="112" t="s">
        <v>1178</v>
      </c>
      <c r="L106" s="116">
        <v>-108.4</v>
      </c>
    </row>
    <row r="107" spans="1:12" hidden="1" outlineLevel="1" collapsed="1" x14ac:dyDescent="0.35">
      <c r="A107" s="112" t="s">
        <v>1090</v>
      </c>
      <c r="B107" s="112" t="s">
        <v>894</v>
      </c>
      <c r="C107" s="112" t="s">
        <v>1095</v>
      </c>
      <c r="D107" s="113">
        <v>10348451</v>
      </c>
      <c r="E107" s="115">
        <v>43949</v>
      </c>
      <c r="F107" s="114">
        <v>202101</v>
      </c>
      <c r="G107" s="112" t="s">
        <v>1091</v>
      </c>
      <c r="H107" s="112" t="s">
        <v>1015</v>
      </c>
      <c r="I107" s="112" t="s">
        <v>1116</v>
      </c>
      <c r="J107" s="112" t="s">
        <v>1093</v>
      </c>
      <c r="K107" s="112" t="s">
        <v>1098</v>
      </c>
      <c r="L107" s="116">
        <v>2175.9899999999998</v>
      </c>
    </row>
    <row r="108" spans="1:12" hidden="1" outlineLevel="1" collapsed="1" x14ac:dyDescent="0.35">
      <c r="A108" s="112" t="s">
        <v>1090</v>
      </c>
      <c r="B108" s="112" t="s">
        <v>892</v>
      </c>
      <c r="C108" s="112" t="s">
        <v>695</v>
      </c>
      <c r="D108" s="113">
        <v>10347981</v>
      </c>
      <c r="E108" s="115">
        <v>43924</v>
      </c>
      <c r="F108" s="114">
        <v>202101</v>
      </c>
      <c r="G108" s="112" t="s">
        <v>1091</v>
      </c>
      <c r="H108" s="112" t="s">
        <v>1015</v>
      </c>
      <c r="I108" s="112" t="s">
        <v>775</v>
      </c>
      <c r="J108" s="112" t="s">
        <v>1141</v>
      </c>
      <c r="K108" s="112" t="s">
        <v>1179</v>
      </c>
      <c r="L108" s="116">
        <v>-170</v>
      </c>
    </row>
    <row r="109" spans="1:12" hidden="1" outlineLevel="1" collapsed="1" x14ac:dyDescent="0.35">
      <c r="A109" s="112" t="s">
        <v>1090</v>
      </c>
      <c r="B109" s="112" t="s">
        <v>893</v>
      </c>
      <c r="C109" s="112" t="s">
        <v>1095</v>
      </c>
      <c r="D109" s="113">
        <v>10348451</v>
      </c>
      <c r="E109" s="115">
        <v>43949</v>
      </c>
      <c r="F109" s="114">
        <v>202101</v>
      </c>
      <c r="G109" s="112" t="s">
        <v>1091</v>
      </c>
      <c r="H109" s="112" t="s">
        <v>1015</v>
      </c>
      <c r="I109" s="112" t="s">
        <v>1116</v>
      </c>
      <c r="J109" s="112" t="s">
        <v>1097</v>
      </c>
      <c r="K109" s="112" t="s">
        <v>1098</v>
      </c>
      <c r="L109" s="116">
        <v>3717</v>
      </c>
    </row>
    <row r="110" spans="1:12" hidden="1" outlineLevel="1" collapsed="1" x14ac:dyDescent="0.35">
      <c r="A110" s="112" t="s">
        <v>1090</v>
      </c>
      <c r="B110" s="112" t="s">
        <v>893</v>
      </c>
      <c r="C110" s="112" t="s">
        <v>695</v>
      </c>
      <c r="D110" s="113">
        <v>10347981</v>
      </c>
      <c r="E110" s="115">
        <v>43924</v>
      </c>
      <c r="F110" s="114">
        <v>202101</v>
      </c>
      <c r="G110" s="112" t="s">
        <v>1091</v>
      </c>
      <c r="H110" s="112" t="s">
        <v>1015</v>
      </c>
      <c r="I110" s="112" t="s">
        <v>775</v>
      </c>
      <c r="J110" s="112" t="s">
        <v>1109</v>
      </c>
      <c r="K110" s="112" t="s">
        <v>1180</v>
      </c>
      <c r="L110" s="116">
        <v>-205</v>
      </c>
    </row>
    <row r="111" spans="1:12" hidden="1" outlineLevel="1" collapsed="1" x14ac:dyDescent="0.35">
      <c r="A111" s="112" t="s">
        <v>1090</v>
      </c>
      <c r="B111" s="112" t="s">
        <v>894</v>
      </c>
      <c r="C111" s="112" t="s">
        <v>1095</v>
      </c>
      <c r="D111" s="113">
        <v>10348451</v>
      </c>
      <c r="E111" s="115">
        <v>43949</v>
      </c>
      <c r="F111" s="114">
        <v>202101</v>
      </c>
      <c r="G111" s="112" t="s">
        <v>1091</v>
      </c>
      <c r="H111" s="112" t="s">
        <v>1015</v>
      </c>
      <c r="I111" s="112" t="s">
        <v>1116</v>
      </c>
      <c r="J111" s="112" t="s">
        <v>1093</v>
      </c>
      <c r="K111" s="112" t="s">
        <v>1098</v>
      </c>
      <c r="L111" s="116">
        <v>2981.92</v>
      </c>
    </row>
    <row r="112" spans="1:12" hidden="1" outlineLevel="1" collapsed="1" x14ac:dyDescent="0.35">
      <c r="A112" s="112" t="s">
        <v>1090</v>
      </c>
      <c r="B112" s="112" t="s">
        <v>894</v>
      </c>
      <c r="C112" s="112" t="s">
        <v>1095</v>
      </c>
      <c r="D112" s="113">
        <v>10348451</v>
      </c>
      <c r="E112" s="115">
        <v>43949</v>
      </c>
      <c r="F112" s="114">
        <v>202101</v>
      </c>
      <c r="G112" s="112" t="s">
        <v>1091</v>
      </c>
      <c r="H112" s="112" t="s">
        <v>1015</v>
      </c>
      <c r="I112" s="112" t="s">
        <v>1101</v>
      </c>
      <c r="J112" s="112" t="s">
        <v>1093</v>
      </c>
      <c r="K112" s="112" t="s">
        <v>1098</v>
      </c>
      <c r="L112" s="116">
        <v>352.51</v>
      </c>
    </row>
    <row r="113" spans="1:12" hidden="1" outlineLevel="1" collapsed="1" x14ac:dyDescent="0.35">
      <c r="A113" s="112" t="s">
        <v>1090</v>
      </c>
      <c r="B113" s="112" t="s">
        <v>894</v>
      </c>
      <c r="C113" s="112" t="s">
        <v>1095</v>
      </c>
      <c r="D113" s="113">
        <v>10348451</v>
      </c>
      <c r="E113" s="115">
        <v>43949</v>
      </c>
      <c r="F113" s="114">
        <v>202101</v>
      </c>
      <c r="G113" s="112" t="s">
        <v>1091</v>
      </c>
      <c r="H113" s="112" t="s">
        <v>1015</v>
      </c>
      <c r="I113" s="112" t="s">
        <v>1096</v>
      </c>
      <c r="J113" s="112" t="s">
        <v>1093</v>
      </c>
      <c r="K113" s="112" t="s">
        <v>1098</v>
      </c>
      <c r="L113" s="116">
        <v>199.27</v>
      </c>
    </row>
    <row r="114" spans="1:12" hidden="1" outlineLevel="1" collapsed="1" x14ac:dyDescent="0.35">
      <c r="A114" s="112" t="s">
        <v>1090</v>
      </c>
      <c r="B114" s="112" t="s">
        <v>893</v>
      </c>
      <c r="C114" s="112" t="s">
        <v>695</v>
      </c>
      <c r="D114" s="113">
        <v>10347981</v>
      </c>
      <c r="E114" s="115">
        <v>43924</v>
      </c>
      <c r="F114" s="114">
        <v>202101</v>
      </c>
      <c r="G114" s="112" t="s">
        <v>1091</v>
      </c>
      <c r="H114" s="112" t="s">
        <v>1015</v>
      </c>
      <c r="I114" s="112" t="s">
        <v>775</v>
      </c>
      <c r="J114" s="112" t="s">
        <v>1109</v>
      </c>
      <c r="K114" s="112" t="s">
        <v>1181</v>
      </c>
      <c r="L114" s="116">
        <v>-1640</v>
      </c>
    </row>
    <row r="115" spans="1:12" hidden="1" outlineLevel="1" collapsed="1" x14ac:dyDescent="0.35">
      <c r="A115" s="112" t="s">
        <v>1090</v>
      </c>
      <c r="B115" s="112" t="s">
        <v>893</v>
      </c>
      <c r="C115" s="112" t="s">
        <v>695</v>
      </c>
      <c r="D115" s="113">
        <v>10347981</v>
      </c>
      <c r="E115" s="115">
        <v>43924</v>
      </c>
      <c r="F115" s="114">
        <v>202101</v>
      </c>
      <c r="G115" s="112" t="s">
        <v>1091</v>
      </c>
      <c r="H115" s="112" t="s">
        <v>1015</v>
      </c>
      <c r="I115" s="112" t="s">
        <v>1182</v>
      </c>
      <c r="J115" s="112" t="s">
        <v>1109</v>
      </c>
      <c r="K115" s="112" t="s">
        <v>1183</v>
      </c>
      <c r="L115" s="116">
        <v>-75</v>
      </c>
    </row>
    <row r="116" spans="1:12" hidden="1" outlineLevel="1" collapsed="1" x14ac:dyDescent="0.35">
      <c r="A116" s="112" t="s">
        <v>1090</v>
      </c>
      <c r="B116" s="112" t="s">
        <v>894</v>
      </c>
      <c r="C116" s="112" t="s">
        <v>1095</v>
      </c>
      <c r="D116" s="113">
        <v>10348451</v>
      </c>
      <c r="E116" s="115">
        <v>43949</v>
      </c>
      <c r="F116" s="114">
        <v>202101</v>
      </c>
      <c r="G116" s="112" t="s">
        <v>1091</v>
      </c>
      <c r="H116" s="112" t="s">
        <v>1015</v>
      </c>
      <c r="I116" s="112" t="s">
        <v>1116</v>
      </c>
      <c r="J116" s="112" t="s">
        <v>1093</v>
      </c>
      <c r="K116" s="112" t="s">
        <v>1098</v>
      </c>
      <c r="L116" s="116">
        <v>2642.28</v>
      </c>
    </row>
    <row r="117" spans="1:12" hidden="1" outlineLevel="1" collapsed="1" x14ac:dyDescent="0.35">
      <c r="A117" s="112" t="s">
        <v>1090</v>
      </c>
      <c r="B117" s="112" t="s">
        <v>893</v>
      </c>
      <c r="C117" s="112" t="s">
        <v>1095</v>
      </c>
      <c r="D117" s="113">
        <v>10348451</v>
      </c>
      <c r="E117" s="115">
        <v>43949</v>
      </c>
      <c r="F117" s="114">
        <v>202101</v>
      </c>
      <c r="G117" s="112" t="s">
        <v>1091</v>
      </c>
      <c r="H117" s="112" t="s">
        <v>1015</v>
      </c>
      <c r="I117" s="112" t="s">
        <v>1101</v>
      </c>
      <c r="J117" s="112" t="s">
        <v>1097</v>
      </c>
      <c r="K117" s="112" t="s">
        <v>1098</v>
      </c>
      <c r="L117" s="116">
        <v>483.07</v>
      </c>
    </row>
    <row r="118" spans="1:12" hidden="1" outlineLevel="1" collapsed="1" x14ac:dyDescent="0.35">
      <c r="A118" s="112" t="s">
        <v>1090</v>
      </c>
      <c r="B118" s="112" t="s">
        <v>893</v>
      </c>
      <c r="C118" s="112" t="s">
        <v>1095</v>
      </c>
      <c r="D118" s="113">
        <v>10348451</v>
      </c>
      <c r="E118" s="115">
        <v>43949</v>
      </c>
      <c r="F118" s="114">
        <v>202101</v>
      </c>
      <c r="G118" s="112" t="s">
        <v>1091</v>
      </c>
      <c r="H118" s="112" t="s">
        <v>1015</v>
      </c>
      <c r="I118" s="112" t="s">
        <v>1116</v>
      </c>
      <c r="J118" s="112" t="s">
        <v>1097</v>
      </c>
      <c r="K118" s="112" t="s">
        <v>1098</v>
      </c>
      <c r="L118" s="116">
        <v>2631.25</v>
      </c>
    </row>
    <row r="119" spans="1:12" hidden="1" outlineLevel="1" collapsed="1" x14ac:dyDescent="0.35">
      <c r="A119" s="112" t="s">
        <v>1090</v>
      </c>
      <c r="B119" s="112" t="s">
        <v>893</v>
      </c>
      <c r="C119" s="112" t="s">
        <v>1095</v>
      </c>
      <c r="D119" s="113">
        <v>10348451</v>
      </c>
      <c r="E119" s="115">
        <v>43949</v>
      </c>
      <c r="F119" s="114">
        <v>202101</v>
      </c>
      <c r="G119" s="112" t="s">
        <v>1091</v>
      </c>
      <c r="H119" s="112" t="s">
        <v>1015</v>
      </c>
      <c r="I119" s="112" t="s">
        <v>1101</v>
      </c>
      <c r="J119" s="112" t="s">
        <v>1097</v>
      </c>
      <c r="K119" s="112" t="s">
        <v>1098</v>
      </c>
      <c r="L119" s="116">
        <v>498.28</v>
      </c>
    </row>
    <row r="120" spans="1:12" hidden="1" outlineLevel="1" collapsed="1" x14ac:dyDescent="0.35">
      <c r="A120" s="112" t="s">
        <v>1090</v>
      </c>
      <c r="B120" s="112" t="s">
        <v>893</v>
      </c>
      <c r="C120" s="112" t="s">
        <v>695</v>
      </c>
      <c r="D120" s="113">
        <v>10347981</v>
      </c>
      <c r="E120" s="115">
        <v>43924</v>
      </c>
      <c r="F120" s="114">
        <v>202101</v>
      </c>
      <c r="G120" s="112" t="s">
        <v>1091</v>
      </c>
      <c r="H120" s="112" t="s">
        <v>1015</v>
      </c>
      <c r="I120" s="112" t="s">
        <v>775</v>
      </c>
      <c r="J120" s="112" t="s">
        <v>1109</v>
      </c>
      <c r="K120" s="112" t="s">
        <v>1184</v>
      </c>
      <c r="L120" s="116">
        <v>-94</v>
      </c>
    </row>
    <row r="121" spans="1:12" hidden="1" outlineLevel="1" collapsed="1" x14ac:dyDescent="0.35">
      <c r="A121" s="112" t="s">
        <v>1185</v>
      </c>
      <c r="B121" s="112" t="s">
        <v>897</v>
      </c>
      <c r="C121" s="112" t="s">
        <v>695</v>
      </c>
      <c r="D121" s="113">
        <v>10347981</v>
      </c>
      <c r="E121" s="115">
        <v>43924</v>
      </c>
      <c r="F121" s="114">
        <v>202101</v>
      </c>
      <c r="G121" s="112" t="s">
        <v>1091</v>
      </c>
      <c r="H121" s="112" t="s">
        <v>1015</v>
      </c>
      <c r="I121" s="112" t="s">
        <v>1137</v>
      </c>
      <c r="J121" s="112" t="s">
        <v>1186</v>
      </c>
      <c r="K121" s="112" t="s">
        <v>1187</v>
      </c>
      <c r="L121" s="116">
        <v>-6453.65</v>
      </c>
    </row>
    <row r="122" spans="1:12" hidden="1" outlineLevel="1" collapsed="1" x14ac:dyDescent="0.35">
      <c r="A122" s="112" t="s">
        <v>1185</v>
      </c>
      <c r="B122" s="112" t="s">
        <v>896</v>
      </c>
      <c r="C122" s="112" t="s">
        <v>695</v>
      </c>
      <c r="D122" s="113">
        <v>10347981</v>
      </c>
      <c r="E122" s="115">
        <v>43924</v>
      </c>
      <c r="F122" s="114">
        <v>202101</v>
      </c>
      <c r="G122" s="112" t="s">
        <v>1091</v>
      </c>
      <c r="H122" s="112" t="s">
        <v>1015</v>
      </c>
      <c r="I122" s="112" t="s">
        <v>769</v>
      </c>
      <c r="J122" s="112" t="s">
        <v>1188</v>
      </c>
      <c r="K122" s="112" t="s">
        <v>1189</v>
      </c>
      <c r="L122" s="116">
        <v>-1432.2</v>
      </c>
    </row>
    <row r="123" spans="1:12" hidden="1" outlineLevel="1" collapsed="1" x14ac:dyDescent="0.35">
      <c r="A123" s="112" t="s">
        <v>1185</v>
      </c>
      <c r="B123" s="112" t="s">
        <v>897</v>
      </c>
      <c r="C123" s="112" t="s">
        <v>1095</v>
      </c>
      <c r="D123" s="113">
        <v>10348451</v>
      </c>
      <c r="E123" s="115">
        <v>43949</v>
      </c>
      <c r="F123" s="114">
        <v>202101</v>
      </c>
      <c r="G123" s="112" t="s">
        <v>1091</v>
      </c>
      <c r="H123" s="112" t="s">
        <v>1015</v>
      </c>
      <c r="I123" s="112" t="s">
        <v>1190</v>
      </c>
      <c r="J123" s="112" t="s">
        <v>1191</v>
      </c>
      <c r="K123" s="112" t="s">
        <v>1098</v>
      </c>
      <c r="L123" s="116">
        <v>75.180000000000007</v>
      </c>
    </row>
    <row r="124" spans="1:12" hidden="1" outlineLevel="1" collapsed="1" x14ac:dyDescent="0.35">
      <c r="A124" s="112" t="s">
        <v>1185</v>
      </c>
      <c r="B124" s="112" t="s">
        <v>1192</v>
      </c>
      <c r="C124" s="112" t="s">
        <v>695</v>
      </c>
      <c r="D124" s="113">
        <v>10347981</v>
      </c>
      <c r="E124" s="115">
        <v>43924</v>
      </c>
      <c r="F124" s="114">
        <v>202101</v>
      </c>
      <c r="G124" s="112" t="s">
        <v>1091</v>
      </c>
      <c r="H124" s="112" t="s">
        <v>1015</v>
      </c>
      <c r="I124" s="112" t="s">
        <v>761</v>
      </c>
      <c r="J124" s="112" t="s">
        <v>1193</v>
      </c>
      <c r="K124" s="112" t="s">
        <v>1194</v>
      </c>
      <c r="L124" s="116">
        <v>-9485.09</v>
      </c>
    </row>
    <row r="125" spans="1:12" hidden="1" outlineLevel="1" collapsed="1" x14ac:dyDescent="0.35">
      <c r="A125" s="112" t="s">
        <v>1185</v>
      </c>
      <c r="B125" s="112" t="s">
        <v>897</v>
      </c>
      <c r="C125" s="112" t="s">
        <v>1095</v>
      </c>
      <c r="D125" s="113">
        <v>10348451</v>
      </c>
      <c r="E125" s="115">
        <v>43949</v>
      </c>
      <c r="F125" s="114">
        <v>202101</v>
      </c>
      <c r="G125" s="112" t="s">
        <v>1091</v>
      </c>
      <c r="H125" s="112" t="s">
        <v>1015</v>
      </c>
      <c r="I125" s="112" t="s">
        <v>1101</v>
      </c>
      <c r="J125" s="112" t="s">
        <v>1191</v>
      </c>
      <c r="K125" s="112" t="s">
        <v>1098</v>
      </c>
      <c r="L125" s="116">
        <v>315</v>
      </c>
    </row>
    <row r="126" spans="1:12" hidden="1" outlineLevel="1" collapsed="1" x14ac:dyDescent="0.35">
      <c r="A126" s="112" t="s">
        <v>1185</v>
      </c>
      <c r="B126" s="112" t="s">
        <v>896</v>
      </c>
      <c r="C126" s="112" t="s">
        <v>695</v>
      </c>
      <c r="D126" s="113">
        <v>10347981</v>
      </c>
      <c r="E126" s="115">
        <v>43924</v>
      </c>
      <c r="F126" s="114">
        <v>202101</v>
      </c>
      <c r="G126" s="112" t="s">
        <v>1091</v>
      </c>
      <c r="H126" s="112" t="s">
        <v>1015</v>
      </c>
      <c r="I126" s="112" t="s">
        <v>769</v>
      </c>
      <c r="J126" s="112" t="s">
        <v>1195</v>
      </c>
      <c r="K126" s="112" t="s">
        <v>1196</v>
      </c>
      <c r="L126" s="116">
        <v>-234.06</v>
      </c>
    </row>
    <row r="127" spans="1:12" hidden="1" outlineLevel="1" collapsed="1" x14ac:dyDescent="0.35">
      <c r="A127" s="112" t="s">
        <v>1185</v>
      </c>
      <c r="B127" s="112" t="s">
        <v>898</v>
      </c>
      <c r="C127" s="112" t="s">
        <v>1095</v>
      </c>
      <c r="D127" s="113">
        <v>10348451</v>
      </c>
      <c r="E127" s="115">
        <v>43949</v>
      </c>
      <c r="F127" s="114">
        <v>202101</v>
      </c>
      <c r="G127" s="112" t="s">
        <v>1091</v>
      </c>
      <c r="H127" s="112" t="s">
        <v>1015</v>
      </c>
      <c r="I127" s="112" t="s">
        <v>1101</v>
      </c>
      <c r="J127" s="112" t="s">
        <v>1197</v>
      </c>
      <c r="K127" s="112" t="s">
        <v>1098</v>
      </c>
      <c r="L127" s="116">
        <v>379.69</v>
      </c>
    </row>
    <row r="128" spans="1:12" hidden="1" outlineLevel="1" collapsed="1" x14ac:dyDescent="0.35">
      <c r="A128" s="112" t="s">
        <v>1185</v>
      </c>
      <c r="B128" s="112" t="s">
        <v>1192</v>
      </c>
      <c r="C128" s="112" t="s">
        <v>1095</v>
      </c>
      <c r="D128" s="113">
        <v>10348451</v>
      </c>
      <c r="E128" s="115">
        <v>43949</v>
      </c>
      <c r="F128" s="114">
        <v>202101</v>
      </c>
      <c r="G128" s="112" t="s">
        <v>1091</v>
      </c>
      <c r="H128" s="112" t="s">
        <v>1015</v>
      </c>
      <c r="I128" s="112" t="s">
        <v>1101</v>
      </c>
      <c r="J128" s="112" t="s">
        <v>1198</v>
      </c>
      <c r="K128" s="112" t="s">
        <v>1098</v>
      </c>
      <c r="L128" s="116">
        <v>483.07</v>
      </c>
    </row>
    <row r="129" spans="1:12" hidden="1" outlineLevel="1" collapsed="1" x14ac:dyDescent="0.35">
      <c r="A129" s="112" t="s">
        <v>1185</v>
      </c>
      <c r="B129" s="112" t="s">
        <v>897</v>
      </c>
      <c r="C129" s="112" t="s">
        <v>1095</v>
      </c>
      <c r="D129" s="113">
        <v>10348451</v>
      </c>
      <c r="E129" s="115">
        <v>43949</v>
      </c>
      <c r="F129" s="114">
        <v>202101</v>
      </c>
      <c r="G129" s="112" t="s">
        <v>1091</v>
      </c>
      <c r="H129" s="112" t="s">
        <v>1015</v>
      </c>
      <c r="I129" s="112" t="s">
        <v>1101</v>
      </c>
      <c r="J129" s="112" t="s">
        <v>1191</v>
      </c>
      <c r="K129" s="112" t="s">
        <v>1098</v>
      </c>
      <c r="L129" s="116">
        <v>366.04</v>
      </c>
    </row>
    <row r="130" spans="1:12" hidden="1" outlineLevel="1" collapsed="1" x14ac:dyDescent="0.35">
      <c r="A130" s="112" t="s">
        <v>1185</v>
      </c>
      <c r="B130" s="112" t="s">
        <v>896</v>
      </c>
      <c r="C130" s="112" t="s">
        <v>1095</v>
      </c>
      <c r="D130" s="113">
        <v>10348451</v>
      </c>
      <c r="E130" s="115">
        <v>43949</v>
      </c>
      <c r="F130" s="114">
        <v>202101</v>
      </c>
      <c r="G130" s="112" t="s">
        <v>1091</v>
      </c>
      <c r="H130" s="112" t="s">
        <v>1015</v>
      </c>
      <c r="I130" s="112" t="s">
        <v>1101</v>
      </c>
      <c r="J130" s="112" t="s">
        <v>1199</v>
      </c>
      <c r="K130" s="112" t="s">
        <v>1098</v>
      </c>
      <c r="L130" s="116">
        <v>3.24</v>
      </c>
    </row>
    <row r="131" spans="1:12" hidden="1" outlineLevel="1" collapsed="1" x14ac:dyDescent="0.35">
      <c r="A131" s="112" t="s">
        <v>1185</v>
      </c>
      <c r="B131" s="112" t="s">
        <v>898</v>
      </c>
      <c r="C131" s="112" t="s">
        <v>1095</v>
      </c>
      <c r="D131" s="113">
        <v>10348451</v>
      </c>
      <c r="E131" s="115">
        <v>43949</v>
      </c>
      <c r="F131" s="114">
        <v>202101</v>
      </c>
      <c r="G131" s="112" t="s">
        <v>1091</v>
      </c>
      <c r="H131" s="112" t="s">
        <v>1015</v>
      </c>
      <c r="I131" s="112" t="s">
        <v>1190</v>
      </c>
      <c r="J131" s="112" t="s">
        <v>1200</v>
      </c>
      <c r="K131" s="112" t="s">
        <v>1098</v>
      </c>
      <c r="L131" s="116">
        <v>190.03</v>
      </c>
    </row>
    <row r="132" spans="1:12" hidden="1" outlineLevel="1" collapsed="1" x14ac:dyDescent="0.35">
      <c r="A132" s="112" t="s">
        <v>1185</v>
      </c>
      <c r="B132" s="112" t="s">
        <v>897</v>
      </c>
      <c r="C132" s="112" t="s">
        <v>1095</v>
      </c>
      <c r="D132" s="113">
        <v>10348451</v>
      </c>
      <c r="E132" s="115">
        <v>43949</v>
      </c>
      <c r="F132" s="114">
        <v>202101</v>
      </c>
      <c r="G132" s="112" t="s">
        <v>1091</v>
      </c>
      <c r="H132" s="112" t="s">
        <v>1015</v>
      </c>
      <c r="I132" s="112" t="s">
        <v>1101</v>
      </c>
      <c r="J132" s="112" t="s">
        <v>1191</v>
      </c>
      <c r="K132" s="112" t="s">
        <v>1098</v>
      </c>
      <c r="L132" s="116">
        <v>292.83</v>
      </c>
    </row>
    <row r="133" spans="1:12" hidden="1" outlineLevel="1" collapsed="1" x14ac:dyDescent="0.35">
      <c r="A133" s="112" t="s">
        <v>1185</v>
      </c>
      <c r="B133" s="112" t="s">
        <v>897</v>
      </c>
      <c r="C133" s="112" t="s">
        <v>695</v>
      </c>
      <c r="D133" s="113">
        <v>10347981</v>
      </c>
      <c r="E133" s="115">
        <v>43924</v>
      </c>
      <c r="F133" s="114">
        <v>202101</v>
      </c>
      <c r="G133" s="112" t="s">
        <v>1091</v>
      </c>
      <c r="H133" s="112" t="s">
        <v>1015</v>
      </c>
      <c r="I133" s="112" t="s">
        <v>1201</v>
      </c>
      <c r="J133" s="112" t="s">
        <v>1186</v>
      </c>
      <c r="K133" s="112" t="s">
        <v>1202</v>
      </c>
      <c r="L133" s="116">
        <v>-1528.93</v>
      </c>
    </row>
    <row r="134" spans="1:12" hidden="1" outlineLevel="1" collapsed="1" x14ac:dyDescent="0.35">
      <c r="A134" s="112" t="s">
        <v>1185</v>
      </c>
      <c r="B134" s="112" t="s">
        <v>897</v>
      </c>
      <c r="C134" s="112" t="s">
        <v>1095</v>
      </c>
      <c r="D134" s="113">
        <v>10348451</v>
      </c>
      <c r="E134" s="115">
        <v>43949</v>
      </c>
      <c r="F134" s="114">
        <v>202101</v>
      </c>
      <c r="G134" s="112" t="s">
        <v>1091</v>
      </c>
      <c r="H134" s="112" t="s">
        <v>1015</v>
      </c>
      <c r="I134" s="112" t="s">
        <v>1096</v>
      </c>
      <c r="J134" s="112" t="s">
        <v>1191</v>
      </c>
      <c r="K134" s="112" t="s">
        <v>1098</v>
      </c>
      <c r="L134" s="116">
        <v>148.43</v>
      </c>
    </row>
    <row r="135" spans="1:12" hidden="1" outlineLevel="1" collapsed="1" x14ac:dyDescent="0.35">
      <c r="A135" s="112" t="s">
        <v>1185</v>
      </c>
      <c r="B135" s="112" t="s">
        <v>897</v>
      </c>
      <c r="C135" s="112" t="s">
        <v>1095</v>
      </c>
      <c r="D135" s="113">
        <v>10348451</v>
      </c>
      <c r="E135" s="115">
        <v>43949</v>
      </c>
      <c r="F135" s="114">
        <v>202101</v>
      </c>
      <c r="G135" s="112" t="s">
        <v>1091</v>
      </c>
      <c r="H135" s="112" t="s">
        <v>1015</v>
      </c>
      <c r="I135" s="112" t="s">
        <v>1096</v>
      </c>
      <c r="J135" s="112" t="s">
        <v>1191</v>
      </c>
      <c r="K135" s="112" t="s">
        <v>1098</v>
      </c>
      <c r="L135" s="116">
        <v>262.10000000000002</v>
      </c>
    </row>
    <row r="136" spans="1:12" hidden="1" outlineLevel="1" collapsed="1" x14ac:dyDescent="0.35">
      <c r="A136" s="112" t="s">
        <v>1185</v>
      </c>
      <c r="B136" s="112" t="s">
        <v>897</v>
      </c>
      <c r="C136" s="112" t="s">
        <v>1095</v>
      </c>
      <c r="D136" s="113">
        <v>10348451</v>
      </c>
      <c r="E136" s="115">
        <v>43949</v>
      </c>
      <c r="F136" s="114">
        <v>202101</v>
      </c>
      <c r="G136" s="112" t="s">
        <v>1091</v>
      </c>
      <c r="H136" s="112" t="s">
        <v>1015</v>
      </c>
      <c r="I136" s="112" t="s">
        <v>1101</v>
      </c>
      <c r="J136" s="112" t="s">
        <v>1191</v>
      </c>
      <c r="K136" s="112" t="s">
        <v>1098</v>
      </c>
      <c r="L136" s="116">
        <v>426.26</v>
      </c>
    </row>
    <row r="137" spans="1:12" hidden="1" outlineLevel="1" collapsed="1" x14ac:dyDescent="0.35">
      <c r="A137" s="112" t="s">
        <v>1185</v>
      </c>
      <c r="B137" s="112" t="s">
        <v>897</v>
      </c>
      <c r="C137" s="112" t="s">
        <v>1095</v>
      </c>
      <c r="D137" s="113">
        <v>10348451</v>
      </c>
      <c r="E137" s="115">
        <v>43949</v>
      </c>
      <c r="F137" s="114">
        <v>202101</v>
      </c>
      <c r="G137" s="112" t="s">
        <v>1091</v>
      </c>
      <c r="H137" s="112" t="s">
        <v>1015</v>
      </c>
      <c r="I137" s="112" t="s">
        <v>1101</v>
      </c>
      <c r="J137" s="112" t="s">
        <v>1191</v>
      </c>
      <c r="K137" s="112" t="s">
        <v>1098</v>
      </c>
      <c r="L137" s="116">
        <v>483.07</v>
      </c>
    </row>
    <row r="138" spans="1:12" hidden="1" outlineLevel="1" collapsed="1" x14ac:dyDescent="0.35">
      <c r="A138" s="112" t="s">
        <v>1185</v>
      </c>
      <c r="B138" s="112" t="s">
        <v>897</v>
      </c>
      <c r="C138" s="112" t="s">
        <v>1095</v>
      </c>
      <c r="D138" s="113">
        <v>10348451</v>
      </c>
      <c r="E138" s="115">
        <v>43949</v>
      </c>
      <c r="F138" s="114">
        <v>202101</v>
      </c>
      <c r="G138" s="112" t="s">
        <v>1091</v>
      </c>
      <c r="H138" s="112" t="s">
        <v>1015</v>
      </c>
      <c r="I138" s="112" t="s">
        <v>1101</v>
      </c>
      <c r="J138" s="112" t="s">
        <v>1203</v>
      </c>
      <c r="K138" s="112" t="s">
        <v>1098</v>
      </c>
      <c r="L138" s="116">
        <v>306.61</v>
      </c>
    </row>
    <row r="139" spans="1:12" hidden="1" outlineLevel="1" collapsed="1" x14ac:dyDescent="0.35">
      <c r="A139" s="112" t="s">
        <v>1185</v>
      </c>
      <c r="B139" s="112" t="s">
        <v>897</v>
      </c>
      <c r="C139" s="112" t="s">
        <v>1095</v>
      </c>
      <c r="D139" s="113">
        <v>10348451</v>
      </c>
      <c r="E139" s="115">
        <v>43949</v>
      </c>
      <c r="F139" s="114">
        <v>202101</v>
      </c>
      <c r="G139" s="112" t="s">
        <v>1091</v>
      </c>
      <c r="H139" s="112" t="s">
        <v>1015</v>
      </c>
      <c r="I139" s="112" t="s">
        <v>1096</v>
      </c>
      <c r="J139" s="112" t="s">
        <v>1203</v>
      </c>
      <c r="K139" s="112" t="s">
        <v>1098</v>
      </c>
      <c r="L139" s="116">
        <v>160.16999999999999</v>
      </c>
    </row>
    <row r="140" spans="1:12" hidden="1" outlineLevel="1" collapsed="1" x14ac:dyDescent="0.35">
      <c r="A140" s="112" t="s">
        <v>1185</v>
      </c>
      <c r="B140" s="112" t="s">
        <v>897</v>
      </c>
      <c r="C140" s="112" t="s">
        <v>1095</v>
      </c>
      <c r="D140" s="113">
        <v>10348451</v>
      </c>
      <c r="E140" s="115">
        <v>43949</v>
      </c>
      <c r="F140" s="114">
        <v>202101</v>
      </c>
      <c r="G140" s="112" t="s">
        <v>1091</v>
      </c>
      <c r="H140" s="112" t="s">
        <v>1015</v>
      </c>
      <c r="I140" s="112" t="s">
        <v>1096</v>
      </c>
      <c r="J140" s="112" t="s">
        <v>1191</v>
      </c>
      <c r="K140" s="112" t="s">
        <v>1098</v>
      </c>
      <c r="L140" s="116">
        <v>310.49</v>
      </c>
    </row>
    <row r="141" spans="1:12" hidden="1" outlineLevel="1" collapsed="1" x14ac:dyDescent="0.35">
      <c r="A141" s="112" t="s">
        <v>1185</v>
      </c>
      <c r="B141" s="112" t="s">
        <v>897</v>
      </c>
      <c r="C141" s="112" t="s">
        <v>1095</v>
      </c>
      <c r="D141" s="113">
        <v>10348451</v>
      </c>
      <c r="E141" s="115">
        <v>43949</v>
      </c>
      <c r="F141" s="114">
        <v>202101</v>
      </c>
      <c r="G141" s="112" t="s">
        <v>1091</v>
      </c>
      <c r="H141" s="112" t="s">
        <v>1015</v>
      </c>
      <c r="I141" s="112" t="s">
        <v>1190</v>
      </c>
      <c r="J141" s="112" t="s">
        <v>1191</v>
      </c>
      <c r="K141" s="112" t="s">
        <v>1098</v>
      </c>
      <c r="L141" s="116">
        <v>17.75</v>
      </c>
    </row>
    <row r="142" spans="1:12" hidden="1" outlineLevel="1" collapsed="1" x14ac:dyDescent="0.35">
      <c r="A142" s="112" t="s">
        <v>1185</v>
      </c>
      <c r="B142" s="112" t="s">
        <v>1192</v>
      </c>
      <c r="C142" s="112" t="s">
        <v>695</v>
      </c>
      <c r="D142" s="113">
        <v>10347981</v>
      </c>
      <c r="E142" s="115">
        <v>43924</v>
      </c>
      <c r="F142" s="114">
        <v>202101</v>
      </c>
      <c r="G142" s="112" t="s">
        <v>1091</v>
      </c>
      <c r="H142" s="112" t="s">
        <v>1015</v>
      </c>
      <c r="I142" s="112" t="s">
        <v>761</v>
      </c>
      <c r="J142" s="112" t="s">
        <v>1193</v>
      </c>
      <c r="K142" s="112" t="s">
        <v>1204</v>
      </c>
      <c r="L142" s="116">
        <v>-3555</v>
      </c>
    </row>
    <row r="143" spans="1:12" hidden="1" outlineLevel="1" collapsed="1" x14ac:dyDescent="0.35">
      <c r="A143" s="112" t="s">
        <v>1185</v>
      </c>
      <c r="B143" s="112" t="s">
        <v>896</v>
      </c>
      <c r="C143" s="112" t="s">
        <v>1095</v>
      </c>
      <c r="D143" s="113">
        <v>10348451</v>
      </c>
      <c r="E143" s="115">
        <v>43949</v>
      </c>
      <c r="F143" s="114">
        <v>202101</v>
      </c>
      <c r="G143" s="112" t="s">
        <v>1091</v>
      </c>
      <c r="H143" s="112" t="s">
        <v>1015</v>
      </c>
      <c r="I143" s="112" t="s">
        <v>1205</v>
      </c>
      <c r="J143" s="112" t="s">
        <v>1199</v>
      </c>
      <c r="K143" s="112" t="s">
        <v>1098</v>
      </c>
      <c r="L143" s="116">
        <v>13</v>
      </c>
    </row>
    <row r="144" spans="1:12" hidden="1" outlineLevel="1" collapsed="1" x14ac:dyDescent="0.35">
      <c r="A144" s="112" t="s">
        <v>1185</v>
      </c>
      <c r="B144" s="112" t="s">
        <v>1192</v>
      </c>
      <c r="C144" s="112" t="s">
        <v>1095</v>
      </c>
      <c r="D144" s="113">
        <v>10348451</v>
      </c>
      <c r="E144" s="115">
        <v>43949</v>
      </c>
      <c r="F144" s="114">
        <v>202101</v>
      </c>
      <c r="G144" s="112" t="s">
        <v>1091</v>
      </c>
      <c r="H144" s="112" t="s">
        <v>1015</v>
      </c>
      <c r="I144" s="112" t="s">
        <v>1205</v>
      </c>
      <c r="J144" s="112" t="s">
        <v>1198</v>
      </c>
      <c r="K144" s="112" t="s">
        <v>1098</v>
      </c>
      <c r="L144" s="116">
        <v>671.08</v>
      </c>
    </row>
    <row r="145" spans="1:12" hidden="1" outlineLevel="1" collapsed="1" x14ac:dyDescent="0.35">
      <c r="A145" s="112" t="s">
        <v>1185</v>
      </c>
      <c r="B145" s="112" t="s">
        <v>1192</v>
      </c>
      <c r="C145" s="112" t="s">
        <v>695</v>
      </c>
      <c r="D145" s="113">
        <v>10347981</v>
      </c>
      <c r="E145" s="115">
        <v>43924</v>
      </c>
      <c r="F145" s="114">
        <v>202101</v>
      </c>
      <c r="G145" s="112" t="s">
        <v>1091</v>
      </c>
      <c r="H145" s="112" t="s">
        <v>1015</v>
      </c>
      <c r="I145" s="112" t="s">
        <v>761</v>
      </c>
      <c r="J145" s="112" t="s">
        <v>1198</v>
      </c>
      <c r="K145" s="112" t="s">
        <v>1206</v>
      </c>
      <c r="L145" s="116">
        <v>-770</v>
      </c>
    </row>
    <row r="146" spans="1:12" hidden="1" outlineLevel="1" collapsed="1" x14ac:dyDescent="0.35">
      <c r="A146" s="112" t="s">
        <v>1185</v>
      </c>
      <c r="B146" s="112" t="s">
        <v>898</v>
      </c>
      <c r="C146" s="112" t="s">
        <v>1095</v>
      </c>
      <c r="D146" s="113">
        <v>10348451</v>
      </c>
      <c r="E146" s="115">
        <v>43949</v>
      </c>
      <c r="F146" s="114">
        <v>202101</v>
      </c>
      <c r="G146" s="112" t="s">
        <v>1091</v>
      </c>
      <c r="H146" s="112" t="s">
        <v>1015</v>
      </c>
      <c r="I146" s="112" t="s">
        <v>1205</v>
      </c>
      <c r="J146" s="112" t="s">
        <v>1207</v>
      </c>
      <c r="K146" s="112" t="s">
        <v>1098</v>
      </c>
      <c r="L146" s="116">
        <v>13</v>
      </c>
    </row>
    <row r="147" spans="1:12" hidden="1" outlineLevel="1" collapsed="1" x14ac:dyDescent="0.35">
      <c r="A147" s="112" t="s">
        <v>1185</v>
      </c>
      <c r="B147" s="112" t="s">
        <v>897</v>
      </c>
      <c r="C147" s="112" t="s">
        <v>1095</v>
      </c>
      <c r="D147" s="113">
        <v>10348451</v>
      </c>
      <c r="E147" s="115">
        <v>43949</v>
      </c>
      <c r="F147" s="114">
        <v>202101</v>
      </c>
      <c r="G147" s="112" t="s">
        <v>1091</v>
      </c>
      <c r="H147" s="112" t="s">
        <v>1015</v>
      </c>
      <c r="I147" s="112" t="s">
        <v>1205</v>
      </c>
      <c r="J147" s="112" t="s">
        <v>1191</v>
      </c>
      <c r="K147" s="112" t="s">
        <v>1098</v>
      </c>
      <c r="L147" s="116">
        <v>18</v>
      </c>
    </row>
    <row r="148" spans="1:12" hidden="1" outlineLevel="1" collapsed="1" x14ac:dyDescent="0.35">
      <c r="A148" s="112" t="s">
        <v>1185</v>
      </c>
      <c r="B148" s="112" t="s">
        <v>897</v>
      </c>
      <c r="C148" s="112" t="s">
        <v>1095</v>
      </c>
      <c r="D148" s="113">
        <v>10348451</v>
      </c>
      <c r="E148" s="115">
        <v>43949</v>
      </c>
      <c r="F148" s="114">
        <v>202101</v>
      </c>
      <c r="G148" s="112" t="s">
        <v>1091</v>
      </c>
      <c r="H148" s="112" t="s">
        <v>1015</v>
      </c>
      <c r="I148" s="112" t="s">
        <v>1205</v>
      </c>
      <c r="J148" s="112" t="s">
        <v>1191</v>
      </c>
      <c r="K148" s="112" t="s">
        <v>1098</v>
      </c>
      <c r="L148" s="116">
        <v>18</v>
      </c>
    </row>
    <row r="149" spans="1:12" hidden="1" outlineLevel="1" collapsed="1" x14ac:dyDescent="0.35">
      <c r="A149" s="112" t="s">
        <v>1185</v>
      </c>
      <c r="B149" s="112" t="s">
        <v>897</v>
      </c>
      <c r="C149" s="112" t="s">
        <v>1095</v>
      </c>
      <c r="D149" s="113">
        <v>10348451</v>
      </c>
      <c r="E149" s="115">
        <v>43949</v>
      </c>
      <c r="F149" s="114">
        <v>202101</v>
      </c>
      <c r="G149" s="112" t="s">
        <v>1091</v>
      </c>
      <c r="H149" s="112" t="s">
        <v>1015</v>
      </c>
      <c r="I149" s="112" t="s">
        <v>1205</v>
      </c>
      <c r="J149" s="112" t="s">
        <v>1191</v>
      </c>
      <c r="K149" s="112" t="s">
        <v>1098</v>
      </c>
      <c r="L149" s="116">
        <v>13</v>
      </c>
    </row>
    <row r="150" spans="1:12" hidden="1" outlineLevel="1" collapsed="1" x14ac:dyDescent="0.35">
      <c r="A150" s="112" t="s">
        <v>1185</v>
      </c>
      <c r="B150" s="112" t="s">
        <v>897</v>
      </c>
      <c r="C150" s="112" t="s">
        <v>1095</v>
      </c>
      <c r="D150" s="113">
        <v>10348451</v>
      </c>
      <c r="E150" s="115">
        <v>43949</v>
      </c>
      <c r="F150" s="114">
        <v>202101</v>
      </c>
      <c r="G150" s="112" t="s">
        <v>1091</v>
      </c>
      <c r="H150" s="112" t="s">
        <v>1015</v>
      </c>
      <c r="I150" s="112" t="s">
        <v>1205</v>
      </c>
      <c r="J150" s="112" t="s">
        <v>1191</v>
      </c>
      <c r="K150" s="112" t="s">
        <v>1098</v>
      </c>
      <c r="L150" s="116">
        <v>13</v>
      </c>
    </row>
    <row r="151" spans="1:12" hidden="1" outlineLevel="1" collapsed="1" x14ac:dyDescent="0.35">
      <c r="A151" s="112" t="s">
        <v>1185</v>
      </c>
      <c r="B151" s="112" t="s">
        <v>896</v>
      </c>
      <c r="C151" s="112" t="s">
        <v>695</v>
      </c>
      <c r="D151" s="113">
        <v>10347981</v>
      </c>
      <c r="E151" s="115">
        <v>43924</v>
      </c>
      <c r="F151" s="114">
        <v>202101</v>
      </c>
      <c r="G151" s="112" t="s">
        <v>1091</v>
      </c>
      <c r="H151" s="112" t="s">
        <v>1015</v>
      </c>
      <c r="I151" s="112" t="s">
        <v>1092</v>
      </c>
      <c r="J151" s="112" t="s">
        <v>1199</v>
      </c>
      <c r="K151" s="112" t="s">
        <v>1208</v>
      </c>
      <c r="L151" s="116">
        <v>-30</v>
      </c>
    </row>
    <row r="152" spans="1:12" hidden="1" outlineLevel="1" collapsed="1" x14ac:dyDescent="0.35">
      <c r="A152" s="112" t="s">
        <v>1185</v>
      </c>
      <c r="B152" s="112" t="s">
        <v>896</v>
      </c>
      <c r="C152" s="112" t="s">
        <v>695</v>
      </c>
      <c r="D152" s="113">
        <v>10347981</v>
      </c>
      <c r="E152" s="115">
        <v>43924</v>
      </c>
      <c r="F152" s="114">
        <v>202101</v>
      </c>
      <c r="G152" s="112" t="s">
        <v>1091</v>
      </c>
      <c r="H152" s="112" t="s">
        <v>1015</v>
      </c>
      <c r="I152" s="112" t="s">
        <v>767</v>
      </c>
      <c r="J152" s="112" t="s">
        <v>1195</v>
      </c>
      <c r="K152" s="112" t="s">
        <v>1209</v>
      </c>
      <c r="L152" s="116">
        <v>-5789.75</v>
      </c>
    </row>
    <row r="153" spans="1:12" hidden="1" outlineLevel="1" collapsed="1" x14ac:dyDescent="0.35">
      <c r="A153" s="112" t="s">
        <v>1185</v>
      </c>
      <c r="B153" s="112" t="s">
        <v>897</v>
      </c>
      <c r="C153" s="112" t="s">
        <v>1095</v>
      </c>
      <c r="D153" s="113">
        <v>10348451</v>
      </c>
      <c r="E153" s="115">
        <v>43949</v>
      </c>
      <c r="F153" s="114">
        <v>202101</v>
      </c>
      <c r="G153" s="112" t="s">
        <v>1091</v>
      </c>
      <c r="H153" s="112" t="s">
        <v>1015</v>
      </c>
      <c r="I153" s="112" t="s">
        <v>1096</v>
      </c>
      <c r="J153" s="112" t="s">
        <v>1191</v>
      </c>
      <c r="K153" s="112" t="s">
        <v>1098</v>
      </c>
      <c r="L153" s="116">
        <v>228.56</v>
      </c>
    </row>
    <row r="154" spans="1:12" hidden="1" outlineLevel="1" collapsed="1" x14ac:dyDescent="0.35">
      <c r="A154" s="112" t="s">
        <v>1185</v>
      </c>
      <c r="B154" s="112" t="s">
        <v>896</v>
      </c>
      <c r="C154" s="112" t="s">
        <v>1099</v>
      </c>
      <c r="D154" s="113">
        <v>1069381</v>
      </c>
      <c r="E154" s="115">
        <v>43921</v>
      </c>
      <c r="F154" s="114">
        <v>202101</v>
      </c>
      <c r="G154" s="112" t="s">
        <v>1091</v>
      </c>
      <c r="H154" s="112" t="s">
        <v>1015</v>
      </c>
      <c r="I154" s="112" t="s">
        <v>767</v>
      </c>
      <c r="J154" s="112" t="s">
        <v>1195</v>
      </c>
      <c r="K154" s="112" t="s">
        <v>1210</v>
      </c>
      <c r="L154" s="116">
        <v>1300</v>
      </c>
    </row>
    <row r="155" spans="1:12" hidden="1" outlineLevel="1" collapsed="1" x14ac:dyDescent="0.35">
      <c r="A155" s="112" t="s">
        <v>1185</v>
      </c>
      <c r="B155" s="112" t="s">
        <v>896</v>
      </c>
      <c r="C155" s="112" t="s">
        <v>1150</v>
      </c>
      <c r="D155" s="113">
        <v>10348688</v>
      </c>
      <c r="E155" s="115">
        <v>43978</v>
      </c>
      <c r="F155" s="114">
        <v>202101</v>
      </c>
      <c r="G155" s="112" t="s">
        <v>1091</v>
      </c>
      <c r="H155" s="112" t="s">
        <v>1015</v>
      </c>
      <c r="I155" s="112" t="s">
        <v>1211</v>
      </c>
      <c r="J155" s="112" t="s">
        <v>1199</v>
      </c>
      <c r="K155" s="112" t="s">
        <v>1212</v>
      </c>
      <c r="L155" s="116">
        <v>9483.52</v>
      </c>
    </row>
    <row r="156" spans="1:12" hidden="1" outlineLevel="1" collapsed="1" x14ac:dyDescent="0.35">
      <c r="A156" s="112" t="s">
        <v>1185</v>
      </c>
      <c r="B156" s="112" t="s">
        <v>897</v>
      </c>
      <c r="C156" s="112" t="s">
        <v>1095</v>
      </c>
      <c r="D156" s="113">
        <v>10348451</v>
      </c>
      <c r="E156" s="115">
        <v>43949</v>
      </c>
      <c r="F156" s="114">
        <v>202101</v>
      </c>
      <c r="G156" s="112" t="s">
        <v>1091</v>
      </c>
      <c r="H156" s="112" t="s">
        <v>1015</v>
      </c>
      <c r="I156" s="112" t="s">
        <v>1096</v>
      </c>
      <c r="J156" s="112" t="s">
        <v>1203</v>
      </c>
      <c r="K156" s="112" t="s">
        <v>1098</v>
      </c>
      <c r="L156" s="116">
        <v>183.19</v>
      </c>
    </row>
    <row r="157" spans="1:12" hidden="1" outlineLevel="1" collapsed="1" x14ac:dyDescent="0.35">
      <c r="A157" s="112" t="s">
        <v>1185</v>
      </c>
      <c r="B157" s="112" t="s">
        <v>897</v>
      </c>
      <c r="C157" s="112" t="s">
        <v>1095</v>
      </c>
      <c r="D157" s="113">
        <v>10348451</v>
      </c>
      <c r="E157" s="115">
        <v>43949</v>
      </c>
      <c r="F157" s="114">
        <v>202101</v>
      </c>
      <c r="G157" s="112" t="s">
        <v>1091</v>
      </c>
      <c r="H157" s="112" t="s">
        <v>1015</v>
      </c>
      <c r="I157" s="112" t="s">
        <v>1096</v>
      </c>
      <c r="J157" s="112" t="s">
        <v>1186</v>
      </c>
      <c r="K157" s="112" t="s">
        <v>1098</v>
      </c>
      <c r="L157" s="116">
        <v>129.68</v>
      </c>
    </row>
    <row r="158" spans="1:12" hidden="1" outlineLevel="1" collapsed="1" x14ac:dyDescent="0.35">
      <c r="A158" s="112" t="s">
        <v>1185</v>
      </c>
      <c r="B158" s="112" t="s">
        <v>898</v>
      </c>
      <c r="C158" s="112" t="s">
        <v>1095</v>
      </c>
      <c r="D158" s="113">
        <v>10348451</v>
      </c>
      <c r="E158" s="115">
        <v>43949</v>
      </c>
      <c r="F158" s="114">
        <v>202101</v>
      </c>
      <c r="G158" s="112" t="s">
        <v>1091</v>
      </c>
      <c r="H158" s="112" t="s">
        <v>1015</v>
      </c>
      <c r="I158" s="112" t="s">
        <v>1096</v>
      </c>
      <c r="J158" s="112" t="s">
        <v>1213</v>
      </c>
      <c r="K158" s="112" t="s">
        <v>1098</v>
      </c>
      <c r="L158" s="116">
        <v>210.79</v>
      </c>
    </row>
    <row r="159" spans="1:12" hidden="1" outlineLevel="1" collapsed="1" x14ac:dyDescent="0.35">
      <c r="A159" s="112" t="s">
        <v>1185</v>
      </c>
      <c r="B159" s="112" t="s">
        <v>898</v>
      </c>
      <c r="C159" s="112" t="s">
        <v>1095</v>
      </c>
      <c r="D159" s="113">
        <v>10348451</v>
      </c>
      <c r="E159" s="115">
        <v>43949</v>
      </c>
      <c r="F159" s="114">
        <v>202101</v>
      </c>
      <c r="G159" s="112" t="s">
        <v>1091</v>
      </c>
      <c r="H159" s="112" t="s">
        <v>1015</v>
      </c>
      <c r="I159" s="112" t="s">
        <v>1101</v>
      </c>
      <c r="J159" s="112" t="s">
        <v>1213</v>
      </c>
      <c r="K159" s="112" t="s">
        <v>1098</v>
      </c>
      <c r="L159" s="116">
        <v>366.04</v>
      </c>
    </row>
    <row r="160" spans="1:12" hidden="1" outlineLevel="1" collapsed="1" x14ac:dyDescent="0.35">
      <c r="A160" s="112" t="s">
        <v>1185</v>
      </c>
      <c r="B160" s="112" t="s">
        <v>897</v>
      </c>
      <c r="C160" s="112" t="s">
        <v>1095</v>
      </c>
      <c r="D160" s="113">
        <v>10348451</v>
      </c>
      <c r="E160" s="115">
        <v>43949</v>
      </c>
      <c r="F160" s="114">
        <v>202101</v>
      </c>
      <c r="G160" s="112" t="s">
        <v>1091</v>
      </c>
      <c r="H160" s="112" t="s">
        <v>1015</v>
      </c>
      <c r="I160" s="112" t="s">
        <v>1101</v>
      </c>
      <c r="J160" s="112" t="s">
        <v>1191</v>
      </c>
      <c r="K160" s="112" t="s">
        <v>1098</v>
      </c>
      <c r="L160" s="116">
        <v>270.82</v>
      </c>
    </row>
    <row r="161" spans="1:12" hidden="1" outlineLevel="1" collapsed="1" x14ac:dyDescent="0.35">
      <c r="A161" s="112" t="s">
        <v>1185</v>
      </c>
      <c r="B161" s="112" t="s">
        <v>897</v>
      </c>
      <c r="C161" s="112" t="s">
        <v>1095</v>
      </c>
      <c r="D161" s="113">
        <v>10348451</v>
      </c>
      <c r="E161" s="115">
        <v>43949</v>
      </c>
      <c r="F161" s="114">
        <v>202101</v>
      </c>
      <c r="G161" s="112" t="s">
        <v>1091</v>
      </c>
      <c r="H161" s="112" t="s">
        <v>1015</v>
      </c>
      <c r="I161" s="112" t="s">
        <v>1101</v>
      </c>
      <c r="J161" s="112" t="s">
        <v>1203</v>
      </c>
      <c r="K161" s="112" t="s">
        <v>1098</v>
      </c>
      <c r="L161" s="116">
        <v>148.38999999999999</v>
      </c>
    </row>
    <row r="162" spans="1:12" hidden="1" outlineLevel="1" collapsed="1" x14ac:dyDescent="0.35">
      <c r="A162" s="112" t="s">
        <v>1185</v>
      </c>
      <c r="B162" s="112" t="s">
        <v>897</v>
      </c>
      <c r="C162" s="112" t="s">
        <v>1095</v>
      </c>
      <c r="D162" s="113">
        <v>10348451</v>
      </c>
      <c r="E162" s="115">
        <v>43949</v>
      </c>
      <c r="F162" s="114">
        <v>202101</v>
      </c>
      <c r="G162" s="112" t="s">
        <v>1091</v>
      </c>
      <c r="H162" s="112" t="s">
        <v>1015</v>
      </c>
      <c r="I162" s="112" t="s">
        <v>1096</v>
      </c>
      <c r="J162" s="112" t="s">
        <v>1203</v>
      </c>
      <c r="K162" s="112" t="s">
        <v>1098</v>
      </c>
      <c r="L162" s="116">
        <v>25.39</v>
      </c>
    </row>
    <row r="163" spans="1:12" hidden="1" outlineLevel="1" collapsed="1" x14ac:dyDescent="0.35">
      <c r="A163" s="112" t="s">
        <v>1185</v>
      </c>
      <c r="B163" s="112" t="s">
        <v>1192</v>
      </c>
      <c r="C163" s="112" t="s">
        <v>1150</v>
      </c>
      <c r="D163" s="113">
        <v>10348688</v>
      </c>
      <c r="E163" s="115">
        <v>43978</v>
      </c>
      <c r="F163" s="114">
        <v>202101</v>
      </c>
      <c r="G163" s="112" t="s">
        <v>1091</v>
      </c>
      <c r="H163" s="112" t="s">
        <v>1015</v>
      </c>
      <c r="I163" s="112" t="s">
        <v>1211</v>
      </c>
      <c r="J163" s="112" t="s">
        <v>1198</v>
      </c>
      <c r="K163" s="112" t="s">
        <v>1214</v>
      </c>
      <c r="L163" s="116">
        <v>10924.88</v>
      </c>
    </row>
    <row r="164" spans="1:12" hidden="1" outlineLevel="1" collapsed="1" x14ac:dyDescent="0.35">
      <c r="A164" s="112" t="s">
        <v>1185</v>
      </c>
      <c r="B164" s="112" t="s">
        <v>897</v>
      </c>
      <c r="C164" s="112" t="s">
        <v>1095</v>
      </c>
      <c r="D164" s="113">
        <v>10348451</v>
      </c>
      <c r="E164" s="115">
        <v>43949</v>
      </c>
      <c r="F164" s="114">
        <v>202101</v>
      </c>
      <c r="G164" s="112" t="s">
        <v>1091</v>
      </c>
      <c r="H164" s="112" t="s">
        <v>1015</v>
      </c>
      <c r="I164" s="112" t="s">
        <v>1096</v>
      </c>
      <c r="J164" s="112" t="s">
        <v>1191</v>
      </c>
      <c r="K164" s="112" t="s">
        <v>1098</v>
      </c>
      <c r="L164" s="116">
        <v>95.67</v>
      </c>
    </row>
    <row r="165" spans="1:12" hidden="1" outlineLevel="1" collapsed="1" x14ac:dyDescent="0.35">
      <c r="A165" s="112" t="s">
        <v>1185</v>
      </c>
      <c r="B165" s="112" t="s">
        <v>896</v>
      </c>
      <c r="C165" s="112" t="s">
        <v>695</v>
      </c>
      <c r="D165" s="113">
        <v>10348034</v>
      </c>
      <c r="E165" s="115">
        <v>43928</v>
      </c>
      <c r="F165" s="114">
        <v>202101</v>
      </c>
      <c r="G165" s="112" t="s">
        <v>1091</v>
      </c>
      <c r="H165" s="112" t="s">
        <v>1015</v>
      </c>
      <c r="I165" s="112" t="s">
        <v>1211</v>
      </c>
      <c r="J165" s="112" t="s">
        <v>1199</v>
      </c>
      <c r="K165" s="112" t="s">
        <v>1215</v>
      </c>
      <c r="L165" s="116">
        <v>-12793</v>
      </c>
    </row>
    <row r="166" spans="1:12" hidden="1" outlineLevel="1" collapsed="1" x14ac:dyDescent="0.35">
      <c r="A166" s="112" t="s">
        <v>1185</v>
      </c>
      <c r="B166" s="112" t="s">
        <v>896</v>
      </c>
      <c r="C166" s="112" t="s">
        <v>695</v>
      </c>
      <c r="D166" s="113">
        <v>10348034</v>
      </c>
      <c r="E166" s="115">
        <v>43928</v>
      </c>
      <c r="F166" s="114">
        <v>202101</v>
      </c>
      <c r="G166" s="112" t="s">
        <v>1091</v>
      </c>
      <c r="H166" s="112" t="s">
        <v>1015</v>
      </c>
      <c r="I166" s="112" t="s">
        <v>1211</v>
      </c>
      <c r="J166" s="112" t="s">
        <v>1199</v>
      </c>
      <c r="K166" s="112" t="s">
        <v>1216</v>
      </c>
      <c r="L166" s="116">
        <v>-12168</v>
      </c>
    </row>
    <row r="167" spans="1:12" hidden="1" outlineLevel="1" collapsed="1" x14ac:dyDescent="0.35">
      <c r="A167" s="112" t="s">
        <v>1185</v>
      </c>
      <c r="B167" s="112" t="s">
        <v>896</v>
      </c>
      <c r="C167" s="112" t="s">
        <v>695</v>
      </c>
      <c r="D167" s="113">
        <v>10348034</v>
      </c>
      <c r="E167" s="115">
        <v>43928</v>
      </c>
      <c r="F167" s="114">
        <v>202101</v>
      </c>
      <c r="G167" s="112" t="s">
        <v>1091</v>
      </c>
      <c r="H167" s="112" t="s">
        <v>1015</v>
      </c>
      <c r="I167" s="112" t="s">
        <v>1211</v>
      </c>
      <c r="J167" s="112" t="s">
        <v>1199</v>
      </c>
      <c r="K167" s="112" t="s">
        <v>1217</v>
      </c>
      <c r="L167" s="116">
        <v>-7953.12</v>
      </c>
    </row>
    <row r="168" spans="1:12" hidden="1" outlineLevel="1" collapsed="1" x14ac:dyDescent="0.35">
      <c r="A168" s="112" t="s">
        <v>1185</v>
      </c>
      <c r="B168" s="112" t="s">
        <v>896</v>
      </c>
      <c r="C168" s="112" t="s">
        <v>695</v>
      </c>
      <c r="D168" s="113">
        <v>10348034</v>
      </c>
      <c r="E168" s="115">
        <v>43928</v>
      </c>
      <c r="F168" s="114">
        <v>202101</v>
      </c>
      <c r="G168" s="112" t="s">
        <v>1091</v>
      </c>
      <c r="H168" s="112" t="s">
        <v>1015</v>
      </c>
      <c r="I168" s="112" t="s">
        <v>1211</v>
      </c>
      <c r="J168" s="112" t="s">
        <v>1199</v>
      </c>
      <c r="K168" s="112" t="s">
        <v>1218</v>
      </c>
      <c r="L168" s="116">
        <v>-9468</v>
      </c>
    </row>
    <row r="169" spans="1:12" hidden="1" outlineLevel="1" collapsed="1" x14ac:dyDescent="0.35">
      <c r="A169" s="112" t="s">
        <v>1185</v>
      </c>
      <c r="B169" s="112" t="s">
        <v>898</v>
      </c>
      <c r="C169" s="112" t="s">
        <v>1095</v>
      </c>
      <c r="D169" s="113">
        <v>10348451</v>
      </c>
      <c r="E169" s="115">
        <v>43949</v>
      </c>
      <c r="F169" s="114">
        <v>202101</v>
      </c>
      <c r="G169" s="112" t="s">
        <v>1091</v>
      </c>
      <c r="H169" s="112" t="s">
        <v>1015</v>
      </c>
      <c r="I169" s="112" t="s">
        <v>1096</v>
      </c>
      <c r="J169" s="112" t="s">
        <v>1213</v>
      </c>
      <c r="K169" s="112" t="s">
        <v>1098</v>
      </c>
      <c r="L169" s="116">
        <v>222.84</v>
      </c>
    </row>
    <row r="170" spans="1:12" hidden="1" outlineLevel="1" collapsed="1" x14ac:dyDescent="0.35">
      <c r="A170" s="112" t="s">
        <v>1185</v>
      </c>
      <c r="B170" s="112" t="s">
        <v>896</v>
      </c>
      <c r="C170" s="112" t="s">
        <v>1219</v>
      </c>
      <c r="D170" s="113">
        <v>46307134</v>
      </c>
      <c r="E170" s="115">
        <v>43924</v>
      </c>
      <c r="F170" s="114">
        <v>202101</v>
      </c>
      <c r="G170" s="112" t="s">
        <v>1091</v>
      </c>
      <c r="H170" s="112" t="s">
        <v>1015</v>
      </c>
      <c r="I170" s="112" t="s">
        <v>1211</v>
      </c>
      <c r="J170" s="112" t="s">
        <v>1199</v>
      </c>
      <c r="K170" s="112" t="s">
        <v>1220</v>
      </c>
      <c r="L170" s="116">
        <v>69993.119999999995</v>
      </c>
    </row>
    <row r="171" spans="1:12" hidden="1" outlineLevel="1" collapsed="1" x14ac:dyDescent="0.35">
      <c r="A171" s="112" t="s">
        <v>1185</v>
      </c>
      <c r="B171" s="112" t="s">
        <v>896</v>
      </c>
      <c r="C171" s="112" t="s">
        <v>695</v>
      </c>
      <c r="D171" s="113">
        <v>10348034</v>
      </c>
      <c r="E171" s="115">
        <v>43928</v>
      </c>
      <c r="F171" s="114">
        <v>202101</v>
      </c>
      <c r="G171" s="112" t="s">
        <v>1091</v>
      </c>
      <c r="H171" s="112" t="s">
        <v>1015</v>
      </c>
      <c r="I171" s="112" t="s">
        <v>1211</v>
      </c>
      <c r="J171" s="112" t="s">
        <v>1199</v>
      </c>
      <c r="K171" s="112" t="s">
        <v>1221</v>
      </c>
      <c r="L171" s="116">
        <v>-12793</v>
      </c>
    </row>
    <row r="172" spans="1:12" hidden="1" outlineLevel="1" collapsed="1" x14ac:dyDescent="0.35">
      <c r="A172" s="112" t="s">
        <v>1185</v>
      </c>
      <c r="B172" s="112" t="s">
        <v>896</v>
      </c>
      <c r="C172" s="112" t="s">
        <v>695</v>
      </c>
      <c r="D172" s="113">
        <v>10348034</v>
      </c>
      <c r="E172" s="115">
        <v>43928</v>
      </c>
      <c r="F172" s="114">
        <v>202101</v>
      </c>
      <c r="G172" s="112" t="s">
        <v>1091</v>
      </c>
      <c r="H172" s="112" t="s">
        <v>1015</v>
      </c>
      <c r="I172" s="112" t="s">
        <v>1211</v>
      </c>
      <c r="J172" s="112" t="s">
        <v>1199</v>
      </c>
      <c r="K172" s="112" t="s">
        <v>1222</v>
      </c>
      <c r="L172" s="116">
        <v>-14818</v>
      </c>
    </row>
    <row r="173" spans="1:12" hidden="1" outlineLevel="1" collapsed="1" x14ac:dyDescent="0.35">
      <c r="A173" s="112" t="s">
        <v>1185</v>
      </c>
      <c r="B173" s="112" t="s">
        <v>896</v>
      </c>
      <c r="C173" s="112" t="s">
        <v>1150</v>
      </c>
      <c r="D173" s="113">
        <v>10348688</v>
      </c>
      <c r="E173" s="115">
        <v>43978</v>
      </c>
      <c r="F173" s="114">
        <v>202101</v>
      </c>
      <c r="G173" s="112" t="s">
        <v>1091</v>
      </c>
      <c r="H173" s="112" t="s">
        <v>1015</v>
      </c>
      <c r="I173" s="112" t="s">
        <v>1211</v>
      </c>
      <c r="J173" s="112" t="s">
        <v>1199</v>
      </c>
      <c r="K173" s="112" t="s">
        <v>1223</v>
      </c>
      <c r="L173" s="116">
        <v>7195.68</v>
      </c>
    </row>
    <row r="174" spans="1:12" hidden="1" outlineLevel="1" collapsed="1" x14ac:dyDescent="0.35">
      <c r="A174" s="112" t="s">
        <v>1185</v>
      </c>
      <c r="B174" s="112" t="s">
        <v>896</v>
      </c>
      <c r="C174" s="112" t="s">
        <v>1150</v>
      </c>
      <c r="D174" s="113">
        <v>10348688</v>
      </c>
      <c r="E174" s="115">
        <v>43978</v>
      </c>
      <c r="F174" s="114">
        <v>202101</v>
      </c>
      <c r="G174" s="112" t="s">
        <v>1091</v>
      </c>
      <c r="H174" s="112" t="s">
        <v>1015</v>
      </c>
      <c r="I174" s="112" t="s">
        <v>1211</v>
      </c>
      <c r="J174" s="112" t="s">
        <v>1199</v>
      </c>
      <c r="K174" s="112" t="s">
        <v>1224</v>
      </c>
      <c r="L174" s="116">
        <v>8274.24</v>
      </c>
    </row>
    <row r="175" spans="1:12" hidden="1" outlineLevel="1" collapsed="1" x14ac:dyDescent="0.35">
      <c r="A175" s="112" t="s">
        <v>1185</v>
      </c>
      <c r="B175" s="112" t="s">
        <v>896</v>
      </c>
      <c r="C175" s="112" t="s">
        <v>1150</v>
      </c>
      <c r="D175" s="113">
        <v>10348688</v>
      </c>
      <c r="E175" s="115">
        <v>43978</v>
      </c>
      <c r="F175" s="114">
        <v>202101</v>
      </c>
      <c r="G175" s="112" t="s">
        <v>1091</v>
      </c>
      <c r="H175" s="112" t="s">
        <v>1015</v>
      </c>
      <c r="I175" s="112" t="s">
        <v>1211</v>
      </c>
      <c r="J175" s="112" t="s">
        <v>1199</v>
      </c>
      <c r="K175" s="112" t="s">
        <v>1225</v>
      </c>
      <c r="L175" s="116">
        <v>9978.5400000000009</v>
      </c>
    </row>
    <row r="176" spans="1:12" hidden="1" outlineLevel="1" collapsed="1" x14ac:dyDescent="0.35">
      <c r="A176" s="112" t="s">
        <v>1185</v>
      </c>
      <c r="B176" s="112" t="s">
        <v>896</v>
      </c>
      <c r="C176" s="112" t="s">
        <v>1150</v>
      </c>
      <c r="D176" s="113">
        <v>10348688</v>
      </c>
      <c r="E176" s="115">
        <v>43978</v>
      </c>
      <c r="F176" s="114">
        <v>202101</v>
      </c>
      <c r="G176" s="112" t="s">
        <v>1091</v>
      </c>
      <c r="H176" s="112" t="s">
        <v>1015</v>
      </c>
      <c r="I176" s="112" t="s">
        <v>1211</v>
      </c>
      <c r="J176" s="112" t="s">
        <v>1199</v>
      </c>
      <c r="K176" s="112" t="s">
        <v>1226</v>
      </c>
      <c r="L176" s="116">
        <v>9978.5400000000009</v>
      </c>
    </row>
    <row r="177" spans="1:12" hidden="1" outlineLevel="1" collapsed="1" x14ac:dyDescent="0.35">
      <c r="A177" s="112" t="s">
        <v>1185</v>
      </c>
      <c r="B177" s="112" t="s">
        <v>896</v>
      </c>
      <c r="C177" s="112" t="s">
        <v>1150</v>
      </c>
      <c r="D177" s="113">
        <v>10348688</v>
      </c>
      <c r="E177" s="115">
        <v>43978</v>
      </c>
      <c r="F177" s="114">
        <v>202101</v>
      </c>
      <c r="G177" s="112" t="s">
        <v>1091</v>
      </c>
      <c r="H177" s="112" t="s">
        <v>1015</v>
      </c>
      <c r="I177" s="112" t="s">
        <v>1211</v>
      </c>
      <c r="J177" s="112" t="s">
        <v>1199</v>
      </c>
      <c r="K177" s="112" t="s">
        <v>1227</v>
      </c>
      <c r="L177" s="116">
        <v>6438.24</v>
      </c>
    </row>
    <row r="178" spans="1:12" hidden="1" outlineLevel="1" collapsed="1" x14ac:dyDescent="0.35">
      <c r="A178" s="112" t="s">
        <v>1185</v>
      </c>
      <c r="B178" s="112" t="s">
        <v>897</v>
      </c>
      <c r="C178" s="112" t="s">
        <v>1150</v>
      </c>
      <c r="D178" s="113">
        <v>10348688</v>
      </c>
      <c r="E178" s="115">
        <v>43978</v>
      </c>
      <c r="F178" s="114">
        <v>202101</v>
      </c>
      <c r="G178" s="112" t="s">
        <v>1091</v>
      </c>
      <c r="H178" s="112" t="s">
        <v>1015</v>
      </c>
      <c r="I178" s="112" t="s">
        <v>1211</v>
      </c>
      <c r="J178" s="112" t="s">
        <v>1203</v>
      </c>
      <c r="K178" s="112" t="s">
        <v>1228</v>
      </c>
      <c r="L178" s="116">
        <v>229.6</v>
      </c>
    </row>
    <row r="179" spans="1:12" hidden="1" outlineLevel="1" collapsed="1" x14ac:dyDescent="0.35">
      <c r="A179" s="112" t="s">
        <v>1185</v>
      </c>
      <c r="B179" s="112" t="s">
        <v>898</v>
      </c>
      <c r="C179" s="112" t="s">
        <v>695</v>
      </c>
      <c r="D179" s="113">
        <v>10348469</v>
      </c>
      <c r="E179" s="115">
        <v>43948</v>
      </c>
      <c r="F179" s="114">
        <v>202101</v>
      </c>
      <c r="G179" s="112" t="s">
        <v>1091</v>
      </c>
      <c r="H179" s="112" t="s">
        <v>1016</v>
      </c>
      <c r="I179" s="112" t="s">
        <v>779</v>
      </c>
      <c r="J179" s="112" t="s">
        <v>1207</v>
      </c>
      <c r="K179" s="112" t="s">
        <v>1229</v>
      </c>
      <c r="L179" s="116">
        <v>3385.02</v>
      </c>
    </row>
    <row r="180" spans="1:12" hidden="1" outlineLevel="1" collapsed="1" x14ac:dyDescent="0.35">
      <c r="A180" s="112" t="s">
        <v>1185</v>
      </c>
      <c r="B180" s="112" t="s">
        <v>897</v>
      </c>
      <c r="C180" s="112" t="s">
        <v>1095</v>
      </c>
      <c r="D180" s="113">
        <v>10348451</v>
      </c>
      <c r="E180" s="115">
        <v>43949</v>
      </c>
      <c r="F180" s="114">
        <v>202101</v>
      </c>
      <c r="G180" s="112" t="s">
        <v>1091</v>
      </c>
      <c r="H180" s="112" t="s">
        <v>1015</v>
      </c>
      <c r="I180" s="112" t="s">
        <v>1096</v>
      </c>
      <c r="J180" s="112" t="s">
        <v>1191</v>
      </c>
      <c r="K180" s="112" t="s">
        <v>1098</v>
      </c>
      <c r="L180" s="116">
        <v>262.2</v>
      </c>
    </row>
    <row r="181" spans="1:12" hidden="1" outlineLevel="1" collapsed="1" x14ac:dyDescent="0.35">
      <c r="A181" s="112" t="s">
        <v>1185</v>
      </c>
      <c r="B181" s="112" t="s">
        <v>898</v>
      </c>
      <c r="C181" s="112" t="s">
        <v>1095</v>
      </c>
      <c r="D181" s="113">
        <v>10348451</v>
      </c>
      <c r="E181" s="115">
        <v>43949</v>
      </c>
      <c r="F181" s="114">
        <v>202101</v>
      </c>
      <c r="G181" s="112" t="s">
        <v>1091</v>
      </c>
      <c r="H181" s="112" t="s">
        <v>1015</v>
      </c>
      <c r="I181" s="112" t="s">
        <v>1096</v>
      </c>
      <c r="J181" s="112" t="s">
        <v>1230</v>
      </c>
      <c r="K181" s="112" t="s">
        <v>1098</v>
      </c>
      <c r="L181" s="116">
        <v>501.19</v>
      </c>
    </row>
    <row r="182" spans="1:12" hidden="1" outlineLevel="1" collapsed="1" x14ac:dyDescent="0.35">
      <c r="A182" s="112" t="s">
        <v>1185</v>
      </c>
      <c r="B182" s="112" t="s">
        <v>897</v>
      </c>
      <c r="C182" s="112" t="s">
        <v>1095</v>
      </c>
      <c r="D182" s="113">
        <v>10348451</v>
      </c>
      <c r="E182" s="115">
        <v>43949</v>
      </c>
      <c r="F182" s="114">
        <v>202101</v>
      </c>
      <c r="G182" s="112" t="s">
        <v>1091</v>
      </c>
      <c r="H182" s="112" t="s">
        <v>1015</v>
      </c>
      <c r="I182" s="112" t="s">
        <v>1096</v>
      </c>
      <c r="J182" s="112" t="s">
        <v>1191</v>
      </c>
      <c r="K182" s="112" t="s">
        <v>1098</v>
      </c>
      <c r="L182" s="116">
        <v>210.79</v>
      </c>
    </row>
    <row r="183" spans="1:12" hidden="1" outlineLevel="1" collapsed="1" x14ac:dyDescent="0.35">
      <c r="A183" s="112" t="s">
        <v>1185</v>
      </c>
      <c r="B183" s="112" t="s">
        <v>897</v>
      </c>
      <c r="C183" s="112" t="s">
        <v>1095</v>
      </c>
      <c r="D183" s="113">
        <v>10348451</v>
      </c>
      <c r="E183" s="115">
        <v>43949</v>
      </c>
      <c r="F183" s="114">
        <v>202101</v>
      </c>
      <c r="G183" s="112" t="s">
        <v>1091</v>
      </c>
      <c r="H183" s="112" t="s">
        <v>1015</v>
      </c>
      <c r="I183" s="112" t="s">
        <v>1101</v>
      </c>
      <c r="J183" s="112" t="s">
        <v>1203</v>
      </c>
      <c r="K183" s="112" t="s">
        <v>1098</v>
      </c>
      <c r="L183" s="116">
        <v>333.64</v>
      </c>
    </row>
    <row r="184" spans="1:12" hidden="1" outlineLevel="1" collapsed="1" x14ac:dyDescent="0.35">
      <c r="A184" s="112" t="s">
        <v>1185</v>
      </c>
      <c r="B184" s="112" t="s">
        <v>897</v>
      </c>
      <c r="C184" s="112" t="s">
        <v>1095</v>
      </c>
      <c r="D184" s="113">
        <v>10348451</v>
      </c>
      <c r="E184" s="115">
        <v>43949</v>
      </c>
      <c r="F184" s="114">
        <v>202101</v>
      </c>
      <c r="G184" s="112" t="s">
        <v>1091</v>
      </c>
      <c r="H184" s="112" t="s">
        <v>1015</v>
      </c>
      <c r="I184" s="112" t="s">
        <v>1101</v>
      </c>
      <c r="J184" s="112" t="s">
        <v>1203</v>
      </c>
      <c r="K184" s="112" t="s">
        <v>1098</v>
      </c>
      <c r="L184" s="116">
        <v>426.26</v>
      </c>
    </row>
    <row r="185" spans="1:12" hidden="1" outlineLevel="1" collapsed="1" x14ac:dyDescent="0.35">
      <c r="A185" s="112" t="s">
        <v>1185</v>
      </c>
      <c r="B185" s="112" t="s">
        <v>897</v>
      </c>
      <c r="C185" s="112" t="s">
        <v>1095</v>
      </c>
      <c r="D185" s="113">
        <v>10348451</v>
      </c>
      <c r="E185" s="115">
        <v>43949</v>
      </c>
      <c r="F185" s="114">
        <v>202101</v>
      </c>
      <c r="G185" s="112" t="s">
        <v>1091</v>
      </c>
      <c r="H185" s="112" t="s">
        <v>1015</v>
      </c>
      <c r="I185" s="112" t="s">
        <v>1096</v>
      </c>
      <c r="J185" s="112" t="s">
        <v>1203</v>
      </c>
      <c r="K185" s="112" t="s">
        <v>1098</v>
      </c>
      <c r="L185" s="116">
        <v>167.31</v>
      </c>
    </row>
    <row r="186" spans="1:12" hidden="1" outlineLevel="1" collapsed="1" x14ac:dyDescent="0.35">
      <c r="A186" s="112" t="s">
        <v>1185</v>
      </c>
      <c r="B186" s="112" t="s">
        <v>897</v>
      </c>
      <c r="C186" s="112" t="s">
        <v>1095</v>
      </c>
      <c r="D186" s="113">
        <v>10348451</v>
      </c>
      <c r="E186" s="115">
        <v>43949</v>
      </c>
      <c r="F186" s="114">
        <v>202101</v>
      </c>
      <c r="G186" s="112" t="s">
        <v>1091</v>
      </c>
      <c r="H186" s="112" t="s">
        <v>1015</v>
      </c>
      <c r="I186" s="112" t="s">
        <v>1096</v>
      </c>
      <c r="J186" s="112" t="s">
        <v>1191</v>
      </c>
      <c r="K186" s="112" t="s">
        <v>1098</v>
      </c>
      <c r="L186" s="116">
        <v>173.03</v>
      </c>
    </row>
    <row r="187" spans="1:12" hidden="1" outlineLevel="1" collapsed="1" x14ac:dyDescent="0.35">
      <c r="A187" s="112" t="s">
        <v>1185</v>
      </c>
      <c r="B187" s="112" t="s">
        <v>897</v>
      </c>
      <c r="C187" s="112" t="s">
        <v>1095</v>
      </c>
      <c r="D187" s="113">
        <v>10348451</v>
      </c>
      <c r="E187" s="115">
        <v>43949</v>
      </c>
      <c r="F187" s="114">
        <v>202101</v>
      </c>
      <c r="G187" s="112" t="s">
        <v>1091</v>
      </c>
      <c r="H187" s="112" t="s">
        <v>1015</v>
      </c>
      <c r="I187" s="112" t="s">
        <v>1101</v>
      </c>
      <c r="J187" s="112" t="s">
        <v>1191</v>
      </c>
      <c r="K187" s="112" t="s">
        <v>1098</v>
      </c>
      <c r="L187" s="116">
        <v>321.7</v>
      </c>
    </row>
    <row r="188" spans="1:12" hidden="1" outlineLevel="1" collapsed="1" x14ac:dyDescent="0.35">
      <c r="A188" s="112" t="s">
        <v>1185</v>
      </c>
      <c r="B188" s="112" t="s">
        <v>896</v>
      </c>
      <c r="C188" s="112" t="s">
        <v>1099</v>
      </c>
      <c r="D188" s="113">
        <v>1069167</v>
      </c>
      <c r="E188" s="115">
        <v>43890</v>
      </c>
      <c r="F188" s="114">
        <v>202101</v>
      </c>
      <c r="G188" s="112" t="s">
        <v>1091</v>
      </c>
      <c r="H188" s="112" t="s">
        <v>1015</v>
      </c>
      <c r="I188" s="112" t="s">
        <v>767</v>
      </c>
      <c r="J188" s="112" t="s">
        <v>1195</v>
      </c>
      <c r="K188" s="112" t="s">
        <v>1231</v>
      </c>
      <c r="L188" s="116">
        <v>1600</v>
      </c>
    </row>
    <row r="189" spans="1:12" hidden="1" outlineLevel="1" collapsed="1" x14ac:dyDescent="0.35">
      <c r="A189" s="112" t="s">
        <v>1185</v>
      </c>
      <c r="B189" s="112" t="s">
        <v>897</v>
      </c>
      <c r="C189" s="112" t="s">
        <v>1095</v>
      </c>
      <c r="D189" s="113">
        <v>10348451</v>
      </c>
      <c r="E189" s="115">
        <v>43949</v>
      </c>
      <c r="F189" s="114">
        <v>202101</v>
      </c>
      <c r="G189" s="112" t="s">
        <v>1091</v>
      </c>
      <c r="H189" s="112" t="s">
        <v>1015</v>
      </c>
      <c r="I189" s="112" t="s">
        <v>1101</v>
      </c>
      <c r="J189" s="112" t="s">
        <v>1191</v>
      </c>
      <c r="K189" s="112" t="s">
        <v>1098</v>
      </c>
      <c r="L189" s="116">
        <v>178.07</v>
      </c>
    </row>
    <row r="190" spans="1:12" hidden="1" outlineLevel="1" collapsed="1" x14ac:dyDescent="0.35">
      <c r="A190" s="112" t="s">
        <v>1185</v>
      </c>
      <c r="B190" s="112" t="s">
        <v>1192</v>
      </c>
      <c r="C190" s="112" t="s">
        <v>1095</v>
      </c>
      <c r="D190" s="113">
        <v>10348451</v>
      </c>
      <c r="E190" s="115">
        <v>43949</v>
      </c>
      <c r="F190" s="114">
        <v>202101</v>
      </c>
      <c r="G190" s="112" t="s">
        <v>1091</v>
      </c>
      <c r="H190" s="112" t="s">
        <v>1015</v>
      </c>
      <c r="I190" s="112" t="s">
        <v>1101</v>
      </c>
      <c r="J190" s="112" t="s">
        <v>1198</v>
      </c>
      <c r="K190" s="112" t="s">
        <v>1098</v>
      </c>
      <c r="L190" s="116">
        <v>441.35</v>
      </c>
    </row>
    <row r="191" spans="1:12" hidden="1" outlineLevel="1" collapsed="1" x14ac:dyDescent="0.35">
      <c r="A191" s="112" t="s">
        <v>1185</v>
      </c>
      <c r="B191" s="112" t="s">
        <v>897</v>
      </c>
      <c r="C191" s="112" t="s">
        <v>1095</v>
      </c>
      <c r="D191" s="113">
        <v>10348451</v>
      </c>
      <c r="E191" s="115">
        <v>43949</v>
      </c>
      <c r="F191" s="114">
        <v>202101</v>
      </c>
      <c r="G191" s="112" t="s">
        <v>1091</v>
      </c>
      <c r="H191" s="112" t="s">
        <v>1015</v>
      </c>
      <c r="I191" s="112" t="s">
        <v>1096</v>
      </c>
      <c r="J191" s="112" t="s">
        <v>1191</v>
      </c>
      <c r="K191" s="112" t="s">
        <v>1098</v>
      </c>
      <c r="L191" s="116">
        <v>50.68</v>
      </c>
    </row>
    <row r="192" spans="1:12" hidden="1" outlineLevel="1" collapsed="1" x14ac:dyDescent="0.35">
      <c r="A192" s="112" t="s">
        <v>1185</v>
      </c>
      <c r="B192" s="112" t="s">
        <v>896</v>
      </c>
      <c r="C192" s="112" t="s">
        <v>1099</v>
      </c>
      <c r="D192" s="113">
        <v>1069166</v>
      </c>
      <c r="E192" s="115">
        <v>43890</v>
      </c>
      <c r="F192" s="114">
        <v>202101</v>
      </c>
      <c r="G192" s="112" t="s">
        <v>1091</v>
      </c>
      <c r="H192" s="112" t="s">
        <v>1015</v>
      </c>
      <c r="I192" s="112" t="s">
        <v>767</v>
      </c>
      <c r="J192" s="112" t="s">
        <v>1195</v>
      </c>
      <c r="K192" s="112" t="s">
        <v>1232</v>
      </c>
      <c r="L192" s="116">
        <v>615.25</v>
      </c>
    </row>
    <row r="193" spans="1:12" hidden="1" outlineLevel="1" collapsed="1" x14ac:dyDescent="0.35">
      <c r="A193" s="112" t="s">
        <v>1185</v>
      </c>
      <c r="B193" s="112" t="s">
        <v>898</v>
      </c>
      <c r="C193" s="112" t="s">
        <v>1095</v>
      </c>
      <c r="D193" s="113">
        <v>10348451</v>
      </c>
      <c r="E193" s="115">
        <v>43949</v>
      </c>
      <c r="F193" s="114">
        <v>202101</v>
      </c>
      <c r="G193" s="112" t="s">
        <v>1091</v>
      </c>
      <c r="H193" s="112" t="s">
        <v>1015</v>
      </c>
      <c r="I193" s="112" t="s">
        <v>1096</v>
      </c>
      <c r="J193" s="112" t="s">
        <v>1213</v>
      </c>
      <c r="K193" s="112" t="s">
        <v>1098</v>
      </c>
      <c r="L193" s="116">
        <v>90.65</v>
      </c>
    </row>
    <row r="194" spans="1:12" hidden="1" outlineLevel="1" collapsed="1" x14ac:dyDescent="0.35">
      <c r="A194" s="112" t="s">
        <v>1185</v>
      </c>
      <c r="B194" s="112" t="s">
        <v>898</v>
      </c>
      <c r="C194" s="112" t="s">
        <v>1095</v>
      </c>
      <c r="D194" s="113">
        <v>10348451</v>
      </c>
      <c r="E194" s="115">
        <v>43949</v>
      </c>
      <c r="F194" s="114">
        <v>202101</v>
      </c>
      <c r="G194" s="112" t="s">
        <v>1091</v>
      </c>
      <c r="H194" s="112" t="s">
        <v>1015</v>
      </c>
      <c r="I194" s="112" t="s">
        <v>1101</v>
      </c>
      <c r="J194" s="112" t="s">
        <v>1213</v>
      </c>
      <c r="K194" s="112" t="s">
        <v>1098</v>
      </c>
      <c r="L194" s="116">
        <v>192.91</v>
      </c>
    </row>
    <row r="195" spans="1:12" hidden="1" outlineLevel="1" collapsed="1" x14ac:dyDescent="0.35">
      <c r="A195" s="112" t="s">
        <v>1185</v>
      </c>
      <c r="B195" s="112" t="s">
        <v>896</v>
      </c>
      <c r="C195" s="112" t="s">
        <v>1095</v>
      </c>
      <c r="D195" s="113">
        <v>10348451</v>
      </c>
      <c r="E195" s="115">
        <v>43949</v>
      </c>
      <c r="F195" s="114">
        <v>202101</v>
      </c>
      <c r="G195" s="112" t="s">
        <v>1091</v>
      </c>
      <c r="H195" s="112" t="s">
        <v>1015</v>
      </c>
      <c r="I195" s="112" t="s">
        <v>1128</v>
      </c>
      <c r="J195" s="112" t="s">
        <v>1199</v>
      </c>
      <c r="K195" s="112" t="s">
        <v>1098</v>
      </c>
      <c r="L195" s="116">
        <v>20</v>
      </c>
    </row>
    <row r="196" spans="1:12" hidden="1" outlineLevel="1" collapsed="1" x14ac:dyDescent="0.35">
      <c r="A196" s="112" t="s">
        <v>1185</v>
      </c>
      <c r="B196" s="112" t="s">
        <v>897</v>
      </c>
      <c r="C196" s="112" t="s">
        <v>1095</v>
      </c>
      <c r="D196" s="113">
        <v>10348451</v>
      </c>
      <c r="E196" s="115">
        <v>43949</v>
      </c>
      <c r="F196" s="114">
        <v>202101</v>
      </c>
      <c r="G196" s="112" t="s">
        <v>1091</v>
      </c>
      <c r="H196" s="112" t="s">
        <v>1015</v>
      </c>
      <c r="I196" s="112" t="s">
        <v>1096</v>
      </c>
      <c r="J196" s="112" t="s">
        <v>1191</v>
      </c>
      <c r="K196" s="112" t="s">
        <v>1098</v>
      </c>
      <c r="L196" s="116">
        <v>210.79</v>
      </c>
    </row>
    <row r="197" spans="1:12" hidden="1" outlineLevel="1" collapsed="1" x14ac:dyDescent="0.35">
      <c r="A197" s="112" t="s">
        <v>1185</v>
      </c>
      <c r="B197" s="112" t="s">
        <v>896</v>
      </c>
      <c r="C197" s="112" t="s">
        <v>1095</v>
      </c>
      <c r="D197" s="113">
        <v>10348451</v>
      </c>
      <c r="E197" s="115">
        <v>43949</v>
      </c>
      <c r="F197" s="114">
        <v>202101</v>
      </c>
      <c r="G197" s="112" t="s">
        <v>1091</v>
      </c>
      <c r="H197" s="112" t="s">
        <v>1015</v>
      </c>
      <c r="I197" s="112" t="s">
        <v>1101</v>
      </c>
      <c r="J197" s="112" t="s">
        <v>1199</v>
      </c>
      <c r="K197" s="112" t="s">
        <v>1098</v>
      </c>
      <c r="L197" s="116">
        <v>368.15</v>
      </c>
    </row>
    <row r="198" spans="1:12" hidden="1" outlineLevel="1" collapsed="1" x14ac:dyDescent="0.35">
      <c r="A198" s="112" t="s">
        <v>1185</v>
      </c>
      <c r="B198" s="112" t="s">
        <v>897</v>
      </c>
      <c r="C198" s="112" t="s">
        <v>695</v>
      </c>
      <c r="D198" s="113">
        <v>10348034</v>
      </c>
      <c r="E198" s="115">
        <v>43928</v>
      </c>
      <c r="F198" s="114">
        <v>202101</v>
      </c>
      <c r="G198" s="112" t="s">
        <v>1091</v>
      </c>
      <c r="H198" s="112" t="s">
        <v>1015</v>
      </c>
      <c r="I198" s="112" t="s">
        <v>1211</v>
      </c>
      <c r="J198" s="112" t="s">
        <v>1203</v>
      </c>
      <c r="K198" s="112" t="s">
        <v>1233</v>
      </c>
      <c r="L198" s="116">
        <v>-1640.42</v>
      </c>
    </row>
    <row r="199" spans="1:12" hidden="1" outlineLevel="1" collapsed="1" x14ac:dyDescent="0.35">
      <c r="A199" s="112" t="s">
        <v>1185</v>
      </c>
      <c r="B199" s="112" t="s">
        <v>897</v>
      </c>
      <c r="C199" s="112" t="s">
        <v>1219</v>
      </c>
      <c r="D199" s="113">
        <v>46307134</v>
      </c>
      <c r="E199" s="115">
        <v>43924</v>
      </c>
      <c r="F199" s="114">
        <v>202101</v>
      </c>
      <c r="G199" s="112" t="s">
        <v>1091</v>
      </c>
      <c r="H199" s="112" t="s">
        <v>1015</v>
      </c>
      <c r="I199" s="112" t="s">
        <v>1211</v>
      </c>
      <c r="J199" s="112" t="s">
        <v>1203</v>
      </c>
      <c r="K199" s="112" t="s">
        <v>1220</v>
      </c>
      <c r="L199" s="116">
        <v>4952.4799999999996</v>
      </c>
    </row>
    <row r="200" spans="1:12" hidden="1" outlineLevel="1" collapsed="1" x14ac:dyDescent="0.35">
      <c r="A200" s="112" t="s">
        <v>1185</v>
      </c>
      <c r="B200" s="112" t="s">
        <v>897</v>
      </c>
      <c r="C200" s="112" t="s">
        <v>695</v>
      </c>
      <c r="D200" s="113">
        <v>10348034</v>
      </c>
      <c r="E200" s="115">
        <v>43928</v>
      </c>
      <c r="F200" s="114">
        <v>202101</v>
      </c>
      <c r="G200" s="112" t="s">
        <v>1091</v>
      </c>
      <c r="H200" s="112" t="s">
        <v>1015</v>
      </c>
      <c r="I200" s="112" t="s">
        <v>1211</v>
      </c>
      <c r="J200" s="112" t="s">
        <v>1203</v>
      </c>
      <c r="K200" s="112" t="s">
        <v>1234</v>
      </c>
      <c r="L200" s="116">
        <v>-498.07</v>
      </c>
    </row>
    <row r="201" spans="1:12" hidden="1" outlineLevel="1" collapsed="1" x14ac:dyDescent="0.35">
      <c r="A201" s="112" t="s">
        <v>1185</v>
      </c>
      <c r="B201" s="112" t="s">
        <v>1192</v>
      </c>
      <c r="C201" s="112" t="s">
        <v>1095</v>
      </c>
      <c r="D201" s="113">
        <v>10348451</v>
      </c>
      <c r="E201" s="115">
        <v>43949</v>
      </c>
      <c r="F201" s="114">
        <v>202101</v>
      </c>
      <c r="G201" s="112" t="s">
        <v>1091</v>
      </c>
      <c r="H201" s="112" t="s">
        <v>1015</v>
      </c>
      <c r="I201" s="112" t="s">
        <v>1101</v>
      </c>
      <c r="J201" s="112" t="s">
        <v>1235</v>
      </c>
      <c r="K201" s="112" t="s">
        <v>1098</v>
      </c>
      <c r="L201" s="116">
        <v>483.07</v>
      </c>
    </row>
    <row r="202" spans="1:12" hidden="1" outlineLevel="1" collapsed="1" x14ac:dyDescent="0.35">
      <c r="A202" s="112" t="s">
        <v>1185</v>
      </c>
      <c r="B202" s="112" t="s">
        <v>897</v>
      </c>
      <c r="C202" s="112" t="s">
        <v>1150</v>
      </c>
      <c r="D202" s="113">
        <v>10348688</v>
      </c>
      <c r="E202" s="115">
        <v>43978</v>
      </c>
      <c r="F202" s="114">
        <v>202101</v>
      </c>
      <c r="G202" s="112" t="s">
        <v>1091</v>
      </c>
      <c r="H202" s="112" t="s">
        <v>1015</v>
      </c>
      <c r="I202" s="112" t="s">
        <v>1211</v>
      </c>
      <c r="J202" s="112" t="s">
        <v>1203</v>
      </c>
      <c r="K202" s="112" t="s">
        <v>1236</v>
      </c>
      <c r="L202" s="116">
        <v>1787.16</v>
      </c>
    </row>
    <row r="203" spans="1:12" hidden="1" outlineLevel="1" collapsed="1" x14ac:dyDescent="0.35">
      <c r="A203" s="112" t="s">
        <v>1185</v>
      </c>
      <c r="B203" s="112" t="s">
        <v>897</v>
      </c>
      <c r="C203" s="112" t="s">
        <v>1150</v>
      </c>
      <c r="D203" s="113">
        <v>10348688</v>
      </c>
      <c r="E203" s="115">
        <v>43978</v>
      </c>
      <c r="F203" s="114">
        <v>202101</v>
      </c>
      <c r="G203" s="112" t="s">
        <v>1091</v>
      </c>
      <c r="H203" s="112" t="s">
        <v>1015</v>
      </c>
      <c r="I203" s="112" t="s">
        <v>1211</v>
      </c>
      <c r="J203" s="112" t="s">
        <v>1203</v>
      </c>
      <c r="K203" s="112" t="s">
        <v>1237</v>
      </c>
      <c r="L203" s="116">
        <v>3.07</v>
      </c>
    </row>
    <row r="204" spans="1:12" hidden="1" outlineLevel="1" collapsed="1" x14ac:dyDescent="0.35">
      <c r="A204" s="112" t="s">
        <v>1185</v>
      </c>
      <c r="B204" s="112" t="s">
        <v>897</v>
      </c>
      <c r="C204" s="112" t="s">
        <v>695</v>
      </c>
      <c r="D204" s="113">
        <v>10348034</v>
      </c>
      <c r="E204" s="115">
        <v>43928</v>
      </c>
      <c r="F204" s="114">
        <v>202101</v>
      </c>
      <c r="G204" s="112" t="s">
        <v>1091</v>
      </c>
      <c r="H204" s="112" t="s">
        <v>1015</v>
      </c>
      <c r="I204" s="112" t="s">
        <v>1211</v>
      </c>
      <c r="J204" s="112" t="s">
        <v>1203</v>
      </c>
      <c r="K204" s="112" t="s">
        <v>1238</v>
      </c>
      <c r="L204" s="116">
        <v>-2813.99</v>
      </c>
    </row>
    <row r="205" spans="1:12" hidden="1" outlineLevel="1" collapsed="1" x14ac:dyDescent="0.35">
      <c r="A205" s="112" t="s">
        <v>1185</v>
      </c>
      <c r="B205" s="112" t="s">
        <v>895</v>
      </c>
      <c r="C205" s="112" t="s">
        <v>695</v>
      </c>
      <c r="D205" s="113">
        <v>10348034</v>
      </c>
      <c r="E205" s="115">
        <v>43928</v>
      </c>
      <c r="F205" s="114">
        <v>202101</v>
      </c>
      <c r="G205" s="112" t="s">
        <v>1091</v>
      </c>
      <c r="H205" s="112" t="s">
        <v>1015</v>
      </c>
      <c r="I205" s="112" t="s">
        <v>1211</v>
      </c>
      <c r="J205" s="112" t="s">
        <v>1239</v>
      </c>
      <c r="K205" s="112" t="s">
        <v>1240</v>
      </c>
      <c r="L205" s="116">
        <v>-3511.71</v>
      </c>
    </row>
    <row r="206" spans="1:12" hidden="1" outlineLevel="1" collapsed="1" x14ac:dyDescent="0.35">
      <c r="A206" s="112" t="s">
        <v>1185</v>
      </c>
      <c r="B206" s="112" t="s">
        <v>895</v>
      </c>
      <c r="C206" s="112" t="s">
        <v>1219</v>
      </c>
      <c r="D206" s="113">
        <v>46307134</v>
      </c>
      <c r="E206" s="115">
        <v>43924</v>
      </c>
      <c r="F206" s="114">
        <v>202101</v>
      </c>
      <c r="G206" s="112" t="s">
        <v>1091</v>
      </c>
      <c r="H206" s="112" t="s">
        <v>1015</v>
      </c>
      <c r="I206" s="112" t="s">
        <v>1211</v>
      </c>
      <c r="J206" s="112" t="s">
        <v>1239</v>
      </c>
      <c r="K206" s="112" t="s">
        <v>1220</v>
      </c>
      <c r="L206" s="116">
        <v>3511.71</v>
      </c>
    </row>
    <row r="207" spans="1:12" hidden="1" outlineLevel="1" collapsed="1" x14ac:dyDescent="0.35">
      <c r="A207" s="112" t="s">
        <v>1185</v>
      </c>
      <c r="B207" s="112" t="s">
        <v>895</v>
      </c>
      <c r="C207" s="112" t="s">
        <v>1150</v>
      </c>
      <c r="D207" s="113">
        <v>10348688</v>
      </c>
      <c r="E207" s="115">
        <v>43978</v>
      </c>
      <c r="F207" s="114">
        <v>202101</v>
      </c>
      <c r="G207" s="112" t="s">
        <v>1091</v>
      </c>
      <c r="H207" s="112" t="s">
        <v>1015</v>
      </c>
      <c r="I207" s="112" t="s">
        <v>1211</v>
      </c>
      <c r="J207" s="112" t="s">
        <v>1239</v>
      </c>
      <c r="K207" s="112" t="s">
        <v>1241</v>
      </c>
      <c r="L207" s="116">
        <v>2524.09</v>
      </c>
    </row>
    <row r="208" spans="1:12" hidden="1" outlineLevel="1" collapsed="1" x14ac:dyDescent="0.35">
      <c r="A208" s="112" t="s">
        <v>1185</v>
      </c>
      <c r="B208" s="112" t="s">
        <v>895</v>
      </c>
      <c r="C208" s="112" t="s">
        <v>1095</v>
      </c>
      <c r="D208" s="113">
        <v>10348451</v>
      </c>
      <c r="E208" s="115">
        <v>43949</v>
      </c>
      <c r="F208" s="114">
        <v>202101</v>
      </c>
      <c r="G208" s="112" t="s">
        <v>1091</v>
      </c>
      <c r="H208" s="112" t="s">
        <v>1015</v>
      </c>
      <c r="I208" s="112" t="s">
        <v>1096</v>
      </c>
      <c r="J208" s="112" t="s">
        <v>1239</v>
      </c>
      <c r="K208" s="112" t="s">
        <v>1098</v>
      </c>
      <c r="L208" s="116">
        <v>114.39</v>
      </c>
    </row>
    <row r="209" spans="1:12" hidden="1" outlineLevel="1" collapsed="1" x14ac:dyDescent="0.35">
      <c r="A209" s="112" t="s">
        <v>1185</v>
      </c>
      <c r="B209" s="112" t="s">
        <v>896</v>
      </c>
      <c r="C209" s="112" t="s">
        <v>695</v>
      </c>
      <c r="D209" s="113">
        <v>10348429</v>
      </c>
      <c r="E209" s="115">
        <v>43945</v>
      </c>
      <c r="F209" s="114">
        <v>202101</v>
      </c>
      <c r="G209" s="112" t="s">
        <v>1091</v>
      </c>
      <c r="H209" s="112" t="s">
        <v>1015</v>
      </c>
      <c r="I209" s="112" t="s">
        <v>767</v>
      </c>
      <c r="J209" s="112" t="s">
        <v>1195</v>
      </c>
      <c r="K209" s="112" t="s">
        <v>1242</v>
      </c>
      <c r="L209" s="116">
        <v>7959.37</v>
      </c>
    </row>
    <row r="210" spans="1:12" hidden="1" outlineLevel="1" collapsed="1" x14ac:dyDescent="0.35">
      <c r="A210" s="112" t="s">
        <v>1185</v>
      </c>
      <c r="B210" s="112" t="s">
        <v>1192</v>
      </c>
      <c r="C210" s="112" t="s">
        <v>1095</v>
      </c>
      <c r="D210" s="113">
        <v>10348451</v>
      </c>
      <c r="E210" s="115">
        <v>43949</v>
      </c>
      <c r="F210" s="114">
        <v>202101</v>
      </c>
      <c r="G210" s="112" t="s">
        <v>1091</v>
      </c>
      <c r="H210" s="112" t="s">
        <v>1015</v>
      </c>
      <c r="I210" s="112" t="s">
        <v>1128</v>
      </c>
      <c r="J210" s="112" t="s">
        <v>1198</v>
      </c>
      <c r="K210" s="112" t="s">
        <v>1098</v>
      </c>
      <c r="L210" s="116">
        <v>243</v>
      </c>
    </row>
    <row r="211" spans="1:12" hidden="1" outlineLevel="1" collapsed="1" x14ac:dyDescent="0.35">
      <c r="A211" s="112" t="s">
        <v>1185</v>
      </c>
      <c r="B211" s="112" t="s">
        <v>896</v>
      </c>
      <c r="C211" s="112" t="s">
        <v>695</v>
      </c>
      <c r="D211" s="113">
        <v>10348429</v>
      </c>
      <c r="E211" s="115">
        <v>43945</v>
      </c>
      <c r="F211" s="114">
        <v>202101</v>
      </c>
      <c r="G211" s="112" t="s">
        <v>1091</v>
      </c>
      <c r="H211" s="112" t="s">
        <v>1015</v>
      </c>
      <c r="I211" s="112" t="s">
        <v>767</v>
      </c>
      <c r="J211" s="112" t="s">
        <v>1195</v>
      </c>
      <c r="K211" s="112" t="s">
        <v>1243</v>
      </c>
      <c r="L211" s="116">
        <v>-9370</v>
      </c>
    </row>
    <row r="212" spans="1:12" hidden="1" outlineLevel="1" collapsed="1" x14ac:dyDescent="0.35">
      <c r="A212" s="112" t="s">
        <v>1185</v>
      </c>
      <c r="B212" s="112" t="s">
        <v>897</v>
      </c>
      <c r="C212" s="112" t="s">
        <v>1095</v>
      </c>
      <c r="D212" s="113">
        <v>10348451</v>
      </c>
      <c r="E212" s="115">
        <v>43949</v>
      </c>
      <c r="F212" s="114">
        <v>202101</v>
      </c>
      <c r="G212" s="112" t="s">
        <v>1091</v>
      </c>
      <c r="H212" s="112" t="s">
        <v>1015</v>
      </c>
      <c r="I212" s="112" t="s">
        <v>1101</v>
      </c>
      <c r="J212" s="112" t="s">
        <v>1186</v>
      </c>
      <c r="K212" s="112" t="s">
        <v>1098</v>
      </c>
      <c r="L212" s="116">
        <v>178.78</v>
      </c>
    </row>
    <row r="213" spans="1:12" hidden="1" outlineLevel="1" collapsed="1" x14ac:dyDescent="0.35">
      <c r="A213" s="112" t="s">
        <v>1185</v>
      </c>
      <c r="B213" s="112" t="s">
        <v>898</v>
      </c>
      <c r="C213" s="112" t="s">
        <v>1095</v>
      </c>
      <c r="D213" s="113">
        <v>10348451</v>
      </c>
      <c r="E213" s="115">
        <v>43949</v>
      </c>
      <c r="F213" s="114">
        <v>202101</v>
      </c>
      <c r="G213" s="112" t="s">
        <v>1091</v>
      </c>
      <c r="H213" s="112" t="s">
        <v>1015</v>
      </c>
      <c r="I213" s="112" t="s">
        <v>1096</v>
      </c>
      <c r="J213" s="112" t="s">
        <v>1244</v>
      </c>
      <c r="K213" s="112" t="s">
        <v>1098</v>
      </c>
      <c r="L213" s="116">
        <v>366.99</v>
      </c>
    </row>
    <row r="214" spans="1:12" hidden="1" outlineLevel="1" collapsed="1" x14ac:dyDescent="0.35">
      <c r="A214" s="112" t="s">
        <v>1185</v>
      </c>
      <c r="B214" s="112" t="s">
        <v>897</v>
      </c>
      <c r="C214" s="112" t="s">
        <v>1095</v>
      </c>
      <c r="D214" s="113">
        <v>10348451</v>
      </c>
      <c r="E214" s="115">
        <v>43949</v>
      </c>
      <c r="F214" s="114">
        <v>202101</v>
      </c>
      <c r="G214" s="112" t="s">
        <v>1091</v>
      </c>
      <c r="H214" s="112" t="s">
        <v>1015</v>
      </c>
      <c r="I214" s="112" t="s">
        <v>1101</v>
      </c>
      <c r="J214" s="112" t="s">
        <v>1191</v>
      </c>
      <c r="K214" s="112" t="s">
        <v>1098</v>
      </c>
      <c r="L214" s="116">
        <v>433.51</v>
      </c>
    </row>
    <row r="215" spans="1:12" hidden="1" outlineLevel="1" collapsed="1" x14ac:dyDescent="0.35">
      <c r="A215" s="112" t="s">
        <v>1185</v>
      </c>
      <c r="B215" s="112" t="s">
        <v>898</v>
      </c>
      <c r="C215" s="112" t="s">
        <v>1095</v>
      </c>
      <c r="D215" s="113">
        <v>10348451</v>
      </c>
      <c r="E215" s="115">
        <v>43949</v>
      </c>
      <c r="F215" s="114">
        <v>202101</v>
      </c>
      <c r="G215" s="112" t="s">
        <v>1091</v>
      </c>
      <c r="H215" s="112" t="s">
        <v>1015</v>
      </c>
      <c r="I215" s="112" t="s">
        <v>1101</v>
      </c>
      <c r="J215" s="112" t="s">
        <v>1244</v>
      </c>
      <c r="K215" s="112" t="s">
        <v>1098</v>
      </c>
      <c r="L215" s="116">
        <v>549.4</v>
      </c>
    </row>
    <row r="216" spans="1:12" hidden="1" outlineLevel="1" collapsed="1" x14ac:dyDescent="0.35">
      <c r="A216" s="112" t="s">
        <v>1185</v>
      </c>
      <c r="B216" s="112" t="s">
        <v>897</v>
      </c>
      <c r="C216" s="112" t="s">
        <v>1095</v>
      </c>
      <c r="D216" s="113">
        <v>10348451</v>
      </c>
      <c r="E216" s="115">
        <v>43949</v>
      </c>
      <c r="F216" s="114">
        <v>202101</v>
      </c>
      <c r="G216" s="112" t="s">
        <v>1091</v>
      </c>
      <c r="H216" s="112" t="s">
        <v>1015</v>
      </c>
      <c r="I216" s="112" t="s">
        <v>1190</v>
      </c>
      <c r="J216" s="112" t="s">
        <v>1191</v>
      </c>
      <c r="K216" s="112" t="s">
        <v>1098</v>
      </c>
      <c r="L216" s="116">
        <v>41.41</v>
      </c>
    </row>
    <row r="217" spans="1:12" hidden="1" outlineLevel="1" collapsed="1" x14ac:dyDescent="0.35">
      <c r="A217" s="112" t="s">
        <v>1185</v>
      </c>
      <c r="B217" s="112" t="s">
        <v>1192</v>
      </c>
      <c r="C217" s="112" t="s">
        <v>695</v>
      </c>
      <c r="D217" s="113">
        <v>10348034</v>
      </c>
      <c r="E217" s="115">
        <v>43928</v>
      </c>
      <c r="F217" s="114">
        <v>202101</v>
      </c>
      <c r="G217" s="112" t="s">
        <v>1091</v>
      </c>
      <c r="H217" s="112" t="s">
        <v>1015</v>
      </c>
      <c r="I217" s="112" t="s">
        <v>1211</v>
      </c>
      <c r="J217" s="112" t="s">
        <v>1198</v>
      </c>
      <c r="K217" s="112" t="s">
        <v>1245</v>
      </c>
      <c r="L217" s="116">
        <v>-10924.88</v>
      </c>
    </row>
    <row r="218" spans="1:12" hidden="1" outlineLevel="1" collapsed="1" x14ac:dyDescent="0.35">
      <c r="A218" s="112" t="s">
        <v>1185</v>
      </c>
      <c r="B218" s="112" t="s">
        <v>1192</v>
      </c>
      <c r="C218" s="112" t="s">
        <v>1219</v>
      </c>
      <c r="D218" s="113">
        <v>46307134</v>
      </c>
      <c r="E218" s="115">
        <v>43924</v>
      </c>
      <c r="F218" s="114">
        <v>202101</v>
      </c>
      <c r="G218" s="112" t="s">
        <v>1091</v>
      </c>
      <c r="H218" s="112" t="s">
        <v>1015</v>
      </c>
      <c r="I218" s="112" t="s">
        <v>1211</v>
      </c>
      <c r="J218" s="112" t="s">
        <v>1198</v>
      </c>
      <c r="K218" s="112" t="s">
        <v>1220</v>
      </c>
      <c r="L218" s="116">
        <v>10924.88</v>
      </c>
    </row>
    <row r="219" spans="1:12" hidden="1" outlineLevel="1" collapsed="1" x14ac:dyDescent="0.35">
      <c r="A219" s="112" t="s">
        <v>1185</v>
      </c>
      <c r="B219" s="112" t="s">
        <v>897</v>
      </c>
      <c r="C219" s="112" t="s">
        <v>1095</v>
      </c>
      <c r="D219" s="113">
        <v>10348451</v>
      </c>
      <c r="E219" s="115">
        <v>43949</v>
      </c>
      <c r="F219" s="114">
        <v>202101</v>
      </c>
      <c r="G219" s="112" t="s">
        <v>1091</v>
      </c>
      <c r="H219" s="112" t="s">
        <v>1015</v>
      </c>
      <c r="I219" s="112" t="s">
        <v>1101</v>
      </c>
      <c r="J219" s="112" t="s">
        <v>1191</v>
      </c>
      <c r="K219" s="112" t="s">
        <v>1098</v>
      </c>
      <c r="L219" s="116">
        <v>230.89</v>
      </c>
    </row>
    <row r="220" spans="1:12" hidden="1" outlineLevel="1" collapsed="1" x14ac:dyDescent="0.35">
      <c r="A220" s="112" t="s">
        <v>1185</v>
      </c>
      <c r="B220" s="112" t="s">
        <v>897</v>
      </c>
      <c r="C220" s="112" t="s">
        <v>1095</v>
      </c>
      <c r="D220" s="113">
        <v>10348451</v>
      </c>
      <c r="E220" s="115">
        <v>43949</v>
      </c>
      <c r="F220" s="114">
        <v>202101</v>
      </c>
      <c r="G220" s="112" t="s">
        <v>1091</v>
      </c>
      <c r="H220" s="112" t="s">
        <v>1015</v>
      </c>
      <c r="I220" s="112" t="s">
        <v>1101</v>
      </c>
      <c r="J220" s="112" t="s">
        <v>1203</v>
      </c>
      <c r="K220" s="112" t="s">
        <v>1098</v>
      </c>
      <c r="L220" s="116">
        <v>366.04</v>
      </c>
    </row>
    <row r="221" spans="1:12" hidden="1" outlineLevel="1" collapsed="1" x14ac:dyDescent="0.35">
      <c r="A221" s="112" t="s">
        <v>1185</v>
      </c>
      <c r="B221" s="112" t="s">
        <v>897</v>
      </c>
      <c r="C221" s="112" t="s">
        <v>1095</v>
      </c>
      <c r="D221" s="113">
        <v>10348451</v>
      </c>
      <c r="E221" s="115">
        <v>43949</v>
      </c>
      <c r="F221" s="114">
        <v>202101</v>
      </c>
      <c r="G221" s="112" t="s">
        <v>1091</v>
      </c>
      <c r="H221" s="112" t="s">
        <v>1015</v>
      </c>
      <c r="I221" s="112" t="s">
        <v>1096</v>
      </c>
      <c r="J221" s="112" t="s">
        <v>1191</v>
      </c>
      <c r="K221" s="112" t="s">
        <v>1098</v>
      </c>
      <c r="L221" s="116">
        <v>144.28</v>
      </c>
    </row>
    <row r="222" spans="1:12" hidden="1" outlineLevel="1" collapsed="1" x14ac:dyDescent="0.35">
      <c r="A222" s="112" t="s">
        <v>1185</v>
      </c>
      <c r="B222" s="112" t="s">
        <v>896</v>
      </c>
      <c r="C222" s="112" t="s">
        <v>695</v>
      </c>
      <c r="D222" s="113">
        <v>10348429</v>
      </c>
      <c r="E222" s="115">
        <v>43945</v>
      </c>
      <c r="F222" s="114">
        <v>202101</v>
      </c>
      <c r="G222" s="112" t="s">
        <v>1091</v>
      </c>
      <c r="H222" s="112" t="s">
        <v>1015</v>
      </c>
      <c r="I222" s="112" t="s">
        <v>1246</v>
      </c>
      <c r="J222" s="112" t="s">
        <v>1195</v>
      </c>
      <c r="K222" s="112" t="s">
        <v>1247</v>
      </c>
      <c r="L222" s="116">
        <v>7597.2</v>
      </c>
    </row>
    <row r="223" spans="1:12" hidden="1" outlineLevel="1" collapsed="1" x14ac:dyDescent="0.35">
      <c r="A223" s="112" t="s">
        <v>1185</v>
      </c>
      <c r="B223" s="112" t="s">
        <v>897</v>
      </c>
      <c r="C223" s="112" t="s">
        <v>1095</v>
      </c>
      <c r="D223" s="113">
        <v>10348451</v>
      </c>
      <c r="E223" s="115">
        <v>43949</v>
      </c>
      <c r="F223" s="114">
        <v>202101</v>
      </c>
      <c r="G223" s="112" t="s">
        <v>1091</v>
      </c>
      <c r="H223" s="112" t="s">
        <v>1015</v>
      </c>
      <c r="I223" s="112" t="s">
        <v>1096</v>
      </c>
      <c r="J223" s="112" t="s">
        <v>1203</v>
      </c>
      <c r="K223" s="112" t="s">
        <v>1098</v>
      </c>
      <c r="L223" s="116">
        <v>208.49</v>
      </c>
    </row>
    <row r="224" spans="1:12" hidden="1" outlineLevel="1" collapsed="1" x14ac:dyDescent="0.35">
      <c r="A224" s="112" t="s">
        <v>1185</v>
      </c>
      <c r="B224" s="112" t="s">
        <v>898</v>
      </c>
      <c r="C224" s="112" t="s">
        <v>1095</v>
      </c>
      <c r="D224" s="113">
        <v>10348451</v>
      </c>
      <c r="E224" s="115">
        <v>43949</v>
      </c>
      <c r="F224" s="114">
        <v>202101</v>
      </c>
      <c r="G224" s="112" t="s">
        <v>1091</v>
      </c>
      <c r="H224" s="112" t="s">
        <v>1015</v>
      </c>
      <c r="I224" s="112" t="s">
        <v>1096</v>
      </c>
      <c r="J224" s="112" t="s">
        <v>1213</v>
      </c>
      <c r="K224" s="112" t="s">
        <v>1098</v>
      </c>
      <c r="L224" s="116">
        <v>571.19000000000005</v>
      </c>
    </row>
    <row r="225" spans="1:12" hidden="1" outlineLevel="1" collapsed="1" x14ac:dyDescent="0.35">
      <c r="A225" s="112" t="s">
        <v>1185</v>
      </c>
      <c r="B225" s="112" t="s">
        <v>897</v>
      </c>
      <c r="C225" s="112" t="s">
        <v>1095</v>
      </c>
      <c r="D225" s="113">
        <v>10348451</v>
      </c>
      <c r="E225" s="115">
        <v>43949</v>
      </c>
      <c r="F225" s="114">
        <v>202101</v>
      </c>
      <c r="G225" s="112" t="s">
        <v>1091</v>
      </c>
      <c r="H225" s="112" t="s">
        <v>1015</v>
      </c>
      <c r="I225" s="112" t="s">
        <v>1101</v>
      </c>
      <c r="J225" s="112" t="s">
        <v>1203</v>
      </c>
      <c r="K225" s="112" t="s">
        <v>1098</v>
      </c>
      <c r="L225" s="116">
        <v>292.83</v>
      </c>
    </row>
    <row r="226" spans="1:12" hidden="1" outlineLevel="1" collapsed="1" x14ac:dyDescent="0.35">
      <c r="A226" s="112" t="s">
        <v>1185</v>
      </c>
      <c r="B226" s="112" t="s">
        <v>898</v>
      </c>
      <c r="C226" s="112" t="s">
        <v>695</v>
      </c>
      <c r="D226" s="113">
        <v>10347981</v>
      </c>
      <c r="E226" s="115">
        <v>43924</v>
      </c>
      <c r="F226" s="114">
        <v>202101</v>
      </c>
      <c r="G226" s="112" t="s">
        <v>1091</v>
      </c>
      <c r="H226" s="112" t="s">
        <v>1015</v>
      </c>
      <c r="I226" s="112" t="s">
        <v>761</v>
      </c>
      <c r="J226" s="112" t="s">
        <v>1213</v>
      </c>
      <c r="K226" s="112" t="s">
        <v>1248</v>
      </c>
      <c r="L226" s="116">
        <v>-3500</v>
      </c>
    </row>
    <row r="227" spans="1:12" hidden="1" outlineLevel="1" collapsed="1" x14ac:dyDescent="0.35">
      <c r="A227" s="112" t="s">
        <v>1185</v>
      </c>
      <c r="B227" s="112" t="s">
        <v>897</v>
      </c>
      <c r="C227" s="112" t="s">
        <v>1095</v>
      </c>
      <c r="D227" s="113">
        <v>10348451</v>
      </c>
      <c r="E227" s="115">
        <v>43949</v>
      </c>
      <c r="F227" s="114">
        <v>202101</v>
      </c>
      <c r="G227" s="112" t="s">
        <v>1091</v>
      </c>
      <c r="H227" s="112" t="s">
        <v>1015</v>
      </c>
      <c r="I227" s="112" t="s">
        <v>1096</v>
      </c>
      <c r="J227" s="112" t="s">
        <v>1203</v>
      </c>
      <c r="K227" s="112" t="s">
        <v>1098</v>
      </c>
      <c r="L227" s="116">
        <v>148.43</v>
      </c>
    </row>
    <row r="228" spans="1:12" hidden="1" outlineLevel="1" collapsed="1" x14ac:dyDescent="0.35">
      <c r="A228" s="112" t="s">
        <v>1185</v>
      </c>
      <c r="B228" s="112" t="s">
        <v>897</v>
      </c>
      <c r="C228" s="112" t="s">
        <v>1095</v>
      </c>
      <c r="D228" s="113">
        <v>10348451</v>
      </c>
      <c r="E228" s="115">
        <v>43949</v>
      </c>
      <c r="F228" s="114">
        <v>202101</v>
      </c>
      <c r="G228" s="112" t="s">
        <v>1091</v>
      </c>
      <c r="H228" s="112" t="s">
        <v>1015</v>
      </c>
      <c r="I228" s="112" t="s">
        <v>1101</v>
      </c>
      <c r="J228" s="112" t="s">
        <v>1203</v>
      </c>
      <c r="K228" s="112" t="s">
        <v>1098</v>
      </c>
      <c r="L228" s="116">
        <v>272.43</v>
      </c>
    </row>
    <row r="229" spans="1:12" hidden="1" outlineLevel="1" collapsed="1" x14ac:dyDescent="0.35">
      <c r="A229" s="112" t="s">
        <v>1185</v>
      </c>
      <c r="B229" s="112" t="s">
        <v>897</v>
      </c>
      <c r="C229" s="112" t="s">
        <v>1095</v>
      </c>
      <c r="D229" s="113">
        <v>10348451</v>
      </c>
      <c r="E229" s="115">
        <v>43949</v>
      </c>
      <c r="F229" s="114">
        <v>202101</v>
      </c>
      <c r="G229" s="112" t="s">
        <v>1091</v>
      </c>
      <c r="H229" s="112" t="s">
        <v>1015</v>
      </c>
      <c r="I229" s="112" t="s">
        <v>1096</v>
      </c>
      <c r="J229" s="112" t="s">
        <v>1203</v>
      </c>
      <c r="K229" s="112" t="s">
        <v>1098</v>
      </c>
      <c r="L229" s="116">
        <v>97.52</v>
      </c>
    </row>
    <row r="230" spans="1:12" hidden="1" outlineLevel="1" collapsed="1" x14ac:dyDescent="0.35">
      <c r="A230" s="112" t="s">
        <v>1185</v>
      </c>
      <c r="B230" s="112" t="s">
        <v>897</v>
      </c>
      <c r="C230" s="112" t="s">
        <v>1095</v>
      </c>
      <c r="D230" s="113">
        <v>10348451</v>
      </c>
      <c r="E230" s="115">
        <v>43949</v>
      </c>
      <c r="F230" s="114">
        <v>202101</v>
      </c>
      <c r="G230" s="112" t="s">
        <v>1091</v>
      </c>
      <c r="H230" s="112" t="s">
        <v>1015</v>
      </c>
      <c r="I230" s="112" t="s">
        <v>1116</v>
      </c>
      <c r="J230" s="112" t="s">
        <v>1186</v>
      </c>
      <c r="K230" s="112" t="s">
        <v>1098</v>
      </c>
      <c r="L230" s="116">
        <v>1129.56</v>
      </c>
    </row>
    <row r="231" spans="1:12" hidden="1" outlineLevel="1" collapsed="1" x14ac:dyDescent="0.35">
      <c r="A231" s="112" t="s">
        <v>1185</v>
      </c>
      <c r="B231" s="112" t="s">
        <v>897</v>
      </c>
      <c r="C231" s="112" t="s">
        <v>1095</v>
      </c>
      <c r="D231" s="113">
        <v>10348451</v>
      </c>
      <c r="E231" s="115">
        <v>43949</v>
      </c>
      <c r="F231" s="114">
        <v>202101</v>
      </c>
      <c r="G231" s="112" t="s">
        <v>1091</v>
      </c>
      <c r="H231" s="112" t="s">
        <v>1015</v>
      </c>
      <c r="I231" s="112" t="s">
        <v>1116</v>
      </c>
      <c r="J231" s="112" t="s">
        <v>1186</v>
      </c>
      <c r="K231" s="112" t="s">
        <v>1098</v>
      </c>
      <c r="L231" s="116">
        <v>1671.75</v>
      </c>
    </row>
    <row r="232" spans="1:12" hidden="1" outlineLevel="1" collapsed="1" x14ac:dyDescent="0.35">
      <c r="A232" s="112" t="s">
        <v>1185</v>
      </c>
      <c r="B232" s="112" t="s">
        <v>897</v>
      </c>
      <c r="C232" s="112" t="s">
        <v>1095</v>
      </c>
      <c r="D232" s="113">
        <v>10348451</v>
      </c>
      <c r="E232" s="115">
        <v>43949</v>
      </c>
      <c r="F232" s="114">
        <v>202101</v>
      </c>
      <c r="G232" s="112" t="s">
        <v>1091</v>
      </c>
      <c r="H232" s="112" t="s">
        <v>1015</v>
      </c>
      <c r="I232" s="112" t="s">
        <v>1116</v>
      </c>
      <c r="J232" s="112" t="s">
        <v>1186</v>
      </c>
      <c r="K232" s="112" t="s">
        <v>1098</v>
      </c>
      <c r="L232" s="116">
        <v>1656.92</v>
      </c>
    </row>
    <row r="233" spans="1:12" hidden="1" outlineLevel="1" collapsed="1" x14ac:dyDescent="0.35">
      <c r="A233" s="112" t="s">
        <v>1185</v>
      </c>
      <c r="B233" s="112" t="s">
        <v>897</v>
      </c>
      <c r="C233" s="112" t="s">
        <v>1095</v>
      </c>
      <c r="D233" s="113">
        <v>10348451</v>
      </c>
      <c r="E233" s="115">
        <v>43949</v>
      </c>
      <c r="F233" s="114">
        <v>202101</v>
      </c>
      <c r="G233" s="112" t="s">
        <v>1091</v>
      </c>
      <c r="H233" s="112" t="s">
        <v>1015</v>
      </c>
      <c r="I233" s="112" t="s">
        <v>1116</v>
      </c>
      <c r="J233" s="112" t="s">
        <v>1186</v>
      </c>
      <c r="K233" s="112" t="s">
        <v>1098</v>
      </c>
      <c r="L233" s="116">
        <v>1103.5899999999999</v>
      </c>
    </row>
    <row r="234" spans="1:12" hidden="1" outlineLevel="1" collapsed="1" x14ac:dyDescent="0.35">
      <c r="A234" s="112" t="s">
        <v>1185</v>
      </c>
      <c r="B234" s="112" t="s">
        <v>897</v>
      </c>
      <c r="C234" s="112" t="s">
        <v>1095</v>
      </c>
      <c r="D234" s="113">
        <v>10348451</v>
      </c>
      <c r="E234" s="115">
        <v>43949</v>
      </c>
      <c r="F234" s="114">
        <v>202101</v>
      </c>
      <c r="G234" s="112" t="s">
        <v>1091</v>
      </c>
      <c r="H234" s="112" t="s">
        <v>1015</v>
      </c>
      <c r="I234" s="112" t="s">
        <v>1116</v>
      </c>
      <c r="J234" s="112" t="s">
        <v>1186</v>
      </c>
      <c r="K234" s="112" t="s">
        <v>1098</v>
      </c>
      <c r="L234" s="116">
        <v>1555.53</v>
      </c>
    </row>
    <row r="235" spans="1:12" hidden="1" outlineLevel="1" collapsed="1" x14ac:dyDescent="0.35">
      <c r="A235" s="112" t="s">
        <v>1185</v>
      </c>
      <c r="B235" s="112" t="s">
        <v>897</v>
      </c>
      <c r="C235" s="112" t="s">
        <v>1095</v>
      </c>
      <c r="D235" s="113">
        <v>10348451</v>
      </c>
      <c r="E235" s="115">
        <v>43949</v>
      </c>
      <c r="F235" s="114">
        <v>202101</v>
      </c>
      <c r="G235" s="112" t="s">
        <v>1091</v>
      </c>
      <c r="H235" s="112" t="s">
        <v>1015</v>
      </c>
      <c r="I235" s="112" t="s">
        <v>1116</v>
      </c>
      <c r="J235" s="112" t="s">
        <v>1186</v>
      </c>
      <c r="K235" s="112" t="s">
        <v>1098</v>
      </c>
      <c r="L235" s="116">
        <v>1944.42</v>
      </c>
    </row>
    <row r="236" spans="1:12" hidden="1" outlineLevel="1" collapsed="1" x14ac:dyDescent="0.35">
      <c r="A236" s="112" t="s">
        <v>1185</v>
      </c>
      <c r="B236" s="112" t="s">
        <v>897</v>
      </c>
      <c r="C236" s="112" t="s">
        <v>1095</v>
      </c>
      <c r="D236" s="113">
        <v>10348451</v>
      </c>
      <c r="E236" s="115">
        <v>43949</v>
      </c>
      <c r="F236" s="114">
        <v>202101</v>
      </c>
      <c r="G236" s="112" t="s">
        <v>1091</v>
      </c>
      <c r="H236" s="112" t="s">
        <v>1015</v>
      </c>
      <c r="I236" s="112" t="s">
        <v>1116</v>
      </c>
      <c r="J236" s="112" t="s">
        <v>1186</v>
      </c>
      <c r="K236" s="112" t="s">
        <v>1098</v>
      </c>
      <c r="L236" s="116">
        <v>1671.75</v>
      </c>
    </row>
    <row r="237" spans="1:12" hidden="1" outlineLevel="1" collapsed="1" x14ac:dyDescent="0.35">
      <c r="A237" s="112" t="s">
        <v>1185</v>
      </c>
      <c r="B237" s="112" t="s">
        <v>897</v>
      </c>
      <c r="C237" s="112" t="s">
        <v>1095</v>
      </c>
      <c r="D237" s="113">
        <v>10348451</v>
      </c>
      <c r="E237" s="115">
        <v>43949</v>
      </c>
      <c r="F237" s="114">
        <v>202101</v>
      </c>
      <c r="G237" s="112" t="s">
        <v>1091</v>
      </c>
      <c r="H237" s="112" t="s">
        <v>1015</v>
      </c>
      <c r="I237" s="112" t="s">
        <v>1116</v>
      </c>
      <c r="J237" s="112" t="s">
        <v>1186</v>
      </c>
      <c r="K237" s="112" t="s">
        <v>1098</v>
      </c>
      <c r="L237" s="116">
        <v>2493.92</v>
      </c>
    </row>
    <row r="238" spans="1:12" hidden="1" outlineLevel="1" collapsed="1" x14ac:dyDescent="0.35">
      <c r="A238" s="112" t="s">
        <v>1185</v>
      </c>
      <c r="B238" s="112" t="s">
        <v>897</v>
      </c>
      <c r="C238" s="112" t="s">
        <v>1095</v>
      </c>
      <c r="D238" s="113">
        <v>10348451</v>
      </c>
      <c r="E238" s="115">
        <v>43949</v>
      </c>
      <c r="F238" s="114">
        <v>202101</v>
      </c>
      <c r="G238" s="112" t="s">
        <v>1091</v>
      </c>
      <c r="H238" s="112" t="s">
        <v>1015</v>
      </c>
      <c r="I238" s="112" t="s">
        <v>1116</v>
      </c>
      <c r="J238" s="112" t="s">
        <v>1186</v>
      </c>
      <c r="K238" s="112" t="s">
        <v>1098</v>
      </c>
      <c r="L238" s="116">
        <v>1003.05</v>
      </c>
    </row>
    <row r="239" spans="1:12" hidden="1" outlineLevel="1" collapsed="1" x14ac:dyDescent="0.35">
      <c r="A239" s="112" t="s">
        <v>1185</v>
      </c>
      <c r="B239" s="112" t="s">
        <v>897</v>
      </c>
      <c r="C239" s="112" t="s">
        <v>1095</v>
      </c>
      <c r="D239" s="113">
        <v>10348451</v>
      </c>
      <c r="E239" s="115">
        <v>43949</v>
      </c>
      <c r="F239" s="114">
        <v>202101</v>
      </c>
      <c r="G239" s="112" t="s">
        <v>1091</v>
      </c>
      <c r="H239" s="112" t="s">
        <v>1015</v>
      </c>
      <c r="I239" s="112" t="s">
        <v>1116</v>
      </c>
      <c r="J239" s="112" t="s">
        <v>1186</v>
      </c>
      <c r="K239" s="112" t="s">
        <v>1098</v>
      </c>
      <c r="L239" s="116">
        <v>840.83</v>
      </c>
    </row>
    <row r="240" spans="1:12" hidden="1" outlineLevel="1" collapsed="1" x14ac:dyDescent="0.35">
      <c r="A240" s="112" t="s">
        <v>1185</v>
      </c>
      <c r="B240" s="112" t="s">
        <v>897</v>
      </c>
      <c r="C240" s="112" t="s">
        <v>1095</v>
      </c>
      <c r="D240" s="113">
        <v>10348451</v>
      </c>
      <c r="E240" s="115">
        <v>43949</v>
      </c>
      <c r="F240" s="114">
        <v>202101</v>
      </c>
      <c r="G240" s="112" t="s">
        <v>1091</v>
      </c>
      <c r="H240" s="112" t="s">
        <v>1015</v>
      </c>
      <c r="I240" s="112" t="s">
        <v>1116</v>
      </c>
      <c r="J240" s="112" t="s">
        <v>1186</v>
      </c>
      <c r="K240" s="112" t="s">
        <v>1098</v>
      </c>
      <c r="L240" s="116">
        <v>1709.89</v>
      </c>
    </row>
    <row r="241" spans="1:12" hidden="1" outlineLevel="1" collapsed="1" x14ac:dyDescent="0.35">
      <c r="A241" s="112" t="s">
        <v>1185</v>
      </c>
      <c r="B241" s="112" t="s">
        <v>897</v>
      </c>
      <c r="C241" s="112" t="s">
        <v>695</v>
      </c>
      <c r="D241" s="113">
        <v>10347981</v>
      </c>
      <c r="E241" s="115">
        <v>43924</v>
      </c>
      <c r="F241" s="114">
        <v>202101</v>
      </c>
      <c r="G241" s="112" t="s">
        <v>1091</v>
      </c>
      <c r="H241" s="112" t="s">
        <v>1015</v>
      </c>
      <c r="I241" s="112" t="s">
        <v>1137</v>
      </c>
      <c r="J241" s="112" t="s">
        <v>1186</v>
      </c>
      <c r="K241" s="112" t="s">
        <v>1249</v>
      </c>
      <c r="L241" s="116">
        <v>-83.19</v>
      </c>
    </row>
    <row r="242" spans="1:12" hidden="1" outlineLevel="1" collapsed="1" x14ac:dyDescent="0.35">
      <c r="A242" s="112" t="s">
        <v>1185</v>
      </c>
      <c r="B242" s="112" t="s">
        <v>897</v>
      </c>
      <c r="C242" s="112" t="s">
        <v>695</v>
      </c>
      <c r="D242" s="113">
        <v>10347981</v>
      </c>
      <c r="E242" s="115">
        <v>43924</v>
      </c>
      <c r="F242" s="114">
        <v>202101</v>
      </c>
      <c r="G242" s="112" t="s">
        <v>1091</v>
      </c>
      <c r="H242" s="112" t="s">
        <v>1015</v>
      </c>
      <c r="I242" s="112" t="s">
        <v>1124</v>
      </c>
      <c r="J242" s="112" t="s">
        <v>1186</v>
      </c>
      <c r="K242" s="112" t="s">
        <v>1250</v>
      </c>
      <c r="L242" s="116">
        <v>-298.2</v>
      </c>
    </row>
    <row r="243" spans="1:12" hidden="1" outlineLevel="1" collapsed="1" x14ac:dyDescent="0.35">
      <c r="A243" s="112" t="s">
        <v>1185</v>
      </c>
      <c r="B243" s="112" t="s">
        <v>896</v>
      </c>
      <c r="C243" s="112" t="s">
        <v>695</v>
      </c>
      <c r="D243" s="113">
        <v>10347981</v>
      </c>
      <c r="E243" s="115">
        <v>43924</v>
      </c>
      <c r="F243" s="114">
        <v>202101</v>
      </c>
      <c r="G243" s="112" t="s">
        <v>1091</v>
      </c>
      <c r="H243" s="112" t="s">
        <v>1015</v>
      </c>
      <c r="I243" s="112" t="s">
        <v>767</v>
      </c>
      <c r="J243" s="112" t="s">
        <v>1195</v>
      </c>
      <c r="K243" s="112" t="s">
        <v>1251</v>
      </c>
      <c r="L243" s="116">
        <v>-280</v>
      </c>
    </row>
    <row r="244" spans="1:12" hidden="1" outlineLevel="1" collapsed="1" x14ac:dyDescent="0.35">
      <c r="A244" s="112" t="s">
        <v>1185</v>
      </c>
      <c r="B244" s="112" t="s">
        <v>897</v>
      </c>
      <c r="C244" s="112" t="s">
        <v>1095</v>
      </c>
      <c r="D244" s="113">
        <v>10348451</v>
      </c>
      <c r="E244" s="115">
        <v>43949</v>
      </c>
      <c r="F244" s="114">
        <v>202101</v>
      </c>
      <c r="G244" s="112" t="s">
        <v>1091</v>
      </c>
      <c r="H244" s="112" t="s">
        <v>1015</v>
      </c>
      <c r="I244" s="112" t="s">
        <v>1096</v>
      </c>
      <c r="J244" s="112" t="s">
        <v>1191</v>
      </c>
      <c r="K244" s="112" t="s">
        <v>1098</v>
      </c>
      <c r="L244" s="116">
        <v>310.49</v>
      </c>
    </row>
    <row r="245" spans="1:12" hidden="1" outlineLevel="1" collapsed="1" x14ac:dyDescent="0.35">
      <c r="A245" s="112" t="s">
        <v>1185</v>
      </c>
      <c r="B245" s="112" t="s">
        <v>897</v>
      </c>
      <c r="C245" s="112" t="s">
        <v>1095</v>
      </c>
      <c r="D245" s="113">
        <v>10348451</v>
      </c>
      <c r="E245" s="115">
        <v>43949</v>
      </c>
      <c r="F245" s="114">
        <v>202101</v>
      </c>
      <c r="G245" s="112" t="s">
        <v>1091</v>
      </c>
      <c r="H245" s="112" t="s">
        <v>1015</v>
      </c>
      <c r="I245" s="112" t="s">
        <v>1101</v>
      </c>
      <c r="J245" s="112" t="s">
        <v>1191</v>
      </c>
      <c r="K245" s="112" t="s">
        <v>1098</v>
      </c>
      <c r="L245" s="116">
        <v>483.07</v>
      </c>
    </row>
    <row r="246" spans="1:12" hidden="1" outlineLevel="1" collapsed="1" x14ac:dyDescent="0.35">
      <c r="A246" s="112" t="s">
        <v>1185</v>
      </c>
      <c r="B246" s="112" t="s">
        <v>897</v>
      </c>
      <c r="C246" s="112" t="s">
        <v>1095</v>
      </c>
      <c r="D246" s="113">
        <v>10348451</v>
      </c>
      <c r="E246" s="115">
        <v>43949</v>
      </c>
      <c r="F246" s="114">
        <v>202101</v>
      </c>
      <c r="G246" s="112" t="s">
        <v>1091</v>
      </c>
      <c r="H246" s="112" t="s">
        <v>1015</v>
      </c>
      <c r="I246" s="112" t="s">
        <v>1101</v>
      </c>
      <c r="J246" s="112" t="s">
        <v>1191</v>
      </c>
      <c r="K246" s="112" t="s">
        <v>1098</v>
      </c>
      <c r="L246" s="116">
        <v>315</v>
      </c>
    </row>
    <row r="247" spans="1:12" hidden="1" outlineLevel="1" collapsed="1" x14ac:dyDescent="0.35">
      <c r="A247" s="112" t="s">
        <v>1185</v>
      </c>
      <c r="B247" s="112" t="s">
        <v>896</v>
      </c>
      <c r="C247" s="112" t="s">
        <v>695</v>
      </c>
      <c r="D247" s="113">
        <v>10347981</v>
      </c>
      <c r="E247" s="115">
        <v>43924</v>
      </c>
      <c r="F247" s="114">
        <v>202101</v>
      </c>
      <c r="G247" s="112" t="s">
        <v>1091</v>
      </c>
      <c r="H247" s="112" t="s">
        <v>1015</v>
      </c>
      <c r="I247" s="112" t="s">
        <v>767</v>
      </c>
      <c r="J247" s="112" t="s">
        <v>1195</v>
      </c>
      <c r="K247" s="112" t="s">
        <v>1252</v>
      </c>
      <c r="L247" s="116">
        <v>-765</v>
      </c>
    </row>
    <row r="248" spans="1:12" hidden="1" outlineLevel="1" collapsed="1" x14ac:dyDescent="0.35">
      <c r="A248" s="112" t="s">
        <v>1185</v>
      </c>
      <c r="B248" s="112" t="s">
        <v>897</v>
      </c>
      <c r="C248" s="112" t="s">
        <v>695</v>
      </c>
      <c r="D248" s="113">
        <v>10347981</v>
      </c>
      <c r="E248" s="115">
        <v>43924</v>
      </c>
      <c r="F248" s="114">
        <v>202101</v>
      </c>
      <c r="G248" s="112" t="s">
        <v>1091</v>
      </c>
      <c r="H248" s="112" t="s">
        <v>1015</v>
      </c>
      <c r="I248" s="112" t="s">
        <v>1201</v>
      </c>
      <c r="J248" s="112" t="s">
        <v>1186</v>
      </c>
      <c r="K248" s="112" t="s">
        <v>1253</v>
      </c>
      <c r="L248" s="116">
        <v>-572</v>
      </c>
    </row>
    <row r="249" spans="1:12" hidden="1" outlineLevel="1" collapsed="1" x14ac:dyDescent="0.35">
      <c r="A249" s="112" t="s">
        <v>1185</v>
      </c>
      <c r="B249" s="112" t="s">
        <v>898</v>
      </c>
      <c r="C249" s="112" t="s">
        <v>695</v>
      </c>
      <c r="D249" s="113">
        <v>10347981</v>
      </c>
      <c r="E249" s="115">
        <v>43924</v>
      </c>
      <c r="F249" s="114">
        <v>202101</v>
      </c>
      <c r="G249" s="112" t="s">
        <v>1091</v>
      </c>
      <c r="H249" s="112" t="s">
        <v>1015</v>
      </c>
      <c r="I249" s="112" t="s">
        <v>763</v>
      </c>
      <c r="J249" s="112" t="s">
        <v>1207</v>
      </c>
      <c r="K249" s="112" t="s">
        <v>1254</v>
      </c>
      <c r="L249" s="116">
        <v>-249</v>
      </c>
    </row>
    <row r="250" spans="1:12" hidden="1" outlineLevel="1" collapsed="1" x14ac:dyDescent="0.35">
      <c r="A250" s="112" t="s">
        <v>1185</v>
      </c>
      <c r="B250" s="112" t="s">
        <v>897</v>
      </c>
      <c r="C250" s="112" t="s">
        <v>1095</v>
      </c>
      <c r="D250" s="113">
        <v>10348451</v>
      </c>
      <c r="E250" s="115">
        <v>43949</v>
      </c>
      <c r="F250" s="114">
        <v>202101</v>
      </c>
      <c r="G250" s="112" t="s">
        <v>1091</v>
      </c>
      <c r="H250" s="112" t="s">
        <v>1015</v>
      </c>
      <c r="I250" s="112" t="s">
        <v>1096</v>
      </c>
      <c r="J250" s="112" t="s">
        <v>1191</v>
      </c>
      <c r="K250" s="112" t="s">
        <v>1098</v>
      </c>
      <c r="L250" s="116">
        <v>169.76</v>
      </c>
    </row>
    <row r="251" spans="1:12" hidden="1" outlineLevel="1" collapsed="1" x14ac:dyDescent="0.35">
      <c r="A251" s="112" t="s">
        <v>1185</v>
      </c>
      <c r="B251" s="112" t="s">
        <v>897</v>
      </c>
      <c r="C251" s="112" t="s">
        <v>1095</v>
      </c>
      <c r="D251" s="113">
        <v>10348451</v>
      </c>
      <c r="E251" s="115">
        <v>43949</v>
      </c>
      <c r="F251" s="114">
        <v>202101</v>
      </c>
      <c r="G251" s="112" t="s">
        <v>1091</v>
      </c>
      <c r="H251" s="112" t="s">
        <v>1015</v>
      </c>
      <c r="I251" s="112" t="s">
        <v>1101</v>
      </c>
      <c r="J251" s="112" t="s">
        <v>1191</v>
      </c>
      <c r="K251" s="112" t="s">
        <v>1098</v>
      </c>
      <c r="L251" s="116">
        <v>317.87</v>
      </c>
    </row>
    <row r="252" spans="1:12" hidden="1" outlineLevel="1" collapsed="1" x14ac:dyDescent="0.35">
      <c r="A252" s="112" t="s">
        <v>1185</v>
      </c>
      <c r="B252" s="112" t="s">
        <v>897</v>
      </c>
      <c r="C252" s="112" t="s">
        <v>1095</v>
      </c>
      <c r="D252" s="113">
        <v>10348451</v>
      </c>
      <c r="E252" s="115">
        <v>43949</v>
      </c>
      <c r="F252" s="114">
        <v>202101</v>
      </c>
      <c r="G252" s="112" t="s">
        <v>1091</v>
      </c>
      <c r="H252" s="112" t="s">
        <v>1015</v>
      </c>
      <c r="I252" s="112" t="s">
        <v>1101</v>
      </c>
      <c r="J252" s="112" t="s">
        <v>1191</v>
      </c>
      <c r="K252" s="112" t="s">
        <v>1098</v>
      </c>
      <c r="L252" s="116">
        <v>366.04</v>
      </c>
    </row>
    <row r="253" spans="1:12" hidden="1" outlineLevel="1" collapsed="1" x14ac:dyDescent="0.35">
      <c r="A253" s="112" t="s">
        <v>1185</v>
      </c>
      <c r="B253" s="112" t="s">
        <v>896</v>
      </c>
      <c r="C253" s="112" t="s">
        <v>695</v>
      </c>
      <c r="D253" s="113">
        <v>10347981</v>
      </c>
      <c r="E253" s="115">
        <v>43924</v>
      </c>
      <c r="F253" s="114">
        <v>202101</v>
      </c>
      <c r="G253" s="112" t="s">
        <v>1091</v>
      </c>
      <c r="H253" s="112" t="s">
        <v>1015</v>
      </c>
      <c r="I253" s="112" t="s">
        <v>761</v>
      </c>
      <c r="J253" s="112" t="s">
        <v>1195</v>
      </c>
      <c r="K253" s="112" t="s">
        <v>1255</v>
      </c>
      <c r="L253" s="116">
        <v>-0.9</v>
      </c>
    </row>
    <row r="254" spans="1:12" hidden="1" outlineLevel="1" collapsed="1" x14ac:dyDescent="0.35">
      <c r="A254" s="112" t="s">
        <v>1185</v>
      </c>
      <c r="B254" s="112" t="s">
        <v>896</v>
      </c>
      <c r="C254" s="112" t="s">
        <v>695</v>
      </c>
      <c r="D254" s="113">
        <v>10347981</v>
      </c>
      <c r="E254" s="115">
        <v>43924</v>
      </c>
      <c r="F254" s="114">
        <v>202101</v>
      </c>
      <c r="G254" s="112" t="s">
        <v>1091</v>
      </c>
      <c r="H254" s="112" t="s">
        <v>1015</v>
      </c>
      <c r="I254" s="112" t="s">
        <v>1092</v>
      </c>
      <c r="J254" s="112" t="s">
        <v>1199</v>
      </c>
      <c r="K254" s="112" t="s">
        <v>1256</v>
      </c>
      <c r="L254" s="116">
        <v>-100.5</v>
      </c>
    </row>
    <row r="255" spans="1:12" hidden="1" outlineLevel="1" collapsed="1" x14ac:dyDescent="0.35">
      <c r="A255" s="112" t="s">
        <v>1185</v>
      </c>
      <c r="B255" s="112" t="s">
        <v>897</v>
      </c>
      <c r="C255" s="112" t="s">
        <v>1095</v>
      </c>
      <c r="D255" s="113">
        <v>10348451</v>
      </c>
      <c r="E255" s="115">
        <v>43949</v>
      </c>
      <c r="F255" s="114">
        <v>202101</v>
      </c>
      <c r="G255" s="112" t="s">
        <v>1091</v>
      </c>
      <c r="H255" s="112" t="s">
        <v>1015</v>
      </c>
      <c r="I255" s="112" t="s">
        <v>1101</v>
      </c>
      <c r="J255" s="112" t="s">
        <v>1191</v>
      </c>
      <c r="K255" s="112" t="s">
        <v>1098</v>
      </c>
      <c r="L255" s="116">
        <v>426.26</v>
      </c>
    </row>
    <row r="256" spans="1:12" hidden="1" outlineLevel="1" collapsed="1" x14ac:dyDescent="0.35">
      <c r="A256" s="112" t="s">
        <v>1185</v>
      </c>
      <c r="B256" s="112" t="s">
        <v>896</v>
      </c>
      <c r="C256" s="112" t="s">
        <v>695</v>
      </c>
      <c r="D256" s="113">
        <v>10347981</v>
      </c>
      <c r="E256" s="115">
        <v>43924</v>
      </c>
      <c r="F256" s="114">
        <v>202101</v>
      </c>
      <c r="G256" s="112" t="s">
        <v>1091</v>
      </c>
      <c r="H256" s="112" t="s">
        <v>1015</v>
      </c>
      <c r="I256" s="112" t="s">
        <v>767</v>
      </c>
      <c r="J256" s="112" t="s">
        <v>1195</v>
      </c>
      <c r="K256" s="112" t="s">
        <v>1257</v>
      </c>
      <c r="L256" s="116">
        <v>-125.13</v>
      </c>
    </row>
    <row r="257" spans="1:12" hidden="1" outlineLevel="1" collapsed="1" x14ac:dyDescent="0.35">
      <c r="A257" s="112" t="s">
        <v>1185</v>
      </c>
      <c r="B257" s="112" t="s">
        <v>898</v>
      </c>
      <c r="C257" s="112" t="s">
        <v>1095</v>
      </c>
      <c r="D257" s="113">
        <v>10348451</v>
      </c>
      <c r="E257" s="115">
        <v>43949</v>
      </c>
      <c r="F257" s="114">
        <v>202101</v>
      </c>
      <c r="G257" s="112" t="s">
        <v>1091</v>
      </c>
      <c r="H257" s="112" t="s">
        <v>1015</v>
      </c>
      <c r="I257" s="112" t="s">
        <v>1101</v>
      </c>
      <c r="J257" s="112" t="s">
        <v>1197</v>
      </c>
      <c r="K257" s="112" t="s">
        <v>1098</v>
      </c>
      <c r="L257" s="116">
        <v>315</v>
      </c>
    </row>
    <row r="258" spans="1:12" hidden="1" outlineLevel="1" collapsed="1" x14ac:dyDescent="0.35">
      <c r="A258" s="112" t="s">
        <v>1185</v>
      </c>
      <c r="B258" s="112" t="s">
        <v>898</v>
      </c>
      <c r="C258" s="112" t="s">
        <v>1095</v>
      </c>
      <c r="D258" s="113">
        <v>10348451</v>
      </c>
      <c r="E258" s="115">
        <v>43949</v>
      </c>
      <c r="F258" s="114">
        <v>202101</v>
      </c>
      <c r="G258" s="112" t="s">
        <v>1091</v>
      </c>
      <c r="H258" s="112" t="s">
        <v>1015</v>
      </c>
      <c r="I258" s="112" t="s">
        <v>1096</v>
      </c>
      <c r="J258" s="112" t="s">
        <v>1197</v>
      </c>
      <c r="K258" s="112" t="s">
        <v>1098</v>
      </c>
      <c r="L258" s="116">
        <v>167.31</v>
      </c>
    </row>
    <row r="259" spans="1:12" hidden="1" outlineLevel="1" collapsed="1" x14ac:dyDescent="0.35">
      <c r="A259" s="112" t="s">
        <v>1185</v>
      </c>
      <c r="B259" s="112" t="s">
        <v>898</v>
      </c>
      <c r="C259" s="112" t="s">
        <v>1095</v>
      </c>
      <c r="D259" s="113">
        <v>10348451</v>
      </c>
      <c r="E259" s="115">
        <v>43949</v>
      </c>
      <c r="F259" s="114">
        <v>202101</v>
      </c>
      <c r="G259" s="112" t="s">
        <v>1091</v>
      </c>
      <c r="H259" s="112" t="s">
        <v>1015</v>
      </c>
      <c r="I259" s="112" t="s">
        <v>1101</v>
      </c>
      <c r="J259" s="112" t="s">
        <v>1230</v>
      </c>
      <c r="K259" s="112" t="s">
        <v>1098</v>
      </c>
      <c r="L259" s="116">
        <v>207.37</v>
      </c>
    </row>
    <row r="260" spans="1:12" hidden="1" outlineLevel="1" collapsed="1" x14ac:dyDescent="0.35">
      <c r="A260" s="112" t="s">
        <v>1185</v>
      </c>
      <c r="B260" s="112" t="s">
        <v>897</v>
      </c>
      <c r="C260" s="112" t="s">
        <v>1095</v>
      </c>
      <c r="D260" s="113">
        <v>10348451</v>
      </c>
      <c r="E260" s="115">
        <v>43949</v>
      </c>
      <c r="F260" s="114">
        <v>202101</v>
      </c>
      <c r="G260" s="112" t="s">
        <v>1091</v>
      </c>
      <c r="H260" s="112" t="s">
        <v>1015</v>
      </c>
      <c r="I260" s="112" t="s">
        <v>1096</v>
      </c>
      <c r="J260" s="112" t="s">
        <v>1203</v>
      </c>
      <c r="K260" s="112" t="s">
        <v>1098</v>
      </c>
      <c r="L260" s="116">
        <v>167.31</v>
      </c>
    </row>
    <row r="261" spans="1:12" hidden="1" outlineLevel="1" collapsed="1" x14ac:dyDescent="0.35">
      <c r="A261" s="112" t="s">
        <v>1185</v>
      </c>
      <c r="B261" s="112" t="s">
        <v>897</v>
      </c>
      <c r="C261" s="112" t="s">
        <v>695</v>
      </c>
      <c r="D261" s="113">
        <v>10347981</v>
      </c>
      <c r="E261" s="115">
        <v>43924</v>
      </c>
      <c r="F261" s="114">
        <v>202101</v>
      </c>
      <c r="G261" s="112" t="s">
        <v>1091</v>
      </c>
      <c r="H261" s="112" t="s">
        <v>1015</v>
      </c>
      <c r="I261" s="112" t="s">
        <v>1124</v>
      </c>
      <c r="J261" s="112" t="s">
        <v>1186</v>
      </c>
      <c r="K261" s="112" t="s">
        <v>1258</v>
      </c>
      <c r="L261" s="116">
        <v>-330</v>
      </c>
    </row>
    <row r="262" spans="1:12" hidden="1" outlineLevel="1" collapsed="1" x14ac:dyDescent="0.35">
      <c r="A262" s="112" t="s">
        <v>1185</v>
      </c>
      <c r="B262" s="112" t="s">
        <v>898</v>
      </c>
      <c r="C262" s="112" t="s">
        <v>679</v>
      </c>
      <c r="D262" s="113">
        <v>10347984</v>
      </c>
      <c r="E262" s="115">
        <v>43924</v>
      </c>
      <c r="F262" s="114">
        <v>202101</v>
      </c>
      <c r="G262" s="112" t="s">
        <v>1091</v>
      </c>
      <c r="H262" s="112" t="s">
        <v>1016</v>
      </c>
      <c r="I262" s="112" t="s">
        <v>1131</v>
      </c>
      <c r="J262" s="112" t="s">
        <v>1207</v>
      </c>
      <c r="K262" s="112" t="s">
        <v>1259</v>
      </c>
      <c r="L262" s="116">
        <v>-427.3</v>
      </c>
    </row>
    <row r="263" spans="1:12" hidden="1" outlineLevel="1" collapsed="1" x14ac:dyDescent="0.35">
      <c r="A263" s="112" t="s">
        <v>1185</v>
      </c>
      <c r="B263" s="112" t="s">
        <v>897</v>
      </c>
      <c r="C263" s="112" t="s">
        <v>1095</v>
      </c>
      <c r="D263" s="113">
        <v>10348451</v>
      </c>
      <c r="E263" s="115">
        <v>43949</v>
      </c>
      <c r="F263" s="114">
        <v>202101</v>
      </c>
      <c r="G263" s="112" t="s">
        <v>1091</v>
      </c>
      <c r="H263" s="112" t="s">
        <v>1015</v>
      </c>
      <c r="I263" s="112" t="s">
        <v>1101</v>
      </c>
      <c r="J263" s="112" t="s">
        <v>1203</v>
      </c>
      <c r="K263" s="112" t="s">
        <v>1098</v>
      </c>
      <c r="L263" s="116">
        <v>315</v>
      </c>
    </row>
    <row r="264" spans="1:12" hidden="1" outlineLevel="1" collapsed="1" x14ac:dyDescent="0.35">
      <c r="A264" s="112" t="s">
        <v>1185</v>
      </c>
      <c r="B264" s="112" t="s">
        <v>897</v>
      </c>
      <c r="C264" s="112" t="s">
        <v>1095</v>
      </c>
      <c r="D264" s="113">
        <v>10348451</v>
      </c>
      <c r="E264" s="115">
        <v>43949</v>
      </c>
      <c r="F264" s="114">
        <v>202101</v>
      </c>
      <c r="G264" s="112" t="s">
        <v>1091</v>
      </c>
      <c r="H264" s="112" t="s">
        <v>1015</v>
      </c>
      <c r="I264" s="112" t="s">
        <v>1096</v>
      </c>
      <c r="J264" s="112" t="s">
        <v>1191</v>
      </c>
      <c r="K264" s="112" t="s">
        <v>1098</v>
      </c>
      <c r="L264" s="116">
        <v>214.13</v>
      </c>
    </row>
    <row r="265" spans="1:12" hidden="1" outlineLevel="1" collapsed="1" x14ac:dyDescent="0.35">
      <c r="A265" s="112" t="s">
        <v>1185</v>
      </c>
      <c r="B265" s="112" t="s">
        <v>1192</v>
      </c>
      <c r="C265" s="112" t="s">
        <v>1095</v>
      </c>
      <c r="D265" s="113">
        <v>10348451</v>
      </c>
      <c r="E265" s="115">
        <v>43949</v>
      </c>
      <c r="F265" s="114">
        <v>202101</v>
      </c>
      <c r="G265" s="112" t="s">
        <v>1091</v>
      </c>
      <c r="H265" s="112" t="s">
        <v>1015</v>
      </c>
      <c r="I265" s="112" t="s">
        <v>1190</v>
      </c>
      <c r="J265" s="112" t="s">
        <v>1235</v>
      </c>
      <c r="K265" s="112" t="s">
        <v>1098</v>
      </c>
      <c r="L265" s="116">
        <v>19.329999999999998</v>
      </c>
    </row>
    <row r="266" spans="1:12" hidden="1" outlineLevel="1" collapsed="1" x14ac:dyDescent="0.35">
      <c r="A266" s="112" t="s">
        <v>1185</v>
      </c>
      <c r="B266" s="112" t="s">
        <v>897</v>
      </c>
      <c r="C266" s="112" t="s">
        <v>1095</v>
      </c>
      <c r="D266" s="113">
        <v>10348451</v>
      </c>
      <c r="E266" s="115">
        <v>43949</v>
      </c>
      <c r="F266" s="114">
        <v>202101</v>
      </c>
      <c r="G266" s="112" t="s">
        <v>1091</v>
      </c>
      <c r="H266" s="112" t="s">
        <v>1015</v>
      </c>
      <c r="I266" s="112" t="s">
        <v>1190</v>
      </c>
      <c r="J266" s="112" t="s">
        <v>1191</v>
      </c>
      <c r="K266" s="112" t="s">
        <v>1098</v>
      </c>
      <c r="L266" s="116">
        <v>57.27</v>
      </c>
    </row>
    <row r="267" spans="1:12" hidden="1" outlineLevel="1" collapsed="1" x14ac:dyDescent="0.35">
      <c r="A267" s="112" t="s">
        <v>1185</v>
      </c>
      <c r="B267" s="112" t="s">
        <v>897</v>
      </c>
      <c r="C267" s="112" t="s">
        <v>1095</v>
      </c>
      <c r="D267" s="113">
        <v>10348451</v>
      </c>
      <c r="E267" s="115">
        <v>43949</v>
      </c>
      <c r="F267" s="114">
        <v>202101</v>
      </c>
      <c r="G267" s="112" t="s">
        <v>1091</v>
      </c>
      <c r="H267" s="112" t="s">
        <v>1015</v>
      </c>
      <c r="I267" s="112" t="s">
        <v>1190</v>
      </c>
      <c r="J267" s="112" t="s">
        <v>1191</v>
      </c>
      <c r="K267" s="112" t="s">
        <v>1098</v>
      </c>
      <c r="L267" s="116">
        <v>190.04</v>
      </c>
    </row>
    <row r="268" spans="1:12" hidden="1" outlineLevel="1" collapsed="1" x14ac:dyDescent="0.35">
      <c r="A268" s="112" t="s">
        <v>1185</v>
      </c>
      <c r="B268" s="112" t="s">
        <v>897</v>
      </c>
      <c r="C268" s="112" t="s">
        <v>1095</v>
      </c>
      <c r="D268" s="113">
        <v>10348451</v>
      </c>
      <c r="E268" s="115">
        <v>43949</v>
      </c>
      <c r="F268" s="114">
        <v>202101</v>
      </c>
      <c r="G268" s="112" t="s">
        <v>1091</v>
      </c>
      <c r="H268" s="112" t="s">
        <v>1015</v>
      </c>
      <c r="I268" s="112" t="s">
        <v>1190</v>
      </c>
      <c r="J268" s="112" t="s">
        <v>1191</v>
      </c>
      <c r="K268" s="112" t="s">
        <v>1098</v>
      </c>
      <c r="L268" s="116">
        <v>24.14</v>
      </c>
    </row>
    <row r="269" spans="1:12" hidden="1" outlineLevel="1" collapsed="1" x14ac:dyDescent="0.35">
      <c r="A269" s="112" t="s">
        <v>1185</v>
      </c>
      <c r="B269" s="112" t="s">
        <v>897</v>
      </c>
      <c r="C269" s="112" t="s">
        <v>1095</v>
      </c>
      <c r="D269" s="113">
        <v>10348451</v>
      </c>
      <c r="E269" s="115">
        <v>43949</v>
      </c>
      <c r="F269" s="114">
        <v>202101</v>
      </c>
      <c r="G269" s="112" t="s">
        <v>1091</v>
      </c>
      <c r="H269" s="112" t="s">
        <v>1015</v>
      </c>
      <c r="I269" s="112" t="s">
        <v>1190</v>
      </c>
      <c r="J269" s="112" t="s">
        <v>1191</v>
      </c>
      <c r="K269" s="112" t="s">
        <v>1098</v>
      </c>
      <c r="L269" s="116">
        <v>25.35</v>
      </c>
    </row>
    <row r="270" spans="1:12" hidden="1" outlineLevel="1" collapsed="1" x14ac:dyDescent="0.35">
      <c r="A270" s="112" t="s">
        <v>1185</v>
      </c>
      <c r="B270" s="112" t="s">
        <v>897</v>
      </c>
      <c r="C270" s="112" t="s">
        <v>1095</v>
      </c>
      <c r="D270" s="113">
        <v>10348451</v>
      </c>
      <c r="E270" s="115">
        <v>43949</v>
      </c>
      <c r="F270" s="114">
        <v>202101</v>
      </c>
      <c r="G270" s="112" t="s">
        <v>1091</v>
      </c>
      <c r="H270" s="112" t="s">
        <v>1015</v>
      </c>
      <c r="I270" s="112" t="s">
        <v>1190</v>
      </c>
      <c r="J270" s="112" t="s">
        <v>1191</v>
      </c>
      <c r="K270" s="112" t="s">
        <v>1098</v>
      </c>
      <c r="L270" s="116">
        <v>29.93</v>
      </c>
    </row>
    <row r="271" spans="1:12" hidden="1" outlineLevel="1" collapsed="1" x14ac:dyDescent="0.35">
      <c r="A271" s="112" t="s">
        <v>1185</v>
      </c>
      <c r="B271" s="112" t="s">
        <v>897</v>
      </c>
      <c r="C271" s="112" t="s">
        <v>1095</v>
      </c>
      <c r="D271" s="113">
        <v>10348451</v>
      </c>
      <c r="E271" s="115">
        <v>43949</v>
      </c>
      <c r="F271" s="114">
        <v>202101</v>
      </c>
      <c r="G271" s="112" t="s">
        <v>1091</v>
      </c>
      <c r="H271" s="112" t="s">
        <v>1015</v>
      </c>
      <c r="I271" s="112" t="s">
        <v>1190</v>
      </c>
      <c r="J271" s="112" t="s">
        <v>1191</v>
      </c>
      <c r="K271" s="112" t="s">
        <v>1098</v>
      </c>
      <c r="L271" s="116">
        <v>73.400000000000006</v>
      </c>
    </row>
    <row r="272" spans="1:12" hidden="1" outlineLevel="1" collapsed="1" x14ac:dyDescent="0.35">
      <c r="A272" s="112" t="s">
        <v>1185</v>
      </c>
      <c r="B272" s="112" t="s">
        <v>896</v>
      </c>
      <c r="C272" s="112" t="s">
        <v>695</v>
      </c>
      <c r="D272" s="113">
        <v>10347981</v>
      </c>
      <c r="E272" s="115">
        <v>43924</v>
      </c>
      <c r="F272" s="114">
        <v>202101</v>
      </c>
      <c r="G272" s="112" t="s">
        <v>1091</v>
      </c>
      <c r="H272" s="112" t="s">
        <v>1015</v>
      </c>
      <c r="I272" s="112" t="s">
        <v>767</v>
      </c>
      <c r="J272" s="112" t="s">
        <v>1195</v>
      </c>
      <c r="K272" s="112" t="s">
        <v>1260</v>
      </c>
      <c r="L272" s="116">
        <v>-6453.92</v>
      </c>
    </row>
    <row r="273" spans="1:12" hidden="1" outlineLevel="1" collapsed="1" x14ac:dyDescent="0.35">
      <c r="A273" s="112" t="s">
        <v>1185</v>
      </c>
      <c r="B273" s="112" t="s">
        <v>897</v>
      </c>
      <c r="C273" s="112" t="s">
        <v>1095</v>
      </c>
      <c r="D273" s="113">
        <v>10348451</v>
      </c>
      <c r="E273" s="115">
        <v>43949</v>
      </c>
      <c r="F273" s="114">
        <v>202101</v>
      </c>
      <c r="G273" s="112" t="s">
        <v>1091</v>
      </c>
      <c r="H273" s="112" t="s">
        <v>1015</v>
      </c>
      <c r="I273" s="112" t="s">
        <v>1190</v>
      </c>
      <c r="J273" s="112" t="s">
        <v>1191</v>
      </c>
      <c r="K273" s="112" t="s">
        <v>1098</v>
      </c>
      <c r="L273" s="116">
        <v>76.16</v>
      </c>
    </row>
    <row r="274" spans="1:12" hidden="1" outlineLevel="1" collapsed="1" x14ac:dyDescent="0.35">
      <c r="A274" s="112" t="s">
        <v>1185</v>
      </c>
      <c r="B274" s="112" t="s">
        <v>897</v>
      </c>
      <c r="C274" s="112" t="s">
        <v>1095</v>
      </c>
      <c r="D274" s="113">
        <v>10348451</v>
      </c>
      <c r="E274" s="115">
        <v>43949</v>
      </c>
      <c r="F274" s="114">
        <v>202101</v>
      </c>
      <c r="G274" s="112" t="s">
        <v>1091</v>
      </c>
      <c r="H274" s="112" t="s">
        <v>1015</v>
      </c>
      <c r="I274" s="112" t="s">
        <v>1101</v>
      </c>
      <c r="J274" s="112" t="s">
        <v>1203</v>
      </c>
      <c r="K274" s="112" t="s">
        <v>1098</v>
      </c>
      <c r="L274" s="116">
        <v>306.61</v>
      </c>
    </row>
    <row r="275" spans="1:12" hidden="1" outlineLevel="1" collapsed="1" x14ac:dyDescent="0.35">
      <c r="A275" s="112" t="s">
        <v>1185</v>
      </c>
      <c r="B275" s="112" t="s">
        <v>897</v>
      </c>
      <c r="C275" s="112" t="s">
        <v>1095</v>
      </c>
      <c r="D275" s="113">
        <v>10348451</v>
      </c>
      <c r="E275" s="115">
        <v>43949</v>
      </c>
      <c r="F275" s="114">
        <v>202101</v>
      </c>
      <c r="G275" s="112" t="s">
        <v>1091</v>
      </c>
      <c r="H275" s="112" t="s">
        <v>1015</v>
      </c>
      <c r="I275" s="112" t="s">
        <v>1101</v>
      </c>
      <c r="J275" s="112" t="s">
        <v>1191</v>
      </c>
      <c r="K275" s="112" t="s">
        <v>1098</v>
      </c>
      <c r="L275" s="116">
        <v>315</v>
      </c>
    </row>
    <row r="276" spans="1:12" hidden="1" outlineLevel="1" collapsed="1" x14ac:dyDescent="0.35">
      <c r="A276" s="112" t="s">
        <v>1185</v>
      </c>
      <c r="B276" s="112" t="s">
        <v>896</v>
      </c>
      <c r="C276" s="112" t="s">
        <v>1095</v>
      </c>
      <c r="D276" s="113">
        <v>10348451</v>
      </c>
      <c r="E276" s="115">
        <v>43949</v>
      </c>
      <c r="F276" s="114">
        <v>202101</v>
      </c>
      <c r="G276" s="112" t="s">
        <v>1091</v>
      </c>
      <c r="H276" s="112" t="s">
        <v>1015</v>
      </c>
      <c r="I276" s="112" t="s">
        <v>1101</v>
      </c>
      <c r="J276" s="112" t="s">
        <v>1199</v>
      </c>
      <c r="K276" s="112" t="s">
        <v>1098</v>
      </c>
      <c r="L276" s="116">
        <v>1152.6400000000001</v>
      </c>
    </row>
    <row r="277" spans="1:12" hidden="1" outlineLevel="1" collapsed="1" x14ac:dyDescent="0.35">
      <c r="A277" s="112" t="s">
        <v>1185</v>
      </c>
      <c r="B277" s="112" t="s">
        <v>897</v>
      </c>
      <c r="C277" s="112" t="s">
        <v>1095</v>
      </c>
      <c r="D277" s="113">
        <v>10348451</v>
      </c>
      <c r="E277" s="115">
        <v>43949</v>
      </c>
      <c r="F277" s="114">
        <v>202101</v>
      </c>
      <c r="G277" s="112" t="s">
        <v>1091</v>
      </c>
      <c r="H277" s="112" t="s">
        <v>1015</v>
      </c>
      <c r="I277" s="112" t="s">
        <v>1101</v>
      </c>
      <c r="J277" s="112" t="s">
        <v>1191</v>
      </c>
      <c r="K277" s="112" t="s">
        <v>1098</v>
      </c>
      <c r="L277" s="116">
        <v>189</v>
      </c>
    </row>
    <row r="278" spans="1:12" hidden="1" outlineLevel="1" collapsed="1" x14ac:dyDescent="0.35">
      <c r="A278" s="112" t="s">
        <v>1185</v>
      </c>
      <c r="B278" s="112" t="s">
        <v>897</v>
      </c>
      <c r="C278" s="112" t="s">
        <v>1095</v>
      </c>
      <c r="D278" s="113">
        <v>10348451</v>
      </c>
      <c r="E278" s="115">
        <v>43949</v>
      </c>
      <c r="F278" s="114">
        <v>202101</v>
      </c>
      <c r="G278" s="112" t="s">
        <v>1091</v>
      </c>
      <c r="H278" s="112" t="s">
        <v>1015</v>
      </c>
      <c r="I278" s="112" t="s">
        <v>1096</v>
      </c>
      <c r="J278" s="112" t="s">
        <v>1203</v>
      </c>
      <c r="K278" s="112" t="s">
        <v>1098</v>
      </c>
      <c r="L278" s="116">
        <v>310.49</v>
      </c>
    </row>
    <row r="279" spans="1:12" hidden="1" outlineLevel="1" collapsed="1" x14ac:dyDescent="0.35">
      <c r="A279" s="112" t="s">
        <v>1185</v>
      </c>
      <c r="B279" s="112" t="s">
        <v>896</v>
      </c>
      <c r="C279" s="112" t="s">
        <v>1095</v>
      </c>
      <c r="D279" s="113">
        <v>10348451</v>
      </c>
      <c r="E279" s="115">
        <v>43949</v>
      </c>
      <c r="F279" s="114">
        <v>202101</v>
      </c>
      <c r="G279" s="112" t="s">
        <v>1091</v>
      </c>
      <c r="H279" s="112" t="s">
        <v>1015</v>
      </c>
      <c r="I279" s="112" t="s">
        <v>1128</v>
      </c>
      <c r="J279" s="112" t="s">
        <v>1199</v>
      </c>
      <c r="K279" s="112" t="s">
        <v>1098</v>
      </c>
      <c r="L279" s="116">
        <v>20</v>
      </c>
    </row>
    <row r="280" spans="1:12" hidden="1" outlineLevel="1" collapsed="1" x14ac:dyDescent="0.35">
      <c r="A280" s="112" t="s">
        <v>1185</v>
      </c>
      <c r="B280" s="112" t="s">
        <v>897</v>
      </c>
      <c r="C280" s="112" t="s">
        <v>1095</v>
      </c>
      <c r="D280" s="113">
        <v>10348451</v>
      </c>
      <c r="E280" s="115">
        <v>43949</v>
      </c>
      <c r="F280" s="114">
        <v>202101</v>
      </c>
      <c r="G280" s="112" t="s">
        <v>1091</v>
      </c>
      <c r="H280" s="112" t="s">
        <v>1015</v>
      </c>
      <c r="I280" s="112" t="s">
        <v>1101</v>
      </c>
      <c r="J280" s="112" t="s">
        <v>1191</v>
      </c>
      <c r="K280" s="112" t="s">
        <v>1098</v>
      </c>
      <c r="L280" s="116">
        <v>315</v>
      </c>
    </row>
    <row r="281" spans="1:12" hidden="1" outlineLevel="1" collapsed="1" x14ac:dyDescent="0.35">
      <c r="A281" s="112" t="s">
        <v>1185</v>
      </c>
      <c r="B281" s="112" t="s">
        <v>897</v>
      </c>
      <c r="C281" s="112" t="s">
        <v>1095</v>
      </c>
      <c r="D281" s="113">
        <v>10348451</v>
      </c>
      <c r="E281" s="115">
        <v>43949</v>
      </c>
      <c r="F281" s="114">
        <v>202101</v>
      </c>
      <c r="G281" s="112" t="s">
        <v>1091</v>
      </c>
      <c r="H281" s="112" t="s">
        <v>1015</v>
      </c>
      <c r="I281" s="112" t="s">
        <v>1101</v>
      </c>
      <c r="J281" s="112" t="s">
        <v>1186</v>
      </c>
      <c r="K281" s="112" t="s">
        <v>1098</v>
      </c>
      <c r="L281" s="116">
        <v>270.82</v>
      </c>
    </row>
    <row r="282" spans="1:12" hidden="1" outlineLevel="1" collapsed="1" x14ac:dyDescent="0.35">
      <c r="A282" s="112" t="s">
        <v>1185</v>
      </c>
      <c r="B282" s="112" t="s">
        <v>896</v>
      </c>
      <c r="C282" s="112" t="s">
        <v>1095</v>
      </c>
      <c r="D282" s="113">
        <v>10348451</v>
      </c>
      <c r="E282" s="115">
        <v>43949</v>
      </c>
      <c r="F282" s="114">
        <v>202101</v>
      </c>
      <c r="G282" s="112" t="s">
        <v>1091</v>
      </c>
      <c r="H282" s="112" t="s">
        <v>1015</v>
      </c>
      <c r="I282" s="112" t="s">
        <v>1101</v>
      </c>
      <c r="J282" s="112" t="s">
        <v>1195</v>
      </c>
      <c r="K282" s="112" t="s">
        <v>1098</v>
      </c>
      <c r="L282" s="116">
        <v>366.04</v>
      </c>
    </row>
    <row r="283" spans="1:12" hidden="1" outlineLevel="1" collapsed="1" x14ac:dyDescent="0.35">
      <c r="A283" s="112" t="s">
        <v>1185</v>
      </c>
      <c r="B283" s="112" t="s">
        <v>897</v>
      </c>
      <c r="C283" s="112" t="s">
        <v>1095</v>
      </c>
      <c r="D283" s="113">
        <v>10348451</v>
      </c>
      <c r="E283" s="115">
        <v>43949</v>
      </c>
      <c r="F283" s="114">
        <v>202101</v>
      </c>
      <c r="G283" s="112" t="s">
        <v>1091</v>
      </c>
      <c r="H283" s="112" t="s">
        <v>1015</v>
      </c>
      <c r="I283" s="112" t="s">
        <v>1101</v>
      </c>
      <c r="J283" s="112" t="s">
        <v>1203</v>
      </c>
      <c r="K283" s="112" t="s">
        <v>1098</v>
      </c>
      <c r="L283" s="116">
        <v>315</v>
      </c>
    </row>
    <row r="284" spans="1:12" hidden="1" outlineLevel="1" collapsed="1" x14ac:dyDescent="0.35">
      <c r="A284" s="112" t="s">
        <v>1185</v>
      </c>
      <c r="B284" s="112" t="s">
        <v>895</v>
      </c>
      <c r="C284" s="112" t="s">
        <v>1095</v>
      </c>
      <c r="D284" s="113">
        <v>10348451</v>
      </c>
      <c r="E284" s="115">
        <v>43949</v>
      </c>
      <c r="F284" s="114">
        <v>202101</v>
      </c>
      <c r="G284" s="112" t="s">
        <v>1091</v>
      </c>
      <c r="H284" s="112" t="s">
        <v>1015</v>
      </c>
      <c r="I284" s="112" t="s">
        <v>1101</v>
      </c>
      <c r="J284" s="112" t="s">
        <v>1261</v>
      </c>
      <c r="K284" s="112" t="s">
        <v>1098</v>
      </c>
      <c r="L284" s="116">
        <v>1299.01</v>
      </c>
    </row>
    <row r="285" spans="1:12" hidden="1" outlineLevel="1" collapsed="1" x14ac:dyDescent="0.35">
      <c r="A285" s="112" t="s">
        <v>1185</v>
      </c>
      <c r="B285" s="112" t="s">
        <v>1192</v>
      </c>
      <c r="C285" s="112" t="s">
        <v>1095</v>
      </c>
      <c r="D285" s="113">
        <v>10348451</v>
      </c>
      <c r="E285" s="115">
        <v>43949</v>
      </c>
      <c r="F285" s="114">
        <v>202101</v>
      </c>
      <c r="G285" s="112" t="s">
        <v>1091</v>
      </c>
      <c r="H285" s="112" t="s">
        <v>1015</v>
      </c>
      <c r="I285" s="112" t="s">
        <v>1101</v>
      </c>
      <c r="J285" s="112" t="s">
        <v>1198</v>
      </c>
      <c r="K285" s="112" t="s">
        <v>1098</v>
      </c>
      <c r="L285" s="116">
        <v>679.08</v>
      </c>
    </row>
    <row r="286" spans="1:12" hidden="1" outlineLevel="1" collapsed="1" x14ac:dyDescent="0.35">
      <c r="A286" s="112" t="s">
        <v>1185</v>
      </c>
      <c r="B286" s="112" t="s">
        <v>897</v>
      </c>
      <c r="C286" s="112" t="s">
        <v>1095</v>
      </c>
      <c r="D286" s="113">
        <v>10348451</v>
      </c>
      <c r="E286" s="115">
        <v>43949</v>
      </c>
      <c r="F286" s="114">
        <v>202101</v>
      </c>
      <c r="G286" s="112" t="s">
        <v>1091</v>
      </c>
      <c r="H286" s="112" t="s">
        <v>1015</v>
      </c>
      <c r="I286" s="112" t="s">
        <v>1101</v>
      </c>
      <c r="J286" s="112" t="s">
        <v>1191</v>
      </c>
      <c r="K286" s="112" t="s">
        <v>1098</v>
      </c>
      <c r="L286" s="116">
        <v>789.11</v>
      </c>
    </row>
    <row r="287" spans="1:12" hidden="1" outlineLevel="1" collapsed="1" x14ac:dyDescent="0.35">
      <c r="A287" s="112" t="s">
        <v>1185</v>
      </c>
      <c r="B287" s="112" t="s">
        <v>896</v>
      </c>
      <c r="C287" s="112" t="s">
        <v>695</v>
      </c>
      <c r="D287" s="113">
        <v>10347981</v>
      </c>
      <c r="E287" s="115">
        <v>43924</v>
      </c>
      <c r="F287" s="114">
        <v>202101</v>
      </c>
      <c r="G287" s="112" t="s">
        <v>1091</v>
      </c>
      <c r="H287" s="112" t="s">
        <v>1015</v>
      </c>
      <c r="I287" s="112" t="s">
        <v>1092</v>
      </c>
      <c r="J287" s="112" t="s">
        <v>1195</v>
      </c>
      <c r="K287" s="112" t="s">
        <v>1262</v>
      </c>
      <c r="L287" s="116">
        <v>-30</v>
      </c>
    </row>
    <row r="288" spans="1:12" hidden="1" outlineLevel="1" collapsed="1" x14ac:dyDescent="0.35">
      <c r="A288" s="112" t="s">
        <v>1185</v>
      </c>
      <c r="B288" s="112" t="s">
        <v>897</v>
      </c>
      <c r="C288" s="112" t="s">
        <v>1095</v>
      </c>
      <c r="D288" s="113">
        <v>10348451</v>
      </c>
      <c r="E288" s="115">
        <v>43949</v>
      </c>
      <c r="F288" s="114">
        <v>202101</v>
      </c>
      <c r="G288" s="112" t="s">
        <v>1091</v>
      </c>
      <c r="H288" s="112" t="s">
        <v>1015</v>
      </c>
      <c r="I288" s="112" t="s">
        <v>1096</v>
      </c>
      <c r="J288" s="112" t="s">
        <v>1203</v>
      </c>
      <c r="K288" s="112" t="s">
        <v>1098</v>
      </c>
      <c r="L288" s="116">
        <v>161.22999999999999</v>
      </c>
    </row>
    <row r="289" spans="1:12" hidden="1" outlineLevel="1" collapsed="1" x14ac:dyDescent="0.35">
      <c r="A289" s="112" t="s">
        <v>1185</v>
      </c>
      <c r="B289" s="112" t="s">
        <v>897</v>
      </c>
      <c r="C289" s="112" t="s">
        <v>1095</v>
      </c>
      <c r="D289" s="113">
        <v>10348451</v>
      </c>
      <c r="E289" s="115">
        <v>43949</v>
      </c>
      <c r="F289" s="114">
        <v>202101</v>
      </c>
      <c r="G289" s="112" t="s">
        <v>1091</v>
      </c>
      <c r="H289" s="112" t="s">
        <v>1015</v>
      </c>
      <c r="I289" s="112" t="s">
        <v>1101</v>
      </c>
      <c r="J289" s="112" t="s">
        <v>1191</v>
      </c>
      <c r="K289" s="112" t="s">
        <v>1098</v>
      </c>
      <c r="L289" s="116">
        <v>306.61</v>
      </c>
    </row>
    <row r="290" spans="1:12" hidden="1" outlineLevel="1" collapsed="1" x14ac:dyDescent="0.35">
      <c r="A290" s="112" t="s">
        <v>1185</v>
      </c>
      <c r="B290" s="112" t="s">
        <v>897</v>
      </c>
      <c r="C290" s="112" t="s">
        <v>1095</v>
      </c>
      <c r="D290" s="113">
        <v>10348451</v>
      </c>
      <c r="E290" s="115">
        <v>43949</v>
      </c>
      <c r="F290" s="114">
        <v>202101</v>
      </c>
      <c r="G290" s="112" t="s">
        <v>1091</v>
      </c>
      <c r="H290" s="112" t="s">
        <v>1015</v>
      </c>
      <c r="I290" s="112" t="s">
        <v>1101</v>
      </c>
      <c r="J290" s="112" t="s">
        <v>1191</v>
      </c>
      <c r="K290" s="112" t="s">
        <v>1098</v>
      </c>
      <c r="L290" s="116">
        <v>191.3</v>
      </c>
    </row>
    <row r="291" spans="1:12" hidden="1" outlineLevel="1" collapsed="1" x14ac:dyDescent="0.35">
      <c r="A291" s="112" t="s">
        <v>1185</v>
      </c>
      <c r="B291" s="112" t="s">
        <v>897</v>
      </c>
      <c r="C291" s="112" t="s">
        <v>1095</v>
      </c>
      <c r="D291" s="113">
        <v>10348451</v>
      </c>
      <c r="E291" s="115">
        <v>43949</v>
      </c>
      <c r="F291" s="114">
        <v>202101</v>
      </c>
      <c r="G291" s="112" t="s">
        <v>1091</v>
      </c>
      <c r="H291" s="112" t="s">
        <v>1015</v>
      </c>
      <c r="I291" s="112" t="s">
        <v>1101</v>
      </c>
      <c r="J291" s="112" t="s">
        <v>1203</v>
      </c>
      <c r="K291" s="112" t="s">
        <v>1098</v>
      </c>
      <c r="L291" s="116">
        <v>307.86</v>
      </c>
    </row>
    <row r="292" spans="1:12" hidden="1" outlineLevel="1" collapsed="1" x14ac:dyDescent="0.35">
      <c r="A292" s="112" t="s">
        <v>1185</v>
      </c>
      <c r="B292" s="112" t="s">
        <v>897</v>
      </c>
      <c r="C292" s="112" t="s">
        <v>1095</v>
      </c>
      <c r="D292" s="113">
        <v>10348451</v>
      </c>
      <c r="E292" s="115">
        <v>43949</v>
      </c>
      <c r="F292" s="114">
        <v>202101</v>
      </c>
      <c r="G292" s="112" t="s">
        <v>1091</v>
      </c>
      <c r="H292" s="112" t="s">
        <v>1015</v>
      </c>
      <c r="I292" s="112" t="s">
        <v>1096</v>
      </c>
      <c r="J292" s="112" t="s">
        <v>1203</v>
      </c>
      <c r="K292" s="112" t="s">
        <v>1098</v>
      </c>
      <c r="L292" s="116">
        <v>210.79</v>
      </c>
    </row>
    <row r="293" spans="1:12" hidden="1" outlineLevel="1" collapsed="1" x14ac:dyDescent="0.35">
      <c r="A293" s="112" t="s">
        <v>1185</v>
      </c>
      <c r="B293" s="112" t="s">
        <v>897</v>
      </c>
      <c r="C293" s="112" t="s">
        <v>1095</v>
      </c>
      <c r="D293" s="113">
        <v>10348451</v>
      </c>
      <c r="E293" s="115">
        <v>43949</v>
      </c>
      <c r="F293" s="114">
        <v>202101</v>
      </c>
      <c r="G293" s="112" t="s">
        <v>1091</v>
      </c>
      <c r="H293" s="112" t="s">
        <v>1015</v>
      </c>
      <c r="I293" s="112" t="s">
        <v>1101</v>
      </c>
      <c r="J293" s="112" t="s">
        <v>1191</v>
      </c>
      <c r="K293" s="112" t="s">
        <v>1098</v>
      </c>
      <c r="L293" s="116">
        <v>296.79000000000002</v>
      </c>
    </row>
    <row r="294" spans="1:12" hidden="1" outlineLevel="1" collapsed="1" x14ac:dyDescent="0.35">
      <c r="A294" s="112" t="s">
        <v>1185</v>
      </c>
      <c r="B294" s="112" t="s">
        <v>897</v>
      </c>
      <c r="C294" s="112" t="s">
        <v>1095</v>
      </c>
      <c r="D294" s="113">
        <v>10348451</v>
      </c>
      <c r="E294" s="115">
        <v>43949</v>
      </c>
      <c r="F294" s="114">
        <v>202101</v>
      </c>
      <c r="G294" s="112" t="s">
        <v>1091</v>
      </c>
      <c r="H294" s="112" t="s">
        <v>1015</v>
      </c>
      <c r="I294" s="112" t="s">
        <v>1205</v>
      </c>
      <c r="J294" s="112" t="s">
        <v>1186</v>
      </c>
      <c r="K294" s="112" t="s">
        <v>1098</v>
      </c>
      <c r="L294" s="116">
        <v>13</v>
      </c>
    </row>
    <row r="295" spans="1:12" hidden="1" outlineLevel="1" collapsed="1" x14ac:dyDescent="0.35">
      <c r="A295" s="112" t="s">
        <v>1185</v>
      </c>
      <c r="B295" s="112" t="s">
        <v>896</v>
      </c>
      <c r="C295" s="112" t="s">
        <v>1095</v>
      </c>
      <c r="D295" s="113">
        <v>10348451</v>
      </c>
      <c r="E295" s="115">
        <v>43949</v>
      </c>
      <c r="F295" s="114">
        <v>202101</v>
      </c>
      <c r="G295" s="112" t="s">
        <v>1091</v>
      </c>
      <c r="H295" s="112" t="s">
        <v>1015</v>
      </c>
      <c r="I295" s="112" t="s">
        <v>1101</v>
      </c>
      <c r="J295" s="112" t="s">
        <v>1199</v>
      </c>
      <c r="K295" s="112" t="s">
        <v>1098</v>
      </c>
      <c r="L295" s="116">
        <v>366.04</v>
      </c>
    </row>
    <row r="296" spans="1:12" hidden="1" outlineLevel="1" collapsed="1" x14ac:dyDescent="0.35">
      <c r="A296" s="112" t="s">
        <v>1185</v>
      </c>
      <c r="B296" s="112" t="s">
        <v>897</v>
      </c>
      <c r="C296" s="112" t="s">
        <v>1095</v>
      </c>
      <c r="D296" s="113">
        <v>10348451</v>
      </c>
      <c r="E296" s="115">
        <v>43949</v>
      </c>
      <c r="F296" s="114">
        <v>202101</v>
      </c>
      <c r="G296" s="112" t="s">
        <v>1091</v>
      </c>
      <c r="H296" s="112" t="s">
        <v>1015</v>
      </c>
      <c r="I296" s="112" t="s">
        <v>1096</v>
      </c>
      <c r="J296" s="112" t="s">
        <v>1203</v>
      </c>
      <c r="K296" s="112" t="s">
        <v>1098</v>
      </c>
      <c r="L296" s="116">
        <v>160.16999999999999</v>
      </c>
    </row>
    <row r="297" spans="1:12" hidden="1" outlineLevel="1" collapsed="1" x14ac:dyDescent="0.35">
      <c r="A297" s="112" t="s">
        <v>1185</v>
      </c>
      <c r="B297" s="112" t="s">
        <v>895</v>
      </c>
      <c r="C297" s="112" t="s">
        <v>1095</v>
      </c>
      <c r="D297" s="113">
        <v>10348451</v>
      </c>
      <c r="E297" s="115">
        <v>43949</v>
      </c>
      <c r="F297" s="114">
        <v>202101</v>
      </c>
      <c r="G297" s="112" t="s">
        <v>1091</v>
      </c>
      <c r="H297" s="112" t="s">
        <v>1015</v>
      </c>
      <c r="I297" s="112" t="s">
        <v>1263</v>
      </c>
      <c r="J297" s="112" t="s">
        <v>1239</v>
      </c>
      <c r="K297" s="112" t="s">
        <v>1098</v>
      </c>
      <c r="L297" s="116">
        <v>330.35</v>
      </c>
    </row>
    <row r="298" spans="1:12" hidden="1" outlineLevel="1" collapsed="1" x14ac:dyDescent="0.35">
      <c r="A298" s="112" t="s">
        <v>1185</v>
      </c>
      <c r="B298" s="112" t="s">
        <v>898</v>
      </c>
      <c r="C298" s="112" t="s">
        <v>1099</v>
      </c>
      <c r="D298" s="113">
        <v>1069286</v>
      </c>
      <c r="E298" s="115">
        <v>43917</v>
      </c>
      <c r="F298" s="114">
        <v>202101</v>
      </c>
      <c r="G298" s="112" t="s">
        <v>1091</v>
      </c>
      <c r="H298" s="112" t="s">
        <v>1015</v>
      </c>
      <c r="I298" s="112" t="s">
        <v>1264</v>
      </c>
      <c r="J298" s="112" t="s">
        <v>1213</v>
      </c>
      <c r="K298" s="112" t="s">
        <v>1265</v>
      </c>
      <c r="L298" s="116">
        <v>1491.5</v>
      </c>
    </row>
    <row r="299" spans="1:12" hidden="1" outlineLevel="1" collapsed="1" x14ac:dyDescent="0.35">
      <c r="A299" s="112" t="s">
        <v>1185</v>
      </c>
      <c r="B299" s="112" t="s">
        <v>897</v>
      </c>
      <c r="C299" s="112" t="s">
        <v>1095</v>
      </c>
      <c r="D299" s="113">
        <v>10348451</v>
      </c>
      <c r="E299" s="115">
        <v>43949</v>
      </c>
      <c r="F299" s="114">
        <v>202101</v>
      </c>
      <c r="G299" s="112" t="s">
        <v>1091</v>
      </c>
      <c r="H299" s="112" t="s">
        <v>1015</v>
      </c>
      <c r="I299" s="112" t="s">
        <v>1096</v>
      </c>
      <c r="J299" s="112" t="s">
        <v>1191</v>
      </c>
      <c r="K299" s="112" t="s">
        <v>1098</v>
      </c>
      <c r="L299" s="116">
        <v>167.31</v>
      </c>
    </row>
    <row r="300" spans="1:12" hidden="1" outlineLevel="1" collapsed="1" x14ac:dyDescent="0.35">
      <c r="A300" s="112" t="s">
        <v>1185</v>
      </c>
      <c r="B300" s="112" t="s">
        <v>896</v>
      </c>
      <c r="C300" s="112" t="s">
        <v>1095</v>
      </c>
      <c r="D300" s="113">
        <v>10348451</v>
      </c>
      <c r="E300" s="115">
        <v>43949</v>
      </c>
      <c r="F300" s="114">
        <v>202101</v>
      </c>
      <c r="G300" s="112" t="s">
        <v>1091</v>
      </c>
      <c r="H300" s="112" t="s">
        <v>1015</v>
      </c>
      <c r="I300" s="112" t="s">
        <v>1101</v>
      </c>
      <c r="J300" s="112" t="s">
        <v>1199</v>
      </c>
      <c r="K300" s="112" t="s">
        <v>1098</v>
      </c>
      <c r="L300" s="116">
        <v>329.64</v>
      </c>
    </row>
    <row r="301" spans="1:12" hidden="1" outlineLevel="1" collapsed="1" x14ac:dyDescent="0.35">
      <c r="A301" s="112" t="s">
        <v>1185</v>
      </c>
      <c r="B301" s="112" t="s">
        <v>897</v>
      </c>
      <c r="C301" s="112" t="s">
        <v>695</v>
      </c>
      <c r="D301" s="113">
        <v>10347981</v>
      </c>
      <c r="E301" s="115">
        <v>43924</v>
      </c>
      <c r="F301" s="114">
        <v>202101</v>
      </c>
      <c r="G301" s="112" t="s">
        <v>1091</v>
      </c>
      <c r="H301" s="112" t="s">
        <v>1015</v>
      </c>
      <c r="I301" s="112" t="s">
        <v>1201</v>
      </c>
      <c r="J301" s="112" t="s">
        <v>1186</v>
      </c>
      <c r="K301" s="112" t="s">
        <v>1202</v>
      </c>
      <c r="L301" s="116">
        <v>-1761.9</v>
      </c>
    </row>
    <row r="302" spans="1:12" hidden="1" outlineLevel="1" collapsed="1" x14ac:dyDescent="0.35">
      <c r="A302" s="112" t="s">
        <v>1185</v>
      </c>
      <c r="B302" s="112" t="s">
        <v>896</v>
      </c>
      <c r="C302" s="112" t="s">
        <v>1266</v>
      </c>
      <c r="D302" s="113">
        <v>1069312</v>
      </c>
      <c r="E302" s="115">
        <v>43921</v>
      </c>
      <c r="F302" s="114">
        <v>202101</v>
      </c>
      <c r="G302" s="112" t="s">
        <v>1091</v>
      </c>
      <c r="H302" s="112" t="s">
        <v>1015</v>
      </c>
      <c r="I302" s="112" t="s">
        <v>1267</v>
      </c>
      <c r="J302" s="112" t="s">
        <v>1268</v>
      </c>
      <c r="K302" s="112" t="s">
        <v>1269</v>
      </c>
      <c r="L302" s="116">
        <v>45</v>
      </c>
    </row>
    <row r="303" spans="1:12" hidden="1" outlineLevel="1" collapsed="1" x14ac:dyDescent="0.35">
      <c r="A303" s="112" t="s">
        <v>1185</v>
      </c>
      <c r="B303" s="112" t="s">
        <v>898</v>
      </c>
      <c r="C303" s="112" t="s">
        <v>1095</v>
      </c>
      <c r="D303" s="113">
        <v>10348451</v>
      </c>
      <c r="E303" s="115">
        <v>43949</v>
      </c>
      <c r="F303" s="114">
        <v>202101</v>
      </c>
      <c r="G303" s="112" t="s">
        <v>1091</v>
      </c>
      <c r="H303" s="112" t="s">
        <v>1015</v>
      </c>
      <c r="I303" s="112" t="s">
        <v>1101</v>
      </c>
      <c r="J303" s="112" t="s">
        <v>1197</v>
      </c>
      <c r="K303" s="112" t="s">
        <v>1098</v>
      </c>
      <c r="L303" s="116">
        <v>222.56</v>
      </c>
    </row>
    <row r="304" spans="1:12" hidden="1" outlineLevel="1" collapsed="1" x14ac:dyDescent="0.35">
      <c r="A304" s="112" t="s">
        <v>1185</v>
      </c>
      <c r="B304" s="112" t="s">
        <v>896</v>
      </c>
      <c r="C304" s="112" t="s">
        <v>1095</v>
      </c>
      <c r="D304" s="113">
        <v>10348451</v>
      </c>
      <c r="E304" s="115">
        <v>43949</v>
      </c>
      <c r="F304" s="114">
        <v>202101</v>
      </c>
      <c r="G304" s="112" t="s">
        <v>1091</v>
      </c>
      <c r="H304" s="112" t="s">
        <v>1015</v>
      </c>
      <c r="I304" s="112" t="s">
        <v>1101</v>
      </c>
      <c r="J304" s="112" t="s">
        <v>1199</v>
      </c>
      <c r="K304" s="112" t="s">
        <v>1098</v>
      </c>
      <c r="L304" s="116">
        <v>426.26</v>
      </c>
    </row>
    <row r="305" spans="1:12" hidden="1" outlineLevel="1" collapsed="1" x14ac:dyDescent="0.35">
      <c r="A305" s="112" t="s">
        <v>1185</v>
      </c>
      <c r="B305" s="112" t="s">
        <v>896</v>
      </c>
      <c r="C305" s="112" t="s">
        <v>1095</v>
      </c>
      <c r="D305" s="113">
        <v>10348451</v>
      </c>
      <c r="E305" s="115">
        <v>43949</v>
      </c>
      <c r="F305" s="114">
        <v>202101</v>
      </c>
      <c r="G305" s="112" t="s">
        <v>1091</v>
      </c>
      <c r="H305" s="112" t="s">
        <v>1015</v>
      </c>
      <c r="I305" s="112" t="s">
        <v>1101</v>
      </c>
      <c r="J305" s="112" t="s">
        <v>1199</v>
      </c>
      <c r="K305" s="112" t="s">
        <v>1098</v>
      </c>
      <c r="L305" s="116">
        <v>602.15</v>
      </c>
    </row>
    <row r="306" spans="1:12" hidden="1" outlineLevel="1" collapsed="1" x14ac:dyDescent="0.35">
      <c r="A306" s="112" t="s">
        <v>1185</v>
      </c>
      <c r="B306" s="112" t="s">
        <v>897</v>
      </c>
      <c r="C306" s="112" t="s">
        <v>1095</v>
      </c>
      <c r="D306" s="113">
        <v>10348451</v>
      </c>
      <c r="E306" s="115">
        <v>43949</v>
      </c>
      <c r="F306" s="114">
        <v>202101</v>
      </c>
      <c r="G306" s="112" t="s">
        <v>1091</v>
      </c>
      <c r="H306" s="112" t="s">
        <v>1015</v>
      </c>
      <c r="I306" s="112" t="s">
        <v>1101</v>
      </c>
      <c r="J306" s="112" t="s">
        <v>1191</v>
      </c>
      <c r="K306" s="112" t="s">
        <v>1098</v>
      </c>
      <c r="L306" s="116">
        <v>157.5</v>
      </c>
    </row>
    <row r="307" spans="1:12" hidden="1" outlineLevel="1" collapsed="1" x14ac:dyDescent="0.35">
      <c r="A307" s="112" t="s">
        <v>1185</v>
      </c>
      <c r="B307" s="112" t="s">
        <v>896</v>
      </c>
      <c r="C307" s="112" t="s">
        <v>1099</v>
      </c>
      <c r="D307" s="113">
        <v>1069341</v>
      </c>
      <c r="E307" s="115">
        <v>43903</v>
      </c>
      <c r="F307" s="114">
        <v>202101</v>
      </c>
      <c r="G307" s="112" t="s">
        <v>1091</v>
      </c>
      <c r="H307" s="112" t="s">
        <v>1015</v>
      </c>
      <c r="I307" s="112" t="s">
        <v>769</v>
      </c>
      <c r="J307" s="112" t="s">
        <v>1188</v>
      </c>
      <c r="K307" s="112" t="s">
        <v>1270</v>
      </c>
      <c r="L307" s="116">
        <v>1432.2</v>
      </c>
    </row>
    <row r="308" spans="1:12" hidden="1" outlineLevel="1" collapsed="1" x14ac:dyDescent="0.35">
      <c r="A308" s="112" t="s">
        <v>1185</v>
      </c>
      <c r="B308" s="112" t="s">
        <v>895</v>
      </c>
      <c r="C308" s="112" t="s">
        <v>695</v>
      </c>
      <c r="D308" s="113">
        <v>10347981</v>
      </c>
      <c r="E308" s="115">
        <v>43924</v>
      </c>
      <c r="F308" s="114">
        <v>202101</v>
      </c>
      <c r="G308" s="112" t="s">
        <v>1091</v>
      </c>
      <c r="H308" s="112" t="s">
        <v>1015</v>
      </c>
      <c r="I308" s="112" t="s">
        <v>1271</v>
      </c>
      <c r="J308" s="112" t="s">
        <v>1272</v>
      </c>
      <c r="K308" s="112" t="s">
        <v>1273</v>
      </c>
      <c r="L308" s="116">
        <v>-100</v>
      </c>
    </row>
    <row r="309" spans="1:12" hidden="1" outlineLevel="1" collapsed="1" x14ac:dyDescent="0.35">
      <c r="A309" s="112" t="s">
        <v>1185</v>
      </c>
      <c r="B309" s="112" t="s">
        <v>897</v>
      </c>
      <c r="C309" s="112" t="s">
        <v>1095</v>
      </c>
      <c r="D309" s="113">
        <v>10348451</v>
      </c>
      <c r="E309" s="115">
        <v>43949</v>
      </c>
      <c r="F309" s="114">
        <v>202101</v>
      </c>
      <c r="G309" s="112" t="s">
        <v>1091</v>
      </c>
      <c r="H309" s="112" t="s">
        <v>1015</v>
      </c>
      <c r="I309" s="112" t="s">
        <v>1101</v>
      </c>
      <c r="J309" s="112" t="s">
        <v>1203</v>
      </c>
      <c r="K309" s="112" t="s">
        <v>1098</v>
      </c>
      <c r="L309" s="116">
        <v>366.04</v>
      </c>
    </row>
    <row r="310" spans="1:12" hidden="1" outlineLevel="1" collapsed="1" x14ac:dyDescent="0.35">
      <c r="A310" s="112" t="s">
        <v>1185</v>
      </c>
      <c r="B310" s="112" t="s">
        <v>897</v>
      </c>
      <c r="C310" s="112" t="s">
        <v>1095</v>
      </c>
      <c r="D310" s="113">
        <v>10348451</v>
      </c>
      <c r="E310" s="115">
        <v>43949</v>
      </c>
      <c r="F310" s="114">
        <v>202101</v>
      </c>
      <c r="G310" s="112" t="s">
        <v>1091</v>
      </c>
      <c r="H310" s="112" t="s">
        <v>1015</v>
      </c>
      <c r="I310" s="112" t="s">
        <v>1101</v>
      </c>
      <c r="J310" s="112" t="s">
        <v>1191</v>
      </c>
      <c r="K310" s="112" t="s">
        <v>1098</v>
      </c>
      <c r="L310" s="116">
        <v>268.42</v>
      </c>
    </row>
    <row r="311" spans="1:12" hidden="1" outlineLevel="1" collapsed="1" x14ac:dyDescent="0.35">
      <c r="A311" s="112" t="s">
        <v>1185</v>
      </c>
      <c r="B311" s="112" t="s">
        <v>898</v>
      </c>
      <c r="C311" s="112" t="s">
        <v>695</v>
      </c>
      <c r="D311" s="113">
        <v>10347981</v>
      </c>
      <c r="E311" s="115">
        <v>43924</v>
      </c>
      <c r="F311" s="114">
        <v>202101</v>
      </c>
      <c r="G311" s="112" t="s">
        <v>1091</v>
      </c>
      <c r="H311" s="112" t="s">
        <v>1015</v>
      </c>
      <c r="I311" s="112" t="s">
        <v>763</v>
      </c>
      <c r="J311" s="112" t="s">
        <v>1213</v>
      </c>
      <c r="K311" s="112" t="s">
        <v>1274</v>
      </c>
      <c r="L311" s="116">
        <v>-8075</v>
      </c>
    </row>
    <row r="312" spans="1:12" hidden="1" outlineLevel="1" collapsed="1" x14ac:dyDescent="0.35">
      <c r="A312" s="112" t="s">
        <v>1185</v>
      </c>
      <c r="B312" s="112" t="s">
        <v>897</v>
      </c>
      <c r="C312" s="112" t="s">
        <v>1095</v>
      </c>
      <c r="D312" s="113">
        <v>10348451</v>
      </c>
      <c r="E312" s="115">
        <v>43949</v>
      </c>
      <c r="F312" s="114">
        <v>202101</v>
      </c>
      <c r="G312" s="112" t="s">
        <v>1091</v>
      </c>
      <c r="H312" s="112" t="s">
        <v>1015</v>
      </c>
      <c r="I312" s="112" t="s">
        <v>1096</v>
      </c>
      <c r="J312" s="112" t="s">
        <v>1191</v>
      </c>
      <c r="K312" s="112" t="s">
        <v>1098</v>
      </c>
      <c r="L312" s="116">
        <v>127.64</v>
      </c>
    </row>
    <row r="313" spans="1:12" hidden="1" outlineLevel="1" collapsed="1" x14ac:dyDescent="0.35">
      <c r="A313" s="112" t="s">
        <v>1185</v>
      </c>
      <c r="B313" s="112" t="s">
        <v>897</v>
      </c>
      <c r="C313" s="112" t="s">
        <v>1095</v>
      </c>
      <c r="D313" s="113">
        <v>10348451</v>
      </c>
      <c r="E313" s="115">
        <v>43949</v>
      </c>
      <c r="F313" s="114">
        <v>202101</v>
      </c>
      <c r="G313" s="112" t="s">
        <v>1091</v>
      </c>
      <c r="H313" s="112" t="s">
        <v>1015</v>
      </c>
      <c r="I313" s="112" t="s">
        <v>1096</v>
      </c>
      <c r="J313" s="112" t="s">
        <v>1191</v>
      </c>
      <c r="K313" s="112" t="s">
        <v>1098</v>
      </c>
      <c r="L313" s="116">
        <v>252.23</v>
      </c>
    </row>
    <row r="314" spans="1:12" hidden="1" outlineLevel="1" collapsed="1" x14ac:dyDescent="0.35">
      <c r="A314" s="112" t="s">
        <v>1185</v>
      </c>
      <c r="B314" s="112" t="s">
        <v>897</v>
      </c>
      <c r="C314" s="112" t="s">
        <v>1095</v>
      </c>
      <c r="D314" s="113">
        <v>10348451</v>
      </c>
      <c r="E314" s="115">
        <v>43949</v>
      </c>
      <c r="F314" s="114">
        <v>202101</v>
      </c>
      <c r="G314" s="112" t="s">
        <v>1091</v>
      </c>
      <c r="H314" s="112" t="s">
        <v>1015</v>
      </c>
      <c r="I314" s="112" t="s">
        <v>1096</v>
      </c>
      <c r="J314" s="112" t="s">
        <v>1191</v>
      </c>
      <c r="K314" s="112" t="s">
        <v>1098</v>
      </c>
      <c r="L314" s="116">
        <v>167.31</v>
      </c>
    </row>
    <row r="315" spans="1:12" hidden="1" outlineLevel="1" collapsed="1" x14ac:dyDescent="0.35">
      <c r="A315" s="112" t="s">
        <v>1185</v>
      </c>
      <c r="B315" s="112" t="s">
        <v>898</v>
      </c>
      <c r="C315" s="112" t="s">
        <v>1095</v>
      </c>
      <c r="D315" s="113">
        <v>10348451</v>
      </c>
      <c r="E315" s="115">
        <v>43949</v>
      </c>
      <c r="F315" s="114">
        <v>202101</v>
      </c>
      <c r="G315" s="112" t="s">
        <v>1091</v>
      </c>
      <c r="H315" s="112" t="s">
        <v>1015</v>
      </c>
      <c r="I315" s="112" t="s">
        <v>1096</v>
      </c>
      <c r="J315" s="112" t="s">
        <v>1213</v>
      </c>
      <c r="K315" s="112" t="s">
        <v>1098</v>
      </c>
      <c r="L315" s="116">
        <v>210.79</v>
      </c>
    </row>
    <row r="316" spans="1:12" hidden="1" outlineLevel="1" collapsed="1" x14ac:dyDescent="0.35">
      <c r="A316" s="112" t="s">
        <v>1185</v>
      </c>
      <c r="B316" s="112" t="s">
        <v>898</v>
      </c>
      <c r="C316" s="112" t="s">
        <v>695</v>
      </c>
      <c r="D316" s="113">
        <v>10347981</v>
      </c>
      <c r="E316" s="115">
        <v>43924</v>
      </c>
      <c r="F316" s="114">
        <v>202101</v>
      </c>
      <c r="G316" s="112" t="s">
        <v>1091</v>
      </c>
      <c r="H316" s="112" t="s">
        <v>1015</v>
      </c>
      <c r="I316" s="112" t="s">
        <v>1264</v>
      </c>
      <c r="J316" s="112" t="s">
        <v>1213</v>
      </c>
      <c r="K316" s="112" t="s">
        <v>1275</v>
      </c>
      <c r="L316" s="116">
        <v>-1485.25</v>
      </c>
    </row>
    <row r="317" spans="1:12" hidden="1" outlineLevel="1" collapsed="1" x14ac:dyDescent="0.35">
      <c r="A317" s="112" t="s">
        <v>1185</v>
      </c>
      <c r="B317" s="112" t="s">
        <v>1192</v>
      </c>
      <c r="C317" s="112" t="s">
        <v>695</v>
      </c>
      <c r="D317" s="113">
        <v>10347981</v>
      </c>
      <c r="E317" s="115">
        <v>43924</v>
      </c>
      <c r="F317" s="114">
        <v>202101</v>
      </c>
      <c r="G317" s="112" t="s">
        <v>1091</v>
      </c>
      <c r="H317" s="112" t="s">
        <v>1015</v>
      </c>
      <c r="I317" s="112" t="s">
        <v>767</v>
      </c>
      <c r="J317" s="112" t="s">
        <v>1198</v>
      </c>
      <c r="K317" s="112" t="s">
        <v>1276</v>
      </c>
      <c r="L317" s="116">
        <v>-41.04</v>
      </c>
    </row>
    <row r="318" spans="1:12" hidden="1" outlineLevel="1" collapsed="1" x14ac:dyDescent="0.35">
      <c r="A318" s="112" t="s">
        <v>1185</v>
      </c>
      <c r="B318" s="112" t="s">
        <v>898</v>
      </c>
      <c r="C318" s="112" t="s">
        <v>1095</v>
      </c>
      <c r="D318" s="113">
        <v>10348451</v>
      </c>
      <c r="E318" s="115">
        <v>43949</v>
      </c>
      <c r="F318" s="114">
        <v>202101</v>
      </c>
      <c r="G318" s="112" t="s">
        <v>1091</v>
      </c>
      <c r="H318" s="112" t="s">
        <v>1015</v>
      </c>
      <c r="I318" s="112" t="s">
        <v>1205</v>
      </c>
      <c r="J318" s="112" t="s">
        <v>1230</v>
      </c>
      <c r="K318" s="112" t="s">
        <v>1098</v>
      </c>
      <c r="L318" s="116">
        <v>975.88</v>
      </c>
    </row>
    <row r="319" spans="1:12" hidden="1" outlineLevel="1" collapsed="1" x14ac:dyDescent="0.35">
      <c r="A319" s="112" t="s">
        <v>1185</v>
      </c>
      <c r="B319" s="112" t="s">
        <v>897</v>
      </c>
      <c r="C319" s="112" t="s">
        <v>695</v>
      </c>
      <c r="D319" s="113">
        <v>10347981</v>
      </c>
      <c r="E319" s="115">
        <v>43924</v>
      </c>
      <c r="F319" s="114">
        <v>202101</v>
      </c>
      <c r="G319" s="112" t="s">
        <v>1091</v>
      </c>
      <c r="H319" s="112" t="s">
        <v>1015</v>
      </c>
      <c r="I319" s="112" t="s">
        <v>1277</v>
      </c>
      <c r="J319" s="112" t="s">
        <v>1186</v>
      </c>
      <c r="K319" s="112" t="s">
        <v>1278</v>
      </c>
      <c r="L319" s="116">
        <v>-42.92</v>
      </c>
    </row>
    <row r="320" spans="1:12" hidden="1" outlineLevel="1" collapsed="1" x14ac:dyDescent="0.35">
      <c r="A320" s="112" t="s">
        <v>1185</v>
      </c>
      <c r="B320" s="112" t="s">
        <v>897</v>
      </c>
      <c r="C320" s="112" t="s">
        <v>1095</v>
      </c>
      <c r="D320" s="113">
        <v>10348451</v>
      </c>
      <c r="E320" s="115">
        <v>43949</v>
      </c>
      <c r="F320" s="114">
        <v>202101</v>
      </c>
      <c r="G320" s="112" t="s">
        <v>1091</v>
      </c>
      <c r="H320" s="112" t="s">
        <v>1015</v>
      </c>
      <c r="I320" s="112" t="s">
        <v>1128</v>
      </c>
      <c r="J320" s="112" t="s">
        <v>1191</v>
      </c>
      <c r="K320" s="112" t="s">
        <v>1098</v>
      </c>
      <c r="L320" s="116">
        <v>243</v>
      </c>
    </row>
    <row r="321" spans="1:12" hidden="1" outlineLevel="1" collapsed="1" x14ac:dyDescent="0.35">
      <c r="A321" s="112" t="s">
        <v>1185</v>
      </c>
      <c r="B321" s="112" t="s">
        <v>896</v>
      </c>
      <c r="C321" s="112" t="s">
        <v>695</v>
      </c>
      <c r="D321" s="113">
        <v>10347981</v>
      </c>
      <c r="E321" s="115">
        <v>43924</v>
      </c>
      <c r="F321" s="114">
        <v>202101</v>
      </c>
      <c r="G321" s="112" t="s">
        <v>1091</v>
      </c>
      <c r="H321" s="112" t="s">
        <v>1015</v>
      </c>
      <c r="I321" s="112" t="s">
        <v>767</v>
      </c>
      <c r="J321" s="112" t="s">
        <v>1195</v>
      </c>
      <c r="K321" s="112" t="s">
        <v>1252</v>
      </c>
      <c r="L321" s="116">
        <v>-276</v>
      </c>
    </row>
    <row r="322" spans="1:12" hidden="1" outlineLevel="1" collapsed="1" x14ac:dyDescent="0.35">
      <c r="A322" s="112" t="s">
        <v>1185</v>
      </c>
      <c r="B322" s="112" t="s">
        <v>898</v>
      </c>
      <c r="C322" s="112" t="s">
        <v>1095</v>
      </c>
      <c r="D322" s="113">
        <v>10348451</v>
      </c>
      <c r="E322" s="115">
        <v>43949</v>
      </c>
      <c r="F322" s="114">
        <v>202101</v>
      </c>
      <c r="G322" s="112" t="s">
        <v>1091</v>
      </c>
      <c r="H322" s="112" t="s">
        <v>1015</v>
      </c>
      <c r="I322" s="112" t="s">
        <v>1101</v>
      </c>
      <c r="J322" s="112" t="s">
        <v>1230</v>
      </c>
      <c r="K322" s="112" t="s">
        <v>1098</v>
      </c>
      <c r="L322" s="116">
        <v>569.6</v>
      </c>
    </row>
    <row r="323" spans="1:12" hidden="1" outlineLevel="1" collapsed="1" x14ac:dyDescent="0.35">
      <c r="A323" s="112" t="s">
        <v>1185</v>
      </c>
      <c r="B323" s="112" t="s">
        <v>897</v>
      </c>
      <c r="C323" s="112" t="s">
        <v>1095</v>
      </c>
      <c r="D323" s="113">
        <v>10348451</v>
      </c>
      <c r="E323" s="115">
        <v>43949</v>
      </c>
      <c r="F323" s="114">
        <v>202101</v>
      </c>
      <c r="G323" s="112" t="s">
        <v>1091</v>
      </c>
      <c r="H323" s="112" t="s">
        <v>1015</v>
      </c>
      <c r="I323" s="112" t="s">
        <v>1096</v>
      </c>
      <c r="J323" s="112" t="s">
        <v>1191</v>
      </c>
      <c r="K323" s="112" t="s">
        <v>1098</v>
      </c>
      <c r="L323" s="116">
        <v>127.64</v>
      </c>
    </row>
    <row r="324" spans="1:12" hidden="1" outlineLevel="1" collapsed="1" x14ac:dyDescent="0.35">
      <c r="A324" s="112" t="s">
        <v>1185</v>
      </c>
      <c r="B324" s="112" t="s">
        <v>897</v>
      </c>
      <c r="C324" s="112" t="s">
        <v>1095</v>
      </c>
      <c r="D324" s="113">
        <v>10348451</v>
      </c>
      <c r="E324" s="115">
        <v>43949</v>
      </c>
      <c r="F324" s="114">
        <v>202101</v>
      </c>
      <c r="G324" s="112" t="s">
        <v>1091</v>
      </c>
      <c r="H324" s="112" t="s">
        <v>1015</v>
      </c>
      <c r="I324" s="112" t="s">
        <v>1096</v>
      </c>
      <c r="J324" s="112" t="s">
        <v>1191</v>
      </c>
      <c r="K324" s="112" t="s">
        <v>1098</v>
      </c>
      <c r="L324" s="116">
        <v>33.15</v>
      </c>
    </row>
    <row r="325" spans="1:12" hidden="1" outlineLevel="1" collapsed="1" x14ac:dyDescent="0.35">
      <c r="A325" s="112" t="s">
        <v>1185</v>
      </c>
      <c r="B325" s="112" t="s">
        <v>897</v>
      </c>
      <c r="C325" s="112" t="s">
        <v>1095</v>
      </c>
      <c r="D325" s="113">
        <v>10348451</v>
      </c>
      <c r="E325" s="115">
        <v>43949</v>
      </c>
      <c r="F325" s="114">
        <v>202101</v>
      </c>
      <c r="G325" s="112" t="s">
        <v>1091</v>
      </c>
      <c r="H325" s="112" t="s">
        <v>1015</v>
      </c>
      <c r="I325" s="112" t="s">
        <v>1096</v>
      </c>
      <c r="J325" s="112" t="s">
        <v>1191</v>
      </c>
      <c r="K325" s="112" t="s">
        <v>1098</v>
      </c>
      <c r="L325" s="116">
        <v>167.31</v>
      </c>
    </row>
    <row r="326" spans="1:12" hidden="1" outlineLevel="1" collapsed="1" x14ac:dyDescent="0.35">
      <c r="A326" s="112" t="s">
        <v>1185</v>
      </c>
      <c r="B326" s="112" t="s">
        <v>897</v>
      </c>
      <c r="C326" s="112" t="s">
        <v>1095</v>
      </c>
      <c r="D326" s="113">
        <v>10348451</v>
      </c>
      <c r="E326" s="115">
        <v>43949</v>
      </c>
      <c r="F326" s="114">
        <v>202101</v>
      </c>
      <c r="G326" s="112" t="s">
        <v>1091</v>
      </c>
      <c r="H326" s="112" t="s">
        <v>1015</v>
      </c>
      <c r="I326" s="112" t="s">
        <v>1096</v>
      </c>
      <c r="J326" s="112" t="s">
        <v>1191</v>
      </c>
      <c r="K326" s="112" t="s">
        <v>1098</v>
      </c>
      <c r="L326" s="116">
        <v>167.31</v>
      </c>
    </row>
    <row r="327" spans="1:12" hidden="1" outlineLevel="1" collapsed="1" x14ac:dyDescent="0.35">
      <c r="A327" s="112" t="s">
        <v>1185</v>
      </c>
      <c r="B327" s="112" t="s">
        <v>897</v>
      </c>
      <c r="C327" s="112" t="s">
        <v>1095</v>
      </c>
      <c r="D327" s="113">
        <v>10348451</v>
      </c>
      <c r="E327" s="115">
        <v>43949</v>
      </c>
      <c r="F327" s="114">
        <v>202101</v>
      </c>
      <c r="G327" s="112" t="s">
        <v>1091</v>
      </c>
      <c r="H327" s="112" t="s">
        <v>1015</v>
      </c>
      <c r="I327" s="112" t="s">
        <v>1096</v>
      </c>
      <c r="J327" s="112" t="s">
        <v>1191</v>
      </c>
      <c r="K327" s="112" t="s">
        <v>1098</v>
      </c>
      <c r="L327" s="116">
        <v>210.79</v>
      </c>
    </row>
    <row r="328" spans="1:12" hidden="1" outlineLevel="1" collapsed="1" x14ac:dyDescent="0.35">
      <c r="A328" s="112" t="s">
        <v>1185</v>
      </c>
      <c r="B328" s="112" t="s">
        <v>897</v>
      </c>
      <c r="C328" s="112" t="s">
        <v>1095</v>
      </c>
      <c r="D328" s="113">
        <v>10348451</v>
      </c>
      <c r="E328" s="115">
        <v>43949</v>
      </c>
      <c r="F328" s="114">
        <v>202101</v>
      </c>
      <c r="G328" s="112" t="s">
        <v>1091</v>
      </c>
      <c r="H328" s="112" t="s">
        <v>1015</v>
      </c>
      <c r="I328" s="112" t="s">
        <v>1096</v>
      </c>
      <c r="J328" s="112" t="s">
        <v>1191</v>
      </c>
      <c r="K328" s="112" t="s">
        <v>1098</v>
      </c>
      <c r="L328" s="116">
        <v>116.55</v>
      </c>
    </row>
    <row r="329" spans="1:12" hidden="1" outlineLevel="1" collapsed="1" x14ac:dyDescent="0.35">
      <c r="A329" s="112" t="s">
        <v>1185</v>
      </c>
      <c r="B329" s="112" t="s">
        <v>897</v>
      </c>
      <c r="C329" s="112" t="s">
        <v>1095</v>
      </c>
      <c r="D329" s="113">
        <v>10348451</v>
      </c>
      <c r="E329" s="115">
        <v>43949</v>
      </c>
      <c r="F329" s="114">
        <v>202101</v>
      </c>
      <c r="G329" s="112" t="s">
        <v>1091</v>
      </c>
      <c r="H329" s="112" t="s">
        <v>1015</v>
      </c>
      <c r="I329" s="112" t="s">
        <v>1096</v>
      </c>
      <c r="J329" s="112" t="s">
        <v>1191</v>
      </c>
      <c r="K329" s="112" t="s">
        <v>1098</v>
      </c>
      <c r="L329" s="116">
        <v>262.10000000000002</v>
      </c>
    </row>
    <row r="330" spans="1:12" hidden="1" outlineLevel="1" collapsed="1" x14ac:dyDescent="0.35">
      <c r="A330" s="112" t="s">
        <v>1185</v>
      </c>
      <c r="B330" s="112" t="s">
        <v>897</v>
      </c>
      <c r="C330" s="112" t="s">
        <v>1095</v>
      </c>
      <c r="D330" s="113">
        <v>10348451</v>
      </c>
      <c r="E330" s="115">
        <v>43949</v>
      </c>
      <c r="F330" s="114">
        <v>202101</v>
      </c>
      <c r="G330" s="112" t="s">
        <v>1091</v>
      </c>
      <c r="H330" s="112" t="s">
        <v>1015</v>
      </c>
      <c r="I330" s="112" t="s">
        <v>1096</v>
      </c>
      <c r="J330" s="112" t="s">
        <v>1191</v>
      </c>
      <c r="K330" s="112" t="s">
        <v>1098</v>
      </c>
      <c r="L330" s="116">
        <v>263.89</v>
      </c>
    </row>
    <row r="331" spans="1:12" hidden="1" outlineLevel="1" collapsed="1" x14ac:dyDescent="0.35">
      <c r="A331" s="112" t="s">
        <v>1185</v>
      </c>
      <c r="B331" s="112" t="s">
        <v>897</v>
      </c>
      <c r="C331" s="112" t="s">
        <v>1095</v>
      </c>
      <c r="D331" s="113">
        <v>10348451</v>
      </c>
      <c r="E331" s="115">
        <v>43949</v>
      </c>
      <c r="F331" s="114">
        <v>202101</v>
      </c>
      <c r="G331" s="112" t="s">
        <v>1091</v>
      </c>
      <c r="H331" s="112" t="s">
        <v>1015</v>
      </c>
      <c r="I331" s="112" t="s">
        <v>1096</v>
      </c>
      <c r="J331" s="112" t="s">
        <v>1191</v>
      </c>
      <c r="K331" s="112" t="s">
        <v>1098</v>
      </c>
      <c r="L331" s="116">
        <v>129.68</v>
      </c>
    </row>
    <row r="332" spans="1:12" hidden="1" outlineLevel="1" collapsed="1" x14ac:dyDescent="0.35">
      <c r="A332" s="112" t="s">
        <v>1185</v>
      </c>
      <c r="B332" s="112" t="s">
        <v>897</v>
      </c>
      <c r="C332" s="112" t="s">
        <v>1095</v>
      </c>
      <c r="D332" s="113">
        <v>10348451</v>
      </c>
      <c r="E332" s="115">
        <v>43949</v>
      </c>
      <c r="F332" s="114">
        <v>202101</v>
      </c>
      <c r="G332" s="112" t="s">
        <v>1091</v>
      </c>
      <c r="H332" s="112" t="s">
        <v>1015</v>
      </c>
      <c r="I332" s="112" t="s">
        <v>1096</v>
      </c>
      <c r="J332" s="112" t="s">
        <v>1191</v>
      </c>
      <c r="K332" s="112" t="s">
        <v>1098</v>
      </c>
      <c r="L332" s="116">
        <v>210.79</v>
      </c>
    </row>
    <row r="333" spans="1:12" hidden="1" outlineLevel="1" collapsed="1" x14ac:dyDescent="0.35">
      <c r="A333" s="112" t="s">
        <v>1185</v>
      </c>
      <c r="B333" s="112" t="s">
        <v>897</v>
      </c>
      <c r="C333" s="112" t="s">
        <v>1095</v>
      </c>
      <c r="D333" s="113">
        <v>10348451</v>
      </c>
      <c r="E333" s="115">
        <v>43949</v>
      </c>
      <c r="F333" s="114">
        <v>202101</v>
      </c>
      <c r="G333" s="112" t="s">
        <v>1091</v>
      </c>
      <c r="H333" s="112" t="s">
        <v>1015</v>
      </c>
      <c r="I333" s="112" t="s">
        <v>1096</v>
      </c>
      <c r="J333" s="112" t="s">
        <v>1191</v>
      </c>
      <c r="K333" s="112" t="s">
        <v>1098</v>
      </c>
      <c r="L333" s="116">
        <v>167.31</v>
      </c>
    </row>
    <row r="334" spans="1:12" hidden="1" outlineLevel="1" collapsed="1" x14ac:dyDescent="0.35">
      <c r="A334" s="112" t="s">
        <v>1185</v>
      </c>
      <c r="B334" s="112" t="s">
        <v>897</v>
      </c>
      <c r="C334" s="112" t="s">
        <v>1095</v>
      </c>
      <c r="D334" s="113">
        <v>10348451</v>
      </c>
      <c r="E334" s="115">
        <v>43949</v>
      </c>
      <c r="F334" s="114">
        <v>202101</v>
      </c>
      <c r="G334" s="112" t="s">
        <v>1091</v>
      </c>
      <c r="H334" s="112" t="s">
        <v>1015</v>
      </c>
      <c r="I334" s="112" t="s">
        <v>1096</v>
      </c>
      <c r="J334" s="112" t="s">
        <v>1191</v>
      </c>
      <c r="K334" s="112" t="s">
        <v>1098</v>
      </c>
      <c r="L334" s="116">
        <v>262.10000000000002</v>
      </c>
    </row>
    <row r="335" spans="1:12" hidden="1" outlineLevel="1" collapsed="1" x14ac:dyDescent="0.35">
      <c r="A335" s="112" t="s">
        <v>1185</v>
      </c>
      <c r="B335" s="112" t="s">
        <v>897</v>
      </c>
      <c r="C335" s="112" t="s">
        <v>1095</v>
      </c>
      <c r="D335" s="113">
        <v>10348451</v>
      </c>
      <c r="E335" s="115">
        <v>43949</v>
      </c>
      <c r="F335" s="114">
        <v>202101</v>
      </c>
      <c r="G335" s="112" t="s">
        <v>1091</v>
      </c>
      <c r="H335" s="112" t="s">
        <v>1015</v>
      </c>
      <c r="I335" s="112" t="s">
        <v>1096</v>
      </c>
      <c r="J335" s="112" t="s">
        <v>1191</v>
      </c>
      <c r="K335" s="112" t="s">
        <v>1098</v>
      </c>
      <c r="L335" s="116">
        <v>59.98</v>
      </c>
    </row>
    <row r="336" spans="1:12" hidden="1" outlineLevel="1" collapsed="1" x14ac:dyDescent="0.35">
      <c r="A336" s="112" t="s">
        <v>1185</v>
      </c>
      <c r="B336" s="112" t="s">
        <v>897</v>
      </c>
      <c r="C336" s="112" t="s">
        <v>1095</v>
      </c>
      <c r="D336" s="113">
        <v>10348451</v>
      </c>
      <c r="E336" s="115">
        <v>43949</v>
      </c>
      <c r="F336" s="114">
        <v>202101</v>
      </c>
      <c r="G336" s="112" t="s">
        <v>1091</v>
      </c>
      <c r="H336" s="112" t="s">
        <v>1015</v>
      </c>
      <c r="I336" s="112" t="s">
        <v>1096</v>
      </c>
      <c r="J336" s="112" t="s">
        <v>1191</v>
      </c>
      <c r="K336" s="112" t="s">
        <v>1098</v>
      </c>
      <c r="L336" s="116">
        <v>140.19</v>
      </c>
    </row>
    <row r="337" spans="1:12" hidden="1" outlineLevel="1" collapsed="1" x14ac:dyDescent="0.35">
      <c r="A337" s="112" t="s">
        <v>1185</v>
      </c>
      <c r="B337" s="112" t="s">
        <v>897</v>
      </c>
      <c r="C337" s="112" t="s">
        <v>1095</v>
      </c>
      <c r="D337" s="113">
        <v>10348451</v>
      </c>
      <c r="E337" s="115">
        <v>43949</v>
      </c>
      <c r="F337" s="114">
        <v>202101</v>
      </c>
      <c r="G337" s="112" t="s">
        <v>1091</v>
      </c>
      <c r="H337" s="112" t="s">
        <v>1015</v>
      </c>
      <c r="I337" s="112" t="s">
        <v>1096</v>
      </c>
      <c r="J337" s="112" t="s">
        <v>1191</v>
      </c>
      <c r="K337" s="112" t="s">
        <v>1098</v>
      </c>
      <c r="L337" s="116">
        <v>40.17</v>
      </c>
    </row>
    <row r="338" spans="1:12" hidden="1" outlineLevel="1" collapsed="1" x14ac:dyDescent="0.35">
      <c r="A338" s="112" t="s">
        <v>1185</v>
      </c>
      <c r="B338" s="112" t="s">
        <v>897</v>
      </c>
      <c r="C338" s="112" t="s">
        <v>1095</v>
      </c>
      <c r="D338" s="113">
        <v>10348451</v>
      </c>
      <c r="E338" s="115">
        <v>43949</v>
      </c>
      <c r="F338" s="114">
        <v>202101</v>
      </c>
      <c r="G338" s="112" t="s">
        <v>1091</v>
      </c>
      <c r="H338" s="112" t="s">
        <v>1015</v>
      </c>
      <c r="I338" s="112" t="s">
        <v>1096</v>
      </c>
      <c r="J338" s="112" t="s">
        <v>1191</v>
      </c>
      <c r="K338" s="112" t="s">
        <v>1098</v>
      </c>
      <c r="L338" s="116">
        <v>61.94</v>
      </c>
    </row>
    <row r="339" spans="1:12" hidden="1" outlineLevel="1" collapsed="1" x14ac:dyDescent="0.35">
      <c r="A339" s="112" t="s">
        <v>1185</v>
      </c>
      <c r="B339" s="112" t="s">
        <v>897</v>
      </c>
      <c r="C339" s="112" t="s">
        <v>1095</v>
      </c>
      <c r="D339" s="113">
        <v>10348451</v>
      </c>
      <c r="E339" s="115">
        <v>43949</v>
      </c>
      <c r="F339" s="114">
        <v>202101</v>
      </c>
      <c r="G339" s="112" t="s">
        <v>1091</v>
      </c>
      <c r="H339" s="112" t="s">
        <v>1015</v>
      </c>
      <c r="I339" s="112" t="s">
        <v>1096</v>
      </c>
      <c r="J339" s="112" t="s">
        <v>1191</v>
      </c>
      <c r="K339" s="112" t="s">
        <v>1098</v>
      </c>
      <c r="L339" s="116">
        <v>129.68</v>
      </c>
    </row>
    <row r="340" spans="1:12" hidden="1" outlineLevel="1" collapsed="1" x14ac:dyDescent="0.35">
      <c r="A340" s="112" t="s">
        <v>1185</v>
      </c>
      <c r="B340" s="112" t="s">
        <v>897</v>
      </c>
      <c r="C340" s="112" t="s">
        <v>1095</v>
      </c>
      <c r="D340" s="113">
        <v>10348451</v>
      </c>
      <c r="E340" s="115">
        <v>43949</v>
      </c>
      <c r="F340" s="114">
        <v>202101</v>
      </c>
      <c r="G340" s="112" t="s">
        <v>1091</v>
      </c>
      <c r="H340" s="112" t="s">
        <v>1015</v>
      </c>
      <c r="I340" s="112" t="s">
        <v>1096</v>
      </c>
      <c r="J340" s="112" t="s">
        <v>1191</v>
      </c>
      <c r="K340" s="112" t="s">
        <v>1098</v>
      </c>
      <c r="L340" s="116">
        <v>571.19000000000005</v>
      </c>
    </row>
    <row r="341" spans="1:12" hidden="1" outlineLevel="1" collapsed="1" x14ac:dyDescent="0.35">
      <c r="A341" s="112" t="s">
        <v>1185</v>
      </c>
      <c r="B341" s="112" t="s">
        <v>897</v>
      </c>
      <c r="C341" s="112" t="s">
        <v>1095</v>
      </c>
      <c r="D341" s="113">
        <v>10348451</v>
      </c>
      <c r="E341" s="115">
        <v>43949</v>
      </c>
      <c r="F341" s="114">
        <v>202101</v>
      </c>
      <c r="G341" s="112" t="s">
        <v>1091</v>
      </c>
      <c r="H341" s="112" t="s">
        <v>1015</v>
      </c>
      <c r="I341" s="112" t="s">
        <v>1096</v>
      </c>
      <c r="J341" s="112" t="s">
        <v>1191</v>
      </c>
      <c r="K341" s="112" t="s">
        <v>1098</v>
      </c>
      <c r="L341" s="116">
        <v>220.92</v>
      </c>
    </row>
    <row r="342" spans="1:12" hidden="1" outlineLevel="1" collapsed="1" x14ac:dyDescent="0.35">
      <c r="A342" s="112" t="s">
        <v>1185</v>
      </c>
      <c r="B342" s="112" t="s">
        <v>897</v>
      </c>
      <c r="C342" s="112" t="s">
        <v>1095</v>
      </c>
      <c r="D342" s="113">
        <v>10348451</v>
      </c>
      <c r="E342" s="115">
        <v>43949</v>
      </c>
      <c r="F342" s="114">
        <v>202101</v>
      </c>
      <c r="G342" s="112" t="s">
        <v>1091</v>
      </c>
      <c r="H342" s="112" t="s">
        <v>1015</v>
      </c>
      <c r="I342" s="112" t="s">
        <v>1096</v>
      </c>
      <c r="J342" s="112" t="s">
        <v>1191</v>
      </c>
      <c r="K342" s="112" t="s">
        <v>1098</v>
      </c>
      <c r="L342" s="116">
        <v>29.52</v>
      </c>
    </row>
    <row r="343" spans="1:12" hidden="1" outlineLevel="1" collapsed="1" x14ac:dyDescent="0.35">
      <c r="A343" s="112" t="s">
        <v>1185</v>
      </c>
      <c r="B343" s="112" t="s">
        <v>897</v>
      </c>
      <c r="C343" s="112" t="s">
        <v>1095</v>
      </c>
      <c r="D343" s="113">
        <v>10348451</v>
      </c>
      <c r="E343" s="115">
        <v>43949</v>
      </c>
      <c r="F343" s="114">
        <v>202101</v>
      </c>
      <c r="G343" s="112" t="s">
        <v>1091</v>
      </c>
      <c r="H343" s="112" t="s">
        <v>1015</v>
      </c>
      <c r="I343" s="112" t="s">
        <v>1096</v>
      </c>
      <c r="J343" s="112" t="s">
        <v>1191</v>
      </c>
      <c r="K343" s="112" t="s">
        <v>1098</v>
      </c>
      <c r="L343" s="116">
        <v>160.16999999999999</v>
      </c>
    </row>
    <row r="344" spans="1:12" hidden="1" outlineLevel="1" collapsed="1" x14ac:dyDescent="0.35">
      <c r="A344" s="112" t="s">
        <v>1185</v>
      </c>
      <c r="B344" s="112" t="s">
        <v>897</v>
      </c>
      <c r="C344" s="112" t="s">
        <v>1095</v>
      </c>
      <c r="D344" s="113">
        <v>10348451</v>
      </c>
      <c r="E344" s="115">
        <v>43949</v>
      </c>
      <c r="F344" s="114">
        <v>202101</v>
      </c>
      <c r="G344" s="112" t="s">
        <v>1091</v>
      </c>
      <c r="H344" s="112" t="s">
        <v>1015</v>
      </c>
      <c r="I344" s="112" t="s">
        <v>1096</v>
      </c>
      <c r="J344" s="112" t="s">
        <v>1191</v>
      </c>
      <c r="K344" s="112" t="s">
        <v>1098</v>
      </c>
      <c r="L344" s="116">
        <v>167.31</v>
      </c>
    </row>
    <row r="345" spans="1:12" hidden="1" outlineLevel="1" collapsed="1" x14ac:dyDescent="0.35">
      <c r="A345" s="112" t="s">
        <v>1185</v>
      </c>
      <c r="B345" s="112" t="s">
        <v>897</v>
      </c>
      <c r="C345" s="112" t="s">
        <v>1095</v>
      </c>
      <c r="D345" s="113">
        <v>10348451</v>
      </c>
      <c r="E345" s="115">
        <v>43949</v>
      </c>
      <c r="F345" s="114">
        <v>202101</v>
      </c>
      <c r="G345" s="112" t="s">
        <v>1091</v>
      </c>
      <c r="H345" s="112" t="s">
        <v>1015</v>
      </c>
      <c r="I345" s="112" t="s">
        <v>1096</v>
      </c>
      <c r="J345" s="112" t="s">
        <v>1191</v>
      </c>
      <c r="K345" s="112" t="s">
        <v>1098</v>
      </c>
      <c r="L345" s="116">
        <v>84.19</v>
      </c>
    </row>
    <row r="346" spans="1:12" hidden="1" outlineLevel="1" collapsed="1" x14ac:dyDescent="0.35">
      <c r="A346" s="112" t="s">
        <v>1185</v>
      </c>
      <c r="B346" s="112" t="s">
        <v>897</v>
      </c>
      <c r="C346" s="112" t="s">
        <v>1095</v>
      </c>
      <c r="D346" s="113">
        <v>10348451</v>
      </c>
      <c r="E346" s="115">
        <v>43949</v>
      </c>
      <c r="F346" s="114">
        <v>202101</v>
      </c>
      <c r="G346" s="112" t="s">
        <v>1091</v>
      </c>
      <c r="H346" s="112" t="s">
        <v>1015</v>
      </c>
      <c r="I346" s="112" t="s">
        <v>1096</v>
      </c>
      <c r="J346" s="112" t="s">
        <v>1191</v>
      </c>
      <c r="K346" s="112" t="s">
        <v>1098</v>
      </c>
      <c r="L346" s="116">
        <v>232.93</v>
      </c>
    </row>
    <row r="347" spans="1:12" hidden="1" outlineLevel="1" collapsed="1" x14ac:dyDescent="0.35">
      <c r="A347" s="112" t="s">
        <v>1185</v>
      </c>
      <c r="B347" s="112" t="s">
        <v>897</v>
      </c>
      <c r="C347" s="112" t="s">
        <v>1095</v>
      </c>
      <c r="D347" s="113">
        <v>10348451</v>
      </c>
      <c r="E347" s="115">
        <v>43949</v>
      </c>
      <c r="F347" s="114">
        <v>202101</v>
      </c>
      <c r="G347" s="112" t="s">
        <v>1091</v>
      </c>
      <c r="H347" s="112" t="s">
        <v>1015</v>
      </c>
      <c r="I347" s="112" t="s">
        <v>1096</v>
      </c>
      <c r="J347" s="112" t="s">
        <v>1191</v>
      </c>
      <c r="K347" s="112" t="s">
        <v>1098</v>
      </c>
      <c r="L347" s="116">
        <v>317.45</v>
      </c>
    </row>
    <row r="348" spans="1:12" hidden="1" outlineLevel="1" collapsed="1" x14ac:dyDescent="0.35">
      <c r="A348" s="112" t="s">
        <v>1185</v>
      </c>
      <c r="B348" s="112" t="s">
        <v>1192</v>
      </c>
      <c r="C348" s="112" t="s">
        <v>1095</v>
      </c>
      <c r="D348" s="113">
        <v>10348451</v>
      </c>
      <c r="E348" s="115">
        <v>43949</v>
      </c>
      <c r="F348" s="114">
        <v>202101</v>
      </c>
      <c r="G348" s="112" t="s">
        <v>1091</v>
      </c>
      <c r="H348" s="112" t="s">
        <v>1015</v>
      </c>
      <c r="I348" s="112" t="s">
        <v>1101</v>
      </c>
      <c r="J348" s="112" t="s">
        <v>1235</v>
      </c>
      <c r="K348" s="112" t="s">
        <v>1098</v>
      </c>
      <c r="L348" s="116">
        <v>131.01</v>
      </c>
    </row>
    <row r="349" spans="1:12" hidden="1" outlineLevel="1" collapsed="1" x14ac:dyDescent="0.35">
      <c r="A349" s="112" t="s">
        <v>1185</v>
      </c>
      <c r="B349" s="112" t="s">
        <v>897</v>
      </c>
      <c r="C349" s="112" t="s">
        <v>1095</v>
      </c>
      <c r="D349" s="113">
        <v>10348451</v>
      </c>
      <c r="E349" s="115">
        <v>43949</v>
      </c>
      <c r="F349" s="114">
        <v>202101</v>
      </c>
      <c r="G349" s="112" t="s">
        <v>1091</v>
      </c>
      <c r="H349" s="112" t="s">
        <v>1015</v>
      </c>
      <c r="I349" s="112" t="s">
        <v>1101</v>
      </c>
      <c r="J349" s="112" t="s">
        <v>1186</v>
      </c>
      <c r="K349" s="112" t="s">
        <v>1098</v>
      </c>
      <c r="L349" s="116">
        <v>268.42</v>
      </c>
    </row>
    <row r="350" spans="1:12" hidden="1" outlineLevel="1" collapsed="1" x14ac:dyDescent="0.35">
      <c r="A350" s="112" t="s">
        <v>1185</v>
      </c>
      <c r="B350" s="112" t="s">
        <v>897</v>
      </c>
      <c r="C350" s="112" t="s">
        <v>1095</v>
      </c>
      <c r="D350" s="113">
        <v>10348451</v>
      </c>
      <c r="E350" s="115">
        <v>43949</v>
      </c>
      <c r="F350" s="114">
        <v>202101</v>
      </c>
      <c r="G350" s="112" t="s">
        <v>1091</v>
      </c>
      <c r="H350" s="112" t="s">
        <v>1015</v>
      </c>
      <c r="I350" s="112" t="s">
        <v>1096</v>
      </c>
      <c r="J350" s="112" t="s">
        <v>1186</v>
      </c>
      <c r="K350" s="112" t="s">
        <v>1098</v>
      </c>
      <c r="L350" s="116">
        <v>127.64</v>
      </c>
    </row>
    <row r="351" spans="1:12" hidden="1" outlineLevel="1" collapsed="1" x14ac:dyDescent="0.35">
      <c r="A351" s="112" t="s">
        <v>1185</v>
      </c>
      <c r="B351" s="112" t="s">
        <v>897</v>
      </c>
      <c r="C351" s="112" t="s">
        <v>695</v>
      </c>
      <c r="D351" s="113">
        <v>10348215</v>
      </c>
      <c r="E351" s="115">
        <v>43935</v>
      </c>
      <c r="F351" s="114">
        <v>202101</v>
      </c>
      <c r="G351" s="112" t="s">
        <v>1091</v>
      </c>
      <c r="H351" s="112" t="s">
        <v>1016</v>
      </c>
      <c r="I351" s="112" t="s">
        <v>779</v>
      </c>
      <c r="J351" s="112" t="s">
        <v>1186</v>
      </c>
      <c r="K351" s="112" t="s">
        <v>1279</v>
      </c>
      <c r="L351" s="116">
        <v>289.39999999999998</v>
      </c>
    </row>
    <row r="352" spans="1:12" hidden="1" outlineLevel="1" collapsed="1" x14ac:dyDescent="0.35">
      <c r="A352" s="112" t="s">
        <v>1185</v>
      </c>
      <c r="B352" s="112" t="s">
        <v>897</v>
      </c>
      <c r="C352" s="112" t="s">
        <v>695</v>
      </c>
      <c r="D352" s="113">
        <v>10348215</v>
      </c>
      <c r="E352" s="115">
        <v>43935</v>
      </c>
      <c r="F352" s="114">
        <v>202101</v>
      </c>
      <c r="G352" s="112" t="s">
        <v>1091</v>
      </c>
      <c r="H352" s="112" t="s">
        <v>1016</v>
      </c>
      <c r="I352" s="112" t="s">
        <v>779</v>
      </c>
      <c r="J352" s="112" t="s">
        <v>1186</v>
      </c>
      <c r="K352" s="112" t="s">
        <v>1280</v>
      </c>
      <c r="L352" s="116">
        <v>133.96</v>
      </c>
    </row>
    <row r="353" spans="1:12" hidden="1" outlineLevel="1" collapsed="1" x14ac:dyDescent="0.35">
      <c r="A353" s="112" t="s">
        <v>1185</v>
      </c>
      <c r="B353" s="112" t="s">
        <v>897</v>
      </c>
      <c r="C353" s="112" t="s">
        <v>695</v>
      </c>
      <c r="D353" s="113">
        <v>10348215</v>
      </c>
      <c r="E353" s="115">
        <v>43935</v>
      </c>
      <c r="F353" s="114">
        <v>202101</v>
      </c>
      <c r="G353" s="112" t="s">
        <v>1091</v>
      </c>
      <c r="H353" s="112" t="s">
        <v>1016</v>
      </c>
      <c r="I353" s="112" t="s">
        <v>779</v>
      </c>
      <c r="J353" s="112" t="s">
        <v>1186</v>
      </c>
      <c r="K353" s="112" t="s">
        <v>1281</v>
      </c>
      <c r="L353" s="116">
        <v>28.29</v>
      </c>
    </row>
    <row r="354" spans="1:12" hidden="1" outlineLevel="1" collapsed="1" x14ac:dyDescent="0.35">
      <c r="A354" s="112" t="s">
        <v>1185</v>
      </c>
      <c r="B354" s="112" t="s">
        <v>897</v>
      </c>
      <c r="C354" s="112" t="s">
        <v>695</v>
      </c>
      <c r="D354" s="113">
        <v>10348215</v>
      </c>
      <c r="E354" s="115">
        <v>43935</v>
      </c>
      <c r="F354" s="114">
        <v>202101</v>
      </c>
      <c r="G354" s="112" t="s">
        <v>1091</v>
      </c>
      <c r="H354" s="112" t="s">
        <v>1016</v>
      </c>
      <c r="I354" s="112" t="s">
        <v>779</v>
      </c>
      <c r="J354" s="112" t="s">
        <v>1186</v>
      </c>
      <c r="K354" s="112" t="s">
        <v>1282</v>
      </c>
      <c r="L354" s="116">
        <v>28.29</v>
      </c>
    </row>
    <row r="355" spans="1:12" hidden="1" outlineLevel="1" collapsed="1" x14ac:dyDescent="0.35">
      <c r="A355" s="112" t="s">
        <v>1185</v>
      </c>
      <c r="B355" s="112" t="s">
        <v>897</v>
      </c>
      <c r="C355" s="112" t="s">
        <v>695</v>
      </c>
      <c r="D355" s="113">
        <v>10348215</v>
      </c>
      <c r="E355" s="115">
        <v>43935</v>
      </c>
      <c r="F355" s="114">
        <v>202101</v>
      </c>
      <c r="G355" s="112" t="s">
        <v>1091</v>
      </c>
      <c r="H355" s="112" t="s">
        <v>1016</v>
      </c>
      <c r="I355" s="112" t="s">
        <v>779</v>
      </c>
      <c r="J355" s="112" t="s">
        <v>1186</v>
      </c>
      <c r="K355" s="112" t="s">
        <v>1283</v>
      </c>
      <c r="L355" s="116">
        <v>917.6</v>
      </c>
    </row>
    <row r="356" spans="1:12" hidden="1" outlineLevel="1" collapsed="1" x14ac:dyDescent="0.35">
      <c r="A356" s="112" t="s">
        <v>1185</v>
      </c>
      <c r="B356" s="112" t="s">
        <v>897</v>
      </c>
      <c r="C356" s="112" t="s">
        <v>695</v>
      </c>
      <c r="D356" s="113">
        <v>10348215</v>
      </c>
      <c r="E356" s="115">
        <v>43935</v>
      </c>
      <c r="F356" s="114">
        <v>202101</v>
      </c>
      <c r="G356" s="112" t="s">
        <v>1091</v>
      </c>
      <c r="H356" s="112" t="s">
        <v>1016</v>
      </c>
      <c r="I356" s="112" t="s">
        <v>779</v>
      </c>
      <c r="J356" s="112" t="s">
        <v>1186</v>
      </c>
      <c r="K356" s="112" t="s">
        <v>1284</v>
      </c>
      <c r="L356" s="116">
        <v>1952.17</v>
      </c>
    </row>
    <row r="357" spans="1:12" hidden="1" outlineLevel="1" collapsed="1" x14ac:dyDescent="0.35">
      <c r="A357" s="112" t="s">
        <v>1185</v>
      </c>
      <c r="B357" s="112" t="s">
        <v>895</v>
      </c>
      <c r="C357" s="112" t="s">
        <v>1095</v>
      </c>
      <c r="D357" s="113">
        <v>10348451</v>
      </c>
      <c r="E357" s="115">
        <v>43949</v>
      </c>
      <c r="F357" s="114">
        <v>202101</v>
      </c>
      <c r="G357" s="112" t="s">
        <v>1091</v>
      </c>
      <c r="H357" s="112" t="s">
        <v>1015</v>
      </c>
      <c r="I357" s="112" t="s">
        <v>1101</v>
      </c>
      <c r="J357" s="112" t="s">
        <v>1239</v>
      </c>
      <c r="K357" s="112" t="s">
        <v>1098</v>
      </c>
      <c r="L357" s="116">
        <v>437.72</v>
      </c>
    </row>
    <row r="358" spans="1:12" hidden="1" outlineLevel="1" collapsed="1" x14ac:dyDescent="0.35">
      <c r="A358" s="112" t="s">
        <v>1185</v>
      </c>
      <c r="B358" s="112" t="s">
        <v>897</v>
      </c>
      <c r="C358" s="112" t="s">
        <v>695</v>
      </c>
      <c r="D358" s="113">
        <v>10348215</v>
      </c>
      <c r="E358" s="115">
        <v>43935</v>
      </c>
      <c r="F358" s="114">
        <v>202101</v>
      </c>
      <c r="G358" s="112" t="s">
        <v>1091</v>
      </c>
      <c r="H358" s="112" t="s">
        <v>1016</v>
      </c>
      <c r="I358" s="112" t="s">
        <v>779</v>
      </c>
      <c r="J358" s="112" t="s">
        <v>1186</v>
      </c>
      <c r="K358" s="112" t="s">
        <v>1285</v>
      </c>
      <c r="L358" s="116">
        <v>154.49</v>
      </c>
    </row>
    <row r="359" spans="1:12" hidden="1" outlineLevel="1" collapsed="1" x14ac:dyDescent="0.35">
      <c r="A359" s="112" t="s">
        <v>1185</v>
      </c>
      <c r="B359" s="112" t="s">
        <v>897</v>
      </c>
      <c r="C359" s="112" t="s">
        <v>1095</v>
      </c>
      <c r="D359" s="113">
        <v>10348451</v>
      </c>
      <c r="E359" s="115">
        <v>43949</v>
      </c>
      <c r="F359" s="114">
        <v>202101</v>
      </c>
      <c r="G359" s="112" t="s">
        <v>1091</v>
      </c>
      <c r="H359" s="112" t="s">
        <v>1015</v>
      </c>
      <c r="I359" s="112" t="s">
        <v>1096</v>
      </c>
      <c r="J359" s="112" t="s">
        <v>1191</v>
      </c>
      <c r="K359" s="112" t="s">
        <v>1098</v>
      </c>
      <c r="L359" s="116">
        <v>63.55</v>
      </c>
    </row>
    <row r="360" spans="1:12" hidden="1" outlineLevel="1" collapsed="1" x14ac:dyDescent="0.35">
      <c r="A360" s="112" t="s">
        <v>1185</v>
      </c>
      <c r="B360" s="112" t="s">
        <v>897</v>
      </c>
      <c r="C360" s="112" t="s">
        <v>695</v>
      </c>
      <c r="D360" s="113">
        <v>10348215</v>
      </c>
      <c r="E360" s="115">
        <v>43935</v>
      </c>
      <c r="F360" s="114">
        <v>202101</v>
      </c>
      <c r="G360" s="112" t="s">
        <v>1091</v>
      </c>
      <c r="H360" s="112" t="s">
        <v>1016</v>
      </c>
      <c r="I360" s="112" t="s">
        <v>779</v>
      </c>
      <c r="J360" s="112" t="s">
        <v>1186</v>
      </c>
      <c r="K360" s="112" t="s">
        <v>1279</v>
      </c>
      <c r="L360" s="116">
        <v>289.39999999999998</v>
      </c>
    </row>
    <row r="361" spans="1:12" hidden="1" outlineLevel="1" collapsed="1" x14ac:dyDescent="0.35">
      <c r="A361" s="112" t="s">
        <v>1185</v>
      </c>
      <c r="B361" s="112" t="s">
        <v>897</v>
      </c>
      <c r="C361" s="112" t="s">
        <v>1095</v>
      </c>
      <c r="D361" s="113">
        <v>10348451</v>
      </c>
      <c r="E361" s="115">
        <v>43949</v>
      </c>
      <c r="F361" s="114">
        <v>202101</v>
      </c>
      <c r="G361" s="112" t="s">
        <v>1091</v>
      </c>
      <c r="H361" s="112" t="s">
        <v>1015</v>
      </c>
      <c r="I361" s="112" t="s">
        <v>1101</v>
      </c>
      <c r="J361" s="112" t="s">
        <v>1191</v>
      </c>
      <c r="K361" s="112" t="s">
        <v>1098</v>
      </c>
      <c r="L361" s="116">
        <v>165.74</v>
      </c>
    </row>
    <row r="362" spans="1:12" hidden="1" outlineLevel="1" collapsed="1" x14ac:dyDescent="0.35">
      <c r="A362" s="112" t="s">
        <v>1185</v>
      </c>
      <c r="B362" s="112" t="s">
        <v>898</v>
      </c>
      <c r="C362" s="112" t="s">
        <v>1095</v>
      </c>
      <c r="D362" s="113">
        <v>10348451</v>
      </c>
      <c r="E362" s="115">
        <v>43949</v>
      </c>
      <c r="F362" s="114">
        <v>202101</v>
      </c>
      <c r="G362" s="112" t="s">
        <v>1091</v>
      </c>
      <c r="H362" s="112" t="s">
        <v>1016</v>
      </c>
      <c r="I362" s="112" t="s">
        <v>779</v>
      </c>
      <c r="J362" s="112" t="s">
        <v>1207</v>
      </c>
      <c r="K362" s="112" t="s">
        <v>1098</v>
      </c>
      <c r="L362" s="116">
        <v>770.48</v>
      </c>
    </row>
    <row r="363" spans="1:12" hidden="1" outlineLevel="1" collapsed="1" x14ac:dyDescent="0.35">
      <c r="A363" s="112" t="s">
        <v>1185</v>
      </c>
      <c r="B363" s="112" t="s">
        <v>897</v>
      </c>
      <c r="C363" s="112" t="s">
        <v>1095</v>
      </c>
      <c r="D363" s="113">
        <v>10348451</v>
      </c>
      <c r="E363" s="115">
        <v>43949</v>
      </c>
      <c r="F363" s="114">
        <v>202101</v>
      </c>
      <c r="G363" s="112" t="s">
        <v>1091</v>
      </c>
      <c r="H363" s="112" t="s">
        <v>1015</v>
      </c>
      <c r="I363" s="112" t="s">
        <v>1101</v>
      </c>
      <c r="J363" s="112" t="s">
        <v>1191</v>
      </c>
      <c r="K363" s="112" t="s">
        <v>1098</v>
      </c>
      <c r="L363" s="116">
        <v>315</v>
      </c>
    </row>
    <row r="364" spans="1:12" hidden="1" outlineLevel="1" collapsed="1" x14ac:dyDescent="0.35">
      <c r="A364" s="112" t="s">
        <v>1185</v>
      </c>
      <c r="B364" s="112" t="s">
        <v>898</v>
      </c>
      <c r="C364" s="112" t="s">
        <v>1095</v>
      </c>
      <c r="D364" s="113">
        <v>10348451</v>
      </c>
      <c r="E364" s="115">
        <v>43949</v>
      </c>
      <c r="F364" s="114">
        <v>202101</v>
      </c>
      <c r="G364" s="112" t="s">
        <v>1091</v>
      </c>
      <c r="H364" s="112" t="s">
        <v>1016</v>
      </c>
      <c r="I364" s="112" t="s">
        <v>819</v>
      </c>
      <c r="J364" s="112" t="s">
        <v>1207</v>
      </c>
      <c r="K364" s="112" t="s">
        <v>1098</v>
      </c>
      <c r="L364" s="116">
        <v>-1</v>
      </c>
    </row>
    <row r="365" spans="1:12" hidden="1" outlineLevel="1" collapsed="1" x14ac:dyDescent="0.35">
      <c r="A365" s="112" t="s">
        <v>1185</v>
      </c>
      <c r="B365" s="112" t="s">
        <v>898</v>
      </c>
      <c r="C365" s="112" t="s">
        <v>1095</v>
      </c>
      <c r="D365" s="113">
        <v>10348451</v>
      </c>
      <c r="E365" s="115">
        <v>43949</v>
      </c>
      <c r="F365" s="114">
        <v>202101</v>
      </c>
      <c r="G365" s="112" t="s">
        <v>1091</v>
      </c>
      <c r="H365" s="112" t="s">
        <v>1016</v>
      </c>
      <c r="I365" s="112" t="s">
        <v>819</v>
      </c>
      <c r="J365" s="112" t="s">
        <v>1207</v>
      </c>
      <c r="K365" s="112" t="s">
        <v>1098</v>
      </c>
      <c r="L365" s="116">
        <v>-1</v>
      </c>
    </row>
    <row r="366" spans="1:12" hidden="1" outlineLevel="1" collapsed="1" x14ac:dyDescent="0.35">
      <c r="A366" s="112" t="s">
        <v>1185</v>
      </c>
      <c r="B366" s="112" t="s">
        <v>898</v>
      </c>
      <c r="C366" s="112" t="s">
        <v>1095</v>
      </c>
      <c r="D366" s="113">
        <v>10348451</v>
      </c>
      <c r="E366" s="115">
        <v>43949</v>
      </c>
      <c r="F366" s="114">
        <v>202101</v>
      </c>
      <c r="G366" s="112" t="s">
        <v>1091</v>
      </c>
      <c r="H366" s="112" t="s">
        <v>1016</v>
      </c>
      <c r="I366" s="112" t="s">
        <v>819</v>
      </c>
      <c r="J366" s="112" t="s">
        <v>1207</v>
      </c>
      <c r="K366" s="112" t="s">
        <v>1098</v>
      </c>
      <c r="L366" s="116">
        <v>-1</v>
      </c>
    </row>
    <row r="367" spans="1:12" hidden="1" outlineLevel="1" collapsed="1" x14ac:dyDescent="0.35">
      <c r="A367" s="112" t="s">
        <v>1185</v>
      </c>
      <c r="B367" s="112" t="s">
        <v>898</v>
      </c>
      <c r="C367" s="112" t="s">
        <v>1095</v>
      </c>
      <c r="D367" s="113">
        <v>10348451</v>
      </c>
      <c r="E367" s="115">
        <v>43949</v>
      </c>
      <c r="F367" s="114">
        <v>202101</v>
      </c>
      <c r="G367" s="112" t="s">
        <v>1091</v>
      </c>
      <c r="H367" s="112" t="s">
        <v>1016</v>
      </c>
      <c r="I367" s="112" t="s">
        <v>779</v>
      </c>
      <c r="J367" s="112" t="s">
        <v>1207</v>
      </c>
      <c r="K367" s="112" t="s">
        <v>1098</v>
      </c>
      <c r="L367" s="116">
        <v>494.26</v>
      </c>
    </row>
    <row r="368" spans="1:12" hidden="1" outlineLevel="1" collapsed="1" x14ac:dyDescent="0.35">
      <c r="A368" s="112" t="s">
        <v>1185</v>
      </c>
      <c r="B368" s="112" t="s">
        <v>898</v>
      </c>
      <c r="C368" s="112" t="s">
        <v>1095</v>
      </c>
      <c r="D368" s="113">
        <v>10348451</v>
      </c>
      <c r="E368" s="115">
        <v>43949</v>
      </c>
      <c r="F368" s="114">
        <v>202101</v>
      </c>
      <c r="G368" s="112" t="s">
        <v>1091</v>
      </c>
      <c r="H368" s="112" t="s">
        <v>1016</v>
      </c>
      <c r="I368" s="112" t="s">
        <v>819</v>
      </c>
      <c r="J368" s="112" t="s">
        <v>1207</v>
      </c>
      <c r="K368" s="112" t="s">
        <v>1098</v>
      </c>
      <c r="L368" s="116">
        <v>-1</v>
      </c>
    </row>
    <row r="369" spans="1:12" hidden="1" outlineLevel="1" collapsed="1" x14ac:dyDescent="0.35">
      <c r="A369" s="112" t="s">
        <v>1185</v>
      </c>
      <c r="B369" s="112" t="s">
        <v>898</v>
      </c>
      <c r="C369" s="112" t="s">
        <v>1095</v>
      </c>
      <c r="D369" s="113">
        <v>10348451</v>
      </c>
      <c r="E369" s="115">
        <v>43949</v>
      </c>
      <c r="F369" s="114">
        <v>202101</v>
      </c>
      <c r="G369" s="112" t="s">
        <v>1091</v>
      </c>
      <c r="H369" s="112" t="s">
        <v>1016</v>
      </c>
      <c r="I369" s="112" t="s">
        <v>819</v>
      </c>
      <c r="J369" s="112" t="s">
        <v>1207</v>
      </c>
      <c r="K369" s="112" t="s">
        <v>1098</v>
      </c>
      <c r="L369" s="116">
        <v>-1</v>
      </c>
    </row>
    <row r="370" spans="1:12" hidden="1" outlineLevel="1" collapsed="1" x14ac:dyDescent="0.35">
      <c r="A370" s="112" t="s">
        <v>1185</v>
      </c>
      <c r="B370" s="112" t="s">
        <v>898</v>
      </c>
      <c r="C370" s="112" t="s">
        <v>1095</v>
      </c>
      <c r="D370" s="113">
        <v>10348451</v>
      </c>
      <c r="E370" s="115">
        <v>43949</v>
      </c>
      <c r="F370" s="114">
        <v>202101</v>
      </c>
      <c r="G370" s="112" t="s">
        <v>1091</v>
      </c>
      <c r="H370" s="112" t="s">
        <v>1015</v>
      </c>
      <c r="I370" s="112" t="s">
        <v>1096</v>
      </c>
      <c r="J370" s="112" t="s">
        <v>1230</v>
      </c>
      <c r="K370" s="112" t="s">
        <v>1098</v>
      </c>
      <c r="L370" s="116">
        <v>384.2</v>
      </c>
    </row>
    <row r="371" spans="1:12" hidden="1" outlineLevel="1" collapsed="1" x14ac:dyDescent="0.35">
      <c r="A371" s="112" t="s">
        <v>1185</v>
      </c>
      <c r="B371" s="112" t="s">
        <v>898</v>
      </c>
      <c r="C371" s="112" t="s">
        <v>1095</v>
      </c>
      <c r="D371" s="113">
        <v>10348451</v>
      </c>
      <c r="E371" s="115">
        <v>43949</v>
      </c>
      <c r="F371" s="114">
        <v>202101</v>
      </c>
      <c r="G371" s="112" t="s">
        <v>1091</v>
      </c>
      <c r="H371" s="112" t="s">
        <v>1015</v>
      </c>
      <c r="I371" s="112" t="s">
        <v>1101</v>
      </c>
      <c r="J371" s="112" t="s">
        <v>1213</v>
      </c>
      <c r="K371" s="112" t="s">
        <v>1098</v>
      </c>
      <c r="L371" s="116">
        <v>426.26</v>
      </c>
    </row>
    <row r="372" spans="1:12" hidden="1" outlineLevel="1" collapsed="1" x14ac:dyDescent="0.35">
      <c r="A372" s="112" t="s">
        <v>1185</v>
      </c>
      <c r="B372" s="112" t="s">
        <v>898</v>
      </c>
      <c r="C372" s="112" t="s">
        <v>1095</v>
      </c>
      <c r="D372" s="113">
        <v>10348451</v>
      </c>
      <c r="E372" s="115">
        <v>43949</v>
      </c>
      <c r="F372" s="114">
        <v>202101</v>
      </c>
      <c r="G372" s="112" t="s">
        <v>1091</v>
      </c>
      <c r="H372" s="112" t="s">
        <v>1015</v>
      </c>
      <c r="I372" s="112" t="s">
        <v>1096</v>
      </c>
      <c r="J372" s="112" t="s">
        <v>1213</v>
      </c>
      <c r="K372" s="112" t="s">
        <v>1098</v>
      </c>
      <c r="L372" s="116">
        <v>173.77</v>
      </c>
    </row>
    <row r="373" spans="1:12" hidden="1" outlineLevel="1" collapsed="1" x14ac:dyDescent="0.35">
      <c r="A373" s="112" t="s">
        <v>1185</v>
      </c>
      <c r="B373" s="112" t="s">
        <v>897</v>
      </c>
      <c r="C373" s="112" t="s">
        <v>1095</v>
      </c>
      <c r="D373" s="113">
        <v>10348451</v>
      </c>
      <c r="E373" s="115">
        <v>43949</v>
      </c>
      <c r="F373" s="114">
        <v>202101</v>
      </c>
      <c r="G373" s="112" t="s">
        <v>1091</v>
      </c>
      <c r="H373" s="112" t="s">
        <v>1015</v>
      </c>
      <c r="I373" s="112" t="s">
        <v>1096</v>
      </c>
      <c r="J373" s="112" t="s">
        <v>1191</v>
      </c>
      <c r="K373" s="112" t="s">
        <v>1098</v>
      </c>
      <c r="L373" s="116">
        <v>310.49</v>
      </c>
    </row>
    <row r="374" spans="1:12" hidden="1" outlineLevel="1" collapsed="1" x14ac:dyDescent="0.35">
      <c r="A374" s="112" t="s">
        <v>1185</v>
      </c>
      <c r="B374" s="112" t="s">
        <v>898</v>
      </c>
      <c r="C374" s="112" t="s">
        <v>695</v>
      </c>
      <c r="D374" s="113">
        <v>10348469</v>
      </c>
      <c r="E374" s="115">
        <v>43948</v>
      </c>
      <c r="F374" s="114">
        <v>202101</v>
      </c>
      <c r="G374" s="112" t="s">
        <v>1091</v>
      </c>
      <c r="H374" s="112" t="s">
        <v>1016</v>
      </c>
      <c r="I374" s="112" t="s">
        <v>779</v>
      </c>
      <c r="J374" s="112" t="s">
        <v>1207</v>
      </c>
      <c r="K374" s="112" t="s">
        <v>1286</v>
      </c>
      <c r="L374" s="116">
        <v>1689.23</v>
      </c>
    </row>
    <row r="375" spans="1:12" hidden="1" outlineLevel="1" collapsed="1" x14ac:dyDescent="0.35">
      <c r="A375" s="112" t="s">
        <v>1185</v>
      </c>
      <c r="B375" s="112" t="s">
        <v>896</v>
      </c>
      <c r="C375" s="112" t="s">
        <v>1095</v>
      </c>
      <c r="D375" s="113">
        <v>10348451</v>
      </c>
      <c r="E375" s="115">
        <v>43949</v>
      </c>
      <c r="F375" s="114">
        <v>202101</v>
      </c>
      <c r="G375" s="112" t="s">
        <v>1091</v>
      </c>
      <c r="H375" s="112" t="s">
        <v>1015</v>
      </c>
      <c r="I375" s="112" t="s">
        <v>1101</v>
      </c>
      <c r="J375" s="112" t="s">
        <v>1199</v>
      </c>
      <c r="K375" s="112" t="s">
        <v>1098</v>
      </c>
      <c r="L375" s="116">
        <v>345.62</v>
      </c>
    </row>
    <row r="376" spans="1:12" hidden="1" outlineLevel="1" collapsed="1" x14ac:dyDescent="0.35">
      <c r="A376" s="112" t="s">
        <v>1185</v>
      </c>
      <c r="B376" s="112" t="s">
        <v>898</v>
      </c>
      <c r="C376" s="112" t="s">
        <v>695</v>
      </c>
      <c r="D376" s="113">
        <v>10348469</v>
      </c>
      <c r="E376" s="115">
        <v>43948</v>
      </c>
      <c r="F376" s="114">
        <v>202101</v>
      </c>
      <c r="G376" s="112" t="s">
        <v>1091</v>
      </c>
      <c r="H376" s="112" t="s">
        <v>1016</v>
      </c>
      <c r="I376" s="112" t="s">
        <v>779</v>
      </c>
      <c r="J376" s="112" t="s">
        <v>1207</v>
      </c>
      <c r="K376" s="112" t="s">
        <v>1287</v>
      </c>
      <c r="L376" s="116">
        <v>3000.36</v>
      </c>
    </row>
    <row r="377" spans="1:12" hidden="1" outlineLevel="1" collapsed="1" x14ac:dyDescent="0.35">
      <c r="A377" s="112" t="s">
        <v>1185</v>
      </c>
      <c r="B377" s="112" t="s">
        <v>898</v>
      </c>
      <c r="C377" s="112" t="s">
        <v>1095</v>
      </c>
      <c r="D377" s="113">
        <v>10348451</v>
      </c>
      <c r="E377" s="115">
        <v>43949</v>
      </c>
      <c r="F377" s="114">
        <v>202101</v>
      </c>
      <c r="G377" s="112" t="s">
        <v>1091</v>
      </c>
      <c r="H377" s="112" t="s">
        <v>1015</v>
      </c>
      <c r="I377" s="112" t="s">
        <v>1101</v>
      </c>
      <c r="J377" s="112" t="s">
        <v>1207</v>
      </c>
      <c r="K377" s="112" t="s">
        <v>1098</v>
      </c>
      <c r="L377" s="116">
        <v>345.62</v>
      </c>
    </row>
    <row r="378" spans="1:12" hidden="1" outlineLevel="1" collapsed="1" x14ac:dyDescent="0.35">
      <c r="A378" s="112" t="s">
        <v>1185</v>
      </c>
      <c r="B378" s="112" t="s">
        <v>895</v>
      </c>
      <c r="C378" s="112" t="s">
        <v>1095</v>
      </c>
      <c r="D378" s="113">
        <v>10348451</v>
      </c>
      <c r="E378" s="115">
        <v>43949</v>
      </c>
      <c r="F378" s="114">
        <v>202101</v>
      </c>
      <c r="G378" s="112" t="s">
        <v>1091</v>
      </c>
      <c r="H378" s="112" t="s">
        <v>1015</v>
      </c>
      <c r="I378" s="112" t="s">
        <v>1096</v>
      </c>
      <c r="J378" s="112" t="s">
        <v>1239</v>
      </c>
      <c r="K378" s="112" t="s">
        <v>1098</v>
      </c>
      <c r="L378" s="116">
        <v>252.23</v>
      </c>
    </row>
    <row r="379" spans="1:12" hidden="1" outlineLevel="1" collapsed="1" x14ac:dyDescent="0.35">
      <c r="A379" s="112" t="s">
        <v>1185</v>
      </c>
      <c r="B379" s="112" t="s">
        <v>898</v>
      </c>
      <c r="C379" s="112" t="s">
        <v>1095</v>
      </c>
      <c r="D379" s="113">
        <v>10348451</v>
      </c>
      <c r="E379" s="115">
        <v>43949</v>
      </c>
      <c r="F379" s="114">
        <v>202101</v>
      </c>
      <c r="G379" s="112" t="s">
        <v>1091</v>
      </c>
      <c r="H379" s="112" t="s">
        <v>1016</v>
      </c>
      <c r="I379" s="112" t="s">
        <v>819</v>
      </c>
      <c r="J379" s="112" t="s">
        <v>1207</v>
      </c>
      <c r="K379" s="112" t="s">
        <v>1098</v>
      </c>
      <c r="L379" s="116">
        <v>-1</v>
      </c>
    </row>
    <row r="380" spans="1:12" hidden="1" outlineLevel="1" collapsed="1" x14ac:dyDescent="0.35">
      <c r="A380" s="112" t="s">
        <v>1185</v>
      </c>
      <c r="B380" s="112" t="s">
        <v>896</v>
      </c>
      <c r="C380" s="112" t="s">
        <v>1095</v>
      </c>
      <c r="D380" s="113">
        <v>10348451</v>
      </c>
      <c r="E380" s="115">
        <v>43949</v>
      </c>
      <c r="F380" s="114">
        <v>202101</v>
      </c>
      <c r="G380" s="112" t="s">
        <v>1091</v>
      </c>
      <c r="H380" s="112" t="s">
        <v>1015</v>
      </c>
      <c r="I380" s="112" t="s">
        <v>1101</v>
      </c>
      <c r="J380" s="112" t="s">
        <v>1288</v>
      </c>
      <c r="K380" s="112" t="s">
        <v>1098</v>
      </c>
      <c r="L380" s="116">
        <v>426.26</v>
      </c>
    </row>
    <row r="381" spans="1:12" hidden="1" outlineLevel="1" collapsed="1" x14ac:dyDescent="0.35">
      <c r="A381" s="112" t="s">
        <v>1185</v>
      </c>
      <c r="B381" s="112" t="s">
        <v>895</v>
      </c>
      <c r="C381" s="112" t="s">
        <v>1095</v>
      </c>
      <c r="D381" s="113">
        <v>10348451</v>
      </c>
      <c r="E381" s="115">
        <v>43949</v>
      </c>
      <c r="F381" s="114">
        <v>202101</v>
      </c>
      <c r="G381" s="112" t="s">
        <v>1091</v>
      </c>
      <c r="H381" s="112" t="s">
        <v>1015</v>
      </c>
      <c r="I381" s="112" t="s">
        <v>1096</v>
      </c>
      <c r="J381" s="112" t="s">
        <v>1239</v>
      </c>
      <c r="K381" s="112" t="s">
        <v>1098</v>
      </c>
      <c r="L381" s="116">
        <v>271.86</v>
      </c>
    </row>
    <row r="382" spans="1:12" hidden="1" outlineLevel="1" collapsed="1" x14ac:dyDescent="0.35">
      <c r="A382" s="112" t="s">
        <v>1185</v>
      </c>
      <c r="B382" s="112" t="s">
        <v>896</v>
      </c>
      <c r="C382" s="112" t="s">
        <v>1095</v>
      </c>
      <c r="D382" s="113">
        <v>10348451</v>
      </c>
      <c r="E382" s="115">
        <v>43949</v>
      </c>
      <c r="F382" s="114">
        <v>202101</v>
      </c>
      <c r="G382" s="112" t="s">
        <v>1091</v>
      </c>
      <c r="H382" s="112" t="s">
        <v>1015</v>
      </c>
      <c r="I382" s="112" t="s">
        <v>1128</v>
      </c>
      <c r="J382" s="112" t="s">
        <v>1199</v>
      </c>
      <c r="K382" s="112" t="s">
        <v>1098</v>
      </c>
      <c r="L382" s="116">
        <v>125</v>
      </c>
    </row>
    <row r="383" spans="1:12" hidden="1" outlineLevel="1" collapsed="1" x14ac:dyDescent="0.35">
      <c r="A383" s="112" t="s">
        <v>1185</v>
      </c>
      <c r="B383" s="112" t="s">
        <v>897</v>
      </c>
      <c r="C383" s="112" t="s">
        <v>1095</v>
      </c>
      <c r="D383" s="113">
        <v>10348451</v>
      </c>
      <c r="E383" s="115">
        <v>43949</v>
      </c>
      <c r="F383" s="114">
        <v>202101</v>
      </c>
      <c r="G383" s="112" t="s">
        <v>1091</v>
      </c>
      <c r="H383" s="112" t="s">
        <v>1015</v>
      </c>
      <c r="I383" s="112" t="s">
        <v>1096</v>
      </c>
      <c r="J383" s="112" t="s">
        <v>1191</v>
      </c>
      <c r="K383" s="112" t="s">
        <v>1098</v>
      </c>
      <c r="L383" s="116">
        <v>126.26</v>
      </c>
    </row>
    <row r="384" spans="1:12" hidden="1" outlineLevel="1" collapsed="1" x14ac:dyDescent="0.35">
      <c r="A384" s="112" t="s">
        <v>1185</v>
      </c>
      <c r="B384" s="112" t="s">
        <v>897</v>
      </c>
      <c r="C384" s="112" t="s">
        <v>1095</v>
      </c>
      <c r="D384" s="113">
        <v>10348451</v>
      </c>
      <c r="E384" s="115">
        <v>43949</v>
      </c>
      <c r="F384" s="114">
        <v>202101</v>
      </c>
      <c r="G384" s="112" t="s">
        <v>1091</v>
      </c>
      <c r="H384" s="112" t="s">
        <v>1015</v>
      </c>
      <c r="I384" s="112" t="s">
        <v>1096</v>
      </c>
      <c r="J384" s="112" t="s">
        <v>1203</v>
      </c>
      <c r="K384" s="112" t="s">
        <v>1098</v>
      </c>
      <c r="L384" s="116">
        <v>310.49</v>
      </c>
    </row>
    <row r="385" spans="1:12" hidden="1" outlineLevel="1" collapsed="1" x14ac:dyDescent="0.35">
      <c r="A385" s="112" t="s">
        <v>1185</v>
      </c>
      <c r="B385" s="112" t="s">
        <v>898</v>
      </c>
      <c r="C385" s="112" t="s">
        <v>1095</v>
      </c>
      <c r="D385" s="113">
        <v>10348451</v>
      </c>
      <c r="E385" s="115">
        <v>43949</v>
      </c>
      <c r="F385" s="114">
        <v>202101</v>
      </c>
      <c r="G385" s="112" t="s">
        <v>1091</v>
      </c>
      <c r="H385" s="112" t="s">
        <v>1015</v>
      </c>
      <c r="I385" s="112" t="s">
        <v>1096</v>
      </c>
      <c r="J385" s="112" t="s">
        <v>1207</v>
      </c>
      <c r="K385" s="112" t="s">
        <v>1098</v>
      </c>
      <c r="L385" s="116">
        <v>54.39</v>
      </c>
    </row>
    <row r="386" spans="1:12" hidden="1" outlineLevel="1" collapsed="1" x14ac:dyDescent="0.35">
      <c r="A386" s="112" t="s">
        <v>1185</v>
      </c>
      <c r="B386" s="112" t="s">
        <v>898</v>
      </c>
      <c r="C386" s="112" t="s">
        <v>1095</v>
      </c>
      <c r="D386" s="113">
        <v>10348451</v>
      </c>
      <c r="E386" s="115">
        <v>43949</v>
      </c>
      <c r="F386" s="114">
        <v>202101</v>
      </c>
      <c r="G386" s="112" t="s">
        <v>1091</v>
      </c>
      <c r="H386" s="112" t="s">
        <v>1015</v>
      </c>
      <c r="I386" s="112" t="s">
        <v>1096</v>
      </c>
      <c r="J386" s="112" t="s">
        <v>1207</v>
      </c>
      <c r="K386" s="112" t="s">
        <v>1098</v>
      </c>
      <c r="L386" s="116">
        <v>411.93</v>
      </c>
    </row>
    <row r="387" spans="1:12" hidden="1" outlineLevel="1" collapsed="1" x14ac:dyDescent="0.35">
      <c r="A387" s="112" t="s">
        <v>1185</v>
      </c>
      <c r="B387" s="112" t="s">
        <v>898</v>
      </c>
      <c r="C387" s="112" t="s">
        <v>1095</v>
      </c>
      <c r="D387" s="113">
        <v>10348451</v>
      </c>
      <c r="E387" s="115">
        <v>43949</v>
      </c>
      <c r="F387" s="114">
        <v>202101</v>
      </c>
      <c r="G387" s="112" t="s">
        <v>1091</v>
      </c>
      <c r="H387" s="112" t="s">
        <v>1015</v>
      </c>
      <c r="I387" s="112" t="s">
        <v>1096</v>
      </c>
      <c r="J387" s="112" t="s">
        <v>1207</v>
      </c>
      <c r="K387" s="112" t="s">
        <v>1098</v>
      </c>
      <c r="L387" s="116">
        <v>77.709999999999994</v>
      </c>
    </row>
    <row r="388" spans="1:12" hidden="1" outlineLevel="1" collapsed="1" x14ac:dyDescent="0.35">
      <c r="A388" s="112" t="s">
        <v>1185</v>
      </c>
      <c r="B388" s="112" t="s">
        <v>898</v>
      </c>
      <c r="C388" s="112" t="s">
        <v>1095</v>
      </c>
      <c r="D388" s="113">
        <v>10348451</v>
      </c>
      <c r="E388" s="115">
        <v>43949</v>
      </c>
      <c r="F388" s="114">
        <v>202101</v>
      </c>
      <c r="G388" s="112" t="s">
        <v>1091</v>
      </c>
      <c r="H388" s="112" t="s">
        <v>1015</v>
      </c>
      <c r="I388" s="112" t="s">
        <v>1096</v>
      </c>
      <c r="J388" s="112" t="s">
        <v>1207</v>
      </c>
      <c r="K388" s="112" t="s">
        <v>1098</v>
      </c>
      <c r="L388" s="116">
        <v>151.80000000000001</v>
      </c>
    </row>
    <row r="389" spans="1:12" hidden="1" outlineLevel="1" collapsed="1" x14ac:dyDescent="0.35">
      <c r="A389" s="112" t="s">
        <v>1185</v>
      </c>
      <c r="B389" s="112" t="s">
        <v>898</v>
      </c>
      <c r="C389" s="112" t="s">
        <v>1095</v>
      </c>
      <c r="D389" s="113">
        <v>10348451</v>
      </c>
      <c r="E389" s="115">
        <v>43949</v>
      </c>
      <c r="F389" s="114">
        <v>202101</v>
      </c>
      <c r="G389" s="112" t="s">
        <v>1091</v>
      </c>
      <c r="H389" s="112" t="s">
        <v>1015</v>
      </c>
      <c r="I389" s="112" t="s">
        <v>1096</v>
      </c>
      <c r="J389" s="112" t="s">
        <v>1207</v>
      </c>
      <c r="K389" s="112" t="s">
        <v>1098</v>
      </c>
      <c r="L389" s="116">
        <v>190.64</v>
      </c>
    </row>
    <row r="390" spans="1:12" hidden="1" outlineLevel="1" collapsed="1" x14ac:dyDescent="0.35">
      <c r="A390" s="112" t="s">
        <v>1185</v>
      </c>
      <c r="B390" s="112" t="s">
        <v>898</v>
      </c>
      <c r="C390" s="112" t="s">
        <v>1095</v>
      </c>
      <c r="D390" s="113">
        <v>10348451</v>
      </c>
      <c r="E390" s="115">
        <v>43949</v>
      </c>
      <c r="F390" s="114">
        <v>202101</v>
      </c>
      <c r="G390" s="112" t="s">
        <v>1091</v>
      </c>
      <c r="H390" s="112" t="s">
        <v>1015</v>
      </c>
      <c r="I390" s="112" t="s">
        <v>1096</v>
      </c>
      <c r="J390" s="112" t="s">
        <v>1207</v>
      </c>
      <c r="K390" s="112" t="s">
        <v>1098</v>
      </c>
      <c r="L390" s="116">
        <v>128.04</v>
      </c>
    </row>
    <row r="391" spans="1:12" hidden="1" outlineLevel="1" collapsed="1" x14ac:dyDescent="0.35">
      <c r="A391" s="112" t="s">
        <v>1185</v>
      </c>
      <c r="B391" s="112" t="s">
        <v>897</v>
      </c>
      <c r="C391" s="112" t="s">
        <v>1095</v>
      </c>
      <c r="D391" s="113">
        <v>10348451</v>
      </c>
      <c r="E391" s="115">
        <v>43949</v>
      </c>
      <c r="F391" s="114">
        <v>202101</v>
      </c>
      <c r="G391" s="112" t="s">
        <v>1091</v>
      </c>
      <c r="H391" s="112" t="s">
        <v>1015</v>
      </c>
      <c r="I391" s="112" t="s">
        <v>1096</v>
      </c>
      <c r="J391" s="112" t="s">
        <v>1191</v>
      </c>
      <c r="K391" s="112" t="s">
        <v>1098</v>
      </c>
      <c r="L391" s="116">
        <v>129.68</v>
      </c>
    </row>
    <row r="392" spans="1:12" hidden="1" outlineLevel="1" collapsed="1" x14ac:dyDescent="0.35">
      <c r="A392" s="112" t="s">
        <v>1185</v>
      </c>
      <c r="B392" s="112" t="s">
        <v>897</v>
      </c>
      <c r="C392" s="112" t="s">
        <v>1095</v>
      </c>
      <c r="D392" s="113">
        <v>10348451</v>
      </c>
      <c r="E392" s="115">
        <v>43949</v>
      </c>
      <c r="F392" s="114">
        <v>202101</v>
      </c>
      <c r="G392" s="112" t="s">
        <v>1091</v>
      </c>
      <c r="H392" s="112" t="s">
        <v>1015</v>
      </c>
      <c r="I392" s="112" t="s">
        <v>1096</v>
      </c>
      <c r="J392" s="112" t="s">
        <v>1191</v>
      </c>
      <c r="K392" s="112" t="s">
        <v>1098</v>
      </c>
      <c r="L392" s="116">
        <v>129.68</v>
      </c>
    </row>
    <row r="393" spans="1:12" hidden="1" outlineLevel="1" collapsed="1" x14ac:dyDescent="0.35">
      <c r="A393" s="112" t="s">
        <v>1185</v>
      </c>
      <c r="B393" s="112" t="s">
        <v>897</v>
      </c>
      <c r="C393" s="112" t="s">
        <v>1095</v>
      </c>
      <c r="D393" s="113">
        <v>10348451</v>
      </c>
      <c r="E393" s="115">
        <v>43949</v>
      </c>
      <c r="F393" s="114">
        <v>202101</v>
      </c>
      <c r="G393" s="112" t="s">
        <v>1091</v>
      </c>
      <c r="H393" s="112" t="s">
        <v>1015</v>
      </c>
      <c r="I393" s="112" t="s">
        <v>1096</v>
      </c>
      <c r="J393" s="112" t="s">
        <v>1191</v>
      </c>
      <c r="K393" s="112" t="s">
        <v>1098</v>
      </c>
      <c r="L393" s="116">
        <v>148.43</v>
      </c>
    </row>
    <row r="394" spans="1:12" hidden="1" outlineLevel="1" collapsed="1" x14ac:dyDescent="0.35">
      <c r="A394" s="112" t="s">
        <v>1185</v>
      </c>
      <c r="B394" s="112" t="s">
        <v>897</v>
      </c>
      <c r="C394" s="112" t="s">
        <v>1095</v>
      </c>
      <c r="D394" s="113">
        <v>10348451</v>
      </c>
      <c r="E394" s="115">
        <v>43949</v>
      </c>
      <c r="F394" s="114">
        <v>202101</v>
      </c>
      <c r="G394" s="112" t="s">
        <v>1091</v>
      </c>
      <c r="H394" s="112" t="s">
        <v>1015</v>
      </c>
      <c r="I394" s="112" t="s">
        <v>1096</v>
      </c>
      <c r="J394" s="112" t="s">
        <v>1191</v>
      </c>
      <c r="K394" s="112" t="s">
        <v>1098</v>
      </c>
      <c r="L394" s="116">
        <v>167.31</v>
      </c>
    </row>
    <row r="395" spans="1:12" hidden="1" outlineLevel="1" collapsed="1" x14ac:dyDescent="0.35">
      <c r="A395" s="112" t="s">
        <v>1185</v>
      </c>
      <c r="B395" s="112" t="s">
        <v>897</v>
      </c>
      <c r="C395" s="112" t="s">
        <v>1095</v>
      </c>
      <c r="D395" s="113">
        <v>10348451</v>
      </c>
      <c r="E395" s="115">
        <v>43949</v>
      </c>
      <c r="F395" s="114">
        <v>202101</v>
      </c>
      <c r="G395" s="112" t="s">
        <v>1091</v>
      </c>
      <c r="H395" s="112" t="s">
        <v>1015</v>
      </c>
      <c r="I395" s="112" t="s">
        <v>1096</v>
      </c>
      <c r="J395" s="112" t="s">
        <v>1191</v>
      </c>
      <c r="K395" s="112" t="s">
        <v>1098</v>
      </c>
      <c r="L395" s="116">
        <v>160.16999999999999</v>
      </c>
    </row>
    <row r="396" spans="1:12" hidden="1" outlineLevel="1" collapsed="1" x14ac:dyDescent="0.35">
      <c r="A396" s="112" t="s">
        <v>1185</v>
      </c>
      <c r="B396" s="112" t="s">
        <v>897</v>
      </c>
      <c r="C396" s="112" t="s">
        <v>1095</v>
      </c>
      <c r="D396" s="113">
        <v>10348451</v>
      </c>
      <c r="E396" s="115">
        <v>43949</v>
      </c>
      <c r="F396" s="114">
        <v>202101</v>
      </c>
      <c r="G396" s="112" t="s">
        <v>1091</v>
      </c>
      <c r="H396" s="112" t="s">
        <v>1015</v>
      </c>
      <c r="I396" s="112" t="s">
        <v>1096</v>
      </c>
      <c r="J396" s="112" t="s">
        <v>1191</v>
      </c>
      <c r="K396" s="112" t="s">
        <v>1098</v>
      </c>
      <c r="L396" s="116">
        <v>167.31</v>
      </c>
    </row>
    <row r="397" spans="1:12" hidden="1" outlineLevel="1" collapsed="1" x14ac:dyDescent="0.35">
      <c r="A397" s="112" t="s">
        <v>1185</v>
      </c>
      <c r="B397" s="112" t="s">
        <v>897</v>
      </c>
      <c r="C397" s="112" t="s">
        <v>1095</v>
      </c>
      <c r="D397" s="113">
        <v>10348451</v>
      </c>
      <c r="E397" s="115">
        <v>43949</v>
      </c>
      <c r="F397" s="114">
        <v>202101</v>
      </c>
      <c r="G397" s="112" t="s">
        <v>1091</v>
      </c>
      <c r="H397" s="112" t="s">
        <v>1015</v>
      </c>
      <c r="I397" s="112" t="s">
        <v>1096</v>
      </c>
      <c r="J397" s="112" t="s">
        <v>1191</v>
      </c>
      <c r="K397" s="112" t="s">
        <v>1098</v>
      </c>
      <c r="L397" s="116">
        <v>133.18</v>
      </c>
    </row>
    <row r="398" spans="1:12" hidden="1" outlineLevel="1" collapsed="1" x14ac:dyDescent="0.35">
      <c r="A398" s="112" t="s">
        <v>1185</v>
      </c>
      <c r="B398" s="112" t="s">
        <v>896</v>
      </c>
      <c r="C398" s="112" t="s">
        <v>1095</v>
      </c>
      <c r="D398" s="113">
        <v>10348451</v>
      </c>
      <c r="E398" s="115">
        <v>43949</v>
      </c>
      <c r="F398" s="114">
        <v>202101</v>
      </c>
      <c r="G398" s="112" t="s">
        <v>1091</v>
      </c>
      <c r="H398" s="112" t="s">
        <v>1015</v>
      </c>
      <c r="I398" s="112" t="s">
        <v>1101</v>
      </c>
      <c r="J398" s="112" t="s">
        <v>1199</v>
      </c>
      <c r="K398" s="112" t="s">
        <v>1098</v>
      </c>
      <c r="L398" s="116">
        <v>426.26</v>
      </c>
    </row>
    <row r="399" spans="1:12" hidden="1" outlineLevel="1" collapsed="1" x14ac:dyDescent="0.35">
      <c r="A399" s="112" t="s">
        <v>1185</v>
      </c>
      <c r="B399" s="112" t="s">
        <v>895</v>
      </c>
      <c r="C399" s="112" t="s">
        <v>1095</v>
      </c>
      <c r="D399" s="113">
        <v>10348451</v>
      </c>
      <c r="E399" s="115">
        <v>43949</v>
      </c>
      <c r="F399" s="114">
        <v>202101</v>
      </c>
      <c r="G399" s="112" t="s">
        <v>1091</v>
      </c>
      <c r="H399" s="112" t="s">
        <v>1015</v>
      </c>
      <c r="I399" s="112" t="s">
        <v>1101</v>
      </c>
      <c r="J399" s="112" t="s">
        <v>1239</v>
      </c>
      <c r="K399" s="112" t="s">
        <v>1098</v>
      </c>
      <c r="L399" s="116">
        <v>483.07</v>
      </c>
    </row>
    <row r="400" spans="1:12" hidden="1" outlineLevel="1" collapsed="1" x14ac:dyDescent="0.35">
      <c r="A400" s="112" t="s">
        <v>1185</v>
      </c>
      <c r="B400" s="112" t="s">
        <v>897</v>
      </c>
      <c r="C400" s="112" t="s">
        <v>1095</v>
      </c>
      <c r="D400" s="113">
        <v>10348451</v>
      </c>
      <c r="E400" s="115">
        <v>43949</v>
      </c>
      <c r="F400" s="114">
        <v>202101</v>
      </c>
      <c r="G400" s="112" t="s">
        <v>1091</v>
      </c>
      <c r="H400" s="112" t="s">
        <v>1015</v>
      </c>
      <c r="I400" s="112" t="s">
        <v>1096</v>
      </c>
      <c r="J400" s="112" t="s">
        <v>1191</v>
      </c>
      <c r="K400" s="112" t="s">
        <v>1098</v>
      </c>
      <c r="L400" s="116">
        <v>310.49</v>
      </c>
    </row>
    <row r="401" spans="1:12" hidden="1" outlineLevel="1" collapsed="1" x14ac:dyDescent="0.35">
      <c r="A401" s="112" t="s">
        <v>1185</v>
      </c>
      <c r="B401" s="112" t="s">
        <v>897</v>
      </c>
      <c r="C401" s="112" t="s">
        <v>695</v>
      </c>
      <c r="D401" s="113">
        <v>10348207</v>
      </c>
      <c r="E401" s="115">
        <v>43935</v>
      </c>
      <c r="F401" s="114">
        <v>202101</v>
      </c>
      <c r="G401" s="112" t="s">
        <v>1091</v>
      </c>
      <c r="H401" s="112" t="s">
        <v>1016</v>
      </c>
      <c r="I401" s="112" t="s">
        <v>779</v>
      </c>
      <c r="J401" s="112" t="s">
        <v>1186</v>
      </c>
      <c r="K401" s="112" t="s">
        <v>1289</v>
      </c>
      <c r="L401" s="116">
        <v>-1833.02</v>
      </c>
    </row>
    <row r="402" spans="1:12" hidden="1" outlineLevel="1" collapsed="1" x14ac:dyDescent="0.35">
      <c r="A402" s="112" t="s">
        <v>1185</v>
      </c>
      <c r="B402" s="112" t="s">
        <v>897</v>
      </c>
      <c r="C402" s="112" t="s">
        <v>695</v>
      </c>
      <c r="D402" s="113">
        <v>10348207</v>
      </c>
      <c r="E402" s="115">
        <v>43935</v>
      </c>
      <c r="F402" s="114">
        <v>202101</v>
      </c>
      <c r="G402" s="112" t="s">
        <v>1091</v>
      </c>
      <c r="H402" s="112" t="s">
        <v>1016</v>
      </c>
      <c r="I402" s="112" t="s">
        <v>779</v>
      </c>
      <c r="J402" s="112" t="s">
        <v>1186</v>
      </c>
      <c r="K402" s="112" t="s">
        <v>1290</v>
      </c>
      <c r="L402" s="116">
        <v>-545.15</v>
      </c>
    </row>
    <row r="403" spans="1:12" hidden="1" outlineLevel="1" collapsed="1" x14ac:dyDescent="0.35">
      <c r="A403" s="112" t="s">
        <v>1185</v>
      </c>
      <c r="B403" s="112" t="s">
        <v>897</v>
      </c>
      <c r="C403" s="112" t="s">
        <v>695</v>
      </c>
      <c r="D403" s="113">
        <v>10348207</v>
      </c>
      <c r="E403" s="115">
        <v>43935</v>
      </c>
      <c r="F403" s="114">
        <v>202101</v>
      </c>
      <c r="G403" s="112" t="s">
        <v>1091</v>
      </c>
      <c r="H403" s="112" t="s">
        <v>1016</v>
      </c>
      <c r="I403" s="112" t="s">
        <v>779</v>
      </c>
      <c r="J403" s="112" t="s">
        <v>1186</v>
      </c>
      <c r="K403" s="112" t="s">
        <v>1280</v>
      </c>
      <c r="L403" s="116">
        <v>-133.96</v>
      </c>
    </row>
    <row r="404" spans="1:12" hidden="1" outlineLevel="1" collapsed="1" x14ac:dyDescent="0.35">
      <c r="A404" s="112" t="s">
        <v>1185</v>
      </c>
      <c r="B404" s="112" t="s">
        <v>897</v>
      </c>
      <c r="C404" s="112" t="s">
        <v>695</v>
      </c>
      <c r="D404" s="113">
        <v>10348207</v>
      </c>
      <c r="E404" s="115">
        <v>43935</v>
      </c>
      <c r="F404" s="114">
        <v>202101</v>
      </c>
      <c r="G404" s="112" t="s">
        <v>1091</v>
      </c>
      <c r="H404" s="112" t="s">
        <v>1016</v>
      </c>
      <c r="I404" s="112" t="s">
        <v>779</v>
      </c>
      <c r="J404" s="112" t="s">
        <v>1186</v>
      </c>
      <c r="K404" s="112" t="s">
        <v>1279</v>
      </c>
      <c r="L404" s="116">
        <v>-289.39999999999998</v>
      </c>
    </row>
    <row r="405" spans="1:12" hidden="1" outlineLevel="1" collapsed="1" x14ac:dyDescent="0.35">
      <c r="A405" s="112" t="s">
        <v>1185</v>
      </c>
      <c r="B405" s="112" t="s">
        <v>897</v>
      </c>
      <c r="C405" s="112" t="s">
        <v>695</v>
      </c>
      <c r="D405" s="113">
        <v>10348207</v>
      </c>
      <c r="E405" s="115">
        <v>43935</v>
      </c>
      <c r="F405" s="114">
        <v>202101</v>
      </c>
      <c r="G405" s="112" t="s">
        <v>1091</v>
      </c>
      <c r="H405" s="112" t="s">
        <v>1016</v>
      </c>
      <c r="I405" s="112" t="s">
        <v>779</v>
      </c>
      <c r="J405" s="112" t="s">
        <v>1186</v>
      </c>
      <c r="K405" s="112" t="s">
        <v>1285</v>
      </c>
      <c r="L405" s="116">
        <v>-154.49</v>
      </c>
    </row>
    <row r="406" spans="1:12" hidden="1" outlineLevel="1" collapsed="1" x14ac:dyDescent="0.35">
      <c r="A406" s="112" t="s">
        <v>1185</v>
      </c>
      <c r="B406" s="112" t="s">
        <v>897</v>
      </c>
      <c r="C406" s="112" t="s">
        <v>695</v>
      </c>
      <c r="D406" s="113">
        <v>10348207</v>
      </c>
      <c r="E406" s="115">
        <v>43935</v>
      </c>
      <c r="F406" s="114">
        <v>202101</v>
      </c>
      <c r="G406" s="112" t="s">
        <v>1091</v>
      </c>
      <c r="H406" s="112" t="s">
        <v>1016</v>
      </c>
      <c r="I406" s="112" t="s">
        <v>779</v>
      </c>
      <c r="J406" s="112" t="s">
        <v>1186</v>
      </c>
      <c r="K406" s="112" t="s">
        <v>1284</v>
      </c>
      <c r="L406" s="116">
        <v>-1952.17</v>
      </c>
    </row>
    <row r="407" spans="1:12" hidden="1" outlineLevel="1" collapsed="1" x14ac:dyDescent="0.35">
      <c r="A407" s="112" t="s">
        <v>1185</v>
      </c>
      <c r="B407" s="112" t="s">
        <v>898</v>
      </c>
      <c r="C407" s="112" t="s">
        <v>1095</v>
      </c>
      <c r="D407" s="113">
        <v>10348451</v>
      </c>
      <c r="E407" s="115">
        <v>43949</v>
      </c>
      <c r="F407" s="114">
        <v>202101</v>
      </c>
      <c r="G407" s="112" t="s">
        <v>1091</v>
      </c>
      <c r="H407" s="112" t="s">
        <v>1015</v>
      </c>
      <c r="I407" s="112" t="s">
        <v>1096</v>
      </c>
      <c r="J407" s="112" t="s">
        <v>1213</v>
      </c>
      <c r="K407" s="112" t="s">
        <v>1098</v>
      </c>
      <c r="L407" s="116">
        <v>63.32</v>
      </c>
    </row>
    <row r="408" spans="1:12" hidden="1" outlineLevel="1" collapsed="1" x14ac:dyDescent="0.35">
      <c r="A408" s="112" t="s">
        <v>1185</v>
      </c>
      <c r="B408" s="112" t="s">
        <v>897</v>
      </c>
      <c r="C408" s="112" t="s">
        <v>1095</v>
      </c>
      <c r="D408" s="113">
        <v>10348451</v>
      </c>
      <c r="E408" s="115">
        <v>43949</v>
      </c>
      <c r="F408" s="114">
        <v>202101</v>
      </c>
      <c r="G408" s="112" t="s">
        <v>1091</v>
      </c>
      <c r="H408" s="112" t="s">
        <v>1015</v>
      </c>
      <c r="I408" s="112" t="s">
        <v>1096</v>
      </c>
      <c r="J408" s="112" t="s">
        <v>1191</v>
      </c>
      <c r="K408" s="112" t="s">
        <v>1098</v>
      </c>
      <c r="L408" s="116">
        <v>151.80000000000001</v>
      </c>
    </row>
    <row r="409" spans="1:12" hidden="1" outlineLevel="1" collapsed="1" x14ac:dyDescent="0.35">
      <c r="A409" s="112" t="s">
        <v>1185</v>
      </c>
      <c r="B409" s="112" t="s">
        <v>896</v>
      </c>
      <c r="C409" s="112" t="s">
        <v>1095</v>
      </c>
      <c r="D409" s="113">
        <v>10348451</v>
      </c>
      <c r="E409" s="115">
        <v>43949</v>
      </c>
      <c r="F409" s="114">
        <v>202101</v>
      </c>
      <c r="G409" s="112" t="s">
        <v>1091</v>
      </c>
      <c r="H409" s="112" t="s">
        <v>1015</v>
      </c>
      <c r="I409" s="112" t="s">
        <v>1101</v>
      </c>
      <c r="J409" s="112" t="s">
        <v>1288</v>
      </c>
      <c r="K409" s="112" t="s">
        <v>1098</v>
      </c>
      <c r="L409" s="116">
        <v>366.04</v>
      </c>
    </row>
    <row r="410" spans="1:12" hidden="1" outlineLevel="1" collapsed="1" x14ac:dyDescent="0.35">
      <c r="A410" s="112" t="s">
        <v>1185</v>
      </c>
      <c r="B410" s="112" t="s">
        <v>896</v>
      </c>
      <c r="C410" s="112" t="s">
        <v>1095</v>
      </c>
      <c r="D410" s="113">
        <v>10348451</v>
      </c>
      <c r="E410" s="115">
        <v>43949</v>
      </c>
      <c r="F410" s="114">
        <v>202101</v>
      </c>
      <c r="G410" s="112" t="s">
        <v>1091</v>
      </c>
      <c r="H410" s="112" t="s">
        <v>1015</v>
      </c>
      <c r="I410" s="112" t="s">
        <v>1101</v>
      </c>
      <c r="J410" s="112" t="s">
        <v>1288</v>
      </c>
      <c r="K410" s="112" t="s">
        <v>1098</v>
      </c>
      <c r="L410" s="116">
        <v>602.15</v>
      </c>
    </row>
    <row r="411" spans="1:12" hidden="1" outlineLevel="1" collapsed="1" x14ac:dyDescent="0.35">
      <c r="A411" s="112" t="s">
        <v>1185</v>
      </c>
      <c r="B411" s="112" t="s">
        <v>898</v>
      </c>
      <c r="C411" s="112" t="s">
        <v>695</v>
      </c>
      <c r="D411" s="113">
        <v>10348204</v>
      </c>
      <c r="E411" s="115">
        <v>43935</v>
      </c>
      <c r="F411" s="114">
        <v>202101</v>
      </c>
      <c r="G411" s="112" t="s">
        <v>1091</v>
      </c>
      <c r="H411" s="112" t="s">
        <v>1016</v>
      </c>
      <c r="I411" s="112" t="s">
        <v>1291</v>
      </c>
      <c r="J411" s="112" t="s">
        <v>1200</v>
      </c>
      <c r="K411" s="112" t="s">
        <v>1292</v>
      </c>
      <c r="L411" s="116">
        <v>-3250</v>
      </c>
    </row>
    <row r="412" spans="1:12" hidden="1" outlineLevel="1" collapsed="1" x14ac:dyDescent="0.35">
      <c r="A412" s="112" t="s">
        <v>1185</v>
      </c>
      <c r="B412" s="112" t="s">
        <v>898</v>
      </c>
      <c r="C412" s="112" t="s">
        <v>695</v>
      </c>
      <c r="D412" s="113">
        <v>10348377</v>
      </c>
      <c r="E412" s="115">
        <v>43943</v>
      </c>
      <c r="F412" s="114">
        <v>202101</v>
      </c>
      <c r="G412" s="112" t="s">
        <v>1091</v>
      </c>
      <c r="H412" s="112" t="s">
        <v>1016</v>
      </c>
      <c r="I412" s="112" t="s">
        <v>1293</v>
      </c>
      <c r="J412" s="112" t="s">
        <v>1207</v>
      </c>
      <c r="K412" s="112" t="s">
        <v>1294</v>
      </c>
      <c r="L412" s="116">
        <v>1055.5999999999999</v>
      </c>
    </row>
    <row r="413" spans="1:12" hidden="1" outlineLevel="1" collapsed="1" x14ac:dyDescent="0.35">
      <c r="A413" s="112" t="s">
        <v>1185</v>
      </c>
      <c r="B413" s="112" t="s">
        <v>1192</v>
      </c>
      <c r="C413" s="112" t="s">
        <v>1095</v>
      </c>
      <c r="D413" s="113">
        <v>10348451</v>
      </c>
      <c r="E413" s="115">
        <v>43949</v>
      </c>
      <c r="F413" s="114">
        <v>202101</v>
      </c>
      <c r="G413" s="112" t="s">
        <v>1091</v>
      </c>
      <c r="H413" s="112" t="s">
        <v>1015</v>
      </c>
      <c r="I413" s="112" t="s">
        <v>1101</v>
      </c>
      <c r="J413" s="112" t="s">
        <v>1198</v>
      </c>
      <c r="K413" s="112" t="s">
        <v>1098</v>
      </c>
      <c r="L413" s="116">
        <v>549.4</v>
      </c>
    </row>
    <row r="414" spans="1:12" hidden="1" outlineLevel="1" collapsed="1" x14ac:dyDescent="0.35">
      <c r="A414" s="112" t="s">
        <v>1185</v>
      </c>
      <c r="B414" s="112" t="s">
        <v>896</v>
      </c>
      <c r="C414" s="112" t="s">
        <v>1095</v>
      </c>
      <c r="D414" s="113">
        <v>10348451</v>
      </c>
      <c r="E414" s="115">
        <v>43949</v>
      </c>
      <c r="F414" s="114">
        <v>202101</v>
      </c>
      <c r="G414" s="112" t="s">
        <v>1091</v>
      </c>
      <c r="H414" s="112" t="s">
        <v>1015</v>
      </c>
      <c r="I414" s="112" t="s">
        <v>1263</v>
      </c>
      <c r="J414" s="112" t="s">
        <v>1199</v>
      </c>
      <c r="K414" s="112" t="s">
        <v>1098</v>
      </c>
      <c r="L414" s="116">
        <v>516.07000000000005</v>
      </c>
    </row>
    <row r="415" spans="1:12" hidden="1" outlineLevel="1" collapsed="1" x14ac:dyDescent="0.35">
      <c r="A415" s="112" t="s">
        <v>1185</v>
      </c>
      <c r="B415" s="112" t="s">
        <v>897</v>
      </c>
      <c r="C415" s="112" t="s">
        <v>1095</v>
      </c>
      <c r="D415" s="113">
        <v>10348451</v>
      </c>
      <c r="E415" s="115">
        <v>43949</v>
      </c>
      <c r="F415" s="114">
        <v>202101</v>
      </c>
      <c r="G415" s="112" t="s">
        <v>1091</v>
      </c>
      <c r="H415" s="112" t="s">
        <v>1015</v>
      </c>
      <c r="I415" s="112" t="s">
        <v>1096</v>
      </c>
      <c r="J415" s="112" t="s">
        <v>1191</v>
      </c>
      <c r="K415" s="112" t="s">
        <v>1098</v>
      </c>
      <c r="L415" s="116">
        <v>112.92</v>
      </c>
    </row>
    <row r="416" spans="1:12" hidden="1" outlineLevel="1" collapsed="1" x14ac:dyDescent="0.35">
      <c r="A416" s="112" t="s">
        <v>1185</v>
      </c>
      <c r="B416" s="112" t="s">
        <v>897</v>
      </c>
      <c r="C416" s="112" t="s">
        <v>1095</v>
      </c>
      <c r="D416" s="113">
        <v>10348451</v>
      </c>
      <c r="E416" s="115">
        <v>43949</v>
      </c>
      <c r="F416" s="114">
        <v>202101</v>
      </c>
      <c r="G416" s="112" t="s">
        <v>1091</v>
      </c>
      <c r="H416" s="112" t="s">
        <v>1015</v>
      </c>
      <c r="I416" s="112" t="s">
        <v>1101</v>
      </c>
      <c r="J416" s="112" t="s">
        <v>1191</v>
      </c>
      <c r="K416" s="112" t="s">
        <v>1098</v>
      </c>
      <c r="L416" s="116">
        <v>251.15</v>
      </c>
    </row>
    <row r="417" spans="1:12" hidden="1" outlineLevel="1" collapsed="1" x14ac:dyDescent="0.35">
      <c r="A417" s="112" t="s">
        <v>1185</v>
      </c>
      <c r="B417" s="112" t="s">
        <v>898</v>
      </c>
      <c r="C417" s="112" t="s">
        <v>1095</v>
      </c>
      <c r="D417" s="113">
        <v>10348451</v>
      </c>
      <c r="E417" s="115">
        <v>43949</v>
      </c>
      <c r="F417" s="114">
        <v>202101</v>
      </c>
      <c r="G417" s="112" t="s">
        <v>1091</v>
      </c>
      <c r="H417" s="112" t="s">
        <v>1015</v>
      </c>
      <c r="I417" s="112" t="s">
        <v>1101</v>
      </c>
      <c r="J417" s="112" t="s">
        <v>1213</v>
      </c>
      <c r="K417" s="112" t="s">
        <v>1098</v>
      </c>
      <c r="L417" s="116">
        <v>322.58</v>
      </c>
    </row>
    <row r="418" spans="1:12" hidden="1" outlineLevel="1" collapsed="1" x14ac:dyDescent="0.35">
      <c r="A418" s="112" t="s">
        <v>1185</v>
      </c>
      <c r="B418" s="112" t="s">
        <v>897</v>
      </c>
      <c r="C418" s="112" t="s">
        <v>695</v>
      </c>
      <c r="D418" s="113">
        <v>10348207</v>
      </c>
      <c r="E418" s="115">
        <v>43935</v>
      </c>
      <c r="F418" s="114">
        <v>202101</v>
      </c>
      <c r="G418" s="112" t="s">
        <v>1091</v>
      </c>
      <c r="H418" s="112" t="s">
        <v>1016</v>
      </c>
      <c r="I418" s="112" t="s">
        <v>779</v>
      </c>
      <c r="J418" s="112" t="s">
        <v>1186</v>
      </c>
      <c r="K418" s="112" t="s">
        <v>1295</v>
      </c>
      <c r="L418" s="116">
        <v>-1348.05</v>
      </c>
    </row>
    <row r="419" spans="1:12" hidden="1" outlineLevel="1" collapsed="1" x14ac:dyDescent="0.35">
      <c r="A419" s="112" t="s">
        <v>1185</v>
      </c>
      <c r="B419" s="112" t="s">
        <v>896</v>
      </c>
      <c r="C419" s="112" t="s">
        <v>1095</v>
      </c>
      <c r="D419" s="113">
        <v>10348451</v>
      </c>
      <c r="E419" s="115">
        <v>43949</v>
      </c>
      <c r="F419" s="114">
        <v>202101</v>
      </c>
      <c r="G419" s="112" t="s">
        <v>1091</v>
      </c>
      <c r="H419" s="112" t="s">
        <v>1015</v>
      </c>
      <c r="I419" s="112" t="s">
        <v>1101</v>
      </c>
      <c r="J419" s="112" t="s">
        <v>1288</v>
      </c>
      <c r="K419" s="112" t="s">
        <v>1098</v>
      </c>
      <c r="L419" s="116">
        <v>483.07</v>
      </c>
    </row>
    <row r="420" spans="1:12" hidden="1" outlineLevel="1" collapsed="1" x14ac:dyDescent="0.35">
      <c r="A420" s="112" t="s">
        <v>1185</v>
      </c>
      <c r="B420" s="112" t="s">
        <v>897</v>
      </c>
      <c r="C420" s="112" t="s">
        <v>1095</v>
      </c>
      <c r="D420" s="113">
        <v>10348451</v>
      </c>
      <c r="E420" s="115">
        <v>43949</v>
      </c>
      <c r="F420" s="114">
        <v>202101</v>
      </c>
      <c r="G420" s="112" t="s">
        <v>1091</v>
      </c>
      <c r="H420" s="112" t="s">
        <v>1015</v>
      </c>
      <c r="I420" s="112" t="s">
        <v>1101</v>
      </c>
      <c r="J420" s="112" t="s">
        <v>1191</v>
      </c>
      <c r="K420" s="112" t="s">
        <v>1098</v>
      </c>
      <c r="L420" s="116">
        <v>483.07</v>
      </c>
    </row>
    <row r="421" spans="1:12" hidden="1" outlineLevel="1" collapsed="1" x14ac:dyDescent="0.35">
      <c r="A421" s="112" t="s">
        <v>1185</v>
      </c>
      <c r="B421" s="112" t="s">
        <v>897</v>
      </c>
      <c r="C421" s="112" t="s">
        <v>1095</v>
      </c>
      <c r="D421" s="113">
        <v>10348451</v>
      </c>
      <c r="E421" s="115">
        <v>43949</v>
      </c>
      <c r="F421" s="114">
        <v>202101</v>
      </c>
      <c r="G421" s="112" t="s">
        <v>1091</v>
      </c>
      <c r="H421" s="112" t="s">
        <v>1015</v>
      </c>
      <c r="I421" s="112" t="s">
        <v>1101</v>
      </c>
      <c r="J421" s="112" t="s">
        <v>1203</v>
      </c>
      <c r="K421" s="112" t="s">
        <v>1098</v>
      </c>
      <c r="L421" s="116">
        <v>549.4</v>
      </c>
    </row>
    <row r="422" spans="1:12" hidden="1" outlineLevel="1" collapsed="1" x14ac:dyDescent="0.35">
      <c r="A422" s="112" t="s">
        <v>1185</v>
      </c>
      <c r="B422" s="112" t="s">
        <v>898</v>
      </c>
      <c r="C422" s="112" t="s">
        <v>1095</v>
      </c>
      <c r="D422" s="113">
        <v>10348451</v>
      </c>
      <c r="E422" s="115">
        <v>43949</v>
      </c>
      <c r="F422" s="114">
        <v>202101</v>
      </c>
      <c r="G422" s="112" t="s">
        <v>1091</v>
      </c>
      <c r="H422" s="112" t="s">
        <v>1015</v>
      </c>
      <c r="I422" s="112" t="s">
        <v>1096</v>
      </c>
      <c r="J422" s="112" t="s">
        <v>1230</v>
      </c>
      <c r="K422" s="112" t="s">
        <v>1098</v>
      </c>
      <c r="L422" s="116">
        <v>384.2</v>
      </c>
    </row>
    <row r="423" spans="1:12" hidden="1" outlineLevel="1" collapsed="1" x14ac:dyDescent="0.35">
      <c r="A423" s="112" t="s">
        <v>1185</v>
      </c>
      <c r="B423" s="112" t="s">
        <v>896</v>
      </c>
      <c r="C423" s="112" t="s">
        <v>1095</v>
      </c>
      <c r="D423" s="113">
        <v>10348451</v>
      </c>
      <c r="E423" s="115">
        <v>43949</v>
      </c>
      <c r="F423" s="114">
        <v>202101</v>
      </c>
      <c r="G423" s="112" t="s">
        <v>1091</v>
      </c>
      <c r="H423" s="112" t="s">
        <v>1015</v>
      </c>
      <c r="I423" s="112" t="s">
        <v>1101</v>
      </c>
      <c r="J423" s="112" t="s">
        <v>1199</v>
      </c>
      <c r="K423" s="112" t="s">
        <v>1098</v>
      </c>
      <c r="L423" s="116">
        <v>366.04</v>
      </c>
    </row>
    <row r="424" spans="1:12" hidden="1" outlineLevel="1" collapsed="1" x14ac:dyDescent="0.35">
      <c r="A424" s="112" t="s">
        <v>1185</v>
      </c>
      <c r="B424" s="112" t="s">
        <v>897</v>
      </c>
      <c r="C424" s="112" t="s">
        <v>1095</v>
      </c>
      <c r="D424" s="113">
        <v>10348451</v>
      </c>
      <c r="E424" s="115">
        <v>43949</v>
      </c>
      <c r="F424" s="114">
        <v>202101</v>
      </c>
      <c r="G424" s="112" t="s">
        <v>1091</v>
      </c>
      <c r="H424" s="112" t="s">
        <v>1015</v>
      </c>
      <c r="I424" s="112" t="s">
        <v>1101</v>
      </c>
      <c r="J424" s="112" t="s">
        <v>1186</v>
      </c>
      <c r="K424" s="112" t="s">
        <v>1098</v>
      </c>
      <c r="L424" s="116">
        <v>270.82</v>
      </c>
    </row>
    <row r="425" spans="1:12" hidden="1" outlineLevel="1" collapsed="1" x14ac:dyDescent="0.35">
      <c r="A425" s="112" t="s">
        <v>1185</v>
      </c>
      <c r="B425" s="112" t="s">
        <v>897</v>
      </c>
      <c r="C425" s="112" t="s">
        <v>1095</v>
      </c>
      <c r="D425" s="113">
        <v>10348451</v>
      </c>
      <c r="E425" s="115">
        <v>43949</v>
      </c>
      <c r="F425" s="114">
        <v>202101</v>
      </c>
      <c r="G425" s="112" t="s">
        <v>1091</v>
      </c>
      <c r="H425" s="112" t="s">
        <v>1015</v>
      </c>
      <c r="I425" s="112" t="s">
        <v>1096</v>
      </c>
      <c r="J425" s="112" t="s">
        <v>1186</v>
      </c>
      <c r="K425" s="112" t="s">
        <v>1098</v>
      </c>
      <c r="L425" s="116">
        <v>129.68</v>
      </c>
    </row>
    <row r="426" spans="1:12" hidden="1" outlineLevel="1" collapsed="1" x14ac:dyDescent="0.35">
      <c r="A426" s="112" t="s">
        <v>1185</v>
      </c>
      <c r="B426" s="112" t="s">
        <v>897</v>
      </c>
      <c r="C426" s="112" t="s">
        <v>1095</v>
      </c>
      <c r="D426" s="113">
        <v>10348451</v>
      </c>
      <c r="E426" s="115">
        <v>43949</v>
      </c>
      <c r="F426" s="114">
        <v>202101</v>
      </c>
      <c r="G426" s="112" t="s">
        <v>1091</v>
      </c>
      <c r="H426" s="112" t="s">
        <v>1015</v>
      </c>
      <c r="I426" s="112" t="s">
        <v>1101</v>
      </c>
      <c r="J426" s="112" t="s">
        <v>1191</v>
      </c>
      <c r="K426" s="112" t="s">
        <v>1098</v>
      </c>
      <c r="L426" s="116">
        <v>209.38</v>
      </c>
    </row>
    <row r="427" spans="1:12" hidden="1" outlineLevel="1" collapsed="1" x14ac:dyDescent="0.35">
      <c r="A427" s="112" t="s">
        <v>1185</v>
      </c>
      <c r="B427" s="112" t="s">
        <v>897</v>
      </c>
      <c r="C427" s="112" t="s">
        <v>1095</v>
      </c>
      <c r="D427" s="113">
        <v>10348451</v>
      </c>
      <c r="E427" s="115">
        <v>43949</v>
      </c>
      <c r="F427" s="114">
        <v>202101</v>
      </c>
      <c r="G427" s="112" t="s">
        <v>1091</v>
      </c>
      <c r="H427" s="112" t="s">
        <v>1015</v>
      </c>
      <c r="I427" s="112" t="s">
        <v>1096</v>
      </c>
      <c r="J427" s="112" t="s">
        <v>1203</v>
      </c>
      <c r="K427" s="112" t="s">
        <v>1098</v>
      </c>
      <c r="L427" s="116">
        <v>129.68</v>
      </c>
    </row>
    <row r="428" spans="1:12" hidden="1" outlineLevel="1" collapsed="1" x14ac:dyDescent="0.35">
      <c r="A428" s="112" t="s">
        <v>1185</v>
      </c>
      <c r="B428" s="112" t="s">
        <v>898</v>
      </c>
      <c r="C428" s="112" t="s">
        <v>1095</v>
      </c>
      <c r="D428" s="113">
        <v>10348451</v>
      </c>
      <c r="E428" s="115">
        <v>43949</v>
      </c>
      <c r="F428" s="114">
        <v>202101</v>
      </c>
      <c r="G428" s="112" t="s">
        <v>1091</v>
      </c>
      <c r="H428" s="112" t="s">
        <v>1015</v>
      </c>
      <c r="I428" s="112" t="s">
        <v>1096</v>
      </c>
      <c r="J428" s="112" t="s">
        <v>1200</v>
      </c>
      <c r="K428" s="112" t="s">
        <v>1098</v>
      </c>
      <c r="L428" s="116">
        <v>16.45</v>
      </c>
    </row>
    <row r="429" spans="1:12" hidden="1" outlineLevel="1" collapsed="1" x14ac:dyDescent="0.35">
      <c r="A429" s="112" t="s">
        <v>1185</v>
      </c>
      <c r="B429" s="112" t="s">
        <v>897</v>
      </c>
      <c r="C429" s="112" t="s">
        <v>1095</v>
      </c>
      <c r="D429" s="113">
        <v>10348451</v>
      </c>
      <c r="E429" s="115">
        <v>43949</v>
      </c>
      <c r="F429" s="114">
        <v>202101</v>
      </c>
      <c r="G429" s="112" t="s">
        <v>1091</v>
      </c>
      <c r="H429" s="112" t="s">
        <v>1015</v>
      </c>
      <c r="I429" s="112" t="s">
        <v>1101</v>
      </c>
      <c r="J429" s="112" t="s">
        <v>1191</v>
      </c>
      <c r="K429" s="112" t="s">
        <v>1098</v>
      </c>
      <c r="L429" s="116">
        <v>483.07</v>
      </c>
    </row>
    <row r="430" spans="1:12" hidden="1" outlineLevel="1" collapsed="1" x14ac:dyDescent="0.35">
      <c r="A430" s="112" t="s">
        <v>1185</v>
      </c>
      <c r="B430" s="112" t="s">
        <v>897</v>
      </c>
      <c r="C430" s="112" t="s">
        <v>1095</v>
      </c>
      <c r="D430" s="113">
        <v>10348451</v>
      </c>
      <c r="E430" s="115">
        <v>43949</v>
      </c>
      <c r="F430" s="114">
        <v>202101</v>
      </c>
      <c r="G430" s="112" t="s">
        <v>1091</v>
      </c>
      <c r="H430" s="112" t="s">
        <v>1015</v>
      </c>
      <c r="I430" s="112" t="s">
        <v>1096</v>
      </c>
      <c r="J430" s="112" t="s">
        <v>1191</v>
      </c>
      <c r="K430" s="112" t="s">
        <v>1098</v>
      </c>
      <c r="L430" s="116">
        <v>153.52000000000001</v>
      </c>
    </row>
    <row r="431" spans="1:12" hidden="1" outlineLevel="1" collapsed="1" x14ac:dyDescent="0.35">
      <c r="A431" s="112" t="s">
        <v>1185</v>
      </c>
      <c r="B431" s="112" t="s">
        <v>897</v>
      </c>
      <c r="C431" s="112" t="s">
        <v>1095</v>
      </c>
      <c r="D431" s="113">
        <v>10348451</v>
      </c>
      <c r="E431" s="115">
        <v>43949</v>
      </c>
      <c r="F431" s="114">
        <v>202101</v>
      </c>
      <c r="G431" s="112" t="s">
        <v>1091</v>
      </c>
      <c r="H431" s="112" t="s">
        <v>1015</v>
      </c>
      <c r="I431" s="112" t="s">
        <v>1096</v>
      </c>
      <c r="J431" s="112" t="s">
        <v>1191</v>
      </c>
      <c r="K431" s="112" t="s">
        <v>1098</v>
      </c>
      <c r="L431" s="116">
        <v>143.75</v>
      </c>
    </row>
    <row r="432" spans="1:12" hidden="1" outlineLevel="1" collapsed="1" x14ac:dyDescent="0.35">
      <c r="A432" s="112" t="s">
        <v>1185</v>
      </c>
      <c r="B432" s="112" t="s">
        <v>897</v>
      </c>
      <c r="C432" s="112" t="s">
        <v>1095</v>
      </c>
      <c r="D432" s="113">
        <v>10348451</v>
      </c>
      <c r="E432" s="115">
        <v>43949</v>
      </c>
      <c r="F432" s="114">
        <v>202101</v>
      </c>
      <c r="G432" s="112" t="s">
        <v>1091</v>
      </c>
      <c r="H432" s="112" t="s">
        <v>1015</v>
      </c>
      <c r="I432" s="112" t="s">
        <v>1101</v>
      </c>
      <c r="J432" s="112" t="s">
        <v>1191</v>
      </c>
      <c r="K432" s="112" t="s">
        <v>1098</v>
      </c>
      <c r="L432" s="116">
        <v>270.82</v>
      </c>
    </row>
    <row r="433" spans="1:12" hidden="1" outlineLevel="1" collapsed="1" x14ac:dyDescent="0.35">
      <c r="A433" s="112" t="s">
        <v>1185</v>
      </c>
      <c r="B433" s="112" t="s">
        <v>897</v>
      </c>
      <c r="C433" s="112" t="s">
        <v>1095</v>
      </c>
      <c r="D433" s="113">
        <v>10348451</v>
      </c>
      <c r="E433" s="115">
        <v>43949</v>
      </c>
      <c r="F433" s="114">
        <v>202101</v>
      </c>
      <c r="G433" s="112" t="s">
        <v>1091</v>
      </c>
      <c r="H433" s="112" t="s">
        <v>1015</v>
      </c>
      <c r="I433" s="112" t="s">
        <v>1101</v>
      </c>
      <c r="J433" s="112" t="s">
        <v>1191</v>
      </c>
      <c r="K433" s="112" t="s">
        <v>1098</v>
      </c>
      <c r="L433" s="116">
        <v>256.54000000000002</v>
      </c>
    </row>
    <row r="434" spans="1:12" hidden="1" outlineLevel="1" collapsed="1" x14ac:dyDescent="0.35">
      <c r="A434" s="112" t="s">
        <v>1185</v>
      </c>
      <c r="B434" s="112" t="s">
        <v>897</v>
      </c>
      <c r="C434" s="112" t="s">
        <v>1095</v>
      </c>
      <c r="D434" s="113">
        <v>10348451</v>
      </c>
      <c r="E434" s="115">
        <v>43949</v>
      </c>
      <c r="F434" s="114">
        <v>202101</v>
      </c>
      <c r="G434" s="112" t="s">
        <v>1091</v>
      </c>
      <c r="H434" s="112" t="s">
        <v>1015</v>
      </c>
      <c r="I434" s="112" t="s">
        <v>1101</v>
      </c>
      <c r="J434" s="112" t="s">
        <v>1191</v>
      </c>
      <c r="K434" s="112" t="s">
        <v>1098</v>
      </c>
      <c r="L434" s="116">
        <v>287.33</v>
      </c>
    </row>
    <row r="435" spans="1:12" hidden="1" outlineLevel="1" collapsed="1" x14ac:dyDescent="0.35">
      <c r="A435" s="112" t="s">
        <v>1185</v>
      </c>
      <c r="B435" s="112" t="s">
        <v>1192</v>
      </c>
      <c r="C435" s="112" t="s">
        <v>1095</v>
      </c>
      <c r="D435" s="113">
        <v>10348451</v>
      </c>
      <c r="E435" s="115">
        <v>43949</v>
      </c>
      <c r="F435" s="114">
        <v>202101</v>
      </c>
      <c r="G435" s="112" t="s">
        <v>1091</v>
      </c>
      <c r="H435" s="112" t="s">
        <v>1015</v>
      </c>
      <c r="I435" s="112" t="s">
        <v>1101</v>
      </c>
      <c r="J435" s="112" t="s">
        <v>1198</v>
      </c>
      <c r="K435" s="112" t="s">
        <v>1098</v>
      </c>
      <c r="L435" s="116">
        <v>426.26</v>
      </c>
    </row>
    <row r="436" spans="1:12" hidden="1" outlineLevel="1" collapsed="1" x14ac:dyDescent="0.35">
      <c r="A436" s="112" t="s">
        <v>1185</v>
      </c>
      <c r="B436" s="112" t="s">
        <v>897</v>
      </c>
      <c r="C436" s="112" t="s">
        <v>695</v>
      </c>
      <c r="D436" s="113">
        <v>10348207</v>
      </c>
      <c r="E436" s="115">
        <v>43935</v>
      </c>
      <c r="F436" s="114">
        <v>202101</v>
      </c>
      <c r="G436" s="112" t="s">
        <v>1091</v>
      </c>
      <c r="H436" s="112" t="s">
        <v>1016</v>
      </c>
      <c r="I436" s="112" t="s">
        <v>779</v>
      </c>
      <c r="J436" s="112" t="s">
        <v>1186</v>
      </c>
      <c r="K436" s="112" t="s">
        <v>1281</v>
      </c>
      <c r="L436" s="116">
        <v>-28.29</v>
      </c>
    </row>
    <row r="437" spans="1:12" hidden="1" outlineLevel="1" collapsed="1" x14ac:dyDescent="0.35">
      <c r="A437" s="112" t="s">
        <v>1185</v>
      </c>
      <c r="B437" s="112" t="s">
        <v>897</v>
      </c>
      <c r="C437" s="112" t="s">
        <v>1095</v>
      </c>
      <c r="D437" s="113">
        <v>10348451</v>
      </c>
      <c r="E437" s="115">
        <v>43949</v>
      </c>
      <c r="F437" s="114">
        <v>202101</v>
      </c>
      <c r="G437" s="112" t="s">
        <v>1091</v>
      </c>
      <c r="H437" s="112" t="s">
        <v>1015</v>
      </c>
      <c r="I437" s="112" t="s">
        <v>1101</v>
      </c>
      <c r="J437" s="112" t="s">
        <v>1191</v>
      </c>
      <c r="K437" s="112" t="s">
        <v>1098</v>
      </c>
      <c r="L437" s="116">
        <v>426.26</v>
      </c>
    </row>
    <row r="438" spans="1:12" hidden="1" outlineLevel="1" collapsed="1" x14ac:dyDescent="0.35">
      <c r="A438" s="112" t="s">
        <v>1185</v>
      </c>
      <c r="B438" s="112" t="s">
        <v>897</v>
      </c>
      <c r="C438" s="112" t="s">
        <v>695</v>
      </c>
      <c r="D438" s="113">
        <v>10348215</v>
      </c>
      <c r="E438" s="115">
        <v>43935</v>
      </c>
      <c r="F438" s="114">
        <v>202101</v>
      </c>
      <c r="G438" s="112" t="s">
        <v>1091</v>
      </c>
      <c r="H438" s="112" t="s">
        <v>1016</v>
      </c>
      <c r="I438" s="112" t="s">
        <v>779</v>
      </c>
      <c r="J438" s="112" t="s">
        <v>1186</v>
      </c>
      <c r="K438" s="112" t="s">
        <v>1290</v>
      </c>
      <c r="L438" s="116">
        <v>545.15</v>
      </c>
    </row>
    <row r="439" spans="1:12" hidden="1" outlineLevel="1" collapsed="1" x14ac:dyDescent="0.35">
      <c r="A439" s="112" t="s">
        <v>1185</v>
      </c>
      <c r="B439" s="112" t="s">
        <v>897</v>
      </c>
      <c r="C439" s="112" t="s">
        <v>1095</v>
      </c>
      <c r="D439" s="113">
        <v>10348451</v>
      </c>
      <c r="E439" s="115">
        <v>43949</v>
      </c>
      <c r="F439" s="114">
        <v>202101</v>
      </c>
      <c r="G439" s="112" t="s">
        <v>1091</v>
      </c>
      <c r="H439" s="112" t="s">
        <v>1015</v>
      </c>
      <c r="I439" s="112" t="s">
        <v>1096</v>
      </c>
      <c r="J439" s="112" t="s">
        <v>1186</v>
      </c>
      <c r="K439" s="112" t="s">
        <v>1098</v>
      </c>
      <c r="L439" s="116">
        <v>51.28</v>
      </c>
    </row>
    <row r="440" spans="1:12" hidden="1" outlineLevel="1" collapsed="1" x14ac:dyDescent="0.35">
      <c r="A440" s="112" t="s">
        <v>1185</v>
      </c>
      <c r="B440" s="112" t="s">
        <v>897</v>
      </c>
      <c r="C440" s="112" t="s">
        <v>695</v>
      </c>
      <c r="D440" s="113">
        <v>10348215</v>
      </c>
      <c r="E440" s="115">
        <v>43935</v>
      </c>
      <c r="F440" s="114">
        <v>202101</v>
      </c>
      <c r="G440" s="112" t="s">
        <v>1091</v>
      </c>
      <c r="H440" s="112" t="s">
        <v>1016</v>
      </c>
      <c r="I440" s="112" t="s">
        <v>779</v>
      </c>
      <c r="J440" s="112" t="s">
        <v>1186</v>
      </c>
      <c r="K440" s="112" t="s">
        <v>1282</v>
      </c>
      <c r="L440" s="116">
        <v>28.29</v>
      </c>
    </row>
    <row r="441" spans="1:12" hidden="1" outlineLevel="1" collapsed="1" x14ac:dyDescent="0.35">
      <c r="A441" s="112" t="s">
        <v>1185</v>
      </c>
      <c r="B441" s="112" t="s">
        <v>897</v>
      </c>
      <c r="C441" s="112" t="s">
        <v>695</v>
      </c>
      <c r="D441" s="113">
        <v>10348215</v>
      </c>
      <c r="E441" s="115">
        <v>43935</v>
      </c>
      <c r="F441" s="114">
        <v>202101</v>
      </c>
      <c r="G441" s="112" t="s">
        <v>1091</v>
      </c>
      <c r="H441" s="112" t="s">
        <v>1016</v>
      </c>
      <c r="I441" s="112" t="s">
        <v>779</v>
      </c>
      <c r="J441" s="112" t="s">
        <v>1186</v>
      </c>
      <c r="K441" s="112" t="s">
        <v>1281</v>
      </c>
      <c r="L441" s="116">
        <v>28.29</v>
      </c>
    </row>
    <row r="442" spans="1:12" hidden="1" outlineLevel="1" collapsed="1" x14ac:dyDescent="0.35">
      <c r="A442" s="112" t="s">
        <v>1185</v>
      </c>
      <c r="B442" s="112" t="s">
        <v>897</v>
      </c>
      <c r="C442" s="112" t="s">
        <v>695</v>
      </c>
      <c r="D442" s="113">
        <v>10348215</v>
      </c>
      <c r="E442" s="115">
        <v>43935</v>
      </c>
      <c r="F442" s="114">
        <v>202101</v>
      </c>
      <c r="G442" s="112" t="s">
        <v>1091</v>
      </c>
      <c r="H442" s="112" t="s">
        <v>1016</v>
      </c>
      <c r="I442" s="112" t="s">
        <v>779</v>
      </c>
      <c r="J442" s="112" t="s">
        <v>1186</v>
      </c>
      <c r="K442" s="112" t="s">
        <v>1296</v>
      </c>
      <c r="L442" s="116">
        <v>1240.7</v>
      </c>
    </row>
    <row r="443" spans="1:12" hidden="1" outlineLevel="1" collapsed="1" x14ac:dyDescent="0.35">
      <c r="A443" s="112" t="s">
        <v>1185</v>
      </c>
      <c r="B443" s="112" t="s">
        <v>897</v>
      </c>
      <c r="C443" s="112" t="s">
        <v>1095</v>
      </c>
      <c r="D443" s="113">
        <v>10348451</v>
      </c>
      <c r="E443" s="115">
        <v>43949</v>
      </c>
      <c r="F443" s="114">
        <v>202101</v>
      </c>
      <c r="G443" s="112" t="s">
        <v>1091</v>
      </c>
      <c r="H443" s="112" t="s">
        <v>1015</v>
      </c>
      <c r="I443" s="112" t="s">
        <v>1101</v>
      </c>
      <c r="J443" s="112" t="s">
        <v>1191</v>
      </c>
      <c r="K443" s="112" t="s">
        <v>1098</v>
      </c>
      <c r="L443" s="116">
        <v>292.83</v>
      </c>
    </row>
    <row r="444" spans="1:12" hidden="1" outlineLevel="1" collapsed="1" x14ac:dyDescent="0.35">
      <c r="A444" s="112" t="s">
        <v>1185</v>
      </c>
      <c r="B444" s="112" t="s">
        <v>897</v>
      </c>
      <c r="C444" s="112" t="s">
        <v>695</v>
      </c>
      <c r="D444" s="113">
        <v>10348215</v>
      </c>
      <c r="E444" s="115">
        <v>43935</v>
      </c>
      <c r="F444" s="114">
        <v>202101</v>
      </c>
      <c r="G444" s="112" t="s">
        <v>1091</v>
      </c>
      <c r="H444" s="112" t="s">
        <v>1016</v>
      </c>
      <c r="I444" s="112" t="s">
        <v>779</v>
      </c>
      <c r="J444" s="112" t="s">
        <v>1186</v>
      </c>
      <c r="K444" s="112" t="s">
        <v>1283</v>
      </c>
      <c r="L444" s="116">
        <v>917.6</v>
      </c>
    </row>
    <row r="445" spans="1:12" hidden="1" outlineLevel="1" collapsed="1" x14ac:dyDescent="0.35">
      <c r="A445" s="112" t="s">
        <v>1185</v>
      </c>
      <c r="B445" s="112" t="s">
        <v>897</v>
      </c>
      <c r="C445" s="112" t="s">
        <v>695</v>
      </c>
      <c r="D445" s="113">
        <v>10348215</v>
      </c>
      <c r="E445" s="115">
        <v>43935</v>
      </c>
      <c r="F445" s="114">
        <v>202101</v>
      </c>
      <c r="G445" s="112" t="s">
        <v>1091</v>
      </c>
      <c r="H445" s="112" t="s">
        <v>1016</v>
      </c>
      <c r="I445" s="112" t="s">
        <v>779</v>
      </c>
      <c r="J445" s="112" t="s">
        <v>1186</v>
      </c>
      <c r="K445" s="112" t="s">
        <v>1297</v>
      </c>
      <c r="L445" s="116">
        <v>4703.22</v>
      </c>
    </row>
    <row r="446" spans="1:12" hidden="1" outlineLevel="1" collapsed="1" x14ac:dyDescent="0.35">
      <c r="A446" s="112" t="s">
        <v>1185</v>
      </c>
      <c r="B446" s="112" t="s">
        <v>897</v>
      </c>
      <c r="C446" s="112" t="s">
        <v>695</v>
      </c>
      <c r="D446" s="113">
        <v>10348215</v>
      </c>
      <c r="E446" s="115">
        <v>43935</v>
      </c>
      <c r="F446" s="114">
        <v>202101</v>
      </c>
      <c r="G446" s="112" t="s">
        <v>1091</v>
      </c>
      <c r="H446" s="112" t="s">
        <v>1016</v>
      </c>
      <c r="I446" s="112" t="s">
        <v>779</v>
      </c>
      <c r="J446" s="112" t="s">
        <v>1186</v>
      </c>
      <c r="K446" s="112" t="s">
        <v>1298</v>
      </c>
      <c r="L446" s="116">
        <v>1304.5899999999999</v>
      </c>
    </row>
    <row r="447" spans="1:12" hidden="1" outlineLevel="1" collapsed="1" x14ac:dyDescent="0.35">
      <c r="A447" s="112" t="s">
        <v>1185</v>
      </c>
      <c r="B447" s="112" t="s">
        <v>898</v>
      </c>
      <c r="C447" s="112" t="s">
        <v>1095</v>
      </c>
      <c r="D447" s="113">
        <v>10348451</v>
      </c>
      <c r="E447" s="115">
        <v>43949</v>
      </c>
      <c r="F447" s="114">
        <v>202101</v>
      </c>
      <c r="G447" s="112" t="s">
        <v>1091</v>
      </c>
      <c r="H447" s="112" t="s">
        <v>1015</v>
      </c>
      <c r="I447" s="112" t="s">
        <v>1101</v>
      </c>
      <c r="J447" s="112" t="s">
        <v>1207</v>
      </c>
      <c r="K447" s="112" t="s">
        <v>1098</v>
      </c>
      <c r="L447" s="116">
        <v>296.79000000000002</v>
      </c>
    </row>
    <row r="448" spans="1:12" hidden="1" outlineLevel="1" collapsed="1" x14ac:dyDescent="0.35">
      <c r="A448" s="112" t="s">
        <v>1185</v>
      </c>
      <c r="B448" s="112" t="s">
        <v>897</v>
      </c>
      <c r="C448" s="112" t="s">
        <v>695</v>
      </c>
      <c r="D448" s="113">
        <v>10348215</v>
      </c>
      <c r="E448" s="115">
        <v>43935</v>
      </c>
      <c r="F448" s="114">
        <v>202101</v>
      </c>
      <c r="G448" s="112" t="s">
        <v>1091</v>
      </c>
      <c r="H448" s="112" t="s">
        <v>1016</v>
      </c>
      <c r="I448" s="112" t="s">
        <v>779</v>
      </c>
      <c r="J448" s="112" t="s">
        <v>1186</v>
      </c>
      <c r="K448" s="112" t="s">
        <v>1299</v>
      </c>
      <c r="L448" s="116">
        <v>1465.01</v>
      </c>
    </row>
    <row r="449" spans="1:12" hidden="1" outlineLevel="1" collapsed="1" x14ac:dyDescent="0.35">
      <c r="A449" s="112" t="s">
        <v>1185</v>
      </c>
      <c r="B449" s="112" t="s">
        <v>897</v>
      </c>
      <c r="C449" s="112" t="s">
        <v>695</v>
      </c>
      <c r="D449" s="113">
        <v>10348215</v>
      </c>
      <c r="E449" s="115">
        <v>43935</v>
      </c>
      <c r="F449" s="114">
        <v>202101</v>
      </c>
      <c r="G449" s="112" t="s">
        <v>1091</v>
      </c>
      <c r="H449" s="112" t="s">
        <v>1016</v>
      </c>
      <c r="I449" s="112" t="s">
        <v>779</v>
      </c>
      <c r="J449" s="112" t="s">
        <v>1186</v>
      </c>
      <c r="K449" s="112" t="s">
        <v>1290</v>
      </c>
      <c r="L449" s="116">
        <v>545.15</v>
      </c>
    </row>
    <row r="450" spans="1:12" hidden="1" outlineLevel="1" collapsed="1" x14ac:dyDescent="0.35">
      <c r="A450" s="112" t="s">
        <v>1185</v>
      </c>
      <c r="B450" s="112" t="s">
        <v>897</v>
      </c>
      <c r="C450" s="112" t="s">
        <v>695</v>
      </c>
      <c r="D450" s="113">
        <v>10348215</v>
      </c>
      <c r="E450" s="115">
        <v>43935</v>
      </c>
      <c r="F450" s="114">
        <v>202101</v>
      </c>
      <c r="G450" s="112" t="s">
        <v>1091</v>
      </c>
      <c r="H450" s="112" t="s">
        <v>1016</v>
      </c>
      <c r="I450" s="112" t="s">
        <v>779</v>
      </c>
      <c r="J450" s="112" t="s">
        <v>1186</v>
      </c>
      <c r="K450" s="112" t="s">
        <v>1289</v>
      </c>
      <c r="L450" s="116">
        <v>1833.02</v>
      </c>
    </row>
    <row r="451" spans="1:12" hidden="1" outlineLevel="1" collapsed="1" x14ac:dyDescent="0.35">
      <c r="A451" s="112" t="s">
        <v>1185</v>
      </c>
      <c r="B451" s="112" t="s">
        <v>895</v>
      </c>
      <c r="C451" s="112" t="s">
        <v>1095</v>
      </c>
      <c r="D451" s="113">
        <v>10348451</v>
      </c>
      <c r="E451" s="115">
        <v>43949</v>
      </c>
      <c r="F451" s="114">
        <v>202101</v>
      </c>
      <c r="G451" s="112" t="s">
        <v>1091</v>
      </c>
      <c r="H451" s="112" t="s">
        <v>1015</v>
      </c>
      <c r="I451" s="112" t="s">
        <v>1096</v>
      </c>
      <c r="J451" s="112" t="s">
        <v>1239</v>
      </c>
      <c r="K451" s="112" t="s">
        <v>1098</v>
      </c>
      <c r="L451" s="116">
        <v>206.64</v>
      </c>
    </row>
    <row r="452" spans="1:12" hidden="1" outlineLevel="1" collapsed="1" x14ac:dyDescent="0.35">
      <c r="A452" s="112" t="s">
        <v>1185</v>
      </c>
      <c r="B452" s="112" t="s">
        <v>897</v>
      </c>
      <c r="C452" s="112" t="s">
        <v>695</v>
      </c>
      <c r="D452" s="113">
        <v>10348215</v>
      </c>
      <c r="E452" s="115">
        <v>43935</v>
      </c>
      <c r="F452" s="114">
        <v>202101</v>
      </c>
      <c r="G452" s="112" t="s">
        <v>1091</v>
      </c>
      <c r="H452" s="112" t="s">
        <v>1016</v>
      </c>
      <c r="I452" s="112" t="s">
        <v>779</v>
      </c>
      <c r="J452" s="112" t="s">
        <v>1186</v>
      </c>
      <c r="K452" s="112" t="s">
        <v>1298</v>
      </c>
      <c r="L452" s="116">
        <v>1304.5899999999999</v>
      </c>
    </row>
    <row r="453" spans="1:12" hidden="1" outlineLevel="1" collapsed="1" x14ac:dyDescent="0.35">
      <c r="A453" s="112" t="s">
        <v>1185</v>
      </c>
      <c r="B453" s="112" t="s">
        <v>897</v>
      </c>
      <c r="C453" s="112" t="s">
        <v>695</v>
      </c>
      <c r="D453" s="113">
        <v>10348215</v>
      </c>
      <c r="E453" s="115">
        <v>43935</v>
      </c>
      <c r="F453" s="114">
        <v>202101</v>
      </c>
      <c r="G453" s="112" t="s">
        <v>1091</v>
      </c>
      <c r="H453" s="112" t="s">
        <v>1016</v>
      </c>
      <c r="I453" s="112" t="s">
        <v>779</v>
      </c>
      <c r="J453" s="112" t="s">
        <v>1186</v>
      </c>
      <c r="K453" s="112" t="s">
        <v>1299</v>
      </c>
      <c r="L453" s="116">
        <v>1465.01</v>
      </c>
    </row>
    <row r="454" spans="1:12" hidden="1" outlineLevel="1" collapsed="1" x14ac:dyDescent="0.35">
      <c r="A454" s="112" t="s">
        <v>1185</v>
      </c>
      <c r="B454" s="112" t="s">
        <v>897</v>
      </c>
      <c r="C454" s="112" t="s">
        <v>695</v>
      </c>
      <c r="D454" s="113">
        <v>10348215</v>
      </c>
      <c r="E454" s="115">
        <v>43935</v>
      </c>
      <c r="F454" s="114">
        <v>202101</v>
      </c>
      <c r="G454" s="112" t="s">
        <v>1091</v>
      </c>
      <c r="H454" s="112" t="s">
        <v>1016</v>
      </c>
      <c r="I454" s="112" t="s">
        <v>779</v>
      </c>
      <c r="J454" s="112" t="s">
        <v>1186</v>
      </c>
      <c r="K454" s="112" t="s">
        <v>1296</v>
      </c>
      <c r="L454" s="116">
        <v>1240.7</v>
      </c>
    </row>
    <row r="455" spans="1:12" hidden="1" outlineLevel="1" collapsed="1" x14ac:dyDescent="0.35">
      <c r="A455" s="112" t="s">
        <v>1185</v>
      </c>
      <c r="B455" s="112" t="s">
        <v>897</v>
      </c>
      <c r="C455" s="112" t="s">
        <v>695</v>
      </c>
      <c r="D455" s="113">
        <v>10348215</v>
      </c>
      <c r="E455" s="115">
        <v>43935</v>
      </c>
      <c r="F455" s="114">
        <v>202101</v>
      </c>
      <c r="G455" s="112" t="s">
        <v>1091</v>
      </c>
      <c r="H455" s="112" t="s">
        <v>1016</v>
      </c>
      <c r="I455" s="112" t="s">
        <v>779</v>
      </c>
      <c r="J455" s="112" t="s">
        <v>1186</v>
      </c>
      <c r="K455" s="112" t="s">
        <v>1297</v>
      </c>
      <c r="L455" s="116">
        <v>4703.22</v>
      </c>
    </row>
    <row r="456" spans="1:12" hidden="1" outlineLevel="1" collapsed="1" x14ac:dyDescent="0.35">
      <c r="A456" s="112" t="s">
        <v>1185</v>
      </c>
      <c r="B456" s="112" t="s">
        <v>897</v>
      </c>
      <c r="C456" s="112" t="s">
        <v>1095</v>
      </c>
      <c r="D456" s="113">
        <v>10348451</v>
      </c>
      <c r="E456" s="115">
        <v>43949</v>
      </c>
      <c r="F456" s="114">
        <v>202101</v>
      </c>
      <c r="G456" s="112" t="s">
        <v>1091</v>
      </c>
      <c r="H456" s="112" t="s">
        <v>1015</v>
      </c>
      <c r="I456" s="112" t="s">
        <v>1101</v>
      </c>
      <c r="J456" s="112" t="s">
        <v>1191</v>
      </c>
      <c r="K456" s="112" t="s">
        <v>1098</v>
      </c>
      <c r="L456" s="116">
        <v>315</v>
      </c>
    </row>
    <row r="457" spans="1:12" hidden="1" outlineLevel="1" collapsed="1" x14ac:dyDescent="0.35">
      <c r="A457" s="112" t="s">
        <v>1185</v>
      </c>
      <c r="B457" s="112" t="s">
        <v>897</v>
      </c>
      <c r="C457" s="112" t="s">
        <v>695</v>
      </c>
      <c r="D457" s="113">
        <v>10348215</v>
      </c>
      <c r="E457" s="115">
        <v>43935</v>
      </c>
      <c r="F457" s="114">
        <v>202101</v>
      </c>
      <c r="G457" s="112" t="s">
        <v>1091</v>
      </c>
      <c r="H457" s="112" t="s">
        <v>1016</v>
      </c>
      <c r="I457" s="112" t="s">
        <v>779</v>
      </c>
      <c r="J457" s="112" t="s">
        <v>1186</v>
      </c>
      <c r="K457" s="112" t="s">
        <v>1289</v>
      </c>
      <c r="L457" s="116">
        <v>1833.02</v>
      </c>
    </row>
    <row r="458" spans="1:12" hidden="1" outlineLevel="1" collapsed="1" x14ac:dyDescent="0.35">
      <c r="A458" s="112" t="s">
        <v>1185</v>
      </c>
      <c r="B458" s="112" t="s">
        <v>897</v>
      </c>
      <c r="C458" s="112" t="s">
        <v>695</v>
      </c>
      <c r="D458" s="113">
        <v>10348215</v>
      </c>
      <c r="E458" s="115">
        <v>43935</v>
      </c>
      <c r="F458" s="114">
        <v>202101</v>
      </c>
      <c r="G458" s="112" t="s">
        <v>1091</v>
      </c>
      <c r="H458" s="112" t="s">
        <v>1016</v>
      </c>
      <c r="I458" s="112" t="s">
        <v>779</v>
      </c>
      <c r="J458" s="112" t="s">
        <v>1186</v>
      </c>
      <c r="K458" s="112" t="s">
        <v>1295</v>
      </c>
      <c r="L458" s="116">
        <v>1348.05</v>
      </c>
    </row>
    <row r="459" spans="1:12" hidden="1" outlineLevel="1" collapsed="1" x14ac:dyDescent="0.35">
      <c r="A459" s="112" t="s">
        <v>1185</v>
      </c>
      <c r="B459" s="112" t="s">
        <v>897</v>
      </c>
      <c r="C459" s="112" t="s">
        <v>695</v>
      </c>
      <c r="D459" s="113">
        <v>10348215</v>
      </c>
      <c r="E459" s="115">
        <v>43935</v>
      </c>
      <c r="F459" s="114">
        <v>202101</v>
      </c>
      <c r="G459" s="112" t="s">
        <v>1091</v>
      </c>
      <c r="H459" s="112" t="s">
        <v>1016</v>
      </c>
      <c r="I459" s="112" t="s">
        <v>779</v>
      </c>
      <c r="J459" s="112" t="s">
        <v>1186</v>
      </c>
      <c r="K459" s="112" t="s">
        <v>1295</v>
      </c>
      <c r="L459" s="116">
        <v>1348.05</v>
      </c>
    </row>
    <row r="460" spans="1:12" hidden="1" outlineLevel="1" collapsed="1" x14ac:dyDescent="0.35">
      <c r="A460" s="112" t="s">
        <v>1185</v>
      </c>
      <c r="B460" s="112" t="s">
        <v>897</v>
      </c>
      <c r="C460" s="112" t="s">
        <v>695</v>
      </c>
      <c r="D460" s="113">
        <v>10348215</v>
      </c>
      <c r="E460" s="115">
        <v>43935</v>
      </c>
      <c r="F460" s="114">
        <v>202101</v>
      </c>
      <c r="G460" s="112" t="s">
        <v>1091</v>
      </c>
      <c r="H460" s="112" t="s">
        <v>1016</v>
      </c>
      <c r="I460" s="112" t="s">
        <v>779</v>
      </c>
      <c r="J460" s="112" t="s">
        <v>1186</v>
      </c>
      <c r="K460" s="112" t="s">
        <v>1284</v>
      </c>
      <c r="L460" s="116">
        <v>1952.17</v>
      </c>
    </row>
    <row r="461" spans="1:12" hidden="1" outlineLevel="1" collapsed="1" x14ac:dyDescent="0.35">
      <c r="A461" s="112" t="s">
        <v>1185</v>
      </c>
      <c r="B461" s="112" t="s">
        <v>897</v>
      </c>
      <c r="C461" s="112" t="s">
        <v>695</v>
      </c>
      <c r="D461" s="113">
        <v>10348215</v>
      </c>
      <c r="E461" s="115">
        <v>43935</v>
      </c>
      <c r="F461" s="114">
        <v>202101</v>
      </c>
      <c r="G461" s="112" t="s">
        <v>1091</v>
      </c>
      <c r="H461" s="112" t="s">
        <v>1016</v>
      </c>
      <c r="I461" s="112" t="s">
        <v>779</v>
      </c>
      <c r="J461" s="112" t="s">
        <v>1186</v>
      </c>
      <c r="K461" s="112" t="s">
        <v>1285</v>
      </c>
      <c r="L461" s="116">
        <v>154.49</v>
      </c>
    </row>
    <row r="462" spans="1:12" hidden="1" outlineLevel="1" collapsed="1" x14ac:dyDescent="0.35">
      <c r="A462" s="112" t="s">
        <v>1185</v>
      </c>
      <c r="B462" s="112" t="s">
        <v>896</v>
      </c>
      <c r="C462" s="112" t="s">
        <v>1095</v>
      </c>
      <c r="D462" s="113">
        <v>10348451</v>
      </c>
      <c r="E462" s="115">
        <v>43949</v>
      </c>
      <c r="F462" s="114">
        <v>202101</v>
      </c>
      <c r="G462" s="112" t="s">
        <v>1091</v>
      </c>
      <c r="H462" s="112" t="s">
        <v>1015</v>
      </c>
      <c r="I462" s="112" t="s">
        <v>1101</v>
      </c>
      <c r="J462" s="112" t="s">
        <v>1199</v>
      </c>
      <c r="K462" s="112" t="s">
        <v>1098</v>
      </c>
      <c r="L462" s="116">
        <v>469.93</v>
      </c>
    </row>
    <row r="463" spans="1:12" hidden="1" outlineLevel="1" collapsed="1" x14ac:dyDescent="0.35">
      <c r="A463" s="112" t="s">
        <v>1185</v>
      </c>
      <c r="B463" s="112" t="s">
        <v>895</v>
      </c>
      <c r="C463" s="112" t="s">
        <v>1095</v>
      </c>
      <c r="D463" s="113">
        <v>10348451</v>
      </c>
      <c r="E463" s="115">
        <v>43949</v>
      </c>
      <c r="F463" s="114">
        <v>202101</v>
      </c>
      <c r="G463" s="112" t="s">
        <v>1091</v>
      </c>
      <c r="H463" s="112" t="s">
        <v>1015</v>
      </c>
      <c r="I463" s="112" t="s">
        <v>1096</v>
      </c>
      <c r="J463" s="112" t="s">
        <v>1239</v>
      </c>
      <c r="K463" s="112" t="s">
        <v>1098</v>
      </c>
      <c r="L463" s="116">
        <v>310.49</v>
      </c>
    </row>
    <row r="464" spans="1:12" hidden="1" outlineLevel="1" collapsed="1" x14ac:dyDescent="0.35">
      <c r="A464" s="112" t="s">
        <v>1185</v>
      </c>
      <c r="B464" s="112" t="s">
        <v>898</v>
      </c>
      <c r="C464" s="112" t="s">
        <v>1095</v>
      </c>
      <c r="D464" s="113">
        <v>10348451</v>
      </c>
      <c r="E464" s="115">
        <v>43949</v>
      </c>
      <c r="F464" s="114">
        <v>202101</v>
      </c>
      <c r="G464" s="112" t="s">
        <v>1091</v>
      </c>
      <c r="H464" s="112" t="s">
        <v>1015</v>
      </c>
      <c r="I464" s="112" t="s">
        <v>1101</v>
      </c>
      <c r="J464" s="112" t="s">
        <v>1207</v>
      </c>
      <c r="K464" s="112" t="s">
        <v>1098</v>
      </c>
      <c r="L464" s="116">
        <v>221.73</v>
      </c>
    </row>
    <row r="465" spans="1:12" hidden="1" outlineLevel="1" collapsed="1" x14ac:dyDescent="0.35">
      <c r="A465" s="112" t="s">
        <v>1185</v>
      </c>
      <c r="B465" s="112" t="s">
        <v>897</v>
      </c>
      <c r="C465" s="112" t="s">
        <v>1095</v>
      </c>
      <c r="D465" s="113">
        <v>10348451</v>
      </c>
      <c r="E465" s="115">
        <v>43949</v>
      </c>
      <c r="F465" s="114">
        <v>202101</v>
      </c>
      <c r="G465" s="112" t="s">
        <v>1091</v>
      </c>
      <c r="H465" s="112" t="s">
        <v>1015</v>
      </c>
      <c r="I465" s="112" t="s">
        <v>1101</v>
      </c>
      <c r="J465" s="112" t="s">
        <v>1203</v>
      </c>
      <c r="K465" s="112" t="s">
        <v>1098</v>
      </c>
      <c r="L465" s="116">
        <v>426.26</v>
      </c>
    </row>
    <row r="466" spans="1:12" hidden="1" outlineLevel="1" collapsed="1" x14ac:dyDescent="0.35">
      <c r="A466" s="112" t="s">
        <v>1185</v>
      </c>
      <c r="B466" s="112" t="s">
        <v>897</v>
      </c>
      <c r="C466" s="112" t="s">
        <v>1095</v>
      </c>
      <c r="D466" s="113">
        <v>10348451</v>
      </c>
      <c r="E466" s="115">
        <v>43949</v>
      </c>
      <c r="F466" s="114">
        <v>202101</v>
      </c>
      <c r="G466" s="112" t="s">
        <v>1091</v>
      </c>
      <c r="H466" s="112" t="s">
        <v>1015</v>
      </c>
      <c r="I466" s="112" t="s">
        <v>1096</v>
      </c>
      <c r="J466" s="112" t="s">
        <v>1203</v>
      </c>
      <c r="K466" s="112" t="s">
        <v>1098</v>
      </c>
      <c r="L466" s="116">
        <v>262.10000000000002</v>
      </c>
    </row>
    <row r="467" spans="1:12" hidden="1" outlineLevel="1" collapsed="1" x14ac:dyDescent="0.35">
      <c r="A467" s="112" t="s">
        <v>1185</v>
      </c>
      <c r="B467" s="112" t="s">
        <v>897</v>
      </c>
      <c r="C467" s="112" t="s">
        <v>1095</v>
      </c>
      <c r="D467" s="113">
        <v>10348451</v>
      </c>
      <c r="E467" s="115">
        <v>43949</v>
      </c>
      <c r="F467" s="114">
        <v>202101</v>
      </c>
      <c r="G467" s="112" t="s">
        <v>1091</v>
      </c>
      <c r="H467" s="112" t="s">
        <v>1015</v>
      </c>
      <c r="I467" s="112" t="s">
        <v>1101</v>
      </c>
      <c r="J467" s="112" t="s">
        <v>1191</v>
      </c>
      <c r="K467" s="112" t="s">
        <v>1098</v>
      </c>
      <c r="L467" s="116">
        <v>266.81</v>
      </c>
    </row>
    <row r="468" spans="1:12" hidden="1" outlineLevel="1" collapsed="1" x14ac:dyDescent="0.35">
      <c r="A468" s="112" t="s">
        <v>1185</v>
      </c>
      <c r="B468" s="112" t="s">
        <v>897</v>
      </c>
      <c r="C468" s="112" t="s">
        <v>1095</v>
      </c>
      <c r="D468" s="113">
        <v>10348451</v>
      </c>
      <c r="E468" s="115">
        <v>43949</v>
      </c>
      <c r="F468" s="114">
        <v>202101</v>
      </c>
      <c r="G468" s="112" t="s">
        <v>1091</v>
      </c>
      <c r="H468" s="112" t="s">
        <v>1015</v>
      </c>
      <c r="I468" s="112" t="s">
        <v>1101</v>
      </c>
      <c r="J468" s="112" t="s">
        <v>1191</v>
      </c>
      <c r="K468" s="112" t="s">
        <v>1098</v>
      </c>
      <c r="L468" s="116">
        <v>369.95</v>
      </c>
    </row>
    <row r="469" spans="1:12" hidden="1" outlineLevel="1" collapsed="1" x14ac:dyDescent="0.35">
      <c r="A469" s="112" t="s">
        <v>1185</v>
      </c>
      <c r="B469" s="112" t="s">
        <v>897</v>
      </c>
      <c r="C469" s="112" t="s">
        <v>695</v>
      </c>
      <c r="D469" s="113">
        <v>10348207</v>
      </c>
      <c r="E469" s="115">
        <v>43935</v>
      </c>
      <c r="F469" s="114">
        <v>202101</v>
      </c>
      <c r="G469" s="112" t="s">
        <v>1091</v>
      </c>
      <c r="H469" s="112" t="s">
        <v>1016</v>
      </c>
      <c r="I469" s="112" t="s">
        <v>779</v>
      </c>
      <c r="J469" s="112" t="s">
        <v>1186</v>
      </c>
      <c r="K469" s="112" t="s">
        <v>1297</v>
      </c>
      <c r="L469" s="116">
        <v>-4703.22</v>
      </c>
    </row>
    <row r="470" spans="1:12" hidden="1" outlineLevel="1" collapsed="1" x14ac:dyDescent="0.35">
      <c r="A470" s="112" t="s">
        <v>1185</v>
      </c>
      <c r="B470" s="112" t="s">
        <v>897</v>
      </c>
      <c r="C470" s="112" t="s">
        <v>695</v>
      </c>
      <c r="D470" s="113">
        <v>10348207</v>
      </c>
      <c r="E470" s="115">
        <v>43935</v>
      </c>
      <c r="F470" s="114">
        <v>202101</v>
      </c>
      <c r="G470" s="112" t="s">
        <v>1091</v>
      </c>
      <c r="H470" s="112" t="s">
        <v>1016</v>
      </c>
      <c r="I470" s="112" t="s">
        <v>779</v>
      </c>
      <c r="J470" s="112" t="s">
        <v>1186</v>
      </c>
      <c r="K470" s="112" t="s">
        <v>1296</v>
      </c>
      <c r="L470" s="116">
        <v>-1240.7</v>
      </c>
    </row>
    <row r="471" spans="1:12" hidden="1" outlineLevel="1" collapsed="1" x14ac:dyDescent="0.35">
      <c r="A471" s="112" t="s">
        <v>1185</v>
      </c>
      <c r="B471" s="112" t="s">
        <v>897</v>
      </c>
      <c r="C471" s="112" t="s">
        <v>695</v>
      </c>
      <c r="D471" s="113">
        <v>10348207</v>
      </c>
      <c r="E471" s="115">
        <v>43935</v>
      </c>
      <c r="F471" s="114">
        <v>202101</v>
      </c>
      <c r="G471" s="112" t="s">
        <v>1091</v>
      </c>
      <c r="H471" s="112" t="s">
        <v>1016</v>
      </c>
      <c r="I471" s="112" t="s">
        <v>779</v>
      </c>
      <c r="J471" s="112" t="s">
        <v>1186</v>
      </c>
      <c r="K471" s="112" t="s">
        <v>1299</v>
      </c>
      <c r="L471" s="116">
        <v>-1465.01</v>
      </c>
    </row>
    <row r="472" spans="1:12" hidden="1" outlineLevel="1" collapsed="1" x14ac:dyDescent="0.35">
      <c r="A472" s="112" t="s">
        <v>1185</v>
      </c>
      <c r="B472" s="112" t="s">
        <v>897</v>
      </c>
      <c r="C472" s="112" t="s">
        <v>695</v>
      </c>
      <c r="D472" s="113">
        <v>10348207</v>
      </c>
      <c r="E472" s="115">
        <v>43935</v>
      </c>
      <c r="F472" s="114">
        <v>202101</v>
      </c>
      <c r="G472" s="112" t="s">
        <v>1091</v>
      </c>
      <c r="H472" s="112" t="s">
        <v>1016</v>
      </c>
      <c r="I472" s="112" t="s">
        <v>779</v>
      </c>
      <c r="J472" s="112" t="s">
        <v>1186</v>
      </c>
      <c r="K472" s="112" t="s">
        <v>1298</v>
      </c>
      <c r="L472" s="116">
        <v>-1304.5899999999999</v>
      </c>
    </row>
    <row r="473" spans="1:12" hidden="1" outlineLevel="1" collapsed="1" x14ac:dyDescent="0.35">
      <c r="A473" s="112" t="s">
        <v>1185</v>
      </c>
      <c r="B473" s="112" t="s">
        <v>897</v>
      </c>
      <c r="C473" s="112" t="s">
        <v>695</v>
      </c>
      <c r="D473" s="113">
        <v>10348207</v>
      </c>
      <c r="E473" s="115">
        <v>43935</v>
      </c>
      <c r="F473" s="114">
        <v>202101</v>
      </c>
      <c r="G473" s="112" t="s">
        <v>1091</v>
      </c>
      <c r="H473" s="112" t="s">
        <v>1016</v>
      </c>
      <c r="I473" s="112" t="s">
        <v>779</v>
      </c>
      <c r="J473" s="112" t="s">
        <v>1186</v>
      </c>
      <c r="K473" s="112" t="s">
        <v>1283</v>
      </c>
      <c r="L473" s="116">
        <v>-917.6</v>
      </c>
    </row>
    <row r="474" spans="1:12" hidden="1" outlineLevel="1" collapsed="1" x14ac:dyDescent="0.35">
      <c r="A474" s="112" t="s">
        <v>1185</v>
      </c>
      <c r="B474" s="112" t="s">
        <v>897</v>
      </c>
      <c r="C474" s="112" t="s">
        <v>695</v>
      </c>
      <c r="D474" s="113">
        <v>10348207</v>
      </c>
      <c r="E474" s="115">
        <v>43935</v>
      </c>
      <c r="F474" s="114">
        <v>202101</v>
      </c>
      <c r="G474" s="112" t="s">
        <v>1091</v>
      </c>
      <c r="H474" s="112" t="s">
        <v>1016</v>
      </c>
      <c r="I474" s="112" t="s">
        <v>779</v>
      </c>
      <c r="J474" s="112" t="s">
        <v>1186</v>
      </c>
      <c r="K474" s="112" t="s">
        <v>1282</v>
      </c>
      <c r="L474" s="116">
        <v>-28.29</v>
      </c>
    </row>
    <row r="475" spans="1:12" hidden="1" outlineLevel="1" collapsed="1" x14ac:dyDescent="0.35">
      <c r="A475" s="112" t="s">
        <v>1185</v>
      </c>
      <c r="B475" s="112" t="s">
        <v>897</v>
      </c>
      <c r="C475" s="112" t="s">
        <v>695</v>
      </c>
      <c r="D475" s="113">
        <v>10348215</v>
      </c>
      <c r="E475" s="115">
        <v>43935</v>
      </c>
      <c r="F475" s="114">
        <v>202101</v>
      </c>
      <c r="G475" s="112" t="s">
        <v>1091</v>
      </c>
      <c r="H475" s="112" t="s">
        <v>1016</v>
      </c>
      <c r="I475" s="112" t="s">
        <v>779</v>
      </c>
      <c r="J475" s="112" t="s">
        <v>1186</v>
      </c>
      <c r="K475" s="112" t="s">
        <v>1280</v>
      </c>
      <c r="L475" s="116">
        <v>133.96</v>
      </c>
    </row>
    <row r="476" spans="1:12" hidden="1" outlineLevel="1" collapsed="1" x14ac:dyDescent="0.35">
      <c r="A476" s="112" t="s">
        <v>1185</v>
      </c>
      <c r="B476" s="112" t="s">
        <v>895</v>
      </c>
      <c r="C476" s="112" t="s">
        <v>1095</v>
      </c>
      <c r="D476" s="113">
        <v>10348451</v>
      </c>
      <c r="E476" s="115">
        <v>43949</v>
      </c>
      <c r="F476" s="114">
        <v>202101</v>
      </c>
      <c r="G476" s="112" t="s">
        <v>1091</v>
      </c>
      <c r="H476" s="112" t="s">
        <v>1015</v>
      </c>
      <c r="I476" s="112" t="s">
        <v>1096</v>
      </c>
      <c r="J476" s="112" t="s">
        <v>1239</v>
      </c>
      <c r="K476" s="112" t="s">
        <v>1098</v>
      </c>
      <c r="L476" s="116">
        <v>310.49</v>
      </c>
    </row>
    <row r="477" spans="1:12" hidden="1" outlineLevel="1" collapsed="1" x14ac:dyDescent="0.35">
      <c r="A477" s="112" t="s">
        <v>1185</v>
      </c>
      <c r="B477" s="112" t="s">
        <v>897</v>
      </c>
      <c r="C477" s="112" t="s">
        <v>1095</v>
      </c>
      <c r="D477" s="113">
        <v>10348451</v>
      </c>
      <c r="E477" s="115">
        <v>43949</v>
      </c>
      <c r="F477" s="114">
        <v>202101</v>
      </c>
      <c r="G477" s="112" t="s">
        <v>1091</v>
      </c>
      <c r="H477" s="112" t="s">
        <v>1015</v>
      </c>
      <c r="I477" s="112" t="s">
        <v>1101</v>
      </c>
      <c r="J477" s="112" t="s">
        <v>1191</v>
      </c>
      <c r="K477" s="112" t="s">
        <v>1098</v>
      </c>
      <c r="L477" s="116">
        <v>549.4</v>
      </c>
    </row>
    <row r="478" spans="1:12" hidden="1" outlineLevel="1" collapsed="1" x14ac:dyDescent="0.35">
      <c r="A478" s="112" t="s">
        <v>1185</v>
      </c>
      <c r="B478" s="112" t="s">
        <v>898</v>
      </c>
      <c r="C478" s="112" t="s">
        <v>1266</v>
      </c>
      <c r="D478" s="113">
        <v>1069547</v>
      </c>
      <c r="E478" s="115">
        <v>43917</v>
      </c>
      <c r="F478" s="114">
        <v>202101</v>
      </c>
      <c r="G478" s="112" t="s">
        <v>1091</v>
      </c>
      <c r="H478" s="112" t="s">
        <v>1015</v>
      </c>
      <c r="I478" s="112" t="s">
        <v>1300</v>
      </c>
      <c r="J478" s="112" t="s">
        <v>1301</v>
      </c>
      <c r="K478" s="112" t="s">
        <v>1302</v>
      </c>
      <c r="L478" s="116">
        <v>1140.25</v>
      </c>
    </row>
    <row r="479" spans="1:12" hidden="1" outlineLevel="1" collapsed="1" x14ac:dyDescent="0.35">
      <c r="A479" s="112" t="s">
        <v>1185</v>
      </c>
      <c r="B479" s="112" t="s">
        <v>897</v>
      </c>
      <c r="C479" s="112" t="s">
        <v>1099</v>
      </c>
      <c r="D479" s="113">
        <v>1069617</v>
      </c>
      <c r="E479" s="115">
        <v>43895</v>
      </c>
      <c r="F479" s="114">
        <v>202101</v>
      </c>
      <c r="G479" s="112" t="s">
        <v>1091</v>
      </c>
      <c r="H479" s="112" t="s">
        <v>1015</v>
      </c>
      <c r="I479" s="112" t="s">
        <v>1124</v>
      </c>
      <c r="J479" s="112" t="s">
        <v>1186</v>
      </c>
      <c r="K479" s="112" t="s">
        <v>1303</v>
      </c>
      <c r="L479" s="116">
        <v>96</v>
      </c>
    </row>
    <row r="480" spans="1:12" hidden="1" outlineLevel="1" collapsed="1" x14ac:dyDescent="0.35">
      <c r="A480" s="112" t="s">
        <v>1185</v>
      </c>
      <c r="B480" s="112" t="s">
        <v>897</v>
      </c>
      <c r="C480" s="112" t="s">
        <v>1099</v>
      </c>
      <c r="D480" s="113">
        <v>1069618</v>
      </c>
      <c r="E480" s="115">
        <v>43909</v>
      </c>
      <c r="F480" s="114">
        <v>202101</v>
      </c>
      <c r="G480" s="112" t="s">
        <v>1091</v>
      </c>
      <c r="H480" s="112" t="s">
        <v>1015</v>
      </c>
      <c r="I480" s="112" t="s">
        <v>1124</v>
      </c>
      <c r="J480" s="112" t="s">
        <v>1186</v>
      </c>
      <c r="K480" s="112" t="s">
        <v>1304</v>
      </c>
      <c r="L480" s="116">
        <v>116</v>
      </c>
    </row>
    <row r="481" spans="1:12" hidden="1" outlineLevel="1" collapsed="1" x14ac:dyDescent="0.35">
      <c r="A481" s="112" t="s">
        <v>1185</v>
      </c>
      <c r="B481" s="112" t="s">
        <v>897</v>
      </c>
      <c r="C481" s="112" t="s">
        <v>1099</v>
      </c>
      <c r="D481" s="113">
        <v>1069619</v>
      </c>
      <c r="E481" s="115">
        <v>43909</v>
      </c>
      <c r="F481" s="114">
        <v>202101</v>
      </c>
      <c r="G481" s="112" t="s">
        <v>1091</v>
      </c>
      <c r="H481" s="112" t="s">
        <v>1015</v>
      </c>
      <c r="I481" s="112" t="s">
        <v>1124</v>
      </c>
      <c r="J481" s="112" t="s">
        <v>1186</v>
      </c>
      <c r="K481" s="112" t="s">
        <v>1305</v>
      </c>
      <c r="L481" s="116">
        <v>413</v>
      </c>
    </row>
    <row r="482" spans="1:12" hidden="1" outlineLevel="1" collapsed="1" x14ac:dyDescent="0.35">
      <c r="A482" s="112" t="s">
        <v>1185</v>
      </c>
      <c r="B482" s="112" t="s">
        <v>897</v>
      </c>
      <c r="C482" s="112" t="s">
        <v>1099</v>
      </c>
      <c r="D482" s="113">
        <v>1069620</v>
      </c>
      <c r="E482" s="115">
        <v>43914</v>
      </c>
      <c r="F482" s="114">
        <v>202101</v>
      </c>
      <c r="G482" s="112" t="s">
        <v>1091</v>
      </c>
      <c r="H482" s="112" t="s">
        <v>1015</v>
      </c>
      <c r="I482" s="112" t="s">
        <v>1124</v>
      </c>
      <c r="J482" s="112" t="s">
        <v>1186</v>
      </c>
      <c r="K482" s="112" t="s">
        <v>1306</v>
      </c>
      <c r="L482" s="116">
        <v>101</v>
      </c>
    </row>
    <row r="483" spans="1:12" hidden="1" outlineLevel="1" collapsed="1" x14ac:dyDescent="0.35">
      <c r="A483" s="112" t="s">
        <v>1185</v>
      </c>
      <c r="B483" s="112" t="s">
        <v>896</v>
      </c>
      <c r="C483" s="112" t="s">
        <v>1099</v>
      </c>
      <c r="D483" s="113">
        <v>1069634</v>
      </c>
      <c r="E483" s="115">
        <v>43941</v>
      </c>
      <c r="F483" s="114">
        <v>202101</v>
      </c>
      <c r="G483" s="112" t="s">
        <v>1091</v>
      </c>
      <c r="H483" s="112" t="s">
        <v>1015</v>
      </c>
      <c r="I483" s="112" t="s">
        <v>1307</v>
      </c>
      <c r="J483" s="112" t="s">
        <v>1195</v>
      </c>
      <c r="K483" s="112" t="s">
        <v>1308</v>
      </c>
      <c r="L483" s="116">
        <v>6093.68</v>
      </c>
    </row>
    <row r="484" spans="1:12" hidden="1" outlineLevel="1" collapsed="1" x14ac:dyDescent="0.35">
      <c r="A484" s="112" t="s">
        <v>1185</v>
      </c>
      <c r="B484" s="112" t="s">
        <v>898</v>
      </c>
      <c r="C484" s="112" t="s">
        <v>1095</v>
      </c>
      <c r="D484" s="113">
        <v>10348451</v>
      </c>
      <c r="E484" s="115">
        <v>43949</v>
      </c>
      <c r="F484" s="114">
        <v>202101</v>
      </c>
      <c r="G484" s="112" t="s">
        <v>1091</v>
      </c>
      <c r="H484" s="112" t="s">
        <v>1015</v>
      </c>
      <c r="I484" s="112" t="s">
        <v>1101</v>
      </c>
      <c r="J484" s="112" t="s">
        <v>1213</v>
      </c>
      <c r="K484" s="112" t="s">
        <v>1098</v>
      </c>
      <c r="L484" s="116">
        <v>170.16</v>
      </c>
    </row>
    <row r="485" spans="1:12" hidden="1" outlineLevel="1" collapsed="1" x14ac:dyDescent="0.35">
      <c r="A485" s="112" t="s">
        <v>1185</v>
      </c>
      <c r="B485" s="112" t="s">
        <v>897</v>
      </c>
      <c r="C485" s="112" t="s">
        <v>679</v>
      </c>
      <c r="D485" s="113">
        <v>10348375</v>
      </c>
      <c r="E485" s="115">
        <v>43942</v>
      </c>
      <c r="F485" s="114">
        <v>202101</v>
      </c>
      <c r="G485" s="112" t="s">
        <v>1091</v>
      </c>
      <c r="H485" s="112" t="s">
        <v>1015</v>
      </c>
      <c r="I485" s="112" t="s">
        <v>761</v>
      </c>
      <c r="J485" s="112" t="s">
        <v>1186</v>
      </c>
      <c r="K485" s="112" t="s">
        <v>1309</v>
      </c>
      <c r="L485" s="116">
        <v>3314.37</v>
      </c>
    </row>
    <row r="486" spans="1:12" hidden="1" outlineLevel="1" collapsed="1" x14ac:dyDescent="0.35">
      <c r="A486" s="112" t="s">
        <v>1185</v>
      </c>
      <c r="B486" s="112" t="s">
        <v>897</v>
      </c>
      <c r="C486" s="112" t="s">
        <v>1095</v>
      </c>
      <c r="D486" s="113">
        <v>10348451</v>
      </c>
      <c r="E486" s="115">
        <v>43949</v>
      </c>
      <c r="F486" s="114">
        <v>202101</v>
      </c>
      <c r="G486" s="112" t="s">
        <v>1091</v>
      </c>
      <c r="H486" s="112" t="s">
        <v>1015</v>
      </c>
      <c r="I486" s="112" t="s">
        <v>1101</v>
      </c>
      <c r="J486" s="112" t="s">
        <v>1191</v>
      </c>
      <c r="K486" s="112" t="s">
        <v>1098</v>
      </c>
      <c r="L486" s="116">
        <v>268.42</v>
      </c>
    </row>
    <row r="487" spans="1:12" hidden="1" outlineLevel="1" collapsed="1" x14ac:dyDescent="0.35">
      <c r="A487" s="112" t="s">
        <v>1185</v>
      </c>
      <c r="B487" s="112" t="s">
        <v>897</v>
      </c>
      <c r="C487" s="112" t="s">
        <v>1095</v>
      </c>
      <c r="D487" s="113">
        <v>10348451</v>
      </c>
      <c r="E487" s="115">
        <v>43949</v>
      </c>
      <c r="F487" s="114">
        <v>202101</v>
      </c>
      <c r="G487" s="112" t="s">
        <v>1091</v>
      </c>
      <c r="H487" s="112" t="s">
        <v>1015</v>
      </c>
      <c r="I487" s="112" t="s">
        <v>1101</v>
      </c>
      <c r="J487" s="112" t="s">
        <v>1203</v>
      </c>
      <c r="K487" s="112" t="s">
        <v>1098</v>
      </c>
      <c r="L487" s="116">
        <v>315</v>
      </c>
    </row>
    <row r="488" spans="1:12" hidden="1" outlineLevel="1" collapsed="1" x14ac:dyDescent="0.35">
      <c r="A488" s="112" t="s">
        <v>1185</v>
      </c>
      <c r="B488" s="112" t="s">
        <v>1192</v>
      </c>
      <c r="C488" s="112" t="s">
        <v>1095</v>
      </c>
      <c r="D488" s="113">
        <v>10348451</v>
      </c>
      <c r="E488" s="115">
        <v>43949</v>
      </c>
      <c r="F488" s="114">
        <v>202101</v>
      </c>
      <c r="G488" s="112" t="s">
        <v>1091</v>
      </c>
      <c r="H488" s="112" t="s">
        <v>1015</v>
      </c>
      <c r="I488" s="112" t="s">
        <v>1101</v>
      </c>
      <c r="J488" s="112" t="s">
        <v>1198</v>
      </c>
      <c r="K488" s="112" t="s">
        <v>1098</v>
      </c>
      <c r="L488" s="116">
        <v>679.08</v>
      </c>
    </row>
    <row r="489" spans="1:12" hidden="1" outlineLevel="1" collapsed="1" x14ac:dyDescent="0.35">
      <c r="A489" s="112" t="s">
        <v>1185</v>
      </c>
      <c r="B489" s="112" t="s">
        <v>896</v>
      </c>
      <c r="C489" s="112" t="s">
        <v>1266</v>
      </c>
      <c r="D489" s="113">
        <v>1069534</v>
      </c>
      <c r="E489" s="115">
        <v>43932</v>
      </c>
      <c r="F489" s="114">
        <v>202101</v>
      </c>
      <c r="G489" s="112" t="s">
        <v>1091</v>
      </c>
      <c r="H489" s="112" t="s">
        <v>1015</v>
      </c>
      <c r="I489" s="112" t="s">
        <v>1277</v>
      </c>
      <c r="J489" s="112" t="s">
        <v>1195</v>
      </c>
      <c r="K489" s="112" t="s">
        <v>1310</v>
      </c>
      <c r="L489" s="116">
        <v>14484.76</v>
      </c>
    </row>
    <row r="490" spans="1:12" hidden="1" outlineLevel="1" collapsed="1" x14ac:dyDescent="0.35">
      <c r="A490" s="112" t="s">
        <v>1185</v>
      </c>
      <c r="B490" s="112" t="s">
        <v>896</v>
      </c>
      <c r="C490" s="112" t="s">
        <v>1266</v>
      </c>
      <c r="D490" s="113">
        <v>1069538</v>
      </c>
      <c r="E490" s="115">
        <v>43922</v>
      </c>
      <c r="F490" s="114">
        <v>202101</v>
      </c>
      <c r="G490" s="112" t="s">
        <v>1091</v>
      </c>
      <c r="H490" s="112" t="s">
        <v>1015</v>
      </c>
      <c r="I490" s="112" t="s">
        <v>765</v>
      </c>
      <c r="J490" s="112" t="s">
        <v>1268</v>
      </c>
      <c r="K490" s="112" t="s">
        <v>1311</v>
      </c>
      <c r="L490" s="116">
        <v>23.26</v>
      </c>
    </row>
    <row r="491" spans="1:12" hidden="1" outlineLevel="1" collapsed="1" x14ac:dyDescent="0.35">
      <c r="A491" s="112" t="s">
        <v>1185</v>
      </c>
      <c r="B491" s="112" t="s">
        <v>896</v>
      </c>
      <c r="C491" s="112" t="s">
        <v>1266</v>
      </c>
      <c r="D491" s="113">
        <v>1069539</v>
      </c>
      <c r="E491" s="115">
        <v>43922</v>
      </c>
      <c r="F491" s="114">
        <v>202101</v>
      </c>
      <c r="G491" s="112" t="s">
        <v>1091</v>
      </c>
      <c r="H491" s="112" t="s">
        <v>1015</v>
      </c>
      <c r="I491" s="112" t="s">
        <v>765</v>
      </c>
      <c r="J491" s="112" t="s">
        <v>1268</v>
      </c>
      <c r="K491" s="112" t="s">
        <v>1312</v>
      </c>
      <c r="L491" s="116">
        <v>45.78</v>
      </c>
    </row>
    <row r="492" spans="1:12" hidden="1" outlineLevel="1" collapsed="1" x14ac:dyDescent="0.35">
      <c r="A492" s="112" t="s">
        <v>1185</v>
      </c>
      <c r="B492" s="112" t="s">
        <v>896</v>
      </c>
      <c r="C492" s="112" t="s">
        <v>1266</v>
      </c>
      <c r="D492" s="113">
        <v>1069540</v>
      </c>
      <c r="E492" s="115">
        <v>43922</v>
      </c>
      <c r="F492" s="114">
        <v>202101</v>
      </c>
      <c r="G492" s="112" t="s">
        <v>1091</v>
      </c>
      <c r="H492" s="112" t="s">
        <v>1015</v>
      </c>
      <c r="I492" s="112" t="s">
        <v>765</v>
      </c>
      <c r="J492" s="112" t="s">
        <v>1268</v>
      </c>
      <c r="K492" s="112" t="s">
        <v>1313</v>
      </c>
      <c r="L492" s="116">
        <v>42.29</v>
      </c>
    </row>
    <row r="493" spans="1:12" hidden="1" outlineLevel="1" collapsed="1" x14ac:dyDescent="0.35">
      <c r="A493" s="112" t="s">
        <v>1185</v>
      </c>
      <c r="B493" s="112" t="s">
        <v>896</v>
      </c>
      <c r="C493" s="112" t="s">
        <v>1266</v>
      </c>
      <c r="D493" s="113">
        <v>1069536</v>
      </c>
      <c r="E493" s="115">
        <v>43922</v>
      </c>
      <c r="F493" s="114">
        <v>202101</v>
      </c>
      <c r="G493" s="112" t="s">
        <v>1091</v>
      </c>
      <c r="H493" s="112" t="s">
        <v>1015</v>
      </c>
      <c r="I493" s="112" t="s">
        <v>767</v>
      </c>
      <c r="J493" s="112" t="s">
        <v>1268</v>
      </c>
      <c r="K493" s="112" t="s">
        <v>1314</v>
      </c>
      <c r="L493" s="116">
        <v>29.98</v>
      </c>
    </row>
    <row r="494" spans="1:12" hidden="1" outlineLevel="1" collapsed="1" x14ac:dyDescent="0.35">
      <c r="A494" s="112" t="s">
        <v>1185</v>
      </c>
      <c r="B494" s="112" t="s">
        <v>896</v>
      </c>
      <c r="C494" s="112" t="s">
        <v>1266</v>
      </c>
      <c r="D494" s="113">
        <v>1069543</v>
      </c>
      <c r="E494" s="115">
        <v>43927</v>
      </c>
      <c r="F494" s="114">
        <v>202101</v>
      </c>
      <c r="G494" s="112" t="s">
        <v>1091</v>
      </c>
      <c r="H494" s="112" t="s">
        <v>1015</v>
      </c>
      <c r="I494" s="112" t="s">
        <v>765</v>
      </c>
      <c r="J494" s="112" t="s">
        <v>1268</v>
      </c>
      <c r="K494" s="112" t="s">
        <v>1315</v>
      </c>
      <c r="L494" s="116">
        <v>27.7</v>
      </c>
    </row>
    <row r="495" spans="1:12" hidden="1" outlineLevel="1" collapsed="1" x14ac:dyDescent="0.35">
      <c r="A495" s="112" t="s">
        <v>1185</v>
      </c>
      <c r="B495" s="112" t="s">
        <v>896</v>
      </c>
      <c r="C495" s="112" t="s">
        <v>1266</v>
      </c>
      <c r="D495" s="113">
        <v>1069546</v>
      </c>
      <c r="E495" s="115">
        <v>43926</v>
      </c>
      <c r="F495" s="114">
        <v>202101</v>
      </c>
      <c r="G495" s="112" t="s">
        <v>1091</v>
      </c>
      <c r="H495" s="112" t="s">
        <v>1015</v>
      </c>
      <c r="I495" s="112" t="s">
        <v>765</v>
      </c>
      <c r="J495" s="112" t="s">
        <v>1268</v>
      </c>
      <c r="K495" s="112" t="s">
        <v>1316</v>
      </c>
      <c r="L495" s="116">
        <v>369.5</v>
      </c>
    </row>
    <row r="496" spans="1:12" hidden="1" outlineLevel="1" collapsed="1" x14ac:dyDescent="0.35">
      <c r="A496" s="112" t="s">
        <v>1185</v>
      </c>
      <c r="B496" s="112" t="s">
        <v>897</v>
      </c>
      <c r="C496" s="112" t="s">
        <v>1099</v>
      </c>
      <c r="D496" s="113">
        <v>1069509</v>
      </c>
      <c r="E496" s="115">
        <v>43936</v>
      </c>
      <c r="F496" s="114">
        <v>202101</v>
      </c>
      <c r="G496" s="112" t="s">
        <v>1091</v>
      </c>
      <c r="H496" s="112" t="s">
        <v>1015</v>
      </c>
      <c r="I496" s="112" t="s">
        <v>761</v>
      </c>
      <c r="J496" s="112" t="s">
        <v>1191</v>
      </c>
      <c r="K496" s="112" t="s">
        <v>1317</v>
      </c>
      <c r="L496" s="116">
        <v>508.67</v>
      </c>
    </row>
    <row r="497" spans="1:12" hidden="1" outlineLevel="1" collapsed="1" x14ac:dyDescent="0.35">
      <c r="A497" s="112" t="s">
        <v>1185</v>
      </c>
      <c r="B497" s="112" t="s">
        <v>897</v>
      </c>
      <c r="C497" s="112" t="s">
        <v>1095</v>
      </c>
      <c r="D497" s="113">
        <v>10348451</v>
      </c>
      <c r="E497" s="115">
        <v>43949</v>
      </c>
      <c r="F497" s="114">
        <v>202101</v>
      </c>
      <c r="G497" s="112" t="s">
        <v>1091</v>
      </c>
      <c r="H497" s="112" t="s">
        <v>1015</v>
      </c>
      <c r="I497" s="112" t="s">
        <v>1096</v>
      </c>
      <c r="J497" s="112" t="s">
        <v>1203</v>
      </c>
      <c r="K497" s="112" t="s">
        <v>1098</v>
      </c>
      <c r="L497" s="116">
        <v>262.10000000000002</v>
      </c>
    </row>
    <row r="498" spans="1:12" hidden="1" outlineLevel="1" collapsed="1" x14ac:dyDescent="0.35">
      <c r="A498" s="112" t="s">
        <v>1185</v>
      </c>
      <c r="B498" s="112" t="s">
        <v>896</v>
      </c>
      <c r="C498" s="112" t="s">
        <v>1099</v>
      </c>
      <c r="D498" s="113">
        <v>1069516</v>
      </c>
      <c r="E498" s="115">
        <v>43936</v>
      </c>
      <c r="F498" s="114">
        <v>202101</v>
      </c>
      <c r="G498" s="112" t="s">
        <v>1091</v>
      </c>
      <c r="H498" s="112" t="s">
        <v>1015</v>
      </c>
      <c r="I498" s="112" t="s">
        <v>767</v>
      </c>
      <c r="J498" s="112" t="s">
        <v>1195</v>
      </c>
      <c r="K498" s="112" t="s">
        <v>1318</v>
      </c>
      <c r="L498" s="116">
        <v>25</v>
      </c>
    </row>
    <row r="499" spans="1:12" hidden="1" outlineLevel="1" collapsed="1" x14ac:dyDescent="0.35">
      <c r="A499" s="112" t="s">
        <v>1185</v>
      </c>
      <c r="B499" s="112" t="s">
        <v>896</v>
      </c>
      <c r="C499" s="112" t="s">
        <v>1095</v>
      </c>
      <c r="D499" s="113">
        <v>10348451</v>
      </c>
      <c r="E499" s="115">
        <v>43949</v>
      </c>
      <c r="F499" s="114">
        <v>202101</v>
      </c>
      <c r="G499" s="112" t="s">
        <v>1091</v>
      </c>
      <c r="H499" s="112" t="s">
        <v>1015</v>
      </c>
      <c r="I499" s="112" t="s">
        <v>1101</v>
      </c>
      <c r="J499" s="112" t="s">
        <v>1199</v>
      </c>
      <c r="K499" s="112" t="s">
        <v>1098</v>
      </c>
      <c r="L499" s="116">
        <v>469.93</v>
      </c>
    </row>
    <row r="500" spans="1:12" hidden="1" outlineLevel="1" collapsed="1" x14ac:dyDescent="0.35">
      <c r="A500" s="112" t="s">
        <v>1185</v>
      </c>
      <c r="B500" s="112" t="s">
        <v>897</v>
      </c>
      <c r="C500" s="112" t="s">
        <v>1095</v>
      </c>
      <c r="D500" s="113">
        <v>10348451</v>
      </c>
      <c r="E500" s="115">
        <v>43949</v>
      </c>
      <c r="F500" s="114">
        <v>202101</v>
      </c>
      <c r="G500" s="112" t="s">
        <v>1091</v>
      </c>
      <c r="H500" s="112" t="s">
        <v>1015</v>
      </c>
      <c r="I500" s="112" t="s">
        <v>1101</v>
      </c>
      <c r="J500" s="112" t="s">
        <v>1191</v>
      </c>
      <c r="K500" s="112" t="s">
        <v>1098</v>
      </c>
      <c r="L500" s="116">
        <v>166.6</v>
      </c>
    </row>
    <row r="501" spans="1:12" hidden="1" outlineLevel="1" collapsed="1" x14ac:dyDescent="0.35">
      <c r="A501" s="112" t="s">
        <v>1185</v>
      </c>
      <c r="B501" s="112" t="s">
        <v>896</v>
      </c>
      <c r="C501" s="112" t="s">
        <v>1095</v>
      </c>
      <c r="D501" s="113">
        <v>10348451</v>
      </c>
      <c r="E501" s="115">
        <v>43949</v>
      </c>
      <c r="F501" s="114">
        <v>202101</v>
      </c>
      <c r="G501" s="112" t="s">
        <v>1091</v>
      </c>
      <c r="H501" s="112" t="s">
        <v>1015</v>
      </c>
      <c r="I501" s="112" t="s">
        <v>1128</v>
      </c>
      <c r="J501" s="112" t="s">
        <v>1199</v>
      </c>
      <c r="K501" s="112" t="s">
        <v>1098</v>
      </c>
      <c r="L501" s="116">
        <v>150</v>
      </c>
    </row>
    <row r="502" spans="1:12" hidden="1" outlineLevel="1" collapsed="1" x14ac:dyDescent="0.35">
      <c r="A502" s="112" t="s">
        <v>1185</v>
      </c>
      <c r="B502" s="112" t="s">
        <v>897</v>
      </c>
      <c r="C502" s="112" t="s">
        <v>1095</v>
      </c>
      <c r="D502" s="113">
        <v>10348451</v>
      </c>
      <c r="E502" s="115">
        <v>43949</v>
      </c>
      <c r="F502" s="114">
        <v>202101</v>
      </c>
      <c r="G502" s="112" t="s">
        <v>1091</v>
      </c>
      <c r="H502" s="112" t="s">
        <v>1015</v>
      </c>
      <c r="I502" s="112" t="s">
        <v>1101</v>
      </c>
      <c r="J502" s="112" t="s">
        <v>1191</v>
      </c>
      <c r="K502" s="112" t="s">
        <v>1098</v>
      </c>
      <c r="L502" s="116">
        <v>426.26</v>
      </c>
    </row>
    <row r="503" spans="1:12" hidden="1" outlineLevel="1" collapsed="1" x14ac:dyDescent="0.35">
      <c r="A503" s="112" t="s">
        <v>1185</v>
      </c>
      <c r="B503" s="112" t="s">
        <v>898</v>
      </c>
      <c r="C503" s="112" t="s">
        <v>1099</v>
      </c>
      <c r="D503" s="113">
        <v>1069504</v>
      </c>
      <c r="E503" s="115">
        <v>43930</v>
      </c>
      <c r="F503" s="114">
        <v>202101</v>
      </c>
      <c r="G503" s="112" t="s">
        <v>1091</v>
      </c>
      <c r="H503" s="112" t="s">
        <v>1015</v>
      </c>
      <c r="I503" s="112" t="s">
        <v>763</v>
      </c>
      <c r="J503" s="112" t="s">
        <v>1213</v>
      </c>
      <c r="K503" s="112" t="s">
        <v>1319</v>
      </c>
      <c r="L503" s="116">
        <v>1615</v>
      </c>
    </row>
    <row r="504" spans="1:12" hidden="1" outlineLevel="1" collapsed="1" x14ac:dyDescent="0.35">
      <c r="A504" s="112" t="s">
        <v>1185</v>
      </c>
      <c r="B504" s="112" t="s">
        <v>897</v>
      </c>
      <c r="C504" s="112" t="s">
        <v>1095</v>
      </c>
      <c r="D504" s="113">
        <v>10348451</v>
      </c>
      <c r="E504" s="115">
        <v>43949</v>
      </c>
      <c r="F504" s="114">
        <v>202101</v>
      </c>
      <c r="G504" s="112" t="s">
        <v>1091</v>
      </c>
      <c r="H504" s="112" t="s">
        <v>1015</v>
      </c>
      <c r="I504" s="112" t="s">
        <v>1096</v>
      </c>
      <c r="J504" s="112" t="s">
        <v>1186</v>
      </c>
      <c r="K504" s="112" t="s">
        <v>1098</v>
      </c>
      <c r="L504" s="116">
        <v>54.86</v>
      </c>
    </row>
    <row r="505" spans="1:12" hidden="1" outlineLevel="1" collapsed="1" x14ac:dyDescent="0.35">
      <c r="A505" s="112" t="s">
        <v>1185</v>
      </c>
      <c r="B505" s="112" t="s">
        <v>897</v>
      </c>
      <c r="C505" s="112" t="s">
        <v>1095</v>
      </c>
      <c r="D505" s="113">
        <v>10348451</v>
      </c>
      <c r="E505" s="115">
        <v>43949</v>
      </c>
      <c r="F505" s="114">
        <v>202101</v>
      </c>
      <c r="G505" s="112" t="s">
        <v>1091</v>
      </c>
      <c r="H505" s="112" t="s">
        <v>1015</v>
      </c>
      <c r="I505" s="112" t="s">
        <v>1101</v>
      </c>
      <c r="J505" s="112" t="s">
        <v>1203</v>
      </c>
      <c r="K505" s="112" t="s">
        <v>1098</v>
      </c>
      <c r="L505" s="116">
        <v>483.07</v>
      </c>
    </row>
    <row r="506" spans="1:12" hidden="1" outlineLevel="1" collapsed="1" x14ac:dyDescent="0.35">
      <c r="A506" s="112" t="s">
        <v>1185</v>
      </c>
      <c r="B506" s="112" t="s">
        <v>1192</v>
      </c>
      <c r="C506" s="112" t="s">
        <v>1095</v>
      </c>
      <c r="D506" s="113">
        <v>10348451</v>
      </c>
      <c r="E506" s="115">
        <v>43949</v>
      </c>
      <c r="F506" s="114">
        <v>202101</v>
      </c>
      <c r="G506" s="112" t="s">
        <v>1091</v>
      </c>
      <c r="H506" s="112" t="s">
        <v>1015</v>
      </c>
      <c r="I506" s="112" t="s">
        <v>1101</v>
      </c>
      <c r="J506" s="112" t="s">
        <v>1198</v>
      </c>
      <c r="K506" s="112" t="s">
        <v>1098</v>
      </c>
      <c r="L506" s="116">
        <v>549.4</v>
      </c>
    </row>
    <row r="507" spans="1:12" hidden="1" outlineLevel="1" collapsed="1" x14ac:dyDescent="0.35">
      <c r="A507" s="112" t="s">
        <v>1185</v>
      </c>
      <c r="B507" s="112" t="s">
        <v>896</v>
      </c>
      <c r="C507" s="112" t="s">
        <v>1095</v>
      </c>
      <c r="D507" s="113">
        <v>10348451</v>
      </c>
      <c r="E507" s="115">
        <v>43949</v>
      </c>
      <c r="F507" s="114">
        <v>202101</v>
      </c>
      <c r="G507" s="112" t="s">
        <v>1091</v>
      </c>
      <c r="H507" s="112" t="s">
        <v>1015</v>
      </c>
      <c r="I507" s="112" t="s">
        <v>1263</v>
      </c>
      <c r="J507" s="112" t="s">
        <v>1199</v>
      </c>
      <c r="K507" s="112" t="s">
        <v>1098</v>
      </c>
      <c r="L507" s="116">
        <v>320.94</v>
      </c>
    </row>
    <row r="508" spans="1:12" hidden="1" outlineLevel="1" collapsed="1" x14ac:dyDescent="0.35">
      <c r="A508" s="112" t="s">
        <v>1185</v>
      </c>
      <c r="B508" s="112" t="s">
        <v>897</v>
      </c>
      <c r="C508" s="112" t="s">
        <v>1095</v>
      </c>
      <c r="D508" s="113">
        <v>10348451</v>
      </c>
      <c r="E508" s="115">
        <v>43949</v>
      </c>
      <c r="F508" s="114">
        <v>202101</v>
      </c>
      <c r="G508" s="112" t="s">
        <v>1091</v>
      </c>
      <c r="H508" s="112" t="s">
        <v>1015</v>
      </c>
      <c r="I508" s="112" t="s">
        <v>1096</v>
      </c>
      <c r="J508" s="112" t="s">
        <v>1203</v>
      </c>
      <c r="K508" s="112" t="s">
        <v>1098</v>
      </c>
      <c r="L508" s="116">
        <v>167.31</v>
      </c>
    </row>
    <row r="509" spans="1:12" hidden="1" outlineLevel="1" collapsed="1" x14ac:dyDescent="0.35">
      <c r="A509" s="112" t="s">
        <v>1185</v>
      </c>
      <c r="B509" s="112" t="s">
        <v>897</v>
      </c>
      <c r="C509" s="112" t="s">
        <v>1095</v>
      </c>
      <c r="D509" s="113">
        <v>10348451</v>
      </c>
      <c r="E509" s="115">
        <v>43949</v>
      </c>
      <c r="F509" s="114">
        <v>202101</v>
      </c>
      <c r="G509" s="112" t="s">
        <v>1091</v>
      </c>
      <c r="H509" s="112" t="s">
        <v>1015</v>
      </c>
      <c r="I509" s="112" t="s">
        <v>1096</v>
      </c>
      <c r="J509" s="112" t="s">
        <v>1203</v>
      </c>
      <c r="K509" s="112" t="s">
        <v>1098</v>
      </c>
      <c r="L509" s="116">
        <v>210.79</v>
      </c>
    </row>
    <row r="510" spans="1:12" hidden="1" outlineLevel="1" collapsed="1" x14ac:dyDescent="0.35">
      <c r="A510" s="112" t="s">
        <v>1185</v>
      </c>
      <c r="B510" s="112" t="s">
        <v>897</v>
      </c>
      <c r="C510" s="112" t="s">
        <v>1095</v>
      </c>
      <c r="D510" s="113">
        <v>10348451</v>
      </c>
      <c r="E510" s="115">
        <v>43949</v>
      </c>
      <c r="F510" s="114">
        <v>202101</v>
      </c>
      <c r="G510" s="112" t="s">
        <v>1091</v>
      </c>
      <c r="H510" s="112" t="s">
        <v>1015</v>
      </c>
      <c r="I510" s="112" t="s">
        <v>1101</v>
      </c>
      <c r="J510" s="112" t="s">
        <v>1191</v>
      </c>
      <c r="K510" s="112" t="s">
        <v>1098</v>
      </c>
      <c r="L510" s="116">
        <v>392.03</v>
      </c>
    </row>
    <row r="511" spans="1:12" hidden="1" outlineLevel="1" collapsed="1" x14ac:dyDescent="0.35">
      <c r="A511" s="112" t="s">
        <v>1185</v>
      </c>
      <c r="B511" s="112" t="s">
        <v>897</v>
      </c>
      <c r="C511" s="112" t="s">
        <v>1095</v>
      </c>
      <c r="D511" s="113">
        <v>10348451</v>
      </c>
      <c r="E511" s="115">
        <v>43949</v>
      </c>
      <c r="F511" s="114">
        <v>202101</v>
      </c>
      <c r="G511" s="112" t="s">
        <v>1091</v>
      </c>
      <c r="H511" s="112" t="s">
        <v>1015</v>
      </c>
      <c r="I511" s="112" t="s">
        <v>1101</v>
      </c>
      <c r="J511" s="112" t="s">
        <v>1203</v>
      </c>
      <c r="K511" s="112" t="s">
        <v>1098</v>
      </c>
      <c r="L511" s="116">
        <v>199.21</v>
      </c>
    </row>
    <row r="512" spans="1:12" hidden="1" outlineLevel="1" collapsed="1" x14ac:dyDescent="0.35">
      <c r="A512" s="112" t="s">
        <v>1185</v>
      </c>
      <c r="B512" s="112" t="s">
        <v>1192</v>
      </c>
      <c r="C512" s="112" t="s">
        <v>1095</v>
      </c>
      <c r="D512" s="113">
        <v>10348451</v>
      </c>
      <c r="E512" s="115">
        <v>43949</v>
      </c>
      <c r="F512" s="114">
        <v>202101</v>
      </c>
      <c r="G512" s="112" t="s">
        <v>1091</v>
      </c>
      <c r="H512" s="112" t="s">
        <v>1015</v>
      </c>
      <c r="I512" s="112" t="s">
        <v>1101</v>
      </c>
      <c r="J512" s="112" t="s">
        <v>1320</v>
      </c>
      <c r="K512" s="112" t="s">
        <v>1098</v>
      </c>
      <c r="L512" s="116">
        <v>366.04</v>
      </c>
    </row>
    <row r="513" spans="1:12" hidden="1" outlineLevel="1" collapsed="1" x14ac:dyDescent="0.35">
      <c r="A513" s="112" t="s">
        <v>1185</v>
      </c>
      <c r="B513" s="112" t="s">
        <v>898</v>
      </c>
      <c r="C513" s="112" t="s">
        <v>1099</v>
      </c>
      <c r="D513" s="113">
        <v>1069502</v>
      </c>
      <c r="E513" s="115">
        <v>43930</v>
      </c>
      <c r="F513" s="114">
        <v>202101</v>
      </c>
      <c r="G513" s="112" t="s">
        <v>1091</v>
      </c>
      <c r="H513" s="112" t="s">
        <v>1015</v>
      </c>
      <c r="I513" s="112" t="s">
        <v>763</v>
      </c>
      <c r="J513" s="112" t="s">
        <v>1213</v>
      </c>
      <c r="K513" s="112" t="s">
        <v>1321</v>
      </c>
      <c r="L513" s="116">
        <v>6460</v>
      </c>
    </row>
    <row r="514" spans="1:12" hidden="1" outlineLevel="1" collapsed="1" x14ac:dyDescent="0.35">
      <c r="A514" s="112" t="s">
        <v>1185</v>
      </c>
      <c r="B514" s="112" t="s">
        <v>898</v>
      </c>
      <c r="C514" s="112" t="s">
        <v>1095</v>
      </c>
      <c r="D514" s="113">
        <v>10348451</v>
      </c>
      <c r="E514" s="115">
        <v>43949</v>
      </c>
      <c r="F514" s="114">
        <v>202101</v>
      </c>
      <c r="G514" s="112" t="s">
        <v>1091</v>
      </c>
      <c r="H514" s="112" t="s">
        <v>1015</v>
      </c>
      <c r="I514" s="112" t="s">
        <v>1101</v>
      </c>
      <c r="J514" s="112" t="s">
        <v>1213</v>
      </c>
      <c r="K514" s="112" t="s">
        <v>1098</v>
      </c>
      <c r="L514" s="116">
        <v>380.18</v>
      </c>
    </row>
    <row r="515" spans="1:12" hidden="1" outlineLevel="1" collapsed="1" x14ac:dyDescent="0.35">
      <c r="A515" s="112" t="s">
        <v>1185</v>
      </c>
      <c r="B515" s="112" t="s">
        <v>898</v>
      </c>
      <c r="C515" s="112" t="s">
        <v>1095</v>
      </c>
      <c r="D515" s="113">
        <v>10348451</v>
      </c>
      <c r="E515" s="115">
        <v>43949</v>
      </c>
      <c r="F515" s="114">
        <v>202101</v>
      </c>
      <c r="G515" s="112" t="s">
        <v>1091</v>
      </c>
      <c r="H515" s="112" t="s">
        <v>1015</v>
      </c>
      <c r="I515" s="112" t="s">
        <v>1096</v>
      </c>
      <c r="J515" s="112" t="s">
        <v>1213</v>
      </c>
      <c r="K515" s="112" t="s">
        <v>1098</v>
      </c>
      <c r="L515" s="116">
        <v>262.10000000000002</v>
      </c>
    </row>
    <row r="516" spans="1:12" hidden="1" outlineLevel="1" collapsed="1" x14ac:dyDescent="0.35">
      <c r="A516" s="112" t="s">
        <v>1185</v>
      </c>
      <c r="B516" s="112" t="s">
        <v>897</v>
      </c>
      <c r="C516" s="112" t="s">
        <v>1095</v>
      </c>
      <c r="D516" s="113">
        <v>10348451</v>
      </c>
      <c r="E516" s="115">
        <v>43949</v>
      </c>
      <c r="F516" s="114">
        <v>202101</v>
      </c>
      <c r="G516" s="112" t="s">
        <v>1091</v>
      </c>
      <c r="H516" s="112" t="s">
        <v>1015</v>
      </c>
      <c r="I516" s="112" t="s">
        <v>1263</v>
      </c>
      <c r="J516" s="112" t="s">
        <v>1191</v>
      </c>
      <c r="K516" s="112" t="s">
        <v>1098</v>
      </c>
      <c r="L516" s="116">
        <v>349.89</v>
      </c>
    </row>
    <row r="517" spans="1:12" hidden="1" outlineLevel="1" collapsed="1" x14ac:dyDescent="0.35">
      <c r="A517" s="112" t="s">
        <v>1185</v>
      </c>
      <c r="B517" s="112" t="s">
        <v>897</v>
      </c>
      <c r="C517" s="112" t="s">
        <v>1095</v>
      </c>
      <c r="D517" s="113">
        <v>10348451</v>
      </c>
      <c r="E517" s="115">
        <v>43949</v>
      </c>
      <c r="F517" s="114">
        <v>202101</v>
      </c>
      <c r="G517" s="112" t="s">
        <v>1091</v>
      </c>
      <c r="H517" s="112" t="s">
        <v>1015</v>
      </c>
      <c r="I517" s="112" t="s">
        <v>1101</v>
      </c>
      <c r="J517" s="112" t="s">
        <v>1191</v>
      </c>
      <c r="K517" s="112" t="s">
        <v>1098</v>
      </c>
      <c r="L517" s="116">
        <v>255.4</v>
      </c>
    </row>
    <row r="518" spans="1:12" hidden="1" outlineLevel="1" collapsed="1" x14ac:dyDescent="0.35">
      <c r="A518" s="112" t="s">
        <v>1185</v>
      </c>
      <c r="B518" s="112" t="s">
        <v>1192</v>
      </c>
      <c r="C518" s="112" t="s">
        <v>1095</v>
      </c>
      <c r="D518" s="113">
        <v>10348451</v>
      </c>
      <c r="E518" s="115">
        <v>43949</v>
      </c>
      <c r="F518" s="114">
        <v>202101</v>
      </c>
      <c r="G518" s="112" t="s">
        <v>1091</v>
      </c>
      <c r="H518" s="112" t="s">
        <v>1015</v>
      </c>
      <c r="I518" s="112" t="s">
        <v>1101</v>
      </c>
      <c r="J518" s="112" t="s">
        <v>1198</v>
      </c>
      <c r="K518" s="112" t="s">
        <v>1098</v>
      </c>
      <c r="L518" s="116">
        <v>562.66999999999996</v>
      </c>
    </row>
    <row r="519" spans="1:12" hidden="1" outlineLevel="1" collapsed="1" x14ac:dyDescent="0.35">
      <c r="A519" s="112" t="s">
        <v>1185</v>
      </c>
      <c r="B519" s="112" t="s">
        <v>896</v>
      </c>
      <c r="C519" s="112" t="s">
        <v>1095</v>
      </c>
      <c r="D519" s="113">
        <v>10348451</v>
      </c>
      <c r="E519" s="115">
        <v>43949</v>
      </c>
      <c r="F519" s="114">
        <v>202101</v>
      </c>
      <c r="G519" s="112" t="s">
        <v>1091</v>
      </c>
      <c r="H519" s="112" t="s">
        <v>1015</v>
      </c>
      <c r="I519" s="112" t="s">
        <v>1101</v>
      </c>
      <c r="J519" s="112" t="s">
        <v>1199</v>
      </c>
      <c r="K519" s="112" t="s">
        <v>1098</v>
      </c>
      <c r="L519" s="116">
        <v>679.08</v>
      </c>
    </row>
    <row r="520" spans="1:12" hidden="1" outlineLevel="1" collapsed="1" x14ac:dyDescent="0.35">
      <c r="A520" s="112" t="s">
        <v>1185</v>
      </c>
      <c r="B520" s="112" t="s">
        <v>897</v>
      </c>
      <c r="C520" s="112" t="s">
        <v>1095</v>
      </c>
      <c r="D520" s="113">
        <v>10348451</v>
      </c>
      <c r="E520" s="115">
        <v>43949</v>
      </c>
      <c r="F520" s="114">
        <v>202101</v>
      </c>
      <c r="G520" s="112" t="s">
        <v>1091</v>
      </c>
      <c r="H520" s="112" t="s">
        <v>1015</v>
      </c>
      <c r="I520" s="112" t="s">
        <v>1101</v>
      </c>
      <c r="J520" s="112" t="s">
        <v>1191</v>
      </c>
      <c r="K520" s="112" t="s">
        <v>1098</v>
      </c>
      <c r="L520" s="116">
        <v>366.04</v>
      </c>
    </row>
    <row r="521" spans="1:12" hidden="1" outlineLevel="1" collapsed="1" x14ac:dyDescent="0.35">
      <c r="A521" s="112" t="s">
        <v>1185</v>
      </c>
      <c r="B521" s="112" t="s">
        <v>898</v>
      </c>
      <c r="C521" s="112" t="s">
        <v>1095</v>
      </c>
      <c r="D521" s="113">
        <v>10348451</v>
      </c>
      <c r="E521" s="115">
        <v>43949</v>
      </c>
      <c r="F521" s="114">
        <v>202101</v>
      </c>
      <c r="G521" s="112" t="s">
        <v>1091</v>
      </c>
      <c r="H521" s="112" t="s">
        <v>1015</v>
      </c>
      <c r="I521" s="112" t="s">
        <v>1096</v>
      </c>
      <c r="J521" s="112" t="s">
        <v>1244</v>
      </c>
      <c r="K521" s="112" t="s">
        <v>1098</v>
      </c>
      <c r="L521" s="116">
        <v>323.45</v>
      </c>
    </row>
    <row r="522" spans="1:12" hidden="1" outlineLevel="1" collapsed="1" x14ac:dyDescent="0.35">
      <c r="A522" s="112" t="s">
        <v>1185</v>
      </c>
      <c r="B522" s="112" t="s">
        <v>897</v>
      </c>
      <c r="C522" s="112" t="s">
        <v>1095</v>
      </c>
      <c r="D522" s="113">
        <v>10348451</v>
      </c>
      <c r="E522" s="115">
        <v>43949</v>
      </c>
      <c r="F522" s="114">
        <v>202101</v>
      </c>
      <c r="G522" s="112" t="s">
        <v>1091</v>
      </c>
      <c r="H522" s="112" t="s">
        <v>1015</v>
      </c>
      <c r="I522" s="112" t="s">
        <v>1096</v>
      </c>
      <c r="J522" s="112" t="s">
        <v>1203</v>
      </c>
      <c r="K522" s="112" t="s">
        <v>1098</v>
      </c>
      <c r="L522" s="116">
        <v>68.680000000000007</v>
      </c>
    </row>
    <row r="523" spans="1:12" hidden="1" outlineLevel="1" collapsed="1" x14ac:dyDescent="0.35">
      <c r="A523" s="112" t="s">
        <v>1185</v>
      </c>
      <c r="B523" s="112" t="s">
        <v>898</v>
      </c>
      <c r="C523" s="112" t="s">
        <v>1095</v>
      </c>
      <c r="D523" s="113">
        <v>10348451</v>
      </c>
      <c r="E523" s="115">
        <v>43949</v>
      </c>
      <c r="F523" s="114">
        <v>202101</v>
      </c>
      <c r="G523" s="112" t="s">
        <v>1091</v>
      </c>
      <c r="H523" s="112" t="s">
        <v>1015</v>
      </c>
      <c r="I523" s="112" t="s">
        <v>1096</v>
      </c>
      <c r="J523" s="112" t="s">
        <v>1213</v>
      </c>
      <c r="K523" s="112" t="s">
        <v>1098</v>
      </c>
      <c r="L523" s="116">
        <v>120.69</v>
      </c>
    </row>
    <row r="524" spans="1:12" hidden="1" outlineLevel="1" collapsed="1" x14ac:dyDescent="0.35">
      <c r="A524" s="112" t="s">
        <v>1185</v>
      </c>
      <c r="B524" s="112" t="s">
        <v>897</v>
      </c>
      <c r="C524" s="112" t="s">
        <v>695</v>
      </c>
      <c r="D524" s="113">
        <v>10348034</v>
      </c>
      <c r="E524" s="115">
        <v>43928</v>
      </c>
      <c r="F524" s="114">
        <v>202101</v>
      </c>
      <c r="G524" s="112" t="s">
        <v>1091</v>
      </c>
      <c r="H524" s="112" t="s">
        <v>1015</v>
      </c>
      <c r="I524" s="112" t="s">
        <v>1211</v>
      </c>
      <c r="J524" s="112" t="s">
        <v>1186</v>
      </c>
      <c r="K524" s="112" t="s">
        <v>1322</v>
      </c>
      <c r="L524" s="116">
        <v>-2563.48</v>
      </c>
    </row>
    <row r="525" spans="1:12" hidden="1" outlineLevel="1" collapsed="1" x14ac:dyDescent="0.35">
      <c r="A525" s="112" t="s">
        <v>1185</v>
      </c>
      <c r="B525" s="112" t="s">
        <v>897</v>
      </c>
      <c r="C525" s="112" t="s">
        <v>695</v>
      </c>
      <c r="D525" s="113">
        <v>10348034</v>
      </c>
      <c r="E525" s="115">
        <v>43928</v>
      </c>
      <c r="F525" s="114">
        <v>202101</v>
      </c>
      <c r="G525" s="112" t="s">
        <v>1091</v>
      </c>
      <c r="H525" s="112" t="s">
        <v>1015</v>
      </c>
      <c r="I525" s="112" t="s">
        <v>1211</v>
      </c>
      <c r="J525" s="112" t="s">
        <v>1186</v>
      </c>
      <c r="K525" s="112" t="s">
        <v>1323</v>
      </c>
      <c r="L525" s="116">
        <v>-2464.6</v>
      </c>
    </row>
    <row r="526" spans="1:12" hidden="1" outlineLevel="1" collapsed="1" x14ac:dyDescent="0.35">
      <c r="A526" s="112" t="s">
        <v>1185</v>
      </c>
      <c r="B526" s="112" t="s">
        <v>897</v>
      </c>
      <c r="C526" s="112" t="s">
        <v>1219</v>
      </c>
      <c r="D526" s="113">
        <v>46307134</v>
      </c>
      <c r="E526" s="115">
        <v>43924</v>
      </c>
      <c r="F526" s="114">
        <v>202101</v>
      </c>
      <c r="G526" s="112" t="s">
        <v>1091</v>
      </c>
      <c r="H526" s="112" t="s">
        <v>1015</v>
      </c>
      <c r="I526" s="112" t="s">
        <v>1211</v>
      </c>
      <c r="J526" s="112" t="s">
        <v>1186</v>
      </c>
      <c r="K526" s="112" t="s">
        <v>1220</v>
      </c>
      <c r="L526" s="116">
        <v>7579.94</v>
      </c>
    </row>
    <row r="527" spans="1:12" hidden="1" outlineLevel="1" collapsed="1" x14ac:dyDescent="0.35">
      <c r="A527" s="112" t="s">
        <v>1185</v>
      </c>
      <c r="B527" s="112" t="s">
        <v>897</v>
      </c>
      <c r="C527" s="112" t="s">
        <v>695</v>
      </c>
      <c r="D527" s="113">
        <v>10348034</v>
      </c>
      <c r="E527" s="115">
        <v>43928</v>
      </c>
      <c r="F527" s="114">
        <v>202101</v>
      </c>
      <c r="G527" s="112" t="s">
        <v>1091</v>
      </c>
      <c r="H527" s="112" t="s">
        <v>1015</v>
      </c>
      <c r="I527" s="112" t="s">
        <v>1211</v>
      </c>
      <c r="J527" s="112" t="s">
        <v>1186</v>
      </c>
      <c r="K527" s="112" t="s">
        <v>1324</v>
      </c>
      <c r="L527" s="116">
        <v>-2551.86</v>
      </c>
    </row>
    <row r="528" spans="1:12" hidden="1" outlineLevel="1" collapsed="1" x14ac:dyDescent="0.35">
      <c r="A528" s="112" t="s">
        <v>1185</v>
      </c>
      <c r="B528" s="112" t="s">
        <v>897</v>
      </c>
      <c r="C528" s="112" t="s">
        <v>1150</v>
      </c>
      <c r="D528" s="113">
        <v>10348688</v>
      </c>
      <c r="E528" s="115">
        <v>43978</v>
      </c>
      <c r="F528" s="114">
        <v>202101</v>
      </c>
      <c r="G528" s="112" t="s">
        <v>1091</v>
      </c>
      <c r="H528" s="112" t="s">
        <v>1015</v>
      </c>
      <c r="I528" s="112" t="s">
        <v>1211</v>
      </c>
      <c r="J528" s="112" t="s">
        <v>1186</v>
      </c>
      <c r="K528" s="112" t="s">
        <v>1325</v>
      </c>
      <c r="L528" s="116">
        <v>2100.06</v>
      </c>
    </row>
    <row r="529" spans="1:12" hidden="1" outlineLevel="1" collapsed="1" x14ac:dyDescent="0.35">
      <c r="A529" s="112" t="s">
        <v>1185</v>
      </c>
      <c r="B529" s="112" t="s">
        <v>897</v>
      </c>
      <c r="C529" s="112" t="s">
        <v>1150</v>
      </c>
      <c r="D529" s="113">
        <v>10348688</v>
      </c>
      <c r="E529" s="115">
        <v>43978</v>
      </c>
      <c r="F529" s="114">
        <v>202101</v>
      </c>
      <c r="G529" s="112" t="s">
        <v>1091</v>
      </c>
      <c r="H529" s="112" t="s">
        <v>1015</v>
      </c>
      <c r="I529" s="112" t="s">
        <v>1211</v>
      </c>
      <c r="J529" s="112" t="s">
        <v>1186</v>
      </c>
      <c r="K529" s="112" t="s">
        <v>1326</v>
      </c>
      <c r="L529" s="116">
        <v>2584.04</v>
      </c>
    </row>
    <row r="530" spans="1:12" hidden="1" outlineLevel="1" collapsed="1" x14ac:dyDescent="0.35">
      <c r="A530" s="112" t="s">
        <v>1185</v>
      </c>
      <c r="B530" s="112" t="s">
        <v>897</v>
      </c>
      <c r="C530" s="112" t="s">
        <v>1150</v>
      </c>
      <c r="D530" s="113">
        <v>10348688</v>
      </c>
      <c r="E530" s="115">
        <v>43978</v>
      </c>
      <c r="F530" s="114">
        <v>202101</v>
      </c>
      <c r="G530" s="112" t="s">
        <v>1091</v>
      </c>
      <c r="H530" s="112" t="s">
        <v>1015</v>
      </c>
      <c r="I530" s="112" t="s">
        <v>1211</v>
      </c>
      <c r="J530" s="112" t="s">
        <v>1186</v>
      </c>
      <c r="K530" s="112" t="s">
        <v>1327</v>
      </c>
      <c r="L530" s="116">
        <v>245.69</v>
      </c>
    </row>
    <row r="531" spans="1:12" hidden="1" outlineLevel="1" collapsed="1" x14ac:dyDescent="0.35">
      <c r="A531" s="112" t="s">
        <v>1185</v>
      </c>
      <c r="B531" s="112" t="s">
        <v>897</v>
      </c>
      <c r="C531" s="112" t="s">
        <v>1095</v>
      </c>
      <c r="D531" s="113">
        <v>10348451</v>
      </c>
      <c r="E531" s="115">
        <v>43949</v>
      </c>
      <c r="F531" s="114">
        <v>202101</v>
      </c>
      <c r="G531" s="112" t="s">
        <v>1091</v>
      </c>
      <c r="H531" s="112" t="s">
        <v>1015</v>
      </c>
      <c r="I531" s="112" t="s">
        <v>1096</v>
      </c>
      <c r="J531" s="112" t="s">
        <v>1191</v>
      </c>
      <c r="K531" s="112" t="s">
        <v>1098</v>
      </c>
      <c r="L531" s="116">
        <v>121.58</v>
      </c>
    </row>
    <row r="532" spans="1:12" hidden="1" outlineLevel="1" collapsed="1" x14ac:dyDescent="0.35">
      <c r="A532" s="112" t="s">
        <v>1185</v>
      </c>
      <c r="B532" s="112" t="s">
        <v>898</v>
      </c>
      <c r="C532" s="112" t="s">
        <v>1095</v>
      </c>
      <c r="D532" s="113">
        <v>10348451</v>
      </c>
      <c r="E532" s="115">
        <v>43949</v>
      </c>
      <c r="F532" s="114">
        <v>202101</v>
      </c>
      <c r="G532" s="112" t="s">
        <v>1091</v>
      </c>
      <c r="H532" s="112" t="s">
        <v>1015</v>
      </c>
      <c r="I532" s="112" t="s">
        <v>1101</v>
      </c>
      <c r="J532" s="112" t="s">
        <v>1213</v>
      </c>
      <c r="K532" s="112" t="s">
        <v>1098</v>
      </c>
      <c r="L532" s="116">
        <v>260.27</v>
      </c>
    </row>
    <row r="533" spans="1:12" hidden="1" outlineLevel="1" collapsed="1" x14ac:dyDescent="0.35">
      <c r="A533" s="112" t="s">
        <v>1185</v>
      </c>
      <c r="B533" s="112" t="s">
        <v>897</v>
      </c>
      <c r="C533" s="112" t="s">
        <v>1095</v>
      </c>
      <c r="D533" s="113">
        <v>10348451</v>
      </c>
      <c r="E533" s="115">
        <v>43949</v>
      </c>
      <c r="F533" s="114">
        <v>202101</v>
      </c>
      <c r="G533" s="112" t="s">
        <v>1091</v>
      </c>
      <c r="H533" s="112" t="s">
        <v>1015</v>
      </c>
      <c r="I533" s="112" t="s">
        <v>1263</v>
      </c>
      <c r="J533" s="112" t="s">
        <v>1191</v>
      </c>
      <c r="K533" s="112" t="s">
        <v>1098</v>
      </c>
      <c r="L533" s="116">
        <v>331.41</v>
      </c>
    </row>
    <row r="534" spans="1:12" hidden="1" outlineLevel="1" collapsed="1" x14ac:dyDescent="0.35">
      <c r="A534" s="112" t="s">
        <v>1185</v>
      </c>
      <c r="B534" s="112" t="s">
        <v>1192</v>
      </c>
      <c r="C534" s="112" t="s">
        <v>1095</v>
      </c>
      <c r="D534" s="113">
        <v>10348451</v>
      </c>
      <c r="E534" s="115">
        <v>43949</v>
      </c>
      <c r="F534" s="114">
        <v>202101</v>
      </c>
      <c r="G534" s="112" t="s">
        <v>1091</v>
      </c>
      <c r="H534" s="112" t="s">
        <v>1015</v>
      </c>
      <c r="I534" s="112" t="s">
        <v>1128</v>
      </c>
      <c r="J534" s="112" t="s">
        <v>1198</v>
      </c>
      <c r="K534" s="112" t="s">
        <v>1098</v>
      </c>
      <c r="L534" s="116">
        <v>243</v>
      </c>
    </row>
    <row r="535" spans="1:12" hidden="1" outlineLevel="1" collapsed="1" x14ac:dyDescent="0.35">
      <c r="A535" s="112" t="s">
        <v>1185</v>
      </c>
      <c r="B535" s="112" t="s">
        <v>897</v>
      </c>
      <c r="C535" s="112" t="s">
        <v>1095</v>
      </c>
      <c r="D535" s="113">
        <v>10348451</v>
      </c>
      <c r="E535" s="115">
        <v>43949</v>
      </c>
      <c r="F535" s="114">
        <v>202101</v>
      </c>
      <c r="G535" s="112" t="s">
        <v>1091</v>
      </c>
      <c r="H535" s="112" t="s">
        <v>1015</v>
      </c>
      <c r="I535" s="112" t="s">
        <v>1101</v>
      </c>
      <c r="J535" s="112" t="s">
        <v>1191</v>
      </c>
      <c r="K535" s="112" t="s">
        <v>1098</v>
      </c>
      <c r="L535" s="116">
        <v>315</v>
      </c>
    </row>
    <row r="536" spans="1:12" hidden="1" outlineLevel="1" collapsed="1" x14ac:dyDescent="0.35">
      <c r="A536" s="112" t="s">
        <v>1185</v>
      </c>
      <c r="B536" s="112" t="s">
        <v>1192</v>
      </c>
      <c r="C536" s="112" t="s">
        <v>1095</v>
      </c>
      <c r="D536" s="113">
        <v>10348451</v>
      </c>
      <c r="E536" s="115">
        <v>43949</v>
      </c>
      <c r="F536" s="114">
        <v>202101</v>
      </c>
      <c r="G536" s="112" t="s">
        <v>1091</v>
      </c>
      <c r="H536" s="112" t="s">
        <v>1015</v>
      </c>
      <c r="I536" s="112" t="s">
        <v>1101</v>
      </c>
      <c r="J536" s="112" t="s">
        <v>1235</v>
      </c>
      <c r="K536" s="112" t="s">
        <v>1098</v>
      </c>
      <c r="L536" s="116">
        <v>213.13</v>
      </c>
    </row>
    <row r="537" spans="1:12" hidden="1" outlineLevel="1" collapsed="1" x14ac:dyDescent="0.35">
      <c r="A537" s="112" t="s">
        <v>1185</v>
      </c>
      <c r="B537" s="112" t="s">
        <v>897</v>
      </c>
      <c r="C537" s="112" t="s">
        <v>1095</v>
      </c>
      <c r="D537" s="113">
        <v>10348451</v>
      </c>
      <c r="E537" s="115">
        <v>43949</v>
      </c>
      <c r="F537" s="114">
        <v>202101</v>
      </c>
      <c r="G537" s="112" t="s">
        <v>1091</v>
      </c>
      <c r="H537" s="112" t="s">
        <v>1015</v>
      </c>
      <c r="I537" s="112" t="s">
        <v>1101</v>
      </c>
      <c r="J537" s="112" t="s">
        <v>1186</v>
      </c>
      <c r="K537" s="112" t="s">
        <v>1098</v>
      </c>
      <c r="L537" s="116">
        <v>136.21</v>
      </c>
    </row>
    <row r="538" spans="1:12" hidden="1" outlineLevel="1" collapsed="1" x14ac:dyDescent="0.35">
      <c r="A538" s="112" t="s">
        <v>1185</v>
      </c>
      <c r="B538" s="112" t="s">
        <v>896</v>
      </c>
      <c r="C538" s="112" t="s">
        <v>1095</v>
      </c>
      <c r="D538" s="113">
        <v>10348451</v>
      </c>
      <c r="E538" s="115">
        <v>43949</v>
      </c>
      <c r="F538" s="114">
        <v>202101</v>
      </c>
      <c r="G538" s="112" t="s">
        <v>1091</v>
      </c>
      <c r="H538" s="112" t="s">
        <v>1015</v>
      </c>
      <c r="I538" s="112" t="s">
        <v>1101</v>
      </c>
      <c r="J538" s="112" t="s">
        <v>1199</v>
      </c>
      <c r="K538" s="112" t="s">
        <v>1098</v>
      </c>
      <c r="L538" s="116">
        <v>483.07</v>
      </c>
    </row>
    <row r="539" spans="1:12" hidden="1" outlineLevel="1" collapsed="1" x14ac:dyDescent="0.35">
      <c r="A539" s="112" t="s">
        <v>1185</v>
      </c>
      <c r="B539" s="112" t="s">
        <v>896</v>
      </c>
      <c r="C539" s="112" t="s">
        <v>695</v>
      </c>
      <c r="D539" s="113">
        <v>10348163</v>
      </c>
      <c r="E539" s="115">
        <v>43930</v>
      </c>
      <c r="F539" s="114">
        <v>202101</v>
      </c>
      <c r="G539" s="112" t="s">
        <v>1091</v>
      </c>
      <c r="H539" s="112" t="s">
        <v>1016</v>
      </c>
      <c r="I539" s="112" t="s">
        <v>1328</v>
      </c>
      <c r="J539" s="112" t="s">
        <v>1195</v>
      </c>
      <c r="K539" s="112" t="s">
        <v>1329</v>
      </c>
      <c r="L539" s="116">
        <v>4300</v>
      </c>
    </row>
    <row r="540" spans="1:12" hidden="1" outlineLevel="1" collapsed="1" x14ac:dyDescent="0.35">
      <c r="A540" s="112" t="s">
        <v>1185</v>
      </c>
      <c r="B540" s="112" t="s">
        <v>896</v>
      </c>
      <c r="C540" s="112" t="s">
        <v>695</v>
      </c>
      <c r="D540" s="113">
        <v>10348146</v>
      </c>
      <c r="E540" s="115">
        <v>43930</v>
      </c>
      <c r="F540" s="114">
        <v>202101</v>
      </c>
      <c r="G540" s="112" t="s">
        <v>1091</v>
      </c>
      <c r="H540" s="112" t="s">
        <v>1015</v>
      </c>
      <c r="I540" s="112" t="s">
        <v>767</v>
      </c>
      <c r="J540" s="112" t="s">
        <v>1195</v>
      </c>
      <c r="K540" s="112" t="s">
        <v>1330</v>
      </c>
      <c r="L540" s="116">
        <v>459.12</v>
      </c>
    </row>
    <row r="541" spans="1:12" hidden="1" outlineLevel="1" collapsed="1" x14ac:dyDescent="0.35">
      <c r="A541" s="112" t="s">
        <v>1185</v>
      </c>
      <c r="B541" s="112" t="s">
        <v>897</v>
      </c>
      <c r="C541" s="112" t="s">
        <v>1095</v>
      </c>
      <c r="D541" s="113">
        <v>10348451</v>
      </c>
      <c r="E541" s="115">
        <v>43949</v>
      </c>
      <c r="F541" s="114">
        <v>202101</v>
      </c>
      <c r="G541" s="112" t="s">
        <v>1091</v>
      </c>
      <c r="H541" s="112" t="s">
        <v>1015</v>
      </c>
      <c r="I541" s="112" t="s">
        <v>1096</v>
      </c>
      <c r="J541" s="112" t="s">
        <v>1186</v>
      </c>
      <c r="K541" s="112" t="s">
        <v>1098</v>
      </c>
      <c r="L541" s="116">
        <v>15.02</v>
      </c>
    </row>
    <row r="542" spans="1:12" hidden="1" outlineLevel="1" collapsed="1" x14ac:dyDescent="0.35">
      <c r="A542" s="112" t="s">
        <v>1185</v>
      </c>
      <c r="B542" s="112" t="s">
        <v>897</v>
      </c>
      <c r="C542" s="112" t="s">
        <v>1099</v>
      </c>
      <c r="D542" s="113">
        <v>1069674</v>
      </c>
      <c r="E542" s="115">
        <v>43896</v>
      </c>
      <c r="F542" s="114">
        <v>202101</v>
      </c>
      <c r="G542" s="112" t="s">
        <v>1091</v>
      </c>
      <c r="H542" s="112" t="s">
        <v>1015</v>
      </c>
      <c r="I542" s="112" t="s">
        <v>1137</v>
      </c>
      <c r="J542" s="112" t="s">
        <v>1186</v>
      </c>
      <c r="K542" s="112" t="s">
        <v>1331</v>
      </c>
      <c r="L542" s="116">
        <v>22.85</v>
      </c>
    </row>
    <row r="543" spans="1:12" hidden="1" outlineLevel="1" collapsed="1" x14ac:dyDescent="0.35">
      <c r="A543" s="112" t="s">
        <v>1185</v>
      </c>
      <c r="B543" s="112" t="s">
        <v>898</v>
      </c>
      <c r="C543" s="112" t="s">
        <v>1099</v>
      </c>
      <c r="D543" s="113">
        <v>1069676</v>
      </c>
      <c r="E543" s="115">
        <v>43872</v>
      </c>
      <c r="F543" s="114">
        <v>202101</v>
      </c>
      <c r="G543" s="112" t="s">
        <v>1091</v>
      </c>
      <c r="H543" s="112" t="s">
        <v>1015</v>
      </c>
      <c r="I543" s="112" t="s">
        <v>763</v>
      </c>
      <c r="J543" s="112" t="s">
        <v>1207</v>
      </c>
      <c r="K543" s="112" t="s">
        <v>1332</v>
      </c>
      <c r="L543" s="116">
        <v>84.6</v>
      </c>
    </row>
    <row r="544" spans="1:12" hidden="1" outlineLevel="1" collapsed="1" x14ac:dyDescent="0.35">
      <c r="A544" s="112" t="s">
        <v>1185</v>
      </c>
      <c r="B544" s="112" t="s">
        <v>898</v>
      </c>
      <c r="C544" s="112" t="s">
        <v>1099</v>
      </c>
      <c r="D544" s="113">
        <v>1069677</v>
      </c>
      <c r="E544" s="115">
        <v>43914</v>
      </c>
      <c r="F544" s="114">
        <v>202101</v>
      </c>
      <c r="G544" s="112" t="s">
        <v>1091</v>
      </c>
      <c r="H544" s="112" t="s">
        <v>1015</v>
      </c>
      <c r="I544" s="112" t="s">
        <v>763</v>
      </c>
      <c r="J544" s="112" t="s">
        <v>1207</v>
      </c>
      <c r="K544" s="112" t="s">
        <v>1333</v>
      </c>
      <c r="L544" s="116">
        <v>1296</v>
      </c>
    </row>
    <row r="545" spans="1:12" hidden="1" outlineLevel="1" collapsed="1" x14ac:dyDescent="0.35">
      <c r="A545" s="112" t="s">
        <v>1185</v>
      </c>
      <c r="B545" s="112" t="s">
        <v>896</v>
      </c>
      <c r="C545" s="112" t="s">
        <v>1095</v>
      </c>
      <c r="D545" s="113">
        <v>10348451</v>
      </c>
      <c r="E545" s="115">
        <v>43949</v>
      </c>
      <c r="F545" s="114">
        <v>202101</v>
      </c>
      <c r="G545" s="112" t="s">
        <v>1091</v>
      </c>
      <c r="H545" s="112" t="s">
        <v>1015</v>
      </c>
      <c r="I545" s="112" t="s">
        <v>1101</v>
      </c>
      <c r="J545" s="112" t="s">
        <v>1199</v>
      </c>
      <c r="K545" s="112" t="s">
        <v>1098</v>
      </c>
      <c r="L545" s="116">
        <v>315</v>
      </c>
    </row>
    <row r="546" spans="1:12" hidden="1" outlineLevel="1" collapsed="1" x14ac:dyDescent="0.35">
      <c r="A546" s="112" t="s">
        <v>1185</v>
      </c>
      <c r="B546" s="112" t="s">
        <v>898</v>
      </c>
      <c r="C546" s="112" t="s">
        <v>1095</v>
      </c>
      <c r="D546" s="113">
        <v>10348451</v>
      </c>
      <c r="E546" s="115">
        <v>43949</v>
      </c>
      <c r="F546" s="114">
        <v>202101</v>
      </c>
      <c r="G546" s="112" t="s">
        <v>1091</v>
      </c>
      <c r="H546" s="112" t="s">
        <v>1015</v>
      </c>
      <c r="I546" s="112" t="s">
        <v>1101</v>
      </c>
      <c r="J546" s="112" t="s">
        <v>1197</v>
      </c>
      <c r="K546" s="112" t="s">
        <v>1098</v>
      </c>
      <c r="L546" s="116">
        <v>222.56</v>
      </c>
    </row>
    <row r="547" spans="1:12" hidden="1" outlineLevel="1" collapsed="1" x14ac:dyDescent="0.35">
      <c r="A547" s="112" t="s">
        <v>1185</v>
      </c>
      <c r="B547" s="112" t="s">
        <v>897</v>
      </c>
      <c r="C547" s="112" t="s">
        <v>1095</v>
      </c>
      <c r="D547" s="113">
        <v>10348451</v>
      </c>
      <c r="E547" s="115">
        <v>43949</v>
      </c>
      <c r="F547" s="114">
        <v>202101</v>
      </c>
      <c r="G547" s="112" t="s">
        <v>1091</v>
      </c>
      <c r="H547" s="112" t="s">
        <v>1015</v>
      </c>
      <c r="I547" s="112" t="s">
        <v>1128</v>
      </c>
      <c r="J547" s="112" t="s">
        <v>1203</v>
      </c>
      <c r="K547" s="112" t="s">
        <v>1098</v>
      </c>
      <c r="L547" s="116">
        <v>243</v>
      </c>
    </row>
    <row r="548" spans="1:12" hidden="1" outlineLevel="1" collapsed="1" x14ac:dyDescent="0.35">
      <c r="A548" s="112" t="s">
        <v>1185</v>
      </c>
      <c r="B548" s="112" t="s">
        <v>898</v>
      </c>
      <c r="C548" s="112" t="s">
        <v>1099</v>
      </c>
      <c r="D548" s="113">
        <v>1069680</v>
      </c>
      <c r="E548" s="115">
        <v>43889</v>
      </c>
      <c r="F548" s="114">
        <v>202101</v>
      </c>
      <c r="G548" s="112" t="s">
        <v>1091</v>
      </c>
      <c r="H548" s="112" t="s">
        <v>1015</v>
      </c>
      <c r="I548" s="112" t="s">
        <v>763</v>
      </c>
      <c r="J548" s="112" t="s">
        <v>1207</v>
      </c>
      <c r="K548" s="112" t="s">
        <v>1334</v>
      </c>
      <c r="L548" s="116">
        <v>1874.97</v>
      </c>
    </row>
    <row r="549" spans="1:12" hidden="1" outlineLevel="1" collapsed="1" x14ac:dyDescent="0.35">
      <c r="A549" s="112" t="s">
        <v>1185</v>
      </c>
      <c r="B549" s="112" t="s">
        <v>897</v>
      </c>
      <c r="C549" s="112" t="s">
        <v>1095</v>
      </c>
      <c r="D549" s="113">
        <v>10348451</v>
      </c>
      <c r="E549" s="115">
        <v>43949</v>
      </c>
      <c r="F549" s="114">
        <v>202101</v>
      </c>
      <c r="G549" s="112" t="s">
        <v>1091</v>
      </c>
      <c r="H549" s="112" t="s">
        <v>1015</v>
      </c>
      <c r="I549" s="112" t="s">
        <v>1101</v>
      </c>
      <c r="J549" s="112" t="s">
        <v>1186</v>
      </c>
      <c r="K549" s="112" t="s">
        <v>1098</v>
      </c>
      <c r="L549" s="116">
        <v>317.10000000000002</v>
      </c>
    </row>
    <row r="550" spans="1:12" hidden="1" outlineLevel="1" collapsed="1" x14ac:dyDescent="0.35">
      <c r="A550" s="112" t="s">
        <v>1185</v>
      </c>
      <c r="B550" s="112" t="s">
        <v>897</v>
      </c>
      <c r="C550" s="112" t="s">
        <v>1095</v>
      </c>
      <c r="D550" s="113">
        <v>10348451</v>
      </c>
      <c r="E550" s="115">
        <v>43949</v>
      </c>
      <c r="F550" s="114">
        <v>202101</v>
      </c>
      <c r="G550" s="112" t="s">
        <v>1091</v>
      </c>
      <c r="H550" s="112" t="s">
        <v>1015</v>
      </c>
      <c r="I550" s="112" t="s">
        <v>1101</v>
      </c>
      <c r="J550" s="112" t="s">
        <v>1191</v>
      </c>
      <c r="K550" s="112" t="s">
        <v>1098</v>
      </c>
      <c r="L550" s="116">
        <v>315</v>
      </c>
    </row>
    <row r="551" spans="1:12" hidden="1" outlineLevel="1" collapsed="1" x14ac:dyDescent="0.35">
      <c r="A551" s="112" t="s">
        <v>1185</v>
      </c>
      <c r="B551" s="112" t="s">
        <v>897</v>
      </c>
      <c r="C551" s="112" t="s">
        <v>1095</v>
      </c>
      <c r="D551" s="113">
        <v>10348451</v>
      </c>
      <c r="E551" s="115">
        <v>43949</v>
      </c>
      <c r="F551" s="114">
        <v>202101</v>
      </c>
      <c r="G551" s="112" t="s">
        <v>1091</v>
      </c>
      <c r="H551" s="112" t="s">
        <v>1015</v>
      </c>
      <c r="I551" s="112" t="s">
        <v>1096</v>
      </c>
      <c r="J551" s="112" t="s">
        <v>1186</v>
      </c>
      <c r="K551" s="112" t="s">
        <v>1098</v>
      </c>
      <c r="L551" s="116">
        <v>169.11</v>
      </c>
    </row>
    <row r="552" spans="1:12" hidden="1" outlineLevel="1" collapsed="1" x14ac:dyDescent="0.35">
      <c r="A552" s="112" t="s">
        <v>1185</v>
      </c>
      <c r="B552" s="112" t="s">
        <v>897</v>
      </c>
      <c r="C552" s="112" t="s">
        <v>1099</v>
      </c>
      <c r="D552" s="113">
        <v>1068985</v>
      </c>
      <c r="E552" s="115">
        <v>43906</v>
      </c>
      <c r="F552" s="114">
        <v>202101</v>
      </c>
      <c r="G552" s="112" t="s">
        <v>1091</v>
      </c>
      <c r="H552" s="112" t="s">
        <v>1015</v>
      </c>
      <c r="I552" s="112" t="s">
        <v>761</v>
      </c>
      <c r="J552" s="112" t="s">
        <v>1191</v>
      </c>
      <c r="K552" s="112" t="s">
        <v>1335</v>
      </c>
      <c r="L552" s="116">
        <v>329.32</v>
      </c>
    </row>
    <row r="553" spans="1:12" hidden="1" outlineLevel="1" collapsed="1" x14ac:dyDescent="0.35">
      <c r="A553" s="112" t="s">
        <v>1185</v>
      </c>
      <c r="B553" s="112" t="s">
        <v>898</v>
      </c>
      <c r="C553" s="112" t="s">
        <v>1099</v>
      </c>
      <c r="D553" s="113">
        <v>1069528</v>
      </c>
      <c r="E553" s="115">
        <v>43931</v>
      </c>
      <c r="F553" s="114">
        <v>202101</v>
      </c>
      <c r="G553" s="112" t="s">
        <v>1091</v>
      </c>
      <c r="H553" s="112" t="s">
        <v>1015</v>
      </c>
      <c r="I553" s="112" t="s">
        <v>763</v>
      </c>
      <c r="J553" s="112" t="s">
        <v>1213</v>
      </c>
      <c r="K553" s="112" t="s">
        <v>1336</v>
      </c>
      <c r="L553" s="116">
        <v>310</v>
      </c>
    </row>
    <row r="554" spans="1:12" hidden="1" outlineLevel="1" collapsed="1" x14ac:dyDescent="0.35">
      <c r="A554" s="112" t="s">
        <v>1185</v>
      </c>
      <c r="B554" s="112" t="s">
        <v>897</v>
      </c>
      <c r="C554" s="112" t="s">
        <v>1095</v>
      </c>
      <c r="D554" s="113">
        <v>10348451</v>
      </c>
      <c r="E554" s="115">
        <v>43949</v>
      </c>
      <c r="F554" s="114">
        <v>202101</v>
      </c>
      <c r="G554" s="112" t="s">
        <v>1091</v>
      </c>
      <c r="H554" s="112" t="s">
        <v>1015</v>
      </c>
      <c r="I554" s="112" t="s">
        <v>1101</v>
      </c>
      <c r="J554" s="112" t="s">
        <v>1186</v>
      </c>
      <c r="K554" s="112" t="s">
        <v>1098</v>
      </c>
      <c r="L554" s="116">
        <v>404.02</v>
      </c>
    </row>
    <row r="555" spans="1:12" hidden="1" outlineLevel="1" collapsed="1" x14ac:dyDescent="0.35">
      <c r="A555" s="112" t="s">
        <v>1185</v>
      </c>
      <c r="B555" s="112" t="s">
        <v>1192</v>
      </c>
      <c r="C555" s="112" t="s">
        <v>1095</v>
      </c>
      <c r="D555" s="113">
        <v>10348451</v>
      </c>
      <c r="E555" s="115">
        <v>43949</v>
      </c>
      <c r="F555" s="114">
        <v>202101</v>
      </c>
      <c r="G555" s="112" t="s">
        <v>1091</v>
      </c>
      <c r="H555" s="112" t="s">
        <v>1015</v>
      </c>
      <c r="I555" s="112" t="s">
        <v>1096</v>
      </c>
      <c r="J555" s="112" t="s">
        <v>1198</v>
      </c>
      <c r="K555" s="112" t="s">
        <v>1098</v>
      </c>
      <c r="L555" s="116">
        <v>366.99</v>
      </c>
    </row>
    <row r="556" spans="1:12" hidden="1" outlineLevel="1" collapsed="1" x14ac:dyDescent="0.35">
      <c r="A556" s="112" t="s">
        <v>1185</v>
      </c>
      <c r="B556" s="112" t="s">
        <v>896</v>
      </c>
      <c r="C556" s="112" t="s">
        <v>1095</v>
      </c>
      <c r="D556" s="113">
        <v>10348451</v>
      </c>
      <c r="E556" s="115">
        <v>43949</v>
      </c>
      <c r="F556" s="114">
        <v>202101</v>
      </c>
      <c r="G556" s="112" t="s">
        <v>1091</v>
      </c>
      <c r="H556" s="112" t="s">
        <v>1015</v>
      </c>
      <c r="I556" s="112" t="s">
        <v>1096</v>
      </c>
      <c r="J556" s="112" t="s">
        <v>1199</v>
      </c>
      <c r="K556" s="112" t="s">
        <v>1098</v>
      </c>
      <c r="L556" s="116">
        <v>212.59</v>
      </c>
    </row>
    <row r="557" spans="1:12" hidden="1" outlineLevel="1" collapsed="1" x14ac:dyDescent="0.35">
      <c r="A557" s="112" t="s">
        <v>1185</v>
      </c>
      <c r="B557" s="112" t="s">
        <v>896</v>
      </c>
      <c r="C557" s="112" t="s">
        <v>1095</v>
      </c>
      <c r="D557" s="113">
        <v>10348451</v>
      </c>
      <c r="E557" s="115">
        <v>43949</v>
      </c>
      <c r="F557" s="114">
        <v>202101</v>
      </c>
      <c r="G557" s="112" t="s">
        <v>1091</v>
      </c>
      <c r="H557" s="112" t="s">
        <v>1015</v>
      </c>
      <c r="I557" s="112" t="s">
        <v>1096</v>
      </c>
      <c r="J557" s="112" t="s">
        <v>1199</v>
      </c>
      <c r="K557" s="112" t="s">
        <v>1098</v>
      </c>
      <c r="L557" s="116">
        <v>411.93</v>
      </c>
    </row>
    <row r="558" spans="1:12" hidden="1" outlineLevel="1" collapsed="1" x14ac:dyDescent="0.35">
      <c r="A558" s="112" t="s">
        <v>1185</v>
      </c>
      <c r="B558" s="112" t="s">
        <v>896</v>
      </c>
      <c r="C558" s="112" t="s">
        <v>1095</v>
      </c>
      <c r="D558" s="113">
        <v>10348451</v>
      </c>
      <c r="E558" s="115">
        <v>43949</v>
      </c>
      <c r="F558" s="114">
        <v>202101</v>
      </c>
      <c r="G558" s="112" t="s">
        <v>1091</v>
      </c>
      <c r="H558" s="112" t="s">
        <v>1015</v>
      </c>
      <c r="I558" s="112" t="s">
        <v>1096</v>
      </c>
      <c r="J558" s="112" t="s">
        <v>1199</v>
      </c>
      <c r="K558" s="112" t="s">
        <v>1098</v>
      </c>
      <c r="L558" s="116">
        <v>477.46</v>
      </c>
    </row>
    <row r="559" spans="1:12" hidden="1" outlineLevel="1" collapsed="1" x14ac:dyDescent="0.35">
      <c r="A559" s="112" t="s">
        <v>1185</v>
      </c>
      <c r="B559" s="112" t="s">
        <v>896</v>
      </c>
      <c r="C559" s="112" t="s">
        <v>1095</v>
      </c>
      <c r="D559" s="113">
        <v>10348451</v>
      </c>
      <c r="E559" s="115">
        <v>43949</v>
      </c>
      <c r="F559" s="114">
        <v>202101</v>
      </c>
      <c r="G559" s="112" t="s">
        <v>1091</v>
      </c>
      <c r="H559" s="112" t="s">
        <v>1015</v>
      </c>
      <c r="I559" s="112" t="s">
        <v>1096</v>
      </c>
      <c r="J559" s="112" t="s">
        <v>1199</v>
      </c>
      <c r="K559" s="112" t="s">
        <v>1098</v>
      </c>
      <c r="L559" s="116">
        <v>428.07</v>
      </c>
    </row>
    <row r="560" spans="1:12" hidden="1" outlineLevel="1" collapsed="1" x14ac:dyDescent="0.35">
      <c r="A560" s="112" t="s">
        <v>1185</v>
      </c>
      <c r="B560" s="112" t="s">
        <v>896</v>
      </c>
      <c r="C560" s="112" t="s">
        <v>1095</v>
      </c>
      <c r="D560" s="113">
        <v>10348451</v>
      </c>
      <c r="E560" s="115">
        <v>43949</v>
      </c>
      <c r="F560" s="114">
        <v>202101</v>
      </c>
      <c r="G560" s="112" t="s">
        <v>1091</v>
      </c>
      <c r="H560" s="112" t="s">
        <v>1015</v>
      </c>
      <c r="I560" s="112" t="s">
        <v>1096</v>
      </c>
      <c r="J560" s="112" t="s">
        <v>1199</v>
      </c>
      <c r="K560" s="112" t="s">
        <v>1098</v>
      </c>
      <c r="L560" s="116">
        <v>323.45</v>
      </c>
    </row>
    <row r="561" spans="1:12" hidden="1" outlineLevel="1" collapsed="1" x14ac:dyDescent="0.35">
      <c r="A561" s="112" t="s">
        <v>1185</v>
      </c>
      <c r="B561" s="112" t="s">
        <v>896</v>
      </c>
      <c r="C561" s="112" t="s">
        <v>1095</v>
      </c>
      <c r="D561" s="113">
        <v>10348451</v>
      </c>
      <c r="E561" s="115">
        <v>43949</v>
      </c>
      <c r="F561" s="114">
        <v>202101</v>
      </c>
      <c r="G561" s="112" t="s">
        <v>1091</v>
      </c>
      <c r="H561" s="112" t="s">
        <v>1015</v>
      </c>
      <c r="I561" s="112" t="s">
        <v>1096</v>
      </c>
      <c r="J561" s="112" t="s">
        <v>1199</v>
      </c>
      <c r="K561" s="112" t="s">
        <v>1098</v>
      </c>
      <c r="L561" s="116">
        <v>299.3</v>
      </c>
    </row>
    <row r="562" spans="1:12" hidden="1" outlineLevel="1" collapsed="1" x14ac:dyDescent="0.35">
      <c r="A562" s="112" t="s">
        <v>1185</v>
      </c>
      <c r="B562" s="112" t="s">
        <v>896</v>
      </c>
      <c r="C562" s="112" t="s">
        <v>1095</v>
      </c>
      <c r="D562" s="113">
        <v>10348451</v>
      </c>
      <c r="E562" s="115">
        <v>43949</v>
      </c>
      <c r="F562" s="114">
        <v>202101</v>
      </c>
      <c r="G562" s="112" t="s">
        <v>1091</v>
      </c>
      <c r="H562" s="112" t="s">
        <v>1015</v>
      </c>
      <c r="I562" s="112" t="s">
        <v>1096</v>
      </c>
      <c r="J562" s="112" t="s">
        <v>1199</v>
      </c>
      <c r="K562" s="112" t="s">
        <v>1098</v>
      </c>
      <c r="L562" s="116">
        <v>219.6</v>
      </c>
    </row>
    <row r="563" spans="1:12" hidden="1" outlineLevel="1" collapsed="1" x14ac:dyDescent="0.35">
      <c r="A563" s="112" t="s">
        <v>1185</v>
      </c>
      <c r="B563" s="112" t="s">
        <v>896</v>
      </c>
      <c r="C563" s="112" t="s">
        <v>1095</v>
      </c>
      <c r="D563" s="113">
        <v>10348451</v>
      </c>
      <c r="E563" s="115">
        <v>43949</v>
      </c>
      <c r="F563" s="114">
        <v>202101</v>
      </c>
      <c r="G563" s="112" t="s">
        <v>1091</v>
      </c>
      <c r="H563" s="112" t="s">
        <v>1015</v>
      </c>
      <c r="I563" s="112" t="s">
        <v>1096</v>
      </c>
      <c r="J563" s="112" t="s">
        <v>1199</v>
      </c>
      <c r="K563" s="112" t="s">
        <v>1098</v>
      </c>
      <c r="L563" s="116">
        <v>159.87</v>
      </c>
    </row>
    <row r="564" spans="1:12" hidden="1" outlineLevel="1" collapsed="1" x14ac:dyDescent="0.35">
      <c r="A564" s="112" t="s">
        <v>1185</v>
      </c>
      <c r="B564" s="112" t="s">
        <v>896</v>
      </c>
      <c r="C564" s="112" t="s">
        <v>1095</v>
      </c>
      <c r="D564" s="113">
        <v>10348451</v>
      </c>
      <c r="E564" s="115">
        <v>43949</v>
      </c>
      <c r="F564" s="114">
        <v>202101</v>
      </c>
      <c r="G564" s="112" t="s">
        <v>1091</v>
      </c>
      <c r="H564" s="112" t="s">
        <v>1015</v>
      </c>
      <c r="I564" s="112" t="s">
        <v>1096</v>
      </c>
      <c r="J564" s="112" t="s">
        <v>1199</v>
      </c>
      <c r="K564" s="112" t="s">
        <v>1098</v>
      </c>
      <c r="L564" s="116">
        <v>162.54</v>
      </c>
    </row>
    <row r="565" spans="1:12" hidden="1" outlineLevel="1" collapsed="1" x14ac:dyDescent="0.35">
      <c r="A565" s="112" t="s">
        <v>1185</v>
      </c>
      <c r="B565" s="112" t="s">
        <v>896</v>
      </c>
      <c r="C565" s="112" t="s">
        <v>1095</v>
      </c>
      <c r="D565" s="113">
        <v>10348451</v>
      </c>
      <c r="E565" s="115">
        <v>43949</v>
      </c>
      <c r="F565" s="114">
        <v>202101</v>
      </c>
      <c r="G565" s="112" t="s">
        <v>1091</v>
      </c>
      <c r="H565" s="112" t="s">
        <v>1015</v>
      </c>
      <c r="I565" s="112" t="s">
        <v>1096</v>
      </c>
      <c r="J565" s="112" t="s">
        <v>1199</v>
      </c>
      <c r="K565" s="112" t="s">
        <v>1098</v>
      </c>
      <c r="L565" s="116">
        <v>210.79</v>
      </c>
    </row>
    <row r="566" spans="1:12" hidden="1" outlineLevel="1" collapsed="1" x14ac:dyDescent="0.35">
      <c r="A566" s="112" t="s">
        <v>1185</v>
      </c>
      <c r="B566" s="112" t="s">
        <v>896</v>
      </c>
      <c r="C566" s="112" t="s">
        <v>1095</v>
      </c>
      <c r="D566" s="113">
        <v>10348451</v>
      </c>
      <c r="E566" s="115">
        <v>43949</v>
      </c>
      <c r="F566" s="114">
        <v>202101</v>
      </c>
      <c r="G566" s="112" t="s">
        <v>1091</v>
      </c>
      <c r="H566" s="112" t="s">
        <v>1015</v>
      </c>
      <c r="I566" s="112" t="s">
        <v>1096</v>
      </c>
      <c r="J566" s="112" t="s">
        <v>1199</v>
      </c>
      <c r="K566" s="112" t="s">
        <v>1098</v>
      </c>
      <c r="L566" s="116">
        <v>310.49</v>
      </c>
    </row>
    <row r="567" spans="1:12" hidden="1" outlineLevel="1" collapsed="1" x14ac:dyDescent="0.35">
      <c r="A567" s="112" t="s">
        <v>1185</v>
      </c>
      <c r="B567" s="112" t="s">
        <v>1192</v>
      </c>
      <c r="C567" s="112" t="s">
        <v>1095</v>
      </c>
      <c r="D567" s="113">
        <v>10348451</v>
      </c>
      <c r="E567" s="115">
        <v>43949</v>
      </c>
      <c r="F567" s="114">
        <v>202101</v>
      </c>
      <c r="G567" s="112" t="s">
        <v>1091</v>
      </c>
      <c r="H567" s="112" t="s">
        <v>1015</v>
      </c>
      <c r="I567" s="112" t="s">
        <v>1096</v>
      </c>
      <c r="J567" s="112" t="s">
        <v>1235</v>
      </c>
      <c r="K567" s="112" t="s">
        <v>1098</v>
      </c>
      <c r="L567" s="116">
        <v>127.21</v>
      </c>
    </row>
    <row r="568" spans="1:12" hidden="1" outlineLevel="1" collapsed="1" x14ac:dyDescent="0.35">
      <c r="A568" s="112" t="s">
        <v>1185</v>
      </c>
      <c r="B568" s="112" t="s">
        <v>1192</v>
      </c>
      <c r="C568" s="112" t="s">
        <v>1095</v>
      </c>
      <c r="D568" s="113">
        <v>10348451</v>
      </c>
      <c r="E568" s="115">
        <v>43949</v>
      </c>
      <c r="F568" s="114">
        <v>202101</v>
      </c>
      <c r="G568" s="112" t="s">
        <v>1091</v>
      </c>
      <c r="H568" s="112" t="s">
        <v>1015</v>
      </c>
      <c r="I568" s="112" t="s">
        <v>1096</v>
      </c>
      <c r="J568" s="112" t="s">
        <v>1235</v>
      </c>
      <c r="K568" s="112" t="s">
        <v>1098</v>
      </c>
      <c r="L568" s="116">
        <v>81.3</v>
      </c>
    </row>
    <row r="569" spans="1:12" hidden="1" outlineLevel="1" collapsed="1" x14ac:dyDescent="0.35">
      <c r="A569" s="112" t="s">
        <v>1185</v>
      </c>
      <c r="B569" s="112" t="s">
        <v>1192</v>
      </c>
      <c r="C569" s="112" t="s">
        <v>1095</v>
      </c>
      <c r="D569" s="113">
        <v>10348451</v>
      </c>
      <c r="E569" s="115">
        <v>43949</v>
      </c>
      <c r="F569" s="114">
        <v>202101</v>
      </c>
      <c r="G569" s="112" t="s">
        <v>1091</v>
      </c>
      <c r="H569" s="112" t="s">
        <v>1015</v>
      </c>
      <c r="I569" s="112" t="s">
        <v>1096</v>
      </c>
      <c r="J569" s="112" t="s">
        <v>1235</v>
      </c>
      <c r="K569" s="112" t="s">
        <v>1098</v>
      </c>
      <c r="L569" s="116">
        <v>310.49</v>
      </c>
    </row>
    <row r="570" spans="1:12" hidden="1" outlineLevel="1" collapsed="1" x14ac:dyDescent="0.35">
      <c r="A570" s="112" t="s">
        <v>1185</v>
      </c>
      <c r="B570" s="112" t="s">
        <v>1192</v>
      </c>
      <c r="C570" s="112" t="s">
        <v>1095</v>
      </c>
      <c r="D570" s="113">
        <v>10348451</v>
      </c>
      <c r="E570" s="115">
        <v>43949</v>
      </c>
      <c r="F570" s="114">
        <v>202101</v>
      </c>
      <c r="G570" s="112" t="s">
        <v>1091</v>
      </c>
      <c r="H570" s="112" t="s">
        <v>1015</v>
      </c>
      <c r="I570" s="112" t="s">
        <v>1096</v>
      </c>
      <c r="J570" s="112" t="s">
        <v>1320</v>
      </c>
      <c r="K570" s="112" t="s">
        <v>1098</v>
      </c>
      <c r="L570" s="116">
        <v>210.79</v>
      </c>
    </row>
    <row r="571" spans="1:12" hidden="1" outlineLevel="1" collapsed="1" x14ac:dyDescent="0.35">
      <c r="A571" s="112" t="s">
        <v>1185</v>
      </c>
      <c r="B571" s="112" t="s">
        <v>1192</v>
      </c>
      <c r="C571" s="112" t="s">
        <v>1095</v>
      </c>
      <c r="D571" s="113">
        <v>10348451</v>
      </c>
      <c r="E571" s="115">
        <v>43949</v>
      </c>
      <c r="F571" s="114">
        <v>202101</v>
      </c>
      <c r="G571" s="112" t="s">
        <v>1091</v>
      </c>
      <c r="H571" s="112" t="s">
        <v>1015</v>
      </c>
      <c r="I571" s="112" t="s">
        <v>1096</v>
      </c>
      <c r="J571" s="112" t="s">
        <v>1198</v>
      </c>
      <c r="K571" s="112" t="s">
        <v>1098</v>
      </c>
      <c r="L571" s="116">
        <v>309.33999999999997</v>
      </c>
    </row>
    <row r="572" spans="1:12" hidden="1" outlineLevel="1" collapsed="1" x14ac:dyDescent="0.35">
      <c r="A572" s="112" t="s">
        <v>1185</v>
      </c>
      <c r="B572" s="112" t="s">
        <v>1192</v>
      </c>
      <c r="C572" s="112" t="s">
        <v>1095</v>
      </c>
      <c r="D572" s="113">
        <v>10348451</v>
      </c>
      <c r="E572" s="115">
        <v>43949</v>
      </c>
      <c r="F572" s="114">
        <v>202101</v>
      </c>
      <c r="G572" s="112" t="s">
        <v>1091</v>
      </c>
      <c r="H572" s="112" t="s">
        <v>1015</v>
      </c>
      <c r="I572" s="112" t="s">
        <v>1096</v>
      </c>
      <c r="J572" s="112" t="s">
        <v>1198</v>
      </c>
      <c r="K572" s="112" t="s">
        <v>1098</v>
      </c>
      <c r="L572" s="116">
        <v>477.46</v>
      </c>
    </row>
    <row r="573" spans="1:12" hidden="1" outlineLevel="1" collapsed="1" x14ac:dyDescent="0.35">
      <c r="A573" s="112" t="s">
        <v>1185</v>
      </c>
      <c r="B573" s="112" t="s">
        <v>896</v>
      </c>
      <c r="C573" s="112" t="s">
        <v>1095</v>
      </c>
      <c r="D573" s="113">
        <v>10348451</v>
      </c>
      <c r="E573" s="115">
        <v>43949</v>
      </c>
      <c r="F573" s="114">
        <v>202101</v>
      </c>
      <c r="G573" s="112" t="s">
        <v>1091</v>
      </c>
      <c r="H573" s="112" t="s">
        <v>1015</v>
      </c>
      <c r="I573" s="112" t="s">
        <v>1096</v>
      </c>
      <c r="J573" s="112" t="s">
        <v>1199</v>
      </c>
      <c r="K573" s="112" t="s">
        <v>1098</v>
      </c>
      <c r="L573" s="116">
        <v>167.31</v>
      </c>
    </row>
    <row r="574" spans="1:12" hidden="1" outlineLevel="1" collapsed="1" x14ac:dyDescent="0.35">
      <c r="A574" s="112" t="s">
        <v>1185</v>
      </c>
      <c r="B574" s="112" t="s">
        <v>1192</v>
      </c>
      <c r="C574" s="112" t="s">
        <v>1095</v>
      </c>
      <c r="D574" s="113">
        <v>10348451</v>
      </c>
      <c r="E574" s="115">
        <v>43949</v>
      </c>
      <c r="F574" s="114">
        <v>202101</v>
      </c>
      <c r="G574" s="112" t="s">
        <v>1091</v>
      </c>
      <c r="H574" s="112" t="s">
        <v>1015</v>
      </c>
      <c r="I574" s="112" t="s">
        <v>1096</v>
      </c>
      <c r="J574" s="112" t="s">
        <v>1198</v>
      </c>
      <c r="K574" s="112" t="s">
        <v>1098</v>
      </c>
      <c r="L574" s="116">
        <v>310.49</v>
      </c>
    </row>
    <row r="575" spans="1:12" hidden="1" outlineLevel="1" collapsed="1" x14ac:dyDescent="0.35">
      <c r="A575" s="112" t="s">
        <v>1185</v>
      </c>
      <c r="B575" s="112" t="s">
        <v>1192</v>
      </c>
      <c r="C575" s="112" t="s">
        <v>1095</v>
      </c>
      <c r="D575" s="113">
        <v>10348451</v>
      </c>
      <c r="E575" s="115">
        <v>43949</v>
      </c>
      <c r="F575" s="114">
        <v>202101</v>
      </c>
      <c r="G575" s="112" t="s">
        <v>1091</v>
      </c>
      <c r="H575" s="112" t="s">
        <v>1015</v>
      </c>
      <c r="I575" s="112" t="s">
        <v>1096</v>
      </c>
      <c r="J575" s="112" t="s">
        <v>1198</v>
      </c>
      <c r="K575" s="112" t="s">
        <v>1098</v>
      </c>
      <c r="L575" s="116">
        <v>378.29</v>
      </c>
    </row>
    <row r="576" spans="1:12" hidden="1" outlineLevel="1" collapsed="1" x14ac:dyDescent="0.35">
      <c r="A576" s="112" t="s">
        <v>1185</v>
      </c>
      <c r="B576" s="112" t="s">
        <v>1192</v>
      </c>
      <c r="C576" s="112" t="s">
        <v>1095</v>
      </c>
      <c r="D576" s="113">
        <v>10348451</v>
      </c>
      <c r="E576" s="115">
        <v>43949</v>
      </c>
      <c r="F576" s="114">
        <v>202101</v>
      </c>
      <c r="G576" s="112" t="s">
        <v>1091</v>
      </c>
      <c r="H576" s="112" t="s">
        <v>1015</v>
      </c>
      <c r="I576" s="112" t="s">
        <v>1096</v>
      </c>
      <c r="J576" s="112" t="s">
        <v>1198</v>
      </c>
      <c r="K576" s="112" t="s">
        <v>1098</v>
      </c>
      <c r="L576" s="116">
        <v>262.10000000000002</v>
      </c>
    </row>
    <row r="577" spans="1:12" hidden="1" outlineLevel="1" collapsed="1" x14ac:dyDescent="0.35">
      <c r="A577" s="112" t="s">
        <v>1185</v>
      </c>
      <c r="B577" s="112" t="s">
        <v>1192</v>
      </c>
      <c r="C577" s="112" t="s">
        <v>1095</v>
      </c>
      <c r="D577" s="113">
        <v>10348451</v>
      </c>
      <c r="E577" s="115">
        <v>43949</v>
      </c>
      <c r="F577" s="114">
        <v>202101</v>
      </c>
      <c r="G577" s="112" t="s">
        <v>1091</v>
      </c>
      <c r="H577" s="112" t="s">
        <v>1015</v>
      </c>
      <c r="I577" s="112" t="s">
        <v>1096</v>
      </c>
      <c r="J577" s="112" t="s">
        <v>1198</v>
      </c>
      <c r="K577" s="112" t="s">
        <v>1098</v>
      </c>
      <c r="L577" s="116">
        <v>477.46</v>
      </c>
    </row>
    <row r="578" spans="1:12" hidden="1" outlineLevel="1" collapsed="1" x14ac:dyDescent="0.35">
      <c r="A578" s="112" t="s">
        <v>1185</v>
      </c>
      <c r="B578" s="112" t="s">
        <v>1192</v>
      </c>
      <c r="C578" s="112" t="s">
        <v>1095</v>
      </c>
      <c r="D578" s="113">
        <v>10348451</v>
      </c>
      <c r="E578" s="115">
        <v>43949</v>
      </c>
      <c r="F578" s="114">
        <v>202101</v>
      </c>
      <c r="G578" s="112" t="s">
        <v>1091</v>
      </c>
      <c r="H578" s="112" t="s">
        <v>1015</v>
      </c>
      <c r="I578" s="112" t="s">
        <v>1096</v>
      </c>
      <c r="J578" s="112" t="s">
        <v>1198</v>
      </c>
      <c r="K578" s="112" t="s">
        <v>1098</v>
      </c>
      <c r="L578" s="116">
        <v>244.91</v>
      </c>
    </row>
    <row r="579" spans="1:12" hidden="1" outlineLevel="1" collapsed="1" x14ac:dyDescent="0.35">
      <c r="A579" s="112" t="s">
        <v>1185</v>
      </c>
      <c r="B579" s="112" t="s">
        <v>1192</v>
      </c>
      <c r="C579" s="112" t="s">
        <v>1095</v>
      </c>
      <c r="D579" s="113">
        <v>10348451</v>
      </c>
      <c r="E579" s="115">
        <v>43949</v>
      </c>
      <c r="F579" s="114">
        <v>202101</v>
      </c>
      <c r="G579" s="112" t="s">
        <v>1091</v>
      </c>
      <c r="H579" s="112" t="s">
        <v>1015</v>
      </c>
      <c r="I579" s="112" t="s">
        <v>1096</v>
      </c>
      <c r="J579" s="112" t="s">
        <v>1198</v>
      </c>
      <c r="K579" s="112" t="s">
        <v>1098</v>
      </c>
      <c r="L579" s="116">
        <v>366.99</v>
      </c>
    </row>
    <row r="580" spans="1:12" hidden="1" outlineLevel="1" collapsed="1" x14ac:dyDescent="0.35">
      <c r="A580" s="112" t="s">
        <v>1185</v>
      </c>
      <c r="B580" s="112" t="s">
        <v>1192</v>
      </c>
      <c r="C580" s="112" t="s">
        <v>1095</v>
      </c>
      <c r="D580" s="113">
        <v>10348451</v>
      </c>
      <c r="E580" s="115">
        <v>43949</v>
      </c>
      <c r="F580" s="114">
        <v>202101</v>
      </c>
      <c r="G580" s="112" t="s">
        <v>1091</v>
      </c>
      <c r="H580" s="112" t="s">
        <v>1015</v>
      </c>
      <c r="I580" s="112" t="s">
        <v>1096</v>
      </c>
      <c r="J580" s="112" t="s">
        <v>1198</v>
      </c>
      <c r="K580" s="112" t="s">
        <v>1098</v>
      </c>
      <c r="L580" s="116">
        <v>274.95</v>
      </c>
    </row>
    <row r="581" spans="1:12" hidden="1" outlineLevel="1" collapsed="1" x14ac:dyDescent="0.35">
      <c r="A581" s="112" t="s">
        <v>1185</v>
      </c>
      <c r="B581" s="112" t="s">
        <v>1192</v>
      </c>
      <c r="C581" s="112" t="s">
        <v>1095</v>
      </c>
      <c r="D581" s="113">
        <v>10348451</v>
      </c>
      <c r="E581" s="115">
        <v>43949</v>
      </c>
      <c r="F581" s="114">
        <v>202101</v>
      </c>
      <c r="G581" s="112" t="s">
        <v>1091</v>
      </c>
      <c r="H581" s="112" t="s">
        <v>1015</v>
      </c>
      <c r="I581" s="112" t="s">
        <v>1096</v>
      </c>
      <c r="J581" s="112" t="s">
        <v>1198</v>
      </c>
      <c r="K581" s="112" t="s">
        <v>1098</v>
      </c>
      <c r="L581" s="116">
        <v>138.84</v>
      </c>
    </row>
    <row r="582" spans="1:12" hidden="1" outlineLevel="1" collapsed="1" x14ac:dyDescent="0.35">
      <c r="A582" s="112" t="s">
        <v>1185</v>
      </c>
      <c r="B582" s="112" t="s">
        <v>898</v>
      </c>
      <c r="C582" s="112" t="s">
        <v>1095</v>
      </c>
      <c r="D582" s="113">
        <v>10348451</v>
      </c>
      <c r="E582" s="115">
        <v>43949</v>
      </c>
      <c r="F582" s="114">
        <v>202101</v>
      </c>
      <c r="G582" s="112" t="s">
        <v>1091</v>
      </c>
      <c r="H582" s="112" t="s">
        <v>1015</v>
      </c>
      <c r="I582" s="112" t="s">
        <v>1096</v>
      </c>
      <c r="J582" s="112" t="s">
        <v>1301</v>
      </c>
      <c r="K582" s="112" t="s">
        <v>1098</v>
      </c>
      <c r="L582" s="116">
        <v>1.25</v>
      </c>
    </row>
    <row r="583" spans="1:12" hidden="1" outlineLevel="1" collapsed="1" x14ac:dyDescent="0.35">
      <c r="A583" s="112" t="s">
        <v>1185</v>
      </c>
      <c r="B583" s="112" t="s">
        <v>898</v>
      </c>
      <c r="C583" s="112" t="s">
        <v>1095</v>
      </c>
      <c r="D583" s="113">
        <v>10348451</v>
      </c>
      <c r="E583" s="115">
        <v>43949</v>
      </c>
      <c r="F583" s="114">
        <v>202101</v>
      </c>
      <c r="G583" s="112" t="s">
        <v>1091</v>
      </c>
      <c r="H583" s="112" t="s">
        <v>1015</v>
      </c>
      <c r="I583" s="112" t="s">
        <v>1096</v>
      </c>
      <c r="J583" s="112" t="s">
        <v>1301</v>
      </c>
      <c r="K583" s="112" t="s">
        <v>1098</v>
      </c>
      <c r="L583" s="116">
        <v>5.89</v>
      </c>
    </row>
    <row r="584" spans="1:12" hidden="1" outlineLevel="1" collapsed="1" x14ac:dyDescent="0.35">
      <c r="A584" s="112" t="s">
        <v>1185</v>
      </c>
      <c r="B584" s="112" t="s">
        <v>898</v>
      </c>
      <c r="C584" s="112" t="s">
        <v>1095</v>
      </c>
      <c r="D584" s="113">
        <v>10348451</v>
      </c>
      <c r="E584" s="115">
        <v>43949</v>
      </c>
      <c r="F584" s="114">
        <v>202101</v>
      </c>
      <c r="G584" s="112" t="s">
        <v>1091</v>
      </c>
      <c r="H584" s="112" t="s">
        <v>1015</v>
      </c>
      <c r="I584" s="112" t="s">
        <v>1096</v>
      </c>
      <c r="J584" s="112" t="s">
        <v>1301</v>
      </c>
      <c r="K584" s="112" t="s">
        <v>1098</v>
      </c>
      <c r="L584" s="116">
        <v>23.49</v>
      </c>
    </row>
    <row r="585" spans="1:12" hidden="1" outlineLevel="1" collapsed="1" x14ac:dyDescent="0.35">
      <c r="A585" s="112" t="s">
        <v>1185</v>
      </c>
      <c r="B585" s="112" t="s">
        <v>898</v>
      </c>
      <c r="C585" s="112" t="s">
        <v>1095</v>
      </c>
      <c r="D585" s="113">
        <v>10348451</v>
      </c>
      <c r="E585" s="115">
        <v>43949</v>
      </c>
      <c r="F585" s="114">
        <v>202101</v>
      </c>
      <c r="G585" s="112" t="s">
        <v>1091</v>
      </c>
      <c r="H585" s="112" t="s">
        <v>1015</v>
      </c>
      <c r="I585" s="112" t="s">
        <v>1096</v>
      </c>
      <c r="J585" s="112" t="s">
        <v>1301</v>
      </c>
      <c r="K585" s="112" t="s">
        <v>1098</v>
      </c>
      <c r="L585" s="116">
        <v>5.29</v>
      </c>
    </row>
    <row r="586" spans="1:12" hidden="1" outlineLevel="1" collapsed="1" x14ac:dyDescent="0.35">
      <c r="A586" s="112" t="s">
        <v>1185</v>
      </c>
      <c r="B586" s="112" t="s">
        <v>898</v>
      </c>
      <c r="C586" s="112" t="s">
        <v>1095</v>
      </c>
      <c r="D586" s="113">
        <v>10348451</v>
      </c>
      <c r="E586" s="115">
        <v>43949</v>
      </c>
      <c r="F586" s="114">
        <v>202101</v>
      </c>
      <c r="G586" s="112" t="s">
        <v>1091</v>
      </c>
      <c r="H586" s="112" t="s">
        <v>1015</v>
      </c>
      <c r="I586" s="112" t="s">
        <v>1096</v>
      </c>
      <c r="J586" s="112" t="s">
        <v>1301</v>
      </c>
      <c r="K586" s="112" t="s">
        <v>1098</v>
      </c>
      <c r="L586" s="116">
        <v>8.5</v>
      </c>
    </row>
    <row r="587" spans="1:12" hidden="1" outlineLevel="1" collapsed="1" x14ac:dyDescent="0.35">
      <c r="A587" s="112" t="s">
        <v>1185</v>
      </c>
      <c r="B587" s="112" t="s">
        <v>898</v>
      </c>
      <c r="C587" s="112" t="s">
        <v>1095</v>
      </c>
      <c r="D587" s="113">
        <v>10348451</v>
      </c>
      <c r="E587" s="115">
        <v>43949</v>
      </c>
      <c r="F587" s="114">
        <v>202101</v>
      </c>
      <c r="G587" s="112" t="s">
        <v>1091</v>
      </c>
      <c r="H587" s="112" t="s">
        <v>1015</v>
      </c>
      <c r="I587" s="112" t="s">
        <v>1096</v>
      </c>
      <c r="J587" s="112" t="s">
        <v>1301</v>
      </c>
      <c r="K587" s="112" t="s">
        <v>1098</v>
      </c>
      <c r="L587" s="116">
        <v>2.66</v>
      </c>
    </row>
    <row r="588" spans="1:12" hidden="1" outlineLevel="1" collapsed="1" x14ac:dyDescent="0.35">
      <c r="A588" s="112" t="s">
        <v>1185</v>
      </c>
      <c r="B588" s="112" t="s">
        <v>898</v>
      </c>
      <c r="C588" s="112" t="s">
        <v>1095</v>
      </c>
      <c r="D588" s="113">
        <v>10348451</v>
      </c>
      <c r="E588" s="115">
        <v>43949</v>
      </c>
      <c r="F588" s="114">
        <v>202101</v>
      </c>
      <c r="G588" s="112" t="s">
        <v>1091</v>
      </c>
      <c r="H588" s="112" t="s">
        <v>1015</v>
      </c>
      <c r="I588" s="112" t="s">
        <v>1096</v>
      </c>
      <c r="J588" s="112" t="s">
        <v>1301</v>
      </c>
      <c r="K588" s="112" t="s">
        <v>1098</v>
      </c>
      <c r="L588" s="116">
        <v>25.05</v>
      </c>
    </row>
    <row r="589" spans="1:12" hidden="1" outlineLevel="1" collapsed="1" x14ac:dyDescent="0.35">
      <c r="A589" s="112" t="s">
        <v>1185</v>
      </c>
      <c r="B589" s="112" t="s">
        <v>897</v>
      </c>
      <c r="C589" s="112" t="s">
        <v>1095</v>
      </c>
      <c r="D589" s="113">
        <v>10348451</v>
      </c>
      <c r="E589" s="115">
        <v>43949</v>
      </c>
      <c r="F589" s="114">
        <v>202101</v>
      </c>
      <c r="G589" s="112" t="s">
        <v>1091</v>
      </c>
      <c r="H589" s="112" t="s">
        <v>1015</v>
      </c>
      <c r="I589" s="112" t="s">
        <v>1128</v>
      </c>
      <c r="J589" s="112" t="s">
        <v>1191</v>
      </c>
      <c r="K589" s="112" t="s">
        <v>1098</v>
      </c>
      <c r="L589" s="116">
        <v>100</v>
      </c>
    </row>
    <row r="590" spans="1:12" hidden="1" outlineLevel="1" collapsed="1" x14ac:dyDescent="0.35">
      <c r="A590" s="112" t="s">
        <v>1185</v>
      </c>
      <c r="B590" s="112" t="s">
        <v>896</v>
      </c>
      <c r="C590" s="112" t="s">
        <v>1095</v>
      </c>
      <c r="D590" s="113">
        <v>10348451</v>
      </c>
      <c r="E590" s="115">
        <v>43949</v>
      </c>
      <c r="F590" s="114">
        <v>202101</v>
      </c>
      <c r="G590" s="112" t="s">
        <v>1091</v>
      </c>
      <c r="H590" s="112" t="s">
        <v>1015</v>
      </c>
      <c r="I590" s="112" t="s">
        <v>1101</v>
      </c>
      <c r="J590" s="112" t="s">
        <v>1199</v>
      </c>
      <c r="K590" s="112" t="s">
        <v>1098</v>
      </c>
      <c r="L590" s="116">
        <v>498.28</v>
      </c>
    </row>
    <row r="591" spans="1:12" hidden="1" outlineLevel="1" collapsed="1" x14ac:dyDescent="0.35">
      <c r="A591" s="112" t="s">
        <v>1185</v>
      </c>
      <c r="B591" s="112" t="s">
        <v>896</v>
      </c>
      <c r="C591" s="112" t="s">
        <v>1095</v>
      </c>
      <c r="D591" s="113">
        <v>10348451</v>
      </c>
      <c r="E591" s="115">
        <v>43949</v>
      </c>
      <c r="F591" s="114">
        <v>202101</v>
      </c>
      <c r="G591" s="112" t="s">
        <v>1091</v>
      </c>
      <c r="H591" s="112" t="s">
        <v>1015</v>
      </c>
      <c r="I591" s="112" t="s">
        <v>1096</v>
      </c>
      <c r="J591" s="112" t="s">
        <v>1199</v>
      </c>
      <c r="K591" s="112" t="s">
        <v>1098</v>
      </c>
      <c r="L591" s="116">
        <v>262.10000000000002</v>
      </c>
    </row>
    <row r="592" spans="1:12" hidden="1" outlineLevel="1" collapsed="1" x14ac:dyDescent="0.35">
      <c r="A592" s="112" t="s">
        <v>1185</v>
      </c>
      <c r="B592" s="112" t="s">
        <v>897</v>
      </c>
      <c r="C592" s="112" t="s">
        <v>1095</v>
      </c>
      <c r="D592" s="113">
        <v>10348451</v>
      </c>
      <c r="E592" s="115">
        <v>43949</v>
      </c>
      <c r="F592" s="114">
        <v>202101</v>
      </c>
      <c r="G592" s="112" t="s">
        <v>1091</v>
      </c>
      <c r="H592" s="112" t="s">
        <v>1015</v>
      </c>
      <c r="I592" s="112" t="s">
        <v>1101</v>
      </c>
      <c r="J592" s="112" t="s">
        <v>1191</v>
      </c>
      <c r="K592" s="112" t="s">
        <v>1098</v>
      </c>
      <c r="L592" s="116">
        <v>270.82</v>
      </c>
    </row>
    <row r="593" spans="1:12" hidden="1" outlineLevel="1" collapsed="1" x14ac:dyDescent="0.35">
      <c r="A593" s="112" t="s">
        <v>1185</v>
      </c>
      <c r="B593" s="112" t="s">
        <v>897</v>
      </c>
      <c r="C593" s="112" t="s">
        <v>1095</v>
      </c>
      <c r="D593" s="113">
        <v>10348451</v>
      </c>
      <c r="E593" s="115">
        <v>43949</v>
      </c>
      <c r="F593" s="114">
        <v>202101</v>
      </c>
      <c r="G593" s="112" t="s">
        <v>1091</v>
      </c>
      <c r="H593" s="112" t="s">
        <v>1015</v>
      </c>
      <c r="I593" s="112" t="s">
        <v>1101</v>
      </c>
      <c r="J593" s="112" t="s">
        <v>1186</v>
      </c>
      <c r="K593" s="112" t="s">
        <v>1098</v>
      </c>
      <c r="L593" s="116">
        <v>252</v>
      </c>
    </row>
    <row r="594" spans="1:12" hidden="1" outlineLevel="1" collapsed="1" x14ac:dyDescent="0.35">
      <c r="A594" s="112" t="s">
        <v>1185</v>
      </c>
      <c r="B594" s="112" t="s">
        <v>897</v>
      </c>
      <c r="C594" s="112" t="s">
        <v>1095</v>
      </c>
      <c r="D594" s="113">
        <v>10348451</v>
      </c>
      <c r="E594" s="115">
        <v>43949</v>
      </c>
      <c r="F594" s="114">
        <v>202101</v>
      </c>
      <c r="G594" s="112" t="s">
        <v>1091</v>
      </c>
      <c r="H594" s="112" t="s">
        <v>1015</v>
      </c>
      <c r="I594" s="112" t="s">
        <v>1096</v>
      </c>
      <c r="J594" s="112" t="s">
        <v>1186</v>
      </c>
      <c r="K594" s="112" t="s">
        <v>1098</v>
      </c>
      <c r="L594" s="116">
        <v>134.94999999999999</v>
      </c>
    </row>
    <row r="595" spans="1:12" hidden="1" outlineLevel="1" collapsed="1" x14ac:dyDescent="0.35">
      <c r="A595" s="112" t="s">
        <v>1185</v>
      </c>
      <c r="B595" s="112" t="s">
        <v>897</v>
      </c>
      <c r="C595" s="112" t="s">
        <v>1095</v>
      </c>
      <c r="D595" s="113">
        <v>10348451</v>
      </c>
      <c r="E595" s="115">
        <v>43949</v>
      </c>
      <c r="F595" s="114">
        <v>202101</v>
      </c>
      <c r="G595" s="112" t="s">
        <v>1091</v>
      </c>
      <c r="H595" s="112" t="s">
        <v>1015</v>
      </c>
      <c r="I595" s="112" t="s">
        <v>1096</v>
      </c>
      <c r="J595" s="112" t="s">
        <v>1203</v>
      </c>
      <c r="K595" s="112" t="s">
        <v>1098</v>
      </c>
      <c r="L595" s="116">
        <v>366.99</v>
      </c>
    </row>
    <row r="596" spans="1:12" hidden="1" outlineLevel="1" collapsed="1" x14ac:dyDescent="0.35">
      <c r="A596" s="112" t="s">
        <v>1185</v>
      </c>
      <c r="B596" s="112" t="s">
        <v>897</v>
      </c>
      <c r="C596" s="112" t="s">
        <v>1095</v>
      </c>
      <c r="D596" s="113">
        <v>10348451</v>
      </c>
      <c r="E596" s="115">
        <v>43949</v>
      </c>
      <c r="F596" s="114">
        <v>202101</v>
      </c>
      <c r="G596" s="112" t="s">
        <v>1091</v>
      </c>
      <c r="H596" s="112" t="s">
        <v>1015</v>
      </c>
      <c r="I596" s="112" t="s">
        <v>1101</v>
      </c>
      <c r="J596" s="112" t="s">
        <v>1186</v>
      </c>
      <c r="K596" s="112" t="s">
        <v>1098</v>
      </c>
      <c r="L596" s="116">
        <v>277</v>
      </c>
    </row>
    <row r="597" spans="1:12" hidden="1" outlineLevel="1" collapsed="1" x14ac:dyDescent="0.35">
      <c r="A597" s="112" t="s">
        <v>1185</v>
      </c>
      <c r="B597" s="112" t="s">
        <v>896</v>
      </c>
      <c r="C597" s="112" t="s">
        <v>1266</v>
      </c>
      <c r="D597" s="113">
        <v>1069696</v>
      </c>
      <c r="E597" s="115">
        <v>43946</v>
      </c>
      <c r="F597" s="114">
        <v>202101</v>
      </c>
      <c r="G597" s="112" t="s">
        <v>1091</v>
      </c>
      <c r="H597" s="112" t="s">
        <v>1015</v>
      </c>
      <c r="I597" s="112" t="s">
        <v>1267</v>
      </c>
      <c r="J597" s="112" t="s">
        <v>1268</v>
      </c>
      <c r="K597" s="112" t="s">
        <v>1337</v>
      </c>
      <c r="L597" s="116">
        <v>11.91</v>
      </c>
    </row>
    <row r="598" spans="1:12" hidden="1" outlineLevel="1" collapsed="1" x14ac:dyDescent="0.35">
      <c r="A598" s="112" t="s">
        <v>1185</v>
      </c>
      <c r="B598" s="112" t="s">
        <v>897</v>
      </c>
      <c r="C598" s="112" t="s">
        <v>1095</v>
      </c>
      <c r="D598" s="113">
        <v>10348451</v>
      </c>
      <c r="E598" s="115">
        <v>43949</v>
      </c>
      <c r="F598" s="114">
        <v>202101</v>
      </c>
      <c r="G598" s="112" t="s">
        <v>1091</v>
      </c>
      <c r="H598" s="112" t="s">
        <v>1015</v>
      </c>
      <c r="I598" s="112" t="s">
        <v>1101</v>
      </c>
      <c r="J598" s="112" t="s">
        <v>1203</v>
      </c>
      <c r="K598" s="112" t="s">
        <v>1098</v>
      </c>
      <c r="L598" s="116">
        <v>483.07</v>
      </c>
    </row>
    <row r="599" spans="1:12" hidden="1" outlineLevel="1" collapsed="1" x14ac:dyDescent="0.35">
      <c r="A599" s="112" t="s">
        <v>1185</v>
      </c>
      <c r="B599" s="112" t="s">
        <v>897</v>
      </c>
      <c r="C599" s="112" t="s">
        <v>1095</v>
      </c>
      <c r="D599" s="113">
        <v>10348451</v>
      </c>
      <c r="E599" s="115">
        <v>43949</v>
      </c>
      <c r="F599" s="114">
        <v>202101</v>
      </c>
      <c r="G599" s="112" t="s">
        <v>1091</v>
      </c>
      <c r="H599" s="112" t="s">
        <v>1015</v>
      </c>
      <c r="I599" s="112" t="s">
        <v>1101</v>
      </c>
      <c r="J599" s="112" t="s">
        <v>1186</v>
      </c>
      <c r="K599" s="112" t="s">
        <v>1098</v>
      </c>
      <c r="L599" s="116">
        <v>182.99</v>
      </c>
    </row>
    <row r="600" spans="1:12" hidden="1" outlineLevel="1" collapsed="1" x14ac:dyDescent="0.35">
      <c r="A600" s="112" t="s">
        <v>1185</v>
      </c>
      <c r="B600" s="112" t="s">
        <v>897</v>
      </c>
      <c r="C600" s="112" t="s">
        <v>1095</v>
      </c>
      <c r="D600" s="113">
        <v>10348451</v>
      </c>
      <c r="E600" s="115">
        <v>43949</v>
      </c>
      <c r="F600" s="114">
        <v>202101</v>
      </c>
      <c r="G600" s="112" t="s">
        <v>1091</v>
      </c>
      <c r="H600" s="112" t="s">
        <v>1015</v>
      </c>
      <c r="I600" s="112" t="s">
        <v>1096</v>
      </c>
      <c r="J600" s="112" t="s">
        <v>1186</v>
      </c>
      <c r="K600" s="112" t="s">
        <v>1098</v>
      </c>
      <c r="L600" s="116">
        <v>113.65</v>
      </c>
    </row>
    <row r="601" spans="1:12" hidden="1" outlineLevel="1" collapsed="1" x14ac:dyDescent="0.35">
      <c r="A601" s="112" t="s">
        <v>1185</v>
      </c>
      <c r="B601" s="112" t="s">
        <v>896</v>
      </c>
      <c r="C601" s="112" t="s">
        <v>1099</v>
      </c>
      <c r="D601" s="113">
        <v>1069768</v>
      </c>
      <c r="E601" s="115">
        <v>43949</v>
      </c>
      <c r="F601" s="114">
        <v>202101</v>
      </c>
      <c r="G601" s="112" t="s">
        <v>1091</v>
      </c>
      <c r="H601" s="112" t="s">
        <v>1015</v>
      </c>
      <c r="I601" s="112" t="s">
        <v>761</v>
      </c>
      <c r="J601" s="112" t="s">
        <v>1338</v>
      </c>
      <c r="K601" s="112" t="s">
        <v>1339</v>
      </c>
      <c r="L601" s="116">
        <v>6000</v>
      </c>
    </row>
    <row r="602" spans="1:12" hidden="1" outlineLevel="1" collapsed="1" x14ac:dyDescent="0.35">
      <c r="A602" s="112" t="s">
        <v>1185</v>
      </c>
      <c r="B602" s="112" t="s">
        <v>896</v>
      </c>
      <c r="C602" s="112" t="s">
        <v>1099</v>
      </c>
      <c r="D602" s="113">
        <v>1069766</v>
      </c>
      <c r="E602" s="115">
        <v>43948</v>
      </c>
      <c r="F602" s="114">
        <v>202101</v>
      </c>
      <c r="G602" s="112" t="s">
        <v>1091</v>
      </c>
      <c r="H602" s="112" t="s">
        <v>1015</v>
      </c>
      <c r="I602" s="112" t="s">
        <v>767</v>
      </c>
      <c r="J602" s="112" t="s">
        <v>1195</v>
      </c>
      <c r="K602" s="112" t="s">
        <v>1340</v>
      </c>
      <c r="L602" s="116">
        <v>325</v>
      </c>
    </row>
    <row r="603" spans="1:12" hidden="1" outlineLevel="1" collapsed="1" x14ac:dyDescent="0.35">
      <c r="A603" s="112" t="s">
        <v>1185</v>
      </c>
      <c r="B603" s="112" t="s">
        <v>896</v>
      </c>
      <c r="C603" s="112" t="s">
        <v>1095</v>
      </c>
      <c r="D603" s="113">
        <v>10348451</v>
      </c>
      <c r="E603" s="115">
        <v>43949</v>
      </c>
      <c r="F603" s="114">
        <v>202101</v>
      </c>
      <c r="G603" s="112" t="s">
        <v>1091</v>
      </c>
      <c r="H603" s="112" t="s">
        <v>1015</v>
      </c>
      <c r="I603" s="112" t="s">
        <v>1101</v>
      </c>
      <c r="J603" s="112" t="s">
        <v>1199</v>
      </c>
      <c r="K603" s="112" t="s">
        <v>1098</v>
      </c>
      <c r="L603" s="116">
        <v>602.15</v>
      </c>
    </row>
    <row r="604" spans="1:12" hidden="1" outlineLevel="1" collapsed="1" x14ac:dyDescent="0.35">
      <c r="A604" s="112" t="s">
        <v>1185</v>
      </c>
      <c r="B604" s="112" t="s">
        <v>898</v>
      </c>
      <c r="C604" s="112" t="s">
        <v>1095</v>
      </c>
      <c r="D604" s="113">
        <v>10348451</v>
      </c>
      <c r="E604" s="115">
        <v>43949</v>
      </c>
      <c r="F604" s="114">
        <v>202101</v>
      </c>
      <c r="G604" s="112" t="s">
        <v>1091</v>
      </c>
      <c r="H604" s="112" t="s">
        <v>1015</v>
      </c>
      <c r="I604" s="112" t="s">
        <v>1096</v>
      </c>
      <c r="J604" s="112" t="s">
        <v>1197</v>
      </c>
      <c r="K604" s="112" t="s">
        <v>1098</v>
      </c>
      <c r="L604" s="116">
        <v>222.42</v>
      </c>
    </row>
    <row r="605" spans="1:12" hidden="1" outlineLevel="1" collapsed="1" x14ac:dyDescent="0.35">
      <c r="A605" s="112" t="s">
        <v>1185</v>
      </c>
      <c r="B605" s="112" t="s">
        <v>898</v>
      </c>
      <c r="C605" s="112" t="s">
        <v>1099</v>
      </c>
      <c r="D605" s="113">
        <v>1069749</v>
      </c>
      <c r="E605" s="115">
        <v>43945</v>
      </c>
      <c r="F605" s="114">
        <v>202101</v>
      </c>
      <c r="G605" s="112" t="s">
        <v>1091</v>
      </c>
      <c r="H605" s="112" t="s">
        <v>1015</v>
      </c>
      <c r="I605" s="112" t="s">
        <v>763</v>
      </c>
      <c r="J605" s="112" t="s">
        <v>1213</v>
      </c>
      <c r="K605" s="112" t="s">
        <v>1341</v>
      </c>
      <c r="L605" s="116">
        <v>215</v>
      </c>
    </row>
    <row r="606" spans="1:12" hidden="1" outlineLevel="1" collapsed="1" x14ac:dyDescent="0.35">
      <c r="A606" s="112" t="s">
        <v>1185</v>
      </c>
      <c r="B606" s="112" t="s">
        <v>898</v>
      </c>
      <c r="C606" s="112" t="s">
        <v>1095</v>
      </c>
      <c r="D606" s="113">
        <v>10348451</v>
      </c>
      <c r="E606" s="115">
        <v>43949</v>
      </c>
      <c r="F606" s="114">
        <v>202101</v>
      </c>
      <c r="G606" s="112" t="s">
        <v>1091</v>
      </c>
      <c r="H606" s="112" t="s">
        <v>1015</v>
      </c>
      <c r="I606" s="112" t="s">
        <v>1101</v>
      </c>
      <c r="J606" s="112" t="s">
        <v>1230</v>
      </c>
      <c r="K606" s="112" t="s">
        <v>1098</v>
      </c>
      <c r="L606" s="116">
        <v>569.6</v>
      </c>
    </row>
    <row r="607" spans="1:12" hidden="1" outlineLevel="1" collapsed="1" x14ac:dyDescent="0.35">
      <c r="A607" s="112" t="s">
        <v>1185</v>
      </c>
      <c r="B607" s="112" t="s">
        <v>897</v>
      </c>
      <c r="C607" s="112" t="s">
        <v>1095</v>
      </c>
      <c r="D607" s="113">
        <v>10348451</v>
      </c>
      <c r="E607" s="115">
        <v>43949</v>
      </c>
      <c r="F607" s="114">
        <v>202101</v>
      </c>
      <c r="G607" s="112" t="s">
        <v>1091</v>
      </c>
      <c r="H607" s="112" t="s">
        <v>1015</v>
      </c>
      <c r="I607" s="112" t="s">
        <v>1101</v>
      </c>
      <c r="J607" s="112" t="s">
        <v>1191</v>
      </c>
      <c r="K607" s="112" t="s">
        <v>1098</v>
      </c>
      <c r="L607" s="116">
        <v>414.68</v>
      </c>
    </row>
    <row r="608" spans="1:12" hidden="1" outlineLevel="1" collapsed="1" x14ac:dyDescent="0.35">
      <c r="A608" s="112" t="s">
        <v>1185</v>
      </c>
      <c r="B608" s="112" t="s">
        <v>898</v>
      </c>
      <c r="C608" s="112" t="s">
        <v>1095</v>
      </c>
      <c r="D608" s="113">
        <v>10348451</v>
      </c>
      <c r="E608" s="115">
        <v>43949</v>
      </c>
      <c r="F608" s="114">
        <v>202101</v>
      </c>
      <c r="G608" s="112" t="s">
        <v>1091</v>
      </c>
      <c r="H608" s="112" t="s">
        <v>1015</v>
      </c>
      <c r="I608" s="112" t="s">
        <v>1096</v>
      </c>
      <c r="J608" s="112" t="s">
        <v>1230</v>
      </c>
      <c r="K608" s="112" t="s">
        <v>1098</v>
      </c>
      <c r="L608" s="116">
        <v>75.63</v>
      </c>
    </row>
    <row r="609" spans="1:12" hidden="1" outlineLevel="1" collapsed="1" x14ac:dyDescent="0.35">
      <c r="A609" s="112" t="s">
        <v>1185</v>
      </c>
      <c r="B609" s="112" t="s">
        <v>897</v>
      </c>
      <c r="C609" s="112" t="s">
        <v>1095</v>
      </c>
      <c r="D609" s="113">
        <v>10348451</v>
      </c>
      <c r="E609" s="115">
        <v>43949</v>
      </c>
      <c r="F609" s="114">
        <v>202101</v>
      </c>
      <c r="G609" s="112" t="s">
        <v>1091</v>
      </c>
      <c r="H609" s="112" t="s">
        <v>1015</v>
      </c>
      <c r="I609" s="112" t="s">
        <v>1101</v>
      </c>
      <c r="J609" s="112" t="s">
        <v>1203</v>
      </c>
      <c r="K609" s="112" t="s">
        <v>1098</v>
      </c>
      <c r="L609" s="116">
        <v>270.82</v>
      </c>
    </row>
    <row r="610" spans="1:12" hidden="1" outlineLevel="1" collapsed="1" x14ac:dyDescent="0.35">
      <c r="A610" s="112" t="s">
        <v>1185</v>
      </c>
      <c r="B610" s="112" t="s">
        <v>897</v>
      </c>
      <c r="C610" s="112" t="s">
        <v>1095</v>
      </c>
      <c r="D610" s="113">
        <v>10348451</v>
      </c>
      <c r="E610" s="115">
        <v>43949</v>
      </c>
      <c r="F610" s="114">
        <v>202101</v>
      </c>
      <c r="G610" s="112" t="s">
        <v>1091</v>
      </c>
      <c r="H610" s="112" t="s">
        <v>1015</v>
      </c>
      <c r="I610" s="112" t="s">
        <v>1101</v>
      </c>
      <c r="J610" s="112" t="s">
        <v>1191</v>
      </c>
      <c r="K610" s="112" t="s">
        <v>1098</v>
      </c>
      <c r="L610" s="116">
        <v>287.95999999999998</v>
      </c>
    </row>
    <row r="611" spans="1:12" hidden="1" outlineLevel="1" collapsed="1" x14ac:dyDescent="0.35">
      <c r="A611" s="112" t="s">
        <v>1185</v>
      </c>
      <c r="B611" s="112" t="s">
        <v>897</v>
      </c>
      <c r="C611" s="112" t="s">
        <v>1095</v>
      </c>
      <c r="D611" s="113">
        <v>10348451</v>
      </c>
      <c r="E611" s="115">
        <v>43949</v>
      </c>
      <c r="F611" s="114">
        <v>202101</v>
      </c>
      <c r="G611" s="112" t="s">
        <v>1091</v>
      </c>
      <c r="H611" s="112" t="s">
        <v>1015</v>
      </c>
      <c r="I611" s="112" t="s">
        <v>1101</v>
      </c>
      <c r="J611" s="112" t="s">
        <v>1203</v>
      </c>
      <c r="K611" s="112" t="s">
        <v>1098</v>
      </c>
      <c r="L611" s="116">
        <v>366.04</v>
      </c>
    </row>
    <row r="612" spans="1:12" hidden="1" outlineLevel="1" collapsed="1" x14ac:dyDescent="0.35">
      <c r="A612" s="112" t="s">
        <v>1185</v>
      </c>
      <c r="B612" s="112" t="s">
        <v>897</v>
      </c>
      <c r="C612" s="112" t="s">
        <v>1095</v>
      </c>
      <c r="D612" s="113">
        <v>10348451</v>
      </c>
      <c r="E612" s="115">
        <v>43949</v>
      </c>
      <c r="F612" s="114">
        <v>202101</v>
      </c>
      <c r="G612" s="112" t="s">
        <v>1091</v>
      </c>
      <c r="H612" s="112" t="s">
        <v>1015</v>
      </c>
      <c r="I612" s="112" t="s">
        <v>1101</v>
      </c>
      <c r="J612" s="112" t="s">
        <v>1191</v>
      </c>
      <c r="K612" s="112" t="s">
        <v>1098</v>
      </c>
      <c r="L612" s="116">
        <v>315</v>
      </c>
    </row>
    <row r="613" spans="1:12" hidden="1" outlineLevel="1" collapsed="1" x14ac:dyDescent="0.35">
      <c r="A613" s="112" t="s">
        <v>1185</v>
      </c>
      <c r="B613" s="112" t="s">
        <v>897</v>
      </c>
      <c r="C613" s="112" t="s">
        <v>1095</v>
      </c>
      <c r="D613" s="113">
        <v>10348451</v>
      </c>
      <c r="E613" s="115">
        <v>43949</v>
      </c>
      <c r="F613" s="114">
        <v>202101</v>
      </c>
      <c r="G613" s="112" t="s">
        <v>1091</v>
      </c>
      <c r="H613" s="112" t="s">
        <v>1015</v>
      </c>
      <c r="I613" s="112" t="s">
        <v>1101</v>
      </c>
      <c r="J613" s="112" t="s">
        <v>1191</v>
      </c>
      <c r="K613" s="112" t="s">
        <v>1098</v>
      </c>
      <c r="L613" s="116">
        <v>377.93</v>
      </c>
    </row>
    <row r="614" spans="1:12" hidden="1" outlineLevel="1" collapsed="1" x14ac:dyDescent="0.35">
      <c r="A614" s="112" t="s">
        <v>1185</v>
      </c>
      <c r="B614" s="112" t="s">
        <v>1192</v>
      </c>
      <c r="C614" s="112" t="s">
        <v>1095</v>
      </c>
      <c r="D614" s="113">
        <v>10348451</v>
      </c>
      <c r="E614" s="115">
        <v>43949</v>
      </c>
      <c r="F614" s="114">
        <v>202101</v>
      </c>
      <c r="G614" s="112" t="s">
        <v>1091</v>
      </c>
      <c r="H614" s="112" t="s">
        <v>1015</v>
      </c>
      <c r="I614" s="112" t="s">
        <v>1101</v>
      </c>
      <c r="J614" s="112" t="s">
        <v>1198</v>
      </c>
      <c r="K614" s="112" t="s">
        <v>1098</v>
      </c>
      <c r="L614" s="116">
        <v>481.72</v>
      </c>
    </row>
    <row r="615" spans="1:12" hidden="1" outlineLevel="1" collapsed="1" x14ac:dyDescent="0.35">
      <c r="A615" s="112" t="s">
        <v>1185</v>
      </c>
      <c r="B615" s="112" t="s">
        <v>895</v>
      </c>
      <c r="C615" s="112" t="s">
        <v>1095</v>
      </c>
      <c r="D615" s="113">
        <v>10348451</v>
      </c>
      <c r="E615" s="115">
        <v>43949</v>
      </c>
      <c r="F615" s="114">
        <v>202101</v>
      </c>
      <c r="G615" s="112" t="s">
        <v>1091</v>
      </c>
      <c r="H615" s="112" t="s">
        <v>1015</v>
      </c>
      <c r="I615" s="112" t="s">
        <v>1096</v>
      </c>
      <c r="J615" s="112" t="s">
        <v>1261</v>
      </c>
      <c r="K615" s="112" t="s">
        <v>1098</v>
      </c>
      <c r="L615" s="116">
        <v>1005.55</v>
      </c>
    </row>
    <row r="616" spans="1:12" hidden="1" outlineLevel="1" collapsed="1" x14ac:dyDescent="0.35">
      <c r="A616" s="112" t="s">
        <v>1185</v>
      </c>
      <c r="B616" s="112" t="s">
        <v>896</v>
      </c>
      <c r="C616" s="112" t="s">
        <v>1095</v>
      </c>
      <c r="D616" s="113">
        <v>10348451</v>
      </c>
      <c r="E616" s="115">
        <v>43949</v>
      </c>
      <c r="F616" s="114">
        <v>202101</v>
      </c>
      <c r="G616" s="112" t="s">
        <v>1091</v>
      </c>
      <c r="H616" s="112" t="s">
        <v>1015</v>
      </c>
      <c r="I616" s="112" t="s">
        <v>1096</v>
      </c>
      <c r="J616" s="112" t="s">
        <v>1288</v>
      </c>
      <c r="K616" s="112" t="s">
        <v>1098</v>
      </c>
      <c r="L616" s="116">
        <v>210.79</v>
      </c>
    </row>
    <row r="617" spans="1:12" hidden="1" outlineLevel="1" collapsed="1" x14ac:dyDescent="0.35">
      <c r="A617" s="112" t="s">
        <v>1185</v>
      </c>
      <c r="B617" s="112" t="s">
        <v>896</v>
      </c>
      <c r="C617" s="112" t="s">
        <v>1095</v>
      </c>
      <c r="D617" s="113">
        <v>10348451</v>
      </c>
      <c r="E617" s="115">
        <v>43949</v>
      </c>
      <c r="F617" s="114">
        <v>202101</v>
      </c>
      <c r="G617" s="112" t="s">
        <v>1091</v>
      </c>
      <c r="H617" s="112" t="s">
        <v>1015</v>
      </c>
      <c r="I617" s="112" t="s">
        <v>1096</v>
      </c>
      <c r="J617" s="112" t="s">
        <v>1288</v>
      </c>
      <c r="K617" s="112" t="s">
        <v>1098</v>
      </c>
      <c r="L617" s="116">
        <v>262.10000000000002</v>
      </c>
    </row>
    <row r="618" spans="1:12" hidden="1" outlineLevel="1" collapsed="1" x14ac:dyDescent="0.35">
      <c r="A618" s="112" t="s">
        <v>1185</v>
      </c>
      <c r="B618" s="112" t="s">
        <v>896</v>
      </c>
      <c r="C618" s="112" t="s">
        <v>1095</v>
      </c>
      <c r="D618" s="113">
        <v>10348451</v>
      </c>
      <c r="E618" s="115">
        <v>43949</v>
      </c>
      <c r="F618" s="114">
        <v>202101</v>
      </c>
      <c r="G618" s="112" t="s">
        <v>1091</v>
      </c>
      <c r="H618" s="112" t="s">
        <v>1015</v>
      </c>
      <c r="I618" s="112" t="s">
        <v>1096</v>
      </c>
      <c r="J618" s="112" t="s">
        <v>1288</v>
      </c>
      <c r="K618" s="112" t="s">
        <v>1098</v>
      </c>
      <c r="L618" s="116">
        <v>310.49</v>
      </c>
    </row>
    <row r="619" spans="1:12" hidden="1" outlineLevel="1" collapsed="1" x14ac:dyDescent="0.35">
      <c r="A619" s="112" t="s">
        <v>1185</v>
      </c>
      <c r="B619" s="112" t="s">
        <v>896</v>
      </c>
      <c r="C619" s="112" t="s">
        <v>1095</v>
      </c>
      <c r="D619" s="113">
        <v>10348451</v>
      </c>
      <c r="E619" s="115">
        <v>43949</v>
      </c>
      <c r="F619" s="114">
        <v>202101</v>
      </c>
      <c r="G619" s="112" t="s">
        <v>1091</v>
      </c>
      <c r="H619" s="112" t="s">
        <v>1015</v>
      </c>
      <c r="I619" s="112" t="s">
        <v>1096</v>
      </c>
      <c r="J619" s="112" t="s">
        <v>1288</v>
      </c>
      <c r="K619" s="112" t="s">
        <v>1098</v>
      </c>
      <c r="L619" s="116">
        <v>411.93</v>
      </c>
    </row>
    <row r="620" spans="1:12" hidden="1" outlineLevel="1" collapsed="1" x14ac:dyDescent="0.35">
      <c r="A620" s="112" t="s">
        <v>1185</v>
      </c>
      <c r="B620" s="112" t="s">
        <v>896</v>
      </c>
      <c r="C620" s="112" t="s">
        <v>1095</v>
      </c>
      <c r="D620" s="113">
        <v>10348451</v>
      </c>
      <c r="E620" s="115">
        <v>43949</v>
      </c>
      <c r="F620" s="114">
        <v>202101</v>
      </c>
      <c r="G620" s="112" t="s">
        <v>1091</v>
      </c>
      <c r="H620" s="112" t="s">
        <v>1015</v>
      </c>
      <c r="I620" s="112" t="s">
        <v>1096</v>
      </c>
      <c r="J620" s="112" t="s">
        <v>1195</v>
      </c>
      <c r="K620" s="112" t="s">
        <v>1098</v>
      </c>
      <c r="L620" s="116">
        <v>210.79</v>
      </c>
    </row>
    <row r="621" spans="1:12" hidden="1" outlineLevel="1" collapsed="1" x14ac:dyDescent="0.35">
      <c r="A621" s="112" t="s">
        <v>1185</v>
      </c>
      <c r="B621" s="112" t="s">
        <v>896</v>
      </c>
      <c r="C621" s="112" t="s">
        <v>1095</v>
      </c>
      <c r="D621" s="113">
        <v>10348451</v>
      </c>
      <c r="E621" s="115">
        <v>43949</v>
      </c>
      <c r="F621" s="114">
        <v>202101</v>
      </c>
      <c r="G621" s="112" t="s">
        <v>1091</v>
      </c>
      <c r="H621" s="112" t="s">
        <v>1015</v>
      </c>
      <c r="I621" s="112" t="s">
        <v>1096</v>
      </c>
      <c r="J621" s="112" t="s">
        <v>1199</v>
      </c>
      <c r="K621" s="112" t="s">
        <v>1098</v>
      </c>
      <c r="L621" s="116">
        <v>310.49</v>
      </c>
    </row>
    <row r="622" spans="1:12" hidden="1" outlineLevel="1" collapsed="1" x14ac:dyDescent="0.35">
      <c r="A622" s="112" t="s">
        <v>1185</v>
      </c>
      <c r="B622" s="112" t="s">
        <v>896</v>
      </c>
      <c r="C622" s="112" t="s">
        <v>1095</v>
      </c>
      <c r="D622" s="113">
        <v>10348451</v>
      </c>
      <c r="E622" s="115">
        <v>43949</v>
      </c>
      <c r="F622" s="114">
        <v>202101</v>
      </c>
      <c r="G622" s="112" t="s">
        <v>1091</v>
      </c>
      <c r="H622" s="112" t="s">
        <v>1015</v>
      </c>
      <c r="I622" s="112" t="s">
        <v>1096</v>
      </c>
      <c r="J622" s="112" t="s">
        <v>1199</v>
      </c>
      <c r="K622" s="112" t="s">
        <v>1098</v>
      </c>
      <c r="L622" s="116">
        <v>880.86</v>
      </c>
    </row>
    <row r="623" spans="1:12" hidden="1" outlineLevel="1" collapsed="1" x14ac:dyDescent="0.35">
      <c r="A623" s="112" t="s">
        <v>1185</v>
      </c>
      <c r="B623" s="112" t="s">
        <v>896</v>
      </c>
      <c r="C623" s="112" t="s">
        <v>1095</v>
      </c>
      <c r="D623" s="113">
        <v>10348451</v>
      </c>
      <c r="E623" s="115">
        <v>43949</v>
      </c>
      <c r="F623" s="114">
        <v>202101</v>
      </c>
      <c r="G623" s="112" t="s">
        <v>1091</v>
      </c>
      <c r="H623" s="112" t="s">
        <v>1015</v>
      </c>
      <c r="I623" s="112" t="s">
        <v>1096</v>
      </c>
      <c r="J623" s="112" t="s">
        <v>1199</v>
      </c>
      <c r="K623" s="112" t="s">
        <v>1098</v>
      </c>
      <c r="L623" s="116">
        <v>296.54000000000002</v>
      </c>
    </row>
    <row r="624" spans="1:12" hidden="1" outlineLevel="1" collapsed="1" x14ac:dyDescent="0.35">
      <c r="A624" s="112" t="s">
        <v>1185</v>
      </c>
      <c r="B624" s="112" t="s">
        <v>896</v>
      </c>
      <c r="C624" s="112" t="s">
        <v>1095</v>
      </c>
      <c r="D624" s="113">
        <v>10348451</v>
      </c>
      <c r="E624" s="115">
        <v>43949</v>
      </c>
      <c r="F624" s="114">
        <v>202101</v>
      </c>
      <c r="G624" s="112" t="s">
        <v>1091</v>
      </c>
      <c r="H624" s="112" t="s">
        <v>1015</v>
      </c>
      <c r="I624" s="112" t="s">
        <v>1096</v>
      </c>
      <c r="J624" s="112" t="s">
        <v>1199</v>
      </c>
      <c r="K624" s="112" t="s">
        <v>1098</v>
      </c>
      <c r="L624" s="116">
        <v>210.79</v>
      </c>
    </row>
    <row r="625" spans="1:12" hidden="1" outlineLevel="1" collapsed="1" x14ac:dyDescent="0.35">
      <c r="A625" s="112" t="s">
        <v>1185</v>
      </c>
      <c r="B625" s="112" t="s">
        <v>896</v>
      </c>
      <c r="C625" s="112" t="s">
        <v>1095</v>
      </c>
      <c r="D625" s="113">
        <v>10348451</v>
      </c>
      <c r="E625" s="115">
        <v>43949</v>
      </c>
      <c r="F625" s="114">
        <v>202101</v>
      </c>
      <c r="G625" s="112" t="s">
        <v>1091</v>
      </c>
      <c r="H625" s="112" t="s">
        <v>1015</v>
      </c>
      <c r="I625" s="112" t="s">
        <v>1096</v>
      </c>
      <c r="J625" s="112" t="s">
        <v>1199</v>
      </c>
      <c r="K625" s="112" t="s">
        <v>1098</v>
      </c>
      <c r="L625" s="116">
        <v>262.10000000000002</v>
      </c>
    </row>
    <row r="626" spans="1:12" hidden="1" outlineLevel="1" collapsed="1" x14ac:dyDescent="0.35">
      <c r="A626" s="112" t="s">
        <v>1185</v>
      </c>
      <c r="B626" s="112" t="s">
        <v>896</v>
      </c>
      <c r="C626" s="112" t="s">
        <v>1095</v>
      </c>
      <c r="D626" s="113">
        <v>10348451</v>
      </c>
      <c r="E626" s="115">
        <v>43949</v>
      </c>
      <c r="F626" s="114">
        <v>202101</v>
      </c>
      <c r="G626" s="112" t="s">
        <v>1091</v>
      </c>
      <c r="H626" s="112" t="s">
        <v>1015</v>
      </c>
      <c r="I626" s="112" t="s">
        <v>1096</v>
      </c>
      <c r="J626" s="112" t="s">
        <v>1199</v>
      </c>
      <c r="K626" s="112" t="s">
        <v>1098</v>
      </c>
      <c r="L626" s="116">
        <v>284.69</v>
      </c>
    </row>
    <row r="627" spans="1:12" hidden="1" outlineLevel="1" collapsed="1" x14ac:dyDescent="0.35">
      <c r="A627" s="112" t="s">
        <v>1185</v>
      </c>
      <c r="B627" s="112" t="s">
        <v>896</v>
      </c>
      <c r="C627" s="112" t="s">
        <v>1095</v>
      </c>
      <c r="D627" s="113">
        <v>10348451</v>
      </c>
      <c r="E627" s="115">
        <v>43949</v>
      </c>
      <c r="F627" s="114">
        <v>202101</v>
      </c>
      <c r="G627" s="112" t="s">
        <v>1091</v>
      </c>
      <c r="H627" s="112" t="s">
        <v>1015</v>
      </c>
      <c r="I627" s="112" t="s">
        <v>1096</v>
      </c>
      <c r="J627" s="112" t="s">
        <v>1199</v>
      </c>
      <c r="K627" s="112" t="s">
        <v>1098</v>
      </c>
      <c r="L627" s="116">
        <v>2.62</v>
      </c>
    </row>
    <row r="628" spans="1:12" hidden="1" outlineLevel="1" collapsed="1" x14ac:dyDescent="0.35">
      <c r="A628" s="112" t="s">
        <v>1185</v>
      </c>
      <c r="B628" s="112" t="s">
        <v>896</v>
      </c>
      <c r="C628" s="112" t="s">
        <v>1095</v>
      </c>
      <c r="D628" s="113">
        <v>10348451</v>
      </c>
      <c r="E628" s="115">
        <v>43949</v>
      </c>
      <c r="F628" s="114">
        <v>202101</v>
      </c>
      <c r="G628" s="112" t="s">
        <v>1091</v>
      </c>
      <c r="H628" s="112" t="s">
        <v>1015</v>
      </c>
      <c r="I628" s="112" t="s">
        <v>1096</v>
      </c>
      <c r="J628" s="112" t="s">
        <v>1199</v>
      </c>
      <c r="K628" s="112" t="s">
        <v>1098</v>
      </c>
      <c r="L628" s="116">
        <v>391.23</v>
      </c>
    </row>
    <row r="629" spans="1:12" hidden="1" outlineLevel="1" collapsed="1" x14ac:dyDescent="0.35">
      <c r="A629" s="112" t="s">
        <v>1185</v>
      </c>
      <c r="B629" s="112" t="s">
        <v>896</v>
      </c>
      <c r="C629" s="112" t="s">
        <v>1095</v>
      </c>
      <c r="D629" s="113">
        <v>10348451</v>
      </c>
      <c r="E629" s="115">
        <v>43949</v>
      </c>
      <c r="F629" s="114">
        <v>202101</v>
      </c>
      <c r="G629" s="112" t="s">
        <v>1091</v>
      </c>
      <c r="H629" s="112" t="s">
        <v>1015</v>
      </c>
      <c r="I629" s="112" t="s">
        <v>1096</v>
      </c>
      <c r="J629" s="112" t="s">
        <v>1199</v>
      </c>
      <c r="K629" s="112" t="s">
        <v>1098</v>
      </c>
      <c r="L629" s="116">
        <v>166.5</v>
      </c>
    </row>
    <row r="630" spans="1:12" hidden="1" outlineLevel="1" collapsed="1" x14ac:dyDescent="0.35">
      <c r="A630" s="112" t="s">
        <v>1185</v>
      </c>
      <c r="B630" s="112" t="s">
        <v>1192</v>
      </c>
      <c r="C630" s="112" t="s">
        <v>1099</v>
      </c>
      <c r="D630" s="113">
        <v>1069498</v>
      </c>
      <c r="E630" s="115">
        <v>43935</v>
      </c>
      <c r="F630" s="114">
        <v>202101</v>
      </c>
      <c r="G630" s="112" t="s">
        <v>1091</v>
      </c>
      <c r="H630" s="112" t="s">
        <v>1015</v>
      </c>
      <c r="I630" s="112" t="s">
        <v>761</v>
      </c>
      <c r="J630" s="112" t="s">
        <v>1198</v>
      </c>
      <c r="K630" s="112" t="s">
        <v>1342</v>
      </c>
      <c r="L630" s="116">
        <v>4950</v>
      </c>
    </row>
    <row r="631" spans="1:12" hidden="1" outlineLevel="1" collapsed="1" x14ac:dyDescent="0.35">
      <c r="A631" s="112" t="s">
        <v>1185</v>
      </c>
      <c r="B631" s="112" t="s">
        <v>898</v>
      </c>
      <c r="C631" s="112" t="s">
        <v>1095</v>
      </c>
      <c r="D631" s="113">
        <v>10348451</v>
      </c>
      <c r="E631" s="115">
        <v>43949</v>
      </c>
      <c r="F631" s="114">
        <v>202101</v>
      </c>
      <c r="G631" s="112" t="s">
        <v>1091</v>
      </c>
      <c r="H631" s="112" t="s">
        <v>1015</v>
      </c>
      <c r="I631" s="112" t="s">
        <v>1101</v>
      </c>
      <c r="J631" s="112" t="s">
        <v>1213</v>
      </c>
      <c r="K631" s="112" t="s">
        <v>1098</v>
      </c>
      <c r="L631" s="116">
        <v>366.04</v>
      </c>
    </row>
    <row r="632" spans="1:12" hidden="1" outlineLevel="1" collapsed="1" x14ac:dyDescent="0.35">
      <c r="A632" s="112" t="s">
        <v>1185</v>
      </c>
      <c r="B632" s="112" t="s">
        <v>898</v>
      </c>
      <c r="C632" s="112" t="s">
        <v>1095</v>
      </c>
      <c r="D632" s="113">
        <v>10348451</v>
      </c>
      <c r="E632" s="115">
        <v>43949</v>
      </c>
      <c r="F632" s="114">
        <v>202101</v>
      </c>
      <c r="G632" s="112" t="s">
        <v>1091</v>
      </c>
      <c r="H632" s="112" t="s">
        <v>1015</v>
      </c>
      <c r="I632" s="112" t="s">
        <v>1101</v>
      </c>
      <c r="J632" s="112" t="s">
        <v>1244</v>
      </c>
      <c r="K632" s="112" t="s">
        <v>1098</v>
      </c>
      <c r="L632" s="116">
        <v>498.28</v>
      </c>
    </row>
    <row r="633" spans="1:12" hidden="1" outlineLevel="1" collapsed="1" x14ac:dyDescent="0.35">
      <c r="A633" s="112" t="s">
        <v>1185</v>
      </c>
      <c r="B633" s="112" t="s">
        <v>897</v>
      </c>
      <c r="C633" s="112" t="s">
        <v>1095</v>
      </c>
      <c r="D633" s="113">
        <v>10348451</v>
      </c>
      <c r="E633" s="115">
        <v>43949</v>
      </c>
      <c r="F633" s="114">
        <v>202101</v>
      </c>
      <c r="G633" s="112" t="s">
        <v>1091</v>
      </c>
      <c r="H633" s="112" t="s">
        <v>1015</v>
      </c>
      <c r="I633" s="112" t="s">
        <v>1096</v>
      </c>
      <c r="J633" s="112" t="s">
        <v>1191</v>
      </c>
      <c r="K633" s="112" t="s">
        <v>1098</v>
      </c>
      <c r="L633" s="116">
        <v>366.99</v>
      </c>
    </row>
    <row r="634" spans="1:12" hidden="1" outlineLevel="1" collapsed="1" x14ac:dyDescent="0.35">
      <c r="A634" s="112" t="s">
        <v>1185</v>
      </c>
      <c r="B634" s="112" t="s">
        <v>896</v>
      </c>
      <c r="C634" s="112" t="s">
        <v>695</v>
      </c>
      <c r="D634" s="113">
        <v>10348146</v>
      </c>
      <c r="E634" s="115">
        <v>43930</v>
      </c>
      <c r="F634" s="114">
        <v>202101</v>
      </c>
      <c r="G634" s="112" t="s">
        <v>1091</v>
      </c>
      <c r="H634" s="112" t="s">
        <v>1015</v>
      </c>
      <c r="I634" s="112" t="s">
        <v>767</v>
      </c>
      <c r="J634" s="112" t="s">
        <v>1195</v>
      </c>
      <c r="K634" s="112" t="s">
        <v>1343</v>
      </c>
      <c r="L634" s="116">
        <v>-1738.36</v>
      </c>
    </row>
    <row r="635" spans="1:12" hidden="1" outlineLevel="1" collapsed="1" x14ac:dyDescent="0.35">
      <c r="A635" s="112" t="s">
        <v>1185</v>
      </c>
      <c r="B635" s="112" t="s">
        <v>896</v>
      </c>
      <c r="C635" s="112" t="s">
        <v>1266</v>
      </c>
      <c r="D635" s="113">
        <v>1069656</v>
      </c>
      <c r="E635" s="115">
        <v>43935</v>
      </c>
      <c r="F635" s="114">
        <v>202101</v>
      </c>
      <c r="G635" s="112" t="s">
        <v>1091</v>
      </c>
      <c r="H635" s="112" t="s">
        <v>1015</v>
      </c>
      <c r="I635" s="112" t="s">
        <v>1267</v>
      </c>
      <c r="J635" s="112" t="s">
        <v>1268</v>
      </c>
      <c r="K635" s="112" t="s">
        <v>1344</v>
      </c>
      <c r="L635" s="116">
        <v>52</v>
      </c>
    </row>
    <row r="636" spans="1:12" hidden="1" outlineLevel="1" collapsed="1" x14ac:dyDescent="0.35">
      <c r="A636" s="112" t="s">
        <v>1185</v>
      </c>
      <c r="B636" s="112" t="s">
        <v>896</v>
      </c>
      <c r="C636" s="112" t="s">
        <v>1266</v>
      </c>
      <c r="D636" s="113">
        <v>1069657</v>
      </c>
      <c r="E636" s="115">
        <v>43935</v>
      </c>
      <c r="F636" s="114">
        <v>202101</v>
      </c>
      <c r="G636" s="112" t="s">
        <v>1091</v>
      </c>
      <c r="H636" s="112" t="s">
        <v>1015</v>
      </c>
      <c r="I636" s="112" t="s">
        <v>1267</v>
      </c>
      <c r="J636" s="112" t="s">
        <v>1268</v>
      </c>
      <c r="K636" s="112" t="s">
        <v>1345</v>
      </c>
      <c r="L636" s="116">
        <v>45</v>
      </c>
    </row>
    <row r="637" spans="1:12" hidden="1" outlineLevel="1" collapsed="1" x14ac:dyDescent="0.35">
      <c r="A637" s="112" t="s">
        <v>1185</v>
      </c>
      <c r="B637" s="112" t="s">
        <v>896</v>
      </c>
      <c r="C637" s="112" t="s">
        <v>1266</v>
      </c>
      <c r="D637" s="113">
        <v>1069658</v>
      </c>
      <c r="E637" s="115">
        <v>43935</v>
      </c>
      <c r="F637" s="114">
        <v>202101</v>
      </c>
      <c r="G637" s="112" t="s">
        <v>1091</v>
      </c>
      <c r="H637" s="112" t="s">
        <v>1015</v>
      </c>
      <c r="I637" s="112" t="s">
        <v>1267</v>
      </c>
      <c r="J637" s="112" t="s">
        <v>1268</v>
      </c>
      <c r="K637" s="112" t="s">
        <v>1346</v>
      </c>
      <c r="L637" s="116">
        <v>49.5</v>
      </c>
    </row>
    <row r="638" spans="1:12" hidden="1" outlineLevel="1" collapsed="1" x14ac:dyDescent="0.35">
      <c r="A638" s="112" t="s">
        <v>1185</v>
      </c>
      <c r="B638" s="112" t="s">
        <v>896</v>
      </c>
      <c r="C638" s="112" t="s">
        <v>1266</v>
      </c>
      <c r="D638" s="113">
        <v>1069659</v>
      </c>
      <c r="E638" s="115">
        <v>43935</v>
      </c>
      <c r="F638" s="114">
        <v>202101</v>
      </c>
      <c r="G638" s="112" t="s">
        <v>1091</v>
      </c>
      <c r="H638" s="112" t="s">
        <v>1015</v>
      </c>
      <c r="I638" s="112" t="s">
        <v>1267</v>
      </c>
      <c r="J638" s="112" t="s">
        <v>1268</v>
      </c>
      <c r="K638" s="112" t="s">
        <v>1347</v>
      </c>
      <c r="L638" s="116">
        <v>45</v>
      </c>
    </row>
    <row r="639" spans="1:12" hidden="1" outlineLevel="1" collapsed="1" x14ac:dyDescent="0.35">
      <c r="A639" s="112" t="s">
        <v>1185</v>
      </c>
      <c r="B639" s="112" t="s">
        <v>897</v>
      </c>
      <c r="C639" s="112" t="s">
        <v>1099</v>
      </c>
      <c r="D639" s="113">
        <v>1069709</v>
      </c>
      <c r="E639" s="115">
        <v>43890</v>
      </c>
      <c r="F639" s="114">
        <v>202101</v>
      </c>
      <c r="G639" s="112" t="s">
        <v>1091</v>
      </c>
      <c r="H639" s="112" t="s">
        <v>1015</v>
      </c>
      <c r="I639" s="112" t="s">
        <v>1201</v>
      </c>
      <c r="J639" s="112" t="s">
        <v>1186</v>
      </c>
      <c r="K639" s="112" t="s">
        <v>1348</v>
      </c>
      <c r="L639" s="116">
        <v>1528.93</v>
      </c>
    </row>
    <row r="640" spans="1:12" hidden="1" outlineLevel="1" collapsed="1" x14ac:dyDescent="0.35">
      <c r="A640" s="112" t="s">
        <v>1185</v>
      </c>
      <c r="B640" s="112" t="s">
        <v>897</v>
      </c>
      <c r="C640" s="112" t="s">
        <v>1099</v>
      </c>
      <c r="D640" s="113">
        <v>1069710</v>
      </c>
      <c r="E640" s="115">
        <v>43921</v>
      </c>
      <c r="F640" s="114">
        <v>202101</v>
      </c>
      <c r="G640" s="112" t="s">
        <v>1091</v>
      </c>
      <c r="H640" s="112" t="s">
        <v>1015</v>
      </c>
      <c r="I640" s="112" t="s">
        <v>1201</v>
      </c>
      <c r="J640" s="112" t="s">
        <v>1186</v>
      </c>
      <c r="K640" s="112" t="s">
        <v>1349</v>
      </c>
      <c r="L640" s="116">
        <v>1186.04</v>
      </c>
    </row>
    <row r="641" spans="1:12" hidden="1" outlineLevel="1" collapsed="1" x14ac:dyDescent="0.35">
      <c r="A641" s="112" t="s">
        <v>1185</v>
      </c>
      <c r="B641" s="112" t="s">
        <v>896</v>
      </c>
      <c r="C641" s="112" t="s">
        <v>1099</v>
      </c>
      <c r="D641" s="113">
        <v>1069702</v>
      </c>
      <c r="E641" s="115">
        <v>43920</v>
      </c>
      <c r="F641" s="114">
        <v>202101</v>
      </c>
      <c r="G641" s="112" t="s">
        <v>1091</v>
      </c>
      <c r="H641" s="112" t="s">
        <v>1015</v>
      </c>
      <c r="I641" s="112" t="s">
        <v>767</v>
      </c>
      <c r="J641" s="112" t="s">
        <v>1195</v>
      </c>
      <c r="K641" s="112" t="s">
        <v>1350</v>
      </c>
      <c r="L641" s="116">
        <v>5758.61</v>
      </c>
    </row>
    <row r="642" spans="1:12" hidden="1" outlineLevel="1" collapsed="1" x14ac:dyDescent="0.35">
      <c r="A642" s="112" t="s">
        <v>1185</v>
      </c>
      <c r="B642" s="112" t="s">
        <v>898</v>
      </c>
      <c r="C642" s="112" t="s">
        <v>1099</v>
      </c>
      <c r="D642" s="113">
        <v>1069670</v>
      </c>
      <c r="E642" s="115">
        <v>43938</v>
      </c>
      <c r="F642" s="114">
        <v>202101</v>
      </c>
      <c r="G642" s="112" t="s">
        <v>1091</v>
      </c>
      <c r="H642" s="112" t="s">
        <v>1015</v>
      </c>
      <c r="I642" s="112" t="s">
        <v>763</v>
      </c>
      <c r="J642" s="112" t="s">
        <v>1213</v>
      </c>
      <c r="K642" s="112" t="s">
        <v>1351</v>
      </c>
      <c r="L642" s="116">
        <v>465</v>
      </c>
    </row>
    <row r="643" spans="1:12" hidden="1" outlineLevel="1" collapsed="1" x14ac:dyDescent="0.35">
      <c r="A643" s="112" t="s">
        <v>1185</v>
      </c>
      <c r="B643" s="112" t="s">
        <v>897</v>
      </c>
      <c r="C643" s="112" t="s">
        <v>1099</v>
      </c>
      <c r="D643" s="113">
        <v>1069451</v>
      </c>
      <c r="E643" s="115">
        <v>43928</v>
      </c>
      <c r="F643" s="114">
        <v>202101</v>
      </c>
      <c r="G643" s="112" t="s">
        <v>1091</v>
      </c>
      <c r="H643" s="112" t="s">
        <v>1015</v>
      </c>
      <c r="I643" s="112" t="s">
        <v>767</v>
      </c>
      <c r="J643" s="112" t="s">
        <v>1203</v>
      </c>
      <c r="K643" s="112" t="s">
        <v>1352</v>
      </c>
      <c r="L643" s="116">
        <v>25</v>
      </c>
    </row>
    <row r="644" spans="1:12" hidden="1" outlineLevel="1" collapsed="1" x14ac:dyDescent="0.35">
      <c r="A644" s="112" t="s">
        <v>1185</v>
      </c>
      <c r="B644" s="112" t="s">
        <v>897</v>
      </c>
      <c r="C644" s="112" t="s">
        <v>1099</v>
      </c>
      <c r="D644" s="113">
        <v>1069460</v>
      </c>
      <c r="E644" s="115">
        <v>43882</v>
      </c>
      <c r="F644" s="114">
        <v>202101</v>
      </c>
      <c r="G644" s="112" t="s">
        <v>1091</v>
      </c>
      <c r="H644" s="112" t="s">
        <v>1015</v>
      </c>
      <c r="I644" s="112" t="s">
        <v>1137</v>
      </c>
      <c r="J644" s="112" t="s">
        <v>1186</v>
      </c>
      <c r="K644" s="112" t="s">
        <v>1353</v>
      </c>
      <c r="L644" s="116">
        <v>572.33000000000004</v>
      </c>
    </row>
    <row r="645" spans="1:12" hidden="1" outlineLevel="1" collapsed="1" x14ac:dyDescent="0.35">
      <c r="A645" s="112" t="s">
        <v>1185</v>
      </c>
      <c r="B645" s="112" t="s">
        <v>897</v>
      </c>
      <c r="C645" s="112" t="s">
        <v>1099</v>
      </c>
      <c r="D645" s="113">
        <v>1069462</v>
      </c>
      <c r="E645" s="115">
        <v>43889</v>
      </c>
      <c r="F645" s="114">
        <v>202101</v>
      </c>
      <c r="G645" s="112" t="s">
        <v>1091</v>
      </c>
      <c r="H645" s="112" t="s">
        <v>1015</v>
      </c>
      <c r="I645" s="112" t="s">
        <v>1137</v>
      </c>
      <c r="J645" s="112" t="s">
        <v>1186</v>
      </c>
      <c r="K645" s="112" t="s">
        <v>1354</v>
      </c>
      <c r="L645" s="116">
        <v>158.09</v>
      </c>
    </row>
    <row r="646" spans="1:12" hidden="1" outlineLevel="1" collapsed="1" x14ac:dyDescent="0.35">
      <c r="A646" s="112" t="s">
        <v>1185</v>
      </c>
      <c r="B646" s="112" t="s">
        <v>897</v>
      </c>
      <c r="C646" s="112" t="s">
        <v>1099</v>
      </c>
      <c r="D646" s="113">
        <v>1069459</v>
      </c>
      <c r="E646" s="115">
        <v>43875</v>
      </c>
      <c r="F646" s="114">
        <v>202101</v>
      </c>
      <c r="G646" s="112" t="s">
        <v>1091</v>
      </c>
      <c r="H646" s="112" t="s">
        <v>1015</v>
      </c>
      <c r="I646" s="112" t="s">
        <v>1137</v>
      </c>
      <c r="J646" s="112" t="s">
        <v>1186</v>
      </c>
      <c r="K646" s="112" t="s">
        <v>1355</v>
      </c>
      <c r="L646" s="116">
        <v>976.17</v>
      </c>
    </row>
    <row r="647" spans="1:12" hidden="1" outlineLevel="1" collapsed="1" x14ac:dyDescent="0.35">
      <c r="A647" s="112" t="s">
        <v>1185</v>
      </c>
      <c r="B647" s="112" t="s">
        <v>896</v>
      </c>
      <c r="C647" s="112" t="s">
        <v>695</v>
      </c>
      <c r="D647" s="113">
        <v>10348146</v>
      </c>
      <c r="E647" s="115">
        <v>43930</v>
      </c>
      <c r="F647" s="114">
        <v>202101</v>
      </c>
      <c r="G647" s="112" t="s">
        <v>1091</v>
      </c>
      <c r="H647" s="112" t="s">
        <v>1015</v>
      </c>
      <c r="I647" s="112" t="s">
        <v>767</v>
      </c>
      <c r="J647" s="112" t="s">
        <v>1195</v>
      </c>
      <c r="K647" s="112" t="s">
        <v>1356</v>
      </c>
      <c r="L647" s="116">
        <v>-2434.21</v>
      </c>
    </row>
    <row r="648" spans="1:12" hidden="1" outlineLevel="1" collapsed="1" x14ac:dyDescent="0.35">
      <c r="A648" s="112" t="s">
        <v>1185</v>
      </c>
      <c r="B648" s="112" t="s">
        <v>896</v>
      </c>
      <c r="C648" s="112" t="s">
        <v>1266</v>
      </c>
      <c r="D648" s="113">
        <v>1069655</v>
      </c>
      <c r="E648" s="115">
        <v>43935</v>
      </c>
      <c r="F648" s="114">
        <v>202101</v>
      </c>
      <c r="G648" s="112" t="s">
        <v>1091</v>
      </c>
      <c r="H648" s="112" t="s">
        <v>1015</v>
      </c>
      <c r="I648" s="112" t="s">
        <v>1267</v>
      </c>
      <c r="J648" s="112" t="s">
        <v>1268</v>
      </c>
      <c r="K648" s="112" t="s">
        <v>1357</v>
      </c>
      <c r="L648" s="116">
        <v>52</v>
      </c>
    </row>
    <row r="649" spans="1:12" hidden="1" outlineLevel="1" collapsed="1" x14ac:dyDescent="0.35">
      <c r="A649" s="112" t="s">
        <v>1185</v>
      </c>
      <c r="B649" s="112" t="s">
        <v>896</v>
      </c>
      <c r="C649" s="112" t="s">
        <v>695</v>
      </c>
      <c r="D649" s="113">
        <v>10348146</v>
      </c>
      <c r="E649" s="115">
        <v>43930</v>
      </c>
      <c r="F649" s="114">
        <v>202101</v>
      </c>
      <c r="G649" s="112" t="s">
        <v>1091</v>
      </c>
      <c r="H649" s="112" t="s">
        <v>1015</v>
      </c>
      <c r="I649" s="112" t="s">
        <v>767</v>
      </c>
      <c r="J649" s="112" t="s">
        <v>1195</v>
      </c>
      <c r="K649" s="112" t="s">
        <v>1330</v>
      </c>
      <c r="L649" s="116">
        <v>-459.12</v>
      </c>
    </row>
    <row r="650" spans="1:12" hidden="1" outlineLevel="1" collapsed="1" x14ac:dyDescent="0.35">
      <c r="A650" s="112" t="s">
        <v>1185</v>
      </c>
      <c r="B650" s="112" t="s">
        <v>896</v>
      </c>
      <c r="C650" s="112" t="s">
        <v>695</v>
      </c>
      <c r="D650" s="113">
        <v>10348146</v>
      </c>
      <c r="E650" s="115">
        <v>43930</v>
      </c>
      <c r="F650" s="114">
        <v>202101</v>
      </c>
      <c r="G650" s="112" t="s">
        <v>1091</v>
      </c>
      <c r="H650" s="112" t="s">
        <v>1015</v>
      </c>
      <c r="I650" s="112" t="s">
        <v>767</v>
      </c>
      <c r="J650" s="112" t="s">
        <v>1195</v>
      </c>
      <c r="K650" s="112" t="s">
        <v>1358</v>
      </c>
      <c r="L650" s="116">
        <v>52</v>
      </c>
    </row>
    <row r="651" spans="1:12" hidden="1" outlineLevel="1" collapsed="1" x14ac:dyDescent="0.35">
      <c r="A651" s="112" t="s">
        <v>1185</v>
      </c>
      <c r="B651" s="112" t="s">
        <v>896</v>
      </c>
      <c r="C651" s="112" t="s">
        <v>695</v>
      </c>
      <c r="D651" s="113">
        <v>10348146</v>
      </c>
      <c r="E651" s="115">
        <v>43930</v>
      </c>
      <c r="F651" s="114">
        <v>202101</v>
      </c>
      <c r="G651" s="112" t="s">
        <v>1091</v>
      </c>
      <c r="H651" s="112" t="s">
        <v>1015</v>
      </c>
      <c r="I651" s="112" t="s">
        <v>767</v>
      </c>
      <c r="J651" s="112" t="s">
        <v>1195</v>
      </c>
      <c r="K651" s="112" t="s">
        <v>1359</v>
      </c>
      <c r="L651" s="116">
        <v>2951.37</v>
      </c>
    </row>
    <row r="652" spans="1:12" hidden="1" outlineLevel="1" collapsed="1" x14ac:dyDescent="0.35">
      <c r="A652" s="112" t="s">
        <v>1185</v>
      </c>
      <c r="B652" s="112" t="s">
        <v>896</v>
      </c>
      <c r="C652" s="112" t="s">
        <v>695</v>
      </c>
      <c r="D652" s="113">
        <v>10348146</v>
      </c>
      <c r="E652" s="115">
        <v>43930</v>
      </c>
      <c r="F652" s="114">
        <v>202101</v>
      </c>
      <c r="G652" s="112" t="s">
        <v>1091</v>
      </c>
      <c r="H652" s="112" t="s">
        <v>1015</v>
      </c>
      <c r="I652" s="112" t="s">
        <v>767</v>
      </c>
      <c r="J652" s="112" t="s">
        <v>1195</v>
      </c>
      <c r="K652" s="112" t="s">
        <v>1360</v>
      </c>
      <c r="L652" s="116">
        <v>41806.449999999997</v>
      </c>
    </row>
    <row r="653" spans="1:12" hidden="1" outlineLevel="1" collapsed="1" x14ac:dyDescent="0.35">
      <c r="A653" s="112" t="s">
        <v>1185</v>
      </c>
      <c r="B653" s="112" t="s">
        <v>896</v>
      </c>
      <c r="C653" s="112" t="s">
        <v>695</v>
      </c>
      <c r="D653" s="113">
        <v>10348146</v>
      </c>
      <c r="E653" s="115">
        <v>43930</v>
      </c>
      <c r="F653" s="114">
        <v>202101</v>
      </c>
      <c r="G653" s="112" t="s">
        <v>1091</v>
      </c>
      <c r="H653" s="112" t="s">
        <v>1015</v>
      </c>
      <c r="I653" s="112" t="s">
        <v>767</v>
      </c>
      <c r="J653" s="112" t="s">
        <v>1195</v>
      </c>
      <c r="K653" s="112" t="s">
        <v>1361</v>
      </c>
      <c r="L653" s="116">
        <v>2777</v>
      </c>
    </row>
    <row r="654" spans="1:12" hidden="1" outlineLevel="1" collapsed="1" x14ac:dyDescent="0.35">
      <c r="A654" s="112" t="s">
        <v>1185</v>
      </c>
      <c r="B654" s="112" t="s">
        <v>896</v>
      </c>
      <c r="C654" s="112" t="s">
        <v>695</v>
      </c>
      <c r="D654" s="113">
        <v>10348146</v>
      </c>
      <c r="E654" s="115">
        <v>43930</v>
      </c>
      <c r="F654" s="114">
        <v>202101</v>
      </c>
      <c r="G654" s="112" t="s">
        <v>1091</v>
      </c>
      <c r="H654" s="112" t="s">
        <v>1015</v>
      </c>
      <c r="I654" s="112" t="s">
        <v>767</v>
      </c>
      <c r="J654" s="112" t="s">
        <v>1195</v>
      </c>
      <c r="K654" s="112" t="s">
        <v>1362</v>
      </c>
      <c r="L654" s="116">
        <v>10532</v>
      </c>
    </row>
    <row r="655" spans="1:12" hidden="1" outlineLevel="1" collapsed="1" x14ac:dyDescent="0.35">
      <c r="A655" s="112" t="s">
        <v>1185</v>
      </c>
      <c r="B655" s="112" t="s">
        <v>896</v>
      </c>
      <c r="C655" s="112" t="s">
        <v>695</v>
      </c>
      <c r="D655" s="113">
        <v>10348146</v>
      </c>
      <c r="E655" s="115">
        <v>43930</v>
      </c>
      <c r="F655" s="114">
        <v>202101</v>
      </c>
      <c r="G655" s="112" t="s">
        <v>1091</v>
      </c>
      <c r="H655" s="112" t="s">
        <v>1015</v>
      </c>
      <c r="I655" s="112" t="s">
        <v>767</v>
      </c>
      <c r="J655" s="112" t="s">
        <v>1195</v>
      </c>
      <c r="K655" s="112" t="s">
        <v>1363</v>
      </c>
      <c r="L655" s="116">
        <v>15260</v>
      </c>
    </row>
    <row r="656" spans="1:12" hidden="1" outlineLevel="1" collapsed="1" x14ac:dyDescent="0.35">
      <c r="A656" s="112" t="s">
        <v>1185</v>
      </c>
      <c r="B656" s="112" t="s">
        <v>896</v>
      </c>
      <c r="C656" s="112" t="s">
        <v>695</v>
      </c>
      <c r="D656" s="113">
        <v>10348146</v>
      </c>
      <c r="E656" s="115">
        <v>43930</v>
      </c>
      <c r="F656" s="114">
        <v>202101</v>
      </c>
      <c r="G656" s="112" t="s">
        <v>1091</v>
      </c>
      <c r="H656" s="112" t="s">
        <v>1015</v>
      </c>
      <c r="I656" s="112" t="s">
        <v>767</v>
      </c>
      <c r="J656" s="112" t="s">
        <v>1195</v>
      </c>
      <c r="K656" s="112" t="s">
        <v>1364</v>
      </c>
      <c r="L656" s="116">
        <v>535.65</v>
      </c>
    </row>
    <row r="657" spans="1:12" hidden="1" outlineLevel="1" collapsed="1" x14ac:dyDescent="0.35">
      <c r="A657" s="112" t="s">
        <v>1185</v>
      </c>
      <c r="B657" s="112" t="s">
        <v>896</v>
      </c>
      <c r="C657" s="112" t="s">
        <v>695</v>
      </c>
      <c r="D657" s="113">
        <v>10348146</v>
      </c>
      <c r="E657" s="115">
        <v>43930</v>
      </c>
      <c r="F657" s="114">
        <v>202101</v>
      </c>
      <c r="G657" s="112" t="s">
        <v>1091</v>
      </c>
      <c r="H657" s="112" t="s">
        <v>1015</v>
      </c>
      <c r="I657" s="112" t="s">
        <v>767</v>
      </c>
      <c r="J657" s="112" t="s">
        <v>1195</v>
      </c>
      <c r="K657" s="112" t="s">
        <v>1358</v>
      </c>
      <c r="L657" s="116">
        <v>-52</v>
      </c>
    </row>
    <row r="658" spans="1:12" hidden="1" outlineLevel="1" collapsed="1" x14ac:dyDescent="0.35">
      <c r="A658" s="112" t="s">
        <v>1185</v>
      </c>
      <c r="B658" s="112" t="s">
        <v>896</v>
      </c>
      <c r="C658" s="112" t="s">
        <v>695</v>
      </c>
      <c r="D658" s="113">
        <v>10348146</v>
      </c>
      <c r="E658" s="115">
        <v>43930</v>
      </c>
      <c r="F658" s="114">
        <v>202101</v>
      </c>
      <c r="G658" s="112" t="s">
        <v>1091</v>
      </c>
      <c r="H658" s="112" t="s">
        <v>1015</v>
      </c>
      <c r="I658" s="112" t="s">
        <v>767</v>
      </c>
      <c r="J658" s="112" t="s">
        <v>1195</v>
      </c>
      <c r="K658" s="112" t="s">
        <v>1365</v>
      </c>
      <c r="L658" s="116">
        <v>-5372.01</v>
      </c>
    </row>
    <row r="659" spans="1:12" hidden="1" outlineLevel="1" collapsed="1" x14ac:dyDescent="0.35">
      <c r="A659" s="112" t="s">
        <v>1185</v>
      </c>
      <c r="B659" s="112" t="s">
        <v>896</v>
      </c>
      <c r="C659" s="112" t="s">
        <v>695</v>
      </c>
      <c r="D659" s="113">
        <v>10348146</v>
      </c>
      <c r="E659" s="115">
        <v>43930</v>
      </c>
      <c r="F659" s="114">
        <v>202101</v>
      </c>
      <c r="G659" s="112" t="s">
        <v>1091</v>
      </c>
      <c r="H659" s="112" t="s">
        <v>1015</v>
      </c>
      <c r="I659" s="112" t="s">
        <v>767</v>
      </c>
      <c r="J659" s="112" t="s">
        <v>1195</v>
      </c>
      <c r="K659" s="112" t="s">
        <v>1366</v>
      </c>
      <c r="L659" s="116">
        <v>-12129.08</v>
      </c>
    </row>
    <row r="660" spans="1:12" hidden="1" outlineLevel="1" collapsed="1" x14ac:dyDescent="0.35">
      <c r="A660" s="112" t="s">
        <v>1185</v>
      </c>
      <c r="B660" s="112" t="s">
        <v>896</v>
      </c>
      <c r="C660" s="112" t="s">
        <v>695</v>
      </c>
      <c r="D660" s="113">
        <v>10348146</v>
      </c>
      <c r="E660" s="115">
        <v>43930</v>
      </c>
      <c r="F660" s="114">
        <v>202101</v>
      </c>
      <c r="G660" s="112" t="s">
        <v>1091</v>
      </c>
      <c r="H660" s="112" t="s">
        <v>1015</v>
      </c>
      <c r="I660" s="112" t="s">
        <v>767</v>
      </c>
      <c r="J660" s="112" t="s">
        <v>1195</v>
      </c>
      <c r="K660" s="112" t="s">
        <v>1367</v>
      </c>
      <c r="L660" s="116">
        <v>-6757.18</v>
      </c>
    </row>
    <row r="661" spans="1:12" hidden="1" outlineLevel="1" collapsed="1" x14ac:dyDescent="0.35">
      <c r="A661" s="112" t="s">
        <v>1185</v>
      </c>
      <c r="B661" s="112" t="s">
        <v>896</v>
      </c>
      <c r="C661" s="112" t="s">
        <v>695</v>
      </c>
      <c r="D661" s="113">
        <v>10348146</v>
      </c>
      <c r="E661" s="115">
        <v>43930</v>
      </c>
      <c r="F661" s="114">
        <v>202101</v>
      </c>
      <c r="G661" s="112" t="s">
        <v>1091</v>
      </c>
      <c r="H661" s="112" t="s">
        <v>1015</v>
      </c>
      <c r="I661" s="112" t="s">
        <v>767</v>
      </c>
      <c r="J661" s="112" t="s">
        <v>1195</v>
      </c>
      <c r="K661" s="112" t="s">
        <v>1368</v>
      </c>
      <c r="L661" s="116">
        <v>-729.47</v>
      </c>
    </row>
    <row r="662" spans="1:12" hidden="1" outlineLevel="1" collapsed="1" x14ac:dyDescent="0.35">
      <c r="A662" s="112" t="s">
        <v>1185</v>
      </c>
      <c r="B662" s="112" t="s">
        <v>896</v>
      </c>
      <c r="C662" s="112" t="s">
        <v>695</v>
      </c>
      <c r="D662" s="113">
        <v>10348146</v>
      </c>
      <c r="E662" s="115">
        <v>43930</v>
      </c>
      <c r="F662" s="114">
        <v>202101</v>
      </c>
      <c r="G662" s="112" t="s">
        <v>1091</v>
      </c>
      <c r="H662" s="112" t="s">
        <v>1015</v>
      </c>
      <c r="I662" s="112" t="s">
        <v>767</v>
      </c>
      <c r="J662" s="112" t="s">
        <v>1195</v>
      </c>
      <c r="K662" s="112" t="s">
        <v>1369</v>
      </c>
      <c r="L662" s="116">
        <v>-2286.15</v>
      </c>
    </row>
    <row r="663" spans="1:12" hidden="1" outlineLevel="1" collapsed="1" x14ac:dyDescent="0.35">
      <c r="A663" s="112" t="s">
        <v>1185</v>
      </c>
      <c r="B663" s="112" t="s">
        <v>897</v>
      </c>
      <c r="C663" s="112" t="s">
        <v>1095</v>
      </c>
      <c r="D663" s="113">
        <v>10348451</v>
      </c>
      <c r="E663" s="115">
        <v>43949</v>
      </c>
      <c r="F663" s="114">
        <v>202101</v>
      </c>
      <c r="G663" s="112" t="s">
        <v>1091</v>
      </c>
      <c r="H663" s="112" t="s">
        <v>1015</v>
      </c>
      <c r="I663" s="112" t="s">
        <v>1116</v>
      </c>
      <c r="J663" s="112" t="s">
        <v>1191</v>
      </c>
      <c r="K663" s="112" t="s">
        <v>1098</v>
      </c>
      <c r="L663" s="116">
        <v>1892.67</v>
      </c>
    </row>
    <row r="664" spans="1:12" hidden="1" outlineLevel="1" collapsed="1" x14ac:dyDescent="0.35">
      <c r="A664" s="112" t="s">
        <v>1185</v>
      </c>
      <c r="B664" s="112" t="s">
        <v>896</v>
      </c>
      <c r="C664" s="112" t="s">
        <v>695</v>
      </c>
      <c r="D664" s="113">
        <v>10348146</v>
      </c>
      <c r="E664" s="115">
        <v>43930</v>
      </c>
      <c r="F664" s="114">
        <v>202101</v>
      </c>
      <c r="G664" s="112" t="s">
        <v>1091</v>
      </c>
      <c r="H664" s="112" t="s">
        <v>1015</v>
      </c>
      <c r="I664" s="112" t="s">
        <v>767</v>
      </c>
      <c r="J664" s="112" t="s">
        <v>1195</v>
      </c>
      <c r="K664" s="112" t="s">
        <v>1370</v>
      </c>
      <c r="L664" s="116">
        <v>-652.44000000000005</v>
      </c>
    </row>
    <row r="665" spans="1:12" hidden="1" outlineLevel="1" collapsed="1" x14ac:dyDescent="0.35">
      <c r="A665" s="112" t="s">
        <v>1185</v>
      </c>
      <c r="B665" s="112" t="s">
        <v>897</v>
      </c>
      <c r="C665" s="112" t="s">
        <v>1095</v>
      </c>
      <c r="D665" s="113">
        <v>10348451</v>
      </c>
      <c r="E665" s="115">
        <v>43949</v>
      </c>
      <c r="F665" s="114">
        <v>202101</v>
      </c>
      <c r="G665" s="112" t="s">
        <v>1091</v>
      </c>
      <c r="H665" s="112" t="s">
        <v>1015</v>
      </c>
      <c r="I665" s="112" t="s">
        <v>1116</v>
      </c>
      <c r="J665" s="112" t="s">
        <v>1191</v>
      </c>
      <c r="K665" s="112" t="s">
        <v>1098</v>
      </c>
      <c r="L665" s="116">
        <v>1671.75</v>
      </c>
    </row>
    <row r="666" spans="1:12" hidden="1" outlineLevel="1" collapsed="1" x14ac:dyDescent="0.35">
      <c r="A666" s="112" t="s">
        <v>1185</v>
      </c>
      <c r="B666" s="112" t="s">
        <v>897</v>
      </c>
      <c r="C666" s="112" t="s">
        <v>1095</v>
      </c>
      <c r="D666" s="113">
        <v>10348451</v>
      </c>
      <c r="E666" s="115">
        <v>43949</v>
      </c>
      <c r="F666" s="114">
        <v>202101</v>
      </c>
      <c r="G666" s="112" t="s">
        <v>1091</v>
      </c>
      <c r="H666" s="112" t="s">
        <v>1015</v>
      </c>
      <c r="I666" s="112" t="s">
        <v>1116</v>
      </c>
      <c r="J666" s="112" t="s">
        <v>1191</v>
      </c>
      <c r="K666" s="112" t="s">
        <v>1098</v>
      </c>
      <c r="L666" s="116">
        <v>1646.96</v>
      </c>
    </row>
    <row r="667" spans="1:12" hidden="1" outlineLevel="1" collapsed="1" x14ac:dyDescent="0.35">
      <c r="A667" s="112" t="s">
        <v>1185</v>
      </c>
      <c r="B667" s="112" t="s">
        <v>897</v>
      </c>
      <c r="C667" s="112" t="s">
        <v>1095</v>
      </c>
      <c r="D667" s="113">
        <v>10348451</v>
      </c>
      <c r="E667" s="115">
        <v>43949</v>
      </c>
      <c r="F667" s="114">
        <v>202101</v>
      </c>
      <c r="G667" s="112" t="s">
        <v>1091</v>
      </c>
      <c r="H667" s="112" t="s">
        <v>1015</v>
      </c>
      <c r="I667" s="112" t="s">
        <v>1116</v>
      </c>
      <c r="J667" s="112" t="s">
        <v>1191</v>
      </c>
      <c r="K667" s="112" t="s">
        <v>1098</v>
      </c>
      <c r="L667" s="116">
        <v>1583.61</v>
      </c>
    </row>
    <row r="668" spans="1:12" hidden="1" outlineLevel="1" collapsed="1" x14ac:dyDescent="0.35">
      <c r="A668" s="112" t="s">
        <v>1185</v>
      </c>
      <c r="B668" s="112" t="s">
        <v>897</v>
      </c>
      <c r="C668" s="112" t="s">
        <v>1095</v>
      </c>
      <c r="D668" s="113">
        <v>10348451</v>
      </c>
      <c r="E668" s="115">
        <v>43949</v>
      </c>
      <c r="F668" s="114">
        <v>202101</v>
      </c>
      <c r="G668" s="112" t="s">
        <v>1091</v>
      </c>
      <c r="H668" s="112" t="s">
        <v>1015</v>
      </c>
      <c r="I668" s="112" t="s">
        <v>1116</v>
      </c>
      <c r="J668" s="112" t="s">
        <v>1191</v>
      </c>
      <c r="K668" s="112" t="s">
        <v>1098</v>
      </c>
      <c r="L668" s="116">
        <v>2981.92</v>
      </c>
    </row>
    <row r="669" spans="1:12" hidden="1" outlineLevel="1" collapsed="1" x14ac:dyDescent="0.35">
      <c r="A669" s="112" t="s">
        <v>1185</v>
      </c>
      <c r="B669" s="112" t="s">
        <v>897</v>
      </c>
      <c r="C669" s="112" t="s">
        <v>1095</v>
      </c>
      <c r="D669" s="113">
        <v>10348451</v>
      </c>
      <c r="E669" s="115">
        <v>43949</v>
      </c>
      <c r="F669" s="114">
        <v>202101</v>
      </c>
      <c r="G669" s="112" t="s">
        <v>1091</v>
      </c>
      <c r="H669" s="112" t="s">
        <v>1015</v>
      </c>
      <c r="I669" s="112" t="s">
        <v>1116</v>
      </c>
      <c r="J669" s="112" t="s">
        <v>1191</v>
      </c>
      <c r="K669" s="112" t="s">
        <v>1098</v>
      </c>
      <c r="L669" s="116">
        <v>2343.75</v>
      </c>
    </row>
    <row r="670" spans="1:12" hidden="1" outlineLevel="1" collapsed="1" x14ac:dyDescent="0.35">
      <c r="A670" s="112" t="s">
        <v>1185</v>
      </c>
      <c r="B670" s="112" t="s">
        <v>897</v>
      </c>
      <c r="C670" s="112" t="s">
        <v>1095</v>
      </c>
      <c r="D670" s="113">
        <v>10348451</v>
      </c>
      <c r="E670" s="115">
        <v>43949</v>
      </c>
      <c r="F670" s="114">
        <v>202101</v>
      </c>
      <c r="G670" s="112" t="s">
        <v>1091</v>
      </c>
      <c r="H670" s="112" t="s">
        <v>1015</v>
      </c>
      <c r="I670" s="112" t="s">
        <v>1116</v>
      </c>
      <c r="J670" s="112" t="s">
        <v>1191</v>
      </c>
      <c r="K670" s="112" t="s">
        <v>1098</v>
      </c>
      <c r="L670" s="116">
        <v>2388.25</v>
      </c>
    </row>
    <row r="671" spans="1:12" hidden="1" outlineLevel="1" collapsed="1" x14ac:dyDescent="0.35">
      <c r="A671" s="112" t="s">
        <v>1185</v>
      </c>
      <c r="B671" s="112" t="s">
        <v>897</v>
      </c>
      <c r="C671" s="112" t="s">
        <v>1095</v>
      </c>
      <c r="D671" s="113">
        <v>10348451</v>
      </c>
      <c r="E671" s="115">
        <v>43949</v>
      </c>
      <c r="F671" s="114">
        <v>202101</v>
      </c>
      <c r="G671" s="112" t="s">
        <v>1091</v>
      </c>
      <c r="H671" s="112" t="s">
        <v>1015</v>
      </c>
      <c r="I671" s="112" t="s">
        <v>1116</v>
      </c>
      <c r="J671" s="112" t="s">
        <v>1191</v>
      </c>
      <c r="K671" s="112" t="s">
        <v>1098</v>
      </c>
      <c r="L671" s="116">
        <v>1807.6</v>
      </c>
    </row>
    <row r="672" spans="1:12" hidden="1" outlineLevel="1" collapsed="1" x14ac:dyDescent="0.35">
      <c r="A672" s="112" t="s">
        <v>1185</v>
      </c>
      <c r="B672" s="112" t="s">
        <v>897</v>
      </c>
      <c r="C672" s="112" t="s">
        <v>1095</v>
      </c>
      <c r="D672" s="113">
        <v>10348451</v>
      </c>
      <c r="E672" s="115">
        <v>43949</v>
      </c>
      <c r="F672" s="114">
        <v>202101</v>
      </c>
      <c r="G672" s="112" t="s">
        <v>1091</v>
      </c>
      <c r="H672" s="112" t="s">
        <v>1015</v>
      </c>
      <c r="I672" s="112" t="s">
        <v>1116</v>
      </c>
      <c r="J672" s="112" t="s">
        <v>1191</v>
      </c>
      <c r="K672" s="112" t="s">
        <v>1098</v>
      </c>
      <c r="L672" s="116">
        <v>2981.92</v>
      </c>
    </row>
    <row r="673" spans="1:12" hidden="1" outlineLevel="1" collapsed="1" x14ac:dyDescent="0.35">
      <c r="A673" s="112" t="s">
        <v>1185</v>
      </c>
      <c r="B673" s="112" t="s">
        <v>897</v>
      </c>
      <c r="C673" s="112" t="s">
        <v>1095</v>
      </c>
      <c r="D673" s="113">
        <v>10348451</v>
      </c>
      <c r="E673" s="115">
        <v>43949</v>
      </c>
      <c r="F673" s="114">
        <v>202101</v>
      </c>
      <c r="G673" s="112" t="s">
        <v>1091</v>
      </c>
      <c r="H673" s="112" t="s">
        <v>1015</v>
      </c>
      <c r="I673" s="112" t="s">
        <v>1116</v>
      </c>
      <c r="J673" s="112" t="s">
        <v>1191</v>
      </c>
      <c r="K673" s="112" t="s">
        <v>1098</v>
      </c>
      <c r="L673" s="116">
        <v>1747.88</v>
      </c>
    </row>
    <row r="674" spans="1:12" hidden="1" outlineLevel="1" collapsed="1" x14ac:dyDescent="0.35">
      <c r="A674" s="112" t="s">
        <v>1185</v>
      </c>
      <c r="B674" s="112" t="s">
        <v>897</v>
      </c>
      <c r="C674" s="112" t="s">
        <v>1095</v>
      </c>
      <c r="D674" s="113">
        <v>10348451</v>
      </c>
      <c r="E674" s="115">
        <v>43949</v>
      </c>
      <c r="F674" s="114">
        <v>202101</v>
      </c>
      <c r="G674" s="112" t="s">
        <v>1091</v>
      </c>
      <c r="H674" s="112" t="s">
        <v>1015</v>
      </c>
      <c r="I674" s="112" t="s">
        <v>1116</v>
      </c>
      <c r="J674" s="112" t="s">
        <v>1191</v>
      </c>
      <c r="K674" s="112" t="s">
        <v>1098</v>
      </c>
      <c r="L674" s="116">
        <v>2259.5</v>
      </c>
    </row>
    <row r="675" spans="1:12" hidden="1" outlineLevel="1" collapsed="1" x14ac:dyDescent="0.35">
      <c r="A675" s="112" t="s">
        <v>1185</v>
      </c>
      <c r="B675" s="112" t="s">
        <v>897</v>
      </c>
      <c r="C675" s="112" t="s">
        <v>1095</v>
      </c>
      <c r="D675" s="113">
        <v>10348451</v>
      </c>
      <c r="E675" s="115">
        <v>43949</v>
      </c>
      <c r="F675" s="114">
        <v>202101</v>
      </c>
      <c r="G675" s="112" t="s">
        <v>1091</v>
      </c>
      <c r="H675" s="112" t="s">
        <v>1015</v>
      </c>
      <c r="I675" s="112" t="s">
        <v>1116</v>
      </c>
      <c r="J675" s="112" t="s">
        <v>1191</v>
      </c>
      <c r="K675" s="112" t="s">
        <v>1098</v>
      </c>
      <c r="L675" s="116">
        <v>1892.67</v>
      </c>
    </row>
    <row r="676" spans="1:12" hidden="1" outlineLevel="1" collapsed="1" x14ac:dyDescent="0.35">
      <c r="A676" s="112" t="s">
        <v>1185</v>
      </c>
      <c r="B676" s="112" t="s">
        <v>897</v>
      </c>
      <c r="C676" s="112" t="s">
        <v>1095</v>
      </c>
      <c r="D676" s="113">
        <v>10348451</v>
      </c>
      <c r="E676" s="115">
        <v>43949</v>
      </c>
      <c r="F676" s="114">
        <v>202101</v>
      </c>
      <c r="G676" s="112" t="s">
        <v>1091</v>
      </c>
      <c r="H676" s="112" t="s">
        <v>1015</v>
      </c>
      <c r="I676" s="112" t="s">
        <v>1116</v>
      </c>
      <c r="J676" s="112" t="s">
        <v>1191</v>
      </c>
      <c r="K676" s="112" t="s">
        <v>1098</v>
      </c>
      <c r="L676" s="116">
        <v>2631.25</v>
      </c>
    </row>
    <row r="677" spans="1:12" hidden="1" outlineLevel="1" collapsed="1" x14ac:dyDescent="0.35">
      <c r="A677" s="112" t="s">
        <v>1185</v>
      </c>
      <c r="B677" s="112" t="s">
        <v>897</v>
      </c>
      <c r="C677" s="112" t="s">
        <v>1095</v>
      </c>
      <c r="D677" s="113">
        <v>10348451</v>
      </c>
      <c r="E677" s="115">
        <v>43949</v>
      </c>
      <c r="F677" s="114">
        <v>202101</v>
      </c>
      <c r="G677" s="112" t="s">
        <v>1091</v>
      </c>
      <c r="H677" s="112" t="s">
        <v>1015</v>
      </c>
      <c r="I677" s="112" t="s">
        <v>1116</v>
      </c>
      <c r="J677" s="112" t="s">
        <v>1191</v>
      </c>
      <c r="K677" s="112" t="s">
        <v>1098</v>
      </c>
      <c r="L677" s="116">
        <v>2631.25</v>
      </c>
    </row>
    <row r="678" spans="1:12" hidden="1" outlineLevel="1" collapsed="1" x14ac:dyDescent="0.35">
      <c r="A678" s="112" t="s">
        <v>1185</v>
      </c>
      <c r="B678" s="112" t="s">
        <v>897</v>
      </c>
      <c r="C678" s="112" t="s">
        <v>1095</v>
      </c>
      <c r="D678" s="113">
        <v>10348451</v>
      </c>
      <c r="E678" s="115">
        <v>43949</v>
      </c>
      <c r="F678" s="114">
        <v>202101</v>
      </c>
      <c r="G678" s="112" t="s">
        <v>1091</v>
      </c>
      <c r="H678" s="112" t="s">
        <v>1015</v>
      </c>
      <c r="I678" s="112" t="s">
        <v>1116</v>
      </c>
      <c r="J678" s="112" t="s">
        <v>1191</v>
      </c>
      <c r="K678" s="112" t="s">
        <v>1098</v>
      </c>
      <c r="L678" s="116">
        <v>2663</v>
      </c>
    </row>
    <row r="679" spans="1:12" hidden="1" outlineLevel="1" collapsed="1" x14ac:dyDescent="0.35">
      <c r="A679" s="112" t="s">
        <v>1185</v>
      </c>
      <c r="B679" s="112" t="s">
        <v>897</v>
      </c>
      <c r="C679" s="112" t="s">
        <v>1095</v>
      </c>
      <c r="D679" s="113">
        <v>10348451</v>
      </c>
      <c r="E679" s="115">
        <v>43949</v>
      </c>
      <c r="F679" s="114">
        <v>202101</v>
      </c>
      <c r="G679" s="112" t="s">
        <v>1091</v>
      </c>
      <c r="H679" s="112" t="s">
        <v>1015</v>
      </c>
      <c r="I679" s="112" t="s">
        <v>1116</v>
      </c>
      <c r="J679" s="112" t="s">
        <v>1191</v>
      </c>
      <c r="K679" s="112" t="s">
        <v>1098</v>
      </c>
      <c r="L679" s="116">
        <v>1613.01</v>
      </c>
    </row>
    <row r="680" spans="1:12" hidden="1" outlineLevel="1" collapsed="1" x14ac:dyDescent="0.35">
      <c r="A680" s="112" t="s">
        <v>1185</v>
      </c>
      <c r="B680" s="112" t="s">
        <v>897</v>
      </c>
      <c r="C680" s="112" t="s">
        <v>1095</v>
      </c>
      <c r="D680" s="113">
        <v>10348451</v>
      </c>
      <c r="E680" s="115">
        <v>43949</v>
      </c>
      <c r="F680" s="114">
        <v>202101</v>
      </c>
      <c r="G680" s="112" t="s">
        <v>1091</v>
      </c>
      <c r="H680" s="112" t="s">
        <v>1015</v>
      </c>
      <c r="I680" s="112" t="s">
        <v>1116</v>
      </c>
      <c r="J680" s="112" t="s">
        <v>1191</v>
      </c>
      <c r="K680" s="112" t="s">
        <v>1098</v>
      </c>
      <c r="L680" s="116">
        <v>1944.42</v>
      </c>
    </row>
    <row r="681" spans="1:12" hidden="1" outlineLevel="1" collapsed="1" x14ac:dyDescent="0.35">
      <c r="A681" s="112" t="s">
        <v>1185</v>
      </c>
      <c r="B681" s="112" t="s">
        <v>897</v>
      </c>
      <c r="C681" s="112" t="s">
        <v>1095</v>
      </c>
      <c r="D681" s="113">
        <v>10348451</v>
      </c>
      <c r="E681" s="115">
        <v>43949</v>
      </c>
      <c r="F681" s="114">
        <v>202101</v>
      </c>
      <c r="G681" s="112" t="s">
        <v>1091</v>
      </c>
      <c r="H681" s="112" t="s">
        <v>1015</v>
      </c>
      <c r="I681" s="112" t="s">
        <v>1116</v>
      </c>
      <c r="J681" s="112" t="s">
        <v>1191</v>
      </c>
      <c r="K681" s="112" t="s">
        <v>1098</v>
      </c>
      <c r="L681" s="116">
        <v>1266.8900000000001</v>
      </c>
    </row>
    <row r="682" spans="1:12" hidden="1" outlineLevel="1" collapsed="1" x14ac:dyDescent="0.35">
      <c r="A682" s="112" t="s">
        <v>1185</v>
      </c>
      <c r="B682" s="112" t="s">
        <v>897</v>
      </c>
      <c r="C682" s="112" t="s">
        <v>1095</v>
      </c>
      <c r="D682" s="113">
        <v>10348451</v>
      </c>
      <c r="E682" s="115">
        <v>43949</v>
      </c>
      <c r="F682" s="114">
        <v>202101</v>
      </c>
      <c r="G682" s="112" t="s">
        <v>1091</v>
      </c>
      <c r="H682" s="112" t="s">
        <v>1015</v>
      </c>
      <c r="I682" s="112" t="s">
        <v>1116</v>
      </c>
      <c r="J682" s="112" t="s">
        <v>1191</v>
      </c>
      <c r="K682" s="112" t="s">
        <v>1098</v>
      </c>
      <c r="L682" s="116">
        <v>2259.5</v>
      </c>
    </row>
    <row r="683" spans="1:12" hidden="1" outlineLevel="1" collapsed="1" x14ac:dyDescent="0.35">
      <c r="A683" s="112" t="s">
        <v>1185</v>
      </c>
      <c r="B683" s="112" t="s">
        <v>897</v>
      </c>
      <c r="C683" s="112" t="s">
        <v>1095</v>
      </c>
      <c r="D683" s="113">
        <v>10348451</v>
      </c>
      <c r="E683" s="115">
        <v>43949</v>
      </c>
      <c r="F683" s="114">
        <v>202101</v>
      </c>
      <c r="G683" s="112" t="s">
        <v>1091</v>
      </c>
      <c r="H683" s="112" t="s">
        <v>1015</v>
      </c>
      <c r="I683" s="112" t="s">
        <v>1116</v>
      </c>
      <c r="J683" s="112" t="s">
        <v>1191</v>
      </c>
      <c r="K683" s="112" t="s">
        <v>1098</v>
      </c>
      <c r="L683" s="116">
        <v>2981.92</v>
      </c>
    </row>
    <row r="684" spans="1:12" hidden="1" outlineLevel="1" collapsed="1" x14ac:dyDescent="0.35">
      <c r="A684" s="112" t="s">
        <v>1185</v>
      </c>
      <c r="B684" s="112" t="s">
        <v>897</v>
      </c>
      <c r="C684" s="112" t="s">
        <v>1095</v>
      </c>
      <c r="D684" s="113">
        <v>10348451</v>
      </c>
      <c r="E684" s="115">
        <v>43949</v>
      </c>
      <c r="F684" s="114">
        <v>202101</v>
      </c>
      <c r="G684" s="112" t="s">
        <v>1091</v>
      </c>
      <c r="H684" s="112" t="s">
        <v>1015</v>
      </c>
      <c r="I684" s="112" t="s">
        <v>1116</v>
      </c>
      <c r="J684" s="112" t="s">
        <v>1191</v>
      </c>
      <c r="K684" s="112" t="s">
        <v>1098</v>
      </c>
      <c r="L684" s="116">
        <v>2632.03</v>
      </c>
    </row>
    <row r="685" spans="1:12" hidden="1" outlineLevel="1" collapsed="1" x14ac:dyDescent="0.35">
      <c r="A685" s="112" t="s">
        <v>1185</v>
      </c>
      <c r="B685" s="112" t="s">
        <v>897</v>
      </c>
      <c r="C685" s="112" t="s">
        <v>1095</v>
      </c>
      <c r="D685" s="113">
        <v>10348451</v>
      </c>
      <c r="E685" s="115">
        <v>43949</v>
      </c>
      <c r="F685" s="114">
        <v>202101</v>
      </c>
      <c r="G685" s="112" t="s">
        <v>1091</v>
      </c>
      <c r="H685" s="112" t="s">
        <v>1015</v>
      </c>
      <c r="I685" s="112" t="s">
        <v>1116</v>
      </c>
      <c r="J685" s="112" t="s">
        <v>1191</v>
      </c>
      <c r="K685" s="112" t="s">
        <v>1098</v>
      </c>
      <c r="L685" s="116">
        <v>2981.92</v>
      </c>
    </row>
    <row r="686" spans="1:12" hidden="1" outlineLevel="1" collapsed="1" x14ac:dyDescent="0.35">
      <c r="A686" s="112" t="s">
        <v>1185</v>
      </c>
      <c r="B686" s="112" t="s">
        <v>897</v>
      </c>
      <c r="C686" s="112" t="s">
        <v>1095</v>
      </c>
      <c r="D686" s="113">
        <v>10348451</v>
      </c>
      <c r="E686" s="115">
        <v>43949</v>
      </c>
      <c r="F686" s="114">
        <v>202101</v>
      </c>
      <c r="G686" s="112" t="s">
        <v>1091</v>
      </c>
      <c r="H686" s="112" t="s">
        <v>1015</v>
      </c>
      <c r="I686" s="112" t="s">
        <v>1116</v>
      </c>
      <c r="J686" s="112" t="s">
        <v>1191</v>
      </c>
      <c r="K686" s="112" t="s">
        <v>1098</v>
      </c>
      <c r="L686" s="116">
        <v>1099.22</v>
      </c>
    </row>
    <row r="687" spans="1:12" hidden="1" outlineLevel="1" collapsed="1" x14ac:dyDescent="0.35">
      <c r="A687" s="112" t="s">
        <v>1185</v>
      </c>
      <c r="B687" s="112" t="s">
        <v>897</v>
      </c>
      <c r="C687" s="112" t="s">
        <v>1095</v>
      </c>
      <c r="D687" s="113">
        <v>10348451</v>
      </c>
      <c r="E687" s="115">
        <v>43949</v>
      </c>
      <c r="F687" s="114">
        <v>202101</v>
      </c>
      <c r="G687" s="112" t="s">
        <v>1091</v>
      </c>
      <c r="H687" s="112" t="s">
        <v>1015</v>
      </c>
      <c r="I687" s="112" t="s">
        <v>1116</v>
      </c>
      <c r="J687" s="112" t="s">
        <v>1191</v>
      </c>
      <c r="K687" s="112" t="s">
        <v>1098</v>
      </c>
      <c r="L687" s="116">
        <v>2981.92</v>
      </c>
    </row>
    <row r="688" spans="1:12" hidden="1" outlineLevel="1" collapsed="1" x14ac:dyDescent="0.35">
      <c r="A688" s="112" t="s">
        <v>1185</v>
      </c>
      <c r="B688" s="112" t="s">
        <v>897</v>
      </c>
      <c r="C688" s="112" t="s">
        <v>1095</v>
      </c>
      <c r="D688" s="113">
        <v>10348451</v>
      </c>
      <c r="E688" s="115">
        <v>43949</v>
      </c>
      <c r="F688" s="114">
        <v>202101</v>
      </c>
      <c r="G688" s="112" t="s">
        <v>1091</v>
      </c>
      <c r="H688" s="112" t="s">
        <v>1015</v>
      </c>
      <c r="I688" s="112" t="s">
        <v>1116</v>
      </c>
      <c r="J688" s="112" t="s">
        <v>1191</v>
      </c>
      <c r="K688" s="112" t="s">
        <v>1098</v>
      </c>
      <c r="L688" s="116">
        <v>2259.5</v>
      </c>
    </row>
    <row r="689" spans="1:12" hidden="1" outlineLevel="1" collapsed="1" x14ac:dyDescent="0.35">
      <c r="A689" s="112" t="s">
        <v>1185</v>
      </c>
      <c r="B689" s="112" t="s">
        <v>897</v>
      </c>
      <c r="C689" s="112" t="s">
        <v>1095</v>
      </c>
      <c r="D689" s="113">
        <v>10348451</v>
      </c>
      <c r="E689" s="115">
        <v>43949</v>
      </c>
      <c r="F689" s="114">
        <v>202101</v>
      </c>
      <c r="G689" s="112" t="s">
        <v>1091</v>
      </c>
      <c r="H689" s="112" t="s">
        <v>1015</v>
      </c>
      <c r="I689" s="112" t="s">
        <v>1116</v>
      </c>
      <c r="J689" s="112" t="s">
        <v>1191</v>
      </c>
      <c r="K689" s="112" t="s">
        <v>1098</v>
      </c>
      <c r="L689" s="116">
        <v>2259.5</v>
      </c>
    </row>
    <row r="690" spans="1:12" hidden="1" outlineLevel="1" collapsed="1" x14ac:dyDescent="0.35">
      <c r="A690" s="112" t="s">
        <v>1185</v>
      </c>
      <c r="B690" s="112" t="s">
        <v>897</v>
      </c>
      <c r="C690" s="112" t="s">
        <v>1095</v>
      </c>
      <c r="D690" s="113">
        <v>10348451</v>
      </c>
      <c r="E690" s="115">
        <v>43949</v>
      </c>
      <c r="F690" s="114">
        <v>202101</v>
      </c>
      <c r="G690" s="112" t="s">
        <v>1091</v>
      </c>
      <c r="H690" s="112" t="s">
        <v>1015</v>
      </c>
      <c r="I690" s="112" t="s">
        <v>1116</v>
      </c>
      <c r="J690" s="112" t="s">
        <v>1191</v>
      </c>
      <c r="K690" s="112" t="s">
        <v>1098</v>
      </c>
      <c r="L690" s="116">
        <v>1944.42</v>
      </c>
    </row>
    <row r="691" spans="1:12" hidden="1" outlineLevel="1" collapsed="1" x14ac:dyDescent="0.35">
      <c r="A691" s="112" t="s">
        <v>1185</v>
      </c>
      <c r="B691" s="112" t="s">
        <v>897</v>
      </c>
      <c r="C691" s="112" t="s">
        <v>1095</v>
      </c>
      <c r="D691" s="113">
        <v>10348451</v>
      </c>
      <c r="E691" s="115">
        <v>43949</v>
      </c>
      <c r="F691" s="114">
        <v>202101</v>
      </c>
      <c r="G691" s="112" t="s">
        <v>1091</v>
      </c>
      <c r="H691" s="112" t="s">
        <v>1015</v>
      </c>
      <c r="I691" s="112" t="s">
        <v>1116</v>
      </c>
      <c r="J691" s="112" t="s">
        <v>1191</v>
      </c>
      <c r="K691" s="112" t="s">
        <v>1098</v>
      </c>
      <c r="L691" s="116">
        <v>1425.25</v>
      </c>
    </row>
    <row r="692" spans="1:12" hidden="1" outlineLevel="1" collapsed="1" x14ac:dyDescent="0.35">
      <c r="A692" s="112" t="s">
        <v>1185</v>
      </c>
      <c r="B692" s="112" t="s">
        <v>897</v>
      </c>
      <c r="C692" s="112" t="s">
        <v>1095</v>
      </c>
      <c r="D692" s="113">
        <v>10348451</v>
      </c>
      <c r="E692" s="115">
        <v>43949</v>
      </c>
      <c r="F692" s="114">
        <v>202101</v>
      </c>
      <c r="G692" s="112" t="s">
        <v>1091</v>
      </c>
      <c r="H692" s="112" t="s">
        <v>1015</v>
      </c>
      <c r="I692" s="112" t="s">
        <v>1116</v>
      </c>
      <c r="J692" s="112" t="s">
        <v>1191</v>
      </c>
      <c r="K692" s="112" t="s">
        <v>1098</v>
      </c>
      <c r="L692" s="116">
        <v>1773.65</v>
      </c>
    </row>
    <row r="693" spans="1:12" hidden="1" outlineLevel="1" collapsed="1" x14ac:dyDescent="0.35">
      <c r="A693" s="112" t="s">
        <v>1185</v>
      </c>
      <c r="B693" s="112" t="s">
        <v>897</v>
      </c>
      <c r="C693" s="112" t="s">
        <v>1095</v>
      </c>
      <c r="D693" s="113">
        <v>10348451</v>
      </c>
      <c r="E693" s="115">
        <v>43949</v>
      </c>
      <c r="F693" s="114">
        <v>202101</v>
      </c>
      <c r="G693" s="112" t="s">
        <v>1091</v>
      </c>
      <c r="H693" s="112" t="s">
        <v>1015</v>
      </c>
      <c r="I693" s="112" t="s">
        <v>1116</v>
      </c>
      <c r="J693" s="112" t="s">
        <v>1191</v>
      </c>
      <c r="K693" s="112" t="s">
        <v>1098</v>
      </c>
      <c r="L693" s="116">
        <v>2559.75</v>
      </c>
    </row>
    <row r="694" spans="1:12" hidden="1" outlineLevel="1" collapsed="1" x14ac:dyDescent="0.35">
      <c r="A694" s="112" t="s">
        <v>1185</v>
      </c>
      <c r="B694" s="112" t="s">
        <v>897</v>
      </c>
      <c r="C694" s="112" t="s">
        <v>1095</v>
      </c>
      <c r="D694" s="113">
        <v>10348451</v>
      </c>
      <c r="E694" s="115">
        <v>43949</v>
      </c>
      <c r="F694" s="114">
        <v>202101</v>
      </c>
      <c r="G694" s="112" t="s">
        <v>1091</v>
      </c>
      <c r="H694" s="112" t="s">
        <v>1015</v>
      </c>
      <c r="I694" s="112" t="s">
        <v>1116</v>
      </c>
      <c r="J694" s="112" t="s">
        <v>1191</v>
      </c>
      <c r="K694" s="112" t="s">
        <v>1098</v>
      </c>
      <c r="L694" s="116">
        <v>1656.92</v>
      </c>
    </row>
    <row r="695" spans="1:12" hidden="1" outlineLevel="1" collapsed="1" x14ac:dyDescent="0.35">
      <c r="A695" s="112" t="s">
        <v>1185</v>
      </c>
      <c r="B695" s="112" t="s">
        <v>896</v>
      </c>
      <c r="C695" s="112" t="s">
        <v>695</v>
      </c>
      <c r="D695" s="113">
        <v>10348146</v>
      </c>
      <c r="E695" s="115">
        <v>43930</v>
      </c>
      <c r="F695" s="114">
        <v>202101</v>
      </c>
      <c r="G695" s="112" t="s">
        <v>1091</v>
      </c>
      <c r="H695" s="112" t="s">
        <v>1015</v>
      </c>
      <c r="I695" s="112" t="s">
        <v>767</v>
      </c>
      <c r="J695" s="112" t="s">
        <v>1195</v>
      </c>
      <c r="K695" s="112" t="s">
        <v>1371</v>
      </c>
      <c r="L695" s="116">
        <v>-6448.56</v>
      </c>
    </row>
    <row r="696" spans="1:12" hidden="1" outlineLevel="1" collapsed="1" x14ac:dyDescent="0.35">
      <c r="A696" s="112" t="s">
        <v>1185</v>
      </c>
      <c r="B696" s="112" t="s">
        <v>897</v>
      </c>
      <c r="C696" s="112" t="s">
        <v>1095</v>
      </c>
      <c r="D696" s="113">
        <v>10348451</v>
      </c>
      <c r="E696" s="115">
        <v>43949</v>
      </c>
      <c r="F696" s="114">
        <v>202101</v>
      </c>
      <c r="G696" s="112" t="s">
        <v>1091</v>
      </c>
      <c r="H696" s="112" t="s">
        <v>1015</v>
      </c>
      <c r="I696" s="112" t="s">
        <v>1116</v>
      </c>
      <c r="J696" s="112" t="s">
        <v>1191</v>
      </c>
      <c r="K696" s="112" t="s">
        <v>1098</v>
      </c>
      <c r="L696" s="116">
        <v>1944.42</v>
      </c>
    </row>
    <row r="697" spans="1:12" hidden="1" outlineLevel="1" collapsed="1" x14ac:dyDescent="0.35">
      <c r="A697" s="112" t="s">
        <v>1185</v>
      </c>
      <c r="B697" s="112" t="s">
        <v>897</v>
      </c>
      <c r="C697" s="112" t="s">
        <v>1095</v>
      </c>
      <c r="D697" s="113">
        <v>10348451</v>
      </c>
      <c r="E697" s="115">
        <v>43949</v>
      </c>
      <c r="F697" s="114">
        <v>202101</v>
      </c>
      <c r="G697" s="112" t="s">
        <v>1091</v>
      </c>
      <c r="H697" s="112" t="s">
        <v>1015</v>
      </c>
      <c r="I697" s="112" t="s">
        <v>1116</v>
      </c>
      <c r="J697" s="112" t="s">
        <v>1203</v>
      </c>
      <c r="K697" s="112" t="s">
        <v>1098</v>
      </c>
      <c r="L697" s="116">
        <v>2259.5</v>
      </c>
    </row>
    <row r="698" spans="1:12" hidden="1" outlineLevel="1" collapsed="1" x14ac:dyDescent="0.35">
      <c r="A698" s="112" t="s">
        <v>1185</v>
      </c>
      <c r="B698" s="112" t="s">
        <v>897</v>
      </c>
      <c r="C698" s="112" t="s">
        <v>1095</v>
      </c>
      <c r="D698" s="113">
        <v>10348451</v>
      </c>
      <c r="E698" s="115">
        <v>43949</v>
      </c>
      <c r="F698" s="114">
        <v>202101</v>
      </c>
      <c r="G698" s="112" t="s">
        <v>1091</v>
      </c>
      <c r="H698" s="112" t="s">
        <v>1015</v>
      </c>
      <c r="I698" s="112" t="s">
        <v>1116</v>
      </c>
      <c r="J698" s="112" t="s">
        <v>1203</v>
      </c>
      <c r="K698" s="112" t="s">
        <v>1098</v>
      </c>
      <c r="L698" s="116">
        <v>1944.42</v>
      </c>
    </row>
    <row r="699" spans="1:12" hidden="1" outlineLevel="1" collapsed="1" x14ac:dyDescent="0.35">
      <c r="A699" s="112" t="s">
        <v>1185</v>
      </c>
      <c r="B699" s="112" t="s">
        <v>897</v>
      </c>
      <c r="C699" s="112" t="s">
        <v>1095</v>
      </c>
      <c r="D699" s="113">
        <v>10348451</v>
      </c>
      <c r="E699" s="115">
        <v>43949</v>
      </c>
      <c r="F699" s="114">
        <v>202101</v>
      </c>
      <c r="G699" s="112" t="s">
        <v>1091</v>
      </c>
      <c r="H699" s="112" t="s">
        <v>1015</v>
      </c>
      <c r="I699" s="112" t="s">
        <v>1116</v>
      </c>
      <c r="J699" s="112" t="s">
        <v>1203</v>
      </c>
      <c r="K699" s="112" t="s">
        <v>1098</v>
      </c>
      <c r="L699" s="116">
        <v>2981.92</v>
      </c>
    </row>
    <row r="700" spans="1:12" hidden="1" outlineLevel="1" collapsed="1" x14ac:dyDescent="0.35">
      <c r="A700" s="112" t="s">
        <v>1185</v>
      </c>
      <c r="B700" s="112" t="s">
        <v>897</v>
      </c>
      <c r="C700" s="112" t="s">
        <v>1095</v>
      </c>
      <c r="D700" s="113">
        <v>10348451</v>
      </c>
      <c r="E700" s="115">
        <v>43949</v>
      </c>
      <c r="F700" s="114">
        <v>202101</v>
      </c>
      <c r="G700" s="112" t="s">
        <v>1091</v>
      </c>
      <c r="H700" s="112" t="s">
        <v>1015</v>
      </c>
      <c r="I700" s="112" t="s">
        <v>1116</v>
      </c>
      <c r="J700" s="112" t="s">
        <v>1203</v>
      </c>
      <c r="K700" s="112" t="s">
        <v>1098</v>
      </c>
      <c r="L700" s="116">
        <v>2242.83</v>
      </c>
    </row>
    <row r="701" spans="1:12" hidden="1" outlineLevel="1" collapsed="1" x14ac:dyDescent="0.35">
      <c r="A701" s="112" t="s">
        <v>1185</v>
      </c>
      <c r="B701" s="112" t="s">
        <v>897</v>
      </c>
      <c r="C701" s="112" t="s">
        <v>1095</v>
      </c>
      <c r="D701" s="113">
        <v>10348451</v>
      </c>
      <c r="E701" s="115">
        <v>43949</v>
      </c>
      <c r="F701" s="114">
        <v>202101</v>
      </c>
      <c r="G701" s="112" t="s">
        <v>1091</v>
      </c>
      <c r="H701" s="112" t="s">
        <v>1015</v>
      </c>
      <c r="I701" s="112" t="s">
        <v>1116</v>
      </c>
      <c r="J701" s="112" t="s">
        <v>1203</v>
      </c>
      <c r="K701" s="112" t="s">
        <v>1098</v>
      </c>
      <c r="L701" s="116">
        <v>916.01</v>
      </c>
    </row>
    <row r="702" spans="1:12" hidden="1" outlineLevel="1" collapsed="1" x14ac:dyDescent="0.35">
      <c r="A702" s="112" t="s">
        <v>1185</v>
      </c>
      <c r="B702" s="112" t="s">
        <v>897</v>
      </c>
      <c r="C702" s="112" t="s">
        <v>1095</v>
      </c>
      <c r="D702" s="113">
        <v>10348451</v>
      </c>
      <c r="E702" s="115">
        <v>43949</v>
      </c>
      <c r="F702" s="114">
        <v>202101</v>
      </c>
      <c r="G702" s="112" t="s">
        <v>1091</v>
      </c>
      <c r="H702" s="112" t="s">
        <v>1015</v>
      </c>
      <c r="I702" s="112" t="s">
        <v>1116</v>
      </c>
      <c r="J702" s="112" t="s">
        <v>1203</v>
      </c>
      <c r="K702" s="112" t="s">
        <v>1098</v>
      </c>
      <c r="L702" s="116">
        <v>2259.5</v>
      </c>
    </row>
    <row r="703" spans="1:12" hidden="1" outlineLevel="1" collapsed="1" x14ac:dyDescent="0.35">
      <c r="A703" s="112" t="s">
        <v>1185</v>
      </c>
      <c r="B703" s="112" t="s">
        <v>897</v>
      </c>
      <c r="C703" s="112" t="s">
        <v>1095</v>
      </c>
      <c r="D703" s="113">
        <v>10348451</v>
      </c>
      <c r="E703" s="115">
        <v>43949</v>
      </c>
      <c r="F703" s="114">
        <v>202101</v>
      </c>
      <c r="G703" s="112" t="s">
        <v>1091</v>
      </c>
      <c r="H703" s="112" t="s">
        <v>1015</v>
      </c>
      <c r="I703" s="112" t="s">
        <v>1116</v>
      </c>
      <c r="J703" s="112" t="s">
        <v>1203</v>
      </c>
      <c r="K703" s="112" t="s">
        <v>1098</v>
      </c>
      <c r="L703" s="116">
        <v>2981.92</v>
      </c>
    </row>
    <row r="704" spans="1:12" hidden="1" outlineLevel="1" collapsed="1" x14ac:dyDescent="0.35">
      <c r="A704" s="112" t="s">
        <v>1185</v>
      </c>
      <c r="B704" s="112" t="s">
        <v>897</v>
      </c>
      <c r="C704" s="112" t="s">
        <v>1095</v>
      </c>
      <c r="D704" s="113">
        <v>10348451</v>
      </c>
      <c r="E704" s="115">
        <v>43949</v>
      </c>
      <c r="F704" s="114">
        <v>202101</v>
      </c>
      <c r="G704" s="112" t="s">
        <v>1091</v>
      </c>
      <c r="H704" s="112" t="s">
        <v>1015</v>
      </c>
      <c r="I704" s="112" t="s">
        <v>1116</v>
      </c>
      <c r="J704" s="112" t="s">
        <v>1203</v>
      </c>
      <c r="K704" s="112" t="s">
        <v>1098</v>
      </c>
      <c r="L704" s="116">
        <v>2631.25</v>
      </c>
    </row>
    <row r="705" spans="1:12" hidden="1" outlineLevel="1" collapsed="1" x14ac:dyDescent="0.35">
      <c r="A705" s="112" t="s">
        <v>1185</v>
      </c>
      <c r="B705" s="112" t="s">
        <v>897</v>
      </c>
      <c r="C705" s="112" t="s">
        <v>1095</v>
      </c>
      <c r="D705" s="113">
        <v>10348451</v>
      </c>
      <c r="E705" s="115">
        <v>43949</v>
      </c>
      <c r="F705" s="114">
        <v>202101</v>
      </c>
      <c r="G705" s="112" t="s">
        <v>1091</v>
      </c>
      <c r="H705" s="112" t="s">
        <v>1015</v>
      </c>
      <c r="I705" s="112" t="s">
        <v>1116</v>
      </c>
      <c r="J705" s="112" t="s">
        <v>1203</v>
      </c>
      <c r="K705" s="112" t="s">
        <v>1098</v>
      </c>
      <c r="L705" s="116">
        <v>2073.75</v>
      </c>
    </row>
    <row r="706" spans="1:12" hidden="1" outlineLevel="1" collapsed="1" x14ac:dyDescent="0.35">
      <c r="A706" s="112" t="s">
        <v>1185</v>
      </c>
      <c r="B706" s="112" t="s">
        <v>897</v>
      </c>
      <c r="C706" s="112" t="s">
        <v>1095</v>
      </c>
      <c r="D706" s="113">
        <v>10348451</v>
      </c>
      <c r="E706" s="115">
        <v>43949</v>
      </c>
      <c r="F706" s="114">
        <v>202101</v>
      </c>
      <c r="G706" s="112" t="s">
        <v>1091</v>
      </c>
      <c r="H706" s="112" t="s">
        <v>1015</v>
      </c>
      <c r="I706" s="112" t="s">
        <v>1116</v>
      </c>
      <c r="J706" s="112" t="s">
        <v>1203</v>
      </c>
      <c r="K706" s="112" t="s">
        <v>1098</v>
      </c>
      <c r="L706" s="116">
        <v>1892.67</v>
      </c>
    </row>
    <row r="707" spans="1:12" hidden="1" outlineLevel="1" collapsed="1" x14ac:dyDescent="0.35">
      <c r="A707" s="112" t="s">
        <v>1185</v>
      </c>
      <c r="B707" s="112" t="s">
        <v>897</v>
      </c>
      <c r="C707" s="112" t="s">
        <v>1095</v>
      </c>
      <c r="D707" s="113">
        <v>10348451</v>
      </c>
      <c r="E707" s="115">
        <v>43949</v>
      </c>
      <c r="F707" s="114">
        <v>202101</v>
      </c>
      <c r="G707" s="112" t="s">
        <v>1091</v>
      </c>
      <c r="H707" s="112" t="s">
        <v>1015</v>
      </c>
      <c r="I707" s="112" t="s">
        <v>1116</v>
      </c>
      <c r="J707" s="112" t="s">
        <v>1203</v>
      </c>
      <c r="K707" s="112" t="s">
        <v>1098</v>
      </c>
      <c r="L707" s="116">
        <v>1438.66</v>
      </c>
    </row>
    <row r="708" spans="1:12" hidden="1" outlineLevel="1" collapsed="1" x14ac:dyDescent="0.35">
      <c r="A708" s="112" t="s">
        <v>1185</v>
      </c>
      <c r="B708" s="112" t="s">
        <v>897</v>
      </c>
      <c r="C708" s="112" t="s">
        <v>1095</v>
      </c>
      <c r="D708" s="113">
        <v>10348451</v>
      </c>
      <c r="E708" s="115">
        <v>43949</v>
      </c>
      <c r="F708" s="114">
        <v>202101</v>
      </c>
      <c r="G708" s="112" t="s">
        <v>1091</v>
      </c>
      <c r="H708" s="112" t="s">
        <v>1015</v>
      </c>
      <c r="I708" s="112" t="s">
        <v>1116</v>
      </c>
      <c r="J708" s="112" t="s">
        <v>1203</v>
      </c>
      <c r="K708" s="112" t="s">
        <v>1098</v>
      </c>
      <c r="L708" s="116">
        <v>2059.5</v>
      </c>
    </row>
    <row r="709" spans="1:12" hidden="1" outlineLevel="1" collapsed="1" x14ac:dyDescent="0.35">
      <c r="A709" s="112" t="s">
        <v>1185</v>
      </c>
      <c r="B709" s="112" t="s">
        <v>897</v>
      </c>
      <c r="C709" s="112" t="s">
        <v>1095</v>
      </c>
      <c r="D709" s="113">
        <v>10348451</v>
      </c>
      <c r="E709" s="115">
        <v>43949</v>
      </c>
      <c r="F709" s="114">
        <v>202101</v>
      </c>
      <c r="G709" s="112" t="s">
        <v>1091</v>
      </c>
      <c r="H709" s="112" t="s">
        <v>1015</v>
      </c>
      <c r="I709" s="112" t="s">
        <v>1116</v>
      </c>
      <c r="J709" s="112" t="s">
        <v>1203</v>
      </c>
      <c r="K709" s="112" t="s">
        <v>1098</v>
      </c>
      <c r="L709" s="116">
        <v>1892.67</v>
      </c>
    </row>
    <row r="710" spans="1:12" hidden="1" outlineLevel="1" collapsed="1" x14ac:dyDescent="0.35">
      <c r="A710" s="112" t="s">
        <v>1185</v>
      </c>
      <c r="B710" s="112" t="s">
        <v>897</v>
      </c>
      <c r="C710" s="112" t="s">
        <v>1095</v>
      </c>
      <c r="D710" s="113">
        <v>10348451</v>
      </c>
      <c r="E710" s="115">
        <v>43949</v>
      </c>
      <c r="F710" s="114">
        <v>202101</v>
      </c>
      <c r="G710" s="112" t="s">
        <v>1091</v>
      </c>
      <c r="H710" s="112" t="s">
        <v>1015</v>
      </c>
      <c r="I710" s="112" t="s">
        <v>1116</v>
      </c>
      <c r="J710" s="112" t="s">
        <v>1203</v>
      </c>
      <c r="K710" s="112" t="s">
        <v>1098</v>
      </c>
      <c r="L710" s="116">
        <v>1671.75</v>
      </c>
    </row>
    <row r="711" spans="1:12" hidden="1" outlineLevel="1" collapsed="1" x14ac:dyDescent="0.35">
      <c r="A711" s="112" t="s">
        <v>1185</v>
      </c>
      <c r="B711" s="112" t="s">
        <v>897</v>
      </c>
      <c r="C711" s="112" t="s">
        <v>1095</v>
      </c>
      <c r="D711" s="113">
        <v>10348451</v>
      </c>
      <c r="E711" s="115">
        <v>43949</v>
      </c>
      <c r="F711" s="114">
        <v>202101</v>
      </c>
      <c r="G711" s="112" t="s">
        <v>1091</v>
      </c>
      <c r="H711" s="112" t="s">
        <v>1015</v>
      </c>
      <c r="I711" s="112" t="s">
        <v>1116</v>
      </c>
      <c r="J711" s="112" t="s">
        <v>1203</v>
      </c>
      <c r="K711" s="112" t="s">
        <v>1098</v>
      </c>
      <c r="L711" s="116">
        <v>1900.34</v>
      </c>
    </row>
    <row r="712" spans="1:12" hidden="1" outlineLevel="1" collapsed="1" x14ac:dyDescent="0.35">
      <c r="A712" s="112" t="s">
        <v>1185</v>
      </c>
      <c r="B712" s="112" t="s">
        <v>897</v>
      </c>
      <c r="C712" s="112" t="s">
        <v>1095</v>
      </c>
      <c r="D712" s="113">
        <v>10348451</v>
      </c>
      <c r="E712" s="115">
        <v>43949</v>
      </c>
      <c r="F712" s="114">
        <v>202101</v>
      </c>
      <c r="G712" s="112" t="s">
        <v>1091</v>
      </c>
      <c r="H712" s="112" t="s">
        <v>1015</v>
      </c>
      <c r="I712" s="112" t="s">
        <v>1116</v>
      </c>
      <c r="J712" s="112" t="s">
        <v>1203</v>
      </c>
      <c r="K712" s="112" t="s">
        <v>1098</v>
      </c>
      <c r="L712" s="116">
        <v>1229.71</v>
      </c>
    </row>
    <row r="713" spans="1:12" hidden="1" outlineLevel="1" collapsed="1" x14ac:dyDescent="0.35">
      <c r="A713" s="112" t="s">
        <v>1185</v>
      </c>
      <c r="B713" s="112" t="s">
        <v>897</v>
      </c>
      <c r="C713" s="112" t="s">
        <v>1095</v>
      </c>
      <c r="D713" s="113">
        <v>10348451</v>
      </c>
      <c r="E713" s="115">
        <v>43949</v>
      </c>
      <c r="F713" s="114">
        <v>202101</v>
      </c>
      <c r="G713" s="112" t="s">
        <v>1091</v>
      </c>
      <c r="H713" s="112" t="s">
        <v>1015</v>
      </c>
      <c r="I713" s="112" t="s">
        <v>1116</v>
      </c>
      <c r="J713" s="112" t="s">
        <v>1203</v>
      </c>
      <c r="K713" s="112" t="s">
        <v>1098</v>
      </c>
      <c r="L713" s="116">
        <v>1944.42</v>
      </c>
    </row>
    <row r="714" spans="1:12" hidden="1" outlineLevel="1" collapsed="1" x14ac:dyDescent="0.35">
      <c r="A714" s="112" t="s">
        <v>1185</v>
      </c>
      <c r="B714" s="112" t="s">
        <v>897</v>
      </c>
      <c r="C714" s="112" t="s">
        <v>1095</v>
      </c>
      <c r="D714" s="113">
        <v>10348451</v>
      </c>
      <c r="E714" s="115">
        <v>43949</v>
      </c>
      <c r="F714" s="114">
        <v>202101</v>
      </c>
      <c r="G714" s="112" t="s">
        <v>1091</v>
      </c>
      <c r="H714" s="112" t="s">
        <v>1015</v>
      </c>
      <c r="I714" s="112" t="s">
        <v>1116</v>
      </c>
      <c r="J714" s="112" t="s">
        <v>1203</v>
      </c>
      <c r="K714" s="112" t="s">
        <v>1098</v>
      </c>
      <c r="L714" s="116">
        <v>1944.42</v>
      </c>
    </row>
    <row r="715" spans="1:12" hidden="1" outlineLevel="1" collapsed="1" x14ac:dyDescent="0.35">
      <c r="A715" s="112" t="s">
        <v>1185</v>
      </c>
      <c r="B715" s="112" t="s">
        <v>897</v>
      </c>
      <c r="C715" s="112" t="s">
        <v>1095</v>
      </c>
      <c r="D715" s="113">
        <v>10348451</v>
      </c>
      <c r="E715" s="115">
        <v>43949</v>
      </c>
      <c r="F715" s="114">
        <v>202101</v>
      </c>
      <c r="G715" s="112" t="s">
        <v>1091</v>
      </c>
      <c r="H715" s="112" t="s">
        <v>1015</v>
      </c>
      <c r="I715" s="112" t="s">
        <v>1116</v>
      </c>
      <c r="J715" s="112" t="s">
        <v>1203</v>
      </c>
      <c r="K715" s="112" t="s">
        <v>1098</v>
      </c>
      <c r="L715" s="116">
        <v>2631.25</v>
      </c>
    </row>
    <row r="716" spans="1:12" hidden="1" outlineLevel="1" collapsed="1" x14ac:dyDescent="0.35">
      <c r="A716" s="112" t="s">
        <v>1185</v>
      </c>
      <c r="B716" s="112" t="s">
        <v>897</v>
      </c>
      <c r="C716" s="112" t="s">
        <v>1095</v>
      </c>
      <c r="D716" s="113">
        <v>10348451</v>
      </c>
      <c r="E716" s="115">
        <v>43949</v>
      </c>
      <c r="F716" s="114">
        <v>202101</v>
      </c>
      <c r="G716" s="112" t="s">
        <v>1091</v>
      </c>
      <c r="H716" s="112" t="s">
        <v>1015</v>
      </c>
      <c r="I716" s="112" t="s">
        <v>1116</v>
      </c>
      <c r="J716" s="112" t="s">
        <v>1203</v>
      </c>
      <c r="K716" s="112" t="s">
        <v>1098</v>
      </c>
      <c r="L716" s="116">
        <v>1807.6</v>
      </c>
    </row>
    <row r="717" spans="1:12" hidden="1" outlineLevel="1" collapsed="1" x14ac:dyDescent="0.35">
      <c r="A717" s="112" t="s">
        <v>1185</v>
      </c>
      <c r="B717" s="112" t="s">
        <v>897</v>
      </c>
      <c r="C717" s="112" t="s">
        <v>1095</v>
      </c>
      <c r="D717" s="113">
        <v>10348451</v>
      </c>
      <c r="E717" s="115">
        <v>43949</v>
      </c>
      <c r="F717" s="114">
        <v>202101</v>
      </c>
      <c r="G717" s="112" t="s">
        <v>1091</v>
      </c>
      <c r="H717" s="112" t="s">
        <v>1015</v>
      </c>
      <c r="I717" s="112" t="s">
        <v>1116</v>
      </c>
      <c r="J717" s="112" t="s">
        <v>1203</v>
      </c>
      <c r="K717" s="112" t="s">
        <v>1098</v>
      </c>
      <c r="L717" s="116">
        <v>3391.33</v>
      </c>
    </row>
    <row r="718" spans="1:12" hidden="1" outlineLevel="1" collapsed="1" x14ac:dyDescent="0.35">
      <c r="A718" s="112" t="s">
        <v>1185</v>
      </c>
      <c r="B718" s="112" t="s">
        <v>896</v>
      </c>
      <c r="C718" s="112" t="s">
        <v>695</v>
      </c>
      <c r="D718" s="113">
        <v>10348146</v>
      </c>
      <c r="E718" s="115">
        <v>43930</v>
      </c>
      <c r="F718" s="114">
        <v>202101</v>
      </c>
      <c r="G718" s="112" t="s">
        <v>1091</v>
      </c>
      <c r="H718" s="112" t="s">
        <v>1015</v>
      </c>
      <c r="I718" s="112" t="s">
        <v>767</v>
      </c>
      <c r="J718" s="112" t="s">
        <v>1195</v>
      </c>
      <c r="K718" s="112" t="s">
        <v>1372</v>
      </c>
      <c r="L718" s="116">
        <v>1991.31</v>
      </c>
    </row>
    <row r="719" spans="1:12" hidden="1" outlineLevel="1" collapsed="1" x14ac:dyDescent="0.35">
      <c r="A719" s="112" t="s">
        <v>1185</v>
      </c>
      <c r="B719" s="112" t="s">
        <v>896</v>
      </c>
      <c r="C719" s="112" t="s">
        <v>695</v>
      </c>
      <c r="D719" s="113">
        <v>10348146</v>
      </c>
      <c r="E719" s="115">
        <v>43930</v>
      </c>
      <c r="F719" s="114">
        <v>202101</v>
      </c>
      <c r="G719" s="112" t="s">
        <v>1091</v>
      </c>
      <c r="H719" s="112" t="s">
        <v>1015</v>
      </c>
      <c r="I719" s="112" t="s">
        <v>767</v>
      </c>
      <c r="J719" s="112" t="s">
        <v>1195</v>
      </c>
      <c r="K719" s="112" t="s">
        <v>1365</v>
      </c>
      <c r="L719" s="116">
        <v>5372.01</v>
      </c>
    </row>
    <row r="720" spans="1:12" hidden="1" outlineLevel="1" collapsed="1" x14ac:dyDescent="0.35">
      <c r="A720" s="112" t="s">
        <v>1185</v>
      </c>
      <c r="B720" s="112" t="s">
        <v>896</v>
      </c>
      <c r="C720" s="112" t="s">
        <v>695</v>
      </c>
      <c r="D720" s="113">
        <v>10348146</v>
      </c>
      <c r="E720" s="115">
        <v>43930</v>
      </c>
      <c r="F720" s="114">
        <v>202101</v>
      </c>
      <c r="G720" s="112" t="s">
        <v>1091</v>
      </c>
      <c r="H720" s="112" t="s">
        <v>1015</v>
      </c>
      <c r="I720" s="112" t="s">
        <v>767</v>
      </c>
      <c r="J720" s="112" t="s">
        <v>1195</v>
      </c>
      <c r="K720" s="112" t="s">
        <v>1373</v>
      </c>
      <c r="L720" s="116">
        <v>-8994.58</v>
      </c>
    </row>
    <row r="721" spans="1:12" hidden="1" outlineLevel="1" collapsed="1" x14ac:dyDescent="0.35">
      <c r="A721" s="112" t="s">
        <v>1185</v>
      </c>
      <c r="B721" s="112" t="s">
        <v>898</v>
      </c>
      <c r="C721" s="112" t="s">
        <v>695</v>
      </c>
      <c r="D721" s="113">
        <v>10348146</v>
      </c>
      <c r="E721" s="115">
        <v>43930</v>
      </c>
      <c r="F721" s="114">
        <v>202101</v>
      </c>
      <c r="G721" s="112" t="s">
        <v>1091</v>
      </c>
      <c r="H721" s="112" t="s">
        <v>1015</v>
      </c>
      <c r="I721" s="112" t="s">
        <v>1102</v>
      </c>
      <c r="J721" s="112" t="s">
        <v>1213</v>
      </c>
      <c r="K721" s="112" t="s">
        <v>1374</v>
      </c>
      <c r="L721" s="116">
        <v>-776.71</v>
      </c>
    </row>
    <row r="722" spans="1:12" hidden="1" outlineLevel="1" collapsed="1" x14ac:dyDescent="0.35">
      <c r="A722" s="112" t="s">
        <v>1185</v>
      </c>
      <c r="B722" s="112" t="s">
        <v>896</v>
      </c>
      <c r="C722" s="112" t="s">
        <v>695</v>
      </c>
      <c r="D722" s="113">
        <v>10348146</v>
      </c>
      <c r="E722" s="115">
        <v>43930</v>
      </c>
      <c r="F722" s="114">
        <v>202101</v>
      </c>
      <c r="G722" s="112" t="s">
        <v>1091</v>
      </c>
      <c r="H722" s="112" t="s">
        <v>1015</v>
      </c>
      <c r="I722" s="112" t="s">
        <v>767</v>
      </c>
      <c r="J722" s="112" t="s">
        <v>1195</v>
      </c>
      <c r="K722" s="112" t="s">
        <v>1375</v>
      </c>
      <c r="L722" s="116">
        <v>7015.3</v>
      </c>
    </row>
    <row r="723" spans="1:12" hidden="1" outlineLevel="1" collapsed="1" x14ac:dyDescent="0.35">
      <c r="A723" s="112" t="s">
        <v>1185</v>
      </c>
      <c r="B723" s="112" t="s">
        <v>896</v>
      </c>
      <c r="C723" s="112" t="s">
        <v>695</v>
      </c>
      <c r="D723" s="113">
        <v>10348146</v>
      </c>
      <c r="E723" s="115">
        <v>43930</v>
      </c>
      <c r="F723" s="114">
        <v>202101</v>
      </c>
      <c r="G723" s="112" t="s">
        <v>1091</v>
      </c>
      <c r="H723" s="112" t="s">
        <v>1015</v>
      </c>
      <c r="I723" s="112" t="s">
        <v>767</v>
      </c>
      <c r="J723" s="112" t="s">
        <v>1195</v>
      </c>
      <c r="K723" s="112" t="s">
        <v>1376</v>
      </c>
      <c r="L723" s="116">
        <v>2700</v>
      </c>
    </row>
    <row r="724" spans="1:12" hidden="1" outlineLevel="1" collapsed="1" x14ac:dyDescent="0.35">
      <c r="A724" s="112" t="s">
        <v>1185</v>
      </c>
      <c r="B724" s="112" t="s">
        <v>896</v>
      </c>
      <c r="C724" s="112" t="s">
        <v>695</v>
      </c>
      <c r="D724" s="113">
        <v>10348146</v>
      </c>
      <c r="E724" s="115">
        <v>43930</v>
      </c>
      <c r="F724" s="114">
        <v>202101</v>
      </c>
      <c r="G724" s="112" t="s">
        <v>1091</v>
      </c>
      <c r="H724" s="112" t="s">
        <v>1015</v>
      </c>
      <c r="I724" s="112" t="s">
        <v>767</v>
      </c>
      <c r="J724" s="112" t="s">
        <v>1195</v>
      </c>
      <c r="K724" s="112" t="s">
        <v>1343</v>
      </c>
      <c r="L724" s="116">
        <v>1738.36</v>
      </c>
    </row>
    <row r="725" spans="1:12" hidden="1" outlineLevel="1" collapsed="1" x14ac:dyDescent="0.35">
      <c r="A725" s="112" t="s">
        <v>1185</v>
      </c>
      <c r="B725" s="112" t="s">
        <v>898</v>
      </c>
      <c r="C725" s="112" t="s">
        <v>1095</v>
      </c>
      <c r="D725" s="113">
        <v>10348451</v>
      </c>
      <c r="E725" s="115">
        <v>43949</v>
      </c>
      <c r="F725" s="114">
        <v>202101</v>
      </c>
      <c r="G725" s="112" t="s">
        <v>1091</v>
      </c>
      <c r="H725" s="112" t="s">
        <v>1015</v>
      </c>
      <c r="I725" s="112" t="s">
        <v>1116</v>
      </c>
      <c r="J725" s="112" t="s">
        <v>1200</v>
      </c>
      <c r="K725" s="112" t="s">
        <v>1098</v>
      </c>
      <c r="L725" s="116">
        <v>2981.92</v>
      </c>
    </row>
    <row r="726" spans="1:12" hidden="1" outlineLevel="1" collapsed="1" x14ac:dyDescent="0.35">
      <c r="A726" s="112" t="s">
        <v>1185</v>
      </c>
      <c r="B726" s="112" t="s">
        <v>895</v>
      </c>
      <c r="C726" s="112" t="s">
        <v>1095</v>
      </c>
      <c r="D726" s="113">
        <v>10348451</v>
      </c>
      <c r="E726" s="115">
        <v>43949</v>
      </c>
      <c r="F726" s="114">
        <v>202101</v>
      </c>
      <c r="G726" s="112" t="s">
        <v>1091</v>
      </c>
      <c r="H726" s="112" t="s">
        <v>1015</v>
      </c>
      <c r="I726" s="112" t="s">
        <v>1116</v>
      </c>
      <c r="J726" s="112" t="s">
        <v>1239</v>
      </c>
      <c r="K726" s="112" t="s">
        <v>1098</v>
      </c>
      <c r="L726" s="116">
        <v>2229.4</v>
      </c>
    </row>
    <row r="727" spans="1:12" hidden="1" outlineLevel="1" collapsed="1" x14ac:dyDescent="0.35">
      <c r="A727" s="112" t="s">
        <v>1185</v>
      </c>
      <c r="B727" s="112" t="s">
        <v>898</v>
      </c>
      <c r="C727" s="112" t="s">
        <v>1095</v>
      </c>
      <c r="D727" s="113">
        <v>10348451</v>
      </c>
      <c r="E727" s="115">
        <v>43949</v>
      </c>
      <c r="F727" s="114">
        <v>202101</v>
      </c>
      <c r="G727" s="112" t="s">
        <v>1091</v>
      </c>
      <c r="H727" s="112" t="s">
        <v>1015</v>
      </c>
      <c r="I727" s="112" t="s">
        <v>1116</v>
      </c>
      <c r="J727" s="112" t="s">
        <v>1213</v>
      </c>
      <c r="K727" s="112" t="s">
        <v>1098</v>
      </c>
      <c r="L727" s="116">
        <v>1606.59</v>
      </c>
    </row>
    <row r="728" spans="1:12" hidden="1" outlineLevel="1" collapsed="1" x14ac:dyDescent="0.35">
      <c r="A728" s="112" t="s">
        <v>1185</v>
      </c>
      <c r="B728" s="112" t="s">
        <v>896</v>
      </c>
      <c r="C728" s="112" t="s">
        <v>695</v>
      </c>
      <c r="D728" s="113">
        <v>10348146</v>
      </c>
      <c r="E728" s="115">
        <v>43930</v>
      </c>
      <c r="F728" s="114">
        <v>202101</v>
      </c>
      <c r="G728" s="112" t="s">
        <v>1091</v>
      </c>
      <c r="H728" s="112" t="s">
        <v>1015</v>
      </c>
      <c r="I728" s="112" t="s">
        <v>767</v>
      </c>
      <c r="J728" s="112" t="s">
        <v>1195</v>
      </c>
      <c r="K728" s="112" t="s">
        <v>1377</v>
      </c>
      <c r="L728" s="116">
        <v>-1188.8900000000001</v>
      </c>
    </row>
    <row r="729" spans="1:12" hidden="1" outlineLevel="1" collapsed="1" x14ac:dyDescent="0.35">
      <c r="A729" s="112" t="s">
        <v>1185</v>
      </c>
      <c r="B729" s="112" t="s">
        <v>896</v>
      </c>
      <c r="C729" s="112" t="s">
        <v>695</v>
      </c>
      <c r="D729" s="113">
        <v>10348146</v>
      </c>
      <c r="E729" s="115">
        <v>43930</v>
      </c>
      <c r="F729" s="114">
        <v>202101</v>
      </c>
      <c r="G729" s="112" t="s">
        <v>1091</v>
      </c>
      <c r="H729" s="112" t="s">
        <v>1015</v>
      </c>
      <c r="I729" s="112" t="s">
        <v>767</v>
      </c>
      <c r="J729" s="112" t="s">
        <v>1195</v>
      </c>
      <c r="K729" s="112" t="s">
        <v>1378</v>
      </c>
      <c r="L729" s="116">
        <v>3500</v>
      </c>
    </row>
    <row r="730" spans="1:12" hidden="1" outlineLevel="1" collapsed="1" x14ac:dyDescent="0.35">
      <c r="A730" s="112" t="s">
        <v>1185</v>
      </c>
      <c r="B730" s="112" t="s">
        <v>896</v>
      </c>
      <c r="C730" s="112" t="s">
        <v>695</v>
      </c>
      <c r="D730" s="113">
        <v>10348146</v>
      </c>
      <c r="E730" s="115">
        <v>43930</v>
      </c>
      <c r="F730" s="114">
        <v>202101</v>
      </c>
      <c r="G730" s="112" t="s">
        <v>1091</v>
      </c>
      <c r="H730" s="112" t="s">
        <v>1015</v>
      </c>
      <c r="I730" s="112" t="s">
        <v>767</v>
      </c>
      <c r="J730" s="112" t="s">
        <v>1195</v>
      </c>
      <c r="K730" s="112" t="s">
        <v>1379</v>
      </c>
      <c r="L730" s="116">
        <v>41395.01</v>
      </c>
    </row>
    <row r="731" spans="1:12" hidden="1" outlineLevel="1" collapsed="1" x14ac:dyDescent="0.35">
      <c r="A731" s="112" t="s">
        <v>1185</v>
      </c>
      <c r="B731" s="112" t="s">
        <v>896</v>
      </c>
      <c r="C731" s="112" t="s">
        <v>695</v>
      </c>
      <c r="D731" s="113">
        <v>10348146</v>
      </c>
      <c r="E731" s="115">
        <v>43930</v>
      </c>
      <c r="F731" s="114">
        <v>202101</v>
      </c>
      <c r="G731" s="112" t="s">
        <v>1091</v>
      </c>
      <c r="H731" s="112" t="s">
        <v>1015</v>
      </c>
      <c r="I731" s="112" t="s">
        <v>767</v>
      </c>
      <c r="J731" s="112" t="s">
        <v>1195</v>
      </c>
      <c r="K731" s="112" t="s">
        <v>1380</v>
      </c>
      <c r="L731" s="116">
        <v>6044.57</v>
      </c>
    </row>
    <row r="732" spans="1:12" hidden="1" outlineLevel="1" collapsed="1" x14ac:dyDescent="0.35">
      <c r="A732" s="112" t="s">
        <v>1185</v>
      </c>
      <c r="B732" s="112" t="s">
        <v>896</v>
      </c>
      <c r="C732" s="112" t="s">
        <v>695</v>
      </c>
      <c r="D732" s="113">
        <v>10348146</v>
      </c>
      <c r="E732" s="115">
        <v>43930</v>
      </c>
      <c r="F732" s="114">
        <v>202101</v>
      </c>
      <c r="G732" s="112" t="s">
        <v>1091</v>
      </c>
      <c r="H732" s="112" t="s">
        <v>1015</v>
      </c>
      <c r="I732" s="112" t="s">
        <v>767</v>
      </c>
      <c r="J732" s="112" t="s">
        <v>1195</v>
      </c>
      <c r="K732" s="112" t="s">
        <v>1381</v>
      </c>
      <c r="L732" s="116">
        <v>7959.37</v>
      </c>
    </row>
    <row r="733" spans="1:12" hidden="1" outlineLevel="1" collapsed="1" x14ac:dyDescent="0.35">
      <c r="A733" s="112" t="s">
        <v>1185</v>
      </c>
      <c r="B733" s="112" t="s">
        <v>896</v>
      </c>
      <c r="C733" s="112" t="s">
        <v>695</v>
      </c>
      <c r="D733" s="113">
        <v>10348146</v>
      </c>
      <c r="E733" s="115">
        <v>43930</v>
      </c>
      <c r="F733" s="114">
        <v>202101</v>
      </c>
      <c r="G733" s="112" t="s">
        <v>1091</v>
      </c>
      <c r="H733" s="112" t="s">
        <v>1015</v>
      </c>
      <c r="I733" s="112" t="s">
        <v>767</v>
      </c>
      <c r="J733" s="112" t="s">
        <v>1195</v>
      </c>
      <c r="K733" s="112" t="s">
        <v>1382</v>
      </c>
      <c r="L733" s="116">
        <v>23581.49</v>
      </c>
    </row>
    <row r="734" spans="1:12" hidden="1" outlineLevel="1" collapsed="1" x14ac:dyDescent="0.35">
      <c r="A734" s="112" t="s">
        <v>1185</v>
      </c>
      <c r="B734" s="112" t="s">
        <v>896</v>
      </c>
      <c r="C734" s="112" t="s">
        <v>695</v>
      </c>
      <c r="D734" s="113">
        <v>10348146</v>
      </c>
      <c r="E734" s="115">
        <v>43930</v>
      </c>
      <c r="F734" s="114">
        <v>202101</v>
      </c>
      <c r="G734" s="112" t="s">
        <v>1091</v>
      </c>
      <c r="H734" s="112" t="s">
        <v>1015</v>
      </c>
      <c r="I734" s="112" t="s">
        <v>767</v>
      </c>
      <c r="J734" s="112" t="s">
        <v>1195</v>
      </c>
      <c r="K734" s="112" t="s">
        <v>1383</v>
      </c>
      <c r="L734" s="116">
        <v>11952.26</v>
      </c>
    </row>
    <row r="735" spans="1:12" hidden="1" outlineLevel="1" collapsed="1" x14ac:dyDescent="0.35">
      <c r="A735" s="112" t="s">
        <v>1185</v>
      </c>
      <c r="B735" s="112" t="s">
        <v>896</v>
      </c>
      <c r="C735" s="112" t="s">
        <v>695</v>
      </c>
      <c r="D735" s="113">
        <v>10348146</v>
      </c>
      <c r="E735" s="115">
        <v>43930</v>
      </c>
      <c r="F735" s="114">
        <v>202101</v>
      </c>
      <c r="G735" s="112" t="s">
        <v>1091</v>
      </c>
      <c r="H735" s="112" t="s">
        <v>1015</v>
      </c>
      <c r="I735" s="112" t="s">
        <v>767</v>
      </c>
      <c r="J735" s="112" t="s">
        <v>1195</v>
      </c>
      <c r="K735" s="112" t="s">
        <v>1384</v>
      </c>
      <c r="L735" s="116">
        <v>2046.3</v>
      </c>
    </row>
    <row r="736" spans="1:12" hidden="1" outlineLevel="1" collapsed="1" x14ac:dyDescent="0.35">
      <c r="A736" s="112" t="s">
        <v>1185</v>
      </c>
      <c r="B736" s="112" t="s">
        <v>896</v>
      </c>
      <c r="C736" s="112" t="s">
        <v>695</v>
      </c>
      <c r="D736" s="113">
        <v>10348146</v>
      </c>
      <c r="E736" s="115">
        <v>43930</v>
      </c>
      <c r="F736" s="114">
        <v>202101</v>
      </c>
      <c r="G736" s="112" t="s">
        <v>1091</v>
      </c>
      <c r="H736" s="112" t="s">
        <v>1015</v>
      </c>
      <c r="I736" s="112" t="s">
        <v>767</v>
      </c>
      <c r="J736" s="112" t="s">
        <v>1195</v>
      </c>
      <c r="K736" s="112" t="s">
        <v>1385</v>
      </c>
      <c r="L736" s="116">
        <v>30631</v>
      </c>
    </row>
    <row r="737" spans="1:12" hidden="1" outlineLevel="1" collapsed="1" x14ac:dyDescent="0.35">
      <c r="A737" s="112" t="s">
        <v>1185</v>
      </c>
      <c r="B737" s="112" t="s">
        <v>896</v>
      </c>
      <c r="C737" s="112" t="s">
        <v>695</v>
      </c>
      <c r="D737" s="113">
        <v>10348146</v>
      </c>
      <c r="E737" s="115">
        <v>43930</v>
      </c>
      <c r="F737" s="114">
        <v>202101</v>
      </c>
      <c r="G737" s="112" t="s">
        <v>1091</v>
      </c>
      <c r="H737" s="112" t="s">
        <v>1015</v>
      </c>
      <c r="I737" s="112" t="s">
        <v>767</v>
      </c>
      <c r="J737" s="112" t="s">
        <v>1195</v>
      </c>
      <c r="K737" s="112" t="s">
        <v>1386</v>
      </c>
      <c r="L737" s="116">
        <v>75000</v>
      </c>
    </row>
    <row r="738" spans="1:12" hidden="1" outlineLevel="1" collapsed="1" x14ac:dyDescent="0.35">
      <c r="A738" s="112" t="s">
        <v>1185</v>
      </c>
      <c r="B738" s="112" t="s">
        <v>896</v>
      </c>
      <c r="C738" s="112" t="s">
        <v>695</v>
      </c>
      <c r="D738" s="113">
        <v>10348146</v>
      </c>
      <c r="E738" s="115">
        <v>43930</v>
      </c>
      <c r="F738" s="114">
        <v>202101</v>
      </c>
      <c r="G738" s="112" t="s">
        <v>1091</v>
      </c>
      <c r="H738" s="112" t="s">
        <v>1015</v>
      </c>
      <c r="I738" s="112" t="s">
        <v>767</v>
      </c>
      <c r="J738" s="112" t="s">
        <v>1195</v>
      </c>
      <c r="K738" s="112" t="s">
        <v>1387</v>
      </c>
      <c r="L738" s="116">
        <v>984</v>
      </c>
    </row>
    <row r="739" spans="1:12" hidden="1" outlineLevel="1" collapsed="1" x14ac:dyDescent="0.35">
      <c r="A739" s="112" t="s">
        <v>1185</v>
      </c>
      <c r="B739" s="112" t="s">
        <v>896</v>
      </c>
      <c r="C739" s="112" t="s">
        <v>695</v>
      </c>
      <c r="D739" s="113">
        <v>10348146</v>
      </c>
      <c r="E739" s="115">
        <v>43930</v>
      </c>
      <c r="F739" s="114">
        <v>202101</v>
      </c>
      <c r="G739" s="112" t="s">
        <v>1091</v>
      </c>
      <c r="H739" s="112" t="s">
        <v>1015</v>
      </c>
      <c r="I739" s="112" t="s">
        <v>767</v>
      </c>
      <c r="J739" s="112" t="s">
        <v>1195</v>
      </c>
      <c r="K739" s="112" t="s">
        <v>1388</v>
      </c>
      <c r="L739" s="116">
        <v>868</v>
      </c>
    </row>
    <row r="740" spans="1:12" hidden="1" outlineLevel="1" collapsed="1" x14ac:dyDescent="0.35">
      <c r="A740" s="112" t="s">
        <v>1185</v>
      </c>
      <c r="B740" s="112" t="s">
        <v>896</v>
      </c>
      <c r="C740" s="112" t="s">
        <v>695</v>
      </c>
      <c r="D740" s="113">
        <v>10348146</v>
      </c>
      <c r="E740" s="115">
        <v>43930</v>
      </c>
      <c r="F740" s="114">
        <v>202101</v>
      </c>
      <c r="G740" s="112" t="s">
        <v>1091</v>
      </c>
      <c r="H740" s="112" t="s">
        <v>1015</v>
      </c>
      <c r="I740" s="112" t="s">
        <v>767</v>
      </c>
      <c r="J740" s="112" t="s">
        <v>1195</v>
      </c>
      <c r="K740" s="112" t="s">
        <v>1364</v>
      </c>
      <c r="L740" s="116">
        <v>-535.65</v>
      </c>
    </row>
    <row r="741" spans="1:12" hidden="1" outlineLevel="1" collapsed="1" x14ac:dyDescent="0.35">
      <c r="A741" s="112" t="s">
        <v>1185</v>
      </c>
      <c r="B741" s="112" t="s">
        <v>896</v>
      </c>
      <c r="C741" s="112" t="s">
        <v>695</v>
      </c>
      <c r="D741" s="113">
        <v>10348146</v>
      </c>
      <c r="E741" s="115">
        <v>43930</v>
      </c>
      <c r="F741" s="114">
        <v>202101</v>
      </c>
      <c r="G741" s="112" t="s">
        <v>1091</v>
      </c>
      <c r="H741" s="112" t="s">
        <v>1015</v>
      </c>
      <c r="I741" s="112" t="s">
        <v>767</v>
      </c>
      <c r="J741" s="112" t="s">
        <v>1195</v>
      </c>
      <c r="K741" s="112" t="s">
        <v>1389</v>
      </c>
      <c r="L741" s="116">
        <v>-2951.37</v>
      </c>
    </row>
    <row r="742" spans="1:12" hidden="1" outlineLevel="1" collapsed="1" x14ac:dyDescent="0.35">
      <c r="A742" s="112" t="s">
        <v>1185</v>
      </c>
      <c r="B742" s="112" t="s">
        <v>896</v>
      </c>
      <c r="C742" s="112" t="s">
        <v>695</v>
      </c>
      <c r="D742" s="113">
        <v>10348146</v>
      </c>
      <c r="E742" s="115">
        <v>43930</v>
      </c>
      <c r="F742" s="114">
        <v>202101</v>
      </c>
      <c r="G742" s="112" t="s">
        <v>1091</v>
      </c>
      <c r="H742" s="112" t="s">
        <v>1015</v>
      </c>
      <c r="I742" s="112" t="s">
        <v>767</v>
      </c>
      <c r="J742" s="112" t="s">
        <v>1195</v>
      </c>
      <c r="K742" s="112" t="s">
        <v>1390</v>
      </c>
      <c r="L742" s="116">
        <v>3680</v>
      </c>
    </row>
    <row r="743" spans="1:12" hidden="1" outlineLevel="1" collapsed="1" x14ac:dyDescent="0.35">
      <c r="A743" s="112" t="s">
        <v>1185</v>
      </c>
      <c r="B743" s="112" t="s">
        <v>896</v>
      </c>
      <c r="C743" s="112" t="s">
        <v>695</v>
      </c>
      <c r="D743" s="113">
        <v>10348146</v>
      </c>
      <c r="E743" s="115">
        <v>43930</v>
      </c>
      <c r="F743" s="114">
        <v>202101</v>
      </c>
      <c r="G743" s="112" t="s">
        <v>1091</v>
      </c>
      <c r="H743" s="112" t="s">
        <v>1015</v>
      </c>
      <c r="I743" s="112" t="s">
        <v>767</v>
      </c>
      <c r="J743" s="112" t="s">
        <v>1195</v>
      </c>
      <c r="K743" s="112" t="s">
        <v>1391</v>
      </c>
      <c r="L743" s="116">
        <v>-30715.15</v>
      </c>
    </row>
    <row r="744" spans="1:12" hidden="1" outlineLevel="1" collapsed="1" x14ac:dyDescent="0.35">
      <c r="A744" s="112" t="s">
        <v>1185</v>
      </c>
      <c r="B744" s="112" t="s">
        <v>896</v>
      </c>
      <c r="C744" s="112" t="s">
        <v>695</v>
      </c>
      <c r="D744" s="113">
        <v>10348146</v>
      </c>
      <c r="E744" s="115">
        <v>43930</v>
      </c>
      <c r="F744" s="114">
        <v>202101</v>
      </c>
      <c r="G744" s="112" t="s">
        <v>1091</v>
      </c>
      <c r="H744" s="112" t="s">
        <v>1015</v>
      </c>
      <c r="I744" s="112" t="s">
        <v>767</v>
      </c>
      <c r="J744" s="112" t="s">
        <v>1195</v>
      </c>
      <c r="K744" s="112" t="s">
        <v>1392</v>
      </c>
      <c r="L744" s="116">
        <v>-610</v>
      </c>
    </row>
    <row r="745" spans="1:12" hidden="1" outlineLevel="1" collapsed="1" x14ac:dyDescent="0.35">
      <c r="A745" s="112" t="s">
        <v>1185</v>
      </c>
      <c r="B745" s="112" t="s">
        <v>896</v>
      </c>
      <c r="C745" s="112" t="s">
        <v>695</v>
      </c>
      <c r="D745" s="113">
        <v>10348146</v>
      </c>
      <c r="E745" s="115">
        <v>43930</v>
      </c>
      <c r="F745" s="114">
        <v>202101</v>
      </c>
      <c r="G745" s="112" t="s">
        <v>1091</v>
      </c>
      <c r="H745" s="112" t="s">
        <v>1015</v>
      </c>
      <c r="I745" s="112" t="s">
        <v>767</v>
      </c>
      <c r="J745" s="112" t="s">
        <v>1195</v>
      </c>
      <c r="K745" s="112" t="s">
        <v>1393</v>
      </c>
      <c r="L745" s="116">
        <v>-5171.51</v>
      </c>
    </row>
    <row r="746" spans="1:12" hidden="1" outlineLevel="1" collapsed="1" x14ac:dyDescent="0.35">
      <c r="A746" s="112" t="s">
        <v>1185</v>
      </c>
      <c r="B746" s="112" t="s">
        <v>896</v>
      </c>
      <c r="C746" s="112" t="s">
        <v>695</v>
      </c>
      <c r="D746" s="113">
        <v>10348146</v>
      </c>
      <c r="E746" s="115">
        <v>43930</v>
      </c>
      <c r="F746" s="114">
        <v>202101</v>
      </c>
      <c r="G746" s="112" t="s">
        <v>1091</v>
      </c>
      <c r="H746" s="112" t="s">
        <v>1015</v>
      </c>
      <c r="I746" s="112" t="s">
        <v>767</v>
      </c>
      <c r="J746" s="112" t="s">
        <v>1195</v>
      </c>
      <c r="K746" s="112" t="s">
        <v>1394</v>
      </c>
      <c r="L746" s="116">
        <v>1450.4</v>
      </c>
    </row>
    <row r="747" spans="1:12" hidden="1" outlineLevel="1" collapsed="1" x14ac:dyDescent="0.35">
      <c r="A747" s="112" t="s">
        <v>1185</v>
      </c>
      <c r="B747" s="112" t="s">
        <v>896</v>
      </c>
      <c r="C747" s="112" t="s">
        <v>695</v>
      </c>
      <c r="D747" s="113">
        <v>10348146</v>
      </c>
      <c r="E747" s="115">
        <v>43930</v>
      </c>
      <c r="F747" s="114">
        <v>202101</v>
      </c>
      <c r="G747" s="112" t="s">
        <v>1091</v>
      </c>
      <c r="H747" s="112" t="s">
        <v>1015</v>
      </c>
      <c r="I747" s="112" t="s">
        <v>767</v>
      </c>
      <c r="J747" s="112" t="s">
        <v>1195</v>
      </c>
      <c r="K747" s="112" t="s">
        <v>1392</v>
      </c>
      <c r="L747" s="116">
        <v>610</v>
      </c>
    </row>
    <row r="748" spans="1:12" hidden="1" outlineLevel="1" collapsed="1" x14ac:dyDescent="0.35">
      <c r="A748" s="112" t="s">
        <v>1185</v>
      </c>
      <c r="B748" s="112" t="s">
        <v>896</v>
      </c>
      <c r="C748" s="112" t="s">
        <v>695</v>
      </c>
      <c r="D748" s="113">
        <v>10348146</v>
      </c>
      <c r="E748" s="115">
        <v>43930</v>
      </c>
      <c r="F748" s="114">
        <v>202101</v>
      </c>
      <c r="G748" s="112" t="s">
        <v>1091</v>
      </c>
      <c r="H748" s="112" t="s">
        <v>1015</v>
      </c>
      <c r="I748" s="112" t="s">
        <v>767</v>
      </c>
      <c r="J748" s="112" t="s">
        <v>1195</v>
      </c>
      <c r="K748" s="112" t="s">
        <v>1393</v>
      </c>
      <c r="L748" s="116">
        <v>5171.51</v>
      </c>
    </row>
    <row r="749" spans="1:12" hidden="1" outlineLevel="1" collapsed="1" x14ac:dyDescent="0.35">
      <c r="A749" s="112" t="s">
        <v>1185</v>
      </c>
      <c r="B749" s="112" t="s">
        <v>896</v>
      </c>
      <c r="C749" s="112" t="s">
        <v>695</v>
      </c>
      <c r="D749" s="113">
        <v>10348146</v>
      </c>
      <c r="E749" s="115">
        <v>43930</v>
      </c>
      <c r="F749" s="114">
        <v>202101</v>
      </c>
      <c r="G749" s="112" t="s">
        <v>1091</v>
      </c>
      <c r="H749" s="112" t="s">
        <v>1015</v>
      </c>
      <c r="I749" s="112" t="s">
        <v>767</v>
      </c>
      <c r="J749" s="112" t="s">
        <v>1195</v>
      </c>
      <c r="K749" s="112" t="s">
        <v>1395</v>
      </c>
      <c r="L749" s="116">
        <v>3179.45</v>
      </c>
    </row>
    <row r="750" spans="1:12" hidden="1" outlineLevel="1" collapsed="1" x14ac:dyDescent="0.35">
      <c r="A750" s="112" t="s">
        <v>1185</v>
      </c>
      <c r="B750" s="112" t="s">
        <v>896</v>
      </c>
      <c r="C750" s="112" t="s">
        <v>695</v>
      </c>
      <c r="D750" s="113">
        <v>10348146</v>
      </c>
      <c r="E750" s="115">
        <v>43930</v>
      </c>
      <c r="F750" s="114">
        <v>202101</v>
      </c>
      <c r="G750" s="112" t="s">
        <v>1091</v>
      </c>
      <c r="H750" s="112" t="s">
        <v>1015</v>
      </c>
      <c r="I750" s="112" t="s">
        <v>767</v>
      </c>
      <c r="J750" s="112" t="s">
        <v>1195</v>
      </c>
      <c r="K750" s="112" t="s">
        <v>1396</v>
      </c>
      <c r="L750" s="116">
        <v>797.42</v>
      </c>
    </row>
    <row r="751" spans="1:12" hidden="1" outlineLevel="1" collapsed="1" x14ac:dyDescent="0.35">
      <c r="A751" s="112" t="s">
        <v>1185</v>
      </c>
      <c r="B751" s="112" t="s">
        <v>896</v>
      </c>
      <c r="C751" s="112" t="s">
        <v>695</v>
      </c>
      <c r="D751" s="113">
        <v>10348146</v>
      </c>
      <c r="E751" s="115">
        <v>43930</v>
      </c>
      <c r="F751" s="114">
        <v>202101</v>
      </c>
      <c r="G751" s="112" t="s">
        <v>1091</v>
      </c>
      <c r="H751" s="112" t="s">
        <v>1015</v>
      </c>
      <c r="I751" s="112" t="s">
        <v>767</v>
      </c>
      <c r="J751" s="112" t="s">
        <v>1195</v>
      </c>
      <c r="K751" s="112" t="s">
        <v>1397</v>
      </c>
      <c r="L751" s="116">
        <v>4253.57</v>
      </c>
    </row>
    <row r="752" spans="1:12" hidden="1" outlineLevel="1" collapsed="1" x14ac:dyDescent="0.35">
      <c r="A752" s="112" t="s">
        <v>1185</v>
      </c>
      <c r="B752" s="112" t="s">
        <v>895</v>
      </c>
      <c r="C752" s="112" t="s">
        <v>1095</v>
      </c>
      <c r="D752" s="113">
        <v>10348451</v>
      </c>
      <c r="E752" s="115">
        <v>43949</v>
      </c>
      <c r="F752" s="114">
        <v>202101</v>
      </c>
      <c r="G752" s="112" t="s">
        <v>1091</v>
      </c>
      <c r="H752" s="112" t="s">
        <v>1015</v>
      </c>
      <c r="I752" s="112" t="s">
        <v>1116</v>
      </c>
      <c r="J752" s="112" t="s">
        <v>1239</v>
      </c>
      <c r="K752" s="112" t="s">
        <v>1098</v>
      </c>
      <c r="L752" s="116">
        <v>1363.08</v>
      </c>
    </row>
    <row r="753" spans="1:12" hidden="1" outlineLevel="1" collapsed="1" x14ac:dyDescent="0.35">
      <c r="A753" s="112" t="s">
        <v>1185</v>
      </c>
      <c r="B753" s="112" t="s">
        <v>895</v>
      </c>
      <c r="C753" s="112" t="s">
        <v>1095</v>
      </c>
      <c r="D753" s="113">
        <v>10348451</v>
      </c>
      <c r="E753" s="115">
        <v>43949</v>
      </c>
      <c r="F753" s="114">
        <v>202101</v>
      </c>
      <c r="G753" s="112" t="s">
        <v>1091</v>
      </c>
      <c r="H753" s="112" t="s">
        <v>1015</v>
      </c>
      <c r="I753" s="112" t="s">
        <v>1116</v>
      </c>
      <c r="J753" s="112" t="s">
        <v>1239</v>
      </c>
      <c r="K753" s="112" t="s">
        <v>1098</v>
      </c>
      <c r="L753" s="116">
        <v>2559.75</v>
      </c>
    </row>
    <row r="754" spans="1:12" hidden="1" outlineLevel="1" collapsed="1" x14ac:dyDescent="0.35">
      <c r="A754" s="112" t="s">
        <v>1185</v>
      </c>
      <c r="B754" s="112" t="s">
        <v>895</v>
      </c>
      <c r="C754" s="112" t="s">
        <v>1095</v>
      </c>
      <c r="D754" s="113">
        <v>10348451</v>
      </c>
      <c r="E754" s="115">
        <v>43949</v>
      </c>
      <c r="F754" s="114">
        <v>202101</v>
      </c>
      <c r="G754" s="112" t="s">
        <v>1091</v>
      </c>
      <c r="H754" s="112" t="s">
        <v>1015</v>
      </c>
      <c r="I754" s="112" t="s">
        <v>1116</v>
      </c>
      <c r="J754" s="112" t="s">
        <v>1239</v>
      </c>
      <c r="K754" s="112" t="s">
        <v>1098</v>
      </c>
      <c r="L754" s="116">
        <v>2702</v>
      </c>
    </row>
    <row r="755" spans="1:12" hidden="1" outlineLevel="1" collapsed="1" x14ac:dyDescent="0.35">
      <c r="A755" s="112" t="s">
        <v>1185</v>
      </c>
      <c r="B755" s="112" t="s">
        <v>895</v>
      </c>
      <c r="C755" s="112" t="s">
        <v>1095</v>
      </c>
      <c r="D755" s="113">
        <v>10348451</v>
      </c>
      <c r="E755" s="115">
        <v>43949</v>
      </c>
      <c r="F755" s="114">
        <v>202101</v>
      </c>
      <c r="G755" s="112" t="s">
        <v>1091</v>
      </c>
      <c r="H755" s="112" t="s">
        <v>1015</v>
      </c>
      <c r="I755" s="112" t="s">
        <v>1116</v>
      </c>
      <c r="J755" s="112" t="s">
        <v>1239</v>
      </c>
      <c r="K755" s="112" t="s">
        <v>1098</v>
      </c>
      <c r="L755" s="116">
        <v>2981.92</v>
      </c>
    </row>
    <row r="756" spans="1:12" hidden="1" outlineLevel="1" collapsed="1" x14ac:dyDescent="0.35">
      <c r="A756" s="112" t="s">
        <v>1185</v>
      </c>
      <c r="B756" s="112" t="s">
        <v>895</v>
      </c>
      <c r="C756" s="112" t="s">
        <v>1095</v>
      </c>
      <c r="D756" s="113">
        <v>10348451</v>
      </c>
      <c r="E756" s="115">
        <v>43949</v>
      </c>
      <c r="F756" s="114">
        <v>202101</v>
      </c>
      <c r="G756" s="112" t="s">
        <v>1091</v>
      </c>
      <c r="H756" s="112" t="s">
        <v>1015</v>
      </c>
      <c r="I756" s="112" t="s">
        <v>1116</v>
      </c>
      <c r="J756" s="112" t="s">
        <v>1239</v>
      </c>
      <c r="K756" s="112" t="s">
        <v>1098</v>
      </c>
      <c r="L756" s="116">
        <v>2981.92</v>
      </c>
    </row>
    <row r="757" spans="1:12" hidden="1" outlineLevel="1" collapsed="1" x14ac:dyDescent="0.35">
      <c r="A757" s="112" t="s">
        <v>1185</v>
      </c>
      <c r="B757" s="112" t="s">
        <v>896</v>
      </c>
      <c r="C757" s="112" t="s">
        <v>695</v>
      </c>
      <c r="D757" s="113">
        <v>10348146</v>
      </c>
      <c r="E757" s="115">
        <v>43930</v>
      </c>
      <c r="F757" s="114">
        <v>202101</v>
      </c>
      <c r="G757" s="112" t="s">
        <v>1091</v>
      </c>
      <c r="H757" s="112" t="s">
        <v>1015</v>
      </c>
      <c r="I757" s="112" t="s">
        <v>767</v>
      </c>
      <c r="J757" s="112" t="s">
        <v>1195</v>
      </c>
      <c r="K757" s="112" t="s">
        <v>1398</v>
      </c>
      <c r="L757" s="116">
        <v>9370</v>
      </c>
    </row>
    <row r="758" spans="1:12" hidden="1" outlineLevel="1" collapsed="1" x14ac:dyDescent="0.35">
      <c r="A758" s="112" t="s">
        <v>1185</v>
      </c>
      <c r="B758" s="112" t="s">
        <v>897</v>
      </c>
      <c r="C758" s="112" t="s">
        <v>1095</v>
      </c>
      <c r="D758" s="113">
        <v>10348451</v>
      </c>
      <c r="E758" s="115">
        <v>43949</v>
      </c>
      <c r="F758" s="114">
        <v>202101</v>
      </c>
      <c r="G758" s="112" t="s">
        <v>1091</v>
      </c>
      <c r="H758" s="112" t="s">
        <v>1015</v>
      </c>
      <c r="I758" s="112" t="s">
        <v>1116</v>
      </c>
      <c r="J758" s="112" t="s">
        <v>1191</v>
      </c>
      <c r="K758" s="112" t="s">
        <v>1098</v>
      </c>
      <c r="L758" s="116">
        <v>1777.5</v>
      </c>
    </row>
    <row r="759" spans="1:12" hidden="1" outlineLevel="1" collapsed="1" x14ac:dyDescent="0.35">
      <c r="A759" s="112" t="s">
        <v>1185</v>
      </c>
      <c r="B759" s="112" t="s">
        <v>898</v>
      </c>
      <c r="C759" s="112" t="s">
        <v>1095</v>
      </c>
      <c r="D759" s="113">
        <v>10348451</v>
      </c>
      <c r="E759" s="115">
        <v>43949</v>
      </c>
      <c r="F759" s="114">
        <v>202101</v>
      </c>
      <c r="G759" s="112" t="s">
        <v>1091</v>
      </c>
      <c r="H759" s="112" t="s">
        <v>1015</v>
      </c>
      <c r="I759" s="112" t="s">
        <v>1116</v>
      </c>
      <c r="J759" s="112" t="s">
        <v>1213</v>
      </c>
      <c r="K759" s="112" t="s">
        <v>1098</v>
      </c>
      <c r="L759" s="116">
        <v>2631.25</v>
      </c>
    </row>
    <row r="760" spans="1:12" hidden="1" outlineLevel="1" collapsed="1" x14ac:dyDescent="0.35">
      <c r="A760" s="112" t="s">
        <v>1185</v>
      </c>
      <c r="B760" s="112" t="s">
        <v>896</v>
      </c>
      <c r="C760" s="112" t="s">
        <v>1095</v>
      </c>
      <c r="D760" s="113">
        <v>10348451</v>
      </c>
      <c r="E760" s="115">
        <v>43949</v>
      </c>
      <c r="F760" s="114">
        <v>202101</v>
      </c>
      <c r="G760" s="112" t="s">
        <v>1091</v>
      </c>
      <c r="H760" s="112" t="s">
        <v>1015</v>
      </c>
      <c r="I760" s="112" t="s">
        <v>1116</v>
      </c>
      <c r="J760" s="112" t="s">
        <v>1199</v>
      </c>
      <c r="K760" s="112" t="s">
        <v>1098</v>
      </c>
      <c r="L760" s="116">
        <v>4191.83</v>
      </c>
    </row>
    <row r="761" spans="1:12" hidden="1" outlineLevel="1" collapsed="1" x14ac:dyDescent="0.35">
      <c r="A761" s="112" t="s">
        <v>1185</v>
      </c>
      <c r="B761" s="112" t="s">
        <v>896</v>
      </c>
      <c r="C761" s="112" t="s">
        <v>203</v>
      </c>
      <c r="D761" s="113">
        <v>10348453</v>
      </c>
      <c r="E761" s="115">
        <v>43948</v>
      </c>
      <c r="F761" s="114">
        <v>202101</v>
      </c>
      <c r="G761" s="112" t="s">
        <v>1091</v>
      </c>
      <c r="H761" s="112" t="s">
        <v>1015</v>
      </c>
      <c r="I761" s="112" t="s">
        <v>1116</v>
      </c>
      <c r="J761" s="112" t="s">
        <v>1199</v>
      </c>
      <c r="K761" s="112" t="s">
        <v>1098</v>
      </c>
      <c r="L761" s="116">
        <v>60.08</v>
      </c>
    </row>
    <row r="762" spans="1:12" hidden="1" outlineLevel="1" collapsed="1" x14ac:dyDescent="0.35">
      <c r="A762" s="112" t="s">
        <v>1185</v>
      </c>
      <c r="B762" s="112" t="s">
        <v>896</v>
      </c>
      <c r="C762" s="112" t="s">
        <v>1095</v>
      </c>
      <c r="D762" s="113">
        <v>10348451</v>
      </c>
      <c r="E762" s="115">
        <v>43949</v>
      </c>
      <c r="F762" s="114">
        <v>202101</v>
      </c>
      <c r="G762" s="112" t="s">
        <v>1091</v>
      </c>
      <c r="H762" s="112" t="s">
        <v>1015</v>
      </c>
      <c r="I762" s="112" t="s">
        <v>1116</v>
      </c>
      <c r="J762" s="112" t="s">
        <v>1199</v>
      </c>
      <c r="K762" s="112" t="s">
        <v>1098</v>
      </c>
      <c r="L762" s="116">
        <v>2259.5</v>
      </c>
    </row>
    <row r="763" spans="1:12" hidden="1" outlineLevel="1" collapsed="1" x14ac:dyDescent="0.35">
      <c r="A763" s="112" t="s">
        <v>1185</v>
      </c>
      <c r="B763" s="112" t="s">
        <v>896</v>
      </c>
      <c r="C763" s="112" t="s">
        <v>1095</v>
      </c>
      <c r="D763" s="113">
        <v>10348451</v>
      </c>
      <c r="E763" s="115">
        <v>43949</v>
      </c>
      <c r="F763" s="114">
        <v>202101</v>
      </c>
      <c r="G763" s="112" t="s">
        <v>1091</v>
      </c>
      <c r="H763" s="112" t="s">
        <v>1015</v>
      </c>
      <c r="I763" s="112" t="s">
        <v>1116</v>
      </c>
      <c r="J763" s="112" t="s">
        <v>1199</v>
      </c>
      <c r="K763" s="112" t="s">
        <v>1098</v>
      </c>
      <c r="L763" s="116">
        <v>2631.25</v>
      </c>
    </row>
    <row r="764" spans="1:12" hidden="1" outlineLevel="1" collapsed="1" x14ac:dyDescent="0.35">
      <c r="A764" s="112" t="s">
        <v>1185</v>
      </c>
      <c r="B764" s="112" t="s">
        <v>896</v>
      </c>
      <c r="C764" s="112" t="s">
        <v>1095</v>
      </c>
      <c r="D764" s="113">
        <v>10348451</v>
      </c>
      <c r="E764" s="115">
        <v>43949</v>
      </c>
      <c r="F764" s="114">
        <v>202101</v>
      </c>
      <c r="G764" s="112" t="s">
        <v>1091</v>
      </c>
      <c r="H764" s="112" t="s">
        <v>1015</v>
      </c>
      <c r="I764" s="112" t="s">
        <v>1116</v>
      </c>
      <c r="J764" s="112" t="s">
        <v>1199</v>
      </c>
      <c r="K764" s="112" t="s">
        <v>1098</v>
      </c>
      <c r="L764" s="116">
        <v>2981.92</v>
      </c>
    </row>
    <row r="765" spans="1:12" hidden="1" outlineLevel="1" collapsed="1" x14ac:dyDescent="0.35">
      <c r="A765" s="112" t="s">
        <v>1185</v>
      </c>
      <c r="B765" s="112" t="s">
        <v>896</v>
      </c>
      <c r="C765" s="112" t="s">
        <v>1095</v>
      </c>
      <c r="D765" s="113">
        <v>10348451</v>
      </c>
      <c r="E765" s="115">
        <v>43949</v>
      </c>
      <c r="F765" s="114">
        <v>202101</v>
      </c>
      <c r="G765" s="112" t="s">
        <v>1091</v>
      </c>
      <c r="H765" s="112" t="s">
        <v>1015</v>
      </c>
      <c r="I765" s="112" t="s">
        <v>1116</v>
      </c>
      <c r="J765" s="112" t="s">
        <v>1199</v>
      </c>
      <c r="K765" s="112" t="s">
        <v>1098</v>
      </c>
      <c r="L765" s="116">
        <v>3567</v>
      </c>
    </row>
    <row r="766" spans="1:12" hidden="1" outlineLevel="1" collapsed="1" x14ac:dyDescent="0.35">
      <c r="A766" s="112" t="s">
        <v>1185</v>
      </c>
      <c r="B766" s="112" t="s">
        <v>896</v>
      </c>
      <c r="C766" s="112" t="s">
        <v>1095</v>
      </c>
      <c r="D766" s="113">
        <v>10348451</v>
      </c>
      <c r="E766" s="115">
        <v>43949</v>
      </c>
      <c r="F766" s="114">
        <v>202101</v>
      </c>
      <c r="G766" s="112" t="s">
        <v>1091</v>
      </c>
      <c r="H766" s="112" t="s">
        <v>1015</v>
      </c>
      <c r="I766" s="112" t="s">
        <v>1116</v>
      </c>
      <c r="J766" s="112" t="s">
        <v>1199</v>
      </c>
      <c r="K766" s="112" t="s">
        <v>1098</v>
      </c>
      <c r="L766" s="116">
        <v>2631.25</v>
      </c>
    </row>
    <row r="767" spans="1:12" hidden="1" outlineLevel="1" collapsed="1" x14ac:dyDescent="0.35">
      <c r="A767" s="112" t="s">
        <v>1185</v>
      </c>
      <c r="B767" s="112" t="s">
        <v>896</v>
      </c>
      <c r="C767" s="112" t="s">
        <v>1095</v>
      </c>
      <c r="D767" s="113">
        <v>10348451</v>
      </c>
      <c r="E767" s="115">
        <v>43949</v>
      </c>
      <c r="F767" s="114">
        <v>202101</v>
      </c>
      <c r="G767" s="112" t="s">
        <v>1091</v>
      </c>
      <c r="H767" s="112" t="s">
        <v>1015</v>
      </c>
      <c r="I767" s="112" t="s">
        <v>1116</v>
      </c>
      <c r="J767" s="112" t="s">
        <v>1199</v>
      </c>
      <c r="K767" s="112" t="s">
        <v>1098</v>
      </c>
      <c r="L767" s="116">
        <v>1944.42</v>
      </c>
    </row>
    <row r="768" spans="1:12" hidden="1" outlineLevel="1" collapsed="1" x14ac:dyDescent="0.35">
      <c r="A768" s="112" t="s">
        <v>1185</v>
      </c>
      <c r="B768" s="112" t="s">
        <v>896</v>
      </c>
      <c r="C768" s="112" t="s">
        <v>1095</v>
      </c>
      <c r="D768" s="113">
        <v>10348451</v>
      </c>
      <c r="E768" s="115">
        <v>43949</v>
      </c>
      <c r="F768" s="114">
        <v>202101</v>
      </c>
      <c r="G768" s="112" t="s">
        <v>1091</v>
      </c>
      <c r="H768" s="112" t="s">
        <v>1015</v>
      </c>
      <c r="I768" s="112" t="s">
        <v>1116</v>
      </c>
      <c r="J768" s="112" t="s">
        <v>1199</v>
      </c>
      <c r="K768" s="112" t="s">
        <v>1098</v>
      </c>
      <c r="L768" s="116">
        <v>2795.01</v>
      </c>
    </row>
    <row r="769" spans="1:12" hidden="1" outlineLevel="1" collapsed="1" x14ac:dyDescent="0.35">
      <c r="A769" s="112" t="s">
        <v>1185</v>
      </c>
      <c r="B769" s="112" t="s">
        <v>896</v>
      </c>
      <c r="C769" s="112" t="s">
        <v>1095</v>
      </c>
      <c r="D769" s="113">
        <v>10348451</v>
      </c>
      <c r="E769" s="115">
        <v>43949</v>
      </c>
      <c r="F769" s="114">
        <v>202101</v>
      </c>
      <c r="G769" s="112" t="s">
        <v>1091</v>
      </c>
      <c r="H769" s="112" t="s">
        <v>1015</v>
      </c>
      <c r="I769" s="112" t="s">
        <v>1116</v>
      </c>
      <c r="J769" s="112" t="s">
        <v>1199</v>
      </c>
      <c r="K769" s="112" t="s">
        <v>1098</v>
      </c>
      <c r="L769" s="116">
        <v>3717</v>
      </c>
    </row>
    <row r="770" spans="1:12" hidden="1" outlineLevel="1" collapsed="1" x14ac:dyDescent="0.35">
      <c r="A770" s="112" t="s">
        <v>1185</v>
      </c>
      <c r="B770" s="112" t="s">
        <v>896</v>
      </c>
      <c r="C770" s="112" t="s">
        <v>1095</v>
      </c>
      <c r="D770" s="113">
        <v>10348451</v>
      </c>
      <c r="E770" s="115">
        <v>43949</v>
      </c>
      <c r="F770" s="114">
        <v>202101</v>
      </c>
      <c r="G770" s="112" t="s">
        <v>1091</v>
      </c>
      <c r="H770" s="112" t="s">
        <v>1015</v>
      </c>
      <c r="I770" s="112" t="s">
        <v>1116</v>
      </c>
      <c r="J770" s="112" t="s">
        <v>1199</v>
      </c>
      <c r="K770" s="112" t="s">
        <v>1098</v>
      </c>
      <c r="L770" s="116">
        <v>3833.98</v>
      </c>
    </row>
    <row r="771" spans="1:12" hidden="1" outlineLevel="1" collapsed="1" x14ac:dyDescent="0.35">
      <c r="A771" s="112" t="s">
        <v>1185</v>
      </c>
      <c r="B771" s="112" t="s">
        <v>896</v>
      </c>
      <c r="C771" s="112" t="s">
        <v>1095</v>
      </c>
      <c r="D771" s="113">
        <v>10348451</v>
      </c>
      <c r="E771" s="115">
        <v>43949</v>
      </c>
      <c r="F771" s="114">
        <v>202101</v>
      </c>
      <c r="G771" s="112" t="s">
        <v>1091</v>
      </c>
      <c r="H771" s="112" t="s">
        <v>1015</v>
      </c>
      <c r="I771" s="112" t="s">
        <v>1116</v>
      </c>
      <c r="J771" s="112" t="s">
        <v>1199</v>
      </c>
      <c r="K771" s="112" t="s">
        <v>1098</v>
      </c>
      <c r="L771" s="116">
        <v>3075.83</v>
      </c>
    </row>
    <row r="772" spans="1:12" hidden="1" outlineLevel="1" collapsed="1" x14ac:dyDescent="0.35">
      <c r="A772" s="112" t="s">
        <v>1185</v>
      </c>
      <c r="B772" s="112" t="s">
        <v>896</v>
      </c>
      <c r="C772" s="112" t="s">
        <v>1095</v>
      </c>
      <c r="D772" s="113">
        <v>10348451</v>
      </c>
      <c r="E772" s="115">
        <v>43949</v>
      </c>
      <c r="F772" s="114">
        <v>202101</v>
      </c>
      <c r="G772" s="112" t="s">
        <v>1091</v>
      </c>
      <c r="H772" s="112" t="s">
        <v>1015</v>
      </c>
      <c r="I772" s="112" t="s">
        <v>1116</v>
      </c>
      <c r="J772" s="112" t="s">
        <v>1199</v>
      </c>
      <c r="K772" s="112" t="s">
        <v>1098</v>
      </c>
      <c r="L772" s="116">
        <v>2900.83</v>
      </c>
    </row>
    <row r="773" spans="1:12" hidden="1" outlineLevel="1" collapsed="1" x14ac:dyDescent="0.35">
      <c r="A773" s="112" t="s">
        <v>1185</v>
      </c>
      <c r="B773" s="112" t="s">
        <v>896</v>
      </c>
      <c r="C773" s="112" t="s">
        <v>1095</v>
      </c>
      <c r="D773" s="113">
        <v>10348451</v>
      </c>
      <c r="E773" s="115">
        <v>43949</v>
      </c>
      <c r="F773" s="114">
        <v>202101</v>
      </c>
      <c r="G773" s="112" t="s">
        <v>1091</v>
      </c>
      <c r="H773" s="112" t="s">
        <v>1015</v>
      </c>
      <c r="I773" s="112" t="s">
        <v>1116</v>
      </c>
      <c r="J773" s="112" t="s">
        <v>1199</v>
      </c>
      <c r="K773" s="112" t="s">
        <v>1098</v>
      </c>
      <c r="L773" s="116">
        <v>2880.83</v>
      </c>
    </row>
    <row r="774" spans="1:12" hidden="1" outlineLevel="1" collapsed="1" x14ac:dyDescent="0.35">
      <c r="A774" s="112" t="s">
        <v>1185</v>
      </c>
      <c r="B774" s="112" t="s">
        <v>896</v>
      </c>
      <c r="C774" s="112" t="s">
        <v>1095</v>
      </c>
      <c r="D774" s="113">
        <v>10348451</v>
      </c>
      <c r="E774" s="115">
        <v>43949</v>
      </c>
      <c r="F774" s="114">
        <v>202101</v>
      </c>
      <c r="G774" s="112" t="s">
        <v>1091</v>
      </c>
      <c r="H774" s="112" t="s">
        <v>1015</v>
      </c>
      <c r="I774" s="112" t="s">
        <v>1116</v>
      </c>
      <c r="J774" s="112" t="s">
        <v>1199</v>
      </c>
      <c r="K774" s="112" t="s">
        <v>1098</v>
      </c>
      <c r="L774" s="116">
        <v>1890.45</v>
      </c>
    </row>
    <row r="775" spans="1:12" hidden="1" outlineLevel="1" collapsed="1" x14ac:dyDescent="0.35">
      <c r="A775" s="112" t="s">
        <v>1185</v>
      </c>
      <c r="B775" s="112" t="s">
        <v>896</v>
      </c>
      <c r="C775" s="112" t="s">
        <v>1095</v>
      </c>
      <c r="D775" s="113">
        <v>10348451</v>
      </c>
      <c r="E775" s="115">
        <v>43949</v>
      </c>
      <c r="F775" s="114">
        <v>202101</v>
      </c>
      <c r="G775" s="112" t="s">
        <v>1091</v>
      </c>
      <c r="H775" s="112" t="s">
        <v>1015</v>
      </c>
      <c r="I775" s="112" t="s">
        <v>1116</v>
      </c>
      <c r="J775" s="112" t="s">
        <v>1199</v>
      </c>
      <c r="K775" s="112" t="s">
        <v>1098</v>
      </c>
      <c r="L775" s="116">
        <v>1909.8</v>
      </c>
    </row>
    <row r="776" spans="1:12" hidden="1" outlineLevel="1" collapsed="1" x14ac:dyDescent="0.35">
      <c r="A776" s="112" t="s">
        <v>1185</v>
      </c>
      <c r="B776" s="112" t="s">
        <v>896</v>
      </c>
      <c r="C776" s="112" t="s">
        <v>1095</v>
      </c>
      <c r="D776" s="113">
        <v>10348451</v>
      </c>
      <c r="E776" s="115">
        <v>43949</v>
      </c>
      <c r="F776" s="114">
        <v>202101</v>
      </c>
      <c r="G776" s="112" t="s">
        <v>1091</v>
      </c>
      <c r="H776" s="112" t="s">
        <v>1015</v>
      </c>
      <c r="I776" s="112" t="s">
        <v>1116</v>
      </c>
      <c r="J776" s="112" t="s">
        <v>1199</v>
      </c>
      <c r="K776" s="112" t="s">
        <v>1098</v>
      </c>
      <c r="L776" s="116">
        <v>2259.5</v>
      </c>
    </row>
    <row r="777" spans="1:12" hidden="1" outlineLevel="1" collapsed="1" x14ac:dyDescent="0.35">
      <c r="A777" s="112" t="s">
        <v>1185</v>
      </c>
      <c r="B777" s="112" t="s">
        <v>1192</v>
      </c>
      <c r="C777" s="112" t="s">
        <v>1095</v>
      </c>
      <c r="D777" s="113">
        <v>10348451</v>
      </c>
      <c r="E777" s="115">
        <v>43949</v>
      </c>
      <c r="F777" s="114">
        <v>202101</v>
      </c>
      <c r="G777" s="112" t="s">
        <v>1091</v>
      </c>
      <c r="H777" s="112" t="s">
        <v>1015</v>
      </c>
      <c r="I777" s="112" t="s">
        <v>1116</v>
      </c>
      <c r="J777" s="112" t="s">
        <v>1235</v>
      </c>
      <c r="K777" s="112" t="s">
        <v>1098</v>
      </c>
      <c r="L777" s="116">
        <v>789.37</v>
      </c>
    </row>
    <row r="778" spans="1:12" hidden="1" outlineLevel="1" collapsed="1" x14ac:dyDescent="0.35">
      <c r="A778" s="112" t="s">
        <v>1185</v>
      </c>
      <c r="B778" s="112" t="s">
        <v>1192</v>
      </c>
      <c r="C778" s="112" t="s">
        <v>1095</v>
      </c>
      <c r="D778" s="113">
        <v>10348451</v>
      </c>
      <c r="E778" s="115">
        <v>43949</v>
      </c>
      <c r="F778" s="114">
        <v>202101</v>
      </c>
      <c r="G778" s="112" t="s">
        <v>1091</v>
      </c>
      <c r="H778" s="112" t="s">
        <v>1015</v>
      </c>
      <c r="I778" s="112" t="s">
        <v>1116</v>
      </c>
      <c r="J778" s="112" t="s">
        <v>1235</v>
      </c>
      <c r="K778" s="112" t="s">
        <v>1098</v>
      </c>
      <c r="L778" s="116">
        <v>2981.92</v>
      </c>
    </row>
    <row r="779" spans="1:12" hidden="1" outlineLevel="1" collapsed="1" x14ac:dyDescent="0.35">
      <c r="A779" s="112" t="s">
        <v>1185</v>
      </c>
      <c r="B779" s="112" t="s">
        <v>1192</v>
      </c>
      <c r="C779" s="112" t="s">
        <v>1095</v>
      </c>
      <c r="D779" s="113">
        <v>10348451</v>
      </c>
      <c r="E779" s="115">
        <v>43949</v>
      </c>
      <c r="F779" s="114">
        <v>202101</v>
      </c>
      <c r="G779" s="112" t="s">
        <v>1091</v>
      </c>
      <c r="H779" s="112" t="s">
        <v>1015</v>
      </c>
      <c r="I779" s="112" t="s">
        <v>1116</v>
      </c>
      <c r="J779" s="112" t="s">
        <v>1235</v>
      </c>
      <c r="K779" s="112" t="s">
        <v>1098</v>
      </c>
      <c r="L779" s="116">
        <v>1315.63</v>
      </c>
    </row>
    <row r="780" spans="1:12" hidden="1" outlineLevel="1" collapsed="1" x14ac:dyDescent="0.35">
      <c r="A780" s="112" t="s">
        <v>1185</v>
      </c>
      <c r="B780" s="112" t="s">
        <v>1192</v>
      </c>
      <c r="C780" s="112" t="s">
        <v>1095</v>
      </c>
      <c r="D780" s="113">
        <v>10348451</v>
      </c>
      <c r="E780" s="115">
        <v>43949</v>
      </c>
      <c r="F780" s="114">
        <v>202101</v>
      </c>
      <c r="G780" s="112" t="s">
        <v>1091</v>
      </c>
      <c r="H780" s="112" t="s">
        <v>1015</v>
      </c>
      <c r="I780" s="112" t="s">
        <v>1116</v>
      </c>
      <c r="J780" s="112" t="s">
        <v>1320</v>
      </c>
      <c r="K780" s="112" t="s">
        <v>1098</v>
      </c>
      <c r="L780" s="116">
        <v>2259.5</v>
      </c>
    </row>
    <row r="781" spans="1:12" hidden="1" outlineLevel="1" collapsed="1" x14ac:dyDescent="0.35">
      <c r="A781" s="112" t="s">
        <v>1185</v>
      </c>
      <c r="B781" s="112" t="s">
        <v>1192</v>
      </c>
      <c r="C781" s="112" t="s">
        <v>1095</v>
      </c>
      <c r="D781" s="113">
        <v>10348451</v>
      </c>
      <c r="E781" s="115">
        <v>43949</v>
      </c>
      <c r="F781" s="114">
        <v>202101</v>
      </c>
      <c r="G781" s="112" t="s">
        <v>1091</v>
      </c>
      <c r="H781" s="112" t="s">
        <v>1015</v>
      </c>
      <c r="I781" s="112" t="s">
        <v>1116</v>
      </c>
      <c r="J781" s="112" t="s">
        <v>1198</v>
      </c>
      <c r="K781" s="112" t="s">
        <v>1098</v>
      </c>
      <c r="L781" s="116">
        <v>2631.25</v>
      </c>
    </row>
    <row r="782" spans="1:12" hidden="1" outlineLevel="1" collapsed="1" x14ac:dyDescent="0.35">
      <c r="A782" s="112" t="s">
        <v>1185</v>
      </c>
      <c r="B782" s="112" t="s">
        <v>1192</v>
      </c>
      <c r="C782" s="112" t="s">
        <v>1095</v>
      </c>
      <c r="D782" s="113">
        <v>10348451</v>
      </c>
      <c r="E782" s="115">
        <v>43949</v>
      </c>
      <c r="F782" s="114">
        <v>202101</v>
      </c>
      <c r="G782" s="112" t="s">
        <v>1091</v>
      </c>
      <c r="H782" s="112" t="s">
        <v>1015</v>
      </c>
      <c r="I782" s="112" t="s">
        <v>1116</v>
      </c>
      <c r="J782" s="112" t="s">
        <v>1198</v>
      </c>
      <c r="K782" s="112" t="s">
        <v>1098</v>
      </c>
      <c r="L782" s="116">
        <v>2973.6</v>
      </c>
    </row>
    <row r="783" spans="1:12" hidden="1" outlineLevel="1" collapsed="1" x14ac:dyDescent="0.35">
      <c r="A783" s="112" t="s">
        <v>1185</v>
      </c>
      <c r="B783" s="112" t="s">
        <v>1192</v>
      </c>
      <c r="C783" s="112" t="s">
        <v>1095</v>
      </c>
      <c r="D783" s="113">
        <v>10348451</v>
      </c>
      <c r="E783" s="115">
        <v>43949</v>
      </c>
      <c r="F783" s="114">
        <v>202101</v>
      </c>
      <c r="G783" s="112" t="s">
        <v>1091</v>
      </c>
      <c r="H783" s="112" t="s">
        <v>1015</v>
      </c>
      <c r="I783" s="112" t="s">
        <v>1116</v>
      </c>
      <c r="J783" s="112" t="s">
        <v>1198</v>
      </c>
      <c r="K783" s="112" t="s">
        <v>1098</v>
      </c>
      <c r="L783" s="116">
        <v>3391.33</v>
      </c>
    </row>
    <row r="784" spans="1:12" hidden="1" outlineLevel="1" collapsed="1" x14ac:dyDescent="0.35">
      <c r="A784" s="112" t="s">
        <v>1185</v>
      </c>
      <c r="B784" s="112" t="s">
        <v>1192</v>
      </c>
      <c r="C784" s="112" t="s">
        <v>1095</v>
      </c>
      <c r="D784" s="113">
        <v>10348451</v>
      </c>
      <c r="E784" s="115">
        <v>43949</v>
      </c>
      <c r="F784" s="114">
        <v>202101</v>
      </c>
      <c r="G784" s="112" t="s">
        <v>1091</v>
      </c>
      <c r="H784" s="112" t="s">
        <v>1015</v>
      </c>
      <c r="I784" s="112" t="s">
        <v>1116</v>
      </c>
      <c r="J784" s="112" t="s">
        <v>1198</v>
      </c>
      <c r="K784" s="112" t="s">
        <v>1098</v>
      </c>
      <c r="L784" s="116">
        <v>4191.83</v>
      </c>
    </row>
    <row r="785" spans="1:12" hidden="1" outlineLevel="1" collapsed="1" x14ac:dyDescent="0.35">
      <c r="A785" s="112" t="s">
        <v>1185</v>
      </c>
      <c r="B785" s="112" t="s">
        <v>1192</v>
      </c>
      <c r="C785" s="112" t="s">
        <v>1095</v>
      </c>
      <c r="D785" s="113">
        <v>10348451</v>
      </c>
      <c r="E785" s="115">
        <v>43949</v>
      </c>
      <c r="F785" s="114">
        <v>202101</v>
      </c>
      <c r="G785" s="112" t="s">
        <v>1091</v>
      </c>
      <c r="H785" s="112" t="s">
        <v>1015</v>
      </c>
      <c r="I785" s="112" t="s">
        <v>1116</v>
      </c>
      <c r="J785" s="112" t="s">
        <v>1198</v>
      </c>
      <c r="K785" s="112" t="s">
        <v>1098</v>
      </c>
      <c r="L785" s="116">
        <v>2053.29</v>
      </c>
    </row>
    <row r="786" spans="1:12" hidden="1" outlineLevel="1" collapsed="1" x14ac:dyDescent="0.35">
      <c r="A786" s="112" t="s">
        <v>1185</v>
      </c>
      <c r="B786" s="112" t="s">
        <v>1192</v>
      </c>
      <c r="C786" s="112" t="s">
        <v>1095</v>
      </c>
      <c r="D786" s="113">
        <v>10348451</v>
      </c>
      <c r="E786" s="115">
        <v>43949</v>
      </c>
      <c r="F786" s="114">
        <v>202101</v>
      </c>
      <c r="G786" s="112" t="s">
        <v>1091</v>
      </c>
      <c r="H786" s="112" t="s">
        <v>1015</v>
      </c>
      <c r="I786" s="112" t="s">
        <v>1116</v>
      </c>
      <c r="J786" s="112" t="s">
        <v>1198</v>
      </c>
      <c r="K786" s="112" t="s">
        <v>1098</v>
      </c>
      <c r="L786" s="116">
        <v>3473.25</v>
      </c>
    </row>
    <row r="787" spans="1:12" hidden="1" outlineLevel="1" collapsed="1" x14ac:dyDescent="0.35">
      <c r="A787" s="112" t="s">
        <v>1185</v>
      </c>
      <c r="B787" s="112" t="s">
        <v>1192</v>
      </c>
      <c r="C787" s="112" t="s">
        <v>1095</v>
      </c>
      <c r="D787" s="113">
        <v>10348451</v>
      </c>
      <c r="E787" s="115">
        <v>43949</v>
      </c>
      <c r="F787" s="114">
        <v>202101</v>
      </c>
      <c r="G787" s="112" t="s">
        <v>1091</v>
      </c>
      <c r="H787" s="112" t="s">
        <v>1015</v>
      </c>
      <c r="I787" s="112" t="s">
        <v>1116</v>
      </c>
      <c r="J787" s="112" t="s">
        <v>1198</v>
      </c>
      <c r="K787" s="112" t="s">
        <v>1098</v>
      </c>
      <c r="L787" s="116">
        <v>2506.73</v>
      </c>
    </row>
    <row r="788" spans="1:12" hidden="1" outlineLevel="1" collapsed="1" x14ac:dyDescent="0.35">
      <c r="A788" s="112" t="s">
        <v>1185</v>
      </c>
      <c r="B788" s="112" t="s">
        <v>1192</v>
      </c>
      <c r="C788" s="112" t="s">
        <v>1095</v>
      </c>
      <c r="D788" s="113">
        <v>10348451</v>
      </c>
      <c r="E788" s="115">
        <v>43949</v>
      </c>
      <c r="F788" s="114">
        <v>202101</v>
      </c>
      <c r="G788" s="112" t="s">
        <v>1091</v>
      </c>
      <c r="H788" s="112" t="s">
        <v>1015</v>
      </c>
      <c r="I788" s="112" t="s">
        <v>1116</v>
      </c>
      <c r="J788" s="112" t="s">
        <v>1198</v>
      </c>
      <c r="K788" s="112" t="s">
        <v>1098</v>
      </c>
      <c r="L788" s="116">
        <v>4191.83</v>
      </c>
    </row>
    <row r="789" spans="1:12" hidden="1" outlineLevel="1" collapsed="1" x14ac:dyDescent="0.35">
      <c r="A789" s="112" t="s">
        <v>1185</v>
      </c>
      <c r="B789" s="112" t="s">
        <v>896</v>
      </c>
      <c r="C789" s="112" t="s">
        <v>1095</v>
      </c>
      <c r="D789" s="113">
        <v>10348451</v>
      </c>
      <c r="E789" s="115">
        <v>43949</v>
      </c>
      <c r="F789" s="114">
        <v>202101</v>
      </c>
      <c r="G789" s="112" t="s">
        <v>1091</v>
      </c>
      <c r="H789" s="112" t="s">
        <v>1015</v>
      </c>
      <c r="I789" s="112" t="s">
        <v>1116</v>
      </c>
      <c r="J789" s="112" t="s">
        <v>1199</v>
      </c>
      <c r="K789" s="112" t="s">
        <v>1098</v>
      </c>
      <c r="L789" s="116">
        <v>7115.08</v>
      </c>
    </row>
    <row r="790" spans="1:12" hidden="1" outlineLevel="1" collapsed="1" x14ac:dyDescent="0.35">
      <c r="A790" s="112" t="s">
        <v>1185</v>
      </c>
      <c r="B790" s="112" t="s">
        <v>1192</v>
      </c>
      <c r="C790" s="112" t="s">
        <v>1095</v>
      </c>
      <c r="D790" s="113">
        <v>10348451</v>
      </c>
      <c r="E790" s="115">
        <v>43949</v>
      </c>
      <c r="F790" s="114">
        <v>202101</v>
      </c>
      <c r="G790" s="112" t="s">
        <v>1091</v>
      </c>
      <c r="H790" s="112" t="s">
        <v>1015</v>
      </c>
      <c r="I790" s="112" t="s">
        <v>1116</v>
      </c>
      <c r="J790" s="112" t="s">
        <v>1198</v>
      </c>
      <c r="K790" s="112" t="s">
        <v>1098</v>
      </c>
      <c r="L790" s="116">
        <v>3391.33</v>
      </c>
    </row>
    <row r="791" spans="1:12" hidden="1" outlineLevel="1" collapsed="1" x14ac:dyDescent="0.35">
      <c r="A791" s="112" t="s">
        <v>1185</v>
      </c>
      <c r="B791" s="112" t="s">
        <v>1192</v>
      </c>
      <c r="C791" s="112" t="s">
        <v>1095</v>
      </c>
      <c r="D791" s="113">
        <v>10348451</v>
      </c>
      <c r="E791" s="115">
        <v>43949</v>
      </c>
      <c r="F791" s="114">
        <v>202101</v>
      </c>
      <c r="G791" s="112" t="s">
        <v>1091</v>
      </c>
      <c r="H791" s="112" t="s">
        <v>1015</v>
      </c>
      <c r="I791" s="112" t="s">
        <v>1399</v>
      </c>
      <c r="J791" s="112" t="s">
        <v>1198</v>
      </c>
      <c r="K791" s="112" t="s">
        <v>1098</v>
      </c>
      <c r="L791" s="116">
        <v>136.4</v>
      </c>
    </row>
    <row r="792" spans="1:12" hidden="1" outlineLevel="1" collapsed="1" x14ac:dyDescent="0.35">
      <c r="A792" s="112" t="s">
        <v>1185</v>
      </c>
      <c r="B792" s="112" t="s">
        <v>898</v>
      </c>
      <c r="C792" s="112" t="s">
        <v>1095</v>
      </c>
      <c r="D792" s="113">
        <v>10348451</v>
      </c>
      <c r="E792" s="115">
        <v>43949</v>
      </c>
      <c r="F792" s="114">
        <v>202101</v>
      </c>
      <c r="G792" s="112" t="s">
        <v>1091</v>
      </c>
      <c r="H792" s="112" t="s">
        <v>1015</v>
      </c>
      <c r="I792" s="112" t="s">
        <v>1182</v>
      </c>
      <c r="J792" s="112" t="s">
        <v>1213</v>
      </c>
      <c r="K792" s="112" t="s">
        <v>1098</v>
      </c>
      <c r="L792" s="116">
        <v>16.989999999999998</v>
      </c>
    </row>
    <row r="793" spans="1:12" hidden="1" outlineLevel="1" collapsed="1" x14ac:dyDescent="0.35">
      <c r="A793" s="112" t="s">
        <v>1185</v>
      </c>
      <c r="B793" s="112" t="s">
        <v>898</v>
      </c>
      <c r="C793" s="112" t="s">
        <v>1095</v>
      </c>
      <c r="D793" s="113">
        <v>10348451</v>
      </c>
      <c r="E793" s="115">
        <v>43949</v>
      </c>
      <c r="F793" s="114">
        <v>202101</v>
      </c>
      <c r="G793" s="112" t="s">
        <v>1091</v>
      </c>
      <c r="H793" s="112" t="s">
        <v>1015</v>
      </c>
      <c r="I793" s="112" t="s">
        <v>1182</v>
      </c>
      <c r="J793" s="112" t="s">
        <v>1230</v>
      </c>
      <c r="K793" s="112" t="s">
        <v>1098</v>
      </c>
      <c r="L793" s="116">
        <v>6.1</v>
      </c>
    </row>
    <row r="794" spans="1:12" hidden="1" outlineLevel="1" collapsed="1" x14ac:dyDescent="0.35">
      <c r="A794" s="112" t="s">
        <v>1185</v>
      </c>
      <c r="B794" s="112" t="s">
        <v>898</v>
      </c>
      <c r="C794" s="112" t="s">
        <v>1095</v>
      </c>
      <c r="D794" s="113">
        <v>10348451</v>
      </c>
      <c r="E794" s="115">
        <v>43949</v>
      </c>
      <c r="F794" s="114">
        <v>202101</v>
      </c>
      <c r="G794" s="112" t="s">
        <v>1091</v>
      </c>
      <c r="H794" s="112" t="s">
        <v>1015</v>
      </c>
      <c r="I794" s="112" t="s">
        <v>1400</v>
      </c>
      <c r="J794" s="112" t="s">
        <v>1301</v>
      </c>
      <c r="K794" s="112" t="s">
        <v>1098</v>
      </c>
      <c r="L794" s="116">
        <v>67.05</v>
      </c>
    </row>
    <row r="795" spans="1:12" hidden="1" outlineLevel="1" collapsed="1" x14ac:dyDescent="0.35">
      <c r="A795" s="112" t="s">
        <v>1185</v>
      </c>
      <c r="B795" s="112" t="s">
        <v>898</v>
      </c>
      <c r="C795" s="112" t="s">
        <v>1095</v>
      </c>
      <c r="D795" s="113">
        <v>10348451</v>
      </c>
      <c r="E795" s="115">
        <v>43949</v>
      </c>
      <c r="F795" s="114">
        <v>202101</v>
      </c>
      <c r="G795" s="112" t="s">
        <v>1091</v>
      </c>
      <c r="H795" s="112" t="s">
        <v>1015</v>
      </c>
      <c r="I795" s="112" t="s">
        <v>1400</v>
      </c>
      <c r="J795" s="112" t="s">
        <v>1301</v>
      </c>
      <c r="K795" s="112" t="s">
        <v>1098</v>
      </c>
      <c r="L795" s="116">
        <v>220.45</v>
      </c>
    </row>
    <row r="796" spans="1:12" hidden="1" outlineLevel="1" collapsed="1" x14ac:dyDescent="0.35">
      <c r="A796" s="112" t="s">
        <v>1185</v>
      </c>
      <c r="B796" s="112" t="s">
        <v>898</v>
      </c>
      <c r="C796" s="112" t="s">
        <v>1095</v>
      </c>
      <c r="D796" s="113">
        <v>10348451</v>
      </c>
      <c r="E796" s="115">
        <v>43949</v>
      </c>
      <c r="F796" s="114">
        <v>202101</v>
      </c>
      <c r="G796" s="112" t="s">
        <v>1091</v>
      </c>
      <c r="H796" s="112" t="s">
        <v>1015</v>
      </c>
      <c r="I796" s="112" t="s">
        <v>1182</v>
      </c>
      <c r="J796" s="112" t="s">
        <v>1244</v>
      </c>
      <c r="K796" s="112" t="s">
        <v>1098</v>
      </c>
      <c r="L796" s="116">
        <v>2.4</v>
      </c>
    </row>
    <row r="797" spans="1:12" hidden="1" outlineLevel="1" collapsed="1" x14ac:dyDescent="0.35">
      <c r="A797" s="112" t="s">
        <v>1185</v>
      </c>
      <c r="B797" s="112" t="s">
        <v>898</v>
      </c>
      <c r="C797" s="112" t="s">
        <v>1095</v>
      </c>
      <c r="D797" s="113">
        <v>10348451</v>
      </c>
      <c r="E797" s="115">
        <v>43949</v>
      </c>
      <c r="F797" s="114">
        <v>202101</v>
      </c>
      <c r="G797" s="112" t="s">
        <v>1091</v>
      </c>
      <c r="H797" s="112" t="s">
        <v>1015</v>
      </c>
      <c r="I797" s="112" t="s">
        <v>1400</v>
      </c>
      <c r="J797" s="112" t="s">
        <v>1301</v>
      </c>
      <c r="K797" s="112" t="s">
        <v>1098</v>
      </c>
      <c r="L797" s="116">
        <v>19.55</v>
      </c>
    </row>
    <row r="798" spans="1:12" hidden="1" outlineLevel="1" collapsed="1" x14ac:dyDescent="0.35">
      <c r="A798" s="112" t="s">
        <v>1185</v>
      </c>
      <c r="B798" s="112" t="s">
        <v>898</v>
      </c>
      <c r="C798" s="112" t="s">
        <v>1095</v>
      </c>
      <c r="D798" s="113">
        <v>10348451</v>
      </c>
      <c r="E798" s="115">
        <v>43949</v>
      </c>
      <c r="F798" s="114">
        <v>202101</v>
      </c>
      <c r="G798" s="112" t="s">
        <v>1091</v>
      </c>
      <c r="H798" s="112" t="s">
        <v>1015</v>
      </c>
      <c r="I798" s="112" t="s">
        <v>1400</v>
      </c>
      <c r="J798" s="112" t="s">
        <v>1301</v>
      </c>
      <c r="K798" s="112" t="s">
        <v>1098</v>
      </c>
      <c r="L798" s="116">
        <v>50.57</v>
      </c>
    </row>
    <row r="799" spans="1:12" hidden="1" outlineLevel="1" collapsed="1" x14ac:dyDescent="0.35">
      <c r="A799" s="112" t="s">
        <v>1185</v>
      </c>
      <c r="B799" s="112" t="s">
        <v>1192</v>
      </c>
      <c r="C799" s="112" t="s">
        <v>1095</v>
      </c>
      <c r="D799" s="113">
        <v>10348451</v>
      </c>
      <c r="E799" s="115">
        <v>43949</v>
      </c>
      <c r="F799" s="114">
        <v>202101</v>
      </c>
      <c r="G799" s="112" t="s">
        <v>1091</v>
      </c>
      <c r="H799" s="112" t="s">
        <v>1015</v>
      </c>
      <c r="I799" s="112" t="s">
        <v>1182</v>
      </c>
      <c r="J799" s="112" t="s">
        <v>1198</v>
      </c>
      <c r="K799" s="112" t="s">
        <v>1098</v>
      </c>
      <c r="L799" s="116">
        <v>9.9499999999999993</v>
      </c>
    </row>
    <row r="800" spans="1:12" hidden="1" outlineLevel="1" collapsed="1" x14ac:dyDescent="0.35">
      <c r="A800" s="112" t="s">
        <v>1185</v>
      </c>
      <c r="B800" s="112" t="s">
        <v>898</v>
      </c>
      <c r="C800" s="112" t="s">
        <v>1095</v>
      </c>
      <c r="D800" s="113">
        <v>10348451</v>
      </c>
      <c r="E800" s="115">
        <v>43949</v>
      </c>
      <c r="F800" s="114">
        <v>202101</v>
      </c>
      <c r="G800" s="112" t="s">
        <v>1091</v>
      </c>
      <c r="H800" s="112" t="s">
        <v>1015</v>
      </c>
      <c r="I800" s="112" t="s">
        <v>1182</v>
      </c>
      <c r="J800" s="112" t="s">
        <v>1197</v>
      </c>
      <c r="K800" s="112" t="s">
        <v>1098</v>
      </c>
      <c r="L800" s="116">
        <v>35.049999999999997</v>
      </c>
    </row>
    <row r="801" spans="1:12" hidden="1" outlineLevel="1" collapsed="1" x14ac:dyDescent="0.35">
      <c r="A801" s="112" t="s">
        <v>1185</v>
      </c>
      <c r="B801" s="112" t="s">
        <v>898</v>
      </c>
      <c r="C801" s="112" t="s">
        <v>1095</v>
      </c>
      <c r="D801" s="113">
        <v>10348451</v>
      </c>
      <c r="E801" s="115">
        <v>43949</v>
      </c>
      <c r="F801" s="114">
        <v>202101</v>
      </c>
      <c r="G801" s="112" t="s">
        <v>1091</v>
      </c>
      <c r="H801" s="112" t="s">
        <v>1015</v>
      </c>
      <c r="I801" s="112" t="s">
        <v>1201</v>
      </c>
      <c r="J801" s="112" t="s">
        <v>1230</v>
      </c>
      <c r="K801" s="112" t="s">
        <v>1098</v>
      </c>
      <c r="L801" s="116">
        <v>12.97</v>
      </c>
    </row>
    <row r="802" spans="1:12" hidden="1" outlineLevel="1" collapsed="1" x14ac:dyDescent="0.35">
      <c r="A802" s="112" t="s">
        <v>1185</v>
      </c>
      <c r="B802" s="112" t="s">
        <v>898</v>
      </c>
      <c r="C802" s="112" t="s">
        <v>1095</v>
      </c>
      <c r="D802" s="113">
        <v>10348451</v>
      </c>
      <c r="E802" s="115">
        <v>43949</v>
      </c>
      <c r="F802" s="114">
        <v>202101</v>
      </c>
      <c r="G802" s="112" t="s">
        <v>1091</v>
      </c>
      <c r="H802" s="112" t="s">
        <v>1015</v>
      </c>
      <c r="I802" s="112" t="s">
        <v>1400</v>
      </c>
      <c r="J802" s="112" t="s">
        <v>1301</v>
      </c>
      <c r="K802" s="112" t="s">
        <v>1098</v>
      </c>
      <c r="L802" s="116">
        <v>23.33</v>
      </c>
    </row>
    <row r="803" spans="1:12" hidden="1" outlineLevel="1" collapsed="1" x14ac:dyDescent="0.35">
      <c r="A803" s="112" t="s">
        <v>1185</v>
      </c>
      <c r="B803" s="112" t="s">
        <v>898</v>
      </c>
      <c r="C803" s="112" t="s">
        <v>1095</v>
      </c>
      <c r="D803" s="113">
        <v>10348451</v>
      </c>
      <c r="E803" s="115">
        <v>43949</v>
      </c>
      <c r="F803" s="114">
        <v>202101</v>
      </c>
      <c r="G803" s="112" t="s">
        <v>1091</v>
      </c>
      <c r="H803" s="112" t="s">
        <v>1015</v>
      </c>
      <c r="I803" s="112" t="s">
        <v>1400</v>
      </c>
      <c r="J803" s="112" t="s">
        <v>1301</v>
      </c>
      <c r="K803" s="112" t="s">
        <v>1098</v>
      </c>
      <c r="L803" s="116">
        <v>220.68</v>
      </c>
    </row>
    <row r="804" spans="1:12" hidden="1" outlineLevel="1" collapsed="1" x14ac:dyDescent="0.35">
      <c r="A804" s="112" t="s">
        <v>1185</v>
      </c>
      <c r="B804" s="112" t="s">
        <v>898</v>
      </c>
      <c r="C804" s="112" t="s">
        <v>1095</v>
      </c>
      <c r="D804" s="113">
        <v>10348451</v>
      </c>
      <c r="E804" s="115">
        <v>43949</v>
      </c>
      <c r="F804" s="114">
        <v>202101</v>
      </c>
      <c r="G804" s="112" t="s">
        <v>1091</v>
      </c>
      <c r="H804" s="112" t="s">
        <v>1015</v>
      </c>
      <c r="I804" s="112" t="s">
        <v>1400</v>
      </c>
      <c r="J804" s="112" t="s">
        <v>1301</v>
      </c>
      <c r="K804" s="112" t="s">
        <v>1098</v>
      </c>
      <c r="L804" s="116">
        <v>117.9</v>
      </c>
    </row>
    <row r="805" spans="1:12" hidden="1" outlineLevel="1" collapsed="1" x14ac:dyDescent="0.35">
      <c r="A805" s="112" t="s">
        <v>1185</v>
      </c>
      <c r="B805" s="112" t="s">
        <v>897</v>
      </c>
      <c r="C805" s="112" t="s">
        <v>1099</v>
      </c>
      <c r="D805" s="113">
        <v>1069375</v>
      </c>
      <c r="E805" s="115">
        <v>43920</v>
      </c>
      <c r="F805" s="114">
        <v>202101</v>
      </c>
      <c r="G805" s="112" t="s">
        <v>1091</v>
      </c>
      <c r="H805" s="112" t="s">
        <v>1015</v>
      </c>
      <c r="I805" s="112" t="s">
        <v>1124</v>
      </c>
      <c r="J805" s="112" t="s">
        <v>1186</v>
      </c>
      <c r="K805" s="112" t="s">
        <v>1401</v>
      </c>
      <c r="L805" s="116">
        <v>199</v>
      </c>
    </row>
    <row r="806" spans="1:12" hidden="1" outlineLevel="1" collapsed="1" x14ac:dyDescent="0.35">
      <c r="A806" s="112" t="s">
        <v>1185</v>
      </c>
      <c r="B806" s="112" t="s">
        <v>898</v>
      </c>
      <c r="C806" s="112" t="s">
        <v>1095</v>
      </c>
      <c r="D806" s="113">
        <v>10348451</v>
      </c>
      <c r="E806" s="115">
        <v>43949</v>
      </c>
      <c r="F806" s="114">
        <v>202101</v>
      </c>
      <c r="G806" s="112" t="s">
        <v>1091</v>
      </c>
      <c r="H806" s="112" t="s">
        <v>1015</v>
      </c>
      <c r="I806" s="112" t="s">
        <v>1400</v>
      </c>
      <c r="J806" s="112" t="s">
        <v>1301</v>
      </c>
      <c r="K806" s="112" t="s">
        <v>1098</v>
      </c>
      <c r="L806" s="116">
        <v>220.46</v>
      </c>
    </row>
    <row r="807" spans="1:12" hidden="1" outlineLevel="1" collapsed="1" x14ac:dyDescent="0.35">
      <c r="A807" s="112" t="s">
        <v>1185</v>
      </c>
      <c r="B807" s="112" t="s">
        <v>895</v>
      </c>
      <c r="C807" s="112" t="s">
        <v>695</v>
      </c>
      <c r="D807" s="113">
        <v>10347981</v>
      </c>
      <c r="E807" s="115">
        <v>43924</v>
      </c>
      <c r="F807" s="114">
        <v>202101</v>
      </c>
      <c r="G807" s="112" t="s">
        <v>1091</v>
      </c>
      <c r="H807" s="112" t="s">
        <v>1015</v>
      </c>
      <c r="I807" s="112" t="s">
        <v>1402</v>
      </c>
      <c r="J807" s="112" t="s">
        <v>1272</v>
      </c>
      <c r="K807" s="112" t="s">
        <v>1403</v>
      </c>
      <c r="L807" s="116">
        <v>-10</v>
      </c>
    </row>
    <row r="808" spans="1:12" hidden="1" outlineLevel="1" collapsed="1" x14ac:dyDescent="0.35">
      <c r="A808" s="112" t="s">
        <v>1185</v>
      </c>
      <c r="B808" s="112" t="s">
        <v>898</v>
      </c>
      <c r="C808" s="112" t="s">
        <v>1095</v>
      </c>
      <c r="D808" s="113">
        <v>10348451</v>
      </c>
      <c r="E808" s="115">
        <v>43949</v>
      </c>
      <c r="F808" s="114">
        <v>202101</v>
      </c>
      <c r="G808" s="112" t="s">
        <v>1091</v>
      </c>
      <c r="H808" s="112" t="s">
        <v>1016</v>
      </c>
      <c r="I808" s="112" t="s">
        <v>1404</v>
      </c>
      <c r="J808" s="112" t="s">
        <v>1207</v>
      </c>
      <c r="K808" s="112" t="s">
        <v>1098</v>
      </c>
      <c r="L808" s="116">
        <v>-25</v>
      </c>
    </row>
    <row r="809" spans="1:12" hidden="1" outlineLevel="1" collapsed="1" x14ac:dyDescent="0.35">
      <c r="A809" s="112" t="s">
        <v>1185</v>
      </c>
      <c r="B809" s="112" t="s">
        <v>898</v>
      </c>
      <c r="C809" s="112" t="s">
        <v>1095</v>
      </c>
      <c r="D809" s="113">
        <v>10348451</v>
      </c>
      <c r="E809" s="115">
        <v>43949</v>
      </c>
      <c r="F809" s="114">
        <v>202101</v>
      </c>
      <c r="G809" s="112" t="s">
        <v>1091</v>
      </c>
      <c r="H809" s="112" t="s">
        <v>1016</v>
      </c>
      <c r="I809" s="112" t="s">
        <v>1404</v>
      </c>
      <c r="J809" s="112" t="s">
        <v>1207</v>
      </c>
      <c r="K809" s="112" t="s">
        <v>1098</v>
      </c>
      <c r="L809" s="116">
        <v>-25</v>
      </c>
    </row>
    <row r="810" spans="1:12" hidden="1" outlineLevel="1" collapsed="1" x14ac:dyDescent="0.35">
      <c r="A810" s="112" t="s">
        <v>1185</v>
      </c>
      <c r="B810" s="112" t="s">
        <v>898</v>
      </c>
      <c r="C810" s="112" t="s">
        <v>1095</v>
      </c>
      <c r="D810" s="113">
        <v>10348451</v>
      </c>
      <c r="E810" s="115">
        <v>43949</v>
      </c>
      <c r="F810" s="114">
        <v>202101</v>
      </c>
      <c r="G810" s="112" t="s">
        <v>1091</v>
      </c>
      <c r="H810" s="112" t="s">
        <v>1016</v>
      </c>
      <c r="I810" s="112" t="s">
        <v>1404</v>
      </c>
      <c r="J810" s="112" t="s">
        <v>1207</v>
      </c>
      <c r="K810" s="112" t="s">
        <v>1098</v>
      </c>
      <c r="L810" s="116">
        <v>-25</v>
      </c>
    </row>
    <row r="811" spans="1:12" hidden="1" outlineLevel="1" collapsed="1" x14ac:dyDescent="0.35">
      <c r="A811" s="112" t="s">
        <v>1185</v>
      </c>
      <c r="B811" s="112" t="s">
        <v>895</v>
      </c>
      <c r="C811" s="112" t="s">
        <v>1095</v>
      </c>
      <c r="D811" s="113">
        <v>10348451</v>
      </c>
      <c r="E811" s="115">
        <v>43949</v>
      </c>
      <c r="F811" s="114">
        <v>202101</v>
      </c>
      <c r="G811" s="112" t="s">
        <v>1091</v>
      </c>
      <c r="H811" s="112" t="s">
        <v>1015</v>
      </c>
      <c r="I811" s="112" t="s">
        <v>1116</v>
      </c>
      <c r="J811" s="112" t="s">
        <v>1261</v>
      </c>
      <c r="K811" s="112" t="s">
        <v>1098</v>
      </c>
      <c r="L811" s="116">
        <v>8018.58</v>
      </c>
    </row>
    <row r="812" spans="1:12" hidden="1" outlineLevel="1" collapsed="1" x14ac:dyDescent="0.35">
      <c r="A812" s="112" t="s">
        <v>1185</v>
      </c>
      <c r="B812" s="112" t="s">
        <v>896</v>
      </c>
      <c r="C812" s="112" t="s">
        <v>1095</v>
      </c>
      <c r="D812" s="113">
        <v>10348451</v>
      </c>
      <c r="E812" s="115">
        <v>43949</v>
      </c>
      <c r="F812" s="114">
        <v>202101</v>
      </c>
      <c r="G812" s="112" t="s">
        <v>1091</v>
      </c>
      <c r="H812" s="112" t="s">
        <v>1015</v>
      </c>
      <c r="I812" s="112" t="s">
        <v>1116</v>
      </c>
      <c r="J812" s="112" t="s">
        <v>1288</v>
      </c>
      <c r="K812" s="112" t="s">
        <v>1098</v>
      </c>
      <c r="L812" s="116">
        <v>2259.5</v>
      </c>
    </row>
    <row r="813" spans="1:12" hidden="1" outlineLevel="1" collapsed="1" x14ac:dyDescent="0.35">
      <c r="A813" s="112" t="s">
        <v>1185</v>
      </c>
      <c r="B813" s="112" t="s">
        <v>896</v>
      </c>
      <c r="C813" s="112" t="s">
        <v>1095</v>
      </c>
      <c r="D813" s="113">
        <v>10348451</v>
      </c>
      <c r="E813" s="115">
        <v>43949</v>
      </c>
      <c r="F813" s="114">
        <v>202101</v>
      </c>
      <c r="G813" s="112" t="s">
        <v>1091</v>
      </c>
      <c r="H813" s="112" t="s">
        <v>1015</v>
      </c>
      <c r="I813" s="112" t="s">
        <v>1116</v>
      </c>
      <c r="J813" s="112" t="s">
        <v>1288</v>
      </c>
      <c r="K813" s="112" t="s">
        <v>1098</v>
      </c>
      <c r="L813" s="116">
        <v>2631.25</v>
      </c>
    </row>
    <row r="814" spans="1:12" hidden="1" outlineLevel="1" collapsed="1" x14ac:dyDescent="0.35">
      <c r="A814" s="112" t="s">
        <v>1185</v>
      </c>
      <c r="B814" s="112" t="s">
        <v>896</v>
      </c>
      <c r="C814" s="112" t="s">
        <v>1095</v>
      </c>
      <c r="D814" s="113">
        <v>10348451</v>
      </c>
      <c r="E814" s="115">
        <v>43949</v>
      </c>
      <c r="F814" s="114">
        <v>202101</v>
      </c>
      <c r="G814" s="112" t="s">
        <v>1091</v>
      </c>
      <c r="H814" s="112" t="s">
        <v>1015</v>
      </c>
      <c r="I814" s="112" t="s">
        <v>1116</v>
      </c>
      <c r="J814" s="112" t="s">
        <v>1288</v>
      </c>
      <c r="K814" s="112" t="s">
        <v>1098</v>
      </c>
      <c r="L814" s="116">
        <v>2981.92</v>
      </c>
    </row>
    <row r="815" spans="1:12" hidden="1" outlineLevel="1" collapsed="1" x14ac:dyDescent="0.35">
      <c r="A815" s="112" t="s">
        <v>1185</v>
      </c>
      <c r="B815" s="112" t="s">
        <v>896</v>
      </c>
      <c r="C815" s="112" t="s">
        <v>1095</v>
      </c>
      <c r="D815" s="113">
        <v>10348451</v>
      </c>
      <c r="E815" s="115">
        <v>43949</v>
      </c>
      <c r="F815" s="114">
        <v>202101</v>
      </c>
      <c r="G815" s="112" t="s">
        <v>1091</v>
      </c>
      <c r="H815" s="112" t="s">
        <v>1015</v>
      </c>
      <c r="I815" s="112" t="s">
        <v>1116</v>
      </c>
      <c r="J815" s="112" t="s">
        <v>1288</v>
      </c>
      <c r="K815" s="112" t="s">
        <v>1098</v>
      </c>
      <c r="L815" s="116">
        <v>3717</v>
      </c>
    </row>
    <row r="816" spans="1:12" hidden="1" outlineLevel="1" collapsed="1" x14ac:dyDescent="0.35">
      <c r="A816" s="112" t="s">
        <v>1185</v>
      </c>
      <c r="B816" s="112" t="s">
        <v>896</v>
      </c>
      <c r="C816" s="112" t="s">
        <v>1095</v>
      </c>
      <c r="D816" s="113">
        <v>10348451</v>
      </c>
      <c r="E816" s="115">
        <v>43949</v>
      </c>
      <c r="F816" s="114">
        <v>202101</v>
      </c>
      <c r="G816" s="112" t="s">
        <v>1091</v>
      </c>
      <c r="H816" s="112" t="s">
        <v>1015</v>
      </c>
      <c r="I816" s="112" t="s">
        <v>1116</v>
      </c>
      <c r="J816" s="112" t="s">
        <v>1195</v>
      </c>
      <c r="K816" s="112" t="s">
        <v>1098</v>
      </c>
      <c r="L816" s="116">
        <v>2259.5</v>
      </c>
    </row>
    <row r="817" spans="1:12" hidden="1" outlineLevel="1" collapsed="1" x14ac:dyDescent="0.35">
      <c r="A817" s="112" t="s">
        <v>1185</v>
      </c>
      <c r="B817" s="112" t="s">
        <v>896</v>
      </c>
      <c r="C817" s="112" t="s">
        <v>1095</v>
      </c>
      <c r="D817" s="113">
        <v>10348451</v>
      </c>
      <c r="E817" s="115">
        <v>43949</v>
      </c>
      <c r="F817" s="114">
        <v>202101</v>
      </c>
      <c r="G817" s="112" t="s">
        <v>1091</v>
      </c>
      <c r="H817" s="112" t="s">
        <v>1015</v>
      </c>
      <c r="I817" s="112" t="s">
        <v>1116</v>
      </c>
      <c r="J817" s="112" t="s">
        <v>1199</v>
      </c>
      <c r="K817" s="112" t="s">
        <v>1098</v>
      </c>
      <c r="L817" s="116">
        <v>2981.92</v>
      </c>
    </row>
    <row r="818" spans="1:12" hidden="1" outlineLevel="1" collapsed="1" x14ac:dyDescent="0.35">
      <c r="A818" s="112" t="s">
        <v>1185</v>
      </c>
      <c r="B818" s="112" t="s">
        <v>896</v>
      </c>
      <c r="C818" s="112" t="s">
        <v>1095</v>
      </c>
      <c r="D818" s="113">
        <v>10348451</v>
      </c>
      <c r="E818" s="115">
        <v>43949</v>
      </c>
      <c r="F818" s="114">
        <v>202101</v>
      </c>
      <c r="G818" s="112" t="s">
        <v>1091</v>
      </c>
      <c r="H818" s="112" t="s">
        <v>1015</v>
      </c>
      <c r="I818" s="112" t="s">
        <v>1116</v>
      </c>
      <c r="J818" s="112" t="s">
        <v>1199</v>
      </c>
      <c r="K818" s="112" t="s">
        <v>1098</v>
      </c>
      <c r="L818" s="116">
        <v>2323.3200000000002</v>
      </c>
    </row>
    <row r="819" spans="1:12" hidden="1" outlineLevel="1" collapsed="1" x14ac:dyDescent="0.35">
      <c r="A819" s="112" t="s">
        <v>1185</v>
      </c>
      <c r="B819" s="112" t="s">
        <v>896</v>
      </c>
      <c r="C819" s="112" t="s">
        <v>1095</v>
      </c>
      <c r="D819" s="113">
        <v>10348451</v>
      </c>
      <c r="E819" s="115">
        <v>43949</v>
      </c>
      <c r="F819" s="114">
        <v>202101</v>
      </c>
      <c r="G819" s="112" t="s">
        <v>1091</v>
      </c>
      <c r="H819" s="112" t="s">
        <v>1015</v>
      </c>
      <c r="I819" s="112" t="s">
        <v>1116</v>
      </c>
      <c r="J819" s="112" t="s">
        <v>1199</v>
      </c>
      <c r="K819" s="112" t="s">
        <v>1098</v>
      </c>
      <c r="L819" s="116">
        <v>2259.5</v>
      </c>
    </row>
    <row r="820" spans="1:12" hidden="1" outlineLevel="1" collapsed="1" x14ac:dyDescent="0.35">
      <c r="A820" s="112" t="s">
        <v>1185</v>
      </c>
      <c r="B820" s="112" t="s">
        <v>896</v>
      </c>
      <c r="C820" s="112" t="s">
        <v>1095</v>
      </c>
      <c r="D820" s="113">
        <v>10348451</v>
      </c>
      <c r="E820" s="115">
        <v>43949</v>
      </c>
      <c r="F820" s="114">
        <v>202101</v>
      </c>
      <c r="G820" s="112" t="s">
        <v>1091</v>
      </c>
      <c r="H820" s="112" t="s">
        <v>1015</v>
      </c>
      <c r="I820" s="112" t="s">
        <v>1116</v>
      </c>
      <c r="J820" s="112" t="s">
        <v>1199</v>
      </c>
      <c r="K820" s="112" t="s">
        <v>1098</v>
      </c>
      <c r="L820" s="116">
        <v>1938.56</v>
      </c>
    </row>
    <row r="821" spans="1:12" hidden="1" outlineLevel="1" collapsed="1" x14ac:dyDescent="0.35">
      <c r="A821" s="112" t="s">
        <v>1185</v>
      </c>
      <c r="B821" s="112" t="s">
        <v>1192</v>
      </c>
      <c r="C821" s="112" t="s">
        <v>1095</v>
      </c>
      <c r="D821" s="113">
        <v>10348451</v>
      </c>
      <c r="E821" s="115">
        <v>43949</v>
      </c>
      <c r="F821" s="114">
        <v>202101</v>
      </c>
      <c r="G821" s="112" t="s">
        <v>1091</v>
      </c>
      <c r="H821" s="112" t="s">
        <v>1015</v>
      </c>
      <c r="I821" s="112" t="s">
        <v>1116</v>
      </c>
      <c r="J821" s="112" t="s">
        <v>1198</v>
      </c>
      <c r="K821" s="112" t="s">
        <v>1098</v>
      </c>
      <c r="L821" s="116">
        <v>2981.92</v>
      </c>
    </row>
    <row r="822" spans="1:12" hidden="1" outlineLevel="1" collapsed="1" x14ac:dyDescent="0.35">
      <c r="A822" s="112" t="s">
        <v>1185</v>
      </c>
      <c r="B822" s="112" t="s">
        <v>897</v>
      </c>
      <c r="C822" s="112" t="s">
        <v>1099</v>
      </c>
      <c r="D822" s="113">
        <v>1069374</v>
      </c>
      <c r="E822" s="115">
        <v>43920</v>
      </c>
      <c r="F822" s="114">
        <v>202101</v>
      </c>
      <c r="G822" s="112" t="s">
        <v>1091</v>
      </c>
      <c r="H822" s="112" t="s">
        <v>1015</v>
      </c>
      <c r="I822" s="112" t="s">
        <v>1124</v>
      </c>
      <c r="J822" s="112" t="s">
        <v>1186</v>
      </c>
      <c r="K822" s="112" t="s">
        <v>1405</v>
      </c>
      <c r="L822" s="116">
        <v>422</v>
      </c>
    </row>
    <row r="823" spans="1:12" hidden="1" outlineLevel="1" collapsed="1" x14ac:dyDescent="0.35">
      <c r="A823" s="112" t="s">
        <v>1185</v>
      </c>
      <c r="B823" s="112" t="s">
        <v>897</v>
      </c>
      <c r="C823" s="112" t="s">
        <v>1095</v>
      </c>
      <c r="D823" s="113">
        <v>10348451</v>
      </c>
      <c r="E823" s="115">
        <v>43949</v>
      </c>
      <c r="F823" s="114">
        <v>202101</v>
      </c>
      <c r="G823" s="112" t="s">
        <v>1091</v>
      </c>
      <c r="H823" s="112" t="s">
        <v>1015</v>
      </c>
      <c r="I823" s="112" t="s">
        <v>1116</v>
      </c>
      <c r="J823" s="112" t="s">
        <v>1191</v>
      </c>
      <c r="K823" s="112" t="s">
        <v>1098</v>
      </c>
      <c r="L823" s="116">
        <v>1944.42</v>
      </c>
    </row>
    <row r="824" spans="1:12" hidden="1" outlineLevel="1" collapsed="1" x14ac:dyDescent="0.35">
      <c r="A824" s="112" t="s">
        <v>1185</v>
      </c>
      <c r="B824" s="112" t="s">
        <v>898</v>
      </c>
      <c r="C824" s="112" t="s">
        <v>1095</v>
      </c>
      <c r="D824" s="113">
        <v>10348451</v>
      </c>
      <c r="E824" s="115">
        <v>43949</v>
      </c>
      <c r="F824" s="114">
        <v>202101</v>
      </c>
      <c r="G824" s="112" t="s">
        <v>1091</v>
      </c>
      <c r="H824" s="112" t="s">
        <v>1015</v>
      </c>
      <c r="I824" s="112" t="s">
        <v>1116</v>
      </c>
      <c r="J824" s="112" t="s">
        <v>1207</v>
      </c>
      <c r="K824" s="112" t="s">
        <v>1098</v>
      </c>
      <c r="L824" s="116">
        <v>2113.4499999999998</v>
      </c>
    </row>
    <row r="825" spans="1:12" hidden="1" outlineLevel="1" collapsed="1" x14ac:dyDescent="0.35">
      <c r="A825" s="112" t="s">
        <v>1185</v>
      </c>
      <c r="B825" s="112" t="s">
        <v>897</v>
      </c>
      <c r="C825" s="112" t="s">
        <v>1095</v>
      </c>
      <c r="D825" s="113">
        <v>10348451</v>
      </c>
      <c r="E825" s="115">
        <v>43949</v>
      </c>
      <c r="F825" s="114">
        <v>202101</v>
      </c>
      <c r="G825" s="112" t="s">
        <v>1091</v>
      </c>
      <c r="H825" s="112" t="s">
        <v>1015</v>
      </c>
      <c r="I825" s="112" t="s">
        <v>1116</v>
      </c>
      <c r="J825" s="112" t="s">
        <v>1191</v>
      </c>
      <c r="K825" s="112" t="s">
        <v>1098</v>
      </c>
      <c r="L825" s="116">
        <v>1832.03</v>
      </c>
    </row>
    <row r="826" spans="1:12" hidden="1" outlineLevel="1" collapsed="1" x14ac:dyDescent="0.35">
      <c r="A826" s="112" t="s">
        <v>1185</v>
      </c>
      <c r="B826" s="112" t="s">
        <v>897</v>
      </c>
      <c r="C826" s="112" t="s">
        <v>1095</v>
      </c>
      <c r="D826" s="113">
        <v>10348451</v>
      </c>
      <c r="E826" s="115">
        <v>43949</v>
      </c>
      <c r="F826" s="114">
        <v>202101</v>
      </c>
      <c r="G826" s="112" t="s">
        <v>1091</v>
      </c>
      <c r="H826" s="112" t="s">
        <v>1015</v>
      </c>
      <c r="I826" s="112" t="s">
        <v>1116</v>
      </c>
      <c r="J826" s="112" t="s">
        <v>1191</v>
      </c>
      <c r="K826" s="112" t="s">
        <v>1098</v>
      </c>
      <c r="L826" s="116">
        <v>1671.75</v>
      </c>
    </row>
    <row r="827" spans="1:12" hidden="1" outlineLevel="1" collapsed="1" x14ac:dyDescent="0.35">
      <c r="A827" s="112" t="s">
        <v>1185</v>
      </c>
      <c r="B827" s="112" t="s">
        <v>897</v>
      </c>
      <c r="C827" s="112" t="s">
        <v>1095</v>
      </c>
      <c r="D827" s="113">
        <v>10348451</v>
      </c>
      <c r="E827" s="115">
        <v>43949</v>
      </c>
      <c r="F827" s="114">
        <v>202101</v>
      </c>
      <c r="G827" s="112" t="s">
        <v>1091</v>
      </c>
      <c r="H827" s="112" t="s">
        <v>1015</v>
      </c>
      <c r="I827" s="112" t="s">
        <v>1116</v>
      </c>
      <c r="J827" s="112" t="s">
        <v>1191</v>
      </c>
      <c r="K827" s="112" t="s">
        <v>1098</v>
      </c>
      <c r="L827" s="116">
        <v>1550.28</v>
      </c>
    </row>
    <row r="828" spans="1:12" hidden="1" outlineLevel="1" collapsed="1" x14ac:dyDescent="0.35">
      <c r="A828" s="112" t="s">
        <v>1185</v>
      </c>
      <c r="B828" s="112" t="s">
        <v>897</v>
      </c>
      <c r="C828" s="112" t="s">
        <v>1095</v>
      </c>
      <c r="D828" s="113">
        <v>10348451</v>
      </c>
      <c r="E828" s="115">
        <v>43949</v>
      </c>
      <c r="F828" s="114">
        <v>202101</v>
      </c>
      <c r="G828" s="112" t="s">
        <v>1091</v>
      </c>
      <c r="H828" s="112" t="s">
        <v>1015</v>
      </c>
      <c r="I828" s="112" t="s">
        <v>1116</v>
      </c>
      <c r="J828" s="112" t="s">
        <v>1191</v>
      </c>
      <c r="K828" s="112" t="s">
        <v>1098</v>
      </c>
      <c r="L828" s="116">
        <v>4871.08</v>
      </c>
    </row>
    <row r="829" spans="1:12" hidden="1" outlineLevel="1" collapsed="1" x14ac:dyDescent="0.35">
      <c r="A829" s="112" t="s">
        <v>1185</v>
      </c>
      <c r="B829" s="112" t="s">
        <v>897</v>
      </c>
      <c r="C829" s="112" t="s">
        <v>1095</v>
      </c>
      <c r="D829" s="113">
        <v>10348451</v>
      </c>
      <c r="E829" s="115">
        <v>43949</v>
      </c>
      <c r="F829" s="114">
        <v>202101</v>
      </c>
      <c r="G829" s="112" t="s">
        <v>1091</v>
      </c>
      <c r="H829" s="112" t="s">
        <v>1015</v>
      </c>
      <c r="I829" s="112" t="s">
        <v>1116</v>
      </c>
      <c r="J829" s="112" t="s">
        <v>1191</v>
      </c>
      <c r="K829" s="112" t="s">
        <v>1098</v>
      </c>
      <c r="L829" s="116">
        <v>2631.25</v>
      </c>
    </row>
    <row r="830" spans="1:12" hidden="1" outlineLevel="1" collapsed="1" x14ac:dyDescent="0.35">
      <c r="A830" s="112" t="s">
        <v>1185</v>
      </c>
      <c r="B830" s="112" t="s">
        <v>897</v>
      </c>
      <c r="C830" s="112" t="s">
        <v>1095</v>
      </c>
      <c r="D830" s="113">
        <v>10348451</v>
      </c>
      <c r="E830" s="115">
        <v>43949</v>
      </c>
      <c r="F830" s="114">
        <v>202101</v>
      </c>
      <c r="G830" s="112" t="s">
        <v>1091</v>
      </c>
      <c r="H830" s="112" t="s">
        <v>1015</v>
      </c>
      <c r="I830" s="112" t="s">
        <v>1116</v>
      </c>
      <c r="J830" s="112" t="s">
        <v>1191</v>
      </c>
      <c r="K830" s="112" t="s">
        <v>1098</v>
      </c>
      <c r="L830" s="116">
        <v>3391.33</v>
      </c>
    </row>
    <row r="831" spans="1:12" hidden="1" outlineLevel="1" collapsed="1" x14ac:dyDescent="0.35">
      <c r="A831" s="112" t="s">
        <v>1185</v>
      </c>
      <c r="B831" s="112" t="s">
        <v>897</v>
      </c>
      <c r="C831" s="112" t="s">
        <v>1095</v>
      </c>
      <c r="D831" s="113">
        <v>10348451</v>
      </c>
      <c r="E831" s="115">
        <v>43949</v>
      </c>
      <c r="F831" s="114">
        <v>202101</v>
      </c>
      <c r="G831" s="112" t="s">
        <v>1091</v>
      </c>
      <c r="H831" s="112" t="s">
        <v>1015</v>
      </c>
      <c r="I831" s="112" t="s">
        <v>1116</v>
      </c>
      <c r="J831" s="112" t="s">
        <v>1191</v>
      </c>
      <c r="K831" s="112" t="s">
        <v>1098</v>
      </c>
      <c r="L831" s="116">
        <v>1944.42</v>
      </c>
    </row>
    <row r="832" spans="1:12" hidden="1" outlineLevel="1" collapsed="1" x14ac:dyDescent="0.35">
      <c r="A832" s="112" t="s">
        <v>1185</v>
      </c>
      <c r="B832" s="112" t="s">
        <v>897</v>
      </c>
      <c r="C832" s="112" t="s">
        <v>1095</v>
      </c>
      <c r="D832" s="113">
        <v>10348451</v>
      </c>
      <c r="E832" s="115">
        <v>43949</v>
      </c>
      <c r="F832" s="114">
        <v>202101</v>
      </c>
      <c r="G832" s="112" t="s">
        <v>1091</v>
      </c>
      <c r="H832" s="112" t="s">
        <v>1015</v>
      </c>
      <c r="I832" s="112" t="s">
        <v>1116</v>
      </c>
      <c r="J832" s="112" t="s">
        <v>1191</v>
      </c>
      <c r="K832" s="112" t="s">
        <v>1098</v>
      </c>
      <c r="L832" s="116">
        <v>1679.36</v>
      </c>
    </row>
    <row r="833" spans="1:12" hidden="1" outlineLevel="1" collapsed="1" x14ac:dyDescent="0.35">
      <c r="A833" s="112" t="s">
        <v>1185</v>
      </c>
      <c r="B833" s="112" t="s">
        <v>897</v>
      </c>
      <c r="C833" s="112" t="s">
        <v>203</v>
      </c>
      <c r="D833" s="113">
        <v>10348453</v>
      </c>
      <c r="E833" s="115">
        <v>43948</v>
      </c>
      <c r="F833" s="114">
        <v>202101</v>
      </c>
      <c r="G833" s="112" t="s">
        <v>1091</v>
      </c>
      <c r="H833" s="112" t="s">
        <v>1015</v>
      </c>
      <c r="I833" s="112" t="s">
        <v>1116</v>
      </c>
      <c r="J833" s="112" t="s">
        <v>1191</v>
      </c>
      <c r="K833" s="112" t="s">
        <v>1098</v>
      </c>
      <c r="L833" s="116">
        <v>159.82</v>
      </c>
    </row>
    <row r="834" spans="1:12" hidden="1" outlineLevel="1" collapsed="1" x14ac:dyDescent="0.35">
      <c r="A834" s="112" t="s">
        <v>1185</v>
      </c>
      <c r="B834" s="112" t="s">
        <v>897</v>
      </c>
      <c r="C834" s="112" t="s">
        <v>1095</v>
      </c>
      <c r="D834" s="113">
        <v>10348451</v>
      </c>
      <c r="E834" s="115">
        <v>43949</v>
      </c>
      <c r="F834" s="114">
        <v>202101</v>
      </c>
      <c r="G834" s="112" t="s">
        <v>1091</v>
      </c>
      <c r="H834" s="112" t="s">
        <v>1015</v>
      </c>
      <c r="I834" s="112" t="s">
        <v>1116</v>
      </c>
      <c r="J834" s="112" t="s">
        <v>1191</v>
      </c>
      <c r="K834" s="112" t="s">
        <v>1098</v>
      </c>
      <c r="L834" s="116">
        <v>1150.95</v>
      </c>
    </row>
    <row r="835" spans="1:12" hidden="1" outlineLevel="1" collapsed="1" x14ac:dyDescent="0.35">
      <c r="A835" s="112" t="s">
        <v>1185</v>
      </c>
      <c r="B835" s="112" t="s">
        <v>897</v>
      </c>
      <c r="C835" s="112" t="s">
        <v>1095</v>
      </c>
      <c r="D835" s="113">
        <v>10348451</v>
      </c>
      <c r="E835" s="115">
        <v>43949</v>
      </c>
      <c r="F835" s="114">
        <v>202101</v>
      </c>
      <c r="G835" s="112" t="s">
        <v>1091</v>
      </c>
      <c r="H835" s="112" t="s">
        <v>1015</v>
      </c>
      <c r="I835" s="112" t="s">
        <v>1116</v>
      </c>
      <c r="J835" s="112" t="s">
        <v>1191</v>
      </c>
      <c r="K835" s="112" t="s">
        <v>1098</v>
      </c>
      <c r="L835" s="116">
        <v>2259.5</v>
      </c>
    </row>
    <row r="836" spans="1:12" hidden="1" outlineLevel="1" collapsed="1" x14ac:dyDescent="0.35">
      <c r="A836" s="112" t="s">
        <v>1185</v>
      </c>
      <c r="B836" s="112" t="s">
        <v>897</v>
      </c>
      <c r="C836" s="112" t="s">
        <v>1095</v>
      </c>
      <c r="D836" s="113">
        <v>10348451</v>
      </c>
      <c r="E836" s="115">
        <v>43949</v>
      </c>
      <c r="F836" s="114">
        <v>202101</v>
      </c>
      <c r="G836" s="112" t="s">
        <v>1091</v>
      </c>
      <c r="H836" s="112" t="s">
        <v>1015</v>
      </c>
      <c r="I836" s="112" t="s">
        <v>1116</v>
      </c>
      <c r="J836" s="112" t="s">
        <v>1191</v>
      </c>
      <c r="K836" s="112" t="s">
        <v>1098</v>
      </c>
      <c r="L836" s="116">
        <v>972.21</v>
      </c>
    </row>
    <row r="837" spans="1:12" hidden="1" outlineLevel="1" collapsed="1" x14ac:dyDescent="0.35">
      <c r="A837" s="112" t="s">
        <v>1185</v>
      </c>
      <c r="B837" s="112" t="s">
        <v>898</v>
      </c>
      <c r="C837" s="112" t="s">
        <v>1095</v>
      </c>
      <c r="D837" s="113">
        <v>10348451</v>
      </c>
      <c r="E837" s="115">
        <v>43949</v>
      </c>
      <c r="F837" s="114">
        <v>202101</v>
      </c>
      <c r="G837" s="112" t="s">
        <v>1091</v>
      </c>
      <c r="H837" s="112" t="s">
        <v>1015</v>
      </c>
      <c r="I837" s="112" t="s">
        <v>1116</v>
      </c>
      <c r="J837" s="112" t="s">
        <v>1207</v>
      </c>
      <c r="K837" s="112" t="s">
        <v>1098</v>
      </c>
      <c r="L837" s="116">
        <v>1355.7</v>
      </c>
    </row>
    <row r="838" spans="1:12" hidden="1" outlineLevel="1" collapsed="1" x14ac:dyDescent="0.35">
      <c r="A838" s="112" t="s">
        <v>1185</v>
      </c>
      <c r="B838" s="112" t="s">
        <v>897</v>
      </c>
      <c r="C838" s="112" t="s">
        <v>1095</v>
      </c>
      <c r="D838" s="113">
        <v>10348451</v>
      </c>
      <c r="E838" s="115">
        <v>43949</v>
      </c>
      <c r="F838" s="114">
        <v>202101</v>
      </c>
      <c r="G838" s="112" t="s">
        <v>1091</v>
      </c>
      <c r="H838" s="112" t="s">
        <v>1015</v>
      </c>
      <c r="I838" s="112" t="s">
        <v>1116</v>
      </c>
      <c r="J838" s="112" t="s">
        <v>1191</v>
      </c>
      <c r="K838" s="112" t="s">
        <v>1098</v>
      </c>
      <c r="L838" s="116">
        <v>1807.6</v>
      </c>
    </row>
    <row r="839" spans="1:12" hidden="1" outlineLevel="1" collapsed="1" x14ac:dyDescent="0.35">
      <c r="A839" s="112" t="s">
        <v>1185</v>
      </c>
      <c r="B839" s="112" t="s">
        <v>897</v>
      </c>
      <c r="C839" s="112" t="s">
        <v>1095</v>
      </c>
      <c r="D839" s="113">
        <v>10348451</v>
      </c>
      <c r="E839" s="115">
        <v>43949</v>
      </c>
      <c r="F839" s="114">
        <v>202101</v>
      </c>
      <c r="G839" s="112" t="s">
        <v>1091</v>
      </c>
      <c r="H839" s="112" t="s">
        <v>1015</v>
      </c>
      <c r="I839" s="112" t="s">
        <v>1116</v>
      </c>
      <c r="J839" s="112" t="s">
        <v>1191</v>
      </c>
      <c r="K839" s="112" t="s">
        <v>1098</v>
      </c>
      <c r="L839" s="116">
        <v>1576.55</v>
      </c>
    </row>
    <row r="840" spans="1:12" hidden="1" outlineLevel="1" collapsed="1" x14ac:dyDescent="0.35">
      <c r="A840" s="112" t="s">
        <v>1185</v>
      </c>
      <c r="B840" s="112" t="s">
        <v>897</v>
      </c>
      <c r="C840" s="112" t="s">
        <v>1095</v>
      </c>
      <c r="D840" s="113">
        <v>10348451</v>
      </c>
      <c r="E840" s="115">
        <v>43949</v>
      </c>
      <c r="F840" s="114">
        <v>202101</v>
      </c>
      <c r="G840" s="112" t="s">
        <v>1091</v>
      </c>
      <c r="H840" s="112" t="s">
        <v>1015</v>
      </c>
      <c r="I840" s="112" t="s">
        <v>1116</v>
      </c>
      <c r="J840" s="112" t="s">
        <v>1191</v>
      </c>
      <c r="K840" s="112" t="s">
        <v>1098</v>
      </c>
      <c r="L840" s="116">
        <v>1656.92</v>
      </c>
    </row>
    <row r="841" spans="1:12" hidden="1" outlineLevel="1" collapsed="1" x14ac:dyDescent="0.35">
      <c r="A841" s="112" t="s">
        <v>1185</v>
      </c>
      <c r="B841" s="112" t="s">
        <v>897</v>
      </c>
      <c r="C841" s="112" t="s">
        <v>1095</v>
      </c>
      <c r="D841" s="113">
        <v>10348451</v>
      </c>
      <c r="E841" s="115">
        <v>43949</v>
      </c>
      <c r="F841" s="114">
        <v>202101</v>
      </c>
      <c r="G841" s="112" t="s">
        <v>1091</v>
      </c>
      <c r="H841" s="112" t="s">
        <v>1015</v>
      </c>
      <c r="I841" s="112" t="s">
        <v>1116</v>
      </c>
      <c r="J841" s="112" t="s">
        <v>1191</v>
      </c>
      <c r="K841" s="112" t="s">
        <v>1098</v>
      </c>
      <c r="L841" s="116">
        <v>1671.75</v>
      </c>
    </row>
    <row r="842" spans="1:12" hidden="1" outlineLevel="1" collapsed="1" x14ac:dyDescent="0.35">
      <c r="A842" s="112" t="s">
        <v>1185</v>
      </c>
      <c r="B842" s="112" t="s">
        <v>897</v>
      </c>
      <c r="C842" s="112" t="s">
        <v>1095</v>
      </c>
      <c r="D842" s="113">
        <v>10348451</v>
      </c>
      <c r="E842" s="115">
        <v>43949</v>
      </c>
      <c r="F842" s="114">
        <v>202101</v>
      </c>
      <c r="G842" s="112" t="s">
        <v>1091</v>
      </c>
      <c r="H842" s="112" t="s">
        <v>1015</v>
      </c>
      <c r="I842" s="112" t="s">
        <v>1116</v>
      </c>
      <c r="J842" s="112" t="s">
        <v>1191</v>
      </c>
      <c r="K842" s="112" t="s">
        <v>1098</v>
      </c>
      <c r="L842" s="116">
        <v>1671.75</v>
      </c>
    </row>
    <row r="843" spans="1:12" hidden="1" outlineLevel="1" collapsed="1" x14ac:dyDescent="0.35">
      <c r="A843" s="112" t="s">
        <v>1185</v>
      </c>
      <c r="B843" s="112" t="s">
        <v>897</v>
      </c>
      <c r="C843" s="112" t="s">
        <v>1095</v>
      </c>
      <c r="D843" s="113">
        <v>10348451</v>
      </c>
      <c r="E843" s="115">
        <v>43949</v>
      </c>
      <c r="F843" s="114">
        <v>202101</v>
      </c>
      <c r="G843" s="112" t="s">
        <v>1091</v>
      </c>
      <c r="H843" s="112" t="s">
        <v>1015</v>
      </c>
      <c r="I843" s="112" t="s">
        <v>1116</v>
      </c>
      <c r="J843" s="112" t="s">
        <v>1191</v>
      </c>
      <c r="K843" s="112" t="s">
        <v>1098</v>
      </c>
      <c r="L843" s="116">
        <v>1944.42</v>
      </c>
    </row>
    <row r="844" spans="1:12" hidden="1" outlineLevel="1" collapsed="1" x14ac:dyDescent="0.35">
      <c r="A844" s="112" t="s">
        <v>1185</v>
      </c>
      <c r="B844" s="112" t="s">
        <v>897</v>
      </c>
      <c r="C844" s="112" t="s">
        <v>1095</v>
      </c>
      <c r="D844" s="113">
        <v>10348451</v>
      </c>
      <c r="E844" s="115">
        <v>43949</v>
      </c>
      <c r="F844" s="114">
        <v>202101</v>
      </c>
      <c r="G844" s="112" t="s">
        <v>1091</v>
      </c>
      <c r="H844" s="112" t="s">
        <v>1015</v>
      </c>
      <c r="I844" s="112" t="s">
        <v>1116</v>
      </c>
      <c r="J844" s="112" t="s">
        <v>1191</v>
      </c>
      <c r="K844" s="112" t="s">
        <v>1098</v>
      </c>
      <c r="L844" s="116">
        <v>2259.5</v>
      </c>
    </row>
    <row r="845" spans="1:12" hidden="1" outlineLevel="1" collapsed="1" x14ac:dyDescent="0.35">
      <c r="A845" s="112" t="s">
        <v>1185</v>
      </c>
      <c r="B845" s="112" t="s">
        <v>897</v>
      </c>
      <c r="C845" s="112" t="s">
        <v>1095</v>
      </c>
      <c r="D845" s="113">
        <v>10348451</v>
      </c>
      <c r="E845" s="115">
        <v>43949</v>
      </c>
      <c r="F845" s="114">
        <v>202101</v>
      </c>
      <c r="G845" s="112" t="s">
        <v>1091</v>
      </c>
      <c r="H845" s="112" t="s">
        <v>1015</v>
      </c>
      <c r="I845" s="112" t="s">
        <v>1116</v>
      </c>
      <c r="J845" s="112" t="s">
        <v>1191</v>
      </c>
      <c r="K845" s="112" t="s">
        <v>1098</v>
      </c>
      <c r="L845" s="116">
        <v>1671.75</v>
      </c>
    </row>
    <row r="846" spans="1:12" hidden="1" outlineLevel="1" collapsed="1" x14ac:dyDescent="0.35">
      <c r="A846" s="112" t="s">
        <v>1185</v>
      </c>
      <c r="B846" s="112" t="s">
        <v>897</v>
      </c>
      <c r="C846" s="112" t="s">
        <v>1095</v>
      </c>
      <c r="D846" s="113">
        <v>10348451</v>
      </c>
      <c r="E846" s="115">
        <v>43949</v>
      </c>
      <c r="F846" s="114">
        <v>202101</v>
      </c>
      <c r="G846" s="112" t="s">
        <v>1091</v>
      </c>
      <c r="H846" s="112" t="s">
        <v>1015</v>
      </c>
      <c r="I846" s="112" t="s">
        <v>1116</v>
      </c>
      <c r="J846" s="112" t="s">
        <v>1191</v>
      </c>
      <c r="K846" s="112" t="s">
        <v>1098</v>
      </c>
      <c r="L846" s="116">
        <v>1944.42</v>
      </c>
    </row>
    <row r="847" spans="1:12" hidden="1" outlineLevel="1" collapsed="1" x14ac:dyDescent="0.35">
      <c r="A847" s="112" t="s">
        <v>1185</v>
      </c>
      <c r="B847" s="112" t="s">
        <v>897</v>
      </c>
      <c r="C847" s="112" t="s">
        <v>1095</v>
      </c>
      <c r="D847" s="113">
        <v>10348451</v>
      </c>
      <c r="E847" s="115">
        <v>43949</v>
      </c>
      <c r="F847" s="114">
        <v>202101</v>
      </c>
      <c r="G847" s="112" t="s">
        <v>1091</v>
      </c>
      <c r="H847" s="112" t="s">
        <v>1015</v>
      </c>
      <c r="I847" s="112" t="s">
        <v>1116</v>
      </c>
      <c r="J847" s="112" t="s">
        <v>1191</v>
      </c>
      <c r="K847" s="112" t="s">
        <v>1098</v>
      </c>
      <c r="L847" s="116">
        <v>1944.42</v>
      </c>
    </row>
    <row r="848" spans="1:12" hidden="1" outlineLevel="1" collapsed="1" x14ac:dyDescent="0.35">
      <c r="A848" s="112" t="s">
        <v>1185</v>
      </c>
      <c r="B848" s="112" t="s">
        <v>897</v>
      </c>
      <c r="C848" s="112" t="s">
        <v>1095</v>
      </c>
      <c r="D848" s="113">
        <v>10348451</v>
      </c>
      <c r="E848" s="115">
        <v>43949</v>
      </c>
      <c r="F848" s="114">
        <v>202101</v>
      </c>
      <c r="G848" s="112" t="s">
        <v>1091</v>
      </c>
      <c r="H848" s="112" t="s">
        <v>1015</v>
      </c>
      <c r="I848" s="112" t="s">
        <v>1116</v>
      </c>
      <c r="J848" s="112" t="s">
        <v>1191</v>
      </c>
      <c r="K848" s="112" t="s">
        <v>1098</v>
      </c>
      <c r="L848" s="116">
        <v>1166.6500000000001</v>
      </c>
    </row>
    <row r="849" spans="1:12" hidden="1" outlineLevel="1" collapsed="1" x14ac:dyDescent="0.35">
      <c r="A849" s="112" t="s">
        <v>1185</v>
      </c>
      <c r="B849" s="112" t="s">
        <v>897</v>
      </c>
      <c r="C849" s="112" t="s">
        <v>1095</v>
      </c>
      <c r="D849" s="113">
        <v>10348451</v>
      </c>
      <c r="E849" s="115">
        <v>43949</v>
      </c>
      <c r="F849" s="114">
        <v>202101</v>
      </c>
      <c r="G849" s="112" t="s">
        <v>1091</v>
      </c>
      <c r="H849" s="112" t="s">
        <v>1015</v>
      </c>
      <c r="I849" s="112" t="s">
        <v>1116</v>
      </c>
      <c r="J849" s="112" t="s">
        <v>1191</v>
      </c>
      <c r="K849" s="112" t="s">
        <v>1098</v>
      </c>
      <c r="L849" s="116">
        <v>1135.22</v>
      </c>
    </row>
    <row r="850" spans="1:12" hidden="1" outlineLevel="1" collapsed="1" x14ac:dyDescent="0.35">
      <c r="A850" s="112" t="s">
        <v>1185</v>
      </c>
      <c r="B850" s="112" t="s">
        <v>897</v>
      </c>
      <c r="C850" s="112" t="s">
        <v>1095</v>
      </c>
      <c r="D850" s="113">
        <v>10348451</v>
      </c>
      <c r="E850" s="115">
        <v>43949</v>
      </c>
      <c r="F850" s="114">
        <v>202101</v>
      </c>
      <c r="G850" s="112" t="s">
        <v>1091</v>
      </c>
      <c r="H850" s="112" t="s">
        <v>1015</v>
      </c>
      <c r="I850" s="112" t="s">
        <v>1116</v>
      </c>
      <c r="J850" s="112" t="s">
        <v>1191</v>
      </c>
      <c r="K850" s="112" t="s">
        <v>1098</v>
      </c>
      <c r="L850" s="116">
        <v>1944.42</v>
      </c>
    </row>
    <row r="851" spans="1:12" hidden="1" outlineLevel="1" collapsed="1" x14ac:dyDescent="0.35">
      <c r="A851" s="112" t="s">
        <v>1185</v>
      </c>
      <c r="B851" s="112" t="s">
        <v>897</v>
      </c>
      <c r="C851" s="112" t="s">
        <v>1095</v>
      </c>
      <c r="D851" s="113">
        <v>10348451</v>
      </c>
      <c r="E851" s="115">
        <v>43949</v>
      </c>
      <c r="F851" s="114">
        <v>202101</v>
      </c>
      <c r="G851" s="112" t="s">
        <v>1091</v>
      </c>
      <c r="H851" s="112" t="s">
        <v>1015</v>
      </c>
      <c r="I851" s="112" t="s">
        <v>1116</v>
      </c>
      <c r="J851" s="112" t="s">
        <v>1191</v>
      </c>
      <c r="K851" s="112" t="s">
        <v>1098</v>
      </c>
      <c r="L851" s="116">
        <v>1023.06</v>
      </c>
    </row>
    <row r="852" spans="1:12" hidden="1" outlineLevel="1" collapsed="1" x14ac:dyDescent="0.35">
      <c r="A852" s="112" t="s">
        <v>1185</v>
      </c>
      <c r="B852" s="112" t="s">
        <v>898</v>
      </c>
      <c r="C852" s="112" t="s">
        <v>1095</v>
      </c>
      <c r="D852" s="113">
        <v>10348451</v>
      </c>
      <c r="E852" s="115">
        <v>43949</v>
      </c>
      <c r="F852" s="114">
        <v>202101</v>
      </c>
      <c r="G852" s="112" t="s">
        <v>1091</v>
      </c>
      <c r="H852" s="112" t="s">
        <v>1015</v>
      </c>
      <c r="I852" s="112" t="s">
        <v>1116</v>
      </c>
      <c r="J852" s="112" t="s">
        <v>1207</v>
      </c>
      <c r="K852" s="112" t="s">
        <v>1098</v>
      </c>
      <c r="L852" s="116">
        <v>1832.03</v>
      </c>
    </row>
    <row r="853" spans="1:12" hidden="1" outlineLevel="1" collapsed="1" x14ac:dyDescent="0.35">
      <c r="A853" s="112" t="s">
        <v>1185</v>
      </c>
      <c r="B853" s="112" t="s">
        <v>897</v>
      </c>
      <c r="C853" s="112" t="s">
        <v>1095</v>
      </c>
      <c r="D853" s="113">
        <v>10348451</v>
      </c>
      <c r="E853" s="115">
        <v>43949</v>
      </c>
      <c r="F853" s="114">
        <v>202101</v>
      </c>
      <c r="G853" s="112" t="s">
        <v>1091</v>
      </c>
      <c r="H853" s="112" t="s">
        <v>1015</v>
      </c>
      <c r="I853" s="112" t="s">
        <v>1116</v>
      </c>
      <c r="J853" s="112" t="s">
        <v>1191</v>
      </c>
      <c r="K853" s="112" t="s">
        <v>1098</v>
      </c>
      <c r="L853" s="116">
        <v>1944.42</v>
      </c>
    </row>
    <row r="854" spans="1:12" hidden="1" outlineLevel="1" collapsed="1" x14ac:dyDescent="0.35">
      <c r="A854" s="112" t="s">
        <v>1185</v>
      </c>
      <c r="B854" s="112" t="s">
        <v>897</v>
      </c>
      <c r="C854" s="112" t="s">
        <v>1099</v>
      </c>
      <c r="D854" s="113">
        <v>1069761</v>
      </c>
      <c r="E854" s="115">
        <v>43867</v>
      </c>
      <c r="F854" s="114">
        <v>202101</v>
      </c>
      <c r="G854" s="112" t="s">
        <v>1091</v>
      </c>
      <c r="H854" s="112" t="s">
        <v>1015</v>
      </c>
      <c r="I854" s="112" t="s">
        <v>1124</v>
      </c>
      <c r="J854" s="112" t="s">
        <v>1186</v>
      </c>
      <c r="K854" s="112" t="s">
        <v>1406</v>
      </c>
      <c r="L854" s="116">
        <v>110</v>
      </c>
    </row>
    <row r="855" spans="1:12" hidden="1" outlineLevel="1" collapsed="1" x14ac:dyDescent="0.35">
      <c r="A855" s="112" t="s">
        <v>1185</v>
      </c>
      <c r="B855" s="112" t="s">
        <v>898</v>
      </c>
      <c r="C855" s="112" t="s">
        <v>1099</v>
      </c>
      <c r="D855" s="113">
        <v>1069503</v>
      </c>
      <c r="E855" s="115">
        <v>43930</v>
      </c>
      <c r="F855" s="114">
        <v>202101</v>
      </c>
      <c r="G855" s="112" t="s">
        <v>1091</v>
      </c>
      <c r="H855" s="112" t="s">
        <v>1015</v>
      </c>
      <c r="I855" s="112" t="s">
        <v>763</v>
      </c>
      <c r="J855" s="112" t="s">
        <v>1213</v>
      </c>
      <c r="K855" s="112" t="s">
        <v>1407</v>
      </c>
      <c r="L855" s="116">
        <v>2500</v>
      </c>
    </row>
    <row r="856" spans="1:12" hidden="1" outlineLevel="1" collapsed="1" x14ac:dyDescent="0.35">
      <c r="A856" s="112" t="s">
        <v>1185</v>
      </c>
      <c r="B856" s="112" t="s">
        <v>897</v>
      </c>
      <c r="C856" s="112" t="s">
        <v>679</v>
      </c>
      <c r="D856" s="113">
        <v>10348241</v>
      </c>
      <c r="E856" s="115">
        <v>43936</v>
      </c>
      <c r="F856" s="114">
        <v>202101</v>
      </c>
      <c r="G856" s="112" t="s">
        <v>1091</v>
      </c>
      <c r="H856" s="112" t="s">
        <v>1015</v>
      </c>
      <c r="I856" s="112" t="s">
        <v>1137</v>
      </c>
      <c r="J856" s="112" t="s">
        <v>1186</v>
      </c>
      <c r="K856" s="112" t="s">
        <v>1408</v>
      </c>
      <c r="L856" s="116">
        <v>2874.92</v>
      </c>
    </row>
    <row r="857" spans="1:12" hidden="1" outlineLevel="1" collapsed="1" x14ac:dyDescent="0.35">
      <c r="A857" s="112" t="s">
        <v>1185</v>
      </c>
      <c r="B857" s="112" t="s">
        <v>896</v>
      </c>
      <c r="C857" s="112" t="s">
        <v>1099</v>
      </c>
      <c r="D857" s="113">
        <v>1069733</v>
      </c>
      <c r="E857" s="115">
        <v>43950</v>
      </c>
      <c r="F857" s="114">
        <v>202101</v>
      </c>
      <c r="G857" s="112" t="s">
        <v>1091</v>
      </c>
      <c r="H857" s="112" t="s">
        <v>1015</v>
      </c>
      <c r="I857" s="112" t="s">
        <v>769</v>
      </c>
      <c r="J857" s="112" t="s">
        <v>1195</v>
      </c>
      <c r="K857" s="112" t="s">
        <v>1409</v>
      </c>
      <c r="L857" s="116">
        <v>113.84</v>
      </c>
    </row>
    <row r="858" spans="1:12" hidden="1" outlineLevel="1" collapsed="1" x14ac:dyDescent="0.35">
      <c r="A858" s="112" t="s">
        <v>1185</v>
      </c>
      <c r="B858" s="112" t="s">
        <v>897</v>
      </c>
      <c r="C858" s="112" t="s">
        <v>1099</v>
      </c>
      <c r="D858" s="113">
        <v>1069734</v>
      </c>
      <c r="E858" s="115">
        <v>43938</v>
      </c>
      <c r="F858" s="114">
        <v>202101</v>
      </c>
      <c r="G858" s="112" t="s">
        <v>1091</v>
      </c>
      <c r="H858" s="112" t="s">
        <v>1015</v>
      </c>
      <c r="I858" s="112" t="s">
        <v>1137</v>
      </c>
      <c r="J858" s="112" t="s">
        <v>1186</v>
      </c>
      <c r="K858" s="112" t="s">
        <v>1410</v>
      </c>
      <c r="L858" s="116">
        <v>313.55</v>
      </c>
    </row>
    <row r="859" spans="1:12" hidden="1" outlineLevel="1" collapsed="1" x14ac:dyDescent="0.35">
      <c r="A859" s="112" t="s">
        <v>1185</v>
      </c>
      <c r="B859" s="112" t="s">
        <v>897</v>
      </c>
      <c r="C859" s="112" t="s">
        <v>1099</v>
      </c>
      <c r="D859" s="113">
        <v>1069731</v>
      </c>
      <c r="E859" s="115">
        <v>43931</v>
      </c>
      <c r="F859" s="114">
        <v>202101</v>
      </c>
      <c r="G859" s="112" t="s">
        <v>1091</v>
      </c>
      <c r="H859" s="112" t="s">
        <v>1015</v>
      </c>
      <c r="I859" s="112" t="s">
        <v>1137</v>
      </c>
      <c r="J859" s="112" t="s">
        <v>1186</v>
      </c>
      <c r="K859" s="112" t="s">
        <v>1411</v>
      </c>
      <c r="L859" s="116">
        <v>277.31</v>
      </c>
    </row>
    <row r="860" spans="1:12" hidden="1" outlineLevel="1" collapsed="1" x14ac:dyDescent="0.35">
      <c r="A860" s="112" t="s">
        <v>1185</v>
      </c>
      <c r="B860" s="112" t="s">
        <v>898</v>
      </c>
      <c r="C860" s="112" t="s">
        <v>1099</v>
      </c>
      <c r="D860" s="113">
        <v>1069730</v>
      </c>
      <c r="E860" s="115">
        <v>43943</v>
      </c>
      <c r="F860" s="114">
        <v>202101</v>
      </c>
      <c r="G860" s="112" t="s">
        <v>1091</v>
      </c>
      <c r="H860" s="112" t="s">
        <v>1015</v>
      </c>
      <c r="I860" s="112" t="s">
        <v>763</v>
      </c>
      <c r="J860" s="112" t="s">
        <v>1207</v>
      </c>
      <c r="K860" s="112" t="s">
        <v>1412</v>
      </c>
      <c r="L860" s="116">
        <v>2985</v>
      </c>
    </row>
    <row r="861" spans="1:12" hidden="1" outlineLevel="1" collapsed="1" x14ac:dyDescent="0.35">
      <c r="A861" s="112" t="s">
        <v>1185</v>
      </c>
      <c r="B861" s="112" t="s">
        <v>897</v>
      </c>
      <c r="C861" s="112" t="s">
        <v>1099</v>
      </c>
      <c r="D861" s="113">
        <v>1069748</v>
      </c>
      <c r="E861" s="115">
        <v>43921</v>
      </c>
      <c r="F861" s="114">
        <v>202101</v>
      </c>
      <c r="G861" s="112" t="s">
        <v>1091</v>
      </c>
      <c r="H861" s="112" t="s">
        <v>1015</v>
      </c>
      <c r="I861" s="112" t="s">
        <v>761</v>
      </c>
      <c r="J861" s="112" t="s">
        <v>1191</v>
      </c>
      <c r="K861" s="112" t="s">
        <v>1413</v>
      </c>
      <c r="L861" s="116">
        <v>1700</v>
      </c>
    </row>
    <row r="862" spans="1:12" hidden="1" outlineLevel="1" collapsed="1" x14ac:dyDescent="0.35">
      <c r="A862" s="112" t="s">
        <v>1185</v>
      </c>
      <c r="B862" s="112" t="s">
        <v>897</v>
      </c>
      <c r="C862" s="112" t="s">
        <v>1099</v>
      </c>
      <c r="D862" s="113">
        <v>1069753</v>
      </c>
      <c r="E862" s="115">
        <v>43945</v>
      </c>
      <c r="F862" s="114">
        <v>202101</v>
      </c>
      <c r="G862" s="112" t="s">
        <v>1091</v>
      </c>
      <c r="H862" s="112" t="s">
        <v>1015</v>
      </c>
      <c r="I862" s="112" t="s">
        <v>1124</v>
      </c>
      <c r="J862" s="112" t="s">
        <v>1186</v>
      </c>
      <c r="K862" s="112" t="s">
        <v>1414</v>
      </c>
      <c r="L862" s="116">
        <v>3067.89</v>
      </c>
    </row>
    <row r="863" spans="1:12" hidden="1" outlineLevel="1" collapsed="1" x14ac:dyDescent="0.35">
      <c r="A863" s="112" t="s">
        <v>1185</v>
      </c>
      <c r="B863" s="112" t="s">
        <v>897</v>
      </c>
      <c r="C863" s="112" t="s">
        <v>1099</v>
      </c>
      <c r="D863" s="113">
        <v>1069752</v>
      </c>
      <c r="E863" s="115">
        <v>43938</v>
      </c>
      <c r="F863" s="114">
        <v>202101</v>
      </c>
      <c r="G863" s="112" t="s">
        <v>1091</v>
      </c>
      <c r="H863" s="112" t="s">
        <v>1015</v>
      </c>
      <c r="I863" s="112" t="s">
        <v>1137</v>
      </c>
      <c r="J863" s="112" t="s">
        <v>1186</v>
      </c>
      <c r="K863" s="112" t="s">
        <v>1415</v>
      </c>
      <c r="L863" s="116">
        <v>956.46</v>
      </c>
    </row>
    <row r="864" spans="1:12" hidden="1" outlineLevel="1" collapsed="1" x14ac:dyDescent="0.35">
      <c r="A864" s="112" t="s">
        <v>1185</v>
      </c>
      <c r="B864" s="112" t="s">
        <v>897</v>
      </c>
      <c r="C864" s="112" t="s">
        <v>1099</v>
      </c>
      <c r="D864" s="113">
        <v>1069755</v>
      </c>
      <c r="E864" s="115">
        <v>43945</v>
      </c>
      <c r="F864" s="114">
        <v>202101</v>
      </c>
      <c r="G864" s="112" t="s">
        <v>1091</v>
      </c>
      <c r="H864" s="112" t="s">
        <v>1015</v>
      </c>
      <c r="I864" s="112" t="s">
        <v>1137</v>
      </c>
      <c r="J864" s="112" t="s">
        <v>1186</v>
      </c>
      <c r="K864" s="112" t="s">
        <v>1416</v>
      </c>
      <c r="L864" s="116">
        <v>2675.25</v>
      </c>
    </row>
    <row r="865" spans="1:12" hidden="1" outlineLevel="1" collapsed="1" x14ac:dyDescent="0.35">
      <c r="A865" s="112" t="s">
        <v>1185</v>
      </c>
      <c r="B865" s="112" t="s">
        <v>897</v>
      </c>
      <c r="C865" s="112" t="s">
        <v>1099</v>
      </c>
      <c r="D865" s="113">
        <v>1069757</v>
      </c>
      <c r="E865" s="115">
        <v>43924</v>
      </c>
      <c r="F865" s="114">
        <v>202101</v>
      </c>
      <c r="G865" s="112" t="s">
        <v>1091</v>
      </c>
      <c r="H865" s="112" t="s">
        <v>1015</v>
      </c>
      <c r="I865" s="112" t="s">
        <v>1137</v>
      </c>
      <c r="J865" s="112" t="s">
        <v>1186</v>
      </c>
      <c r="K865" s="112" t="s">
        <v>1417</v>
      </c>
      <c r="L865" s="116">
        <v>691.5</v>
      </c>
    </row>
    <row r="866" spans="1:12" hidden="1" outlineLevel="1" collapsed="1" x14ac:dyDescent="0.35">
      <c r="A866" s="112" t="s">
        <v>1185</v>
      </c>
      <c r="B866" s="112" t="s">
        <v>897</v>
      </c>
      <c r="C866" s="112" t="s">
        <v>1099</v>
      </c>
      <c r="D866" s="113">
        <v>1069758</v>
      </c>
      <c r="E866" s="115">
        <v>43931</v>
      </c>
      <c r="F866" s="114">
        <v>202101</v>
      </c>
      <c r="G866" s="112" t="s">
        <v>1091</v>
      </c>
      <c r="H866" s="112" t="s">
        <v>1015</v>
      </c>
      <c r="I866" s="112" t="s">
        <v>1137</v>
      </c>
      <c r="J866" s="112" t="s">
        <v>1186</v>
      </c>
      <c r="K866" s="112" t="s">
        <v>1418</v>
      </c>
      <c r="L866" s="116">
        <v>959.7</v>
      </c>
    </row>
    <row r="867" spans="1:12" hidden="1" outlineLevel="1" collapsed="1" x14ac:dyDescent="0.35">
      <c r="A867" s="112" t="s">
        <v>1185</v>
      </c>
      <c r="B867" s="112" t="s">
        <v>897</v>
      </c>
      <c r="C867" s="112" t="s">
        <v>1099</v>
      </c>
      <c r="D867" s="113">
        <v>1069756</v>
      </c>
      <c r="E867" s="115">
        <v>43924</v>
      </c>
      <c r="F867" s="114">
        <v>202101</v>
      </c>
      <c r="G867" s="112" t="s">
        <v>1091</v>
      </c>
      <c r="H867" s="112" t="s">
        <v>1015</v>
      </c>
      <c r="I867" s="112" t="s">
        <v>1124</v>
      </c>
      <c r="J867" s="112" t="s">
        <v>1186</v>
      </c>
      <c r="K867" s="112" t="s">
        <v>1419</v>
      </c>
      <c r="L867" s="116">
        <v>203.41</v>
      </c>
    </row>
    <row r="868" spans="1:12" hidden="1" outlineLevel="1" collapsed="1" x14ac:dyDescent="0.35">
      <c r="A868" s="112" t="s">
        <v>1185</v>
      </c>
      <c r="B868" s="112" t="s">
        <v>897</v>
      </c>
      <c r="C868" s="112" t="s">
        <v>1099</v>
      </c>
      <c r="D868" s="113">
        <v>1069495</v>
      </c>
      <c r="E868" s="115">
        <v>43903</v>
      </c>
      <c r="F868" s="114">
        <v>202101</v>
      </c>
      <c r="G868" s="112" t="s">
        <v>1091</v>
      </c>
      <c r="H868" s="112" t="s">
        <v>1015</v>
      </c>
      <c r="I868" s="112" t="s">
        <v>761</v>
      </c>
      <c r="J868" s="112" t="s">
        <v>1186</v>
      </c>
      <c r="K868" s="112" t="s">
        <v>1420</v>
      </c>
      <c r="L868" s="116">
        <v>7.6</v>
      </c>
    </row>
    <row r="869" spans="1:12" hidden="1" outlineLevel="1" collapsed="1" x14ac:dyDescent="0.35">
      <c r="A869" s="112" t="s">
        <v>1185</v>
      </c>
      <c r="B869" s="112" t="s">
        <v>1192</v>
      </c>
      <c r="C869" s="112" t="s">
        <v>1099</v>
      </c>
      <c r="D869" s="113">
        <v>1069760</v>
      </c>
      <c r="E869" s="115">
        <v>43928</v>
      </c>
      <c r="F869" s="114">
        <v>202101</v>
      </c>
      <c r="G869" s="112" t="s">
        <v>1091</v>
      </c>
      <c r="H869" s="112" t="s">
        <v>1015</v>
      </c>
      <c r="I869" s="112" t="s">
        <v>1307</v>
      </c>
      <c r="J869" s="112" t="s">
        <v>1198</v>
      </c>
      <c r="K869" s="112" t="s">
        <v>1421</v>
      </c>
      <c r="L869" s="116">
        <v>240</v>
      </c>
    </row>
    <row r="870" spans="1:12" hidden="1" outlineLevel="1" collapsed="1" x14ac:dyDescent="0.35">
      <c r="A870" s="112" t="s">
        <v>1185</v>
      </c>
      <c r="B870" s="112" t="s">
        <v>897</v>
      </c>
      <c r="C870" s="112" t="s">
        <v>1099</v>
      </c>
      <c r="D870" s="113">
        <v>1069609</v>
      </c>
      <c r="E870" s="115">
        <v>43941</v>
      </c>
      <c r="F870" s="114">
        <v>202101</v>
      </c>
      <c r="G870" s="112" t="s">
        <v>1091</v>
      </c>
      <c r="H870" s="112" t="s">
        <v>1015</v>
      </c>
      <c r="I870" s="112" t="s">
        <v>767</v>
      </c>
      <c r="J870" s="112" t="s">
        <v>1191</v>
      </c>
      <c r="K870" s="112" t="s">
        <v>1422</v>
      </c>
      <c r="L870" s="116">
        <v>63.79</v>
      </c>
    </row>
    <row r="871" spans="1:12" hidden="1" outlineLevel="1" collapsed="1" x14ac:dyDescent="0.35">
      <c r="A871" s="112" t="s">
        <v>1185</v>
      </c>
      <c r="B871" s="112" t="s">
        <v>896</v>
      </c>
      <c r="C871" s="112" t="s">
        <v>1099</v>
      </c>
      <c r="D871" s="113">
        <v>1069472</v>
      </c>
      <c r="E871" s="115">
        <v>43930</v>
      </c>
      <c r="F871" s="114">
        <v>202101</v>
      </c>
      <c r="G871" s="112" t="s">
        <v>1091</v>
      </c>
      <c r="H871" s="112" t="s">
        <v>1015</v>
      </c>
      <c r="I871" s="112" t="s">
        <v>767</v>
      </c>
      <c r="J871" s="112" t="s">
        <v>1195</v>
      </c>
      <c r="K871" s="112" t="s">
        <v>1318</v>
      </c>
      <c r="L871" s="116">
        <v>25</v>
      </c>
    </row>
    <row r="872" spans="1:12" hidden="1" outlineLevel="1" collapsed="1" x14ac:dyDescent="0.35">
      <c r="A872" s="112" t="s">
        <v>1185</v>
      </c>
      <c r="B872" s="112" t="s">
        <v>898</v>
      </c>
      <c r="C872" s="112" t="s">
        <v>1099</v>
      </c>
      <c r="D872" s="113">
        <v>1069457</v>
      </c>
      <c r="E872" s="115">
        <v>43924</v>
      </c>
      <c r="F872" s="114">
        <v>202101</v>
      </c>
      <c r="G872" s="112" t="s">
        <v>1091</v>
      </c>
      <c r="H872" s="112" t="s">
        <v>1015</v>
      </c>
      <c r="I872" s="112" t="s">
        <v>763</v>
      </c>
      <c r="J872" s="112" t="s">
        <v>1213</v>
      </c>
      <c r="K872" s="112" t="s">
        <v>1423</v>
      </c>
      <c r="L872" s="116">
        <v>455</v>
      </c>
    </row>
    <row r="873" spans="1:12" hidden="1" outlineLevel="1" collapsed="1" x14ac:dyDescent="0.35">
      <c r="A873" s="112" t="s">
        <v>1185</v>
      </c>
      <c r="B873" s="112" t="s">
        <v>896</v>
      </c>
      <c r="C873" s="112" t="s">
        <v>695</v>
      </c>
      <c r="D873" s="113">
        <v>10348204</v>
      </c>
      <c r="E873" s="115">
        <v>43935</v>
      </c>
      <c r="F873" s="114">
        <v>202101</v>
      </c>
      <c r="G873" s="112" t="s">
        <v>1091</v>
      </c>
      <c r="H873" s="112" t="s">
        <v>1015</v>
      </c>
      <c r="I873" s="112" t="s">
        <v>761</v>
      </c>
      <c r="J873" s="112" t="s">
        <v>1195</v>
      </c>
      <c r="K873" s="112" t="s">
        <v>1424</v>
      </c>
      <c r="L873" s="116">
        <v>51000</v>
      </c>
    </row>
    <row r="874" spans="1:12" hidden="1" outlineLevel="1" collapsed="1" x14ac:dyDescent="0.35">
      <c r="A874" s="112" t="s">
        <v>1185</v>
      </c>
      <c r="B874" s="112" t="s">
        <v>898</v>
      </c>
      <c r="C874" s="112" t="s">
        <v>695</v>
      </c>
      <c r="D874" s="113">
        <v>10348204</v>
      </c>
      <c r="E874" s="115">
        <v>43935</v>
      </c>
      <c r="F874" s="114">
        <v>202101</v>
      </c>
      <c r="G874" s="112" t="s">
        <v>1091</v>
      </c>
      <c r="H874" s="112" t="s">
        <v>1015</v>
      </c>
      <c r="I874" s="112" t="s">
        <v>761</v>
      </c>
      <c r="J874" s="112" t="s">
        <v>1244</v>
      </c>
      <c r="K874" s="112" t="s">
        <v>1425</v>
      </c>
      <c r="L874" s="116">
        <v>11721.6</v>
      </c>
    </row>
    <row r="875" spans="1:12" hidden="1" outlineLevel="1" collapsed="1" x14ac:dyDescent="0.35">
      <c r="A875" s="112" t="s">
        <v>1185</v>
      </c>
      <c r="B875" s="112" t="s">
        <v>898</v>
      </c>
      <c r="C875" s="112" t="s">
        <v>1099</v>
      </c>
      <c r="D875" s="113">
        <v>1069408</v>
      </c>
      <c r="E875" s="115">
        <v>43920</v>
      </c>
      <c r="F875" s="114">
        <v>202101</v>
      </c>
      <c r="G875" s="112" t="s">
        <v>1091</v>
      </c>
      <c r="H875" s="112" t="s">
        <v>1015</v>
      </c>
      <c r="I875" s="112" t="s">
        <v>763</v>
      </c>
      <c r="J875" s="112" t="s">
        <v>1213</v>
      </c>
      <c r="K875" s="112" t="s">
        <v>1426</v>
      </c>
      <c r="L875" s="116">
        <v>250</v>
      </c>
    </row>
    <row r="876" spans="1:12" hidden="1" outlineLevel="1" collapsed="1" x14ac:dyDescent="0.35">
      <c r="A876" s="112" t="s">
        <v>1185</v>
      </c>
      <c r="B876" s="112" t="s">
        <v>896</v>
      </c>
      <c r="C876" s="112" t="s">
        <v>1099</v>
      </c>
      <c r="D876" s="113">
        <v>1069648</v>
      </c>
      <c r="E876" s="115">
        <v>43919</v>
      </c>
      <c r="F876" s="114">
        <v>202101</v>
      </c>
      <c r="G876" s="112" t="s">
        <v>1091</v>
      </c>
      <c r="H876" s="112" t="s">
        <v>1015</v>
      </c>
      <c r="I876" s="112" t="s">
        <v>767</v>
      </c>
      <c r="J876" s="112" t="s">
        <v>1195</v>
      </c>
      <c r="K876" s="112" t="s">
        <v>1427</v>
      </c>
      <c r="L876" s="116">
        <v>2193.5</v>
      </c>
    </row>
    <row r="877" spans="1:12" hidden="1" outlineLevel="1" collapsed="1" x14ac:dyDescent="0.35">
      <c r="A877" s="112" t="s">
        <v>1185</v>
      </c>
      <c r="B877" s="112" t="s">
        <v>898</v>
      </c>
      <c r="C877" s="112" t="s">
        <v>1099</v>
      </c>
      <c r="D877" s="113">
        <v>1069473</v>
      </c>
      <c r="E877" s="115">
        <v>43797</v>
      </c>
      <c r="F877" s="114">
        <v>202101</v>
      </c>
      <c r="G877" s="112" t="s">
        <v>1091</v>
      </c>
      <c r="H877" s="112" t="s">
        <v>1015</v>
      </c>
      <c r="I877" s="112" t="s">
        <v>761</v>
      </c>
      <c r="J877" s="112" t="s">
        <v>1197</v>
      </c>
      <c r="K877" s="112" t="s">
        <v>1428</v>
      </c>
      <c r="L877" s="116">
        <v>1317</v>
      </c>
    </row>
    <row r="878" spans="1:12" hidden="1" outlineLevel="1" collapsed="1" x14ac:dyDescent="0.35">
      <c r="A878" s="112" t="s">
        <v>1185</v>
      </c>
      <c r="B878" s="112" t="s">
        <v>896</v>
      </c>
      <c r="C878" s="112" t="s">
        <v>1266</v>
      </c>
      <c r="D878" s="113">
        <v>1069660</v>
      </c>
      <c r="E878" s="115">
        <v>43936</v>
      </c>
      <c r="F878" s="114">
        <v>202101</v>
      </c>
      <c r="G878" s="112" t="s">
        <v>1091</v>
      </c>
      <c r="H878" s="112" t="s">
        <v>1015</v>
      </c>
      <c r="I878" s="112" t="s">
        <v>765</v>
      </c>
      <c r="J878" s="112" t="s">
        <v>1268</v>
      </c>
      <c r="K878" s="112" t="s">
        <v>1429</v>
      </c>
      <c r="L878" s="116">
        <v>23775.61</v>
      </c>
    </row>
    <row r="879" spans="1:12" hidden="1" outlineLevel="1" collapsed="1" x14ac:dyDescent="0.35">
      <c r="A879" s="112" t="s">
        <v>1185</v>
      </c>
      <c r="B879" s="112" t="s">
        <v>896</v>
      </c>
      <c r="C879" s="112" t="s">
        <v>1266</v>
      </c>
      <c r="D879" s="113">
        <v>1069652</v>
      </c>
      <c r="E879" s="115">
        <v>43935</v>
      </c>
      <c r="F879" s="114">
        <v>202101</v>
      </c>
      <c r="G879" s="112" t="s">
        <v>1091</v>
      </c>
      <c r="H879" s="112" t="s">
        <v>1015</v>
      </c>
      <c r="I879" s="112" t="s">
        <v>1267</v>
      </c>
      <c r="J879" s="112" t="s">
        <v>1268</v>
      </c>
      <c r="K879" s="112" t="s">
        <v>1430</v>
      </c>
      <c r="L879" s="116">
        <v>39</v>
      </c>
    </row>
    <row r="880" spans="1:12" hidden="1" outlineLevel="1" collapsed="1" x14ac:dyDescent="0.35">
      <c r="A880" s="112" t="s">
        <v>1185</v>
      </c>
      <c r="B880" s="112" t="s">
        <v>896</v>
      </c>
      <c r="C880" s="112" t="s">
        <v>1266</v>
      </c>
      <c r="D880" s="113">
        <v>1069653</v>
      </c>
      <c r="E880" s="115">
        <v>43935</v>
      </c>
      <c r="F880" s="114">
        <v>202101</v>
      </c>
      <c r="G880" s="112" t="s">
        <v>1091</v>
      </c>
      <c r="H880" s="112" t="s">
        <v>1015</v>
      </c>
      <c r="I880" s="112" t="s">
        <v>1267</v>
      </c>
      <c r="J880" s="112" t="s">
        <v>1268</v>
      </c>
      <c r="K880" s="112" t="s">
        <v>1431</v>
      </c>
      <c r="L880" s="116">
        <v>52</v>
      </c>
    </row>
    <row r="881" spans="1:12" hidden="1" outlineLevel="1" collapsed="1" x14ac:dyDescent="0.35">
      <c r="A881" s="112" t="s">
        <v>1185</v>
      </c>
      <c r="B881" s="112" t="s">
        <v>896</v>
      </c>
      <c r="C881" s="112" t="s">
        <v>1266</v>
      </c>
      <c r="D881" s="113">
        <v>1069654</v>
      </c>
      <c r="E881" s="115">
        <v>43935</v>
      </c>
      <c r="F881" s="114">
        <v>202101</v>
      </c>
      <c r="G881" s="112" t="s">
        <v>1091</v>
      </c>
      <c r="H881" s="112" t="s">
        <v>1015</v>
      </c>
      <c r="I881" s="112" t="s">
        <v>1267</v>
      </c>
      <c r="J881" s="112" t="s">
        <v>1268</v>
      </c>
      <c r="K881" s="112" t="s">
        <v>1432</v>
      </c>
      <c r="L881" s="116">
        <v>52</v>
      </c>
    </row>
    <row r="882" spans="1:12" hidden="1" outlineLevel="1" collapsed="1" x14ac:dyDescent="0.35">
      <c r="A882" s="112" t="s">
        <v>1185</v>
      </c>
      <c r="B882" s="112" t="s">
        <v>898</v>
      </c>
      <c r="C882" s="112" t="s">
        <v>1095</v>
      </c>
      <c r="D882" s="113">
        <v>10348451</v>
      </c>
      <c r="E882" s="115">
        <v>43949</v>
      </c>
      <c r="F882" s="114">
        <v>202101</v>
      </c>
      <c r="G882" s="112" t="s">
        <v>1091</v>
      </c>
      <c r="H882" s="112" t="s">
        <v>1015</v>
      </c>
      <c r="I882" s="112" t="s">
        <v>1116</v>
      </c>
      <c r="J882" s="112" t="s">
        <v>1207</v>
      </c>
      <c r="K882" s="112" t="s">
        <v>1098</v>
      </c>
      <c r="L882" s="116">
        <v>3717</v>
      </c>
    </row>
    <row r="883" spans="1:12" hidden="1" outlineLevel="1" collapsed="1" x14ac:dyDescent="0.35">
      <c r="A883" s="112" t="s">
        <v>1185</v>
      </c>
      <c r="B883" s="112" t="s">
        <v>1192</v>
      </c>
      <c r="C883" s="112" t="s">
        <v>1095</v>
      </c>
      <c r="D883" s="113">
        <v>10348451</v>
      </c>
      <c r="E883" s="115">
        <v>43949</v>
      </c>
      <c r="F883" s="114">
        <v>202101</v>
      </c>
      <c r="G883" s="112" t="s">
        <v>1091</v>
      </c>
      <c r="H883" s="112" t="s">
        <v>1015</v>
      </c>
      <c r="I883" s="112" t="s">
        <v>1116</v>
      </c>
      <c r="J883" s="112" t="s">
        <v>1198</v>
      </c>
      <c r="K883" s="112" t="s">
        <v>1098</v>
      </c>
      <c r="L883" s="116">
        <v>1681.81</v>
      </c>
    </row>
    <row r="884" spans="1:12" hidden="1" outlineLevel="1" collapsed="1" x14ac:dyDescent="0.35">
      <c r="A884" s="112" t="s">
        <v>1185</v>
      </c>
      <c r="B884" s="112" t="s">
        <v>897</v>
      </c>
      <c r="C884" s="112" t="s">
        <v>1095</v>
      </c>
      <c r="D884" s="113">
        <v>10348451</v>
      </c>
      <c r="E884" s="115">
        <v>43949</v>
      </c>
      <c r="F884" s="114">
        <v>202101</v>
      </c>
      <c r="G884" s="112" t="s">
        <v>1091</v>
      </c>
      <c r="H884" s="112" t="s">
        <v>1015</v>
      </c>
      <c r="I884" s="112" t="s">
        <v>1116</v>
      </c>
      <c r="J884" s="112" t="s">
        <v>1191</v>
      </c>
      <c r="K884" s="112" t="s">
        <v>1098</v>
      </c>
      <c r="L884" s="116">
        <v>2631.25</v>
      </c>
    </row>
    <row r="885" spans="1:12" hidden="1" outlineLevel="1" collapsed="1" x14ac:dyDescent="0.35">
      <c r="A885" s="112" t="s">
        <v>1185</v>
      </c>
      <c r="B885" s="112" t="s">
        <v>898</v>
      </c>
      <c r="C885" s="112" t="s">
        <v>1095</v>
      </c>
      <c r="D885" s="113">
        <v>10348451</v>
      </c>
      <c r="E885" s="115">
        <v>43949</v>
      </c>
      <c r="F885" s="114">
        <v>202101</v>
      </c>
      <c r="G885" s="112" t="s">
        <v>1091</v>
      </c>
      <c r="H885" s="112" t="s">
        <v>1015</v>
      </c>
      <c r="I885" s="112" t="s">
        <v>1116</v>
      </c>
      <c r="J885" s="112" t="s">
        <v>1213</v>
      </c>
      <c r="K885" s="112" t="s">
        <v>1098</v>
      </c>
      <c r="L885" s="116">
        <v>2259.5</v>
      </c>
    </row>
    <row r="886" spans="1:12" hidden="1" outlineLevel="1" collapsed="1" x14ac:dyDescent="0.35">
      <c r="A886" s="112" t="s">
        <v>1185</v>
      </c>
      <c r="B886" s="112" t="s">
        <v>897</v>
      </c>
      <c r="C886" s="112" t="s">
        <v>1099</v>
      </c>
      <c r="D886" s="113">
        <v>1069275</v>
      </c>
      <c r="E886" s="115">
        <v>43916</v>
      </c>
      <c r="F886" s="114">
        <v>202101</v>
      </c>
      <c r="G886" s="112" t="s">
        <v>1091</v>
      </c>
      <c r="H886" s="112" t="s">
        <v>1015</v>
      </c>
      <c r="I886" s="112" t="s">
        <v>1124</v>
      </c>
      <c r="J886" s="112" t="s">
        <v>1186</v>
      </c>
      <c r="K886" s="112" t="s">
        <v>1433</v>
      </c>
      <c r="L886" s="116">
        <v>1992</v>
      </c>
    </row>
    <row r="887" spans="1:12" hidden="1" outlineLevel="1" collapsed="1" x14ac:dyDescent="0.35">
      <c r="A887" s="112" t="s">
        <v>1185</v>
      </c>
      <c r="B887" s="112" t="s">
        <v>896</v>
      </c>
      <c r="C887" s="112" t="s">
        <v>695</v>
      </c>
      <c r="D887" s="113">
        <v>10348055</v>
      </c>
      <c r="E887" s="115">
        <v>43928</v>
      </c>
      <c r="F887" s="114">
        <v>202101</v>
      </c>
      <c r="G887" s="112" t="s">
        <v>1091</v>
      </c>
      <c r="H887" s="112" t="s">
        <v>1015</v>
      </c>
      <c r="I887" s="112" t="s">
        <v>1267</v>
      </c>
      <c r="J887" s="112" t="s">
        <v>1268</v>
      </c>
      <c r="K887" s="112" t="s">
        <v>1434</v>
      </c>
      <c r="L887" s="116">
        <v>-1088.06</v>
      </c>
    </row>
    <row r="888" spans="1:12" hidden="1" outlineLevel="1" collapsed="1" x14ac:dyDescent="0.35">
      <c r="A888" s="112" t="s">
        <v>1185</v>
      </c>
      <c r="B888" s="112" t="s">
        <v>896</v>
      </c>
      <c r="C888" s="112" t="s">
        <v>695</v>
      </c>
      <c r="D888" s="113">
        <v>10348001</v>
      </c>
      <c r="E888" s="115">
        <v>43927</v>
      </c>
      <c r="F888" s="114">
        <v>202101</v>
      </c>
      <c r="G888" s="112" t="s">
        <v>1091</v>
      </c>
      <c r="H888" s="112" t="s">
        <v>1015</v>
      </c>
      <c r="I888" s="112" t="s">
        <v>767</v>
      </c>
      <c r="J888" s="112" t="s">
        <v>1195</v>
      </c>
      <c r="K888" s="112" t="s">
        <v>1365</v>
      </c>
      <c r="L888" s="116">
        <v>5372.01</v>
      </c>
    </row>
    <row r="889" spans="1:12" hidden="1" outlineLevel="1" collapsed="1" x14ac:dyDescent="0.35">
      <c r="A889" s="112" t="s">
        <v>1185</v>
      </c>
      <c r="B889" s="112" t="s">
        <v>896</v>
      </c>
      <c r="C889" s="112" t="s">
        <v>695</v>
      </c>
      <c r="D889" s="113">
        <v>10348001</v>
      </c>
      <c r="E889" s="115">
        <v>43927</v>
      </c>
      <c r="F889" s="114">
        <v>202101</v>
      </c>
      <c r="G889" s="112" t="s">
        <v>1091</v>
      </c>
      <c r="H889" s="112" t="s">
        <v>1015</v>
      </c>
      <c r="I889" s="112" t="s">
        <v>767</v>
      </c>
      <c r="J889" s="112" t="s">
        <v>1195</v>
      </c>
      <c r="K889" s="112" t="s">
        <v>1372</v>
      </c>
      <c r="L889" s="116">
        <v>1991.31</v>
      </c>
    </row>
    <row r="890" spans="1:12" hidden="1" outlineLevel="1" collapsed="1" x14ac:dyDescent="0.35">
      <c r="A890" s="112" t="s">
        <v>1185</v>
      </c>
      <c r="B890" s="112" t="s">
        <v>898</v>
      </c>
      <c r="C890" s="112" t="s">
        <v>695</v>
      </c>
      <c r="D890" s="113">
        <v>10348001</v>
      </c>
      <c r="E890" s="115">
        <v>43927</v>
      </c>
      <c r="F890" s="114">
        <v>202101</v>
      </c>
      <c r="G890" s="112" t="s">
        <v>1091</v>
      </c>
      <c r="H890" s="112" t="s">
        <v>1015</v>
      </c>
      <c r="I890" s="112" t="s">
        <v>1102</v>
      </c>
      <c r="J890" s="112" t="s">
        <v>1213</v>
      </c>
      <c r="K890" s="112" t="s">
        <v>1374</v>
      </c>
      <c r="L890" s="116">
        <v>776.71</v>
      </c>
    </row>
    <row r="891" spans="1:12" hidden="1" outlineLevel="1" collapsed="1" x14ac:dyDescent="0.35">
      <c r="A891" s="112" t="s">
        <v>1185</v>
      </c>
      <c r="B891" s="112" t="s">
        <v>896</v>
      </c>
      <c r="C891" s="112" t="s">
        <v>695</v>
      </c>
      <c r="D891" s="113">
        <v>10348001</v>
      </c>
      <c r="E891" s="115">
        <v>43927</v>
      </c>
      <c r="F891" s="114">
        <v>202101</v>
      </c>
      <c r="G891" s="112" t="s">
        <v>1091</v>
      </c>
      <c r="H891" s="112" t="s">
        <v>1015</v>
      </c>
      <c r="I891" s="112" t="s">
        <v>767</v>
      </c>
      <c r="J891" s="112" t="s">
        <v>1195</v>
      </c>
      <c r="K891" s="112" t="s">
        <v>1435</v>
      </c>
      <c r="L891" s="116">
        <v>3489.89</v>
      </c>
    </row>
    <row r="892" spans="1:12" hidden="1" outlineLevel="1" collapsed="1" x14ac:dyDescent="0.35">
      <c r="A892" s="112" t="s">
        <v>1185</v>
      </c>
      <c r="B892" s="112" t="s">
        <v>896</v>
      </c>
      <c r="C892" s="112" t="s">
        <v>695</v>
      </c>
      <c r="D892" s="113">
        <v>10348001</v>
      </c>
      <c r="E892" s="115">
        <v>43927</v>
      </c>
      <c r="F892" s="114">
        <v>202101</v>
      </c>
      <c r="G892" s="112" t="s">
        <v>1091</v>
      </c>
      <c r="H892" s="112" t="s">
        <v>1015</v>
      </c>
      <c r="I892" s="112" t="s">
        <v>767</v>
      </c>
      <c r="J892" s="112" t="s">
        <v>1195</v>
      </c>
      <c r="K892" s="112" t="s">
        <v>1367</v>
      </c>
      <c r="L892" s="116">
        <v>6757.18</v>
      </c>
    </row>
    <row r="893" spans="1:12" hidden="1" outlineLevel="1" collapsed="1" x14ac:dyDescent="0.35">
      <c r="A893" s="112" t="s">
        <v>1185</v>
      </c>
      <c r="B893" s="112" t="s">
        <v>896</v>
      </c>
      <c r="C893" s="112" t="s">
        <v>695</v>
      </c>
      <c r="D893" s="113">
        <v>10348001</v>
      </c>
      <c r="E893" s="115">
        <v>43927</v>
      </c>
      <c r="F893" s="114">
        <v>202101</v>
      </c>
      <c r="G893" s="112" t="s">
        <v>1091</v>
      </c>
      <c r="H893" s="112" t="s">
        <v>1015</v>
      </c>
      <c r="I893" s="112" t="s">
        <v>767</v>
      </c>
      <c r="J893" s="112" t="s">
        <v>1195</v>
      </c>
      <c r="K893" s="112" t="s">
        <v>1366</v>
      </c>
      <c r="L893" s="116">
        <v>12129.08</v>
      </c>
    </row>
    <row r="894" spans="1:12" hidden="1" outlineLevel="1" collapsed="1" x14ac:dyDescent="0.35">
      <c r="A894" s="112" t="s">
        <v>1185</v>
      </c>
      <c r="B894" s="112" t="s">
        <v>896</v>
      </c>
      <c r="C894" s="112" t="s">
        <v>695</v>
      </c>
      <c r="D894" s="113">
        <v>10348001</v>
      </c>
      <c r="E894" s="115">
        <v>43927</v>
      </c>
      <c r="F894" s="114">
        <v>202101</v>
      </c>
      <c r="G894" s="112" t="s">
        <v>1091</v>
      </c>
      <c r="H894" s="112" t="s">
        <v>1015</v>
      </c>
      <c r="I894" s="112" t="s">
        <v>767</v>
      </c>
      <c r="J894" s="112" t="s">
        <v>1195</v>
      </c>
      <c r="K894" s="112" t="s">
        <v>1436</v>
      </c>
      <c r="L894" s="116">
        <v>3402.05</v>
      </c>
    </row>
    <row r="895" spans="1:12" hidden="1" outlineLevel="1" collapsed="1" x14ac:dyDescent="0.35">
      <c r="A895" s="112" t="s">
        <v>1185</v>
      </c>
      <c r="B895" s="112" t="s">
        <v>896</v>
      </c>
      <c r="C895" s="112" t="s">
        <v>695</v>
      </c>
      <c r="D895" s="113">
        <v>10348001</v>
      </c>
      <c r="E895" s="115">
        <v>43927</v>
      </c>
      <c r="F895" s="114">
        <v>202101</v>
      </c>
      <c r="G895" s="112" t="s">
        <v>1091</v>
      </c>
      <c r="H895" s="112" t="s">
        <v>1015</v>
      </c>
      <c r="I895" s="112" t="s">
        <v>767</v>
      </c>
      <c r="J895" s="112" t="s">
        <v>1195</v>
      </c>
      <c r="K895" s="112" t="s">
        <v>1370</v>
      </c>
      <c r="L895" s="116">
        <v>652.44000000000005</v>
      </c>
    </row>
    <row r="896" spans="1:12" hidden="1" outlineLevel="1" collapsed="1" x14ac:dyDescent="0.35">
      <c r="A896" s="112" t="s">
        <v>1185</v>
      </c>
      <c r="B896" s="112" t="s">
        <v>1192</v>
      </c>
      <c r="C896" s="112" t="s">
        <v>1099</v>
      </c>
      <c r="D896" s="113">
        <v>1069356</v>
      </c>
      <c r="E896" s="115">
        <v>43886</v>
      </c>
      <c r="F896" s="114">
        <v>202101</v>
      </c>
      <c r="G896" s="112" t="s">
        <v>1091</v>
      </c>
      <c r="H896" s="112" t="s">
        <v>1015</v>
      </c>
      <c r="I896" s="112" t="s">
        <v>761</v>
      </c>
      <c r="J896" s="112" t="s">
        <v>1198</v>
      </c>
      <c r="K896" s="112" t="s">
        <v>1437</v>
      </c>
      <c r="L896" s="116">
        <v>9750</v>
      </c>
    </row>
    <row r="897" spans="1:12" hidden="1" outlineLevel="1" collapsed="1" x14ac:dyDescent="0.35">
      <c r="A897" s="112" t="s">
        <v>1185</v>
      </c>
      <c r="B897" s="112" t="s">
        <v>896</v>
      </c>
      <c r="C897" s="112" t="s">
        <v>1099</v>
      </c>
      <c r="D897" s="113">
        <v>1069268</v>
      </c>
      <c r="E897" s="115">
        <v>43909</v>
      </c>
      <c r="F897" s="114">
        <v>202101</v>
      </c>
      <c r="G897" s="112" t="s">
        <v>1091</v>
      </c>
      <c r="H897" s="112" t="s">
        <v>1015</v>
      </c>
      <c r="I897" s="112" t="s">
        <v>1092</v>
      </c>
      <c r="J897" s="112" t="s">
        <v>1195</v>
      </c>
      <c r="K897" s="112" t="s">
        <v>1438</v>
      </c>
      <c r="L897" s="116">
        <v>7</v>
      </c>
    </row>
    <row r="898" spans="1:12" hidden="1" outlineLevel="1" collapsed="1" x14ac:dyDescent="0.35">
      <c r="A898" s="112" t="s">
        <v>1185</v>
      </c>
      <c r="B898" s="112" t="s">
        <v>1192</v>
      </c>
      <c r="C898" s="112" t="s">
        <v>1099</v>
      </c>
      <c r="D898" s="113">
        <v>1069398</v>
      </c>
      <c r="E898" s="115">
        <v>43921</v>
      </c>
      <c r="F898" s="114">
        <v>202101</v>
      </c>
      <c r="G898" s="112" t="s">
        <v>1091</v>
      </c>
      <c r="H898" s="112" t="s">
        <v>1015</v>
      </c>
      <c r="I898" s="112" t="s">
        <v>761</v>
      </c>
      <c r="J898" s="112" t="s">
        <v>1193</v>
      </c>
      <c r="K898" s="112" t="s">
        <v>1439</v>
      </c>
      <c r="L898" s="116">
        <v>1133.32</v>
      </c>
    </row>
    <row r="899" spans="1:12" hidden="1" outlineLevel="1" collapsed="1" x14ac:dyDescent="0.35">
      <c r="A899" s="112" t="s">
        <v>1185</v>
      </c>
      <c r="B899" s="112" t="s">
        <v>896</v>
      </c>
      <c r="C899" s="112" t="s">
        <v>1099</v>
      </c>
      <c r="D899" s="113">
        <v>1069393</v>
      </c>
      <c r="E899" s="115">
        <v>43921</v>
      </c>
      <c r="F899" s="114">
        <v>202101</v>
      </c>
      <c r="G899" s="112" t="s">
        <v>1091</v>
      </c>
      <c r="H899" s="112" t="s">
        <v>1015</v>
      </c>
      <c r="I899" s="112" t="s">
        <v>767</v>
      </c>
      <c r="J899" s="112" t="s">
        <v>1195</v>
      </c>
      <c r="K899" s="112" t="s">
        <v>1440</v>
      </c>
      <c r="L899" s="116">
        <v>3200</v>
      </c>
    </row>
    <row r="900" spans="1:12" hidden="1" outlineLevel="1" collapsed="1" x14ac:dyDescent="0.35">
      <c r="A900" s="112" t="s">
        <v>1185</v>
      </c>
      <c r="B900" s="112" t="s">
        <v>896</v>
      </c>
      <c r="C900" s="112" t="s">
        <v>1099</v>
      </c>
      <c r="D900" s="113">
        <v>1069391</v>
      </c>
      <c r="E900" s="115">
        <v>43923</v>
      </c>
      <c r="F900" s="114">
        <v>202101</v>
      </c>
      <c r="G900" s="112" t="s">
        <v>1091</v>
      </c>
      <c r="H900" s="112" t="s">
        <v>1015</v>
      </c>
      <c r="I900" s="112" t="s">
        <v>767</v>
      </c>
      <c r="J900" s="112" t="s">
        <v>1195</v>
      </c>
      <c r="K900" s="112" t="s">
        <v>1441</v>
      </c>
      <c r="L900" s="116">
        <v>347.14</v>
      </c>
    </row>
    <row r="901" spans="1:12" hidden="1" outlineLevel="1" collapsed="1" x14ac:dyDescent="0.35">
      <c r="A901" s="112" t="s">
        <v>1185</v>
      </c>
      <c r="B901" s="112" t="s">
        <v>897</v>
      </c>
      <c r="C901" s="112" t="s">
        <v>1099</v>
      </c>
      <c r="D901" s="113">
        <v>1069402</v>
      </c>
      <c r="E901" s="115">
        <v>43921</v>
      </c>
      <c r="F901" s="114">
        <v>202101</v>
      </c>
      <c r="G901" s="112" t="s">
        <v>1091</v>
      </c>
      <c r="H901" s="112" t="s">
        <v>1015</v>
      </c>
      <c r="I901" s="112" t="s">
        <v>1137</v>
      </c>
      <c r="J901" s="112" t="s">
        <v>1186</v>
      </c>
      <c r="K901" s="112" t="s">
        <v>1442</v>
      </c>
      <c r="L901" s="116">
        <v>1918.71</v>
      </c>
    </row>
    <row r="902" spans="1:12" hidden="1" outlineLevel="1" collapsed="1" x14ac:dyDescent="0.35">
      <c r="A902" s="112" t="s">
        <v>1185</v>
      </c>
      <c r="B902" s="112" t="s">
        <v>897</v>
      </c>
      <c r="C902" s="112" t="s">
        <v>679</v>
      </c>
      <c r="D902" s="113">
        <v>10348056</v>
      </c>
      <c r="E902" s="115">
        <v>43928</v>
      </c>
      <c r="F902" s="114">
        <v>202101</v>
      </c>
      <c r="G902" s="112" t="s">
        <v>1091</v>
      </c>
      <c r="H902" s="112" t="s">
        <v>1015</v>
      </c>
      <c r="I902" s="112" t="s">
        <v>1137</v>
      </c>
      <c r="J902" s="112" t="s">
        <v>1186</v>
      </c>
      <c r="K902" s="112" t="s">
        <v>1443</v>
      </c>
      <c r="L902" s="116">
        <v>1981.53</v>
      </c>
    </row>
    <row r="903" spans="1:12" hidden="1" outlineLevel="1" collapsed="1" x14ac:dyDescent="0.35">
      <c r="A903" s="112" t="s">
        <v>1185</v>
      </c>
      <c r="B903" s="112" t="s">
        <v>896</v>
      </c>
      <c r="C903" s="112" t="s">
        <v>695</v>
      </c>
      <c r="D903" s="113">
        <v>10348055</v>
      </c>
      <c r="E903" s="115">
        <v>43928</v>
      </c>
      <c r="F903" s="114">
        <v>202101</v>
      </c>
      <c r="G903" s="112" t="s">
        <v>1091</v>
      </c>
      <c r="H903" s="112" t="s">
        <v>1015</v>
      </c>
      <c r="I903" s="112" t="s">
        <v>767</v>
      </c>
      <c r="J903" s="112" t="s">
        <v>1195</v>
      </c>
      <c r="K903" s="112" t="s">
        <v>1444</v>
      </c>
      <c r="L903" s="116">
        <v>9370</v>
      </c>
    </row>
    <row r="904" spans="1:12" hidden="1" outlineLevel="1" collapsed="1" x14ac:dyDescent="0.35">
      <c r="A904" s="112" t="s">
        <v>1185</v>
      </c>
      <c r="B904" s="112" t="s">
        <v>896</v>
      </c>
      <c r="C904" s="112" t="s">
        <v>695</v>
      </c>
      <c r="D904" s="113">
        <v>10348055</v>
      </c>
      <c r="E904" s="115">
        <v>43928</v>
      </c>
      <c r="F904" s="114">
        <v>202101</v>
      </c>
      <c r="G904" s="112" t="s">
        <v>1091</v>
      </c>
      <c r="H904" s="112" t="s">
        <v>1015</v>
      </c>
      <c r="I904" s="112" t="s">
        <v>765</v>
      </c>
      <c r="J904" s="112" t="s">
        <v>1268</v>
      </c>
      <c r="K904" s="112" t="s">
        <v>1445</v>
      </c>
      <c r="L904" s="116">
        <v>-625</v>
      </c>
    </row>
    <row r="905" spans="1:12" hidden="1" outlineLevel="1" collapsed="1" x14ac:dyDescent="0.35">
      <c r="A905" s="112" t="s">
        <v>1185</v>
      </c>
      <c r="B905" s="112" t="s">
        <v>896</v>
      </c>
      <c r="C905" s="112" t="s">
        <v>695</v>
      </c>
      <c r="D905" s="113">
        <v>10348055</v>
      </c>
      <c r="E905" s="115">
        <v>43928</v>
      </c>
      <c r="F905" s="114">
        <v>202101</v>
      </c>
      <c r="G905" s="112" t="s">
        <v>1091</v>
      </c>
      <c r="H905" s="112" t="s">
        <v>1015</v>
      </c>
      <c r="I905" s="112" t="s">
        <v>765</v>
      </c>
      <c r="J905" s="112" t="s">
        <v>1268</v>
      </c>
      <c r="K905" s="112" t="s">
        <v>1446</v>
      </c>
      <c r="L905" s="116">
        <v>-22650</v>
      </c>
    </row>
    <row r="906" spans="1:12" hidden="1" outlineLevel="1" collapsed="1" x14ac:dyDescent="0.35">
      <c r="A906" s="112" t="s">
        <v>1185</v>
      </c>
      <c r="B906" s="112" t="s">
        <v>896</v>
      </c>
      <c r="C906" s="112" t="s">
        <v>695</v>
      </c>
      <c r="D906" s="113">
        <v>10348055</v>
      </c>
      <c r="E906" s="115">
        <v>43928</v>
      </c>
      <c r="F906" s="114">
        <v>202101</v>
      </c>
      <c r="G906" s="112" t="s">
        <v>1091</v>
      </c>
      <c r="H906" s="112" t="s">
        <v>1015</v>
      </c>
      <c r="I906" s="112" t="s">
        <v>761</v>
      </c>
      <c r="J906" s="112" t="s">
        <v>1195</v>
      </c>
      <c r="K906" s="112" t="s">
        <v>1447</v>
      </c>
      <c r="L906" s="116">
        <v>-51000</v>
      </c>
    </row>
    <row r="907" spans="1:12" hidden="1" outlineLevel="1" collapsed="1" x14ac:dyDescent="0.35">
      <c r="A907" s="112" t="s">
        <v>1185</v>
      </c>
      <c r="B907" s="112" t="s">
        <v>896</v>
      </c>
      <c r="C907" s="112" t="s">
        <v>695</v>
      </c>
      <c r="D907" s="113">
        <v>10348055</v>
      </c>
      <c r="E907" s="115">
        <v>43928</v>
      </c>
      <c r="F907" s="114">
        <v>202101</v>
      </c>
      <c r="G907" s="112" t="s">
        <v>1091</v>
      </c>
      <c r="H907" s="112" t="s">
        <v>1015</v>
      </c>
      <c r="I907" s="112" t="s">
        <v>761</v>
      </c>
      <c r="J907" s="112" t="s">
        <v>1195</v>
      </c>
      <c r="K907" s="112" t="s">
        <v>1448</v>
      </c>
      <c r="L907" s="116">
        <v>-45600</v>
      </c>
    </row>
    <row r="908" spans="1:12" hidden="1" outlineLevel="1" collapsed="1" x14ac:dyDescent="0.35">
      <c r="A908" s="112" t="s">
        <v>1185</v>
      </c>
      <c r="B908" s="112" t="s">
        <v>896</v>
      </c>
      <c r="C908" s="112" t="s">
        <v>695</v>
      </c>
      <c r="D908" s="113">
        <v>10348055</v>
      </c>
      <c r="E908" s="115">
        <v>43928</v>
      </c>
      <c r="F908" s="114">
        <v>202101</v>
      </c>
      <c r="G908" s="112" t="s">
        <v>1091</v>
      </c>
      <c r="H908" s="112" t="s">
        <v>1015</v>
      </c>
      <c r="I908" s="112" t="s">
        <v>1267</v>
      </c>
      <c r="J908" s="112" t="s">
        <v>1268</v>
      </c>
      <c r="K908" s="112" t="s">
        <v>1449</v>
      </c>
      <c r="L908" s="116">
        <v>-4552.38</v>
      </c>
    </row>
    <row r="909" spans="1:12" hidden="1" outlineLevel="1" collapsed="1" x14ac:dyDescent="0.35">
      <c r="A909" s="112" t="s">
        <v>1185</v>
      </c>
      <c r="B909" s="112" t="s">
        <v>896</v>
      </c>
      <c r="C909" s="112" t="s">
        <v>695</v>
      </c>
      <c r="D909" s="113">
        <v>10348001</v>
      </c>
      <c r="E909" s="115">
        <v>43927</v>
      </c>
      <c r="F909" s="114">
        <v>202101</v>
      </c>
      <c r="G909" s="112" t="s">
        <v>1091</v>
      </c>
      <c r="H909" s="112" t="s">
        <v>1015</v>
      </c>
      <c r="I909" s="112" t="s">
        <v>767</v>
      </c>
      <c r="J909" s="112" t="s">
        <v>1195</v>
      </c>
      <c r="K909" s="112" t="s">
        <v>1373</v>
      </c>
      <c r="L909" s="116">
        <v>8994.58</v>
      </c>
    </row>
    <row r="910" spans="1:12" hidden="1" outlineLevel="1" collapsed="1" x14ac:dyDescent="0.35">
      <c r="A910" s="112" t="s">
        <v>1185</v>
      </c>
      <c r="B910" s="112" t="s">
        <v>896</v>
      </c>
      <c r="C910" s="112" t="s">
        <v>695</v>
      </c>
      <c r="D910" s="113">
        <v>10347981</v>
      </c>
      <c r="E910" s="115">
        <v>43924</v>
      </c>
      <c r="F910" s="114">
        <v>202101</v>
      </c>
      <c r="G910" s="112" t="s">
        <v>1091</v>
      </c>
      <c r="H910" s="112" t="s">
        <v>1015</v>
      </c>
      <c r="I910" s="112" t="s">
        <v>1092</v>
      </c>
      <c r="J910" s="112" t="s">
        <v>1199</v>
      </c>
      <c r="K910" s="112" t="s">
        <v>1450</v>
      </c>
      <c r="L910" s="116">
        <v>-31.5</v>
      </c>
    </row>
    <row r="911" spans="1:12" hidden="1" outlineLevel="1" collapsed="1" x14ac:dyDescent="0.35">
      <c r="A911" s="112" t="s">
        <v>1185</v>
      </c>
      <c r="B911" s="112" t="s">
        <v>897</v>
      </c>
      <c r="C911" s="112" t="s">
        <v>1095</v>
      </c>
      <c r="D911" s="113">
        <v>10348451</v>
      </c>
      <c r="E911" s="115">
        <v>43949</v>
      </c>
      <c r="F911" s="114">
        <v>202101</v>
      </c>
      <c r="G911" s="112" t="s">
        <v>1091</v>
      </c>
      <c r="H911" s="112" t="s">
        <v>1015</v>
      </c>
      <c r="I911" s="112" t="s">
        <v>1113</v>
      </c>
      <c r="J911" s="112" t="s">
        <v>1203</v>
      </c>
      <c r="K911" s="112" t="s">
        <v>1098</v>
      </c>
      <c r="L911" s="116">
        <v>16.670000000000002</v>
      </c>
    </row>
    <row r="912" spans="1:12" hidden="1" outlineLevel="1" collapsed="1" x14ac:dyDescent="0.35">
      <c r="A912" s="112" t="s">
        <v>1185</v>
      </c>
      <c r="B912" s="112" t="s">
        <v>897</v>
      </c>
      <c r="C912" s="112" t="s">
        <v>1095</v>
      </c>
      <c r="D912" s="113">
        <v>10348451</v>
      </c>
      <c r="E912" s="115">
        <v>43949</v>
      </c>
      <c r="F912" s="114">
        <v>202101</v>
      </c>
      <c r="G912" s="112" t="s">
        <v>1091</v>
      </c>
      <c r="H912" s="112" t="s">
        <v>1015</v>
      </c>
      <c r="I912" s="112" t="s">
        <v>1101</v>
      </c>
      <c r="J912" s="112" t="s">
        <v>1191</v>
      </c>
      <c r="K912" s="112" t="s">
        <v>1098</v>
      </c>
      <c r="L912" s="116">
        <v>274.93</v>
      </c>
    </row>
    <row r="913" spans="1:12" hidden="1" outlineLevel="1" collapsed="1" x14ac:dyDescent="0.35">
      <c r="A913" s="112" t="s">
        <v>1185</v>
      </c>
      <c r="B913" s="112" t="s">
        <v>897</v>
      </c>
      <c r="C913" s="112" t="s">
        <v>695</v>
      </c>
      <c r="D913" s="113">
        <v>10347981</v>
      </c>
      <c r="E913" s="115">
        <v>43924</v>
      </c>
      <c r="F913" s="114">
        <v>202101</v>
      </c>
      <c r="G913" s="112" t="s">
        <v>1091</v>
      </c>
      <c r="H913" s="112" t="s">
        <v>1015</v>
      </c>
      <c r="I913" s="112" t="s">
        <v>1092</v>
      </c>
      <c r="J913" s="112" t="s">
        <v>1186</v>
      </c>
      <c r="K913" s="112" t="s">
        <v>1451</v>
      </c>
      <c r="L913" s="116">
        <v>-33.5</v>
      </c>
    </row>
    <row r="914" spans="1:12" hidden="1" outlineLevel="1" collapsed="1" x14ac:dyDescent="0.35">
      <c r="A914" s="112" t="s">
        <v>1185</v>
      </c>
      <c r="B914" s="112" t="s">
        <v>896</v>
      </c>
      <c r="C914" s="112" t="s">
        <v>1266</v>
      </c>
      <c r="D914" s="113">
        <v>1069426</v>
      </c>
      <c r="E914" s="115">
        <v>43925</v>
      </c>
      <c r="F914" s="114">
        <v>202101</v>
      </c>
      <c r="G914" s="112" t="s">
        <v>1091</v>
      </c>
      <c r="H914" s="112" t="s">
        <v>1015</v>
      </c>
      <c r="I914" s="112" t="s">
        <v>765</v>
      </c>
      <c r="J914" s="112" t="s">
        <v>1268</v>
      </c>
      <c r="K914" s="112" t="s">
        <v>1452</v>
      </c>
      <c r="L914" s="116">
        <v>22070.61</v>
      </c>
    </row>
    <row r="915" spans="1:12" hidden="1" outlineLevel="1" collapsed="1" x14ac:dyDescent="0.35">
      <c r="A915" s="112" t="s">
        <v>1185</v>
      </c>
      <c r="B915" s="112" t="s">
        <v>896</v>
      </c>
      <c r="C915" s="112" t="s">
        <v>1266</v>
      </c>
      <c r="D915" s="113">
        <v>1069425</v>
      </c>
      <c r="E915" s="115">
        <v>43913</v>
      </c>
      <c r="F915" s="114">
        <v>202101</v>
      </c>
      <c r="G915" s="112" t="s">
        <v>1091</v>
      </c>
      <c r="H915" s="112" t="s">
        <v>1015</v>
      </c>
      <c r="I915" s="112" t="s">
        <v>765</v>
      </c>
      <c r="J915" s="112" t="s">
        <v>1268</v>
      </c>
      <c r="K915" s="112" t="s">
        <v>1453</v>
      </c>
      <c r="L915" s="116">
        <v>1520.76</v>
      </c>
    </row>
    <row r="916" spans="1:12" hidden="1" outlineLevel="1" collapsed="1" x14ac:dyDescent="0.35">
      <c r="A916" s="112" t="s">
        <v>1185</v>
      </c>
      <c r="B916" s="112" t="s">
        <v>896</v>
      </c>
      <c r="C916" s="112" t="s">
        <v>1266</v>
      </c>
      <c r="D916" s="113">
        <v>1069424</v>
      </c>
      <c r="E916" s="115">
        <v>43919</v>
      </c>
      <c r="F916" s="114">
        <v>202101</v>
      </c>
      <c r="G916" s="112" t="s">
        <v>1091</v>
      </c>
      <c r="H916" s="112" t="s">
        <v>1015</v>
      </c>
      <c r="I916" s="112" t="s">
        <v>765</v>
      </c>
      <c r="J916" s="112" t="s">
        <v>1268</v>
      </c>
      <c r="K916" s="112" t="s">
        <v>1454</v>
      </c>
      <c r="L916" s="116">
        <v>11.44</v>
      </c>
    </row>
    <row r="917" spans="1:12" hidden="1" outlineLevel="1" collapsed="1" x14ac:dyDescent="0.35">
      <c r="A917" s="112" t="s">
        <v>1185</v>
      </c>
      <c r="B917" s="112" t="s">
        <v>896</v>
      </c>
      <c r="C917" s="112" t="s">
        <v>1266</v>
      </c>
      <c r="D917" s="113">
        <v>1069414</v>
      </c>
      <c r="E917" s="115">
        <v>43924</v>
      </c>
      <c r="F917" s="114">
        <v>202101</v>
      </c>
      <c r="G917" s="112" t="s">
        <v>1091</v>
      </c>
      <c r="H917" s="112" t="s">
        <v>1015</v>
      </c>
      <c r="I917" s="112" t="s">
        <v>765</v>
      </c>
      <c r="J917" s="112" t="s">
        <v>1268</v>
      </c>
      <c r="K917" s="112" t="s">
        <v>1455</v>
      </c>
      <c r="L917" s="116">
        <v>26.76</v>
      </c>
    </row>
    <row r="918" spans="1:12" hidden="1" outlineLevel="1" collapsed="1" x14ac:dyDescent="0.35">
      <c r="A918" s="112" t="s">
        <v>1185</v>
      </c>
      <c r="B918" s="112" t="s">
        <v>896</v>
      </c>
      <c r="C918" s="112" t="s">
        <v>1266</v>
      </c>
      <c r="D918" s="113">
        <v>1069423</v>
      </c>
      <c r="E918" s="115">
        <v>43924</v>
      </c>
      <c r="F918" s="114">
        <v>202101</v>
      </c>
      <c r="G918" s="112" t="s">
        <v>1091</v>
      </c>
      <c r="H918" s="112" t="s">
        <v>1015</v>
      </c>
      <c r="I918" s="112" t="s">
        <v>1267</v>
      </c>
      <c r="J918" s="112" t="s">
        <v>1268</v>
      </c>
      <c r="K918" s="112" t="s">
        <v>1456</v>
      </c>
      <c r="L918" s="116">
        <v>74</v>
      </c>
    </row>
    <row r="919" spans="1:12" hidden="1" outlineLevel="1" collapsed="1" x14ac:dyDescent="0.35">
      <c r="A919" s="112" t="s">
        <v>1185</v>
      </c>
      <c r="B919" s="112" t="s">
        <v>896</v>
      </c>
      <c r="C919" s="112" t="s">
        <v>695</v>
      </c>
      <c r="D919" s="113">
        <v>10347981</v>
      </c>
      <c r="E919" s="115">
        <v>43924</v>
      </c>
      <c r="F919" s="114">
        <v>202101</v>
      </c>
      <c r="G919" s="112" t="s">
        <v>1091</v>
      </c>
      <c r="H919" s="112" t="s">
        <v>1015</v>
      </c>
      <c r="I919" s="112" t="s">
        <v>767</v>
      </c>
      <c r="J919" s="112" t="s">
        <v>1195</v>
      </c>
      <c r="K919" s="112" t="s">
        <v>1252</v>
      </c>
      <c r="L919" s="116">
        <v>-1575</v>
      </c>
    </row>
    <row r="920" spans="1:12" hidden="1" outlineLevel="1" collapsed="1" x14ac:dyDescent="0.35">
      <c r="A920" s="112" t="s">
        <v>1185</v>
      </c>
      <c r="B920" s="112" t="s">
        <v>895</v>
      </c>
      <c r="C920" s="112" t="s">
        <v>695</v>
      </c>
      <c r="D920" s="113">
        <v>10347981</v>
      </c>
      <c r="E920" s="115">
        <v>43924</v>
      </c>
      <c r="F920" s="114">
        <v>202101</v>
      </c>
      <c r="G920" s="112" t="s">
        <v>1091</v>
      </c>
      <c r="H920" s="112" t="s">
        <v>1015</v>
      </c>
      <c r="I920" s="112" t="s">
        <v>1271</v>
      </c>
      <c r="J920" s="112" t="s">
        <v>1272</v>
      </c>
      <c r="K920" s="112" t="s">
        <v>1273</v>
      </c>
      <c r="L920" s="116">
        <v>-298.75</v>
      </c>
    </row>
    <row r="921" spans="1:12" hidden="1" outlineLevel="1" collapsed="1" x14ac:dyDescent="0.35">
      <c r="A921" s="112" t="s">
        <v>1185</v>
      </c>
      <c r="B921" s="112" t="s">
        <v>895</v>
      </c>
      <c r="C921" s="112" t="s">
        <v>1095</v>
      </c>
      <c r="D921" s="113">
        <v>10348451</v>
      </c>
      <c r="E921" s="115">
        <v>43949</v>
      </c>
      <c r="F921" s="114">
        <v>202101</v>
      </c>
      <c r="G921" s="112" t="s">
        <v>1091</v>
      </c>
      <c r="H921" s="112" t="s">
        <v>1015</v>
      </c>
      <c r="I921" s="112" t="s">
        <v>1116</v>
      </c>
      <c r="J921" s="112" t="s">
        <v>1272</v>
      </c>
      <c r="K921" s="112" t="s">
        <v>1098</v>
      </c>
      <c r="L921" s="116">
        <v>232.94</v>
      </c>
    </row>
    <row r="922" spans="1:12" hidden="1" outlineLevel="1" collapsed="1" x14ac:dyDescent="0.35">
      <c r="A922" s="112" t="s">
        <v>1185</v>
      </c>
      <c r="B922" s="112" t="s">
        <v>898</v>
      </c>
      <c r="C922" s="112" t="s">
        <v>1099</v>
      </c>
      <c r="D922" s="113">
        <v>1069339</v>
      </c>
      <c r="E922" s="115">
        <v>43917</v>
      </c>
      <c r="F922" s="114">
        <v>202101</v>
      </c>
      <c r="G922" s="112" t="s">
        <v>1091</v>
      </c>
      <c r="H922" s="112" t="s">
        <v>1015</v>
      </c>
      <c r="I922" s="112" t="s">
        <v>763</v>
      </c>
      <c r="J922" s="112" t="s">
        <v>1213</v>
      </c>
      <c r="K922" s="112" t="s">
        <v>1457</v>
      </c>
      <c r="L922" s="116">
        <v>1395</v>
      </c>
    </row>
    <row r="923" spans="1:12" hidden="1" outlineLevel="1" collapsed="1" x14ac:dyDescent="0.35">
      <c r="A923" s="112" t="s">
        <v>1185</v>
      </c>
      <c r="B923" s="112" t="s">
        <v>895</v>
      </c>
      <c r="C923" s="112" t="s">
        <v>1095</v>
      </c>
      <c r="D923" s="113">
        <v>10348451</v>
      </c>
      <c r="E923" s="115">
        <v>43949</v>
      </c>
      <c r="F923" s="114">
        <v>202101</v>
      </c>
      <c r="G923" s="112" t="s">
        <v>1091</v>
      </c>
      <c r="H923" s="112" t="s">
        <v>1015</v>
      </c>
      <c r="I923" s="112" t="s">
        <v>1116</v>
      </c>
      <c r="J923" s="112" t="s">
        <v>1272</v>
      </c>
      <c r="K923" s="112" t="s">
        <v>1098</v>
      </c>
      <c r="L923" s="116">
        <v>292.64999999999998</v>
      </c>
    </row>
    <row r="924" spans="1:12" hidden="1" outlineLevel="1" collapsed="1" x14ac:dyDescent="0.35">
      <c r="A924" s="112" t="s">
        <v>1185</v>
      </c>
      <c r="B924" s="112" t="s">
        <v>896</v>
      </c>
      <c r="C924" s="112" t="s">
        <v>1095</v>
      </c>
      <c r="D924" s="113">
        <v>10348451</v>
      </c>
      <c r="E924" s="115">
        <v>43949</v>
      </c>
      <c r="F924" s="114">
        <v>202101</v>
      </c>
      <c r="G924" s="112" t="s">
        <v>1091</v>
      </c>
      <c r="H924" s="112" t="s">
        <v>1015</v>
      </c>
      <c r="I924" s="112" t="s">
        <v>1101</v>
      </c>
      <c r="J924" s="112" t="s">
        <v>1199</v>
      </c>
      <c r="K924" s="112" t="s">
        <v>1098</v>
      </c>
      <c r="L924" s="116">
        <v>366.04</v>
      </c>
    </row>
    <row r="925" spans="1:12" hidden="1" outlineLevel="1" collapsed="1" x14ac:dyDescent="0.35">
      <c r="A925" s="112" t="s">
        <v>1185</v>
      </c>
      <c r="B925" s="112" t="s">
        <v>897</v>
      </c>
      <c r="C925" s="112" t="s">
        <v>1095</v>
      </c>
      <c r="D925" s="113">
        <v>10348451</v>
      </c>
      <c r="E925" s="115">
        <v>43949</v>
      </c>
      <c r="F925" s="114">
        <v>202101</v>
      </c>
      <c r="G925" s="112" t="s">
        <v>1091</v>
      </c>
      <c r="H925" s="112" t="s">
        <v>1015</v>
      </c>
      <c r="I925" s="112" t="s">
        <v>1101</v>
      </c>
      <c r="J925" s="112" t="s">
        <v>1186</v>
      </c>
      <c r="K925" s="112" t="s">
        <v>1098</v>
      </c>
      <c r="L925" s="116">
        <v>162.49</v>
      </c>
    </row>
    <row r="926" spans="1:12" hidden="1" outlineLevel="1" collapsed="1" x14ac:dyDescent="0.35">
      <c r="A926" s="112" t="s">
        <v>1185</v>
      </c>
      <c r="B926" s="112" t="s">
        <v>897</v>
      </c>
      <c r="C926" s="112" t="s">
        <v>1095</v>
      </c>
      <c r="D926" s="113">
        <v>10348451</v>
      </c>
      <c r="E926" s="115">
        <v>43949</v>
      </c>
      <c r="F926" s="114">
        <v>202101</v>
      </c>
      <c r="G926" s="112" t="s">
        <v>1091</v>
      </c>
      <c r="H926" s="112" t="s">
        <v>1015</v>
      </c>
      <c r="I926" s="112" t="s">
        <v>1096</v>
      </c>
      <c r="J926" s="112" t="s">
        <v>1186</v>
      </c>
      <c r="K926" s="112" t="s">
        <v>1098</v>
      </c>
      <c r="L926" s="116">
        <v>37.4</v>
      </c>
    </row>
    <row r="927" spans="1:12" hidden="1" outlineLevel="1" collapsed="1" x14ac:dyDescent="0.35">
      <c r="A927" s="112" t="s">
        <v>1185</v>
      </c>
      <c r="B927" s="112" t="s">
        <v>896</v>
      </c>
      <c r="C927" s="112" t="s">
        <v>1095</v>
      </c>
      <c r="D927" s="113">
        <v>10348451</v>
      </c>
      <c r="E927" s="115">
        <v>43949</v>
      </c>
      <c r="F927" s="114">
        <v>202101</v>
      </c>
      <c r="G927" s="112" t="s">
        <v>1091</v>
      </c>
      <c r="H927" s="112" t="s">
        <v>1015</v>
      </c>
      <c r="I927" s="112" t="s">
        <v>1128</v>
      </c>
      <c r="J927" s="112" t="s">
        <v>1199</v>
      </c>
      <c r="K927" s="112" t="s">
        <v>1098</v>
      </c>
      <c r="L927" s="116">
        <v>243</v>
      </c>
    </row>
    <row r="928" spans="1:12" hidden="1" outlineLevel="1" collapsed="1" x14ac:dyDescent="0.35">
      <c r="A928" s="112" t="s">
        <v>1185</v>
      </c>
      <c r="B928" s="112" t="s">
        <v>895</v>
      </c>
      <c r="C928" s="112" t="s">
        <v>1095</v>
      </c>
      <c r="D928" s="113">
        <v>10348451</v>
      </c>
      <c r="E928" s="115">
        <v>43949</v>
      </c>
      <c r="F928" s="114">
        <v>202101</v>
      </c>
      <c r="G928" s="112" t="s">
        <v>1091</v>
      </c>
      <c r="H928" s="112" t="s">
        <v>1015</v>
      </c>
      <c r="I928" s="112" t="s">
        <v>1101</v>
      </c>
      <c r="J928" s="112" t="s">
        <v>1239</v>
      </c>
      <c r="K928" s="112" t="s">
        <v>1098</v>
      </c>
      <c r="L928" s="116">
        <v>414.68</v>
      </c>
    </row>
    <row r="929" spans="1:12" hidden="1" outlineLevel="1" collapsed="1" x14ac:dyDescent="0.35">
      <c r="A929" s="112" t="s">
        <v>1185</v>
      </c>
      <c r="B929" s="112" t="s">
        <v>895</v>
      </c>
      <c r="C929" s="112" t="s">
        <v>1095</v>
      </c>
      <c r="D929" s="113">
        <v>10348451</v>
      </c>
      <c r="E929" s="115">
        <v>43949</v>
      </c>
      <c r="F929" s="114">
        <v>202101</v>
      </c>
      <c r="G929" s="112" t="s">
        <v>1091</v>
      </c>
      <c r="H929" s="112" t="s">
        <v>1015</v>
      </c>
      <c r="I929" s="112" t="s">
        <v>1101</v>
      </c>
      <c r="J929" s="112" t="s">
        <v>1239</v>
      </c>
      <c r="K929" s="112" t="s">
        <v>1098</v>
      </c>
      <c r="L929" s="116">
        <v>483.07</v>
      </c>
    </row>
    <row r="930" spans="1:12" hidden="1" outlineLevel="1" collapsed="1" x14ac:dyDescent="0.35">
      <c r="A930" s="112" t="s">
        <v>1185</v>
      </c>
      <c r="B930" s="112" t="s">
        <v>896</v>
      </c>
      <c r="C930" s="112" t="s">
        <v>695</v>
      </c>
      <c r="D930" s="113">
        <v>10348166</v>
      </c>
      <c r="E930" s="115">
        <v>43930</v>
      </c>
      <c r="F930" s="114">
        <v>202101</v>
      </c>
      <c r="G930" s="112" t="s">
        <v>1091</v>
      </c>
      <c r="H930" s="112" t="s">
        <v>1015</v>
      </c>
      <c r="I930" s="112" t="s">
        <v>1246</v>
      </c>
      <c r="J930" s="112" t="s">
        <v>1195</v>
      </c>
      <c r="K930" s="112" t="s">
        <v>1458</v>
      </c>
      <c r="L930" s="116">
        <v>12770.73</v>
      </c>
    </row>
    <row r="931" spans="1:12" hidden="1" outlineLevel="1" collapsed="1" x14ac:dyDescent="0.35">
      <c r="A931" s="112" t="s">
        <v>1185</v>
      </c>
      <c r="B931" s="112" t="s">
        <v>898</v>
      </c>
      <c r="C931" s="112" t="s">
        <v>1095</v>
      </c>
      <c r="D931" s="113">
        <v>10348451</v>
      </c>
      <c r="E931" s="115">
        <v>43949</v>
      </c>
      <c r="F931" s="114">
        <v>202101</v>
      </c>
      <c r="G931" s="112" t="s">
        <v>1091</v>
      </c>
      <c r="H931" s="112" t="s">
        <v>1015</v>
      </c>
      <c r="I931" s="112" t="s">
        <v>1101</v>
      </c>
      <c r="J931" s="112" t="s">
        <v>1200</v>
      </c>
      <c r="K931" s="112" t="s">
        <v>1098</v>
      </c>
      <c r="L931" s="116">
        <v>483.07</v>
      </c>
    </row>
    <row r="932" spans="1:12" hidden="1" outlineLevel="1" collapsed="1" x14ac:dyDescent="0.35">
      <c r="A932" s="112" t="s">
        <v>1185</v>
      </c>
      <c r="B932" s="112" t="s">
        <v>896</v>
      </c>
      <c r="C932" s="112" t="s">
        <v>695</v>
      </c>
      <c r="D932" s="113">
        <v>10348001</v>
      </c>
      <c r="E932" s="115">
        <v>43927</v>
      </c>
      <c r="F932" s="114">
        <v>202101</v>
      </c>
      <c r="G932" s="112" t="s">
        <v>1091</v>
      </c>
      <c r="H932" s="112" t="s">
        <v>1015</v>
      </c>
      <c r="I932" s="112" t="s">
        <v>767</v>
      </c>
      <c r="J932" s="112" t="s">
        <v>1195</v>
      </c>
      <c r="K932" s="112" t="s">
        <v>1383</v>
      </c>
      <c r="L932" s="116">
        <v>11952.26</v>
      </c>
    </row>
    <row r="933" spans="1:12" hidden="1" outlineLevel="1" collapsed="1" x14ac:dyDescent="0.35">
      <c r="A933" s="112" t="s">
        <v>1185</v>
      </c>
      <c r="B933" s="112" t="s">
        <v>898</v>
      </c>
      <c r="C933" s="112" t="s">
        <v>1095</v>
      </c>
      <c r="D933" s="113">
        <v>10348451</v>
      </c>
      <c r="E933" s="115">
        <v>43949</v>
      </c>
      <c r="F933" s="114">
        <v>202101</v>
      </c>
      <c r="G933" s="112" t="s">
        <v>1091</v>
      </c>
      <c r="H933" s="112" t="s">
        <v>1015</v>
      </c>
      <c r="I933" s="112" t="s">
        <v>1096</v>
      </c>
      <c r="J933" s="112" t="s">
        <v>1200</v>
      </c>
      <c r="K933" s="112" t="s">
        <v>1098</v>
      </c>
      <c r="L933" s="116">
        <v>310.49</v>
      </c>
    </row>
    <row r="934" spans="1:12" hidden="1" outlineLevel="1" collapsed="1" x14ac:dyDescent="0.35">
      <c r="A934" s="112" t="s">
        <v>1185</v>
      </c>
      <c r="B934" s="112" t="s">
        <v>897</v>
      </c>
      <c r="C934" s="112" t="s">
        <v>695</v>
      </c>
      <c r="D934" s="113">
        <v>10348385</v>
      </c>
      <c r="E934" s="115">
        <v>43943</v>
      </c>
      <c r="F934" s="114">
        <v>202101</v>
      </c>
      <c r="G934" s="112" t="s">
        <v>1091</v>
      </c>
      <c r="H934" s="112" t="s">
        <v>1015</v>
      </c>
      <c r="I934" s="112" t="s">
        <v>1459</v>
      </c>
      <c r="J934" s="112" t="s">
        <v>1203</v>
      </c>
      <c r="K934" s="112" t="s">
        <v>1460</v>
      </c>
      <c r="L934" s="116">
        <v>-15860</v>
      </c>
    </row>
    <row r="935" spans="1:12" hidden="1" outlineLevel="1" collapsed="1" x14ac:dyDescent="0.35">
      <c r="A935" s="112" t="s">
        <v>1185</v>
      </c>
      <c r="B935" s="112" t="s">
        <v>897</v>
      </c>
      <c r="C935" s="112" t="s">
        <v>1095</v>
      </c>
      <c r="D935" s="113">
        <v>10348451</v>
      </c>
      <c r="E935" s="115">
        <v>43949</v>
      </c>
      <c r="F935" s="114">
        <v>202101</v>
      </c>
      <c r="G935" s="112" t="s">
        <v>1091</v>
      </c>
      <c r="H935" s="112" t="s">
        <v>1015</v>
      </c>
      <c r="I935" s="112" t="s">
        <v>1101</v>
      </c>
      <c r="J935" s="112" t="s">
        <v>1191</v>
      </c>
      <c r="K935" s="112" t="s">
        <v>1098</v>
      </c>
      <c r="L935" s="116">
        <v>272.06</v>
      </c>
    </row>
    <row r="936" spans="1:12" hidden="1" outlineLevel="1" collapsed="1" x14ac:dyDescent="0.35">
      <c r="A936" s="112" t="s">
        <v>1185</v>
      </c>
      <c r="B936" s="112" t="s">
        <v>897</v>
      </c>
      <c r="C936" s="112" t="s">
        <v>1095</v>
      </c>
      <c r="D936" s="113">
        <v>10348451</v>
      </c>
      <c r="E936" s="115">
        <v>43949</v>
      </c>
      <c r="F936" s="114">
        <v>202101</v>
      </c>
      <c r="G936" s="112" t="s">
        <v>1091</v>
      </c>
      <c r="H936" s="112" t="s">
        <v>1015</v>
      </c>
      <c r="I936" s="112" t="s">
        <v>1096</v>
      </c>
      <c r="J936" s="112" t="s">
        <v>1191</v>
      </c>
      <c r="K936" s="112" t="s">
        <v>1098</v>
      </c>
      <c r="L936" s="116">
        <v>130.72999999999999</v>
      </c>
    </row>
    <row r="937" spans="1:12" hidden="1" outlineLevel="1" collapsed="1" x14ac:dyDescent="0.35">
      <c r="A937" s="112" t="s">
        <v>1185</v>
      </c>
      <c r="B937" s="112" t="s">
        <v>897</v>
      </c>
      <c r="C937" s="112" t="s">
        <v>1095</v>
      </c>
      <c r="D937" s="113">
        <v>10348451</v>
      </c>
      <c r="E937" s="115">
        <v>43949</v>
      </c>
      <c r="F937" s="114">
        <v>202101</v>
      </c>
      <c r="G937" s="112" t="s">
        <v>1091</v>
      </c>
      <c r="H937" s="112" t="s">
        <v>1015</v>
      </c>
      <c r="I937" s="112" t="s">
        <v>1096</v>
      </c>
      <c r="J937" s="112" t="s">
        <v>1191</v>
      </c>
      <c r="K937" s="112" t="s">
        <v>1098</v>
      </c>
      <c r="L937" s="116">
        <v>268.27</v>
      </c>
    </row>
    <row r="938" spans="1:12" hidden="1" outlineLevel="1" collapsed="1" x14ac:dyDescent="0.35">
      <c r="A938" s="112" t="s">
        <v>1185</v>
      </c>
      <c r="B938" s="112" t="s">
        <v>1192</v>
      </c>
      <c r="C938" s="112" t="s">
        <v>1095</v>
      </c>
      <c r="D938" s="113">
        <v>10348451</v>
      </c>
      <c r="E938" s="115">
        <v>43949</v>
      </c>
      <c r="F938" s="114">
        <v>202101</v>
      </c>
      <c r="G938" s="112" t="s">
        <v>1091</v>
      </c>
      <c r="H938" s="112" t="s">
        <v>1015</v>
      </c>
      <c r="I938" s="112" t="s">
        <v>1101</v>
      </c>
      <c r="J938" s="112" t="s">
        <v>1198</v>
      </c>
      <c r="K938" s="112" t="s">
        <v>1098</v>
      </c>
      <c r="L938" s="116">
        <v>445.46</v>
      </c>
    </row>
    <row r="939" spans="1:12" hidden="1" outlineLevel="1" collapsed="1" x14ac:dyDescent="0.35">
      <c r="A939" s="112" t="s">
        <v>1185</v>
      </c>
      <c r="B939" s="112" t="s">
        <v>898</v>
      </c>
      <c r="C939" s="112" t="s">
        <v>1099</v>
      </c>
      <c r="D939" s="113">
        <v>1069362</v>
      </c>
      <c r="E939" s="115">
        <v>43922</v>
      </c>
      <c r="F939" s="114">
        <v>202101</v>
      </c>
      <c r="G939" s="112" t="s">
        <v>1091</v>
      </c>
      <c r="H939" s="112" t="s">
        <v>1015</v>
      </c>
      <c r="I939" s="112" t="s">
        <v>1461</v>
      </c>
      <c r="J939" s="112" t="s">
        <v>1244</v>
      </c>
      <c r="K939" s="112" t="s">
        <v>1462</v>
      </c>
      <c r="L939" s="116">
        <v>14700</v>
      </c>
    </row>
    <row r="940" spans="1:12" hidden="1" outlineLevel="1" collapsed="1" x14ac:dyDescent="0.35">
      <c r="A940" s="112" t="s">
        <v>1185</v>
      </c>
      <c r="B940" s="112" t="s">
        <v>898</v>
      </c>
      <c r="C940" s="112" t="s">
        <v>695</v>
      </c>
      <c r="D940" s="113">
        <v>10347981</v>
      </c>
      <c r="E940" s="115">
        <v>43924</v>
      </c>
      <c r="F940" s="114">
        <v>202101</v>
      </c>
      <c r="G940" s="112" t="s">
        <v>1091</v>
      </c>
      <c r="H940" s="112" t="s">
        <v>1015</v>
      </c>
      <c r="I940" s="112" t="s">
        <v>1461</v>
      </c>
      <c r="J940" s="112" t="s">
        <v>1244</v>
      </c>
      <c r="K940" s="112" t="s">
        <v>1463</v>
      </c>
      <c r="L940" s="116">
        <v>-650</v>
      </c>
    </row>
    <row r="941" spans="1:12" hidden="1" outlineLevel="1" collapsed="1" x14ac:dyDescent="0.35">
      <c r="A941" s="112" t="s">
        <v>1185</v>
      </c>
      <c r="B941" s="112" t="s">
        <v>898</v>
      </c>
      <c r="C941" s="112" t="s">
        <v>695</v>
      </c>
      <c r="D941" s="113">
        <v>10347981</v>
      </c>
      <c r="E941" s="115">
        <v>43924</v>
      </c>
      <c r="F941" s="114">
        <v>202101</v>
      </c>
      <c r="G941" s="112" t="s">
        <v>1091</v>
      </c>
      <c r="H941" s="112" t="s">
        <v>1015</v>
      </c>
      <c r="I941" s="112" t="s">
        <v>1464</v>
      </c>
      <c r="J941" s="112" t="s">
        <v>1244</v>
      </c>
      <c r="K941" s="112" t="s">
        <v>1465</v>
      </c>
      <c r="L941" s="116">
        <v>-197.5</v>
      </c>
    </row>
    <row r="942" spans="1:12" hidden="1" outlineLevel="1" collapsed="1" x14ac:dyDescent="0.35">
      <c r="A942" s="112" t="s">
        <v>1185</v>
      </c>
      <c r="B942" s="112" t="s">
        <v>898</v>
      </c>
      <c r="C942" s="112" t="s">
        <v>695</v>
      </c>
      <c r="D942" s="113">
        <v>10347981</v>
      </c>
      <c r="E942" s="115">
        <v>43924</v>
      </c>
      <c r="F942" s="114">
        <v>202101</v>
      </c>
      <c r="G942" s="112" t="s">
        <v>1091</v>
      </c>
      <c r="H942" s="112" t="s">
        <v>1015</v>
      </c>
      <c r="I942" s="112" t="s">
        <v>1461</v>
      </c>
      <c r="J942" s="112" t="s">
        <v>1244</v>
      </c>
      <c r="K942" s="112" t="s">
        <v>1466</v>
      </c>
      <c r="L942" s="116">
        <v>-1564.8</v>
      </c>
    </row>
    <row r="943" spans="1:12" hidden="1" outlineLevel="1" collapsed="1" x14ac:dyDescent="0.35">
      <c r="A943" s="112" t="s">
        <v>1185</v>
      </c>
      <c r="B943" s="112" t="s">
        <v>898</v>
      </c>
      <c r="C943" s="112" t="s">
        <v>695</v>
      </c>
      <c r="D943" s="113">
        <v>10347981</v>
      </c>
      <c r="E943" s="115">
        <v>43924</v>
      </c>
      <c r="F943" s="114">
        <v>202101</v>
      </c>
      <c r="G943" s="112" t="s">
        <v>1091</v>
      </c>
      <c r="H943" s="112" t="s">
        <v>1015</v>
      </c>
      <c r="I943" s="112" t="s">
        <v>1461</v>
      </c>
      <c r="J943" s="112" t="s">
        <v>1467</v>
      </c>
      <c r="K943" s="112" t="s">
        <v>1468</v>
      </c>
      <c r="L943" s="116">
        <v>-10000</v>
      </c>
    </row>
    <row r="944" spans="1:12" hidden="1" outlineLevel="1" collapsed="1" x14ac:dyDescent="0.35">
      <c r="A944" s="112" t="s">
        <v>1185</v>
      </c>
      <c r="B944" s="112" t="s">
        <v>898</v>
      </c>
      <c r="C944" s="112" t="s">
        <v>1095</v>
      </c>
      <c r="D944" s="113">
        <v>10348451</v>
      </c>
      <c r="E944" s="115">
        <v>43949</v>
      </c>
      <c r="F944" s="114">
        <v>202101</v>
      </c>
      <c r="G944" s="112" t="s">
        <v>1091</v>
      </c>
      <c r="H944" s="112" t="s">
        <v>1015</v>
      </c>
      <c r="I944" s="112" t="s">
        <v>1101</v>
      </c>
      <c r="J944" s="112" t="s">
        <v>1244</v>
      </c>
      <c r="K944" s="112" t="s">
        <v>1098</v>
      </c>
      <c r="L944" s="116">
        <v>602.15</v>
      </c>
    </row>
    <row r="945" spans="1:12" hidden="1" outlineLevel="1" collapsed="1" x14ac:dyDescent="0.35">
      <c r="A945" s="112" t="s">
        <v>1185</v>
      </c>
      <c r="B945" s="112" t="s">
        <v>896</v>
      </c>
      <c r="C945" s="112" t="s">
        <v>695</v>
      </c>
      <c r="D945" s="113">
        <v>10347981</v>
      </c>
      <c r="E945" s="115">
        <v>43924</v>
      </c>
      <c r="F945" s="114">
        <v>202101</v>
      </c>
      <c r="G945" s="112" t="s">
        <v>1091</v>
      </c>
      <c r="H945" s="112" t="s">
        <v>1015</v>
      </c>
      <c r="I945" s="112" t="s">
        <v>1092</v>
      </c>
      <c r="J945" s="112" t="s">
        <v>1199</v>
      </c>
      <c r="K945" s="112" t="s">
        <v>1450</v>
      </c>
      <c r="L945" s="116">
        <v>-31.5</v>
      </c>
    </row>
    <row r="946" spans="1:12" hidden="1" outlineLevel="1" collapsed="1" x14ac:dyDescent="0.35">
      <c r="A946" s="112" t="s">
        <v>1185</v>
      </c>
      <c r="B946" s="112" t="s">
        <v>898</v>
      </c>
      <c r="C946" s="112" t="s">
        <v>1095</v>
      </c>
      <c r="D946" s="113">
        <v>10348451</v>
      </c>
      <c r="E946" s="115">
        <v>43949</v>
      </c>
      <c r="F946" s="114">
        <v>202101</v>
      </c>
      <c r="G946" s="112" t="s">
        <v>1091</v>
      </c>
      <c r="H946" s="112" t="s">
        <v>1015</v>
      </c>
      <c r="I946" s="112" t="s">
        <v>1096</v>
      </c>
      <c r="J946" s="112" t="s">
        <v>1244</v>
      </c>
      <c r="K946" s="112" t="s">
        <v>1098</v>
      </c>
      <c r="L946" s="116">
        <v>411.93</v>
      </c>
    </row>
    <row r="947" spans="1:12" hidden="1" outlineLevel="1" collapsed="1" x14ac:dyDescent="0.35">
      <c r="A947" s="112" t="s">
        <v>1185</v>
      </c>
      <c r="B947" s="112" t="s">
        <v>1192</v>
      </c>
      <c r="C947" s="112" t="s">
        <v>695</v>
      </c>
      <c r="D947" s="113">
        <v>10347981</v>
      </c>
      <c r="E947" s="115">
        <v>43924</v>
      </c>
      <c r="F947" s="114">
        <v>202101</v>
      </c>
      <c r="G947" s="112" t="s">
        <v>1091</v>
      </c>
      <c r="H947" s="112" t="s">
        <v>1015</v>
      </c>
      <c r="I947" s="112" t="s">
        <v>761</v>
      </c>
      <c r="J947" s="112" t="s">
        <v>1193</v>
      </c>
      <c r="K947" s="112" t="s">
        <v>1469</v>
      </c>
      <c r="L947" s="116">
        <v>-2375</v>
      </c>
    </row>
    <row r="948" spans="1:12" hidden="1" outlineLevel="1" collapsed="1" x14ac:dyDescent="0.35">
      <c r="A948" s="112" t="s">
        <v>1185</v>
      </c>
      <c r="B948" s="112" t="s">
        <v>898</v>
      </c>
      <c r="C948" s="112" t="s">
        <v>695</v>
      </c>
      <c r="D948" s="113">
        <v>10347981</v>
      </c>
      <c r="E948" s="115">
        <v>43924</v>
      </c>
      <c r="F948" s="114">
        <v>202101</v>
      </c>
      <c r="G948" s="112" t="s">
        <v>1091</v>
      </c>
      <c r="H948" s="112" t="s">
        <v>1015</v>
      </c>
      <c r="I948" s="112" t="s">
        <v>1464</v>
      </c>
      <c r="J948" s="112" t="s">
        <v>1244</v>
      </c>
      <c r="K948" s="112" t="s">
        <v>1470</v>
      </c>
      <c r="L948" s="116">
        <v>-300</v>
      </c>
    </row>
    <row r="949" spans="1:12" hidden="1" outlineLevel="1" collapsed="1" x14ac:dyDescent="0.35">
      <c r="A949" s="112" t="s">
        <v>1185</v>
      </c>
      <c r="B949" s="112" t="s">
        <v>897</v>
      </c>
      <c r="C949" s="112" t="s">
        <v>695</v>
      </c>
      <c r="D949" s="113">
        <v>10347981</v>
      </c>
      <c r="E949" s="115">
        <v>43924</v>
      </c>
      <c r="F949" s="114">
        <v>202101</v>
      </c>
      <c r="G949" s="112" t="s">
        <v>1091</v>
      </c>
      <c r="H949" s="112" t="s">
        <v>1015</v>
      </c>
      <c r="I949" s="112" t="s">
        <v>1471</v>
      </c>
      <c r="J949" s="112" t="s">
        <v>1191</v>
      </c>
      <c r="K949" s="112" t="s">
        <v>1472</v>
      </c>
      <c r="L949" s="116">
        <v>-5.65</v>
      </c>
    </row>
    <row r="950" spans="1:12" hidden="1" outlineLevel="1" collapsed="1" x14ac:dyDescent="0.35">
      <c r="A950" s="112" t="s">
        <v>1185</v>
      </c>
      <c r="B950" s="112" t="s">
        <v>1192</v>
      </c>
      <c r="C950" s="112" t="s">
        <v>1095</v>
      </c>
      <c r="D950" s="113">
        <v>10348451</v>
      </c>
      <c r="E950" s="115">
        <v>43949</v>
      </c>
      <c r="F950" s="114">
        <v>202101</v>
      </c>
      <c r="G950" s="112" t="s">
        <v>1091</v>
      </c>
      <c r="H950" s="112" t="s">
        <v>1015</v>
      </c>
      <c r="I950" s="112" t="s">
        <v>1101</v>
      </c>
      <c r="J950" s="112" t="s">
        <v>1198</v>
      </c>
      <c r="K950" s="112" t="s">
        <v>1098</v>
      </c>
      <c r="L950" s="116">
        <v>311.82</v>
      </c>
    </row>
    <row r="951" spans="1:12" hidden="1" outlineLevel="1" collapsed="1" x14ac:dyDescent="0.35">
      <c r="A951" s="112" t="s">
        <v>1185</v>
      </c>
      <c r="B951" s="112" t="s">
        <v>898</v>
      </c>
      <c r="C951" s="112" t="s">
        <v>695</v>
      </c>
      <c r="D951" s="113">
        <v>10348055</v>
      </c>
      <c r="E951" s="115">
        <v>43928</v>
      </c>
      <c r="F951" s="114">
        <v>202101</v>
      </c>
      <c r="G951" s="112" t="s">
        <v>1091</v>
      </c>
      <c r="H951" s="112" t="s">
        <v>1015</v>
      </c>
      <c r="I951" s="112" t="s">
        <v>1473</v>
      </c>
      <c r="J951" s="112" t="s">
        <v>1244</v>
      </c>
      <c r="K951" s="112" t="s">
        <v>1474</v>
      </c>
      <c r="L951" s="116">
        <v>7000</v>
      </c>
    </row>
    <row r="952" spans="1:12" hidden="1" outlineLevel="1" collapsed="1" x14ac:dyDescent="0.35">
      <c r="A952" s="112" t="s">
        <v>1185</v>
      </c>
      <c r="B952" s="112" t="s">
        <v>897</v>
      </c>
      <c r="C952" s="112" t="s">
        <v>695</v>
      </c>
      <c r="D952" s="113">
        <v>10348052</v>
      </c>
      <c r="E952" s="115">
        <v>43928</v>
      </c>
      <c r="F952" s="114">
        <v>202101</v>
      </c>
      <c r="G952" s="112" t="s">
        <v>1091</v>
      </c>
      <c r="H952" s="112" t="s">
        <v>1015</v>
      </c>
      <c r="I952" s="112" t="s">
        <v>1459</v>
      </c>
      <c r="J952" s="112" t="s">
        <v>1203</v>
      </c>
      <c r="K952" s="112" t="s">
        <v>1475</v>
      </c>
      <c r="L952" s="116">
        <v>15860</v>
      </c>
    </row>
    <row r="953" spans="1:12" hidden="1" outlineLevel="1" collapsed="1" x14ac:dyDescent="0.35">
      <c r="A953" s="112" t="s">
        <v>1185</v>
      </c>
      <c r="B953" s="112" t="s">
        <v>898</v>
      </c>
      <c r="C953" s="112" t="s">
        <v>1095</v>
      </c>
      <c r="D953" s="113">
        <v>10348451</v>
      </c>
      <c r="E953" s="115">
        <v>43949</v>
      </c>
      <c r="F953" s="114">
        <v>202101</v>
      </c>
      <c r="G953" s="112" t="s">
        <v>1091</v>
      </c>
      <c r="H953" s="112" t="s">
        <v>1015</v>
      </c>
      <c r="I953" s="112" t="s">
        <v>1101</v>
      </c>
      <c r="J953" s="112" t="s">
        <v>1207</v>
      </c>
      <c r="K953" s="112" t="s">
        <v>1098</v>
      </c>
      <c r="L953" s="116">
        <v>602.15</v>
      </c>
    </row>
    <row r="954" spans="1:12" hidden="1" outlineLevel="1" collapsed="1" x14ac:dyDescent="0.35">
      <c r="A954" s="112" t="s">
        <v>1185</v>
      </c>
      <c r="B954" s="112" t="s">
        <v>898</v>
      </c>
      <c r="C954" s="112" t="s">
        <v>695</v>
      </c>
      <c r="D954" s="113">
        <v>10348202</v>
      </c>
      <c r="E954" s="115">
        <v>43935</v>
      </c>
      <c r="F954" s="114">
        <v>202101</v>
      </c>
      <c r="G954" s="112" t="s">
        <v>1091</v>
      </c>
      <c r="H954" s="112" t="s">
        <v>1015</v>
      </c>
      <c r="I954" s="112" t="s">
        <v>1476</v>
      </c>
      <c r="J954" s="112" t="s">
        <v>1207</v>
      </c>
      <c r="K954" s="112" t="s">
        <v>1477</v>
      </c>
      <c r="L954" s="116">
        <v>-134314</v>
      </c>
    </row>
    <row r="955" spans="1:12" hidden="1" outlineLevel="1" collapsed="1" x14ac:dyDescent="0.35">
      <c r="A955" s="112" t="s">
        <v>1185</v>
      </c>
      <c r="B955" s="112" t="s">
        <v>898</v>
      </c>
      <c r="C955" s="112" t="s">
        <v>695</v>
      </c>
      <c r="D955" s="113">
        <v>10348202</v>
      </c>
      <c r="E955" s="115">
        <v>43935</v>
      </c>
      <c r="F955" s="114">
        <v>202101</v>
      </c>
      <c r="G955" s="112" t="s">
        <v>1091</v>
      </c>
      <c r="H955" s="112" t="s">
        <v>1015</v>
      </c>
      <c r="I955" s="112" t="s">
        <v>1476</v>
      </c>
      <c r="J955" s="112" t="s">
        <v>1207</v>
      </c>
      <c r="K955" s="112" t="s">
        <v>1478</v>
      </c>
      <c r="L955" s="116">
        <v>-8840</v>
      </c>
    </row>
    <row r="956" spans="1:12" hidden="1" outlineLevel="1" collapsed="1" x14ac:dyDescent="0.35">
      <c r="A956" s="112" t="s">
        <v>1185</v>
      </c>
      <c r="B956" s="112" t="s">
        <v>897</v>
      </c>
      <c r="C956" s="112" t="s">
        <v>1095</v>
      </c>
      <c r="D956" s="113">
        <v>10348451</v>
      </c>
      <c r="E956" s="115">
        <v>43949</v>
      </c>
      <c r="F956" s="114">
        <v>202101</v>
      </c>
      <c r="G956" s="112" t="s">
        <v>1091</v>
      </c>
      <c r="H956" s="112" t="s">
        <v>1015</v>
      </c>
      <c r="I956" s="112" t="s">
        <v>1479</v>
      </c>
      <c r="J956" s="112" t="s">
        <v>1191</v>
      </c>
      <c r="K956" s="112" t="s">
        <v>1098</v>
      </c>
      <c r="L956" s="116">
        <v>945.94</v>
      </c>
    </row>
    <row r="957" spans="1:12" hidden="1" outlineLevel="1" collapsed="1" x14ac:dyDescent="0.35">
      <c r="A957" s="112" t="s">
        <v>1185</v>
      </c>
      <c r="B957" s="112" t="s">
        <v>896</v>
      </c>
      <c r="C957" s="112" t="s">
        <v>695</v>
      </c>
      <c r="D957" s="113">
        <v>10348001</v>
      </c>
      <c r="E957" s="115">
        <v>43927</v>
      </c>
      <c r="F957" s="114">
        <v>202101</v>
      </c>
      <c r="G957" s="112" t="s">
        <v>1091</v>
      </c>
      <c r="H957" s="112" t="s">
        <v>1015</v>
      </c>
      <c r="I957" s="112" t="s">
        <v>767</v>
      </c>
      <c r="J957" s="112" t="s">
        <v>1195</v>
      </c>
      <c r="K957" s="112" t="s">
        <v>1395</v>
      </c>
      <c r="L957" s="116">
        <v>3179.45</v>
      </c>
    </row>
    <row r="958" spans="1:12" hidden="1" outlineLevel="1" collapsed="1" x14ac:dyDescent="0.35">
      <c r="A958" s="112" t="s">
        <v>1185</v>
      </c>
      <c r="B958" s="112" t="s">
        <v>1192</v>
      </c>
      <c r="C958" s="112" t="s">
        <v>695</v>
      </c>
      <c r="D958" s="113">
        <v>10347981</v>
      </c>
      <c r="E958" s="115">
        <v>43924</v>
      </c>
      <c r="F958" s="114">
        <v>202101</v>
      </c>
      <c r="G958" s="112" t="s">
        <v>1091</v>
      </c>
      <c r="H958" s="112" t="s">
        <v>1015</v>
      </c>
      <c r="I958" s="112" t="s">
        <v>761</v>
      </c>
      <c r="J958" s="112" t="s">
        <v>1193</v>
      </c>
      <c r="K958" s="112" t="s">
        <v>1204</v>
      </c>
      <c r="L958" s="116">
        <v>-5700</v>
      </c>
    </row>
    <row r="959" spans="1:12" hidden="1" outlineLevel="1" collapsed="1" x14ac:dyDescent="0.35">
      <c r="A959" s="112" t="s">
        <v>1185</v>
      </c>
      <c r="B959" s="112" t="s">
        <v>896</v>
      </c>
      <c r="C959" s="112" t="s">
        <v>695</v>
      </c>
      <c r="D959" s="113">
        <v>10348001</v>
      </c>
      <c r="E959" s="115">
        <v>43927</v>
      </c>
      <c r="F959" s="114">
        <v>202101</v>
      </c>
      <c r="G959" s="112" t="s">
        <v>1091</v>
      </c>
      <c r="H959" s="112" t="s">
        <v>1015</v>
      </c>
      <c r="I959" s="112" t="s">
        <v>767</v>
      </c>
      <c r="J959" s="112" t="s">
        <v>1195</v>
      </c>
      <c r="K959" s="112" t="s">
        <v>1393</v>
      </c>
      <c r="L959" s="116">
        <v>5171.51</v>
      </c>
    </row>
    <row r="960" spans="1:12" hidden="1" outlineLevel="1" collapsed="1" x14ac:dyDescent="0.35">
      <c r="A960" s="112" t="s">
        <v>1185</v>
      </c>
      <c r="B960" s="112" t="s">
        <v>896</v>
      </c>
      <c r="C960" s="112" t="s">
        <v>695</v>
      </c>
      <c r="D960" s="113">
        <v>10348001</v>
      </c>
      <c r="E960" s="115">
        <v>43927</v>
      </c>
      <c r="F960" s="114">
        <v>202101</v>
      </c>
      <c r="G960" s="112" t="s">
        <v>1091</v>
      </c>
      <c r="H960" s="112" t="s">
        <v>1015</v>
      </c>
      <c r="I960" s="112" t="s">
        <v>767</v>
      </c>
      <c r="J960" s="112" t="s">
        <v>1195</v>
      </c>
      <c r="K960" s="112" t="s">
        <v>1387</v>
      </c>
      <c r="L960" s="116">
        <v>984</v>
      </c>
    </row>
    <row r="961" spans="1:12" hidden="1" outlineLevel="1" collapsed="1" x14ac:dyDescent="0.35">
      <c r="A961" s="112" t="s">
        <v>1185</v>
      </c>
      <c r="B961" s="112" t="s">
        <v>896</v>
      </c>
      <c r="C961" s="112" t="s">
        <v>695</v>
      </c>
      <c r="D961" s="113">
        <v>10348001</v>
      </c>
      <c r="E961" s="115">
        <v>43927</v>
      </c>
      <c r="F961" s="114">
        <v>202101</v>
      </c>
      <c r="G961" s="112" t="s">
        <v>1091</v>
      </c>
      <c r="H961" s="112" t="s">
        <v>1015</v>
      </c>
      <c r="I961" s="112" t="s">
        <v>767</v>
      </c>
      <c r="J961" s="112" t="s">
        <v>1195</v>
      </c>
      <c r="K961" s="112" t="s">
        <v>1358</v>
      </c>
      <c r="L961" s="116">
        <v>52</v>
      </c>
    </row>
    <row r="962" spans="1:12" hidden="1" outlineLevel="1" collapsed="1" x14ac:dyDescent="0.35">
      <c r="A962" s="112" t="s">
        <v>1185</v>
      </c>
      <c r="B962" s="112" t="s">
        <v>896</v>
      </c>
      <c r="C962" s="112" t="s">
        <v>695</v>
      </c>
      <c r="D962" s="113">
        <v>10348001</v>
      </c>
      <c r="E962" s="115">
        <v>43927</v>
      </c>
      <c r="F962" s="114">
        <v>202101</v>
      </c>
      <c r="G962" s="112" t="s">
        <v>1091</v>
      </c>
      <c r="H962" s="112" t="s">
        <v>1015</v>
      </c>
      <c r="I962" s="112" t="s">
        <v>767</v>
      </c>
      <c r="J962" s="112" t="s">
        <v>1195</v>
      </c>
      <c r="K962" s="112" t="s">
        <v>1480</v>
      </c>
      <c r="L962" s="116">
        <v>13219.23</v>
      </c>
    </row>
    <row r="963" spans="1:12" hidden="1" outlineLevel="1" collapsed="1" x14ac:dyDescent="0.35">
      <c r="A963" s="112" t="s">
        <v>1185</v>
      </c>
      <c r="B963" s="112" t="s">
        <v>896</v>
      </c>
      <c r="C963" s="112" t="s">
        <v>695</v>
      </c>
      <c r="D963" s="113">
        <v>10348001</v>
      </c>
      <c r="E963" s="115">
        <v>43927</v>
      </c>
      <c r="F963" s="114">
        <v>202101</v>
      </c>
      <c r="G963" s="112" t="s">
        <v>1091</v>
      </c>
      <c r="H963" s="112" t="s">
        <v>1015</v>
      </c>
      <c r="I963" s="112" t="s">
        <v>767</v>
      </c>
      <c r="J963" s="112" t="s">
        <v>1195</v>
      </c>
      <c r="K963" s="112" t="s">
        <v>1481</v>
      </c>
      <c r="L963" s="116">
        <v>3690.11</v>
      </c>
    </row>
    <row r="964" spans="1:12" hidden="1" outlineLevel="1" collapsed="1" x14ac:dyDescent="0.35">
      <c r="A964" s="112" t="s">
        <v>1185</v>
      </c>
      <c r="B964" s="112" t="s">
        <v>896</v>
      </c>
      <c r="C964" s="112" t="s">
        <v>695</v>
      </c>
      <c r="D964" s="113">
        <v>10348001</v>
      </c>
      <c r="E964" s="115">
        <v>43927</v>
      </c>
      <c r="F964" s="114">
        <v>202101</v>
      </c>
      <c r="G964" s="112" t="s">
        <v>1091</v>
      </c>
      <c r="H964" s="112" t="s">
        <v>1015</v>
      </c>
      <c r="I964" s="112" t="s">
        <v>767</v>
      </c>
      <c r="J964" s="112" t="s">
        <v>1195</v>
      </c>
      <c r="K964" s="112" t="s">
        <v>1482</v>
      </c>
      <c r="L964" s="116">
        <v>3044.02</v>
      </c>
    </row>
    <row r="965" spans="1:12" hidden="1" outlineLevel="1" collapsed="1" x14ac:dyDescent="0.35">
      <c r="A965" s="112" t="s">
        <v>1185</v>
      </c>
      <c r="B965" s="112" t="s">
        <v>896</v>
      </c>
      <c r="C965" s="112" t="s">
        <v>695</v>
      </c>
      <c r="D965" s="113">
        <v>10348001</v>
      </c>
      <c r="E965" s="115">
        <v>43927</v>
      </c>
      <c r="F965" s="114">
        <v>202101</v>
      </c>
      <c r="G965" s="112" t="s">
        <v>1091</v>
      </c>
      <c r="H965" s="112" t="s">
        <v>1015</v>
      </c>
      <c r="I965" s="112" t="s">
        <v>767</v>
      </c>
      <c r="J965" s="112" t="s">
        <v>1195</v>
      </c>
      <c r="K965" s="112" t="s">
        <v>1391</v>
      </c>
      <c r="L965" s="116">
        <v>30715.15</v>
      </c>
    </row>
    <row r="966" spans="1:12" hidden="1" outlineLevel="1" collapsed="1" x14ac:dyDescent="0.35">
      <c r="A966" s="112" t="s">
        <v>1185</v>
      </c>
      <c r="B966" s="112" t="s">
        <v>896</v>
      </c>
      <c r="C966" s="112" t="s">
        <v>695</v>
      </c>
      <c r="D966" s="113">
        <v>10348001</v>
      </c>
      <c r="E966" s="115">
        <v>43927</v>
      </c>
      <c r="F966" s="114">
        <v>202101</v>
      </c>
      <c r="G966" s="112" t="s">
        <v>1091</v>
      </c>
      <c r="H966" s="112" t="s">
        <v>1015</v>
      </c>
      <c r="I966" s="112" t="s">
        <v>767</v>
      </c>
      <c r="J966" s="112" t="s">
        <v>1195</v>
      </c>
      <c r="K966" s="112" t="s">
        <v>1377</v>
      </c>
      <c r="L966" s="116">
        <v>1188.8900000000001</v>
      </c>
    </row>
    <row r="967" spans="1:12" hidden="1" outlineLevel="1" collapsed="1" x14ac:dyDescent="0.35">
      <c r="A967" s="112" t="s">
        <v>1185</v>
      </c>
      <c r="B967" s="112" t="s">
        <v>896</v>
      </c>
      <c r="C967" s="112" t="s">
        <v>695</v>
      </c>
      <c r="D967" s="113">
        <v>10348001</v>
      </c>
      <c r="E967" s="115">
        <v>43927</v>
      </c>
      <c r="F967" s="114">
        <v>202101</v>
      </c>
      <c r="G967" s="112" t="s">
        <v>1091</v>
      </c>
      <c r="H967" s="112" t="s">
        <v>1015</v>
      </c>
      <c r="I967" s="112" t="s">
        <v>767</v>
      </c>
      <c r="J967" s="112" t="s">
        <v>1195</v>
      </c>
      <c r="K967" s="112" t="s">
        <v>1389</v>
      </c>
      <c r="L967" s="116">
        <v>2951.37</v>
      </c>
    </row>
    <row r="968" spans="1:12" hidden="1" outlineLevel="1" collapsed="1" x14ac:dyDescent="0.35">
      <c r="A968" s="112" t="s">
        <v>1185</v>
      </c>
      <c r="B968" s="112" t="s">
        <v>896</v>
      </c>
      <c r="C968" s="112" t="s">
        <v>695</v>
      </c>
      <c r="D968" s="113">
        <v>10348001</v>
      </c>
      <c r="E968" s="115">
        <v>43927</v>
      </c>
      <c r="F968" s="114">
        <v>202101</v>
      </c>
      <c r="G968" s="112" t="s">
        <v>1091</v>
      </c>
      <c r="H968" s="112" t="s">
        <v>1015</v>
      </c>
      <c r="I968" s="112" t="s">
        <v>767</v>
      </c>
      <c r="J968" s="112" t="s">
        <v>1195</v>
      </c>
      <c r="K968" s="112" t="s">
        <v>1364</v>
      </c>
      <c r="L968" s="116">
        <v>535.65</v>
      </c>
    </row>
    <row r="969" spans="1:12" hidden="1" outlineLevel="1" collapsed="1" x14ac:dyDescent="0.35">
      <c r="A969" s="112" t="s">
        <v>1185</v>
      </c>
      <c r="B969" s="112" t="s">
        <v>896</v>
      </c>
      <c r="C969" s="112" t="s">
        <v>695</v>
      </c>
      <c r="D969" s="113">
        <v>10348001</v>
      </c>
      <c r="E969" s="115">
        <v>43927</v>
      </c>
      <c r="F969" s="114">
        <v>202101</v>
      </c>
      <c r="G969" s="112" t="s">
        <v>1091</v>
      </c>
      <c r="H969" s="112" t="s">
        <v>1015</v>
      </c>
      <c r="I969" s="112" t="s">
        <v>767</v>
      </c>
      <c r="J969" s="112" t="s">
        <v>1195</v>
      </c>
      <c r="K969" s="112" t="s">
        <v>1483</v>
      </c>
      <c r="L969" s="116">
        <v>77010.48</v>
      </c>
    </row>
    <row r="970" spans="1:12" hidden="1" outlineLevel="1" collapsed="1" x14ac:dyDescent="0.35">
      <c r="A970" s="112" t="s">
        <v>1185</v>
      </c>
      <c r="B970" s="112" t="s">
        <v>896</v>
      </c>
      <c r="C970" s="112" t="s">
        <v>695</v>
      </c>
      <c r="D970" s="113">
        <v>10348001</v>
      </c>
      <c r="E970" s="115">
        <v>43927</v>
      </c>
      <c r="F970" s="114">
        <v>202101</v>
      </c>
      <c r="G970" s="112" t="s">
        <v>1091</v>
      </c>
      <c r="H970" s="112" t="s">
        <v>1015</v>
      </c>
      <c r="I970" s="112" t="s">
        <v>767</v>
      </c>
      <c r="J970" s="112" t="s">
        <v>1195</v>
      </c>
      <c r="K970" s="112" t="s">
        <v>1484</v>
      </c>
      <c r="L970" s="116">
        <v>7015.3</v>
      </c>
    </row>
    <row r="971" spans="1:12" hidden="1" outlineLevel="1" collapsed="1" x14ac:dyDescent="0.35">
      <c r="A971" s="112" t="s">
        <v>1185</v>
      </c>
      <c r="B971" s="112" t="s">
        <v>896</v>
      </c>
      <c r="C971" s="112" t="s">
        <v>695</v>
      </c>
      <c r="D971" s="113">
        <v>10348001</v>
      </c>
      <c r="E971" s="115">
        <v>43927</v>
      </c>
      <c r="F971" s="114">
        <v>202101</v>
      </c>
      <c r="G971" s="112" t="s">
        <v>1091</v>
      </c>
      <c r="H971" s="112" t="s">
        <v>1015</v>
      </c>
      <c r="I971" s="112" t="s">
        <v>767</v>
      </c>
      <c r="J971" s="112" t="s">
        <v>1195</v>
      </c>
      <c r="K971" s="112" t="s">
        <v>1485</v>
      </c>
      <c r="L971" s="116">
        <v>12805.81</v>
      </c>
    </row>
    <row r="972" spans="1:12" hidden="1" outlineLevel="1" collapsed="1" x14ac:dyDescent="0.35">
      <c r="A972" s="112" t="s">
        <v>1185</v>
      </c>
      <c r="B972" s="112" t="s">
        <v>896</v>
      </c>
      <c r="C972" s="112" t="s">
        <v>695</v>
      </c>
      <c r="D972" s="113">
        <v>10348001</v>
      </c>
      <c r="E972" s="115">
        <v>43927</v>
      </c>
      <c r="F972" s="114">
        <v>202101</v>
      </c>
      <c r="G972" s="112" t="s">
        <v>1091</v>
      </c>
      <c r="H972" s="112" t="s">
        <v>1015</v>
      </c>
      <c r="I972" s="112" t="s">
        <v>767</v>
      </c>
      <c r="J972" s="112" t="s">
        <v>1195</v>
      </c>
      <c r="K972" s="112" t="s">
        <v>1486</v>
      </c>
      <c r="L972" s="116">
        <v>1002.75</v>
      </c>
    </row>
    <row r="973" spans="1:12" hidden="1" outlineLevel="1" collapsed="1" x14ac:dyDescent="0.35">
      <c r="A973" s="112" t="s">
        <v>1185</v>
      </c>
      <c r="B973" s="112" t="s">
        <v>896</v>
      </c>
      <c r="C973" s="112" t="s">
        <v>695</v>
      </c>
      <c r="D973" s="113">
        <v>10348001</v>
      </c>
      <c r="E973" s="115">
        <v>43927</v>
      </c>
      <c r="F973" s="114">
        <v>202101</v>
      </c>
      <c r="G973" s="112" t="s">
        <v>1091</v>
      </c>
      <c r="H973" s="112" t="s">
        <v>1015</v>
      </c>
      <c r="I973" s="112" t="s">
        <v>767</v>
      </c>
      <c r="J973" s="112" t="s">
        <v>1195</v>
      </c>
      <c r="K973" s="112" t="s">
        <v>1371</v>
      </c>
      <c r="L973" s="116">
        <v>6448.56</v>
      </c>
    </row>
    <row r="974" spans="1:12" hidden="1" outlineLevel="1" collapsed="1" x14ac:dyDescent="0.35">
      <c r="A974" s="112" t="s">
        <v>1185</v>
      </c>
      <c r="B974" s="112" t="s">
        <v>896</v>
      </c>
      <c r="C974" s="112" t="s">
        <v>695</v>
      </c>
      <c r="D974" s="113">
        <v>10348001</v>
      </c>
      <c r="E974" s="115">
        <v>43927</v>
      </c>
      <c r="F974" s="114">
        <v>202101</v>
      </c>
      <c r="G974" s="112" t="s">
        <v>1091</v>
      </c>
      <c r="H974" s="112" t="s">
        <v>1015</v>
      </c>
      <c r="I974" s="112" t="s">
        <v>761</v>
      </c>
      <c r="J974" s="112" t="s">
        <v>1195</v>
      </c>
      <c r="K974" s="112" t="s">
        <v>1487</v>
      </c>
      <c r="L974" s="116">
        <v>10118.75</v>
      </c>
    </row>
    <row r="975" spans="1:12" hidden="1" outlineLevel="1" collapsed="1" x14ac:dyDescent="0.35">
      <c r="A975" s="112" t="s">
        <v>1185</v>
      </c>
      <c r="B975" s="112" t="s">
        <v>898</v>
      </c>
      <c r="C975" s="112" t="s">
        <v>695</v>
      </c>
      <c r="D975" s="113">
        <v>10348001</v>
      </c>
      <c r="E975" s="115">
        <v>43927</v>
      </c>
      <c r="F975" s="114">
        <v>202101</v>
      </c>
      <c r="G975" s="112" t="s">
        <v>1091</v>
      </c>
      <c r="H975" s="112" t="s">
        <v>1015</v>
      </c>
      <c r="I975" s="112" t="s">
        <v>1400</v>
      </c>
      <c r="J975" s="112" t="s">
        <v>1301</v>
      </c>
      <c r="K975" s="112" t="s">
        <v>1488</v>
      </c>
      <c r="L975" s="116">
        <v>701.37</v>
      </c>
    </row>
    <row r="976" spans="1:12" hidden="1" outlineLevel="1" collapsed="1" x14ac:dyDescent="0.35">
      <c r="A976" s="112" t="s">
        <v>1185</v>
      </c>
      <c r="B976" s="112" t="s">
        <v>896</v>
      </c>
      <c r="C976" s="112" t="s">
        <v>695</v>
      </c>
      <c r="D976" s="113">
        <v>10348001</v>
      </c>
      <c r="E976" s="115">
        <v>43927</v>
      </c>
      <c r="F976" s="114">
        <v>202101</v>
      </c>
      <c r="G976" s="112" t="s">
        <v>1091</v>
      </c>
      <c r="H976" s="112" t="s">
        <v>1015</v>
      </c>
      <c r="I976" s="112" t="s">
        <v>767</v>
      </c>
      <c r="J976" s="112" t="s">
        <v>1195</v>
      </c>
      <c r="K976" s="112" t="s">
        <v>1369</v>
      </c>
      <c r="L976" s="116">
        <v>2286.15</v>
      </c>
    </row>
    <row r="977" spans="1:12" hidden="1" outlineLevel="1" collapsed="1" x14ac:dyDescent="0.35">
      <c r="A977" s="112" t="s">
        <v>1185</v>
      </c>
      <c r="B977" s="112" t="s">
        <v>896</v>
      </c>
      <c r="C977" s="112" t="s">
        <v>695</v>
      </c>
      <c r="D977" s="113">
        <v>10348001</v>
      </c>
      <c r="E977" s="115">
        <v>43927</v>
      </c>
      <c r="F977" s="114">
        <v>202101</v>
      </c>
      <c r="G977" s="112" t="s">
        <v>1091</v>
      </c>
      <c r="H977" s="112" t="s">
        <v>1015</v>
      </c>
      <c r="I977" s="112" t="s">
        <v>767</v>
      </c>
      <c r="J977" s="112" t="s">
        <v>1195</v>
      </c>
      <c r="K977" s="112" t="s">
        <v>1330</v>
      </c>
      <c r="L977" s="116">
        <v>459.12</v>
      </c>
    </row>
    <row r="978" spans="1:12" hidden="1" outlineLevel="1" collapsed="1" x14ac:dyDescent="0.35">
      <c r="A978" s="112" t="s">
        <v>1185</v>
      </c>
      <c r="B978" s="112" t="s">
        <v>896</v>
      </c>
      <c r="C978" s="112" t="s">
        <v>695</v>
      </c>
      <c r="D978" s="113">
        <v>10348001</v>
      </c>
      <c r="E978" s="115">
        <v>43927</v>
      </c>
      <c r="F978" s="114">
        <v>202101</v>
      </c>
      <c r="G978" s="112" t="s">
        <v>1091</v>
      </c>
      <c r="H978" s="112" t="s">
        <v>1015</v>
      </c>
      <c r="I978" s="112" t="s">
        <v>767</v>
      </c>
      <c r="J978" s="112" t="s">
        <v>1195</v>
      </c>
      <c r="K978" s="112" t="s">
        <v>1343</v>
      </c>
      <c r="L978" s="116">
        <v>1738.36</v>
      </c>
    </row>
    <row r="979" spans="1:12" hidden="1" outlineLevel="1" collapsed="1" x14ac:dyDescent="0.35">
      <c r="A979" s="112" t="s">
        <v>1185</v>
      </c>
      <c r="B979" s="112" t="s">
        <v>896</v>
      </c>
      <c r="C979" s="112" t="s">
        <v>695</v>
      </c>
      <c r="D979" s="113">
        <v>10348001</v>
      </c>
      <c r="E979" s="115">
        <v>43927</v>
      </c>
      <c r="F979" s="114">
        <v>202101</v>
      </c>
      <c r="G979" s="112" t="s">
        <v>1091</v>
      </c>
      <c r="H979" s="112" t="s">
        <v>1015</v>
      </c>
      <c r="I979" s="112" t="s">
        <v>767</v>
      </c>
      <c r="J979" s="112" t="s">
        <v>1195</v>
      </c>
      <c r="K979" s="112" t="s">
        <v>1356</v>
      </c>
      <c r="L979" s="116">
        <v>2434.21</v>
      </c>
    </row>
    <row r="980" spans="1:12" hidden="1" outlineLevel="1" collapsed="1" x14ac:dyDescent="0.35">
      <c r="A980" s="112" t="s">
        <v>1185</v>
      </c>
      <c r="B980" s="112" t="s">
        <v>896</v>
      </c>
      <c r="C980" s="112" t="s">
        <v>695</v>
      </c>
      <c r="D980" s="113">
        <v>10347981</v>
      </c>
      <c r="E980" s="115">
        <v>43924</v>
      </c>
      <c r="F980" s="114">
        <v>202101</v>
      </c>
      <c r="G980" s="112" t="s">
        <v>1091</v>
      </c>
      <c r="H980" s="112" t="s">
        <v>1015</v>
      </c>
      <c r="I980" s="112" t="s">
        <v>769</v>
      </c>
      <c r="J980" s="112" t="s">
        <v>1188</v>
      </c>
      <c r="K980" s="112" t="s">
        <v>1489</v>
      </c>
      <c r="L980" s="116">
        <v>-2727.5</v>
      </c>
    </row>
    <row r="981" spans="1:12" hidden="1" outlineLevel="1" collapsed="1" x14ac:dyDescent="0.35">
      <c r="A981" s="112" t="s">
        <v>1185</v>
      </c>
      <c r="B981" s="112" t="s">
        <v>896</v>
      </c>
      <c r="C981" s="112" t="s">
        <v>1095</v>
      </c>
      <c r="D981" s="113">
        <v>10348451</v>
      </c>
      <c r="E981" s="115">
        <v>43949</v>
      </c>
      <c r="F981" s="114">
        <v>202101</v>
      </c>
      <c r="G981" s="112" t="s">
        <v>1091</v>
      </c>
      <c r="H981" s="112" t="s">
        <v>1015</v>
      </c>
      <c r="I981" s="112" t="s">
        <v>1479</v>
      </c>
      <c r="J981" s="112" t="s">
        <v>1199</v>
      </c>
      <c r="K981" s="112" t="s">
        <v>1098</v>
      </c>
      <c r="L981" s="116">
        <v>750.96</v>
      </c>
    </row>
    <row r="982" spans="1:12" hidden="1" outlineLevel="1" collapsed="1" x14ac:dyDescent="0.35">
      <c r="A982" s="112" t="s">
        <v>1185</v>
      </c>
      <c r="B982" s="112" t="s">
        <v>896</v>
      </c>
      <c r="C982" s="112" t="s">
        <v>695</v>
      </c>
      <c r="D982" s="113">
        <v>10348146</v>
      </c>
      <c r="E982" s="115">
        <v>43930</v>
      </c>
      <c r="F982" s="114">
        <v>202101</v>
      </c>
      <c r="G982" s="112" t="s">
        <v>1091</v>
      </c>
      <c r="H982" s="112" t="s">
        <v>1015</v>
      </c>
      <c r="I982" s="112" t="s">
        <v>767</v>
      </c>
      <c r="J982" s="112" t="s">
        <v>1195</v>
      </c>
      <c r="K982" s="112" t="s">
        <v>1486</v>
      </c>
      <c r="L982" s="116">
        <v>-1002.75</v>
      </c>
    </row>
    <row r="983" spans="1:12" hidden="1" outlineLevel="1" collapsed="1" x14ac:dyDescent="0.35">
      <c r="A983" s="112" t="s">
        <v>1185</v>
      </c>
      <c r="B983" s="112" t="s">
        <v>896</v>
      </c>
      <c r="C983" s="112" t="s">
        <v>695</v>
      </c>
      <c r="D983" s="113">
        <v>10348146</v>
      </c>
      <c r="E983" s="115">
        <v>43930</v>
      </c>
      <c r="F983" s="114">
        <v>202101</v>
      </c>
      <c r="G983" s="112" t="s">
        <v>1091</v>
      </c>
      <c r="H983" s="112" t="s">
        <v>1015</v>
      </c>
      <c r="I983" s="112" t="s">
        <v>767</v>
      </c>
      <c r="J983" s="112" t="s">
        <v>1195</v>
      </c>
      <c r="K983" s="112" t="s">
        <v>1490</v>
      </c>
      <c r="L983" s="116">
        <v>1000</v>
      </c>
    </row>
    <row r="984" spans="1:12" hidden="1" outlineLevel="1" collapsed="1" x14ac:dyDescent="0.35">
      <c r="A984" s="112" t="s">
        <v>1185</v>
      </c>
      <c r="B984" s="112" t="s">
        <v>896</v>
      </c>
      <c r="C984" s="112" t="s">
        <v>695</v>
      </c>
      <c r="D984" s="113">
        <v>10348146</v>
      </c>
      <c r="E984" s="115">
        <v>43930</v>
      </c>
      <c r="F984" s="114">
        <v>202101</v>
      </c>
      <c r="G984" s="112" t="s">
        <v>1091</v>
      </c>
      <c r="H984" s="112" t="s">
        <v>1015</v>
      </c>
      <c r="I984" s="112" t="s">
        <v>767</v>
      </c>
      <c r="J984" s="112" t="s">
        <v>1195</v>
      </c>
      <c r="K984" s="112" t="s">
        <v>1491</v>
      </c>
      <c r="L984" s="116">
        <v>1288.1400000000001</v>
      </c>
    </row>
    <row r="985" spans="1:12" hidden="1" outlineLevel="1" collapsed="1" x14ac:dyDescent="0.35">
      <c r="A985" s="112" t="s">
        <v>1185</v>
      </c>
      <c r="B985" s="112" t="s">
        <v>896</v>
      </c>
      <c r="C985" s="112" t="s">
        <v>695</v>
      </c>
      <c r="D985" s="113">
        <v>10348146</v>
      </c>
      <c r="E985" s="115">
        <v>43930</v>
      </c>
      <c r="F985" s="114">
        <v>202101</v>
      </c>
      <c r="G985" s="112" t="s">
        <v>1091</v>
      </c>
      <c r="H985" s="112" t="s">
        <v>1015</v>
      </c>
      <c r="I985" s="112" t="s">
        <v>767</v>
      </c>
      <c r="J985" s="112" t="s">
        <v>1195</v>
      </c>
      <c r="K985" s="112" t="s">
        <v>1373</v>
      </c>
      <c r="L985" s="116">
        <v>8994.58</v>
      </c>
    </row>
    <row r="986" spans="1:12" hidden="1" outlineLevel="1" collapsed="1" x14ac:dyDescent="0.35">
      <c r="A986" s="112" t="s">
        <v>1185</v>
      </c>
      <c r="B986" s="112" t="s">
        <v>898</v>
      </c>
      <c r="C986" s="112" t="s">
        <v>1095</v>
      </c>
      <c r="D986" s="113">
        <v>10348451</v>
      </c>
      <c r="E986" s="115">
        <v>43949</v>
      </c>
      <c r="F986" s="114">
        <v>202101</v>
      </c>
      <c r="G986" s="112" t="s">
        <v>1091</v>
      </c>
      <c r="H986" s="112" t="s">
        <v>1015</v>
      </c>
      <c r="I986" s="112" t="s">
        <v>1116</v>
      </c>
      <c r="J986" s="112" t="s">
        <v>1213</v>
      </c>
      <c r="K986" s="112" t="s">
        <v>1098</v>
      </c>
      <c r="L986" s="116">
        <v>2346.79</v>
      </c>
    </row>
    <row r="987" spans="1:12" hidden="1" outlineLevel="1" collapsed="1" x14ac:dyDescent="0.35">
      <c r="A987" s="112" t="s">
        <v>1185</v>
      </c>
      <c r="B987" s="112" t="s">
        <v>896</v>
      </c>
      <c r="C987" s="112" t="s">
        <v>695</v>
      </c>
      <c r="D987" s="113">
        <v>10348146</v>
      </c>
      <c r="E987" s="115">
        <v>43930</v>
      </c>
      <c r="F987" s="114">
        <v>202101</v>
      </c>
      <c r="G987" s="112" t="s">
        <v>1091</v>
      </c>
      <c r="H987" s="112" t="s">
        <v>1015</v>
      </c>
      <c r="I987" s="112" t="s">
        <v>767</v>
      </c>
      <c r="J987" s="112" t="s">
        <v>1195</v>
      </c>
      <c r="K987" s="112" t="s">
        <v>1492</v>
      </c>
      <c r="L987" s="116">
        <v>618.71</v>
      </c>
    </row>
    <row r="988" spans="1:12" hidden="1" outlineLevel="1" collapsed="1" x14ac:dyDescent="0.35">
      <c r="A988" s="112" t="s">
        <v>1185</v>
      </c>
      <c r="B988" s="112" t="s">
        <v>896</v>
      </c>
      <c r="C988" s="112" t="s">
        <v>695</v>
      </c>
      <c r="D988" s="113">
        <v>10348146</v>
      </c>
      <c r="E988" s="115">
        <v>43930</v>
      </c>
      <c r="F988" s="114">
        <v>202101</v>
      </c>
      <c r="G988" s="112" t="s">
        <v>1091</v>
      </c>
      <c r="H988" s="112" t="s">
        <v>1015</v>
      </c>
      <c r="I988" s="112" t="s">
        <v>767</v>
      </c>
      <c r="J988" s="112" t="s">
        <v>1195</v>
      </c>
      <c r="K988" s="112" t="s">
        <v>1493</v>
      </c>
      <c r="L988" s="116">
        <v>894.16</v>
      </c>
    </row>
    <row r="989" spans="1:12" hidden="1" outlineLevel="1" collapsed="1" x14ac:dyDescent="0.35">
      <c r="A989" s="112" t="s">
        <v>1185</v>
      </c>
      <c r="B989" s="112" t="s">
        <v>896</v>
      </c>
      <c r="C989" s="112" t="s">
        <v>695</v>
      </c>
      <c r="D989" s="113">
        <v>10348146</v>
      </c>
      <c r="E989" s="115">
        <v>43930</v>
      </c>
      <c r="F989" s="114">
        <v>202101</v>
      </c>
      <c r="G989" s="112" t="s">
        <v>1091</v>
      </c>
      <c r="H989" s="112" t="s">
        <v>1015</v>
      </c>
      <c r="I989" s="112" t="s">
        <v>767</v>
      </c>
      <c r="J989" s="112" t="s">
        <v>1195</v>
      </c>
      <c r="K989" s="112" t="s">
        <v>1435</v>
      </c>
      <c r="L989" s="116">
        <v>3489.89</v>
      </c>
    </row>
    <row r="990" spans="1:12" hidden="1" outlineLevel="1" collapsed="1" x14ac:dyDescent="0.35">
      <c r="A990" s="112" t="s">
        <v>1185</v>
      </c>
      <c r="B990" s="112" t="s">
        <v>896</v>
      </c>
      <c r="C990" s="112" t="s">
        <v>695</v>
      </c>
      <c r="D990" s="113">
        <v>10348146</v>
      </c>
      <c r="E990" s="115">
        <v>43930</v>
      </c>
      <c r="F990" s="114">
        <v>202101</v>
      </c>
      <c r="G990" s="112" t="s">
        <v>1091</v>
      </c>
      <c r="H990" s="112" t="s">
        <v>1015</v>
      </c>
      <c r="I990" s="112" t="s">
        <v>767</v>
      </c>
      <c r="J990" s="112" t="s">
        <v>1195</v>
      </c>
      <c r="K990" s="112" t="s">
        <v>1368</v>
      </c>
      <c r="L990" s="116">
        <v>729.47</v>
      </c>
    </row>
    <row r="991" spans="1:12" hidden="1" outlineLevel="1" collapsed="1" x14ac:dyDescent="0.35">
      <c r="A991" s="112" t="s">
        <v>1185</v>
      </c>
      <c r="B991" s="112" t="s">
        <v>896</v>
      </c>
      <c r="C991" s="112" t="s">
        <v>695</v>
      </c>
      <c r="D991" s="113">
        <v>10348146</v>
      </c>
      <c r="E991" s="115">
        <v>43930</v>
      </c>
      <c r="F991" s="114">
        <v>202101</v>
      </c>
      <c r="G991" s="112" t="s">
        <v>1091</v>
      </c>
      <c r="H991" s="112" t="s">
        <v>1015</v>
      </c>
      <c r="I991" s="112" t="s">
        <v>767</v>
      </c>
      <c r="J991" s="112" t="s">
        <v>1195</v>
      </c>
      <c r="K991" s="112" t="s">
        <v>1494</v>
      </c>
      <c r="L991" s="116">
        <v>581</v>
      </c>
    </row>
    <row r="992" spans="1:12" hidden="1" outlineLevel="1" collapsed="1" x14ac:dyDescent="0.35">
      <c r="A992" s="112" t="s">
        <v>1185</v>
      </c>
      <c r="B992" s="112" t="s">
        <v>896</v>
      </c>
      <c r="C992" s="112" t="s">
        <v>695</v>
      </c>
      <c r="D992" s="113">
        <v>10348146</v>
      </c>
      <c r="E992" s="115">
        <v>43930</v>
      </c>
      <c r="F992" s="114">
        <v>202101</v>
      </c>
      <c r="G992" s="112" t="s">
        <v>1091</v>
      </c>
      <c r="H992" s="112" t="s">
        <v>1015</v>
      </c>
      <c r="I992" s="112" t="s">
        <v>767</v>
      </c>
      <c r="J992" s="112" t="s">
        <v>1195</v>
      </c>
      <c r="K992" s="112" t="s">
        <v>1371</v>
      </c>
      <c r="L992" s="116">
        <v>6448.56</v>
      </c>
    </row>
    <row r="993" spans="1:12" hidden="1" outlineLevel="1" collapsed="1" x14ac:dyDescent="0.35">
      <c r="A993" s="112" t="s">
        <v>1185</v>
      </c>
      <c r="B993" s="112" t="s">
        <v>896</v>
      </c>
      <c r="C993" s="112" t="s">
        <v>695</v>
      </c>
      <c r="D993" s="113">
        <v>10348146</v>
      </c>
      <c r="E993" s="115">
        <v>43930</v>
      </c>
      <c r="F993" s="114">
        <v>202101</v>
      </c>
      <c r="G993" s="112" t="s">
        <v>1091</v>
      </c>
      <c r="H993" s="112" t="s">
        <v>1015</v>
      </c>
      <c r="I993" s="112" t="s">
        <v>767</v>
      </c>
      <c r="J993" s="112" t="s">
        <v>1195</v>
      </c>
      <c r="K993" s="112" t="s">
        <v>1369</v>
      </c>
      <c r="L993" s="116">
        <v>14781.06</v>
      </c>
    </row>
    <row r="994" spans="1:12" hidden="1" outlineLevel="1" collapsed="1" x14ac:dyDescent="0.35">
      <c r="A994" s="112" t="s">
        <v>1185</v>
      </c>
      <c r="B994" s="112" t="s">
        <v>896</v>
      </c>
      <c r="C994" s="112" t="s">
        <v>695</v>
      </c>
      <c r="D994" s="113">
        <v>10348146</v>
      </c>
      <c r="E994" s="115">
        <v>43930</v>
      </c>
      <c r="F994" s="114">
        <v>202101</v>
      </c>
      <c r="G994" s="112" t="s">
        <v>1091</v>
      </c>
      <c r="H994" s="112" t="s">
        <v>1015</v>
      </c>
      <c r="I994" s="112" t="s">
        <v>767</v>
      </c>
      <c r="J994" s="112" t="s">
        <v>1195</v>
      </c>
      <c r="K994" s="112" t="s">
        <v>1370</v>
      </c>
      <c r="L994" s="116">
        <v>652.44000000000005</v>
      </c>
    </row>
    <row r="995" spans="1:12" hidden="1" outlineLevel="1" collapsed="1" x14ac:dyDescent="0.35">
      <c r="A995" s="112" t="s">
        <v>1185</v>
      </c>
      <c r="B995" s="112" t="s">
        <v>896</v>
      </c>
      <c r="C995" s="112" t="s">
        <v>695</v>
      </c>
      <c r="D995" s="113">
        <v>10348146</v>
      </c>
      <c r="E995" s="115">
        <v>43930</v>
      </c>
      <c r="F995" s="114">
        <v>202101</v>
      </c>
      <c r="G995" s="112" t="s">
        <v>1091</v>
      </c>
      <c r="H995" s="112" t="s">
        <v>1015</v>
      </c>
      <c r="I995" s="112" t="s">
        <v>767</v>
      </c>
      <c r="J995" s="112" t="s">
        <v>1195</v>
      </c>
      <c r="K995" s="112" t="s">
        <v>1367</v>
      </c>
      <c r="L995" s="116">
        <v>6757.18</v>
      </c>
    </row>
    <row r="996" spans="1:12" hidden="1" outlineLevel="1" collapsed="1" x14ac:dyDescent="0.35">
      <c r="A996" s="112" t="s">
        <v>1185</v>
      </c>
      <c r="B996" s="112" t="s">
        <v>896</v>
      </c>
      <c r="C996" s="112" t="s">
        <v>695</v>
      </c>
      <c r="D996" s="113">
        <v>10348146</v>
      </c>
      <c r="E996" s="115">
        <v>43930</v>
      </c>
      <c r="F996" s="114">
        <v>202101</v>
      </c>
      <c r="G996" s="112" t="s">
        <v>1091</v>
      </c>
      <c r="H996" s="112" t="s">
        <v>1015</v>
      </c>
      <c r="I996" s="112" t="s">
        <v>767</v>
      </c>
      <c r="J996" s="112" t="s">
        <v>1195</v>
      </c>
      <c r="K996" s="112" t="s">
        <v>1480</v>
      </c>
      <c r="L996" s="116">
        <v>-13219.23</v>
      </c>
    </row>
    <row r="997" spans="1:12" hidden="1" outlineLevel="1" collapsed="1" x14ac:dyDescent="0.35">
      <c r="A997" s="112" t="s">
        <v>1185</v>
      </c>
      <c r="B997" s="112" t="s">
        <v>896</v>
      </c>
      <c r="C997" s="112" t="s">
        <v>695</v>
      </c>
      <c r="D997" s="113">
        <v>10348146</v>
      </c>
      <c r="E997" s="115">
        <v>43930</v>
      </c>
      <c r="F997" s="114">
        <v>202101</v>
      </c>
      <c r="G997" s="112" t="s">
        <v>1091</v>
      </c>
      <c r="H997" s="112" t="s">
        <v>1015</v>
      </c>
      <c r="I997" s="112" t="s">
        <v>767</v>
      </c>
      <c r="J997" s="112" t="s">
        <v>1195</v>
      </c>
      <c r="K997" s="112" t="s">
        <v>1481</v>
      </c>
      <c r="L997" s="116">
        <v>-3690.11</v>
      </c>
    </row>
    <row r="998" spans="1:12" hidden="1" outlineLevel="1" collapsed="1" x14ac:dyDescent="0.35">
      <c r="A998" s="112" t="s">
        <v>1185</v>
      </c>
      <c r="B998" s="112" t="s">
        <v>896</v>
      </c>
      <c r="C998" s="112" t="s">
        <v>695</v>
      </c>
      <c r="D998" s="113">
        <v>10348146</v>
      </c>
      <c r="E998" s="115">
        <v>43930</v>
      </c>
      <c r="F998" s="114">
        <v>202101</v>
      </c>
      <c r="G998" s="112" t="s">
        <v>1091</v>
      </c>
      <c r="H998" s="112" t="s">
        <v>1015</v>
      </c>
      <c r="I998" s="112" t="s">
        <v>767</v>
      </c>
      <c r="J998" s="112" t="s">
        <v>1195</v>
      </c>
      <c r="K998" s="112" t="s">
        <v>1436</v>
      </c>
      <c r="L998" s="116">
        <v>-3402.05</v>
      </c>
    </row>
    <row r="999" spans="1:12" hidden="1" outlineLevel="1" collapsed="1" x14ac:dyDescent="0.35">
      <c r="A999" s="112" t="s">
        <v>1185</v>
      </c>
      <c r="B999" s="112" t="s">
        <v>896</v>
      </c>
      <c r="C999" s="112" t="s">
        <v>695</v>
      </c>
      <c r="D999" s="113">
        <v>10348146</v>
      </c>
      <c r="E999" s="115">
        <v>43930</v>
      </c>
      <c r="F999" s="114">
        <v>202101</v>
      </c>
      <c r="G999" s="112" t="s">
        <v>1091</v>
      </c>
      <c r="H999" s="112" t="s">
        <v>1015</v>
      </c>
      <c r="I999" s="112" t="s">
        <v>767</v>
      </c>
      <c r="J999" s="112" t="s">
        <v>1195</v>
      </c>
      <c r="K999" s="112" t="s">
        <v>1491</v>
      </c>
      <c r="L999" s="116">
        <v>-1288.1400000000001</v>
      </c>
    </row>
    <row r="1000" spans="1:12" hidden="1" outlineLevel="1" collapsed="1" x14ac:dyDescent="0.35">
      <c r="A1000" s="112" t="s">
        <v>1185</v>
      </c>
      <c r="B1000" s="112" t="s">
        <v>896</v>
      </c>
      <c r="C1000" s="112" t="s">
        <v>695</v>
      </c>
      <c r="D1000" s="113">
        <v>10348146</v>
      </c>
      <c r="E1000" s="115">
        <v>43930</v>
      </c>
      <c r="F1000" s="114">
        <v>202101</v>
      </c>
      <c r="G1000" s="112" t="s">
        <v>1091</v>
      </c>
      <c r="H1000" s="112" t="s">
        <v>1015</v>
      </c>
      <c r="I1000" s="112" t="s">
        <v>767</v>
      </c>
      <c r="J1000" s="112" t="s">
        <v>1195</v>
      </c>
      <c r="K1000" s="112" t="s">
        <v>1396</v>
      </c>
      <c r="L1000" s="116">
        <v>-797.42</v>
      </c>
    </row>
    <row r="1001" spans="1:12" hidden="1" outlineLevel="1" collapsed="1" x14ac:dyDescent="0.35">
      <c r="A1001" s="112" t="s">
        <v>1185</v>
      </c>
      <c r="B1001" s="112" t="s">
        <v>896</v>
      </c>
      <c r="C1001" s="112" t="s">
        <v>695</v>
      </c>
      <c r="D1001" s="113">
        <v>10348146</v>
      </c>
      <c r="E1001" s="115">
        <v>43930</v>
      </c>
      <c r="F1001" s="114">
        <v>202101</v>
      </c>
      <c r="G1001" s="112" t="s">
        <v>1091</v>
      </c>
      <c r="H1001" s="112" t="s">
        <v>1015</v>
      </c>
      <c r="I1001" s="112" t="s">
        <v>767</v>
      </c>
      <c r="J1001" s="112" t="s">
        <v>1195</v>
      </c>
      <c r="K1001" s="112" t="s">
        <v>1480</v>
      </c>
      <c r="L1001" s="116">
        <v>13219.23</v>
      </c>
    </row>
    <row r="1002" spans="1:12" hidden="1" outlineLevel="1" collapsed="1" x14ac:dyDescent="0.35">
      <c r="A1002" s="112" t="s">
        <v>1185</v>
      </c>
      <c r="B1002" s="112" t="s">
        <v>896</v>
      </c>
      <c r="C1002" s="112" t="s">
        <v>695</v>
      </c>
      <c r="D1002" s="113">
        <v>10348146</v>
      </c>
      <c r="E1002" s="115">
        <v>43930</v>
      </c>
      <c r="F1002" s="114">
        <v>202101</v>
      </c>
      <c r="G1002" s="112" t="s">
        <v>1091</v>
      </c>
      <c r="H1002" s="112" t="s">
        <v>1015</v>
      </c>
      <c r="I1002" s="112" t="s">
        <v>767</v>
      </c>
      <c r="J1002" s="112" t="s">
        <v>1195</v>
      </c>
      <c r="K1002" s="112" t="s">
        <v>1495</v>
      </c>
      <c r="L1002" s="116">
        <v>2337.63</v>
      </c>
    </row>
    <row r="1003" spans="1:12" hidden="1" outlineLevel="1" collapsed="1" x14ac:dyDescent="0.35">
      <c r="A1003" s="112" t="s">
        <v>1185</v>
      </c>
      <c r="B1003" s="112" t="s">
        <v>896</v>
      </c>
      <c r="C1003" s="112" t="s">
        <v>695</v>
      </c>
      <c r="D1003" s="113">
        <v>10348146</v>
      </c>
      <c r="E1003" s="115">
        <v>43930</v>
      </c>
      <c r="F1003" s="114">
        <v>202101</v>
      </c>
      <c r="G1003" s="112" t="s">
        <v>1091</v>
      </c>
      <c r="H1003" s="112" t="s">
        <v>1015</v>
      </c>
      <c r="I1003" s="112" t="s">
        <v>767</v>
      </c>
      <c r="J1003" s="112" t="s">
        <v>1195</v>
      </c>
      <c r="K1003" s="112" t="s">
        <v>1387</v>
      </c>
      <c r="L1003" s="116">
        <v>-984</v>
      </c>
    </row>
    <row r="1004" spans="1:12" hidden="1" outlineLevel="1" collapsed="1" x14ac:dyDescent="0.35">
      <c r="A1004" s="112" t="s">
        <v>1185</v>
      </c>
      <c r="B1004" s="112" t="s">
        <v>896</v>
      </c>
      <c r="C1004" s="112" t="s">
        <v>695</v>
      </c>
      <c r="D1004" s="113">
        <v>10348146</v>
      </c>
      <c r="E1004" s="115">
        <v>43930</v>
      </c>
      <c r="F1004" s="114">
        <v>202101</v>
      </c>
      <c r="G1004" s="112" t="s">
        <v>1091</v>
      </c>
      <c r="H1004" s="112" t="s">
        <v>1015</v>
      </c>
      <c r="I1004" s="112" t="s">
        <v>767</v>
      </c>
      <c r="J1004" s="112" t="s">
        <v>1195</v>
      </c>
      <c r="K1004" s="112" t="s">
        <v>1484</v>
      </c>
      <c r="L1004" s="116">
        <v>-7015.3</v>
      </c>
    </row>
    <row r="1005" spans="1:12" hidden="1" outlineLevel="1" collapsed="1" x14ac:dyDescent="0.35">
      <c r="A1005" s="112" t="s">
        <v>1185</v>
      </c>
      <c r="B1005" s="112" t="s">
        <v>896</v>
      </c>
      <c r="C1005" s="112" t="s">
        <v>695</v>
      </c>
      <c r="D1005" s="113">
        <v>10348146</v>
      </c>
      <c r="E1005" s="115">
        <v>43930</v>
      </c>
      <c r="F1005" s="114">
        <v>202101</v>
      </c>
      <c r="G1005" s="112" t="s">
        <v>1091</v>
      </c>
      <c r="H1005" s="112" t="s">
        <v>1015</v>
      </c>
      <c r="I1005" s="112" t="s">
        <v>767</v>
      </c>
      <c r="J1005" s="112" t="s">
        <v>1195</v>
      </c>
      <c r="K1005" s="112" t="s">
        <v>1485</v>
      </c>
      <c r="L1005" s="116">
        <v>-12805.81</v>
      </c>
    </row>
    <row r="1006" spans="1:12" hidden="1" outlineLevel="1" collapsed="1" x14ac:dyDescent="0.35">
      <c r="A1006" s="112" t="s">
        <v>1185</v>
      </c>
      <c r="B1006" s="112" t="s">
        <v>896</v>
      </c>
      <c r="C1006" s="112" t="s">
        <v>695</v>
      </c>
      <c r="D1006" s="113">
        <v>10348146</v>
      </c>
      <c r="E1006" s="115">
        <v>43930</v>
      </c>
      <c r="F1006" s="114">
        <v>202101</v>
      </c>
      <c r="G1006" s="112" t="s">
        <v>1091</v>
      </c>
      <c r="H1006" s="112" t="s">
        <v>1015</v>
      </c>
      <c r="I1006" s="112" t="s">
        <v>767</v>
      </c>
      <c r="J1006" s="112" t="s">
        <v>1195</v>
      </c>
      <c r="K1006" s="112" t="s">
        <v>1496</v>
      </c>
      <c r="L1006" s="116">
        <v>2429.15</v>
      </c>
    </row>
    <row r="1007" spans="1:12" hidden="1" outlineLevel="1" collapsed="1" x14ac:dyDescent="0.35">
      <c r="A1007" s="112" t="s">
        <v>1185</v>
      </c>
      <c r="B1007" s="112" t="s">
        <v>896</v>
      </c>
      <c r="C1007" s="112" t="s">
        <v>695</v>
      </c>
      <c r="D1007" s="113">
        <v>10348146</v>
      </c>
      <c r="E1007" s="115">
        <v>43930</v>
      </c>
      <c r="F1007" s="114">
        <v>202101</v>
      </c>
      <c r="G1007" s="112" t="s">
        <v>1091</v>
      </c>
      <c r="H1007" s="112" t="s">
        <v>1015</v>
      </c>
      <c r="I1007" s="112" t="s">
        <v>767</v>
      </c>
      <c r="J1007" s="112" t="s">
        <v>1195</v>
      </c>
      <c r="K1007" s="112" t="s">
        <v>1482</v>
      </c>
      <c r="L1007" s="116">
        <v>-3044.02</v>
      </c>
    </row>
    <row r="1008" spans="1:12" hidden="1" outlineLevel="1" collapsed="1" x14ac:dyDescent="0.35">
      <c r="A1008" s="112" t="s">
        <v>1185</v>
      </c>
      <c r="B1008" s="112" t="s">
        <v>896</v>
      </c>
      <c r="C1008" s="112" t="s">
        <v>695</v>
      </c>
      <c r="D1008" s="113">
        <v>10348146</v>
      </c>
      <c r="E1008" s="115">
        <v>43930</v>
      </c>
      <c r="F1008" s="114">
        <v>202101</v>
      </c>
      <c r="G1008" s="112" t="s">
        <v>1091</v>
      </c>
      <c r="H1008" s="112" t="s">
        <v>1015</v>
      </c>
      <c r="I1008" s="112" t="s">
        <v>761</v>
      </c>
      <c r="J1008" s="112" t="s">
        <v>1195</v>
      </c>
      <c r="K1008" s="112" t="s">
        <v>1487</v>
      </c>
      <c r="L1008" s="116">
        <v>-10118.75</v>
      </c>
    </row>
    <row r="1009" spans="1:12" hidden="1" outlineLevel="1" collapsed="1" x14ac:dyDescent="0.35">
      <c r="A1009" s="112" t="s">
        <v>1185</v>
      </c>
      <c r="B1009" s="112" t="s">
        <v>898</v>
      </c>
      <c r="C1009" s="112" t="s">
        <v>695</v>
      </c>
      <c r="D1009" s="113">
        <v>10348146</v>
      </c>
      <c r="E1009" s="115">
        <v>43930</v>
      </c>
      <c r="F1009" s="114">
        <v>202101</v>
      </c>
      <c r="G1009" s="112" t="s">
        <v>1091</v>
      </c>
      <c r="H1009" s="112" t="s">
        <v>1015</v>
      </c>
      <c r="I1009" s="112" t="s">
        <v>1400</v>
      </c>
      <c r="J1009" s="112" t="s">
        <v>1301</v>
      </c>
      <c r="K1009" s="112" t="s">
        <v>1488</v>
      </c>
      <c r="L1009" s="116">
        <v>-701.37</v>
      </c>
    </row>
    <row r="1010" spans="1:12" hidden="1" outlineLevel="1" collapsed="1" x14ac:dyDescent="0.35">
      <c r="A1010" s="112" t="s">
        <v>1185</v>
      </c>
      <c r="B1010" s="112" t="s">
        <v>896</v>
      </c>
      <c r="C1010" s="112" t="s">
        <v>695</v>
      </c>
      <c r="D1010" s="113">
        <v>10348146</v>
      </c>
      <c r="E1010" s="115">
        <v>43930</v>
      </c>
      <c r="F1010" s="114">
        <v>202101</v>
      </c>
      <c r="G1010" s="112" t="s">
        <v>1091</v>
      </c>
      <c r="H1010" s="112" t="s">
        <v>1015</v>
      </c>
      <c r="I1010" s="112" t="s">
        <v>767</v>
      </c>
      <c r="J1010" s="112" t="s">
        <v>1195</v>
      </c>
      <c r="K1010" s="112" t="s">
        <v>1388</v>
      </c>
      <c r="L1010" s="116">
        <v>-868</v>
      </c>
    </row>
    <row r="1011" spans="1:12" hidden="1" outlineLevel="1" collapsed="1" x14ac:dyDescent="0.35">
      <c r="A1011" s="112" t="s">
        <v>1185</v>
      </c>
      <c r="B1011" s="112" t="s">
        <v>896</v>
      </c>
      <c r="C1011" s="112" t="s">
        <v>695</v>
      </c>
      <c r="D1011" s="113">
        <v>10348146</v>
      </c>
      <c r="E1011" s="115">
        <v>43930</v>
      </c>
      <c r="F1011" s="114">
        <v>202101</v>
      </c>
      <c r="G1011" s="112" t="s">
        <v>1091</v>
      </c>
      <c r="H1011" s="112" t="s">
        <v>1015</v>
      </c>
      <c r="I1011" s="112" t="s">
        <v>767</v>
      </c>
      <c r="J1011" s="112" t="s">
        <v>1195</v>
      </c>
      <c r="K1011" s="112" t="s">
        <v>1395</v>
      </c>
      <c r="L1011" s="116">
        <v>-3179.45</v>
      </c>
    </row>
    <row r="1012" spans="1:12" hidden="1" outlineLevel="1" collapsed="1" x14ac:dyDescent="0.35">
      <c r="A1012" s="112" t="s">
        <v>1185</v>
      </c>
      <c r="B1012" s="112" t="s">
        <v>896</v>
      </c>
      <c r="C1012" s="112" t="s">
        <v>695</v>
      </c>
      <c r="D1012" s="113">
        <v>10348146</v>
      </c>
      <c r="E1012" s="115">
        <v>43930</v>
      </c>
      <c r="F1012" s="114">
        <v>202101</v>
      </c>
      <c r="G1012" s="112" t="s">
        <v>1091</v>
      </c>
      <c r="H1012" s="112" t="s">
        <v>1015</v>
      </c>
      <c r="I1012" s="112" t="s">
        <v>767</v>
      </c>
      <c r="J1012" s="112" t="s">
        <v>1195</v>
      </c>
      <c r="K1012" s="112" t="s">
        <v>1493</v>
      </c>
      <c r="L1012" s="116">
        <v>-894.16</v>
      </c>
    </row>
    <row r="1013" spans="1:12" hidden="1" outlineLevel="1" collapsed="1" x14ac:dyDescent="0.35">
      <c r="A1013" s="112" t="s">
        <v>1185</v>
      </c>
      <c r="B1013" s="112" t="s">
        <v>896</v>
      </c>
      <c r="C1013" s="112" t="s">
        <v>695</v>
      </c>
      <c r="D1013" s="113">
        <v>10348146</v>
      </c>
      <c r="E1013" s="115">
        <v>43930</v>
      </c>
      <c r="F1013" s="114">
        <v>202101</v>
      </c>
      <c r="G1013" s="112" t="s">
        <v>1091</v>
      </c>
      <c r="H1013" s="112" t="s">
        <v>1015</v>
      </c>
      <c r="I1013" s="112" t="s">
        <v>767</v>
      </c>
      <c r="J1013" s="112" t="s">
        <v>1195</v>
      </c>
      <c r="K1013" s="112" t="s">
        <v>1435</v>
      </c>
      <c r="L1013" s="116">
        <v>-3489.89</v>
      </c>
    </row>
    <row r="1014" spans="1:12" hidden="1" outlineLevel="1" collapsed="1" x14ac:dyDescent="0.35">
      <c r="A1014" s="112" t="s">
        <v>1185</v>
      </c>
      <c r="B1014" s="112" t="s">
        <v>896</v>
      </c>
      <c r="C1014" s="112" t="s">
        <v>695</v>
      </c>
      <c r="D1014" s="113">
        <v>10348146</v>
      </c>
      <c r="E1014" s="115">
        <v>43930</v>
      </c>
      <c r="F1014" s="114">
        <v>202101</v>
      </c>
      <c r="G1014" s="112" t="s">
        <v>1091</v>
      </c>
      <c r="H1014" s="112" t="s">
        <v>1015</v>
      </c>
      <c r="I1014" s="112" t="s">
        <v>767</v>
      </c>
      <c r="J1014" s="112" t="s">
        <v>1195</v>
      </c>
      <c r="K1014" s="112" t="s">
        <v>1394</v>
      </c>
      <c r="L1014" s="116">
        <v>-1450.4</v>
      </c>
    </row>
    <row r="1015" spans="1:12" hidden="1" outlineLevel="1" collapsed="1" x14ac:dyDescent="0.35">
      <c r="A1015" s="112" t="s">
        <v>1185</v>
      </c>
      <c r="B1015" s="112" t="s">
        <v>896</v>
      </c>
      <c r="C1015" s="112" t="s">
        <v>695</v>
      </c>
      <c r="D1015" s="113">
        <v>10348146</v>
      </c>
      <c r="E1015" s="115">
        <v>43930</v>
      </c>
      <c r="F1015" s="114">
        <v>202101</v>
      </c>
      <c r="G1015" s="112" t="s">
        <v>1091</v>
      </c>
      <c r="H1015" s="112" t="s">
        <v>1015</v>
      </c>
      <c r="I1015" s="112" t="s">
        <v>767</v>
      </c>
      <c r="J1015" s="112" t="s">
        <v>1195</v>
      </c>
      <c r="K1015" s="112" t="s">
        <v>1494</v>
      </c>
      <c r="L1015" s="116">
        <v>-581</v>
      </c>
    </row>
    <row r="1016" spans="1:12" hidden="1" outlineLevel="1" collapsed="1" x14ac:dyDescent="0.35">
      <c r="A1016" s="112" t="s">
        <v>1185</v>
      </c>
      <c r="B1016" s="112" t="s">
        <v>898</v>
      </c>
      <c r="C1016" s="112" t="s">
        <v>1095</v>
      </c>
      <c r="D1016" s="113">
        <v>10348451</v>
      </c>
      <c r="E1016" s="115">
        <v>43949</v>
      </c>
      <c r="F1016" s="114">
        <v>202101</v>
      </c>
      <c r="G1016" s="112" t="s">
        <v>1091</v>
      </c>
      <c r="H1016" s="112" t="s">
        <v>1015</v>
      </c>
      <c r="I1016" s="112" t="s">
        <v>1116</v>
      </c>
      <c r="J1016" s="112" t="s">
        <v>1230</v>
      </c>
      <c r="K1016" s="112" t="s">
        <v>1098</v>
      </c>
      <c r="L1016" s="116">
        <v>3516.08</v>
      </c>
    </row>
    <row r="1017" spans="1:12" hidden="1" outlineLevel="1" collapsed="1" x14ac:dyDescent="0.35">
      <c r="A1017" s="112" t="s">
        <v>1185</v>
      </c>
      <c r="B1017" s="112" t="s">
        <v>898</v>
      </c>
      <c r="C1017" s="112" t="s">
        <v>1095</v>
      </c>
      <c r="D1017" s="113">
        <v>10348451</v>
      </c>
      <c r="E1017" s="115">
        <v>43949</v>
      </c>
      <c r="F1017" s="114">
        <v>202101</v>
      </c>
      <c r="G1017" s="112" t="s">
        <v>1091</v>
      </c>
      <c r="H1017" s="112" t="s">
        <v>1015</v>
      </c>
      <c r="I1017" s="112" t="s">
        <v>1116</v>
      </c>
      <c r="J1017" s="112" t="s">
        <v>1230</v>
      </c>
      <c r="K1017" s="112" t="s">
        <v>1098</v>
      </c>
      <c r="L1017" s="116">
        <v>3516.08</v>
      </c>
    </row>
    <row r="1018" spans="1:12" hidden="1" outlineLevel="1" collapsed="1" x14ac:dyDescent="0.35">
      <c r="A1018" s="112" t="s">
        <v>1185</v>
      </c>
      <c r="B1018" s="112" t="s">
        <v>898</v>
      </c>
      <c r="C1018" s="112" t="s">
        <v>1095</v>
      </c>
      <c r="D1018" s="113">
        <v>10348451</v>
      </c>
      <c r="E1018" s="115">
        <v>43949</v>
      </c>
      <c r="F1018" s="114">
        <v>202101</v>
      </c>
      <c r="G1018" s="112" t="s">
        <v>1091</v>
      </c>
      <c r="H1018" s="112" t="s">
        <v>1015</v>
      </c>
      <c r="I1018" s="112" t="s">
        <v>1116</v>
      </c>
      <c r="J1018" s="112" t="s">
        <v>1230</v>
      </c>
      <c r="K1018" s="112" t="s">
        <v>1098</v>
      </c>
      <c r="L1018" s="116">
        <v>3387.93</v>
      </c>
    </row>
    <row r="1019" spans="1:12" hidden="1" outlineLevel="1" collapsed="1" x14ac:dyDescent="0.35">
      <c r="A1019" s="112" t="s">
        <v>1185</v>
      </c>
      <c r="B1019" s="112" t="s">
        <v>898</v>
      </c>
      <c r="C1019" s="112" t="s">
        <v>1095</v>
      </c>
      <c r="D1019" s="113">
        <v>10348451</v>
      </c>
      <c r="E1019" s="115">
        <v>43949</v>
      </c>
      <c r="F1019" s="114">
        <v>202101</v>
      </c>
      <c r="G1019" s="112" t="s">
        <v>1091</v>
      </c>
      <c r="H1019" s="112" t="s">
        <v>1015</v>
      </c>
      <c r="I1019" s="112" t="s">
        <v>1116</v>
      </c>
      <c r="J1019" s="112" t="s">
        <v>1230</v>
      </c>
      <c r="K1019" s="112" t="s">
        <v>1098</v>
      </c>
      <c r="L1019" s="116">
        <v>1280.07</v>
      </c>
    </row>
    <row r="1020" spans="1:12" hidden="1" outlineLevel="1" collapsed="1" x14ac:dyDescent="0.35">
      <c r="A1020" s="112" t="s">
        <v>1185</v>
      </c>
      <c r="B1020" s="112" t="s">
        <v>898</v>
      </c>
      <c r="C1020" s="112" t="s">
        <v>1095</v>
      </c>
      <c r="D1020" s="113">
        <v>10348451</v>
      </c>
      <c r="E1020" s="115">
        <v>43949</v>
      </c>
      <c r="F1020" s="114">
        <v>202101</v>
      </c>
      <c r="G1020" s="112" t="s">
        <v>1091</v>
      </c>
      <c r="H1020" s="112" t="s">
        <v>1015</v>
      </c>
      <c r="I1020" s="112" t="s">
        <v>1116</v>
      </c>
      <c r="J1020" s="112" t="s">
        <v>1197</v>
      </c>
      <c r="K1020" s="112" t="s">
        <v>1098</v>
      </c>
      <c r="L1020" s="116">
        <v>1373.83</v>
      </c>
    </row>
    <row r="1021" spans="1:12" hidden="1" outlineLevel="1" collapsed="1" x14ac:dyDescent="0.35">
      <c r="A1021" s="112" t="s">
        <v>1185</v>
      </c>
      <c r="B1021" s="112" t="s">
        <v>898</v>
      </c>
      <c r="C1021" s="112" t="s">
        <v>1095</v>
      </c>
      <c r="D1021" s="113">
        <v>10348451</v>
      </c>
      <c r="E1021" s="115">
        <v>43949</v>
      </c>
      <c r="F1021" s="114">
        <v>202101</v>
      </c>
      <c r="G1021" s="112" t="s">
        <v>1091</v>
      </c>
      <c r="H1021" s="112" t="s">
        <v>1015</v>
      </c>
      <c r="I1021" s="112" t="s">
        <v>1116</v>
      </c>
      <c r="J1021" s="112" t="s">
        <v>1197</v>
      </c>
      <c r="K1021" s="112" t="s">
        <v>1098</v>
      </c>
      <c r="L1021" s="116">
        <v>1944.42</v>
      </c>
    </row>
    <row r="1022" spans="1:12" hidden="1" outlineLevel="1" collapsed="1" x14ac:dyDescent="0.35">
      <c r="A1022" s="112" t="s">
        <v>1185</v>
      </c>
      <c r="B1022" s="112" t="s">
        <v>898</v>
      </c>
      <c r="C1022" s="112" t="s">
        <v>1095</v>
      </c>
      <c r="D1022" s="113">
        <v>10348451</v>
      </c>
      <c r="E1022" s="115">
        <v>43949</v>
      </c>
      <c r="F1022" s="114">
        <v>202101</v>
      </c>
      <c r="G1022" s="112" t="s">
        <v>1091</v>
      </c>
      <c r="H1022" s="112" t="s">
        <v>1015</v>
      </c>
      <c r="I1022" s="112" t="s">
        <v>1116</v>
      </c>
      <c r="J1022" s="112" t="s">
        <v>1197</v>
      </c>
      <c r="K1022" s="112" t="s">
        <v>1098</v>
      </c>
      <c r="L1022" s="116">
        <v>1373.83</v>
      </c>
    </row>
    <row r="1023" spans="1:12" hidden="1" outlineLevel="1" collapsed="1" x14ac:dyDescent="0.35">
      <c r="A1023" s="112" t="s">
        <v>1185</v>
      </c>
      <c r="B1023" s="112" t="s">
        <v>898</v>
      </c>
      <c r="C1023" s="112" t="s">
        <v>1095</v>
      </c>
      <c r="D1023" s="113">
        <v>10348451</v>
      </c>
      <c r="E1023" s="115">
        <v>43949</v>
      </c>
      <c r="F1023" s="114">
        <v>202101</v>
      </c>
      <c r="G1023" s="112" t="s">
        <v>1091</v>
      </c>
      <c r="H1023" s="112" t="s">
        <v>1015</v>
      </c>
      <c r="I1023" s="112" t="s">
        <v>1116</v>
      </c>
      <c r="J1023" s="112" t="s">
        <v>1197</v>
      </c>
      <c r="K1023" s="112" t="s">
        <v>1098</v>
      </c>
      <c r="L1023" s="116">
        <v>1373.83</v>
      </c>
    </row>
    <row r="1024" spans="1:12" hidden="1" outlineLevel="1" collapsed="1" x14ac:dyDescent="0.35">
      <c r="A1024" s="112" t="s">
        <v>1185</v>
      </c>
      <c r="B1024" s="112" t="s">
        <v>898</v>
      </c>
      <c r="C1024" s="112" t="s">
        <v>1095</v>
      </c>
      <c r="D1024" s="113">
        <v>10348451</v>
      </c>
      <c r="E1024" s="115">
        <v>43949</v>
      </c>
      <c r="F1024" s="114">
        <v>202101</v>
      </c>
      <c r="G1024" s="112" t="s">
        <v>1091</v>
      </c>
      <c r="H1024" s="112" t="s">
        <v>1015</v>
      </c>
      <c r="I1024" s="112" t="s">
        <v>1116</v>
      </c>
      <c r="J1024" s="112" t="s">
        <v>1197</v>
      </c>
      <c r="K1024" s="112" t="s">
        <v>1098</v>
      </c>
      <c r="L1024" s="116">
        <v>2343.75</v>
      </c>
    </row>
    <row r="1025" spans="1:12" hidden="1" outlineLevel="1" collapsed="1" x14ac:dyDescent="0.35">
      <c r="A1025" s="112" t="s">
        <v>1185</v>
      </c>
      <c r="B1025" s="112" t="s">
        <v>898</v>
      </c>
      <c r="C1025" s="112" t="s">
        <v>1095</v>
      </c>
      <c r="D1025" s="113">
        <v>10348451</v>
      </c>
      <c r="E1025" s="115">
        <v>43949</v>
      </c>
      <c r="F1025" s="114">
        <v>202101</v>
      </c>
      <c r="G1025" s="112" t="s">
        <v>1091</v>
      </c>
      <c r="H1025" s="112" t="s">
        <v>1015</v>
      </c>
      <c r="I1025" s="112" t="s">
        <v>1116</v>
      </c>
      <c r="J1025" s="112" t="s">
        <v>1244</v>
      </c>
      <c r="K1025" s="112" t="s">
        <v>1098</v>
      </c>
      <c r="L1025" s="116">
        <v>3075.83</v>
      </c>
    </row>
    <row r="1026" spans="1:12" hidden="1" outlineLevel="1" collapsed="1" x14ac:dyDescent="0.35">
      <c r="A1026" s="112" t="s">
        <v>1185</v>
      </c>
      <c r="B1026" s="112" t="s">
        <v>898</v>
      </c>
      <c r="C1026" s="112" t="s">
        <v>1095</v>
      </c>
      <c r="D1026" s="113">
        <v>10348451</v>
      </c>
      <c r="E1026" s="115">
        <v>43949</v>
      </c>
      <c r="F1026" s="114">
        <v>202101</v>
      </c>
      <c r="G1026" s="112" t="s">
        <v>1091</v>
      </c>
      <c r="H1026" s="112" t="s">
        <v>1015</v>
      </c>
      <c r="I1026" s="112" t="s">
        <v>1116</v>
      </c>
      <c r="J1026" s="112" t="s">
        <v>1244</v>
      </c>
      <c r="K1026" s="112" t="s">
        <v>1098</v>
      </c>
      <c r="L1026" s="116">
        <v>3391.33</v>
      </c>
    </row>
    <row r="1027" spans="1:12" hidden="1" outlineLevel="1" collapsed="1" x14ac:dyDescent="0.35">
      <c r="A1027" s="112" t="s">
        <v>1185</v>
      </c>
      <c r="B1027" s="112" t="s">
        <v>898</v>
      </c>
      <c r="C1027" s="112" t="s">
        <v>1095</v>
      </c>
      <c r="D1027" s="113">
        <v>10348451</v>
      </c>
      <c r="E1027" s="115">
        <v>43949</v>
      </c>
      <c r="F1027" s="114">
        <v>202101</v>
      </c>
      <c r="G1027" s="112" t="s">
        <v>1091</v>
      </c>
      <c r="H1027" s="112" t="s">
        <v>1015</v>
      </c>
      <c r="I1027" s="112" t="s">
        <v>1116</v>
      </c>
      <c r="J1027" s="112" t="s">
        <v>1244</v>
      </c>
      <c r="K1027" s="112" t="s">
        <v>1098</v>
      </c>
      <c r="L1027" s="116">
        <v>3717</v>
      </c>
    </row>
    <row r="1028" spans="1:12" hidden="1" outlineLevel="1" collapsed="1" x14ac:dyDescent="0.35">
      <c r="A1028" s="112" t="s">
        <v>1185</v>
      </c>
      <c r="B1028" s="112" t="s">
        <v>898</v>
      </c>
      <c r="C1028" s="112" t="s">
        <v>1095</v>
      </c>
      <c r="D1028" s="113">
        <v>10348451</v>
      </c>
      <c r="E1028" s="115">
        <v>43949</v>
      </c>
      <c r="F1028" s="114">
        <v>202101</v>
      </c>
      <c r="G1028" s="112" t="s">
        <v>1091</v>
      </c>
      <c r="H1028" s="112" t="s">
        <v>1015</v>
      </c>
      <c r="I1028" s="112" t="s">
        <v>1116</v>
      </c>
      <c r="J1028" s="112" t="s">
        <v>1213</v>
      </c>
      <c r="K1028" s="112" t="s">
        <v>1098</v>
      </c>
      <c r="L1028" s="116">
        <v>2259.5</v>
      </c>
    </row>
    <row r="1029" spans="1:12" hidden="1" outlineLevel="1" collapsed="1" x14ac:dyDescent="0.35">
      <c r="A1029" s="112" t="s">
        <v>1185</v>
      </c>
      <c r="B1029" s="112" t="s">
        <v>898</v>
      </c>
      <c r="C1029" s="112" t="s">
        <v>1095</v>
      </c>
      <c r="D1029" s="113">
        <v>10348451</v>
      </c>
      <c r="E1029" s="115">
        <v>43949</v>
      </c>
      <c r="F1029" s="114">
        <v>202101</v>
      </c>
      <c r="G1029" s="112" t="s">
        <v>1091</v>
      </c>
      <c r="H1029" s="112" t="s">
        <v>1015</v>
      </c>
      <c r="I1029" s="112" t="s">
        <v>1116</v>
      </c>
      <c r="J1029" s="112" t="s">
        <v>1213</v>
      </c>
      <c r="K1029" s="112" t="s">
        <v>1098</v>
      </c>
      <c r="L1029" s="116">
        <v>1991.22</v>
      </c>
    </row>
    <row r="1030" spans="1:12" hidden="1" outlineLevel="1" collapsed="1" x14ac:dyDescent="0.35">
      <c r="A1030" s="112" t="s">
        <v>1185</v>
      </c>
      <c r="B1030" s="112" t="s">
        <v>898</v>
      </c>
      <c r="C1030" s="112" t="s">
        <v>1095</v>
      </c>
      <c r="D1030" s="113">
        <v>10348451</v>
      </c>
      <c r="E1030" s="115">
        <v>43949</v>
      </c>
      <c r="F1030" s="114">
        <v>202101</v>
      </c>
      <c r="G1030" s="112" t="s">
        <v>1091</v>
      </c>
      <c r="H1030" s="112" t="s">
        <v>1015</v>
      </c>
      <c r="I1030" s="112" t="s">
        <v>1116</v>
      </c>
      <c r="J1030" s="112" t="s">
        <v>1213</v>
      </c>
      <c r="K1030" s="112" t="s">
        <v>1098</v>
      </c>
      <c r="L1030" s="116">
        <v>1190.82</v>
      </c>
    </row>
    <row r="1031" spans="1:12" hidden="1" outlineLevel="1" collapsed="1" x14ac:dyDescent="0.35">
      <c r="A1031" s="112" t="s">
        <v>1185</v>
      </c>
      <c r="B1031" s="112" t="s">
        <v>896</v>
      </c>
      <c r="C1031" s="112" t="s">
        <v>695</v>
      </c>
      <c r="D1031" s="113">
        <v>10348146</v>
      </c>
      <c r="E1031" s="115">
        <v>43930</v>
      </c>
      <c r="F1031" s="114">
        <v>202101</v>
      </c>
      <c r="G1031" s="112" t="s">
        <v>1091</v>
      </c>
      <c r="H1031" s="112" t="s">
        <v>1015</v>
      </c>
      <c r="I1031" s="112" t="s">
        <v>767</v>
      </c>
      <c r="J1031" s="112" t="s">
        <v>1195</v>
      </c>
      <c r="K1031" s="112" t="s">
        <v>1483</v>
      </c>
      <c r="L1031" s="116">
        <v>-77010.48</v>
      </c>
    </row>
    <row r="1032" spans="1:12" hidden="1" outlineLevel="1" collapsed="1" x14ac:dyDescent="0.35">
      <c r="A1032" s="112" t="s">
        <v>1185</v>
      </c>
      <c r="B1032" s="112" t="s">
        <v>898</v>
      </c>
      <c r="C1032" s="112" t="s">
        <v>1095</v>
      </c>
      <c r="D1032" s="113">
        <v>10348451</v>
      </c>
      <c r="E1032" s="115">
        <v>43949</v>
      </c>
      <c r="F1032" s="114">
        <v>202101</v>
      </c>
      <c r="G1032" s="112" t="s">
        <v>1091</v>
      </c>
      <c r="H1032" s="112" t="s">
        <v>1015</v>
      </c>
      <c r="I1032" s="112" t="s">
        <v>1116</v>
      </c>
      <c r="J1032" s="112" t="s">
        <v>1213</v>
      </c>
      <c r="K1032" s="112" t="s">
        <v>1098</v>
      </c>
      <c r="L1032" s="116">
        <v>4871.08</v>
      </c>
    </row>
    <row r="1033" spans="1:12" hidden="1" outlineLevel="1" collapsed="1" x14ac:dyDescent="0.35">
      <c r="A1033" s="112" t="s">
        <v>1185</v>
      </c>
      <c r="B1033" s="112" t="s">
        <v>896</v>
      </c>
      <c r="C1033" s="112" t="s">
        <v>695</v>
      </c>
      <c r="D1033" s="113">
        <v>10348166</v>
      </c>
      <c r="E1033" s="115">
        <v>43930</v>
      </c>
      <c r="F1033" s="114">
        <v>202101</v>
      </c>
      <c r="G1033" s="112" t="s">
        <v>1091</v>
      </c>
      <c r="H1033" s="112" t="s">
        <v>1015</v>
      </c>
      <c r="I1033" s="112" t="s">
        <v>765</v>
      </c>
      <c r="J1033" s="112" t="s">
        <v>1268</v>
      </c>
      <c r="K1033" s="112" t="s">
        <v>1497</v>
      </c>
      <c r="L1033" s="116">
        <v>22650</v>
      </c>
    </row>
    <row r="1034" spans="1:12" hidden="1" outlineLevel="1" collapsed="1" x14ac:dyDescent="0.35">
      <c r="A1034" s="112" t="s">
        <v>1185</v>
      </c>
      <c r="B1034" s="112" t="s">
        <v>896</v>
      </c>
      <c r="C1034" s="112" t="s">
        <v>695</v>
      </c>
      <c r="D1034" s="113">
        <v>10348146</v>
      </c>
      <c r="E1034" s="115">
        <v>43930</v>
      </c>
      <c r="F1034" s="114">
        <v>202101</v>
      </c>
      <c r="G1034" s="112" t="s">
        <v>1091</v>
      </c>
      <c r="H1034" s="112" t="s">
        <v>1015</v>
      </c>
      <c r="I1034" s="112" t="s">
        <v>767</v>
      </c>
      <c r="J1034" s="112" t="s">
        <v>1195</v>
      </c>
      <c r="K1034" s="112" t="s">
        <v>1372</v>
      </c>
      <c r="L1034" s="116">
        <v>-1991.31</v>
      </c>
    </row>
    <row r="1035" spans="1:12" hidden="1" outlineLevel="1" collapsed="1" x14ac:dyDescent="0.35">
      <c r="A1035" s="112" t="s">
        <v>1185</v>
      </c>
      <c r="B1035" s="112" t="s">
        <v>896</v>
      </c>
      <c r="C1035" s="112" t="s">
        <v>695</v>
      </c>
      <c r="D1035" s="113">
        <v>10348146</v>
      </c>
      <c r="E1035" s="115">
        <v>43930</v>
      </c>
      <c r="F1035" s="114">
        <v>202101</v>
      </c>
      <c r="G1035" s="112" t="s">
        <v>1091</v>
      </c>
      <c r="H1035" s="112" t="s">
        <v>1015</v>
      </c>
      <c r="I1035" s="112" t="s">
        <v>761</v>
      </c>
      <c r="J1035" s="112" t="s">
        <v>1195</v>
      </c>
      <c r="K1035" s="112" t="s">
        <v>1487</v>
      </c>
      <c r="L1035" s="116">
        <v>10118.75</v>
      </c>
    </row>
    <row r="1036" spans="1:12" hidden="1" outlineLevel="1" collapsed="1" x14ac:dyDescent="0.35">
      <c r="A1036" s="112" t="s">
        <v>1185</v>
      </c>
      <c r="B1036" s="112" t="s">
        <v>896</v>
      </c>
      <c r="C1036" s="112" t="s">
        <v>695</v>
      </c>
      <c r="D1036" s="113">
        <v>10348146</v>
      </c>
      <c r="E1036" s="115">
        <v>43930</v>
      </c>
      <c r="F1036" s="114">
        <v>202101</v>
      </c>
      <c r="G1036" s="112" t="s">
        <v>1091</v>
      </c>
      <c r="H1036" s="112" t="s">
        <v>1015</v>
      </c>
      <c r="I1036" s="112" t="s">
        <v>767</v>
      </c>
      <c r="J1036" s="112" t="s">
        <v>1195</v>
      </c>
      <c r="K1036" s="112" t="s">
        <v>1366</v>
      </c>
      <c r="L1036" s="116">
        <v>12129.08</v>
      </c>
    </row>
    <row r="1037" spans="1:12" hidden="1" outlineLevel="1" collapsed="1" x14ac:dyDescent="0.35">
      <c r="A1037" s="112" t="s">
        <v>1185</v>
      </c>
      <c r="B1037" s="112" t="s">
        <v>896</v>
      </c>
      <c r="C1037" s="112" t="s">
        <v>695</v>
      </c>
      <c r="D1037" s="113">
        <v>10348146</v>
      </c>
      <c r="E1037" s="115">
        <v>43930</v>
      </c>
      <c r="F1037" s="114">
        <v>202101</v>
      </c>
      <c r="G1037" s="112" t="s">
        <v>1091</v>
      </c>
      <c r="H1037" s="112" t="s">
        <v>1015</v>
      </c>
      <c r="I1037" s="112" t="s">
        <v>767</v>
      </c>
      <c r="J1037" s="112" t="s">
        <v>1195</v>
      </c>
      <c r="K1037" s="112" t="s">
        <v>1397</v>
      </c>
      <c r="L1037" s="116">
        <v>-4253.57</v>
      </c>
    </row>
    <row r="1038" spans="1:12" hidden="1" outlineLevel="1" collapsed="1" x14ac:dyDescent="0.35">
      <c r="A1038" s="112" t="s">
        <v>1185</v>
      </c>
      <c r="B1038" s="112" t="s">
        <v>896</v>
      </c>
      <c r="C1038" s="112" t="s">
        <v>695</v>
      </c>
      <c r="D1038" s="113">
        <v>10348146</v>
      </c>
      <c r="E1038" s="115">
        <v>43930</v>
      </c>
      <c r="F1038" s="114">
        <v>202101</v>
      </c>
      <c r="G1038" s="112" t="s">
        <v>1091</v>
      </c>
      <c r="H1038" s="112" t="s">
        <v>1015</v>
      </c>
      <c r="I1038" s="112" t="s">
        <v>767</v>
      </c>
      <c r="J1038" s="112" t="s">
        <v>1195</v>
      </c>
      <c r="K1038" s="112" t="s">
        <v>1436</v>
      </c>
      <c r="L1038" s="116">
        <v>3402.05</v>
      </c>
    </row>
    <row r="1039" spans="1:12" hidden="1" outlineLevel="1" collapsed="1" x14ac:dyDescent="0.35">
      <c r="A1039" s="112" t="s">
        <v>1185</v>
      </c>
      <c r="B1039" s="112" t="s">
        <v>896</v>
      </c>
      <c r="C1039" s="112" t="s">
        <v>695</v>
      </c>
      <c r="D1039" s="113">
        <v>10348146</v>
      </c>
      <c r="E1039" s="115">
        <v>43930</v>
      </c>
      <c r="F1039" s="114">
        <v>202101</v>
      </c>
      <c r="G1039" s="112" t="s">
        <v>1091</v>
      </c>
      <c r="H1039" s="112" t="s">
        <v>1015</v>
      </c>
      <c r="I1039" s="112" t="s">
        <v>767</v>
      </c>
      <c r="J1039" s="112" t="s">
        <v>1195</v>
      </c>
      <c r="K1039" s="112" t="s">
        <v>1498</v>
      </c>
      <c r="L1039" s="116">
        <v>8613.33</v>
      </c>
    </row>
    <row r="1040" spans="1:12" hidden="1" outlineLevel="1" collapsed="1" x14ac:dyDescent="0.35">
      <c r="A1040" s="112" t="s">
        <v>1185</v>
      </c>
      <c r="B1040" s="112" t="s">
        <v>896</v>
      </c>
      <c r="C1040" s="112" t="s">
        <v>695</v>
      </c>
      <c r="D1040" s="113">
        <v>10348146</v>
      </c>
      <c r="E1040" s="115">
        <v>43930</v>
      </c>
      <c r="F1040" s="114">
        <v>202101</v>
      </c>
      <c r="G1040" s="112" t="s">
        <v>1091</v>
      </c>
      <c r="H1040" s="112" t="s">
        <v>1015</v>
      </c>
      <c r="I1040" s="112" t="s">
        <v>767</v>
      </c>
      <c r="J1040" s="112" t="s">
        <v>1195</v>
      </c>
      <c r="K1040" s="112" t="s">
        <v>1499</v>
      </c>
      <c r="L1040" s="116">
        <v>4755</v>
      </c>
    </row>
    <row r="1041" spans="1:12" hidden="1" outlineLevel="1" collapsed="1" x14ac:dyDescent="0.35">
      <c r="A1041" s="112" t="s">
        <v>1185</v>
      </c>
      <c r="B1041" s="112" t="s">
        <v>896</v>
      </c>
      <c r="C1041" s="112" t="s">
        <v>695</v>
      </c>
      <c r="D1041" s="113">
        <v>10348166</v>
      </c>
      <c r="E1041" s="115">
        <v>43930</v>
      </c>
      <c r="F1041" s="114">
        <v>202101</v>
      </c>
      <c r="G1041" s="112" t="s">
        <v>1091</v>
      </c>
      <c r="H1041" s="112" t="s">
        <v>1015</v>
      </c>
      <c r="I1041" s="112" t="s">
        <v>1267</v>
      </c>
      <c r="J1041" s="112" t="s">
        <v>1268</v>
      </c>
      <c r="K1041" s="112" t="s">
        <v>1500</v>
      </c>
      <c r="L1041" s="116">
        <v>4552.38</v>
      </c>
    </row>
    <row r="1042" spans="1:12" hidden="1" outlineLevel="1" collapsed="1" x14ac:dyDescent="0.35">
      <c r="A1042" s="112" t="s">
        <v>1185</v>
      </c>
      <c r="B1042" s="112" t="s">
        <v>896</v>
      </c>
      <c r="C1042" s="112" t="s">
        <v>695</v>
      </c>
      <c r="D1042" s="113">
        <v>10348146</v>
      </c>
      <c r="E1042" s="115">
        <v>43930</v>
      </c>
      <c r="F1042" s="114">
        <v>202101</v>
      </c>
      <c r="G1042" s="112" t="s">
        <v>1091</v>
      </c>
      <c r="H1042" s="112" t="s">
        <v>1015</v>
      </c>
      <c r="I1042" s="112" t="s">
        <v>767</v>
      </c>
      <c r="J1042" s="112" t="s">
        <v>1195</v>
      </c>
      <c r="K1042" s="112" t="s">
        <v>1356</v>
      </c>
      <c r="L1042" s="116">
        <v>2434.21</v>
      </c>
    </row>
    <row r="1043" spans="1:12" hidden="1" outlineLevel="1" collapsed="1" x14ac:dyDescent="0.35">
      <c r="A1043" s="112" t="s">
        <v>1185</v>
      </c>
      <c r="B1043" s="112" t="s">
        <v>898</v>
      </c>
      <c r="C1043" s="112" t="s">
        <v>695</v>
      </c>
      <c r="D1043" s="113">
        <v>10348146</v>
      </c>
      <c r="E1043" s="115">
        <v>43930</v>
      </c>
      <c r="F1043" s="114">
        <v>202101</v>
      </c>
      <c r="G1043" s="112" t="s">
        <v>1091</v>
      </c>
      <c r="H1043" s="112" t="s">
        <v>1015</v>
      </c>
      <c r="I1043" s="112" t="s">
        <v>1400</v>
      </c>
      <c r="J1043" s="112" t="s">
        <v>1301</v>
      </c>
      <c r="K1043" s="112" t="s">
        <v>1488</v>
      </c>
      <c r="L1043" s="116">
        <v>701.37</v>
      </c>
    </row>
    <row r="1044" spans="1:12" hidden="1" outlineLevel="1" collapsed="1" x14ac:dyDescent="0.35">
      <c r="A1044" s="112" t="s">
        <v>1185</v>
      </c>
      <c r="B1044" s="112" t="s">
        <v>898</v>
      </c>
      <c r="C1044" s="112" t="s">
        <v>695</v>
      </c>
      <c r="D1044" s="113">
        <v>10348146</v>
      </c>
      <c r="E1044" s="115">
        <v>43930</v>
      </c>
      <c r="F1044" s="114">
        <v>202101</v>
      </c>
      <c r="G1044" s="112" t="s">
        <v>1091</v>
      </c>
      <c r="H1044" s="112" t="s">
        <v>1015</v>
      </c>
      <c r="I1044" s="112" t="s">
        <v>1102</v>
      </c>
      <c r="J1044" s="112" t="s">
        <v>1213</v>
      </c>
      <c r="K1044" s="112" t="s">
        <v>1374</v>
      </c>
      <c r="L1044" s="116">
        <v>776.71</v>
      </c>
    </row>
    <row r="1045" spans="1:12" hidden="1" outlineLevel="1" collapsed="1" x14ac:dyDescent="0.35">
      <c r="A1045" s="112" t="s">
        <v>1185</v>
      </c>
      <c r="B1045" s="112" t="s">
        <v>897</v>
      </c>
      <c r="C1045" s="112" t="s">
        <v>695</v>
      </c>
      <c r="D1045" s="113">
        <v>10347981</v>
      </c>
      <c r="E1045" s="115">
        <v>43924</v>
      </c>
      <c r="F1045" s="114">
        <v>202101</v>
      </c>
      <c r="G1045" s="112" t="s">
        <v>1091</v>
      </c>
      <c r="H1045" s="112" t="s">
        <v>1015</v>
      </c>
      <c r="I1045" s="112" t="s">
        <v>1201</v>
      </c>
      <c r="J1045" s="112" t="s">
        <v>1186</v>
      </c>
      <c r="K1045" s="112" t="s">
        <v>1253</v>
      </c>
      <c r="L1045" s="116">
        <v>-228.8</v>
      </c>
    </row>
    <row r="1046" spans="1:12" hidden="1" outlineLevel="1" collapsed="1" x14ac:dyDescent="0.35">
      <c r="A1046" s="112" t="s">
        <v>1185</v>
      </c>
      <c r="B1046" s="112" t="s">
        <v>896</v>
      </c>
      <c r="C1046" s="112" t="s">
        <v>695</v>
      </c>
      <c r="D1046" s="113">
        <v>10348166</v>
      </c>
      <c r="E1046" s="115">
        <v>43930</v>
      </c>
      <c r="F1046" s="114">
        <v>202101</v>
      </c>
      <c r="G1046" s="112" t="s">
        <v>1091</v>
      </c>
      <c r="H1046" s="112" t="s">
        <v>1015</v>
      </c>
      <c r="I1046" s="112" t="s">
        <v>1277</v>
      </c>
      <c r="J1046" s="112" t="s">
        <v>1195</v>
      </c>
      <c r="K1046" s="112" t="s">
        <v>1501</v>
      </c>
      <c r="L1046" s="116">
        <v>-14500</v>
      </c>
    </row>
    <row r="1047" spans="1:12" hidden="1" outlineLevel="1" collapsed="1" x14ac:dyDescent="0.35">
      <c r="A1047" s="112" t="s">
        <v>1185</v>
      </c>
      <c r="B1047" s="112" t="s">
        <v>896</v>
      </c>
      <c r="C1047" s="112" t="s">
        <v>695</v>
      </c>
      <c r="D1047" s="113">
        <v>10348146</v>
      </c>
      <c r="E1047" s="115">
        <v>43930</v>
      </c>
      <c r="F1047" s="114">
        <v>202101</v>
      </c>
      <c r="G1047" s="112" t="s">
        <v>1091</v>
      </c>
      <c r="H1047" s="112" t="s">
        <v>1015</v>
      </c>
      <c r="I1047" s="112" t="s">
        <v>767</v>
      </c>
      <c r="J1047" s="112" t="s">
        <v>1195</v>
      </c>
      <c r="K1047" s="112" t="s">
        <v>1492</v>
      </c>
      <c r="L1047" s="116">
        <v>-618.71</v>
      </c>
    </row>
    <row r="1048" spans="1:12" hidden="1" outlineLevel="1" collapsed="1" x14ac:dyDescent="0.35">
      <c r="A1048" s="112" t="s">
        <v>1185</v>
      </c>
      <c r="B1048" s="112" t="s">
        <v>896</v>
      </c>
      <c r="C1048" s="112" t="s">
        <v>695</v>
      </c>
      <c r="D1048" s="113">
        <v>10348166</v>
      </c>
      <c r="E1048" s="115">
        <v>43930</v>
      </c>
      <c r="F1048" s="114">
        <v>202101</v>
      </c>
      <c r="G1048" s="112" t="s">
        <v>1091</v>
      </c>
      <c r="H1048" s="112" t="s">
        <v>1015</v>
      </c>
      <c r="I1048" s="112" t="s">
        <v>1502</v>
      </c>
      <c r="J1048" s="112" t="s">
        <v>1195</v>
      </c>
      <c r="K1048" s="112" t="s">
        <v>1503</v>
      </c>
      <c r="L1048" s="116">
        <v>710</v>
      </c>
    </row>
    <row r="1049" spans="1:12" hidden="1" outlineLevel="1" collapsed="1" x14ac:dyDescent="0.35">
      <c r="A1049" s="112" t="s">
        <v>1185</v>
      </c>
      <c r="B1049" s="112" t="s">
        <v>896</v>
      </c>
      <c r="C1049" s="112" t="s">
        <v>695</v>
      </c>
      <c r="D1049" s="113">
        <v>10348166</v>
      </c>
      <c r="E1049" s="115">
        <v>43930</v>
      </c>
      <c r="F1049" s="114">
        <v>202101</v>
      </c>
      <c r="G1049" s="112" t="s">
        <v>1091</v>
      </c>
      <c r="H1049" s="112" t="s">
        <v>1015</v>
      </c>
      <c r="I1049" s="112" t="s">
        <v>1246</v>
      </c>
      <c r="J1049" s="112" t="s">
        <v>1195</v>
      </c>
      <c r="K1049" s="112" t="s">
        <v>1504</v>
      </c>
      <c r="L1049" s="116">
        <v>8423.25</v>
      </c>
    </row>
    <row r="1050" spans="1:12" hidden="1" outlineLevel="1" collapsed="1" x14ac:dyDescent="0.35">
      <c r="A1050" s="112" t="s">
        <v>1185</v>
      </c>
      <c r="B1050" s="112" t="s">
        <v>896</v>
      </c>
      <c r="C1050" s="112" t="s">
        <v>1106</v>
      </c>
      <c r="D1050" s="113">
        <v>3097430</v>
      </c>
      <c r="E1050" s="115">
        <v>43928</v>
      </c>
      <c r="F1050" s="114">
        <v>202101</v>
      </c>
      <c r="G1050" s="112" t="s">
        <v>1091</v>
      </c>
      <c r="H1050" s="112" t="s">
        <v>1015</v>
      </c>
      <c r="I1050" s="112" t="s">
        <v>1169</v>
      </c>
      <c r="J1050" s="112" t="s">
        <v>1195</v>
      </c>
      <c r="K1050" s="112" t="s">
        <v>1505</v>
      </c>
      <c r="L1050" s="116">
        <v>76.67</v>
      </c>
    </row>
    <row r="1051" spans="1:12" hidden="1" outlineLevel="1" collapsed="1" x14ac:dyDescent="0.35">
      <c r="A1051" s="112" t="s">
        <v>1185</v>
      </c>
      <c r="B1051" s="112" t="s">
        <v>896</v>
      </c>
      <c r="C1051" s="112" t="s">
        <v>695</v>
      </c>
      <c r="D1051" s="113">
        <v>10348146</v>
      </c>
      <c r="E1051" s="115">
        <v>43930</v>
      </c>
      <c r="F1051" s="114">
        <v>202101</v>
      </c>
      <c r="G1051" s="112" t="s">
        <v>1091</v>
      </c>
      <c r="H1051" s="112" t="s">
        <v>1015</v>
      </c>
      <c r="I1051" s="112" t="s">
        <v>767</v>
      </c>
      <c r="J1051" s="112" t="s">
        <v>1195</v>
      </c>
      <c r="K1051" s="112" t="s">
        <v>1383</v>
      </c>
      <c r="L1051" s="116">
        <v>-11952.26</v>
      </c>
    </row>
    <row r="1052" spans="1:12" hidden="1" outlineLevel="1" collapsed="1" x14ac:dyDescent="0.35">
      <c r="A1052" s="112" t="s">
        <v>1185</v>
      </c>
      <c r="B1052" s="112" t="s">
        <v>896</v>
      </c>
      <c r="C1052" s="112" t="s">
        <v>695</v>
      </c>
      <c r="D1052" s="113">
        <v>10348166</v>
      </c>
      <c r="E1052" s="115">
        <v>43930</v>
      </c>
      <c r="F1052" s="114">
        <v>202101</v>
      </c>
      <c r="G1052" s="112" t="s">
        <v>1091</v>
      </c>
      <c r="H1052" s="112" t="s">
        <v>1015</v>
      </c>
      <c r="I1052" s="112" t="s">
        <v>1502</v>
      </c>
      <c r="J1052" s="112" t="s">
        <v>1195</v>
      </c>
      <c r="K1052" s="112" t="s">
        <v>1506</v>
      </c>
      <c r="L1052" s="116">
        <v>14723.6</v>
      </c>
    </row>
    <row r="1053" spans="1:12" hidden="1" outlineLevel="1" collapsed="1" x14ac:dyDescent="0.35">
      <c r="A1053" s="112" t="s">
        <v>1185</v>
      </c>
      <c r="B1053" s="112" t="s">
        <v>896</v>
      </c>
      <c r="C1053" s="112" t="s">
        <v>695</v>
      </c>
      <c r="D1053" s="113">
        <v>10348166</v>
      </c>
      <c r="E1053" s="115">
        <v>43930</v>
      </c>
      <c r="F1053" s="114">
        <v>202101</v>
      </c>
      <c r="G1053" s="112" t="s">
        <v>1091</v>
      </c>
      <c r="H1053" s="112" t="s">
        <v>1015</v>
      </c>
      <c r="I1053" s="112" t="s">
        <v>1246</v>
      </c>
      <c r="J1053" s="112" t="s">
        <v>1195</v>
      </c>
      <c r="K1053" s="112" t="s">
        <v>1507</v>
      </c>
      <c r="L1053" s="116">
        <v>8366</v>
      </c>
    </row>
    <row r="1054" spans="1:12" hidden="1" outlineLevel="1" collapsed="1" x14ac:dyDescent="0.35">
      <c r="A1054" s="112" t="s">
        <v>1185</v>
      </c>
      <c r="B1054" s="112" t="s">
        <v>897</v>
      </c>
      <c r="C1054" s="112" t="s">
        <v>203</v>
      </c>
      <c r="D1054" s="113">
        <v>10348453</v>
      </c>
      <c r="E1054" s="115">
        <v>43948</v>
      </c>
      <c r="F1054" s="114">
        <v>202101</v>
      </c>
      <c r="G1054" s="112" t="s">
        <v>1091</v>
      </c>
      <c r="H1054" s="112" t="s">
        <v>1015</v>
      </c>
      <c r="I1054" s="112" t="s">
        <v>1479</v>
      </c>
      <c r="J1054" s="112" t="s">
        <v>1191</v>
      </c>
      <c r="K1054" s="112" t="s">
        <v>1098</v>
      </c>
      <c r="L1054" s="116">
        <v>-945.94</v>
      </c>
    </row>
    <row r="1055" spans="1:12" hidden="1" outlineLevel="1" collapsed="1" x14ac:dyDescent="0.35">
      <c r="A1055" s="112" t="s">
        <v>1185</v>
      </c>
      <c r="B1055" s="112" t="s">
        <v>898</v>
      </c>
      <c r="C1055" s="112" t="s">
        <v>1095</v>
      </c>
      <c r="D1055" s="113">
        <v>10348451</v>
      </c>
      <c r="E1055" s="115">
        <v>43949</v>
      </c>
      <c r="F1055" s="114">
        <v>202101</v>
      </c>
      <c r="G1055" s="112" t="s">
        <v>1091</v>
      </c>
      <c r="H1055" s="112" t="s">
        <v>1015</v>
      </c>
      <c r="I1055" s="112" t="s">
        <v>1116</v>
      </c>
      <c r="J1055" s="112" t="s">
        <v>1213</v>
      </c>
      <c r="K1055" s="112" t="s">
        <v>1098</v>
      </c>
      <c r="L1055" s="116">
        <v>1050.3599999999999</v>
      </c>
    </row>
    <row r="1056" spans="1:12" hidden="1" outlineLevel="1" collapsed="1" x14ac:dyDescent="0.35">
      <c r="A1056" s="112" t="s">
        <v>1185</v>
      </c>
      <c r="B1056" s="112" t="s">
        <v>896</v>
      </c>
      <c r="C1056" s="112" t="s">
        <v>203</v>
      </c>
      <c r="D1056" s="113">
        <v>10348453</v>
      </c>
      <c r="E1056" s="115">
        <v>43948</v>
      </c>
      <c r="F1056" s="114">
        <v>202101</v>
      </c>
      <c r="G1056" s="112" t="s">
        <v>1091</v>
      </c>
      <c r="H1056" s="112" t="s">
        <v>1015</v>
      </c>
      <c r="I1056" s="112" t="s">
        <v>1479</v>
      </c>
      <c r="J1056" s="112" t="s">
        <v>1199</v>
      </c>
      <c r="K1056" s="112" t="s">
        <v>1098</v>
      </c>
      <c r="L1056" s="116">
        <v>-750.96</v>
      </c>
    </row>
    <row r="1057" spans="1:12" hidden="1" outlineLevel="1" collapsed="1" x14ac:dyDescent="0.35">
      <c r="A1057" s="112" t="s">
        <v>1185</v>
      </c>
      <c r="B1057" s="112" t="s">
        <v>1192</v>
      </c>
      <c r="C1057" s="112" t="s">
        <v>1099</v>
      </c>
      <c r="D1057" s="113">
        <v>1069295</v>
      </c>
      <c r="E1057" s="115">
        <v>43920</v>
      </c>
      <c r="F1057" s="114">
        <v>202101</v>
      </c>
      <c r="G1057" s="112" t="s">
        <v>1091</v>
      </c>
      <c r="H1057" s="112" t="s">
        <v>1015</v>
      </c>
      <c r="I1057" s="112" t="s">
        <v>761</v>
      </c>
      <c r="J1057" s="112" t="s">
        <v>1198</v>
      </c>
      <c r="K1057" s="112" t="s">
        <v>1508</v>
      </c>
      <c r="L1057" s="116">
        <v>4400</v>
      </c>
    </row>
    <row r="1058" spans="1:12" hidden="1" outlineLevel="1" collapsed="1" x14ac:dyDescent="0.35">
      <c r="A1058" s="112" t="s">
        <v>1185</v>
      </c>
      <c r="B1058" s="112" t="s">
        <v>896</v>
      </c>
      <c r="C1058" s="112" t="s">
        <v>695</v>
      </c>
      <c r="D1058" s="113">
        <v>10348001</v>
      </c>
      <c r="E1058" s="115">
        <v>43927</v>
      </c>
      <c r="F1058" s="114">
        <v>202101</v>
      </c>
      <c r="G1058" s="112" t="s">
        <v>1091</v>
      </c>
      <c r="H1058" s="112" t="s">
        <v>1015</v>
      </c>
      <c r="I1058" s="112" t="s">
        <v>767</v>
      </c>
      <c r="J1058" s="112" t="s">
        <v>1195</v>
      </c>
      <c r="K1058" s="112" t="s">
        <v>1491</v>
      </c>
      <c r="L1058" s="116">
        <v>1288.1400000000001</v>
      </c>
    </row>
    <row r="1059" spans="1:12" hidden="1" outlineLevel="1" collapsed="1" x14ac:dyDescent="0.35">
      <c r="A1059" s="112" t="s">
        <v>1185</v>
      </c>
      <c r="B1059" s="112" t="s">
        <v>896</v>
      </c>
      <c r="C1059" s="112" t="s">
        <v>695</v>
      </c>
      <c r="D1059" s="113">
        <v>10348001</v>
      </c>
      <c r="E1059" s="115">
        <v>43927</v>
      </c>
      <c r="F1059" s="114">
        <v>202101</v>
      </c>
      <c r="G1059" s="112" t="s">
        <v>1091</v>
      </c>
      <c r="H1059" s="112" t="s">
        <v>1015</v>
      </c>
      <c r="I1059" s="112" t="s">
        <v>767</v>
      </c>
      <c r="J1059" s="112" t="s">
        <v>1195</v>
      </c>
      <c r="K1059" s="112" t="s">
        <v>1368</v>
      </c>
      <c r="L1059" s="116">
        <v>729.47</v>
      </c>
    </row>
    <row r="1060" spans="1:12" hidden="1" outlineLevel="1" collapsed="1" x14ac:dyDescent="0.35">
      <c r="A1060" s="112" t="s">
        <v>1185</v>
      </c>
      <c r="B1060" s="112" t="s">
        <v>896</v>
      </c>
      <c r="C1060" s="112" t="s">
        <v>695</v>
      </c>
      <c r="D1060" s="113">
        <v>10348001</v>
      </c>
      <c r="E1060" s="115">
        <v>43927</v>
      </c>
      <c r="F1060" s="114">
        <v>202101</v>
      </c>
      <c r="G1060" s="112" t="s">
        <v>1091</v>
      </c>
      <c r="H1060" s="112" t="s">
        <v>1015</v>
      </c>
      <c r="I1060" s="112" t="s">
        <v>767</v>
      </c>
      <c r="J1060" s="112" t="s">
        <v>1195</v>
      </c>
      <c r="K1060" s="112" t="s">
        <v>1388</v>
      </c>
      <c r="L1060" s="116">
        <v>868</v>
      </c>
    </row>
    <row r="1061" spans="1:12" hidden="1" outlineLevel="1" collapsed="1" x14ac:dyDescent="0.35">
      <c r="A1061" s="112" t="s">
        <v>1185</v>
      </c>
      <c r="B1061" s="112" t="s">
        <v>896</v>
      </c>
      <c r="C1061" s="112" t="s">
        <v>695</v>
      </c>
      <c r="D1061" s="113">
        <v>10348001</v>
      </c>
      <c r="E1061" s="115">
        <v>43927</v>
      </c>
      <c r="F1061" s="114">
        <v>202101</v>
      </c>
      <c r="G1061" s="112" t="s">
        <v>1091</v>
      </c>
      <c r="H1061" s="112" t="s">
        <v>1015</v>
      </c>
      <c r="I1061" s="112" t="s">
        <v>767</v>
      </c>
      <c r="J1061" s="112" t="s">
        <v>1195</v>
      </c>
      <c r="K1061" s="112" t="s">
        <v>1397</v>
      </c>
      <c r="L1061" s="116">
        <v>4253.57</v>
      </c>
    </row>
    <row r="1062" spans="1:12" hidden="1" outlineLevel="1" collapsed="1" x14ac:dyDescent="0.35">
      <c r="A1062" s="112" t="s">
        <v>1185</v>
      </c>
      <c r="B1062" s="112" t="s">
        <v>896</v>
      </c>
      <c r="C1062" s="112" t="s">
        <v>695</v>
      </c>
      <c r="D1062" s="113">
        <v>10348001</v>
      </c>
      <c r="E1062" s="115">
        <v>43927</v>
      </c>
      <c r="F1062" s="114">
        <v>202101</v>
      </c>
      <c r="G1062" s="112" t="s">
        <v>1091</v>
      </c>
      <c r="H1062" s="112" t="s">
        <v>1015</v>
      </c>
      <c r="I1062" s="112" t="s">
        <v>767</v>
      </c>
      <c r="J1062" s="112" t="s">
        <v>1195</v>
      </c>
      <c r="K1062" s="112" t="s">
        <v>1396</v>
      </c>
      <c r="L1062" s="116">
        <v>797.42</v>
      </c>
    </row>
    <row r="1063" spans="1:12" hidden="1" outlineLevel="1" collapsed="1" x14ac:dyDescent="0.35">
      <c r="A1063" s="112" t="s">
        <v>1185</v>
      </c>
      <c r="B1063" s="112" t="s">
        <v>896</v>
      </c>
      <c r="C1063" s="112" t="s">
        <v>695</v>
      </c>
      <c r="D1063" s="113">
        <v>10348001</v>
      </c>
      <c r="E1063" s="115">
        <v>43927</v>
      </c>
      <c r="F1063" s="114">
        <v>202101</v>
      </c>
      <c r="G1063" s="112" t="s">
        <v>1091</v>
      </c>
      <c r="H1063" s="112" t="s">
        <v>1015</v>
      </c>
      <c r="I1063" s="112" t="s">
        <v>767</v>
      </c>
      <c r="J1063" s="112" t="s">
        <v>1195</v>
      </c>
      <c r="K1063" s="112" t="s">
        <v>1493</v>
      </c>
      <c r="L1063" s="116">
        <v>894.16</v>
      </c>
    </row>
    <row r="1064" spans="1:12" hidden="1" outlineLevel="1" collapsed="1" x14ac:dyDescent="0.35">
      <c r="A1064" s="112" t="s">
        <v>1185</v>
      </c>
      <c r="B1064" s="112" t="s">
        <v>896</v>
      </c>
      <c r="C1064" s="112" t="s">
        <v>695</v>
      </c>
      <c r="D1064" s="113">
        <v>10348001</v>
      </c>
      <c r="E1064" s="115">
        <v>43927</v>
      </c>
      <c r="F1064" s="114">
        <v>202101</v>
      </c>
      <c r="G1064" s="112" t="s">
        <v>1091</v>
      </c>
      <c r="H1064" s="112" t="s">
        <v>1015</v>
      </c>
      <c r="I1064" s="112" t="s">
        <v>767</v>
      </c>
      <c r="J1064" s="112" t="s">
        <v>1195</v>
      </c>
      <c r="K1064" s="112" t="s">
        <v>1394</v>
      </c>
      <c r="L1064" s="116">
        <v>1450.4</v>
      </c>
    </row>
    <row r="1065" spans="1:12" hidden="1" outlineLevel="1" collapsed="1" x14ac:dyDescent="0.35">
      <c r="A1065" s="112" t="s">
        <v>1185</v>
      </c>
      <c r="B1065" s="112" t="s">
        <v>896</v>
      </c>
      <c r="C1065" s="112" t="s">
        <v>695</v>
      </c>
      <c r="D1065" s="113">
        <v>10348001</v>
      </c>
      <c r="E1065" s="115">
        <v>43927</v>
      </c>
      <c r="F1065" s="114">
        <v>202101</v>
      </c>
      <c r="G1065" s="112" t="s">
        <v>1091</v>
      </c>
      <c r="H1065" s="112" t="s">
        <v>1015</v>
      </c>
      <c r="I1065" s="112" t="s">
        <v>767</v>
      </c>
      <c r="J1065" s="112" t="s">
        <v>1195</v>
      </c>
      <c r="K1065" s="112" t="s">
        <v>1392</v>
      </c>
      <c r="L1065" s="116">
        <v>610</v>
      </c>
    </row>
    <row r="1066" spans="1:12" hidden="1" outlineLevel="1" collapsed="1" x14ac:dyDescent="0.35">
      <c r="A1066" s="112" t="s">
        <v>1185</v>
      </c>
      <c r="B1066" s="112" t="s">
        <v>896</v>
      </c>
      <c r="C1066" s="112" t="s">
        <v>695</v>
      </c>
      <c r="D1066" s="113">
        <v>10348001</v>
      </c>
      <c r="E1066" s="115">
        <v>43927</v>
      </c>
      <c r="F1066" s="114">
        <v>202101</v>
      </c>
      <c r="G1066" s="112" t="s">
        <v>1091</v>
      </c>
      <c r="H1066" s="112" t="s">
        <v>1015</v>
      </c>
      <c r="I1066" s="112" t="s">
        <v>767</v>
      </c>
      <c r="J1066" s="112" t="s">
        <v>1195</v>
      </c>
      <c r="K1066" s="112" t="s">
        <v>1494</v>
      </c>
      <c r="L1066" s="116">
        <v>581</v>
      </c>
    </row>
    <row r="1067" spans="1:12" hidden="1" outlineLevel="1" collapsed="1" x14ac:dyDescent="0.35">
      <c r="A1067" s="112" t="s">
        <v>1185</v>
      </c>
      <c r="B1067" s="112" t="s">
        <v>896</v>
      </c>
      <c r="C1067" s="112" t="s">
        <v>695</v>
      </c>
      <c r="D1067" s="113">
        <v>10348001</v>
      </c>
      <c r="E1067" s="115">
        <v>43927</v>
      </c>
      <c r="F1067" s="114">
        <v>202101</v>
      </c>
      <c r="G1067" s="112" t="s">
        <v>1091</v>
      </c>
      <c r="H1067" s="112" t="s">
        <v>1015</v>
      </c>
      <c r="I1067" s="112" t="s">
        <v>767</v>
      </c>
      <c r="J1067" s="112" t="s">
        <v>1195</v>
      </c>
      <c r="K1067" s="112" t="s">
        <v>1492</v>
      </c>
      <c r="L1067" s="116">
        <v>618.71</v>
      </c>
    </row>
    <row r="1068" spans="1:12" hidden="1" outlineLevel="1" collapsed="1" x14ac:dyDescent="0.35">
      <c r="A1068" s="112" t="s">
        <v>1185</v>
      </c>
      <c r="B1068" s="112" t="s">
        <v>898</v>
      </c>
      <c r="C1068" s="112" t="s">
        <v>1095</v>
      </c>
      <c r="D1068" s="113">
        <v>10348451</v>
      </c>
      <c r="E1068" s="115">
        <v>43949</v>
      </c>
      <c r="F1068" s="114">
        <v>202101</v>
      </c>
      <c r="G1068" s="112" t="s">
        <v>1091</v>
      </c>
      <c r="H1068" s="112" t="s">
        <v>1015</v>
      </c>
      <c r="I1068" s="112" t="s">
        <v>1128</v>
      </c>
      <c r="J1068" s="112" t="s">
        <v>1207</v>
      </c>
      <c r="K1068" s="112" t="s">
        <v>1098</v>
      </c>
      <c r="L1068" s="116">
        <v>20</v>
      </c>
    </row>
    <row r="1069" spans="1:12" hidden="1" outlineLevel="1" collapsed="1" x14ac:dyDescent="0.35">
      <c r="A1069" s="112" t="s">
        <v>1185</v>
      </c>
      <c r="B1069" s="112" t="s">
        <v>897</v>
      </c>
      <c r="C1069" s="112" t="s">
        <v>1095</v>
      </c>
      <c r="D1069" s="113">
        <v>10348451</v>
      </c>
      <c r="E1069" s="115">
        <v>43949</v>
      </c>
      <c r="F1069" s="114">
        <v>202101</v>
      </c>
      <c r="G1069" s="112" t="s">
        <v>1091</v>
      </c>
      <c r="H1069" s="112" t="s">
        <v>1015</v>
      </c>
      <c r="I1069" s="112" t="s">
        <v>1096</v>
      </c>
      <c r="J1069" s="112" t="s">
        <v>1186</v>
      </c>
      <c r="K1069" s="112" t="s">
        <v>1098</v>
      </c>
      <c r="L1069" s="116">
        <v>243.14</v>
      </c>
    </row>
    <row r="1070" spans="1:12" hidden="1" outlineLevel="1" collapsed="1" x14ac:dyDescent="0.35">
      <c r="A1070" s="112" t="s">
        <v>1509</v>
      </c>
      <c r="B1070" s="112" t="s">
        <v>1510</v>
      </c>
      <c r="C1070" s="112" t="s">
        <v>1511</v>
      </c>
      <c r="D1070" s="113">
        <v>47036990</v>
      </c>
      <c r="E1070" s="115">
        <v>43944</v>
      </c>
      <c r="F1070" s="114">
        <v>202101</v>
      </c>
      <c r="G1070" s="112" t="s">
        <v>1091</v>
      </c>
      <c r="H1070" s="112" t="s">
        <v>1015</v>
      </c>
      <c r="I1070" s="112" t="s">
        <v>749</v>
      </c>
      <c r="J1070" s="112" t="s">
        <v>1512</v>
      </c>
      <c r="K1070" s="112" t="s">
        <v>1513</v>
      </c>
      <c r="L1070" s="116">
        <v>1937.62</v>
      </c>
    </row>
    <row r="1071" spans="1:12" hidden="1" outlineLevel="1" collapsed="1" x14ac:dyDescent="0.35">
      <c r="A1071" s="112" t="s">
        <v>1509</v>
      </c>
      <c r="B1071" s="112" t="s">
        <v>1510</v>
      </c>
      <c r="C1071" s="112" t="s">
        <v>695</v>
      </c>
      <c r="D1071" s="113">
        <v>10347977</v>
      </c>
      <c r="E1071" s="115">
        <v>43924</v>
      </c>
      <c r="F1071" s="114">
        <v>202101</v>
      </c>
      <c r="G1071" s="112" t="s">
        <v>1091</v>
      </c>
      <c r="H1071" s="112" t="s">
        <v>1015</v>
      </c>
      <c r="I1071" s="112" t="s">
        <v>749</v>
      </c>
      <c r="J1071" s="112" t="s">
        <v>1514</v>
      </c>
      <c r="K1071" s="112" t="s">
        <v>1515</v>
      </c>
      <c r="L1071" s="116">
        <v>-430</v>
      </c>
    </row>
    <row r="1072" spans="1:12" hidden="1" outlineLevel="1" collapsed="1" x14ac:dyDescent="0.35">
      <c r="A1072" s="112" t="s">
        <v>1509</v>
      </c>
      <c r="B1072" s="112" t="s">
        <v>902</v>
      </c>
      <c r="C1072" s="112" t="s">
        <v>1095</v>
      </c>
      <c r="D1072" s="113">
        <v>10348451</v>
      </c>
      <c r="E1072" s="115">
        <v>43949</v>
      </c>
      <c r="F1072" s="114">
        <v>202101</v>
      </c>
      <c r="G1072" s="112" t="s">
        <v>1091</v>
      </c>
      <c r="H1072" s="112" t="s">
        <v>1015</v>
      </c>
      <c r="I1072" s="112" t="s">
        <v>1516</v>
      </c>
      <c r="J1072" s="112" t="s">
        <v>1517</v>
      </c>
      <c r="K1072" s="112" t="s">
        <v>1098</v>
      </c>
      <c r="L1072" s="116">
        <v>11.05</v>
      </c>
    </row>
    <row r="1073" spans="1:12" hidden="1" outlineLevel="1" collapsed="1" x14ac:dyDescent="0.35">
      <c r="A1073" s="112" t="s">
        <v>1509</v>
      </c>
      <c r="B1073" s="112" t="s">
        <v>1510</v>
      </c>
      <c r="C1073" s="112" t="s">
        <v>1518</v>
      </c>
      <c r="D1073" s="113">
        <v>51366116</v>
      </c>
      <c r="E1073" s="115">
        <v>43931</v>
      </c>
      <c r="F1073" s="114">
        <v>202101</v>
      </c>
      <c r="G1073" s="112" t="s">
        <v>1091</v>
      </c>
      <c r="H1073" s="112" t="s">
        <v>1016</v>
      </c>
      <c r="I1073" s="112" t="s">
        <v>823</v>
      </c>
      <c r="J1073" s="112" t="s">
        <v>1514</v>
      </c>
      <c r="K1073" s="112" t="s">
        <v>1519</v>
      </c>
      <c r="L1073" s="116">
        <v>-25</v>
      </c>
    </row>
    <row r="1074" spans="1:12" hidden="1" outlineLevel="1" collapsed="1" x14ac:dyDescent="0.35">
      <c r="A1074" s="112" t="s">
        <v>1509</v>
      </c>
      <c r="B1074" s="112" t="s">
        <v>1520</v>
      </c>
      <c r="C1074" s="112" t="s">
        <v>1095</v>
      </c>
      <c r="D1074" s="113">
        <v>10348451</v>
      </c>
      <c r="E1074" s="115">
        <v>43949</v>
      </c>
      <c r="F1074" s="114">
        <v>202101</v>
      </c>
      <c r="G1074" s="112" t="s">
        <v>1091</v>
      </c>
      <c r="H1074" s="112" t="s">
        <v>1015</v>
      </c>
      <c r="I1074" s="112" t="s">
        <v>1399</v>
      </c>
      <c r="J1074" s="112" t="s">
        <v>1521</v>
      </c>
      <c r="K1074" s="112" t="s">
        <v>1098</v>
      </c>
      <c r="L1074" s="116">
        <v>81.650000000000006</v>
      </c>
    </row>
    <row r="1075" spans="1:12" hidden="1" outlineLevel="1" collapsed="1" x14ac:dyDescent="0.35">
      <c r="A1075" s="112" t="s">
        <v>1509</v>
      </c>
      <c r="B1075" s="112" t="s">
        <v>1510</v>
      </c>
      <c r="C1075" s="112" t="s">
        <v>1518</v>
      </c>
      <c r="D1075" s="113">
        <v>51366137</v>
      </c>
      <c r="E1075" s="115">
        <v>43931</v>
      </c>
      <c r="F1075" s="114">
        <v>202101</v>
      </c>
      <c r="G1075" s="112" t="s">
        <v>1091</v>
      </c>
      <c r="H1075" s="112" t="s">
        <v>1016</v>
      </c>
      <c r="I1075" s="112" t="s">
        <v>823</v>
      </c>
      <c r="J1075" s="112" t="s">
        <v>1514</v>
      </c>
      <c r="K1075" s="112" t="s">
        <v>1522</v>
      </c>
      <c r="L1075" s="116">
        <v>-2666.66</v>
      </c>
    </row>
    <row r="1076" spans="1:12" hidden="1" outlineLevel="1" collapsed="1" x14ac:dyDescent="0.35">
      <c r="A1076" s="112" t="s">
        <v>1509</v>
      </c>
      <c r="B1076" s="112" t="s">
        <v>1510</v>
      </c>
      <c r="C1076" s="112" t="s">
        <v>1518</v>
      </c>
      <c r="D1076" s="113">
        <v>51366115</v>
      </c>
      <c r="E1076" s="115">
        <v>43931</v>
      </c>
      <c r="F1076" s="114">
        <v>202101</v>
      </c>
      <c r="G1076" s="112" t="s">
        <v>1091</v>
      </c>
      <c r="H1076" s="112" t="s">
        <v>1016</v>
      </c>
      <c r="I1076" s="112" t="s">
        <v>823</v>
      </c>
      <c r="J1076" s="112" t="s">
        <v>1514</v>
      </c>
      <c r="K1076" s="112" t="s">
        <v>1523</v>
      </c>
      <c r="L1076" s="116">
        <v>-2500</v>
      </c>
    </row>
    <row r="1077" spans="1:12" hidden="1" outlineLevel="1" collapsed="1" x14ac:dyDescent="0.35">
      <c r="A1077" s="112" t="s">
        <v>1509</v>
      </c>
      <c r="B1077" s="112" t="s">
        <v>1510</v>
      </c>
      <c r="C1077" s="112" t="s">
        <v>695</v>
      </c>
      <c r="D1077" s="113">
        <v>10347977</v>
      </c>
      <c r="E1077" s="115">
        <v>43924</v>
      </c>
      <c r="F1077" s="114">
        <v>202101</v>
      </c>
      <c r="G1077" s="112" t="s">
        <v>1091</v>
      </c>
      <c r="H1077" s="112" t="s">
        <v>1015</v>
      </c>
      <c r="I1077" s="112" t="s">
        <v>749</v>
      </c>
      <c r="J1077" s="112" t="s">
        <v>1512</v>
      </c>
      <c r="K1077" s="112" t="s">
        <v>1524</v>
      </c>
      <c r="L1077" s="116">
        <v>-299</v>
      </c>
    </row>
    <row r="1078" spans="1:12" hidden="1" outlineLevel="1" collapsed="1" x14ac:dyDescent="0.35">
      <c r="A1078" s="112" t="s">
        <v>1509</v>
      </c>
      <c r="B1078" s="112" t="s">
        <v>902</v>
      </c>
      <c r="C1078" s="112" t="s">
        <v>1095</v>
      </c>
      <c r="D1078" s="113">
        <v>10348451</v>
      </c>
      <c r="E1078" s="115">
        <v>43949</v>
      </c>
      <c r="F1078" s="114">
        <v>202101</v>
      </c>
      <c r="G1078" s="112" t="s">
        <v>1091</v>
      </c>
      <c r="H1078" s="112" t="s">
        <v>1015</v>
      </c>
      <c r="I1078" s="112" t="s">
        <v>1399</v>
      </c>
      <c r="J1078" s="112" t="s">
        <v>1517</v>
      </c>
      <c r="K1078" s="112" t="s">
        <v>1098</v>
      </c>
      <c r="L1078" s="116">
        <v>87.4</v>
      </c>
    </row>
    <row r="1079" spans="1:12" hidden="1" outlineLevel="1" collapsed="1" x14ac:dyDescent="0.35">
      <c r="A1079" s="112" t="s">
        <v>1509</v>
      </c>
      <c r="B1079" s="112" t="s">
        <v>1510</v>
      </c>
      <c r="C1079" s="112" t="s">
        <v>695</v>
      </c>
      <c r="D1079" s="113">
        <v>10347977</v>
      </c>
      <c r="E1079" s="115">
        <v>43924</v>
      </c>
      <c r="F1079" s="114">
        <v>202101</v>
      </c>
      <c r="G1079" s="112" t="s">
        <v>1091</v>
      </c>
      <c r="H1079" s="112" t="s">
        <v>1015</v>
      </c>
      <c r="I1079" s="112" t="s">
        <v>749</v>
      </c>
      <c r="J1079" s="112" t="s">
        <v>1525</v>
      </c>
      <c r="K1079" s="112" t="s">
        <v>1526</v>
      </c>
      <c r="L1079" s="116">
        <v>-19</v>
      </c>
    </row>
    <row r="1080" spans="1:12" hidden="1" outlineLevel="1" collapsed="1" x14ac:dyDescent="0.35">
      <c r="A1080" s="112" t="s">
        <v>1509</v>
      </c>
      <c r="B1080" s="112" t="s">
        <v>1510</v>
      </c>
      <c r="C1080" s="112" t="s">
        <v>1511</v>
      </c>
      <c r="D1080" s="113">
        <v>47036992</v>
      </c>
      <c r="E1080" s="115">
        <v>43944</v>
      </c>
      <c r="F1080" s="114">
        <v>202101</v>
      </c>
      <c r="G1080" s="112" t="s">
        <v>1091</v>
      </c>
      <c r="H1080" s="112" t="s">
        <v>1015</v>
      </c>
      <c r="I1080" s="112" t="s">
        <v>749</v>
      </c>
      <c r="J1080" s="112" t="s">
        <v>1514</v>
      </c>
      <c r="K1080" s="112" t="s">
        <v>1527</v>
      </c>
      <c r="L1080" s="116">
        <v>105.54</v>
      </c>
    </row>
    <row r="1081" spans="1:12" hidden="1" outlineLevel="1" collapsed="1" x14ac:dyDescent="0.35">
      <c r="A1081" s="112" t="s">
        <v>1509</v>
      </c>
      <c r="B1081" s="112" t="s">
        <v>1510</v>
      </c>
      <c r="C1081" s="112" t="s">
        <v>695</v>
      </c>
      <c r="D1081" s="113">
        <v>10347977</v>
      </c>
      <c r="E1081" s="115">
        <v>43924</v>
      </c>
      <c r="F1081" s="114">
        <v>202101</v>
      </c>
      <c r="G1081" s="112" t="s">
        <v>1091</v>
      </c>
      <c r="H1081" s="112" t="s">
        <v>1015</v>
      </c>
      <c r="I1081" s="112" t="s">
        <v>757</v>
      </c>
      <c r="J1081" s="112" t="s">
        <v>1512</v>
      </c>
      <c r="K1081" s="112" t="s">
        <v>1528</v>
      </c>
      <c r="L1081" s="116">
        <v>-47</v>
      </c>
    </row>
    <row r="1082" spans="1:12" hidden="1" outlineLevel="1" collapsed="1" x14ac:dyDescent="0.35">
      <c r="A1082" s="112" t="s">
        <v>1509</v>
      </c>
      <c r="B1082" s="112" t="s">
        <v>1510</v>
      </c>
      <c r="C1082" s="112" t="s">
        <v>1518</v>
      </c>
      <c r="D1082" s="113">
        <v>51366131</v>
      </c>
      <c r="E1082" s="115">
        <v>43931</v>
      </c>
      <c r="F1082" s="114">
        <v>202101</v>
      </c>
      <c r="G1082" s="112" t="s">
        <v>1091</v>
      </c>
      <c r="H1082" s="112" t="s">
        <v>1016</v>
      </c>
      <c r="I1082" s="112" t="s">
        <v>823</v>
      </c>
      <c r="J1082" s="112" t="s">
        <v>1525</v>
      </c>
      <c r="K1082" s="112" t="s">
        <v>1529</v>
      </c>
      <c r="L1082" s="116">
        <v>-1092</v>
      </c>
    </row>
    <row r="1083" spans="1:12" hidden="1" outlineLevel="1" collapsed="1" x14ac:dyDescent="0.35">
      <c r="A1083" s="112" t="s">
        <v>1509</v>
      </c>
      <c r="B1083" s="112" t="s">
        <v>902</v>
      </c>
      <c r="C1083" s="112" t="s">
        <v>1095</v>
      </c>
      <c r="D1083" s="113">
        <v>10348451</v>
      </c>
      <c r="E1083" s="115">
        <v>43949</v>
      </c>
      <c r="F1083" s="114">
        <v>202101</v>
      </c>
      <c r="G1083" s="112" t="s">
        <v>1091</v>
      </c>
      <c r="H1083" s="112" t="s">
        <v>1015</v>
      </c>
      <c r="I1083" s="112" t="s">
        <v>1128</v>
      </c>
      <c r="J1083" s="112" t="s">
        <v>1530</v>
      </c>
      <c r="K1083" s="112" t="s">
        <v>1098</v>
      </c>
      <c r="L1083" s="116">
        <v>151</v>
      </c>
    </row>
    <row r="1084" spans="1:12" hidden="1" outlineLevel="1" collapsed="1" x14ac:dyDescent="0.35">
      <c r="A1084" s="112" t="s">
        <v>1509</v>
      </c>
      <c r="B1084" s="112" t="s">
        <v>1510</v>
      </c>
      <c r="C1084" s="112" t="s">
        <v>1518</v>
      </c>
      <c r="D1084" s="113">
        <v>51366132</v>
      </c>
      <c r="E1084" s="115">
        <v>43931</v>
      </c>
      <c r="F1084" s="114">
        <v>202101</v>
      </c>
      <c r="G1084" s="112" t="s">
        <v>1091</v>
      </c>
      <c r="H1084" s="112" t="s">
        <v>1016</v>
      </c>
      <c r="I1084" s="112" t="s">
        <v>823</v>
      </c>
      <c r="J1084" s="112" t="s">
        <v>1525</v>
      </c>
      <c r="K1084" s="112" t="s">
        <v>1531</v>
      </c>
      <c r="L1084" s="116">
        <v>-60</v>
      </c>
    </row>
    <row r="1085" spans="1:12" hidden="1" outlineLevel="1" collapsed="1" x14ac:dyDescent="0.35">
      <c r="A1085" s="112" t="s">
        <v>1509</v>
      </c>
      <c r="B1085" s="112" t="s">
        <v>1510</v>
      </c>
      <c r="C1085" s="112" t="s">
        <v>695</v>
      </c>
      <c r="D1085" s="113">
        <v>10348420</v>
      </c>
      <c r="E1085" s="115">
        <v>43945</v>
      </c>
      <c r="F1085" s="114">
        <v>202101</v>
      </c>
      <c r="G1085" s="112" t="s">
        <v>1091</v>
      </c>
      <c r="H1085" s="112" t="s">
        <v>1015</v>
      </c>
      <c r="I1085" s="112" t="s">
        <v>1532</v>
      </c>
      <c r="J1085" s="112" t="s">
        <v>1533</v>
      </c>
      <c r="K1085" s="112" t="s">
        <v>1534</v>
      </c>
      <c r="L1085" s="116">
        <v>-2054.84</v>
      </c>
    </row>
    <row r="1086" spans="1:12" hidden="1" outlineLevel="1" collapsed="1" x14ac:dyDescent="0.35">
      <c r="A1086" s="112" t="s">
        <v>1509</v>
      </c>
      <c r="B1086" s="112" t="s">
        <v>1510</v>
      </c>
      <c r="C1086" s="112" t="s">
        <v>695</v>
      </c>
      <c r="D1086" s="113">
        <v>10348420</v>
      </c>
      <c r="E1086" s="115">
        <v>43945</v>
      </c>
      <c r="F1086" s="114">
        <v>202101</v>
      </c>
      <c r="G1086" s="112" t="s">
        <v>1091</v>
      </c>
      <c r="H1086" s="112" t="s">
        <v>1015</v>
      </c>
      <c r="I1086" s="112" t="s">
        <v>1532</v>
      </c>
      <c r="J1086" s="112" t="s">
        <v>1533</v>
      </c>
      <c r="K1086" s="112" t="s">
        <v>1535</v>
      </c>
      <c r="L1086" s="116">
        <v>-1969.72</v>
      </c>
    </row>
    <row r="1087" spans="1:12" hidden="1" outlineLevel="1" collapsed="1" x14ac:dyDescent="0.35">
      <c r="A1087" s="112" t="s">
        <v>1509</v>
      </c>
      <c r="B1087" s="112" t="s">
        <v>1520</v>
      </c>
      <c r="C1087" s="112" t="s">
        <v>679</v>
      </c>
      <c r="D1087" s="113">
        <v>10347933</v>
      </c>
      <c r="E1087" s="115">
        <v>43922</v>
      </c>
      <c r="F1087" s="114">
        <v>202101</v>
      </c>
      <c r="G1087" s="112" t="s">
        <v>1091</v>
      </c>
      <c r="H1087" s="112" t="s">
        <v>1015</v>
      </c>
      <c r="I1087" s="112" t="s">
        <v>1536</v>
      </c>
      <c r="J1087" s="112" t="s">
        <v>1537</v>
      </c>
      <c r="K1087" s="112" t="s">
        <v>706</v>
      </c>
      <c r="L1087" s="116">
        <v>9</v>
      </c>
    </row>
    <row r="1088" spans="1:12" hidden="1" outlineLevel="1" collapsed="1" x14ac:dyDescent="0.35">
      <c r="A1088" s="112" t="s">
        <v>1509</v>
      </c>
      <c r="B1088" s="112" t="s">
        <v>1510</v>
      </c>
      <c r="C1088" s="112" t="s">
        <v>1518</v>
      </c>
      <c r="D1088" s="113">
        <v>51366133</v>
      </c>
      <c r="E1088" s="115">
        <v>43931</v>
      </c>
      <c r="F1088" s="114">
        <v>202101</v>
      </c>
      <c r="G1088" s="112" t="s">
        <v>1091</v>
      </c>
      <c r="H1088" s="112" t="s">
        <v>1016</v>
      </c>
      <c r="I1088" s="112" t="s">
        <v>860</v>
      </c>
      <c r="J1088" s="112" t="s">
        <v>1514</v>
      </c>
      <c r="K1088" s="112" t="s">
        <v>1538</v>
      </c>
      <c r="L1088" s="116">
        <v>-12083.33</v>
      </c>
    </row>
    <row r="1089" spans="1:12" hidden="1" outlineLevel="1" collapsed="1" x14ac:dyDescent="0.35">
      <c r="A1089" s="112" t="s">
        <v>1509</v>
      </c>
      <c r="B1089" s="112" t="s">
        <v>1510</v>
      </c>
      <c r="C1089" s="112" t="s">
        <v>1518</v>
      </c>
      <c r="D1089" s="113">
        <v>51366136</v>
      </c>
      <c r="E1089" s="115">
        <v>43931</v>
      </c>
      <c r="F1089" s="114">
        <v>202101</v>
      </c>
      <c r="G1089" s="112" t="s">
        <v>1091</v>
      </c>
      <c r="H1089" s="112" t="s">
        <v>1016</v>
      </c>
      <c r="I1089" s="112" t="s">
        <v>860</v>
      </c>
      <c r="J1089" s="112" t="s">
        <v>1514</v>
      </c>
      <c r="K1089" s="112" t="s">
        <v>1539</v>
      </c>
      <c r="L1089" s="116">
        <v>-2083.33</v>
      </c>
    </row>
    <row r="1090" spans="1:12" hidden="1" outlineLevel="1" collapsed="1" x14ac:dyDescent="0.35">
      <c r="A1090" s="112" t="s">
        <v>1509</v>
      </c>
      <c r="B1090" s="112" t="s">
        <v>1510</v>
      </c>
      <c r="C1090" s="112" t="s">
        <v>1518</v>
      </c>
      <c r="D1090" s="113">
        <v>51366142</v>
      </c>
      <c r="E1090" s="115">
        <v>43931</v>
      </c>
      <c r="F1090" s="114">
        <v>202101</v>
      </c>
      <c r="G1090" s="112" t="s">
        <v>1091</v>
      </c>
      <c r="H1090" s="112" t="s">
        <v>1016</v>
      </c>
      <c r="I1090" s="112" t="s">
        <v>823</v>
      </c>
      <c r="J1090" s="112" t="s">
        <v>1525</v>
      </c>
      <c r="K1090" s="112" t="s">
        <v>1540</v>
      </c>
      <c r="L1090" s="116">
        <v>-725</v>
      </c>
    </row>
    <row r="1091" spans="1:12" hidden="1" outlineLevel="1" collapsed="1" x14ac:dyDescent="0.35">
      <c r="A1091" s="112" t="s">
        <v>1509</v>
      </c>
      <c r="B1091" s="112" t="s">
        <v>1510</v>
      </c>
      <c r="C1091" s="112" t="s">
        <v>1518</v>
      </c>
      <c r="D1091" s="113">
        <v>51366143</v>
      </c>
      <c r="E1091" s="115">
        <v>43931</v>
      </c>
      <c r="F1091" s="114">
        <v>202101</v>
      </c>
      <c r="G1091" s="112" t="s">
        <v>1091</v>
      </c>
      <c r="H1091" s="112" t="s">
        <v>1016</v>
      </c>
      <c r="I1091" s="112" t="s">
        <v>823</v>
      </c>
      <c r="J1091" s="112" t="s">
        <v>1525</v>
      </c>
      <c r="K1091" s="112" t="s">
        <v>1541</v>
      </c>
      <c r="L1091" s="116">
        <v>-376</v>
      </c>
    </row>
    <row r="1092" spans="1:12" hidden="1" outlineLevel="1" collapsed="1" x14ac:dyDescent="0.35">
      <c r="A1092" s="112" t="s">
        <v>1509</v>
      </c>
      <c r="B1092" s="112" t="s">
        <v>902</v>
      </c>
      <c r="C1092" s="112" t="s">
        <v>695</v>
      </c>
      <c r="D1092" s="113">
        <v>10348222</v>
      </c>
      <c r="E1092" s="115">
        <v>43936</v>
      </c>
      <c r="F1092" s="114">
        <v>202101</v>
      </c>
      <c r="G1092" s="112" t="s">
        <v>1091</v>
      </c>
      <c r="H1092" s="112" t="s">
        <v>1016</v>
      </c>
      <c r="I1092" s="112" t="s">
        <v>680</v>
      </c>
      <c r="J1092" s="112" t="s">
        <v>1517</v>
      </c>
      <c r="K1092" s="112" t="s">
        <v>1542</v>
      </c>
      <c r="L1092" s="116">
        <v>31123.83</v>
      </c>
    </row>
    <row r="1093" spans="1:12" hidden="1" outlineLevel="1" collapsed="1" x14ac:dyDescent="0.35">
      <c r="A1093" s="112" t="s">
        <v>1509</v>
      </c>
      <c r="B1093" s="112" t="s">
        <v>902</v>
      </c>
      <c r="C1093" s="112" t="s">
        <v>695</v>
      </c>
      <c r="D1093" s="113">
        <v>10348222</v>
      </c>
      <c r="E1093" s="115">
        <v>43936</v>
      </c>
      <c r="F1093" s="114">
        <v>202101</v>
      </c>
      <c r="G1093" s="112" t="s">
        <v>1091</v>
      </c>
      <c r="H1093" s="112" t="s">
        <v>1016</v>
      </c>
      <c r="I1093" s="112" t="s">
        <v>1131</v>
      </c>
      <c r="J1093" s="112" t="s">
        <v>1517</v>
      </c>
      <c r="K1093" s="112" t="s">
        <v>1543</v>
      </c>
      <c r="L1093" s="116">
        <v>20000</v>
      </c>
    </row>
    <row r="1094" spans="1:12" hidden="1" outlineLevel="1" collapsed="1" x14ac:dyDescent="0.35">
      <c r="A1094" s="112" t="s">
        <v>1509</v>
      </c>
      <c r="B1094" s="112" t="s">
        <v>902</v>
      </c>
      <c r="C1094" s="112" t="s">
        <v>1095</v>
      </c>
      <c r="D1094" s="113">
        <v>10348451</v>
      </c>
      <c r="E1094" s="115">
        <v>43949</v>
      </c>
      <c r="F1094" s="114">
        <v>202101</v>
      </c>
      <c r="G1094" s="112" t="s">
        <v>1091</v>
      </c>
      <c r="H1094" s="112" t="s">
        <v>1015</v>
      </c>
      <c r="I1094" s="112" t="s">
        <v>1544</v>
      </c>
      <c r="J1094" s="112" t="s">
        <v>1517</v>
      </c>
      <c r="K1094" s="112" t="s">
        <v>1098</v>
      </c>
      <c r="L1094" s="116">
        <v>27</v>
      </c>
    </row>
    <row r="1095" spans="1:12" hidden="1" outlineLevel="1" collapsed="1" x14ac:dyDescent="0.35">
      <c r="A1095" s="112" t="s">
        <v>1509</v>
      </c>
      <c r="B1095" s="112" t="s">
        <v>902</v>
      </c>
      <c r="C1095" s="112" t="s">
        <v>695</v>
      </c>
      <c r="D1095" s="113">
        <v>10348240</v>
      </c>
      <c r="E1095" s="115">
        <v>43936</v>
      </c>
      <c r="F1095" s="114">
        <v>202101</v>
      </c>
      <c r="G1095" s="112" t="s">
        <v>1091</v>
      </c>
      <c r="H1095" s="112" t="s">
        <v>1016</v>
      </c>
      <c r="I1095" s="112" t="s">
        <v>1131</v>
      </c>
      <c r="J1095" s="112" t="s">
        <v>1545</v>
      </c>
      <c r="K1095" s="112" t="s">
        <v>1546</v>
      </c>
      <c r="L1095" s="116">
        <v>101325</v>
      </c>
    </row>
    <row r="1096" spans="1:12" hidden="1" outlineLevel="1" collapsed="1" x14ac:dyDescent="0.35">
      <c r="A1096" s="112" t="s">
        <v>1509</v>
      </c>
      <c r="B1096" s="112" t="s">
        <v>902</v>
      </c>
      <c r="C1096" s="112" t="s">
        <v>695</v>
      </c>
      <c r="D1096" s="113">
        <v>10348240</v>
      </c>
      <c r="E1096" s="115">
        <v>43936</v>
      </c>
      <c r="F1096" s="114">
        <v>202101</v>
      </c>
      <c r="G1096" s="112" t="s">
        <v>1091</v>
      </c>
      <c r="H1096" s="112" t="s">
        <v>1016</v>
      </c>
      <c r="I1096" s="112" t="s">
        <v>1131</v>
      </c>
      <c r="J1096" s="112" t="s">
        <v>1545</v>
      </c>
      <c r="K1096" s="112" t="s">
        <v>1547</v>
      </c>
      <c r="L1096" s="116">
        <v>27757.74</v>
      </c>
    </row>
    <row r="1097" spans="1:12" hidden="1" outlineLevel="1" collapsed="1" x14ac:dyDescent="0.35">
      <c r="A1097" s="112" t="s">
        <v>1509</v>
      </c>
      <c r="B1097" s="112" t="s">
        <v>1510</v>
      </c>
      <c r="C1097" s="112" t="s">
        <v>695</v>
      </c>
      <c r="D1097" s="113">
        <v>10347977</v>
      </c>
      <c r="E1097" s="115">
        <v>43924</v>
      </c>
      <c r="F1097" s="114">
        <v>202101</v>
      </c>
      <c r="G1097" s="112" t="s">
        <v>1091</v>
      </c>
      <c r="H1097" s="112" t="s">
        <v>1015</v>
      </c>
      <c r="I1097" s="112" t="s">
        <v>749</v>
      </c>
      <c r="J1097" s="112" t="s">
        <v>1514</v>
      </c>
      <c r="K1097" s="112" t="s">
        <v>1548</v>
      </c>
      <c r="L1097" s="116">
        <v>-8</v>
      </c>
    </row>
    <row r="1098" spans="1:12" hidden="1" outlineLevel="1" collapsed="1" x14ac:dyDescent="0.35">
      <c r="A1098" s="112" t="s">
        <v>1509</v>
      </c>
      <c r="B1098" s="112" t="s">
        <v>1510</v>
      </c>
      <c r="C1098" s="112" t="s">
        <v>1518</v>
      </c>
      <c r="D1098" s="113">
        <v>51366121</v>
      </c>
      <c r="E1098" s="115">
        <v>43931</v>
      </c>
      <c r="F1098" s="114">
        <v>202101</v>
      </c>
      <c r="G1098" s="112" t="s">
        <v>1091</v>
      </c>
      <c r="H1098" s="112" t="s">
        <v>1016</v>
      </c>
      <c r="I1098" s="112" t="s">
        <v>823</v>
      </c>
      <c r="J1098" s="112" t="s">
        <v>1512</v>
      </c>
      <c r="K1098" s="112" t="s">
        <v>1549</v>
      </c>
      <c r="L1098" s="116">
        <v>-2179.17</v>
      </c>
    </row>
    <row r="1099" spans="1:12" hidden="1" outlineLevel="1" collapsed="1" x14ac:dyDescent="0.35">
      <c r="A1099" s="112" t="s">
        <v>1509</v>
      </c>
      <c r="B1099" s="112" t="s">
        <v>1510</v>
      </c>
      <c r="C1099" s="112" t="s">
        <v>695</v>
      </c>
      <c r="D1099" s="113">
        <v>10348420</v>
      </c>
      <c r="E1099" s="115">
        <v>43945</v>
      </c>
      <c r="F1099" s="114">
        <v>202101</v>
      </c>
      <c r="G1099" s="112" t="s">
        <v>1091</v>
      </c>
      <c r="H1099" s="112" t="s">
        <v>1015</v>
      </c>
      <c r="I1099" s="112" t="s">
        <v>1532</v>
      </c>
      <c r="J1099" s="112" t="s">
        <v>1533</v>
      </c>
      <c r="K1099" s="112" t="s">
        <v>1550</v>
      </c>
      <c r="L1099" s="116">
        <v>-2377.0300000000002</v>
      </c>
    </row>
    <row r="1100" spans="1:12" hidden="1" outlineLevel="1" collapsed="1" x14ac:dyDescent="0.35">
      <c r="A1100" s="112" t="s">
        <v>1509</v>
      </c>
      <c r="B1100" s="112" t="s">
        <v>903</v>
      </c>
      <c r="C1100" s="112" t="s">
        <v>1095</v>
      </c>
      <c r="D1100" s="113">
        <v>10348451</v>
      </c>
      <c r="E1100" s="115">
        <v>43949</v>
      </c>
      <c r="F1100" s="114">
        <v>202101</v>
      </c>
      <c r="G1100" s="112" t="s">
        <v>1091</v>
      </c>
      <c r="H1100" s="112" t="s">
        <v>1015</v>
      </c>
      <c r="I1100" s="112" t="s">
        <v>1101</v>
      </c>
      <c r="J1100" s="112" t="s">
        <v>1551</v>
      </c>
      <c r="K1100" s="112" t="s">
        <v>1098</v>
      </c>
      <c r="L1100" s="116">
        <v>816.49</v>
      </c>
    </row>
    <row r="1101" spans="1:12" hidden="1" outlineLevel="1" collapsed="1" x14ac:dyDescent="0.35">
      <c r="A1101" s="112" t="s">
        <v>1509</v>
      </c>
      <c r="B1101" s="112" t="s">
        <v>1510</v>
      </c>
      <c r="C1101" s="112" t="s">
        <v>695</v>
      </c>
      <c r="D1101" s="113">
        <v>10348420</v>
      </c>
      <c r="E1101" s="115">
        <v>43945</v>
      </c>
      <c r="F1101" s="114">
        <v>202101</v>
      </c>
      <c r="G1101" s="112" t="s">
        <v>1091</v>
      </c>
      <c r="H1101" s="112" t="s">
        <v>1015</v>
      </c>
      <c r="I1101" s="112" t="s">
        <v>1532</v>
      </c>
      <c r="J1101" s="112" t="s">
        <v>1533</v>
      </c>
      <c r="K1101" s="112" t="s">
        <v>1552</v>
      </c>
      <c r="L1101" s="116">
        <v>-2048.8000000000002</v>
      </c>
    </row>
    <row r="1102" spans="1:12" hidden="1" outlineLevel="1" collapsed="1" x14ac:dyDescent="0.35">
      <c r="A1102" s="112" t="s">
        <v>1509</v>
      </c>
      <c r="B1102" s="112" t="s">
        <v>1510</v>
      </c>
      <c r="C1102" s="112" t="s">
        <v>695</v>
      </c>
      <c r="D1102" s="113">
        <v>10347977</v>
      </c>
      <c r="E1102" s="115">
        <v>43924</v>
      </c>
      <c r="F1102" s="114">
        <v>202101</v>
      </c>
      <c r="G1102" s="112" t="s">
        <v>1091</v>
      </c>
      <c r="H1102" s="112" t="s">
        <v>1015</v>
      </c>
      <c r="I1102" s="112" t="s">
        <v>749</v>
      </c>
      <c r="J1102" s="112" t="s">
        <v>1512</v>
      </c>
      <c r="K1102" s="112" t="s">
        <v>1553</v>
      </c>
      <c r="L1102" s="116">
        <v>-1722</v>
      </c>
    </row>
    <row r="1103" spans="1:12" hidden="1" outlineLevel="1" collapsed="1" x14ac:dyDescent="0.35">
      <c r="A1103" s="112" t="s">
        <v>1509</v>
      </c>
      <c r="B1103" s="112" t="s">
        <v>1510</v>
      </c>
      <c r="C1103" s="112" t="s">
        <v>695</v>
      </c>
      <c r="D1103" s="113">
        <v>10347977</v>
      </c>
      <c r="E1103" s="115">
        <v>43924</v>
      </c>
      <c r="F1103" s="114">
        <v>202101</v>
      </c>
      <c r="G1103" s="112" t="s">
        <v>1091</v>
      </c>
      <c r="H1103" s="112" t="s">
        <v>1015</v>
      </c>
      <c r="I1103" s="112" t="s">
        <v>757</v>
      </c>
      <c r="J1103" s="112" t="s">
        <v>1512</v>
      </c>
      <c r="K1103" s="112" t="s">
        <v>1554</v>
      </c>
      <c r="L1103" s="116">
        <v>-199</v>
      </c>
    </row>
    <row r="1104" spans="1:12" hidden="1" outlineLevel="1" collapsed="1" x14ac:dyDescent="0.35">
      <c r="A1104" s="112" t="s">
        <v>1509</v>
      </c>
      <c r="B1104" s="112" t="s">
        <v>1510</v>
      </c>
      <c r="C1104" s="112" t="s">
        <v>695</v>
      </c>
      <c r="D1104" s="113">
        <v>10348420</v>
      </c>
      <c r="E1104" s="115">
        <v>43945</v>
      </c>
      <c r="F1104" s="114">
        <v>202101</v>
      </c>
      <c r="G1104" s="112" t="s">
        <v>1091</v>
      </c>
      <c r="H1104" s="112" t="s">
        <v>1015</v>
      </c>
      <c r="I1104" s="112" t="s">
        <v>1532</v>
      </c>
      <c r="J1104" s="112" t="s">
        <v>1525</v>
      </c>
      <c r="K1104" s="112" t="s">
        <v>1555</v>
      </c>
      <c r="L1104" s="116">
        <v>206.08</v>
      </c>
    </row>
    <row r="1105" spans="1:12" hidden="1" outlineLevel="1" collapsed="1" x14ac:dyDescent="0.35">
      <c r="A1105" s="112" t="s">
        <v>1509</v>
      </c>
      <c r="B1105" s="112" t="s">
        <v>1510</v>
      </c>
      <c r="C1105" s="112" t="s">
        <v>1095</v>
      </c>
      <c r="D1105" s="113">
        <v>10348451</v>
      </c>
      <c r="E1105" s="115">
        <v>43949</v>
      </c>
      <c r="F1105" s="114">
        <v>202101</v>
      </c>
      <c r="G1105" s="112" t="s">
        <v>1091</v>
      </c>
      <c r="H1105" s="112" t="s">
        <v>1015</v>
      </c>
      <c r="I1105" s="112" t="s">
        <v>1101</v>
      </c>
      <c r="J1105" s="112" t="s">
        <v>1512</v>
      </c>
      <c r="K1105" s="112" t="s">
        <v>1098</v>
      </c>
      <c r="L1105" s="116">
        <v>219.62</v>
      </c>
    </row>
    <row r="1106" spans="1:12" hidden="1" outlineLevel="1" collapsed="1" x14ac:dyDescent="0.35">
      <c r="A1106" s="112" t="s">
        <v>1509</v>
      </c>
      <c r="B1106" s="112" t="s">
        <v>1510</v>
      </c>
      <c r="C1106" s="112" t="s">
        <v>695</v>
      </c>
      <c r="D1106" s="113">
        <v>10347977</v>
      </c>
      <c r="E1106" s="115">
        <v>43924</v>
      </c>
      <c r="F1106" s="114">
        <v>202101</v>
      </c>
      <c r="G1106" s="112" t="s">
        <v>1091</v>
      </c>
      <c r="H1106" s="112" t="s">
        <v>1015</v>
      </c>
      <c r="I1106" s="112" t="s">
        <v>757</v>
      </c>
      <c r="J1106" s="112" t="s">
        <v>1512</v>
      </c>
      <c r="K1106" s="112" t="s">
        <v>1556</v>
      </c>
      <c r="L1106" s="116">
        <v>-117</v>
      </c>
    </row>
    <row r="1107" spans="1:12" hidden="1" outlineLevel="1" collapsed="1" x14ac:dyDescent="0.35">
      <c r="A1107" s="112" t="s">
        <v>1509</v>
      </c>
      <c r="B1107" s="112" t="s">
        <v>1510</v>
      </c>
      <c r="C1107" s="112" t="s">
        <v>695</v>
      </c>
      <c r="D1107" s="113">
        <v>10348429</v>
      </c>
      <c r="E1107" s="115">
        <v>43945</v>
      </c>
      <c r="F1107" s="114">
        <v>202101</v>
      </c>
      <c r="G1107" s="112" t="s">
        <v>1091</v>
      </c>
      <c r="H1107" s="112" t="s">
        <v>1015</v>
      </c>
      <c r="I1107" s="112" t="s">
        <v>1557</v>
      </c>
      <c r="J1107" s="112" t="s">
        <v>1514</v>
      </c>
      <c r="K1107" s="112" t="s">
        <v>1558</v>
      </c>
      <c r="L1107" s="116">
        <v>5060.47</v>
      </c>
    </row>
    <row r="1108" spans="1:12" hidden="1" outlineLevel="1" collapsed="1" x14ac:dyDescent="0.35">
      <c r="A1108" s="112" t="s">
        <v>1509</v>
      </c>
      <c r="B1108" s="112" t="s">
        <v>1510</v>
      </c>
      <c r="C1108" s="112" t="s">
        <v>1518</v>
      </c>
      <c r="D1108" s="113">
        <v>51366128</v>
      </c>
      <c r="E1108" s="115">
        <v>43931</v>
      </c>
      <c r="F1108" s="114">
        <v>202101</v>
      </c>
      <c r="G1108" s="112" t="s">
        <v>1091</v>
      </c>
      <c r="H1108" s="112" t="s">
        <v>1016</v>
      </c>
      <c r="I1108" s="112" t="s">
        <v>823</v>
      </c>
      <c r="J1108" s="112" t="s">
        <v>1525</v>
      </c>
      <c r="K1108" s="112" t="s">
        <v>1559</v>
      </c>
      <c r="L1108" s="116">
        <v>-764.5</v>
      </c>
    </row>
    <row r="1109" spans="1:12" hidden="1" outlineLevel="1" collapsed="1" x14ac:dyDescent="0.35">
      <c r="A1109" s="112" t="s">
        <v>1509</v>
      </c>
      <c r="B1109" s="112" t="s">
        <v>1510</v>
      </c>
      <c r="C1109" s="112" t="s">
        <v>695</v>
      </c>
      <c r="D1109" s="113">
        <v>10347977</v>
      </c>
      <c r="E1109" s="115">
        <v>43924</v>
      </c>
      <c r="F1109" s="114">
        <v>202101</v>
      </c>
      <c r="G1109" s="112" t="s">
        <v>1091</v>
      </c>
      <c r="H1109" s="112" t="s">
        <v>1015</v>
      </c>
      <c r="I1109" s="112" t="s">
        <v>749</v>
      </c>
      <c r="J1109" s="112" t="s">
        <v>1512</v>
      </c>
      <c r="K1109" s="112" t="s">
        <v>1553</v>
      </c>
      <c r="L1109" s="116">
        <v>-202</v>
      </c>
    </row>
    <row r="1110" spans="1:12" hidden="1" outlineLevel="1" collapsed="1" x14ac:dyDescent="0.35">
      <c r="A1110" s="112" t="s">
        <v>1509</v>
      </c>
      <c r="B1110" s="112" t="s">
        <v>1510</v>
      </c>
      <c r="C1110" s="112" t="s">
        <v>1518</v>
      </c>
      <c r="D1110" s="113">
        <v>51366127</v>
      </c>
      <c r="E1110" s="115">
        <v>43931</v>
      </c>
      <c r="F1110" s="114">
        <v>202101</v>
      </c>
      <c r="G1110" s="112" t="s">
        <v>1091</v>
      </c>
      <c r="H1110" s="112" t="s">
        <v>1016</v>
      </c>
      <c r="I1110" s="112" t="s">
        <v>823</v>
      </c>
      <c r="J1110" s="112" t="s">
        <v>1525</v>
      </c>
      <c r="K1110" s="112" t="s">
        <v>1560</v>
      </c>
      <c r="L1110" s="116">
        <v>-1120.1600000000001</v>
      </c>
    </row>
    <row r="1111" spans="1:12" hidden="1" outlineLevel="1" collapsed="1" x14ac:dyDescent="0.35">
      <c r="A1111" s="112" t="s">
        <v>1509</v>
      </c>
      <c r="B1111" s="112" t="s">
        <v>1510</v>
      </c>
      <c r="C1111" s="112" t="s">
        <v>695</v>
      </c>
      <c r="D1111" s="113">
        <v>10347977</v>
      </c>
      <c r="E1111" s="115">
        <v>43924</v>
      </c>
      <c r="F1111" s="114">
        <v>202101</v>
      </c>
      <c r="G1111" s="112" t="s">
        <v>1091</v>
      </c>
      <c r="H1111" s="112" t="s">
        <v>1015</v>
      </c>
      <c r="I1111" s="112" t="s">
        <v>757</v>
      </c>
      <c r="J1111" s="112" t="s">
        <v>1514</v>
      </c>
      <c r="K1111" s="112" t="s">
        <v>1561</v>
      </c>
      <c r="L1111" s="116">
        <v>-156</v>
      </c>
    </row>
    <row r="1112" spans="1:12" hidden="1" outlineLevel="1" collapsed="1" x14ac:dyDescent="0.35">
      <c r="A1112" s="112" t="s">
        <v>1509</v>
      </c>
      <c r="B1112" s="112" t="s">
        <v>1510</v>
      </c>
      <c r="C1112" s="112" t="s">
        <v>679</v>
      </c>
      <c r="D1112" s="113">
        <v>10348418</v>
      </c>
      <c r="E1112" s="115">
        <v>43944</v>
      </c>
      <c r="F1112" s="114">
        <v>202101</v>
      </c>
      <c r="G1112" s="112" t="s">
        <v>1091</v>
      </c>
      <c r="H1112" s="112" t="s">
        <v>1015</v>
      </c>
      <c r="I1112" s="112" t="s">
        <v>736</v>
      </c>
      <c r="J1112" s="112" t="s">
        <v>1512</v>
      </c>
      <c r="K1112" s="112" t="s">
        <v>1562</v>
      </c>
      <c r="L1112" s="116">
        <v>835.83</v>
      </c>
    </row>
    <row r="1113" spans="1:12" hidden="1" outlineLevel="1" collapsed="1" x14ac:dyDescent="0.35">
      <c r="A1113" s="112" t="s">
        <v>1509</v>
      </c>
      <c r="B1113" s="112" t="s">
        <v>1510</v>
      </c>
      <c r="C1113" s="112" t="s">
        <v>1518</v>
      </c>
      <c r="D1113" s="113">
        <v>51366124</v>
      </c>
      <c r="E1113" s="115">
        <v>43931</v>
      </c>
      <c r="F1113" s="114">
        <v>202101</v>
      </c>
      <c r="G1113" s="112" t="s">
        <v>1091</v>
      </c>
      <c r="H1113" s="112" t="s">
        <v>1016</v>
      </c>
      <c r="I1113" s="112" t="s">
        <v>823</v>
      </c>
      <c r="J1113" s="112" t="s">
        <v>1525</v>
      </c>
      <c r="K1113" s="112" t="s">
        <v>1563</v>
      </c>
      <c r="L1113" s="116">
        <v>-485</v>
      </c>
    </row>
    <row r="1114" spans="1:12" hidden="1" outlineLevel="1" collapsed="1" x14ac:dyDescent="0.35">
      <c r="A1114" s="112" t="s">
        <v>1509</v>
      </c>
      <c r="B1114" s="112" t="s">
        <v>1510</v>
      </c>
      <c r="C1114" s="112" t="s">
        <v>1518</v>
      </c>
      <c r="D1114" s="113">
        <v>51366122</v>
      </c>
      <c r="E1114" s="115">
        <v>43931</v>
      </c>
      <c r="F1114" s="114">
        <v>202101</v>
      </c>
      <c r="G1114" s="112" t="s">
        <v>1091</v>
      </c>
      <c r="H1114" s="112" t="s">
        <v>1016</v>
      </c>
      <c r="I1114" s="112" t="s">
        <v>823</v>
      </c>
      <c r="J1114" s="112" t="s">
        <v>1512</v>
      </c>
      <c r="K1114" s="112" t="s">
        <v>1564</v>
      </c>
      <c r="L1114" s="116">
        <v>-2928.33</v>
      </c>
    </row>
    <row r="1115" spans="1:12" hidden="1" outlineLevel="1" collapsed="1" x14ac:dyDescent="0.35">
      <c r="A1115" s="112" t="s">
        <v>1509</v>
      </c>
      <c r="B1115" s="112" t="s">
        <v>1510</v>
      </c>
      <c r="C1115" s="112" t="s">
        <v>679</v>
      </c>
      <c r="D1115" s="113">
        <v>10348418</v>
      </c>
      <c r="E1115" s="115">
        <v>43944</v>
      </c>
      <c r="F1115" s="114">
        <v>202101</v>
      </c>
      <c r="G1115" s="112" t="s">
        <v>1091</v>
      </c>
      <c r="H1115" s="112" t="s">
        <v>1015</v>
      </c>
      <c r="I1115" s="112" t="s">
        <v>736</v>
      </c>
      <c r="J1115" s="112" t="s">
        <v>1514</v>
      </c>
      <c r="K1115" s="112" t="s">
        <v>1565</v>
      </c>
      <c r="L1115" s="116">
        <v>2975.86</v>
      </c>
    </row>
    <row r="1116" spans="1:12" hidden="1" outlineLevel="1" collapsed="1" x14ac:dyDescent="0.35">
      <c r="A1116" s="112" t="s">
        <v>1509</v>
      </c>
      <c r="B1116" s="112" t="s">
        <v>1510</v>
      </c>
      <c r="C1116" s="112" t="s">
        <v>1518</v>
      </c>
      <c r="D1116" s="113">
        <v>51366125</v>
      </c>
      <c r="E1116" s="115">
        <v>43931</v>
      </c>
      <c r="F1116" s="114">
        <v>202101</v>
      </c>
      <c r="G1116" s="112" t="s">
        <v>1091</v>
      </c>
      <c r="H1116" s="112" t="s">
        <v>1016</v>
      </c>
      <c r="I1116" s="112" t="s">
        <v>860</v>
      </c>
      <c r="J1116" s="112" t="s">
        <v>1514</v>
      </c>
      <c r="K1116" s="112" t="s">
        <v>1566</v>
      </c>
      <c r="L1116" s="116">
        <v>-10062.5</v>
      </c>
    </row>
    <row r="1117" spans="1:12" hidden="1" outlineLevel="1" collapsed="1" x14ac:dyDescent="0.35">
      <c r="A1117" s="112" t="s">
        <v>1509</v>
      </c>
      <c r="B1117" s="112" t="s">
        <v>1510</v>
      </c>
      <c r="C1117" s="112" t="s">
        <v>679</v>
      </c>
      <c r="D1117" s="113">
        <v>10348418</v>
      </c>
      <c r="E1117" s="115">
        <v>43944</v>
      </c>
      <c r="F1117" s="114">
        <v>202101</v>
      </c>
      <c r="G1117" s="112" t="s">
        <v>1091</v>
      </c>
      <c r="H1117" s="112" t="s">
        <v>1015</v>
      </c>
      <c r="I1117" s="112" t="s">
        <v>736</v>
      </c>
      <c r="J1117" s="112" t="s">
        <v>1514</v>
      </c>
      <c r="K1117" s="112" t="s">
        <v>1567</v>
      </c>
      <c r="L1117" s="116">
        <v>2975.86</v>
      </c>
    </row>
    <row r="1118" spans="1:12" hidden="1" outlineLevel="1" collapsed="1" x14ac:dyDescent="0.35">
      <c r="A1118" s="112" t="s">
        <v>1509</v>
      </c>
      <c r="B1118" s="112" t="s">
        <v>1510</v>
      </c>
      <c r="C1118" s="112" t="s">
        <v>695</v>
      </c>
      <c r="D1118" s="113">
        <v>10347977</v>
      </c>
      <c r="E1118" s="115">
        <v>43924</v>
      </c>
      <c r="F1118" s="114">
        <v>202101</v>
      </c>
      <c r="G1118" s="112" t="s">
        <v>1091</v>
      </c>
      <c r="H1118" s="112" t="s">
        <v>1015</v>
      </c>
      <c r="I1118" s="112" t="s">
        <v>749</v>
      </c>
      <c r="J1118" s="112" t="s">
        <v>1514</v>
      </c>
      <c r="K1118" s="112" t="s">
        <v>1548</v>
      </c>
      <c r="L1118" s="116">
        <v>-42</v>
      </c>
    </row>
    <row r="1119" spans="1:12" hidden="1" outlineLevel="1" collapsed="1" x14ac:dyDescent="0.35">
      <c r="A1119" s="112" t="s">
        <v>1509</v>
      </c>
      <c r="B1119" s="112" t="s">
        <v>1510</v>
      </c>
      <c r="C1119" s="112" t="s">
        <v>695</v>
      </c>
      <c r="D1119" s="113">
        <v>10348420</v>
      </c>
      <c r="E1119" s="115">
        <v>43945</v>
      </c>
      <c r="F1119" s="114">
        <v>202101</v>
      </c>
      <c r="G1119" s="112" t="s">
        <v>1091</v>
      </c>
      <c r="H1119" s="112" t="s">
        <v>1015</v>
      </c>
      <c r="I1119" s="112" t="s">
        <v>1532</v>
      </c>
      <c r="J1119" s="112" t="s">
        <v>1533</v>
      </c>
      <c r="K1119" s="112" t="s">
        <v>1568</v>
      </c>
      <c r="L1119" s="116">
        <v>-2111.58</v>
      </c>
    </row>
    <row r="1120" spans="1:12" hidden="1" outlineLevel="1" collapsed="1" x14ac:dyDescent="0.35">
      <c r="A1120" s="112" t="s">
        <v>1509</v>
      </c>
      <c r="B1120" s="112" t="s">
        <v>1510</v>
      </c>
      <c r="C1120" s="112" t="s">
        <v>695</v>
      </c>
      <c r="D1120" s="113">
        <v>10347977</v>
      </c>
      <c r="E1120" s="115">
        <v>43924</v>
      </c>
      <c r="F1120" s="114">
        <v>202101</v>
      </c>
      <c r="G1120" s="112" t="s">
        <v>1091</v>
      </c>
      <c r="H1120" s="112" t="s">
        <v>1015</v>
      </c>
      <c r="I1120" s="112" t="s">
        <v>749</v>
      </c>
      <c r="J1120" s="112" t="s">
        <v>1512</v>
      </c>
      <c r="K1120" s="112" t="s">
        <v>1569</v>
      </c>
      <c r="L1120" s="116">
        <v>-250</v>
      </c>
    </row>
    <row r="1121" spans="1:12" hidden="1" outlineLevel="1" collapsed="1" x14ac:dyDescent="0.35">
      <c r="A1121" s="112" t="s">
        <v>1509</v>
      </c>
      <c r="B1121" s="112" t="s">
        <v>1510</v>
      </c>
      <c r="C1121" s="112" t="s">
        <v>695</v>
      </c>
      <c r="D1121" s="113">
        <v>10348420</v>
      </c>
      <c r="E1121" s="115">
        <v>43945</v>
      </c>
      <c r="F1121" s="114">
        <v>202101</v>
      </c>
      <c r="G1121" s="112" t="s">
        <v>1091</v>
      </c>
      <c r="H1121" s="112" t="s">
        <v>1015</v>
      </c>
      <c r="I1121" s="112" t="s">
        <v>1532</v>
      </c>
      <c r="J1121" s="112" t="s">
        <v>1533</v>
      </c>
      <c r="K1121" s="112" t="s">
        <v>1570</v>
      </c>
      <c r="L1121" s="116">
        <v>-1975.76</v>
      </c>
    </row>
    <row r="1122" spans="1:12" hidden="1" outlineLevel="1" collapsed="1" x14ac:dyDescent="0.35">
      <c r="A1122" s="112" t="s">
        <v>1509</v>
      </c>
      <c r="B1122" s="112" t="s">
        <v>1510</v>
      </c>
      <c r="C1122" s="112" t="s">
        <v>695</v>
      </c>
      <c r="D1122" s="113">
        <v>10347977</v>
      </c>
      <c r="E1122" s="115">
        <v>43924</v>
      </c>
      <c r="F1122" s="114">
        <v>202101</v>
      </c>
      <c r="G1122" s="112" t="s">
        <v>1091</v>
      </c>
      <c r="H1122" s="112" t="s">
        <v>1015</v>
      </c>
      <c r="I1122" s="112" t="s">
        <v>749</v>
      </c>
      <c r="J1122" s="112" t="s">
        <v>1514</v>
      </c>
      <c r="K1122" s="112" t="s">
        <v>1571</v>
      </c>
      <c r="L1122" s="116">
        <v>-115</v>
      </c>
    </row>
    <row r="1123" spans="1:12" hidden="1" outlineLevel="1" collapsed="1" x14ac:dyDescent="0.35">
      <c r="A1123" s="112" t="s">
        <v>1509</v>
      </c>
      <c r="B1123" s="112" t="s">
        <v>1510</v>
      </c>
      <c r="C1123" s="112" t="s">
        <v>695</v>
      </c>
      <c r="D1123" s="113">
        <v>10347977</v>
      </c>
      <c r="E1123" s="115">
        <v>43924</v>
      </c>
      <c r="F1123" s="114">
        <v>202101</v>
      </c>
      <c r="G1123" s="112" t="s">
        <v>1091</v>
      </c>
      <c r="H1123" s="112" t="s">
        <v>1015</v>
      </c>
      <c r="I1123" s="112" t="s">
        <v>757</v>
      </c>
      <c r="J1123" s="112" t="s">
        <v>1514</v>
      </c>
      <c r="K1123" s="112" t="s">
        <v>1572</v>
      </c>
      <c r="L1123" s="116">
        <v>-105</v>
      </c>
    </row>
    <row r="1124" spans="1:12" hidden="1" outlineLevel="1" collapsed="1" x14ac:dyDescent="0.35">
      <c r="A1124" s="112" t="s">
        <v>1509</v>
      </c>
      <c r="B1124" s="112" t="s">
        <v>1510</v>
      </c>
      <c r="C1124" s="112" t="s">
        <v>695</v>
      </c>
      <c r="D1124" s="113">
        <v>10347977</v>
      </c>
      <c r="E1124" s="115">
        <v>43924</v>
      </c>
      <c r="F1124" s="114">
        <v>202101</v>
      </c>
      <c r="G1124" s="112" t="s">
        <v>1091</v>
      </c>
      <c r="H1124" s="112" t="s">
        <v>1015</v>
      </c>
      <c r="I1124" s="112" t="s">
        <v>757</v>
      </c>
      <c r="J1124" s="112" t="s">
        <v>1514</v>
      </c>
      <c r="K1124" s="112" t="s">
        <v>1573</v>
      </c>
      <c r="L1124" s="116">
        <v>-522</v>
      </c>
    </row>
    <row r="1125" spans="1:12" hidden="1" outlineLevel="1" collapsed="1" x14ac:dyDescent="0.35">
      <c r="A1125" s="112" t="s">
        <v>1509</v>
      </c>
      <c r="B1125" s="112" t="s">
        <v>1510</v>
      </c>
      <c r="C1125" s="112" t="s">
        <v>695</v>
      </c>
      <c r="D1125" s="113">
        <v>10347977</v>
      </c>
      <c r="E1125" s="115">
        <v>43924</v>
      </c>
      <c r="F1125" s="114">
        <v>202101</v>
      </c>
      <c r="G1125" s="112" t="s">
        <v>1091</v>
      </c>
      <c r="H1125" s="112" t="s">
        <v>1015</v>
      </c>
      <c r="I1125" s="112" t="s">
        <v>757</v>
      </c>
      <c r="J1125" s="112" t="s">
        <v>1512</v>
      </c>
      <c r="K1125" s="112" t="s">
        <v>1574</v>
      </c>
      <c r="L1125" s="116">
        <v>-8</v>
      </c>
    </row>
    <row r="1126" spans="1:12" hidden="1" outlineLevel="1" collapsed="1" x14ac:dyDescent="0.35">
      <c r="A1126" s="112" t="s">
        <v>1509</v>
      </c>
      <c r="B1126" s="112" t="s">
        <v>1510</v>
      </c>
      <c r="C1126" s="112" t="s">
        <v>695</v>
      </c>
      <c r="D1126" s="113">
        <v>10347977</v>
      </c>
      <c r="E1126" s="115">
        <v>43924</v>
      </c>
      <c r="F1126" s="114">
        <v>202101</v>
      </c>
      <c r="G1126" s="112" t="s">
        <v>1091</v>
      </c>
      <c r="H1126" s="112" t="s">
        <v>1015</v>
      </c>
      <c r="I1126" s="112" t="s">
        <v>749</v>
      </c>
      <c r="J1126" s="112" t="s">
        <v>1514</v>
      </c>
      <c r="K1126" s="112" t="s">
        <v>1575</v>
      </c>
      <c r="L1126" s="116">
        <v>-55</v>
      </c>
    </row>
    <row r="1127" spans="1:12" hidden="1" outlineLevel="1" collapsed="1" x14ac:dyDescent="0.35">
      <c r="A1127" s="112" t="s">
        <v>1509</v>
      </c>
      <c r="B1127" s="112" t="s">
        <v>1510</v>
      </c>
      <c r="C1127" s="112" t="s">
        <v>695</v>
      </c>
      <c r="D1127" s="113">
        <v>10348420</v>
      </c>
      <c r="E1127" s="115">
        <v>43945</v>
      </c>
      <c r="F1127" s="114">
        <v>202101</v>
      </c>
      <c r="G1127" s="112" t="s">
        <v>1091</v>
      </c>
      <c r="H1127" s="112" t="s">
        <v>1015</v>
      </c>
      <c r="I1127" s="112" t="s">
        <v>1532</v>
      </c>
      <c r="J1127" s="112" t="s">
        <v>1533</v>
      </c>
      <c r="K1127" s="112" t="s">
        <v>1576</v>
      </c>
      <c r="L1127" s="116">
        <v>-1969.72</v>
      </c>
    </row>
    <row r="1128" spans="1:12" hidden="1" outlineLevel="1" collapsed="1" x14ac:dyDescent="0.35">
      <c r="A1128" s="112" t="s">
        <v>1509</v>
      </c>
      <c r="B1128" s="112" t="s">
        <v>903</v>
      </c>
      <c r="C1128" s="112" t="s">
        <v>1095</v>
      </c>
      <c r="D1128" s="113">
        <v>10348451</v>
      </c>
      <c r="E1128" s="115">
        <v>43949</v>
      </c>
      <c r="F1128" s="114">
        <v>202101</v>
      </c>
      <c r="G1128" s="112" t="s">
        <v>1091</v>
      </c>
      <c r="H1128" s="112" t="s">
        <v>1015</v>
      </c>
      <c r="I1128" s="112" t="s">
        <v>1101</v>
      </c>
      <c r="J1128" s="112" t="s">
        <v>1551</v>
      </c>
      <c r="K1128" s="112" t="s">
        <v>1098</v>
      </c>
      <c r="L1128" s="116">
        <v>789.11</v>
      </c>
    </row>
    <row r="1129" spans="1:12" hidden="1" outlineLevel="1" collapsed="1" x14ac:dyDescent="0.35">
      <c r="A1129" s="112" t="s">
        <v>1509</v>
      </c>
      <c r="B1129" s="112" t="s">
        <v>1510</v>
      </c>
      <c r="C1129" s="112" t="s">
        <v>1518</v>
      </c>
      <c r="D1129" s="113">
        <v>51366119</v>
      </c>
      <c r="E1129" s="115">
        <v>43931</v>
      </c>
      <c r="F1129" s="114">
        <v>202101</v>
      </c>
      <c r="G1129" s="112" t="s">
        <v>1091</v>
      </c>
      <c r="H1129" s="112" t="s">
        <v>1016</v>
      </c>
      <c r="I1129" s="112" t="s">
        <v>860</v>
      </c>
      <c r="J1129" s="112" t="s">
        <v>1514</v>
      </c>
      <c r="K1129" s="112" t="s">
        <v>1577</v>
      </c>
      <c r="L1129" s="116">
        <v>-1875</v>
      </c>
    </row>
    <row r="1130" spans="1:12" hidden="1" outlineLevel="1" collapsed="1" x14ac:dyDescent="0.35">
      <c r="A1130" s="112" t="s">
        <v>1509</v>
      </c>
      <c r="B1130" s="112" t="s">
        <v>1510</v>
      </c>
      <c r="C1130" s="112" t="s">
        <v>695</v>
      </c>
      <c r="D1130" s="113">
        <v>10347977</v>
      </c>
      <c r="E1130" s="115">
        <v>43924</v>
      </c>
      <c r="F1130" s="114">
        <v>202101</v>
      </c>
      <c r="G1130" s="112" t="s">
        <v>1091</v>
      </c>
      <c r="H1130" s="112" t="s">
        <v>1015</v>
      </c>
      <c r="I1130" s="112" t="s">
        <v>757</v>
      </c>
      <c r="J1130" s="112" t="s">
        <v>1514</v>
      </c>
      <c r="K1130" s="112" t="s">
        <v>1578</v>
      </c>
      <c r="L1130" s="116">
        <v>-23</v>
      </c>
    </row>
    <row r="1131" spans="1:12" hidden="1" outlineLevel="1" collapsed="1" x14ac:dyDescent="0.35">
      <c r="A1131" s="112" t="s">
        <v>1509</v>
      </c>
      <c r="B1131" s="112" t="s">
        <v>1510</v>
      </c>
      <c r="C1131" s="112" t="s">
        <v>695</v>
      </c>
      <c r="D1131" s="113">
        <v>10347977</v>
      </c>
      <c r="E1131" s="115">
        <v>43924</v>
      </c>
      <c r="F1131" s="114">
        <v>202101</v>
      </c>
      <c r="G1131" s="112" t="s">
        <v>1091</v>
      </c>
      <c r="H1131" s="112" t="s">
        <v>1015</v>
      </c>
      <c r="I1131" s="112" t="s">
        <v>749</v>
      </c>
      <c r="J1131" s="112" t="s">
        <v>1514</v>
      </c>
      <c r="K1131" s="112" t="s">
        <v>1579</v>
      </c>
      <c r="L1131" s="116">
        <v>-97</v>
      </c>
    </row>
    <row r="1132" spans="1:12" hidden="1" outlineLevel="1" collapsed="1" x14ac:dyDescent="0.35">
      <c r="A1132" s="112" t="s">
        <v>1509</v>
      </c>
      <c r="B1132" s="112" t="s">
        <v>1510</v>
      </c>
      <c r="C1132" s="112" t="s">
        <v>1518</v>
      </c>
      <c r="D1132" s="113">
        <v>51366118</v>
      </c>
      <c r="E1132" s="115">
        <v>43931</v>
      </c>
      <c r="F1132" s="114">
        <v>202101</v>
      </c>
      <c r="G1132" s="112" t="s">
        <v>1091</v>
      </c>
      <c r="H1132" s="112" t="s">
        <v>1016</v>
      </c>
      <c r="I1132" s="112" t="s">
        <v>860</v>
      </c>
      <c r="J1132" s="112" t="s">
        <v>1514</v>
      </c>
      <c r="K1132" s="112" t="s">
        <v>1580</v>
      </c>
      <c r="L1132" s="116">
        <v>-16041.67</v>
      </c>
    </row>
    <row r="1133" spans="1:12" hidden="1" outlineLevel="1" collapsed="1" x14ac:dyDescent="0.35">
      <c r="A1133" s="112" t="s">
        <v>1509</v>
      </c>
      <c r="B1133" s="112" t="s">
        <v>1510</v>
      </c>
      <c r="C1133" s="112" t="s">
        <v>1518</v>
      </c>
      <c r="D1133" s="113">
        <v>51366120</v>
      </c>
      <c r="E1133" s="115">
        <v>43931</v>
      </c>
      <c r="F1133" s="114">
        <v>202101</v>
      </c>
      <c r="G1133" s="112" t="s">
        <v>1091</v>
      </c>
      <c r="H1133" s="112" t="s">
        <v>1016</v>
      </c>
      <c r="I1133" s="112" t="s">
        <v>823</v>
      </c>
      <c r="J1133" s="112" t="s">
        <v>1512</v>
      </c>
      <c r="K1133" s="112" t="s">
        <v>1581</v>
      </c>
      <c r="L1133" s="116">
        <v>-659.17</v>
      </c>
    </row>
    <row r="1134" spans="1:12" hidden="1" outlineLevel="1" collapsed="1" x14ac:dyDescent="0.35">
      <c r="A1134" s="112" t="s">
        <v>1509</v>
      </c>
      <c r="B1134" s="112" t="s">
        <v>1510</v>
      </c>
      <c r="C1134" s="112" t="s">
        <v>695</v>
      </c>
      <c r="D1134" s="113">
        <v>10348420</v>
      </c>
      <c r="E1134" s="115">
        <v>43945</v>
      </c>
      <c r="F1134" s="114">
        <v>202101</v>
      </c>
      <c r="G1134" s="112" t="s">
        <v>1091</v>
      </c>
      <c r="H1134" s="112" t="s">
        <v>1015</v>
      </c>
      <c r="I1134" s="112" t="s">
        <v>1532</v>
      </c>
      <c r="J1134" s="112" t="s">
        <v>1533</v>
      </c>
      <c r="K1134" s="112" t="s">
        <v>1582</v>
      </c>
      <c r="L1134" s="116">
        <v>-2377.0300000000002</v>
      </c>
    </row>
    <row r="1135" spans="1:12" hidden="1" outlineLevel="1" collapsed="1" x14ac:dyDescent="0.35">
      <c r="A1135" s="112" t="s">
        <v>1509</v>
      </c>
      <c r="B1135" s="112" t="s">
        <v>1510</v>
      </c>
      <c r="C1135" s="112" t="s">
        <v>695</v>
      </c>
      <c r="D1135" s="113">
        <v>10348420</v>
      </c>
      <c r="E1135" s="115">
        <v>43945</v>
      </c>
      <c r="F1135" s="114">
        <v>202101</v>
      </c>
      <c r="G1135" s="112" t="s">
        <v>1091</v>
      </c>
      <c r="H1135" s="112" t="s">
        <v>1015</v>
      </c>
      <c r="I1135" s="112" t="s">
        <v>1532</v>
      </c>
      <c r="J1135" s="112" t="s">
        <v>1533</v>
      </c>
      <c r="K1135" s="112" t="s">
        <v>1583</v>
      </c>
      <c r="L1135" s="116">
        <v>-2054.84</v>
      </c>
    </row>
    <row r="1136" spans="1:12" hidden="1" outlineLevel="1" collapsed="1" x14ac:dyDescent="0.35">
      <c r="A1136" s="112" t="s">
        <v>1509</v>
      </c>
      <c r="B1136" s="112" t="s">
        <v>1510</v>
      </c>
      <c r="C1136" s="112" t="s">
        <v>695</v>
      </c>
      <c r="D1136" s="113">
        <v>10347977</v>
      </c>
      <c r="E1136" s="115">
        <v>43924</v>
      </c>
      <c r="F1136" s="114">
        <v>202101</v>
      </c>
      <c r="G1136" s="112" t="s">
        <v>1091</v>
      </c>
      <c r="H1136" s="112" t="s">
        <v>1015</v>
      </c>
      <c r="I1136" s="112" t="s">
        <v>749</v>
      </c>
      <c r="J1136" s="112" t="s">
        <v>1512</v>
      </c>
      <c r="K1136" s="112" t="s">
        <v>1584</v>
      </c>
      <c r="L1136" s="116">
        <v>-105</v>
      </c>
    </row>
    <row r="1137" spans="1:12" hidden="1" outlineLevel="1" collapsed="1" x14ac:dyDescent="0.35">
      <c r="A1137" s="112" t="s">
        <v>1509</v>
      </c>
      <c r="B1137" s="112" t="s">
        <v>1510</v>
      </c>
      <c r="C1137" s="112" t="s">
        <v>1518</v>
      </c>
      <c r="D1137" s="113">
        <v>51366126</v>
      </c>
      <c r="E1137" s="115">
        <v>43931</v>
      </c>
      <c r="F1137" s="114">
        <v>202101</v>
      </c>
      <c r="G1137" s="112" t="s">
        <v>1091</v>
      </c>
      <c r="H1137" s="112" t="s">
        <v>1016</v>
      </c>
      <c r="I1137" s="112" t="s">
        <v>823</v>
      </c>
      <c r="J1137" s="112" t="s">
        <v>1514</v>
      </c>
      <c r="K1137" s="112" t="s">
        <v>1585</v>
      </c>
      <c r="L1137" s="116">
        <v>-125</v>
      </c>
    </row>
    <row r="1138" spans="1:12" hidden="1" outlineLevel="1" collapsed="1" x14ac:dyDescent="0.35">
      <c r="A1138" s="112" t="s">
        <v>1509</v>
      </c>
      <c r="B1138" s="112" t="s">
        <v>1510</v>
      </c>
      <c r="C1138" s="112" t="s">
        <v>1518</v>
      </c>
      <c r="D1138" s="113">
        <v>51366117</v>
      </c>
      <c r="E1138" s="115">
        <v>43931</v>
      </c>
      <c r="F1138" s="114">
        <v>202101</v>
      </c>
      <c r="G1138" s="112" t="s">
        <v>1091</v>
      </c>
      <c r="H1138" s="112" t="s">
        <v>1016</v>
      </c>
      <c r="I1138" s="112" t="s">
        <v>823</v>
      </c>
      <c r="J1138" s="112" t="s">
        <v>1514</v>
      </c>
      <c r="K1138" s="112" t="s">
        <v>1586</v>
      </c>
      <c r="L1138" s="116">
        <v>-110.47</v>
      </c>
    </row>
    <row r="1139" spans="1:12" hidden="1" outlineLevel="1" collapsed="1" x14ac:dyDescent="0.35">
      <c r="A1139" s="112" t="s">
        <v>1509</v>
      </c>
      <c r="B1139" s="112" t="s">
        <v>1510</v>
      </c>
      <c r="C1139" s="112" t="s">
        <v>695</v>
      </c>
      <c r="D1139" s="113">
        <v>10347977</v>
      </c>
      <c r="E1139" s="115">
        <v>43924</v>
      </c>
      <c r="F1139" s="114">
        <v>202101</v>
      </c>
      <c r="G1139" s="112" t="s">
        <v>1091</v>
      </c>
      <c r="H1139" s="112" t="s">
        <v>1015</v>
      </c>
      <c r="I1139" s="112" t="s">
        <v>749</v>
      </c>
      <c r="J1139" s="112" t="s">
        <v>1525</v>
      </c>
      <c r="K1139" s="112" t="s">
        <v>1587</v>
      </c>
      <c r="L1139" s="116">
        <v>-43</v>
      </c>
    </row>
    <row r="1140" spans="1:12" hidden="1" outlineLevel="1" collapsed="1" x14ac:dyDescent="0.35">
      <c r="A1140" s="112" t="s">
        <v>1509</v>
      </c>
      <c r="B1140" s="112" t="s">
        <v>1510</v>
      </c>
      <c r="C1140" s="112" t="s">
        <v>679</v>
      </c>
      <c r="D1140" s="113">
        <v>10348418</v>
      </c>
      <c r="E1140" s="115">
        <v>43944</v>
      </c>
      <c r="F1140" s="114">
        <v>202101</v>
      </c>
      <c r="G1140" s="112" t="s">
        <v>1091</v>
      </c>
      <c r="H1140" s="112" t="s">
        <v>1015</v>
      </c>
      <c r="I1140" s="112" t="s">
        <v>736</v>
      </c>
      <c r="J1140" s="112" t="s">
        <v>1514</v>
      </c>
      <c r="K1140" s="112" t="s">
        <v>1588</v>
      </c>
      <c r="L1140" s="116">
        <v>2975.86</v>
      </c>
    </row>
    <row r="1141" spans="1:12" hidden="1" outlineLevel="1" collapsed="1" x14ac:dyDescent="0.35">
      <c r="A1141" s="112" t="s">
        <v>1509</v>
      </c>
      <c r="B1141" s="112" t="s">
        <v>903</v>
      </c>
      <c r="C1141" s="112" t="s">
        <v>1095</v>
      </c>
      <c r="D1141" s="113">
        <v>10348451</v>
      </c>
      <c r="E1141" s="115">
        <v>43949</v>
      </c>
      <c r="F1141" s="114">
        <v>202101</v>
      </c>
      <c r="G1141" s="112" t="s">
        <v>1091</v>
      </c>
      <c r="H1141" s="112" t="s">
        <v>1015</v>
      </c>
      <c r="I1141" s="112" t="s">
        <v>1101</v>
      </c>
      <c r="J1141" s="112" t="s">
        <v>1551</v>
      </c>
      <c r="K1141" s="112" t="s">
        <v>1098</v>
      </c>
      <c r="L1141" s="116">
        <v>926.68</v>
      </c>
    </row>
    <row r="1142" spans="1:12" hidden="1" outlineLevel="1" collapsed="1" x14ac:dyDescent="0.35">
      <c r="A1142" s="112" t="s">
        <v>1509</v>
      </c>
      <c r="B1142" s="112" t="s">
        <v>1510</v>
      </c>
      <c r="C1142" s="112" t="s">
        <v>679</v>
      </c>
      <c r="D1142" s="113">
        <v>10348411</v>
      </c>
      <c r="E1142" s="115">
        <v>43943</v>
      </c>
      <c r="F1142" s="114">
        <v>202101</v>
      </c>
      <c r="G1142" s="112" t="s">
        <v>1091</v>
      </c>
      <c r="H1142" s="112" t="s">
        <v>1015</v>
      </c>
      <c r="I1142" s="112" t="s">
        <v>736</v>
      </c>
      <c r="J1142" s="112" t="s">
        <v>1514</v>
      </c>
      <c r="K1142" s="112" t="s">
        <v>1589</v>
      </c>
      <c r="L1142" s="116">
        <v>2641.24</v>
      </c>
    </row>
    <row r="1143" spans="1:12" hidden="1" outlineLevel="1" collapsed="1" x14ac:dyDescent="0.35">
      <c r="A1143" s="112" t="s">
        <v>1509</v>
      </c>
      <c r="B1143" s="112" t="s">
        <v>903</v>
      </c>
      <c r="C1143" s="112" t="s">
        <v>695</v>
      </c>
      <c r="D1143" s="113">
        <v>10348296</v>
      </c>
      <c r="E1143" s="115">
        <v>43938</v>
      </c>
      <c r="F1143" s="114">
        <v>202101</v>
      </c>
      <c r="G1143" s="112" t="s">
        <v>1091</v>
      </c>
      <c r="H1143" s="112" t="s">
        <v>1015</v>
      </c>
      <c r="I1143" s="112" t="s">
        <v>763</v>
      </c>
      <c r="J1143" s="112" t="s">
        <v>1551</v>
      </c>
      <c r="K1143" s="112" t="s">
        <v>1590</v>
      </c>
      <c r="L1143" s="116">
        <v>-28282.720000000001</v>
      </c>
    </row>
    <row r="1144" spans="1:12" hidden="1" outlineLevel="1" collapsed="1" x14ac:dyDescent="0.35">
      <c r="A1144" s="112" t="s">
        <v>1509</v>
      </c>
      <c r="B1144" s="112" t="s">
        <v>1510</v>
      </c>
      <c r="C1144" s="112" t="s">
        <v>1591</v>
      </c>
      <c r="D1144" s="113">
        <v>41556277</v>
      </c>
      <c r="E1144" s="115">
        <v>43937</v>
      </c>
      <c r="F1144" s="114">
        <v>202101</v>
      </c>
      <c r="G1144" s="112" t="s">
        <v>1091</v>
      </c>
      <c r="H1144" s="112" t="s">
        <v>1015</v>
      </c>
      <c r="I1144" s="112" t="s">
        <v>1592</v>
      </c>
      <c r="J1144" s="112" t="s">
        <v>1533</v>
      </c>
      <c r="K1144" s="112" t="s">
        <v>1593</v>
      </c>
      <c r="L1144" s="116">
        <v>-12133.49</v>
      </c>
    </row>
    <row r="1145" spans="1:12" hidden="1" outlineLevel="1" collapsed="1" x14ac:dyDescent="0.35">
      <c r="A1145" s="112" t="s">
        <v>1509</v>
      </c>
      <c r="B1145" s="112" t="s">
        <v>1510</v>
      </c>
      <c r="C1145" s="112" t="s">
        <v>679</v>
      </c>
      <c r="D1145" s="113">
        <v>10348297</v>
      </c>
      <c r="E1145" s="115">
        <v>43938</v>
      </c>
      <c r="F1145" s="114">
        <v>202101</v>
      </c>
      <c r="G1145" s="112" t="s">
        <v>1091</v>
      </c>
      <c r="H1145" s="112" t="s">
        <v>1015</v>
      </c>
      <c r="I1145" s="112" t="s">
        <v>1592</v>
      </c>
      <c r="J1145" s="112" t="s">
        <v>1533</v>
      </c>
      <c r="K1145" s="112" t="s">
        <v>1594</v>
      </c>
      <c r="L1145" s="116">
        <v>14560.19</v>
      </c>
    </row>
    <row r="1146" spans="1:12" hidden="1" outlineLevel="1" collapsed="1" x14ac:dyDescent="0.35">
      <c r="A1146" s="112" t="s">
        <v>1509</v>
      </c>
      <c r="B1146" s="112" t="s">
        <v>1510</v>
      </c>
      <c r="C1146" s="112" t="s">
        <v>1219</v>
      </c>
      <c r="D1146" s="113">
        <v>46307064</v>
      </c>
      <c r="E1146" s="115">
        <v>43892</v>
      </c>
      <c r="F1146" s="114">
        <v>202101</v>
      </c>
      <c r="G1146" s="112" t="s">
        <v>1091</v>
      </c>
      <c r="H1146" s="112" t="s">
        <v>1015</v>
      </c>
      <c r="I1146" s="112" t="s">
        <v>1592</v>
      </c>
      <c r="J1146" s="112" t="s">
        <v>1533</v>
      </c>
      <c r="K1146" s="112" t="s">
        <v>1595</v>
      </c>
      <c r="L1146" s="116">
        <v>12133.49</v>
      </c>
    </row>
    <row r="1147" spans="1:12" hidden="1" outlineLevel="1" collapsed="1" x14ac:dyDescent="0.35">
      <c r="A1147" s="112" t="s">
        <v>1509</v>
      </c>
      <c r="B1147" s="112" t="s">
        <v>1510</v>
      </c>
      <c r="C1147" s="112" t="s">
        <v>679</v>
      </c>
      <c r="D1147" s="113">
        <v>10348411</v>
      </c>
      <c r="E1147" s="115">
        <v>43943</v>
      </c>
      <c r="F1147" s="114">
        <v>202101</v>
      </c>
      <c r="G1147" s="112" t="s">
        <v>1091</v>
      </c>
      <c r="H1147" s="112" t="s">
        <v>1015</v>
      </c>
      <c r="I1147" s="112" t="s">
        <v>736</v>
      </c>
      <c r="J1147" s="112" t="s">
        <v>1512</v>
      </c>
      <c r="K1147" s="112" t="s">
        <v>1596</v>
      </c>
      <c r="L1147" s="116">
        <v>299.39999999999998</v>
      </c>
    </row>
    <row r="1148" spans="1:12" hidden="1" outlineLevel="1" collapsed="1" x14ac:dyDescent="0.35">
      <c r="A1148" s="112" t="s">
        <v>1509</v>
      </c>
      <c r="B1148" s="112" t="s">
        <v>1510</v>
      </c>
      <c r="C1148" s="112" t="s">
        <v>679</v>
      </c>
      <c r="D1148" s="113">
        <v>10348411</v>
      </c>
      <c r="E1148" s="115">
        <v>43943</v>
      </c>
      <c r="F1148" s="114">
        <v>202101</v>
      </c>
      <c r="G1148" s="112" t="s">
        <v>1091</v>
      </c>
      <c r="H1148" s="112" t="s">
        <v>1015</v>
      </c>
      <c r="I1148" s="112" t="s">
        <v>736</v>
      </c>
      <c r="J1148" s="112" t="s">
        <v>1512</v>
      </c>
      <c r="K1148" s="112" t="s">
        <v>1597</v>
      </c>
      <c r="L1148" s="116">
        <v>1097.8</v>
      </c>
    </row>
    <row r="1149" spans="1:12" hidden="1" outlineLevel="1" collapsed="1" x14ac:dyDescent="0.35">
      <c r="A1149" s="112" t="s">
        <v>1509</v>
      </c>
      <c r="B1149" s="112" t="s">
        <v>1520</v>
      </c>
      <c r="C1149" s="112" t="s">
        <v>1095</v>
      </c>
      <c r="D1149" s="113">
        <v>10348451</v>
      </c>
      <c r="E1149" s="115">
        <v>43949</v>
      </c>
      <c r="F1149" s="114">
        <v>202101</v>
      </c>
      <c r="G1149" s="112" t="s">
        <v>1091</v>
      </c>
      <c r="H1149" s="112" t="s">
        <v>1015</v>
      </c>
      <c r="I1149" s="112" t="s">
        <v>1101</v>
      </c>
      <c r="J1149" s="112" t="s">
        <v>1537</v>
      </c>
      <c r="K1149" s="112" t="s">
        <v>1098</v>
      </c>
      <c r="L1149" s="116">
        <v>498.28</v>
      </c>
    </row>
    <row r="1150" spans="1:12" hidden="1" outlineLevel="1" collapsed="1" x14ac:dyDescent="0.35">
      <c r="A1150" s="112" t="s">
        <v>1509</v>
      </c>
      <c r="B1150" s="112" t="s">
        <v>1598</v>
      </c>
      <c r="C1150" s="112" t="s">
        <v>1099</v>
      </c>
      <c r="D1150" s="113">
        <v>1068913</v>
      </c>
      <c r="E1150" s="115">
        <v>43885</v>
      </c>
      <c r="F1150" s="114">
        <v>202101</v>
      </c>
      <c r="G1150" s="112" t="s">
        <v>1091</v>
      </c>
      <c r="H1150" s="112" t="s">
        <v>1015</v>
      </c>
      <c r="I1150" s="112" t="s">
        <v>1599</v>
      </c>
      <c r="J1150" s="112" t="s">
        <v>1600</v>
      </c>
      <c r="K1150" s="112" t="s">
        <v>1601</v>
      </c>
      <c r="L1150" s="116">
        <v>15966.5</v>
      </c>
    </row>
    <row r="1151" spans="1:12" hidden="1" outlineLevel="1" collapsed="1" x14ac:dyDescent="0.35">
      <c r="A1151" s="112" t="s">
        <v>1509</v>
      </c>
      <c r="B1151" s="112" t="s">
        <v>1510</v>
      </c>
      <c r="C1151" s="112" t="s">
        <v>679</v>
      </c>
      <c r="D1151" s="113">
        <v>10348411</v>
      </c>
      <c r="E1151" s="115">
        <v>43943</v>
      </c>
      <c r="F1151" s="114">
        <v>202101</v>
      </c>
      <c r="G1151" s="112" t="s">
        <v>1091</v>
      </c>
      <c r="H1151" s="112" t="s">
        <v>1015</v>
      </c>
      <c r="I1151" s="112" t="s">
        <v>736</v>
      </c>
      <c r="J1151" s="112" t="s">
        <v>1525</v>
      </c>
      <c r="K1151" s="112" t="s">
        <v>1602</v>
      </c>
      <c r="L1151" s="116">
        <v>2495</v>
      </c>
    </row>
    <row r="1152" spans="1:12" hidden="1" outlineLevel="1" collapsed="1" x14ac:dyDescent="0.35">
      <c r="A1152" s="112" t="s">
        <v>1509</v>
      </c>
      <c r="B1152" s="112" t="s">
        <v>1510</v>
      </c>
      <c r="C1152" s="112" t="s">
        <v>679</v>
      </c>
      <c r="D1152" s="113">
        <v>10348411</v>
      </c>
      <c r="E1152" s="115">
        <v>43943</v>
      </c>
      <c r="F1152" s="114">
        <v>202101</v>
      </c>
      <c r="G1152" s="112" t="s">
        <v>1091</v>
      </c>
      <c r="H1152" s="112" t="s">
        <v>1015</v>
      </c>
      <c r="I1152" s="112" t="s">
        <v>736</v>
      </c>
      <c r="J1152" s="112" t="s">
        <v>1514</v>
      </c>
      <c r="K1152" s="112" t="s">
        <v>1603</v>
      </c>
      <c r="L1152" s="116">
        <v>1796.4</v>
      </c>
    </row>
    <row r="1153" spans="1:12" hidden="1" outlineLevel="1" collapsed="1" x14ac:dyDescent="0.35">
      <c r="A1153" s="112" t="s">
        <v>1509</v>
      </c>
      <c r="B1153" s="112" t="s">
        <v>1520</v>
      </c>
      <c r="C1153" s="112" t="s">
        <v>679</v>
      </c>
      <c r="D1153" s="113">
        <v>10348271</v>
      </c>
      <c r="E1153" s="115">
        <v>43937</v>
      </c>
      <c r="F1153" s="114">
        <v>202101</v>
      </c>
      <c r="G1153" s="112" t="s">
        <v>1091</v>
      </c>
      <c r="H1153" s="112" t="s">
        <v>1015</v>
      </c>
      <c r="I1153" s="112" t="s">
        <v>1536</v>
      </c>
      <c r="J1153" s="112" t="s">
        <v>1537</v>
      </c>
      <c r="K1153" s="112" t="s">
        <v>1604</v>
      </c>
      <c r="L1153" s="116">
        <v>42</v>
      </c>
    </row>
    <row r="1154" spans="1:12" hidden="1" outlineLevel="1" collapsed="1" x14ac:dyDescent="0.35">
      <c r="A1154" s="112" t="s">
        <v>1509</v>
      </c>
      <c r="B1154" s="112" t="s">
        <v>1520</v>
      </c>
      <c r="C1154" s="112" t="s">
        <v>679</v>
      </c>
      <c r="D1154" s="113">
        <v>10348115</v>
      </c>
      <c r="E1154" s="115">
        <v>43929</v>
      </c>
      <c r="F1154" s="114">
        <v>202101</v>
      </c>
      <c r="G1154" s="112" t="s">
        <v>1091</v>
      </c>
      <c r="H1154" s="112" t="s">
        <v>1015</v>
      </c>
      <c r="I1154" s="112" t="s">
        <v>1536</v>
      </c>
      <c r="J1154" s="112" t="s">
        <v>1537</v>
      </c>
      <c r="K1154" s="112" t="s">
        <v>706</v>
      </c>
      <c r="L1154" s="116">
        <v>12</v>
      </c>
    </row>
    <row r="1155" spans="1:12" hidden="1" outlineLevel="1" collapsed="1" x14ac:dyDescent="0.35">
      <c r="A1155" s="112" t="s">
        <v>1509</v>
      </c>
      <c r="B1155" s="112" t="s">
        <v>902</v>
      </c>
      <c r="C1155" s="112" t="s">
        <v>1099</v>
      </c>
      <c r="D1155" s="113">
        <v>1069417</v>
      </c>
      <c r="E1155" s="115">
        <v>43927</v>
      </c>
      <c r="F1155" s="114">
        <v>202101</v>
      </c>
      <c r="G1155" s="112" t="s">
        <v>1091</v>
      </c>
      <c r="H1155" s="112" t="s">
        <v>1015</v>
      </c>
      <c r="I1155" s="112" t="s">
        <v>1605</v>
      </c>
      <c r="J1155" s="112" t="s">
        <v>1606</v>
      </c>
      <c r="K1155" s="112" t="s">
        <v>1607</v>
      </c>
      <c r="L1155" s="116">
        <v>23750</v>
      </c>
    </row>
    <row r="1156" spans="1:12" hidden="1" outlineLevel="1" collapsed="1" x14ac:dyDescent="0.35">
      <c r="A1156" s="112" t="s">
        <v>1509</v>
      </c>
      <c r="B1156" s="112" t="s">
        <v>1510</v>
      </c>
      <c r="C1156" s="112" t="s">
        <v>1099</v>
      </c>
      <c r="D1156" s="113">
        <v>1069413</v>
      </c>
      <c r="E1156" s="115">
        <v>43923</v>
      </c>
      <c r="F1156" s="114">
        <v>202101</v>
      </c>
      <c r="G1156" s="112" t="s">
        <v>1091</v>
      </c>
      <c r="H1156" s="112" t="s">
        <v>1015</v>
      </c>
      <c r="I1156" s="112" t="s">
        <v>763</v>
      </c>
      <c r="J1156" s="112" t="s">
        <v>1608</v>
      </c>
      <c r="K1156" s="112" t="s">
        <v>1609</v>
      </c>
      <c r="L1156" s="116">
        <v>850</v>
      </c>
    </row>
    <row r="1157" spans="1:12" hidden="1" outlineLevel="1" collapsed="1" x14ac:dyDescent="0.35">
      <c r="A1157" s="112" t="s">
        <v>1509</v>
      </c>
      <c r="B1157" s="112" t="s">
        <v>902</v>
      </c>
      <c r="C1157" s="112" t="s">
        <v>695</v>
      </c>
      <c r="D1157" s="113">
        <v>10348188</v>
      </c>
      <c r="E1157" s="115">
        <v>43934</v>
      </c>
      <c r="F1157" s="114">
        <v>202101</v>
      </c>
      <c r="G1157" s="112" t="s">
        <v>1091</v>
      </c>
      <c r="H1157" s="112" t="s">
        <v>1015</v>
      </c>
      <c r="I1157" s="112" t="s">
        <v>761</v>
      </c>
      <c r="J1157" s="112" t="s">
        <v>1517</v>
      </c>
      <c r="K1157" s="112" t="s">
        <v>1610</v>
      </c>
      <c r="L1157" s="116">
        <v>-2400</v>
      </c>
    </row>
    <row r="1158" spans="1:12" hidden="1" outlineLevel="1" collapsed="1" x14ac:dyDescent="0.35">
      <c r="A1158" s="112" t="s">
        <v>1509</v>
      </c>
      <c r="B1158" s="112" t="s">
        <v>903</v>
      </c>
      <c r="C1158" s="112" t="s">
        <v>1095</v>
      </c>
      <c r="D1158" s="113">
        <v>10348451</v>
      </c>
      <c r="E1158" s="115">
        <v>43949</v>
      </c>
      <c r="F1158" s="114">
        <v>202101</v>
      </c>
      <c r="G1158" s="112" t="s">
        <v>1091</v>
      </c>
      <c r="H1158" s="112" t="s">
        <v>1015</v>
      </c>
      <c r="I1158" s="112" t="s">
        <v>1101</v>
      </c>
      <c r="J1158" s="112" t="s">
        <v>1551</v>
      </c>
      <c r="K1158" s="112" t="s">
        <v>1098</v>
      </c>
      <c r="L1158" s="116">
        <v>897.49</v>
      </c>
    </row>
    <row r="1159" spans="1:12" hidden="1" outlineLevel="1" collapsed="1" x14ac:dyDescent="0.35">
      <c r="A1159" s="112" t="s">
        <v>1509</v>
      </c>
      <c r="B1159" s="112" t="s">
        <v>1520</v>
      </c>
      <c r="C1159" s="112" t="s">
        <v>1095</v>
      </c>
      <c r="D1159" s="113">
        <v>10348451</v>
      </c>
      <c r="E1159" s="115">
        <v>43949</v>
      </c>
      <c r="F1159" s="114">
        <v>202101</v>
      </c>
      <c r="G1159" s="112" t="s">
        <v>1091</v>
      </c>
      <c r="H1159" s="112" t="s">
        <v>1015</v>
      </c>
      <c r="I1159" s="112" t="s">
        <v>1101</v>
      </c>
      <c r="J1159" s="112" t="s">
        <v>1537</v>
      </c>
      <c r="K1159" s="112" t="s">
        <v>1098</v>
      </c>
      <c r="L1159" s="116">
        <v>549.4</v>
      </c>
    </row>
    <row r="1160" spans="1:12" hidden="1" outlineLevel="1" collapsed="1" x14ac:dyDescent="0.35">
      <c r="A1160" s="112" t="s">
        <v>1509</v>
      </c>
      <c r="B1160" s="112" t="s">
        <v>1510</v>
      </c>
      <c r="C1160" s="112" t="s">
        <v>1511</v>
      </c>
      <c r="D1160" s="113">
        <v>47036970</v>
      </c>
      <c r="E1160" s="115">
        <v>43915</v>
      </c>
      <c r="F1160" s="114">
        <v>202101</v>
      </c>
      <c r="G1160" s="112" t="s">
        <v>1091</v>
      </c>
      <c r="H1160" s="112" t="s">
        <v>1015</v>
      </c>
      <c r="I1160" s="112" t="s">
        <v>757</v>
      </c>
      <c r="J1160" s="112" t="s">
        <v>1611</v>
      </c>
      <c r="K1160" s="112" t="s">
        <v>1612</v>
      </c>
      <c r="L1160" s="116">
        <v>414.52</v>
      </c>
    </row>
    <row r="1161" spans="1:12" hidden="1" outlineLevel="1" collapsed="1" x14ac:dyDescent="0.35">
      <c r="A1161" s="112" t="s">
        <v>1509</v>
      </c>
      <c r="B1161" s="112" t="s">
        <v>902</v>
      </c>
      <c r="C1161" s="112" t="s">
        <v>1095</v>
      </c>
      <c r="D1161" s="113">
        <v>10348451</v>
      </c>
      <c r="E1161" s="115">
        <v>43949</v>
      </c>
      <c r="F1161" s="114">
        <v>202101</v>
      </c>
      <c r="G1161" s="112" t="s">
        <v>1091</v>
      </c>
      <c r="H1161" s="112" t="s">
        <v>1015</v>
      </c>
      <c r="I1161" s="112" t="s">
        <v>1101</v>
      </c>
      <c r="J1161" s="112" t="s">
        <v>1613</v>
      </c>
      <c r="K1161" s="112" t="s">
        <v>1098</v>
      </c>
      <c r="L1161" s="116">
        <v>789.11</v>
      </c>
    </row>
    <row r="1162" spans="1:12" hidden="1" outlineLevel="1" collapsed="1" x14ac:dyDescent="0.35">
      <c r="A1162" s="112" t="s">
        <v>1509</v>
      </c>
      <c r="B1162" s="112" t="s">
        <v>1520</v>
      </c>
      <c r="C1162" s="112" t="s">
        <v>1095</v>
      </c>
      <c r="D1162" s="113">
        <v>10348451</v>
      </c>
      <c r="E1162" s="115">
        <v>43949</v>
      </c>
      <c r="F1162" s="114">
        <v>202101</v>
      </c>
      <c r="G1162" s="112" t="s">
        <v>1091</v>
      </c>
      <c r="H1162" s="112" t="s">
        <v>1015</v>
      </c>
      <c r="I1162" s="112" t="s">
        <v>1101</v>
      </c>
      <c r="J1162" s="112" t="s">
        <v>1537</v>
      </c>
      <c r="K1162" s="112" t="s">
        <v>1098</v>
      </c>
      <c r="L1162" s="116">
        <v>337.6</v>
      </c>
    </row>
    <row r="1163" spans="1:12" hidden="1" outlineLevel="1" collapsed="1" x14ac:dyDescent="0.35">
      <c r="A1163" s="112" t="s">
        <v>1509</v>
      </c>
      <c r="B1163" s="112" t="s">
        <v>1510</v>
      </c>
      <c r="C1163" s="112" t="s">
        <v>1511</v>
      </c>
      <c r="D1163" s="113">
        <v>47036964</v>
      </c>
      <c r="E1163" s="115">
        <v>43915</v>
      </c>
      <c r="F1163" s="114">
        <v>202101</v>
      </c>
      <c r="G1163" s="112" t="s">
        <v>1091</v>
      </c>
      <c r="H1163" s="112" t="s">
        <v>1015</v>
      </c>
      <c r="I1163" s="112" t="s">
        <v>757</v>
      </c>
      <c r="J1163" s="112" t="s">
        <v>1512</v>
      </c>
      <c r="K1163" s="112" t="s">
        <v>1614</v>
      </c>
      <c r="L1163" s="116">
        <v>697.25</v>
      </c>
    </row>
    <row r="1164" spans="1:12" hidden="1" outlineLevel="1" collapsed="1" x14ac:dyDescent="0.35">
      <c r="A1164" s="112" t="s">
        <v>1509</v>
      </c>
      <c r="B1164" s="112" t="s">
        <v>1598</v>
      </c>
      <c r="C1164" s="112" t="s">
        <v>1099</v>
      </c>
      <c r="D1164" s="113">
        <v>1069373</v>
      </c>
      <c r="E1164" s="115">
        <v>43921</v>
      </c>
      <c r="F1164" s="114">
        <v>202101</v>
      </c>
      <c r="G1164" s="112" t="s">
        <v>1091</v>
      </c>
      <c r="H1164" s="112" t="s">
        <v>1015</v>
      </c>
      <c r="I1164" s="112" t="s">
        <v>763</v>
      </c>
      <c r="J1164" s="112" t="s">
        <v>1600</v>
      </c>
      <c r="K1164" s="112" t="s">
        <v>1615</v>
      </c>
      <c r="L1164" s="116">
        <v>5000</v>
      </c>
    </row>
    <row r="1165" spans="1:12" hidden="1" outlineLevel="1" collapsed="1" x14ac:dyDescent="0.35">
      <c r="A1165" s="112" t="s">
        <v>1509</v>
      </c>
      <c r="B1165" s="112" t="s">
        <v>1510</v>
      </c>
      <c r="C1165" s="112" t="s">
        <v>1518</v>
      </c>
      <c r="D1165" s="113">
        <v>51366236</v>
      </c>
      <c r="E1165" s="115">
        <v>43948</v>
      </c>
      <c r="F1165" s="114">
        <v>202101</v>
      </c>
      <c r="G1165" s="112" t="s">
        <v>1091</v>
      </c>
      <c r="H1165" s="112" t="s">
        <v>1016</v>
      </c>
      <c r="I1165" s="112" t="s">
        <v>823</v>
      </c>
      <c r="J1165" s="112" t="s">
        <v>1525</v>
      </c>
      <c r="K1165" s="112" t="s">
        <v>1616</v>
      </c>
      <c r="L1165" s="116">
        <v>-856</v>
      </c>
    </row>
    <row r="1166" spans="1:12" hidden="1" outlineLevel="1" collapsed="1" x14ac:dyDescent="0.35">
      <c r="A1166" s="112" t="s">
        <v>1509</v>
      </c>
      <c r="B1166" s="112" t="s">
        <v>1510</v>
      </c>
      <c r="C1166" s="112" t="s">
        <v>695</v>
      </c>
      <c r="D1166" s="113">
        <v>10347999</v>
      </c>
      <c r="E1166" s="115">
        <v>43927</v>
      </c>
      <c r="F1166" s="114">
        <v>202101</v>
      </c>
      <c r="G1166" s="112" t="s">
        <v>1091</v>
      </c>
      <c r="H1166" s="112" t="s">
        <v>1015</v>
      </c>
      <c r="I1166" s="112" t="s">
        <v>1617</v>
      </c>
      <c r="J1166" s="112" t="s">
        <v>1618</v>
      </c>
      <c r="K1166" s="112" t="s">
        <v>1619</v>
      </c>
      <c r="L1166" s="116">
        <v>-1298.53</v>
      </c>
    </row>
    <row r="1167" spans="1:12" hidden="1" outlineLevel="1" collapsed="1" x14ac:dyDescent="0.35">
      <c r="A1167" s="112" t="s">
        <v>1509</v>
      </c>
      <c r="B1167" s="112" t="s">
        <v>1510</v>
      </c>
      <c r="C1167" s="112" t="s">
        <v>1518</v>
      </c>
      <c r="D1167" s="113">
        <v>51366237</v>
      </c>
      <c r="E1167" s="115">
        <v>43948</v>
      </c>
      <c r="F1167" s="114">
        <v>202101</v>
      </c>
      <c r="G1167" s="112" t="s">
        <v>1091</v>
      </c>
      <c r="H1167" s="112" t="s">
        <v>1016</v>
      </c>
      <c r="I1167" s="112" t="s">
        <v>860</v>
      </c>
      <c r="J1167" s="112" t="s">
        <v>1514</v>
      </c>
      <c r="K1167" s="112" t="s">
        <v>1620</v>
      </c>
      <c r="L1167" s="116">
        <v>-2083.25</v>
      </c>
    </row>
    <row r="1168" spans="1:12" hidden="1" outlineLevel="1" collapsed="1" x14ac:dyDescent="0.35">
      <c r="A1168" s="112" t="s">
        <v>1509</v>
      </c>
      <c r="B1168" s="112" t="s">
        <v>1510</v>
      </c>
      <c r="C1168" s="112" t="s">
        <v>1518</v>
      </c>
      <c r="D1168" s="113">
        <v>51366238</v>
      </c>
      <c r="E1168" s="115">
        <v>43948</v>
      </c>
      <c r="F1168" s="114">
        <v>202101</v>
      </c>
      <c r="G1168" s="112" t="s">
        <v>1091</v>
      </c>
      <c r="H1168" s="112" t="s">
        <v>1016</v>
      </c>
      <c r="I1168" s="112" t="s">
        <v>823</v>
      </c>
      <c r="J1168" s="112" t="s">
        <v>1514</v>
      </c>
      <c r="K1168" s="112" t="s">
        <v>1621</v>
      </c>
      <c r="L1168" s="116">
        <v>-3333.33</v>
      </c>
    </row>
    <row r="1169" spans="1:12" hidden="1" outlineLevel="1" collapsed="1" x14ac:dyDescent="0.35">
      <c r="A1169" s="112" t="s">
        <v>1509</v>
      </c>
      <c r="B1169" s="112" t="s">
        <v>1510</v>
      </c>
      <c r="C1169" s="112" t="s">
        <v>679</v>
      </c>
      <c r="D1169" s="113">
        <v>10348411</v>
      </c>
      <c r="E1169" s="115">
        <v>43943</v>
      </c>
      <c r="F1169" s="114">
        <v>202101</v>
      </c>
      <c r="G1169" s="112" t="s">
        <v>1091</v>
      </c>
      <c r="H1169" s="112" t="s">
        <v>1015</v>
      </c>
      <c r="I1169" s="112" t="s">
        <v>736</v>
      </c>
      <c r="J1169" s="112" t="s">
        <v>1608</v>
      </c>
      <c r="K1169" s="112" t="s">
        <v>1622</v>
      </c>
      <c r="L1169" s="116">
        <v>5613.75</v>
      </c>
    </row>
    <row r="1170" spans="1:12" hidden="1" outlineLevel="1" collapsed="1" x14ac:dyDescent="0.35">
      <c r="A1170" s="112" t="s">
        <v>1509</v>
      </c>
      <c r="B1170" s="112" t="s">
        <v>1520</v>
      </c>
      <c r="C1170" s="112" t="s">
        <v>1095</v>
      </c>
      <c r="D1170" s="113">
        <v>10348451</v>
      </c>
      <c r="E1170" s="115">
        <v>43949</v>
      </c>
      <c r="F1170" s="114">
        <v>202101</v>
      </c>
      <c r="G1170" s="112" t="s">
        <v>1091</v>
      </c>
      <c r="H1170" s="112" t="s">
        <v>1015</v>
      </c>
      <c r="I1170" s="112" t="s">
        <v>1101</v>
      </c>
      <c r="J1170" s="112" t="s">
        <v>1537</v>
      </c>
      <c r="K1170" s="112" t="s">
        <v>1098</v>
      </c>
      <c r="L1170" s="116">
        <v>774.81</v>
      </c>
    </row>
    <row r="1171" spans="1:12" hidden="1" outlineLevel="1" collapsed="1" x14ac:dyDescent="0.35">
      <c r="A1171" s="112" t="s">
        <v>1509</v>
      </c>
      <c r="B1171" s="112" t="s">
        <v>1510</v>
      </c>
      <c r="C1171" s="112" t="s">
        <v>679</v>
      </c>
      <c r="D1171" s="113">
        <v>10348411</v>
      </c>
      <c r="E1171" s="115">
        <v>43943</v>
      </c>
      <c r="F1171" s="114">
        <v>202101</v>
      </c>
      <c r="G1171" s="112" t="s">
        <v>1091</v>
      </c>
      <c r="H1171" s="112" t="s">
        <v>1015</v>
      </c>
      <c r="I1171" s="112" t="s">
        <v>736</v>
      </c>
      <c r="J1171" s="112" t="s">
        <v>1514</v>
      </c>
      <c r="K1171" s="112" t="s">
        <v>1623</v>
      </c>
      <c r="L1171" s="116">
        <v>4198.3999999999996</v>
      </c>
    </row>
    <row r="1172" spans="1:12" hidden="1" outlineLevel="1" collapsed="1" x14ac:dyDescent="0.35">
      <c r="A1172" s="112" t="s">
        <v>1509</v>
      </c>
      <c r="B1172" s="112" t="s">
        <v>1510</v>
      </c>
      <c r="C1172" s="112" t="s">
        <v>679</v>
      </c>
      <c r="D1172" s="113">
        <v>10348411</v>
      </c>
      <c r="E1172" s="115">
        <v>43943</v>
      </c>
      <c r="F1172" s="114">
        <v>202101</v>
      </c>
      <c r="G1172" s="112" t="s">
        <v>1091</v>
      </c>
      <c r="H1172" s="112" t="s">
        <v>1015</v>
      </c>
      <c r="I1172" s="112" t="s">
        <v>736</v>
      </c>
      <c r="J1172" s="112" t="s">
        <v>1514</v>
      </c>
      <c r="K1172" s="112" t="s">
        <v>1624</v>
      </c>
      <c r="L1172" s="116">
        <v>3686.4</v>
      </c>
    </row>
    <row r="1173" spans="1:12" hidden="1" outlineLevel="1" collapsed="1" x14ac:dyDescent="0.35">
      <c r="A1173" s="112" t="s">
        <v>1509</v>
      </c>
      <c r="B1173" s="112" t="s">
        <v>1510</v>
      </c>
      <c r="C1173" s="112" t="s">
        <v>679</v>
      </c>
      <c r="D1173" s="113">
        <v>10348411</v>
      </c>
      <c r="E1173" s="115">
        <v>43943</v>
      </c>
      <c r="F1173" s="114">
        <v>202101</v>
      </c>
      <c r="G1173" s="112" t="s">
        <v>1091</v>
      </c>
      <c r="H1173" s="112" t="s">
        <v>1015</v>
      </c>
      <c r="I1173" s="112" t="s">
        <v>736</v>
      </c>
      <c r="J1173" s="112" t="s">
        <v>1514</v>
      </c>
      <c r="K1173" s="112" t="s">
        <v>1625</v>
      </c>
      <c r="L1173" s="116">
        <v>3788.8</v>
      </c>
    </row>
    <row r="1174" spans="1:12" hidden="1" outlineLevel="1" collapsed="1" x14ac:dyDescent="0.35">
      <c r="A1174" s="112" t="s">
        <v>1509</v>
      </c>
      <c r="B1174" s="112" t="s">
        <v>1510</v>
      </c>
      <c r="C1174" s="112" t="s">
        <v>679</v>
      </c>
      <c r="D1174" s="113">
        <v>10348411</v>
      </c>
      <c r="E1174" s="115">
        <v>43943</v>
      </c>
      <c r="F1174" s="114">
        <v>202101</v>
      </c>
      <c r="G1174" s="112" t="s">
        <v>1091</v>
      </c>
      <c r="H1174" s="112" t="s">
        <v>1015</v>
      </c>
      <c r="I1174" s="112" t="s">
        <v>736</v>
      </c>
      <c r="J1174" s="112" t="s">
        <v>1514</v>
      </c>
      <c r="K1174" s="112" t="s">
        <v>1626</v>
      </c>
      <c r="L1174" s="116">
        <v>3430.4</v>
      </c>
    </row>
    <row r="1175" spans="1:12" hidden="1" outlineLevel="1" collapsed="1" x14ac:dyDescent="0.35">
      <c r="A1175" s="112" t="s">
        <v>1509</v>
      </c>
      <c r="B1175" s="112" t="s">
        <v>1510</v>
      </c>
      <c r="C1175" s="112" t="s">
        <v>679</v>
      </c>
      <c r="D1175" s="113">
        <v>10348411</v>
      </c>
      <c r="E1175" s="115">
        <v>43943</v>
      </c>
      <c r="F1175" s="114">
        <v>202101</v>
      </c>
      <c r="G1175" s="112" t="s">
        <v>1091</v>
      </c>
      <c r="H1175" s="112" t="s">
        <v>1015</v>
      </c>
      <c r="I1175" s="112" t="s">
        <v>736</v>
      </c>
      <c r="J1175" s="112" t="s">
        <v>1514</v>
      </c>
      <c r="K1175" s="112" t="s">
        <v>1627</v>
      </c>
      <c r="L1175" s="116">
        <v>39936</v>
      </c>
    </row>
    <row r="1176" spans="1:12" hidden="1" outlineLevel="1" collapsed="1" x14ac:dyDescent="0.35">
      <c r="A1176" s="112" t="s">
        <v>1509</v>
      </c>
      <c r="B1176" s="112" t="s">
        <v>1510</v>
      </c>
      <c r="C1176" s="112" t="s">
        <v>1266</v>
      </c>
      <c r="D1176" s="113">
        <v>1069567</v>
      </c>
      <c r="E1176" s="115">
        <v>43922</v>
      </c>
      <c r="F1176" s="114">
        <v>202101</v>
      </c>
      <c r="G1176" s="112" t="s">
        <v>1091</v>
      </c>
      <c r="H1176" s="112" t="s">
        <v>1015</v>
      </c>
      <c r="I1176" s="112" t="s">
        <v>1532</v>
      </c>
      <c r="J1176" s="112" t="s">
        <v>1514</v>
      </c>
      <c r="K1176" s="112" t="s">
        <v>1628</v>
      </c>
      <c r="L1176" s="116">
        <v>22478.6</v>
      </c>
    </row>
    <row r="1177" spans="1:12" hidden="1" outlineLevel="1" collapsed="1" x14ac:dyDescent="0.35">
      <c r="A1177" s="112" t="s">
        <v>1509</v>
      </c>
      <c r="B1177" s="112" t="s">
        <v>1520</v>
      </c>
      <c r="C1177" s="112" t="s">
        <v>679</v>
      </c>
      <c r="D1177" s="113">
        <v>10348411</v>
      </c>
      <c r="E1177" s="115">
        <v>43943</v>
      </c>
      <c r="F1177" s="114">
        <v>202101</v>
      </c>
      <c r="G1177" s="112" t="s">
        <v>1091</v>
      </c>
      <c r="H1177" s="112" t="s">
        <v>1015</v>
      </c>
      <c r="I1177" s="112" t="s">
        <v>1536</v>
      </c>
      <c r="J1177" s="112" t="s">
        <v>1537</v>
      </c>
      <c r="K1177" s="112" t="s">
        <v>1604</v>
      </c>
      <c r="L1177" s="116">
        <v>99</v>
      </c>
    </row>
    <row r="1178" spans="1:12" hidden="1" outlineLevel="1" collapsed="1" x14ac:dyDescent="0.35">
      <c r="A1178" s="112" t="s">
        <v>1509</v>
      </c>
      <c r="B1178" s="112" t="s">
        <v>1598</v>
      </c>
      <c r="C1178" s="112" t="s">
        <v>1095</v>
      </c>
      <c r="D1178" s="113">
        <v>10348451</v>
      </c>
      <c r="E1178" s="115">
        <v>43949</v>
      </c>
      <c r="F1178" s="114">
        <v>202101</v>
      </c>
      <c r="G1178" s="112" t="s">
        <v>1091</v>
      </c>
      <c r="H1178" s="112" t="s">
        <v>1015</v>
      </c>
      <c r="I1178" s="112" t="s">
        <v>1101</v>
      </c>
      <c r="J1178" s="112" t="s">
        <v>1600</v>
      </c>
      <c r="K1178" s="112" t="s">
        <v>1098</v>
      </c>
      <c r="L1178" s="116">
        <v>602.15</v>
      </c>
    </row>
    <row r="1179" spans="1:12" hidden="1" outlineLevel="1" collapsed="1" x14ac:dyDescent="0.35">
      <c r="A1179" s="112" t="s">
        <v>1509</v>
      </c>
      <c r="B1179" s="112" t="s">
        <v>1520</v>
      </c>
      <c r="C1179" s="112" t="s">
        <v>679</v>
      </c>
      <c r="D1179" s="113">
        <v>10348217</v>
      </c>
      <c r="E1179" s="115">
        <v>43935</v>
      </c>
      <c r="F1179" s="114">
        <v>202101</v>
      </c>
      <c r="G1179" s="112" t="s">
        <v>1091</v>
      </c>
      <c r="H1179" s="112" t="s">
        <v>1015</v>
      </c>
      <c r="I1179" s="112" t="s">
        <v>1536</v>
      </c>
      <c r="J1179" s="112" t="s">
        <v>1537</v>
      </c>
      <c r="K1179" s="112" t="s">
        <v>1629</v>
      </c>
      <c r="L1179" s="116">
        <v>54</v>
      </c>
    </row>
    <row r="1180" spans="1:12" hidden="1" outlineLevel="1" collapsed="1" x14ac:dyDescent="0.35">
      <c r="A1180" s="112" t="s">
        <v>1509</v>
      </c>
      <c r="B1180" s="112" t="s">
        <v>1510</v>
      </c>
      <c r="C1180" s="112" t="s">
        <v>1511</v>
      </c>
      <c r="D1180" s="113">
        <v>47036655</v>
      </c>
      <c r="E1180" s="115">
        <v>43935</v>
      </c>
      <c r="F1180" s="114">
        <v>202101</v>
      </c>
      <c r="G1180" s="112" t="s">
        <v>1091</v>
      </c>
      <c r="H1180" s="112" t="s">
        <v>1015</v>
      </c>
      <c r="I1180" s="112" t="s">
        <v>751</v>
      </c>
      <c r="J1180" s="112" t="s">
        <v>1525</v>
      </c>
      <c r="K1180" s="112" t="s">
        <v>1630</v>
      </c>
      <c r="L1180" s="116">
        <v>551.94000000000005</v>
      </c>
    </row>
    <row r="1181" spans="1:12" hidden="1" outlineLevel="1" collapsed="1" x14ac:dyDescent="0.35">
      <c r="A1181" s="112" t="s">
        <v>1509</v>
      </c>
      <c r="B1181" s="112" t="s">
        <v>1520</v>
      </c>
      <c r="C1181" s="112" t="s">
        <v>679</v>
      </c>
      <c r="D1181" s="113">
        <v>10348532</v>
      </c>
      <c r="E1181" s="115">
        <v>43950</v>
      </c>
      <c r="F1181" s="114">
        <v>202101</v>
      </c>
      <c r="G1181" s="112" t="s">
        <v>1091</v>
      </c>
      <c r="H1181" s="112" t="s">
        <v>1015</v>
      </c>
      <c r="I1181" s="112" t="s">
        <v>1536</v>
      </c>
      <c r="J1181" s="112" t="s">
        <v>1537</v>
      </c>
      <c r="K1181" s="112" t="s">
        <v>706</v>
      </c>
      <c r="L1181" s="116">
        <v>42</v>
      </c>
    </row>
    <row r="1182" spans="1:12" hidden="1" outlineLevel="1" collapsed="1" x14ac:dyDescent="0.35">
      <c r="A1182" s="112" t="s">
        <v>1509</v>
      </c>
      <c r="B1182" s="112" t="s">
        <v>1520</v>
      </c>
      <c r="C1182" s="112" t="s">
        <v>1095</v>
      </c>
      <c r="D1182" s="113">
        <v>10348451</v>
      </c>
      <c r="E1182" s="115">
        <v>43949</v>
      </c>
      <c r="F1182" s="114">
        <v>202101</v>
      </c>
      <c r="G1182" s="112" t="s">
        <v>1091</v>
      </c>
      <c r="H1182" s="112" t="s">
        <v>1015</v>
      </c>
      <c r="I1182" s="112" t="s">
        <v>1101</v>
      </c>
      <c r="J1182" s="112" t="s">
        <v>1537</v>
      </c>
      <c r="K1182" s="112" t="s">
        <v>1098</v>
      </c>
      <c r="L1182" s="116">
        <v>426.26</v>
      </c>
    </row>
    <row r="1183" spans="1:12" hidden="1" outlineLevel="1" collapsed="1" x14ac:dyDescent="0.35">
      <c r="A1183" s="112" t="s">
        <v>1509</v>
      </c>
      <c r="B1183" s="112" t="s">
        <v>1520</v>
      </c>
      <c r="C1183" s="112" t="s">
        <v>695</v>
      </c>
      <c r="D1183" s="113">
        <v>10347981</v>
      </c>
      <c r="E1183" s="115">
        <v>43924</v>
      </c>
      <c r="F1183" s="114">
        <v>202101</v>
      </c>
      <c r="G1183" s="112" t="s">
        <v>1091</v>
      </c>
      <c r="H1183" s="112" t="s">
        <v>1015</v>
      </c>
      <c r="I1183" s="112" t="s">
        <v>763</v>
      </c>
      <c r="J1183" s="112" t="s">
        <v>1537</v>
      </c>
      <c r="K1183" s="112" t="s">
        <v>1631</v>
      </c>
      <c r="L1183" s="116">
        <v>-10000</v>
      </c>
    </row>
    <row r="1184" spans="1:12" hidden="1" outlineLevel="1" collapsed="1" x14ac:dyDescent="0.35">
      <c r="A1184" s="112" t="s">
        <v>1509</v>
      </c>
      <c r="B1184" s="112" t="s">
        <v>1510</v>
      </c>
      <c r="C1184" s="112" t="s">
        <v>1099</v>
      </c>
      <c r="D1184" s="113">
        <v>1069740</v>
      </c>
      <c r="E1184" s="115">
        <v>43949</v>
      </c>
      <c r="F1184" s="114">
        <v>202101</v>
      </c>
      <c r="G1184" s="112" t="s">
        <v>1091</v>
      </c>
      <c r="H1184" s="112" t="s">
        <v>1015</v>
      </c>
      <c r="I1184" s="112" t="s">
        <v>763</v>
      </c>
      <c r="J1184" s="112" t="s">
        <v>1608</v>
      </c>
      <c r="K1184" s="112" t="s">
        <v>1632</v>
      </c>
      <c r="L1184" s="116">
        <v>165</v>
      </c>
    </row>
    <row r="1185" spans="1:12" hidden="1" outlineLevel="1" collapsed="1" x14ac:dyDescent="0.35">
      <c r="A1185" s="112" t="s">
        <v>1509</v>
      </c>
      <c r="B1185" s="112" t="s">
        <v>902</v>
      </c>
      <c r="C1185" s="112" t="s">
        <v>1095</v>
      </c>
      <c r="D1185" s="113">
        <v>10348451</v>
      </c>
      <c r="E1185" s="115">
        <v>43949</v>
      </c>
      <c r="F1185" s="114">
        <v>202101</v>
      </c>
      <c r="G1185" s="112" t="s">
        <v>1091</v>
      </c>
      <c r="H1185" s="112" t="s">
        <v>1015</v>
      </c>
      <c r="I1185" s="112" t="s">
        <v>1096</v>
      </c>
      <c r="J1185" s="112" t="s">
        <v>1613</v>
      </c>
      <c r="K1185" s="112" t="s">
        <v>1098</v>
      </c>
      <c r="L1185" s="116">
        <v>571.19000000000005</v>
      </c>
    </row>
    <row r="1186" spans="1:12" hidden="1" outlineLevel="1" collapsed="1" x14ac:dyDescent="0.35">
      <c r="A1186" s="112" t="s">
        <v>1509</v>
      </c>
      <c r="B1186" s="112" t="s">
        <v>903</v>
      </c>
      <c r="C1186" s="112" t="s">
        <v>1095</v>
      </c>
      <c r="D1186" s="113">
        <v>10348451</v>
      </c>
      <c r="E1186" s="115">
        <v>43949</v>
      </c>
      <c r="F1186" s="114">
        <v>202101</v>
      </c>
      <c r="G1186" s="112" t="s">
        <v>1091</v>
      </c>
      <c r="H1186" s="112" t="s">
        <v>1015</v>
      </c>
      <c r="I1186" s="112" t="s">
        <v>1101</v>
      </c>
      <c r="J1186" s="112" t="s">
        <v>1551</v>
      </c>
      <c r="K1186" s="112" t="s">
        <v>1098</v>
      </c>
      <c r="L1186" s="116">
        <v>880.64</v>
      </c>
    </row>
    <row r="1187" spans="1:12" hidden="1" outlineLevel="1" collapsed="1" x14ac:dyDescent="0.35">
      <c r="A1187" s="112" t="s">
        <v>1509</v>
      </c>
      <c r="B1187" s="112" t="s">
        <v>1520</v>
      </c>
      <c r="C1187" s="112" t="s">
        <v>1095</v>
      </c>
      <c r="D1187" s="113">
        <v>10348451</v>
      </c>
      <c r="E1187" s="115">
        <v>43949</v>
      </c>
      <c r="F1187" s="114">
        <v>202101</v>
      </c>
      <c r="G1187" s="112" t="s">
        <v>1091</v>
      </c>
      <c r="H1187" s="112" t="s">
        <v>1015</v>
      </c>
      <c r="I1187" s="112" t="s">
        <v>1101</v>
      </c>
      <c r="J1187" s="112" t="s">
        <v>1537</v>
      </c>
      <c r="K1187" s="112" t="s">
        <v>1098</v>
      </c>
      <c r="L1187" s="116">
        <v>450.13</v>
      </c>
    </row>
    <row r="1188" spans="1:12" hidden="1" outlineLevel="1" collapsed="1" x14ac:dyDescent="0.35">
      <c r="A1188" s="112" t="s">
        <v>1509</v>
      </c>
      <c r="B1188" s="112" t="s">
        <v>1598</v>
      </c>
      <c r="C1188" s="112" t="s">
        <v>1099</v>
      </c>
      <c r="D1188" s="113">
        <v>1069389</v>
      </c>
      <c r="E1188" s="115">
        <v>43887</v>
      </c>
      <c r="F1188" s="114">
        <v>202101</v>
      </c>
      <c r="G1188" s="112" t="s">
        <v>1091</v>
      </c>
      <c r="H1188" s="112" t="s">
        <v>1015</v>
      </c>
      <c r="I1188" s="112" t="s">
        <v>1599</v>
      </c>
      <c r="J1188" s="112" t="s">
        <v>1600</v>
      </c>
      <c r="K1188" s="112" t="s">
        <v>1633</v>
      </c>
      <c r="L1188" s="116">
        <v>3759.87</v>
      </c>
    </row>
    <row r="1189" spans="1:12" hidden="1" outlineLevel="1" collapsed="1" x14ac:dyDescent="0.35">
      <c r="A1189" s="112" t="s">
        <v>1509</v>
      </c>
      <c r="B1189" s="112" t="s">
        <v>1510</v>
      </c>
      <c r="C1189" s="112" t="s">
        <v>695</v>
      </c>
      <c r="D1189" s="113">
        <v>10348420</v>
      </c>
      <c r="E1189" s="115">
        <v>43945</v>
      </c>
      <c r="F1189" s="114">
        <v>202101</v>
      </c>
      <c r="G1189" s="112" t="s">
        <v>1091</v>
      </c>
      <c r="H1189" s="112" t="s">
        <v>1015</v>
      </c>
      <c r="I1189" s="112" t="s">
        <v>1532</v>
      </c>
      <c r="J1189" s="112" t="s">
        <v>1533</v>
      </c>
      <c r="K1189" s="112" t="s">
        <v>1634</v>
      </c>
      <c r="L1189" s="116">
        <v>-2048.8000000000002</v>
      </c>
    </row>
    <row r="1190" spans="1:12" hidden="1" outlineLevel="1" collapsed="1" x14ac:dyDescent="0.35">
      <c r="A1190" s="112" t="s">
        <v>1509</v>
      </c>
      <c r="B1190" s="112" t="s">
        <v>902</v>
      </c>
      <c r="C1190" s="112" t="s">
        <v>679</v>
      </c>
      <c r="D1190" s="113">
        <v>10347962</v>
      </c>
      <c r="E1190" s="115">
        <v>43923</v>
      </c>
      <c r="F1190" s="114">
        <v>202101</v>
      </c>
      <c r="G1190" s="112" t="s">
        <v>1091</v>
      </c>
      <c r="H1190" s="112" t="s">
        <v>1015</v>
      </c>
      <c r="I1190" s="112" t="s">
        <v>1605</v>
      </c>
      <c r="J1190" s="112" t="s">
        <v>1606</v>
      </c>
      <c r="K1190" s="112" t="s">
        <v>1635</v>
      </c>
      <c r="L1190" s="116">
        <v>33000</v>
      </c>
    </row>
    <row r="1191" spans="1:12" hidden="1" outlineLevel="1" collapsed="1" x14ac:dyDescent="0.35">
      <c r="A1191" s="112" t="s">
        <v>1509</v>
      </c>
      <c r="B1191" s="112" t="s">
        <v>902</v>
      </c>
      <c r="C1191" s="112" t="s">
        <v>1099</v>
      </c>
      <c r="D1191" s="113">
        <v>1069357</v>
      </c>
      <c r="E1191" s="115">
        <v>43921</v>
      </c>
      <c r="F1191" s="114">
        <v>202101</v>
      </c>
      <c r="G1191" s="112" t="s">
        <v>1091</v>
      </c>
      <c r="H1191" s="112" t="s">
        <v>1015</v>
      </c>
      <c r="I1191" s="112" t="s">
        <v>761</v>
      </c>
      <c r="J1191" s="112" t="s">
        <v>1517</v>
      </c>
      <c r="K1191" s="112" t="s">
        <v>1636</v>
      </c>
      <c r="L1191" s="116">
        <v>2400</v>
      </c>
    </row>
    <row r="1192" spans="1:12" hidden="1" outlineLevel="1" collapsed="1" x14ac:dyDescent="0.35">
      <c r="A1192" s="112" t="s">
        <v>1509</v>
      </c>
      <c r="B1192" s="112" t="s">
        <v>1510</v>
      </c>
      <c r="C1192" s="112" t="s">
        <v>1099</v>
      </c>
      <c r="D1192" s="113">
        <v>1069599</v>
      </c>
      <c r="E1192" s="115">
        <v>43861</v>
      </c>
      <c r="F1192" s="114">
        <v>202101</v>
      </c>
      <c r="G1192" s="112" t="s">
        <v>1091</v>
      </c>
      <c r="H1192" s="112" t="s">
        <v>1015</v>
      </c>
      <c r="I1192" s="112" t="s">
        <v>763</v>
      </c>
      <c r="J1192" s="112" t="s">
        <v>1514</v>
      </c>
      <c r="K1192" s="112" t="s">
        <v>1637</v>
      </c>
      <c r="L1192" s="116">
        <v>199</v>
      </c>
    </row>
    <row r="1193" spans="1:12" hidden="1" outlineLevel="1" collapsed="1" x14ac:dyDescent="0.35">
      <c r="A1193" s="112" t="s">
        <v>1509</v>
      </c>
      <c r="B1193" s="112" t="s">
        <v>903</v>
      </c>
      <c r="C1193" s="112" t="s">
        <v>1095</v>
      </c>
      <c r="D1193" s="113">
        <v>10348451</v>
      </c>
      <c r="E1193" s="115">
        <v>43949</v>
      </c>
      <c r="F1193" s="114">
        <v>202101</v>
      </c>
      <c r="G1193" s="112" t="s">
        <v>1091</v>
      </c>
      <c r="H1193" s="112" t="s">
        <v>1015</v>
      </c>
      <c r="I1193" s="112" t="s">
        <v>1101</v>
      </c>
      <c r="J1193" s="112" t="s">
        <v>1551</v>
      </c>
      <c r="K1193" s="112" t="s">
        <v>1098</v>
      </c>
      <c r="L1193" s="116">
        <v>664.32</v>
      </c>
    </row>
    <row r="1194" spans="1:12" hidden="1" outlineLevel="1" collapsed="1" x14ac:dyDescent="0.35">
      <c r="A1194" s="112" t="s">
        <v>1509</v>
      </c>
      <c r="B1194" s="112" t="s">
        <v>1510</v>
      </c>
      <c r="C1194" s="112" t="s">
        <v>1099</v>
      </c>
      <c r="D1194" s="113">
        <v>1069600</v>
      </c>
      <c r="E1194" s="115">
        <v>43890</v>
      </c>
      <c r="F1194" s="114">
        <v>202101</v>
      </c>
      <c r="G1194" s="112" t="s">
        <v>1091</v>
      </c>
      <c r="H1194" s="112" t="s">
        <v>1015</v>
      </c>
      <c r="I1194" s="112" t="s">
        <v>763</v>
      </c>
      <c r="J1194" s="112" t="s">
        <v>1514</v>
      </c>
      <c r="K1194" s="112" t="s">
        <v>1638</v>
      </c>
      <c r="L1194" s="116">
        <v>199</v>
      </c>
    </row>
    <row r="1195" spans="1:12" hidden="1" outlineLevel="1" collapsed="1" x14ac:dyDescent="0.35">
      <c r="A1195" s="112" t="s">
        <v>1509</v>
      </c>
      <c r="B1195" s="112" t="s">
        <v>903</v>
      </c>
      <c r="C1195" s="112" t="s">
        <v>1095</v>
      </c>
      <c r="D1195" s="113">
        <v>10348451</v>
      </c>
      <c r="E1195" s="115">
        <v>43949</v>
      </c>
      <c r="F1195" s="114">
        <v>202101</v>
      </c>
      <c r="G1195" s="112" t="s">
        <v>1091</v>
      </c>
      <c r="H1195" s="112" t="s">
        <v>1015</v>
      </c>
      <c r="I1195" s="112" t="s">
        <v>1128</v>
      </c>
      <c r="J1195" s="112" t="s">
        <v>1551</v>
      </c>
      <c r="K1195" s="112" t="s">
        <v>1098</v>
      </c>
      <c r="L1195" s="116">
        <v>243</v>
      </c>
    </row>
    <row r="1196" spans="1:12" hidden="1" outlineLevel="1" collapsed="1" x14ac:dyDescent="0.35">
      <c r="A1196" s="112" t="s">
        <v>1509</v>
      </c>
      <c r="B1196" s="112" t="s">
        <v>1510</v>
      </c>
      <c r="C1196" s="112" t="s">
        <v>695</v>
      </c>
      <c r="D1196" s="113">
        <v>10348420</v>
      </c>
      <c r="E1196" s="115">
        <v>43945</v>
      </c>
      <c r="F1196" s="114">
        <v>202101</v>
      </c>
      <c r="G1196" s="112" t="s">
        <v>1091</v>
      </c>
      <c r="H1196" s="112" t="s">
        <v>1015</v>
      </c>
      <c r="I1196" s="112" t="s">
        <v>1532</v>
      </c>
      <c r="J1196" s="112" t="s">
        <v>1533</v>
      </c>
      <c r="K1196" s="112" t="s">
        <v>1639</v>
      </c>
      <c r="L1196" s="116">
        <v>-2377.0300000000002</v>
      </c>
    </row>
    <row r="1197" spans="1:12" hidden="1" outlineLevel="1" collapsed="1" x14ac:dyDescent="0.35">
      <c r="A1197" s="112" t="s">
        <v>1509</v>
      </c>
      <c r="B1197" s="112" t="s">
        <v>1520</v>
      </c>
      <c r="C1197" s="112" t="s">
        <v>1095</v>
      </c>
      <c r="D1197" s="113">
        <v>10348451</v>
      </c>
      <c r="E1197" s="115">
        <v>43949</v>
      </c>
      <c r="F1197" s="114">
        <v>202101</v>
      </c>
      <c r="G1197" s="112" t="s">
        <v>1091</v>
      </c>
      <c r="H1197" s="112" t="s">
        <v>1015</v>
      </c>
      <c r="I1197" s="112" t="s">
        <v>1101</v>
      </c>
      <c r="J1197" s="112" t="s">
        <v>1537</v>
      </c>
      <c r="K1197" s="112" t="s">
        <v>1098</v>
      </c>
      <c r="L1197" s="116">
        <v>679.08</v>
      </c>
    </row>
    <row r="1198" spans="1:12" hidden="1" outlineLevel="1" collapsed="1" x14ac:dyDescent="0.35">
      <c r="A1198" s="112" t="s">
        <v>1509</v>
      </c>
      <c r="B1198" s="112" t="s">
        <v>902</v>
      </c>
      <c r="C1198" s="112" t="s">
        <v>1095</v>
      </c>
      <c r="D1198" s="113">
        <v>10348451</v>
      </c>
      <c r="E1198" s="115">
        <v>43949</v>
      </c>
      <c r="F1198" s="114">
        <v>202101</v>
      </c>
      <c r="G1198" s="112" t="s">
        <v>1091</v>
      </c>
      <c r="H1198" s="112" t="s">
        <v>1015</v>
      </c>
      <c r="I1198" s="112" t="s">
        <v>1101</v>
      </c>
      <c r="J1198" s="112" t="s">
        <v>1613</v>
      </c>
      <c r="K1198" s="112" t="s">
        <v>1098</v>
      </c>
      <c r="L1198" s="116">
        <v>437.72</v>
      </c>
    </row>
    <row r="1199" spans="1:12" hidden="1" outlineLevel="1" collapsed="1" x14ac:dyDescent="0.35">
      <c r="A1199" s="112" t="s">
        <v>1509</v>
      </c>
      <c r="B1199" s="112" t="s">
        <v>902</v>
      </c>
      <c r="C1199" s="112" t="s">
        <v>1095</v>
      </c>
      <c r="D1199" s="113">
        <v>10348451</v>
      </c>
      <c r="E1199" s="115">
        <v>43949</v>
      </c>
      <c r="F1199" s="114">
        <v>202101</v>
      </c>
      <c r="G1199" s="112" t="s">
        <v>1091</v>
      </c>
      <c r="H1199" s="112" t="s">
        <v>1015</v>
      </c>
      <c r="I1199" s="112" t="s">
        <v>1096</v>
      </c>
      <c r="J1199" s="112" t="s">
        <v>1613</v>
      </c>
      <c r="K1199" s="112" t="s">
        <v>1098</v>
      </c>
      <c r="L1199" s="116">
        <v>271.86</v>
      </c>
    </row>
    <row r="1200" spans="1:12" hidden="1" outlineLevel="1" collapsed="1" x14ac:dyDescent="0.35">
      <c r="A1200" s="112" t="s">
        <v>1509</v>
      </c>
      <c r="B1200" s="112" t="s">
        <v>1520</v>
      </c>
      <c r="C1200" s="112" t="s">
        <v>1095</v>
      </c>
      <c r="D1200" s="113">
        <v>10348451</v>
      </c>
      <c r="E1200" s="115">
        <v>43949</v>
      </c>
      <c r="F1200" s="114">
        <v>202101</v>
      </c>
      <c r="G1200" s="112" t="s">
        <v>1091</v>
      </c>
      <c r="H1200" s="112" t="s">
        <v>1015</v>
      </c>
      <c r="I1200" s="112" t="s">
        <v>1101</v>
      </c>
      <c r="J1200" s="112" t="s">
        <v>1521</v>
      </c>
      <c r="K1200" s="112" t="s">
        <v>1098</v>
      </c>
      <c r="L1200" s="116">
        <v>1152.6400000000001</v>
      </c>
    </row>
    <row r="1201" spans="1:12" hidden="1" outlineLevel="1" collapsed="1" x14ac:dyDescent="0.35">
      <c r="A1201" s="112" t="s">
        <v>1509</v>
      </c>
      <c r="B1201" s="112" t="s">
        <v>1598</v>
      </c>
      <c r="C1201" s="112" t="s">
        <v>1095</v>
      </c>
      <c r="D1201" s="113">
        <v>10348451</v>
      </c>
      <c r="E1201" s="115">
        <v>43949</v>
      </c>
      <c r="F1201" s="114">
        <v>202101</v>
      </c>
      <c r="G1201" s="112" t="s">
        <v>1091</v>
      </c>
      <c r="H1201" s="112" t="s">
        <v>1015</v>
      </c>
      <c r="I1201" s="112" t="s">
        <v>1101</v>
      </c>
      <c r="J1201" s="112" t="s">
        <v>1600</v>
      </c>
      <c r="K1201" s="112" t="s">
        <v>1098</v>
      </c>
      <c r="L1201" s="116">
        <v>816.49</v>
      </c>
    </row>
    <row r="1202" spans="1:12" hidden="1" outlineLevel="1" collapsed="1" x14ac:dyDescent="0.35">
      <c r="A1202" s="112" t="s">
        <v>1509</v>
      </c>
      <c r="B1202" s="112" t="s">
        <v>902</v>
      </c>
      <c r="C1202" s="112" t="s">
        <v>1095</v>
      </c>
      <c r="D1202" s="113">
        <v>10348451</v>
      </c>
      <c r="E1202" s="115">
        <v>43949</v>
      </c>
      <c r="F1202" s="114">
        <v>202101</v>
      </c>
      <c r="G1202" s="112" t="s">
        <v>1091</v>
      </c>
      <c r="H1202" s="112" t="s">
        <v>1015</v>
      </c>
      <c r="I1202" s="112" t="s">
        <v>1096</v>
      </c>
      <c r="J1202" s="112" t="s">
        <v>1530</v>
      </c>
      <c r="K1202" s="112" t="s">
        <v>1098</v>
      </c>
      <c r="L1202" s="116">
        <v>478.32</v>
      </c>
    </row>
    <row r="1203" spans="1:12" hidden="1" outlineLevel="1" collapsed="1" x14ac:dyDescent="0.35">
      <c r="A1203" s="112" t="s">
        <v>1509</v>
      </c>
      <c r="B1203" s="112" t="s">
        <v>902</v>
      </c>
      <c r="C1203" s="112" t="s">
        <v>1095</v>
      </c>
      <c r="D1203" s="113">
        <v>10348451</v>
      </c>
      <c r="E1203" s="115">
        <v>43949</v>
      </c>
      <c r="F1203" s="114">
        <v>202101</v>
      </c>
      <c r="G1203" s="112" t="s">
        <v>1091</v>
      </c>
      <c r="H1203" s="112" t="s">
        <v>1015</v>
      </c>
      <c r="I1203" s="112" t="s">
        <v>1101</v>
      </c>
      <c r="J1203" s="112" t="s">
        <v>1530</v>
      </c>
      <c r="K1203" s="112" t="s">
        <v>1098</v>
      </c>
      <c r="L1203" s="116">
        <v>704.55</v>
      </c>
    </row>
    <row r="1204" spans="1:12" hidden="1" outlineLevel="1" collapsed="1" x14ac:dyDescent="0.35">
      <c r="A1204" s="112" t="s">
        <v>1509</v>
      </c>
      <c r="B1204" s="112" t="s">
        <v>902</v>
      </c>
      <c r="C1204" s="112" t="s">
        <v>1095</v>
      </c>
      <c r="D1204" s="113">
        <v>10348451</v>
      </c>
      <c r="E1204" s="115">
        <v>43949</v>
      </c>
      <c r="F1204" s="114">
        <v>202101</v>
      </c>
      <c r="G1204" s="112" t="s">
        <v>1091</v>
      </c>
      <c r="H1204" s="112" t="s">
        <v>1015</v>
      </c>
      <c r="I1204" s="112" t="s">
        <v>1096</v>
      </c>
      <c r="J1204" s="112" t="s">
        <v>1530</v>
      </c>
      <c r="K1204" s="112" t="s">
        <v>1098</v>
      </c>
      <c r="L1204" s="116">
        <v>310.49</v>
      </c>
    </row>
    <row r="1205" spans="1:12" hidden="1" outlineLevel="1" collapsed="1" x14ac:dyDescent="0.35">
      <c r="A1205" s="112" t="s">
        <v>1509</v>
      </c>
      <c r="B1205" s="112" t="s">
        <v>902</v>
      </c>
      <c r="C1205" s="112" t="s">
        <v>1095</v>
      </c>
      <c r="D1205" s="113">
        <v>10348451</v>
      </c>
      <c r="E1205" s="115">
        <v>43949</v>
      </c>
      <c r="F1205" s="114">
        <v>202101</v>
      </c>
      <c r="G1205" s="112" t="s">
        <v>1091</v>
      </c>
      <c r="H1205" s="112" t="s">
        <v>1015</v>
      </c>
      <c r="I1205" s="112" t="s">
        <v>1101</v>
      </c>
      <c r="J1205" s="112" t="s">
        <v>1530</v>
      </c>
      <c r="K1205" s="112" t="s">
        <v>1098</v>
      </c>
      <c r="L1205" s="116">
        <v>483.07</v>
      </c>
    </row>
    <row r="1206" spans="1:12" hidden="1" outlineLevel="1" collapsed="1" x14ac:dyDescent="0.35">
      <c r="A1206" s="112" t="s">
        <v>1509</v>
      </c>
      <c r="B1206" s="112" t="s">
        <v>903</v>
      </c>
      <c r="C1206" s="112" t="s">
        <v>1095</v>
      </c>
      <c r="D1206" s="113">
        <v>10348451</v>
      </c>
      <c r="E1206" s="115">
        <v>43949</v>
      </c>
      <c r="F1206" s="114">
        <v>202101</v>
      </c>
      <c r="G1206" s="112" t="s">
        <v>1091</v>
      </c>
      <c r="H1206" s="112" t="s">
        <v>1015</v>
      </c>
      <c r="I1206" s="112" t="s">
        <v>1101</v>
      </c>
      <c r="J1206" s="112" t="s">
        <v>1551</v>
      </c>
      <c r="K1206" s="112" t="s">
        <v>1098</v>
      </c>
      <c r="L1206" s="116">
        <v>816.49</v>
      </c>
    </row>
    <row r="1207" spans="1:12" hidden="1" outlineLevel="1" collapsed="1" x14ac:dyDescent="0.35">
      <c r="A1207" s="112" t="s">
        <v>1509</v>
      </c>
      <c r="B1207" s="112" t="s">
        <v>902</v>
      </c>
      <c r="C1207" s="112" t="s">
        <v>1099</v>
      </c>
      <c r="D1207" s="113">
        <v>1069455</v>
      </c>
      <c r="E1207" s="115">
        <v>43928</v>
      </c>
      <c r="F1207" s="114">
        <v>202101</v>
      </c>
      <c r="G1207" s="112" t="s">
        <v>1091</v>
      </c>
      <c r="H1207" s="112" t="s">
        <v>1015</v>
      </c>
      <c r="I1207" s="112" t="s">
        <v>761</v>
      </c>
      <c r="J1207" s="112" t="s">
        <v>1530</v>
      </c>
      <c r="K1207" s="112" t="s">
        <v>1640</v>
      </c>
      <c r="L1207" s="116">
        <v>5000</v>
      </c>
    </row>
    <row r="1208" spans="1:12" hidden="1" outlineLevel="1" collapsed="1" x14ac:dyDescent="0.35">
      <c r="A1208" s="112" t="s">
        <v>1509</v>
      </c>
      <c r="B1208" s="112" t="s">
        <v>1510</v>
      </c>
      <c r="C1208" s="112" t="s">
        <v>1099</v>
      </c>
      <c r="D1208" s="113">
        <v>1069232</v>
      </c>
      <c r="E1208" s="115">
        <v>43891</v>
      </c>
      <c r="F1208" s="114">
        <v>202101</v>
      </c>
      <c r="G1208" s="112" t="s">
        <v>1091</v>
      </c>
      <c r="H1208" s="112" t="s">
        <v>1015</v>
      </c>
      <c r="I1208" s="112" t="s">
        <v>763</v>
      </c>
      <c r="J1208" s="112" t="s">
        <v>1514</v>
      </c>
      <c r="K1208" s="112" t="s">
        <v>1641</v>
      </c>
      <c r="L1208" s="116">
        <v>750</v>
      </c>
    </row>
    <row r="1209" spans="1:12" hidden="1" outlineLevel="1" collapsed="1" x14ac:dyDescent="0.35">
      <c r="A1209" s="112" t="s">
        <v>1509</v>
      </c>
      <c r="B1209" s="112" t="s">
        <v>902</v>
      </c>
      <c r="C1209" s="112" t="s">
        <v>695</v>
      </c>
      <c r="D1209" s="113">
        <v>10348240</v>
      </c>
      <c r="E1209" s="115">
        <v>43936</v>
      </c>
      <c r="F1209" s="114">
        <v>202101</v>
      </c>
      <c r="G1209" s="112" t="s">
        <v>1091</v>
      </c>
      <c r="H1209" s="112" t="s">
        <v>1015</v>
      </c>
      <c r="I1209" s="112" t="s">
        <v>763</v>
      </c>
      <c r="J1209" s="112" t="s">
        <v>1545</v>
      </c>
      <c r="K1209" s="112" t="s">
        <v>1642</v>
      </c>
      <c r="L1209" s="116">
        <v>-5252.4</v>
      </c>
    </row>
    <row r="1210" spans="1:12" hidden="1" outlineLevel="1" collapsed="1" x14ac:dyDescent="0.35">
      <c r="A1210" s="112" t="s">
        <v>1509</v>
      </c>
      <c r="B1210" s="112" t="s">
        <v>1510</v>
      </c>
      <c r="C1210" s="112" t="s">
        <v>1150</v>
      </c>
      <c r="D1210" s="113">
        <v>10348594</v>
      </c>
      <c r="E1210" s="115">
        <v>43963</v>
      </c>
      <c r="F1210" s="114">
        <v>202101</v>
      </c>
      <c r="G1210" s="112" t="s">
        <v>1091</v>
      </c>
      <c r="H1210" s="112" t="s">
        <v>1015</v>
      </c>
      <c r="I1210" s="112" t="s">
        <v>1643</v>
      </c>
      <c r="J1210" s="112" t="s">
        <v>1525</v>
      </c>
      <c r="K1210" s="112" t="s">
        <v>1644</v>
      </c>
      <c r="L1210" s="116">
        <v>245</v>
      </c>
    </row>
    <row r="1211" spans="1:12" hidden="1" outlineLevel="1" collapsed="1" x14ac:dyDescent="0.35">
      <c r="A1211" s="112" t="s">
        <v>1509</v>
      </c>
      <c r="B1211" s="112" t="s">
        <v>1510</v>
      </c>
      <c r="C1211" s="112" t="s">
        <v>1150</v>
      </c>
      <c r="D1211" s="113">
        <v>10348594</v>
      </c>
      <c r="E1211" s="115">
        <v>43963</v>
      </c>
      <c r="F1211" s="114">
        <v>202101</v>
      </c>
      <c r="G1211" s="112" t="s">
        <v>1091</v>
      </c>
      <c r="H1211" s="112" t="s">
        <v>1015</v>
      </c>
      <c r="I1211" s="112" t="s">
        <v>1532</v>
      </c>
      <c r="J1211" s="112" t="s">
        <v>1618</v>
      </c>
      <c r="K1211" s="112" t="s">
        <v>1644</v>
      </c>
      <c r="L1211" s="116">
        <v>641.66</v>
      </c>
    </row>
    <row r="1212" spans="1:12" hidden="1" outlineLevel="1" collapsed="1" x14ac:dyDescent="0.35">
      <c r="A1212" s="112" t="s">
        <v>1509</v>
      </c>
      <c r="B1212" s="112" t="s">
        <v>1510</v>
      </c>
      <c r="C1212" s="112" t="s">
        <v>1511</v>
      </c>
      <c r="D1212" s="113">
        <v>47036707</v>
      </c>
      <c r="E1212" s="115">
        <v>43938</v>
      </c>
      <c r="F1212" s="114">
        <v>202101</v>
      </c>
      <c r="G1212" s="112" t="s">
        <v>1091</v>
      </c>
      <c r="H1212" s="112" t="s">
        <v>1015</v>
      </c>
      <c r="I1212" s="112" t="s">
        <v>749</v>
      </c>
      <c r="J1212" s="112" t="s">
        <v>1512</v>
      </c>
      <c r="K1212" s="112" t="s">
        <v>1645</v>
      </c>
      <c r="L1212" s="116">
        <v>237.82</v>
      </c>
    </row>
    <row r="1213" spans="1:12" hidden="1" outlineLevel="1" collapsed="1" x14ac:dyDescent="0.35">
      <c r="A1213" s="112" t="s">
        <v>1509</v>
      </c>
      <c r="B1213" s="112" t="s">
        <v>1510</v>
      </c>
      <c r="C1213" s="112" t="s">
        <v>1511</v>
      </c>
      <c r="D1213" s="113">
        <v>47036706</v>
      </c>
      <c r="E1213" s="115">
        <v>43938</v>
      </c>
      <c r="F1213" s="114">
        <v>202101</v>
      </c>
      <c r="G1213" s="112" t="s">
        <v>1091</v>
      </c>
      <c r="H1213" s="112" t="s">
        <v>1015</v>
      </c>
      <c r="I1213" s="112" t="s">
        <v>749</v>
      </c>
      <c r="J1213" s="112" t="s">
        <v>1512</v>
      </c>
      <c r="K1213" s="112" t="s">
        <v>1646</v>
      </c>
      <c r="L1213" s="116">
        <v>135.99</v>
      </c>
    </row>
    <row r="1214" spans="1:12" hidden="1" outlineLevel="1" collapsed="1" x14ac:dyDescent="0.35">
      <c r="A1214" s="112" t="s">
        <v>1509</v>
      </c>
      <c r="B1214" s="112" t="s">
        <v>1510</v>
      </c>
      <c r="C1214" s="112" t="s">
        <v>1511</v>
      </c>
      <c r="D1214" s="113">
        <v>47036705</v>
      </c>
      <c r="E1214" s="115">
        <v>43938</v>
      </c>
      <c r="F1214" s="114">
        <v>202101</v>
      </c>
      <c r="G1214" s="112" t="s">
        <v>1091</v>
      </c>
      <c r="H1214" s="112" t="s">
        <v>1015</v>
      </c>
      <c r="I1214" s="112" t="s">
        <v>749</v>
      </c>
      <c r="J1214" s="112" t="s">
        <v>1512</v>
      </c>
      <c r="K1214" s="112" t="s">
        <v>1647</v>
      </c>
      <c r="L1214" s="116">
        <v>389.7</v>
      </c>
    </row>
    <row r="1215" spans="1:12" hidden="1" outlineLevel="1" collapsed="1" x14ac:dyDescent="0.35">
      <c r="A1215" s="112" t="s">
        <v>1509</v>
      </c>
      <c r="B1215" s="112" t="s">
        <v>1510</v>
      </c>
      <c r="C1215" s="112" t="s">
        <v>1511</v>
      </c>
      <c r="D1215" s="113">
        <v>47036982</v>
      </c>
      <c r="E1215" s="115">
        <v>43915</v>
      </c>
      <c r="F1215" s="114">
        <v>202101</v>
      </c>
      <c r="G1215" s="112" t="s">
        <v>1091</v>
      </c>
      <c r="H1215" s="112" t="s">
        <v>1015</v>
      </c>
      <c r="I1215" s="112" t="s">
        <v>757</v>
      </c>
      <c r="J1215" s="112" t="s">
        <v>1512</v>
      </c>
      <c r="K1215" s="112" t="s">
        <v>1648</v>
      </c>
      <c r="L1215" s="116">
        <v>122.65</v>
      </c>
    </row>
    <row r="1216" spans="1:12" hidden="1" outlineLevel="1" collapsed="1" x14ac:dyDescent="0.35">
      <c r="A1216" s="112" t="s">
        <v>1509</v>
      </c>
      <c r="B1216" s="112" t="s">
        <v>1510</v>
      </c>
      <c r="C1216" s="112" t="s">
        <v>1511</v>
      </c>
      <c r="D1216" s="113">
        <v>47036896</v>
      </c>
      <c r="E1216" s="115">
        <v>43938</v>
      </c>
      <c r="F1216" s="114">
        <v>202101</v>
      </c>
      <c r="G1216" s="112" t="s">
        <v>1091</v>
      </c>
      <c r="H1216" s="112" t="s">
        <v>1015</v>
      </c>
      <c r="I1216" s="112" t="s">
        <v>749</v>
      </c>
      <c r="J1216" s="112" t="s">
        <v>1514</v>
      </c>
      <c r="K1216" s="112" t="s">
        <v>1649</v>
      </c>
      <c r="L1216" s="116">
        <v>17.54</v>
      </c>
    </row>
    <row r="1217" spans="1:12" hidden="1" outlineLevel="1" collapsed="1" x14ac:dyDescent="0.35">
      <c r="A1217" s="112" t="s">
        <v>1509</v>
      </c>
      <c r="B1217" s="112" t="s">
        <v>1510</v>
      </c>
      <c r="C1217" s="112" t="s">
        <v>1511</v>
      </c>
      <c r="D1217" s="113">
        <v>47036895</v>
      </c>
      <c r="E1217" s="115">
        <v>43938</v>
      </c>
      <c r="F1217" s="114">
        <v>202101</v>
      </c>
      <c r="G1217" s="112" t="s">
        <v>1091</v>
      </c>
      <c r="H1217" s="112" t="s">
        <v>1015</v>
      </c>
      <c r="I1217" s="112" t="s">
        <v>749</v>
      </c>
      <c r="J1217" s="112" t="s">
        <v>1512</v>
      </c>
      <c r="K1217" s="112" t="s">
        <v>1650</v>
      </c>
      <c r="L1217" s="116">
        <v>563.64</v>
      </c>
    </row>
    <row r="1218" spans="1:12" hidden="1" outlineLevel="1" collapsed="1" x14ac:dyDescent="0.35">
      <c r="A1218" s="112" t="s">
        <v>1509</v>
      </c>
      <c r="B1218" s="112" t="s">
        <v>1510</v>
      </c>
      <c r="C1218" s="112" t="s">
        <v>1511</v>
      </c>
      <c r="D1218" s="113">
        <v>47036709</v>
      </c>
      <c r="E1218" s="115">
        <v>43938</v>
      </c>
      <c r="F1218" s="114">
        <v>202101</v>
      </c>
      <c r="G1218" s="112" t="s">
        <v>1091</v>
      </c>
      <c r="H1218" s="112" t="s">
        <v>1015</v>
      </c>
      <c r="I1218" s="112" t="s">
        <v>749</v>
      </c>
      <c r="J1218" s="112" t="s">
        <v>1512</v>
      </c>
      <c r="K1218" s="112" t="s">
        <v>1651</v>
      </c>
      <c r="L1218" s="116">
        <v>37.85</v>
      </c>
    </row>
    <row r="1219" spans="1:12" hidden="1" outlineLevel="1" collapsed="1" x14ac:dyDescent="0.35">
      <c r="A1219" s="112" t="s">
        <v>1509</v>
      </c>
      <c r="B1219" s="112" t="s">
        <v>1510</v>
      </c>
      <c r="C1219" s="112" t="s">
        <v>1511</v>
      </c>
      <c r="D1219" s="113">
        <v>47036708</v>
      </c>
      <c r="E1219" s="115">
        <v>43938</v>
      </c>
      <c r="F1219" s="114">
        <v>202101</v>
      </c>
      <c r="G1219" s="112" t="s">
        <v>1091</v>
      </c>
      <c r="H1219" s="112" t="s">
        <v>1015</v>
      </c>
      <c r="I1219" s="112" t="s">
        <v>749</v>
      </c>
      <c r="J1219" s="112" t="s">
        <v>1512</v>
      </c>
      <c r="K1219" s="112" t="s">
        <v>1652</v>
      </c>
      <c r="L1219" s="116">
        <v>132.54</v>
      </c>
    </row>
    <row r="1220" spans="1:12" hidden="1" outlineLevel="1" collapsed="1" x14ac:dyDescent="0.35">
      <c r="A1220" s="112" t="s">
        <v>1509</v>
      </c>
      <c r="B1220" s="112" t="s">
        <v>1510</v>
      </c>
      <c r="C1220" s="112" t="s">
        <v>1511</v>
      </c>
      <c r="D1220" s="113">
        <v>47036742</v>
      </c>
      <c r="E1220" s="115">
        <v>43938</v>
      </c>
      <c r="F1220" s="114">
        <v>202101</v>
      </c>
      <c r="G1220" s="112" t="s">
        <v>1091</v>
      </c>
      <c r="H1220" s="112" t="s">
        <v>1015</v>
      </c>
      <c r="I1220" s="112" t="s">
        <v>749</v>
      </c>
      <c r="J1220" s="112" t="s">
        <v>1512</v>
      </c>
      <c r="K1220" s="112" t="s">
        <v>1653</v>
      </c>
      <c r="L1220" s="116">
        <v>335.02</v>
      </c>
    </row>
    <row r="1221" spans="1:12" hidden="1" outlineLevel="1" collapsed="1" x14ac:dyDescent="0.35">
      <c r="A1221" s="112" t="s">
        <v>1509</v>
      </c>
      <c r="B1221" s="112" t="s">
        <v>1510</v>
      </c>
      <c r="C1221" s="112" t="s">
        <v>1511</v>
      </c>
      <c r="D1221" s="113">
        <v>47036741</v>
      </c>
      <c r="E1221" s="115">
        <v>43938</v>
      </c>
      <c r="F1221" s="114">
        <v>202101</v>
      </c>
      <c r="G1221" s="112" t="s">
        <v>1091</v>
      </c>
      <c r="H1221" s="112" t="s">
        <v>1015</v>
      </c>
      <c r="I1221" s="112" t="s">
        <v>749</v>
      </c>
      <c r="J1221" s="112" t="s">
        <v>1512</v>
      </c>
      <c r="K1221" s="112" t="s">
        <v>1654</v>
      </c>
      <c r="L1221" s="116">
        <v>166.05</v>
      </c>
    </row>
    <row r="1222" spans="1:12" hidden="1" outlineLevel="1" collapsed="1" x14ac:dyDescent="0.35">
      <c r="A1222" s="112" t="s">
        <v>1509</v>
      </c>
      <c r="B1222" s="112" t="s">
        <v>1510</v>
      </c>
      <c r="C1222" s="112" t="s">
        <v>1511</v>
      </c>
      <c r="D1222" s="113">
        <v>47036743</v>
      </c>
      <c r="E1222" s="115">
        <v>43938</v>
      </c>
      <c r="F1222" s="114">
        <v>202101</v>
      </c>
      <c r="G1222" s="112" t="s">
        <v>1091</v>
      </c>
      <c r="H1222" s="112" t="s">
        <v>1015</v>
      </c>
      <c r="I1222" s="112" t="s">
        <v>749</v>
      </c>
      <c r="J1222" s="112" t="s">
        <v>1514</v>
      </c>
      <c r="K1222" s="112" t="s">
        <v>1655</v>
      </c>
      <c r="L1222" s="116">
        <v>436.58</v>
      </c>
    </row>
    <row r="1223" spans="1:12" hidden="1" outlineLevel="1" collapsed="1" x14ac:dyDescent="0.35">
      <c r="A1223" s="112" t="s">
        <v>1509</v>
      </c>
      <c r="B1223" s="112" t="s">
        <v>1510</v>
      </c>
      <c r="C1223" s="112" t="s">
        <v>1511</v>
      </c>
      <c r="D1223" s="113">
        <v>47036704</v>
      </c>
      <c r="E1223" s="115">
        <v>43938</v>
      </c>
      <c r="F1223" s="114">
        <v>202101</v>
      </c>
      <c r="G1223" s="112" t="s">
        <v>1091</v>
      </c>
      <c r="H1223" s="112" t="s">
        <v>1015</v>
      </c>
      <c r="I1223" s="112" t="s">
        <v>749</v>
      </c>
      <c r="J1223" s="112" t="s">
        <v>1514</v>
      </c>
      <c r="K1223" s="112" t="s">
        <v>1656</v>
      </c>
      <c r="L1223" s="116">
        <v>224</v>
      </c>
    </row>
    <row r="1224" spans="1:12" hidden="1" outlineLevel="1" collapsed="1" x14ac:dyDescent="0.35">
      <c r="A1224" s="112" t="s">
        <v>1509</v>
      </c>
      <c r="B1224" s="112" t="s">
        <v>1510</v>
      </c>
      <c r="C1224" s="112" t="s">
        <v>1099</v>
      </c>
      <c r="D1224" s="113">
        <v>1069591</v>
      </c>
      <c r="E1224" s="115">
        <v>43950</v>
      </c>
      <c r="F1224" s="114">
        <v>202101</v>
      </c>
      <c r="G1224" s="112" t="s">
        <v>1091</v>
      </c>
      <c r="H1224" s="112" t="s">
        <v>1015</v>
      </c>
      <c r="I1224" s="112" t="s">
        <v>763</v>
      </c>
      <c r="J1224" s="112" t="s">
        <v>1608</v>
      </c>
      <c r="K1224" s="112" t="s">
        <v>1657</v>
      </c>
      <c r="L1224" s="116">
        <v>1916.67</v>
      </c>
    </row>
    <row r="1225" spans="1:12" hidden="1" outlineLevel="1" collapsed="1" x14ac:dyDescent="0.35">
      <c r="A1225" s="112" t="s">
        <v>1509</v>
      </c>
      <c r="B1225" s="112" t="s">
        <v>1510</v>
      </c>
      <c r="C1225" s="112" t="s">
        <v>1511</v>
      </c>
      <c r="D1225" s="113">
        <v>47036849</v>
      </c>
      <c r="E1225" s="115">
        <v>43938</v>
      </c>
      <c r="F1225" s="114">
        <v>202101</v>
      </c>
      <c r="G1225" s="112" t="s">
        <v>1091</v>
      </c>
      <c r="H1225" s="112" t="s">
        <v>1015</v>
      </c>
      <c r="I1225" s="112" t="s">
        <v>749</v>
      </c>
      <c r="J1225" s="112" t="s">
        <v>1514</v>
      </c>
      <c r="K1225" s="112" t="s">
        <v>1658</v>
      </c>
      <c r="L1225" s="116">
        <v>1173.0899999999999</v>
      </c>
    </row>
    <row r="1226" spans="1:12" hidden="1" outlineLevel="1" collapsed="1" x14ac:dyDescent="0.35">
      <c r="A1226" s="112" t="s">
        <v>1509</v>
      </c>
      <c r="B1226" s="112" t="s">
        <v>1510</v>
      </c>
      <c r="C1226" s="112" t="s">
        <v>1511</v>
      </c>
      <c r="D1226" s="113">
        <v>47036853</v>
      </c>
      <c r="E1226" s="115">
        <v>43938</v>
      </c>
      <c r="F1226" s="114">
        <v>202101</v>
      </c>
      <c r="G1226" s="112" t="s">
        <v>1091</v>
      </c>
      <c r="H1226" s="112" t="s">
        <v>1015</v>
      </c>
      <c r="I1226" s="112" t="s">
        <v>749</v>
      </c>
      <c r="J1226" s="112" t="s">
        <v>1611</v>
      </c>
      <c r="K1226" s="112" t="s">
        <v>1659</v>
      </c>
      <c r="L1226" s="116">
        <v>222.55</v>
      </c>
    </row>
    <row r="1227" spans="1:12" hidden="1" outlineLevel="1" collapsed="1" x14ac:dyDescent="0.35">
      <c r="A1227" s="112" t="s">
        <v>1509</v>
      </c>
      <c r="B1227" s="112" t="s">
        <v>1510</v>
      </c>
      <c r="C1227" s="112" t="s">
        <v>1511</v>
      </c>
      <c r="D1227" s="113">
        <v>47036901</v>
      </c>
      <c r="E1227" s="115">
        <v>43938</v>
      </c>
      <c r="F1227" s="114">
        <v>202101</v>
      </c>
      <c r="G1227" s="112" t="s">
        <v>1091</v>
      </c>
      <c r="H1227" s="112" t="s">
        <v>1015</v>
      </c>
      <c r="I1227" s="112" t="s">
        <v>749</v>
      </c>
      <c r="J1227" s="112" t="s">
        <v>1611</v>
      </c>
      <c r="K1227" s="112" t="s">
        <v>1660</v>
      </c>
      <c r="L1227" s="116">
        <v>219.19</v>
      </c>
    </row>
    <row r="1228" spans="1:12" hidden="1" outlineLevel="1" collapsed="1" x14ac:dyDescent="0.35">
      <c r="A1228" s="112" t="s">
        <v>1509</v>
      </c>
      <c r="B1228" s="112" t="s">
        <v>1510</v>
      </c>
      <c r="C1228" s="112" t="s">
        <v>1511</v>
      </c>
      <c r="D1228" s="113">
        <v>47036897</v>
      </c>
      <c r="E1228" s="115">
        <v>43938</v>
      </c>
      <c r="F1228" s="114">
        <v>202101</v>
      </c>
      <c r="G1228" s="112" t="s">
        <v>1091</v>
      </c>
      <c r="H1228" s="112" t="s">
        <v>1015</v>
      </c>
      <c r="I1228" s="112" t="s">
        <v>749</v>
      </c>
      <c r="J1228" s="112" t="s">
        <v>1525</v>
      </c>
      <c r="K1228" s="112" t="s">
        <v>1661</v>
      </c>
      <c r="L1228" s="116">
        <v>195.98</v>
      </c>
    </row>
    <row r="1229" spans="1:12" hidden="1" outlineLevel="1" collapsed="1" x14ac:dyDescent="0.35">
      <c r="A1229" s="112" t="s">
        <v>1509</v>
      </c>
      <c r="B1229" s="112" t="s">
        <v>1510</v>
      </c>
      <c r="C1229" s="112" t="s">
        <v>1511</v>
      </c>
      <c r="D1229" s="113">
        <v>47036669</v>
      </c>
      <c r="E1229" s="115">
        <v>43904</v>
      </c>
      <c r="F1229" s="114">
        <v>202101</v>
      </c>
      <c r="G1229" s="112" t="s">
        <v>1091</v>
      </c>
      <c r="H1229" s="112" t="s">
        <v>1015</v>
      </c>
      <c r="I1229" s="112" t="s">
        <v>757</v>
      </c>
      <c r="J1229" s="112" t="s">
        <v>1514</v>
      </c>
      <c r="K1229" s="112" t="s">
        <v>1662</v>
      </c>
      <c r="L1229" s="116">
        <v>38.03</v>
      </c>
    </row>
    <row r="1230" spans="1:12" hidden="1" outlineLevel="1" collapsed="1" x14ac:dyDescent="0.35">
      <c r="A1230" s="112" t="s">
        <v>1509</v>
      </c>
      <c r="B1230" s="112" t="s">
        <v>1510</v>
      </c>
      <c r="C1230" s="112" t="s">
        <v>1511</v>
      </c>
      <c r="D1230" s="113">
        <v>47036669</v>
      </c>
      <c r="E1230" s="115">
        <v>43904</v>
      </c>
      <c r="F1230" s="114">
        <v>202101</v>
      </c>
      <c r="G1230" s="112" t="s">
        <v>1091</v>
      </c>
      <c r="H1230" s="112" t="s">
        <v>1015</v>
      </c>
      <c r="I1230" s="112" t="s">
        <v>757</v>
      </c>
      <c r="J1230" s="112" t="s">
        <v>1514</v>
      </c>
      <c r="K1230" s="112" t="s">
        <v>1662</v>
      </c>
      <c r="L1230" s="116">
        <v>11.76</v>
      </c>
    </row>
    <row r="1231" spans="1:12" hidden="1" outlineLevel="1" collapsed="1" x14ac:dyDescent="0.35">
      <c r="A1231" s="112" t="s">
        <v>1509</v>
      </c>
      <c r="B1231" s="112" t="s">
        <v>1510</v>
      </c>
      <c r="C1231" s="112" t="s">
        <v>1511</v>
      </c>
      <c r="D1231" s="113">
        <v>47036956</v>
      </c>
      <c r="E1231" s="115">
        <v>43915</v>
      </c>
      <c r="F1231" s="114">
        <v>202101</v>
      </c>
      <c r="G1231" s="112" t="s">
        <v>1091</v>
      </c>
      <c r="H1231" s="112" t="s">
        <v>1015</v>
      </c>
      <c r="I1231" s="112" t="s">
        <v>757</v>
      </c>
      <c r="J1231" s="112" t="s">
        <v>1514</v>
      </c>
      <c r="K1231" s="112" t="s">
        <v>1663</v>
      </c>
      <c r="L1231" s="116">
        <v>8.7899999999999991</v>
      </c>
    </row>
    <row r="1232" spans="1:12" hidden="1" outlineLevel="1" collapsed="1" x14ac:dyDescent="0.35">
      <c r="A1232" s="112" t="s">
        <v>1509</v>
      </c>
      <c r="B1232" s="112" t="s">
        <v>1520</v>
      </c>
      <c r="C1232" s="112" t="s">
        <v>679</v>
      </c>
      <c r="D1232" s="113">
        <v>10348418</v>
      </c>
      <c r="E1232" s="115">
        <v>43944</v>
      </c>
      <c r="F1232" s="114">
        <v>202101</v>
      </c>
      <c r="G1232" s="112" t="s">
        <v>1091</v>
      </c>
      <c r="H1232" s="112" t="s">
        <v>1015</v>
      </c>
      <c r="I1232" s="112" t="s">
        <v>1536</v>
      </c>
      <c r="J1232" s="112" t="s">
        <v>1537</v>
      </c>
      <c r="K1232" s="112" t="s">
        <v>1604</v>
      </c>
      <c r="L1232" s="116">
        <v>75</v>
      </c>
    </row>
    <row r="1233" spans="1:12" hidden="1" outlineLevel="1" collapsed="1" x14ac:dyDescent="0.35">
      <c r="A1233" s="112" t="s">
        <v>1509</v>
      </c>
      <c r="B1233" s="112" t="s">
        <v>902</v>
      </c>
      <c r="C1233" s="112" t="s">
        <v>695</v>
      </c>
      <c r="D1233" s="113">
        <v>10348240</v>
      </c>
      <c r="E1233" s="115">
        <v>43936</v>
      </c>
      <c r="F1233" s="114">
        <v>202101</v>
      </c>
      <c r="G1233" s="112" t="s">
        <v>1091</v>
      </c>
      <c r="H1233" s="112" t="s">
        <v>1015</v>
      </c>
      <c r="I1233" s="112" t="s">
        <v>763</v>
      </c>
      <c r="J1233" s="112" t="s">
        <v>1545</v>
      </c>
      <c r="K1233" s="112" t="s">
        <v>1664</v>
      </c>
      <c r="L1233" s="116">
        <v>-12454</v>
      </c>
    </row>
    <row r="1234" spans="1:12" hidden="1" outlineLevel="1" collapsed="1" x14ac:dyDescent="0.35">
      <c r="A1234" s="112" t="s">
        <v>1509</v>
      </c>
      <c r="B1234" s="112" t="s">
        <v>1510</v>
      </c>
      <c r="C1234" s="112" t="s">
        <v>695</v>
      </c>
      <c r="D1234" s="113">
        <v>10347977</v>
      </c>
      <c r="E1234" s="115">
        <v>43924</v>
      </c>
      <c r="F1234" s="114">
        <v>202101</v>
      </c>
      <c r="G1234" s="112" t="s">
        <v>1091</v>
      </c>
      <c r="H1234" s="112" t="s">
        <v>1015</v>
      </c>
      <c r="I1234" s="112" t="s">
        <v>749</v>
      </c>
      <c r="J1234" s="112" t="s">
        <v>1514</v>
      </c>
      <c r="K1234" s="112" t="s">
        <v>1665</v>
      </c>
      <c r="L1234" s="116">
        <v>-143</v>
      </c>
    </row>
    <row r="1235" spans="1:12" hidden="1" outlineLevel="1" collapsed="1" x14ac:dyDescent="0.35">
      <c r="A1235" s="112" t="s">
        <v>1509</v>
      </c>
      <c r="B1235" s="112" t="s">
        <v>1510</v>
      </c>
      <c r="C1235" s="112" t="s">
        <v>695</v>
      </c>
      <c r="D1235" s="113">
        <v>10347977</v>
      </c>
      <c r="E1235" s="115">
        <v>43924</v>
      </c>
      <c r="F1235" s="114">
        <v>202101</v>
      </c>
      <c r="G1235" s="112" t="s">
        <v>1091</v>
      </c>
      <c r="H1235" s="112" t="s">
        <v>1015</v>
      </c>
      <c r="I1235" s="112" t="s">
        <v>749</v>
      </c>
      <c r="J1235" s="112" t="s">
        <v>1525</v>
      </c>
      <c r="K1235" s="112" t="s">
        <v>1666</v>
      </c>
      <c r="L1235" s="116">
        <v>-53</v>
      </c>
    </row>
    <row r="1236" spans="1:12" hidden="1" outlineLevel="1" collapsed="1" x14ac:dyDescent="0.35">
      <c r="A1236" s="112" t="s">
        <v>1509</v>
      </c>
      <c r="B1236" s="112" t="s">
        <v>1510</v>
      </c>
      <c r="C1236" s="112" t="s">
        <v>695</v>
      </c>
      <c r="D1236" s="113">
        <v>10347977</v>
      </c>
      <c r="E1236" s="115">
        <v>43924</v>
      </c>
      <c r="F1236" s="114">
        <v>202101</v>
      </c>
      <c r="G1236" s="112" t="s">
        <v>1091</v>
      </c>
      <c r="H1236" s="112" t="s">
        <v>1015</v>
      </c>
      <c r="I1236" s="112" t="s">
        <v>749</v>
      </c>
      <c r="J1236" s="112" t="s">
        <v>1514</v>
      </c>
      <c r="K1236" s="112" t="s">
        <v>1665</v>
      </c>
      <c r="L1236" s="116">
        <v>-138</v>
      </c>
    </row>
    <row r="1237" spans="1:12" hidden="1" outlineLevel="1" collapsed="1" x14ac:dyDescent="0.35">
      <c r="A1237" s="112" t="s">
        <v>1509</v>
      </c>
      <c r="B1237" s="112" t="s">
        <v>1510</v>
      </c>
      <c r="C1237" s="112" t="s">
        <v>695</v>
      </c>
      <c r="D1237" s="113">
        <v>10347977</v>
      </c>
      <c r="E1237" s="115">
        <v>43924</v>
      </c>
      <c r="F1237" s="114">
        <v>202101</v>
      </c>
      <c r="G1237" s="112" t="s">
        <v>1091</v>
      </c>
      <c r="H1237" s="112" t="s">
        <v>1015</v>
      </c>
      <c r="I1237" s="112" t="s">
        <v>757</v>
      </c>
      <c r="J1237" s="112" t="s">
        <v>1514</v>
      </c>
      <c r="K1237" s="112" t="s">
        <v>1667</v>
      </c>
      <c r="L1237" s="116">
        <v>-29</v>
      </c>
    </row>
    <row r="1238" spans="1:12" hidden="1" outlineLevel="1" collapsed="1" x14ac:dyDescent="0.35">
      <c r="A1238" s="112" t="s">
        <v>1509</v>
      </c>
      <c r="B1238" s="112" t="s">
        <v>1510</v>
      </c>
      <c r="C1238" s="112" t="s">
        <v>695</v>
      </c>
      <c r="D1238" s="113">
        <v>10347977</v>
      </c>
      <c r="E1238" s="115">
        <v>43924</v>
      </c>
      <c r="F1238" s="114">
        <v>202101</v>
      </c>
      <c r="G1238" s="112" t="s">
        <v>1091</v>
      </c>
      <c r="H1238" s="112" t="s">
        <v>1015</v>
      </c>
      <c r="I1238" s="112" t="s">
        <v>751</v>
      </c>
      <c r="J1238" s="112" t="s">
        <v>1525</v>
      </c>
      <c r="K1238" s="112" t="s">
        <v>1668</v>
      </c>
      <c r="L1238" s="116">
        <v>-365</v>
      </c>
    </row>
    <row r="1239" spans="1:12" hidden="1" outlineLevel="1" collapsed="1" x14ac:dyDescent="0.35">
      <c r="A1239" s="112" t="s">
        <v>1509</v>
      </c>
      <c r="B1239" s="112" t="s">
        <v>1510</v>
      </c>
      <c r="C1239" s="112" t="s">
        <v>695</v>
      </c>
      <c r="D1239" s="113">
        <v>10347977</v>
      </c>
      <c r="E1239" s="115">
        <v>43924</v>
      </c>
      <c r="F1239" s="114">
        <v>202101</v>
      </c>
      <c r="G1239" s="112" t="s">
        <v>1091</v>
      </c>
      <c r="H1239" s="112" t="s">
        <v>1015</v>
      </c>
      <c r="I1239" s="112" t="s">
        <v>757</v>
      </c>
      <c r="J1239" s="112" t="s">
        <v>1514</v>
      </c>
      <c r="K1239" s="112" t="s">
        <v>1669</v>
      </c>
      <c r="L1239" s="116">
        <v>-78</v>
      </c>
    </row>
    <row r="1240" spans="1:12" hidden="1" outlineLevel="1" collapsed="1" x14ac:dyDescent="0.35">
      <c r="A1240" s="112" t="s">
        <v>1509</v>
      </c>
      <c r="B1240" s="112" t="s">
        <v>1510</v>
      </c>
      <c r="C1240" s="112" t="s">
        <v>695</v>
      </c>
      <c r="D1240" s="113">
        <v>10347977</v>
      </c>
      <c r="E1240" s="115">
        <v>43924</v>
      </c>
      <c r="F1240" s="114">
        <v>202101</v>
      </c>
      <c r="G1240" s="112" t="s">
        <v>1091</v>
      </c>
      <c r="H1240" s="112" t="s">
        <v>1015</v>
      </c>
      <c r="I1240" s="112" t="s">
        <v>749</v>
      </c>
      <c r="J1240" s="112" t="s">
        <v>1514</v>
      </c>
      <c r="K1240" s="112" t="s">
        <v>1670</v>
      </c>
      <c r="L1240" s="116">
        <v>-75</v>
      </c>
    </row>
    <row r="1241" spans="1:12" hidden="1" outlineLevel="1" collapsed="1" x14ac:dyDescent="0.35">
      <c r="A1241" s="112" t="s">
        <v>1509</v>
      </c>
      <c r="B1241" s="112" t="s">
        <v>1510</v>
      </c>
      <c r="C1241" s="112" t="s">
        <v>695</v>
      </c>
      <c r="D1241" s="113">
        <v>10347977</v>
      </c>
      <c r="E1241" s="115">
        <v>43924</v>
      </c>
      <c r="F1241" s="114">
        <v>202101</v>
      </c>
      <c r="G1241" s="112" t="s">
        <v>1091</v>
      </c>
      <c r="H1241" s="112" t="s">
        <v>1015</v>
      </c>
      <c r="I1241" s="112" t="s">
        <v>749</v>
      </c>
      <c r="J1241" s="112" t="s">
        <v>1514</v>
      </c>
      <c r="K1241" s="112" t="s">
        <v>1671</v>
      </c>
      <c r="L1241" s="116">
        <v>-19</v>
      </c>
    </row>
    <row r="1242" spans="1:12" hidden="1" outlineLevel="1" collapsed="1" x14ac:dyDescent="0.35">
      <c r="A1242" s="112" t="s">
        <v>1509</v>
      </c>
      <c r="B1242" s="112" t="s">
        <v>1510</v>
      </c>
      <c r="C1242" s="112" t="s">
        <v>695</v>
      </c>
      <c r="D1242" s="113">
        <v>10347977</v>
      </c>
      <c r="E1242" s="115">
        <v>43924</v>
      </c>
      <c r="F1242" s="114">
        <v>202101</v>
      </c>
      <c r="G1242" s="112" t="s">
        <v>1091</v>
      </c>
      <c r="H1242" s="112" t="s">
        <v>1015</v>
      </c>
      <c r="I1242" s="112" t="s">
        <v>757</v>
      </c>
      <c r="J1242" s="112" t="s">
        <v>1512</v>
      </c>
      <c r="K1242" s="112" t="s">
        <v>1672</v>
      </c>
      <c r="L1242" s="116">
        <v>-25</v>
      </c>
    </row>
    <row r="1243" spans="1:12" hidden="1" outlineLevel="1" collapsed="1" x14ac:dyDescent="0.35">
      <c r="A1243" s="112" t="s">
        <v>1509</v>
      </c>
      <c r="B1243" s="112" t="s">
        <v>1510</v>
      </c>
      <c r="C1243" s="112" t="s">
        <v>695</v>
      </c>
      <c r="D1243" s="113">
        <v>10347977</v>
      </c>
      <c r="E1243" s="115">
        <v>43924</v>
      </c>
      <c r="F1243" s="114">
        <v>202101</v>
      </c>
      <c r="G1243" s="112" t="s">
        <v>1091</v>
      </c>
      <c r="H1243" s="112" t="s">
        <v>1015</v>
      </c>
      <c r="I1243" s="112" t="s">
        <v>749</v>
      </c>
      <c r="J1243" s="112" t="s">
        <v>1525</v>
      </c>
      <c r="K1243" s="112" t="s">
        <v>1673</v>
      </c>
      <c r="L1243" s="116">
        <v>-200</v>
      </c>
    </row>
    <row r="1244" spans="1:12" hidden="1" outlineLevel="1" collapsed="1" x14ac:dyDescent="0.35">
      <c r="A1244" s="112" t="s">
        <v>1509</v>
      </c>
      <c r="B1244" s="112" t="s">
        <v>1510</v>
      </c>
      <c r="C1244" s="112" t="s">
        <v>695</v>
      </c>
      <c r="D1244" s="113">
        <v>10347977</v>
      </c>
      <c r="E1244" s="115">
        <v>43924</v>
      </c>
      <c r="F1244" s="114">
        <v>202101</v>
      </c>
      <c r="G1244" s="112" t="s">
        <v>1091</v>
      </c>
      <c r="H1244" s="112" t="s">
        <v>1015</v>
      </c>
      <c r="I1244" s="112" t="s">
        <v>757</v>
      </c>
      <c r="J1244" s="112" t="s">
        <v>1514</v>
      </c>
      <c r="K1244" s="112" t="s">
        <v>1674</v>
      </c>
      <c r="L1244" s="116">
        <v>-123</v>
      </c>
    </row>
    <row r="1245" spans="1:12" hidden="1" outlineLevel="1" collapsed="1" x14ac:dyDescent="0.35">
      <c r="A1245" s="112" t="s">
        <v>1509</v>
      </c>
      <c r="B1245" s="112" t="s">
        <v>1510</v>
      </c>
      <c r="C1245" s="112" t="s">
        <v>695</v>
      </c>
      <c r="D1245" s="113">
        <v>10347977</v>
      </c>
      <c r="E1245" s="115">
        <v>43924</v>
      </c>
      <c r="F1245" s="114">
        <v>202101</v>
      </c>
      <c r="G1245" s="112" t="s">
        <v>1091</v>
      </c>
      <c r="H1245" s="112" t="s">
        <v>1015</v>
      </c>
      <c r="I1245" s="112" t="s">
        <v>751</v>
      </c>
      <c r="J1245" s="112" t="s">
        <v>1611</v>
      </c>
      <c r="K1245" s="112" t="s">
        <v>1675</v>
      </c>
      <c r="L1245" s="116">
        <v>-224</v>
      </c>
    </row>
    <row r="1246" spans="1:12" hidden="1" outlineLevel="1" collapsed="1" x14ac:dyDescent="0.35">
      <c r="A1246" s="112" t="s">
        <v>1509</v>
      </c>
      <c r="B1246" s="112" t="s">
        <v>1510</v>
      </c>
      <c r="C1246" s="112" t="s">
        <v>695</v>
      </c>
      <c r="D1246" s="113">
        <v>10347977</v>
      </c>
      <c r="E1246" s="115">
        <v>43924</v>
      </c>
      <c r="F1246" s="114">
        <v>202101</v>
      </c>
      <c r="G1246" s="112" t="s">
        <v>1091</v>
      </c>
      <c r="H1246" s="112" t="s">
        <v>1015</v>
      </c>
      <c r="I1246" s="112" t="s">
        <v>749</v>
      </c>
      <c r="J1246" s="112" t="s">
        <v>1611</v>
      </c>
      <c r="K1246" s="112" t="s">
        <v>1676</v>
      </c>
      <c r="L1246" s="116">
        <v>-402</v>
      </c>
    </row>
    <row r="1247" spans="1:12" hidden="1" outlineLevel="1" collapsed="1" x14ac:dyDescent="0.35">
      <c r="A1247" s="112" t="s">
        <v>1509</v>
      </c>
      <c r="B1247" s="112" t="s">
        <v>1510</v>
      </c>
      <c r="C1247" s="112" t="s">
        <v>695</v>
      </c>
      <c r="D1247" s="113">
        <v>10347977</v>
      </c>
      <c r="E1247" s="115">
        <v>43924</v>
      </c>
      <c r="F1247" s="114">
        <v>202101</v>
      </c>
      <c r="G1247" s="112" t="s">
        <v>1091</v>
      </c>
      <c r="H1247" s="112" t="s">
        <v>1015</v>
      </c>
      <c r="I1247" s="112" t="s">
        <v>749</v>
      </c>
      <c r="J1247" s="112" t="s">
        <v>1514</v>
      </c>
      <c r="K1247" s="112" t="s">
        <v>1677</v>
      </c>
      <c r="L1247" s="116">
        <v>-264</v>
      </c>
    </row>
    <row r="1248" spans="1:12" hidden="1" outlineLevel="1" collapsed="1" x14ac:dyDescent="0.35">
      <c r="A1248" s="112" t="s">
        <v>1509</v>
      </c>
      <c r="B1248" s="112" t="s">
        <v>1510</v>
      </c>
      <c r="C1248" s="112" t="s">
        <v>695</v>
      </c>
      <c r="D1248" s="113">
        <v>10347977</v>
      </c>
      <c r="E1248" s="115">
        <v>43924</v>
      </c>
      <c r="F1248" s="114">
        <v>202101</v>
      </c>
      <c r="G1248" s="112" t="s">
        <v>1091</v>
      </c>
      <c r="H1248" s="112" t="s">
        <v>1015</v>
      </c>
      <c r="I1248" s="112" t="s">
        <v>749</v>
      </c>
      <c r="J1248" s="112" t="s">
        <v>1514</v>
      </c>
      <c r="K1248" s="112" t="s">
        <v>1678</v>
      </c>
      <c r="L1248" s="116">
        <v>-20</v>
      </c>
    </row>
    <row r="1249" spans="1:12" hidden="1" outlineLevel="1" collapsed="1" x14ac:dyDescent="0.35">
      <c r="A1249" s="112" t="s">
        <v>1509</v>
      </c>
      <c r="B1249" s="112" t="s">
        <v>1510</v>
      </c>
      <c r="C1249" s="112" t="s">
        <v>695</v>
      </c>
      <c r="D1249" s="113">
        <v>10347977</v>
      </c>
      <c r="E1249" s="115">
        <v>43924</v>
      </c>
      <c r="F1249" s="114">
        <v>202101</v>
      </c>
      <c r="G1249" s="112" t="s">
        <v>1091</v>
      </c>
      <c r="H1249" s="112" t="s">
        <v>1015</v>
      </c>
      <c r="I1249" s="112" t="s">
        <v>751</v>
      </c>
      <c r="J1249" s="112" t="s">
        <v>1514</v>
      </c>
      <c r="K1249" s="112" t="s">
        <v>1679</v>
      </c>
      <c r="L1249" s="116">
        <v>-61</v>
      </c>
    </row>
    <row r="1250" spans="1:12" hidden="1" outlineLevel="1" collapsed="1" x14ac:dyDescent="0.35">
      <c r="A1250" s="112" t="s">
        <v>1509</v>
      </c>
      <c r="B1250" s="112" t="s">
        <v>1510</v>
      </c>
      <c r="C1250" s="112" t="s">
        <v>695</v>
      </c>
      <c r="D1250" s="113">
        <v>10347977</v>
      </c>
      <c r="E1250" s="115">
        <v>43924</v>
      </c>
      <c r="F1250" s="114">
        <v>202101</v>
      </c>
      <c r="G1250" s="112" t="s">
        <v>1091</v>
      </c>
      <c r="H1250" s="112" t="s">
        <v>1015</v>
      </c>
      <c r="I1250" s="112" t="s">
        <v>749</v>
      </c>
      <c r="J1250" s="112" t="s">
        <v>1611</v>
      </c>
      <c r="K1250" s="112" t="s">
        <v>1680</v>
      </c>
      <c r="L1250" s="116">
        <v>-144</v>
      </c>
    </row>
    <row r="1251" spans="1:12" hidden="1" outlineLevel="1" collapsed="1" x14ac:dyDescent="0.35">
      <c r="A1251" s="112" t="s">
        <v>1509</v>
      </c>
      <c r="B1251" s="112" t="s">
        <v>1510</v>
      </c>
      <c r="C1251" s="112" t="s">
        <v>695</v>
      </c>
      <c r="D1251" s="113">
        <v>10347977</v>
      </c>
      <c r="E1251" s="115">
        <v>43924</v>
      </c>
      <c r="F1251" s="114">
        <v>202101</v>
      </c>
      <c r="G1251" s="112" t="s">
        <v>1091</v>
      </c>
      <c r="H1251" s="112" t="s">
        <v>1015</v>
      </c>
      <c r="I1251" s="112" t="s">
        <v>757</v>
      </c>
      <c r="J1251" s="112" t="s">
        <v>1611</v>
      </c>
      <c r="K1251" s="112" t="s">
        <v>1681</v>
      </c>
      <c r="L1251" s="116">
        <v>-507</v>
      </c>
    </row>
    <row r="1252" spans="1:12" hidden="1" outlineLevel="1" collapsed="1" x14ac:dyDescent="0.35">
      <c r="A1252" s="112" t="s">
        <v>1509</v>
      </c>
      <c r="B1252" s="112" t="s">
        <v>1510</v>
      </c>
      <c r="C1252" s="112" t="s">
        <v>695</v>
      </c>
      <c r="D1252" s="113">
        <v>10347977</v>
      </c>
      <c r="E1252" s="115">
        <v>43924</v>
      </c>
      <c r="F1252" s="114">
        <v>202101</v>
      </c>
      <c r="G1252" s="112" t="s">
        <v>1091</v>
      </c>
      <c r="H1252" s="112" t="s">
        <v>1015</v>
      </c>
      <c r="I1252" s="112" t="s">
        <v>749</v>
      </c>
      <c r="J1252" s="112" t="s">
        <v>1514</v>
      </c>
      <c r="K1252" s="112" t="s">
        <v>1682</v>
      </c>
      <c r="L1252" s="116">
        <v>-54</v>
      </c>
    </row>
    <row r="1253" spans="1:12" hidden="1" outlineLevel="1" collapsed="1" x14ac:dyDescent="0.35">
      <c r="A1253" s="112" t="s">
        <v>1509</v>
      </c>
      <c r="B1253" s="112" t="s">
        <v>1510</v>
      </c>
      <c r="C1253" s="112" t="s">
        <v>695</v>
      </c>
      <c r="D1253" s="113">
        <v>10347977</v>
      </c>
      <c r="E1253" s="115">
        <v>43924</v>
      </c>
      <c r="F1253" s="114">
        <v>202101</v>
      </c>
      <c r="G1253" s="112" t="s">
        <v>1091</v>
      </c>
      <c r="H1253" s="112" t="s">
        <v>1015</v>
      </c>
      <c r="I1253" s="112" t="s">
        <v>751</v>
      </c>
      <c r="J1253" s="112" t="s">
        <v>1514</v>
      </c>
      <c r="K1253" s="112" t="s">
        <v>1683</v>
      </c>
      <c r="L1253" s="116">
        <v>-39</v>
      </c>
    </row>
    <row r="1254" spans="1:12" hidden="1" outlineLevel="1" collapsed="1" x14ac:dyDescent="0.35">
      <c r="A1254" s="112" t="s">
        <v>1509</v>
      </c>
      <c r="B1254" s="112" t="s">
        <v>1510</v>
      </c>
      <c r="C1254" s="112" t="s">
        <v>695</v>
      </c>
      <c r="D1254" s="113">
        <v>10347977</v>
      </c>
      <c r="E1254" s="115">
        <v>43924</v>
      </c>
      <c r="F1254" s="114">
        <v>202101</v>
      </c>
      <c r="G1254" s="112" t="s">
        <v>1091</v>
      </c>
      <c r="H1254" s="112" t="s">
        <v>1015</v>
      </c>
      <c r="I1254" s="112" t="s">
        <v>757</v>
      </c>
      <c r="J1254" s="112" t="s">
        <v>1514</v>
      </c>
      <c r="K1254" s="112" t="s">
        <v>1684</v>
      </c>
      <c r="L1254" s="116">
        <v>-49</v>
      </c>
    </row>
    <row r="1255" spans="1:12" hidden="1" outlineLevel="1" collapsed="1" x14ac:dyDescent="0.35">
      <c r="A1255" s="112" t="s">
        <v>1509</v>
      </c>
      <c r="B1255" s="112" t="s">
        <v>1510</v>
      </c>
      <c r="C1255" s="112" t="s">
        <v>695</v>
      </c>
      <c r="D1255" s="113">
        <v>10347977</v>
      </c>
      <c r="E1255" s="115">
        <v>43924</v>
      </c>
      <c r="F1255" s="114">
        <v>202101</v>
      </c>
      <c r="G1255" s="112" t="s">
        <v>1091</v>
      </c>
      <c r="H1255" s="112" t="s">
        <v>1015</v>
      </c>
      <c r="I1255" s="112" t="s">
        <v>749</v>
      </c>
      <c r="J1255" s="112" t="s">
        <v>1512</v>
      </c>
      <c r="K1255" s="112" t="s">
        <v>1685</v>
      </c>
      <c r="L1255" s="116">
        <v>-162</v>
      </c>
    </row>
    <row r="1256" spans="1:12" hidden="1" outlineLevel="1" collapsed="1" x14ac:dyDescent="0.35">
      <c r="A1256" s="112" t="s">
        <v>1509</v>
      </c>
      <c r="B1256" s="112" t="s">
        <v>902</v>
      </c>
      <c r="C1256" s="112" t="s">
        <v>695</v>
      </c>
      <c r="D1256" s="113">
        <v>10348240</v>
      </c>
      <c r="E1256" s="115">
        <v>43936</v>
      </c>
      <c r="F1256" s="114">
        <v>202101</v>
      </c>
      <c r="G1256" s="112" t="s">
        <v>1091</v>
      </c>
      <c r="H1256" s="112" t="s">
        <v>1015</v>
      </c>
      <c r="I1256" s="112" t="s">
        <v>763</v>
      </c>
      <c r="J1256" s="112" t="s">
        <v>1545</v>
      </c>
      <c r="K1256" s="112" t="s">
        <v>1686</v>
      </c>
      <c r="L1256" s="116">
        <v>-237079</v>
      </c>
    </row>
    <row r="1257" spans="1:12" hidden="1" outlineLevel="1" collapsed="1" x14ac:dyDescent="0.35">
      <c r="A1257" s="112" t="s">
        <v>1509</v>
      </c>
      <c r="B1257" s="112" t="s">
        <v>1510</v>
      </c>
      <c r="C1257" s="112" t="s">
        <v>1511</v>
      </c>
      <c r="D1257" s="113">
        <v>47036488</v>
      </c>
      <c r="E1257" s="115">
        <v>43920</v>
      </c>
      <c r="F1257" s="114">
        <v>202101</v>
      </c>
      <c r="G1257" s="112" t="s">
        <v>1091</v>
      </c>
      <c r="H1257" s="112" t="s">
        <v>1015</v>
      </c>
      <c r="I1257" s="112" t="s">
        <v>749</v>
      </c>
      <c r="J1257" s="112" t="s">
        <v>1514</v>
      </c>
      <c r="K1257" s="112" t="s">
        <v>1687</v>
      </c>
      <c r="L1257" s="116">
        <v>430.45</v>
      </c>
    </row>
    <row r="1258" spans="1:12" hidden="1" outlineLevel="1" collapsed="1" x14ac:dyDescent="0.35">
      <c r="A1258" s="112" t="s">
        <v>1509</v>
      </c>
      <c r="B1258" s="112" t="s">
        <v>1510</v>
      </c>
      <c r="C1258" s="112" t="s">
        <v>1511</v>
      </c>
      <c r="D1258" s="113">
        <v>47036498</v>
      </c>
      <c r="E1258" s="115">
        <v>43923</v>
      </c>
      <c r="F1258" s="114">
        <v>202101</v>
      </c>
      <c r="G1258" s="112" t="s">
        <v>1091</v>
      </c>
      <c r="H1258" s="112" t="s">
        <v>1015</v>
      </c>
      <c r="I1258" s="112" t="s">
        <v>757</v>
      </c>
      <c r="J1258" s="112" t="s">
        <v>1514</v>
      </c>
      <c r="K1258" s="112" t="s">
        <v>1688</v>
      </c>
      <c r="L1258" s="116">
        <v>333.15</v>
      </c>
    </row>
    <row r="1259" spans="1:12" hidden="1" outlineLevel="1" collapsed="1" x14ac:dyDescent="0.35">
      <c r="A1259" s="112" t="s">
        <v>1509</v>
      </c>
      <c r="B1259" s="112" t="s">
        <v>1510</v>
      </c>
      <c r="C1259" s="112" t="s">
        <v>695</v>
      </c>
      <c r="D1259" s="113">
        <v>10348018</v>
      </c>
      <c r="E1259" s="115">
        <v>43927</v>
      </c>
      <c r="F1259" s="114">
        <v>202101</v>
      </c>
      <c r="G1259" s="112" t="s">
        <v>1091</v>
      </c>
      <c r="H1259" s="112" t="s">
        <v>1015</v>
      </c>
      <c r="I1259" s="112" t="s">
        <v>1532</v>
      </c>
      <c r="J1259" s="112" t="s">
        <v>1618</v>
      </c>
      <c r="K1259" s="112" t="s">
        <v>1689</v>
      </c>
      <c r="L1259" s="116">
        <v>-2054.84</v>
      </c>
    </row>
    <row r="1260" spans="1:12" hidden="1" outlineLevel="1" collapsed="1" x14ac:dyDescent="0.35">
      <c r="A1260" s="112" t="s">
        <v>1509</v>
      </c>
      <c r="B1260" s="112" t="s">
        <v>1510</v>
      </c>
      <c r="C1260" s="112" t="s">
        <v>695</v>
      </c>
      <c r="D1260" s="113">
        <v>10347977</v>
      </c>
      <c r="E1260" s="115">
        <v>43924</v>
      </c>
      <c r="F1260" s="114">
        <v>202101</v>
      </c>
      <c r="G1260" s="112" t="s">
        <v>1091</v>
      </c>
      <c r="H1260" s="112" t="s">
        <v>1015</v>
      </c>
      <c r="I1260" s="112" t="s">
        <v>749</v>
      </c>
      <c r="J1260" s="112" t="s">
        <v>1533</v>
      </c>
      <c r="K1260" s="112" t="s">
        <v>1690</v>
      </c>
      <c r="L1260" s="116">
        <v>-482</v>
      </c>
    </row>
    <row r="1261" spans="1:12" hidden="1" outlineLevel="1" collapsed="1" x14ac:dyDescent="0.35">
      <c r="A1261" s="112" t="s">
        <v>1509</v>
      </c>
      <c r="B1261" s="112" t="s">
        <v>1510</v>
      </c>
      <c r="C1261" s="112" t="s">
        <v>695</v>
      </c>
      <c r="D1261" s="113">
        <v>10347977</v>
      </c>
      <c r="E1261" s="115">
        <v>43924</v>
      </c>
      <c r="F1261" s="114">
        <v>202101</v>
      </c>
      <c r="G1261" s="112" t="s">
        <v>1091</v>
      </c>
      <c r="H1261" s="112" t="s">
        <v>1015</v>
      </c>
      <c r="I1261" s="112" t="s">
        <v>749</v>
      </c>
      <c r="J1261" s="112" t="s">
        <v>1514</v>
      </c>
      <c r="K1261" s="112" t="s">
        <v>1691</v>
      </c>
      <c r="L1261" s="116">
        <v>-11</v>
      </c>
    </row>
    <row r="1262" spans="1:12" hidden="1" outlineLevel="1" collapsed="1" x14ac:dyDescent="0.35">
      <c r="A1262" s="112" t="s">
        <v>1509</v>
      </c>
      <c r="B1262" s="112" t="s">
        <v>1510</v>
      </c>
      <c r="C1262" s="112" t="s">
        <v>695</v>
      </c>
      <c r="D1262" s="113">
        <v>10347977</v>
      </c>
      <c r="E1262" s="115">
        <v>43924</v>
      </c>
      <c r="F1262" s="114">
        <v>202101</v>
      </c>
      <c r="G1262" s="112" t="s">
        <v>1091</v>
      </c>
      <c r="H1262" s="112" t="s">
        <v>1015</v>
      </c>
      <c r="I1262" s="112" t="s">
        <v>749</v>
      </c>
      <c r="J1262" s="112" t="s">
        <v>1514</v>
      </c>
      <c r="K1262" s="112" t="s">
        <v>1682</v>
      </c>
      <c r="L1262" s="116">
        <v>-1087</v>
      </c>
    </row>
    <row r="1263" spans="1:12" hidden="1" outlineLevel="1" collapsed="1" x14ac:dyDescent="0.35">
      <c r="A1263" s="112" t="s">
        <v>1509</v>
      </c>
      <c r="B1263" s="112" t="s">
        <v>1520</v>
      </c>
      <c r="C1263" s="112" t="s">
        <v>695</v>
      </c>
      <c r="D1263" s="113">
        <v>10347981</v>
      </c>
      <c r="E1263" s="115">
        <v>43924</v>
      </c>
      <c r="F1263" s="114">
        <v>202101</v>
      </c>
      <c r="G1263" s="112" t="s">
        <v>1091</v>
      </c>
      <c r="H1263" s="112" t="s">
        <v>1015</v>
      </c>
      <c r="I1263" s="112" t="s">
        <v>763</v>
      </c>
      <c r="J1263" s="112" t="s">
        <v>1692</v>
      </c>
      <c r="K1263" s="112" t="s">
        <v>1693</v>
      </c>
      <c r="L1263" s="116">
        <v>-5092.74</v>
      </c>
    </row>
    <row r="1264" spans="1:12" hidden="1" outlineLevel="1" collapsed="1" x14ac:dyDescent="0.35">
      <c r="A1264" s="112" t="s">
        <v>1509</v>
      </c>
      <c r="B1264" s="112" t="s">
        <v>902</v>
      </c>
      <c r="C1264" s="112" t="s">
        <v>1095</v>
      </c>
      <c r="D1264" s="113">
        <v>10348451</v>
      </c>
      <c r="E1264" s="115">
        <v>43949</v>
      </c>
      <c r="F1264" s="114">
        <v>202101</v>
      </c>
      <c r="G1264" s="112" t="s">
        <v>1091</v>
      </c>
      <c r="H1264" s="112" t="s">
        <v>1015</v>
      </c>
      <c r="I1264" s="112" t="s">
        <v>1096</v>
      </c>
      <c r="J1264" s="112" t="s">
        <v>1517</v>
      </c>
      <c r="K1264" s="112" t="s">
        <v>1098</v>
      </c>
      <c r="L1264" s="116">
        <v>378.29</v>
      </c>
    </row>
    <row r="1265" spans="1:12" hidden="1" outlineLevel="1" collapsed="1" x14ac:dyDescent="0.35">
      <c r="A1265" s="112" t="s">
        <v>1509</v>
      </c>
      <c r="B1265" s="112" t="s">
        <v>1510</v>
      </c>
      <c r="C1265" s="112" t="s">
        <v>1518</v>
      </c>
      <c r="D1265" s="113">
        <v>51366095</v>
      </c>
      <c r="E1265" s="115">
        <v>43931</v>
      </c>
      <c r="F1265" s="114">
        <v>202101</v>
      </c>
      <c r="G1265" s="112" t="s">
        <v>1091</v>
      </c>
      <c r="H1265" s="112" t="s">
        <v>1016</v>
      </c>
      <c r="I1265" s="112" t="s">
        <v>823</v>
      </c>
      <c r="J1265" s="112" t="s">
        <v>1514</v>
      </c>
      <c r="K1265" s="112" t="s">
        <v>1694</v>
      </c>
      <c r="L1265" s="116">
        <v>-416.14</v>
      </c>
    </row>
    <row r="1266" spans="1:12" hidden="1" outlineLevel="1" collapsed="1" x14ac:dyDescent="0.35">
      <c r="A1266" s="112" t="s">
        <v>1509</v>
      </c>
      <c r="B1266" s="112" t="s">
        <v>1510</v>
      </c>
      <c r="C1266" s="112" t="s">
        <v>1518</v>
      </c>
      <c r="D1266" s="113">
        <v>51366094</v>
      </c>
      <c r="E1266" s="115">
        <v>43931</v>
      </c>
      <c r="F1266" s="114">
        <v>202101</v>
      </c>
      <c r="G1266" s="112" t="s">
        <v>1091</v>
      </c>
      <c r="H1266" s="112" t="s">
        <v>1016</v>
      </c>
      <c r="I1266" s="112" t="s">
        <v>1695</v>
      </c>
      <c r="J1266" s="112" t="s">
        <v>1514</v>
      </c>
      <c r="K1266" s="112" t="s">
        <v>1696</v>
      </c>
      <c r="L1266" s="116">
        <v>-2303</v>
      </c>
    </row>
    <row r="1267" spans="1:12" hidden="1" outlineLevel="1" collapsed="1" x14ac:dyDescent="0.35">
      <c r="A1267" s="112" t="s">
        <v>1509</v>
      </c>
      <c r="B1267" s="112" t="s">
        <v>1510</v>
      </c>
      <c r="C1267" s="112" t="s">
        <v>1518</v>
      </c>
      <c r="D1267" s="113">
        <v>51366091</v>
      </c>
      <c r="E1267" s="115">
        <v>43931</v>
      </c>
      <c r="F1267" s="114">
        <v>202101</v>
      </c>
      <c r="G1267" s="112" t="s">
        <v>1091</v>
      </c>
      <c r="H1267" s="112" t="s">
        <v>1016</v>
      </c>
      <c r="I1267" s="112" t="s">
        <v>823</v>
      </c>
      <c r="J1267" s="112" t="s">
        <v>1514</v>
      </c>
      <c r="K1267" s="112" t="s">
        <v>1697</v>
      </c>
      <c r="L1267" s="116">
        <v>-2484.25</v>
      </c>
    </row>
    <row r="1268" spans="1:12" hidden="1" outlineLevel="1" collapsed="1" x14ac:dyDescent="0.35">
      <c r="A1268" s="112" t="s">
        <v>1509</v>
      </c>
      <c r="B1268" s="112" t="s">
        <v>902</v>
      </c>
      <c r="C1268" s="112" t="s">
        <v>1095</v>
      </c>
      <c r="D1268" s="113">
        <v>10348451</v>
      </c>
      <c r="E1268" s="115">
        <v>43949</v>
      </c>
      <c r="F1268" s="114">
        <v>202101</v>
      </c>
      <c r="G1268" s="112" t="s">
        <v>1091</v>
      </c>
      <c r="H1268" s="112" t="s">
        <v>1015</v>
      </c>
      <c r="I1268" s="112" t="s">
        <v>1101</v>
      </c>
      <c r="J1268" s="112" t="s">
        <v>1517</v>
      </c>
      <c r="K1268" s="112" t="s">
        <v>1098</v>
      </c>
      <c r="L1268" s="116">
        <v>562.66999999999996</v>
      </c>
    </row>
    <row r="1269" spans="1:12" hidden="1" outlineLevel="1" collapsed="1" x14ac:dyDescent="0.35">
      <c r="A1269" s="112" t="s">
        <v>1509</v>
      </c>
      <c r="B1269" s="112" t="s">
        <v>1520</v>
      </c>
      <c r="C1269" s="112" t="s">
        <v>695</v>
      </c>
      <c r="D1269" s="113">
        <v>10347979</v>
      </c>
      <c r="E1269" s="115">
        <v>43924</v>
      </c>
      <c r="F1269" s="114">
        <v>202101</v>
      </c>
      <c r="G1269" s="112" t="s">
        <v>1091</v>
      </c>
      <c r="H1269" s="112" t="s">
        <v>1015</v>
      </c>
      <c r="I1269" s="112" t="s">
        <v>1536</v>
      </c>
      <c r="J1269" s="112" t="s">
        <v>1537</v>
      </c>
      <c r="K1269" s="112" t="s">
        <v>1698</v>
      </c>
      <c r="L1269" s="116">
        <v>-9</v>
      </c>
    </row>
    <row r="1270" spans="1:12" hidden="1" outlineLevel="1" collapsed="1" x14ac:dyDescent="0.35">
      <c r="A1270" s="112" t="s">
        <v>1509</v>
      </c>
      <c r="B1270" s="112" t="s">
        <v>1520</v>
      </c>
      <c r="C1270" s="112" t="s">
        <v>695</v>
      </c>
      <c r="D1270" s="113">
        <v>10347973</v>
      </c>
      <c r="E1270" s="115">
        <v>43924</v>
      </c>
      <c r="F1270" s="114">
        <v>202101</v>
      </c>
      <c r="G1270" s="112" t="s">
        <v>1091</v>
      </c>
      <c r="H1270" s="112" t="s">
        <v>1015</v>
      </c>
      <c r="I1270" s="112" t="s">
        <v>1699</v>
      </c>
      <c r="J1270" s="112" t="s">
        <v>1537</v>
      </c>
      <c r="K1270" s="112" t="s">
        <v>865</v>
      </c>
      <c r="L1270" s="116">
        <v>-60.79</v>
      </c>
    </row>
    <row r="1271" spans="1:12" hidden="1" outlineLevel="1" collapsed="1" x14ac:dyDescent="0.35">
      <c r="A1271" s="112" t="s">
        <v>1509</v>
      </c>
      <c r="B1271" s="112" t="s">
        <v>1510</v>
      </c>
      <c r="C1271" s="112" t="s">
        <v>1511</v>
      </c>
      <c r="D1271" s="113">
        <v>47036606</v>
      </c>
      <c r="E1271" s="115">
        <v>43930</v>
      </c>
      <c r="F1271" s="114">
        <v>202101</v>
      </c>
      <c r="G1271" s="112" t="s">
        <v>1091</v>
      </c>
      <c r="H1271" s="112" t="s">
        <v>1015</v>
      </c>
      <c r="I1271" s="112" t="s">
        <v>751</v>
      </c>
      <c r="J1271" s="112" t="s">
        <v>1611</v>
      </c>
      <c r="K1271" s="112" t="s">
        <v>1700</v>
      </c>
      <c r="L1271" s="116">
        <v>421.22</v>
      </c>
    </row>
    <row r="1272" spans="1:12" hidden="1" outlineLevel="1" collapsed="1" x14ac:dyDescent="0.35">
      <c r="A1272" s="112" t="s">
        <v>1509</v>
      </c>
      <c r="B1272" s="112" t="s">
        <v>1510</v>
      </c>
      <c r="C1272" s="112" t="s">
        <v>1511</v>
      </c>
      <c r="D1272" s="113">
        <v>47036600</v>
      </c>
      <c r="E1272" s="115">
        <v>43925</v>
      </c>
      <c r="F1272" s="114">
        <v>202101</v>
      </c>
      <c r="G1272" s="112" t="s">
        <v>1091</v>
      </c>
      <c r="H1272" s="112" t="s">
        <v>1015</v>
      </c>
      <c r="I1272" s="112" t="s">
        <v>751</v>
      </c>
      <c r="J1272" s="112" t="s">
        <v>1514</v>
      </c>
      <c r="K1272" s="112" t="s">
        <v>1701</v>
      </c>
      <c r="L1272" s="116">
        <v>140.62</v>
      </c>
    </row>
    <row r="1273" spans="1:12" hidden="1" outlineLevel="1" collapsed="1" x14ac:dyDescent="0.35">
      <c r="A1273" s="112" t="s">
        <v>1509</v>
      </c>
      <c r="B1273" s="112" t="s">
        <v>1510</v>
      </c>
      <c r="C1273" s="112" t="s">
        <v>1266</v>
      </c>
      <c r="D1273" s="113">
        <v>1069679</v>
      </c>
      <c r="E1273" s="115">
        <v>43880</v>
      </c>
      <c r="F1273" s="114">
        <v>202101</v>
      </c>
      <c r="G1273" s="112" t="s">
        <v>1091</v>
      </c>
      <c r="H1273" s="112" t="s">
        <v>1015</v>
      </c>
      <c r="I1273" s="112" t="s">
        <v>1557</v>
      </c>
      <c r="J1273" s="112" t="s">
        <v>1514</v>
      </c>
      <c r="K1273" s="112" t="s">
        <v>1702</v>
      </c>
      <c r="L1273" s="116">
        <v>3481.44</v>
      </c>
    </row>
    <row r="1274" spans="1:12" hidden="1" outlineLevel="1" collapsed="1" x14ac:dyDescent="0.35">
      <c r="A1274" s="112" t="s">
        <v>1509</v>
      </c>
      <c r="B1274" s="112" t="s">
        <v>1510</v>
      </c>
      <c r="C1274" s="112" t="s">
        <v>695</v>
      </c>
      <c r="D1274" s="113">
        <v>10348018</v>
      </c>
      <c r="E1274" s="115">
        <v>43927</v>
      </c>
      <c r="F1274" s="114">
        <v>202101</v>
      </c>
      <c r="G1274" s="112" t="s">
        <v>1091</v>
      </c>
      <c r="H1274" s="112" t="s">
        <v>1015</v>
      </c>
      <c r="I1274" s="112" t="s">
        <v>1643</v>
      </c>
      <c r="J1274" s="112" t="s">
        <v>1525</v>
      </c>
      <c r="K1274" s="112" t="s">
        <v>1689</v>
      </c>
      <c r="L1274" s="116">
        <v>-223.2</v>
      </c>
    </row>
    <row r="1275" spans="1:12" hidden="1" outlineLevel="1" collapsed="1" x14ac:dyDescent="0.35">
      <c r="A1275" s="112" t="s">
        <v>1509</v>
      </c>
      <c r="B1275" s="112" t="s">
        <v>1520</v>
      </c>
      <c r="C1275" s="112" t="s">
        <v>695</v>
      </c>
      <c r="D1275" s="113">
        <v>10348473</v>
      </c>
      <c r="E1275" s="115">
        <v>43948</v>
      </c>
      <c r="F1275" s="114">
        <v>202101</v>
      </c>
      <c r="G1275" s="112" t="s">
        <v>1091</v>
      </c>
      <c r="H1275" s="112" t="s">
        <v>1016</v>
      </c>
      <c r="I1275" s="112" t="s">
        <v>1328</v>
      </c>
      <c r="J1275" s="112" t="s">
        <v>1537</v>
      </c>
      <c r="K1275" s="112" t="s">
        <v>1703</v>
      </c>
      <c r="L1275" s="116">
        <v>25000</v>
      </c>
    </row>
    <row r="1276" spans="1:12" hidden="1" outlineLevel="1" collapsed="1" x14ac:dyDescent="0.35">
      <c r="A1276" s="112" t="s">
        <v>1509</v>
      </c>
      <c r="B1276" s="112" t="s">
        <v>903</v>
      </c>
      <c r="C1276" s="112" t="s">
        <v>1095</v>
      </c>
      <c r="D1276" s="113">
        <v>10348451</v>
      </c>
      <c r="E1276" s="115">
        <v>43949</v>
      </c>
      <c r="F1276" s="114">
        <v>202101</v>
      </c>
      <c r="G1276" s="112" t="s">
        <v>1091</v>
      </c>
      <c r="H1276" s="112" t="s">
        <v>1015</v>
      </c>
      <c r="I1276" s="112" t="s">
        <v>1479</v>
      </c>
      <c r="J1276" s="112" t="s">
        <v>1551</v>
      </c>
      <c r="K1276" s="112" t="s">
        <v>1098</v>
      </c>
      <c r="L1276" s="116">
        <v>602.28</v>
      </c>
    </row>
    <row r="1277" spans="1:12" hidden="1" outlineLevel="1" collapsed="1" x14ac:dyDescent="0.35">
      <c r="A1277" s="112" t="s">
        <v>1509</v>
      </c>
      <c r="B1277" s="112" t="s">
        <v>1510</v>
      </c>
      <c r="C1277" s="112" t="s">
        <v>695</v>
      </c>
      <c r="D1277" s="113">
        <v>10347977</v>
      </c>
      <c r="E1277" s="115">
        <v>43924</v>
      </c>
      <c r="F1277" s="114">
        <v>202101</v>
      </c>
      <c r="G1277" s="112" t="s">
        <v>1091</v>
      </c>
      <c r="H1277" s="112" t="s">
        <v>1015</v>
      </c>
      <c r="I1277" s="112" t="s">
        <v>749</v>
      </c>
      <c r="J1277" s="112" t="s">
        <v>1512</v>
      </c>
      <c r="K1277" s="112" t="s">
        <v>1704</v>
      </c>
      <c r="L1277" s="116">
        <v>-1041</v>
      </c>
    </row>
    <row r="1278" spans="1:12" hidden="1" outlineLevel="1" collapsed="1" x14ac:dyDescent="0.35">
      <c r="A1278" s="112" t="s">
        <v>1509</v>
      </c>
      <c r="B1278" s="112" t="s">
        <v>903</v>
      </c>
      <c r="C1278" s="112" t="s">
        <v>203</v>
      </c>
      <c r="D1278" s="113">
        <v>10348453</v>
      </c>
      <c r="E1278" s="115">
        <v>43948</v>
      </c>
      <c r="F1278" s="114">
        <v>202101</v>
      </c>
      <c r="G1278" s="112" t="s">
        <v>1091</v>
      </c>
      <c r="H1278" s="112" t="s">
        <v>1015</v>
      </c>
      <c r="I1278" s="112" t="s">
        <v>1479</v>
      </c>
      <c r="J1278" s="112" t="s">
        <v>1551</v>
      </c>
      <c r="K1278" s="112" t="s">
        <v>1098</v>
      </c>
      <c r="L1278" s="116">
        <v>-602.28</v>
      </c>
    </row>
    <row r="1279" spans="1:12" hidden="1" outlineLevel="1" collapsed="1" x14ac:dyDescent="0.35">
      <c r="A1279" s="112" t="s">
        <v>1509</v>
      </c>
      <c r="B1279" s="112" t="s">
        <v>1510</v>
      </c>
      <c r="C1279" s="112" t="s">
        <v>695</v>
      </c>
      <c r="D1279" s="113">
        <v>10347977</v>
      </c>
      <c r="E1279" s="115">
        <v>43924</v>
      </c>
      <c r="F1279" s="114">
        <v>202101</v>
      </c>
      <c r="G1279" s="112" t="s">
        <v>1091</v>
      </c>
      <c r="H1279" s="112" t="s">
        <v>1015</v>
      </c>
      <c r="I1279" s="112" t="s">
        <v>749</v>
      </c>
      <c r="J1279" s="112" t="s">
        <v>1514</v>
      </c>
      <c r="K1279" s="112" t="s">
        <v>1705</v>
      </c>
      <c r="L1279" s="116">
        <v>-59</v>
      </c>
    </row>
    <row r="1280" spans="1:12" hidden="1" outlineLevel="1" collapsed="1" x14ac:dyDescent="0.35">
      <c r="A1280" s="112" t="s">
        <v>1509</v>
      </c>
      <c r="B1280" s="112" t="s">
        <v>1510</v>
      </c>
      <c r="C1280" s="112" t="s">
        <v>695</v>
      </c>
      <c r="D1280" s="113">
        <v>10347977</v>
      </c>
      <c r="E1280" s="115">
        <v>43924</v>
      </c>
      <c r="F1280" s="114">
        <v>202101</v>
      </c>
      <c r="G1280" s="112" t="s">
        <v>1091</v>
      </c>
      <c r="H1280" s="112" t="s">
        <v>1015</v>
      </c>
      <c r="I1280" s="112" t="s">
        <v>749</v>
      </c>
      <c r="J1280" s="112" t="s">
        <v>1512</v>
      </c>
      <c r="K1280" s="112" t="s">
        <v>1706</v>
      </c>
      <c r="L1280" s="116">
        <v>-27</v>
      </c>
    </row>
    <row r="1281" spans="1:12" hidden="1" outlineLevel="1" collapsed="1" x14ac:dyDescent="0.35">
      <c r="A1281" s="112" t="s">
        <v>1509</v>
      </c>
      <c r="B1281" s="112" t="s">
        <v>1510</v>
      </c>
      <c r="C1281" s="112" t="s">
        <v>695</v>
      </c>
      <c r="D1281" s="113">
        <v>10347977</v>
      </c>
      <c r="E1281" s="115">
        <v>43924</v>
      </c>
      <c r="F1281" s="114">
        <v>202101</v>
      </c>
      <c r="G1281" s="112" t="s">
        <v>1091</v>
      </c>
      <c r="H1281" s="112" t="s">
        <v>1015</v>
      </c>
      <c r="I1281" s="112" t="s">
        <v>749</v>
      </c>
      <c r="J1281" s="112" t="s">
        <v>1514</v>
      </c>
      <c r="K1281" s="112" t="s">
        <v>1571</v>
      </c>
      <c r="L1281" s="116">
        <v>-84</v>
      </c>
    </row>
    <row r="1282" spans="1:12" hidden="1" outlineLevel="1" collapsed="1" x14ac:dyDescent="0.35">
      <c r="A1282" s="112" t="s">
        <v>1509</v>
      </c>
      <c r="B1282" s="112" t="s">
        <v>1510</v>
      </c>
      <c r="C1282" s="112" t="s">
        <v>1518</v>
      </c>
      <c r="D1282" s="113">
        <v>51366112</v>
      </c>
      <c r="E1282" s="115">
        <v>43931</v>
      </c>
      <c r="F1282" s="114">
        <v>202101</v>
      </c>
      <c r="G1282" s="112" t="s">
        <v>1091</v>
      </c>
      <c r="H1282" s="112" t="s">
        <v>1016</v>
      </c>
      <c r="I1282" s="112" t="s">
        <v>823</v>
      </c>
      <c r="J1282" s="112" t="s">
        <v>1514</v>
      </c>
      <c r="K1282" s="112" t="s">
        <v>1707</v>
      </c>
      <c r="L1282" s="116">
        <v>-791.67</v>
      </c>
    </row>
    <row r="1283" spans="1:12" hidden="1" outlineLevel="1" collapsed="1" x14ac:dyDescent="0.35">
      <c r="A1283" s="112" t="s">
        <v>1509</v>
      </c>
      <c r="B1283" s="112" t="s">
        <v>1510</v>
      </c>
      <c r="C1283" s="112" t="s">
        <v>695</v>
      </c>
      <c r="D1283" s="113">
        <v>10347977</v>
      </c>
      <c r="E1283" s="115">
        <v>43924</v>
      </c>
      <c r="F1283" s="114">
        <v>202101</v>
      </c>
      <c r="G1283" s="112" t="s">
        <v>1091</v>
      </c>
      <c r="H1283" s="112" t="s">
        <v>1015</v>
      </c>
      <c r="I1283" s="112" t="s">
        <v>749</v>
      </c>
      <c r="J1283" s="112" t="s">
        <v>1514</v>
      </c>
      <c r="K1283" s="112" t="s">
        <v>1571</v>
      </c>
      <c r="L1283" s="116">
        <v>-17</v>
      </c>
    </row>
    <row r="1284" spans="1:12" hidden="1" outlineLevel="1" collapsed="1" x14ac:dyDescent="0.35">
      <c r="A1284" s="112" t="s">
        <v>1509</v>
      </c>
      <c r="B1284" s="112" t="s">
        <v>1510</v>
      </c>
      <c r="C1284" s="112" t="s">
        <v>695</v>
      </c>
      <c r="D1284" s="113">
        <v>10347977</v>
      </c>
      <c r="E1284" s="115">
        <v>43924</v>
      </c>
      <c r="F1284" s="114">
        <v>202101</v>
      </c>
      <c r="G1284" s="112" t="s">
        <v>1091</v>
      </c>
      <c r="H1284" s="112" t="s">
        <v>1015</v>
      </c>
      <c r="I1284" s="112" t="s">
        <v>749</v>
      </c>
      <c r="J1284" s="112" t="s">
        <v>1512</v>
      </c>
      <c r="K1284" s="112" t="s">
        <v>1708</v>
      </c>
      <c r="L1284" s="116">
        <v>-793</v>
      </c>
    </row>
    <row r="1285" spans="1:12" hidden="1" outlineLevel="1" collapsed="1" x14ac:dyDescent="0.35">
      <c r="A1285" s="112" t="s">
        <v>1509</v>
      </c>
      <c r="B1285" s="112" t="s">
        <v>1510</v>
      </c>
      <c r="C1285" s="112" t="s">
        <v>1518</v>
      </c>
      <c r="D1285" s="113">
        <v>51366111</v>
      </c>
      <c r="E1285" s="115">
        <v>43931</v>
      </c>
      <c r="F1285" s="114">
        <v>202101</v>
      </c>
      <c r="G1285" s="112" t="s">
        <v>1091</v>
      </c>
      <c r="H1285" s="112" t="s">
        <v>1016</v>
      </c>
      <c r="I1285" s="112" t="s">
        <v>823</v>
      </c>
      <c r="J1285" s="112" t="s">
        <v>1514</v>
      </c>
      <c r="K1285" s="112" t="s">
        <v>1697</v>
      </c>
      <c r="L1285" s="116">
        <v>-1937.5</v>
      </c>
    </row>
    <row r="1286" spans="1:12" hidden="1" outlineLevel="1" collapsed="1" x14ac:dyDescent="0.35">
      <c r="A1286" s="112" t="s">
        <v>1509</v>
      </c>
      <c r="B1286" s="112" t="s">
        <v>1510</v>
      </c>
      <c r="C1286" s="112" t="s">
        <v>695</v>
      </c>
      <c r="D1286" s="113">
        <v>10347977</v>
      </c>
      <c r="E1286" s="115">
        <v>43924</v>
      </c>
      <c r="F1286" s="114">
        <v>202101</v>
      </c>
      <c r="G1286" s="112" t="s">
        <v>1091</v>
      </c>
      <c r="H1286" s="112" t="s">
        <v>1015</v>
      </c>
      <c r="I1286" s="112" t="s">
        <v>749</v>
      </c>
      <c r="J1286" s="112" t="s">
        <v>1512</v>
      </c>
      <c r="K1286" s="112" t="s">
        <v>1708</v>
      </c>
      <c r="L1286" s="116">
        <v>-17</v>
      </c>
    </row>
    <row r="1287" spans="1:12" hidden="1" outlineLevel="1" collapsed="1" x14ac:dyDescent="0.35">
      <c r="A1287" s="112" t="s">
        <v>1509</v>
      </c>
      <c r="B1287" s="112" t="s">
        <v>1510</v>
      </c>
      <c r="C1287" s="112" t="s">
        <v>1518</v>
      </c>
      <c r="D1287" s="113">
        <v>51366108</v>
      </c>
      <c r="E1287" s="115">
        <v>43931</v>
      </c>
      <c r="F1287" s="114">
        <v>202101</v>
      </c>
      <c r="G1287" s="112" t="s">
        <v>1091</v>
      </c>
      <c r="H1287" s="112" t="s">
        <v>1016</v>
      </c>
      <c r="I1287" s="112" t="s">
        <v>823</v>
      </c>
      <c r="J1287" s="112" t="s">
        <v>1514</v>
      </c>
      <c r="K1287" s="112" t="s">
        <v>1709</v>
      </c>
      <c r="L1287" s="116">
        <v>-433.33</v>
      </c>
    </row>
    <row r="1288" spans="1:12" hidden="1" outlineLevel="1" collapsed="1" x14ac:dyDescent="0.35">
      <c r="A1288" s="112" t="s">
        <v>1509</v>
      </c>
      <c r="B1288" s="112" t="s">
        <v>1510</v>
      </c>
      <c r="C1288" s="112" t="s">
        <v>695</v>
      </c>
      <c r="D1288" s="113">
        <v>10347977</v>
      </c>
      <c r="E1288" s="115">
        <v>43924</v>
      </c>
      <c r="F1288" s="114">
        <v>202101</v>
      </c>
      <c r="G1288" s="112" t="s">
        <v>1091</v>
      </c>
      <c r="H1288" s="112" t="s">
        <v>1015</v>
      </c>
      <c r="I1288" s="112" t="s">
        <v>749</v>
      </c>
      <c r="J1288" s="112" t="s">
        <v>1514</v>
      </c>
      <c r="K1288" s="112" t="s">
        <v>1710</v>
      </c>
      <c r="L1288" s="116">
        <v>-93</v>
      </c>
    </row>
    <row r="1289" spans="1:12" hidden="1" outlineLevel="1" collapsed="1" x14ac:dyDescent="0.35">
      <c r="A1289" s="112" t="s">
        <v>1509</v>
      </c>
      <c r="B1289" s="112" t="s">
        <v>1510</v>
      </c>
      <c r="C1289" s="112" t="s">
        <v>695</v>
      </c>
      <c r="D1289" s="113">
        <v>10347977</v>
      </c>
      <c r="E1289" s="115">
        <v>43924</v>
      </c>
      <c r="F1289" s="114">
        <v>202101</v>
      </c>
      <c r="G1289" s="112" t="s">
        <v>1091</v>
      </c>
      <c r="H1289" s="112" t="s">
        <v>1015</v>
      </c>
      <c r="I1289" s="112" t="s">
        <v>757</v>
      </c>
      <c r="J1289" s="112" t="s">
        <v>1514</v>
      </c>
      <c r="K1289" s="112" t="s">
        <v>1711</v>
      </c>
      <c r="L1289" s="116">
        <v>-79</v>
      </c>
    </row>
    <row r="1290" spans="1:12" hidden="1" outlineLevel="1" collapsed="1" x14ac:dyDescent="0.35">
      <c r="A1290" s="112" t="s">
        <v>1509</v>
      </c>
      <c r="B1290" s="112" t="s">
        <v>1510</v>
      </c>
      <c r="C1290" s="112" t="s">
        <v>695</v>
      </c>
      <c r="D1290" s="113">
        <v>10347977</v>
      </c>
      <c r="E1290" s="115">
        <v>43924</v>
      </c>
      <c r="F1290" s="114">
        <v>202101</v>
      </c>
      <c r="G1290" s="112" t="s">
        <v>1091</v>
      </c>
      <c r="H1290" s="112" t="s">
        <v>1015</v>
      </c>
      <c r="I1290" s="112" t="s">
        <v>749</v>
      </c>
      <c r="J1290" s="112" t="s">
        <v>1514</v>
      </c>
      <c r="K1290" s="112" t="s">
        <v>1710</v>
      </c>
      <c r="L1290" s="116">
        <v>-224</v>
      </c>
    </row>
    <row r="1291" spans="1:12" hidden="1" outlineLevel="1" collapsed="1" x14ac:dyDescent="0.35">
      <c r="A1291" s="112" t="s">
        <v>1509</v>
      </c>
      <c r="B1291" s="112" t="s">
        <v>1510</v>
      </c>
      <c r="C1291" s="112" t="s">
        <v>695</v>
      </c>
      <c r="D1291" s="113">
        <v>10347977</v>
      </c>
      <c r="E1291" s="115">
        <v>43924</v>
      </c>
      <c r="F1291" s="114">
        <v>202101</v>
      </c>
      <c r="G1291" s="112" t="s">
        <v>1091</v>
      </c>
      <c r="H1291" s="112" t="s">
        <v>1015</v>
      </c>
      <c r="I1291" s="112" t="s">
        <v>749</v>
      </c>
      <c r="J1291" s="112" t="s">
        <v>1512</v>
      </c>
      <c r="K1291" s="112" t="s">
        <v>1712</v>
      </c>
      <c r="L1291" s="116">
        <v>-148</v>
      </c>
    </row>
    <row r="1292" spans="1:12" hidden="1" outlineLevel="1" collapsed="1" x14ac:dyDescent="0.35">
      <c r="A1292" s="112" t="s">
        <v>1509</v>
      </c>
      <c r="B1292" s="112" t="s">
        <v>1510</v>
      </c>
      <c r="C1292" s="112" t="s">
        <v>695</v>
      </c>
      <c r="D1292" s="113">
        <v>10347977</v>
      </c>
      <c r="E1292" s="115">
        <v>43924</v>
      </c>
      <c r="F1292" s="114">
        <v>202101</v>
      </c>
      <c r="G1292" s="112" t="s">
        <v>1091</v>
      </c>
      <c r="H1292" s="112" t="s">
        <v>1015</v>
      </c>
      <c r="I1292" s="112" t="s">
        <v>751</v>
      </c>
      <c r="J1292" s="112" t="s">
        <v>1514</v>
      </c>
      <c r="K1292" s="112" t="s">
        <v>1713</v>
      </c>
      <c r="L1292" s="116">
        <v>-94</v>
      </c>
    </row>
    <row r="1293" spans="1:12" hidden="1" outlineLevel="1" collapsed="1" x14ac:dyDescent="0.35">
      <c r="A1293" s="112" t="s">
        <v>1509</v>
      </c>
      <c r="B1293" s="112" t="s">
        <v>1510</v>
      </c>
      <c r="C1293" s="112" t="s">
        <v>695</v>
      </c>
      <c r="D1293" s="113">
        <v>10347977</v>
      </c>
      <c r="E1293" s="115">
        <v>43924</v>
      </c>
      <c r="F1293" s="114">
        <v>202101</v>
      </c>
      <c r="G1293" s="112" t="s">
        <v>1091</v>
      </c>
      <c r="H1293" s="112" t="s">
        <v>1015</v>
      </c>
      <c r="I1293" s="112" t="s">
        <v>749</v>
      </c>
      <c r="J1293" s="112" t="s">
        <v>1514</v>
      </c>
      <c r="K1293" s="112" t="s">
        <v>1714</v>
      </c>
      <c r="L1293" s="116">
        <v>-107</v>
      </c>
    </row>
    <row r="1294" spans="1:12" hidden="1" outlineLevel="1" collapsed="1" x14ac:dyDescent="0.35">
      <c r="A1294" s="112" t="s">
        <v>1509</v>
      </c>
      <c r="B1294" s="112" t="s">
        <v>1510</v>
      </c>
      <c r="C1294" s="112" t="s">
        <v>695</v>
      </c>
      <c r="D1294" s="113">
        <v>10347977</v>
      </c>
      <c r="E1294" s="115">
        <v>43924</v>
      </c>
      <c r="F1294" s="114">
        <v>202101</v>
      </c>
      <c r="G1294" s="112" t="s">
        <v>1091</v>
      </c>
      <c r="H1294" s="112" t="s">
        <v>1015</v>
      </c>
      <c r="I1294" s="112" t="s">
        <v>749</v>
      </c>
      <c r="J1294" s="112" t="s">
        <v>1514</v>
      </c>
      <c r="K1294" s="112" t="s">
        <v>1714</v>
      </c>
      <c r="L1294" s="116">
        <v>-326</v>
      </c>
    </row>
    <row r="1295" spans="1:12" hidden="1" outlineLevel="1" collapsed="1" x14ac:dyDescent="0.35">
      <c r="A1295" s="112" t="s">
        <v>1509</v>
      </c>
      <c r="B1295" s="112" t="s">
        <v>1510</v>
      </c>
      <c r="C1295" s="112" t="s">
        <v>695</v>
      </c>
      <c r="D1295" s="113">
        <v>10347977</v>
      </c>
      <c r="E1295" s="115">
        <v>43924</v>
      </c>
      <c r="F1295" s="114">
        <v>202101</v>
      </c>
      <c r="G1295" s="112" t="s">
        <v>1091</v>
      </c>
      <c r="H1295" s="112" t="s">
        <v>1015</v>
      </c>
      <c r="I1295" s="112" t="s">
        <v>757</v>
      </c>
      <c r="J1295" s="112" t="s">
        <v>1514</v>
      </c>
      <c r="K1295" s="112" t="s">
        <v>1715</v>
      </c>
      <c r="L1295" s="116">
        <v>-9</v>
      </c>
    </row>
    <row r="1296" spans="1:12" hidden="1" outlineLevel="1" collapsed="1" x14ac:dyDescent="0.35">
      <c r="A1296" s="112" t="s">
        <v>1509</v>
      </c>
      <c r="B1296" s="112" t="s">
        <v>1510</v>
      </c>
      <c r="C1296" s="112" t="s">
        <v>695</v>
      </c>
      <c r="D1296" s="113">
        <v>10347977</v>
      </c>
      <c r="E1296" s="115">
        <v>43924</v>
      </c>
      <c r="F1296" s="114">
        <v>202101</v>
      </c>
      <c r="G1296" s="112" t="s">
        <v>1091</v>
      </c>
      <c r="H1296" s="112" t="s">
        <v>1015</v>
      </c>
      <c r="I1296" s="112" t="s">
        <v>751</v>
      </c>
      <c r="J1296" s="112" t="s">
        <v>1514</v>
      </c>
      <c r="K1296" s="112" t="s">
        <v>1716</v>
      </c>
      <c r="L1296" s="116">
        <v>-103</v>
      </c>
    </row>
    <row r="1297" spans="1:12" hidden="1" outlineLevel="1" collapsed="1" x14ac:dyDescent="0.35">
      <c r="A1297" s="112" t="s">
        <v>1509</v>
      </c>
      <c r="B1297" s="112" t="s">
        <v>1510</v>
      </c>
      <c r="C1297" s="112" t="s">
        <v>695</v>
      </c>
      <c r="D1297" s="113">
        <v>10347977</v>
      </c>
      <c r="E1297" s="115">
        <v>43924</v>
      </c>
      <c r="F1297" s="114">
        <v>202101</v>
      </c>
      <c r="G1297" s="112" t="s">
        <v>1091</v>
      </c>
      <c r="H1297" s="112" t="s">
        <v>1015</v>
      </c>
      <c r="I1297" s="112" t="s">
        <v>749</v>
      </c>
      <c r="J1297" s="112" t="s">
        <v>1512</v>
      </c>
      <c r="K1297" s="112" t="s">
        <v>1717</v>
      </c>
      <c r="L1297" s="116">
        <v>-108</v>
      </c>
    </row>
    <row r="1298" spans="1:12" hidden="1" outlineLevel="1" collapsed="1" x14ac:dyDescent="0.35">
      <c r="A1298" s="112" t="s">
        <v>1509</v>
      </c>
      <c r="B1298" s="112" t="s">
        <v>1510</v>
      </c>
      <c r="C1298" s="112" t="s">
        <v>695</v>
      </c>
      <c r="D1298" s="113">
        <v>10347977</v>
      </c>
      <c r="E1298" s="115">
        <v>43924</v>
      </c>
      <c r="F1298" s="114">
        <v>202101</v>
      </c>
      <c r="G1298" s="112" t="s">
        <v>1091</v>
      </c>
      <c r="H1298" s="112" t="s">
        <v>1015</v>
      </c>
      <c r="I1298" s="112" t="s">
        <v>757</v>
      </c>
      <c r="J1298" s="112" t="s">
        <v>1512</v>
      </c>
      <c r="K1298" s="112" t="s">
        <v>1718</v>
      </c>
      <c r="L1298" s="116">
        <v>-80</v>
      </c>
    </row>
    <row r="1299" spans="1:12" hidden="1" outlineLevel="1" collapsed="1" x14ac:dyDescent="0.35">
      <c r="A1299" s="112" t="s">
        <v>1509</v>
      </c>
      <c r="B1299" s="112" t="s">
        <v>1510</v>
      </c>
      <c r="C1299" s="112" t="s">
        <v>695</v>
      </c>
      <c r="D1299" s="113">
        <v>10347977</v>
      </c>
      <c r="E1299" s="115">
        <v>43924</v>
      </c>
      <c r="F1299" s="114">
        <v>202101</v>
      </c>
      <c r="G1299" s="112" t="s">
        <v>1091</v>
      </c>
      <c r="H1299" s="112" t="s">
        <v>1015</v>
      </c>
      <c r="I1299" s="112" t="s">
        <v>757</v>
      </c>
      <c r="J1299" s="112" t="s">
        <v>1514</v>
      </c>
      <c r="K1299" s="112" t="s">
        <v>1719</v>
      </c>
      <c r="L1299" s="116">
        <v>-243</v>
      </c>
    </row>
    <row r="1300" spans="1:12" hidden="1" outlineLevel="1" collapsed="1" x14ac:dyDescent="0.35">
      <c r="A1300" s="112" t="s">
        <v>1509</v>
      </c>
      <c r="B1300" s="112" t="s">
        <v>1510</v>
      </c>
      <c r="C1300" s="112" t="s">
        <v>695</v>
      </c>
      <c r="D1300" s="113">
        <v>10347977</v>
      </c>
      <c r="E1300" s="115">
        <v>43924</v>
      </c>
      <c r="F1300" s="114">
        <v>202101</v>
      </c>
      <c r="G1300" s="112" t="s">
        <v>1091</v>
      </c>
      <c r="H1300" s="112" t="s">
        <v>1015</v>
      </c>
      <c r="I1300" s="112" t="s">
        <v>749</v>
      </c>
      <c r="J1300" s="112" t="s">
        <v>1512</v>
      </c>
      <c r="K1300" s="112" t="s">
        <v>1720</v>
      </c>
      <c r="L1300" s="116">
        <v>-83</v>
      </c>
    </row>
    <row r="1301" spans="1:12" hidden="1" outlineLevel="1" collapsed="1" x14ac:dyDescent="0.35">
      <c r="A1301" s="112" t="s">
        <v>1509</v>
      </c>
      <c r="B1301" s="112" t="s">
        <v>1510</v>
      </c>
      <c r="C1301" s="112" t="s">
        <v>695</v>
      </c>
      <c r="D1301" s="113">
        <v>10347977</v>
      </c>
      <c r="E1301" s="115">
        <v>43924</v>
      </c>
      <c r="F1301" s="114">
        <v>202101</v>
      </c>
      <c r="G1301" s="112" t="s">
        <v>1091</v>
      </c>
      <c r="H1301" s="112" t="s">
        <v>1015</v>
      </c>
      <c r="I1301" s="112" t="s">
        <v>749</v>
      </c>
      <c r="J1301" s="112" t="s">
        <v>1514</v>
      </c>
      <c r="K1301" s="112" t="s">
        <v>1721</v>
      </c>
      <c r="L1301" s="116">
        <v>-61</v>
      </c>
    </row>
    <row r="1302" spans="1:12" hidden="1" outlineLevel="1" collapsed="1" x14ac:dyDescent="0.35">
      <c r="A1302" s="112" t="s">
        <v>1509</v>
      </c>
      <c r="B1302" s="112" t="s">
        <v>1510</v>
      </c>
      <c r="C1302" s="112" t="s">
        <v>695</v>
      </c>
      <c r="D1302" s="113">
        <v>10347977</v>
      </c>
      <c r="E1302" s="115">
        <v>43924</v>
      </c>
      <c r="F1302" s="114">
        <v>202101</v>
      </c>
      <c r="G1302" s="112" t="s">
        <v>1091</v>
      </c>
      <c r="H1302" s="112" t="s">
        <v>1015</v>
      </c>
      <c r="I1302" s="112" t="s">
        <v>757</v>
      </c>
      <c r="J1302" s="112" t="s">
        <v>1514</v>
      </c>
      <c r="K1302" s="112" t="s">
        <v>1722</v>
      </c>
      <c r="L1302" s="116">
        <v>-97</v>
      </c>
    </row>
    <row r="1303" spans="1:12" hidden="1" outlineLevel="1" collapsed="1" x14ac:dyDescent="0.35">
      <c r="A1303" s="112" t="s">
        <v>1509</v>
      </c>
      <c r="B1303" s="112" t="s">
        <v>1510</v>
      </c>
      <c r="C1303" s="112" t="s">
        <v>695</v>
      </c>
      <c r="D1303" s="113">
        <v>10347977</v>
      </c>
      <c r="E1303" s="115">
        <v>43924</v>
      </c>
      <c r="F1303" s="114">
        <v>202101</v>
      </c>
      <c r="G1303" s="112" t="s">
        <v>1091</v>
      </c>
      <c r="H1303" s="112" t="s">
        <v>1015</v>
      </c>
      <c r="I1303" s="112" t="s">
        <v>751</v>
      </c>
      <c r="J1303" s="112" t="s">
        <v>1514</v>
      </c>
      <c r="K1303" s="112" t="s">
        <v>1723</v>
      </c>
      <c r="L1303" s="116">
        <v>-54</v>
      </c>
    </row>
    <row r="1304" spans="1:12" hidden="1" outlineLevel="1" collapsed="1" x14ac:dyDescent="0.35">
      <c r="A1304" s="112" t="s">
        <v>1509</v>
      </c>
      <c r="B1304" s="112" t="s">
        <v>1510</v>
      </c>
      <c r="C1304" s="112" t="s">
        <v>695</v>
      </c>
      <c r="D1304" s="113">
        <v>10347977</v>
      </c>
      <c r="E1304" s="115">
        <v>43924</v>
      </c>
      <c r="F1304" s="114">
        <v>202101</v>
      </c>
      <c r="G1304" s="112" t="s">
        <v>1091</v>
      </c>
      <c r="H1304" s="112" t="s">
        <v>1015</v>
      </c>
      <c r="I1304" s="112" t="s">
        <v>749</v>
      </c>
      <c r="J1304" s="112" t="s">
        <v>1514</v>
      </c>
      <c r="K1304" s="112" t="s">
        <v>1724</v>
      </c>
      <c r="L1304" s="116">
        <v>-22</v>
      </c>
    </row>
    <row r="1305" spans="1:12" hidden="1" outlineLevel="1" collapsed="1" x14ac:dyDescent="0.35">
      <c r="A1305" s="112" t="s">
        <v>1509</v>
      </c>
      <c r="B1305" s="112" t="s">
        <v>1510</v>
      </c>
      <c r="C1305" s="112" t="s">
        <v>695</v>
      </c>
      <c r="D1305" s="113">
        <v>10347977</v>
      </c>
      <c r="E1305" s="115">
        <v>43924</v>
      </c>
      <c r="F1305" s="114">
        <v>202101</v>
      </c>
      <c r="G1305" s="112" t="s">
        <v>1091</v>
      </c>
      <c r="H1305" s="112" t="s">
        <v>1015</v>
      </c>
      <c r="I1305" s="112" t="s">
        <v>751</v>
      </c>
      <c r="J1305" s="112" t="s">
        <v>1514</v>
      </c>
      <c r="K1305" s="112" t="s">
        <v>1725</v>
      </c>
      <c r="L1305" s="116">
        <v>-656</v>
      </c>
    </row>
    <row r="1306" spans="1:12" hidden="1" outlineLevel="1" collapsed="1" x14ac:dyDescent="0.35">
      <c r="A1306" s="112" t="s">
        <v>1509</v>
      </c>
      <c r="B1306" s="112" t="s">
        <v>1510</v>
      </c>
      <c r="C1306" s="112" t="s">
        <v>695</v>
      </c>
      <c r="D1306" s="113">
        <v>10347977</v>
      </c>
      <c r="E1306" s="115">
        <v>43924</v>
      </c>
      <c r="F1306" s="114">
        <v>202101</v>
      </c>
      <c r="G1306" s="112" t="s">
        <v>1091</v>
      </c>
      <c r="H1306" s="112" t="s">
        <v>1015</v>
      </c>
      <c r="I1306" s="112" t="s">
        <v>751</v>
      </c>
      <c r="J1306" s="112" t="s">
        <v>1514</v>
      </c>
      <c r="K1306" s="112" t="s">
        <v>1726</v>
      </c>
      <c r="L1306" s="116">
        <v>-37</v>
      </c>
    </row>
    <row r="1307" spans="1:12" hidden="1" outlineLevel="1" collapsed="1" x14ac:dyDescent="0.35">
      <c r="A1307" s="112" t="s">
        <v>1509</v>
      </c>
      <c r="B1307" s="112" t="s">
        <v>1510</v>
      </c>
      <c r="C1307" s="112" t="s">
        <v>695</v>
      </c>
      <c r="D1307" s="113">
        <v>10347977</v>
      </c>
      <c r="E1307" s="115">
        <v>43924</v>
      </c>
      <c r="F1307" s="114">
        <v>202101</v>
      </c>
      <c r="G1307" s="112" t="s">
        <v>1091</v>
      </c>
      <c r="H1307" s="112" t="s">
        <v>1015</v>
      </c>
      <c r="I1307" s="112" t="s">
        <v>757</v>
      </c>
      <c r="J1307" s="112" t="s">
        <v>1514</v>
      </c>
      <c r="K1307" s="112" t="s">
        <v>1727</v>
      </c>
      <c r="L1307" s="116">
        <v>-3</v>
      </c>
    </row>
    <row r="1308" spans="1:12" hidden="1" outlineLevel="1" collapsed="1" x14ac:dyDescent="0.35">
      <c r="A1308" s="112" t="s">
        <v>1509</v>
      </c>
      <c r="B1308" s="112" t="s">
        <v>1510</v>
      </c>
      <c r="C1308" s="112" t="s">
        <v>695</v>
      </c>
      <c r="D1308" s="113">
        <v>10347977</v>
      </c>
      <c r="E1308" s="115">
        <v>43924</v>
      </c>
      <c r="F1308" s="114">
        <v>202101</v>
      </c>
      <c r="G1308" s="112" t="s">
        <v>1091</v>
      </c>
      <c r="H1308" s="112" t="s">
        <v>1015</v>
      </c>
      <c r="I1308" s="112" t="s">
        <v>749</v>
      </c>
      <c r="J1308" s="112" t="s">
        <v>1514</v>
      </c>
      <c r="K1308" s="112" t="s">
        <v>1728</v>
      </c>
      <c r="L1308" s="116">
        <v>-777</v>
      </c>
    </row>
    <row r="1309" spans="1:12" hidden="1" outlineLevel="1" collapsed="1" x14ac:dyDescent="0.35">
      <c r="A1309" s="112" t="s">
        <v>1509</v>
      </c>
      <c r="B1309" s="112" t="s">
        <v>1510</v>
      </c>
      <c r="C1309" s="112" t="s">
        <v>695</v>
      </c>
      <c r="D1309" s="113">
        <v>10347977</v>
      </c>
      <c r="E1309" s="115">
        <v>43924</v>
      </c>
      <c r="F1309" s="114">
        <v>202101</v>
      </c>
      <c r="G1309" s="112" t="s">
        <v>1091</v>
      </c>
      <c r="H1309" s="112" t="s">
        <v>1015</v>
      </c>
      <c r="I1309" s="112" t="s">
        <v>749</v>
      </c>
      <c r="J1309" s="112" t="s">
        <v>1514</v>
      </c>
      <c r="K1309" s="112" t="s">
        <v>1729</v>
      </c>
      <c r="L1309" s="116">
        <v>-23</v>
      </c>
    </row>
    <row r="1310" spans="1:12" hidden="1" outlineLevel="1" collapsed="1" x14ac:dyDescent="0.35">
      <c r="A1310" s="112" t="s">
        <v>1509</v>
      </c>
      <c r="B1310" s="112" t="s">
        <v>1510</v>
      </c>
      <c r="C1310" s="112" t="s">
        <v>1518</v>
      </c>
      <c r="D1310" s="113">
        <v>51366104</v>
      </c>
      <c r="E1310" s="115">
        <v>43931</v>
      </c>
      <c r="F1310" s="114">
        <v>202101</v>
      </c>
      <c r="G1310" s="112" t="s">
        <v>1091</v>
      </c>
      <c r="H1310" s="112" t="s">
        <v>1016</v>
      </c>
      <c r="I1310" s="112" t="s">
        <v>823</v>
      </c>
      <c r="J1310" s="112" t="s">
        <v>1514</v>
      </c>
      <c r="K1310" s="112" t="s">
        <v>1730</v>
      </c>
      <c r="L1310" s="116">
        <v>-300</v>
      </c>
    </row>
    <row r="1311" spans="1:12" hidden="1" outlineLevel="1" collapsed="1" x14ac:dyDescent="0.35">
      <c r="A1311" s="112" t="s">
        <v>1509</v>
      </c>
      <c r="B1311" s="112" t="s">
        <v>1510</v>
      </c>
      <c r="C1311" s="112" t="s">
        <v>1518</v>
      </c>
      <c r="D1311" s="113">
        <v>51366103</v>
      </c>
      <c r="E1311" s="115">
        <v>43931</v>
      </c>
      <c r="F1311" s="114">
        <v>202101</v>
      </c>
      <c r="G1311" s="112" t="s">
        <v>1091</v>
      </c>
      <c r="H1311" s="112" t="s">
        <v>1016</v>
      </c>
      <c r="I1311" s="112" t="s">
        <v>823</v>
      </c>
      <c r="J1311" s="112" t="s">
        <v>1514</v>
      </c>
      <c r="K1311" s="112" t="s">
        <v>1731</v>
      </c>
      <c r="L1311" s="116">
        <v>-541.66999999999996</v>
      </c>
    </row>
    <row r="1312" spans="1:12" hidden="1" outlineLevel="1" collapsed="1" x14ac:dyDescent="0.35">
      <c r="A1312" s="112" t="s">
        <v>1509</v>
      </c>
      <c r="B1312" s="112" t="s">
        <v>1510</v>
      </c>
      <c r="C1312" s="112" t="s">
        <v>695</v>
      </c>
      <c r="D1312" s="113">
        <v>10347977</v>
      </c>
      <c r="E1312" s="115">
        <v>43924</v>
      </c>
      <c r="F1312" s="114">
        <v>202101</v>
      </c>
      <c r="G1312" s="112" t="s">
        <v>1091</v>
      </c>
      <c r="H1312" s="112" t="s">
        <v>1015</v>
      </c>
      <c r="I1312" s="112" t="s">
        <v>757</v>
      </c>
      <c r="J1312" s="112" t="s">
        <v>1525</v>
      </c>
      <c r="K1312" s="112" t="s">
        <v>1732</v>
      </c>
      <c r="L1312" s="116">
        <v>-329</v>
      </c>
    </row>
    <row r="1313" spans="1:12" hidden="1" outlineLevel="1" collapsed="1" x14ac:dyDescent="0.35">
      <c r="A1313" s="112" t="s">
        <v>1509</v>
      </c>
      <c r="B1313" s="112" t="s">
        <v>1510</v>
      </c>
      <c r="C1313" s="112" t="s">
        <v>1518</v>
      </c>
      <c r="D1313" s="113">
        <v>51366109</v>
      </c>
      <c r="E1313" s="115">
        <v>43931</v>
      </c>
      <c r="F1313" s="114">
        <v>202101</v>
      </c>
      <c r="G1313" s="112" t="s">
        <v>1091</v>
      </c>
      <c r="H1313" s="112" t="s">
        <v>1016</v>
      </c>
      <c r="I1313" s="112" t="s">
        <v>823</v>
      </c>
      <c r="J1313" s="112" t="s">
        <v>1512</v>
      </c>
      <c r="K1313" s="112" t="s">
        <v>1733</v>
      </c>
      <c r="L1313" s="116">
        <v>-1000</v>
      </c>
    </row>
    <row r="1314" spans="1:12" hidden="1" outlineLevel="1" collapsed="1" x14ac:dyDescent="0.35">
      <c r="A1314" s="112" t="s">
        <v>1509</v>
      </c>
      <c r="B1314" s="112" t="s">
        <v>1510</v>
      </c>
      <c r="C1314" s="112" t="s">
        <v>695</v>
      </c>
      <c r="D1314" s="113">
        <v>10347977</v>
      </c>
      <c r="E1314" s="115">
        <v>43924</v>
      </c>
      <c r="F1314" s="114">
        <v>202101</v>
      </c>
      <c r="G1314" s="112" t="s">
        <v>1091</v>
      </c>
      <c r="H1314" s="112" t="s">
        <v>1015</v>
      </c>
      <c r="I1314" s="112" t="s">
        <v>749</v>
      </c>
      <c r="J1314" s="112" t="s">
        <v>1514</v>
      </c>
      <c r="K1314" s="112" t="s">
        <v>1734</v>
      </c>
      <c r="L1314" s="116">
        <v>-133</v>
      </c>
    </row>
    <row r="1315" spans="1:12" hidden="1" outlineLevel="1" collapsed="1" x14ac:dyDescent="0.35">
      <c r="A1315" s="112" t="s">
        <v>1509</v>
      </c>
      <c r="B1315" s="112" t="s">
        <v>1510</v>
      </c>
      <c r="C1315" s="112" t="s">
        <v>1518</v>
      </c>
      <c r="D1315" s="113">
        <v>51366110</v>
      </c>
      <c r="E1315" s="115">
        <v>43931</v>
      </c>
      <c r="F1315" s="114">
        <v>202101</v>
      </c>
      <c r="G1315" s="112" t="s">
        <v>1091</v>
      </c>
      <c r="H1315" s="112" t="s">
        <v>1016</v>
      </c>
      <c r="I1315" s="112" t="s">
        <v>823</v>
      </c>
      <c r="J1315" s="112" t="s">
        <v>1525</v>
      </c>
      <c r="K1315" s="112" t="s">
        <v>1735</v>
      </c>
      <c r="L1315" s="116">
        <v>-520</v>
      </c>
    </row>
    <row r="1316" spans="1:12" hidden="1" outlineLevel="1" collapsed="1" x14ac:dyDescent="0.35">
      <c r="A1316" s="112" t="s">
        <v>1509</v>
      </c>
      <c r="B1316" s="112" t="s">
        <v>1510</v>
      </c>
      <c r="C1316" s="112" t="s">
        <v>1518</v>
      </c>
      <c r="D1316" s="113">
        <v>51366107</v>
      </c>
      <c r="E1316" s="115">
        <v>43931</v>
      </c>
      <c r="F1316" s="114">
        <v>202101</v>
      </c>
      <c r="G1316" s="112" t="s">
        <v>1091</v>
      </c>
      <c r="H1316" s="112" t="s">
        <v>1016</v>
      </c>
      <c r="I1316" s="112" t="s">
        <v>823</v>
      </c>
      <c r="J1316" s="112" t="s">
        <v>1525</v>
      </c>
      <c r="K1316" s="112" t="s">
        <v>1736</v>
      </c>
      <c r="L1316" s="116">
        <v>-420.58</v>
      </c>
    </row>
    <row r="1317" spans="1:12" hidden="1" outlineLevel="1" collapsed="1" x14ac:dyDescent="0.35">
      <c r="A1317" s="112" t="s">
        <v>1509</v>
      </c>
      <c r="B1317" s="112" t="s">
        <v>1510</v>
      </c>
      <c r="C1317" s="112" t="s">
        <v>1518</v>
      </c>
      <c r="D1317" s="113">
        <v>51366106</v>
      </c>
      <c r="E1317" s="115">
        <v>43931</v>
      </c>
      <c r="F1317" s="114">
        <v>202101</v>
      </c>
      <c r="G1317" s="112" t="s">
        <v>1091</v>
      </c>
      <c r="H1317" s="112" t="s">
        <v>1016</v>
      </c>
      <c r="I1317" s="112" t="s">
        <v>823</v>
      </c>
      <c r="J1317" s="112" t="s">
        <v>1525</v>
      </c>
      <c r="K1317" s="112" t="s">
        <v>1737</v>
      </c>
      <c r="L1317" s="116">
        <v>-107.33</v>
      </c>
    </row>
    <row r="1318" spans="1:12" hidden="1" outlineLevel="1" collapsed="1" x14ac:dyDescent="0.35">
      <c r="A1318" s="112" t="s">
        <v>1509</v>
      </c>
      <c r="B1318" s="112" t="s">
        <v>1510</v>
      </c>
      <c r="C1318" s="112" t="s">
        <v>1518</v>
      </c>
      <c r="D1318" s="113">
        <v>51366101</v>
      </c>
      <c r="E1318" s="115">
        <v>43931</v>
      </c>
      <c r="F1318" s="114">
        <v>202101</v>
      </c>
      <c r="G1318" s="112" t="s">
        <v>1091</v>
      </c>
      <c r="H1318" s="112" t="s">
        <v>1016</v>
      </c>
      <c r="I1318" s="112" t="s">
        <v>823</v>
      </c>
      <c r="J1318" s="112" t="s">
        <v>1525</v>
      </c>
      <c r="K1318" s="112" t="s">
        <v>1738</v>
      </c>
      <c r="L1318" s="116">
        <v>-600</v>
      </c>
    </row>
    <row r="1319" spans="1:12" hidden="1" outlineLevel="1" collapsed="1" x14ac:dyDescent="0.35">
      <c r="A1319" s="112" t="s">
        <v>1509</v>
      </c>
      <c r="B1319" s="112" t="s">
        <v>1510</v>
      </c>
      <c r="C1319" s="112" t="s">
        <v>695</v>
      </c>
      <c r="D1319" s="113">
        <v>10347977</v>
      </c>
      <c r="E1319" s="115">
        <v>43924</v>
      </c>
      <c r="F1319" s="114">
        <v>202101</v>
      </c>
      <c r="G1319" s="112" t="s">
        <v>1091</v>
      </c>
      <c r="H1319" s="112" t="s">
        <v>1015</v>
      </c>
      <c r="I1319" s="112" t="s">
        <v>751</v>
      </c>
      <c r="J1319" s="112" t="s">
        <v>1512</v>
      </c>
      <c r="K1319" s="112" t="s">
        <v>1739</v>
      </c>
      <c r="L1319" s="116">
        <v>-93</v>
      </c>
    </row>
    <row r="1320" spans="1:12" hidden="1" outlineLevel="1" collapsed="1" x14ac:dyDescent="0.35">
      <c r="A1320" s="112" t="s">
        <v>1509</v>
      </c>
      <c r="B1320" s="112" t="s">
        <v>1510</v>
      </c>
      <c r="C1320" s="112" t="s">
        <v>1518</v>
      </c>
      <c r="D1320" s="113">
        <v>51366100</v>
      </c>
      <c r="E1320" s="115">
        <v>43931</v>
      </c>
      <c r="F1320" s="114">
        <v>202101</v>
      </c>
      <c r="G1320" s="112" t="s">
        <v>1091</v>
      </c>
      <c r="H1320" s="112" t="s">
        <v>1016</v>
      </c>
      <c r="I1320" s="112" t="s">
        <v>823</v>
      </c>
      <c r="J1320" s="112" t="s">
        <v>1525</v>
      </c>
      <c r="K1320" s="112" t="s">
        <v>1740</v>
      </c>
      <c r="L1320" s="116">
        <v>-534</v>
      </c>
    </row>
    <row r="1321" spans="1:12" hidden="1" outlineLevel="1" collapsed="1" x14ac:dyDescent="0.35">
      <c r="A1321" s="112" t="s">
        <v>1509</v>
      </c>
      <c r="B1321" s="112" t="s">
        <v>1510</v>
      </c>
      <c r="C1321" s="112" t="s">
        <v>695</v>
      </c>
      <c r="D1321" s="113">
        <v>10347977</v>
      </c>
      <c r="E1321" s="115">
        <v>43924</v>
      </c>
      <c r="F1321" s="114">
        <v>202101</v>
      </c>
      <c r="G1321" s="112" t="s">
        <v>1091</v>
      </c>
      <c r="H1321" s="112" t="s">
        <v>1015</v>
      </c>
      <c r="I1321" s="112" t="s">
        <v>749</v>
      </c>
      <c r="J1321" s="112" t="s">
        <v>1512</v>
      </c>
      <c r="K1321" s="112" t="s">
        <v>1741</v>
      </c>
      <c r="L1321" s="116">
        <v>-69</v>
      </c>
    </row>
    <row r="1322" spans="1:12" hidden="1" outlineLevel="1" collapsed="1" x14ac:dyDescent="0.35">
      <c r="A1322" s="112" t="s">
        <v>1509</v>
      </c>
      <c r="B1322" s="112" t="s">
        <v>1510</v>
      </c>
      <c r="C1322" s="112" t="s">
        <v>695</v>
      </c>
      <c r="D1322" s="113">
        <v>10347977</v>
      </c>
      <c r="E1322" s="115">
        <v>43924</v>
      </c>
      <c r="F1322" s="114">
        <v>202101</v>
      </c>
      <c r="G1322" s="112" t="s">
        <v>1091</v>
      </c>
      <c r="H1322" s="112" t="s">
        <v>1015</v>
      </c>
      <c r="I1322" s="112" t="s">
        <v>751</v>
      </c>
      <c r="J1322" s="112" t="s">
        <v>1514</v>
      </c>
      <c r="K1322" s="112" t="s">
        <v>1742</v>
      </c>
      <c r="L1322" s="116">
        <v>-123</v>
      </c>
    </row>
    <row r="1323" spans="1:12" hidden="1" outlineLevel="1" collapsed="1" x14ac:dyDescent="0.35">
      <c r="A1323" s="112" t="s">
        <v>1509</v>
      </c>
      <c r="B1323" s="112" t="s">
        <v>902</v>
      </c>
      <c r="C1323" s="112" t="s">
        <v>695</v>
      </c>
      <c r="D1323" s="113">
        <v>10348240</v>
      </c>
      <c r="E1323" s="115">
        <v>43936</v>
      </c>
      <c r="F1323" s="114">
        <v>202101</v>
      </c>
      <c r="G1323" s="112" t="s">
        <v>1091</v>
      </c>
      <c r="H1323" s="112" t="s">
        <v>1015</v>
      </c>
      <c r="I1323" s="112" t="s">
        <v>763</v>
      </c>
      <c r="J1323" s="112" t="s">
        <v>1545</v>
      </c>
      <c r="K1323" s="112" t="s">
        <v>1743</v>
      </c>
      <c r="L1323" s="116">
        <v>-101343</v>
      </c>
    </row>
    <row r="1324" spans="1:12" hidden="1" outlineLevel="1" collapsed="1" x14ac:dyDescent="0.35">
      <c r="A1324" s="112" t="s">
        <v>1509</v>
      </c>
      <c r="B1324" s="112" t="s">
        <v>1510</v>
      </c>
      <c r="C1324" s="112" t="s">
        <v>695</v>
      </c>
      <c r="D1324" s="113">
        <v>10348420</v>
      </c>
      <c r="E1324" s="115">
        <v>43945</v>
      </c>
      <c r="F1324" s="114">
        <v>202101</v>
      </c>
      <c r="G1324" s="112" t="s">
        <v>1091</v>
      </c>
      <c r="H1324" s="112" t="s">
        <v>1015</v>
      </c>
      <c r="I1324" s="112" t="s">
        <v>1532</v>
      </c>
      <c r="J1324" s="112" t="s">
        <v>1533</v>
      </c>
      <c r="K1324" s="112" t="s">
        <v>1744</v>
      </c>
      <c r="L1324" s="116">
        <v>-2377.0300000000002</v>
      </c>
    </row>
    <row r="1325" spans="1:12" hidden="1" outlineLevel="1" collapsed="1" x14ac:dyDescent="0.35">
      <c r="A1325" s="112" t="s">
        <v>1509</v>
      </c>
      <c r="B1325" s="112" t="s">
        <v>902</v>
      </c>
      <c r="C1325" s="112" t="s">
        <v>695</v>
      </c>
      <c r="D1325" s="113">
        <v>10348188</v>
      </c>
      <c r="E1325" s="115">
        <v>43934</v>
      </c>
      <c r="F1325" s="114">
        <v>202101</v>
      </c>
      <c r="G1325" s="112" t="s">
        <v>1091</v>
      </c>
      <c r="H1325" s="112" t="s">
        <v>1016</v>
      </c>
      <c r="I1325" s="112" t="s">
        <v>860</v>
      </c>
      <c r="J1325" s="112" t="s">
        <v>1606</v>
      </c>
      <c r="K1325" s="112" t="s">
        <v>1745</v>
      </c>
      <c r="L1325" s="116">
        <v>-23750</v>
      </c>
    </row>
    <row r="1326" spans="1:12" hidden="1" outlineLevel="1" collapsed="1" x14ac:dyDescent="0.35">
      <c r="A1326" s="112" t="s">
        <v>1509</v>
      </c>
      <c r="B1326" s="112" t="s">
        <v>1510</v>
      </c>
      <c r="C1326" s="112" t="s">
        <v>695</v>
      </c>
      <c r="D1326" s="113">
        <v>10348188</v>
      </c>
      <c r="E1326" s="115">
        <v>43934</v>
      </c>
      <c r="F1326" s="114">
        <v>202101</v>
      </c>
      <c r="G1326" s="112" t="s">
        <v>1091</v>
      </c>
      <c r="H1326" s="112" t="s">
        <v>1016</v>
      </c>
      <c r="I1326" s="112" t="s">
        <v>1746</v>
      </c>
      <c r="J1326" s="112" t="s">
        <v>1533</v>
      </c>
      <c r="K1326" s="112" t="s">
        <v>1747</v>
      </c>
      <c r="L1326" s="116">
        <v>6279.15</v>
      </c>
    </row>
    <row r="1327" spans="1:12" hidden="1" outlineLevel="1" collapsed="1" x14ac:dyDescent="0.35">
      <c r="A1327" s="112" t="s">
        <v>1509</v>
      </c>
      <c r="B1327" s="112" t="s">
        <v>1510</v>
      </c>
      <c r="C1327" s="112" t="s">
        <v>695</v>
      </c>
      <c r="D1327" s="113">
        <v>10348188</v>
      </c>
      <c r="E1327" s="115">
        <v>43934</v>
      </c>
      <c r="F1327" s="114">
        <v>202101</v>
      </c>
      <c r="G1327" s="112" t="s">
        <v>1091</v>
      </c>
      <c r="H1327" s="112" t="s">
        <v>1016</v>
      </c>
      <c r="I1327" s="112" t="s">
        <v>1746</v>
      </c>
      <c r="J1327" s="112" t="s">
        <v>1533</v>
      </c>
      <c r="K1327" s="112" t="s">
        <v>1748</v>
      </c>
      <c r="L1327" s="116">
        <v>3700</v>
      </c>
    </row>
    <row r="1328" spans="1:12" hidden="1" outlineLevel="1" collapsed="1" x14ac:dyDescent="0.35">
      <c r="A1328" s="112" t="s">
        <v>1509</v>
      </c>
      <c r="B1328" s="112" t="s">
        <v>1510</v>
      </c>
      <c r="C1328" s="112" t="s">
        <v>695</v>
      </c>
      <c r="D1328" s="113">
        <v>10348211</v>
      </c>
      <c r="E1328" s="115">
        <v>43935</v>
      </c>
      <c r="F1328" s="114">
        <v>202101</v>
      </c>
      <c r="G1328" s="112" t="s">
        <v>1091</v>
      </c>
      <c r="H1328" s="112" t="s">
        <v>1016</v>
      </c>
      <c r="I1328" s="112" t="s">
        <v>823</v>
      </c>
      <c r="J1328" s="112" t="s">
        <v>1525</v>
      </c>
      <c r="K1328" s="112" t="s">
        <v>1749</v>
      </c>
      <c r="L1328" s="116">
        <v>-2111.66</v>
      </c>
    </row>
    <row r="1329" spans="1:12" hidden="1" outlineLevel="1" collapsed="1" x14ac:dyDescent="0.35">
      <c r="A1329" s="112" t="s">
        <v>1509</v>
      </c>
      <c r="B1329" s="112" t="s">
        <v>1510</v>
      </c>
      <c r="C1329" s="112" t="s">
        <v>695</v>
      </c>
      <c r="D1329" s="113">
        <v>10348211</v>
      </c>
      <c r="E1329" s="115">
        <v>43935</v>
      </c>
      <c r="F1329" s="114">
        <v>202101</v>
      </c>
      <c r="G1329" s="112" t="s">
        <v>1091</v>
      </c>
      <c r="H1329" s="112" t="s">
        <v>1016</v>
      </c>
      <c r="I1329" s="112" t="s">
        <v>823</v>
      </c>
      <c r="J1329" s="112" t="s">
        <v>1512</v>
      </c>
      <c r="K1329" s="112" t="s">
        <v>1750</v>
      </c>
      <c r="L1329" s="116">
        <v>-12929.17</v>
      </c>
    </row>
    <row r="1330" spans="1:12" hidden="1" outlineLevel="1" collapsed="1" x14ac:dyDescent="0.35">
      <c r="A1330" s="112" t="s">
        <v>1509</v>
      </c>
      <c r="B1330" s="112" t="s">
        <v>1510</v>
      </c>
      <c r="C1330" s="112" t="s">
        <v>695</v>
      </c>
      <c r="D1330" s="113">
        <v>10348211</v>
      </c>
      <c r="E1330" s="115">
        <v>43935</v>
      </c>
      <c r="F1330" s="114">
        <v>202101</v>
      </c>
      <c r="G1330" s="112" t="s">
        <v>1091</v>
      </c>
      <c r="H1330" s="112" t="s">
        <v>1016</v>
      </c>
      <c r="I1330" s="112" t="s">
        <v>823</v>
      </c>
      <c r="J1330" s="112" t="s">
        <v>1514</v>
      </c>
      <c r="K1330" s="112" t="s">
        <v>1751</v>
      </c>
      <c r="L1330" s="116">
        <v>-324835.38</v>
      </c>
    </row>
    <row r="1331" spans="1:12" hidden="1" outlineLevel="1" collapsed="1" x14ac:dyDescent="0.35">
      <c r="A1331" s="112" t="s">
        <v>1509</v>
      </c>
      <c r="B1331" s="112" t="s">
        <v>1510</v>
      </c>
      <c r="C1331" s="112" t="s">
        <v>695</v>
      </c>
      <c r="D1331" s="113">
        <v>10348211</v>
      </c>
      <c r="E1331" s="115">
        <v>43935</v>
      </c>
      <c r="F1331" s="114">
        <v>202101</v>
      </c>
      <c r="G1331" s="112" t="s">
        <v>1091</v>
      </c>
      <c r="H1331" s="112" t="s">
        <v>1016</v>
      </c>
      <c r="I1331" s="112" t="s">
        <v>1752</v>
      </c>
      <c r="J1331" s="112" t="s">
        <v>1611</v>
      </c>
      <c r="K1331" s="112" t="s">
        <v>1753</v>
      </c>
      <c r="L1331" s="116">
        <v>-1875</v>
      </c>
    </row>
    <row r="1332" spans="1:12" hidden="1" outlineLevel="1" collapsed="1" x14ac:dyDescent="0.35">
      <c r="A1332" s="112" t="s">
        <v>1509</v>
      </c>
      <c r="B1332" s="112" t="s">
        <v>1510</v>
      </c>
      <c r="C1332" s="112" t="s">
        <v>695</v>
      </c>
      <c r="D1332" s="113">
        <v>10348211</v>
      </c>
      <c r="E1332" s="115">
        <v>43935</v>
      </c>
      <c r="F1332" s="114">
        <v>202101</v>
      </c>
      <c r="G1332" s="112" t="s">
        <v>1091</v>
      </c>
      <c r="H1332" s="112" t="s">
        <v>1016</v>
      </c>
      <c r="I1332" s="112" t="s">
        <v>823</v>
      </c>
      <c r="J1332" s="112" t="s">
        <v>1611</v>
      </c>
      <c r="K1332" s="112" t="s">
        <v>1753</v>
      </c>
      <c r="L1332" s="116">
        <v>-9950</v>
      </c>
    </row>
    <row r="1333" spans="1:12" hidden="1" outlineLevel="1" collapsed="1" x14ac:dyDescent="0.35">
      <c r="A1333" s="112" t="s">
        <v>1509</v>
      </c>
      <c r="B1333" s="112" t="s">
        <v>903</v>
      </c>
      <c r="C1333" s="112" t="s">
        <v>1095</v>
      </c>
      <c r="D1333" s="113">
        <v>10348451</v>
      </c>
      <c r="E1333" s="115">
        <v>43949</v>
      </c>
      <c r="F1333" s="114">
        <v>202101</v>
      </c>
      <c r="G1333" s="112" t="s">
        <v>1091</v>
      </c>
      <c r="H1333" s="112" t="s">
        <v>1015</v>
      </c>
      <c r="I1333" s="112" t="s">
        <v>1116</v>
      </c>
      <c r="J1333" s="112" t="s">
        <v>1551</v>
      </c>
      <c r="K1333" s="112" t="s">
        <v>1098</v>
      </c>
      <c r="L1333" s="116">
        <v>5436.03</v>
      </c>
    </row>
    <row r="1334" spans="1:12" hidden="1" outlineLevel="1" collapsed="1" x14ac:dyDescent="0.35">
      <c r="A1334" s="112" t="s">
        <v>1509</v>
      </c>
      <c r="B1334" s="112" t="s">
        <v>1510</v>
      </c>
      <c r="C1334" s="112" t="s">
        <v>695</v>
      </c>
      <c r="D1334" s="113">
        <v>10348211</v>
      </c>
      <c r="E1334" s="115">
        <v>43935</v>
      </c>
      <c r="F1334" s="114">
        <v>202101</v>
      </c>
      <c r="G1334" s="112" t="s">
        <v>1091</v>
      </c>
      <c r="H1334" s="112" t="s">
        <v>1016</v>
      </c>
      <c r="I1334" s="112" t="s">
        <v>823</v>
      </c>
      <c r="J1334" s="112" t="s">
        <v>1514</v>
      </c>
      <c r="K1334" s="112" t="s">
        <v>1754</v>
      </c>
      <c r="L1334" s="116">
        <v>-431481.67</v>
      </c>
    </row>
    <row r="1335" spans="1:12" hidden="1" outlineLevel="1" collapsed="1" x14ac:dyDescent="0.35">
      <c r="A1335" s="112" t="s">
        <v>1509</v>
      </c>
      <c r="B1335" s="112" t="s">
        <v>1598</v>
      </c>
      <c r="C1335" s="112" t="s">
        <v>1095</v>
      </c>
      <c r="D1335" s="113">
        <v>10348451</v>
      </c>
      <c r="E1335" s="115">
        <v>43949</v>
      </c>
      <c r="F1335" s="114">
        <v>202101</v>
      </c>
      <c r="G1335" s="112" t="s">
        <v>1091</v>
      </c>
      <c r="H1335" s="112" t="s">
        <v>1015</v>
      </c>
      <c r="I1335" s="112" t="s">
        <v>1096</v>
      </c>
      <c r="J1335" s="112" t="s">
        <v>1600</v>
      </c>
      <c r="K1335" s="112" t="s">
        <v>1098</v>
      </c>
      <c r="L1335" s="116">
        <v>594.51</v>
      </c>
    </row>
    <row r="1336" spans="1:12" hidden="1" outlineLevel="1" collapsed="1" x14ac:dyDescent="0.35">
      <c r="A1336" s="112" t="s">
        <v>1509</v>
      </c>
      <c r="B1336" s="112" t="s">
        <v>1510</v>
      </c>
      <c r="C1336" s="112" t="s">
        <v>695</v>
      </c>
      <c r="D1336" s="113">
        <v>10348211</v>
      </c>
      <c r="E1336" s="115">
        <v>43935</v>
      </c>
      <c r="F1336" s="114">
        <v>202101</v>
      </c>
      <c r="G1336" s="112" t="s">
        <v>1091</v>
      </c>
      <c r="H1336" s="112" t="s">
        <v>1016</v>
      </c>
      <c r="I1336" s="112" t="s">
        <v>823</v>
      </c>
      <c r="J1336" s="112" t="s">
        <v>1512</v>
      </c>
      <c r="K1336" s="112" t="s">
        <v>1755</v>
      </c>
      <c r="L1336" s="116">
        <v>-75698.75</v>
      </c>
    </row>
    <row r="1337" spans="1:12" hidden="1" outlineLevel="1" collapsed="1" x14ac:dyDescent="0.35">
      <c r="A1337" s="112" t="s">
        <v>1509</v>
      </c>
      <c r="B1337" s="112" t="s">
        <v>1510</v>
      </c>
      <c r="C1337" s="112" t="s">
        <v>695</v>
      </c>
      <c r="D1337" s="113">
        <v>10348211</v>
      </c>
      <c r="E1337" s="115">
        <v>43935</v>
      </c>
      <c r="F1337" s="114">
        <v>202101</v>
      </c>
      <c r="G1337" s="112" t="s">
        <v>1091</v>
      </c>
      <c r="H1337" s="112" t="s">
        <v>1016</v>
      </c>
      <c r="I1337" s="112" t="s">
        <v>823</v>
      </c>
      <c r="J1337" s="112" t="s">
        <v>1525</v>
      </c>
      <c r="K1337" s="112" t="s">
        <v>1756</v>
      </c>
      <c r="L1337" s="116">
        <v>-7603.57</v>
      </c>
    </row>
    <row r="1338" spans="1:12" hidden="1" outlineLevel="1" collapsed="1" x14ac:dyDescent="0.35">
      <c r="A1338" s="112" t="s">
        <v>1509</v>
      </c>
      <c r="B1338" s="112" t="s">
        <v>1510</v>
      </c>
      <c r="C1338" s="112" t="s">
        <v>695</v>
      </c>
      <c r="D1338" s="113">
        <v>10348211</v>
      </c>
      <c r="E1338" s="115">
        <v>43935</v>
      </c>
      <c r="F1338" s="114">
        <v>202101</v>
      </c>
      <c r="G1338" s="112" t="s">
        <v>1091</v>
      </c>
      <c r="H1338" s="112" t="s">
        <v>1016</v>
      </c>
      <c r="I1338" s="112" t="s">
        <v>860</v>
      </c>
      <c r="J1338" s="112" t="s">
        <v>1514</v>
      </c>
      <c r="K1338" s="112" t="s">
        <v>1751</v>
      </c>
      <c r="L1338" s="116">
        <v>-1004194.55</v>
      </c>
    </row>
    <row r="1339" spans="1:12" hidden="1" outlineLevel="1" collapsed="1" x14ac:dyDescent="0.35">
      <c r="A1339" s="112" t="s">
        <v>1509</v>
      </c>
      <c r="B1339" s="112" t="s">
        <v>1510</v>
      </c>
      <c r="C1339" s="112" t="s">
        <v>695</v>
      </c>
      <c r="D1339" s="113">
        <v>10348211</v>
      </c>
      <c r="E1339" s="115">
        <v>43935</v>
      </c>
      <c r="F1339" s="114">
        <v>202101</v>
      </c>
      <c r="G1339" s="112" t="s">
        <v>1091</v>
      </c>
      <c r="H1339" s="112" t="s">
        <v>1016</v>
      </c>
      <c r="I1339" s="112" t="s">
        <v>860</v>
      </c>
      <c r="J1339" s="112" t="s">
        <v>1514</v>
      </c>
      <c r="K1339" s="112" t="s">
        <v>1754</v>
      </c>
      <c r="L1339" s="116">
        <v>-634159.53</v>
      </c>
    </row>
    <row r="1340" spans="1:12" hidden="1" outlineLevel="1" collapsed="1" x14ac:dyDescent="0.35">
      <c r="A1340" s="112" t="s">
        <v>1509</v>
      </c>
      <c r="B1340" s="112" t="s">
        <v>1510</v>
      </c>
      <c r="C1340" s="112" t="s">
        <v>695</v>
      </c>
      <c r="D1340" s="113">
        <v>10348188</v>
      </c>
      <c r="E1340" s="115">
        <v>43934</v>
      </c>
      <c r="F1340" s="114">
        <v>202101</v>
      </c>
      <c r="G1340" s="112" t="s">
        <v>1091</v>
      </c>
      <c r="H1340" s="112" t="s">
        <v>1016</v>
      </c>
      <c r="I1340" s="112" t="s">
        <v>823</v>
      </c>
      <c r="J1340" s="112" t="s">
        <v>1611</v>
      </c>
      <c r="K1340" s="112" t="s">
        <v>1757</v>
      </c>
      <c r="L1340" s="116">
        <v>-5875</v>
      </c>
    </row>
    <row r="1341" spans="1:12" hidden="1" outlineLevel="1" collapsed="1" x14ac:dyDescent="0.35">
      <c r="A1341" s="112" t="s">
        <v>1509</v>
      </c>
      <c r="B1341" s="112" t="s">
        <v>1510</v>
      </c>
      <c r="C1341" s="112" t="s">
        <v>1095</v>
      </c>
      <c r="D1341" s="113">
        <v>10348451</v>
      </c>
      <c r="E1341" s="115">
        <v>43949</v>
      </c>
      <c r="F1341" s="114">
        <v>202101</v>
      </c>
      <c r="G1341" s="112" t="s">
        <v>1091</v>
      </c>
      <c r="H1341" s="112" t="s">
        <v>1015</v>
      </c>
      <c r="I1341" s="112" t="s">
        <v>1116</v>
      </c>
      <c r="J1341" s="112" t="s">
        <v>1512</v>
      </c>
      <c r="K1341" s="112" t="s">
        <v>1098</v>
      </c>
      <c r="L1341" s="116">
        <v>5040.08</v>
      </c>
    </row>
    <row r="1342" spans="1:12" hidden="1" outlineLevel="1" collapsed="1" x14ac:dyDescent="0.35">
      <c r="A1342" s="112" t="s">
        <v>1509</v>
      </c>
      <c r="B1342" s="112" t="s">
        <v>1520</v>
      </c>
      <c r="C1342" s="112" t="s">
        <v>1095</v>
      </c>
      <c r="D1342" s="113">
        <v>10348451</v>
      </c>
      <c r="E1342" s="115">
        <v>43949</v>
      </c>
      <c r="F1342" s="114">
        <v>202101</v>
      </c>
      <c r="G1342" s="112" t="s">
        <v>1091</v>
      </c>
      <c r="H1342" s="112" t="s">
        <v>1015</v>
      </c>
      <c r="I1342" s="112" t="s">
        <v>1096</v>
      </c>
      <c r="J1342" s="112" t="s">
        <v>1537</v>
      </c>
      <c r="K1342" s="112" t="s">
        <v>1098</v>
      </c>
      <c r="L1342" s="116">
        <v>366.99</v>
      </c>
    </row>
    <row r="1343" spans="1:12" hidden="1" outlineLevel="1" collapsed="1" x14ac:dyDescent="0.35">
      <c r="A1343" s="112" t="s">
        <v>1509</v>
      </c>
      <c r="B1343" s="112" t="s">
        <v>1510</v>
      </c>
      <c r="C1343" s="112" t="s">
        <v>1095</v>
      </c>
      <c r="D1343" s="113">
        <v>10348451</v>
      </c>
      <c r="E1343" s="115">
        <v>43949</v>
      </c>
      <c r="F1343" s="114">
        <v>202101</v>
      </c>
      <c r="G1343" s="112" t="s">
        <v>1091</v>
      </c>
      <c r="H1343" s="112" t="s">
        <v>1015</v>
      </c>
      <c r="I1343" s="112" t="s">
        <v>1116</v>
      </c>
      <c r="J1343" s="112" t="s">
        <v>1512</v>
      </c>
      <c r="K1343" s="112" t="s">
        <v>1098</v>
      </c>
      <c r="L1343" s="116">
        <v>1355.7</v>
      </c>
    </row>
    <row r="1344" spans="1:12" hidden="1" outlineLevel="1" collapsed="1" x14ac:dyDescent="0.35">
      <c r="A1344" s="112" t="s">
        <v>1509</v>
      </c>
      <c r="B1344" s="112" t="s">
        <v>1510</v>
      </c>
      <c r="C1344" s="112" t="s">
        <v>1758</v>
      </c>
      <c r="D1344" s="113">
        <v>51366081</v>
      </c>
      <c r="E1344" s="115">
        <v>43930</v>
      </c>
      <c r="F1344" s="114">
        <v>202101</v>
      </c>
      <c r="G1344" s="112" t="s">
        <v>1091</v>
      </c>
      <c r="H1344" s="112" t="s">
        <v>1016</v>
      </c>
      <c r="I1344" s="112" t="s">
        <v>860</v>
      </c>
      <c r="J1344" s="112" t="s">
        <v>1514</v>
      </c>
      <c r="K1344" s="112" t="s">
        <v>1759</v>
      </c>
      <c r="L1344" s="116">
        <v>4625</v>
      </c>
    </row>
    <row r="1345" spans="1:12" hidden="1" outlineLevel="1" collapsed="1" x14ac:dyDescent="0.35">
      <c r="A1345" s="112" t="s">
        <v>1509</v>
      </c>
      <c r="B1345" s="112" t="s">
        <v>1520</v>
      </c>
      <c r="C1345" s="112" t="s">
        <v>1095</v>
      </c>
      <c r="D1345" s="113">
        <v>10348451</v>
      </c>
      <c r="E1345" s="115">
        <v>43949</v>
      </c>
      <c r="F1345" s="114">
        <v>202101</v>
      </c>
      <c r="G1345" s="112" t="s">
        <v>1091</v>
      </c>
      <c r="H1345" s="112" t="s">
        <v>1015</v>
      </c>
      <c r="I1345" s="112" t="s">
        <v>1116</v>
      </c>
      <c r="J1345" s="112" t="s">
        <v>1537</v>
      </c>
      <c r="K1345" s="112" t="s">
        <v>1098</v>
      </c>
      <c r="L1345" s="116">
        <v>2778.6</v>
      </c>
    </row>
    <row r="1346" spans="1:12" hidden="1" outlineLevel="1" collapsed="1" x14ac:dyDescent="0.35">
      <c r="A1346" s="112" t="s">
        <v>1509</v>
      </c>
      <c r="B1346" s="112" t="s">
        <v>1520</v>
      </c>
      <c r="C1346" s="112" t="s">
        <v>1095</v>
      </c>
      <c r="D1346" s="113">
        <v>10348451</v>
      </c>
      <c r="E1346" s="115">
        <v>43949</v>
      </c>
      <c r="F1346" s="114">
        <v>202101</v>
      </c>
      <c r="G1346" s="112" t="s">
        <v>1091</v>
      </c>
      <c r="H1346" s="112" t="s">
        <v>1015</v>
      </c>
      <c r="I1346" s="112" t="s">
        <v>1116</v>
      </c>
      <c r="J1346" s="112" t="s">
        <v>1537</v>
      </c>
      <c r="K1346" s="112" t="s">
        <v>1098</v>
      </c>
      <c r="L1346" s="116">
        <v>3075.83</v>
      </c>
    </row>
    <row r="1347" spans="1:12" hidden="1" outlineLevel="1" collapsed="1" x14ac:dyDescent="0.35">
      <c r="A1347" s="112" t="s">
        <v>1509</v>
      </c>
      <c r="B1347" s="112" t="s">
        <v>1510</v>
      </c>
      <c r="C1347" s="112" t="s">
        <v>1518</v>
      </c>
      <c r="D1347" s="113">
        <v>51366298</v>
      </c>
      <c r="E1347" s="115">
        <v>43951</v>
      </c>
      <c r="F1347" s="114">
        <v>202101</v>
      </c>
      <c r="G1347" s="112" t="s">
        <v>1091</v>
      </c>
      <c r="H1347" s="112" t="s">
        <v>1016</v>
      </c>
      <c r="I1347" s="112" t="s">
        <v>823</v>
      </c>
      <c r="J1347" s="112" t="s">
        <v>1525</v>
      </c>
      <c r="K1347" s="112" t="s">
        <v>1760</v>
      </c>
      <c r="L1347" s="116">
        <v>-886</v>
      </c>
    </row>
    <row r="1348" spans="1:12" hidden="1" outlineLevel="1" collapsed="1" x14ac:dyDescent="0.35">
      <c r="A1348" s="112" t="s">
        <v>1509</v>
      </c>
      <c r="B1348" s="112" t="s">
        <v>1598</v>
      </c>
      <c r="C1348" s="112" t="s">
        <v>1095</v>
      </c>
      <c r="D1348" s="113">
        <v>10348451</v>
      </c>
      <c r="E1348" s="115">
        <v>43949</v>
      </c>
      <c r="F1348" s="114">
        <v>202101</v>
      </c>
      <c r="G1348" s="112" t="s">
        <v>1091</v>
      </c>
      <c r="H1348" s="112" t="s">
        <v>1015</v>
      </c>
      <c r="I1348" s="112" t="s">
        <v>1116</v>
      </c>
      <c r="J1348" s="112" t="s">
        <v>1600</v>
      </c>
      <c r="K1348" s="112" t="s">
        <v>1098</v>
      </c>
      <c r="L1348" s="116">
        <v>5040.08</v>
      </c>
    </row>
    <row r="1349" spans="1:12" hidden="1" outlineLevel="1" collapsed="1" x14ac:dyDescent="0.35">
      <c r="A1349" s="112" t="s">
        <v>1509</v>
      </c>
      <c r="B1349" s="112" t="s">
        <v>1510</v>
      </c>
      <c r="C1349" s="112" t="s">
        <v>1518</v>
      </c>
      <c r="D1349" s="113">
        <v>51366286</v>
      </c>
      <c r="E1349" s="115">
        <v>43951</v>
      </c>
      <c r="F1349" s="114">
        <v>202101</v>
      </c>
      <c r="G1349" s="112" t="s">
        <v>1091</v>
      </c>
      <c r="H1349" s="112" t="s">
        <v>1016</v>
      </c>
      <c r="I1349" s="112" t="s">
        <v>823</v>
      </c>
      <c r="J1349" s="112" t="s">
        <v>1514</v>
      </c>
      <c r="K1349" s="112" t="s">
        <v>1761</v>
      </c>
      <c r="L1349" s="116">
        <v>-2083.33</v>
      </c>
    </row>
    <row r="1350" spans="1:12" hidden="1" outlineLevel="1" collapsed="1" x14ac:dyDescent="0.35">
      <c r="A1350" s="112" t="s">
        <v>1509</v>
      </c>
      <c r="B1350" s="112" t="s">
        <v>1510</v>
      </c>
      <c r="C1350" s="112" t="s">
        <v>1518</v>
      </c>
      <c r="D1350" s="113">
        <v>51366285</v>
      </c>
      <c r="E1350" s="115">
        <v>43951</v>
      </c>
      <c r="F1350" s="114">
        <v>202101</v>
      </c>
      <c r="G1350" s="112" t="s">
        <v>1091</v>
      </c>
      <c r="H1350" s="112" t="s">
        <v>1016</v>
      </c>
      <c r="I1350" s="112" t="s">
        <v>823</v>
      </c>
      <c r="J1350" s="112" t="s">
        <v>1514</v>
      </c>
      <c r="K1350" s="112" t="s">
        <v>1762</v>
      </c>
      <c r="L1350" s="116">
        <v>-28750</v>
      </c>
    </row>
    <row r="1351" spans="1:12" hidden="1" outlineLevel="1" collapsed="1" x14ac:dyDescent="0.35">
      <c r="A1351" s="112" t="s">
        <v>1509</v>
      </c>
      <c r="B1351" s="112" t="s">
        <v>1510</v>
      </c>
      <c r="C1351" s="112" t="s">
        <v>1518</v>
      </c>
      <c r="D1351" s="113">
        <v>51365616</v>
      </c>
      <c r="E1351" s="115">
        <v>43922</v>
      </c>
      <c r="F1351" s="114">
        <v>202101</v>
      </c>
      <c r="G1351" s="112" t="s">
        <v>1091</v>
      </c>
      <c r="H1351" s="112" t="s">
        <v>1016</v>
      </c>
      <c r="I1351" s="112" t="s">
        <v>823</v>
      </c>
      <c r="J1351" s="112" t="s">
        <v>1512</v>
      </c>
      <c r="K1351" s="112" t="s">
        <v>1763</v>
      </c>
      <c r="L1351" s="116">
        <v>-525</v>
      </c>
    </row>
    <row r="1352" spans="1:12" hidden="1" outlineLevel="1" collapsed="1" x14ac:dyDescent="0.35">
      <c r="A1352" s="112" t="s">
        <v>1509</v>
      </c>
      <c r="B1352" s="112" t="s">
        <v>1598</v>
      </c>
      <c r="C1352" s="112" t="s">
        <v>1095</v>
      </c>
      <c r="D1352" s="113">
        <v>10348451</v>
      </c>
      <c r="E1352" s="115">
        <v>43949</v>
      </c>
      <c r="F1352" s="114">
        <v>202101</v>
      </c>
      <c r="G1352" s="112" t="s">
        <v>1091</v>
      </c>
      <c r="H1352" s="112" t="s">
        <v>1015</v>
      </c>
      <c r="I1352" s="112" t="s">
        <v>1116</v>
      </c>
      <c r="J1352" s="112" t="s">
        <v>1600</v>
      </c>
      <c r="K1352" s="112" t="s">
        <v>1098</v>
      </c>
      <c r="L1352" s="116">
        <v>3717</v>
      </c>
    </row>
    <row r="1353" spans="1:12" hidden="1" outlineLevel="1" collapsed="1" x14ac:dyDescent="0.35">
      <c r="A1353" s="112" t="s">
        <v>1509</v>
      </c>
      <c r="B1353" s="112" t="s">
        <v>1510</v>
      </c>
      <c r="C1353" s="112" t="s">
        <v>1518</v>
      </c>
      <c r="D1353" s="113">
        <v>51366147</v>
      </c>
      <c r="E1353" s="115">
        <v>43935</v>
      </c>
      <c r="F1353" s="114">
        <v>202101</v>
      </c>
      <c r="G1353" s="112" t="s">
        <v>1091</v>
      </c>
      <c r="H1353" s="112" t="s">
        <v>1016</v>
      </c>
      <c r="I1353" s="112" t="s">
        <v>823</v>
      </c>
      <c r="J1353" s="112" t="s">
        <v>1525</v>
      </c>
      <c r="K1353" s="112" t="s">
        <v>1760</v>
      </c>
      <c r="L1353" s="116">
        <v>-886</v>
      </c>
    </row>
    <row r="1354" spans="1:12" hidden="1" outlineLevel="1" collapsed="1" x14ac:dyDescent="0.35">
      <c r="A1354" s="112" t="s">
        <v>1509</v>
      </c>
      <c r="B1354" s="112" t="s">
        <v>1520</v>
      </c>
      <c r="C1354" s="112" t="s">
        <v>1099</v>
      </c>
      <c r="D1354" s="113">
        <v>1066533</v>
      </c>
      <c r="E1354" s="115">
        <v>43761</v>
      </c>
      <c r="F1354" s="114">
        <v>202101</v>
      </c>
      <c r="G1354" s="112" t="s">
        <v>1091</v>
      </c>
      <c r="H1354" s="112" t="s">
        <v>1015</v>
      </c>
      <c r="I1354" s="112" t="s">
        <v>1211</v>
      </c>
      <c r="J1354" s="112" t="s">
        <v>1521</v>
      </c>
      <c r="K1354" s="112" t="s">
        <v>1764</v>
      </c>
      <c r="L1354" s="116">
        <v>1877.3</v>
      </c>
    </row>
    <row r="1355" spans="1:12" hidden="1" outlineLevel="1" collapsed="1" x14ac:dyDescent="0.35">
      <c r="A1355" s="112" t="s">
        <v>1509</v>
      </c>
      <c r="B1355" s="112" t="s">
        <v>1510</v>
      </c>
      <c r="C1355" s="112" t="s">
        <v>695</v>
      </c>
      <c r="D1355" s="113">
        <v>10348188</v>
      </c>
      <c r="E1355" s="115">
        <v>43934</v>
      </c>
      <c r="F1355" s="114">
        <v>202101</v>
      </c>
      <c r="G1355" s="112" t="s">
        <v>1091</v>
      </c>
      <c r="H1355" s="112" t="s">
        <v>1016</v>
      </c>
      <c r="I1355" s="112" t="s">
        <v>823</v>
      </c>
      <c r="J1355" s="112" t="s">
        <v>1611</v>
      </c>
      <c r="K1355" s="112" t="s">
        <v>1765</v>
      </c>
      <c r="L1355" s="116">
        <v>-4075</v>
      </c>
    </row>
    <row r="1356" spans="1:12" hidden="1" outlineLevel="1" collapsed="1" x14ac:dyDescent="0.35">
      <c r="A1356" s="112" t="s">
        <v>1509</v>
      </c>
      <c r="B1356" s="112" t="s">
        <v>1520</v>
      </c>
      <c r="C1356" s="112" t="s">
        <v>1099</v>
      </c>
      <c r="D1356" s="113">
        <v>1068714</v>
      </c>
      <c r="E1356" s="115">
        <v>43894</v>
      </c>
      <c r="F1356" s="114">
        <v>202101</v>
      </c>
      <c r="G1356" s="112" t="s">
        <v>1091</v>
      </c>
      <c r="H1356" s="112" t="s">
        <v>1015</v>
      </c>
      <c r="I1356" s="112" t="s">
        <v>1211</v>
      </c>
      <c r="J1356" s="112" t="s">
        <v>1521</v>
      </c>
      <c r="K1356" s="112" t="s">
        <v>1766</v>
      </c>
      <c r="L1356" s="116">
        <v>1875</v>
      </c>
    </row>
    <row r="1357" spans="1:12" hidden="1" outlineLevel="1" collapsed="1" x14ac:dyDescent="0.35">
      <c r="A1357" s="112" t="s">
        <v>1509</v>
      </c>
      <c r="B1357" s="112" t="s">
        <v>1510</v>
      </c>
      <c r="C1357" s="112" t="s">
        <v>1758</v>
      </c>
      <c r="D1357" s="113">
        <v>51366088</v>
      </c>
      <c r="E1357" s="115">
        <v>43930</v>
      </c>
      <c r="F1357" s="114">
        <v>202101</v>
      </c>
      <c r="G1357" s="112" t="s">
        <v>1091</v>
      </c>
      <c r="H1357" s="112" t="s">
        <v>1016</v>
      </c>
      <c r="I1357" s="112" t="s">
        <v>823</v>
      </c>
      <c r="J1357" s="112" t="s">
        <v>1512</v>
      </c>
      <c r="K1357" s="112" t="s">
        <v>1767</v>
      </c>
      <c r="L1357" s="116">
        <v>7500</v>
      </c>
    </row>
    <row r="1358" spans="1:12" hidden="1" outlineLevel="1" collapsed="1" x14ac:dyDescent="0.35">
      <c r="A1358" s="112" t="s">
        <v>1509</v>
      </c>
      <c r="B1358" s="112" t="s">
        <v>1520</v>
      </c>
      <c r="C1358" s="112" t="s">
        <v>1099</v>
      </c>
      <c r="D1358" s="113">
        <v>1069770</v>
      </c>
      <c r="E1358" s="115">
        <v>43768</v>
      </c>
      <c r="F1358" s="114">
        <v>202101</v>
      </c>
      <c r="G1358" s="112" t="s">
        <v>1091</v>
      </c>
      <c r="H1358" s="112" t="s">
        <v>1015</v>
      </c>
      <c r="I1358" s="112" t="s">
        <v>1211</v>
      </c>
      <c r="J1358" s="112" t="s">
        <v>1521</v>
      </c>
      <c r="K1358" s="112" t="s">
        <v>1768</v>
      </c>
      <c r="L1358" s="116">
        <v>1203.8</v>
      </c>
    </row>
    <row r="1359" spans="1:12" hidden="1" outlineLevel="1" collapsed="1" x14ac:dyDescent="0.35">
      <c r="A1359" s="112" t="s">
        <v>1509</v>
      </c>
      <c r="B1359" s="112" t="s">
        <v>903</v>
      </c>
      <c r="C1359" s="112" t="s">
        <v>203</v>
      </c>
      <c r="D1359" s="113">
        <v>10348453</v>
      </c>
      <c r="E1359" s="115">
        <v>43948</v>
      </c>
      <c r="F1359" s="114">
        <v>202101</v>
      </c>
      <c r="G1359" s="112" t="s">
        <v>1091</v>
      </c>
      <c r="H1359" s="112" t="s">
        <v>1015</v>
      </c>
      <c r="I1359" s="112" t="s">
        <v>1116</v>
      </c>
      <c r="J1359" s="112" t="s">
        <v>1551</v>
      </c>
      <c r="K1359" s="112" t="s">
        <v>1098</v>
      </c>
      <c r="L1359" s="116">
        <v>48.18</v>
      </c>
    </row>
    <row r="1360" spans="1:12" hidden="1" outlineLevel="1" collapsed="1" x14ac:dyDescent="0.35">
      <c r="A1360" s="112" t="s">
        <v>1509</v>
      </c>
      <c r="B1360" s="112" t="s">
        <v>903</v>
      </c>
      <c r="C1360" s="112" t="s">
        <v>1095</v>
      </c>
      <c r="D1360" s="113">
        <v>10348451</v>
      </c>
      <c r="E1360" s="115">
        <v>43949</v>
      </c>
      <c r="F1360" s="114">
        <v>202101</v>
      </c>
      <c r="G1360" s="112" t="s">
        <v>1091</v>
      </c>
      <c r="H1360" s="112" t="s">
        <v>1015</v>
      </c>
      <c r="I1360" s="112" t="s">
        <v>1116</v>
      </c>
      <c r="J1360" s="112" t="s">
        <v>1551</v>
      </c>
      <c r="K1360" s="112" t="s">
        <v>1098</v>
      </c>
      <c r="L1360" s="116">
        <v>5040.08</v>
      </c>
    </row>
    <row r="1361" spans="1:12" hidden="1" outlineLevel="1" collapsed="1" x14ac:dyDescent="0.35">
      <c r="A1361" s="112" t="s">
        <v>1509</v>
      </c>
      <c r="B1361" s="112" t="s">
        <v>903</v>
      </c>
      <c r="C1361" s="112" t="s">
        <v>1095</v>
      </c>
      <c r="D1361" s="113">
        <v>10348451</v>
      </c>
      <c r="E1361" s="115">
        <v>43949</v>
      </c>
      <c r="F1361" s="114">
        <v>202101</v>
      </c>
      <c r="G1361" s="112" t="s">
        <v>1091</v>
      </c>
      <c r="H1361" s="112" t="s">
        <v>1015</v>
      </c>
      <c r="I1361" s="112" t="s">
        <v>1116</v>
      </c>
      <c r="J1361" s="112" t="s">
        <v>1551</v>
      </c>
      <c r="K1361" s="112" t="s">
        <v>1098</v>
      </c>
      <c r="L1361" s="116">
        <v>4871.08</v>
      </c>
    </row>
    <row r="1362" spans="1:12" hidden="1" outlineLevel="1" collapsed="1" x14ac:dyDescent="0.35">
      <c r="A1362" s="112" t="s">
        <v>1509</v>
      </c>
      <c r="B1362" s="112" t="s">
        <v>1510</v>
      </c>
      <c r="C1362" s="112" t="s">
        <v>1518</v>
      </c>
      <c r="D1362" s="113">
        <v>51366163</v>
      </c>
      <c r="E1362" s="115">
        <v>43941</v>
      </c>
      <c r="F1362" s="114">
        <v>202101</v>
      </c>
      <c r="G1362" s="112" t="s">
        <v>1091</v>
      </c>
      <c r="H1362" s="112" t="s">
        <v>1016</v>
      </c>
      <c r="I1362" s="112" t="s">
        <v>860</v>
      </c>
      <c r="J1362" s="112" t="s">
        <v>1514</v>
      </c>
      <c r="K1362" s="112" t="s">
        <v>1769</v>
      </c>
      <c r="L1362" s="116">
        <v>-1500</v>
      </c>
    </row>
    <row r="1363" spans="1:12" hidden="1" outlineLevel="1" collapsed="1" x14ac:dyDescent="0.35">
      <c r="A1363" s="112" t="s">
        <v>1509</v>
      </c>
      <c r="B1363" s="112" t="s">
        <v>903</v>
      </c>
      <c r="C1363" s="112" t="s">
        <v>1095</v>
      </c>
      <c r="D1363" s="113">
        <v>10348451</v>
      </c>
      <c r="E1363" s="115">
        <v>43949</v>
      </c>
      <c r="F1363" s="114">
        <v>202101</v>
      </c>
      <c r="G1363" s="112" t="s">
        <v>1091</v>
      </c>
      <c r="H1363" s="112" t="s">
        <v>1015</v>
      </c>
      <c r="I1363" s="112" t="s">
        <v>1116</v>
      </c>
      <c r="J1363" s="112" t="s">
        <v>1551</v>
      </c>
      <c r="K1363" s="112" t="s">
        <v>1098</v>
      </c>
      <c r="L1363" s="116">
        <v>5040.08</v>
      </c>
    </row>
    <row r="1364" spans="1:12" hidden="1" outlineLevel="1" collapsed="1" x14ac:dyDescent="0.35">
      <c r="A1364" s="112" t="s">
        <v>1509</v>
      </c>
      <c r="B1364" s="112" t="s">
        <v>1520</v>
      </c>
      <c r="C1364" s="112" t="s">
        <v>1095</v>
      </c>
      <c r="D1364" s="113">
        <v>10348451</v>
      </c>
      <c r="E1364" s="115">
        <v>43949</v>
      </c>
      <c r="F1364" s="114">
        <v>202101</v>
      </c>
      <c r="G1364" s="112" t="s">
        <v>1091</v>
      </c>
      <c r="H1364" s="112" t="s">
        <v>1015</v>
      </c>
      <c r="I1364" s="112" t="s">
        <v>1116</v>
      </c>
      <c r="J1364" s="112" t="s">
        <v>1537</v>
      </c>
      <c r="K1364" s="112" t="s">
        <v>1098</v>
      </c>
      <c r="L1364" s="116">
        <v>2083.9499999999998</v>
      </c>
    </row>
    <row r="1365" spans="1:12" hidden="1" outlineLevel="1" collapsed="1" x14ac:dyDescent="0.35">
      <c r="A1365" s="112" t="s">
        <v>1509</v>
      </c>
      <c r="B1365" s="112" t="s">
        <v>1510</v>
      </c>
      <c r="C1365" s="112" t="s">
        <v>1095</v>
      </c>
      <c r="D1365" s="113">
        <v>10348451</v>
      </c>
      <c r="E1365" s="115">
        <v>43949</v>
      </c>
      <c r="F1365" s="114">
        <v>202101</v>
      </c>
      <c r="G1365" s="112" t="s">
        <v>1091</v>
      </c>
      <c r="H1365" s="112" t="s">
        <v>1015</v>
      </c>
      <c r="I1365" s="112" t="s">
        <v>1096</v>
      </c>
      <c r="J1365" s="112" t="s">
        <v>1512</v>
      </c>
      <c r="K1365" s="112" t="s">
        <v>1098</v>
      </c>
      <c r="L1365" s="116">
        <v>594.51</v>
      </c>
    </row>
    <row r="1366" spans="1:12" hidden="1" outlineLevel="1" collapsed="1" x14ac:dyDescent="0.35">
      <c r="A1366" s="112" t="s">
        <v>1509</v>
      </c>
      <c r="B1366" s="112" t="s">
        <v>1520</v>
      </c>
      <c r="C1366" s="112" t="s">
        <v>1095</v>
      </c>
      <c r="D1366" s="113">
        <v>10348451</v>
      </c>
      <c r="E1366" s="115">
        <v>43949</v>
      </c>
      <c r="F1366" s="114">
        <v>202101</v>
      </c>
      <c r="G1366" s="112" t="s">
        <v>1091</v>
      </c>
      <c r="H1366" s="112" t="s">
        <v>1015</v>
      </c>
      <c r="I1366" s="112" t="s">
        <v>1116</v>
      </c>
      <c r="J1366" s="112" t="s">
        <v>1537</v>
      </c>
      <c r="K1366" s="112" t="s">
        <v>1098</v>
      </c>
      <c r="L1366" s="116">
        <v>2631.25</v>
      </c>
    </row>
    <row r="1367" spans="1:12" hidden="1" outlineLevel="1" collapsed="1" x14ac:dyDescent="0.35">
      <c r="A1367" s="112" t="s">
        <v>1509</v>
      </c>
      <c r="B1367" s="112" t="s">
        <v>903</v>
      </c>
      <c r="C1367" s="112" t="s">
        <v>1095</v>
      </c>
      <c r="D1367" s="113">
        <v>10348451</v>
      </c>
      <c r="E1367" s="115">
        <v>43949</v>
      </c>
      <c r="F1367" s="114">
        <v>202101</v>
      </c>
      <c r="G1367" s="112" t="s">
        <v>1091</v>
      </c>
      <c r="H1367" s="112" t="s">
        <v>1015</v>
      </c>
      <c r="I1367" s="112" t="s">
        <v>1116</v>
      </c>
      <c r="J1367" s="112" t="s">
        <v>1551</v>
      </c>
      <c r="K1367" s="112" t="s">
        <v>1098</v>
      </c>
      <c r="L1367" s="116">
        <v>5393.79</v>
      </c>
    </row>
    <row r="1368" spans="1:12" hidden="1" outlineLevel="1" collapsed="1" x14ac:dyDescent="0.35">
      <c r="A1368" s="112" t="s">
        <v>1509</v>
      </c>
      <c r="B1368" s="112" t="s">
        <v>1510</v>
      </c>
      <c r="C1368" s="112" t="s">
        <v>1095</v>
      </c>
      <c r="D1368" s="113">
        <v>10348451</v>
      </c>
      <c r="E1368" s="115">
        <v>43949</v>
      </c>
      <c r="F1368" s="114">
        <v>202101</v>
      </c>
      <c r="G1368" s="112" t="s">
        <v>1091</v>
      </c>
      <c r="H1368" s="112" t="s">
        <v>1015</v>
      </c>
      <c r="I1368" s="112" t="s">
        <v>1096</v>
      </c>
      <c r="J1368" s="112" t="s">
        <v>1512</v>
      </c>
      <c r="K1368" s="112" t="s">
        <v>1098</v>
      </c>
      <c r="L1368" s="116">
        <v>86.07</v>
      </c>
    </row>
    <row r="1369" spans="1:12" hidden="1" outlineLevel="1" collapsed="1" x14ac:dyDescent="0.35">
      <c r="A1369" s="112" t="s">
        <v>1509</v>
      </c>
      <c r="B1369" s="112" t="s">
        <v>1510</v>
      </c>
      <c r="C1369" s="112" t="s">
        <v>1758</v>
      </c>
      <c r="D1369" s="113">
        <v>51366150</v>
      </c>
      <c r="E1369" s="115">
        <v>43936</v>
      </c>
      <c r="F1369" s="114">
        <v>202101</v>
      </c>
      <c r="G1369" s="112" t="s">
        <v>1091</v>
      </c>
      <c r="H1369" s="112" t="s">
        <v>1016</v>
      </c>
      <c r="I1369" s="112" t="s">
        <v>823</v>
      </c>
      <c r="J1369" s="112" t="s">
        <v>1512</v>
      </c>
      <c r="K1369" s="112" t="s">
        <v>1770</v>
      </c>
      <c r="L1369" s="116">
        <v>3750</v>
      </c>
    </row>
    <row r="1370" spans="1:12" hidden="1" outlineLevel="1" collapsed="1" x14ac:dyDescent="0.35">
      <c r="A1370" s="112" t="s">
        <v>1509</v>
      </c>
      <c r="B1370" s="112" t="s">
        <v>903</v>
      </c>
      <c r="C1370" s="112" t="s">
        <v>1095</v>
      </c>
      <c r="D1370" s="113">
        <v>10348451</v>
      </c>
      <c r="E1370" s="115">
        <v>43949</v>
      </c>
      <c r="F1370" s="114">
        <v>202101</v>
      </c>
      <c r="G1370" s="112" t="s">
        <v>1091</v>
      </c>
      <c r="H1370" s="112" t="s">
        <v>1015</v>
      </c>
      <c r="I1370" s="112" t="s">
        <v>1116</v>
      </c>
      <c r="J1370" s="112" t="s">
        <v>1551</v>
      </c>
      <c r="K1370" s="112" t="s">
        <v>1098</v>
      </c>
      <c r="L1370" s="116">
        <v>17</v>
      </c>
    </row>
    <row r="1371" spans="1:12" hidden="1" outlineLevel="1" collapsed="1" x14ac:dyDescent="0.35">
      <c r="A1371" s="112" t="s">
        <v>1509</v>
      </c>
      <c r="B1371" s="112" t="s">
        <v>1520</v>
      </c>
      <c r="C1371" s="112" t="s">
        <v>1095</v>
      </c>
      <c r="D1371" s="113">
        <v>10348451</v>
      </c>
      <c r="E1371" s="115">
        <v>43949</v>
      </c>
      <c r="F1371" s="114">
        <v>202101</v>
      </c>
      <c r="G1371" s="112" t="s">
        <v>1091</v>
      </c>
      <c r="H1371" s="112" t="s">
        <v>1015</v>
      </c>
      <c r="I1371" s="112" t="s">
        <v>1116</v>
      </c>
      <c r="J1371" s="112" t="s">
        <v>1537</v>
      </c>
      <c r="K1371" s="112" t="s">
        <v>1098</v>
      </c>
      <c r="L1371" s="116">
        <v>3391.33</v>
      </c>
    </row>
    <row r="1372" spans="1:12" hidden="1" outlineLevel="1" collapsed="1" x14ac:dyDescent="0.35">
      <c r="A1372" s="112" t="s">
        <v>1509</v>
      </c>
      <c r="B1372" s="112" t="s">
        <v>1510</v>
      </c>
      <c r="C1372" s="112" t="s">
        <v>1758</v>
      </c>
      <c r="D1372" s="113">
        <v>51366087</v>
      </c>
      <c r="E1372" s="115">
        <v>43930</v>
      </c>
      <c r="F1372" s="114">
        <v>202101</v>
      </c>
      <c r="G1372" s="112" t="s">
        <v>1091</v>
      </c>
      <c r="H1372" s="112" t="s">
        <v>1016</v>
      </c>
      <c r="I1372" s="112" t="s">
        <v>823</v>
      </c>
      <c r="J1372" s="112" t="s">
        <v>1512</v>
      </c>
      <c r="K1372" s="112" t="s">
        <v>1771</v>
      </c>
      <c r="L1372" s="116">
        <v>2790</v>
      </c>
    </row>
    <row r="1373" spans="1:12" hidden="1" outlineLevel="1" collapsed="1" x14ac:dyDescent="0.35">
      <c r="A1373" s="112" t="s">
        <v>1509</v>
      </c>
      <c r="B1373" s="112" t="s">
        <v>902</v>
      </c>
      <c r="C1373" s="112" t="s">
        <v>1095</v>
      </c>
      <c r="D1373" s="113">
        <v>10348451</v>
      </c>
      <c r="E1373" s="115">
        <v>43949</v>
      </c>
      <c r="F1373" s="114">
        <v>202101</v>
      </c>
      <c r="G1373" s="112" t="s">
        <v>1091</v>
      </c>
      <c r="H1373" s="112" t="s">
        <v>1015</v>
      </c>
      <c r="I1373" s="112" t="s">
        <v>1116</v>
      </c>
      <c r="J1373" s="112" t="s">
        <v>1613</v>
      </c>
      <c r="K1373" s="112" t="s">
        <v>1098</v>
      </c>
      <c r="L1373" s="116">
        <v>2702</v>
      </c>
    </row>
    <row r="1374" spans="1:12" hidden="1" outlineLevel="1" collapsed="1" x14ac:dyDescent="0.35">
      <c r="A1374" s="112" t="s">
        <v>1509</v>
      </c>
      <c r="B1374" s="112" t="s">
        <v>902</v>
      </c>
      <c r="C1374" s="112" t="s">
        <v>1095</v>
      </c>
      <c r="D1374" s="113">
        <v>10348451</v>
      </c>
      <c r="E1374" s="115">
        <v>43949</v>
      </c>
      <c r="F1374" s="114">
        <v>202101</v>
      </c>
      <c r="G1374" s="112" t="s">
        <v>1091</v>
      </c>
      <c r="H1374" s="112" t="s">
        <v>1015</v>
      </c>
      <c r="I1374" s="112" t="s">
        <v>1116</v>
      </c>
      <c r="J1374" s="112" t="s">
        <v>1613</v>
      </c>
      <c r="K1374" s="112" t="s">
        <v>1098</v>
      </c>
      <c r="L1374" s="116">
        <v>4871.08</v>
      </c>
    </row>
    <row r="1375" spans="1:12" hidden="1" outlineLevel="1" collapsed="1" x14ac:dyDescent="0.35">
      <c r="A1375" s="112" t="s">
        <v>1509</v>
      </c>
      <c r="B1375" s="112" t="s">
        <v>902</v>
      </c>
      <c r="C1375" s="112" t="s">
        <v>1095</v>
      </c>
      <c r="D1375" s="113">
        <v>10348451</v>
      </c>
      <c r="E1375" s="115">
        <v>43949</v>
      </c>
      <c r="F1375" s="114">
        <v>202101</v>
      </c>
      <c r="G1375" s="112" t="s">
        <v>1091</v>
      </c>
      <c r="H1375" s="112" t="s">
        <v>1015</v>
      </c>
      <c r="I1375" s="112" t="s">
        <v>1116</v>
      </c>
      <c r="J1375" s="112" t="s">
        <v>1530</v>
      </c>
      <c r="K1375" s="112" t="s">
        <v>1098</v>
      </c>
      <c r="L1375" s="116">
        <v>2981.92</v>
      </c>
    </row>
    <row r="1376" spans="1:12" hidden="1" outlineLevel="1" collapsed="1" x14ac:dyDescent="0.35">
      <c r="A1376" s="112" t="s">
        <v>1509</v>
      </c>
      <c r="B1376" s="112" t="s">
        <v>902</v>
      </c>
      <c r="C1376" s="112" t="s">
        <v>1095</v>
      </c>
      <c r="D1376" s="113">
        <v>10348451</v>
      </c>
      <c r="E1376" s="115">
        <v>43949</v>
      </c>
      <c r="F1376" s="114">
        <v>202101</v>
      </c>
      <c r="G1376" s="112" t="s">
        <v>1091</v>
      </c>
      <c r="H1376" s="112" t="s">
        <v>1015</v>
      </c>
      <c r="I1376" s="112" t="s">
        <v>1116</v>
      </c>
      <c r="J1376" s="112" t="s">
        <v>1530</v>
      </c>
      <c r="K1376" s="112" t="s">
        <v>1098</v>
      </c>
      <c r="L1376" s="116">
        <v>4198.08</v>
      </c>
    </row>
    <row r="1377" spans="1:12" hidden="1" outlineLevel="1" collapsed="1" x14ac:dyDescent="0.35">
      <c r="A1377" s="112" t="s">
        <v>1509</v>
      </c>
      <c r="B1377" s="112" t="s">
        <v>1520</v>
      </c>
      <c r="C1377" s="112" t="s">
        <v>695</v>
      </c>
      <c r="D1377" s="113">
        <v>10348163</v>
      </c>
      <c r="E1377" s="115">
        <v>43930</v>
      </c>
      <c r="F1377" s="114">
        <v>202101</v>
      </c>
      <c r="G1377" s="112" t="s">
        <v>1091</v>
      </c>
      <c r="H1377" s="112" t="s">
        <v>1016</v>
      </c>
      <c r="I1377" s="112" t="s">
        <v>1328</v>
      </c>
      <c r="J1377" s="112" t="s">
        <v>1537</v>
      </c>
      <c r="K1377" s="112" t="s">
        <v>1772</v>
      </c>
      <c r="L1377" s="116">
        <v>426000</v>
      </c>
    </row>
    <row r="1378" spans="1:12" hidden="1" outlineLevel="1" collapsed="1" x14ac:dyDescent="0.35">
      <c r="A1378" s="112" t="s">
        <v>1509</v>
      </c>
      <c r="B1378" s="112" t="s">
        <v>902</v>
      </c>
      <c r="C1378" s="112" t="s">
        <v>1095</v>
      </c>
      <c r="D1378" s="113">
        <v>10348451</v>
      </c>
      <c r="E1378" s="115">
        <v>43949</v>
      </c>
      <c r="F1378" s="114">
        <v>202101</v>
      </c>
      <c r="G1378" s="112" t="s">
        <v>1091</v>
      </c>
      <c r="H1378" s="112" t="s">
        <v>1015</v>
      </c>
      <c r="I1378" s="112" t="s">
        <v>1116</v>
      </c>
      <c r="J1378" s="112" t="s">
        <v>1517</v>
      </c>
      <c r="K1378" s="112" t="s">
        <v>1098</v>
      </c>
      <c r="L1378" s="116">
        <v>3473.25</v>
      </c>
    </row>
    <row r="1379" spans="1:12" hidden="1" outlineLevel="1" collapsed="1" x14ac:dyDescent="0.35">
      <c r="A1379" s="112" t="s">
        <v>1509</v>
      </c>
      <c r="B1379" s="112" t="s">
        <v>1520</v>
      </c>
      <c r="C1379" s="112" t="s">
        <v>695</v>
      </c>
      <c r="D1379" s="113">
        <v>10348163</v>
      </c>
      <c r="E1379" s="115">
        <v>43930</v>
      </c>
      <c r="F1379" s="114">
        <v>202101</v>
      </c>
      <c r="G1379" s="112" t="s">
        <v>1091</v>
      </c>
      <c r="H1379" s="112" t="s">
        <v>1016</v>
      </c>
      <c r="I1379" s="112" t="s">
        <v>1328</v>
      </c>
      <c r="J1379" s="112" t="s">
        <v>1537</v>
      </c>
      <c r="K1379" s="112" t="s">
        <v>1773</v>
      </c>
      <c r="L1379" s="116">
        <v>25000</v>
      </c>
    </row>
    <row r="1380" spans="1:12" hidden="1" outlineLevel="1" collapsed="1" x14ac:dyDescent="0.35">
      <c r="A1380" s="112" t="s">
        <v>1509</v>
      </c>
      <c r="B1380" s="112" t="s">
        <v>903</v>
      </c>
      <c r="C1380" s="112" t="s">
        <v>1095</v>
      </c>
      <c r="D1380" s="113">
        <v>10348451</v>
      </c>
      <c r="E1380" s="115">
        <v>43949</v>
      </c>
      <c r="F1380" s="114">
        <v>202101</v>
      </c>
      <c r="G1380" s="112" t="s">
        <v>1091</v>
      </c>
      <c r="H1380" s="112" t="s">
        <v>1015</v>
      </c>
      <c r="I1380" s="112" t="s">
        <v>1101</v>
      </c>
      <c r="J1380" s="112" t="s">
        <v>1551</v>
      </c>
      <c r="K1380" s="112" t="s">
        <v>1098</v>
      </c>
      <c r="L1380" s="116">
        <v>789.11</v>
      </c>
    </row>
    <row r="1381" spans="1:12" hidden="1" outlineLevel="1" collapsed="1" x14ac:dyDescent="0.35">
      <c r="A1381" s="112" t="s">
        <v>1509</v>
      </c>
      <c r="B1381" s="112" t="s">
        <v>1510</v>
      </c>
      <c r="C1381" s="112" t="s">
        <v>695</v>
      </c>
      <c r="D1381" s="113">
        <v>10348188</v>
      </c>
      <c r="E1381" s="115">
        <v>43934</v>
      </c>
      <c r="F1381" s="114">
        <v>202101</v>
      </c>
      <c r="G1381" s="112" t="s">
        <v>1091</v>
      </c>
      <c r="H1381" s="112" t="s">
        <v>1016</v>
      </c>
      <c r="I1381" s="112" t="s">
        <v>1752</v>
      </c>
      <c r="J1381" s="112" t="s">
        <v>1512</v>
      </c>
      <c r="K1381" s="112" t="s">
        <v>1774</v>
      </c>
      <c r="L1381" s="116">
        <v>25000</v>
      </c>
    </row>
    <row r="1382" spans="1:12" hidden="1" outlineLevel="1" collapsed="1" x14ac:dyDescent="0.35">
      <c r="A1382" s="112" t="s">
        <v>1509</v>
      </c>
      <c r="B1382" s="112" t="s">
        <v>1520</v>
      </c>
      <c r="C1382" s="112" t="s">
        <v>1095</v>
      </c>
      <c r="D1382" s="113">
        <v>10348451</v>
      </c>
      <c r="E1382" s="115">
        <v>43949</v>
      </c>
      <c r="F1382" s="114">
        <v>202101</v>
      </c>
      <c r="G1382" s="112" t="s">
        <v>1091</v>
      </c>
      <c r="H1382" s="112" t="s">
        <v>1015</v>
      </c>
      <c r="I1382" s="112" t="s">
        <v>1101</v>
      </c>
      <c r="J1382" s="112" t="s">
        <v>1537</v>
      </c>
      <c r="K1382" s="112" t="s">
        <v>1098</v>
      </c>
      <c r="L1382" s="116">
        <v>1052.1099999999999</v>
      </c>
    </row>
    <row r="1383" spans="1:12" hidden="1" outlineLevel="1" collapsed="1" x14ac:dyDescent="0.35">
      <c r="A1383" s="112" t="s">
        <v>1509</v>
      </c>
      <c r="B1383" s="112" t="s">
        <v>1510</v>
      </c>
      <c r="C1383" s="112" t="s">
        <v>695</v>
      </c>
      <c r="D1383" s="113">
        <v>10348188</v>
      </c>
      <c r="E1383" s="115">
        <v>43934</v>
      </c>
      <c r="F1383" s="114">
        <v>202101</v>
      </c>
      <c r="G1383" s="112" t="s">
        <v>1091</v>
      </c>
      <c r="H1383" s="112" t="s">
        <v>1016</v>
      </c>
      <c r="I1383" s="112" t="s">
        <v>1752</v>
      </c>
      <c r="J1383" s="112" t="s">
        <v>1611</v>
      </c>
      <c r="K1383" s="112" t="s">
        <v>1775</v>
      </c>
      <c r="L1383" s="116">
        <v>13773</v>
      </c>
    </row>
    <row r="1384" spans="1:12" hidden="1" outlineLevel="1" collapsed="1" x14ac:dyDescent="0.35">
      <c r="A1384" s="112" t="s">
        <v>1509</v>
      </c>
      <c r="B1384" s="112" t="s">
        <v>1510</v>
      </c>
      <c r="C1384" s="112" t="s">
        <v>1219</v>
      </c>
      <c r="D1384" s="113">
        <v>46307577</v>
      </c>
      <c r="E1384" s="115">
        <v>43942</v>
      </c>
      <c r="F1384" s="114">
        <v>202101</v>
      </c>
      <c r="G1384" s="112" t="s">
        <v>1091</v>
      </c>
      <c r="H1384" s="112" t="s">
        <v>1016</v>
      </c>
      <c r="I1384" s="112" t="s">
        <v>823</v>
      </c>
      <c r="J1384" s="112" t="s">
        <v>1514</v>
      </c>
      <c r="K1384" s="112" t="s">
        <v>1776</v>
      </c>
      <c r="L1384" s="116">
        <v>6875</v>
      </c>
    </row>
    <row r="1385" spans="1:12" hidden="1" outlineLevel="1" collapsed="1" x14ac:dyDescent="0.35">
      <c r="A1385" s="112" t="s">
        <v>1509</v>
      </c>
      <c r="B1385" s="112" t="s">
        <v>1598</v>
      </c>
      <c r="C1385" s="112" t="s">
        <v>1095</v>
      </c>
      <c r="D1385" s="113">
        <v>10348451</v>
      </c>
      <c r="E1385" s="115">
        <v>43949</v>
      </c>
      <c r="F1385" s="114">
        <v>202101</v>
      </c>
      <c r="G1385" s="112" t="s">
        <v>1091</v>
      </c>
      <c r="H1385" s="112" t="s">
        <v>1015</v>
      </c>
      <c r="I1385" s="112" t="s">
        <v>1096</v>
      </c>
      <c r="J1385" s="112" t="s">
        <v>1600</v>
      </c>
      <c r="K1385" s="112" t="s">
        <v>1098</v>
      </c>
      <c r="L1385" s="116">
        <v>411.93</v>
      </c>
    </row>
    <row r="1386" spans="1:12" hidden="1" outlineLevel="1" collapsed="1" x14ac:dyDescent="0.35">
      <c r="A1386" s="112" t="s">
        <v>1509</v>
      </c>
      <c r="B1386" s="112" t="s">
        <v>1510</v>
      </c>
      <c r="C1386" s="112" t="s">
        <v>695</v>
      </c>
      <c r="D1386" s="113">
        <v>10348188</v>
      </c>
      <c r="E1386" s="115">
        <v>43934</v>
      </c>
      <c r="F1386" s="114">
        <v>202101</v>
      </c>
      <c r="G1386" s="112" t="s">
        <v>1091</v>
      </c>
      <c r="H1386" s="112" t="s">
        <v>1016</v>
      </c>
      <c r="I1386" s="112" t="s">
        <v>1752</v>
      </c>
      <c r="J1386" s="112" t="s">
        <v>1611</v>
      </c>
      <c r="K1386" s="112" t="s">
        <v>1777</v>
      </c>
      <c r="L1386" s="116">
        <v>13500</v>
      </c>
    </row>
    <row r="1387" spans="1:12" hidden="1" outlineLevel="1" collapsed="1" x14ac:dyDescent="0.35">
      <c r="A1387" s="112" t="s">
        <v>1509</v>
      </c>
      <c r="B1387" s="112" t="s">
        <v>1510</v>
      </c>
      <c r="C1387" s="112" t="s">
        <v>1518</v>
      </c>
      <c r="D1387" s="113">
        <v>51366080</v>
      </c>
      <c r="E1387" s="115">
        <v>43930</v>
      </c>
      <c r="F1387" s="114">
        <v>202101</v>
      </c>
      <c r="G1387" s="112" t="s">
        <v>1091</v>
      </c>
      <c r="H1387" s="112" t="s">
        <v>1016</v>
      </c>
      <c r="I1387" s="112" t="s">
        <v>860</v>
      </c>
      <c r="J1387" s="112" t="s">
        <v>1514</v>
      </c>
      <c r="K1387" s="112" t="s">
        <v>1778</v>
      </c>
      <c r="L1387" s="116">
        <v>-4625</v>
      </c>
    </row>
    <row r="1388" spans="1:12" hidden="1" outlineLevel="1" collapsed="1" x14ac:dyDescent="0.35">
      <c r="A1388" s="112" t="s">
        <v>1509</v>
      </c>
      <c r="B1388" s="112" t="s">
        <v>1520</v>
      </c>
      <c r="C1388" s="112" t="s">
        <v>1095</v>
      </c>
      <c r="D1388" s="113">
        <v>10348451</v>
      </c>
      <c r="E1388" s="115">
        <v>43949</v>
      </c>
      <c r="F1388" s="114">
        <v>202101</v>
      </c>
      <c r="G1388" s="112" t="s">
        <v>1091</v>
      </c>
      <c r="H1388" s="112" t="s">
        <v>1015</v>
      </c>
      <c r="I1388" s="112" t="s">
        <v>1116</v>
      </c>
      <c r="J1388" s="112" t="s">
        <v>1537</v>
      </c>
      <c r="K1388" s="112" t="s">
        <v>1098</v>
      </c>
      <c r="L1388" s="116">
        <v>4782.75</v>
      </c>
    </row>
    <row r="1389" spans="1:12" hidden="1" outlineLevel="1" collapsed="1" x14ac:dyDescent="0.35">
      <c r="A1389" s="112" t="s">
        <v>1509</v>
      </c>
      <c r="B1389" s="112" t="s">
        <v>903</v>
      </c>
      <c r="C1389" s="112" t="s">
        <v>1095</v>
      </c>
      <c r="D1389" s="113">
        <v>10348451</v>
      </c>
      <c r="E1389" s="115">
        <v>43949</v>
      </c>
      <c r="F1389" s="114">
        <v>202101</v>
      </c>
      <c r="G1389" s="112" t="s">
        <v>1091</v>
      </c>
      <c r="H1389" s="112" t="s">
        <v>1015</v>
      </c>
      <c r="I1389" s="112" t="s">
        <v>1096</v>
      </c>
      <c r="J1389" s="112" t="s">
        <v>1551</v>
      </c>
      <c r="K1389" s="112" t="s">
        <v>1098</v>
      </c>
      <c r="L1389" s="116">
        <v>594.51</v>
      </c>
    </row>
    <row r="1390" spans="1:12" hidden="1" outlineLevel="1" collapsed="1" x14ac:dyDescent="0.35">
      <c r="A1390" s="112" t="s">
        <v>1509</v>
      </c>
      <c r="B1390" s="112" t="s">
        <v>1520</v>
      </c>
      <c r="C1390" s="112" t="s">
        <v>695</v>
      </c>
      <c r="D1390" s="113">
        <v>10348439</v>
      </c>
      <c r="E1390" s="115">
        <v>43945</v>
      </c>
      <c r="F1390" s="114">
        <v>202101</v>
      </c>
      <c r="G1390" s="112" t="s">
        <v>1091</v>
      </c>
      <c r="H1390" s="112" t="s">
        <v>1016</v>
      </c>
      <c r="I1390" s="112" t="s">
        <v>1328</v>
      </c>
      <c r="J1390" s="112" t="s">
        <v>1537</v>
      </c>
      <c r="K1390" s="112" t="s">
        <v>1779</v>
      </c>
      <c r="L1390" s="116">
        <v>-25000</v>
      </c>
    </row>
    <row r="1391" spans="1:12" hidden="1" outlineLevel="1" collapsed="1" x14ac:dyDescent="0.35">
      <c r="A1391" s="112" t="s">
        <v>1509</v>
      </c>
      <c r="B1391" s="112" t="s">
        <v>1520</v>
      </c>
      <c r="C1391" s="112" t="s">
        <v>1150</v>
      </c>
      <c r="D1391" s="113">
        <v>10348688</v>
      </c>
      <c r="E1391" s="115">
        <v>43978</v>
      </c>
      <c r="F1391" s="114">
        <v>202101</v>
      </c>
      <c r="G1391" s="112" t="s">
        <v>1091</v>
      </c>
      <c r="H1391" s="112" t="s">
        <v>1015</v>
      </c>
      <c r="I1391" s="112" t="s">
        <v>1211</v>
      </c>
      <c r="J1391" s="112" t="s">
        <v>1537</v>
      </c>
      <c r="K1391" s="112" t="s">
        <v>1780</v>
      </c>
      <c r="L1391" s="116">
        <v>6072</v>
      </c>
    </row>
    <row r="1392" spans="1:12" hidden="1" outlineLevel="1" collapsed="1" x14ac:dyDescent="0.35">
      <c r="A1392" s="112" t="s">
        <v>1509</v>
      </c>
      <c r="B1392" s="112" t="s">
        <v>1520</v>
      </c>
      <c r="C1392" s="112" t="s">
        <v>695</v>
      </c>
      <c r="D1392" s="113">
        <v>10348439</v>
      </c>
      <c r="E1392" s="115">
        <v>43945</v>
      </c>
      <c r="F1392" s="114">
        <v>202101</v>
      </c>
      <c r="G1392" s="112" t="s">
        <v>1091</v>
      </c>
      <c r="H1392" s="112" t="s">
        <v>1016</v>
      </c>
      <c r="I1392" s="112" t="s">
        <v>1328</v>
      </c>
      <c r="J1392" s="112" t="s">
        <v>1537</v>
      </c>
      <c r="K1392" s="112" t="s">
        <v>1781</v>
      </c>
      <c r="L1392" s="116">
        <v>25000</v>
      </c>
    </row>
    <row r="1393" spans="1:12" hidden="1" outlineLevel="1" collapsed="1" x14ac:dyDescent="0.35">
      <c r="A1393" s="112" t="s">
        <v>1509</v>
      </c>
      <c r="B1393" s="112" t="s">
        <v>903</v>
      </c>
      <c r="C1393" s="112" t="s">
        <v>1219</v>
      </c>
      <c r="D1393" s="113">
        <v>46307134</v>
      </c>
      <c r="E1393" s="115">
        <v>43924</v>
      </c>
      <c r="F1393" s="114">
        <v>202101</v>
      </c>
      <c r="G1393" s="112" t="s">
        <v>1091</v>
      </c>
      <c r="H1393" s="112" t="s">
        <v>1015</v>
      </c>
      <c r="I1393" s="112" t="s">
        <v>1211</v>
      </c>
      <c r="J1393" s="112" t="s">
        <v>1551</v>
      </c>
      <c r="K1393" s="112" t="s">
        <v>1220</v>
      </c>
      <c r="L1393" s="116">
        <v>28635.919999999998</v>
      </c>
    </row>
    <row r="1394" spans="1:12" hidden="1" outlineLevel="1" collapsed="1" x14ac:dyDescent="0.35">
      <c r="A1394" s="112" t="s">
        <v>1509</v>
      </c>
      <c r="B1394" s="112" t="s">
        <v>1520</v>
      </c>
      <c r="C1394" s="112" t="s">
        <v>1095</v>
      </c>
      <c r="D1394" s="113">
        <v>10348451</v>
      </c>
      <c r="E1394" s="115">
        <v>43949</v>
      </c>
      <c r="F1394" s="114">
        <v>202101</v>
      </c>
      <c r="G1394" s="112" t="s">
        <v>1091</v>
      </c>
      <c r="H1394" s="112" t="s">
        <v>1015</v>
      </c>
      <c r="I1394" s="112" t="s">
        <v>1096</v>
      </c>
      <c r="J1394" s="112" t="s">
        <v>1537</v>
      </c>
      <c r="K1394" s="112" t="s">
        <v>1098</v>
      </c>
      <c r="L1394" s="116">
        <v>477.46</v>
      </c>
    </row>
    <row r="1395" spans="1:12" hidden="1" outlineLevel="1" collapsed="1" x14ac:dyDescent="0.35">
      <c r="A1395" s="112" t="s">
        <v>1509</v>
      </c>
      <c r="B1395" s="112" t="s">
        <v>1520</v>
      </c>
      <c r="C1395" s="112" t="s">
        <v>695</v>
      </c>
      <c r="D1395" s="113">
        <v>10348439</v>
      </c>
      <c r="E1395" s="115">
        <v>43945</v>
      </c>
      <c r="F1395" s="114">
        <v>202101</v>
      </c>
      <c r="G1395" s="112" t="s">
        <v>1091</v>
      </c>
      <c r="H1395" s="112" t="s">
        <v>1016</v>
      </c>
      <c r="I1395" s="112" t="s">
        <v>1328</v>
      </c>
      <c r="J1395" s="112" t="s">
        <v>1537</v>
      </c>
      <c r="K1395" s="112" t="s">
        <v>1782</v>
      </c>
      <c r="L1395" s="116">
        <v>-25000</v>
      </c>
    </row>
    <row r="1396" spans="1:12" hidden="1" outlineLevel="1" collapsed="1" x14ac:dyDescent="0.35">
      <c r="A1396" s="112" t="s">
        <v>1509</v>
      </c>
      <c r="B1396" s="112" t="s">
        <v>1510</v>
      </c>
      <c r="C1396" s="112" t="s">
        <v>1518</v>
      </c>
      <c r="D1396" s="113">
        <v>51366154</v>
      </c>
      <c r="E1396" s="115">
        <v>43937</v>
      </c>
      <c r="F1396" s="114">
        <v>202101</v>
      </c>
      <c r="G1396" s="112" t="s">
        <v>1091</v>
      </c>
      <c r="H1396" s="112" t="s">
        <v>1016</v>
      </c>
      <c r="I1396" s="112" t="s">
        <v>823</v>
      </c>
      <c r="J1396" s="112" t="s">
        <v>1514</v>
      </c>
      <c r="K1396" s="112" t="s">
        <v>1761</v>
      </c>
      <c r="L1396" s="116">
        <v>-2083.33</v>
      </c>
    </row>
    <row r="1397" spans="1:12" hidden="1" outlineLevel="1" collapsed="1" x14ac:dyDescent="0.35">
      <c r="A1397" s="112" t="s">
        <v>1509</v>
      </c>
      <c r="B1397" s="112" t="s">
        <v>1510</v>
      </c>
      <c r="C1397" s="112" t="s">
        <v>1518</v>
      </c>
      <c r="D1397" s="113">
        <v>51366157</v>
      </c>
      <c r="E1397" s="115">
        <v>43937</v>
      </c>
      <c r="F1397" s="114">
        <v>202101</v>
      </c>
      <c r="G1397" s="112" t="s">
        <v>1091</v>
      </c>
      <c r="H1397" s="112" t="s">
        <v>1016</v>
      </c>
      <c r="I1397" s="112" t="s">
        <v>823</v>
      </c>
      <c r="J1397" s="112" t="s">
        <v>1525</v>
      </c>
      <c r="K1397" s="112" t="s">
        <v>1783</v>
      </c>
      <c r="L1397" s="116">
        <v>-428</v>
      </c>
    </row>
    <row r="1398" spans="1:12" hidden="1" outlineLevel="1" collapsed="1" x14ac:dyDescent="0.35">
      <c r="A1398" s="112" t="s">
        <v>1509</v>
      </c>
      <c r="B1398" s="112" t="s">
        <v>903</v>
      </c>
      <c r="C1398" s="112" t="s">
        <v>695</v>
      </c>
      <c r="D1398" s="113">
        <v>10348034</v>
      </c>
      <c r="E1398" s="115">
        <v>43928</v>
      </c>
      <c r="F1398" s="114">
        <v>202101</v>
      </c>
      <c r="G1398" s="112" t="s">
        <v>1091</v>
      </c>
      <c r="H1398" s="112" t="s">
        <v>1015</v>
      </c>
      <c r="I1398" s="112" t="s">
        <v>1211</v>
      </c>
      <c r="J1398" s="112" t="s">
        <v>1551</v>
      </c>
      <c r="K1398" s="112" t="s">
        <v>1784</v>
      </c>
      <c r="L1398" s="116">
        <v>-12344.56</v>
      </c>
    </row>
    <row r="1399" spans="1:12" hidden="1" outlineLevel="1" collapsed="1" x14ac:dyDescent="0.35">
      <c r="A1399" s="112" t="s">
        <v>1509</v>
      </c>
      <c r="B1399" s="112" t="s">
        <v>1520</v>
      </c>
      <c r="C1399" s="112" t="s">
        <v>1095</v>
      </c>
      <c r="D1399" s="113">
        <v>10348451</v>
      </c>
      <c r="E1399" s="115">
        <v>43949</v>
      </c>
      <c r="F1399" s="114">
        <v>202101</v>
      </c>
      <c r="G1399" s="112" t="s">
        <v>1091</v>
      </c>
      <c r="H1399" s="112" t="s">
        <v>1015</v>
      </c>
      <c r="I1399" s="112" t="s">
        <v>1096</v>
      </c>
      <c r="J1399" s="112" t="s">
        <v>1521</v>
      </c>
      <c r="K1399" s="112" t="s">
        <v>1098</v>
      </c>
      <c r="L1399" s="116">
        <v>880.86</v>
      </c>
    </row>
    <row r="1400" spans="1:12" hidden="1" outlineLevel="1" collapsed="1" x14ac:dyDescent="0.35">
      <c r="A1400" s="112" t="s">
        <v>1509</v>
      </c>
      <c r="B1400" s="112" t="s">
        <v>1520</v>
      </c>
      <c r="C1400" s="112" t="s">
        <v>695</v>
      </c>
      <c r="D1400" s="113">
        <v>10348437</v>
      </c>
      <c r="E1400" s="115">
        <v>43943</v>
      </c>
      <c r="F1400" s="114">
        <v>202101</v>
      </c>
      <c r="G1400" s="112" t="s">
        <v>1091</v>
      </c>
      <c r="H1400" s="112" t="s">
        <v>1016</v>
      </c>
      <c r="I1400" s="112" t="s">
        <v>1328</v>
      </c>
      <c r="J1400" s="112" t="s">
        <v>1537</v>
      </c>
      <c r="K1400" s="112" t="s">
        <v>1782</v>
      </c>
      <c r="L1400" s="116">
        <v>-25000</v>
      </c>
    </row>
    <row r="1401" spans="1:12" hidden="1" outlineLevel="1" collapsed="1" x14ac:dyDescent="0.35">
      <c r="A1401" s="112" t="s">
        <v>1509</v>
      </c>
      <c r="B1401" s="112" t="s">
        <v>903</v>
      </c>
      <c r="C1401" s="112" t="s">
        <v>1095</v>
      </c>
      <c r="D1401" s="113">
        <v>10348451</v>
      </c>
      <c r="E1401" s="115">
        <v>43949</v>
      </c>
      <c r="F1401" s="114">
        <v>202101</v>
      </c>
      <c r="G1401" s="112" t="s">
        <v>1091</v>
      </c>
      <c r="H1401" s="112" t="s">
        <v>1015</v>
      </c>
      <c r="I1401" s="112" t="s">
        <v>1096</v>
      </c>
      <c r="J1401" s="112" t="s">
        <v>1551</v>
      </c>
      <c r="K1401" s="112" t="s">
        <v>1098</v>
      </c>
      <c r="L1401" s="116">
        <v>663.51</v>
      </c>
    </row>
    <row r="1402" spans="1:12" hidden="1" outlineLevel="1" collapsed="1" x14ac:dyDescent="0.35">
      <c r="A1402" s="112" t="s">
        <v>1509</v>
      </c>
      <c r="B1402" s="112" t="s">
        <v>1520</v>
      </c>
      <c r="C1402" s="112" t="s">
        <v>1099</v>
      </c>
      <c r="D1402" s="113">
        <v>1069526</v>
      </c>
      <c r="E1402" s="115">
        <v>43936</v>
      </c>
      <c r="F1402" s="114">
        <v>202101</v>
      </c>
      <c r="G1402" s="112" t="s">
        <v>1091</v>
      </c>
      <c r="H1402" s="112" t="s">
        <v>1015</v>
      </c>
      <c r="I1402" s="112" t="s">
        <v>1211</v>
      </c>
      <c r="J1402" s="112" t="s">
        <v>1521</v>
      </c>
      <c r="K1402" s="112" t="s">
        <v>1785</v>
      </c>
      <c r="L1402" s="116">
        <v>1800</v>
      </c>
    </row>
    <row r="1403" spans="1:12" hidden="1" outlineLevel="1" collapsed="1" x14ac:dyDescent="0.35">
      <c r="A1403" s="112" t="s">
        <v>1509</v>
      </c>
      <c r="B1403" s="112" t="s">
        <v>1520</v>
      </c>
      <c r="C1403" s="112" t="s">
        <v>1095</v>
      </c>
      <c r="D1403" s="113">
        <v>10348451</v>
      </c>
      <c r="E1403" s="115">
        <v>43949</v>
      </c>
      <c r="F1403" s="114">
        <v>202101</v>
      </c>
      <c r="G1403" s="112" t="s">
        <v>1091</v>
      </c>
      <c r="H1403" s="112" t="s">
        <v>1015</v>
      </c>
      <c r="I1403" s="112" t="s">
        <v>1205</v>
      </c>
      <c r="J1403" s="112" t="s">
        <v>1537</v>
      </c>
      <c r="K1403" s="112" t="s">
        <v>1098</v>
      </c>
      <c r="L1403" s="116">
        <v>188.92</v>
      </c>
    </row>
    <row r="1404" spans="1:12" hidden="1" outlineLevel="1" collapsed="1" x14ac:dyDescent="0.35">
      <c r="A1404" s="112" t="s">
        <v>1509</v>
      </c>
      <c r="B1404" s="112" t="s">
        <v>1520</v>
      </c>
      <c r="C1404" s="112" t="s">
        <v>1095</v>
      </c>
      <c r="D1404" s="113">
        <v>10348451</v>
      </c>
      <c r="E1404" s="115">
        <v>43949</v>
      </c>
      <c r="F1404" s="114">
        <v>202101</v>
      </c>
      <c r="G1404" s="112" t="s">
        <v>1091</v>
      </c>
      <c r="H1404" s="112" t="s">
        <v>1015</v>
      </c>
      <c r="I1404" s="112" t="s">
        <v>1096</v>
      </c>
      <c r="J1404" s="112" t="s">
        <v>1537</v>
      </c>
      <c r="K1404" s="112" t="s">
        <v>1098</v>
      </c>
      <c r="L1404" s="116">
        <v>323.45</v>
      </c>
    </row>
    <row r="1405" spans="1:12" hidden="1" outlineLevel="1" collapsed="1" x14ac:dyDescent="0.35">
      <c r="A1405" s="112" t="s">
        <v>1509</v>
      </c>
      <c r="B1405" s="112" t="s">
        <v>1510</v>
      </c>
      <c r="C1405" s="112" t="s">
        <v>695</v>
      </c>
      <c r="D1405" s="113">
        <v>10348429</v>
      </c>
      <c r="E1405" s="115">
        <v>43945</v>
      </c>
      <c r="F1405" s="114">
        <v>202101</v>
      </c>
      <c r="G1405" s="112" t="s">
        <v>1091</v>
      </c>
      <c r="H1405" s="112" t="s">
        <v>1016</v>
      </c>
      <c r="I1405" s="112" t="s">
        <v>823</v>
      </c>
      <c r="J1405" s="112" t="s">
        <v>1514</v>
      </c>
      <c r="K1405" s="112" t="s">
        <v>1786</v>
      </c>
      <c r="L1405" s="116">
        <v>-7500</v>
      </c>
    </row>
    <row r="1406" spans="1:12" hidden="1" outlineLevel="1" collapsed="1" x14ac:dyDescent="0.35">
      <c r="A1406" s="112" t="s">
        <v>1509</v>
      </c>
      <c r="B1406" s="112" t="s">
        <v>1510</v>
      </c>
      <c r="C1406" s="112" t="s">
        <v>1518</v>
      </c>
      <c r="D1406" s="113">
        <v>51366156</v>
      </c>
      <c r="E1406" s="115">
        <v>43937</v>
      </c>
      <c r="F1406" s="114">
        <v>202101</v>
      </c>
      <c r="G1406" s="112" t="s">
        <v>1091</v>
      </c>
      <c r="H1406" s="112" t="s">
        <v>1016</v>
      </c>
      <c r="I1406" s="112" t="s">
        <v>823</v>
      </c>
      <c r="J1406" s="112" t="s">
        <v>1525</v>
      </c>
      <c r="K1406" s="112" t="s">
        <v>1787</v>
      </c>
      <c r="L1406" s="116">
        <v>-784.66</v>
      </c>
    </row>
    <row r="1407" spans="1:12" hidden="1" outlineLevel="1" collapsed="1" x14ac:dyDescent="0.35">
      <c r="A1407" s="112" t="s">
        <v>1509</v>
      </c>
      <c r="B1407" s="112" t="s">
        <v>1510</v>
      </c>
      <c r="C1407" s="112" t="s">
        <v>1518</v>
      </c>
      <c r="D1407" s="113">
        <v>51366155</v>
      </c>
      <c r="E1407" s="115">
        <v>43937</v>
      </c>
      <c r="F1407" s="114">
        <v>202101</v>
      </c>
      <c r="G1407" s="112" t="s">
        <v>1091</v>
      </c>
      <c r="H1407" s="112" t="s">
        <v>1016</v>
      </c>
      <c r="I1407" s="112" t="s">
        <v>1788</v>
      </c>
      <c r="J1407" s="112" t="s">
        <v>1514</v>
      </c>
      <c r="K1407" s="112" t="s">
        <v>1789</v>
      </c>
      <c r="L1407" s="116">
        <v>-1250</v>
      </c>
    </row>
    <row r="1408" spans="1:12" hidden="1" outlineLevel="1" collapsed="1" x14ac:dyDescent="0.35">
      <c r="A1408" s="112" t="s">
        <v>1509</v>
      </c>
      <c r="B1408" s="112" t="s">
        <v>1520</v>
      </c>
      <c r="C1408" s="112" t="s">
        <v>1219</v>
      </c>
      <c r="D1408" s="113">
        <v>46307134</v>
      </c>
      <c r="E1408" s="115">
        <v>43924</v>
      </c>
      <c r="F1408" s="114">
        <v>202101</v>
      </c>
      <c r="G1408" s="112" t="s">
        <v>1091</v>
      </c>
      <c r="H1408" s="112" t="s">
        <v>1015</v>
      </c>
      <c r="I1408" s="112" t="s">
        <v>1211</v>
      </c>
      <c r="J1408" s="112" t="s">
        <v>1537</v>
      </c>
      <c r="K1408" s="112" t="s">
        <v>1220</v>
      </c>
      <c r="L1408" s="116">
        <v>6923</v>
      </c>
    </row>
    <row r="1409" spans="1:12" hidden="1" outlineLevel="1" collapsed="1" x14ac:dyDescent="0.35">
      <c r="A1409" s="112" t="s">
        <v>1509</v>
      </c>
      <c r="B1409" s="112" t="s">
        <v>903</v>
      </c>
      <c r="C1409" s="112" t="s">
        <v>1095</v>
      </c>
      <c r="D1409" s="113">
        <v>10348451</v>
      </c>
      <c r="E1409" s="115">
        <v>43949</v>
      </c>
      <c r="F1409" s="114">
        <v>202101</v>
      </c>
      <c r="G1409" s="112" t="s">
        <v>1091</v>
      </c>
      <c r="H1409" s="112" t="s">
        <v>1015</v>
      </c>
      <c r="I1409" s="112" t="s">
        <v>1096</v>
      </c>
      <c r="J1409" s="112" t="s">
        <v>1551</v>
      </c>
      <c r="K1409" s="112" t="s">
        <v>1098</v>
      </c>
      <c r="L1409" s="116">
        <v>594.51</v>
      </c>
    </row>
    <row r="1410" spans="1:12" hidden="1" outlineLevel="1" collapsed="1" x14ac:dyDescent="0.35">
      <c r="A1410" s="112" t="s">
        <v>1509</v>
      </c>
      <c r="B1410" s="112" t="s">
        <v>1520</v>
      </c>
      <c r="C1410" s="112" t="s">
        <v>695</v>
      </c>
      <c r="D1410" s="113">
        <v>10348034</v>
      </c>
      <c r="E1410" s="115">
        <v>43928</v>
      </c>
      <c r="F1410" s="114">
        <v>202101</v>
      </c>
      <c r="G1410" s="112" t="s">
        <v>1091</v>
      </c>
      <c r="H1410" s="112" t="s">
        <v>1015</v>
      </c>
      <c r="I1410" s="112" t="s">
        <v>1211</v>
      </c>
      <c r="J1410" s="112" t="s">
        <v>1537</v>
      </c>
      <c r="K1410" s="112" t="s">
        <v>1790</v>
      </c>
      <c r="L1410" s="116">
        <v>-6923</v>
      </c>
    </row>
    <row r="1411" spans="1:12" hidden="1" outlineLevel="1" collapsed="1" x14ac:dyDescent="0.35">
      <c r="A1411" s="112" t="s">
        <v>1509</v>
      </c>
      <c r="B1411" s="112" t="s">
        <v>903</v>
      </c>
      <c r="C1411" s="112" t="s">
        <v>1095</v>
      </c>
      <c r="D1411" s="113">
        <v>10348451</v>
      </c>
      <c r="E1411" s="115">
        <v>43949</v>
      </c>
      <c r="F1411" s="114">
        <v>202101</v>
      </c>
      <c r="G1411" s="112" t="s">
        <v>1091</v>
      </c>
      <c r="H1411" s="112" t="s">
        <v>1015</v>
      </c>
      <c r="I1411" s="112" t="s">
        <v>1096</v>
      </c>
      <c r="J1411" s="112" t="s">
        <v>1551</v>
      </c>
      <c r="K1411" s="112" t="s">
        <v>1098</v>
      </c>
      <c r="L1411" s="116">
        <v>542.30999999999995</v>
      </c>
    </row>
    <row r="1412" spans="1:12" hidden="1" outlineLevel="1" collapsed="1" x14ac:dyDescent="0.35">
      <c r="A1412" s="112" t="s">
        <v>1509</v>
      </c>
      <c r="B1412" s="112" t="s">
        <v>903</v>
      </c>
      <c r="C1412" s="112" t="s">
        <v>1095</v>
      </c>
      <c r="D1412" s="113">
        <v>10348451</v>
      </c>
      <c r="E1412" s="115">
        <v>43949</v>
      </c>
      <c r="F1412" s="114">
        <v>202101</v>
      </c>
      <c r="G1412" s="112" t="s">
        <v>1091</v>
      </c>
      <c r="H1412" s="112" t="s">
        <v>1015</v>
      </c>
      <c r="I1412" s="112" t="s">
        <v>1096</v>
      </c>
      <c r="J1412" s="112" t="s">
        <v>1551</v>
      </c>
      <c r="K1412" s="112" t="s">
        <v>1098</v>
      </c>
      <c r="L1412" s="116">
        <v>649.16</v>
      </c>
    </row>
    <row r="1413" spans="1:12" hidden="1" outlineLevel="1" collapsed="1" x14ac:dyDescent="0.35">
      <c r="A1413" s="112" t="s">
        <v>1509</v>
      </c>
      <c r="B1413" s="112" t="s">
        <v>903</v>
      </c>
      <c r="C1413" s="112" t="s">
        <v>1095</v>
      </c>
      <c r="D1413" s="113">
        <v>10348451</v>
      </c>
      <c r="E1413" s="115">
        <v>43949</v>
      </c>
      <c r="F1413" s="114">
        <v>202101</v>
      </c>
      <c r="G1413" s="112" t="s">
        <v>1091</v>
      </c>
      <c r="H1413" s="112" t="s">
        <v>1015</v>
      </c>
      <c r="I1413" s="112" t="s">
        <v>1096</v>
      </c>
      <c r="J1413" s="112" t="s">
        <v>1551</v>
      </c>
      <c r="K1413" s="112" t="s">
        <v>1098</v>
      </c>
      <c r="L1413" s="116">
        <v>571.19000000000005</v>
      </c>
    </row>
    <row r="1414" spans="1:12" hidden="1" outlineLevel="1" collapsed="1" x14ac:dyDescent="0.35">
      <c r="A1414" s="112" t="s">
        <v>1509</v>
      </c>
      <c r="B1414" s="112" t="s">
        <v>903</v>
      </c>
      <c r="C1414" s="112" t="s">
        <v>1095</v>
      </c>
      <c r="D1414" s="113">
        <v>10348451</v>
      </c>
      <c r="E1414" s="115">
        <v>43949</v>
      </c>
      <c r="F1414" s="114">
        <v>202101</v>
      </c>
      <c r="G1414" s="112" t="s">
        <v>1091</v>
      </c>
      <c r="H1414" s="112" t="s">
        <v>1015</v>
      </c>
      <c r="I1414" s="112" t="s">
        <v>1096</v>
      </c>
      <c r="J1414" s="112" t="s">
        <v>1551</v>
      </c>
      <c r="K1414" s="112" t="s">
        <v>1098</v>
      </c>
      <c r="L1414" s="116">
        <v>571.19000000000005</v>
      </c>
    </row>
    <row r="1415" spans="1:12" hidden="1" outlineLevel="1" collapsed="1" x14ac:dyDescent="0.35">
      <c r="A1415" s="112" t="s">
        <v>1509</v>
      </c>
      <c r="B1415" s="112" t="s">
        <v>903</v>
      </c>
      <c r="C1415" s="112" t="s">
        <v>1150</v>
      </c>
      <c r="D1415" s="113">
        <v>10348688</v>
      </c>
      <c r="E1415" s="115">
        <v>43978</v>
      </c>
      <c r="F1415" s="114">
        <v>202101</v>
      </c>
      <c r="G1415" s="112" t="s">
        <v>1091</v>
      </c>
      <c r="H1415" s="112" t="s">
        <v>1015</v>
      </c>
      <c r="I1415" s="112" t="s">
        <v>1211</v>
      </c>
      <c r="J1415" s="112" t="s">
        <v>1551</v>
      </c>
      <c r="K1415" s="112" t="s">
        <v>1791</v>
      </c>
      <c r="L1415" s="116">
        <v>9660.9599999999991</v>
      </c>
    </row>
    <row r="1416" spans="1:12" hidden="1" outlineLevel="1" collapsed="1" x14ac:dyDescent="0.35">
      <c r="A1416" s="112" t="s">
        <v>1509</v>
      </c>
      <c r="B1416" s="112" t="s">
        <v>1520</v>
      </c>
      <c r="C1416" s="112" t="s">
        <v>1095</v>
      </c>
      <c r="D1416" s="113">
        <v>10348451</v>
      </c>
      <c r="E1416" s="115">
        <v>43949</v>
      </c>
      <c r="F1416" s="114">
        <v>202101</v>
      </c>
      <c r="G1416" s="112" t="s">
        <v>1091</v>
      </c>
      <c r="H1416" s="112" t="s">
        <v>1015</v>
      </c>
      <c r="I1416" s="112" t="s">
        <v>1205</v>
      </c>
      <c r="J1416" s="112" t="s">
        <v>1521</v>
      </c>
      <c r="K1416" s="112" t="s">
        <v>1098</v>
      </c>
      <c r="L1416" s="116">
        <v>809.5</v>
      </c>
    </row>
    <row r="1417" spans="1:12" hidden="1" outlineLevel="1" collapsed="1" x14ac:dyDescent="0.35">
      <c r="A1417" s="112" t="s">
        <v>1509</v>
      </c>
      <c r="B1417" s="112" t="s">
        <v>1510</v>
      </c>
      <c r="C1417" s="112" t="s">
        <v>695</v>
      </c>
      <c r="D1417" s="113">
        <v>10348429</v>
      </c>
      <c r="E1417" s="115">
        <v>43945</v>
      </c>
      <c r="F1417" s="114">
        <v>202101</v>
      </c>
      <c r="G1417" s="112" t="s">
        <v>1091</v>
      </c>
      <c r="H1417" s="112" t="s">
        <v>1016</v>
      </c>
      <c r="I1417" s="112" t="s">
        <v>823</v>
      </c>
      <c r="J1417" s="112" t="s">
        <v>1514</v>
      </c>
      <c r="K1417" s="112" t="s">
        <v>1792</v>
      </c>
      <c r="L1417" s="116">
        <v>9467.5</v>
      </c>
    </row>
    <row r="1418" spans="1:12" hidden="1" outlineLevel="1" collapsed="1" x14ac:dyDescent="0.35">
      <c r="A1418" s="112" t="s">
        <v>1509</v>
      </c>
      <c r="B1418" s="112" t="s">
        <v>1520</v>
      </c>
      <c r="C1418" s="112" t="s">
        <v>1095</v>
      </c>
      <c r="D1418" s="113">
        <v>10348451</v>
      </c>
      <c r="E1418" s="115">
        <v>43949</v>
      </c>
      <c r="F1418" s="114">
        <v>202101</v>
      </c>
      <c r="G1418" s="112" t="s">
        <v>1091</v>
      </c>
      <c r="H1418" s="112" t="s">
        <v>1015</v>
      </c>
      <c r="I1418" s="112" t="s">
        <v>1101</v>
      </c>
      <c r="J1418" s="112" t="s">
        <v>1537</v>
      </c>
      <c r="K1418" s="112" t="s">
        <v>1098</v>
      </c>
      <c r="L1418" s="116">
        <v>549.4</v>
      </c>
    </row>
    <row r="1419" spans="1:12" hidden="1" outlineLevel="1" collapsed="1" x14ac:dyDescent="0.35">
      <c r="A1419" s="112" t="s">
        <v>1509</v>
      </c>
      <c r="B1419" s="112" t="s">
        <v>1520</v>
      </c>
      <c r="C1419" s="112" t="s">
        <v>1099</v>
      </c>
      <c r="D1419" s="113">
        <v>1069465</v>
      </c>
      <c r="E1419" s="115">
        <v>43928</v>
      </c>
      <c r="F1419" s="114">
        <v>202101</v>
      </c>
      <c r="G1419" s="112" t="s">
        <v>1091</v>
      </c>
      <c r="H1419" s="112" t="s">
        <v>1015</v>
      </c>
      <c r="I1419" s="112" t="s">
        <v>1211</v>
      </c>
      <c r="J1419" s="112" t="s">
        <v>1521</v>
      </c>
      <c r="K1419" s="112" t="s">
        <v>1793</v>
      </c>
      <c r="L1419" s="116">
        <v>2100</v>
      </c>
    </row>
    <row r="1420" spans="1:12" hidden="1" outlineLevel="1" collapsed="1" x14ac:dyDescent="0.35">
      <c r="A1420" s="112" t="s">
        <v>1509</v>
      </c>
      <c r="B1420" s="112" t="s">
        <v>1510</v>
      </c>
      <c r="C1420" s="112" t="s">
        <v>1758</v>
      </c>
      <c r="D1420" s="113">
        <v>51366077</v>
      </c>
      <c r="E1420" s="115">
        <v>43930</v>
      </c>
      <c r="F1420" s="114">
        <v>202101</v>
      </c>
      <c r="G1420" s="112" t="s">
        <v>1091</v>
      </c>
      <c r="H1420" s="112" t="s">
        <v>1016</v>
      </c>
      <c r="I1420" s="112" t="s">
        <v>823</v>
      </c>
      <c r="J1420" s="112" t="s">
        <v>1514</v>
      </c>
      <c r="K1420" s="112" t="s">
        <v>1794</v>
      </c>
      <c r="L1420" s="116">
        <v>1687.5</v>
      </c>
    </row>
    <row r="1421" spans="1:12" hidden="1" outlineLevel="1" collapsed="1" x14ac:dyDescent="0.35">
      <c r="A1421" s="112" t="s">
        <v>1509</v>
      </c>
      <c r="B1421" s="112" t="s">
        <v>1520</v>
      </c>
      <c r="C1421" s="112" t="s">
        <v>1099</v>
      </c>
      <c r="D1421" s="113">
        <v>1069360</v>
      </c>
      <c r="E1421" s="115">
        <v>43922</v>
      </c>
      <c r="F1421" s="114">
        <v>202101</v>
      </c>
      <c r="G1421" s="112" t="s">
        <v>1091</v>
      </c>
      <c r="H1421" s="112" t="s">
        <v>1015</v>
      </c>
      <c r="I1421" s="112" t="s">
        <v>1211</v>
      </c>
      <c r="J1421" s="112" t="s">
        <v>1521</v>
      </c>
      <c r="K1421" s="112" t="s">
        <v>1795</v>
      </c>
      <c r="L1421" s="116">
        <v>1875</v>
      </c>
    </row>
    <row r="1422" spans="1:12" hidden="1" outlineLevel="1" collapsed="1" x14ac:dyDescent="0.35">
      <c r="A1422" s="112" t="s">
        <v>1509</v>
      </c>
      <c r="B1422" s="112" t="s">
        <v>1510</v>
      </c>
      <c r="C1422" s="112" t="s">
        <v>1758</v>
      </c>
      <c r="D1422" s="113">
        <v>51366079</v>
      </c>
      <c r="E1422" s="115">
        <v>43930</v>
      </c>
      <c r="F1422" s="114">
        <v>202101</v>
      </c>
      <c r="G1422" s="112" t="s">
        <v>1091</v>
      </c>
      <c r="H1422" s="112" t="s">
        <v>1016</v>
      </c>
      <c r="I1422" s="112" t="s">
        <v>860</v>
      </c>
      <c r="J1422" s="112" t="s">
        <v>1514</v>
      </c>
      <c r="K1422" s="112" t="s">
        <v>1796</v>
      </c>
      <c r="L1422" s="116">
        <v>18500</v>
      </c>
    </row>
    <row r="1423" spans="1:12" hidden="1" outlineLevel="1" collapsed="1" x14ac:dyDescent="0.35">
      <c r="A1423" s="112" t="s">
        <v>1509</v>
      </c>
      <c r="B1423" s="112" t="s">
        <v>1510</v>
      </c>
      <c r="C1423" s="112" t="s">
        <v>1518</v>
      </c>
      <c r="D1423" s="113">
        <v>51365686</v>
      </c>
      <c r="E1423" s="115">
        <v>43924</v>
      </c>
      <c r="F1423" s="114">
        <v>202101</v>
      </c>
      <c r="G1423" s="112" t="s">
        <v>1091</v>
      </c>
      <c r="H1423" s="112" t="s">
        <v>1016</v>
      </c>
      <c r="I1423" s="112" t="s">
        <v>823</v>
      </c>
      <c r="J1423" s="112" t="s">
        <v>1514</v>
      </c>
      <c r="K1423" s="112" t="s">
        <v>1797</v>
      </c>
      <c r="L1423" s="116">
        <v>-50</v>
      </c>
    </row>
    <row r="1424" spans="1:12" hidden="1" outlineLevel="1" collapsed="1" x14ac:dyDescent="0.35">
      <c r="A1424" s="112" t="s">
        <v>1509</v>
      </c>
      <c r="B1424" s="112" t="s">
        <v>1510</v>
      </c>
      <c r="C1424" s="112" t="s">
        <v>1095</v>
      </c>
      <c r="D1424" s="113">
        <v>10348451</v>
      </c>
      <c r="E1424" s="115">
        <v>43949</v>
      </c>
      <c r="F1424" s="114">
        <v>202101</v>
      </c>
      <c r="G1424" s="112" t="s">
        <v>1091</v>
      </c>
      <c r="H1424" s="112" t="s">
        <v>1015</v>
      </c>
      <c r="I1424" s="112" t="s">
        <v>1101</v>
      </c>
      <c r="J1424" s="112" t="s">
        <v>1512</v>
      </c>
      <c r="K1424" s="112" t="s">
        <v>1098</v>
      </c>
      <c r="L1424" s="116">
        <v>816.49</v>
      </c>
    </row>
    <row r="1425" spans="1:12" hidden="1" outlineLevel="1" collapsed="1" x14ac:dyDescent="0.35">
      <c r="A1425" s="112" t="s">
        <v>1509</v>
      </c>
      <c r="B1425" s="112" t="s">
        <v>903</v>
      </c>
      <c r="C1425" s="112" t="s">
        <v>695</v>
      </c>
      <c r="D1425" s="113">
        <v>10348034</v>
      </c>
      <c r="E1425" s="115">
        <v>43928</v>
      </c>
      <c r="F1425" s="114">
        <v>202101</v>
      </c>
      <c r="G1425" s="112" t="s">
        <v>1091</v>
      </c>
      <c r="H1425" s="112" t="s">
        <v>1015</v>
      </c>
      <c r="I1425" s="112" t="s">
        <v>1211</v>
      </c>
      <c r="J1425" s="112" t="s">
        <v>1551</v>
      </c>
      <c r="K1425" s="112" t="s">
        <v>1798</v>
      </c>
      <c r="L1425" s="116">
        <v>-16291.36</v>
      </c>
    </row>
    <row r="1426" spans="1:12" hidden="1" outlineLevel="1" collapsed="1" x14ac:dyDescent="0.35">
      <c r="A1426" s="112" t="s">
        <v>1509</v>
      </c>
      <c r="B1426" s="112" t="s">
        <v>1520</v>
      </c>
      <c r="C1426" s="112" t="s">
        <v>1095</v>
      </c>
      <c r="D1426" s="113">
        <v>10348451</v>
      </c>
      <c r="E1426" s="115">
        <v>43949</v>
      </c>
      <c r="F1426" s="114">
        <v>202101</v>
      </c>
      <c r="G1426" s="112" t="s">
        <v>1091</v>
      </c>
      <c r="H1426" s="112" t="s">
        <v>1015</v>
      </c>
      <c r="I1426" s="112" t="s">
        <v>1096</v>
      </c>
      <c r="J1426" s="112" t="s">
        <v>1537</v>
      </c>
      <c r="K1426" s="112" t="s">
        <v>1098</v>
      </c>
      <c r="L1426" s="116">
        <v>262.10000000000002</v>
      </c>
    </row>
    <row r="1427" spans="1:12" hidden="1" outlineLevel="1" collapsed="1" x14ac:dyDescent="0.35">
      <c r="A1427" s="112" t="s">
        <v>1509</v>
      </c>
      <c r="B1427" s="112" t="s">
        <v>1520</v>
      </c>
      <c r="C1427" s="112" t="s">
        <v>1099</v>
      </c>
      <c r="D1427" s="113">
        <v>1069199</v>
      </c>
      <c r="E1427" s="115">
        <v>43915</v>
      </c>
      <c r="F1427" s="114">
        <v>202101</v>
      </c>
      <c r="G1427" s="112" t="s">
        <v>1091</v>
      </c>
      <c r="H1427" s="112" t="s">
        <v>1015</v>
      </c>
      <c r="I1427" s="112" t="s">
        <v>1211</v>
      </c>
      <c r="J1427" s="112" t="s">
        <v>1521</v>
      </c>
      <c r="K1427" s="112" t="s">
        <v>1799</v>
      </c>
      <c r="L1427" s="116">
        <v>1875</v>
      </c>
    </row>
    <row r="1428" spans="1:12" hidden="1" outlineLevel="1" collapsed="1" x14ac:dyDescent="0.35">
      <c r="A1428" s="112" t="s">
        <v>1509</v>
      </c>
      <c r="B1428" s="112" t="s">
        <v>1510</v>
      </c>
      <c r="C1428" s="112" t="s">
        <v>1266</v>
      </c>
      <c r="D1428" s="113">
        <v>1069672</v>
      </c>
      <c r="E1428" s="115">
        <v>43943</v>
      </c>
      <c r="F1428" s="114">
        <v>202101</v>
      </c>
      <c r="G1428" s="112" t="s">
        <v>1091</v>
      </c>
      <c r="H1428" s="112" t="s">
        <v>1016</v>
      </c>
      <c r="I1428" s="112" t="s">
        <v>779</v>
      </c>
      <c r="J1428" s="112" t="s">
        <v>1514</v>
      </c>
      <c r="K1428" s="112" t="s">
        <v>1800</v>
      </c>
      <c r="L1428" s="116">
        <v>56500</v>
      </c>
    </row>
    <row r="1429" spans="1:12" hidden="1" outlineLevel="1" collapsed="1" x14ac:dyDescent="0.35">
      <c r="A1429" s="112" t="s">
        <v>1509</v>
      </c>
      <c r="B1429" s="112" t="s">
        <v>1520</v>
      </c>
      <c r="C1429" s="112" t="s">
        <v>1099</v>
      </c>
      <c r="D1429" s="113">
        <v>1069164</v>
      </c>
      <c r="E1429" s="115">
        <v>43908</v>
      </c>
      <c r="F1429" s="114">
        <v>202101</v>
      </c>
      <c r="G1429" s="112" t="s">
        <v>1091</v>
      </c>
      <c r="H1429" s="112" t="s">
        <v>1015</v>
      </c>
      <c r="I1429" s="112" t="s">
        <v>1211</v>
      </c>
      <c r="J1429" s="112" t="s">
        <v>1521</v>
      </c>
      <c r="K1429" s="112" t="s">
        <v>1801</v>
      </c>
      <c r="L1429" s="116">
        <v>1875</v>
      </c>
    </row>
    <row r="1430" spans="1:12" hidden="1" outlineLevel="1" collapsed="1" x14ac:dyDescent="0.35">
      <c r="A1430" s="112" t="s">
        <v>1509</v>
      </c>
      <c r="B1430" s="112" t="s">
        <v>1520</v>
      </c>
      <c r="C1430" s="112" t="s">
        <v>1095</v>
      </c>
      <c r="D1430" s="113">
        <v>10348451</v>
      </c>
      <c r="E1430" s="115">
        <v>43949</v>
      </c>
      <c r="F1430" s="114">
        <v>202101</v>
      </c>
      <c r="G1430" s="112" t="s">
        <v>1091</v>
      </c>
      <c r="H1430" s="112" t="s">
        <v>1015</v>
      </c>
      <c r="I1430" s="112" t="s">
        <v>1096</v>
      </c>
      <c r="J1430" s="112" t="s">
        <v>1537</v>
      </c>
      <c r="K1430" s="112" t="s">
        <v>1098</v>
      </c>
      <c r="L1430" s="116">
        <v>366.99</v>
      </c>
    </row>
    <row r="1431" spans="1:12" hidden="1" outlineLevel="1" collapsed="1" x14ac:dyDescent="0.35">
      <c r="A1431" s="112" t="s">
        <v>1509</v>
      </c>
      <c r="B1431" s="112" t="s">
        <v>1520</v>
      </c>
      <c r="C1431" s="112" t="s">
        <v>1099</v>
      </c>
      <c r="D1431" s="113">
        <v>1068821</v>
      </c>
      <c r="E1431" s="115">
        <v>43901</v>
      </c>
      <c r="F1431" s="114">
        <v>202101</v>
      </c>
      <c r="G1431" s="112" t="s">
        <v>1091</v>
      </c>
      <c r="H1431" s="112" t="s">
        <v>1015</v>
      </c>
      <c r="I1431" s="112" t="s">
        <v>1211</v>
      </c>
      <c r="J1431" s="112" t="s">
        <v>1521</v>
      </c>
      <c r="K1431" s="112" t="s">
        <v>1802</v>
      </c>
      <c r="L1431" s="116">
        <v>1875</v>
      </c>
    </row>
    <row r="1432" spans="1:12" hidden="1" outlineLevel="1" collapsed="1" x14ac:dyDescent="0.35">
      <c r="A1432" s="112" t="s">
        <v>1509</v>
      </c>
      <c r="B1432" s="112" t="s">
        <v>1520</v>
      </c>
      <c r="C1432" s="112" t="s">
        <v>1095</v>
      </c>
      <c r="D1432" s="113">
        <v>10348451</v>
      </c>
      <c r="E1432" s="115">
        <v>43949</v>
      </c>
      <c r="F1432" s="114">
        <v>202101</v>
      </c>
      <c r="G1432" s="112" t="s">
        <v>1091</v>
      </c>
      <c r="H1432" s="112" t="s">
        <v>1015</v>
      </c>
      <c r="I1432" s="112" t="s">
        <v>1096</v>
      </c>
      <c r="J1432" s="112" t="s">
        <v>1537</v>
      </c>
      <c r="K1432" s="112" t="s">
        <v>1098</v>
      </c>
      <c r="L1432" s="116">
        <v>795.22</v>
      </c>
    </row>
    <row r="1433" spans="1:12" hidden="1" outlineLevel="1" collapsed="1" x14ac:dyDescent="0.35">
      <c r="A1433" s="112" t="s">
        <v>1509</v>
      </c>
      <c r="B1433" s="112" t="s">
        <v>1520</v>
      </c>
      <c r="C1433" s="112" t="s">
        <v>1095</v>
      </c>
      <c r="D1433" s="113">
        <v>10348451</v>
      </c>
      <c r="E1433" s="115">
        <v>43949</v>
      </c>
      <c r="F1433" s="114">
        <v>202101</v>
      </c>
      <c r="G1433" s="112" t="s">
        <v>1091</v>
      </c>
      <c r="H1433" s="112" t="s">
        <v>1015</v>
      </c>
      <c r="I1433" s="112" t="s">
        <v>1096</v>
      </c>
      <c r="J1433" s="112" t="s">
        <v>1537</v>
      </c>
      <c r="K1433" s="112" t="s">
        <v>1098</v>
      </c>
      <c r="L1433" s="116">
        <v>559</v>
      </c>
    </row>
    <row r="1434" spans="1:12" hidden="1" outlineLevel="1" collapsed="1" x14ac:dyDescent="0.35">
      <c r="A1434" s="112" t="s">
        <v>1509</v>
      </c>
      <c r="B1434" s="112" t="s">
        <v>903</v>
      </c>
      <c r="C1434" s="112" t="s">
        <v>1095</v>
      </c>
      <c r="D1434" s="113">
        <v>10348451</v>
      </c>
      <c r="E1434" s="115">
        <v>43949</v>
      </c>
      <c r="F1434" s="114">
        <v>202101</v>
      </c>
      <c r="G1434" s="112" t="s">
        <v>1091</v>
      </c>
      <c r="H1434" s="112" t="s">
        <v>1015</v>
      </c>
      <c r="I1434" s="112" t="s">
        <v>1116</v>
      </c>
      <c r="J1434" s="112" t="s">
        <v>1551</v>
      </c>
      <c r="K1434" s="112" t="s">
        <v>1098</v>
      </c>
      <c r="L1434" s="116">
        <v>4871.08</v>
      </c>
    </row>
    <row r="1435" spans="1:12" hidden="1" outlineLevel="1" collapsed="1" x14ac:dyDescent="0.35">
      <c r="A1435" s="112" t="s">
        <v>1509</v>
      </c>
      <c r="B1435" s="112" t="s">
        <v>1520</v>
      </c>
      <c r="C1435" s="112" t="s">
        <v>1095</v>
      </c>
      <c r="D1435" s="113">
        <v>10348451</v>
      </c>
      <c r="E1435" s="115">
        <v>43949</v>
      </c>
      <c r="F1435" s="114">
        <v>202101</v>
      </c>
      <c r="G1435" s="112" t="s">
        <v>1091</v>
      </c>
      <c r="H1435" s="112" t="s">
        <v>1015</v>
      </c>
      <c r="I1435" s="112" t="s">
        <v>1096</v>
      </c>
      <c r="J1435" s="112" t="s">
        <v>1537</v>
      </c>
      <c r="K1435" s="112" t="s">
        <v>1098</v>
      </c>
      <c r="L1435" s="116">
        <v>282.43</v>
      </c>
    </row>
    <row r="1436" spans="1:12" hidden="1" outlineLevel="1" collapsed="1" x14ac:dyDescent="0.35">
      <c r="A1436" s="112" t="s">
        <v>1509</v>
      </c>
      <c r="B1436" s="112" t="s">
        <v>1510</v>
      </c>
      <c r="C1436" s="112" t="s">
        <v>1518</v>
      </c>
      <c r="D1436" s="113">
        <v>51366170</v>
      </c>
      <c r="E1436" s="115">
        <v>43942</v>
      </c>
      <c r="F1436" s="114">
        <v>202101</v>
      </c>
      <c r="G1436" s="112" t="s">
        <v>1091</v>
      </c>
      <c r="H1436" s="112" t="s">
        <v>1016</v>
      </c>
      <c r="I1436" s="112" t="s">
        <v>823</v>
      </c>
      <c r="J1436" s="112" t="s">
        <v>1525</v>
      </c>
      <c r="K1436" s="112" t="s">
        <v>1803</v>
      </c>
      <c r="L1436" s="116">
        <v>-842</v>
      </c>
    </row>
    <row r="1437" spans="1:12" hidden="1" outlineLevel="1" collapsed="1" x14ac:dyDescent="0.35">
      <c r="A1437" s="112" t="s">
        <v>1509</v>
      </c>
      <c r="B1437" s="112" t="s">
        <v>1520</v>
      </c>
      <c r="C1437" s="112" t="s">
        <v>1095</v>
      </c>
      <c r="D1437" s="113">
        <v>10348451</v>
      </c>
      <c r="E1437" s="115">
        <v>43949</v>
      </c>
      <c r="F1437" s="114">
        <v>202101</v>
      </c>
      <c r="G1437" s="112" t="s">
        <v>1091</v>
      </c>
      <c r="H1437" s="112" t="s">
        <v>1015</v>
      </c>
      <c r="I1437" s="112" t="s">
        <v>1116</v>
      </c>
      <c r="J1437" s="112" t="s">
        <v>1537</v>
      </c>
      <c r="K1437" s="112" t="s">
        <v>1098</v>
      </c>
      <c r="L1437" s="116">
        <v>4191.83</v>
      </c>
    </row>
    <row r="1438" spans="1:12" hidden="1" outlineLevel="1" collapsed="1" x14ac:dyDescent="0.35">
      <c r="A1438" s="112" t="s">
        <v>1509</v>
      </c>
      <c r="B1438" s="112" t="s">
        <v>902</v>
      </c>
      <c r="C1438" s="112" t="s">
        <v>1219</v>
      </c>
      <c r="D1438" s="113">
        <v>46307134</v>
      </c>
      <c r="E1438" s="115">
        <v>43924</v>
      </c>
      <c r="F1438" s="114">
        <v>202101</v>
      </c>
      <c r="G1438" s="112" t="s">
        <v>1091</v>
      </c>
      <c r="H1438" s="112" t="s">
        <v>1015</v>
      </c>
      <c r="I1438" s="112" t="s">
        <v>1211</v>
      </c>
      <c r="J1438" s="112" t="s">
        <v>1530</v>
      </c>
      <c r="K1438" s="112" t="s">
        <v>1220</v>
      </c>
      <c r="L1438" s="116">
        <v>5522.23</v>
      </c>
    </row>
    <row r="1439" spans="1:12" hidden="1" outlineLevel="1" collapsed="1" x14ac:dyDescent="0.35">
      <c r="A1439" s="112" t="s">
        <v>1509</v>
      </c>
      <c r="B1439" s="112" t="s">
        <v>1520</v>
      </c>
      <c r="C1439" s="112" t="s">
        <v>1095</v>
      </c>
      <c r="D1439" s="113">
        <v>10348451</v>
      </c>
      <c r="E1439" s="115">
        <v>43949</v>
      </c>
      <c r="F1439" s="114">
        <v>202101</v>
      </c>
      <c r="G1439" s="112" t="s">
        <v>1091</v>
      </c>
      <c r="H1439" s="112" t="s">
        <v>1015</v>
      </c>
      <c r="I1439" s="112" t="s">
        <v>1116</v>
      </c>
      <c r="J1439" s="112" t="s">
        <v>1521</v>
      </c>
      <c r="K1439" s="112" t="s">
        <v>1098</v>
      </c>
      <c r="L1439" s="116">
        <v>6305.58</v>
      </c>
    </row>
    <row r="1440" spans="1:12" hidden="1" outlineLevel="1" collapsed="1" x14ac:dyDescent="0.35">
      <c r="A1440" s="112" t="s">
        <v>1509</v>
      </c>
      <c r="B1440" s="112" t="s">
        <v>902</v>
      </c>
      <c r="C1440" s="112" t="s">
        <v>695</v>
      </c>
      <c r="D1440" s="113">
        <v>10348034</v>
      </c>
      <c r="E1440" s="115">
        <v>43928</v>
      </c>
      <c r="F1440" s="114">
        <v>202101</v>
      </c>
      <c r="G1440" s="112" t="s">
        <v>1091</v>
      </c>
      <c r="H1440" s="112" t="s">
        <v>1015</v>
      </c>
      <c r="I1440" s="112" t="s">
        <v>1211</v>
      </c>
      <c r="J1440" s="112" t="s">
        <v>1530</v>
      </c>
      <c r="K1440" s="112" t="s">
        <v>1804</v>
      </c>
      <c r="L1440" s="116">
        <v>-5522.23</v>
      </c>
    </row>
    <row r="1441" spans="1:12" hidden="1" outlineLevel="1" collapsed="1" x14ac:dyDescent="0.35">
      <c r="A1441" s="112" t="s">
        <v>1509</v>
      </c>
      <c r="B1441" s="112" t="s">
        <v>1520</v>
      </c>
      <c r="C1441" s="112" t="s">
        <v>1095</v>
      </c>
      <c r="D1441" s="113">
        <v>10348451</v>
      </c>
      <c r="E1441" s="115">
        <v>43949</v>
      </c>
      <c r="F1441" s="114">
        <v>202101</v>
      </c>
      <c r="G1441" s="112" t="s">
        <v>1091</v>
      </c>
      <c r="H1441" s="112" t="s">
        <v>1015</v>
      </c>
      <c r="I1441" s="112" t="s">
        <v>1116</v>
      </c>
      <c r="J1441" s="112" t="s">
        <v>1537</v>
      </c>
      <c r="K1441" s="112" t="s">
        <v>1098</v>
      </c>
      <c r="L1441" s="116">
        <v>6305.58</v>
      </c>
    </row>
    <row r="1442" spans="1:12" hidden="1" outlineLevel="1" collapsed="1" x14ac:dyDescent="0.35">
      <c r="A1442" s="112" t="s">
        <v>1509</v>
      </c>
      <c r="B1442" s="112" t="s">
        <v>1510</v>
      </c>
      <c r="C1442" s="112" t="s">
        <v>1518</v>
      </c>
      <c r="D1442" s="113">
        <v>51365726</v>
      </c>
      <c r="E1442" s="115">
        <v>43927</v>
      </c>
      <c r="F1442" s="114">
        <v>202101</v>
      </c>
      <c r="G1442" s="112" t="s">
        <v>1091</v>
      </c>
      <c r="H1442" s="112" t="s">
        <v>1016</v>
      </c>
      <c r="I1442" s="112" t="s">
        <v>823</v>
      </c>
      <c r="J1442" s="112" t="s">
        <v>1514</v>
      </c>
      <c r="K1442" s="112" t="s">
        <v>1805</v>
      </c>
      <c r="L1442" s="116">
        <v>-1416.66</v>
      </c>
    </row>
    <row r="1443" spans="1:12" hidden="1" outlineLevel="1" collapsed="1" x14ac:dyDescent="0.35">
      <c r="A1443" s="112" t="s">
        <v>1509</v>
      </c>
      <c r="B1443" s="112" t="s">
        <v>903</v>
      </c>
      <c r="C1443" s="112" t="s">
        <v>1095</v>
      </c>
      <c r="D1443" s="113">
        <v>10348451</v>
      </c>
      <c r="E1443" s="115">
        <v>43949</v>
      </c>
      <c r="F1443" s="114">
        <v>202101</v>
      </c>
      <c r="G1443" s="112" t="s">
        <v>1091</v>
      </c>
      <c r="H1443" s="112" t="s">
        <v>1015</v>
      </c>
      <c r="I1443" s="112" t="s">
        <v>1116</v>
      </c>
      <c r="J1443" s="112" t="s">
        <v>1551</v>
      </c>
      <c r="K1443" s="112" t="s">
        <v>1098</v>
      </c>
      <c r="L1443" s="116">
        <v>5540.08</v>
      </c>
    </row>
    <row r="1444" spans="1:12" hidden="1" outlineLevel="1" collapsed="1" x14ac:dyDescent="0.35">
      <c r="A1444" s="112" t="s">
        <v>1509</v>
      </c>
      <c r="B1444" s="112" t="s">
        <v>1510</v>
      </c>
      <c r="C1444" s="112" t="s">
        <v>1518</v>
      </c>
      <c r="D1444" s="113">
        <v>51366168</v>
      </c>
      <c r="E1444" s="115">
        <v>43942</v>
      </c>
      <c r="F1444" s="114">
        <v>202101</v>
      </c>
      <c r="G1444" s="112" t="s">
        <v>1091</v>
      </c>
      <c r="H1444" s="112" t="s">
        <v>1016</v>
      </c>
      <c r="I1444" s="112" t="s">
        <v>823</v>
      </c>
      <c r="J1444" s="112" t="s">
        <v>1514</v>
      </c>
      <c r="K1444" s="112" t="s">
        <v>1806</v>
      </c>
      <c r="L1444" s="116">
        <v>-10</v>
      </c>
    </row>
    <row r="1445" spans="1:12" hidden="1" outlineLevel="1" collapsed="1" x14ac:dyDescent="0.35">
      <c r="A1445" s="112" t="s">
        <v>1509</v>
      </c>
      <c r="B1445" s="112" t="s">
        <v>1510</v>
      </c>
      <c r="C1445" s="112" t="s">
        <v>1518</v>
      </c>
      <c r="D1445" s="113">
        <v>51366169</v>
      </c>
      <c r="E1445" s="115">
        <v>43942</v>
      </c>
      <c r="F1445" s="114">
        <v>202101</v>
      </c>
      <c r="G1445" s="112" t="s">
        <v>1091</v>
      </c>
      <c r="H1445" s="112" t="s">
        <v>1016</v>
      </c>
      <c r="I1445" s="112" t="s">
        <v>823</v>
      </c>
      <c r="J1445" s="112" t="s">
        <v>1514</v>
      </c>
      <c r="K1445" s="112" t="s">
        <v>1807</v>
      </c>
      <c r="L1445" s="116">
        <v>-300</v>
      </c>
    </row>
    <row r="1446" spans="1:12" hidden="1" outlineLevel="1" collapsed="1" x14ac:dyDescent="0.35">
      <c r="A1446" s="112" t="s">
        <v>1509</v>
      </c>
      <c r="B1446" s="112" t="s">
        <v>902</v>
      </c>
      <c r="C1446" s="112" t="s">
        <v>1518</v>
      </c>
      <c r="D1446" s="113">
        <v>51366274</v>
      </c>
      <c r="E1446" s="115">
        <v>43949</v>
      </c>
      <c r="F1446" s="114">
        <v>202101</v>
      </c>
      <c r="G1446" s="112" t="s">
        <v>1091</v>
      </c>
      <c r="H1446" s="112" t="s">
        <v>1016</v>
      </c>
      <c r="I1446" s="112" t="s">
        <v>1291</v>
      </c>
      <c r="J1446" s="112" t="s">
        <v>1517</v>
      </c>
      <c r="K1446" s="112" t="s">
        <v>1808</v>
      </c>
      <c r="L1446" s="116">
        <v>-5660.79</v>
      </c>
    </row>
    <row r="1447" spans="1:12" hidden="1" outlineLevel="1" collapsed="1" x14ac:dyDescent="0.35">
      <c r="A1447" s="112" t="s">
        <v>1509</v>
      </c>
      <c r="B1447" s="112" t="s">
        <v>1510</v>
      </c>
      <c r="C1447" s="112" t="s">
        <v>695</v>
      </c>
      <c r="D1447" s="113">
        <v>10348188</v>
      </c>
      <c r="E1447" s="115">
        <v>43934</v>
      </c>
      <c r="F1447" s="114">
        <v>202101</v>
      </c>
      <c r="G1447" s="112" t="s">
        <v>1091</v>
      </c>
      <c r="H1447" s="112" t="s">
        <v>1016</v>
      </c>
      <c r="I1447" s="112" t="s">
        <v>1752</v>
      </c>
      <c r="J1447" s="112" t="s">
        <v>1512</v>
      </c>
      <c r="K1447" s="112" t="s">
        <v>1809</v>
      </c>
      <c r="L1447" s="116">
        <v>57817</v>
      </c>
    </row>
    <row r="1448" spans="1:12" hidden="1" outlineLevel="1" collapsed="1" x14ac:dyDescent="0.35">
      <c r="A1448" s="112" t="s">
        <v>1509</v>
      </c>
      <c r="B1448" s="112" t="s">
        <v>1510</v>
      </c>
      <c r="C1448" s="112" t="s">
        <v>1758</v>
      </c>
      <c r="D1448" s="113">
        <v>51366089</v>
      </c>
      <c r="E1448" s="115">
        <v>43931</v>
      </c>
      <c r="F1448" s="114">
        <v>202101</v>
      </c>
      <c r="G1448" s="112" t="s">
        <v>1091</v>
      </c>
      <c r="H1448" s="112" t="s">
        <v>1016</v>
      </c>
      <c r="I1448" s="112" t="s">
        <v>823</v>
      </c>
      <c r="J1448" s="112" t="s">
        <v>1512</v>
      </c>
      <c r="K1448" s="112" t="s">
        <v>1767</v>
      </c>
      <c r="L1448" s="116">
        <v>-3750</v>
      </c>
    </row>
    <row r="1449" spans="1:12" hidden="1" outlineLevel="1" collapsed="1" x14ac:dyDescent="0.35">
      <c r="A1449" s="112" t="s">
        <v>1509</v>
      </c>
      <c r="B1449" s="112" t="s">
        <v>902</v>
      </c>
      <c r="C1449" s="112" t="s">
        <v>1518</v>
      </c>
      <c r="D1449" s="113">
        <v>51366275</v>
      </c>
      <c r="E1449" s="115">
        <v>43949</v>
      </c>
      <c r="F1449" s="114">
        <v>202101</v>
      </c>
      <c r="G1449" s="112" t="s">
        <v>1091</v>
      </c>
      <c r="H1449" s="112" t="s">
        <v>1016</v>
      </c>
      <c r="I1449" s="112" t="s">
        <v>1291</v>
      </c>
      <c r="J1449" s="112" t="s">
        <v>1517</v>
      </c>
      <c r="K1449" s="112" t="s">
        <v>1808</v>
      </c>
      <c r="L1449" s="116">
        <v>-7380.07</v>
      </c>
    </row>
    <row r="1450" spans="1:12" hidden="1" outlineLevel="1" collapsed="1" x14ac:dyDescent="0.35">
      <c r="A1450" s="112" t="s">
        <v>1509</v>
      </c>
      <c r="B1450" s="112" t="s">
        <v>1510</v>
      </c>
      <c r="C1450" s="112" t="s">
        <v>1518</v>
      </c>
      <c r="D1450" s="113">
        <v>51365728</v>
      </c>
      <c r="E1450" s="115">
        <v>43927</v>
      </c>
      <c r="F1450" s="114">
        <v>202101</v>
      </c>
      <c r="G1450" s="112" t="s">
        <v>1091</v>
      </c>
      <c r="H1450" s="112" t="s">
        <v>1016</v>
      </c>
      <c r="I1450" s="112" t="s">
        <v>823</v>
      </c>
      <c r="J1450" s="112" t="s">
        <v>1514</v>
      </c>
      <c r="K1450" s="112" t="s">
        <v>1810</v>
      </c>
      <c r="L1450" s="116">
        <v>-1466.66</v>
      </c>
    </row>
    <row r="1451" spans="1:12" hidden="1" outlineLevel="1" collapsed="1" x14ac:dyDescent="0.35">
      <c r="A1451" s="112" t="s">
        <v>1509</v>
      </c>
      <c r="B1451" s="112" t="s">
        <v>902</v>
      </c>
      <c r="C1451" s="112" t="s">
        <v>1518</v>
      </c>
      <c r="D1451" s="113">
        <v>51366276</v>
      </c>
      <c r="E1451" s="115">
        <v>43949</v>
      </c>
      <c r="F1451" s="114">
        <v>202101</v>
      </c>
      <c r="G1451" s="112" t="s">
        <v>1091</v>
      </c>
      <c r="H1451" s="112" t="s">
        <v>1016</v>
      </c>
      <c r="I1451" s="112" t="s">
        <v>1291</v>
      </c>
      <c r="J1451" s="112" t="s">
        <v>1517</v>
      </c>
      <c r="K1451" s="112" t="s">
        <v>1808</v>
      </c>
      <c r="L1451" s="116">
        <v>-6414.37</v>
      </c>
    </row>
    <row r="1452" spans="1:12" hidden="1" outlineLevel="1" collapsed="1" x14ac:dyDescent="0.35">
      <c r="A1452" s="112" t="s">
        <v>1509</v>
      </c>
      <c r="B1452" s="112" t="s">
        <v>902</v>
      </c>
      <c r="C1452" s="112" t="s">
        <v>1518</v>
      </c>
      <c r="D1452" s="113">
        <v>51366277</v>
      </c>
      <c r="E1452" s="115">
        <v>43949</v>
      </c>
      <c r="F1452" s="114">
        <v>202101</v>
      </c>
      <c r="G1452" s="112" t="s">
        <v>1091</v>
      </c>
      <c r="H1452" s="112" t="s">
        <v>1016</v>
      </c>
      <c r="I1452" s="112" t="s">
        <v>1291</v>
      </c>
      <c r="J1452" s="112" t="s">
        <v>1517</v>
      </c>
      <c r="K1452" s="112" t="s">
        <v>1808</v>
      </c>
      <c r="L1452" s="116">
        <v>-10691.31</v>
      </c>
    </row>
    <row r="1453" spans="1:12" hidden="1" outlineLevel="1" collapsed="1" x14ac:dyDescent="0.35">
      <c r="A1453" s="112" t="s">
        <v>1509</v>
      </c>
      <c r="B1453" s="112" t="s">
        <v>1510</v>
      </c>
      <c r="C1453" s="112" t="s">
        <v>1518</v>
      </c>
      <c r="D1453" s="113">
        <v>51365727</v>
      </c>
      <c r="E1453" s="115">
        <v>43927</v>
      </c>
      <c r="F1453" s="114">
        <v>202101</v>
      </c>
      <c r="G1453" s="112" t="s">
        <v>1091</v>
      </c>
      <c r="H1453" s="112" t="s">
        <v>1016</v>
      </c>
      <c r="I1453" s="112" t="s">
        <v>823</v>
      </c>
      <c r="J1453" s="112" t="s">
        <v>1514</v>
      </c>
      <c r="K1453" s="112" t="s">
        <v>1811</v>
      </c>
      <c r="L1453" s="116">
        <v>-800</v>
      </c>
    </row>
    <row r="1454" spans="1:12" hidden="1" outlineLevel="1" collapsed="1" x14ac:dyDescent="0.35">
      <c r="A1454" s="112" t="s">
        <v>1509</v>
      </c>
      <c r="B1454" s="112" t="s">
        <v>902</v>
      </c>
      <c r="C1454" s="112" t="s">
        <v>1150</v>
      </c>
      <c r="D1454" s="113">
        <v>10348688</v>
      </c>
      <c r="E1454" s="115">
        <v>43978</v>
      </c>
      <c r="F1454" s="114">
        <v>202101</v>
      </c>
      <c r="G1454" s="112" t="s">
        <v>1091</v>
      </c>
      <c r="H1454" s="112" t="s">
        <v>1015</v>
      </c>
      <c r="I1454" s="112" t="s">
        <v>1211</v>
      </c>
      <c r="J1454" s="112" t="s">
        <v>1530</v>
      </c>
      <c r="K1454" s="112" t="s">
        <v>1812</v>
      </c>
      <c r="L1454" s="116">
        <v>8635.9500000000007</v>
      </c>
    </row>
    <row r="1455" spans="1:12" hidden="1" outlineLevel="1" collapsed="1" x14ac:dyDescent="0.35">
      <c r="A1455" s="112" t="s">
        <v>1509</v>
      </c>
      <c r="B1455" s="112" t="s">
        <v>1520</v>
      </c>
      <c r="C1455" s="112" t="s">
        <v>1095</v>
      </c>
      <c r="D1455" s="113">
        <v>10348451</v>
      </c>
      <c r="E1455" s="115">
        <v>43949</v>
      </c>
      <c r="F1455" s="114">
        <v>202101</v>
      </c>
      <c r="G1455" s="112" t="s">
        <v>1091</v>
      </c>
      <c r="H1455" s="112" t="s">
        <v>1015</v>
      </c>
      <c r="I1455" s="112" t="s">
        <v>1116</v>
      </c>
      <c r="J1455" s="112" t="s">
        <v>1537</v>
      </c>
      <c r="K1455" s="112" t="s">
        <v>1098</v>
      </c>
      <c r="L1455" s="116">
        <v>3391.33</v>
      </c>
    </row>
    <row r="1456" spans="1:12" hidden="1" outlineLevel="1" collapsed="1" x14ac:dyDescent="0.35">
      <c r="A1456" s="112" t="s">
        <v>1509</v>
      </c>
      <c r="B1456" s="112" t="s">
        <v>1510</v>
      </c>
      <c r="C1456" s="112" t="s">
        <v>1758</v>
      </c>
      <c r="D1456" s="113">
        <v>51366076</v>
      </c>
      <c r="E1456" s="115">
        <v>43930</v>
      </c>
      <c r="F1456" s="114">
        <v>202101</v>
      </c>
      <c r="G1456" s="112" t="s">
        <v>1091</v>
      </c>
      <c r="H1456" s="112" t="s">
        <v>1016</v>
      </c>
      <c r="I1456" s="112" t="s">
        <v>823</v>
      </c>
      <c r="J1456" s="112" t="s">
        <v>1514</v>
      </c>
      <c r="K1456" s="112" t="s">
        <v>1794</v>
      </c>
      <c r="L1456" s="116">
        <v>499.32</v>
      </c>
    </row>
    <row r="1457" spans="1:12" hidden="1" outlineLevel="1" collapsed="1" x14ac:dyDescent="0.35">
      <c r="A1457" s="112" t="s">
        <v>1509</v>
      </c>
      <c r="B1457" s="112" t="s">
        <v>1520</v>
      </c>
      <c r="C1457" s="112" t="s">
        <v>1095</v>
      </c>
      <c r="D1457" s="113">
        <v>10348451</v>
      </c>
      <c r="E1457" s="115">
        <v>43949</v>
      </c>
      <c r="F1457" s="114">
        <v>202101</v>
      </c>
      <c r="G1457" s="112" t="s">
        <v>1091</v>
      </c>
      <c r="H1457" s="112" t="s">
        <v>1015</v>
      </c>
      <c r="I1457" s="112" t="s">
        <v>1096</v>
      </c>
      <c r="J1457" s="112" t="s">
        <v>1537</v>
      </c>
      <c r="K1457" s="112" t="s">
        <v>1098</v>
      </c>
      <c r="L1457" s="116">
        <v>186.57</v>
      </c>
    </row>
    <row r="1458" spans="1:12" hidden="1" outlineLevel="1" collapsed="1" x14ac:dyDescent="0.35">
      <c r="A1458" s="112" t="s">
        <v>1509</v>
      </c>
      <c r="B1458" s="112" t="s">
        <v>1510</v>
      </c>
      <c r="C1458" s="112" t="s">
        <v>1518</v>
      </c>
      <c r="D1458" s="113">
        <v>51366123</v>
      </c>
      <c r="E1458" s="115">
        <v>43931</v>
      </c>
      <c r="F1458" s="114">
        <v>202101</v>
      </c>
      <c r="G1458" s="112" t="s">
        <v>1091</v>
      </c>
      <c r="H1458" s="112" t="s">
        <v>1016</v>
      </c>
      <c r="I1458" s="112" t="s">
        <v>823</v>
      </c>
      <c r="J1458" s="112" t="s">
        <v>1514</v>
      </c>
      <c r="K1458" s="112" t="s">
        <v>1813</v>
      </c>
      <c r="L1458" s="116">
        <v>-4166.67</v>
      </c>
    </row>
    <row r="1459" spans="1:12" hidden="1" outlineLevel="1" collapsed="1" x14ac:dyDescent="0.35">
      <c r="A1459" s="112" t="s">
        <v>1814</v>
      </c>
      <c r="B1459" s="112" t="s">
        <v>906</v>
      </c>
      <c r="C1459" s="112" t="s">
        <v>695</v>
      </c>
      <c r="D1459" s="113">
        <v>10347954</v>
      </c>
      <c r="E1459" s="115">
        <v>43923</v>
      </c>
      <c r="F1459" s="114">
        <v>202101</v>
      </c>
      <c r="G1459" s="112" t="s">
        <v>1091</v>
      </c>
      <c r="H1459" s="112" t="s">
        <v>1015</v>
      </c>
      <c r="I1459" s="112" t="s">
        <v>813</v>
      </c>
      <c r="J1459" s="112" t="s">
        <v>1815</v>
      </c>
      <c r="K1459" s="112" t="s">
        <v>1816</v>
      </c>
      <c r="L1459" s="116">
        <v>-122.75</v>
      </c>
    </row>
    <row r="1460" spans="1:12" hidden="1" outlineLevel="1" collapsed="1" x14ac:dyDescent="0.35">
      <c r="A1460" s="112" t="s">
        <v>1814</v>
      </c>
      <c r="B1460" s="112" t="s">
        <v>905</v>
      </c>
      <c r="C1460" s="112" t="s">
        <v>1095</v>
      </c>
      <c r="D1460" s="113">
        <v>10348451</v>
      </c>
      <c r="E1460" s="115">
        <v>43949</v>
      </c>
      <c r="F1460" s="114">
        <v>202101</v>
      </c>
      <c r="G1460" s="112" t="s">
        <v>1091</v>
      </c>
      <c r="H1460" s="112" t="s">
        <v>1015</v>
      </c>
      <c r="I1460" s="112" t="s">
        <v>1101</v>
      </c>
      <c r="J1460" s="112" t="s">
        <v>1817</v>
      </c>
      <c r="K1460" s="112" t="s">
        <v>1098</v>
      </c>
      <c r="L1460" s="116">
        <v>483.07</v>
      </c>
    </row>
    <row r="1461" spans="1:12" hidden="1" outlineLevel="1" collapsed="1" x14ac:dyDescent="0.35">
      <c r="A1461" s="112" t="s">
        <v>1814</v>
      </c>
      <c r="B1461" s="112" t="s">
        <v>906</v>
      </c>
      <c r="C1461" s="112" t="s">
        <v>695</v>
      </c>
      <c r="D1461" s="113">
        <v>10347954</v>
      </c>
      <c r="E1461" s="115">
        <v>43923</v>
      </c>
      <c r="F1461" s="114">
        <v>202101</v>
      </c>
      <c r="G1461" s="112" t="s">
        <v>1091</v>
      </c>
      <c r="H1461" s="112" t="s">
        <v>1015</v>
      </c>
      <c r="I1461" s="112" t="s">
        <v>813</v>
      </c>
      <c r="J1461" s="112" t="s">
        <v>1815</v>
      </c>
      <c r="K1461" s="112" t="s">
        <v>1818</v>
      </c>
      <c r="L1461" s="116">
        <v>-549.02</v>
      </c>
    </row>
    <row r="1462" spans="1:12" hidden="1" outlineLevel="1" collapsed="1" x14ac:dyDescent="0.35">
      <c r="A1462" s="112" t="s">
        <v>1814</v>
      </c>
      <c r="B1462" s="112" t="s">
        <v>906</v>
      </c>
      <c r="C1462" s="112" t="s">
        <v>695</v>
      </c>
      <c r="D1462" s="113">
        <v>10347954</v>
      </c>
      <c r="E1462" s="115">
        <v>43923</v>
      </c>
      <c r="F1462" s="114">
        <v>202101</v>
      </c>
      <c r="G1462" s="112" t="s">
        <v>1091</v>
      </c>
      <c r="H1462" s="112" t="s">
        <v>1015</v>
      </c>
      <c r="I1462" s="112" t="s">
        <v>813</v>
      </c>
      <c r="J1462" s="112" t="s">
        <v>1815</v>
      </c>
      <c r="K1462" s="112" t="s">
        <v>1819</v>
      </c>
      <c r="L1462" s="116">
        <v>-195.52</v>
      </c>
    </row>
    <row r="1463" spans="1:12" hidden="1" outlineLevel="1" collapsed="1" x14ac:dyDescent="0.35">
      <c r="A1463" s="112" t="s">
        <v>1814</v>
      </c>
      <c r="B1463" s="112" t="s">
        <v>906</v>
      </c>
      <c r="C1463" s="112" t="s">
        <v>695</v>
      </c>
      <c r="D1463" s="113">
        <v>10347954</v>
      </c>
      <c r="E1463" s="115">
        <v>43923</v>
      </c>
      <c r="F1463" s="114">
        <v>202101</v>
      </c>
      <c r="G1463" s="112" t="s">
        <v>1091</v>
      </c>
      <c r="H1463" s="112" t="s">
        <v>1015</v>
      </c>
      <c r="I1463" s="112" t="s">
        <v>1820</v>
      </c>
      <c r="J1463" s="112" t="s">
        <v>1815</v>
      </c>
      <c r="K1463" s="112" t="s">
        <v>1821</v>
      </c>
      <c r="L1463" s="116">
        <v>-1076.71</v>
      </c>
    </row>
    <row r="1464" spans="1:12" hidden="1" outlineLevel="1" collapsed="1" x14ac:dyDescent="0.35">
      <c r="A1464" s="112" t="s">
        <v>1814</v>
      </c>
      <c r="B1464" s="112" t="s">
        <v>905</v>
      </c>
      <c r="C1464" s="112" t="s">
        <v>695</v>
      </c>
      <c r="D1464" s="113">
        <v>10347977</v>
      </c>
      <c r="E1464" s="115">
        <v>43924</v>
      </c>
      <c r="F1464" s="114">
        <v>202101</v>
      </c>
      <c r="G1464" s="112" t="s">
        <v>1091</v>
      </c>
      <c r="H1464" s="112" t="s">
        <v>1015</v>
      </c>
      <c r="I1464" s="112" t="s">
        <v>757</v>
      </c>
      <c r="J1464" s="112" t="s">
        <v>1822</v>
      </c>
      <c r="K1464" s="112" t="s">
        <v>1823</v>
      </c>
      <c r="L1464" s="116">
        <v>-77</v>
      </c>
    </row>
    <row r="1465" spans="1:12" hidden="1" outlineLevel="1" collapsed="1" x14ac:dyDescent="0.35">
      <c r="A1465" s="112" t="s">
        <v>1814</v>
      </c>
      <c r="B1465" s="112" t="s">
        <v>906</v>
      </c>
      <c r="C1465" s="112" t="s">
        <v>695</v>
      </c>
      <c r="D1465" s="113">
        <v>10347954</v>
      </c>
      <c r="E1465" s="115">
        <v>43923</v>
      </c>
      <c r="F1465" s="114">
        <v>202101</v>
      </c>
      <c r="G1465" s="112" t="s">
        <v>1091</v>
      </c>
      <c r="H1465" s="112" t="s">
        <v>1015</v>
      </c>
      <c r="I1465" s="112" t="s">
        <v>813</v>
      </c>
      <c r="J1465" s="112" t="s">
        <v>1815</v>
      </c>
      <c r="K1465" s="112" t="s">
        <v>1824</v>
      </c>
      <c r="L1465" s="116">
        <v>-34.85</v>
      </c>
    </row>
    <row r="1466" spans="1:12" hidden="1" outlineLevel="1" collapsed="1" x14ac:dyDescent="0.35">
      <c r="A1466" s="112" t="s">
        <v>1814</v>
      </c>
      <c r="B1466" s="112" t="s">
        <v>905</v>
      </c>
      <c r="C1466" s="112" t="s">
        <v>695</v>
      </c>
      <c r="D1466" s="113">
        <v>10347977</v>
      </c>
      <c r="E1466" s="115">
        <v>43924</v>
      </c>
      <c r="F1466" s="114">
        <v>202101</v>
      </c>
      <c r="G1466" s="112" t="s">
        <v>1091</v>
      </c>
      <c r="H1466" s="112" t="s">
        <v>1015</v>
      </c>
      <c r="I1466" s="112" t="s">
        <v>757</v>
      </c>
      <c r="J1466" s="112" t="s">
        <v>1822</v>
      </c>
      <c r="K1466" s="112" t="s">
        <v>1825</v>
      </c>
      <c r="L1466" s="116">
        <v>-258</v>
      </c>
    </row>
    <row r="1467" spans="1:12" hidden="1" outlineLevel="1" collapsed="1" x14ac:dyDescent="0.35">
      <c r="A1467" s="112" t="s">
        <v>1814</v>
      </c>
      <c r="B1467" s="112" t="s">
        <v>906</v>
      </c>
      <c r="C1467" s="112" t="s">
        <v>695</v>
      </c>
      <c r="D1467" s="113">
        <v>10347954</v>
      </c>
      <c r="E1467" s="115">
        <v>43923</v>
      </c>
      <c r="F1467" s="114">
        <v>202101</v>
      </c>
      <c r="G1467" s="112" t="s">
        <v>1091</v>
      </c>
      <c r="H1467" s="112" t="s">
        <v>1015</v>
      </c>
      <c r="I1467" s="112" t="s">
        <v>813</v>
      </c>
      <c r="J1467" s="112" t="s">
        <v>1815</v>
      </c>
      <c r="K1467" s="112" t="s">
        <v>1826</v>
      </c>
      <c r="L1467" s="116">
        <v>-480.88</v>
      </c>
    </row>
    <row r="1468" spans="1:12" hidden="1" outlineLevel="1" collapsed="1" x14ac:dyDescent="0.35">
      <c r="A1468" s="112" t="s">
        <v>1814</v>
      </c>
      <c r="B1468" s="112" t="s">
        <v>905</v>
      </c>
      <c r="C1468" s="112" t="s">
        <v>1095</v>
      </c>
      <c r="D1468" s="113">
        <v>10348451</v>
      </c>
      <c r="E1468" s="115">
        <v>43949</v>
      </c>
      <c r="F1468" s="114">
        <v>202101</v>
      </c>
      <c r="G1468" s="112" t="s">
        <v>1091</v>
      </c>
      <c r="H1468" s="112" t="s">
        <v>1015</v>
      </c>
      <c r="I1468" s="112" t="s">
        <v>1096</v>
      </c>
      <c r="J1468" s="112" t="s">
        <v>1817</v>
      </c>
      <c r="K1468" s="112" t="s">
        <v>1098</v>
      </c>
      <c r="L1468" s="116">
        <v>310.49</v>
      </c>
    </row>
    <row r="1469" spans="1:12" hidden="1" outlineLevel="1" collapsed="1" x14ac:dyDescent="0.35">
      <c r="A1469" s="112" t="s">
        <v>1814</v>
      </c>
      <c r="B1469" s="112" t="s">
        <v>905</v>
      </c>
      <c r="C1469" s="112" t="s">
        <v>1095</v>
      </c>
      <c r="D1469" s="113">
        <v>10348451</v>
      </c>
      <c r="E1469" s="115">
        <v>43949</v>
      </c>
      <c r="F1469" s="114">
        <v>202101</v>
      </c>
      <c r="G1469" s="112" t="s">
        <v>1091</v>
      </c>
      <c r="H1469" s="112" t="s">
        <v>1015</v>
      </c>
      <c r="I1469" s="112" t="s">
        <v>1101</v>
      </c>
      <c r="J1469" s="112" t="s">
        <v>1827</v>
      </c>
      <c r="K1469" s="112" t="s">
        <v>1098</v>
      </c>
      <c r="L1469" s="116">
        <v>819.31</v>
      </c>
    </row>
    <row r="1470" spans="1:12" hidden="1" outlineLevel="1" collapsed="1" x14ac:dyDescent="0.35">
      <c r="A1470" s="112" t="s">
        <v>1814</v>
      </c>
      <c r="B1470" s="112" t="s">
        <v>905</v>
      </c>
      <c r="C1470" s="112" t="s">
        <v>695</v>
      </c>
      <c r="D1470" s="113">
        <v>10347977</v>
      </c>
      <c r="E1470" s="115">
        <v>43924</v>
      </c>
      <c r="F1470" s="114">
        <v>202101</v>
      </c>
      <c r="G1470" s="112" t="s">
        <v>1091</v>
      </c>
      <c r="H1470" s="112" t="s">
        <v>1015</v>
      </c>
      <c r="I1470" s="112" t="s">
        <v>757</v>
      </c>
      <c r="J1470" s="112" t="s">
        <v>1822</v>
      </c>
      <c r="K1470" s="112" t="s">
        <v>1828</v>
      </c>
      <c r="L1470" s="116">
        <v>-39</v>
      </c>
    </row>
    <row r="1471" spans="1:12" hidden="1" outlineLevel="1" collapsed="1" x14ac:dyDescent="0.35">
      <c r="A1471" s="112" t="s">
        <v>1814</v>
      </c>
      <c r="B1471" s="112" t="s">
        <v>906</v>
      </c>
      <c r="C1471" s="112" t="s">
        <v>695</v>
      </c>
      <c r="D1471" s="113">
        <v>10347952</v>
      </c>
      <c r="E1471" s="115">
        <v>43923</v>
      </c>
      <c r="F1471" s="114">
        <v>202101</v>
      </c>
      <c r="G1471" s="112" t="s">
        <v>1091</v>
      </c>
      <c r="H1471" s="112" t="s">
        <v>1015</v>
      </c>
      <c r="I1471" s="112" t="s">
        <v>1820</v>
      </c>
      <c r="J1471" s="112" t="s">
        <v>1815</v>
      </c>
      <c r="K1471" s="112" t="s">
        <v>1829</v>
      </c>
      <c r="L1471" s="116">
        <v>-38.99</v>
      </c>
    </row>
    <row r="1472" spans="1:12" hidden="1" outlineLevel="1" collapsed="1" x14ac:dyDescent="0.35">
      <c r="A1472" s="112" t="s">
        <v>1814</v>
      </c>
      <c r="B1472" s="112" t="s">
        <v>906</v>
      </c>
      <c r="C1472" s="112" t="s">
        <v>695</v>
      </c>
      <c r="D1472" s="113">
        <v>10347954</v>
      </c>
      <c r="E1472" s="115">
        <v>43923</v>
      </c>
      <c r="F1472" s="114">
        <v>202101</v>
      </c>
      <c r="G1472" s="112" t="s">
        <v>1091</v>
      </c>
      <c r="H1472" s="112" t="s">
        <v>1015</v>
      </c>
      <c r="I1472" s="112" t="s">
        <v>813</v>
      </c>
      <c r="J1472" s="112" t="s">
        <v>1815</v>
      </c>
      <c r="K1472" s="112" t="s">
        <v>1830</v>
      </c>
      <c r="L1472" s="116">
        <v>-616.21</v>
      </c>
    </row>
    <row r="1473" spans="1:12" hidden="1" outlineLevel="1" collapsed="1" x14ac:dyDescent="0.35">
      <c r="A1473" s="112" t="s">
        <v>1814</v>
      </c>
      <c r="B1473" s="112" t="s">
        <v>906</v>
      </c>
      <c r="C1473" s="112" t="s">
        <v>695</v>
      </c>
      <c r="D1473" s="113">
        <v>10347954</v>
      </c>
      <c r="E1473" s="115">
        <v>43923</v>
      </c>
      <c r="F1473" s="114">
        <v>202101</v>
      </c>
      <c r="G1473" s="112" t="s">
        <v>1091</v>
      </c>
      <c r="H1473" s="112" t="s">
        <v>1015</v>
      </c>
      <c r="I1473" s="112" t="s">
        <v>1820</v>
      </c>
      <c r="J1473" s="112" t="s">
        <v>1815</v>
      </c>
      <c r="K1473" s="112" t="s">
        <v>1831</v>
      </c>
      <c r="L1473" s="116">
        <v>-1404.06</v>
      </c>
    </row>
    <row r="1474" spans="1:12" hidden="1" outlineLevel="1" collapsed="1" x14ac:dyDescent="0.35">
      <c r="A1474" s="112" t="s">
        <v>1814</v>
      </c>
      <c r="B1474" s="112" t="s">
        <v>906</v>
      </c>
      <c r="C1474" s="112" t="s">
        <v>695</v>
      </c>
      <c r="D1474" s="113">
        <v>10347954</v>
      </c>
      <c r="E1474" s="115">
        <v>43923</v>
      </c>
      <c r="F1474" s="114">
        <v>202101</v>
      </c>
      <c r="G1474" s="112" t="s">
        <v>1091</v>
      </c>
      <c r="H1474" s="112" t="s">
        <v>1015</v>
      </c>
      <c r="I1474" s="112" t="s">
        <v>1820</v>
      </c>
      <c r="J1474" s="112" t="s">
        <v>1815</v>
      </c>
      <c r="K1474" s="112" t="s">
        <v>1832</v>
      </c>
      <c r="L1474" s="116">
        <v>-838.5</v>
      </c>
    </row>
    <row r="1475" spans="1:12" hidden="1" outlineLevel="1" collapsed="1" x14ac:dyDescent="0.35">
      <c r="A1475" s="112" t="s">
        <v>1814</v>
      </c>
      <c r="B1475" s="112" t="s">
        <v>906</v>
      </c>
      <c r="C1475" s="112" t="s">
        <v>695</v>
      </c>
      <c r="D1475" s="113">
        <v>10347954</v>
      </c>
      <c r="E1475" s="115">
        <v>43923</v>
      </c>
      <c r="F1475" s="114">
        <v>202101</v>
      </c>
      <c r="G1475" s="112" t="s">
        <v>1091</v>
      </c>
      <c r="H1475" s="112" t="s">
        <v>1015</v>
      </c>
      <c r="I1475" s="112" t="s">
        <v>813</v>
      </c>
      <c r="J1475" s="112" t="s">
        <v>1815</v>
      </c>
      <c r="K1475" s="112" t="s">
        <v>1833</v>
      </c>
      <c r="L1475" s="116">
        <v>-233.44</v>
      </c>
    </row>
    <row r="1476" spans="1:12" hidden="1" outlineLevel="1" collapsed="1" x14ac:dyDescent="0.35">
      <c r="A1476" s="112" t="s">
        <v>1814</v>
      </c>
      <c r="B1476" s="112" t="s">
        <v>905</v>
      </c>
      <c r="C1476" s="112" t="s">
        <v>695</v>
      </c>
      <c r="D1476" s="113">
        <v>10347977</v>
      </c>
      <c r="E1476" s="115">
        <v>43924</v>
      </c>
      <c r="F1476" s="114">
        <v>202101</v>
      </c>
      <c r="G1476" s="112" t="s">
        <v>1091</v>
      </c>
      <c r="H1476" s="112" t="s">
        <v>1015</v>
      </c>
      <c r="I1476" s="112" t="s">
        <v>751</v>
      </c>
      <c r="J1476" s="112" t="s">
        <v>1822</v>
      </c>
      <c r="K1476" s="112" t="s">
        <v>1834</v>
      </c>
      <c r="L1476" s="116">
        <v>-71</v>
      </c>
    </row>
    <row r="1477" spans="1:12" hidden="1" outlineLevel="1" collapsed="1" x14ac:dyDescent="0.35">
      <c r="A1477" s="112" t="s">
        <v>1814</v>
      </c>
      <c r="B1477" s="112" t="s">
        <v>906</v>
      </c>
      <c r="C1477" s="112" t="s">
        <v>695</v>
      </c>
      <c r="D1477" s="113">
        <v>10347954</v>
      </c>
      <c r="E1477" s="115">
        <v>43923</v>
      </c>
      <c r="F1477" s="114">
        <v>202101</v>
      </c>
      <c r="G1477" s="112" t="s">
        <v>1091</v>
      </c>
      <c r="H1477" s="112" t="s">
        <v>1015</v>
      </c>
      <c r="I1477" s="112" t="s">
        <v>813</v>
      </c>
      <c r="J1477" s="112" t="s">
        <v>1815</v>
      </c>
      <c r="K1477" s="112" t="s">
        <v>1833</v>
      </c>
      <c r="L1477" s="116">
        <v>-92.6</v>
      </c>
    </row>
    <row r="1478" spans="1:12" hidden="1" outlineLevel="1" collapsed="1" x14ac:dyDescent="0.35">
      <c r="A1478" s="112" t="s">
        <v>1814</v>
      </c>
      <c r="B1478" s="112" t="s">
        <v>905</v>
      </c>
      <c r="C1478" s="112" t="s">
        <v>695</v>
      </c>
      <c r="D1478" s="113">
        <v>10347977</v>
      </c>
      <c r="E1478" s="115">
        <v>43924</v>
      </c>
      <c r="F1478" s="114">
        <v>202101</v>
      </c>
      <c r="G1478" s="112" t="s">
        <v>1091</v>
      </c>
      <c r="H1478" s="112" t="s">
        <v>1015</v>
      </c>
      <c r="I1478" s="112" t="s">
        <v>757</v>
      </c>
      <c r="J1478" s="112" t="s">
        <v>1822</v>
      </c>
      <c r="K1478" s="112" t="s">
        <v>1835</v>
      </c>
      <c r="L1478" s="116">
        <v>-45</v>
      </c>
    </row>
    <row r="1479" spans="1:12" hidden="1" outlineLevel="1" collapsed="1" x14ac:dyDescent="0.35">
      <c r="A1479" s="112" t="s">
        <v>1814</v>
      </c>
      <c r="B1479" s="112" t="s">
        <v>906</v>
      </c>
      <c r="C1479" s="112" t="s">
        <v>695</v>
      </c>
      <c r="D1479" s="113">
        <v>10347954</v>
      </c>
      <c r="E1479" s="115">
        <v>43923</v>
      </c>
      <c r="F1479" s="114">
        <v>202101</v>
      </c>
      <c r="G1479" s="112" t="s">
        <v>1091</v>
      </c>
      <c r="H1479" s="112" t="s">
        <v>1015</v>
      </c>
      <c r="I1479" s="112" t="s">
        <v>813</v>
      </c>
      <c r="J1479" s="112" t="s">
        <v>1815</v>
      </c>
      <c r="K1479" s="112" t="s">
        <v>1836</v>
      </c>
      <c r="L1479" s="116">
        <v>-404.56</v>
      </c>
    </row>
    <row r="1480" spans="1:12" hidden="1" outlineLevel="1" collapsed="1" x14ac:dyDescent="0.35">
      <c r="A1480" s="112" t="s">
        <v>1814</v>
      </c>
      <c r="B1480" s="112" t="s">
        <v>906</v>
      </c>
      <c r="C1480" s="112" t="s">
        <v>695</v>
      </c>
      <c r="D1480" s="113">
        <v>10347954</v>
      </c>
      <c r="E1480" s="115">
        <v>43923</v>
      </c>
      <c r="F1480" s="114">
        <v>202101</v>
      </c>
      <c r="G1480" s="112" t="s">
        <v>1091</v>
      </c>
      <c r="H1480" s="112" t="s">
        <v>1015</v>
      </c>
      <c r="I1480" s="112" t="s">
        <v>813</v>
      </c>
      <c r="J1480" s="112" t="s">
        <v>1815</v>
      </c>
      <c r="K1480" s="112" t="s">
        <v>1837</v>
      </c>
      <c r="L1480" s="116">
        <v>-414.22</v>
      </c>
    </row>
    <row r="1481" spans="1:12" hidden="1" outlineLevel="1" collapsed="1" x14ac:dyDescent="0.35">
      <c r="A1481" s="112" t="s">
        <v>1814</v>
      </c>
      <c r="B1481" s="112" t="s">
        <v>904</v>
      </c>
      <c r="C1481" s="112" t="s">
        <v>1095</v>
      </c>
      <c r="D1481" s="113">
        <v>10348451</v>
      </c>
      <c r="E1481" s="115">
        <v>43949</v>
      </c>
      <c r="F1481" s="114">
        <v>202101</v>
      </c>
      <c r="G1481" s="112" t="s">
        <v>1091</v>
      </c>
      <c r="H1481" s="112" t="s">
        <v>1015</v>
      </c>
      <c r="I1481" s="112" t="s">
        <v>1101</v>
      </c>
      <c r="J1481" s="112" t="s">
        <v>1838</v>
      </c>
      <c r="K1481" s="112" t="s">
        <v>1098</v>
      </c>
      <c r="L1481" s="116">
        <v>428.37</v>
      </c>
    </row>
    <row r="1482" spans="1:12" hidden="1" outlineLevel="1" collapsed="1" x14ac:dyDescent="0.35">
      <c r="A1482" s="112" t="s">
        <v>1814</v>
      </c>
      <c r="B1482" s="112" t="s">
        <v>905</v>
      </c>
      <c r="C1482" s="112" t="s">
        <v>695</v>
      </c>
      <c r="D1482" s="113">
        <v>10347977</v>
      </c>
      <c r="E1482" s="115">
        <v>43924</v>
      </c>
      <c r="F1482" s="114">
        <v>202101</v>
      </c>
      <c r="G1482" s="112" t="s">
        <v>1091</v>
      </c>
      <c r="H1482" s="112" t="s">
        <v>1015</v>
      </c>
      <c r="I1482" s="112" t="s">
        <v>751</v>
      </c>
      <c r="J1482" s="112" t="s">
        <v>1839</v>
      </c>
      <c r="K1482" s="112" t="s">
        <v>1840</v>
      </c>
      <c r="L1482" s="116">
        <v>-77</v>
      </c>
    </row>
    <row r="1483" spans="1:12" hidden="1" outlineLevel="1" collapsed="1" x14ac:dyDescent="0.35">
      <c r="A1483" s="112" t="s">
        <v>1814</v>
      </c>
      <c r="B1483" s="112" t="s">
        <v>905</v>
      </c>
      <c r="C1483" s="112" t="s">
        <v>695</v>
      </c>
      <c r="D1483" s="113">
        <v>10347977</v>
      </c>
      <c r="E1483" s="115">
        <v>43924</v>
      </c>
      <c r="F1483" s="114">
        <v>202101</v>
      </c>
      <c r="G1483" s="112" t="s">
        <v>1091</v>
      </c>
      <c r="H1483" s="112" t="s">
        <v>1015</v>
      </c>
      <c r="I1483" s="112" t="s">
        <v>749</v>
      </c>
      <c r="J1483" s="112" t="s">
        <v>1822</v>
      </c>
      <c r="K1483" s="112" t="s">
        <v>1841</v>
      </c>
      <c r="L1483" s="116">
        <v>-34</v>
      </c>
    </row>
    <row r="1484" spans="1:12" hidden="1" outlineLevel="1" collapsed="1" x14ac:dyDescent="0.35">
      <c r="A1484" s="112" t="s">
        <v>1814</v>
      </c>
      <c r="B1484" s="112" t="s">
        <v>905</v>
      </c>
      <c r="C1484" s="112" t="s">
        <v>679</v>
      </c>
      <c r="D1484" s="113">
        <v>10348056</v>
      </c>
      <c r="E1484" s="115">
        <v>43928</v>
      </c>
      <c r="F1484" s="114">
        <v>202101</v>
      </c>
      <c r="G1484" s="112" t="s">
        <v>1091</v>
      </c>
      <c r="H1484" s="112" t="s">
        <v>1015</v>
      </c>
      <c r="I1484" s="112" t="s">
        <v>1153</v>
      </c>
      <c r="J1484" s="112" t="s">
        <v>1842</v>
      </c>
      <c r="K1484" s="112" t="s">
        <v>1843</v>
      </c>
      <c r="L1484" s="116">
        <v>5040</v>
      </c>
    </row>
    <row r="1485" spans="1:12" hidden="1" outlineLevel="1" collapsed="1" x14ac:dyDescent="0.35">
      <c r="A1485" s="112" t="s">
        <v>1814</v>
      </c>
      <c r="B1485" s="112" t="s">
        <v>905</v>
      </c>
      <c r="C1485" s="112" t="s">
        <v>1095</v>
      </c>
      <c r="D1485" s="113">
        <v>10348451</v>
      </c>
      <c r="E1485" s="115">
        <v>43949</v>
      </c>
      <c r="F1485" s="114">
        <v>202101</v>
      </c>
      <c r="G1485" s="112" t="s">
        <v>1091</v>
      </c>
      <c r="H1485" s="112" t="s">
        <v>1015</v>
      </c>
      <c r="I1485" s="112" t="s">
        <v>1205</v>
      </c>
      <c r="J1485" s="112" t="s">
        <v>1839</v>
      </c>
      <c r="K1485" s="112" t="s">
        <v>1098</v>
      </c>
      <c r="L1485" s="116">
        <v>13</v>
      </c>
    </row>
    <row r="1486" spans="1:12" hidden="1" outlineLevel="1" collapsed="1" x14ac:dyDescent="0.35">
      <c r="A1486" s="112" t="s">
        <v>1814</v>
      </c>
      <c r="B1486" s="112" t="s">
        <v>905</v>
      </c>
      <c r="C1486" s="112" t="s">
        <v>695</v>
      </c>
      <c r="D1486" s="113">
        <v>10347977</v>
      </c>
      <c r="E1486" s="115">
        <v>43924</v>
      </c>
      <c r="F1486" s="114">
        <v>202101</v>
      </c>
      <c r="G1486" s="112" t="s">
        <v>1091</v>
      </c>
      <c r="H1486" s="112" t="s">
        <v>1015</v>
      </c>
      <c r="I1486" s="112" t="s">
        <v>749</v>
      </c>
      <c r="J1486" s="112" t="s">
        <v>1839</v>
      </c>
      <c r="K1486" s="112" t="s">
        <v>1844</v>
      </c>
      <c r="L1486" s="116">
        <v>-113</v>
      </c>
    </row>
    <row r="1487" spans="1:12" hidden="1" outlineLevel="1" collapsed="1" x14ac:dyDescent="0.35">
      <c r="A1487" s="112" t="s">
        <v>1814</v>
      </c>
      <c r="B1487" s="112" t="s">
        <v>905</v>
      </c>
      <c r="C1487" s="112" t="s">
        <v>679</v>
      </c>
      <c r="D1487" s="113">
        <v>10348056</v>
      </c>
      <c r="E1487" s="115">
        <v>43928</v>
      </c>
      <c r="F1487" s="114">
        <v>202101</v>
      </c>
      <c r="G1487" s="112" t="s">
        <v>1091</v>
      </c>
      <c r="H1487" s="112" t="s">
        <v>1016</v>
      </c>
      <c r="I1487" s="112" t="s">
        <v>1845</v>
      </c>
      <c r="J1487" s="112" t="s">
        <v>1817</v>
      </c>
      <c r="K1487" s="112" t="s">
        <v>1846</v>
      </c>
      <c r="L1487" s="116">
        <v>-606</v>
      </c>
    </row>
    <row r="1488" spans="1:12" hidden="1" outlineLevel="1" collapsed="1" x14ac:dyDescent="0.35">
      <c r="A1488" s="112" t="s">
        <v>1814</v>
      </c>
      <c r="B1488" s="112" t="s">
        <v>905</v>
      </c>
      <c r="C1488" s="112" t="s">
        <v>695</v>
      </c>
      <c r="D1488" s="113">
        <v>10347977</v>
      </c>
      <c r="E1488" s="115">
        <v>43924</v>
      </c>
      <c r="F1488" s="114">
        <v>202101</v>
      </c>
      <c r="G1488" s="112" t="s">
        <v>1091</v>
      </c>
      <c r="H1488" s="112" t="s">
        <v>1015</v>
      </c>
      <c r="I1488" s="112" t="s">
        <v>749</v>
      </c>
      <c r="J1488" s="112" t="s">
        <v>1822</v>
      </c>
      <c r="K1488" s="112" t="s">
        <v>1847</v>
      </c>
      <c r="L1488" s="116">
        <v>-202</v>
      </c>
    </row>
    <row r="1489" spans="1:12" hidden="1" outlineLevel="1" collapsed="1" x14ac:dyDescent="0.35">
      <c r="A1489" s="112" t="s">
        <v>1814</v>
      </c>
      <c r="B1489" s="112" t="s">
        <v>906</v>
      </c>
      <c r="C1489" s="112" t="s">
        <v>695</v>
      </c>
      <c r="D1489" s="113">
        <v>10347977</v>
      </c>
      <c r="E1489" s="115">
        <v>43924</v>
      </c>
      <c r="F1489" s="114">
        <v>202101</v>
      </c>
      <c r="G1489" s="112" t="s">
        <v>1091</v>
      </c>
      <c r="H1489" s="112" t="s">
        <v>1015</v>
      </c>
      <c r="I1489" s="112" t="s">
        <v>749</v>
      </c>
      <c r="J1489" s="112" t="s">
        <v>1815</v>
      </c>
      <c r="K1489" s="112" t="s">
        <v>1848</v>
      </c>
      <c r="L1489" s="116">
        <v>-79</v>
      </c>
    </row>
    <row r="1490" spans="1:12" hidden="1" outlineLevel="1" collapsed="1" x14ac:dyDescent="0.35">
      <c r="A1490" s="112" t="s">
        <v>1814</v>
      </c>
      <c r="B1490" s="112" t="s">
        <v>906</v>
      </c>
      <c r="C1490" s="112" t="s">
        <v>695</v>
      </c>
      <c r="D1490" s="113">
        <v>10347977</v>
      </c>
      <c r="E1490" s="115">
        <v>43924</v>
      </c>
      <c r="F1490" s="114">
        <v>202101</v>
      </c>
      <c r="G1490" s="112" t="s">
        <v>1091</v>
      </c>
      <c r="H1490" s="112" t="s">
        <v>1015</v>
      </c>
      <c r="I1490" s="112" t="s">
        <v>749</v>
      </c>
      <c r="J1490" s="112" t="s">
        <v>1815</v>
      </c>
      <c r="K1490" s="112" t="s">
        <v>1849</v>
      </c>
      <c r="L1490" s="116">
        <v>-33</v>
      </c>
    </row>
    <row r="1491" spans="1:12" hidden="1" outlineLevel="1" collapsed="1" x14ac:dyDescent="0.35">
      <c r="A1491" s="112" t="s">
        <v>1814</v>
      </c>
      <c r="B1491" s="112" t="s">
        <v>905</v>
      </c>
      <c r="C1491" s="112" t="s">
        <v>695</v>
      </c>
      <c r="D1491" s="113">
        <v>10347977</v>
      </c>
      <c r="E1491" s="115">
        <v>43924</v>
      </c>
      <c r="F1491" s="114">
        <v>202101</v>
      </c>
      <c r="G1491" s="112" t="s">
        <v>1091</v>
      </c>
      <c r="H1491" s="112" t="s">
        <v>1015</v>
      </c>
      <c r="I1491" s="112" t="s">
        <v>751</v>
      </c>
      <c r="J1491" s="112" t="s">
        <v>1822</v>
      </c>
      <c r="K1491" s="112" t="s">
        <v>1850</v>
      </c>
      <c r="L1491" s="116">
        <v>-91</v>
      </c>
    </row>
    <row r="1492" spans="1:12" hidden="1" outlineLevel="1" collapsed="1" x14ac:dyDescent="0.35">
      <c r="A1492" s="112" t="s">
        <v>1814</v>
      </c>
      <c r="B1492" s="112" t="s">
        <v>905</v>
      </c>
      <c r="C1492" s="112" t="s">
        <v>679</v>
      </c>
      <c r="D1492" s="113">
        <v>10348027</v>
      </c>
      <c r="E1492" s="115">
        <v>43927</v>
      </c>
      <c r="F1492" s="114">
        <v>202101</v>
      </c>
      <c r="G1492" s="112" t="s">
        <v>1091</v>
      </c>
      <c r="H1492" s="112" t="s">
        <v>1016</v>
      </c>
      <c r="I1492" s="112" t="s">
        <v>1845</v>
      </c>
      <c r="J1492" s="112" t="s">
        <v>1817</v>
      </c>
      <c r="K1492" s="112" t="s">
        <v>1851</v>
      </c>
      <c r="L1492" s="116">
        <v>-50</v>
      </c>
    </row>
    <row r="1493" spans="1:12" hidden="1" outlineLevel="1" collapsed="1" x14ac:dyDescent="0.35">
      <c r="A1493" s="112" t="s">
        <v>1814</v>
      </c>
      <c r="B1493" s="112" t="s">
        <v>906</v>
      </c>
      <c r="C1493" s="112" t="s">
        <v>1095</v>
      </c>
      <c r="D1493" s="113">
        <v>10348451</v>
      </c>
      <c r="E1493" s="115">
        <v>43949</v>
      </c>
      <c r="F1493" s="114">
        <v>202101</v>
      </c>
      <c r="G1493" s="112" t="s">
        <v>1091</v>
      </c>
      <c r="H1493" s="112" t="s">
        <v>1015</v>
      </c>
      <c r="I1493" s="112" t="s">
        <v>1116</v>
      </c>
      <c r="J1493" s="112" t="s">
        <v>1852</v>
      </c>
      <c r="K1493" s="112" t="s">
        <v>1098</v>
      </c>
      <c r="L1493" s="116">
        <v>3473.25</v>
      </c>
    </row>
    <row r="1494" spans="1:12" hidden="1" outlineLevel="1" collapsed="1" x14ac:dyDescent="0.35">
      <c r="A1494" s="112" t="s">
        <v>1814</v>
      </c>
      <c r="B1494" s="112" t="s">
        <v>906</v>
      </c>
      <c r="C1494" s="112" t="s">
        <v>1095</v>
      </c>
      <c r="D1494" s="113">
        <v>10348451</v>
      </c>
      <c r="E1494" s="115">
        <v>43949</v>
      </c>
      <c r="F1494" s="114">
        <v>202101</v>
      </c>
      <c r="G1494" s="112" t="s">
        <v>1091</v>
      </c>
      <c r="H1494" s="112" t="s">
        <v>1015</v>
      </c>
      <c r="I1494" s="112" t="s">
        <v>1116</v>
      </c>
      <c r="J1494" s="112" t="s">
        <v>1852</v>
      </c>
      <c r="K1494" s="112" t="s">
        <v>1098</v>
      </c>
      <c r="L1494" s="116">
        <v>3391.33</v>
      </c>
    </row>
    <row r="1495" spans="1:12" hidden="1" outlineLevel="1" collapsed="1" x14ac:dyDescent="0.35">
      <c r="A1495" s="112" t="s">
        <v>1814</v>
      </c>
      <c r="B1495" s="112" t="s">
        <v>906</v>
      </c>
      <c r="C1495" s="112" t="s">
        <v>1095</v>
      </c>
      <c r="D1495" s="113">
        <v>10348451</v>
      </c>
      <c r="E1495" s="115">
        <v>43949</v>
      </c>
      <c r="F1495" s="114">
        <v>202101</v>
      </c>
      <c r="G1495" s="112" t="s">
        <v>1091</v>
      </c>
      <c r="H1495" s="112" t="s">
        <v>1015</v>
      </c>
      <c r="I1495" s="112" t="s">
        <v>1116</v>
      </c>
      <c r="J1495" s="112" t="s">
        <v>1852</v>
      </c>
      <c r="K1495" s="112" t="s">
        <v>1098</v>
      </c>
      <c r="L1495" s="116">
        <v>2563.19</v>
      </c>
    </row>
    <row r="1496" spans="1:12" hidden="1" outlineLevel="1" collapsed="1" x14ac:dyDescent="0.35">
      <c r="A1496" s="112" t="s">
        <v>1814</v>
      </c>
      <c r="B1496" s="112" t="s">
        <v>905</v>
      </c>
      <c r="C1496" s="112" t="s">
        <v>695</v>
      </c>
      <c r="D1496" s="113">
        <v>10347977</v>
      </c>
      <c r="E1496" s="115">
        <v>43924</v>
      </c>
      <c r="F1496" s="114">
        <v>202101</v>
      </c>
      <c r="G1496" s="112" t="s">
        <v>1091</v>
      </c>
      <c r="H1496" s="112" t="s">
        <v>1015</v>
      </c>
      <c r="I1496" s="112" t="s">
        <v>751</v>
      </c>
      <c r="J1496" s="112" t="s">
        <v>1822</v>
      </c>
      <c r="K1496" s="112" t="s">
        <v>1853</v>
      </c>
      <c r="L1496" s="116">
        <v>-209</v>
      </c>
    </row>
    <row r="1497" spans="1:12" hidden="1" outlineLevel="1" collapsed="1" x14ac:dyDescent="0.35">
      <c r="A1497" s="112" t="s">
        <v>1814</v>
      </c>
      <c r="B1497" s="112" t="s">
        <v>905</v>
      </c>
      <c r="C1497" s="112" t="s">
        <v>695</v>
      </c>
      <c r="D1497" s="113">
        <v>10347977</v>
      </c>
      <c r="E1497" s="115">
        <v>43924</v>
      </c>
      <c r="F1497" s="114">
        <v>202101</v>
      </c>
      <c r="G1497" s="112" t="s">
        <v>1091</v>
      </c>
      <c r="H1497" s="112" t="s">
        <v>1015</v>
      </c>
      <c r="I1497" s="112" t="s">
        <v>749</v>
      </c>
      <c r="J1497" s="112" t="s">
        <v>1822</v>
      </c>
      <c r="K1497" s="112" t="s">
        <v>1854</v>
      </c>
      <c r="L1497" s="116">
        <v>-102</v>
      </c>
    </row>
    <row r="1498" spans="1:12" hidden="1" outlineLevel="1" collapsed="1" x14ac:dyDescent="0.35">
      <c r="A1498" s="112" t="s">
        <v>1814</v>
      </c>
      <c r="B1498" s="112" t="s">
        <v>905</v>
      </c>
      <c r="C1498" s="112" t="s">
        <v>695</v>
      </c>
      <c r="D1498" s="113">
        <v>10347977</v>
      </c>
      <c r="E1498" s="115">
        <v>43924</v>
      </c>
      <c r="F1498" s="114">
        <v>202101</v>
      </c>
      <c r="G1498" s="112" t="s">
        <v>1091</v>
      </c>
      <c r="H1498" s="112" t="s">
        <v>1015</v>
      </c>
      <c r="I1498" s="112" t="s">
        <v>749</v>
      </c>
      <c r="J1498" s="112" t="s">
        <v>1822</v>
      </c>
      <c r="K1498" s="112" t="s">
        <v>1855</v>
      </c>
      <c r="L1498" s="116">
        <v>-306</v>
      </c>
    </row>
    <row r="1499" spans="1:12" hidden="1" outlineLevel="1" collapsed="1" x14ac:dyDescent="0.35">
      <c r="A1499" s="112" t="s">
        <v>1814</v>
      </c>
      <c r="B1499" s="112" t="s">
        <v>905</v>
      </c>
      <c r="C1499" s="112" t="s">
        <v>679</v>
      </c>
      <c r="D1499" s="113">
        <v>10348027</v>
      </c>
      <c r="E1499" s="115">
        <v>43927</v>
      </c>
      <c r="F1499" s="114">
        <v>202101</v>
      </c>
      <c r="G1499" s="112" t="s">
        <v>1091</v>
      </c>
      <c r="H1499" s="112" t="s">
        <v>1016</v>
      </c>
      <c r="I1499" s="112" t="s">
        <v>1845</v>
      </c>
      <c r="J1499" s="112" t="s">
        <v>1817</v>
      </c>
      <c r="K1499" s="112" t="s">
        <v>1856</v>
      </c>
      <c r="L1499" s="116">
        <v>-50</v>
      </c>
    </row>
    <row r="1500" spans="1:12" hidden="1" outlineLevel="1" collapsed="1" x14ac:dyDescent="0.35">
      <c r="A1500" s="112" t="s">
        <v>1814</v>
      </c>
      <c r="B1500" s="112" t="s">
        <v>906</v>
      </c>
      <c r="C1500" s="112" t="s">
        <v>1095</v>
      </c>
      <c r="D1500" s="113">
        <v>10348451</v>
      </c>
      <c r="E1500" s="115">
        <v>43949</v>
      </c>
      <c r="F1500" s="114">
        <v>202101</v>
      </c>
      <c r="G1500" s="112" t="s">
        <v>1091</v>
      </c>
      <c r="H1500" s="112" t="s">
        <v>1015</v>
      </c>
      <c r="I1500" s="112" t="s">
        <v>1116</v>
      </c>
      <c r="J1500" s="112" t="s">
        <v>1852</v>
      </c>
      <c r="K1500" s="112" t="s">
        <v>1098</v>
      </c>
      <c r="L1500" s="116">
        <v>3473.25</v>
      </c>
    </row>
    <row r="1501" spans="1:12" hidden="1" outlineLevel="1" collapsed="1" x14ac:dyDescent="0.35">
      <c r="A1501" s="112" t="s">
        <v>1814</v>
      </c>
      <c r="B1501" s="112" t="s">
        <v>905</v>
      </c>
      <c r="C1501" s="112" t="s">
        <v>1095</v>
      </c>
      <c r="D1501" s="113">
        <v>10348451</v>
      </c>
      <c r="E1501" s="115">
        <v>43949</v>
      </c>
      <c r="F1501" s="114">
        <v>202101</v>
      </c>
      <c r="G1501" s="112" t="s">
        <v>1091</v>
      </c>
      <c r="H1501" s="112" t="s">
        <v>1015</v>
      </c>
      <c r="I1501" s="112" t="s">
        <v>1101</v>
      </c>
      <c r="J1501" s="112" t="s">
        <v>1827</v>
      </c>
      <c r="K1501" s="112" t="s">
        <v>1098</v>
      </c>
      <c r="L1501" s="116">
        <v>308.75</v>
      </c>
    </row>
    <row r="1502" spans="1:12" hidden="1" outlineLevel="1" collapsed="1" x14ac:dyDescent="0.35">
      <c r="A1502" s="112" t="s">
        <v>1814</v>
      </c>
      <c r="B1502" s="112" t="s">
        <v>906</v>
      </c>
      <c r="C1502" s="112" t="s">
        <v>1095</v>
      </c>
      <c r="D1502" s="113">
        <v>10348451</v>
      </c>
      <c r="E1502" s="115">
        <v>43949</v>
      </c>
      <c r="F1502" s="114">
        <v>202101</v>
      </c>
      <c r="G1502" s="112" t="s">
        <v>1091</v>
      </c>
      <c r="H1502" s="112" t="s">
        <v>1015</v>
      </c>
      <c r="I1502" s="112" t="s">
        <v>1116</v>
      </c>
      <c r="J1502" s="112" t="s">
        <v>1852</v>
      </c>
      <c r="K1502" s="112" t="s">
        <v>1098</v>
      </c>
      <c r="L1502" s="116">
        <v>3391.33</v>
      </c>
    </row>
    <row r="1503" spans="1:12" hidden="1" outlineLevel="1" collapsed="1" x14ac:dyDescent="0.35">
      <c r="A1503" s="112" t="s">
        <v>1814</v>
      </c>
      <c r="B1503" s="112" t="s">
        <v>905</v>
      </c>
      <c r="C1503" s="112" t="s">
        <v>1095</v>
      </c>
      <c r="D1503" s="113">
        <v>10348451</v>
      </c>
      <c r="E1503" s="115">
        <v>43949</v>
      </c>
      <c r="F1503" s="114">
        <v>202101</v>
      </c>
      <c r="G1503" s="112" t="s">
        <v>1091</v>
      </c>
      <c r="H1503" s="112" t="s">
        <v>1015</v>
      </c>
      <c r="I1503" s="112" t="s">
        <v>1096</v>
      </c>
      <c r="J1503" s="112" t="s">
        <v>1827</v>
      </c>
      <c r="K1503" s="112" t="s">
        <v>1098</v>
      </c>
      <c r="L1503" s="116">
        <v>161.99</v>
      </c>
    </row>
    <row r="1504" spans="1:12" hidden="1" outlineLevel="1" collapsed="1" x14ac:dyDescent="0.35">
      <c r="A1504" s="112" t="s">
        <v>1814</v>
      </c>
      <c r="B1504" s="112" t="s">
        <v>905</v>
      </c>
      <c r="C1504" s="112" t="s">
        <v>1095</v>
      </c>
      <c r="D1504" s="113">
        <v>10348451</v>
      </c>
      <c r="E1504" s="115">
        <v>43949</v>
      </c>
      <c r="F1504" s="114">
        <v>202101</v>
      </c>
      <c r="G1504" s="112" t="s">
        <v>1091</v>
      </c>
      <c r="H1504" s="112" t="s">
        <v>1015</v>
      </c>
      <c r="I1504" s="112" t="s">
        <v>1096</v>
      </c>
      <c r="J1504" s="112" t="s">
        <v>1842</v>
      </c>
      <c r="K1504" s="112" t="s">
        <v>1098</v>
      </c>
      <c r="L1504" s="116">
        <v>262.10000000000002</v>
      </c>
    </row>
    <row r="1505" spans="1:12" hidden="1" outlineLevel="1" collapsed="1" x14ac:dyDescent="0.35">
      <c r="A1505" s="112" t="s">
        <v>1814</v>
      </c>
      <c r="B1505" s="112" t="s">
        <v>905</v>
      </c>
      <c r="C1505" s="112" t="s">
        <v>695</v>
      </c>
      <c r="D1505" s="113">
        <v>10347977</v>
      </c>
      <c r="E1505" s="115">
        <v>43924</v>
      </c>
      <c r="F1505" s="114">
        <v>202101</v>
      </c>
      <c r="G1505" s="112" t="s">
        <v>1091</v>
      </c>
      <c r="H1505" s="112" t="s">
        <v>1015</v>
      </c>
      <c r="I1505" s="112" t="s">
        <v>749</v>
      </c>
      <c r="J1505" s="112" t="s">
        <v>1822</v>
      </c>
      <c r="K1505" s="112" t="s">
        <v>1857</v>
      </c>
      <c r="L1505" s="116">
        <v>-302</v>
      </c>
    </row>
    <row r="1506" spans="1:12" hidden="1" outlineLevel="1" collapsed="1" x14ac:dyDescent="0.35">
      <c r="A1506" s="112" t="s">
        <v>1814</v>
      </c>
      <c r="B1506" s="112" t="s">
        <v>905</v>
      </c>
      <c r="C1506" s="112" t="s">
        <v>695</v>
      </c>
      <c r="D1506" s="113">
        <v>10347977</v>
      </c>
      <c r="E1506" s="115">
        <v>43924</v>
      </c>
      <c r="F1506" s="114">
        <v>202101</v>
      </c>
      <c r="G1506" s="112" t="s">
        <v>1091</v>
      </c>
      <c r="H1506" s="112" t="s">
        <v>1015</v>
      </c>
      <c r="I1506" s="112" t="s">
        <v>757</v>
      </c>
      <c r="J1506" s="112" t="s">
        <v>1822</v>
      </c>
      <c r="K1506" s="112" t="s">
        <v>1858</v>
      </c>
      <c r="L1506" s="116">
        <v>-25</v>
      </c>
    </row>
    <row r="1507" spans="1:12" hidden="1" outlineLevel="1" collapsed="1" x14ac:dyDescent="0.35">
      <c r="A1507" s="112" t="s">
        <v>1814</v>
      </c>
      <c r="B1507" s="112" t="s">
        <v>905</v>
      </c>
      <c r="C1507" s="112" t="s">
        <v>1099</v>
      </c>
      <c r="D1507" s="113">
        <v>1069533</v>
      </c>
      <c r="E1507" s="115">
        <v>43929</v>
      </c>
      <c r="F1507" s="114">
        <v>202101</v>
      </c>
      <c r="G1507" s="112" t="s">
        <v>1091</v>
      </c>
      <c r="H1507" s="112" t="s">
        <v>1015</v>
      </c>
      <c r="I1507" s="112" t="s">
        <v>1153</v>
      </c>
      <c r="J1507" s="112" t="s">
        <v>1842</v>
      </c>
      <c r="K1507" s="112" t="s">
        <v>1859</v>
      </c>
      <c r="L1507" s="116">
        <v>4200</v>
      </c>
    </row>
    <row r="1508" spans="1:12" hidden="1" outlineLevel="1" collapsed="1" x14ac:dyDescent="0.35">
      <c r="A1508" s="112" t="s">
        <v>1814</v>
      </c>
      <c r="B1508" s="112" t="s">
        <v>905</v>
      </c>
      <c r="C1508" s="112" t="s">
        <v>695</v>
      </c>
      <c r="D1508" s="113">
        <v>10347977</v>
      </c>
      <c r="E1508" s="115">
        <v>43924</v>
      </c>
      <c r="F1508" s="114">
        <v>202101</v>
      </c>
      <c r="G1508" s="112" t="s">
        <v>1091</v>
      </c>
      <c r="H1508" s="112" t="s">
        <v>1015</v>
      </c>
      <c r="I1508" s="112" t="s">
        <v>749</v>
      </c>
      <c r="J1508" s="112" t="s">
        <v>1822</v>
      </c>
      <c r="K1508" s="112" t="s">
        <v>1860</v>
      </c>
      <c r="L1508" s="116">
        <v>-115</v>
      </c>
    </row>
    <row r="1509" spans="1:12" hidden="1" outlineLevel="1" collapsed="1" x14ac:dyDescent="0.35">
      <c r="A1509" s="112" t="s">
        <v>1814</v>
      </c>
      <c r="B1509" s="112" t="s">
        <v>905</v>
      </c>
      <c r="C1509" s="112" t="s">
        <v>695</v>
      </c>
      <c r="D1509" s="113">
        <v>10347977</v>
      </c>
      <c r="E1509" s="115">
        <v>43924</v>
      </c>
      <c r="F1509" s="114">
        <v>202101</v>
      </c>
      <c r="G1509" s="112" t="s">
        <v>1091</v>
      </c>
      <c r="H1509" s="112" t="s">
        <v>1015</v>
      </c>
      <c r="I1509" s="112" t="s">
        <v>757</v>
      </c>
      <c r="J1509" s="112" t="s">
        <v>1822</v>
      </c>
      <c r="K1509" s="112" t="s">
        <v>1861</v>
      </c>
      <c r="L1509" s="116">
        <v>-69</v>
      </c>
    </row>
    <row r="1510" spans="1:12" hidden="1" outlineLevel="1" collapsed="1" x14ac:dyDescent="0.35">
      <c r="A1510" s="112" t="s">
        <v>1814</v>
      </c>
      <c r="B1510" s="112" t="s">
        <v>905</v>
      </c>
      <c r="C1510" s="112" t="s">
        <v>695</v>
      </c>
      <c r="D1510" s="113">
        <v>10347977</v>
      </c>
      <c r="E1510" s="115">
        <v>43924</v>
      </c>
      <c r="F1510" s="114">
        <v>202101</v>
      </c>
      <c r="G1510" s="112" t="s">
        <v>1091</v>
      </c>
      <c r="H1510" s="112" t="s">
        <v>1015</v>
      </c>
      <c r="I1510" s="112" t="s">
        <v>751</v>
      </c>
      <c r="J1510" s="112" t="s">
        <v>1822</v>
      </c>
      <c r="K1510" s="112" t="s">
        <v>1862</v>
      </c>
      <c r="L1510" s="116">
        <v>-91</v>
      </c>
    </row>
    <row r="1511" spans="1:12" hidden="1" outlineLevel="1" collapsed="1" x14ac:dyDescent="0.35">
      <c r="A1511" s="112" t="s">
        <v>1814</v>
      </c>
      <c r="B1511" s="112" t="s">
        <v>905</v>
      </c>
      <c r="C1511" s="112" t="s">
        <v>695</v>
      </c>
      <c r="D1511" s="113">
        <v>10347977</v>
      </c>
      <c r="E1511" s="115">
        <v>43924</v>
      </c>
      <c r="F1511" s="114">
        <v>202101</v>
      </c>
      <c r="G1511" s="112" t="s">
        <v>1091</v>
      </c>
      <c r="H1511" s="112" t="s">
        <v>1015</v>
      </c>
      <c r="I1511" s="112" t="s">
        <v>751</v>
      </c>
      <c r="J1511" s="112" t="s">
        <v>1839</v>
      </c>
      <c r="K1511" s="112" t="s">
        <v>1863</v>
      </c>
      <c r="L1511" s="116">
        <v>-206</v>
      </c>
    </row>
    <row r="1512" spans="1:12" hidden="1" outlineLevel="1" collapsed="1" x14ac:dyDescent="0.35">
      <c r="A1512" s="112" t="s">
        <v>1814</v>
      </c>
      <c r="B1512" s="112" t="s">
        <v>906</v>
      </c>
      <c r="C1512" s="112" t="s">
        <v>1095</v>
      </c>
      <c r="D1512" s="113">
        <v>10348451</v>
      </c>
      <c r="E1512" s="115">
        <v>43949</v>
      </c>
      <c r="F1512" s="114">
        <v>202101</v>
      </c>
      <c r="G1512" s="112" t="s">
        <v>1091</v>
      </c>
      <c r="H1512" s="112" t="s">
        <v>1015</v>
      </c>
      <c r="I1512" s="112" t="s">
        <v>1205</v>
      </c>
      <c r="J1512" s="112" t="s">
        <v>1852</v>
      </c>
      <c r="K1512" s="112" t="s">
        <v>1098</v>
      </c>
      <c r="L1512" s="116">
        <v>13</v>
      </c>
    </row>
    <row r="1513" spans="1:12" hidden="1" outlineLevel="1" collapsed="1" x14ac:dyDescent="0.35">
      <c r="A1513" s="112" t="s">
        <v>1814</v>
      </c>
      <c r="B1513" s="112" t="s">
        <v>906</v>
      </c>
      <c r="C1513" s="112" t="s">
        <v>1095</v>
      </c>
      <c r="D1513" s="113">
        <v>10348451</v>
      </c>
      <c r="E1513" s="115">
        <v>43949</v>
      </c>
      <c r="F1513" s="114">
        <v>202101</v>
      </c>
      <c r="G1513" s="112" t="s">
        <v>1091</v>
      </c>
      <c r="H1513" s="112" t="s">
        <v>1015</v>
      </c>
      <c r="I1513" s="112" t="s">
        <v>1205</v>
      </c>
      <c r="J1513" s="112" t="s">
        <v>1852</v>
      </c>
      <c r="K1513" s="112" t="s">
        <v>1098</v>
      </c>
      <c r="L1513" s="116">
        <v>315.5</v>
      </c>
    </row>
    <row r="1514" spans="1:12" hidden="1" outlineLevel="1" collapsed="1" x14ac:dyDescent="0.35">
      <c r="A1514" s="112" t="s">
        <v>1814</v>
      </c>
      <c r="B1514" s="112" t="s">
        <v>905</v>
      </c>
      <c r="C1514" s="112" t="s">
        <v>695</v>
      </c>
      <c r="D1514" s="113">
        <v>10347977</v>
      </c>
      <c r="E1514" s="115">
        <v>43924</v>
      </c>
      <c r="F1514" s="114">
        <v>202101</v>
      </c>
      <c r="G1514" s="112" t="s">
        <v>1091</v>
      </c>
      <c r="H1514" s="112" t="s">
        <v>1015</v>
      </c>
      <c r="I1514" s="112" t="s">
        <v>751</v>
      </c>
      <c r="J1514" s="112" t="s">
        <v>1822</v>
      </c>
      <c r="K1514" s="112" t="s">
        <v>1864</v>
      </c>
      <c r="L1514" s="116">
        <v>-84</v>
      </c>
    </row>
    <row r="1515" spans="1:12" hidden="1" outlineLevel="1" collapsed="1" x14ac:dyDescent="0.35">
      <c r="A1515" s="112" t="s">
        <v>1814</v>
      </c>
      <c r="B1515" s="112" t="s">
        <v>905</v>
      </c>
      <c r="C1515" s="112" t="s">
        <v>695</v>
      </c>
      <c r="D1515" s="113">
        <v>10347977</v>
      </c>
      <c r="E1515" s="115">
        <v>43924</v>
      </c>
      <c r="F1515" s="114">
        <v>202101</v>
      </c>
      <c r="G1515" s="112" t="s">
        <v>1091</v>
      </c>
      <c r="H1515" s="112" t="s">
        <v>1015</v>
      </c>
      <c r="I1515" s="112" t="s">
        <v>749</v>
      </c>
      <c r="J1515" s="112" t="s">
        <v>1822</v>
      </c>
      <c r="K1515" s="112" t="s">
        <v>1865</v>
      </c>
      <c r="L1515" s="116">
        <v>-144</v>
      </c>
    </row>
    <row r="1516" spans="1:12" hidden="1" outlineLevel="1" collapsed="1" x14ac:dyDescent="0.35">
      <c r="A1516" s="112" t="s">
        <v>1814</v>
      </c>
      <c r="B1516" s="112" t="s">
        <v>905</v>
      </c>
      <c r="C1516" s="112" t="s">
        <v>1095</v>
      </c>
      <c r="D1516" s="113">
        <v>10348451</v>
      </c>
      <c r="E1516" s="115">
        <v>43949</v>
      </c>
      <c r="F1516" s="114">
        <v>202101</v>
      </c>
      <c r="G1516" s="112" t="s">
        <v>1091</v>
      </c>
      <c r="H1516" s="112" t="s">
        <v>1015</v>
      </c>
      <c r="I1516" s="112" t="s">
        <v>1101</v>
      </c>
      <c r="J1516" s="112" t="s">
        <v>1839</v>
      </c>
      <c r="K1516" s="112" t="s">
        <v>1098</v>
      </c>
      <c r="L1516" s="116">
        <v>608.47</v>
      </c>
    </row>
    <row r="1517" spans="1:12" hidden="1" outlineLevel="1" collapsed="1" x14ac:dyDescent="0.35">
      <c r="A1517" s="112" t="s">
        <v>1814</v>
      </c>
      <c r="B1517" s="112" t="s">
        <v>906</v>
      </c>
      <c r="C1517" s="112" t="s">
        <v>695</v>
      </c>
      <c r="D1517" s="113">
        <v>10347948</v>
      </c>
      <c r="E1517" s="115">
        <v>43923</v>
      </c>
      <c r="F1517" s="114">
        <v>202101</v>
      </c>
      <c r="G1517" s="112" t="s">
        <v>1091</v>
      </c>
      <c r="H1517" s="112" t="s">
        <v>1015</v>
      </c>
      <c r="I1517" s="112" t="s">
        <v>1866</v>
      </c>
      <c r="J1517" s="112" t="s">
        <v>1815</v>
      </c>
      <c r="K1517" s="112" t="s">
        <v>1867</v>
      </c>
      <c r="L1517" s="116">
        <v>-15204.9</v>
      </c>
    </row>
    <row r="1518" spans="1:12" hidden="1" outlineLevel="1" collapsed="1" x14ac:dyDescent="0.35">
      <c r="A1518" s="112" t="s">
        <v>1814</v>
      </c>
      <c r="B1518" s="112" t="s">
        <v>906</v>
      </c>
      <c r="C1518" s="112" t="s">
        <v>695</v>
      </c>
      <c r="D1518" s="113">
        <v>10347948</v>
      </c>
      <c r="E1518" s="115">
        <v>43923</v>
      </c>
      <c r="F1518" s="114">
        <v>202101</v>
      </c>
      <c r="G1518" s="112" t="s">
        <v>1091</v>
      </c>
      <c r="H1518" s="112" t="s">
        <v>1015</v>
      </c>
      <c r="I1518" s="112" t="s">
        <v>1868</v>
      </c>
      <c r="J1518" s="112" t="s">
        <v>1815</v>
      </c>
      <c r="K1518" s="112" t="s">
        <v>1869</v>
      </c>
      <c r="L1518" s="116">
        <v>-2203.3000000000002</v>
      </c>
    </row>
    <row r="1519" spans="1:12" hidden="1" outlineLevel="1" collapsed="1" x14ac:dyDescent="0.35">
      <c r="A1519" s="112" t="s">
        <v>1814</v>
      </c>
      <c r="B1519" s="112" t="s">
        <v>906</v>
      </c>
      <c r="C1519" s="112" t="s">
        <v>1095</v>
      </c>
      <c r="D1519" s="113">
        <v>10348451</v>
      </c>
      <c r="E1519" s="115">
        <v>43949</v>
      </c>
      <c r="F1519" s="114">
        <v>202101</v>
      </c>
      <c r="G1519" s="112" t="s">
        <v>1091</v>
      </c>
      <c r="H1519" s="112" t="s">
        <v>1015</v>
      </c>
      <c r="I1519" s="112" t="s">
        <v>1101</v>
      </c>
      <c r="J1519" s="112" t="s">
        <v>1852</v>
      </c>
      <c r="K1519" s="112" t="s">
        <v>1098</v>
      </c>
      <c r="L1519" s="116">
        <v>1021.5</v>
      </c>
    </row>
    <row r="1520" spans="1:12" hidden="1" outlineLevel="1" collapsed="1" x14ac:dyDescent="0.35">
      <c r="A1520" s="112" t="s">
        <v>1814</v>
      </c>
      <c r="B1520" s="112" t="s">
        <v>904</v>
      </c>
      <c r="C1520" s="112" t="s">
        <v>1095</v>
      </c>
      <c r="D1520" s="113">
        <v>10348451</v>
      </c>
      <c r="E1520" s="115">
        <v>43949</v>
      </c>
      <c r="F1520" s="114">
        <v>202101</v>
      </c>
      <c r="G1520" s="112" t="s">
        <v>1091</v>
      </c>
      <c r="H1520" s="112" t="s">
        <v>1015</v>
      </c>
      <c r="I1520" s="112" t="s">
        <v>1205</v>
      </c>
      <c r="J1520" s="112" t="s">
        <v>1838</v>
      </c>
      <c r="K1520" s="112" t="s">
        <v>1098</v>
      </c>
      <c r="L1520" s="116">
        <v>13</v>
      </c>
    </row>
    <row r="1521" spans="1:12" hidden="1" outlineLevel="1" collapsed="1" x14ac:dyDescent="0.35">
      <c r="A1521" s="112" t="s">
        <v>1814</v>
      </c>
      <c r="B1521" s="112" t="s">
        <v>906</v>
      </c>
      <c r="C1521" s="112" t="s">
        <v>695</v>
      </c>
      <c r="D1521" s="113">
        <v>10347948</v>
      </c>
      <c r="E1521" s="115">
        <v>43923</v>
      </c>
      <c r="F1521" s="114">
        <v>202101</v>
      </c>
      <c r="G1521" s="112" t="s">
        <v>1091</v>
      </c>
      <c r="H1521" s="112" t="s">
        <v>1015</v>
      </c>
      <c r="I1521" s="112" t="s">
        <v>1868</v>
      </c>
      <c r="J1521" s="112" t="s">
        <v>1815</v>
      </c>
      <c r="K1521" s="112" t="s">
        <v>1870</v>
      </c>
      <c r="L1521" s="116">
        <v>-184.25</v>
      </c>
    </row>
    <row r="1522" spans="1:12" hidden="1" outlineLevel="1" collapsed="1" x14ac:dyDescent="0.35">
      <c r="A1522" s="112" t="s">
        <v>1814</v>
      </c>
      <c r="B1522" s="112" t="s">
        <v>906</v>
      </c>
      <c r="C1522" s="112" t="s">
        <v>695</v>
      </c>
      <c r="D1522" s="113">
        <v>10347948</v>
      </c>
      <c r="E1522" s="115">
        <v>43923</v>
      </c>
      <c r="F1522" s="114">
        <v>202101</v>
      </c>
      <c r="G1522" s="112" t="s">
        <v>1091</v>
      </c>
      <c r="H1522" s="112" t="s">
        <v>1015</v>
      </c>
      <c r="I1522" s="112" t="s">
        <v>1871</v>
      </c>
      <c r="J1522" s="112" t="s">
        <v>1815</v>
      </c>
      <c r="K1522" s="112" t="s">
        <v>1872</v>
      </c>
      <c r="L1522" s="116">
        <v>-75</v>
      </c>
    </row>
    <row r="1523" spans="1:12" hidden="1" outlineLevel="1" collapsed="1" x14ac:dyDescent="0.35">
      <c r="A1523" s="112" t="s">
        <v>1814</v>
      </c>
      <c r="B1523" s="112" t="s">
        <v>906</v>
      </c>
      <c r="C1523" s="112" t="s">
        <v>695</v>
      </c>
      <c r="D1523" s="113">
        <v>10347948</v>
      </c>
      <c r="E1523" s="115">
        <v>43923</v>
      </c>
      <c r="F1523" s="114">
        <v>202101</v>
      </c>
      <c r="G1523" s="112" t="s">
        <v>1091</v>
      </c>
      <c r="H1523" s="112" t="s">
        <v>1015</v>
      </c>
      <c r="I1523" s="112" t="s">
        <v>1873</v>
      </c>
      <c r="J1523" s="112" t="s">
        <v>1815</v>
      </c>
      <c r="K1523" s="112" t="s">
        <v>1110</v>
      </c>
      <c r="L1523" s="116">
        <v>-189.75</v>
      </c>
    </row>
    <row r="1524" spans="1:12" hidden="1" outlineLevel="1" collapsed="1" x14ac:dyDescent="0.35">
      <c r="A1524" s="112" t="s">
        <v>1814</v>
      </c>
      <c r="B1524" s="112" t="s">
        <v>905</v>
      </c>
      <c r="C1524" s="112" t="s">
        <v>1095</v>
      </c>
      <c r="D1524" s="113">
        <v>10348451</v>
      </c>
      <c r="E1524" s="115">
        <v>43949</v>
      </c>
      <c r="F1524" s="114">
        <v>202101</v>
      </c>
      <c r="G1524" s="112" t="s">
        <v>1091</v>
      </c>
      <c r="H1524" s="112" t="s">
        <v>1015</v>
      </c>
      <c r="I1524" s="112" t="s">
        <v>1205</v>
      </c>
      <c r="J1524" s="112" t="s">
        <v>1827</v>
      </c>
      <c r="K1524" s="112" t="s">
        <v>1098</v>
      </c>
      <c r="L1524" s="116">
        <v>308.33</v>
      </c>
    </row>
    <row r="1525" spans="1:12" hidden="1" outlineLevel="1" collapsed="1" x14ac:dyDescent="0.35">
      <c r="A1525" s="112" t="s">
        <v>1814</v>
      </c>
      <c r="B1525" s="112" t="s">
        <v>906</v>
      </c>
      <c r="C1525" s="112" t="s">
        <v>695</v>
      </c>
      <c r="D1525" s="113">
        <v>10347948</v>
      </c>
      <c r="E1525" s="115">
        <v>43923</v>
      </c>
      <c r="F1525" s="114">
        <v>202101</v>
      </c>
      <c r="G1525" s="112" t="s">
        <v>1091</v>
      </c>
      <c r="H1525" s="112" t="s">
        <v>1015</v>
      </c>
      <c r="I1525" s="112" t="s">
        <v>1873</v>
      </c>
      <c r="J1525" s="112" t="s">
        <v>1815</v>
      </c>
      <c r="K1525" s="112" t="s">
        <v>1110</v>
      </c>
      <c r="L1525" s="116">
        <v>-95</v>
      </c>
    </row>
    <row r="1526" spans="1:12" hidden="1" outlineLevel="1" collapsed="1" x14ac:dyDescent="0.35">
      <c r="A1526" s="112" t="s">
        <v>1814</v>
      </c>
      <c r="B1526" s="112" t="s">
        <v>905</v>
      </c>
      <c r="C1526" s="112" t="s">
        <v>1095</v>
      </c>
      <c r="D1526" s="113">
        <v>10348451</v>
      </c>
      <c r="E1526" s="115">
        <v>43949</v>
      </c>
      <c r="F1526" s="114">
        <v>202101</v>
      </c>
      <c r="G1526" s="112" t="s">
        <v>1091</v>
      </c>
      <c r="H1526" s="112" t="s">
        <v>1015</v>
      </c>
      <c r="I1526" s="112" t="s">
        <v>1205</v>
      </c>
      <c r="J1526" s="112" t="s">
        <v>1842</v>
      </c>
      <c r="K1526" s="112" t="s">
        <v>1098</v>
      </c>
      <c r="L1526" s="116">
        <v>325.67</v>
      </c>
    </row>
    <row r="1527" spans="1:12" hidden="1" outlineLevel="1" collapsed="1" x14ac:dyDescent="0.35">
      <c r="A1527" s="112" t="s">
        <v>1814</v>
      </c>
      <c r="B1527" s="112" t="s">
        <v>904</v>
      </c>
      <c r="C1527" s="112" t="s">
        <v>1095</v>
      </c>
      <c r="D1527" s="113">
        <v>10348451</v>
      </c>
      <c r="E1527" s="115">
        <v>43949</v>
      </c>
      <c r="F1527" s="114">
        <v>202101</v>
      </c>
      <c r="G1527" s="112" t="s">
        <v>1091</v>
      </c>
      <c r="H1527" s="112" t="s">
        <v>1015</v>
      </c>
      <c r="I1527" s="112" t="s">
        <v>1205</v>
      </c>
      <c r="J1527" s="112" t="s">
        <v>1838</v>
      </c>
      <c r="K1527" s="112" t="s">
        <v>1098</v>
      </c>
      <c r="L1527" s="116">
        <v>13</v>
      </c>
    </row>
    <row r="1528" spans="1:12" hidden="1" outlineLevel="1" collapsed="1" x14ac:dyDescent="0.35">
      <c r="A1528" s="112" t="s">
        <v>1814</v>
      </c>
      <c r="B1528" s="112" t="s">
        <v>906</v>
      </c>
      <c r="C1528" s="112" t="s">
        <v>1095</v>
      </c>
      <c r="D1528" s="113">
        <v>10348451</v>
      </c>
      <c r="E1528" s="115">
        <v>43949</v>
      </c>
      <c r="F1528" s="114">
        <v>202101</v>
      </c>
      <c r="G1528" s="112" t="s">
        <v>1091</v>
      </c>
      <c r="H1528" s="112" t="s">
        <v>1015</v>
      </c>
      <c r="I1528" s="112" t="s">
        <v>1101</v>
      </c>
      <c r="J1528" s="112" t="s">
        <v>1852</v>
      </c>
      <c r="K1528" s="112" t="s">
        <v>1098</v>
      </c>
      <c r="L1528" s="116">
        <v>253.45</v>
      </c>
    </row>
    <row r="1529" spans="1:12" hidden="1" outlineLevel="1" collapsed="1" x14ac:dyDescent="0.35">
      <c r="A1529" s="112" t="s">
        <v>1814</v>
      </c>
      <c r="B1529" s="112" t="s">
        <v>906</v>
      </c>
      <c r="C1529" s="112" t="s">
        <v>1095</v>
      </c>
      <c r="D1529" s="113">
        <v>10348451</v>
      </c>
      <c r="E1529" s="115">
        <v>43949</v>
      </c>
      <c r="F1529" s="114">
        <v>202101</v>
      </c>
      <c r="G1529" s="112" t="s">
        <v>1091</v>
      </c>
      <c r="H1529" s="112" t="s">
        <v>1015</v>
      </c>
      <c r="I1529" s="112" t="s">
        <v>1205</v>
      </c>
      <c r="J1529" s="112" t="s">
        <v>1874</v>
      </c>
      <c r="K1529" s="112" t="s">
        <v>1098</v>
      </c>
      <c r="L1529" s="116">
        <v>27.34</v>
      </c>
    </row>
    <row r="1530" spans="1:12" hidden="1" outlineLevel="1" collapsed="1" x14ac:dyDescent="0.35">
      <c r="A1530" s="112" t="s">
        <v>1814</v>
      </c>
      <c r="B1530" s="112" t="s">
        <v>906</v>
      </c>
      <c r="C1530" s="112" t="s">
        <v>695</v>
      </c>
      <c r="D1530" s="113">
        <v>10347948</v>
      </c>
      <c r="E1530" s="115">
        <v>43923</v>
      </c>
      <c r="F1530" s="114">
        <v>202101</v>
      </c>
      <c r="G1530" s="112" t="s">
        <v>1091</v>
      </c>
      <c r="H1530" s="112" t="s">
        <v>1015</v>
      </c>
      <c r="I1530" s="112" t="s">
        <v>1873</v>
      </c>
      <c r="J1530" s="112" t="s">
        <v>1815</v>
      </c>
      <c r="K1530" s="112" t="s">
        <v>1110</v>
      </c>
      <c r="L1530" s="116">
        <v>-95</v>
      </c>
    </row>
    <row r="1531" spans="1:12" hidden="1" outlineLevel="1" collapsed="1" x14ac:dyDescent="0.35">
      <c r="A1531" s="112" t="s">
        <v>1814</v>
      </c>
      <c r="B1531" s="112" t="s">
        <v>905</v>
      </c>
      <c r="C1531" s="112" t="s">
        <v>695</v>
      </c>
      <c r="D1531" s="113">
        <v>10347977</v>
      </c>
      <c r="E1531" s="115">
        <v>43924</v>
      </c>
      <c r="F1531" s="114">
        <v>202101</v>
      </c>
      <c r="G1531" s="112" t="s">
        <v>1091</v>
      </c>
      <c r="H1531" s="112" t="s">
        <v>1015</v>
      </c>
      <c r="I1531" s="112" t="s">
        <v>749</v>
      </c>
      <c r="J1531" s="112" t="s">
        <v>1822</v>
      </c>
      <c r="K1531" s="112" t="s">
        <v>1875</v>
      </c>
      <c r="L1531" s="116">
        <v>-80</v>
      </c>
    </row>
    <row r="1532" spans="1:12" hidden="1" outlineLevel="1" collapsed="1" x14ac:dyDescent="0.35">
      <c r="A1532" s="112" t="s">
        <v>1814</v>
      </c>
      <c r="B1532" s="112" t="s">
        <v>905</v>
      </c>
      <c r="C1532" s="112" t="s">
        <v>695</v>
      </c>
      <c r="D1532" s="113">
        <v>10347977</v>
      </c>
      <c r="E1532" s="115">
        <v>43924</v>
      </c>
      <c r="F1532" s="114">
        <v>202101</v>
      </c>
      <c r="G1532" s="112" t="s">
        <v>1091</v>
      </c>
      <c r="H1532" s="112" t="s">
        <v>1015</v>
      </c>
      <c r="I1532" s="112" t="s">
        <v>757</v>
      </c>
      <c r="J1532" s="112" t="s">
        <v>1822</v>
      </c>
      <c r="K1532" s="112" t="s">
        <v>1876</v>
      </c>
      <c r="L1532" s="116">
        <v>-60</v>
      </c>
    </row>
    <row r="1533" spans="1:12" hidden="1" outlineLevel="1" collapsed="1" x14ac:dyDescent="0.35">
      <c r="A1533" s="112" t="s">
        <v>1814</v>
      </c>
      <c r="B1533" s="112" t="s">
        <v>906</v>
      </c>
      <c r="C1533" s="112" t="s">
        <v>695</v>
      </c>
      <c r="D1533" s="113">
        <v>10347948</v>
      </c>
      <c r="E1533" s="115">
        <v>43923</v>
      </c>
      <c r="F1533" s="114">
        <v>202101</v>
      </c>
      <c r="G1533" s="112" t="s">
        <v>1091</v>
      </c>
      <c r="H1533" s="112" t="s">
        <v>1015</v>
      </c>
      <c r="I1533" s="112" t="s">
        <v>1873</v>
      </c>
      <c r="J1533" s="112" t="s">
        <v>1815</v>
      </c>
      <c r="K1533" s="112" t="s">
        <v>1110</v>
      </c>
      <c r="L1533" s="116">
        <v>-330</v>
      </c>
    </row>
    <row r="1534" spans="1:12" hidden="1" outlineLevel="1" collapsed="1" x14ac:dyDescent="0.35">
      <c r="A1534" s="112" t="s">
        <v>1814</v>
      </c>
      <c r="B1534" s="112" t="s">
        <v>905</v>
      </c>
      <c r="C1534" s="112" t="s">
        <v>1095</v>
      </c>
      <c r="D1534" s="113">
        <v>10348451</v>
      </c>
      <c r="E1534" s="115">
        <v>43949</v>
      </c>
      <c r="F1534" s="114">
        <v>202101</v>
      </c>
      <c r="G1534" s="112" t="s">
        <v>1091</v>
      </c>
      <c r="H1534" s="112" t="s">
        <v>1015</v>
      </c>
      <c r="I1534" s="112" t="s">
        <v>1205</v>
      </c>
      <c r="J1534" s="112" t="s">
        <v>1877</v>
      </c>
      <c r="K1534" s="112" t="s">
        <v>1098</v>
      </c>
      <c r="L1534" s="116">
        <v>250</v>
      </c>
    </row>
    <row r="1535" spans="1:12" hidden="1" outlineLevel="1" collapsed="1" x14ac:dyDescent="0.35">
      <c r="A1535" s="112" t="s">
        <v>1814</v>
      </c>
      <c r="B1535" s="112" t="s">
        <v>905</v>
      </c>
      <c r="C1535" s="112" t="s">
        <v>1095</v>
      </c>
      <c r="D1535" s="113">
        <v>10348451</v>
      </c>
      <c r="E1535" s="115">
        <v>43949</v>
      </c>
      <c r="F1535" s="114">
        <v>202101</v>
      </c>
      <c r="G1535" s="112" t="s">
        <v>1091</v>
      </c>
      <c r="H1535" s="112" t="s">
        <v>1015</v>
      </c>
      <c r="I1535" s="112" t="s">
        <v>1205</v>
      </c>
      <c r="J1535" s="112" t="s">
        <v>1878</v>
      </c>
      <c r="K1535" s="112" t="s">
        <v>1098</v>
      </c>
      <c r="L1535" s="116">
        <v>274.44</v>
      </c>
    </row>
    <row r="1536" spans="1:12" hidden="1" outlineLevel="1" collapsed="1" x14ac:dyDescent="0.35">
      <c r="A1536" s="112" t="s">
        <v>1814</v>
      </c>
      <c r="B1536" s="112" t="s">
        <v>906</v>
      </c>
      <c r="C1536" s="112" t="s">
        <v>695</v>
      </c>
      <c r="D1536" s="113">
        <v>10347948</v>
      </c>
      <c r="E1536" s="115">
        <v>43923</v>
      </c>
      <c r="F1536" s="114">
        <v>202101</v>
      </c>
      <c r="G1536" s="112" t="s">
        <v>1091</v>
      </c>
      <c r="H1536" s="112" t="s">
        <v>1015</v>
      </c>
      <c r="I1536" s="112" t="s">
        <v>1873</v>
      </c>
      <c r="J1536" s="112" t="s">
        <v>1815</v>
      </c>
      <c r="K1536" s="112" t="s">
        <v>1110</v>
      </c>
      <c r="L1536" s="116">
        <v>-330</v>
      </c>
    </row>
    <row r="1537" spans="1:12" hidden="1" outlineLevel="1" collapsed="1" x14ac:dyDescent="0.35">
      <c r="A1537" s="112" t="s">
        <v>1814</v>
      </c>
      <c r="B1537" s="112" t="s">
        <v>906</v>
      </c>
      <c r="C1537" s="112" t="s">
        <v>695</v>
      </c>
      <c r="D1537" s="113">
        <v>10347948</v>
      </c>
      <c r="E1537" s="115">
        <v>43923</v>
      </c>
      <c r="F1537" s="114">
        <v>202101</v>
      </c>
      <c r="G1537" s="112" t="s">
        <v>1091</v>
      </c>
      <c r="H1537" s="112" t="s">
        <v>1015</v>
      </c>
      <c r="I1537" s="112" t="s">
        <v>1873</v>
      </c>
      <c r="J1537" s="112" t="s">
        <v>1815</v>
      </c>
      <c r="K1537" s="112" t="s">
        <v>1110</v>
      </c>
      <c r="L1537" s="116">
        <v>-618.26</v>
      </c>
    </row>
    <row r="1538" spans="1:12" hidden="1" outlineLevel="1" collapsed="1" x14ac:dyDescent="0.35">
      <c r="A1538" s="112" t="s">
        <v>1814</v>
      </c>
      <c r="B1538" s="112" t="s">
        <v>905</v>
      </c>
      <c r="C1538" s="112" t="s">
        <v>695</v>
      </c>
      <c r="D1538" s="113">
        <v>10347977</v>
      </c>
      <c r="E1538" s="115">
        <v>43924</v>
      </c>
      <c r="F1538" s="114">
        <v>202101</v>
      </c>
      <c r="G1538" s="112" t="s">
        <v>1091</v>
      </c>
      <c r="H1538" s="112" t="s">
        <v>1015</v>
      </c>
      <c r="I1538" s="112" t="s">
        <v>757</v>
      </c>
      <c r="J1538" s="112" t="s">
        <v>1822</v>
      </c>
      <c r="K1538" s="112" t="s">
        <v>1879</v>
      </c>
      <c r="L1538" s="116">
        <v>-94</v>
      </c>
    </row>
    <row r="1539" spans="1:12" hidden="1" outlineLevel="1" collapsed="1" x14ac:dyDescent="0.35">
      <c r="A1539" s="112" t="s">
        <v>1814</v>
      </c>
      <c r="B1539" s="112" t="s">
        <v>906</v>
      </c>
      <c r="C1539" s="112" t="s">
        <v>695</v>
      </c>
      <c r="D1539" s="113">
        <v>10347948</v>
      </c>
      <c r="E1539" s="115">
        <v>43923</v>
      </c>
      <c r="F1539" s="114">
        <v>202101</v>
      </c>
      <c r="G1539" s="112" t="s">
        <v>1091</v>
      </c>
      <c r="H1539" s="112" t="s">
        <v>1015</v>
      </c>
      <c r="I1539" s="112" t="s">
        <v>1873</v>
      </c>
      <c r="J1539" s="112" t="s">
        <v>1815</v>
      </c>
      <c r="K1539" s="112" t="s">
        <v>1110</v>
      </c>
      <c r="L1539" s="116">
        <v>-495</v>
      </c>
    </row>
    <row r="1540" spans="1:12" hidden="1" outlineLevel="1" collapsed="1" x14ac:dyDescent="0.35">
      <c r="A1540" s="112" t="s">
        <v>1814</v>
      </c>
      <c r="B1540" s="112" t="s">
        <v>905</v>
      </c>
      <c r="C1540" s="112" t="s">
        <v>1099</v>
      </c>
      <c r="D1540" s="113">
        <v>1069336</v>
      </c>
      <c r="E1540" s="115">
        <v>43921</v>
      </c>
      <c r="F1540" s="114">
        <v>202101</v>
      </c>
      <c r="G1540" s="112" t="s">
        <v>1091</v>
      </c>
      <c r="H1540" s="112" t="s">
        <v>1015</v>
      </c>
      <c r="I1540" s="112" t="s">
        <v>767</v>
      </c>
      <c r="J1540" s="112" t="s">
        <v>1827</v>
      </c>
      <c r="K1540" s="112" t="s">
        <v>1880</v>
      </c>
      <c r="L1540" s="116">
        <v>10081.68</v>
      </c>
    </row>
    <row r="1541" spans="1:12" hidden="1" outlineLevel="1" collapsed="1" x14ac:dyDescent="0.35">
      <c r="A1541" s="112" t="s">
        <v>1814</v>
      </c>
      <c r="B1541" s="112" t="s">
        <v>905</v>
      </c>
      <c r="C1541" s="112" t="s">
        <v>679</v>
      </c>
      <c r="D1541" s="113">
        <v>10348056</v>
      </c>
      <c r="E1541" s="115">
        <v>43928</v>
      </c>
      <c r="F1541" s="114">
        <v>202101</v>
      </c>
      <c r="G1541" s="112" t="s">
        <v>1091</v>
      </c>
      <c r="H1541" s="112" t="s">
        <v>1016</v>
      </c>
      <c r="I1541" s="112" t="s">
        <v>1845</v>
      </c>
      <c r="J1541" s="112" t="s">
        <v>1817</v>
      </c>
      <c r="K1541" s="112" t="s">
        <v>1881</v>
      </c>
      <c r="L1541" s="116">
        <v>-10</v>
      </c>
    </row>
    <row r="1542" spans="1:12" hidden="1" outlineLevel="1" collapsed="1" x14ac:dyDescent="0.35">
      <c r="A1542" s="112" t="s">
        <v>1814</v>
      </c>
      <c r="B1542" s="112" t="s">
        <v>905</v>
      </c>
      <c r="C1542" s="112" t="s">
        <v>695</v>
      </c>
      <c r="D1542" s="113">
        <v>10347977</v>
      </c>
      <c r="E1542" s="115">
        <v>43924</v>
      </c>
      <c r="F1542" s="114">
        <v>202101</v>
      </c>
      <c r="G1542" s="112" t="s">
        <v>1091</v>
      </c>
      <c r="H1542" s="112" t="s">
        <v>1015</v>
      </c>
      <c r="I1542" s="112" t="s">
        <v>749</v>
      </c>
      <c r="J1542" s="112" t="s">
        <v>1822</v>
      </c>
      <c r="K1542" s="112" t="s">
        <v>1882</v>
      </c>
      <c r="L1542" s="116">
        <v>-22</v>
      </c>
    </row>
    <row r="1543" spans="1:12" hidden="1" outlineLevel="1" collapsed="1" x14ac:dyDescent="0.35">
      <c r="A1543" s="112" t="s">
        <v>1814</v>
      </c>
      <c r="B1543" s="112" t="s">
        <v>906</v>
      </c>
      <c r="C1543" s="112" t="s">
        <v>695</v>
      </c>
      <c r="D1543" s="113">
        <v>10347977</v>
      </c>
      <c r="E1543" s="115">
        <v>43924</v>
      </c>
      <c r="F1543" s="114">
        <v>202101</v>
      </c>
      <c r="G1543" s="112" t="s">
        <v>1091</v>
      </c>
      <c r="H1543" s="112" t="s">
        <v>1015</v>
      </c>
      <c r="I1543" s="112" t="s">
        <v>749</v>
      </c>
      <c r="J1543" s="112" t="s">
        <v>1815</v>
      </c>
      <c r="K1543" s="112" t="s">
        <v>1883</v>
      </c>
      <c r="L1543" s="116">
        <v>-370</v>
      </c>
    </row>
    <row r="1544" spans="1:12" hidden="1" outlineLevel="1" collapsed="1" x14ac:dyDescent="0.35">
      <c r="A1544" s="112" t="s">
        <v>1814</v>
      </c>
      <c r="B1544" s="112" t="s">
        <v>906</v>
      </c>
      <c r="C1544" s="112" t="s">
        <v>695</v>
      </c>
      <c r="D1544" s="113">
        <v>10347952</v>
      </c>
      <c r="E1544" s="115">
        <v>43923</v>
      </c>
      <c r="F1544" s="114">
        <v>202101</v>
      </c>
      <c r="G1544" s="112" t="s">
        <v>1091</v>
      </c>
      <c r="H1544" s="112" t="s">
        <v>1015</v>
      </c>
      <c r="I1544" s="112" t="s">
        <v>1820</v>
      </c>
      <c r="J1544" s="112" t="s">
        <v>1815</v>
      </c>
      <c r="K1544" s="112" t="s">
        <v>1884</v>
      </c>
      <c r="L1544" s="116">
        <v>-22.15</v>
      </c>
    </row>
    <row r="1545" spans="1:12" hidden="1" outlineLevel="1" collapsed="1" x14ac:dyDescent="0.35">
      <c r="A1545" s="112" t="s">
        <v>1814</v>
      </c>
      <c r="B1545" s="112" t="s">
        <v>906</v>
      </c>
      <c r="C1545" s="112" t="s">
        <v>695</v>
      </c>
      <c r="D1545" s="113">
        <v>10347952</v>
      </c>
      <c r="E1545" s="115">
        <v>43923</v>
      </c>
      <c r="F1545" s="114">
        <v>202101</v>
      </c>
      <c r="G1545" s="112" t="s">
        <v>1091</v>
      </c>
      <c r="H1545" s="112" t="s">
        <v>1015</v>
      </c>
      <c r="I1545" s="112" t="s">
        <v>1820</v>
      </c>
      <c r="J1545" s="112" t="s">
        <v>1815</v>
      </c>
      <c r="K1545" s="112" t="s">
        <v>1885</v>
      </c>
      <c r="L1545" s="116">
        <v>-406.6</v>
      </c>
    </row>
    <row r="1546" spans="1:12" hidden="1" outlineLevel="1" collapsed="1" x14ac:dyDescent="0.35">
      <c r="A1546" s="112" t="s">
        <v>1814</v>
      </c>
      <c r="B1546" s="112" t="s">
        <v>905</v>
      </c>
      <c r="C1546" s="112" t="s">
        <v>695</v>
      </c>
      <c r="D1546" s="113">
        <v>10347977</v>
      </c>
      <c r="E1546" s="115">
        <v>43924</v>
      </c>
      <c r="F1546" s="114">
        <v>202101</v>
      </c>
      <c r="G1546" s="112" t="s">
        <v>1091</v>
      </c>
      <c r="H1546" s="112" t="s">
        <v>1015</v>
      </c>
      <c r="I1546" s="112" t="s">
        <v>757</v>
      </c>
      <c r="J1546" s="112" t="s">
        <v>1822</v>
      </c>
      <c r="K1546" s="112" t="s">
        <v>1886</v>
      </c>
      <c r="L1546" s="116">
        <v>-178</v>
      </c>
    </row>
    <row r="1547" spans="1:12" hidden="1" outlineLevel="1" collapsed="1" x14ac:dyDescent="0.35">
      <c r="A1547" s="112" t="s">
        <v>1814</v>
      </c>
      <c r="B1547" s="112" t="s">
        <v>905</v>
      </c>
      <c r="C1547" s="112" t="s">
        <v>1095</v>
      </c>
      <c r="D1547" s="113">
        <v>10348451</v>
      </c>
      <c r="E1547" s="115">
        <v>43949</v>
      </c>
      <c r="F1547" s="114">
        <v>202101</v>
      </c>
      <c r="G1547" s="112" t="s">
        <v>1091</v>
      </c>
      <c r="H1547" s="112" t="s">
        <v>1015</v>
      </c>
      <c r="I1547" s="112" t="s">
        <v>1096</v>
      </c>
      <c r="J1547" s="112" t="s">
        <v>1839</v>
      </c>
      <c r="K1547" s="112" t="s">
        <v>1098</v>
      </c>
      <c r="L1547" s="116">
        <v>310.49</v>
      </c>
    </row>
    <row r="1548" spans="1:12" hidden="1" outlineLevel="1" collapsed="1" x14ac:dyDescent="0.35">
      <c r="A1548" s="112" t="s">
        <v>1814</v>
      </c>
      <c r="B1548" s="112" t="s">
        <v>905</v>
      </c>
      <c r="C1548" s="112" t="s">
        <v>1095</v>
      </c>
      <c r="D1548" s="113">
        <v>10348451</v>
      </c>
      <c r="E1548" s="115">
        <v>43949</v>
      </c>
      <c r="F1548" s="114">
        <v>202101</v>
      </c>
      <c r="G1548" s="112" t="s">
        <v>1091</v>
      </c>
      <c r="H1548" s="112" t="s">
        <v>1015</v>
      </c>
      <c r="I1548" s="112" t="s">
        <v>1101</v>
      </c>
      <c r="J1548" s="112" t="s">
        <v>1827</v>
      </c>
      <c r="K1548" s="112" t="s">
        <v>1098</v>
      </c>
      <c r="L1548" s="116">
        <v>929.11</v>
      </c>
    </row>
    <row r="1549" spans="1:12" hidden="1" outlineLevel="1" collapsed="1" x14ac:dyDescent="0.35">
      <c r="A1549" s="112" t="s">
        <v>1814</v>
      </c>
      <c r="B1549" s="112" t="s">
        <v>906</v>
      </c>
      <c r="C1549" s="112" t="s">
        <v>1095</v>
      </c>
      <c r="D1549" s="113">
        <v>10348451</v>
      </c>
      <c r="E1549" s="115">
        <v>43949</v>
      </c>
      <c r="F1549" s="114">
        <v>202101</v>
      </c>
      <c r="G1549" s="112" t="s">
        <v>1091</v>
      </c>
      <c r="H1549" s="112" t="s">
        <v>1015</v>
      </c>
      <c r="I1549" s="112" t="s">
        <v>1101</v>
      </c>
      <c r="J1549" s="112" t="s">
        <v>1852</v>
      </c>
      <c r="K1549" s="112" t="s">
        <v>1098</v>
      </c>
      <c r="L1549" s="116">
        <v>562.66999999999996</v>
      </c>
    </row>
    <row r="1550" spans="1:12" hidden="1" outlineLevel="1" collapsed="1" x14ac:dyDescent="0.35">
      <c r="A1550" s="112" t="s">
        <v>1814</v>
      </c>
      <c r="B1550" s="112" t="s">
        <v>905</v>
      </c>
      <c r="C1550" s="112" t="s">
        <v>1095</v>
      </c>
      <c r="D1550" s="113">
        <v>10348451</v>
      </c>
      <c r="E1550" s="115">
        <v>43949</v>
      </c>
      <c r="F1550" s="114">
        <v>202101</v>
      </c>
      <c r="G1550" s="112" t="s">
        <v>1091</v>
      </c>
      <c r="H1550" s="112" t="s">
        <v>1015</v>
      </c>
      <c r="I1550" s="112" t="s">
        <v>1205</v>
      </c>
      <c r="J1550" s="112" t="s">
        <v>1827</v>
      </c>
      <c r="K1550" s="112" t="s">
        <v>1098</v>
      </c>
      <c r="L1550" s="116">
        <v>13</v>
      </c>
    </row>
    <row r="1551" spans="1:12" hidden="1" outlineLevel="1" collapsed="1" x14ac:dyDescent="0.35">
      <c r="A1551" s="112" t="s">
        <v>1814</v>
      </c>
      <c r="B1551" s="112" t="s">
        <v>906</v>
      </c>
      <c r="C1551" s="112" t="s">
        <v>695</v>
      </c>
      <c r="D1551" s="113">
        <v>10347954</v>
      </c>
      <c r="E1551" s="115">
        <v>43923</v>
      </c>
      <c r="F1551" s="114">
        <v>202101</v>
      </c>
      <c r="G1551" s="112" t="s">
        <v>1091</v>
      </c>
      <c r="H1551" s="112" t="s">
        <v>1015</v>
      </c>
      <c r="I1551" s="112" t="s">
        <v>1820</v>
      </c>
      <c r="J1551" s="112" t="s">
        <v>1815</v>
      </c>
      <c r="K1551" s="112" t="s">
        <v>1887</v>
      </c>
      <c r="L1551" s="116">
        <v>-456.89</v>
      </c>
    </row>
    <row r="1552" spans="1:12" hidden="1" outlineLevel="1" collapsed="1" x14ac:dyDescent="0.35">
      <c r="A1552" s="112" t="s">
        <v>1814</v>
      </c>
      <c r="B1552" s="112" t="s">
        <v>906</v>
      </c>
      <c r="C1552" s="112" t="s">
        <v>695</v>
      </c>
      <c r="D1552" s="113">
        <v>10347956</v>
      </c>
      <c r="E1552" s="115">
        <v>43923</v>
      </c>
      <c r="F1552" s="114">
        <v>202101</v>
      </c>
      <c r="G1552" s="112" t="s">
        <v>1091</v>
      </c>
      <c r="H1552" s="112" t="s">
        <v>1015</v>
      </c>
      <c r="I1552" s="112" t="s">
        <v>1820</v>
      </c>
      <c r="J1552" s="112" t="s">
        <v>1815</v>
      </c>
      <c r="K1552" s="112" t="s">
        <v>1888</v>
      </c>
      <c r="L1552" s="116">
        <v>-48.9</v>
      </c>
    </row>
    <row r="1553" spans="1:12" hidden="1" outlineLevel="1" collapsed="1" x14ac:dyDescent="0.35">
      <c r="A1553" s="112" t="s">
        <v>1814</v>
      </c>
      <c r="B1553" s="112" t="s">
        <v>906</v>
      </c>
      <c r="C1553" s="112" t="s">
        <v>695</v>
      </c>
      <c r="D1553" s="113">
        <v>10347956</v>
      </c>
      <c r="E1553" s="115">
        <v>43923</v>
      </c>
      <c r="F1553" s="114">
        <v>202101</v>
      </c>
      <c r="G1553" s="112" t="s">
        <v>1091</v>
      </c>
      <c r="H1553" s="112" t="s">
        <v>1015</v>
      </c>
      <c r="I1553" s="112" t="s">
        <v>1820</v>
      </c>
      <c r="J1553" s="112" t="s">
        <v>1815</v>
      </c>
      <c r="K1553" s="112" t="s">
        <v>1888</v>
      </c>
      <c r="L1553" s="116">
        <v>-22.15</v>
      </c>
    </row>
    <row r="1554" spans="1:12" hidden="1" outlineLevel="1" collapsed="1" x14ac:dyDescent="0.35">
      <c r="A1554" s="112" t="s">
        <v>1814</v>
      </c>
      <c r="B1554" s="112" t="s">
        <v>906</v>
      </c>
      <c r="C1554" s="112" t="s">
        <v>695</v>
      </c>
      <c r="D1554" s="113">
        <v>10347956</v>
      </c>
      <c r="E1554" s="115">
        <v>43923</v>
      </c>
      <c r="F1554" s="114">
        <v>202101</v>
      </c>
      <c r="G1554" s="112" t="s">
        <v>1091</v>
      </c>
      <c r="H1554" s="112" t="s">
        <v>1015</v>
      </c>
      <c r="I1554" s="112" t="s">
        <v>1820</v>
      </c>
      <c r="J1554" s="112" t="s">
        <v>1815</v>
      </c>
      <c r="K1554" s="112" t="s">
        <v>1889</v>
      </c>
      <c r="L1554" s="116">
        <v>-29.16</v>
      </c>
    </row>
    <row r="1555" spans="1:12" hidden="1" outlineLevel="1" collapsed="1" x14ac:dyDescent="0.35">
      <c r="A1555" s="112" t="s">
        <v>1814</v>
      </c>
      <c r="B1555" s="112" t="s">
        <v>906</v>
      </c>
      <c r="C1555" s="112" t="s">
        <v>695</v>
      </c>
      <c r="D1555" s="113">
        <v>10347956</v>
      </c>
      <c r="E1555" s="115">
        <v>43923</v>
      </c>
      <c r="F1555" s="114">
        <v>202101</v>
      </c>
      <c r="G1555" s="112" t="s">
        <v>1091</v>
      </c>
      <c r="H1555" s="112" t="s">
        <v>1015</v>
      </c>
      <c r="I1555" s="112" t="s">
        <v>1820</v>
      </c>
      <c r="J1555" s="112" t="s">
        <v>1815</v>
      </c>
      <c r="K1555" s="112" t="s">
        <v>1890</v>
      </c>
      <c r="L1555" s="116">
        <v>-95.61</v>
      </c>
    </row>
    <row r="1556" spans="1:12" hidden="1" outlineLevel="1" collapsed="1" x14ac:dyDescent="0.35">
      <c r="A1556" s="112" t="s">
        <v>1814</v>
      </c>
      <c r="B1556" s="112" t="s">
        <v>906</v>
      </c>
      <c r="C1556" s="112" t="s">
        <v>695</v>
      </c>
      <c r="D1556" s="113">
        <v>10347956</v>
      </c>
      <c r="E1556" s="115">
        <v>43923</v>
      </c>
      <c r="F1556" s="114">
        <v>202101</v>
      </c>
      <c r="G1556" s="112" t="s">
        <v>1091</v>
      </c>
      <c r="H1556" s="112" t="s">
        <v>1015</v>
      </c>
      <c r="I1556" s="112" t="s">
        <v>813</v>
      </c>
      <c r="J1556" s="112" t="s">
        <v>1815</v>
      </c>
      <c r="K1556" s="112" t="s">
        <v>1891</v>
      </c>
      <c r="L1556" s="116">
        <v>-34.85</v>
      </c>
    </row>
    <row r="1557" spans="1:12" hidden="1" outlineLevel="1" collapsed="1" x14ac:dyDescent="0.35">
      <c r="A1557" s="112" t="s">
        <v>1814</v>
      </c>
      <c r="B1557" s="112" t="s">
        <v>905</v>
      </c>
      <c r="C1557" s="112" t="s">
        <v>1095</v>
      </c>
      <c r="D1557" s="113">
        <v>10348451</v>
      </c>
      <c r="E1557" s="115">
        <v>43949</v>
      </c>
      <c r="F1557" s="114">
        <v>202101</v>
      </c>
      <c r="G1557" s="112" t="s">
        <v>1091</v>
      </c>
      <c r="H1557" s="112" t="s">
        <v>1015</v>
      </c>
      <c r="I1557" s="112" t="s">
        <v>1096</v>
      </c>
      <c r="J1557" s="112" t="s">
        <v>1839</v>
      </c>
      <c r="K1557" s="112" t="s">
        <v>1098</v>
      </c>
      <c r="L1557" s="116">
        <v>189.69</v>
      </c>
    </row>
    <row r="1558" spans="1:12" hidden="1" outlineLevel="1" collapsed="1" x14ac:dyDescent="0.35">
      <c r="A1558" s="112" t="s">
        <v>1814</v>
      </c>
      <c r="B1558" s="112" t="s">
        <v>906</v>
      </c>
      <c r="C1558" s="112" t="s">
        <v>695</v>
      </c>
      <c r="D1558" s="113">
        <v>10347956</v>
      </c>
      <c r="E1558" s="115">
        <v>43923</v>
      </c>
      <c r="F1558" s="114">
        <v>202101</v>
      </c>
      <c r="G1558" s="112" t="s">
        <v>1091</v>
      </c>
      <c r="H1558" s="112" t="s">
        <v>1015</v>
      </c>
      <c r="I1558" s="112" t="s">
        <v>813</v>
      </c>
      <c r="J1558" s="112" t="s">
        <v>1815</v>
      </c>
      <c r="K1558" s="112" t="s">
        <v>1833</v>
      </c>
      <c r="L1558" s="116">
        <v>-46.46</v>
      </c>
    </row>
    <row r="1559" spans="1:12" hidden="1" outlineLevel="1" collapsed="1" x14ac:dyDescent="0.35">
      <c r="A1559" s="112" t="s">
        <v>1814</v>
      </c>
      <c r="B1559" s="112" t="s">
        <v>905</v>
      </c>
      <c r="C1559" s="112" t="s">
        <v>1095</v>
      </c>
      <c r="D1559" s="113">
        <v>10348451</v>
      </c>
      <c r="E1559" s="115">
        <v>43949</v>
      </c>
      <c r="F1559" s="114">
        <v>202101</v>
      </c>
      <c r="G1559" s="112" t="s">
        <v>1091</v>
      </c>
      <c r="H1559" s="112" t="s">
        <v>1015</v>
      </c>
      <c r="I1559" s="112" t="s">
        <v>1128</v>
      </c>
      <c r="J1559" s="112" t="s">
        <v>1877</v>
      </c>
      <c r="K1559" s="112" t="s">
        <v>1098</v>
      </c>
      <c r="L1559" s="116">
        <v>100</v>
      </c>
    </row>
    <row r="1560" spans="1:12" hidden="1" outlineLevel="1" collapsed="1" x14ac:dyDescent="0.35">
      <c r="A1560" s="112" t="s">
        <v>1814</v>
      </c>
      <c r="B1560" s="112" t="s">
        <v>906</v>
      </c>
      <c r="C1560" s="112" t="s">
        <v>695</v>
      </c>
      <c r="D1560" s="113">
        <v>10347956</v>
      </c>
      <c r="E1560" s="115">
        <v>43923</v>
      </c>
      <c r="F1560" s="114">
        <v>202101</v>
      </c>
      <c r="G1560" s="112" t="s">
        <v>1091</v>
      </c>
      <c r="H1560" s="112" t="s">
        <v>1015</v>
      </c>
      <c r="I1560" s="112" t="s">
        <v>813</v>
      </c>
      <c r="J1560" s="112" t="s">
        <v>1815</v>
      </c>
      <c r="K1560" s="112" t="s">
        <v>1892</v>
      </c>
      <c r="L1560" s="116">
        <v>-89.26</v>
      </c>
    </row>
    <row r="1561" spans="1:12" hidden="1" outlineLevel="1" collapsed="1" x14ac:dyDescent="0.35">
      <c r="A1561" s="112" t="s">
        <v>1814</v>
      </c>
      <c r="B1561" s="112" t="s">
        <v>906</v>
      </c>
      <c r="C1561" s="112" t="s">
        <v>695</v>
      </c>
      <c r="D1561" s="113">
        <v>10347956</v>
      </c>
      <c r="E1561" s="115">
        <v>43923</v>
      </c>
      <c r="F1561" s="114">
        <v>202101</v>
      </c>
      <c r="G1561" s="112" t="s">
        <v>1091</v>
      </c>
      <c r="H1561" s="112" t="s">
        <v>1015</v>
      </c>
      <c r="I1561" s="112" t="s">
        <v>1820</v>
      </c>
      <c r="J1561" s="112" t="s">
        <v>1815</v>
      </c>
      <c r="K1561" s="112" t="s">
        <v>1893</v>
      </c>
      <c r="L1561" s="116">
        <v>-33.229999999999997</v>
      </c>
    </row>
    <row r="1562" spans="1:12" hidden="1" outlineLevel="1" collapsed="1" x14ac:dyDescent="0.35">
      <c r="A1562" s="112" t="s">
        <v>1814</v>
      </c>
      <c r="B1562" s="112" t="s">
        <v>906</v>
      </c>
      <c r="C1562" s="112" t="s">
        <v>695</v>
      </c>
      <c r="D1562" s="113">
        <v>10347954</v>
      </c>
      <c r="E1562" s="115">
        <v>43923</v>
      </c>
      <c r="F1562" s="114">
        <v>202101</v>
      </c>
      <c r="G1562" s="112" t="s">
        <v>1091</v>
      </c>
      <c r="H1562" s="112" t="s">
        <v>1015</v>
      </c>
      <c r="I1562" s="112" t="s">
        <v>1894</v>
      </c>
      <c r="J1562" s="112" t="s">
        <v>1815</v>
      </c>
      <c r="K1562" s="112" t="s">
        <v>1895</v>
      </c>
      <c r="L1562" s="116">
        <v>-92.85</v>
      </c>
    </row>
    <row r="1563" spans="1:12" hidden="1" outlineLevel="1" collapsed="1" x14ac:dyDescent="0.35">
      <c r="A1563" s="112" t="s">
        <v>1814</v>
      </c>
      <c r="B1563" s="112" t="s">
        <v>906</v>
      </c>
      <c r="C1563" s="112" t="s">
        <v>695</v>
      </c>
      <c r="D1563" s="113">
        <v>10347954</v>
      </c>
      <c r="E1563" s="115">
        <v>43923</v>
      </c>
      <c r="F1563" s="114">
        <v>202101</v>
      </c>
      <c r="G1563" s="112" t="s">
        <v>1091</v>
      </c>
      <c r="H1563" s="112" t="s">
        <v>1015</v>
      </c>
      <c r="I1563" s="112" t="s">
        <v>1873</v>
      </c>
      <c r="J1563" s="112" t="s">
        <v>1815</v>
      </c>
      <c r="K1563" s="112" t="s">
        <v>1110</v>
      </c>
      <c r="L1563" s="116">
        <v>-1425.55</v>
      </c>
    </row>
    <row r="1564" spans="1:12" hidden="1" outlineLevel="1" collapsed="1" x14ac:dyDescent="0.35">
      <c r="A1564" s="112" t="s">
        <v>1814</v>
      </c>
      <c r="B1564" s="112" t="s">
        <v>906</v>
      </c>
      <c r="C1564" s="112" t="s">
        <v>695</v>
      </c>
      <c r="D1564" s="113">
        <v>10347954</v>
      </c>
      <c r="E1564" s="115">
        <v>43923</v>
      </c>
      <c r="F1564" s="114">
        <v>202101</v>
      </c>
      <c r="G1564" s="112" t="s">
        <v>1091</v>
      </c>
      <c r="H1564" s="112" t="s">
        <v>1015</v>
      </c>
      <c r="I1564" s="112" t="s">
        <v>1820</v>
      </c>
      <c r="J1564" s="112" t="s">
        <v>1815</v>
      </c>
      <c r="K1564" s="112" t="s">
        <v>1896</v>
      </c>
      <c r="L1564" s="116">
        <v>-56.73</v>
      </c>
    </row>
    <row r="1565" spans="1:12" hidden="1" outlineLevel="1" collapsed="1" x14ac:dyDescent="0.35">
      <c r="A1565" s="112" t="s">
        <v>1814</v>
      </c>
      <c r="B1565" s="112" t="s">
        <v>906</v>
      </c>
      <c r="C1565" s="112" t="s">
        <v>695</v>
      </c>
      <c r="D1565" s="113">
        <v>10347954</v>
      </c>
      <c r="E1565" s="115">
        <v>43923</v>
      </c>
      <c r="F1565" s="114">
        <v>202101</v>
      </c>
      <c r="G1565" s="112" t="s">
        <v>1091</v>
      </c>
      <c r="H1565" s="112" t="s">
        <v>1015</v>
      </c>
      <c r="I1565" s="112" t="s">
        <v>1873</v>
      </c>
      <c r="J1565" s="112" t="s">
        <v>1815</v>
      </c>
      <c r="K1565" s="112" t="s">
        <v>1110</v>
      </c>
      <c r="L1565" s="116">
        <v>-977.57</v>
      </c>
    </row>
    <row r="1566" spans="1:12" hidden="1" outlineLevel="1" collapsed="1" x14ac:dyDescent="0.35">
      <c r="A1566" s="112" t="s">
        <v>1814</v>
      </c>
      <c r="B1566" s="112" t="s">
        <v>905</v>
      </c>
      <c r="C1566" s="112" t="s">
        <v>1095</v>
      </c>
      <c r="D1566" s="113">
        <v>10348451</v>
      </c>
      <c r="E1566" s="115">
        <v>43949</v>
      </c>
      <c r="F1566" s="114">
        <v>202101</v>
      </c>
      <c r="G1566" s="112" t="s">
        <v>1091</v>
      </c>
      <c r="H1566" s="112" t="s">
        <v>1015</v>
      </c>
      <c r="I1566" s="112" t="s">
        <v>1096</v>
      </c>
      <c r="J1566" s="112" t="s">
        <v>1877</v>
      </c>
      <c r="K1566" s="112" t="s">
        <v>1098</v>
      </c>
      <c r="L1566" s="116">
        <v>519.86</v>
      </c>
    </row>
    <row r="1567" spans="1:12" hidden="1" outlineLevel="1" collapsed="1" x14ac:dyDescent="0.35">
      <c r="A1567" s="112" t="s">
        <v>1814</v>
      </c>
      <c r="B1567" s="112" t="s">
        <v>906</v>
      </c>
      <c r="C1567" s="112" t="s">
        <v>695</v>
      </c>
      <c r="D1567" s="113">
        <v>10347954</v>
      </c>
      <c r="E1567" s="115">
        <v>43923</v>
      </c>
      <c r="F1567" s="114">
        <v>202101</v>
      </c>
      <c r="G1567" s="112" t="s">
        <v>1091</v>
      </c>
      <c r="H1567" s="112" t="s">
        <v>1015</v>
      </c>
      <c r="I1567" s="112" t="s">
        <v>1820</v>
      </c>
      <c r="J1567" s="112" t="s">
        <v>1815</v>
      </c>
      <c r="K1567" s="112" t="s">
        <v>1887</v>
      </c>
      <c r="L1567" s="116">
        <v>-55.1</v>
      </c>
    </row>
    <row r="1568" spans="1:12" hidden="1" outlineLevel="1" collapsed="1" x14ac:dyDescent="0.35">
      <c r="A1568" s="112" t="s">
        <v>1814</v>
      </c>
      <c r="B1568" s="112" t="s">
        <v>906</v>
      </c>
      <c r="C1568" s="112" t="s">
        <v>695</v>
      </c>
      <c r="D1568" s="113">
        <v>10347954</v>
      </c>
      <c r="E1568" s="115">
        <v>43923</v>
      </c>
      <c r="F1568" s="114">
        <v>202101</v>
      </c>
      <c r="G1568" s="112" t="s">
        <v>1091</v>
      </c>
      <c r="H1568" s="112" t="s">
        <v>1015</v>
      </c>
      <c r="I1568" s="112" t="s">
        <v>1820</v>
      </c>
      <c r="J1568" s="112" t="s">
        <v>1815</v>
      </c>
      <c r="K1568" s="112" t="s">
        <v>1897</v>
      </c>
      <c r="L1568" s="116">
        <v>-275.3</v>
      </c>
    </row>
    <row r="1569" spans="1:12" hidden="1" outlineLevel="1" collapsed="1" x14ac:dyDescent="0.35">
      <c r="A1569" s="112" t="s">
        <v>1814</v>
      </c>
      <c r="B1569" s="112" t="s">
        <v>906</v>
      </c>
      <c r="C1569" s="112" t="s">
        <v>695</v>
      </c>
      <c r="D1569" s="113">
        <v>10347954</v>
      </c>
      <c r="E1569" s="115">
        <v>43923</v>
      </c>
      <c r="F1569" s="114">
        <v>202101</v>
      </c>
      <c r="G1569" s="112" t="s">
        <v>1091</v>
      </c>
      <c r="H1569" s="112" t="s">
        <v>1015</v>
      </c>
      <c r="I1569" s="112" t="s">
        <v>1820</v>
      </c>
      <c r="J1569" s="112" t="s">
        <v>1815</v>
      </c>
      <c r="K1569" s="112" t="s">
        <v>1898</v>
      </c>
      <c r="L1569" s="116">
        <v>-291.69</v>
      </c>
    </row>
    <row r="1570" spans="1:12" hidden="1" outlineLevel="1" collapsed="1" x14ac:dyDescent="0.35">
      <c r="A1570" s="112" t="s">
        <v>1814</v>
      </c>
      <c r="B1570" s="112" t="s">
        <v>906</v>
      </c>
      <c r="C1570" s="112" t="s">
        <v>695</v>
      </c>
      <c r="D1570" s="113">
        <v>10347954</v>
      </c>
      <c r="E1570" s="115">
        <v>43923</v>
      </c>
      <c r="F1570" s="114">
        <v>202101</v>
      </c>
      <c r="G1570" s="112" t="s">
        <v>1091</v>
      </c>
      <c r="H1570" s="112" t="s">
        <v>1015</v>
      </c>
      <c r="I1570" s="112" t="s">
        <v>1820</v>
      </c>
      <c r="J1570" s="112" t="s">
        <v>1815</v>
      </c>
      <c r="K1570" s="112" t="s">
        <v>1899</v>
      </c>
      <c r="L1570" s="116">
        <v>-56.73</v>
      </c>
    </row>
    <row r="1571" spans="1:12" hidden="1" outlineLevel="1" collapsed="1" x14ac:dyDescent="0.35">
      <c r="A1571" s="112" t="s">
        <v>1814</v>
      </c>
      <c r="B1571" s="112" t="s">
        <v>905</v>
      </c>
      <c r="C1571" s="112" t="s">
        <v>695</v>
      </c>
      <c r="D1571" s="113">
        <v>10347954</v>
      </c>
      <c r="E1571" s="115">
        <v>43923</v>
      </c>
      <c r="F1571" s="114">
        <v>202101</v>
      </c>
      <c r="G1571" s="112" t="s">
        <v>1091</v>
      </c>
      <c r="H1571" s="112" t="s">
        <v>1015</v>
      </c>
      <c r="I1571" s="112" t="s">
        <v>1900</v>
      </c>
      <c r="J1571" s="112" t="s">
        <v>1901</v>
      </c>
      <c r="K1571" s="112" t="s">
        <v>1902</v>
      </c>
      <c r="L1571" s="116">
        <v>-294.42</v>
      </c>
    </row>
    <row r="1572" spans="1:12" hidden="1" outlineLevel="1" collapsed="1" x14ac:dyDescent="0.35">
      <c r="A1572" s="112" t="s">
        <v>1814</v>
      </c>
      <c r="B1572" s="112" t="s">
        <v>906</v>
      </c>
      <c r="C1572" s="112" t="s">
        <v>695</v>
      </c>
      <c r="D1572" s="113">
        <v>10347954</v>
      </c>
      <c r="E1572" s="115">
        <v>43923</v>
      </c>
      <c r="F1572" s="114">
        <v>202101</v>
      </c>
      <c r="G1572" s="112" t="s">
        <v>1091</v>
      </c>
      <c r="H1572" s="112" t="s">
        <v>1015</v>
      </c>
      <c r="I1572" s="112" t="s">
        <v>1820</v>
      </c>
      <c r="J1572" s="112" t="s">
        <v>1815</v>
      </c>
      <c r="K1572" s="112" t="s">
        <v>1903</v>
      </c>
      <c r="L1572" s="116">
        <v>-152.31</v>
      </c>
    </row>
    <row r="1573" spans="1:12" hidden="1" outlineLevel="1" collapsed="1" x14ac:dyDescent="0.35">
      <c r="A1573" s="112" t="s">
        <v>1814</v>
      </c>
      <c r="B1573" s="112" t="s">
        <v>905</v>
      </c>
      <c r="C1573" s="112" t="s">
        <v>695</v>
      </c>
      <c r="D1573" s="113">
        <v>10347954</v>
      </c>
      <c r="E1573" s="115">
        <v>43923</v>
      </c>
      <c r="F1573" s="114">
        <v>202101</v>
      </c>
      <c r="G1573" s="112" t="s">
        <v>1091</v>
      </c>
      <c r="H1573" s="112" t="s">
        <v>1015</v>
      </c>
      <c r="I1573" s="112" t="s">
        <v>1900</v>
      </c>
      <c r="J1573" s="112" t="s">
        <v>1839</v>
      </c>
      <c r="K1573" s="112" t="s">
        <v>1904</v>
      </c>
      <c r="L1573" s="116">
        <v>-72.39</v>
      </c>
    </row>
    <row r="1574" spans="1:12" hidden="1" outlineLevel="1" collapsed="1" x14ac:dyDescent="0.35">
      <c r="A1574" s="112" t="s">
        <v>1814</v>
      </c>
      <c r="B1574" s="112" t="s">
        <v>906</v>
      </c>
      <c r="C1574" s="112" t="s">
        <v>695</v>
      </c>
      <c r="D1574" s="113">
        <v>10347954</v>
      </c>
      <c r="E1574" s="115">
        <v>43923</v>
      </c>
      <c r="F1574" s="114">
        <v>202101</v>
      </c>
      <c r="G1574" s="112" t="s">
        <v>1091</v>
      </c>
      <c r="H1574" s="112" t="s">
        <v>1015</v>
      </c>
      <c r="I1574" s="112" t="s">
        <v>1894</v>
      </c>
      <c r="J1574" s="112" t="s">
        <v>1815</v>
      </c>
      <c r="K1574" s="112" t="s">
        <v>1905</v>
      </c>
      <c r="L1574" s="116">
        <v>-66.45</v>
      </c>
    </row>
    <row r="1575" spans="1:12" hidden="1" outlineLevel="1" collapsed="1" x14ac:dyDescent="0.35">
      <c r="A1575" s="112" t="s">
        <v>1814</v>
      </c>
      <c r="B1575" s="112" t="s">
        <v>906</v>
      </c>
      <c r="C1575" s="112" t="s">
        <v>695</v>
      </c>
      <c r="D1575" s="113">
        <v>10347954</v>
      </c>
      <c r="E1575" s="115">
        <v>43923</v>
      </c>
      <c r="F1575" s="114">
        <v>202101</v>
      </c>
      <c r="G1575" s="112" t="s">
        <v>1091</v>
      </c>
      <c r="H1575" s="112" t="s">
        <v>1015</v>
      </c>
      <c r="I1575" s="112" t="s">
        <v>1820</v>
      </c>
      <c r="J1575" s="112" t="s">
        <v>1815</v>
      </c>
      <c r="K1575" s="112" t="s">
        <v>1906</v>
      </c>
      <c r="L1575" s="116">
        <v>-418.03</v>
      </c>
    </row>
    <row r="1576" spans="1:12" hidden="1" outlineLevel="1" collapsed="1" x14ac:dyDescent="0.35">
      <c r="A1576" s="112" t="s">
        <v>1814</v>
      </c>
      <c r="B1576" s="112" t="s">
        <v>906</v>
      </c>
      <c r="C1576" s="112" t="s">
        <v>695</v>
      </c>
      <c r="D1576" s="113">
        <v>10347954</v>
      </c>
      <c r="E1576" s="115">
        <v>43923</v>
      </c>
      <c r="F1576" s="114">
        <v>202101</v>
      </c>
      <c r="G1576" s="112" t="s">
        <v>1091</v>
      </c>
      <c r="H1576" s="112" t="s">
        <v>1015</v>
      </c>
      <c r="I1576" s="112" t="s">
        <v>1820</v>
      </c>
      <c r="J1576" s="112" t="s">
        <v>1815</v>
      </c>
      <c r="K1576" s="112" t="s">
        <v>1907</v>
      </c>
      <c r="L1576" s="116">
        <v>-56.73</v>
      </c>
    </row>
    <row r="1577" spans="1:12" hidden="1" outlineLevel="1" collapsed="1" x14ac:dyDescent="0.35">
      <c r="A1577" s="112" t="s">
        <v>1814</v>
      </c>
      <c r="B1577" s="112" t="s">
        <v>905</v>
      </c>
      <c r="C1577" s="112" t="s">
        <v>1095</v>
      </c>
      <c r="D1577" s="113">
        <v>10348451</v>
      </c>
      <c r="E1577" s="115">
        <v>43949</v>
      </c>
      <c r="F1577" s="114">
        <v>202101</v>
      </c>
      <c r="G1577" s="112" t="s">
        <v>1091</v>
      </c>
      <c r="H1577" s="112" t="s">
        <v>1015</v>
      </c>
      <c r="I1577" s="112" t="s">
        <v>1096</v>
      </c>
      <c r="J1577" s="112" t="s">
        <v>1827</v>
      </c>
      <c r="K1577" s="112" t="s">
        <v>1098</v>
      </c>
      <c r="L1577" s="116">
        <v>310.49</v>
      </c>
    </row>
    <row r="1578" spans="1:12" hidden="1" outlineLevel="1" collapsed="1" x14ac:dyDescent="0.35">
      <c r="A1578" s="112" t="s">
        <v>1814</v>
      </c>
      <c r="B1578" s="112" t="s">
        <v>905</v>
      </c>
      <c r="C1578" s="112" t="s">
        <v>1095</v>
      </c>
      <c r="D1578" s="113">
        <v>10348451</v>
      </c>
      <c r="E1578" s="115">
        <v>43949</v>
      </c>
      <c r="F1578" s="114">
        <v>202101</v>
      </c>
      <c r="G1578" s="112" t="s">
        <v>1091</v>
      </c>
      <c r="H1578" s="112" t="s">
        <v>1015</v>
      </c>
      <c r="I1578" s="112" t="s">
        <v>1101</v>
      </c>
      <c r="J1578" s="112" t="s">
        <v>1827</v>
      </c>
      <c r="K1578" s="112" t="s">
        <v>1098</v>
      </c>
      <c r="L1578" s="116">
        <v>483.07</v>
      </c>
    </row>
    <row r="1579" spans="1:12" hidden="1" outlineLevel="1" collapsed="1" x14ac:dyDescent="0.35">
      <c r="A1579" s="112" t="s">
        <v>1814</v>
      </c>
      <c r="B1579" s="112" t="s">
        <v>906</v>
      </c>
      <c r="C1579" s="112" t="s">
        <v>695</v>
      </c>
      <c r="D1579" s="113">
        <v>10347954</v>
      </c>
      <c r="E1579" s="115">
        <v>43923</v>
      </c>
      <c r="F1579" s="114">
        <v>202101</v>
      </c>
      <c r="G1579" s="112" t="s">
        <v>1091</v>
      </c>
      <c r="H1579" s="112" t="s">
        <v>1015</v>
      </c>
      <c r="I1579" s="112" t="s">
        <v>1820</v>
      </c>
      <c r="J1579" s="112" t="s">
        <v>1815</v>
      </c>
      <c r="K1579" s="112" t="s">
        <v>1908</v>
      </c>
      <c r="L1579" s="116">
        <v>-22.15</v>
      </c>
    </row>
    <row r="1580" spans="1:12" hidden="1" outlineLevel="1" collapsed="1" x14ac:dyDescent="0.35">
      <c r="A1580" s="112" t="s">
        <v>1814</v>
      </c>
      <c r="B1580" s="112" t="s">
        <v>904</v>
      </c>
      <c r="C1580" s="112" t="s">
        <v>1095</v>
      </c>
      <c r="D1580" s="113">
        <v>10348451</v>
      </c>
      <c r="E1580" s="115">
        <v>43949</v>
      </c>
      <c r="F1580" s="114">
        <v>202101</v>
      </c>
      <c r="G1580" s="112" t="s">
        <v>1091</v>
      </c>
      <c r="H1580" s="112" t="s">
        <v>1015</v>
      </c>
      <c r="I1580" s="112" t="s">
        <v>1096</v>
      </c>
      <c r="J1580" s="112" t="s">
        <v>1909</v>
      </c>
      <c r="K1580" s="112" t="s">
        <v>1098</v>
      </c>
      <c r="L1580" s="116">
        <v>1047.72</v>
      </c>
    </row>
    <row r="1581" spans="1:12" hidden="1" outlineLevel="1" collapsed="1" x14ac:dyDescent="0.35">
      <c r="A1581" s="112" t="s">
        <v>1814</v>
      </c>
      <c r="B1581" s="112" t="s">
        <v>906</v>
      </c>
      <c r="C1581" s="112" t="s">
        <v>695</v>
      </c>
      <c r="D1581" s="113">
        <v>10347954</v>
      </c>
      <c r="E1581" s="115">
        <v>43923</v>
      </c>
      <c r="F1581" s="114">
        <v>202101</v>
      </c>
      <c r="G1581" s="112" t="s">
        <v>1091</v>
      </c>
      <c r="H1581" s="112" t="s">
        <v>1015</v>
      </c>
      <c r="I1581" s="112" t="s">
        <v>1820</v>
      </c>
      <c r="J1581" s="112" t="s">
        <v>1815</v>
      </c>
      <c r="K1581" s="112" t="s">
        <v>1910</v>
      </c>
      <c r="L1581" s="116">
        <v>-28.8</v>
      </c>
    </row>
    <row r="1582" spans="1:12" hidden="1" outlineLevel="1" collapsed="1" x14ac:dyDescent="0.35">
      <c r="A1582" s="112" t="s">
        <v>1814</v>
      </c>
      <c r="B1582" s="112" t="s">
        <v>906</v>
      </c>
      <c r="C1582" s="112" t="s">
        <v>695</v>
      </c>
      <c r="D1582" s="113">
        <v>10347956</v>
      </c>
      <c r="E1582" s="115">
        <v>43923</v>
      </c>
      <c r="F1582" s="114">
        <v>202101</v>
      </c>
      <c r="G1582" s="112" t="s">
        <v>1091</v>
      </c>
      <c r="H1582" s="112" t="s">
        <v>1015</v>
      </c>
      <c r="I1582" s="112" t="s">
        <v>1873</v>
      </c>
      <c r="J1582" s="112" t="s">
        <v>1815</v>
      </c>
      <c r="K1582" s="112" t="s">
        <v>1110</v>
      </c>
      <c r="L1582" s="116">
        <v>-44.3</v>
      </c>
    </row>
    <row r="1583" spans="1:12" hidden="1" outlineLevel="1" collapsed="1" x14ac:dyDescent="0.35">
      <c r="A1583" s="112" t="s">
        <v>1814</v>
      </c>
      <c r="B1583" s="112" t="s">
        <v>906</v>
      </c>
      <c r="C1583" s="112" t="s">
        <v>695</v>
      </c>
      <c r="D1583" s="113">
        <v>10347954</v>
      </c>
      <c r="E1583" s="115">
        <v>43923</v>
      </c>
      <c r="F1583" s="114">
        <v>202101</v>
      </c>
      <c r="G1583" s="112" t="s">
        <v>1091</v>
      </c>
      <c r="H1583" s="112" t="s">
        <v>1015</v>
      </c>
      <c r="I1583" s="112" t="s">
        <v>1820</v>
      </c>
      <c r="J1583" s="112" t="s">
        <v>1815</v>
      </c>
      <c r="K1583" s="112" t="s">
        <v>1911</v>
      </c>
      <c r="L1583" s="116">
        <v>-311.10000000000002</v>
      </c>
    </row>
    <row r="1584" spans="1:12" hidden="1" outlineLevel="1" collapsed="1" x14ac:dyDescent="0.35">
      <c r="A1584" s="112" t="s">
        <v>1814</v>
      </c>
      <c r="B1584" s="112" t="s">
        <v>906</v>
      </c>
      <c r="C1584" s="112" t="s">
        <v>695</v>
      </c>
      <c r="D1584" s="113">
        <v>10347956</v>
      </c>
      <c r="E1584" s="115">
        <v>43923</v>
      </c>
      <c r="F1584" s="114">
        <v>202101</v>
      </c>
      <c r="G1584" s="112" t="s">
        <v>1091</v>
      </c>
      <c r="H1584" s="112" t="s">
        <v>1015</v>
      </c>
      <c r="I1584" s="112" t="s">
        <v>813</v>
      </c>
      <c r="J1584" s="112" t="s">
        <v>1815</v>
      </c>
      <c r="K1584" s="112" t="s">
        <v>1891</v>
      </c>
      <c r="L1584" s="116">
        <v>-441.41</v>
      </c>
    </row>
    <row r="1585" spans="1:12" hidden="1" outlineLevel="1" collapsed="1" x14ac:dyDescent="0.35">
      <c r="A1585" s="112" t="s">
        <v>1814</v>
      </c>
      <c r="B1585" s="112" t="s">
        <v>906</v>
      </c>
      <c r="C1585" s="112" t="s">
        <v>695</v>
      </c>
      <c r="D1585" s="113">
        <v>10347956</v>
      </c>
      <c r="E1585" s="115">
        <v>43923</v>
      </c>
      <c r="F1585" s="114">
        <v>202101</v>
      </c>
      <c r="G1585" s="112" t="s">
        <v>1091</v>
      </c>
      <c r="H1585" s="112" t="s">
        <v>1015</v>
      </c>
      <c r="I1585" s="112" t="s">
        <v>1820</v>
      </c>
      <c r="J1585" s="112" t="s">
        <v>1815</v>
      </c>
      <c r="K1585" s="112" t="s">
        <v>1912</v>
      </c>
      <c r="L1585" s="116">
        <v>-29.16</v>
      </c>
    </row>
    <row r="1586" spans="1:12" hidden="1" outlineLevel="1" collapsed="1" x14ac:dyDescent="0.35">
      <c r="A1586" s="112" t="s">
        <v>1814</v>
      </c>
      <c r="B1586" s="112" t="s">
        <v>906</v>
      </c>
      <c r="C1586" s="112" t="s">
        <v>695</v>
      </c>
      <c r="D1586" s="113">
        <v>10347956</v>
      </c>
      <c r="E1586" s="115">
        <v>43923</v>
      </c>
      <c r="F1586" s="114">
        <v>202101</v>
      </c>
      <c r="G1586" s="112" t="s">
        <v>1091</v>
      </c>
      <c r="H1586" s="112" t="s">
        <v>1015</v>
      </c>
      <c r="I1586" s="112" t="s">
        <v>1820</v>
      </c>
      <c r="J1586" s="112" t="s">
        <v>1815</v>
      </c>
      <c r="K1586" s="112" t="s">
        <v>1913</v>
      </c>
      <c r="L1586" s="116">
        <v>-21.26</v>
      </c>
    </row>
    <row r="1587" spans="1:12" hidden="1" outlineLevel="1" collapsed="1" x14ac:dyDescent="0.35">
      <c r="A1587" s="112" t="s">
        <v>1814</v>
      </c>
      <c r="B1587" s="112" t="s">
        <v>906</v>
      </c>
      <c r="C1587" s="112" t="s">
        <v>695</v>
      </c>
      <c r="D1587" s="113">
        <v>10347956</v>
      </c>
      <c r="E1587" s="115">
        <v>43923</v>
      </c>
      <c r="F1587" s="114">
        <v>202101</v>
      </c>
      <c r="G1587" s="112" t="s">
        <v>1091</v>
      </c>
      <c r="H1587" s="112" t="s">
        <v>1015</v>
      </c>
      <c r="I1587" s="112" t="s">
        <v>813</v>
      </c>
      <c r="J1587" s="112" t="s">
        <v>1815</v>
      </c>
      <c r="K1587" s="112" t="s">
        <v>1891</v>
      </c>
      <c r="L1587" s="116">
        <v>-46.46</v>
      </c>
    </row>
    <row r="1588" spans="1:12" hidden="1" outlineLevel="1" collapsed="1" x14ac:dyDescent="0.35">
      <c r="A1588" s="112" t="s">
        <v>1814</v>
      </c>
      <c r="B1588" s="112" t="s">
        <v>906</v>
      </c>
      <c r="C1588" s="112" t="s">
        <v>695</v>
      </c>
      <c r="D1588" s="113">
        <v>10347956</v>
      </c>
      <c r="E1588" s="115">
        <v>43923</v>
      </c>
      <c r="F1588" s="114">
        <v>202101</v>
      </c>
      <c r="G1588" s="112" t="s">
        <v>1091</v>
      </c>
      <c r="H1588" s="112" t="s">
        <v>1015</v>
      </c>
      <c r="I1588" s="112" t="s">
        <v>1820</v>
      </c>
      <c r="J1588" s="112" t="s">
        <v>1815</v>
      </c>
      <c r="K1588" s="112" t="s">
        <v>1914</v>
      </c>
      <c r="L1588" s="116">
        <v>-706.84</v>
      </c>
    </row>
    <row r="1589" spans="1:12" hidden="1" outlineLevel="1" collapsed="1" x14ac:dyDescent="0.35">
      <c r="A1589" s="112" t="s">
        <v>1814</v>
      </c>
      <c r="B1589" s="112" t="s">
        <v>906</v>
      </c>
      <c r="C1589" s="112" t="s">
        <v>695</v>
      </c>
      <c r="D1589" s="113">
        <v>10347956</v>
      </c>
      <c r="E1589" s="115">
        <v>43923</v>
      </c>
      <c r="F1589" s="114">
        <v>202101</v>
      </c>
      <c r="G1589" s="112" t="s">
        <v>1091</v>
      </c>
      <c r="H1589" s="112" t="s">
        <v>1015</v>
      </c>
      <c r="I1589" s="112" t="s">
        <v>1820</v>
      </c>
      <c r="J1589" s="112" t="s">
        <v>1815</v>
      </c>
      <c r="K1589" s="112" t="s">
        <v>1915</v>
      </c>
      <c r="L1589" s="116">
        <v>-38.89</v>
      </c>
    </row>
    <row r="1590" spans="1:12" hidden="1" outlineLevel="1" collapsed="1" x14ac:dyDescent="0.35">
      <c r="A1590" s="112" t="s">
        <v>1814</v>
      </c>
      <c r="B1590" s="112" t="s">
        <v>906</v>
      </c>
      <c r="C1590" s="112" t="s">
        <v>1150</v>
      </c>
      <c r="D1590" s="113">
        <v>10348688</v>
      </c>
      <c r="E1590" s="115">
        <v>43978</v>
      </c>
      <c r="F1590" s="114">
        <v>202101</v>
      </c>
      <c r="G1590" s="112" t="s">
        <v>1091</v>
      </c>
      <c r="H1590" s="112" t="s">
        <v>1015</v>
      </c>
      <c r="I1590" s="112" t="s">
        <v>1211</v>
      </c>
      <c r="J1590" s="112" t="s">
        <v>1852</v>
      </c>
      <c r="K1590" s="112" t="s">
        <v>1916</v>
      </c>
      <c r="L1590" s="116">
        <v>114.04</v>
      </c>
    </row>
    <row r="1591" spans="1:12" hidden="1" outlineLevel="1" collapsed="1" x14ac:dyDescent="0.35">
      <c r="A1591" s="112" t="s">
        <v>1814</v>
      </c>
      <c r="B1591" s="112" t="s">
        <v>906</v>
      </c>
      <c r="C1591" s="112" t="s">
        <v>1099</v>
      </c>
      <c r="D1591" s="113">
        <v>1068339</v>
      </c>
      <c r="E1591" s="115">
        <v>43880</v>
      </c>
      <c r="F1591" s="114">
        <v>202101</v>
      </c>
      <c r="G1591" s="112" t="s">
        <v>1091</v>
      </c>
      <c r="H1591" s="112" t="s">
        <v>1015</v>
      </c>
      <c r="I1591" s="112" t="s">
        <v>1211</v>
      </c>
      <c r="J1591" s="112" t="s">
        <v>1852</v>
      </c>
      <c r="K1591" s="112" t="s">
        <v>1917</v>
      </c>
      <c r="L1591" s="116">
        <v>1168</v>
      </c>
    </row>
    <row r="1592" spans="1:12" hidden="1" outlineLevel="1" collapsed="1" x14ac:dyDescent="0.35">
      <c r="A1592" s="112" t="s">
        <v>1814</v>
      </c>
      <c r="B1592" s="112" t="s">
        <v>906</v>
      </c>
      <c r="C1592" s="112" t="s">
        <v>695</v>
      </c>
      <c r="D1592" s="113">
        <v>10347956</v>
      </c>
      <c r="E1592" s="115">
        <v>43923</v>
      </c>
      <c r="F1592" s="114">
        <v>202101</v>
      </c>
      <c r="G1592" s="112" t="s">
        <v>1091</v>
      </c>
      <c r="H1592" s="112" t="s">
        <v>1015</v>
      </c>
      <c r="I1592" s="112" t="s">
        <v>1820</v>
      </c>
      <c r="J1592" s="112" t="s">
        <v>1815</v>
      </c>
      <c r="K1592" s="112" t="s">
        <v>1918</v>
      </c>
      <c r="L1592" s="116">
        <v>-39.44</v>
      </c>
    </row>
    <row r="1593" spans="1:12" hidden="1" outlineLevel="1" collapsed="1" x14ac:dyDescent="0.35">
      <c r="A1593" s="112" t="s">
        <v>1814</v>
      </c>
      <c r="B1593" s="112" t="s">
        <v>906</v>
      </c>
      <c r="C1593" s="112" t="s">
        <v>695</v>
      </c>
      <c r="D1593" s="113">
        <v>10347956</v>
      </c>
      <c r="E1593" s="115">
        <v>43923</v>
      </c>
      <c r="F1593" s="114">
        <v>202101</v>
      </c>
      <c r="G1593" s="112" t="s">
        <v>1091</v>
      </c>
      <c r="H1593" s="112" t="s">
        <v>1015</v>
      </c>
      <c r="I1593" s="112" t="s">
        <v>813</v>
      </c>
      <c r="J1593" s="112" t="s">
        <v>1815</v>
      </c>
      <c r="K1593" s="112" t="s">
        <v>1919</v>
      </c>
      <c r="L1593" s="116">
        <v>-139.38999999999999</v>
      </c>
    </row>
    <row r="1594" spans="1:12" hidden="1" outlineLevel="1" collapsed="1" x14ac:dyDescent="0.35">
      <c r="A1594" s="112" t="s">
        <v>1814</v>
      </c>
      <c r="B1594" s="112" t="s">
        <v>905</v>
      </c>
      <c r="C1594" s="112" t="s">
        <v>1095</v>
      </c>
      <c r="D1594" s="113">
        <v>10348451</v>
      </c>
      <c r="E1594" s="115">
        <v>43949</v>
      </c>
      <c r="F1594" s="114">
        <v>202101</v>
      </c>
      <c r="G1594" s="112" t="s">
        <v>1091</v>
      </c>
      <c r="H1594" s="112" t="s">
        <v>1015</v>
      </c>
      <c r="I1594" s="112" t="s">
        <v>1096</v>
      </c>
      <c r="J1594" s="112" t="s">
        <v>1878</v>
      </c>
      <c r="K1594" s="112" t="s">
        <v>1098</v>
      </c>
      <c r="L1594" s="116">
        <v>276.95</v>
      </c>
    </row>
    <row r="1595" spans="1:12" hidden="1" outlineLevel="1" collapsed="1" x14ac:dyDescent="0.35">
      <c r="A1595" s="112" t="s">
        <v>1814</v>
      </c>
      <c r="B1595" s="112" t="s">
        <v>905</v>
      </c>
      <c r="C1595" s="112" t="s">
        <v>1095</v>
      </c>
      <c r="D1595" s="113">
        <v>10348451</v>
      </c>
      <c r="E1595" s="115">
        <v>43949</v>
      </c>
      <c r="F1595" s="114">
        <v>202101</v>
      </c>
      <c r="G1595" s="112" t="s">
        <v>1091</v>
      </c>
      <c r="H1595" s="112" t="s">
        <v>1015</v>
      </c>
      <c r="I1595" s="112" t="s">
        <v>1128</v>
      </c>
      <c r="J1595" s="112" t="s">
        <v>1878</v>
      </c>
      <c r="K1595" s="112" t="s">
        <v>1098</v>
      </c>
      <c r="L1595" s="116">
        <v>243</v>
      </c>
    </row>
    <row r="1596" spans="1:12" hidden="1" outlineLevel="1" collapsed="1" x14ac:dyDescent="0.35">
      <c r="A1596" s="112" t="s">
        <v>1814</v>
      </c>
      <c r="B1596" s="112" t="s">
        <v>905</v>
      </c>
      <c r="C1596" s="112" t="s">
        <v>1095</v>
      </c>
      <c r="D1596" s="113">
        <v>10348451</v>
      </c>
      <c r="E1596" s="115">
        <v>43949</v>
      </c>
      <c r="F1596" s="114">
        <v>202101</v>
      </c>
      <c r="G1596" s="112" t="s">
        <v>1091</v>
      </c>
      <c r="H1596" s="112" t="s">
        <v>1015</v>
      </c>
      <c r="I1596" s="112" t="s">
        <v>1128</v>
      </c>
      <c r="J1596" s="112" t="s">
        <v>1817</v>
      </c>
      <c r="K1596" s="112" t="s">
        <v>1098</v>
      </c>
      <c r="L1596" s="116">
        <v>243</v>
      </c>
    </row>
    <row r="1597" spans="1:12" hidden="1" outlineLevel="1" collapsed="1" x14ac:dyDescent="0.35">
      <c r="A1597" s="112" t="s">
        <v>1814</v>
      </c>
      <c r="B1597" s="112" t="s">
        <v>906</v>
      </c>
      <c r="C1597" s="112" t="s">
        <v>695</v>
      </c>
      <c r="D1597" s="113">
        <v>10347956</v>
      </c>
      <c r="E1597" s="115">
        <v>43923</v>
      </c>
      <c r="F1597" s="114">
        <v>202101</v>
      </c>
      <c r="G1597" s="112" t="s">
        <v>1091</v>
      </c>
      <c r="H1597" s="112" t="s">
        <v>1015</v>
      </c>
      <c r="I1597" s="112" t="s">
        <v>813</v>
      </c>
      <c r="J1597" s="112" t="s">
        <v>1815</v>
      </c>
      <c r="K1597" s="112" t="s">
        <v>1891</v>
      </c>
      <c r="L1597" s="116">
        <v>-129.06</v>
      </c>
    </row>
    <row r="1598" spans="1:12" hidden="1" outlineLevel="1" collapsed="1" x14ac:dyDescent="0.35">
      <c r="A1598" s="112" t="s">
        <v>1814</v>
      </c>
      <c r="B1598" s="112" t="s">
        <v>906</v>
      </c>
      <c r="C1598" s="112" t="s">
        <v>695</v>
      </c>
      <c r="D1598" s="113">
        <v>10347956</v>
      </c>
      <c r="E1598" s="115">
        <v>43923</v>
      </c>
      <c r="F1598" s="114">
        <v>202101</v>
      </c>
      <c r="G1598" s="112" t="s">
        <v>1091</v>
      </c>
      <c r="H1598" s="112" t="s">
        <v>1015</v>
      </c>
      <c r="I1598" s="112" t="s">
        <v>813</v>
      </c>
      <c r="J1598" s="112" t="s">
        <v>1815</v>
      </c>
      <c r="K1598" s="112" t="s">
        <v>1920</v>
      </c>
      <c r="L1598" s="116">
        <v>-107.91</v>
      </c>
    </row>
    <row r="1599" spans="1:12" hidden="1" outlineLevel="1" collapsed="1" x14ac:dyDescent="0.35">
      <c r="A1599" s="112" t="s">
        <v>1814</v>
      </c>
      <c r="B1599" s="112" t="s">
        <v>906</v>
      </c>
      <c r="C1599" s="112" t="s">
        <v>695</v>
      </c>
      <c r="D1599" s="113">
        <v>10347956</v>
      </c>
      <c r="E1599" s="115">
        <v>43923</v>
      </c>
      <c r="F1599" s="114">
        <v>202101</v>
      </c>
      <c r="G1599" s="112" t="s">
        <v>1091</v>
      </c>
      <c r="H1599" s="112" t="s">
        <v>1015</v>
      </c>
      <c r="I1599" s="112" t="s">
        <v>813</v>
      </c>
      <c r="J1599" s="112" t="s">
        <v>1815</v>
      </c>
      <c r="K1599" s="112" t="s">
        <v>1905</v>
      </c>
      <c r="L1599" s="116">
        <v>-116.16</v>
      </c>
    </row>
    <row r="1600" spans="1:12" hidden="1" outlineLevel="1" collapsed="1" x14ac:dyDescent="0.35">
      <c r="A1600" s="112" t="s">
        <v>1814</v>
      </c>
      <c r="B1600" s="112" t="s">
        <v>904</v>
      </c>
      <c r="C1600" s="112" t="s">
        <v>1095</v>
      </c>
      <c r="D1600" s="113">
        <v>10348451</v>
      </c>
      <c r="E1600" s="115">
        <v>43949</v>
      </c>
      <c r="F1600" s="114">
        <v>202101</v>
      </c>
      <c r="G1600" s="112" t="s">
        <v>1091</v>
      </c>
      <c r="H1600" s="112" t="s">
        <v>1015</v>
      </c>
      <c r="I1600" s="112" t="s">
        <v>1101</v>
      </c>
      <c r="J1600" s="112" t="s">
        <v>1838</v>
      </c>
      <c r="K1600" s="112" t="s">
        <v>1098</v>
      </c>
      <c r="L1600" s="116">
        <v>602.15</v>
      </c>
    </row>
    <row r="1601" spans="1:12" hidden="1" outlineLevel="1" collapsed="1" x14ac:dyDescent="0.35">
      <c r="A1601" s="112" t="s">
        <v>1814</v>
      </c>
      <c r="B1601" s="112" t="s">
        <v>905</v>
      </c>
      <c r="C1601" s="112" t="s">
        <v>1095</v>
      </c>
      <c r="D1601" s="113">
        <v>10348451</v>
      </c>
      <c r="E1601" s="115">
        <v>43949</v>
      </c>
      <c r="F1601" s="114">
        <v>202101</v>
      </c>
      <c r="G1601" s="112" t="s">
        <v>1091</v>
      </c>
      <c r="H1601" s="112" t="s">
        <v>1015</v>
      </c>
      <c r="I1601" s="112" t="s">
        <v>1101</v>
      </c>
      <c r="J1601" s="112" t="s">
        <v>1878</v>
      </c>
      <c r="K1601" s="112" t="s">
        <v>1098</v>
      </c>
      <c r="L1601" s="116">
        <v>483.07</v>
      </c>
    </row>
    <row r="1602" spans="1:12" hidden="1" outlineLevel="1" collapsed="1" x14ac:dyDescent="0.35">
      <c r="A1602" s="112" t="s">
        <v>1814</v>
      </c>
      <c r="B1602" s="112" t="s">
        <v>906</v>
      </c>
      <c r="C1602" s="112" t="s">
        <v>695</v>
      </c>
      <c r="D1602" s="113">
        <v>10347956</v>
      </c>
      <c r="E1602" s="115">
        <v>43923</v>
      </c>
      <c r="F1602" s="114">
        <v>202101</v>
      </c>
      <c r="G1602" s="112" t="s">
        <v>1091</v>
      </c>
      <c r="H1602" s="112" t="s">
        <v>1015</v>
      </c>
      <c r="I1602" s="112" t="s">
        <v>813</v>
      </c>
      <c r="J1602" s="112" t="s">
        <v>1815</v>
      </c>
      <c r="K1602" s="112" t="s">
        <v>1837</v>
      </c>
      <c r="L1602" s="116">
        <v>-323.52</v>
      </c>
    </row>
    <row r="1603" spans="1:12" hidden="1" outlineLevel="1" collapsed="1" x14ac:dyDescent="0.35">
      <c r="A1603" s="112" t="s">
        <v>1814</v>
      </c>
      <c r="B1603" s="112" t="s">
        <v>906</v>
      </c>
      <c r="C1603" s="112" t="s">
        <v>695</v>
      </c>
      <c r="D1603" s="113">
        <v>10347956</v>
      </c>
      <c r="E1603" s="115">
        <v>43923</v>
      </c>
      <c r="F1603" s="114">
        <v>202101</v>
      </c>
      <c r="G1603" s="112" t="s">
        <v>1091</v>
      </c>
      <c r="H1603" s="112" t="s">
        <v>1015</v>
      </c>
      <c r="I1603" s="112" t="s">
        <v>813</v>
      </c>
      <c r="J1603" s="112" t="s">
        <v>1815</v>
      </c>
      <c r="K1603" s="112" t="s">
        <v>1819</v>
      </c>
      <c r="L1603" s="116">
        <v>-172.18</v>
      </c>
    </row>
    <row r="1604" spans="1:12" hidden="1" outlineLevel="1" collapsed="1" x14ac:dyDescent="0.35">
      <c r="A1604" s="112" t="s">
        <v>1814</v>
      </c>
      <c r="B1604" s="112" t="s">
        <v>906</v>
      </c>
      <c r="C1604" s="112" t="s">
        <v>695</v>
      </c>
      <c r="D1604" s="113">
        <v>10347956</v>
      </c>
      <c r="E1604" s="115">
        <v>43923</v>
      </c>
      <c r="F1604" s="114">
        <v>202101</v>
      </c>
      <c r="G1604" s="112" t="s">
        <v>1091</v>
      </c>
      <c r="H1604" s="112" t="s">
        <v>1015</v>
      </c>
      <c r="I1604" s="112" t="s">
        <v>813</v>
      </c>
      <c r="J1604" s="112" t="s">
        <v>1815</v>
      </c>
      <c r="K1604" s="112" t="s">
        <v>1921</v>
      </c>
      <c r="L1604" s="116">
        <v>-526.5</v>
      </c>
    </row>
    <row r="1605" spans="1:12" hidden="1" outlineLevel="1" collapsed="1" x14ac:dyDescent="0.35">
      <c r="A1605" s="112" t="s">
        <v>1814</v>
      </c>
      <c r="B1605" s="112" t="s">
        <v>906</v>
      </c>
      <c r="C1605" s="112" t="s">
        <v>695</v>
      </c>
      <c r="D1605" s="113">
        <v>10347956</v>
      </c>
      <c r="E1605" s="115">
        <v>43923</v>
      </c>
      <c r="F1605" s="114">
        <v>202101</v>
      </c>
      <c r="G1605" s="112" t="s">
        <v>1091</v>
      </c>
      <c r="H1605" s="112" t="s">
        <v>1015</v>
      </c>
      <c r="I1605" s="112" t="s">
        <v>813</v>
      </c>
      <c r="J1605" s="112" t="s">
        <v>1815</v>
      </c>
      <c r="K1605" s="112" t="s">
        <v>1891</v>
      </c>
      <c r="L1605" s="116">
        <v>-51.88</v>
      </c>
    </row>
    <row r="1606" spans="1:12" hidden="1" outlineLevel="1" collapsed="1" x14ac:dyDescent="0.35">
      <c r="A1606" s="112" t="s">
        <v>1814</v>
      </c>
      <c r="B1606" s="112" t="s">
        <v>905</v>
      </c>
      <c r="C1606" s="112" t="s">
        <v>1095</v>
      </c>
      <c r="D1606" s="113">
        <v>10348451</v>
      </c>
      <c r="E1606" s="115">
        <v>43949</v>
      </c>
      <c r="F1606" s="114">
        <v>202101</v>
      </c>
      <c r="G1606" s="112" t="s">
        <v>1091</v>
      </c>
      <c r="H1606" s="112" t="s">
        <v>1015</v>
      </c>
      <c r="I1606" s="112" t="s">
        <v>1096</v>
      </c>
      <c r="J1606" s="112" t="s">
        <v>1839</v>
      </c>
      <c r="K1606" s="112" t="s">
        <v>1098</v>
      </c>
      <c r="L1606" s="116">
        <v>301.93</v>
      </c>
    </row>
    <row r="1607" spans="1:12" hidden="1" outlineLevel="1" collapsed="1" x14ac:dyDescent="0.35">
      <c r="A1607" s="112" t="s">
        <v>1814</v>
      </c>
      <c r="B1607" s="112" t="s">
        <v>905</v>
      </c>
      <c r="C1607" s="112" t="s">
        <v>1095</v>
      </c>
      <c r="D1607" s="113">
        <v>10348451</v>
      </c>
      <c r="E1607" s="115">
        <v>43949</v>
      </c>
      <c r="F1607" s="114">
        <v>202101</v>
      </c>
      <c r="G1607" s="112" t="s">
        <v>1091</v>
      </c>
      <c r="H1607" s="112" t="s">
        <v>1015</v>
      </c>
      <c r="I1607" s="112" t="s">
        <v>1096</v>
      </c>
      <c r="J1607" s="112" t="s">
        <v>1839</v>
      </c>
      <c r="K1607" s="112" t="s">
        <v>1098</v>
      </c>
      <c r="L1607" s="116">
        <v>310.49</v>
      </c>
    </row>
    <row r="1608" spans="1:12" hidden="1" outlineLevel="1" collapsed="1" x14ac:dyDescent="0.35">
      <c r="A1608" s="112" t="s">
        <v>1814</v>
      </c>
      <c r="B1608" s="112" t="s">
        <v>905</v>
      </c>
      <c r="C1608" s="112" t="s">
        <v>1095</v>
      </c>
      <c r="D1608" s="113">
        <v>10348451</v>
      </c>
      <c r="E1608" s="115">
        <v>43949</v>
      </c>
      <c r="F1608" s="114">
        <v>202101</v>
      </c>
      <c r="G1608" s="112" t="s">
        <v>1091</v>
      </c>
      <c r="H1608" s="112" t="s">
        <v>1015</v>
      </c>
      <c r="I1608" s="112" t="s">
        <v>1101</v>
      </c>
      <c r="J1608" s="112" t="s">
        <v>1839</v>
      </c>
      <c r="K1608" s="112" t="s">
        <v>1098</v>
      </c>
      <c r="L1608" s="116">
        <v>485.18</v>
      </c>
    </row>
    <row r="1609" spans="1:12" hidden="1" outlineLevel="1" collapsed="1" x14ac:dyDescent="0.35">
      <c r="A1609" s="112" t="s">
        <v>1814</v>
      </c>
      <c r="B1609" s="112" t="s">
        <v>905</v>
      </c>
      <c r="C1609" s="112" t="s">
        <v>1095</v>
      </c>
      <c r="D1609" s="113">
        <v>10348451</v>
      </c>
      <c r="E1609" s="115">
        <v>43949</v>
      </c>
      <c r="F1609" s="114">
        <v>202101</v>
      </c>
      <c r="G1609" s="112" t="s">
        <v>1091</v>
      </c>
      <c r="H1609" s="112" t="s">
        <v>1015</v>
      </c>
      <c r="I1609" s="112" t="s">
        <v>1101</v>
      </c>
      <c r="J1609" s="112" t="s">
        <v>1839</v>
      </c>
      <c r="K1609" s="112" t="s">
        <v>1098</v>
      </c>
      <c r="L1609" s="116">
        <v>483.07</v>
      </c>
    </row>
    <row r="1610" spans="1:12" hidden="1" outlineLevel="1" collapsed="1" x14ac:dyDescent="0.35">
      <c r="A1610" s="112" t="s">
        <v>1814</v>
      </c>
      <c r="B1610" s="112" t="s">
        <v>906</v>
      </c>
      <c r="C1610" s="112" t="s">
        <v>695</v>
      </c>
      <c r="D1610" s="113">
        <v>10347956</v>
      </c>
      <c r="E1610" s="115">
        <v>43923</v>
      </c>
      <c r="F1610" s="114">
        <v>202101</v>
      </c>
      <c r="G1610" s="112" t="s">
        <v>1091</v>
      </c>
      <c r="H1610" s="112" t="s">
        <v>1015</v>
      </c>
      <c r="I1610" s="112" t="s">
        <v>813</v>
      </c>
      <c r="J1610" s="112" t="s">
        <v>1815</v>
      </c>
      <c r="K1610" s="112" t="s">
        <v>1833</v>
      </c>
      <c r="L1610" s="116">
        <v>-295.01</v>
      </c>
    </row>
    <row r="1611" spans="1:12" hidden="1" outlineLevel="1" collapsed="1" x14ac:dyDescent="0.35">
      <c r="A1611" s="112" t="s">
        <v>1814</v>
      </c>
      <c r="B1611" s="112" t="s">
        <v>906</v>
      </c>
      <c r="C1611" s="112" t="s">
        <v>695</v>
      </c>
      <c r="D1611" s="113">
        <v>10347956</v>
      </c>
      <c r="E1611" s="115">
        <v>43923</v>
      </c>
      <c r="F1611" s="114">
        <v>202101</v>
      </c>
      <c r="G1611" s="112" t="s">
        <v>1091</v>
      </c>
      <c r="H1611" s="112" t="s">
        <v>1015</v>
      </c>
      <c r="I1611" s="112" t="s">
        <v>813</v>
      </c>
      <c r="J1611" s="112" t="s">
        <v>1815</v>
      </c>
      <c r="K1611" s="112" t="s">
        <v>1833</v>
      </c>
      <c r="L1611" s="116">
        <v>-25.94</v>
      </c>
    </row>
    <row r="1612" spans="1:12" hidden="1" outlineLevel="1" collapsed="1" x14ac:dyDescent="0.35">
      <c r="A1612" s="112" t="s">
        <v>1814</v>
      </c>
      <c r="B1612" s="112" t="s">
        <v>906</v>
      </c>
      <c r="C1612" s="112" t="s">
        <v>695</v>
      </c>
      <c r="D1612" s="113">
        <v>10347956</v>
      </c>
      <c r="E1612" s="115">
        <v>43923</v>
      </c>
      <c r="F1612" s="114">
        <v>202101</v>
      </c>
      <c r="G1612" s="112" t="s">
        <v>1091</v>
      </c>
      <c r="H1612" s="112" t="s">
        <v>1015</v>
      </c>
      <c r="I1612" s="112" t="s">
        <v>813</v>
      </c>
      <c r="J1612" s="112" t="s">
        <v>1815</v>
      </c>
      <c r="K1612" s="112" t="s">
        <v>1892</v>
      </c>
      <c r="L1612" s="116">
        <v>-130.59</v>
      </c>
    </row>
    <row r="1613" spans="1:12" hidden="1" outlineLevel="1" collapsed="1" x14ac:dyDescent="0.35">
      <c r="A1613" s="112" t="s">
        <v>1814</v>
      </c>
      <c r="B1613" s="112" t="s">
        <v>906</v>
      </c>
      <c r="C1613" s="112" t="s">
        <v>695</v>
      </c>
      <c r="D1613" s="113">
        <v>10347956</v>
      </c>
      <c r="E1613" s="115">
        <v>43923</v>
      </c>
      <c r="F1613" s="114">
        <v>202101</v>
      </c>
      <c r="G1613" s="112" t="s">
        <v>1091</v>
      </c>
      <c r="H1613" s="112" t="s">
        <v>1015</v>
      </c>
      <c r="I1613" s="112" t="s">
        <v>813</v>
      </c>
      <c r="J1613" s="112" t="s">
        <v>1815</v>
      </c>
      <c r="K1613" s="112" t="s">
        <v>1826</v>
      </c>
      <c r="L1613" s="116">
        <v>-53.27</v>
      </c>
    </row>
    <row r="1614" spans="1:12" hidden="1" outlineLevel="1" collapsed="1" x14ac:dyDescent="0.35">
      <c r="A1614" s="112" t="s">
        <v>1814</v>
      </c>
      <c r="B1614" s="112" t="s">
        <v>906</v>
      </c>
      <c r="C1614" s="112" t="s">
        <v>695</v>
      </c>
      <c r="D1614" s="113">
        <v>10347956</v>
      </c>
      <c r="E1614" s="115">
        <v>43923</v>
      </c>
      <c r="F1614" s="114">
        <v>202101</v>
      </c>
      <c r="G1614" s="112" t="s">
        <v>1091</v>
      </c>
      <c r="H1614" s="112" t="s">
        <v>1015</v>
      </c>
      <c r="I1614" s="112" t="s">
        <v>1873</v>
      </c>
      <c r="J1614" s="112" t="s">
        <v>1815</v>
      </c>
      <c r="K1614" s="112" t="s">
        <v>1110</v>
      </c>
      <c r="L1614" s="116">
        <v>-64.849999999999994</v>
      </c>
    </row>
    <row r="1615" spans="1:12" hidden="1" outlineLevel="1" collapsed="1" x14ac:dyDescent="0.35">
      <c r="A1615" s="112" t="s">
        <v>1814</v>
      </c>
      <c r="B1615" s="112" t="s">
        <v>905</v>
      </c>
      <c r="C1615" s="112" t="s">
        <v>1095</v>
      </c>
      <c r="D1615" s="113">
        <v>10348451</v>
      </c>
      <c r="E1615" s="115">
        <v>43949</v>
      </c>
      <c r="F1615" s="114">
        <v>202101</v>
      </c>
      <c r="G1615" s="112" t="s">
        <v>1091</v>
      </c>
      <c r="H1615" s="112" t="s">
        <v>1015</v>
      </c>
      <c r="I1615" s="112" t="s">
        <v>1101</v>
      </c>
      <c r="J1615" s="112" t="s">
        <v>1877</v>
      </c>
      <c r="K1615" s="112" t="s">
        <v>1098</v>
      </c>
      <c r="L1615" s="116">
        <v>745.05</v>
      </c>
    </row>
    <row r="1616" spans="1:12" hidden="1" outlineLevel="1" collapsed="1" x14ac:dyDescent="0.35">
      <c r="A1616" s="112" t="s">
        <v>1814</v>
      </c>
      <c r="B1616" s="112" t="s">
        <v>905</v>
      </c>
      <c r="C1616" s="112" t="s">
        <v>1095</v>
      </c>
      <c r="D1616" s="113">
        <v>10348451</v>
      </c>
      <c r="E1616" s="115">
        <v>43949</v>
      </c>
      <c r="F1616" s="114">
        <v>202101</v>
      </c>
      <c r="G1616" s="112" t="s">
        <v>1091</v>
      </c>
      <c r="H1616" s="112" t="s">
        <v>1015</v>
      </c>
      <c r="I1616" s="112" t="s">
        <v>1128</v>
      </c>
      <c r="J1616" s="112" t="s">
        <v>1817</v>
      </c>
      <c r="K1616" s="112" t="s">
        <v>1098</v>
      </c>
      <c r="L1616" s="116">
        <v>243</v>
      </c>
    </row>
    <row r="1617" spans="1:12" hidden="1" outlineLevel="1" collapsed="1" x14ac:dyDescent="0.35">
      <c r="A1617" s="112" t="s">
        <v>1814</v>
      </c>
      <c r="B1617" s="112" t="s">
        <v>906</v>
      </c>
      <c r="C1617" s="112" t="s">
        <v>695</v>
      </c>
      <c r="D1617" s="113">
        <v>10347956</v>
      </c>
      <c r="E1617" s="115">
        <v>43923</v>
      </c>
      <c r="F1617" s="114">
        <v>202101</v>
      </c>
      <c r="G1617" s="112" t="s">
        <v>1091</v>
      </c>
      <c r="H1617" s="112" t="s">
        <v>1015</v>
      </c>
      <c r="I1617" s="112" t="s">
        <v>813</v>
      </c>
      <c r="J1617" s="112" t="s">
        <v>1815</v>
      </c>
      <c r="K1617" s="112" t="s">
        <v>1905</v>
      </c>
      <c r="L1617" s="116">
        <v>-106.48</v>
      </c>
    </row>
    <row r="1618" spans="1:12" hidden="1" outlineLevel="1" collapsed="1" x14ac:dyDescent="0.35">
      <c r="A1618" s="112" t="s">
        <v>1814</v>
      </c>
      <c r="B1618" s="112" t="s">
        <v>905</v>
      </c>
      <c r="C1618" s="112" t="s">
        <v>1095</v>
      </c>
      <c r="D1618" s="113">
        <v>10348451</v>
      </c>
      <c r="E1618" s="115">
        <v>43949</v>
      </c>
      <c r="F1618" s="114">
        <v>202101</v>
      </c>
      <c r="G1618" s="112" t="s">
        <v>1091</v>
      </c>
      <c r="H1618" s="112" t="s">
        <v>1015</v>
      </c>
      <c r="I1618" s="112" t="s">
        <v>1101</v>
      </c>
      <c r="J1618" s="112" t="s">
        <v>1827</v>
      </c>
      <c r="K1618" s="112" t="s">
        <v>1098</v>
      </c>
      <c r="L1618" s="116">
        <v>483.07</v>
      </c>
    </row>
    <row r="1619" spans="1:12" hidden="1" outlineLevel="1" collapsed="1" x14ac:dyDescent="0.35">
      <c r="A1619" s="112" t="s">
        <v>1814</v>
      </c>
      <c r="B1619" s="112" t="s">
        <v>906</v>
      </c>
      <c r="C1619" s="112" t="s">
        <v>695</v>
      </c>
      <c r="D1619" s="113">
        <v>10347954</v>
      </c>
      <c r="E1619" s="115">
        <v>43923</v>
      </c>
      <c r="F1619" s="114">
        <v>202101</v>
      </c>
      <c r="G1619" s="112" t="s">
        <v>1091</v>
      </c>
      <c r="H1619" s="112" t="s">
        <v>1015</v>
      </c>
      <c r="I1619" s="112" t="s">
        <v>813</v>
      </c>
      <c r="J1619" s="112" t="s">
        <v>1815</v>
      </c>
      <c r="K1619" s="112" t="s">
        <v>1905</v>
      </c>
      <c r="L1619" s="116">
        <v>-8504.6299999999992</v>
      </c>
    </row>
    <row r="1620" spans="1:12" hidden="1" outlineLevel="1" collapsed="1" x14ac:dyDescent="0.35">
      <c r="A1620" s="112" t="s">
        <v>1814</v>
      </c>
      <c r="B1620" s="112" t="s">
        <v>906</v>
      </c>
      <c r="C1620" s="112" t="s">
        <v>695</v>
      </c>
      <c r="D1620" s="113">
        <v>10347954</v>
      </c>
      <c r="E1620" s="115">
        <v>43923</v>
      </c>
      <c r="F1620" s="114">
        <v>202101</v>
      </c>
      <c r="G1620" s="112" t="s">
        <v>1091</v>
      </c>
      <c r="H1620" s="112" t="s">
        <v>1015</v>
      </c>
      <c r="I1620" s="112" t="s">
        <v>1820</v>
      </c>
      <c r="J1620" s="112" t="s">
        <v>1815</v>
      </c>
      <c r="K1620" s="112" t="s">
        <v>1922</v>
      </c>
      <c r="L1620" s="116">
        <v>-194.46</v>
      </c>
    </row>
    <row r="1621" spans="1:12" hidden="1" outlineLevel="1" collapsed="1" x14ac:dyDescent="0.35">
      <c r="A1621" s="112" t="s">
        <v>1814</v>
      </c>
      <c r="B1621" s="112" t="s">
        <v>906</v>
      </c>
      <c r="C1621" s="112" t="s">
        <v>695</v>
      </c>
      <c r="D1621" s="113">
        <v>10347954</v>
      </c>
      <c r="E1621" s="115">
        <v>43923</v>
      </c>
      <c r="F1621" s="114">
        <v>202101</v>
      </c>
      <c r="G1621" s="112" t="s">
        <v>1091</v>
      </c>
      <c r="H1621" s="112" t="s">
        <v>1015</v>
      </c>
      <c r="I1621" s="112" t="s">
        <v>813</v>
      </c>
      <c r="J1621" s="112" t="s">
        <v>1815</v>
      </c>
      <c r="K1621" s="112" t="s">
        <v>1891</v>
      </c>
      <c r="L1621" s="116">
        <v>-116.16</v>
      </c>
    </row>
    <row r="1622" spans="1:12" hidden="1" outlineLevel="1" collapsed="1" x14ac:dyDescent="0.35">
      <c r="A1622" s="112" t="s">
        <v>1814</v>
      </c>
      <c r="B1622" s="112" t="s">
        <v>905</v>
      </c>
      <c r="C1622" s="112" t="s">
        <v>695</v>
      </c>
      <c r="D1622" s="113">
        <v>10347977</v>
      </c>
      <c r="E1622" s="115">
        <v>43924</v>
      </c>
      <c r="F1622" s="114">
        <v>202101</v>
      </c>
      <c r="G1622" s="112" t="s">
        <v>1091</v>
      </c>
      <c r="H1622" s="112" t="s">
        <v>1015</v>
      </c>
      <c r="I1622" s="112" t="s">
        <v>749</v>
      </c>
      <c r="J1622" s="112" t="s">
        <v>1822</v>
      </c>
      <c r="K1622" s="112" t="s">
        <v>1923</v>
      </c>
      <c r="L1622" s="116">
        <v>-215</v>
      </c>
    </row>
    <row r="1623" spans="1:12" hidden="1" outlineLevel="1" collapsed="1" x14ac:dyDescent="0.35">
      <c r="A1623" s="112" t="s">
        <v>1814</v>
      </c>
      <c r="B1623" s="112" t="s">
        <v>906</v>
      </c>
      <c r="C1623" s="112" t="s">
        <v>695</v>
      </c>
      <c r="D1623" s="113">
        <v>10347954</v>
      </c>
      <c r="E1623" s="115">
        <v>43923</v>
      </c>
      <c r="F1623" s="114">
        <v>202101</v>
      </c>
      <c r="G1623" s="112" t="s">
        <v>1091</v>
      </c>
      <c r="H1623" s="112" t="s">
        <v>1015</v>
      </c>
      <c r="I1623" s="112" t="s">
        <v>813</v>
      </c>
      <c r="J1623" s="112" t="s">
        <v>1815</v>
      </c>
      <c r="K1623" s="112" t="s">
        <v>1836</v>
      </c>
      <c r="L1623" s="116">
        <v>-290.39</v>
      </c>
    </row>
    <row r="1624" spans="1:12" hidden="1" outlineLevel="1" collapsed="1" x14ac:dyDescent="0.35">
      <c r="A1624" s="112" t="s">
        <v>1814</v>
      </c>
      <c r="B1624" s="112" t="s">
        <v>905</v>
      </c>
      <c r="C1624" s="112" t="s">
        <v>695</v>
      </c>
      <c r="D1624" s="113">
        <v>10347977</v>
      </c>
      <c r="E1624" s="115">
        <v>43924</v>
      </c>
      <c r="F1624" s="114">
        <v>202101</v>
      </c>
      <c r="G1624" s="112" t="s">
        <v>1091</v>
      </c>
      <c r="H1624" s="112" t="s">
        <v>1015</v>
      </c>
      <c r="I1624" s="112" t="s">
        <v>751</v>
      </c>
      <c r="J1624" s="112" t="s">
        <v>1822</v>
      </c>
      <c r="K1624" s="112" t="s">
        <v>1924</v>
      </c>
      <c r="L1624" s="116">
        <v>-89</v>
      </c>
    </row>
    <row r="1625" spans="1:12" hidden="1" outlineLevel="1" collapsed="1" x14ac:dyDescent="0.35">
      <c r="A1625" s="112" t="s">
        <v>1814</v>
      </c>
      <c r="B1625" s="112" t="s">
        <v>906</v>
      </c>
      <c r="C1625" s="112" t="s">
        <v>695</v>
      </c>
      <c r="D1625" s="113">
        <v>10347954</v>
      </c>
      <c r="E1625" s="115">
        <v>43923</v>
      </c>
      <c r="F1625" s="114">
        <v>202101</v>
      </c>
      <c r="G1625" s="112" t="s">
        <v>1091</v>
      </c>
      <c r="H1625" s="112" t="s">
        <v>1015</v>
      </c>
      <c r="I1625" s="112" t="s">
        <v>813</v>
      </c>
      <c r="J1625" s="112" t="s">
        <v>1815</v>
      </c>
      <c r="K1625" s="112" t="s">
        <v>1925</v>
      </c>
      <c r="L1625" s="116">
        <v>-155.62</v>
      </c>
    </row>
    <row r="1626" spans="1:12" hidden="1" outlineLevel="1" collapsed="1" x14ac:dyDescent="0.35">
      <c r="A1626" s="112" t="s">
        <v>1814</v>
      </c>
      <c r="B1626" s="112" t="s">
        <v>905</v>
      </c>
      <c r="C1626" s="112" t="s">
        <v>1095</v>
      </c>
      <c r="D1626" s="113">
        <v>10348451</v>
      </c>
      <c r="E1626" s="115">
        <v>43949</v>
      </c>
      <c r="F1626" s="114">
        <v>202101</v>
      </c>
      <c r="G1626" s="112" t="s">
        <v>1091</v>
      </c>
      <c r="H1626" s="112" t="s">
        <v>1015</v>
      </c>
      <c r="I1626" s="112" t="s">
        <v>1101</v>
      </c>
      <c r="J1626" s="112" t="s">
        <v>1817</v>
      </c>
      <c r="K1626" s="112" t="s">
        <v>1098</v>
      </c>
      <c r="L1626" s="116">
        <v>483.07</v>
      </c>
    </row>
    <row r="1627" spans="1:12" hidden="1" outlineLevel="1" collapsed="1" x14ac:dyDescent="0.35">
      <c r="A1627" s="112" t="s">
        <v>1814</v>
      </c>
      <c r="B1627" s="112" t="s">
        <v>906</v>
      </c>
      <c r="C1627" s="112" t="s">
        <v>695</v>
      </c>
      <c r="D1627" s="113">
        <v>10347954</v>
      </c>
      <c r="E1627" s="115">
        <v>43923</v>
      </c>
      <c r="F1627" s="114">
        <v>202101</v>
      </c>
      <c r="G1627" s="112" t="s">
        <v>1091</v>
      </c>
      <c r="H1627" s="112" t="s">
        <v>1015</v>
      </c>
      <c r="I1627" s="112" t="s">
        <v>813</v>
      </c>
      <c r="J1627" s="112" t="s">
        <v>1815</v>
      </c>
      <c r="K1627" s="112" t="s">
        <v>1837</v>
      </c>
      <c r="L1627" s="116">
        <v>-53.3</v>
      </c>
    </row>
    <row r="1628" spans="1:12" hidden="1" outlineLevel="1" collapsed="1" x14ac:dyDescent="0.35">
      <c r="A1628" s="112" t="s">
        <v>1814</v>
      </c>
      <c r="B1628" s="112" t="s">
        <v>906</v>
      </c>
      <c r="C1628" s="112" t="s">
        <v>695</v>
      </c>
      <c r="D1628" s="113">
        <v>10347954</v>
      </c>
      <c r="E1628" s="115">
        <v>43923</v>
      </c>
      <c r="F1628" s="114">
        <v>202101</v>
      </c>
      <c r="G1628" s="112" t="s">
        <v>1091</v>
      </c>
      <c r="H1628" s="112" t="s">
        <v>1015</v>
      </c>
      <c r="I1628" s="112" t="s">
        <v>1820</v>
      </c>
      <c r="J1628" s="112" t="s">
        <v>1815</v>
      </c>
      <c r="K1628" s="112" t="s">
        <v>1926</v>
      </c>
      <c r="L1628" s="116">
        <v>-226.84</v>
      </c>
    </row>
    <row r="1629" spans="1:12" hidden="1" outlineLevel="1" collapsed="1" x14ac:dyDescent="0.35">
      <c r="A1629" s="112" t="s">
        <v>1814</v>
      </c>
      <c r="B1629" s="112" t="s">
        <v>906</v>
      </c>
      <c r="C1629" s="112" t="s">
        <v>695</v>
      </c>
      <c r="D1629" s="113">
        <v>10347954</v>
      </c>
      <c r="E1629" s="115">
        <v>43923</v>
      </c>
      <c r="F1629" s="114">
        <v>202101</v>
      </c>
      <c r="G1629" s="112" t="s">
        <v>1091</v>
      </c>
      <c r="H1629" s="112" t="s">
        <v>1015</v>
      </c>
      <c r="I1629" s="112" t="s">
        <v>1820</v>
      </c>
      <c r="J1629" s="112" t="s">
        <v>1815</v>
      </c>
      <c r="K1629" s="112" t="s">
        <v>1927</v>
      </c>
      <c r="L1629" s="116">
        <v>-77.81</v>
      </c>
    </row>
    <row r="1630" spans="1:12" hidden="1" outlineLevel="1" collapsed="1" x14ac:dyDescent="0.35">
      <c r="A1630" s="112" t="s">
        <v>1814</v>
      </c>
      <c r="B1630" s="112" t="s">
        <v>906</v>
      </c>
      <c r="C1630" s="112" t="s">
        <v>695</v>
      </c>
      <c r="D1630" s="113">
        <v>10347954</v>
      </c>
      <c r="E1630" s="115">
        <v>43923</v>
      </c>
      <c r="F1630" s="114">
        <v>202101</v>
      </c>
      <c r="G1630" s="112" t="s">
        <v>1091</v>
      </c>
      <c r="H1630" s="112" t="s">
        <v>1015</v>
      </c>
      <c r="I1630" s="112" t="s">
        <v>813</v>
      </c>
      <c r="J1630" s="112" t="s">
        <v>1815</v>
      </c>
      <c r="K1630" s="112" t="s">
        <v>1833</v>
      </c>
      <c r="L1630" s="116">
        <v>-3991.35</v>
      </c>
    </row>
    <row r="1631" spans="1:12" hidden="1" outlineLevel="1" collapsed="1" x14ac:dyDescent="0.35">
      <c r="A1631" s="112" t="s">
        <v>1814</v>
      </c>
      <c r="B1631" s="112" t="s">
        <v>906</v>
      </c>
      <c r="C1631" s="112" t="s">
        <v>695</v>
      </c>
      <c r="D1631" s="113">
        <v>10347954</v>
      </c>
      <c r="E1631" s="115">
        <v>43923</v>
      </c>
      <c r="F1631" s="114">
        <v>202101</v>
      </c>
      <c r="G1631" s="112" t="s">
        <v>1091</v>
      </c>
      <c r="H1631" s="112" t="s">
        <v>1015</v>
      </c>
      <c r="I1631" s="112" t="s">
        <v>813</v>
      </c>
      <c r="J1631" s="112" t="s">
        <v>1815</v>
      </c>
      <c r="K1631" s="112" t="s">
        <v>1928</v>
      </c>
      <c r="L1631" s="116">
        <v>-51.88</v>
      </c>
    </row>
    <row r="1632" spans="1:12" hidden="1" outlineLevel="1" collapsed="1" x14ac:dyDescent="0.35">
      <c r="A1632" s="112" t="s">
        <v>1814</v>
      </c>
      <c r="B1632" s="112" t="s">
        <v>906</v>
      </c>
      <c r="C1632" s="112" t="s">
        <v>695</v>
      </c>
      <c r="D1632" s="113">
        <v>10347954</v>
      </c>
      <c r="E1632" s="115">
        <v>43923</v>
      </c>
      <c r="F1632" s="114">
        <v>202101</v>
      </c>
      <c r="G1632" s="112" t="s">
        <v>1091</v>
      </c>
      <c r="H1632" s="112" t="s">
        <v>1015</v>
      </c>
      <c r="I1632" s="112" t="s">
        <v>813</v>
      </c>
      <c r="J1632" s="112" t="s">
        <v>1815</v>
      </c>
      <c r="K1632" s="112" t="s">
        <v>1830</v>
      </c>
      <c r="L1632" s="116">
        <v>-58.08</v>
      </c>
    </row>
    <row r="1633" spans="1:12" hidden="1" outlineLevel="1" collapsed="1" x14ac:dyDescent="0.35">
      <c r="A1633" s="112" t="s">
        <v>1814</v>
      </c>
      <c r="B1633" s="112" t="s">
        <v>906</v>
      </c>
      <c r="C1633" s="112" t="s">
        <v>695</v>
      </c>
      <c r="D1633" s="113">
        <v>10347954</v>
      </c>
      <c r="E1633" s="115">
        <v>43923</v>
      </c>
      <c r="F1633" s="114">
        <v>202101</v>
      </c>
      <c r="G1633" s="112" t="s">
        <v>1091</v>
      </c>
      <c r="H1633" s="112" t="s">
        <v>1015</v>
      </c>
      <c r="I1633" s="112" t="s">
        <v>813</v>
      </c>
      <c r="J1633" s="112" t="s">
        <v>1815</v>
      </c>
      <c r="K1633" s="112" t="s">
        <v>1833</v>
      </c>
      <c r="L1633" s="116">
        <v>-144.34</v>
      </c>
    </row>
    <row r="1634" spans="1:12" hidden="1" outlineLevel="1" collapsed="1" x14ac:dyDescent="0.35">
      <c r="A1634" s="112" t="s">
        <v>1814</v>
      </c>
      <c r="B1634" s="112" t="s">
        <v>906</v>
      </c>
      <c r="C1634" s="112" t="s">
        <v>1095</v>
      </c>
      <c r="D1634" s="113">
        <v>10348451</v>
      </c>
      <c r="E1634" s="115">
        <v>43949</v>
      </c>
      <c r="F1634" s="114">
        <v>202101</v>
      </c>
      <c r="G1634" s="112" t="s">
        <v>1091</v>
      </c>
      <c r="H1634" s="112" t="s">
        <v>1015</v>
      </c>
      <c r="I1634" s="112" t="s">
        <v>1101</v>
      </c>
      <c r="J1634" s="112" t="s">
        <v>1852</v>
      </c>
      <c r="K1634" s="112" t="s">
        <v>1098</v>
      </c>
      <c r="L1634" s="116">
        <v>562.66999999999996</v>
      </c>
    </row>
    <row r="1635" spans="1:12" hidden="1" outlineLevel="1" collapsed="1" x14ac:dyDescent="0.35">
      <c r="A1635" s="112" t="s">
        <v>1814</v>
      </c>
      <c r="B1635" s="112" t="s">
        <v>905</v>
      </c>
      <c r="C1635" s="112" t="s">
        <v>1095</v>
      </c>
      <c r="D1635" s="113">
        <v>10348451</v>
      </c>
      <c r="E1635" s="115">
        <v>43949</v>
      </c>
      <c r="F1635" s="114">
        <v>202101</v>
      </c>
      <c r="G1635" s="112" t="s">
        <v>1091</v>
      </c>
      <c r="H1635" s="112" t="s">
        <v>1015</v>
      </c>
      <c r="I1635" s="112" t="s">
        <v>1929</v>
      </c>
      <c r="J1635" s="112" t="s">
        <v>1827</v>
      </c>
      <c r="K1635" s="112" t="s">
        <v>1098</v>
      </c>
      <c r="L1635" s="116">
        <v>120</v>
      </c>
    </row>
    <row r="1636" spans="1:12" hidden="1" outlineLevel="1" collapsed="1" x14ac:dyDescent="0.35">
      <c r="A1636" s="112" t="s">
        <v>1814</v>
      </c>
      <c r="B1636" s="112" t="s">
        <v>905</v>
      </c>
      <c r="C1636" s="112" t="s">
        <v>1095</v>
      </c>
      <c r="D1636" s="113">
        <v>10348451</v>
      </c>
      <c r="E1636" s="115">
        <v>43949</v>
      </c>
      <c r="F1636" s="114">
        <v>202101</v>
      </c>
      <c r="G1636" s="112" t="s">
        <v>1091</v>
      </c>
      <c r="H1636" s="112" t="s">
        <v>1015</v>
      </c>
      <c r="I1636" s="112" t="s">
        <v>1929</v>
      </c>
      <c r="J1636" s="112" t="s">
        <v>1827</v>
      </c>
      <c r="K1636" s="112" t="s">
        <v>1098</v>
      </c>
      <c r="L1636" s="116">
        <v>240</v>
      </c>
    </row>
    <row r="1637" spans="1:12" hidden="1" outlineLevel="1" collapsed="1" x14ac:dyDescent="0.35">
      <c r="A1637" s="112" t="s">
        <v>1814</v>
      </c>
      <c r="B1637" s="112" t="s">
        <v>905</v>
      </c>
      <c r="C1637" s="112" t="s">
        <v>1095</v>
      </c>
      <c r="D1637" s="113">
        <v>10348451</v>
      </c>
      <c r="E1637" s="115">
        <v>43949</v>
      </c>
      <c r="F1637" s="114">
        <v>202101</v>
      </c>
      <c r="G1637" s="112" t="s">
        <v>1091</v>
      </c>
      <c r="H1637" s="112" t="s">
        <v>1015</v>
      </c>
      <c r="I1637" s="112" t="s">
        <v>1929</v>
      </c>
      <c r="J1637" s="112" t="s">
        <v>1827</v>
      </c>
      <c r="K1637" s="112" t="s">
        <v>1098</v>
      </c>
      <c r="L1637" s="116">
        <v>20</v>
      </c>
    </row>
    <row r="1638" spans="1:12" hidden="1" outlineLevel="1" collapsed="1" x14ac:dyDescent="0.35">
      <c r="A1638" s="112" t="s">
        <v>1814</v>
      </c>
      <c r="B1638" s="112" t="s">
        <v>906</v>
      </c>
      <c r="C1638" s="112" t="s">
        <v>695</v>
      </c>
      <c r="D1638" s="113">
        <v>10347954</v>
      </c>
      <c r="E1638" s="115">
        <v>43923</v>
      </c>
      <c r="F1638" s="114">
        <v>202101</v>
      </c>
      <c r="G1638" s="112" t="s">
        <v>1091</v>
      </c>
      <c r="H1638" s="112" t="s">
        <v>1015</v>
      </c>
      <c r="I1638" s="112" t="s">
        <v>813</v>
      </c>
      <c r="J1638" s="112" t="s">
        <v>1815</v>
      </c>
      <c r="K1638" s="112" t="s">
        <v>1837</v>
      </c>
      <c r="L1638" s="116">
        <v>-262.86</v>
      </c>
    </row>
    <row r="1639" spans="1:12" hidden="1" outlineLevel="1" collapsed="1" x14ac:dyDescent="0.35">
      <c r="A1639" s="112" t="s">
        <v>1814</v>
      </c>
      <c r="B1639" s="112" t="s">
        <v>905</v>
      </c>
      <c r="C1639" s="112" t="s">
        <v>1095</v>
      </c>
      <c r="D1639" s="113">
        <v>10348451</v>
      </c>
      <c r="E1639" s="115">
        <v>43949</v>
      </c>
      <c r="F1639" s="114">
        <v>202101</v>
      </c>
      <c r="G1639" s="112" t="s">
        <v>1091</v>
      </c>
      <c r="H1639" s="112" t="s">
        <v>1015</v>
      </c>
      <c r="I1639" s="112" t="s">
        <v>1929</v>
      </c>
      <c r="J1639" s="112" t="s">
        <v>1827</v>
      </c>
      <c r="K1639" s="112" t="s">
        <v>1098</v>
      </c>
      <c r="L1639" s="116">
        <v>120</v>
      </c>
    </row>
    <row r="1640" spans="1:12" hidden="1" outlineLevel="1" collapsed="1" x14ac:dyDescent="0.35">
      <c r="A1640" s="112" t="s">
        <v>1814</v>
      </c>
      <c r="B1640" s="112" t="s">
        <v>906</v>
      </c>
      <c r="C1640" s="112" t="s">
        <v>695</v>
      </c>
      <c r="D1640" s="113">
        <v>10347954</v>
      </c>
      <c r="E1640" s="115">
        <v>43923</v>
      </c>
      <c r="F1640" s="114">
        <v>202101</v>
      </c>
      <c r="G1640" s="112" t="s">
        <v>1091</v>
      </c>
      <c r="H1640" s="112" t="s">
        <v>1015</v>
      </c>
      <c r="I1640" s="112" t="s">
        <v>1820</v>
      </c>
      <c r="J1640" s="112" t="s">
        <v>1815</v>
      </c>
      <c r="K1640" s="112" t="s">
        <v>1829</v>
      </c>
      <c r="L1640" s="116">
        <v>-172.5</v>
      </c>
    </row>
    <row r="1641" spans="1:12" hidden="1" outlineLevel="1" collapsed="1" x14ac:dyDescent="0.35">
      <c r="A1641" s="112" t="s">
        <v>1814</v>
      </c>
      <c r="B1641" s="112" t="s">
        <v>906</v>
      </c>
      <c r="C1641" s="112" t="s">
        <v>695</v>
      </c>
      <c r="D1641" s="113">
        <v>10347954</v>
      </c>
      <c r="E1641" s="115">
        <v>43923</v>
      </c>
      <c r="F1641" s="114">
        <v>202101</v>
      </c>
      <c r="G1641" s="112" t="s">
        <v>1091</v>
      </c>
      <c r="H1641" s="112" t="s">
        <v>1015</v>
      </c>
      <c r="I1641" s="112" t="s">
        <v>1820</v>
      </c>
      <c r="J1641" s="112" t="s">
        <v>1815</v>
      </c>
      <c r="K1641" s="112" t="s">
        <v>1930</v>
      </c>
      <c r="L1641" s="116">
        <v>-1010.23</v>
      </c>
    </row>
    <row r="1642" spans="1:12" hidden="1" outlineLevel="1" collapsed="1" x14ac:dyDescent="0.35">
      <c r="A1642" s="112" t="s">
        <v>1814</v>
      </c>
      <c r="B1642" s="112" t="s">
        <v>905</v>
      </c>
      <c r="C1642" s="112" t="s">
        <v>1095</v>
      </c>
      <c r="D1642" s="113">
        <v>10348451</v>
      </c>
      <c r="E1642" s="115">
        <v>43949</v>
      </c>
      <c r="F1642" s="114">
        <v>202101</v>
      </c>
      <c r="G1642" s="112" t="s">
        <v>1091</v>
      </c>
      <c r="H1642" s="112" t="s">
        <v>1015</v>
      </c>
      <c r="I1642" s="112" t="s">
        <v>1096</v>
      </c>
      <c r="J1642" s="112" t="s">
        <v>1817</v>
      </c>
      <c r="K1642" s="112" t="s">
        <v>1098</v>
      </c>
      <c r="L1642" s="116">
        <v>276.95</v>
      </c>
    </row>
    <row r="1643" spans="1:12" hidden="1" outlineLevel="1" collapsed="1" x14ac:dyDescent="0.35">
      <c r="A1643" s="112" t="s">
        <v>1814</v>
      </c>
      <c r="B1643" s="112" t="s">
        <v>905</v>
      </c>
      <c r="C1643" s="112" t="s">
        <v>1095</v>
      </c>
      <c r="D1643" s="113">
        <v>10348451</v>
      </c>
      <c r="E1643" s="115">
        <v>43949</v>
      </c>
      <c r="F1643" s="114">
        <v>202101</v>
      </c>
      <c r="G1643" s="112" t="s">
        <v>1091</v>
      </c>
      <c r="H1643" s="112" t="s">
        <v>1015</v>
      </c>
      <c r="I1643" s="112" t="s">
        <v>1929</v>
      </c>
      <c r="J1643" s="112" t="s">
        <v>1827</v>
      </c>
      <c r="K1643" s="112" t="s">
        <v>1098</v>
      </c>
      <c r="L1643" s="116">
        <v>213.7</v>
      </c>
    </row>
    <row r="1644" spans="1:12" hidden="1" outlineLevel="1" collapsed="1" x14ac:dyDescent="0.35">
      <c r="A1644" s="112" t="s">
        <v>1814</v>
      </c>
      <c r="B1644" s="112" t="s">
        <v>906</v>
      </c>
      <c r="C1644" s="112" t="s">
        <v>695</v>
      </c>
      <c r="D1644" s="113">
        <v>10347954</v>
      </c>
      <c r="E1644" s="115">
        <v>43923</v>
      </c>
      <c r="F1644" s="114">
        <v>202101</v>
      </c>
      <c r="G1644" s="112" t="s">
        <v>1091</v>
      </c>
      <c r="H1644" s="112" t="s">
        <v>1015</v>
      </c>
      <c r="I1644" s="112" t="s">
        <v>813</v>
      </c>
      <c r="J1644" s="112" t="s">
        <v>1815</v>
      </c>
      <c r="K1644" s="112" t="s">
        <v>1833</v>
      </c>
      <c r="L1644" s="116">
        <v>-4337.38</v>
      </c>
    </row>
    <row r="1645" spans="1:12" hidden="1" outlineLevel="1" collapsed="1" x14ac:dyDescent="0.35">
      <c r="A1645" s="112" t="s">
        <v>1814</v>
      </c>
      <c r="B1645" s="112" t="s">
        <v>905</v>
      </c>
      <c r="C1645" s="112" t="s">
        <v>1095</v>
      </c>
      <c r="D1645" s="113">
        <v>10348451</v>
      </c>
      <c r="E1645" s="115">
        <v>43949</v>
      </c>
      <c r="F1645" s="114">
        <v>202101</v>
      </c>
      <c r="G1645" s="112" t="s">
        <v>1091</v>
      </c>
      <c r="H1645" s="112" t="s">
        <v>1015</v>
      </c>
      <c r="I1645" s="112" t="s">
        <v>1929</v>
      </c>
      <c r="J1645" s="112" t="s">
        <v>1827</v>
      </c>
      <c r="K1645" s="112" t="s">
        <v>1098</v>
      </c>
      <c r="L1645" s="116">
        <v>320</v>
      </c>
    </row>
    <row r="1646" spans="1:12" hidden="1" outlineLevel="1" collapsed="1" x14ac:dyDescent="0.35">
      <c r="A1646" s="112" t="s">
        <v>1814</v>
      </c>
      <c r="B1646" s="112" t="s">
        <v>905</v>
      </c>
      <c r="C1646" s="112" t="s">
        <v>1095</v>
      </c>
      <c r="D1646" s="113">
        <v>10348451</v>
      </c>
      <c r="E1646" s="115">
        <v>43949</v>
      </c>
      <c r="F1646" s="114">
        <v>202101</v>
      </c>
      <c r="G1646" s="112" t="s">
        <v>1091</v>
      </c>
      <c r="H1646" s="112" t="s">
        <v>1015</v>
      </c>
      <c r="I1646" s="112" t="s">
        <v>1929</v>
      </c>
      <c r="J1646" s="112" t="s">
        <v>1839</v>
      </c>
      <c r="K1646" s="112" t="s">
        <v>1098</v>
      </c>
      <c r="L1646" s="116">
        <v>180</v>
      </c>
    </row>
    <row r="1647" spans="1:12" hidden="1" outlineLevel="1" collapsed="1" x14ac:dyDescent="0.35">
      <c r="A1647" s="112" t="s">
        <v>1814</v>
      </c>
      <c r="B1647" s="112" t="s">
        <v>905</v>
      </c>
      <c r="C1647" s="112" t="s">
        <v>1095</v>
      </c>
      <c r="D1647" s="113">
        <v>10348451</v>
      </c>
      <c r="E1647" s="115">
        <v>43949</v>
      </c>
      <c r="F1647" s="114">
        <v>202101</v>
      </c>
      <c r="G1647" s="112" t="s">
        <v>1091</v>
      </c>
      <c r="H1647" s="112" t="s">
        <v>1015</v>
      </c>
      <c r="I1647" s="112" t="s">
        <v>1929</v>
      </c>
      <c r="J1647" s="112" t="s">
        <v>1839</v>
      </c>
      <c r="K1647" s="112" t="s">
        <v>1098</v>
      </c>
      <c r="L1647" s="116">
        <v>294.93</v>
      </c>
    </row>
    <row r="1648" spans="1:12" hidden="1" outlineLevel="1" collapsed="1" x14ac:dyDescent="0.35">
      <c r="A1648" s="112" t="s">
        <v>1814</v>
      </c>
      <c r="B1648" s="112" t="s">
        <v>906</v>
      </c>
      <c r="C1648" s="112" t="s">
        <v>695</v>
      </c>
      <c r="D1648" s="113">
        <v>10347954</v>
      </c>
      <c r="E1648" s="115">
        <v>43923</v>
      </c>
      <c r="F1648" s="114">
        <v>202101</v>
      </c>
      <c r="G1648" s="112" t="s">
        <v>1091</v>
      </c>
      <c r="H1648" s="112" t="s">
        <v>1015</v>
      </c>
      <c r="I1648" s="112" t="s">
        <v>813</v>
      </c>
      <c r="J1648" s="112" t="s">
        <v>1815</v>
      </c>
      <c r="K1648" s="112" t="s">
        <v>1819</v>
      </c>
      <c r="L1648" s="116">
        <v>-1490.47</v>
      </c>
    </row>
    <row r="1649" spans="1:12" hidden="1" outlineLevel="1" collapsed="1" x14ac:dyDescent="0.35">
      <c r="A1649" s="112" t="s">
        <v>1814</v>
      </c>
      <c r="B1649" s="112" t="s">
        <v>906</v>
      </c>
      <c r="C1649" s="112" t="s">
        <v>695</v>
      </c>
      <c r="D1649" s="113">
        <v>10347954</v>
      </c>
      <c r="E1649" s="115">
        <v>43923</v>
      </c>
      <c r="F1649" s="114">
        <v>202101</v>
      </c>
      <c r="G1649" s="112" t="s">
        <v>1091</v>
      </c>
      <c r="H1649" s="112" t="s">
        <v>1015</v>
      </c>
      <c r="I1649" s="112" t="s">
        <v>813</v>
      </c>
      <c r="J1649" s="112" t="s">
        <v>1815</v>
      </c>
      <c r="K1649" s="112" t="s">
        <v>1833</v>
      </c>
      <c r="L1649" s="116">
        <v>-237.55</v>
      </c>
    </row>
    <row r="1650" spans="1:12" hidden="1" outlineLevel="1" collapsed="1" x14ac:dyDescent="0.35">
      <c r="A1650" s="112" t="s">
        <v>1814</v>
      </c>
      <c r="B1650" s="112" t="s">
        <v>906</v>
      </c>
      <c r="C1650" s="112" t="s">
        <v>695</v>
      </c>
      <c r="D1650" s="113">
        <v>10347954</v>
      </c>
      <c r="E1650" s="115">
        <v>43923</v>
      </c>
      <c r="F1650" s="114">
        <v>202101</v>
      </c>
      <c r="G1650" s="112" t="s">
        <v>1091</v>
      </c>
      <c r="H1650" s="112" t="s">
        <v>1015</v>
      </c>
      <c r="I1650" s="112" t="s">
        <v>1820</v>
      </c>
      <c r="J1650" s="112" t="s">
        <v>1815</v>
      </c>
      <c r="K1650" s="112" t="s">
        <v>1931</v>
      </c>
      <c r="L1650" s="116">
        <v>-390.96</v>
      </c>
    </row>
    <row r="1651" spans="1:12" hidden="1" outlineLevel="1" collapsed="1" x14ac:dyDescent="0.35">
      <c r="A1651" s="112" t="s">
        <v>1814</v>
      </c>
      <c r="B1651" s="112" t="s">
        <v>906</v>
      </c>
      <c r="C1651" s="112" t="s">
        <v>695</v>
      </c>
      <c r="D1651" s="113">
        <v>10347954</v>
      </c>
      <c r="E1651" s="115">
        <v>43923</v>
      </c>
      <c r="F1651" s="114">
        <v>202101</v>
      </c>
      <c r="G1651" s="112" t="s">
        <v>1091</v>
      </c>
      <c r="H1651" s="112" t="s">
        <v>1015</v>
      </c>
      <c r="I1651" s="112" t="s">
        <v>813</v>
      </c>
      <c r="J1651" s="112" t="s">
        <v>1815</v>
      </c>
      <c r="K1651" s="112" t="s">
        <v>1932</v>
      </c>
      <c r="L1651" s="116">
        <v>-201.58</v>
      </c>
    </row>
    <row r="1652" spans="1:12" hidden="1" outlineLevel="1" collapsed="1" x14ac:dyDescent="0.35">
      <c r="A1652" s="112" t="s">
        <v>1814</v>
      </c>
      <c r="B1652" s="112" t="s">
        <v>905</v>
      </c>
      <c r="C1652" s="112" t="s">
        <v>695</v>
      </c>
      <c r="D1652" s="113">
        <v>10347954</v>
      </c>
      <c r="E1652" s="115">
        <v>43923</v>
      </c>
      <c r="F1652" s="114">
        <v>202101</v>
      </c>
      <c r="G1652" s="112" t="s">
        <v>1091</v>
      </c>
      <c r="H1652" s="112" t="s">
        <v>1015</v>
      </c>
      <c r="I1652" s="112" t="s">
        <v>1900</v>
      </c>
      <c r="J1652" s="112" t="s">
        <v>1839</v>
      </c>
      <c r="K1652" s="112" t="s">
        <v>1933</v>
      </c>
      <c r="L1652" s="116">
        <v>-232.55</v>
      </c>
    </row>
    <row r="1653" spans="1:12" hidden="1" outlineLevel="1" collapsed="1" x14ac:dyDescent="0.35">
      <c r="A1653" s="112" t="s">
        <v>1814</v>
      </c>
      <c r="B1653" s="112" t="s">
        <v>905</v>
      </c>
      <c r="C1653" s="112" t="s">
        <v>695</v>
      </c>
      <c r="D1653" s="113">
        <v>10347954</v>
      </c>
      <c r="E1653" s="115">
        <v>43923</v>
      </c>
      <c r="F1653" s="114">
        <v>202101</v>
      </c>
      <c r="G1653" s="112" t="s">
        <v>1091</v>
      </c>
      <c r="H1653" s="112" t="s">
        <v>1015</v>
      </c>
      <c r="I1653" s="112" t="s">
        <v>1900</v>
      </c>
      <c r="J1653" s="112" t="s">
        <v>1901</v>
      </c>
      <c r="K1653" s="112" t="s">
        <v>1934</v>
      </c>
      <c r="L1653" s="116">
        <v>-357.94</v>
      </c>
    </row>
    <row r="1654" spans="1:12" hidden="1" outlineLevel="1" collapsed="1" x14ac:dyDescent="0.35">
      <c r="A1654" s="112" t="s">
        <v>1814</v>
      </c>
      <c r="B1654" s="112" t="s">
        <v>906</v>
      </c>
      <c r="C1654" s="112" t="s">
        <v>695</v>
      </c>
      <c r="D1654" s="113">
        <v>10347954</v>
      </c>
      <c r="E1654" s="115">
        <v>43923</v>
      </c>
      <c r="F1654" s="114">
        <v>202101</v>
      </c>
      <c r="G1654" s="112" t="s">
        <v>1091</v>
      </c>
      <c r="H1654" s="112" t="s">
        <v>1015</v>
      </c>
      <c r="I1654" s="112" t="s">
        <v>1894</v>
      </c>
      <c r="J1654" s="112" t="s">
        <v>1815</v>
      </c>
      <c r="K1654" s="112" t="s">
        <v>1826</v>
      </c>
      <c r="L1654" s="116">
        <v>-48.79</v>
      </c>
    </row>
    <row r="1655" spans="1:12" hidden="1" outlineLevel="1" collapsed="1" x14ac:dyDescent="0.35">
      <c r="A1655" s="112" t="s">
        <v>1814</v>
      </c>
      <c r="B1655" s="112" t="s">
        <v>906</v>
      </c>
      <c r="C1655" s="112" t="s">
        <v>695</v>
      </c>
      <c r="D1655" s="113">
        <v>10347954</v>
      </c>
      <c r="E1655" s="115">
        <v>43923</v>
      </c>
      <c r="F1655" s="114">
        <v>202101</v>
      </c>
      <c r="G1655" s="112" t="s">
        <v>1091</v>
      </c>
      <c r="H1655" s="112" t="s">
        <v>1015</v>
      </c>
      <c r="I1655" s="112" t="s">
        <v>1820</v>
      </c>
      <c r="J1655" s="112" t="s">
        <v>1815</v>
      </c>
      <c r="K1655" s="112" t="s">
        <v>1935</v>
      </c>
      <c r="L1655" s="116">
        <v>-58.35</v>
      </c>
    </row>
    <row r="1656" spans="1:12" hidden="1" outlineLevel="1" collapsed="1" x14ac:dyDescent="0.35">
      <c r="A1656" s="112" t="s">
        <v>1814</v>
      </c>
      <c r="B1656" s="112" t="s">
        <v>905</v>
      </c>
      <c r="C1656" s="112" t="s">
        <v>1095</v>
      </c>
      <c r="D1656" s="113">
        <v>10348451</v>
      </c>
      <c r="E1656" s="115">
        <v>43949</v>
      </c>
      <c r="F1656" s="114">
        <v>202101</v>
      </c>
      <c r="G1656" s="112" t="s">
        <v>1091</v>
      </c>
      <c r="H1656" s="112" t="s">
        <v>1015</v>
      </c>
      <c r="I1656" s="112" t="s">
        <v>1101</v>
      </c>
      <c r="J1656" s="112" t="s">
        <v>1817</v>
      </c>
      <c r="K1656" s="112" t="s">
        <v>1098</v>
      </c>
      <c r="L1656" s="116">
        <v>549.4</v>
      </c>
    </row>
    <row r="1657" spans="1:12" hidden="1" outlineLevel="1" collapsed="1" x14ac:dyDescent="0.35">
      <c r="A1657" s="112" t="s">
        <v>1814</v>
      </c>
      <c r="B1657" s="112" t="s">
        <v>906</v>
      </c>
      <c r="C1657" s="112" t="s">
        <v>695</v>
      </c>
      <c r="D1657" s="113">
        <v>10347954</v>
      </c>
      <c r="E1657" s="115">
        <v>43923</v>
      </c>
      <c r="F1657" s="114">
        <v>202101</v>
      </c>
      <c r="G1657" s="112" t="s">
        <v>1091</v>
      </c>
      <c r="H1657" s="112" t="s">
        <v>1015</v>
      </c>
      <c r="I1657" s="112" t="s">
        <v>813</v>
      </c>
      <c r="J1657" s="112" t="s">
        <v>1815</v>
      </c>
      <c r="K1657" s="112" t="s">
        <v>1936</v>
      </c>
      <c r="L1657" s="116">
        <v>-532.46</v>
      </c>
    </row>
    <row r="1658" spans="1:12" hidden="1" outlineLevel="1" collapsed="1" x14ac:dyDescent="0.35">
      <c r="A1658" s="112" t="s">
        <v>1814</v>
      </c>
      <c r="B1658" s="112" t="s">
        <v>905</v>
      </c>
      <c r="C1658" s="112" t="s">
        <v>1095</v>
      </c>
      <c r="D1658" s="113">
        <v>10348451</v>
      </c>
      <c r="E1658" s="115">
        <v>43949</v>
      </c>
      <c r="F1658" s="114">
        <v>202101</v>
      </c>
      <c r="G1658" s="112" t="s">
        <v>1091</v>
      </c>
      <c r="H1658" s="112" t="s">
        <v>1015</v>
      </c>
      <c r="I1658" s="112" t="s">
        <v>1101</v>
      </c>
      <c r="J1658" s="112" t="s">
        <v>1827</v>
      </c>
      <c r="K1658" s="112" t="s">
        <v>1098</v>
      </c>
      <c r="L1658" s="116">
        <v>483.07</v>
      </c>
    </row>
    <row r="1659" spans="1:12" hidden="1" outlineLevel="1" collapsed="1" x14ac:dyDescent="0.35">
      <c r="A1659" s="112" t="s">
        <v>1814</v>
      </c>
      <c r="B1659" s="112" t="s">
        <v>905</v>
      </c>
      <c r="C1659" s="112" t="s">
        <v>695</v>
      </c>
      <c r="D1659" s="113">
        <v>10347954</v>
      </c>
      <c r="E1659" s="115">
        <v>43923</v>
      </c>
      <c r="F1659" s="114">
        <v>202101</v>
      </c>
      <c r="G1659" s="112" t="s">
        <v>1091</v>
      </c>
      <c r="H1659" s="112" t="s">
        <v>1015</v>
      </c>
      <c r="I1659" s="112" t="s">
        <v>813</v>
      </c>
      <c r="J1659" s="112" t="s">
        <v>1822</v>
      </c>
      <c r="K1659" s="112" t="s">
        <v>1937</v>
      </c>
      <c r="L1659" s="116">
        <v>-37.880000000000003</v>
      </c>
    </row>
    <row r="1660" spans="1:12" hidden="1" outlineLevel="1" collapsed="1" x14ac:dyDescent="0.35">
      <c r="A1660" s="112" t="s">
        <v>1814</v>
      </c>
      <c r="B1660" s="112" t="s">
        <v>905</v>
      </c>
      <c r="C1660" s="112" t="s">
        <v>695</v>
      </c>
      <c r="D1660" s="113">
        <v>10347977</v>
      </c>
      <c r="E1660" s="115">
        <v>43924</v>
      </c>
      <c r="F1660" s="114">
        <v>202101</v>
      </c>
      <c r="G1660" s="112" t="s">
        <v>1091</v>
      </c>
      <c r="H1660" s="112" t="s">
        <v>1015</v>
      </c>
      <c r="I1660" s="112" t="s">
        <v>749</v>
      </c>
      <c r="J1660" s="112" t="s">
        <v>1822</v>
      </c>
      <c r="K1660" s="112" t="s">
        <v>1938</v>
      </c>
      <c r="L1660" s="116">
        <v>-870</v>
      </c>
    </row>
    <row r="1661" spans="1:12" hidden="1" outlineLevel="1" collapsed="1" x14ac:dyDescent="0.35">
      <c r="A1661" s="112" t="s">
        <v>1814</v>
      </c>
      <c r="B1661" s="112" t="s">
        <v>906</v>
      </c>
      <c r="C1661" s="112" t="s">
        <v>695</v>
      </c>
      <c r="D1661" s="113">
        <v>10347954</v>
      </c>
      <c r="E1661" s="115">
        <v>43923</v>
      </c>
      <c r="F1661" s="114">
        <v>202101</v>
      </c>
      <c r="G1661" s="112" t="s">
        <v>1091</v>
      </c>
      <c r="H1661" s="112" t="s">
        <v>1015</v>
      </c>
      <c r="I1661" s="112" t="s">
        <v>813</v>
      </c>
      <c r="J1661" s="112" t="s">
        <v>1815</v>
      </c>
      <c r="K1661" s="112" t="s">
        <v>1939</v>
      </c>
      <c r="L1661" s="116">
        <v>-63.27</v>
      </c>
    </row>
    <row r="1662" spans="1:12" hidden="1" outlineLevel="1" collapsed="1" x14ac:dyDescent="0.35">
      <c r="A1662" s="112" t="s">
        <v>1814</v>
      </c>
      <c r="B1662" s="112" t="s">
        <v>906</v>
      </c>
      <c r="C1662" s="112" t="s">
        <v>695</v>
      </c>
      <c r="D1662" s="113">
        <v>10347954</v>
      </c>
      <c r="E1662" s="115">
        <v>43923</v>
      </c>
      <c r="F1662" s="114">
        <v>202101</v>
      </c>
      <c r="G1662" s="112" t="s">
        <v>1091</v>
      </c>
      <c r="H1662" s="112" t="s">
        <v>1015</v>
      </c>
      <c r="I1662" s="112" t="s">
        <v>813</v>
      </c>
      <c r="J1662" s="112" t="s">
        <v>1815</v>
      </c>
      <c r="K1662" s="112" t="s">
        <v>1818</v>
      </c>
      <c r="L1662" s="116">
        <v>-58.61</v>
      </c>
    </row>
    <row r="1663" spans="1:12" hidden="1" outlineLevel="1" collapsed="1" x14ac:dyDescent="0.35">
      <c r="A1663" s="112" t="s">
        <v>1814</v>
      </c>
      <c r="B1663" s="112" t="s">
        <v>906</v>
      </c>
      <c r="C1663" s="112" t="s">
        <v>695</v>
      </c>
      <c r="D1663" s="113">
        <v>10347954</v>
      </c>
      <c r="E1663" s="115">
        <v>43923</v>
      </c>
      <c r="F1663" s="114">
        <v>202101</v>
      </c>
      <c r="G1663" s="112" t="s">
        <v>1091</v>
      </c>
      <c r="H1663" s="112" t="s">
        <v>1015</v>
      </c>
      <c r="I1663" s="112" t="s">
        <v>813</v>
      </c>
      <c r="J1663" s="112" t="s">
        <v>1815</v>
      </c>
      <c r="K1663" s="112" t="s">
        <v>1925</v>
      </c>
      <c r="L1663" s="116">
        <v>-6743.82</v>
      </c>
    </row>
    <row r="1664" spans="1:12" hidden="1" outlineLevel="1" collapsed="1" x14ac:dyDescent="0.35">
      <c r="A1664" s="112" t="s">
        <v>1814</v>
      </c>
      <c r="B1664" s="112" t="s">
        <v>906</v>
      </c>
      <c r="C1664" s="112" t="s">
        <v>695</v>
      </c>
      <c r="D1664" s="113">
        <v>10347954</v>
      </c>
      <c r="E1664" s="115">
        <v>43923</v>
      </c>
      <c r="F1664" s="114">
        <v>202101</v>
      </c>
      <c r="G1664" s="112" t="s">
        <v>1091</v>
      </c>
      <c r="H1664" s="112" t="s">
        <v>1015</v>
      </c>
      <c r="I1664" s="112" t="s">
        <v>1820</v>
      </c>
      <c r="J1664" s="112" t="s">
        <v>1815</v>
      </c>
      <c r="K1664" s="112" t="s">
        <v>1940</v>
      </c>
      <c r="L1664" s="116">
        <v>-875.32</v>
      </c>
    </row>
    <row r="1665" spans="1:12" hidden="1" outlineLevel="1" collapsed="1" x14ac:dyDescent="0.35">
      <c r="A1665" s="112" t="s">
        <v>1814</v>
      </c>
      <c r="B1665" s="112" t="s">
        <v>906</v>
      </c>
      <c r="C1665" s="112" t="s">
        <v>695</v>
      </c>
      <c r="D1665" s="113">
        <v>10347954</v>
      </c>
      <c r="E1665" s="115">
        <v>43923</v>
      </c>
      <c r="F1665" s="114">
        <v>202101</v>
      </c>
      <c r="G1665" s="112" t="s">
        <v>1091</v>
      </c>
      <c r="H1665" s="112" t="s">
        <v>1015</v>
      </c>
      <c r="I1665" s="112" t="s">
        <v>813</v>
      </c>
      <c r="J1665" s="112" t="s">
        <v>1815</v>
      </c>
      <c r="K1665" s="112" t="s">
        <v>1110</v>
      </c>
      <c r="L1665" s="116">
        <v>-2641.64</v>
      </c>
    </row>
    <row r="1666" spans="1:12" hidden="1" outlineLevel="1" collapsed="1" x14ac:dyDescent="0.35">
      <c r="A1666" s="112" t="s">
        <v>1814</v>
      </c>
      <c r="B1666" s="112" t="s">
        <v>906</v>
      </c>
      <c r="C1666" s="112" t="s">
        <v>695</v>
      </c>
      <c r="D1666" s="113">
        <v>10347954</v>
      </c>
      <c r="E1666" s="115">
        <v>43923</v>
      </c>
      <c r="F1666" s="114">
        <v>202101</v>
      </c>
      <c r="G1666" s="112" t="s">
        <v>1091</v>
      </c>
      <c r="H1666" s="112" t="s">
        <v>1015</v>
      </c>
      <c r="I1666" s="112" t="s">
        <v>1894</v>
      </c>
      <c r="J1666" s="112" t="s">
        <v>1815</v>
      </c>
      <c r="K1666" s="112" t="s">
        <v>1826</v>
      </c>
      <c r="L1666" s="116">
        <v>-970.87</v>
      </c>
    </row>
    <row r="1667" spans="1:12" hidden="1" outlineLevel="1" collapsed="1" x14ac:dyDescent="0.35">
      <c r="A1667" s="112" t="s">
        <v>1814</v>
      </c>
      <c r="B1667" s="112" t="s">
        <v>906</v>
      </c>
      <c r="C1667" s="112" t="s">
        <v>695</v>
      </c>
      <c r="D1667" s="113">
        <v>10347954</v>
      </c>
      <c r="E1667" s="115">
        <v>43923</v>
      </c>
      <c r="F1667" s="114">
        <v>202101</v>
      </c>
      <c r="G1667" s="112" t="s">
        <v>1091</v>
      </c>
      <c r="H1667" s="112" t="s">
        <v>1015</v>
      </c>
      <c r="I1667" s="112" t="s">
        <v>1820</v>
      </c>
      <c r="J1667" s="112" t="s">
        <v>1815</v>
      </c>
      <c r="K1667" s="112" t="s">
        <v>1941</v>
      </c>
      <c r="L1667" s="116">
        <v>-423.6</v>
      </c>
    </row>
    <row r="1668" spans="1:12" hidden="1" outlineLevel="1" collapsed="1" x14ac:dyDescent="0.35">
      <c r="A1668" s="112" t="s">
        <v>1814</v>
      </c>
      <c r="B1668" s="112" t="s">
        <v>906</v>
      </c>
      <c r="C1668" s="112" t="s">
        <v>695</v>
      </c>
      <c r="D1668" s="113">
        <v>10347977</v>
      </c>
      <c r="E1668" s="115">
        <v>43924</v>
      </c>
      <c r="F1668" s="114">
        <v>202101</v>
      </c>
      <c r="G1668" s="112" t="s">
        <v>1091</v>
      </c>
      <c r="H1668" s="112" t="s">
        <v>1015</v>
      </c>
      <c r="I1668" s="112" t="s">
        <v>749</v>
      </c>
      <c r="J1668" s="112" t="s">
        <v>1942</v>
      </c>
      <c r="K1668" s="112" t="s">
        <v>1943</v>
      </c>
      <c r="L1668" s="116">
        <v>-26</v>
      </c>
    </row>
    <row r="1669" spans="1:12" hidden="1" outlineLevel="1" collapsed="1" x14ac:dyDescent="0.35">
      <c r="A1669" s="112" t="s">
        <v>1814</v>
      </c>
      <c r="B1669" s="112" t="s">
        <v>906</v>
      </c>
      <c r="C1669" s="112" t="s">
        <v>695</v>
      </c>
      <c r="D1669" s="113">
        <v>10347954</v>
      </c>
      <c r="E1669" s="115">
        <v>43923</v>
      </c>
      <c r="F1669" s="114">
        <v>202101</v>
      </c>
      <c r="G1669" s="112" t="s">
        <v>1091</v>
      </c>
      <c r="H1669" s="112" t="s">
        <v>1015</v>
      </c>
      <c r="I1669" s="112" t="s">
        <v>813</v>
      </c>
      <c r="J1669" s="112" t="s">
        <v>1815</v>
      </c>
      <c r="K1669" s="112" t="s">
        <v>1833</v>
      </c>
      <c r="L1669" s="116">
        <v>-46.46</v>
      </c>
    </row>
    <row r="1670" spans="1:12" hidden="1" outlineLevel="1" collapsed="1" x14ac:dyDescent="0.35">
      <c r="A1670" s="112" t="s">
        <v>1814</v>
      </c>
      <c r="B1670" s="112" t="s">
        <v>905</v>
      </c>
      <c r="C1670" s="112" t="s">
        <v>1095</v>
      </c>
      <c r="D1670" s="113">
        <v>10348451</v>
      </c>
      <c r="E1670" s="115">
        <v>43949</v>
      </c>
      <c r="F1670" s="114">
        <v>202101</v>
      </c>
      <c r="G1670" s="112" t="s">
        <v>1091</v>
      </c>
      <c r="H1670" s="112" t="s">
        <v>1015</v>
      </c>
      <c r="I1670" s="112" t="s">
        <v>1096</v>
      </c>
      <c r="J1670" s="112" t="s">
        <v>1839</v>
      </c>
      <c r="K1670" s="112" t="s">
        <v>1098</v>
      </c>
      <c r="L1670" s="116">
        <v>299.3</v>
      </c>
    </row>
    <row r="1671" spans="1:12" hidden="1" outlineLevel="1" collapsed="1" x14ac:dyDescent="0.35">
      <c r="A1671" s="112" t="s">
        <v>1814</v>
      </c>
      <c r="B1671" s="112" t="s">
        <v>905</v>
      </c>
      <c r="C1671" s="112" t="s">
        <v>695</v>
      </c>
      <c r="D1671" s="113">
        <v>10347977</v>
      </c>
      <c r="E1671" s="115">
        <v>43924</v>
      </c>
      <c r="F1671" s="114">
        <v>202101</v>
      </c>
      <c r="G1671" s="112" t="s">
        <v>1091</v>
      </c>
      <c r="H1671" s="112" t="s">
        <v>1015</v>
      </c>
      <c r="I1671" s="112" t="s">
        <v>749</v>
      </c>
      <c r="J1671" s="112" t="s">
        <v>1822</v>
      </c>
      <c r="K1671" s="112" t="s">
        <v>1944</v>
      </c>
      <c r="L1671" s="116">
        <v>-141</v>
      </c>
    </row>
    <row r="1672" spans="1:12" hidden="1" outlineLevel="1" collapsed="1" x14ac:dyDescent="0.35">
      <c r="A1672" s="112" t="s">
        <v>1814</v>
      </c>
      <c r="B1672" s="112" t="s">
        <v>906</v>
      </c>
      <c r="C1672" s="112" t="s">
        <v>695</v>
      </c>
      <c r="D1672" s="113">
        <v>10347954</v>
      </c>
      <c r="E1672" s="115">
        <v>43923</v>
      </c>
      <c r="F1672" s="114">
        <v>202101</v>
      </c>
      <c r="G1672" s="112" t="s">
        <v>1091</v>
      </c>
      <c r="H1672" s="112" t="s">
        <v>1015</v>
      </c>
      <c r="I1672" s="112" t="s">
        <v>813</v>
      </c>
      <c r="J1672" s="112" t="s">
        <v>1815</v>
      </c>
      <c r="K1672" s="112" t="s">
        <v>1836</v>
      </c>
      <c r="L1672" s="116">
        <v>-633.9</v>
      </c>
    </row>
    <row r="1673" spans="1:12" hidden="1" outlineLevel="1" collapsed="1" x14ac:dyDescent="0.35">
      <c r="A1673" s="112" t="s">
        <v>1814</v>
      </c>
      <c r="B1673" s="112" t="s">
        <v>905</v>
      </c>
      <c r="C1673" s="112" t="s">
        <v>695</v>
      </c>
      <c r="D1673" s="113">
        <v>10347977</v>
      </c>
      <c r="E1673" s="115">
        <v>43924</v>
      </c>
      <c r="F1673" s="114">
        <v>202101</v>
      </c>
      <c r="G1673" s="112" t="s">
        <v>1091</v>
      </c>
      <c r="H1673" s="112" t="s">
        <v>1015</v>
      </c>
      <c r="I1673" s="112" t="s">
        <v>749</v>
      </c>
      <c r="J1673" s="112" t="s">
        <v>1822</v>
      </c>
      <c r="K1673" s="112" t="s">
        <v>1945</v>
      </c>
      <c r="L1673" s="116">
        <v>-70</v>
      </c>
    </row>
    <row r="1674" spans="1:12" hidden="1" outlineLevel="1" collapsed="1" x14ac:dyDescent="0.35">
      <c r="A1674" s="112" t="s">
        <v>1814</v>
      </c>
      <c r="B1674" s="112" t="s">
        <v>905</v>
      </c>
      <c r="C1674" s="112" t="s">
        <v>695</v>
      </c>
      <c r="D1674" s="113">
        <v>10347977</v>
      </c>
      <c r="E1674" s="115">
        <v>43924</v>
      </c>
      <c r="F1674" s="114">
        <v>202101</v>
      </c>
      <c r="G1674" s="112" t="s">
        <v>1091</v>
      </c>
      <c r="H1674" s="112" t="s">
        <v>1015</v>
      </c>
      <c r="I1674" s="112" t="s">
        <v>757</v>
      </c>
      <c r="J1674" s="112" t="s">
        <v>1822</v>
      </c>
      <c r="K1674" s="112" t="s">
        <v>1946</v>
      </c>
      <c r="L1674" s="116">
        <v>-32</v>
      </c>
    </row>
    <row r="1675" spans="1:12" hidden="1" outlineLevel="1" collapsed="1" x14ac:dyDescent="0.35">
      <c r="A1675" s="112" t="s">
        <v>1814</v>
      </c>
      <c r="B1675" s="112" t="s">
        <v>905</v>
      </c>
      <c r="C1675" s="112" t="s">
        <v>1095</v>
      </c>
      <c r="D1675" s="113">
        <v>10348451</v>
      </c>
      <c r="E1675" s="115">
        <v>43949</v>
      </c>
      <c r="F1675" s="114">
        <v>202101</v>
      </c>
      <c r="G1675" s="112" t="s">
        <v>1091</v>
      </c>
      <c r="H1675" s="112" t="s">
        <v>1015</v>
      </c>
      <c r="I1675" s="112" t="s">
        <v>1101</v>
      </c>
      <c r="J1675" s="112" t="s">
        <v>1839</v>
      </c>
      <c r="K1675" s="112" t="s">
        <v>1098</v>
      </c>
      <c r="L1675" s="116">
        <v>469.93</v>
      </c>
    </row>
    <row r="1676" spans="1:12" hidden="1" outlineLevel="1" collapsed="1" x14ac:dyDescent="0.35">
      <c r="A1676" s="112" t="s">
        <v>1814</v>
      </c>
      <c r="B1676" s="112" t="s">
        <v>904</v>
      </c>
      <c r="C1676" s="112" t="s">
        <v>1095</v>
      </c>
      <c r="D1676" s="113">
        <v>10348451</v>
      </c>
      <c r="E1676" s="115">
        <v>43949</v>
      </c>
      <c r="F1676" s="114">
        <v>202101</v>
      </c>
      <c r="G1676" s="112" t="s">
        <v>1091</v>
      </c>
      <c r="H1676" s="112" t="s">
        <v>1015</v>
      </c>
      <c r="I1676" s="112" t="s">
        <v>1096</v>
      </c>
      <c r="J1676" s="112" t="s">
        <v>1838</v>
      </c>
      <c r="K1676" s="112" t="s">
        <v>1098</v>
      </c>
      <c r="L1676" s="116">
        <v>411.93</v>
      </c>
    </row>
    <row r="1677" spans="1:12" hidden="1" outlineLevel="1" collapsed="1" x14ac:dyDescent="0.35">
      <c r="A1677" s="112" t="s">
        <v>1814</v>
      </c>
      <c r="B1677" s="112" t="s">
        <v>906</v>
      </c>
      <c r="C1677" s="112" t="s">
        <v>695</v>
      </c>
      <c r="D1677" s="113">
        <v>10347954</v>
      </c>
      <c r="E1677" s="115">
        <v>43923</v>
      </c>
      <c r="F1677" s="114">
        <v>202101</v>
      </c>
      <c r="G1677" s="112" t="s">
        <v>1091</v>
      </c>
      <c r="H1677" s="112" t="s">
        <v>1015</v>
      </c>
      <c r="I1677" s="112" t="s">
        <v>1820</v>
      </c>
      <c r="J1677" s="112" t="s">
        <v>1815</v>
      </c>
      <c r="K1677" s="112" t="s">
        <v>1947</v>
      </c>
      <c r="L1677" s="116">
        <v>-751.87</v>
      </c>
    </row>
    <row r="1678" spans="1:12" hidden="1" outlineLevel="1" collapsed="1" x14ac:dyDescent="0.35">
      <c r="A1678" s="112" t="s">
        <v>1814</v>
      </c>
      <c r="B1678" s="112" t="s">
        <v>906</v>
      </c>
      <c r="C1678" s="112" t="s">
        <v>695</v>
      </c>
      <c r="D1678" s="113">
        <v>10347954</v>
      </c>
      <c r="E1678" s="115">
        <v>43923</v>
      </c>
      <c r="F1678" s="114">
        <v>202101</v>
      </c>
      <c r="G1678" s="112" t="s">
        <v>1091</v>
      </c>
      <c r="H1678" s="112" t="s">
        <v>1015</v>
      </c>
      <c r="I1678" s="112" t="s">
        <v>813</v>
      </c>
      <c r="J1678" s="112" t="s">
        <v>1815</v>
      </c>
      <c r="K1678" s="112" t="s">
        <v>1891</v>
      </c>
      <c r="L1678" s="116">
        <v>-193.59</v>
      </c>
    </row>
    <row r="1679" spans="1:12" hidden="1" outlineLevel="1" collapsed="1" x14ac:dyDescent="0.35">
      <c r="A1679" s="112" t="s">
        <v>1814</v>
      </c>
      <c r="B1679" s="112" t="s">
        <v>906</v>
      </c>
      <c r="C1679" s="112" t="s">
        <v>695</v>
      </c>
      <c r="D1679" s="113">
        <v>10347954</v>
      </c>
      <c r="E1679" s="115">
        <v>43923</v>
      </c>
      <c r="F1679" s="114">
        <v>202101</v>
      </c>
      <c r="G1679" s="112" t="s">
        <v>1091</v>
      </c>
      <c r="H1679" s="112" t="s">
        <v>1015</v>
      </c>
      <c r="I1679" s="112" t="s">
        <v>813</v>
      </c>
      <c r="J1679" s="112" t="s">
        <v>1815</v>
      </c>
      <c r="K1679" s="112" t="s">
        <v>1833</v>
      </c>
      <c r="L1679" s="116">
        <v>-241.76</v>
      </c>
    </row>
    <row r="1680" spans="1:12" hidden="1" outlineLevel="1" collapsed="1" x14ac:dyDescent="0.35">
      <c r="A1680" s="112" t="s">
        <v>1814</v>
      </c>
      <c r="B1680" s="112" t="s">
        <v>906</v>
      </c>
      <c r="C1680" s="112" t="s">
        <v>1095</v>
      </c>
      <c r="D1680" s="113">
        <v>10348451</v>
      </c>
      <c r="E1680" s="115">
        <v>43949</v>
      </c>
      <c r="F1680" s="114">
        <v>202101</v>
      </c>
      <c r="G1680" s="112" t="s">
        <v>1091</v>
      </c>
      <c r="H1680" s="112" t="s">
        <v>1015</v>
      </c>
      <c r="I1680" s="112" t="s">
        <v>1101</v>
      </c>
      <c r="J1680" s="112" t="s">
        <v>1852</v>
      </c>
      <c r="K1680" s="112" t="s">
        <v>1098</v>
      </c>
      <c r="L1680" s="116">
        <v>549.4</v>
      </c>
    </row>
    <row r="1681" spans="1:12" hidden="1" outlineLevel="1" collapsed="1" x14ac:dyDescent="0.35">
      <c r="A1681" s="112" t="s">
        <v>1814</v>
      </c>
      <c r="B1681" s="112" t="s">
        <v>905</v>
      </c>
      <c r="C1681" s="112" t="s">
        <v>1095</v>
      </c>
      <c r="D1681" s="113">
        <v>10348451</v>
      </c>
      <c r="E1681" s="115">
        <v>43949</v>
      </c>
      <c r="F1681" s="114">
        <v>202101</v>
      </c>
      <c r="G1681" s="112" t="s">
        <v>1091</v>
      </c>
      <c r="H1681" s="112" t="s">
        <v>1015</v>
      </c>
      <c r="I1681" s="112" t="s">
        <v>1101</v>
      </c>
      <c r="J1681" s="112" t="s">
        <v>1827</v>
      </c>
      <c r="K1681" s="112" t="s">
        <v>1098</v>
      </c>
      <c r="L1681" s="116">
        <v>529.83000000000004</v>
      </c>
    </row>
    <row r="1682" spans="1:12" hidden="1" outlineLevel="1" collapsed="1" x14ac:dyDescent="0.35">
      <c r="A1682" s="112" t="s">
        <v>1814</v>
      </c>
      <c r="B1682" s="112" t="s">
        <v>906</v>
      </c>
      <c r="C1682" s="112" t="s">
        <v>695</v>
      </c>
      <c r="D1682" s="113">
        <v>10347954</v>
      </c>
      <c r="E1682" s="115">
        <v>43923</v>
      </c>
      <c r="F1682" s="114">
        <v>202101</v>
      </c>
      <c r="G1682" s="112" t="s">
        <v>1091</v>
      </c>
      <c r="H1682" s="112" t="s">
        <v>1015</v>
      </c>
      <c r="I1682" s="112" t="s">
        <v>1820</v>
      </c>
      <c r="J1682" s="112" t="s">
        <v>1815</v>
      </c>
      <c r="K1682" s="112" t="s">
        <v>1948</v>
      </c>
      <c r="L1682" s="116">
        <v>-116.67</v>
      </c>
    </row>
    <row r="1683" spans="1:12" hidden="1" outlineLevel="1" collapsed="1" x14ac:dyDescent="0.35">
      <c r="A1683" s="112" t="s">
        <v>1814</v>
      </c>
      <c r="B1683" s="112" t="s">
        <v>906</v>
      </c>
      <c r="C1683" s="112" t="s">
        <v>695</v>
      </c>
      <c r="D1683" s="113">
        <v>10347954</v>
      </c>
      <c r="E1683" s="115">
        <v>43923</v>
      </c>
      <c r="F1683" s="114">
        <v>202101</v>
      </c>
      <c r="G1683" s="112" t="s">
        <v>1091</v>
      </c>
      <c r="H1683" s="112" t="s">
        <v>1015</v>
      </c>
      <c r="I1683" s="112" t="s">
        <v>813</v>
      </c>
      <c r="J1683" s="112" t="s">
        <v>1815</v>
      </c>
      <c r="K1683" s="112" t="s">
        <v>1949</v>
      </c>
      <c r="L1683" s="116">
        <v>-262.5</v>
      </c>
    </row>
    <row r="1684" spans="1:12" hidden="1" outlineLevel="1" collapsed="1" x14ac:dyDescent="0.35">
      <c r="A1684" s="112" t="s">
        <v>1814</v>
      </c>
      <c r="B1684" s="112" t="s">
        <v>905</v>
      </c>
      <c r="C1684" s="112" t="s">
        <v>695</v>
      </c>
      <c r="D1684" s="113">
        <v>10348138</v>
      </c>
      <c r="E1684" s="115">
        <v>43930</v>
      </c>
      <c r="F1684" s="114">
        <v>202101</v>
      </c>
      <c r="G1684" s="112" t="s">
        <v>1091</v>
      </c>
      <c r="H1684" s="112" t="s">
        <v>1015</v>
      </c>
      <c r="I1684" s="112" t="s">
        <v>1950</v>
      </c>
      <c r="J1684" s="112" t="s">
        <v>1839</v>
      </c>
      <c r="K1684" s="112" t="s">
        <v>1951</v>
      </c>
      <c r="L1684" s="116">
        <v>1157.04</v>
      </c>
    </row>
    <row r="1685" spans="1:12" hidden="1" outlineLevel="1" collapsed="1" x14ac:dyDescent="0.35">
      <c r="A1685" s="112" t="s">
        <v>1814</v>
      </c>
      <c r="B1685" s="112" t="s">
        <v>905</v>
      </c>
      <c r="C1685" s="112" t="s">
        <v>1219</v>
      </c>
      <c r="D1685" s="113">
        <v>46307965</v>
      </c>
      <c r="E1685" s="115">
        <v>43948</v>
      </c>
      <c r="F1685" s="114">
        <v>202101</v>
      </c>
      <c r="G1685" s="112" t="s">
        <v>1091</v>
      </c>
      <c r="H1685" s="112" t="s">
        <v>1015</v>
      </c>
      <c r="I1685" s="112" t="s">
        <v>1952</v>
      </c>
      <c r="J1685" s="112" t="s">
        <v>1817</v>
      </c>
      <c r="K1685" s="112" t="s">
        <v>1953</v>
      </c>
      <c r="L1685" s="116">
        <v>1820</v>
      </c>
    </row>
    <row r="1686" spans="1:12" hidden="1" outlineLevel="1" collapsed="1" x14ac:dyDescent="0.35">
      <c r="A1686" s="112" t="s">
        <v>1814</v>
      </c>
      <c r="B1686" s="112" t="s">
        <v>905</v>
      </c>
      <c r="C1686" s="112" t="s">
        <v>1219</v>
      </c>
      <c r="D1686" s="113">
        <v>46307966</v>
      </c>
      <c r="E1686" s="115">
        <v>43948</v>
      </c>
      <c r="F1686" s="114">
        <v>202101</v>
      </c>
      <c r="G1686" s="112" t="s">
        <v>1091</v>
      </c>
      <c r="H1686" s="112" t="s">
        <v>1015</v>
      </c>
      <c r="I1686" s="112" t="s">
        <v>1952</v>
      </c>
      <c r="J1686" s="112" t="s">
        <v>1817</v>
      </c>
      <c r="K1686" s="112" t="s">
        <v>1954</v>
      </c>
      <c r="L1686" s="116">
        <v>1050</v>
      </c>
    </row>
    <row r="1687" spans="1:12" hidden="1" outlineLevel="1" collapsed="1" x14ac:dyDescent="0.35">
      <c r="A1687" s="112" t="s">
        <v>1814</v>
      </c>
      <c r="B1687" s="112" t="s">
        <v>905</v>
      </c>
      <c r="C1687" s="112" t="s">
        <v>1219</v>
      </c>
      <c r="D1687" s="113">
        <v>46307969</v>
      </c>
      <c r="E1687" s="115">
        <v>43944</v>
      </c>
      <c r="F1687" s="114">
        <v>202101</v>
      </c>
      <c r="G1687" s="112" t="s">
        <v>1091</v>
      </c>
      <c r="H1687" s="112" t="s">
        <v>1015</v>
      </c>
      <c r="I1687" s="112" t="s">
        <v>1952</v>
      </c>
      <c r="J1687" s="112" t="s">
        <v>1817</v>
      </c>
      <c r="K1687" s="112" t="s">
        <v>1955</v>
      </c>
      <c r="L1687" s="116">
        <v>1096.8</v>
      </c>
    </row>
    <row r="1688" spans="1:12" hidden="1" outlineLevel="1" collapsed="1" x14ac:dyDescent="0.35">
      <c r="A1688" s="112" t="s">
        <v>1814</v>
      </c>
      <c r="B1688" s="112" t="s">
        <v>905</v>
      </c>
      <c r="C1688" s="112" t="s">
        <v>1219</v>
      </c>
      <c r="D1688" s="113">
        <v>46307967</v>
      </c>
      <c r="E1688" s="115">
        <v>43945</v>
      </c>
      <c r="F1688" s="114">
        <v>202101</v>
      </c>
      <c r="G1688" s="112" t="s">
        <v>1091</v>
      </c>
      <c r="H1688" s="112" t="s">
        <v>1015</v>
      </c>
      <c r="I1688" s="112" t="s">
        <v>1956</v>
      </c>
      <c r="J1688" s="112" t="s">
        <v>1817</v>
      </c>
      <c r="K1688" s="112" t="s">
        <v>1957</v>
      </c>
      <c r="L1688" s="116">
        <v>1050</v>
      </c>
    </row>
    <row r="1689" spans="1:12" hidden="1" outlineLevel="1" collapsed="1" x14ac:dyDescent="0.35">
      <c r="A1689" s="112" t="s">
        <v>1814</v>
      </c>
      <c r="B1689" s="112" t="s">
        <v>905</v>
      </c>
      <c r="C1689" s="112" t="s">
        <v>1219</v>
      </c>
      <c r="D1689" s="113">
        <v>46307968</v>
      </c>
      <c r="E1689" s="115">
        <v>43944</v>
      </c>
      <c r="F1689" s="114">
        <v>202101</v>
      </c>
      <c r="G1689" s="112" t="s">
        <v>1091</v>
      </c>
      <c r="H1689" s="112" t="s">
        <v>1015</v>
      </c>
      <c r="I1689" s="112" t="s">
        <v>1952</v>
      </c>
      <c r="J1689" s="112" t="s">
        <v>1817</v>
      </c>
      <c r="K1689" s="112" t="s">
        <v>1958</v>
      </c>
      <c r="L1689" s="116">
        <v>500</v>
      </c>
    </row>
    <row r="1690" spans="1:12" hidden="1" outlineLevel="1" collapsed="1" x14ac:dyDescent="0.35">
      <c r="A1690" s="112" t="s">
        <v>1814</v>
      </c>
      <c r="B1690" s="112" t="s">
        <v>905</v>
      </c>
      <c r="C1690" s="112" t="s">
        <v>695</v>
      </c>
      <c r="D1690" s="113">
        <v>10348509</v>
      </c>
      <c r="E1690" s="115">
        <v>43949</v>
      </c>
      <c r="F1690" s="114">
        <v>202101</v>
      </c>
      <c r="G1690" s="112" t="s">
        <v>1091</v>
      </c>
      <c r="H1690" s="112" t="s">
        <v>1015</v>
      </c>
      <c r="I1690" s="112" t="s">
        <v>1605</v>
      </c>
      <c r="J1690" s="112" t="s">
        <v>1959</v>
      </c>
      <c r="K1690" s="112" t="s">
        <v>1960</v>
      </c>
      <c r="L1690" s="116">
        <v>-209118</v>
      </c>
    </row>
    <row r="1691" spans="1:12" hidden="1" outlineLevel="1" collapsed="1" x14ac:dyDescent="0.35">
      <c r="A1691" s="112" t="s">
        <v>1814</v>
      </c>
      <c r="B1691" s="112" t="s">
        <v>905</v>
      </c>
      <c r="C1691" s="112" t="s">
        <v>695</v>
      </c>
      <c r="D1691" s="113">
        <v>10348509</v>
      </c>
      <c r="E1691" s="115">
        <v>43949</v>
      </c>
      <c r="F1691" s="114">
        <v>202101</v>
      </c>
      <c r="G1691" s="112" t="s">
        <v>1091</v>
      </c>
      <c r="H1691" s="112" t="s">
        <v>1015</v>
      </c>
      <c r="I1691" s="112" t="s">
        <v>1605</v>
      </c>
      <c r="J1691" s="112" t="s">
        <v>1959</v>
      </c>
      <c r="K1691" s="112" t="s">
        <v>1961</v>
      </c>
      <c r="L1691" s="116">
        <v>-118190</v>
      </c>
    </row>
    <row r="1692" spans="1:12" hidden="1" outlineLevel="1" collapsed="1" x14ac:dyDescent="0.35">
      <c r="A1692" s="112" t="s">
        <v>1814</v>
      </c>
      <c r="B1692" s="112" t="s">
        <v>905</v>
      </c>
      <c r="C1692" s="112" t="s">
        <v>695</v>
      </c>
      <c r="D1692" s="113">
        <v>10348509</v>
      </c>
      <c r="E1692" s="115">
        <v>43949</v>
      </c>
      <c r="F1692" s="114">
        <v>202101</v>
      </c>
      <c r="G1692" s="112" t="s">
        <v>1091</v>
      </c>
      <c r="H1692" s="112" t="s">
        <v>1015</v>
      </c>
      <c r="I1692" s="112" t="s">
        <v>1605</v>
      </c>
      <c r="J1692" s="112" t="s">
        <v>1959</v>
      </c>
      <c r="K1692" s="112" t="s">
        <v>1962</v>
      </c>
      <c r="L1692" s="116">
        <v>-111688</v>
      </c>
    </row>
    <row r="1693" spans="1:12" hidden="1" outlineLevel="1" collapsed="1" x14ac:dyDescent="0.35">
      <c r="A1693" s="112" t="s">
        <v>1814</v>
      </c>
      <c r="B1693" s="112" t="s">
        <v>905</v>
      </c>
      <c r="C1693" s="112" t="s">
        <v>695</v>
      </c>
      <c r="D1693" s="113">
        <v>10348509</v>
      </c>
      <c r="E1693" s="115">
        <v>43949</v>
      </c>
      <c r="F1693" s="114">
        <v>202101</v>
      </c>
      <c r="G1693" s="112" t="s">
        <v>1091</v>
      </c>
      <c r="H1693" s="112" t="s">
        <v>1015</v>
      </c>
      <c r="I1693" s="112" t="s">
        <v>1605</v>
      </c>
      <c r="J1693" s="112" t="s">
        <v>1959</v>
      </c>
      <c r="K1693" s="112" t="s">
        <v>1963</v>
      </c>
      <c r="L1693" s="116">
        <v>-80256</v>
      </c>
    </row>
    <row r="1694" spans="1:12" hidden="1" outlineLevel="1" collapsed="1" x14ac:dyDescent="0.35">
      <c r="A1694" s="112" t="s">
        <v>1814</v>
      </c>
      <c r="B1694" s="112" t="s">
        <v>905</v>
      </c>
      <c r="C1694" s="112" t="s">
        <v>695</v>
      </c>
      <c r="D1694" s="113">
        <v>10348136</v>
      </c>
      <c r="E1694" s="115">
        <v>43930</v>
      </c>
      <c r="F1694" s="114">
        <v>202101</v>
      </c>
      <c r="G1694" s="112" t="s">
        <v>1091</v>
      </c>
      <c r="H1694" s="112" t="s">
        <v>1015</v>
      </c>
      <c r="I1694" s="112" t="s">
        <v>1964</v>
      </c>
      <c r="J1694" s="112" t="s">
        <v>1827</v>
      </c>
      <c r="K1694" s="112" t="s">
        <v>1965</v>
      </c>
      <c r="L1694" s="116">
        <v>873.75</v>
      </c>
    </row>
    <row r="1695" spans="1:12" hidden="1" outlineLevel="1" collapsed="1" x14ac:dyDescent="0.35">
      <c r="A1695" s="112" t="s">
        <v>1814</v>
      </c>
      <c r="B1695" s="112" t="s">
        <v>905</v>
      </c>
      <c r="C1695" s="112" t="s">
        <v>695</v>
      </c>
      <c r="D1695" s="113">
        <v>10348136</v>
      </c>
      <c r="E1695" s="115">
        <v>43930</v>
      </c>
      <c r="F1695" s="114">
        <v>202101</v>
      </c>
      <c r="G1695" s="112" t="s">
        <v>1091</v>
      </c>
      <c r="H1695" s="112" t="s">
        <v>1015</v>
      </c>
      <c r="I1695" s="112" t="s">
        <v>1966</v>
      </c>
      <c r="J1695" s="112" t="s">
        <v>1839</v>
      </c>
      <c r="K1695" s="112" t="s">
        <v>1967</v>
      </c>
      <c r="L1695" s="116">
        <v>-5492</v>
      </c>
    </row>
    <row r="1696" spans="1:12" hidden="1" outlineLevel="1" collapsed="1" x14ac:dyDescent="0.35">
      <c r="A1696" s="112" t="s">
        <v>1814</v>
      </c>
      <c r="B1696" s="112" t="s">
        <v>905</v>
      </c>
      <c r="C1696" s="112" t="s">
        <v>695</v>
      </c>
      <c r="D1696" s="113">
        <v>10348136</v>
      </c>
      <c r="E1696" s="115">
        <v>43930</v>
      </c>
      <c r="F1696" s="114">
        <v>202101</v>
      </c>
      <c r="G1696" s="112" t="s">
        <v>1091</v>
      </c>
      <c r="H1696" s="112" t="s">
        <v>1015</v>
      </c>
      <c r="I1696" s="112" t="s">
        <v>1968</v>
      </c>
      <c r="J1696" s="112" t="s">
        <v>1817</v>
      </c>
      <c r="K1696" s="112" t="s">
        <v>1969</v>
      </c>
      <c r="L1696" s="116">
        <v>-48609</v>
      </c>
    </row>
    <row r="1697" spans="1:12" hidden="1" outlineLevel="1" collapsed="1" x14ac:dyDescent="0.35">
      <c r="A1697" s="112" t="s">
        <v>1814</v>
      </c>
      <c r="B1697" s="112" t="s">
        <v>905</v>
      </c>
      <c r="C1697" s="112" t="s">
        <v>695</v>
      </c>
      <c r="D1697" s="113">
        <v>10348136</v>
      </c>
      <c r="E1697" s="115">
        <v>43930</v>
      </c>
      <c r="F1697" s="114">
        <v>202101</v>
      </c>
      <c r="G1697" s="112" t="s">
        <v>1091</v>
      </c>
      <c r="H1697" s="112" t="s">
        <v>1015</v>
      </c>
      <c r="I1697" s="112" t="s">
        <v>1605</v>
      </c>
      <c r="J1697" s="112" t="s">
        <v>1842</v>
      </c>
      <c r="K1697" s="112" t="s">
        <v>1970</v>
      </c>
      <c r="L1697" s="116">
        <v>-675</v>
      </c>
    </row>
    <row r="1698" spans="1:12" hidden="1" outlineLevel="1" collapsed="1" x14ac:dyDescent="0.35">
      <c r="A1698" s="112" t="s">
        <v>1814</v>
      </c>
      <c r="B1698" s="112" t="s">
        <v>905</v>
      </c>
      <c r="C1698" s="112" t="s">
        <v>695</v>
      </c>
      <c r="D1698" s="113">
        <v>10348136</v>
      </c>
      <c r="E1698" s="115">
        <v>43930</v>
      </c>
      <c r="F1698" s="114">
        <v>202101</v>
      </c>
      <c r="G1698" s="112" t="s">
        <v>1091</v>
      </c>
      <c r="H1698" s="112" t="s">
        <v>1015</v>
      </c>
      <c r="I1698" s="112" t="s">
        <v>1952</v>
      </c>
      <c r="J1698" s="112" t="s">
        <v>1971</v>
      </c>
      <c r="K1698" s="112" t="s">
        <v>1972</v>
      </c>
      <c r="L1698" s="116">
        <v>209102.4</v>
      </c>
    </row>
    <row r="1699" spans="1:12" hidden="1" outlineLevel="1" collapsed="1" x14ac:dyDescent="0.35">
      <c r="A1699" s="112" t="s">
        <v>1814</v>
      </c>
      <c r="B1699" s="112" t="s">
        <v>905</v>
      </c>
      <c r="C1699" s="112" t="s">
        <v>695</v>
      </c>
      <c r="D1699" s="113">
        <v>10348136</v>
      </c>
      <c r="E1699" s="115">
        <v>43930</v>
      </c>
      <c r="F1699" s="114">
        <v>202101</v>
      </c>
      <c r="G1699" s="112" t="s">
        <v>1091</v>
      </c>
      <c r="H1699" s="112" t="s">
        <v>1015</v>
      </c>
      <c r="I1699" s="112" t="s">
        <v>1964</v>
      </c>
      <c r="J1699" s="112" t="s">
        <v>1827</v>
      </c>
      <c r="K1699" s="112" t="s">
        <v>1973</v>
      </c>
      <c r="L1699" s="116">
        <v>10980.37</v>
      </c>
    </row>
    <row r="1700" spans="1:12" hidden="1" outlineLevel="1" collapsed="1" x14ac:dyDescent="0.35">
      <c r="A1700" s="112" t="s">
        <v>1814</v>
      </c>
      <c r="B1700" s="112" t="s">
        <v>905</v>
      </c>
      <c r="C1700" s="112" t="s">
        <v>695</v>
      </c>
      <c r="D1700" s="113">
        <v>10348138</v>
      </c>
      <c r="E1700" s="115">
        <v>43930</v>
      </c>
      <c r="F1700" s="114">
        <v>202101</v>
      </c>
      <c r="G1700" s="112" t="s">
        <v>1091</v>
      </c>
      <c r="H1700" s="112" t="s">
        <v>1015</v>
      </c>
      <c r="I1700" s="112" t="s">
        <v>1950</v>
      </c>
      <c r="J1700" s="112" t="s">
        <v>1839</v>
      </c>
      <c r="K1700" s="112" t="s">
        <v>1951</v>
      </c>
      <c r="L1700" s="116">
        <v>49143.9</v>
      </c>
    </row>
    <row r="1701" spans="1:12" hidden="1" outlineLevel="1" collapsed="1" x14ac:dyDescent="0.35">
      <c r="A1701" s="112" t="s">
        <v>1814</v>
      </c>
      <c r="B1701" s="112" t="s">
        <v>905</v>
      </c>
      <c r="C1701" s="112" t="s">
        <v>1219</v>
      </c>
      <c r="D1701" s="113">
        <v>46307962</v>
      </c>
      <c r="E1701" s="115">
        <v>43945</v>
      </c>
      <c r="F1701" s="114">
        <v>202101</v>
      </c>
      <c r="G1701" s="112" t="s">
        <v>1091</v>
      </c>
      <c r="H1701" s="112" t="s">
        <v>1015</v>
      </c>
      <c r="I1701" s="112" t="s">
        <v>1956</v>
      </c>
      <c r="J1701" s="112" t="s">
        <v>1817</v>
      </c>
      <c r="K1701" s="112" t="s">
        <v>1974</v>
      </c>
      <c r="L1701" s="116">
        <v>900</v>
      </c>
    </row>
    <row r="1702" spans="1:12" hidden="1" outlineLevel="1" collapsed="1" x14ac:dyDescent="0.35">
      <c r="A1702" s="112" t="s">
        <v>1814</v>
      </c>
      <c r="B1702" s="112" t="s">
        <v>905</v>
      </c>
      <c r="C1702" s="112" t="s">
        <v>695</v>
      </c>
      <c r="D1702" s="113">
        <v>10348138</v>
      </c>
      <c r="E1702" s="115">
        <v>43930</v>
      </c>
      <c r="F1702" s="114">
        <v>202101</v>
      </c>
      <c r="G1702" s="112" t="s">
        <v>1091</v>
      </c>
      <c r="H1702" s="112" t="s">
        <v>1015</v>
      </c>
      <c r="I1702" s="112" t="s">
        <v>1950</v>
      </c>
      <c r="J1702" s="112" t="s">
        <v>1839</v>
      </c>
      <c r="K1702" s="112" t="s">
        <v>1951</v>
      </c>
      <c r="L1702" s="116">
        <v>-49143.9</v>
      </c>
    </row>
    <row r="1703" spans="1:12" hidden="1" outlineLevel="1" collapsed="1" x14ac:dyDescent="0.35">
      <c r="A1703" s="112" t="s">
        <v>1814</v>
      </c>
      <c r="B1703" s="112" t="s">
        <v>905</v>
      </c>
      <c r="C1703" s="112" t="s">
        <v>695</v>
      </c>
      <c r="D1703" s="113">
        <v>10348138</v>
      </c>
      <c r="E1703" s="115">
        <v>43930</v>
      </c>
      <c r="F1703" s="114">
        <v>202101</v>
      </c>
      <c r="G1703" s="112" t="s">
        <v>1091</v>
      </c>
      <c r="H1703" s="112" t="s">
        <v>1015</v>
      </c>
      <c r="I1703" s="112" t="s">
        <v>1950</v>
      </c>
      <c r="J1703" s="112" t="s">
        <v>1839</v>
      </c>
      <c r="K1703" s="112" t="s">
        <v>1951</v>
      </c>
      <c r="L1703" s="116">
        <v>-1157.04</v>
      </c>
    </row>
    <row r="1704" spans="1:12" hidden="1" outlineLevel="1" collapsed="1" x14ac:dyDescent="0.35">
      <c r="A1704" s="112" t="s">
        <v>1814</v>
      </c>
      <c r="B1704" s="112" t="s">
        <v>905</v>
      </c>
      <c r="C1704" s="112" t="s">
        <v>695</v>
      </c>
      <c r="D1704" s="113">
        <v>10348335</v>
      </c>
      <c r="E1704" s="115">
        <v>43941</v>
      </c>
      <c r="F1704" s="114">
        <v>202101</v>
      </c>
      <c r="G1704" s="112" t="s">
        <v>1091</v>
      </c>
      <c r="H1704" s="112" t="s">
        <v>1016</v>
      </c>
      <c r="I1704" s="112" t="s">
        <v>1131</v>
      </c>
      <c r="J1704" s="112" t="s">
        <v>1842</v>
      </c>
      <c r="K1704" s="112" t="s">
        <v>1975</v>
      </c>
      <c r="L1704" s="116">
        <v>-44672.93</v>
      </c>
    </row>
    <row r="1705" spans="1:12" hidden="1" outlineLevel="1" collapsed="1" x14ac:dyDescent="0.35">
      <c r="A1705" s="112" t="s">
        <v>1814</v>
      </c>
      <c r="B1705" s="112" t="s">
        <v>906</v>
      </c>
      <c r="C1705" s="112" t="s">
        <v>695</v>
      </c>
      <c r="D1705" s="113">
        <v>10348335</v>
      </c>
      <c r="E1705" s="115">
        <v>43941</v>
      </c>
      <c r="F1705" s="114">
        <v>202101</v>
      </c>
      <c r="G1705" s="112" t="s">
        <v>1091</v>
      </c>
      <c r="H1705" s="112" t="s">
        <v>1016</v>
      </c>
      <c r="I1705" s="112" t="s">
        <v>779</v>
      </c>
      <c r="J1705" s="112" t="s">
        <v>1815</v>
      </c>
      <c r="K1705" s="112" t="s">
        <v>1976</v>
      </c>
      <c r="L1705" s="116">
        <v>488.83</v>
      </c>
    </row>
    <row r="1706" spans="1:12" hidden="1" outlineLevel="1" collapsed="1" x14ac:dyDescent="0.35">
      <c r="A1706" s="112" t="s">
        <v>1814</v>
      </c>
      <c r="B1706" s="112" t="s">
        <v>906</v>
      </c>
      <c r="C1706" s="112" t="s">
        <v>695</v>
      </c>
      <c r="D1706" s="113">
        <v>10348335</v>
      </c>
      <c r="E1706" s="115">
        <v>43941</v>
      </c>
      <c r="F1706" s="114">
        <v>202101</v>
      </c>
      <c r="G1706" s="112" t="s">
        <v>1091</v>
      </c>
      <c r="H1706" s="112" t="s">
        <v>1016</v>
      </c>
      <c r="I1706" s="112" t="s">
        <v>779</v>
      </c>
      <c r="J1706" s="112" t="s">
        <v>1815</v>
      </c>
      <c r="K1706" s="112" t="s">
        <v>1977</v>
      </c>
      <c r="L1706" s="116">
        <v>5671.64</v>
      </c>
    </row>
    <row r="1707" spans="1:12" hidden="1" outlineLevel="1" collapsed="1" x14ac:dyDescent="0.35">
      <c r="A1707" s="112" t="s">
        <v>1814</v>
      </c>
      <c r="B1707" s="112" t="s">
        <v>906</v>
      </c>
      <c r="C1707" s="112" t="s">
        <v>695</v>
      </c>
      <c r="D1707" s="113">
        <v>10348335</v>
      </c>
      <c r="E1707" s="115">
        <v>43941</v>
      </c>
      <c r="F1707" s="114">
        <v>202101</v>
      </c>
      <c r="G1707" s="112" t="s">
        <v>1091</v>
      </c>
      <c r="H1707" s="112" t="s">
        <v>1016</v>
      </c>
      <c r="I1707" s="112" t="s">
        <v>779</v>
      </c>
      <c r="J1707" s="112" t="s">
        <v>1815</v>
      </c>
      <c r="K1707" s="112" t="s">
        <v>1978</v>
      </c>
      <c r="L1707" s="116">
        <v>2803.16</v>
      </c>
    </row>
    <row r="1708" spans="1:12" hidden="1" outlineLevel="1" collapsed="1" x14ac:dyDescent="0.35">
      <c r="A1708" s="112" t="s">
        <v>1814</v>
      </c>
      <c r="B1708" s="112" t="s">
        <v>906</v>
      </c>
      <c r="C1708" s="112" t="s">
        <v>695</v>
      </c>
      <c r="D1708" s="113">
        <v>10348335</v>
      </c>
      <c r="E1708" s="115">
        <v>43941</v>
      </c>
      <c r="F1708" s="114">
        <v>202101</v>
      </c>
      <c r="G1708" s="112" t="s">
        <v>1091</v>
      </c>
      <c r="H1708" s="112" t="s">
        <v>1016</v>
      </c>
      <c r="I1708" s="112" t="s">
        <v>779</v>
      </c>
      <c r="J1708" s="112" t="s">
        <v>1815</v>
      </c>
      <c r="K1708" s="112" t="s">
        <v>1979</v>
      </c>
      <c r="L1708" s="116">
        <v>2275.1999999999998</v>
      </c>
    </row>
    <row r="1709" spans="1:12" hidden="1" outlineLevel="1" collapsed="1" x14ac:dyDescent="0.35">
      <c r="A1709" s="112" t="s">
        <v>1814</v>
      </c>
      <c r="B1709" s="112" t="s">
        <v>906</v>
      </c>
      <c r="C1709" s="112" t="s">
        <v>695</v>
      </c>
      <c r="D1709" s="113">
        <v>10348335</v>
      </c>
      <c r="E1709" s="115">
        <v>43941</v>
      </c>
      <c r="F1709" s="114">
        <v>202101</v>
      </c>
      <c r="G1709" s="112" t="s">
        <v>1091</v>
      </c>
      <c r="H1709" s="112" t="s">
        <v>1016</v>
      </c>
      <c r="I1709" s="112" t="s">
        <v>779</v>
      </c>
      <c r="J1709" s="112" t="s">
        <v>1815</v>
      </c>
      <c r="K1709" s="112" t="s">
        <v>1980</v>
      </c>
      <c r="L1709" s="116">
        <v>2126.25</v>
      </c>
    </row>
    <row r="1710" spans="1:12" hidden="1" outlineLevel="1" collapsed="1" x14ac:dyDescent="0.35">
      <c r="A1710" s="112" t="s">
        <v>1814</v>
      </c>
      <c r="B1710" s="112" t="s">
        <v>906</v>
      </c>
      <c r="C1710" s="112" t="s">
        <v>695</v>
      </c>
      <c r="D1710" s="113">
        <v>10348335</v>
      </c>
      <c r="E1710" s="115">
        <v>43941</v>
      </c>
      <c r="F1710" s="114">
        <v>202101</v>
      </c>
      <c r="G1710" s="112" t="s">
        <v>1091</v>
      </c>
      <c r="H1710" s="112" t="s">
        <v>1016</v>
      </c>
      <c r="I1710" s="112" t="s">
        <v>779</v>
      </c>
      <c r="J1710" s="112" t="s">
        <v>1815</v>
      </c>
      <c r="K1710" s="112" t="s">
        <v>1981</v>
      </c>
      <c r="L1710" s="116">
        <v>2626.25</v>
      </c>
    </row>
    <row r="1711" spans="1:12" hidden="1" outlineLevel="1" collapsed="1" x14ac:dyDescent="0.35">
      <c r="A1711" s="112" t="s">
        <v>1814</v>
      </c>
      <c r="B1711" s="112" t="s">
        <v>906</v>
      </c>
      <c r="C1711" s="112" t="s">
        <v>695</v>
      </c>
      <c r="D1711" s="113">
        <v>10348335</v>
      </c>
      <c r="E1711" s="115">
        <v>43941</v>
      </c>
      <c r="F1711" s="114">
        <v>202101</v>
      </c>
      <c r="G1711" s="112" t="s">
        <v>1091</v>
      </c>
      <c r="H1711" s="112" t="s">
        <v>1016</v>
      </c>
      <c r="I1711" s="112" t="s">
        <v>779</v>
      </c>
      <c r="J1711" s="112" t="s">
        <v>1815</v>
      </c>
      <c r="K1711" s="112" t="s">
        <v>1982</v>
      </c>
      <c r="L1711" s="116">
        <v>540</v>
      </c>
    </row>
    <row r="1712" spans="1:12" hidden="1" outlineLevel="1" collapsed="1" x14ac:dyDescent="0.35">
      <c r="A1712" s="112" t="s">
        <v>1814</v>
      </c>
      <c r="B1712" s="112" t="s">
        <v>905</v>
      </c>
      <c r="C1712" s="112" t="s">
        <v>1099</v>
      </c>
      <c r="D1712" s="113">
        <v>1069556</v>
      </c>
      <c r="E1712" s="115">
        <v>43933</v>
      </c>
      <c r="F1712" s="114">
        <v>202101</v>
      </c>
      <c r="G1712" s="112" t="s">
        <v>1091</v>
      </c>
      <c r="H1712" s="112" t="s">
        <v>1015</v>
      </c>
      <c r="I1712" s="112" t="s">
        <v>1153</v>
      </c>
      <c r="J1712" s="112" t="s">
        <v>1842</v>
      </c>
      <c r="K1712" s="112" t="s">
        <v>1983</v>
      </c>
      <c r="L1712" s="116">
        <v>3648</v>
      </c>
    </row>
    <row r="1713" spans="1:12" hidden="1" outlineLevel="1" collapsed="1" x14ac:dyDescent="0.35">
      <c r="A1713" s="112" t="s">
        <v>1814</v>
      </c>
      <c r="B1713" s="112" t="s">
        <v>905</v>
      </c>
      <c r="C1713" s="112" t="s">
        <v>679</v>
      </c>
      <c r="D1713" s="113">
        <v>10348375</v>
      </c>
      <c r="E1713" s="115">
        <v>43942</v>
      </c>
      <c r="F1713" s="114">
        <v>202101</v>
      </c>
      <c r="G1713" s="112" t="s">
        <v>1091</v>
      </c>
      <c r="H1713" s="112" t="s">
        <v>1016</v>
      </c>
      <c r="I1713" s="112" t="s">
        <v>1845</v>
      </c>
      <c r="J1713" s="112" t="s">
        <v>1817</v>
      </c>
      <c r="K1713" s="112" t="s">
        <v>1984</v>
      </c>
      <c r="L1713" s="116">
        <v>-846</v>
      </c>
    </row>
    <row r="1714" spans="1:12" hidden="1" outlineLevel="1" collapsed="1" x14ac:dyDescent="0.35">
      <c r="A1714" s="112" t="s">
        <v>1814</v>
      </c>
      <c r="B1714" s="112" t="s">
        <v>905</v>
      </c>
      <c r="C1714" s="112" t="s">
        <v>679</v>
      </c>
      <c r="D1714" s="113">
        <v>10348375</v>
      </c>
      <c r="E1714" s="115">
        <v>43942</v>
      </c>
      <c r="F1714" s="114">
        <v>202101</v>
      </c>
      <c r="G1714" s="112" t="s">
        <v>1091</v>
      </c>
      <c r="H1714" s="112" t="s">
        <v>1016</v>
      </c>
      <c r="I1714" s="112" t="s">
        <v>1845</v>
      </c>
      <c r="J1714" s="112" t="s">
        <v>1817</v>
      </c>
      <c r="K1714" s="112" t="s">
        <v>1985</v>
      </c>
      <c r="L1714" s="116">
        <v>-2532.23</v>
      </c>
    </row>
    <row r="1715" spans="1:12" hidden="1" outlineLevel="1" collapsed="1" x14ac:dyDescent="0.35">
      <c r="A1715" s="112" t="s">
        <v>1814</v>
      </c>
      <c r="B1715" s="112" t="s">
        <v>906</v>
      </c>
      <c r="C1715" s="112" t="s">
        <v>1266</v>
      </c>
      <c r="D1715" s="113">
        <v>1069394</v>
      </c>
      <c r="E1715" s="115">
        <v>43861</v>
      </c>
      <c r="F1715" s="114">
        <v>202101</v>
      </c>
      <c r="G1715" s="112" t="s">
        <v>1091</v>
      </c>
      <c r="H1715" s="112" t="s">
        <v>1015</v>
      </c>
      <c r="I1715" s="112" t="s">
        <v>1986</v>
      </c>
      <c r="J1715" s="112" t="s">
        <v>1815</v>
      </c>
      <c r="K1715" s="112" t="s">
        <v>1987</v>
      </c>
      <c r="L1715" s="116">
        <v>440</v>
      </c>
    </row>
    <row r="1716" spans="1:12" hidden="1" outlineLevel="1" collapsed="1" x14ac:dyDescent="0.35">
      <c r="A1716" s="112" t="s">
        <v>1814</v>
      </c>
      <c r="B1716" s="112" t="s">
        <v>906</v>
      </c>
      <c r="C1716" s="112" t="s">
        <v>1106</v>
      </c>
      <c r="D1716" s="113">
        <v>3097473</v>
      </c>
      <c r="E1716" s="115">
        <v>43928</v>
      </c>
      <c r="F1716" s="114">
        <v>202101</v>
      </c>
      <c r="G1716" s="112" t="s">
        <v>1091</v>
      </c>
      <c r="H1716" s="112" t="s">
        <v>1015</v>
      </c>
      <c r="I1716" s="112" t="s">
        <v>1169</v>
      </c>
      <c r="J1716" s="112" t="s">
        <v>1815</v>
      </c>
      <c r="K1716" s="112" t="s">
        <v>1988</v>
      </c>
      <c r="L1716" s="116">
        <v>142.66</v>
      </c>
    </row>
    <row r="1717" spans="1:12" hidden="1" outlineLevel="1" collapsed="1" x14ac:dyDescent="0.35">
      <c r="A1717" s="112" t="s">
        <v>1814</v>
      </c>
      <c r="B1717" s="112" t="s">
        <v>906</v>
      </c>
      <c r="C1717" s="112" t="s">
        <v>1106</v>
      </c>
      <c r="D1717" s="113">
        <v>3097820</v>
      </c>
      <c r="E1717" s="115">
        <v>43928</v>
      </c>
      <c r="F1717" s="114">
        <v>202101</v>
      </c>
      <c r="G1717" s="112" t="s">
        <v>1091</v>
      </c>
      <c r="H1717" s="112" t="s">
        <v>1015</v>
      </c>
      <c r="I1717" s="112" t="s">
        <v>1169</v>
      </c>
      <c r="J1717" s="112" t="s">
        <v>1815</v>
      </c>
      <c r="K1717" s="112" t="s">
        <v>1989</v>
      </c>
      <c r="L1717" s="116">
        <v>1639.52</v>
      </c>
    </row>
    <row r="1718" spans="1:12" hidden="1" outlineLevel="1" collapsed="1" x14ac:dyDescent="0.35">
      <c r="A1718" s="112" t="s">
        <v>1814</v>
      </c>
      <c r="B1718" s="112" t="s">
        <v>906</v>
      </c>
      <c r="C1718" s="112" t="s">
        <v>1106</v>
      </c>
      <c r="D1718" s="113">
        <v>3097819</v>
      </c>
      <c r="E1718" s="115">
        <v>43928</v>
      </c>
      <c r="F1718" s="114">
        <v>202101</v>
      </c>
      <c r="G1718" s="112" t="s">
        <v>1091</v>
      </c>
      <c r="H1718" s="112" t="s">
        <v>1015</v>
      </c>
      <c r="I1718" s="112" t="s">
        <v>1169</v>
      </c>
      <c r="J1718" s="112" t="s">
        <v>1815</v>
      </c>
      <c r="K1718" s="112" t="s">
        <v>1990</v>
      </c>
      <c r="L1718" s="116">
        <v>455.64</v>
      </c>
    </row>
    <row r="1719" spans="1:12" hidden="1" outlineLevel="1" collapsed="1" x14ac:dyDescent="0.35">
      <c r="A1719" s="112" t="s">
        <v>1814</v>
      </c>
      <c r="B1719" s="112" t="s">
        <v>905</v>
      </c>
      <c r="C1719" s="112" t="s">
        <v>1219</v>
      </c>
      <c r="D1719" s="113">
        <v>46307963</v>
      </c>
      <c r="E1719" s="115">
        <v>43945</v>
      </c>
      <c r="F1719" s="114">
        <v>202101</v>
      </c>
      <c r="G1719" s="112" t="s">
        <v>1091</v>
      </c>
      <c r="H1719" s="112" t="s">
        <v>1015</v>
      </c>
      <c r="I1719" s="112" t="s">
        <v>1956</v>
      </c>
      <c r="J1719" s="112" t="s">
        <v>1817</v>
      </c>
      <c r="K1719" s="112" t="s">
        <v>1991</v>
      </c>
      <c r="L1719" s="116">
        <v>600</v>
      </c>
    </row>
    <row r="1720" spans="1:12" hidden="1" outlineLevel="1" collapsed="1" x14ac:dyDescent="0.35">
      <c r="A1720" s="112" t="s">
        <v>1814</v>
      </c>
      <c r="B1720" s="112" t="s">
        <v>906</v>
      </c>
      <c r="C1720" s="112" t="s">
        <v>1106</v>
      </c>
      <c r="D1720" s="113">
        <v>3097426</v>
      </c>
      <c r="E1720" s="115">
        <v>43928</v>
      </c>
      <c r="F1720" s="114">
        <v>202101</v>
      </c>
      <c r="G1720" s="112" t="s">
        <v>1091</v>
      </c>
      <c r="H1720" s="112" t="s">
        <v>1015</v>
      </c>
      <c r="I1720" s="112" t="s">
        <v>1169</v>
      </c>
      <c r="J1720" s="112" t="s">
        <v>1815</v>
      </c>
      <c r="K1720" s="112" t="s">
        <v>1992</v>
      </c>
      <c r="L1720" s="116">
        <v>57.06</v>
      </c>
    </row>
    <row r="1721" spans="1:12" hidden="1" outlineLevel="1" collapsed="1" x14ac:dyDescent="0.35">
      <c r="A1721" s="112" t="s">
        <v>1814</v>
      </c>
      <c r="B1721" s="112" t="s">
        <v>905</v>
      </c>
      <c r="C1721" s="112" t="s">
        <v>1219</v>
      </c>
      <c r="D1721" s="113">
        <v>46307585</v>
      </c>
      <c r="E1721" s="115">
        <v>43941</v>
      </c>
      <c r="F1721" s="114">
        <v>202101</v>
      </c>
      <c r="G1721" s="112" t="s">
        <v>1091</v>
      </c>
      <c r="H1721" s="112" t="s">
        <v>1015</v>
      </c>
      <c r="I1721" s="112" t="s">
        <v>1952</v>
      </c>
      <c r="J1721" s="112" t="s">
        <v>1817</v>
      </c>
      <c r="K1721" s="112" t="s">
        <v>1993</v>
      </c>
      <c r="L1721" s="116">
        <v>1008.88</v>
      </c>
    </row>
    <row r="1722" spans="1:12" hidden="1" outlineLevel="1" collapsed="1" x14ac:dyDescent="0.35">
      <c r="A1722" s="112" t="s">
        <v>1814</v>
      </c>
      <c r="B1722" s="112" t="s">
        <v>905</v>
      </c>
      <c r="C1722" s="112" t="s">
        <v>1099</v>
      </c>
      <c r="D1722" s="113">
        <v>1069649</v>
      </c>
      <c r="E1722" s="115">
        <v>43921</v>
      </c>
      <c r="F1722" s="114">
        <v>202101</v>
      </c>
      <c r="G1722" s="112" t="s">
        <v>1091</v>
      </c>
      <c r="H1722" s="112" t="s">
        <v>1015</v>
      </c>
      <c r="I1722" s="112" t="s">
        <v>763</v>
      </c>
      <c r="J1722" s="112" t="s">
        <v>1827</v>
      </c>
      <c r="K1722" s="112" t="s">
        <v>1994</v>
      </c>
      <c r="L1722" s="116">
        <v>35</v>
      </c>
    </row>
    <row r="1723" spans="1:12" hidden="1" outlineLevel="1" collapsed="1" x14ac:dyDescent="0.35">
      <c r="A1723" s="112" t="s">
        <v>1814</v>
      </c>
      <c r="B1723" s="112" t="s">
        <v>905</v>
      </c>
      <c r="C1723" s="112" t="s">
        <v>1099</v>
      </c>
      <c r="D1723" s="113">
        <v>1069650</v>
      </c>
      <c r="E1723" s="115">
        <v>43921</v>
      </c>
      <c r="F1723" s="114">
        <v>202101</v>
      </c>
      <c r="G1723" s="112" t="s">
        <v>1091</v>
      </c>
      <c r="H1723" s="112" t="s">
        <v>1015</v>
      </c>
      <c r="I1723" s="112" t="s">
        <v>763</v>
      </c>
      <c r="J1723" s="112" t="s">
        <v>1827</v>
      </c>
      <c r="K1723" s="112" t="s">
        <v>1995</v>
      </c>
      <c r="L1723" s="116">
        <v>35</v>
      </c>
    </row>
    <row r="1724" spans="1:12" hidden="1" outlineLevel="1" collapsed="1" x14ac:dyDescent="0.35">
      <c r="A1724" s="112" t="s">
        <v>1814</v>
      </c>
      <c r="B1724" s="112" t="s">
        <v>905</v>
      </c>
      <c r="C1724" s="112" t="s">
        <v>1219</v>
      </c>
      <c r="D1724" s="113">
        <v>46307571</v>
      </c>
      <c r="E1724" s="115">
        <v>43942</v>
      </c>
      <c r="F1724" s="114">
        <v>202101</v>
      </c>
      <c r="G1724" s="112" t="s">
        <v>1091</v>
      </c>
      <c r="H1724" s="112" t="s">
        <v>1015</v>
      </c>
      <c r="I1724" s="112" t="s">
        <v>1956</v>
      </c>
      <c r="J1724" s="112" t="s">
        <v>1996</v>
      </c>
      <c r="K1724" s="112" t="s">
        <v>1997</v>
      </c>
      <c r="L1724" s="116">
        <v>572.76</v>
      </c>
    </row>
    <row r="1725" spans="1:12" hidden="1" outlineLevel="1" collapsed="1" x14ac:dyDescent="0.35">
      <c r="A1725" s="112" t="s">
        <v>1814</v>
      </c>
      <c r="B1725" s="112" t="s">
        <v>905</v>
      </c>
      <c r="C1725" s="112" t="s">
        <v>1219</v>
      </c>
      <c r="D1725" s="113">
        <v>46307572</v>
      </c>
      <c r="E1725" s="115">
        <v>43942</v>
      </c>
      <c r="F1725" s="114">
        <v>202101</v>
      </c>
      <c r="G1725" s="112" t="s">
        <v>1091</v>
      </c>
      <c r="H1725" s="112" t="s">
        <v>1015</v>
      </c>
      <c r="I1725" s="112" t="s">
        <v>1956</v>
      </c>
      <c r="J1725" s="112" t="s">
        <v>1817</v>
      </c>
      <c r="K1725" s="112" t="s">
        <v>1998</v>
      </c>
      <c r="L1725" s="116">
        <v>975</v>
      </c>
    </row>
    <row r="1726" spans="1:12" hidden="1" outlineLevel="1" collapsed="1" x14ac:dyDescent="0.35">
      <c r="A1726" s="112" t="s">
        <v>1814</v>
      </c>
      <c r="B1726" s="112" t="s">
        <v>905</v>
      </c>
      <c r="C1726" s="112" t="s">
        <v>1219</v>
      </c>
      <c r="D1726" s="113">
        <v>46307572</v>
      </c>
      <c r="E1726" s="115">
        <v>43942</v>
      </c>
      <c r="F1726" s="114">
        <v>202101</v>
      </c>
      <c r="G1726" s="112" t="s">
        <v>1091</v>
      </c>
      <c r="H1726" s="112" t="s">
        <v>1015</v>
      </c>
      <c r="I1726" s="112" t="s">
        <v>1956</v>
      </c>
      <c r="J1726" s="112" t="s">
        <v>1817</v>
      </c>
      <c r="K1726" s="112" t="s">
        <v>1999</v>
      </c>
      <c r="L1726" s="116">
        <v>248.33</v>
      </c>
    </row>
    <row r="1727" spans="1:12" hidden="1" outlineLevel="1" collapsed="1" x14ac:dyDescent="0.35">
      <c r="A1727" s="112" t="s">
        <v>1814</v>
      </c>
      <c r="B1727" s="112" t="s">
        <v>905</v>
      </c>
      <c r="C1727" s="112" t="s">
        <v>1219</v>
      </c>
      <c r="D1727" s="113">
        <v>46307576</v>
      </c>
      <c r="E1727" s="115">
        <v>43936</v>
      </c>
      <c r="F1727" s="114">
        <v>202101</v>
      </c>
      <c r="G1727" s="112" t="s">
        <v>1091</v>
      </c>
      <c r="H1727" s="112" t="s">
        <v>1015</v>
      </c>
      <c r="I1727" s="112" t="s">
        <v>1605</v>
      </c>
      <c r="J1727" s="112" t="s">
        <v>1996</v>
      </c>
      <c r="K1727" s="112" t="s">
        <v>2000</v>
      </c>
      <c r="L1727" s="116">
        <v>175</v>
      </c>
    </row>
    <row r="1728" spans="1:12" hidden="1" outlineLevel="1" collapsed="1" x14ac:dyDescent="0.35">
      <c r="A1728" s="112" t="s">
        <v>1814</v>
      </c>
      <c r="B1728" s="112" t="s">
        <v>906</v>
      </c>
      <c r="C1728" s="112" t="s">
        <v>695</v>
      </c>
      <c r="D1728" s="113">
        <v>10348402</v>
      </c>
      <c r="E1728" s="115">
        <v>43943</v>
      </c>
      <c r="F1728" s="114">
        <v>202101</v>
      </c>
      <c r="G1728" s="112" t="s">
        <v>1091</v>
      </c>
      <c r="H1728" s="112" t="s">
        <v>1015</v>
      </c>
      <c r="I1728" s="112" t="s">
        <v>813</v>
      </c>
      <c r="J1728" s="112" t="s">
        <v>1815</v>
      </c>
      <c r="K1728" s="112" t="s">
        <v>2001</v>
      </c>
      <c r="L1728" s="116">
        <v>-12977.1</v>
      </c>
    </row>
    <row r="1729" spans="1:12" hidden="1" outlineLevel="1" collapsed="1" x14ac:dyDescent="0.35">
      <c r="A1729" s="112" t="s">
        <v>1814</v>
      </c>
      <c r="B1729" s="112" t="s">
        <v>905</v>
      </c>
      <c r="C1729" s="112" t="s">
        <v>695</v>
      </c>
      <c r="D1729" s="113">
        <v>10347981</v>
      </c>
      <c r="E1729" s="115">
        <v>43924</v>
      </c>
      <c r="F1729" s="114">
        <v>202101</v>
      </c>
      <c r="G1729" s="112" t="s">
        <v>1091</v>
      </c>
      <c r="H1729" s="112" t="s">
        <v>1015</v>
      </c>
      <c r="I1729" s="112" t="s">
        <v>763</v>
      </c>
      <c r="J1729" s="112" t="s">
        <v>1827</v>
      </c>
      <c r="K1729" s="112" t="s">
        <v>2002</v>
      </c>
      <c r="L1729" s="116">
        <v>-35</v>
      </c>
    </row>
    <row r="1730" spans="1:12" hidden="1" outlineLevel="1" collapsed="1" x14ac:dyDescent="0.35">
      <c r="A1730" s="112" t="s">
        <v>1814</v>
      </c>
      <c r="B1730" s="112" t="s">
        <v>906</v>
      </c>
      <c r="C1730" s="112" t="s">
        <v>695</v>
      </c>
      <c r="D1730" s="113">
        <v>10348402</v>
      </c>
      <c r="E1730" s="115">
        <v>43943</v>
      </c>
      <c r="F1730" s="114">
        <v>202101</v>
      </c>
      <c r="G1730" s="112" t="s">
        <v>1091</v>
      </c>
      <c r="H1730" s="112" t="s">
        <v>1015</v>
      </c>
      <c r="I1730" s="112" t="s">
        <v>813</v>
      </c>
      <c r="J1730" s="112" t="s">
        <v>1815</v>
      </c>
      <c r="K1730" s="112" t="s">
        <v>2001</v>
      </c>
      <c r="L1730" s="116">
        <v>12977.1</v>
      </c>
    </row>
    <row r="1731" spans="1:12" hidden="1" outlineLevel="1" collapsed="1" x14ac:dyDescent="0.35">
      <c r="A1731" s="112" t="s">
        <v>1814</v>
      </c>
      <c r="B1731" s="112" t="s">
        <v>905</v>
      </c>
      <c r="C1731" s="112" t="s">
        <v>1219</v>
      </c>
      <c r="D1731" s="113">
        <v>46307581</v>
      </c>
      <c r="E1731" s="115">
        <v>43941</v>
      </c>
      <c r="F1731" s="114">
        <v>202101</v>
      </c>
      <c r="G1731" s="112" t="s">
        <v>1091</v>
      </c>
      <c r="H1731" s="112" t="s">
        <v>1015</v>
      </c>
      <c r="I1731" s="112" t="s">
        <v>1956</v>
      </c>
      <c r="J1731" s="112" t="s">
        <v>1817</v>
      </c>
      <c r="K1731" s="112" t="s">
        <v>2003</v>
      </c>
      <c r="L1731" s="116">
        <v>171.68</v>
      </c>
    </row>
    <row r="1732" spans="1:12" hidden="1" outlineLevel="1" collapsed="1" x14ac:dyDescent="0.35">
      <c r="A1732" s="112" t="s">
        <v>1814</v>
      </c>
      <c r="B1732" s="112" t="s">
        <v>905</v>
      </c>
      <c r="C1732" s="112" t="s">
        <v>1219</v>
      </c>
      <c r="D1732" s="113">
        <v>46307578</v>
      </c>
      <c r="E1732" s="115">
        <v>43942</v>
      </c>
      <c r="F1732" s="114">
        <v>202101</v>
      </c>
      <c r="G1732" s="112" t="s">
        <v>1091</v>
      </c>
      <c r="H1732" s="112" t="s">
        <v>1015</v>
      </c>
      <c r="I1732" s="112" t="s">
        <v>1952</v>
      </c>
      <c r="J1732" s="112" t="s">
        <v>1817</v>
      </c>
      <c r="K1732" s="112" t="s">
        <v>2004</v>
      </c>
      <c r="L1732" s="116">
        <v>390</v>
      </c>
    </row>
    <row r="1733" spans="1:12" hidden="1" outlineLevel="1" collapsed="1" x14ac:dyDescent="0.35">
      <c r="A1733" s="112" t="s">
        <v>1814</v>
      </c>
      <c r="B1733" s="112" t="s">
        <v>905</v>
      </c>
      <c r="C1733" s="112" t="s">
        <v>1219</v>
      </c>
      <c r="D1733" s="113">
        <v>46307579</v>
      </c>
      <c r="E1733" s="115">
        <v>43943</v>
      </c>
      <c r="F1733" s="114">
        <v>202101</v>
      </c>
      <c r="G1733" s="112" t="s">
        <v>1091</v>
      </c>
      <c r="H1733" s="112" t="s">
        <v>1015</v>
      </c>
      <c r="I1733" s="112" t="s">
        <v>1952</v>
      </c>
      <c r="J1733" s="112" t="s">
        <v>1971</v>
      </c>
      <c r="K1733" s="112" t="s">
        <v>2005</v>
      </c>
      <c r="L1733" s="116">
        <v>358</v>
      </c>
    </row>
    <row r="1734" spans="1:12" hidden="1" outlineLevel="1" collapsed="1" x14ac:dyDescent="0.35">
      <c r="A1734" s="112" t="s">
        <v>1814</v>
      </c>
      <c r="B1734" s="112" t="s">
        <v>905</v>
      </c>
      <c r="C1734" s="112" t="s">
        <v>1219</v>
      </c>
      <c r="D1734" s="113">
        <v>46307583</v>
      </c>
      <c r="E1734" s="115">
        <v>43941</v>
      </c>
      <c r="F1734" s="114">
        <v>202101</v>
      </c>
      <c r="G1734" s="112" t="s">
        <v>1091</v>
      </c>
      <c r="H1734" s="112" t="s">
        <v>1015</v>
      </c>
      <c r="I1734" s="112" t="s">
        <v>1956</v>
      </c>
      <c r="J1734" s="112" t="s">
        <v>1817</v>
      </c>
      <c r="K1734" s="112" t="s">
        <v>2006</v>
      </c>
      <c r="L1734" s="116">
        <v>97.19</v>
      </c>
    </row>
    <row r="1735" spans="1:12" hidden="1" outlineLevel="1" collapsed="1" x14ac:dyDescent="0.35">
      <c r="A1735" s="112" t="s">
        <v>1814</v>
      </c>
      <c r="B1735" s="112" t="s">
        <v>905</v>
      </c>
      <c r="C1735" s="112" t="s">
        <v>1219</v>
      </c>
      <c r="D1735" s="113">
        <v>46307582</v>
      </c>
      <c r="E1735" s="115">
        <v>43941</v>
      </c>
      <c r="F1735" s="114">
        <v>202101</v>
      </c>
      <c r="G1735" s="112" t="s">
        <v>1091</v>
      </c>
      <c r="H1735" s="112" t="s">
        <v>1015</v>
      </c>
      <c r="I1735" s="112" t="s">
        <v>1956</v>
      </c>
      <c r="J1735" s="112" t="s">
        <v>1817</v>
      </c>
      <c r="K1735" s="112" t="s">
        <v>2007</v>
      </c>
      <c r="L1735" s="116">
        <v>736.66</v>
      </c>
    </row>
    <row r="1736" spans="1:12" hidden="1" outlineLevel="1" collapsed="1" x14ac:dyDescent="0.35">
      <c r="A1736" s="112" t="s">
        <v>1814</v>
      </c>
      <c r="B1736" s="112" t="s">
        <v>905</v>
      </c>
      <c r="C1736" s="112" t="s">
        <v>1219</v>
      </c>
      <c r="D1736" s="113">
        <v>46307584</v>
      </c>
      <c r="E1736" s="115">
        <v>43941</v>
      </c>
      <c r="F1736" s="114">
        <v>202101</v>
      </c>
      <c r="G1736" s="112" t="s">
        <v>1091</v>
      </c>
      <c r="H1736" s="112" t="s">
        <v>1015</v>
      </c>
      <c r="I1736" s="112" t="s">
        <v>1956</v>
      </c>
      <c r="J1736" s="112" t="s">
        <v>1817</v>
      </c>
      <c r="K1736" s="112" t="s">
        <v>2008</v>
      </c>
      <c r="L1736" s="116">
        <v>725</v>
      </c>
    </row>
    <row r="1737" spans="1:12" hidden="1" outlineLevel="1" collapsed="1" x14ac:dyDescent="0.35">
      <c r="A1737" s="112" t="s">
        <v>1814</v>
      </c>
      <c r="B1737" s="112" t="s">
        <v>905</v>
      </c>
      <c r="C1737" s="112" t="s">
        <v>1219</v>
      </c>
      <c r="D1737" s="113">
        <v>46307588</v>
      </c>
      <c r="E1737" s="115">
        <v>43943</v>
      </c>
      <c r="F1737" s="114">
        <v>202101</v>
      </c>
      <c r="G1737" s="112" t="s">
        <v>1091</v>
      </c>
      <c r="H1737" s="112" t="s">
        <v>1015</v>
      </c>
      <c r="I1737" s="112" t="s">
        <v>1956</v>
      </c>
      <c r="J1737" s="112" t="s">
        <v>1817</v>
      </c>
      <c r="K1737" s="112" t="s">
        <v>2009</v>
      </c>
      <c r="L1737" s="116">
        <v>300</v>
      </c>
    </row>
    <row r="1738" spans="1:12" hidden="1" outlineLevel="1" collapsed="1" x14ac:dyDescent="0.35">
      <c r="A1738" s="112" t="s">
        <v>1814</v>
      </c>
      <c r="B1738" s="112" t="s">
        <v>905</v>
      </c>
      <c r="C1738" s="112" t="s">
        <v>1095</v>
      </c>
      <c r="D1738" s="113">
        <v>10348451</v>
      </c>
      <c r="E1738" s="115">
        <v>43949</v>
      </c>
      <c r="F1738" s="114">
        <v>202101</v>
      </c>
      <c r="G1738" s="112" t="s">
        <v>1091</v>
      </c>
      <c r="H1738" s="112" t="s">
        <v>1015</v>
      </c>
      <c r="I1738" s="112" t="s">
        <v>1101</v>
      </c>
      <c r="J1738" s="112" t="s">
        <v>1827</v>
      </c>
      <c r="K1738" s="112" t="s">
        <v>1098</v>
      </c>
      <c r="L1738" s="116">
        <v>549.4</v>
      </c>
    </row>
    <row r="1739" spans="1:12" hidden="1" outlineLevel="1" collapsed="1" x14ac:dyDescent="0.35">
      <c r="A1739" s="112" t="s">
        <v>1814</v>
      </c>
      <c r="B1739" s="112" t="s">
        <v>905</v>
      </c>
      <c r="C1739" s="112" t="s">
        <v>1219</v>
      </c>
      <c r="D1739" s="113">
        <v>46307586</v>
      </c>
      <c r="E1739" s="115">
        <v>43941</v>
      </c>
      <c r="F1739" s="114">
        <v>202101</v>
      </c>
      <c r="G1739" s="112" t="s">
        <v>1091</v>
      </c>
      <c r="H1739" s="112" t="s">
        <v>1015</v>
      </c>
      <c r="I1739" s="112" t="s">
        <v>1952</v>
      </c>
      <c r="J1739" s="112" t="s">
        <v>1971</v>
      </c>
      <c r="K1739" s="112" t="s">
        <v>2010</v>
      </c>
      <c r="L1739" s="116">
        <v>3109.52</v>
      </c>
    </row>
    <row r="1740" spans="1:12" hidden="1" outlineLevel="1" collapsed="1" x14ac:dyDescent="0.35">
      <c r="A1740" s="112" t="s">
        <v>1814</v>
      </c>
      <c r="B1740" s="112" t="s">
        <v>905</v>
      </c>
      <c r="C1740" s="112" t="s">
        <v>695</v>
      </c>
      <c r="D1740" s="113">
        <v>10348407</v>
      </c>
      <c r="E1740" s="115">
        <v>43943</v>
      </c>
      <c r="F1740" s="114">
        <v>202101</v>
      </c>
      <c r="G1740" s="112" t="s">
        <v>1091</v>
      </c>
      <c r="H1740" s="112" t="s">
        <v>1015</v>
      </c>
      <c r="I1740" s="112" t="s">
        <v>767</v>
      </c>
      <c r="J1740" s="112" t="s">
        <v>1827</v>
      </c>
      <c r="K1740" s="112" t="s">
        <v>1782</v>
      </c>
      <c r="L1740" s="116">
        <v>-10081.68</v>
      </c>
    </row>
    <row r="1741" spans="1:12" hidden="1" outlineLevel="1" collapsed="1" x14ac:dyDescent="0.35">
      <c r="A1741" s="112" t="s">
        <v>1814</v>
      </c>
      <c r="B1741" s="112" t="s">
        <v>905</v>
      </c>
      <c r="C1741" s="112" t="s">
        <v>679</v>
      </c>
      <c r="D1741" s="113">
        <v>10348217</v>
      </c>
      <c r="E1741" s="115">
        <v>43935</v>
      </c>
      <c r="F1741" s="114">
        <v>202101</v>
      </c>
      <c r="G1741" s="112" t="s">
        <v>1091</v>
      </c>
      <c r="H1741" s="112" t="s">
        <v>1015</v>
      </c>
      <c r="I1741" s="112" t="s">
        <v>1952</v>
      </c>
      <c r="J1741" s="112" t="s">
        <v>1971</v>
      </c>
      <c r="K1741" s="112" t="s">
        <v>2011</v>
      </c>
      <c r="L1741" s="116">
        <v>900</v>
      </c>
    </row>
    <row r="1742" spans="1:12" hidden="1" outlineLevel="1" collapsed="1" x14ac:dyDescent="0.35">
      <c r="A1742" s="112" t="s">
        <v>1814</v>
      </c>
      <c r="B1742" s="112" t="s">
        <v>905</v>
      </c>
      <c r="C1742" s="112" t="s">
        <v>695</v>
      </c>
      <c r="D1742" s="113">
        <v>10347979</v>
      </c>
      <c r="E1742" s="115">
        <v>43924</v>
      </c>
      <c r="F1742" s="114">
        <v>202101</v>
      </c>
      <c r="G1742" s="112" t="s">
        <v>1091</v>
      </c>
      <c r="H1742" s="112" t="s">
        <v>1015</v>
      </c>
      <c r="I1742" s="112" t="s">
        <v>1952</v>
      </c>
      <c r="J1742" s="112" t="s">
        <v>1817</v>
      </c>
      <c r="K1742" s="112" t="s">
        <v>1698</v>
      </c>
      <c r="L1742" s="116">
        <v>-1000</v>
      </c>
    </row>
    <row r="1743" spans="1:12" hidden="1" outlineLevel="1" collapsed="1" x14ac:dyDescent="0.35">
      <c r="A1743" s="112" t="s">
        <v>1814</v>
      </c>
      <c r="B1743" s="112" t="s">
        <v>905</v>
      </c>
      <c r="C1743" s="112" t="s">
        <v>695</v>
      </c>
      <c r="D1743" s="113">
        <v>10347973</v>
      </c>
      <c r="E1743" s="115">
        <v>43924</v>
      </c>
      <c r="F1743" s="114">
        <v>202101</v>
      </c>
      <c r="G1743" s="112" t="s">
        <v>1091</v>
      </c>
      <c r="H1743" s="112" t="s">
        <v>1015</v>
      </c>
      <c r="I1743" s="112" t="s">
        <v>1699</v>
      </c>
      <c r="J1743" s="112" t="s">
        <v>1827</v>
      </c>
      <c r="K1743" s="112" t="s">
        <v>865</v>
      </c>
      <c r="L1743" s="116">
        <v>-105.09</v>
      </c>
    </row>
    <row r="1744" spans="1:12" hidden="1" outlineLevel="1" collapsed="1" x14ac:dyDescent="0.35">
      <c r="A1744" s="112" t="s">
        <v>1814</v>
      </c>
      <c r="B1744" s="112" t="s">
        <v>905</v>
      </c>
      <c r="C1744" s="112" t="s">
        <v>695</v>
      </c>
      <c r="D1744" s="113">
        <v>10347973</v>
      </c>
      <c r="E1744" s="115">
        <v>43924</v>
      </c>
      <c r="F1744" s="114">
        <v>202101</v>
      </c>
      <c r="G1744" s="112" t="s">
        <v>1091</v>
      </c>
      <c r="H1744" s="112" t="s">
        <v>1015</v>
      </c>
      <c r="I1744" s="112" t="s">
        <v>1699</v>
      </c>
      <c r="J1744" s="112" t="s">
        <v>1839</v>
      </c>
      <c r="K1744" s="112" t="s">
        <v>865</v>
      </c>
      <c r="L1744" s="116">
        <v>-496.46</v>
      </c>
    </row>
    <row r="1745" spans="1:12" hidden="1" outlineLevel="1" collapsed="1" x14ac:dyDescent="0.35">
      <c r="A1745" s="112" t="s">
        <v>1814</v>
      </c>
      <c r="B1745" s="112" t="s">
        <v>905</v>
      </c>
      <c r="C1745" s="112" t="s">
        <v>1099</v>
      </c>
      <c r="D1745" s="113">
        <v>1069351</v>
      </c>
      <c r="E1745" s="115">
        <v>43893</v>
      </c>
      <c r="F1745" s="114">
        <v>202101</v>
      </c>
      <c r="G1745" s="112" t="s">
        <v>1091</v>
      </c>
      <c r="H1745" s="112" t="s">
        <v>1015</v>
      </c>
      <c r="I1745" s="112" t="s">
        <v>1471</v>
      </c>
      <c r="J1745" s="112" t="s">
        <v>1996</v>
      </c>
      <c r="K1745" s="112" t="s">
        <v>2012</v>
      </c>
      <c r="L1745" s="116">
        <v>1520</v>
      </c>
    </row>
    <row r="1746" spans="1:12" hidden="1" outlineLevel="1" collapsed="1" x14ac:dyDescent="0.35">
      <c r="A1746" s="112" t="s">
        <v>1814</v>
      </c>
      <c r="B1746" s="112" t="s">
        <v>905</v>
      </c>
      <c r="C1746" s="112" t="s">
        <v>1099</v>
      </c>
      <c r="D1746" s="113">
        <v>1069352</v>
      </c>
      <c r="E1746" s="115">
        <v>43917</v>
      </c>
      <c r="F1746" s="114">
        <v>202101</v>
      </c>
      <c r="G1746" s="112" t="s">
        <v>1091</v>
      </c>
      <c r="H1746" s="112" t="s">
        <v>1015</v>
      </c>
      <c r="I1746" s="112" t="s">
        <v>1471</v>
      </c>
      <c r="J1746" s="112" t="s">
        <v>1996</v>
      </c>
      <c r="K1746" s="112" t="s">
        <v>2013</v>
      </c>
      <c r="L1746" s="116">
        <v>3600</v>
      </c>
    </row>
    <row r="1747" spans="1:12" hidden="1" outlineLevel="1" collapsed="1" x14ac:dyDescent="0.35">
      <c r="A1747" s="112" t="s">
        <v>1814</v>
      </c>
      <c r="B1747" s="112" t="s">
        <v>906</v>
      </c>
      <c r="C1747" s="112" t="s">
        <v>1095</v>
      </c>
      <c r="D1747" s="113">
        <v>10348451</v>
      </c>
      <c r="E1747" s="115">
        <v>43949</v>
      </c>
      <c r="F1747" s="114">
        <v>202101</v>
      </c>
      <c r="G1747" s="112" t="s">
        <v>1091</v>
      </c>
      <c r="H1747" s="112" t="s">
        <v>1015</v>
      </c>
      <c r="I1747" s="112" t="s">
        <v>1101</v>
      </c>
      <c r="J1747" s="112" t="s">
        <v>1852</v>
      </c>
      <c r="K1747" s="112" t="s">
        <v>1098</v>
      </c>
      <c r="L1747" s="116">
        <v>549.4</v>
      </c>
    </row>
    <row r="1748" spans="1:12" hidden="1" outlineLevel="1" collapsed="1" x14ac:dyDescent="0.35">
      <c r="A1748" s="112" t="s">
        <v>1814</v>
      </c>
      <c r="B1748" s="112" t="s">
        <v>905</v>
      </c>
      <c r="C1748" s="112" t="s">
        <v>1095</v>
      </c>
      <c r="D1748" s="113">
        <v>10348451</v>
      </c>
      <c r="E1748" s="115">
        <v>43949</v>
      </c>
      <c r="F1748" s="114">
        <v>202101</v>
      </c>
      <c r="G1748" s="112" t="s">
        <v>1091</v>
      </c>
      <c r="H1748" s="112" t="s">
        <v>1015</v>
      </c>
      <c r="I1748" s="112" t="s">
        <v>1096</v>
      </c>
      <c r="J1748" s="112" t="s">
        <v>1827</v>
      </c>
      <c r="K1748" s="112" t="s">
        <v>1098</v>
      </c>
      <c r="L1748" s="116">
        <v>690.45</v>
      </c>
    </row>
    <row r="1749" spans="1:12" hidden="1" outlineLevel="1" collapsed="1" x14ac:dyDescent="0.35">
      <c r="A1749" s="112" t="s">
        <v>1814</v>
      </c>
      <c r="B1749" s="112" t="s">
        <v>906</v>
      </c>
      <c r="C1749" s="112" t="s">
        <v>1095</v>
      </c>
      <c r="D1749" s="113">
        <v>10348451</v>
      </c>
      <c r="E1749" s="115">
        <v>43949</v>
      </c>
      <c r="F1749" s="114">
        <v>202101</v>
      </c>
      <c r="G1749" s="112" t="s">
        <v>1091</v>
      </c>
      <c r="H1749" s="112" t="s">
        <v>1015</v>
      </c>
      <c r="I1749" s="112" t="s">
        <v>1101</v>
      </c>
      <c r="J1749" s="112" t="s">
        <v>1874</v>
      </c>
      <c r="K1749" s="112" t="s">
        <v>1098</v>
      </c>
      <c r="L1749" s="116">
        <v>182</v>
      </c>
    </row>
    <row r="1750" spans="1:12" hidden="1" outlineLevel="1" collapsed="1" x14ac:dyDescent="0.35">
      <c r="A1750" s="112" t="s">
        <v>1814</v>
      </c>
      <c r="B1750" s="112" t="s">
        <v>905</v>
      </c>
      <c r="C1750" s="112" t="s">
        <v>679</v>
      </c>
      <c r="D1750" s="113">
        <v>10348297</v>
      </c>
      <c r="E1750" s="115">
        <v>43938</v>
      </c>
      <c r="F1750" s="114">
        <v>202101</v>
      </c>
      <c r="G1750" s="112" t="s">
        <v>1091</v>
      </c>
      <c r="H1750" s="112" t="s">
        <v>1016</v>
      </c>
      <c r="I1750" s="112" t="s">
        <v>1845</v>
      </c>
      <c r="J1750" s="112" t="s">
        <v>1817</v>
      </c>
      <c r="K1750" s="112" t="s">
        <v>2014</v>
      </c>
      <c r="L1750" s="116">
        <v>-569.4</v>
      </c>
    </row>
    <row r="1751" spans="1:12" hidden="1" outlineLevel="1" collapsed="1" x14ac:dyDescent="0.35">
      <c r="A1751" s="112" t="s">
        <v>1814</v>
      </c>
      <c r="B1751" s="112" t="s">
        <v>905</v>
      </c>
      <c r="C1751" s="112" t="s">
        <v>1219</v>
      </c>
      <c r="D1751" s="113">
        <v>46306862</v>
      </c>
      <c r="E1751" s="115">
        <v>43927</v>
      </c>
      <c r="F1751" s="114">
        <v>202101</v>
      </c>
      <c r="G1751" s="112" t="s">
        <v>1091</v>
      </c>
      <c r="H1751" s="112" t="s">
        <v>1015</v>
      </c>
      <c r="I1751" s="112" t="s">
        <v>1956</v>
      </c>
      <c r="J1751" s="112" t="s">
        <v>1996</v>
      </c>
      <c r="K1751" s="112" t="s">
        <v>2015</v>
      </c>
      <c r="L1751" s="116">
        <v>707.32</v>
      </c>
    </row>
    <row r="1752" spans="1:12" hidden="1" outlineLevel="1" collapsed="1" x14ac:dyDescent="0.35">
      <c r="A1752" s="112" t="s">
        <v>1814</v>
      </c>
      <c r="B1752" s="112" t="s">
        <v>905</v>
      </c>
      <c r="C1752" s="112" t="s">
        <v>1095</v>
      </c>
      <c r="D1752" s="113">
        <v>10348451</v>
      </c>
      <c r="E1752" s="115">
        <v>43949</v>
      </c>
      <c r="F1752" s="114">
        <v>202101</v>
      </c>
      <c r="G1752" s="112" t="s">
        <v>1091</v>
      </c>
      <c r="H1752" s="112" t="s">
        <v>1015</v>
      </c>
      <c r="I1752" s="112" t="s">
        <v>1479</v>
      </c>
      <c r="J1752" s="112" t="s">
        <v>1827</v>
      </c>
      <c r="K1752" s="112" t="s">
        <v>1098</v>
      </c>
      <c r="L1752" s="116">
        <v>2093.2399999999998</v>
      </c>
    </row>
    <row r="1753" spans="1:12" hidden="1" outlineLevel="1" collapsed="1" x14ac:dyDescent="0.35">
      <c r="A1753" s="112" t="s">
        <v>1814</v>
      </c>
      <c r="B1753" s="112" t="s">
        <v>905</v>
      </c>
      <c r="C1753" s="112" t="s">
        <v>1219</v>
      </c>
      <c r="D1753" s="113">
        <v>46306841</v>
      </c>
      <c r="E1753" s="115">
        <v>43927</v>
      </c>
      <c r="F1753" s="114">
        <v>202101</v>
      </c>
      <c r="G1753" s="112" t="s">
        <v>1091</v>
      </c>
      <c r="H1753" s="112" t="s">
        <v>1015</v>
      </c>
      <c r="I1753" s="112" t="s">
        <v>1952</v>
      </c>
      <c r="J1753" s="112" t="s">
        <v>1817</v>
      </c>
      <c r="K1753" s="112" t="s">
        <v>2016</v>
      </c>
      <c r="L1753" s="116">
        <v>1668.16</v>
      </c>
    </row>
    <row r="1754" spans="1:12" hidden="1" outlineLevel="1" collapsed="1" x14ac:dyDescent="0.35">
      <c r="A1754" s="112" t="s">
        <v>1814</v>
      </c>
      <c r="B1754" s="112" t="s">
        <v>905</v>
      </c>
      <c r="C1754" s="112" t="s">
        <v>1219</v>
      </c>
      <c r="D1754" s="113">
        <v>46306840</v>
      </c>
      <c r="E1754" s="115">
        <v>43927</v>
      </c>
      <c r="F1754" s="114">
        <v>202101</v>
      </c>
      <c r="G1754" s="112" t="s">
        <v>1091</v>
      </c>
      <c r="H1754" s="112" t="s">
        <v>1015</v>
      </c>
      <c r="I1754" s="112" t="s">
        <v>1952</v>
      </c>
      <c r="J1754" s="112" t="s">
        <v>1817</v>
      </c>
      <c r="K1754" s="112" t="s">
        <v>2017</v>
      </c>
      <c r="L1754" s="116">
        <v>962.4</v>
      </c>
    </row>
    <row r="1755" spans="1:12" hidden="1" outlineLevel="1" collapsed="1" x14ac:dyDescent="0.35">
      <c r="A1755" s="112" t="s">
        <v>1814</v>
      </c>
      <c r="B1755" s="112" t="s">
        <v>905</v>
      </c>
      <c r="C1755" s="112" t="s">
        <v>1219</v>
      </c>
      <c r="D1755" s="113">
        <v>46307964</v>
      </c>
      <c r="E1755" s="115">
        <v>43948</v>
      </c>
      <c r="F1755" s="114">
        <v>202101</v>
      </c>
      <c r="G1755" s="112" t="s">
        <v>1091</v>
      </c>
      <c r="H1755" s="112" t="s">
        <v>1015</v>
      </c>
      <c r="I1755" s="112" t="s">
        <v>1956</v>
      </c>
      <c r="J1755" s="112" t="s">
        <v>1996</v>
      </c>
      <c r="K1755" s="112" t="s">
        <v>2018</v>
      </c>
      <c r="L1755" s="116">
        <v>579.65</v>
      </c>
    </row>
    <row r="1756" spans="1:12" hidden="1" outlineLevel="1" collapsed="1" x14ac:dyDescent="0.35">
      <c r="A1756" s="112" t="s">
        <v>1814</v>
      </c>
      <c r="B1756" s="112" t="s">
        <v>906</v>
      </c>
      <c r="C1756" s="112" t="s">
        <v>1106</v>
      </c>
      <c r="D1756" s="113">
        <v>3097384</v>
      </c>
      <c r="E1756" s="115">
        <v>43928</v>
      </c>
      <c r="F1756" s="114">
        <v>202101</v>
      </c>
      <c r="G1756" s="112" t="s">
        <v>1091</v>
      </c>
      <c r="H1756" s="112" t="s">
        <v>1015</v>
      </c>
      <c r="I1756" s="112" t="s">
        <v>1169</v>
      </c>
      <c r="J1756" s="112" t="s">
        <v>1815</v>
      </c>
      <c r="K1756" s="112" t="s">
        <v>2019</v>
      </c>
      <c r="L1756" s="116">
        <v>221.73</v>
      </c>
    </row>
    <row r="1757" spans="1:12" hidden="1" outlineLevel="1" collapsed="1" x14ac:dyDescent="0.35">
      <c r="A1757" s="112" t="s">
        <v>1814</v>
      </c>
      <c r="B1757" s="112" t="s">
        <v>905</v>
      </c>
      <c r="C1757" s="112" t="s">
        <v>1095</v>
      </c>
      <c r="D1757" s="113">
        <v>10348451</v>
      </c>
      <c r="E1757" s="115">
        <v>43949</v>
      </c>
      <c r="F1757" s="114">
        <v>202101</v>
      </c>
      <c r="G1757" s="112" t="s">
        <v>1091</v>
      </c>
      <c r="H1757" s="112" t="s">
        <v>1015</v>
      </c>
      <c r="I1757" s="112" t="s">
        <v>1096</v>
      </c>
      <c r="J1757" s="112" t="s">
        <v>1827</v>
      </c>
      <c r="K1757" s="112" t="s">
        <v>1098</v>
      </c>
      <c r="L1757" s="116">
        <v>310.49</v>
      </c>
    </row>
    <row r="1758" spans="1:12" hidden="1" outlineLevel="1" collapsed="1" x14ac:dyDescent="0.35">
      <c r="A1758" s="112" t="s">
        <v>1814</v>
      </c>
      <c r="B1758" s="112" t="s">
        <v>905</v>
      </c>
      <c r="C1758" s="112" t="s">
        <v>1095</v>
      </c>
      <c r="D1758" s="113">
        <v>10348451</v>
      </c>
      <c r="E1758" s="115">
        <v>43949</v>
      </c>
      <c r="F1758" s="114">
        <v>202101</v>
      </c>
      <c r="G1758" s="112" t="s">
        <v>1091</v>
      </c>
      <c r="H1758" s="112" t="s">
        <v>1015</v>
      </c>
      <c r="I1758" s="112" t="s">
        <v>1116</v>
      </c>
      <c r="J1758" s="112" t="s">
        <v>1839</v>
      </c>
      <c r="K1758" s="112" t="s">
        <v>1098</v>
      </c>
      <c r="L1758" s="116">
        <v>3311.08</v>
      </c>
    </row>
    <row r="1759" spans="1:12" hidden="1" outlineLevel="1" collapsed="1" x14ac:dyDescent="0.35">
      <c r="A1759" s="112" t="s">
        <v>1814</v>
      </c>
      <c r="B1759" s="112" t="s">
        <v>905</v>
      </c>
      <c r="C1759" s="112" t="s">
        <v>1106</v>
      </c>
      <c r="D1759" s="113">
        <v>3097680</v>
      </c>
      <c r="E1759" s="115">
        <v>43928</v>
      </c>
      <c r="F1759" s="114">
        <v>202101</v>
      </c>
      <c r="G1759" s="112" t="s">
        <v>1091</v>
      </c>
      <c r="H1759" s="112" t="s">
        <v>1015</v>
      </c>
      <c r="I1759" s="112" t="s">
        <v>813</v>
      </c>
      <c r="J1759" s="112" t="s">
        <v>1822</v>
      </c>
      <c r="K1759" s="112" t="s">
        <v>2020</v>
      </c>
      <c r="L1759" s="116">
        <v>41.66</v>
      </c>
    </row>
    <row r="1760" spans="1:12" hidden="1" outlineLevel="1" collapsed="1" x14ac:dyDescent="0.35">
      <c r="A1760" s="112" t="s">
        <v>1814</v>
      </c>
      <c r="B1760" s="112" t="s">
        <v>906</v>
      </c>
      <c r="C1760" s="112" t="s">
        <v>1106</v>
      </c>
      <c r="D1760" s="113">
        <v>3097664</v>
      </c>
      <c r="E1760" s="115">
        <v>43928</v>
      </c>
      <c r="F1760" s="114">
        <v>202101</v>
      </c>
      <c r="G1760" s="112" t="s">
        <v>1091</v>
      </c>
      <c r="H1760" s="112" t="s">
        <v>1015</v>
      </c>
      <c r="I1760" s="112" t="s">
        <v>813</v>
      </c>
      <c r="J1760" s="112" t="s">
        <v>1815</v>
      </c>
      <c r="K1760" s="112" t="s">
        <v>2021</v>
      </c>
      <c r="L1760" s="116">
        <v>255.04</v>
      </c>
    </row>
    <row r="1761" spans="1:12" hidden="1" outlineLevel="1" collapsed="1" x14ac:dyDescent="0.35">
      <c r="A1761" s="112" t="s">
        <v>1814</v>
      </c>
      <c r="B1761" s="112" t="s">
        <v>906</v>
      </c>
      <c r="C1761" s="112" t="s">
        <v>1106</v>
      </c>
      <c r="D1761" s="113">
        <v>3097871</v>
      </c>
      <c r="E1761" s="115">
        <v>43928</v>
      </c>
      <c r="F1761" s="114">
        <v>202101</v>
      </c>
      <c r="G1761" s="112" t="s">
        <v>1091</v>
      </c>
      <c r="H1761" s="112" t="s">
        <v>1015</v>
      </c>
      <c r="I1761" s="112" t="s">
        <v>813</v>
      </c>
      <c r="J1761" s="112" t="s">
        <v>1815</v>
      </c>
      <c r="K1761" s="112" t="s">
        <v>2022</v>
      </c>
      <c r="L1761" s="116">
        <v>117.13</v>
      </c>
    </row>
    <row r="1762" spans="1:12" hidden="1" outlineLevel="1" collapsed="1" x14ac:dyDescent="0.35">
      <c r="A1762" s="112" t="s">
        <v>1814</v>
      </c>
      <c r="B1762" s="112" t="s">
        <v>906</v>
      </c>
      <c r="C1762" s="112" t="s">
        <v>1106</v>
      </c>
      <c r="D1762" s="113">
        <v>3097233</v>
      </c>
      <c r="E1762" s="115">
        <v>43928</v>
      </c>
      <c r="F1762" s="114">
        <v>202101</v>
      </c>
      <c r="G1762" s="112" t="s">
        <v>1091</v>
      </c>
      <c r="H1762" s="112" t="s">
        <v>1015</v>
      </c>
      <c r="I1762" s="112" t="s">
        <v>813</v>
      </c>
      <c r="J1762" s="112" t="s">
        <v>1815</v>
      </c>
      <c r="K1762" s="112" t="s">
        <v>2023</v>
      </c>
      <c r="L1762" s="116">
        <v>257.43</v>
      </c>
    </row>
    <row r="1763" spans="1:12" hidden="1" outlineLevel="1" collapsed="1" x14ac:dyDescent="0.35">
      <c r="A1763" s="112" t="s">
        <v>1814</v>
      </c>
      <c r="B1763" s="112" t="s">
        <v>906</v>
      </c>
      <c r="C1763" s="112" t="s">
        <v>1106</v>
      </c>
      <c r="D1763" s="113">
        <v>3097665</v>
      </c>
      <c r="E1763" s="115">
        <v>43928</v>
      </c>
      <c r="F1763" s="114">
        <v>202101</v>
      </c>
      <c r="G1763" s="112" t="s">
        <v>1091</v>
      </c>
      <c r="H1763" s="112" t="s">
        <v>1015</v>
      </c>
      <c r="I1763" s="112" t="s">
        <v>813</v>
      </c>
      <c r="J1763" s="112" t="s">
        <v>1815</v>
      </c>
      <c r="K1763" s="112" t="s">
        <v>2024</v>
      </c>
      <c r="L1763" s="116">
        <v>255.56</v>
      </c>
    </row>
    <row r="1764" spans="1:12" hidden="1" outlineLevel="1" collapsed="1" x14ac:dyDescent="0.35">
      <c r="A1764" s="112" t="s">
        <v>1814</v>
      </c>
      <c r="B1764" s="112" t="s">
        <v>906</v>
      </c>
      <c r="C1764" s="112" t="s">
        <v>1106</v>
      </c>
      <c r="D1764" s="113">
        <v>3097345</v>
      </c>
      <c r="E1764" s="115">
        <v>43928</v>
      </c>
      <c r="F1764" s="114">
        <v>202101</v>
      </c>
      <c r="G1764" s="112" t="s">
        <v>1091</v>
      </c>
      <c r="H1764" s="112" t="s">
        <v>1015</v>
      </c>
      <c r="I1764" s="112" t="s">
        <v>1820</v>
      </c>
      <c r="J1764" s="112" t="s">
        <v>1815</v>
      </c>
      <c r="K1764" s="112" t="s">
        <v>2025</v>
      </c>
      <c r="L1764" s="116">
        <v>24.37</v>
      </c>
    </row>
    <row r="1765" spans="1:12" hidden="1" outlineLevel="1" collapsed="1" x14ac:dyDescent="0.35">
      <c r="A1765" s="112" t="s">
        <v>1814</v>
      </c>
      <c r="B1765" s="112" t="s">
        <v>906</v>
      </c>
      <c r="C1765" s="112" t="s">
        <v>1106</v>
      </c>
      <c r="D1765" s="113">
        <v>3097390</v>
      </c>
      <c r="E1765" s="115">
        <v>43928</v>
      </c>
      <c r="F1765" s="114">
        <v>202101</v>
      </c>
      <c r="G1765" s="112" t="s">
        <v>1091</v>
      </c>
      <c r="H1765" s="112" t="s">
        <v>1015</v>
      </c>
      <c r="I1765" s="112" t="s">
        <v>813</v>
      </c>
      <c r="J1765" s="112" t="s">
        <v>1815</v>
      </c>
      <c r="K1765" s="112" t="s">
        <v>2026</v>
      </c>
      <c r="L1765" s="116">
        <v>528.96</v>
      </c>
    </row>
    <row r="1766" spans="1:12" hidden="1" outlineLevel="1" collapsed="1" x14ac:dyDescent="0.35">
      <c r="A1766" s="112" t="s">
        <v>1814</v>
      </c>
      <c r="B1766" s="112" t="s">
        <v>906</v>
      </c>
      <c r="C1766" s="112" t="s">
        <v>1106</v>
      </c>
      <c r="D1766" s="113">
        <v>3097542</v>
      </c>
      <c r="E1766" s="115">
        <v>43928</v>
      </c>
      <c r="F1766" s="114">
        <v>202101</v>
      </c>
      <c r="G1766" s="112" t="s">
        <v>1091</v>
      </c>
      <c r="H1766" s="112" t="s">
        <v>1015</v>
      </c>
      <c r="I1766" s="112" t="s">
        <v>1873</v>
      </c>
      <c r="J1766" s="112" t="s">
        <v>1815</v>
      </c>
      <c r="K1766" s="112" t="s">
        <v>2027</v>
      </c>
      <c r="L1766" s="116">
        <v>26.74</v>
      </c>
    </row>
    <row r="1767" spans="1:12" hidden="1" outlineLevel="1" collapsed="1" x14ac:dyDescent="0.35">
      <c r="A1767" s="112" t="s">
        <v>1814</v>
      </c>
      <c r="B1767" s="112" t="s">
        <v>905</v>
      </c>
      <c r="C1767" s="112" t="s">
        <v>1511</v>
      </c>
      <c r="D1767" s="113">
        <v>47036943</v>
      </c>
      <c r="E1767" s="115">
        <v>43938</v>
      </c>
      <c r="F1767" s="114">
        <v>202101</v>
      </c>
      <c r="G1767" s="112" t="s">
        <v>1091</v>
      </c>
      <c r="H1767" s="112" t="s">
        <v>1015</v>
      </c>
      <c r="I1767" s="112" t="s">
        <v>749</v>
      </c>
      <c r="J1767" s="112" t="s">
        <v>1822</v>
      </c>
      <c r="K1767" s="112" t="s">
        <v>2028</v>
      </c>
      <c r="L1767" s="116">
        <v>265.76</v>
      </c>
    </row>
    <row r="1768" spans="1:12" hidden="1" outlineLevel="1" collapsed="1" x14ac:dyDescent="0.35">
      <c r="A1768" s="112" t="s">
        <v>1814</v>
      </c>
      <c r="B1768" s="112" t="s">
        <v>905</v>
      </c>
      <c r="C1768" s="112" t="s">
        <v>679</v>
      </c>
      <c r="D1768" s="113">
        <v>10348418</v>
      </c>
      <c r="E1768" s="115">
        <v>43944</v>
      </c>
      <c r="F1768" s="114">
        <v>202101</v>
      </c>
      <c r="G1768" s="112" t="s">
        <v>1091</v>
      </c>
      <c r="H1768" s="112" t="s">
        <v>1016</v>
      </c>
      <c r="I1768" s="112" t="s">
        <v>1845</v>
      </c>
      <c r="J1768" s="112" t="s">
        <v>1996</v>
      </c>
      <c r="K1768" s="112" t="s">
        <v>706</v>
      </c>
      <c r="L1768" s="116">
        <v>-900</v>
      </c>
    </row>
    <row r="1769" spans="1:12" hidden="1" outlineLevel="1" collapsed="1" x14ac:dyDescent="0.35">
      <c r="A1769" s="112" t="s">
        <v>1814</v>
      </c>
      <c r="B1769" s="112" t="s">
        <v>905</v>
      </c>
      <c r="C1769" s="112" t="s">
        <v>1511</v>
      </c>
      <c r="D1769" s="113">
        <v>47036744</v>
      </c>
      <c r="E1769" s="115">
        <v>43937</v>
      </c>
      <c r="F1769" s="114">
        <v>202101</v>
      </c>
      <c r="G1769" s="112" t="s">
        <v>1091</v>
      </c>
      <c r="H1769" s="112" t="s">
        <v>1015</v>
      </c>
      <c r="I1769" s="112" t="s">
        <v>749</v>
      </c>
      <c r="J1769" s="112" t="s">
        <v>1822</v>
      </c>
      <c r="K1769" s="112" t="s">
        <v>2029</v>
      </c>
      <c r="L1769" s="116">
        <v>443.57</v>
      </c>
    </row>
    <row r="1770" spans="1:12" hidden="1" outlineLevel="1" collapsed="1" x14ac:dyDescent="0.35">
      <c r="A1770" s="112" t="s">
        <v>1814</v>
      </c>
      <c r="B1770" s="112" t="s">
        <v>905</v>
      </c>
      <c r="C1770" s="112" t="s">
        <v>1219</v>
      </c>
      <c r="D1770" s="113">
        <v>46306930</v>
      </c>
      <c r="E1770" s="115">
        <v>43929</v>
      </c>
      <c r="F1770" s="114">
        <v>202101</v>
      </c>
      <c r="G1770" s="112" t="s">
        <v>1091</v>
      </c>
      <c r="H1770" s="112" t="s">
        <v>1015</v>
      </c>
      <c r="I1770" s="112" t="s">
        <v>1605</v>
      </c>
      <c r="J1770" s="112" t="s">
        <v>1996</v>
      </c>
      <c r="K1770" s="112" t="s">
        <v>2030</v>
      </c>
      <c r="L1770" s="116">
        <v>30</v>
      </c>
    </row>
    <row r="1771" spans="1:12" hidden="1" outlineLevel="1" collapsed="1" x14ac:dyDescent="0.35">
      <c r="A1771" s="112" t="s">
        <v>1814</v>
      </c>
      <c r="B1771" s="112" t="s">
        <v>905</v>
      </c>
      <c r="C1771" s="112" t="s">
        <v>1219</v>
      </c>
      <c r="D1771" s="113">
        <v>46306968</v>
      </c>
      <c r="E1771" s="115">
        <v>43929</v>
      </c>
      <c r="F1771" s="114">
        <v>202101</v>
      </c>
      <c r="G1771" s="112" t="s">
        <v>1091</v>
      </c>
      <c r="H1771" s="112" t="s">
        <v>1015</v>
      </c>
      <c r="I1771" s="112" t="s">
        <v>1956</v>
      </c>
      <c r="J1771" s="112" t="s">
        <v>1817</v>
      </c>
      <c r="K1771" s="112" t="s">
        <v>2031</v>
      </c>
      <c r="L1771" s="116">
        <v>150</v>
      </c>
    </row>
    <row r="1772" spans="1:12" hidden="1" outlineLevel="1" collapsed="1" x14ac:dyDescent="0.35">
      <c r="A1772" s="112" t="s">
        <v>1814</v>
      </c>
      <c r="B1772" s="112" t="s">
        <v>905</v>
      </c>
      <c r="C1772" s="112" t="s">
        <v>1219</v>
      </c>
      <c r="D1772" s="113">
        <v>46306969</v>
      </c>
      <c r="E1772" s="115">
        <v>43929</v>
      </c>
      <c r="F1772" s="114">
        <v>202101</v>
      </c>
      <c r="G1772" s="112" t="s">
        <v>1091</v>
      </c>
      <c r="H1772" s="112" t="s">
        <v>1015</v>
      </c>
      <c r="I1772" s="112" t="s">
        <v>1952</v>
      </c>
      <c r="J1772" s="112" t="s">
        <v>1817</v>
      </c>
      <c r="K1772" s="112" t="s">
        <v>2032</v>
      </c>
      <c r="L1772" s="116">
        <v>3016.2</v>
      </c>
    </row>
    <row r="1773" spans="1:12" hidden="1" outlineLevel="1" collapsed="1" x14ac:dyDescent="0.35">
      <c r="A1773" s="112" t="s">
        <v>1814</v>
      </c>
      <c r="B1773" s="112" t="s">
        <v>905</v>
      </c>
      <c r="C1773" s="112" t="s">
        <v>1511</v>
      </c>
      <c r="D1773" s="113">
        <v>47036959</v>
      </c>
      <c r="E1773" s="115">
        <v>43938</v>
      </c>
      <c r="F1773" s="114">
        <v>202101</v>
      </c>
      <c r="G1773" s="112" t="s">
        <v>1091</v>
      </c>
      <c r="H1773" s="112" t="s">
        <v>1015</v>
      </c>
      <c r="I1773" s="112" t="s">
        <v>757</v>
      </c>
      <c r="J1773" s="112" t="s">
        <v>1822</v>
      </c>
      <c r="K1773" s="112" t="s">
        <v>2033</v>
      </c>
      <c r="L1773" s="116">
        <v>121.73</v>
      </c>
    </row>
    <row r="1774" spans="1:12" hidden="1" outlineLevel="1" collapsed="1" x14ac:dyDescent="0.35">
      <c r="A1774" s="112" t="s">
        <v>1814</v>
      </c>
      <c r="B1774" s="112" t="s">
        <v>906</v>
      </c>
      <c r="C1774" s="112" t="s">
        <v>1511</v>
      </c>
      <c r="D1774" s="113">
        <v>47036968</v>
      </c>
      <c r="E1774" s="115">
        <v>43915</v>
      </c>
      <c r="F1774" s="114">
        <v>202101</v>
      </c>
      <c r="G1774" s="112" t="s">
        <v>1091</v>
      </c>
      <c r="H1774" s="112" t="s">
        <v>1015</v>
      </c>
      <c r="I1774" s="112" t="s">
        <v>757</v>
      </c>
      <c r="J1774" s="112" t="s">
        <v>1874</v>
      </c>
      <c r="K1774" s="112" t="s">
        <v>2034</v>
      </c>
      <c r="L1774" s="116">
        <v>4.25</v>
      </c>
    </row>
    <row r="1775" spans="1:12" hidden="1" outlineLevel="1" collapsed="1" x14ac:dyDescent="0.35">
      <c r="A1775" s="112" t="s">
        <v>1814</v>
      </c>
      <c r="B1775" s="112" t="s">
        <v>906</v>
      </c>
      <c r="C1775" s="112" t="s">
        <v>1150</v>
      </c>
      <c r="D1775" s="113">
        <v>10348570</v>
      </c>
      <c r="E1775" s="115">
        <v>43957</v>
      </c>
      <c r="F1775" s="114">
        <v>202101</v>
      </c>
      <c r="G1775" s="112" t="s">
        <v>1091</v>
      </c>
      <c r="H1775" s="112" t="s">
        <v>1016</v>
      </c>
      <c r="I1775" s="112" t="s">
        <v>2035</v>
      </c>
      <c r="J1775" s="112" t="s">
        <v>1874</v>
      </c>
      <c r="K1775" s="112" t="s">
        <v>2036</v>
      </c>
      <c r="L1775" s="116">
        <v>-83331.149999999994</v>
      </c>
    </row>
    <row r="1776" spans="1:12" hidden="1" outlineLevel="1" collapsed="1" x14ac:dyDescent="0.35">
      <c r="A1776" s="112" t="s">
        <v>1814</v>
      </c>
      <c r="B1776" s="112" t="s">
        <v>905</v>
      </c>
      <c r="C1776" s="112" t="s">
        <v>1095</v>
      </c>
      <c r="D1776" s="113">
        <v>10348451</v>
      </c>
      <c r="E1776" s="115">
        <v>43949</v>
      </c>
      <c r="F1776" s="114">
        <v>202101</v>
      </c>
      <c r="G1776" s="112" t="s">
        <v>1091</v>
      </c>
      <c r="H1776" s="112" t="s">
        <v>1015</v>
      </c>
      <c r="I1776" s="112" t="s">
        <v>1116</v>
      </c>
      <c r="J1776" s="112" t="s">
        <v>1839</v>
      </c>
      <c r="K1776" s="112" t="s">
        <v>1098</v>
      </c>
      <c r="L1776" s="116">
        <v>2981.92</v>
      </c>
    </row>
    <row r="1777" spans="1:12" hidden="1" outlineLevel="1" collapsed="1" x14ac:dyDescent="0.35">
      <c r="A1777" s="112" t="s">
        <v>1814</v>
      </c>
      <c r="B1777" s="112" t="s">
        <v>905</v>
      </c>
      <c r="C1777" s="112" t="s">
        <v>1095</v>
      </c>
      <c r="D1777" s="113">
        <v>10348451</v>
      </c>
      <c r="E1777" s="115">
        <v>43949</v>
      </c>
      <c r="F1777" s="114">
        <v>202101</v>
      </c>
      <c r="G1777" s="112" t="s">
        <v>1091</v>
      </c>
      <c r="H1777" s="112" t="s">
        <v>1015</v>
      </c>
      <c r="I1777" s="112" t="s">
        <v>1116</v>
      </c>
      <c r="J1777" s="112" t="s">
        <v>1839</v>
      </c>
      <c r="K1777" s="112" t="s">
        <v>1098</v>
      </c>
      <c r="L1777" s="116">
        <v>1490.96</v>
      </c>
    </row>
    <row r="1778" spans="1:12" hidden="1" outlineLevel="1" collapsed="1" x14ac:dyDescent="0.35">
      <c r="A1778" s="112" t="s">
        <v>1814</v>
      </c>
      <c r="B1778" s="112" t="s">
        <v>905</v>
      </c>
      <c r="C1778" s="112" t="s">
        <v>695</v>
      </c>
      <c r="D1778" s="113">
        <v>10348186</v>
      </c>
      <c r="E1778" s="115">
        <v>43930</v>
      </c>
      <c r="F1778" s="114">
        <v>202101</v>
      </c>
      <c r="G1778" s="112" t="s">
        <v>1091</v>
      </c>
      <c r="H1778" s="112" t="s">
        <v>1015</v>
      </c>
      <c r="I1778" s="112" t="s">
        <v>1605</v>
      </c>
      <c r="J1778" s="112" t="s">
        <v>1842</v>
      </c>
      <c r="K1778" s="112" t="s">
        <v>2037</v>
      </c>
      <c r="L1778" s="116">
        <v>-11769.5</v>
      </c>
    </row>
    <row r="1779" spans="1:12" hidden="1" outlineLevel="1" collapsed="1" x14ac:dyDescent="0.35">
      <c r="A1779" s="112" t="s">
        <v>1814</v>
      </c>
      <c r="B1779" s="112" t="s">
        <v>905</v>
      </c>
      <c r="C1779" s="112" t="s">
        <v>1095</v>
      </c>
      <c r="D1779" s="113">
        <v>10348451</v>
      </c>
      <c r="E1779" s="115">
        <v>43949</v>
      </c>
      <c r="F1779" s="114">
        <v>202101</v>
      </c>
      <c r="G1779" s="112" t="s">
        <v>1091</v>
      </c>
      <c r="H1779" s="112" t="s">
        <v>1015</v>
      </c>
      <c r="I1779" s="112" t="s">
        <v>1116</v>
      </c>
      <c r="J1779" s="112" t="s">
        <v>1839</v>
      </c>
      <c r="K1779" s="112" t="s">
        <v>1098</v>
      </c>
      <c r="L1779" s="116">
        <v>2906.92</v>
      </c>
    </row>
    <row r="1780" spans="1:12" hidden="1" outlineLevel="1" collapsed="1" x14ac:dyDescent="0.35">
      <c r="A1780" s="112" t="s">
        <v>1814</v>
      </c>
      <c r="B1780" s="112" t="s">
        <v>905</v>
      </c>
      <c r="C1780" s="112" t="s">
        <v>695</v>
      </c>
      <c r="D1780" s="113">
        <v>10348186</v>
      </c>
      <c r="E1780" s="115">
        <v>43930</v>
      </c>
      <c r="F1780" s="114">
        <v>202101</v>
      </c>
      <c r="G1780" s="112" t="s">
        <v>1091</v>
      </c>
      <c r="H1780" s="112" t="s">
        <v>1015</v>
      </c>
      <c r="I1780" s="112" t="s">
        <v>1605</v>
      </c>
      <c r="J1780" s="112" t="s">
        <v>1878</v>
      </c>
      <c r="K1780" s="112" t="s">
        <v>2038</v>
      </c>
      <c r="L1780" s="116">
        <v>-6307</v>
      </c>
    </row>
    <row r="1781" spans="1:12" hidden="1" outlineLevel="1" collapsed="1" x14ac:dyDescent="0.35">
      <c r="A1781" s="112" t="s">
        <v>1814</v>
      </c>
      <c r="B1781" s="112" t="s">
        <v>905</v>
      </c>
      <c r="C1781" s="112" t="s">
        <v>695</v>
      </c>
      <c r="D1781" s="113">
        <v>10348186</v>
      </c>
      <c r="E1781" s="115">
        <v>43930</v>
      </c>
      <c r="F1781" s="114">
        <v>202101</v>
      </c>
      <c r="G1781" s="112" t="s">
        <v>1091</v>
      </c>
      <c r="H1781" s="112" t="s">
        <v>1015</v>
      </c>
      <c r="I1781" s="112" t="s">
        <v>1605</v>
      </c>
      <c r="J1781" s="112" t="s">
        <v>1878</v>
      </c>
      <c r="K1781" s="112" t="s">
        <v>2039</v>
      </c>
      <c r="L1781" s="116">
        <v>-7104.25</v>
      </c>
    </row>
    <row r="1782" spans="1:12" hidden="1" outlineLevel="1" collapsed="1" x14ac:dyDescent="0.35">
      <c r="A1782" s="112" t="s">
        <v>1814</v>
      </c>
      <c r="B1782" s="112" t="s">
        <v>905</v>
      </c>
      <c r="C1782" s="112" t="s">
        <v>695</v>
      </c>
      <c r="D1782" s="113">
        <v>10348186</v>
      </c>
      <c r="E1782" s="115">
        <v>43930</v>
      </c>
      <c r="F1782" s="114">
        <v>202101</v>
      </c>
      <c r="G1782" s="112" t="s">
        <v>1091</v>
      </c>
      <c r="H1782" s="112" t="s">
        <v>1015</v>
      </c>
      <c r="I1782" s="112" t="s">
        <v>1605</v>
      </c>
      <c r="J1782" s="112" t="s">
        <v>1878</v>
      </c>
      <c r="K1782" s="112" t="s">
        <v>2040</v>
      </c>
      <c r="L1782" s="116">
        <v>-14425</v>
      </c>
    </row>
    <row r="1783" spans="1:12" hidden="1" outlineLevel="1" collapsed="1" x14ac:dyDescent="0.35">
      <c r="A1783" s="112" t="s">
        <v>1814</v>
      </c>
      <c r="B1783" s="112" t="s">
        <v>905</v>
      </c>
      <c r="C1783" s="112" t="s">
        <v>695</v>
      </c>
      <c r="D1783" s="113">
        <v>10348186</v>
      </c>
      <c r="E1783" s="115">
        <v>43930</v>
      </c>
      <c r="F1783" s="114">
        <v>202101</v>
      </c>
      <c r="G1783" s="112" t="s">
        <v>1091</v>
      </c>
      <c r="H1783" s="112" t="s">
        <v>1015</v>
      </c>
      <c r="I1783" s="112" t="s">
        <v>1605</v>
      </c>
      <c r="J1783" s="112" t="s">
        <v>1878</v>
      </c>
      <c r="K1783" s="112" t="s">
        <v>2041</v>
      </c>
      <c r="L1783" s="116">
        <v>-7104.25</v>
      </c>
    </row>
    <row r="1784" spans="1:12" hidden="1" outlineLevel="1" collapsed="1" x14ac:dyDescent="0.35">
      <c r="A1784" s="112" t="s">
        <v>1814</v>
      </c>
      <c r="B1784" s="112" t="s">
        <v>905</v>
      </c>
      <c r="C1784" s="112" t="s">
        <v>695</v>
      </c>
      <c r="D1784" s="113">
        <v>10348186</v>
      </c>
      <c r="E1784" s="115">
        <v>43930</v>
      </c>
      <c r="F1784" s="114">
        <v>202101</v>
      </c>
      <c r="G1784" s="112" t="s">
        <v>1091</v>
      </c>
      <c r="H1784" s="112" t="s">
        <v>1015</v>
      </c>
      <c r="I1784" s="112" t="s">
        <v>1605</v>
      </c>
      <c r="J1784" s="112" t="s">
        <v>1878</v>
      </c>
      <c r="K1784" s="112" t="s">
        <v>2042</v>
      </c>
      <c r="L1784" s="116">
        <v>-8509.5</v>
      </c>
    </row>
    <row r="1785" spans="1:12" hidden="1" outlineLevel="1" collapsed="1" x14ac:dyDescent="0.35">
      <c r="A1785" s="112" t="s">
        <v>1814</v>
      </c>
      <c r="B1785" s="112" t="s">
        <v>905</v>
      </c>
      <c r="C1785" s="112" t="s">
        <v>695</v>
      </c>
      <c r="D1785" s="113">
        <v>10348186</v>
      </c>
      <c r="E1785" s="115">
        <v>43930</v>
      </c>
      <c r="F1785" s="114">
        <v>202101</v>
      </c>
      <c r="G1785" s="112" t="s">
        <v>1091</v>
      </c>
      <c r="H1785" s="112" t="s">
        <v>1015</v>
      </c>
      <c r="I1785" s="112" t="s">
        <v>1605</v>
      </c>
      <c r="J1785" s="112" t="s">
        <v>1959</v>
      </c>
      <c r="K1785" s="112" t="s">
        <v>2043</v>
      </c>
      <c r="L1785" s="116">
        <v>-6450</v>
      </c>
    </row>
    <row r="1786" spans="1:12" hidden="1" outlineLevel="1" collapsed="1" x14ac:dyDescent="0.35">
      <c r="A1786" s="112" t="s">
        <v>1814</v>
      </c>
      <c r="B1786" s="112" t="s">
        <v>905</v>
      </c>
      <c r="C1786" s="112" t="s">
        <v>1095</v>
      </c>
      <c r="D1786" s="113">
        <v>10348451</v>
      </c>
      <c r="E1786" s="115">
        <v>43949</v>
      </c>
      <c r="F1786" s="114">
        <v>202101</v>
      </c>
      <c r="G1786" s="112" t="s">
        <v>1091</v>
      </c>
      <c r="H1786" s="112" t="s">
        <v>1015</v>
      </c>
      <c r="I1786" s="112" t="s">
        <v>1116</v>
      </c>
      <c r="J1786" s="112" t="s">
        <v>1839</v>
      </c>
      <c r="K1786" s="112" t="s">
        <v>1098</v>
      </c>
      <c r="L1786" s="116">
        <v>1892.67</v>
      </c>
    </row>
    <row r="1787" spans="1:12" hidden="1" outlineLevel="1" collapsed="1" x14ac:dyDescent="0.35">
      <c r="A1787" s="112" t="s">
        <v>1814</v>
      </c>
      <c r="B1787" s="112" t="s">
        <v>905</v>
      </c>
      <c r="C1787" s="112" t="s">
        <v>1095</v>
      </c>
      <c r="D1787" s="113">
        <v>10348451</v>
      </c>
      <c r="E1787" s="115">
        <v>43949</v>
      </c>
      <c r="F1787" s="114">
        <v>202101</v>
      </c>
      <c r="G1787" s="112" t="s">
        <v>1091</v>
      </c>
      <c r="H1787" s="112" t="s">
        <v>1015</v>
      </c>
      <c r="I1787" s="112" t="s">
        <v>1116</v>
      </c>
      <c r="J1787" s="112" t="s">
        <v>1839</v>
      </c>
      <c r="K1787" s="112" t="s">
        <v>1098</v>
      </c>
      <c r="L1787" s="116">
        <v>2900.83</v>
      </c>
    </row>
    <row r="1788" spans="1:12" hidden="1" outlineLevel="1" collapsed="1" x14ac:dyDescent="0.35">
      <c r="A1788" s="112" t="s">
        <v>1814</v>
      </c>
      <c r="B1788" s="112" t="s">
        <v>905</v>
      </c>
      <c r="C1788" s="112" t="s">
        <v>1095</v>
      </c>
      <c r="D1788" s="113">
        <v>10348451</v>
      </c>
      <c r="E1788" s="115">
        <v>43949</v>
      </c>
      <c r="F1788" s="114">
        <v>202101</v>
      </c>
      <c r="G1788" s="112" t="s">
        <v>1091</v>
      </c>
      <c r="H1788" s="112" t="s">
        <v>1015</v>
      </c>
      <c r="I1788" s="112" t="s">
        <v>1116</v>
      </c>
      <c r="J1788" s="112" t="s">
        <v>1839</v>
      </c>
      <c r="K1788" s="112" t="s">
        <v>1098</v>
      </c>
      <c r="L1788" s="116">
        <v>1841.88</v>
      </c>
    </row>
    <row r="1789" spans="1:12" hidden="1" outlineLevel="1" collapsed="1" x14ac:dyDescent="0.35">
      <c r="A1789" s="112" t="s">
        <v>1814</v>
      </c>
      <c r="B1789" s="112" t="s">
        <v>905</v>
      </c>
      <c r="C1789" s="112" t="s">
        <v>1095</v>
      </c>
      <c r="D1789" s="113">
        <v>10348451</v>
      </c>
      <c r="E1789" s="115">
        <v>43949</v>
      </c>
      <c r="F1789" s="114">
        <v>202101</v>
      </c>
      <c r="G1789" s="112" t="s">
        <v>1091</v>
      </c>
      <c r="H1789" s="112" t="s">
        <v>1015</v>
      </c>
      <c r="I1789" s="112" t="s">
        <v>1116</v>
      </c>
      <c r="J1789" s="112" t="s">
        <v>1839</v>
      </c>
      <c r="K1789" s="112" t="s">
        <v>1098</v>
      </c>
      <c r="L1789" s="116">
        <v>2981.92</v>
      </c>
    </row>
    <row r="1790" spans="1:12" hidden="1" outlineLevel="1" collapsed="1" x14ac:dyDescent="0.35">
      <c r="A1790" s="112" t="s">
        <v>1814</v>
      </c>
      <c r="B1790" s="112" t="s">
        <v>906</v>
      </c>
      <c r="C1790" s="112" t="s">
        <v>679</v>
      </c>
      <c r="D1790" s="113">
        <v>10348411</v>
      </c>
      <c r="E1790" s="115">
        <v>43943</v>
      </c>
      <c r="F1790" s="114">
        <v>202101</v>
      </c>
      <c r="G1790" s="112" t="s">
        <v>1091</v>
      </c>
      <c r="H1790" s="112" t="s">
        <v>1015</v>
      </c>
      <c r="I1790" s="112" t="s">
        <v>736</v>
      </c>
      <c r="J1790" s="112" t="s">
        <v>1874</v>
      </c>
      <c r="K1790" s="112" t="s">
        <v>2044</v>
      </c>
      <c r="L1790" s="116">
        <v>2544.9</v>
      </c>
    </row>
    <row r="1791" spans="1:12" hidden="1" outlineLevel="1" collapsed="1" x14ac:dyDescent="0.35">
      <c r="A1791" s="112" t="s">
        <v>1814</v>
      </c>
      <c r="B1791" s="112" t="s">
        <v>905</v>
      </c>
      <c r="C1791" s="112" t="s">
        <v>679</v>
      </c>
      <c r="D1791" s="113">
        <v>10348115</v>
      </c>
      <c r="E1791" s="115">
        <v>43929</v>
      </c>
      <c r="F1791" s="114">
        <v>202101</v>
      </c>
      <c r="G1791" s="112" t="s">
        <v>1091</v>
      </c>
      <c r="H1791" s="112" t="s">
        <v>1015</v>
      </c>
      <c r="I1791" s="112" t="s">
        <v>1952</v>
      </c>
      <c r="J1791" s="112" t="s">
        <v>1971</v>
      </c>
      <c r="K1791" s="112" t="s">
        <v>2045</v>
      </c>
      <c r="L1791" s="116">
        <v>3517.58</v>
      </c>
    </row>
    <row r="1792" spans="1:12" hidden="1" outlineLevel="1" collapsed="1" x14ac:dyDescent="0.35">
      <c r="A1792" s="112" t="s">
        <v>1814</v>
      </c>
      <c r="B1792" s="112" t="s">
        <v>905</v>
      </c>
      <c r="C1792" s="112" t="s">
        <v>679</v>
      </c>
      <c r="D1792" s="113">
        <v>10348115</v>
      </c>
      <c r="E1792" s="115">
        <v>43929</v>
      </c>
      <c r="F1792" s="114">
        <v>202101</v>
      </c>
      <c r="G1792" s="112" t="s">
        <v>1091</v>
      </c>
      <c r="H1792" s="112" t="s">
        <v>1015</v>
      </c>
      <c r="I1792" s="112" t="s">
        <v>1952</v>
      </c>
      <c r="J1792" s="112" t="s">
        <v>1817</v>
      </c>
      <c r="K1792" s="112" t="s">
        <v>2046</v>
      </c>
      <c r="L1792" s="116">
        <v>2630.72</v>
      </c>
    </row>
    <row r="1793" spans="1:12" hidden="1" outlineLevel="1" collapsed="1" x14ac:dyDescent="0.35">
      <c r="A1793" s="112" t="s">
        <v>1814</v>
      </c>
      <c r="B1793" s="112" t="s">
        <v>905</v>
      </c>
      <c r="C1793" s="112" t="s">
        <v>1150</v>
      </c>
      <c r="D1793" s="113">
        <v>10348570</v>
      </c>
      <c r="E1793" s="115">
        <v>43957</v>
      </c>
      <c r="F1793" s="114">
        <v>202101</v>
      </c>
      <c r="G1793" s="112" t="s">
        <v>1091</v>
      </c>
      <c r="H1793" s="112" t="s">
        <v>1016</v>
      </c>
      <c r="I1793" s="112" t="s">
        <v>823</v>
      </c>
      <c r="J1793" s="112" t="s">
        <v>1901</v>
      </c>
      <c r="K1793" s="112" t="s">
        <v>2036</v>
      </c>
      <c r="L1793" s="116">
        <v>-9707.4699999999993</v>
      </c>
    </row>
    <row r="1794" spans="1:12" hidden="1" outlineLevel="1" collapsed="1" x14ac:dyDescent="0.35">
      <c r="A1794" s="112" t="s">
        <v>1814</v>
      </c>
      <c r="B1794" s="112" t="s">
        <v>905</v>
      </c>
      <c r="C1794" s="112" t="s">
        <v>1095</v>
      </c>
      <c r="D1794" s="113">
        <v>10348451</v>
      </c>
      <c r="E1794" s="115">
        <v>43949</v>
      </c>
      <c r="F1794" s="114">
        <v>202101</v>
      </c>
      <c r="G1794" s="112" t="s">
        <v>1091</v>
      </c>
      <c r="H1794" s="112" t="s">
        <v>1015</v>
      </c>
      <c r="I1794" s="112" t="s">
        <v>1116</v>
      </c>
      <c r="J1794" s="112" t="s">
        <v>1839</v>
      </c>
      <c r="K1794" s="112" t="s">
        <v>1098</v>
      </c>
      <c r="L1794" s="116">
        <v>2981.92</v>
      </c>
    </row>
    <row r="1795" spans="1:12" hidden="1" outlineLevel="1" collapsed="1" x14ac:dyDescent="0.35">
      <c r="A1795" s="112" t="s">
        <v>1814</v>
      </c>
      <c r="B1795" s="112" t="s">
        <v>906</v>
      </c>
      <c r="C1795" s="112" t="s">
        <v>1106</v>
      </c>
      <c r="D1795" s="113">
        <v>3097940</v>
      </c>
      <c r="E1795" s="115">
        <v>43928</v>
      </c>
      <c r="F1795" s="114">
        <v>202101</v>
      </c>
      <c r="G1795" s="112" t="s">
        <v>1091</v>
      </c>
      <c r="H1795" s="112" t="s">
        <v>1015</v>
      </c>
      <c r="I1795" s="112" t="s">
        <v>1169</v>
      </c>
      <c r="J1795" s="112" t="s">
        <v>1815</v>
      </c>
      <c r="K1795" s="112" t="s">
        <v>2047</v>
      </c>
      <c r="L1795" s="116">
        <v>141.97</v>
      </c>
    </row>
    <row r="1796" spans="1:12" hidden="1" outlineLevel="1" collapsed="1" x14ac:dyDescent="0.35">
      <c r="A1796" s="112" t="s">
        <v>1814</v>
      </c>
      <c r="B1796" s="112" t="s">
        <v>906</v>
      </c>
      <c r="C1796" s="112" t="s">
        <v>1106</v>
      </c>
      <c r="D1796" s="113">
        <v>3097225</v>
      </c>
      <c r="E1796" s="115">
        <v>43928</v>
      </c>
      <c r="F1796" s="114">
        <v>202101</v>
      </c>
      <c r="G1796" s="112" t="s">
        <v>1091</v>
      </c>
      <c r="H1796" s="112" t="s">
        <v>1015</v>
      </c>
      <c r="I1796" s="112" t="s">
        <v>1169</v>
      </c>
      <c r="J1796" s="112" t="s">
        <v>1815</v>
      </c>
      <c r="K1796" s="112" t="s">
        <v>2048</v>
      </c>
      <c r="L1796" s="116">
        <v>7418.17</v>
      </c>
    </row>
    <row r="1797" spans="1:12" hidden="1" outlineLevel="1" collapsed="1" x14ac:dyDescent="0.35">
      <c r="A1797" s="112" t="s">
        <v>1814</v>
      </c>
      <c r="B1797" s="112" t="s">
        <v>905</v>
      </c>
      <c r="C1797" s="112" t="s">
        <v>1099</v>
      </c>
      <c r="D1797" s="113">
        <v>1069632</v>
      </c>
      <c r="E1797" s="115">
        <v>43936</v>
      </c>
      <c r="F1797" s="114">
        <v>202101</v>
      </c>
      <c r="G1797" s="112" t="s">
        <v>1091</v>
      </c>
      <c r="H1797" s="112" t="s">
        <v>1015</v>
      </c>
      <c r="I1797" s="112" t="s">
        <v>1153</v>
      </c>
      <c r="J1797" s="112" t="s">
        <v>1842</v>
      </c>
      <c r="K1797" s="112" t="s">
        <v>2049</v>
      </c>
      <c r="L1797" s="116">
        <v>1500</v>
      </c>
    </row>
    <row r="1798" spans="1:12" hidden="1" outlineLevel="1" collapsed="1" x14ac:dyDescent="0.35">
      <c r="A1798" s="112" t="s">
        <v>1814</v>
      </c>
      <c r="B1798" s="112" t="s">
        <v>906</v>
      </c>
      <c r="C1798" s="112" t="s">
        <v>1106</v>
      </c>
      <c r="D1798" s="113">
        <v>3097368</v>
      </c>
      <c r="E1798" s="115">
        <v>43928</v>
      </c>
      <c r="F1798" s="114">
        <v>202101</v>
      </c>
      <c r="G1798" s="112" t="s">
        <v>1091</v>
      </c>
      <c r="H1798" s="112" t="s">
        <v>1015</v>
      </c>
      <c r="I1798" s="112" t="s">
        <v>1169</v>
      </c>
      <c r="J1798" s="112" t="s">
        <v>1815</v>
      </c>
      <c r="K1798" s="112" t="s">
        <v>2050</v>
      </c>
      <c r="L1798" s="116">
        <v>127.78</v>
      </c>
    </row>
    <row r="1799" spans="1:12" hidden="1" outlineLevel="1" collapsed="1" x14ac:dyDescent="0.35">
      <c r="A1799" s="112" t="s">
        <v>1814</v>
      </c>
      <c r="B1799" s="112" t="s">
        <v>906</v>
      </c>
      <c r="C1799" s="112" t="s">
        <v>1106</v>
      </c>
      <c r="D1799" s="113">
        <v>3097286</v>
      </c>
      <c r="E1799" s="115">
        <v>43928</v>
      </c>
      <c r="F1799" s="114">
        <v>202101</v>
      </c>
      <c r="G1799" s="112" t="s">
        <v>1091</v>
      </c>
      <c r="H1799" s="112" t="s">
        <v>1015</v>
      </c>
      <c r="I1799" s="112" t="s">
        <v>1169</v>
      </c>
      <c r="J1799" s="112" t="s">
        <v>1815</v>
      </c>
      <c r="K1799" s="112" t="s">
        <v>2051</v>
      </c>
      <c r="L1799" s="116">
        <v>304.8</v>
      </c>
    </row>
    <row r="1800" spans="1:12" hidden="1" outlineLevel="1" collapsed="1" x14ac:dyDescent="0.35">
      <c r="A1800" s="112" t="s">
        <v>1814</v>
      </c>
      <c r="B1800" s="112" t="s">
        <v>906</v>
      </c>
      <c r="C1800" s="112" t="s">
        <v>1106</v>
      </c>
      <c r="D1800" s="113">
        <v>3096095</v>
      </c>
      <c r="E1800" s="115">
        <v>43921</v>
      </c>
      <c r="F1800" s="114">
        <v>202101</v>
      </c>
      <c r="G1800" s="112" t="s">
        <v>1091</v>
      </c>
      <c r="H1800" s="112" t="s">
        <v>1015</v>
      </c>
      <c r="I1800" s="112" t="s">
        <v>1169</v>
      </c>
      <c r="J1800" s="112" t="s">
        <v>1815</v>
      </c>
      <c r="K1800" s="112" t="s">
        <v>2052</v>
      </c>
      <c r="L1800" s="116">
        <v>63.88</v>
      </c>
    </row>
    <row r="1801" spans="1:12" hidden="1" outlineLevel="1" collapsed="1" x14ac:dyDescent="0.35">
      <c r="A1801" s="112" t="s">
        <v>1814</v>
      </c>
      <c r="B1801" s="112" t="s">
        <v>906</v>
      </c>
      <c r="C1801" s="112" t="s">
        <v>1106</v>
      </c>
      <c r="D1801" s="113">
        <v>3097401</v>
      </c>
      <c r="E1801" s="115">
        <v>43928</v>
      </c>
      <c r="F1801" s="114">
        <v>202101</v>
      </c>
      <c r="G1801" s="112" t="s">
        <v>1091</v>
      </c>
      <c r="H1801" s="112" t="s">
        <v>1015</v>
      </c>
      <c r="I1801" s="112" t="s">
        <v>1169</v>
      </c>
      <c r="J1801" s="112" t="s">
        <v>1815</v>
      </c>
      <c r="K1801" s="112" t="s">
        <v>2053</v>
      </c>
      <c r="L1801" s="116">
        <v>289.16000000000003</v>
      </c>
    </row>
    <row r="1802" spans="1:12" hidden="1" outlineLevel="1" collapsed="1" x14ac:dyDescent="0.35">
      <c r="A1802" s="112" t="s">
        <v>1814</v>
      </c>
      <c r="B1802" s="112" t="s">
        <v>906</v>
      </c>
      <c r="C1802" s="112" t="s">
        <v>1106</v>
      </c>
      <c r="D1802" s="113">
        <v>3097874</v>
      </c>
      <c r="E1802" s="115">
        <v>43928</v>
      </c>
      <c r="F1802" s="114">
        <v>202101</v>
      </c>
      <c r="G1802" s="112" t="s">
        <v>1091</v>
      </c>
      <c r="H1802" s="112" t="s">
        <v>1015</v>
      </c>
      <c r="I1802" s="112" t="s">
        <v>1169</v>
      </c>
      <c r="J1802" s="112" t="s">
        <v>1815</v>
      </c>
      <c r="K1802" s="112" t="s">
        <v>2054</v>
      </c>
      <c r="L1802" s="116">
        <v>51.11</v>
      </c>
    </row>
    <row r="1803" spans="1:12" hidden="1" outlineLevel="1" collapsed="1" x14ac:dyDescent="0.35">
      <c r="A1803" s="112" t="s">
        <v>1814</v>
      </c>
      <c r="B1803" s="112" t="s">
        <v>906</v>
      </c>
      <c r="C1803" s="112" t="s">
        <v>1106</v>
      </c>
      <c r="D1803" s="113">
        <v>3097873</v>
      </c>
      <c r="E1803" s="115">
        <v>43928</v>
      </c>
      <c r="F1803" s="114">
        <v>202101</v>
      </c>
      <c r="G1803" s="112" t="s">
        <v>1091</v>
      </c>
      <c r="H1803" s="112" t="s">
        <v>1015</v>
      </c>
      <c r="I1803" s="112" t="s">
        <v>1169</v>
      </c>
      <c r="J1803" s="112" t="s">
        <v>1815</v>
      </c>
      <c r="K1803" s="112" t="s">
        <v>2055</v>
      </c>
      <c r="L1803" s="116">
        <v>153.33000000000001</v>
      </c>
    </row>
    <row r="1804" spans="1:12" hidden="1" outlineLevel="1" collapsed="1" x14ac:dyDescent="0.35">
      <c r="A1804" s="112" t="s">
        <v>1814</v>
      </c>
      <c r="B1804" s="112" t="s">
        <v>906</v>
      </c>
      <c r="C1804" s="112" t="s">
        <v>1106</v>
      </c>
      <c r="D1804" s="113">
        <v>3096818</v>
      </c>
      <c r="E1804" s="115">
        <v>43921</v>
      </c>
      <c r="F1804" s="114">
        <v>202101</v>
      </c>
      <c r="G1804" s="112" t="s">
        <v>1091</v>
      </c>
      <c r="H1804" s="112" t="s">
        <v>1015</v>
      </c>
      <c r="I1804" s="112" t="s">
        <v>747</v>
      </c>
      <c r="J1804" s="112" t="s">
        <v>1815</v>
      </c>
      <c r="K1804" s="112" t="s">
        <v>2056</v>
      </c>
      <c r="L1804" s="116">
        <v>500</v>
      </c>
    </row>
    <row r="1805" spans="1:12" hidden="1" outlineLevel="1" collapsed="1" x14ac:dyDescent="0.35">
      <c r="A1805" s="112" t="s">
        <v>1814</v>
      </c>
      <c r="B1805" s="112" t="s">
        <v>906</v>
      </c>
      <c r="C1805" s="112" t="s">
        <v>1106</v>
      </c>
      <c r="D1805" s="113">
        <v>3097367</v>
      </c>
      <c r="E1805" s="115">
        <v>43928</v>
      </c>
      <c r="F1805" s="114">
        <v>202101</v>
      </c>
      <c r="G1805" s="112" t="s">
        <v>1091</v>
      </c>
      <c r="H1805" s="112" t="s">
        <v>1015</v>
      </c>
      <c r="I1805" s="112" t="s">
        <v>1169</v>
      </c>
      <c r="J1805" s="112" t="s">
        <v>1815</v>
      </c>
      <c r="K1805" s="112" t="s">
        <v>2057</v>
      </c>
      <c r="L1805" s="116">
        <v>84.84</v>
      </c>
    </row>
    <row r="1806" spans="1:12" hidden="1" outlineLevel="1" collapsed="1" x14ac:dyDescent="0.35">
      <c r="A1806" s="112" t="s">
        <v>1814</v>
      </c>
      <c r="B1806" s="112" t="s">
        <v>906</v>
      </c>
      <c r="C1806" s="112" t="s">
        <v>1106</v>
      </c>
      <c r="D1806" s="113">
        <v>3097879</v>
      </c>
      <c r="E1806" s="115">
        <v>43928</v>
      </c>
      <c r="F1806" s="114">
        <v>202101</v>
      </c>
      <c r="G1806" s="112" t="s">
        <v>1091</v>
      </c>
      <c r="H1806" s="112" t="s">
        <v>1015</v>
      </c>
      <c r="I1806" s="112" t="s">
        <v>1169</v>
      </c>
      <c r="J1806" s="112" t="s">
        <v>1815</v>
      </c>
      <c r="K1806" s="112" t="s">
        <v>2058</v>
      </c>
      <c r="L1806" s="116">
        <v>127.78</v>
      </c>
    </row>
    <row r="1807" spans="1:12" hidden="1" outlineLevel="1" collapsed="1" x14ac:dyDescent="0.35">
      <c r="A1807" s="112" t="s">
        <v>1814</v>
      </c>
      <c r="B1807" s="112" t="s">
        <v>906</v>
      </c>
      <c r="C1807" s="112" t="s">
        <v>1106</v>
      </c>
      <c r="D1807" s="113">
        <v>3097877</v>
      </c>
      <c r="E1807" s="115">
        <v>43928</v>
      </c>
      <c r="F1807" s="114">
        <v>202101</v>
      </c>
      <c r="G1807" s="112" t="s">
        <v>1091</v>
      </c>
      <c r="H1807" s="112" t="s">
        <v>1015</v>
      </c>
      <c r="I1807" s="112" t="s">
        <v>1169</v>
      </c>
      <c r="J1807" s="112" t="s">
        <v>1815</v>
      </c>
      <c r="K1807" s="112" t="s">
        <v>2059</v>
      </c>
      <c r="L1807" s="116">
        <v>153.33000000000001</v>
      </c>
    </row>
    <row r="1808" spans="1:12" hidden="1" outlineLevel="1" collapsed="1" x14ac:dyDescent="0.35">
      <c r="A1808" s="112" t="s">
        <v>1814</v>
      </c>
      <c r="B1808" s="112" t="s">
        <v>906</v>
      </c>
      <c r="C1808" s="112" t="s">
        <v>1106</v>
      </c>
      <c r="D1808" s="113">
        <v>3097875</v>
      </c>
      <c r="E1808" s="115">
        <v>43928</v>
      </c>
      <c r="F1808" s="114">
        <v>202101</v>
      </c>
      <c r="G1808" s="112" t="s">
        <v>1091</v>
      </c>
      <c r="H1808" s="112" t="s">
        <v>1015</v>
      </c>
      <c r="I1808" s="112" t="s">
        <v>1169</v>
      </c>
      <c r="J1808" s="112" t="s">
        <v>1815</v>
      </c>
      <c r="K1808" s="112" t="s">
        <v>2060</v>
      </c>
      <c r="L1808" s="116">
        <v>141.36000000000001</v>
      </c>
    </row>
    <row r="1809" spans="1:12" hidden="1" outlineLevel="1" collapsed="1" x14ac:dyDescent="0.35">
      <c r="A1809" s="112" t="s">
        <v>1814</v>
      </c>
      <c r="B1809" s="112" t="s">
        <v>906</v>
      </c>
      <c r="C1809" s="112" t="s">
        <v>1106</v>
      </c>
      <c r="D1809" s="113">
        <v>3097870</v>
      </c>
      <c r="E1809" s="115">
        <v>43928</v>
      </c>
      <c r="F1809" s="114">
        <v>202101</v>
      </c>
      <c r="G1809" s="112" t="s">
        <v>1091</v>
      </c>
      <c r="H1809" s="112" t="s">
        <v>1015</v>
      </c>
      <c r="I1809" s="112" t="s">
        <v>1169</v>
      </c>
      <c r="J1809" s="112" t="s">
        <v>1815</v>
      </c>
      <c r="K1809" s="112" t="s">
        <v>2061</v>
      </c>
      <c r="L1809" s="116">
        <v>99.87</v>
      </c>
    </row>
    <row r="1810" spans="1:12" hidden="1" outlineLevel="1" collapsed="1" x14ac:dyDescent="0.35">
      <c r="A1810" s="112" t="s">
        <v>1814</v>
      </c>
      <c r="B1810" s="112" t="s">
        <v>906</v>
      </c>
      <c r="C1810" s="112" t="s">
        <v>1106</v>
      </c>
      <c r="D1810" s="113">
        <v>3097198</v>
      </c>
      <c r="E1810" s="115">
        <v>43928</v>
      </c>
      <c r="F1810" s="114">
        <v>202101</v>
      </c>
      <c r="G1810" s="112" t="s">
        <v>1091</v>
      </c>
      <c r="H1810" s="112" t="s">
        <v>1015</v>
      </c>
      <c r="I1810" s="112" t="s">
        <v>1169</v>
      </c>
      <c r="J1810" s="112" t="s">
        <v>1815</v>
      </c>
      <c r="K1810" s="112" t="s">
        <v>2062</v>
      </c>
      <c r="L1810" s="116">
        <v>127.78</v>
      </c>
    </row>
    <row r="1811" spans="1:12" hidden="1" outlineLevel="1" collapsed="1" x14ac:dyDescent="0.35">
      <c r="A1811" s="112" t="s">
        <v>1814</v>
      </c>
      <c r="B1811" s="112" t="s">
        <v>906</v>
      </c>
      <c r="C1811" s="112" t="s">
        <v>1106</v>
      </c>
      <c r="D1811" s="113">
        <v>3097196</v>
      </c>
      <c r="E1811" s="115">
        <v>43928</v>
      </c>
      <c r="F1811" s="114">
        <v>202101</v>
      </c>
      <c r="G1811" s="112" t="s">
        <v>1091</v>
      </c>
      <c r="H1811" s="112" t="s">
        <v>1015</v>
      </c>
      <c r="I1811" s="112" t="s">
        <v>1169</v>
      </c>
      <c r="J1811" s="112" t="s">
        <v>1815</v>
      </c>
      <c r="K1811" s="112" t="s">
        <v>2063</v>
      </c>
      <c r="L1811" s="116">
        <v>175.78</v>
      </c>
    </row>
    <row r="1812" spans="1:12" hidden="1" outlineLevel="1" collapsed="1" x14ac:dyDescent="0.35">
      <c r="A1812" s="112" t="s">
        <v>1814</v>
      </c>
      <c r="B1812" s="112" t="s">
        <v>906</v>
      </c>
      <c r="C1812" s="112" t="s">
        <v>1106</v>
      </c>
      <c r="D1812" s="113">
        <v>3097387</v>
      </c>
      <c r="E1812" s="115">
        <v>43928</v>
      </c>
      <c r="F1812" s="114">
        <v>202101</v>
      </c>
      <c r="G1812" s="112" t="s">
        <v>1091</v>
      </c>
      <c r="H1812" s="112" t="s">
        <v>1015</v>
      </c>
      <c r="I1812" s="112" t="s">
        <v>1169</v>
      </c>
      <c r="J1812" s="112" t="s">
        <v>1815</v>
      </c>
      <c r="K1812" s="112" t="s">
        <v>2064</v>
      </c>
      <c r="L1812" s="116">
        <v>106.98</v>
      </c>
    </row>
    <row r="1813" spans="1:12" hidden="1" outlineLevel="1" collapsed="1" x14ac:dyDescent="0.35">
      <c r="A1813" s="112" t="s">
        <v>1814</v>
      </c>
      <c r="B1813" s="112" t="s">
        <v>906</v>
      </c>
      <c r="C1813" s="112" t="s">
        <v>1106</v>
      </c>
      <c r="D1813" s="113">
        <v>3097861</v>
      </c>
      <c r="E1813" s="115">
        <v>43928</v>
      </c>
      <c r="F1813" s="114">
        <v>202101</v>
      </c>
      <c r="G1813" s="112" t="s">
        <v>1091</v>
      </c>
      <c r="H1813" s="112" t="s">
        <v>1015</v>
      </c>
      <c r="I1813" s="112" t="s">
        <v>1169</v>
      </c>
      <c r="J1813" s="112" t="s">
        <v>1815</v>
      </c>
      <c r="K1813" s="112" t="s">
        <v>2065</v>
      </c>
      <c r="L1813" s="116">
        <v>42.8</v>
      </c>
    </row>
    <row r="1814" spans="1:12" hidden="1" outlineLevel="1" collapsed="1" x14ac:dyDescent="0.35">
      <c r="A1814" s="112" t="s">
        <v>1814</v>
      </c>
      <c r="B1814" s="112" t="s">
        <v>906</v>
      </c>
      <c r="C1814" s="112" t="s">
        <v>1106</v>
      </c>
      <c r="D1814" s="113">
        <v>3097860</v>
      </c>
      <c r="E1814" s="115">
        <v>43928</v>
      </c>
      <c r="F1814" s="114">
        <v>202101</v>
      </c>
      <c r="G1814" s="112" t="s">
        <v>1091</v>
      </c>
      <c r="H1814" s="112" t="s">
        <v>1015</v>
      </c>
      <c r="I1814" s="112" t="s">
        <v>1169</v>
      </c>
      <c r="J1814" s="112" t="s">
        <v>1815</v>
      </c>
      <c r="K1814" s="112" t="s">
        <v>2066</v>
      </c>
      <c r="L1814" s="116">
        <v>51.11</v>
      </c>
    </row>
    <row r="1815" spans="1:12" hidden="1" outlineLevel="1" collapsed="1" x14ac:dyDescent="0.35">
      <c r="A1815" s="112" t="s">
        <v>1814</v>
      </c>
      <c r="B1815" s="112" t="s">
        <v>906</v>
      </c>
      <c r="C1815" s="112" t="s">
        <v>1106</v>
      </c>
      <c r="D1815" s="113">
        <v>3097859</v>
      </c>
      <c r="E1815" s="115">
        <v>43928</v>
      </c>
      <c r="F1815" s="114">
        <v>202101</v>
      </c>
      <c r="G1815" s="112" t="s">
        <v>1091</v>
      </c>
      <c r="H1815" s="112" t="s">
        <v>1015</v>
      </c>
      <c r="I1815" s="112" t="s">
        <v>1169</v>
      </c>
      <c r="J1815" s="112" t="s">
        <v>1815</v>
      </c>
      <c r="K1815" s="112" t="s">
        <v>2067</v>
      </c>
      <c r="L1815" s="116">
        <v>76.67</v>
      </c>
    </row>
    <row r="1816" spans="1:12" hidden="1" outlineLevel="1" collapsed="1" x14ac:dyDescent="0.35">
      <c r="A1816" s="112" t="s">
        <v>1814</v>
      </c>
      <c r="B1816" s="112" t="s">
        <v>906</v>
      </c>
      <c r="C1816" s="112" t="s">
        <v>1106</v>
      </c>
      <c r="D1816" s="113">
        <v>3097226</v>
      </c>
      <c r="E1816" s="115">
        <v>43928</v>
      </c>
      <c r="F1816" s="114">
        <v>202101</v>
      </c>
      <c r="G1816" s="112" t="s">
        <v>1091</v>
      </c>
      <c r="H1816" s="112" t="s">
        <v>1015</v>
      </c>
      <c r="I1816" s="112" t="s">
        <v>1169</v>
      </c>
      <c r="J1816" s="112" t="s">
        <v>1815</v>
      </c>
      <c r="K1816" s="112" t="s">
        <v>2068</v>
      </c>
      <c r="L1816" s="116">
        <v>603.91999999999996</v>
      </c>
    </row>
    <row r="1817" spans="1:12" hidden="1" outlineLevel="1" collapsed="1" x14ac:dyDescent="0.35">
      <c r="A1817" s="112" t="s">
        <v>1814</v>
      </c>
      <c r="B1817" s="112" t="s">
        <v>906</v>
      </c>
      <c r="C1817" s="112" t="s">
        <v>1106</v>
      </c>
      <c r="D1817" s="113">
        <v>3097850</v>
      </c>
      <c r="E1817" s="115">
        <v>43928</v>
      </c>
      <c r="F1817" s="114">
        <v>202101</v>
      </c>
      <c r="G1817" s="112" t="s">
        <v>1091</v>
      </c>
      <c r="H1817" s="112" t="s">
        <v>1015</v>
      </c>
      <c r="I1817" s="112" t="s">
        <v>1169</v>
      </c>
      <c r="J1817" s="112" t="s">
        <v>1815</v>
      </c>
      <c r="K1817" s="112" t="s">
        <v>2069</v>
      </c>
      <c r="L1817" s="116">
        <v>319.43</v>
      </c>
    </row>
    <row r="1818" spans="1:12" hidden="1" outlineLevel="1" collapsed="1" x14ac:dyDescent="0.35">
      <c r="A1818" s="112" t="s">
        <v>1814</v>
      </c>
      <c r="B1818" s="112" t="s">
        <v>906</v>
      </c>
      <c r="C1818" s="112" t="s">
        <v>1106</v>
      </c>
      <c r="D1818" s="113">
        <v>3097862</v>
      </c>
      <c r="E1818" s="115">
        <v>43928</v>
      </c>
      <c r="F1818" s="114">
        <v>202101</v>
      </c>
      <c r="G1818" s="112" t="s">
        <v>1091</v>
      </c>
      <c r="H1818" s="112" t="s">
        <v>1015</v>
      </c>
      <c r="I1818" s="112" t="s">
        <v>1169</v>
      </c>
      <c r="J1818" s="112" t="s">
        <v>1815</v>
      </c>
      <c r="K1818" s="112" t="s">
        <v>2070</v>
      </c>
      <c r="L1818" s="116">
        <v>58.59</v>
      </c>
    </row>
    <row r="1819" spans="1:12" hidden="1" outlineLevel="1" collapsed="1" x14ac:dyDescent="0.35">
      <c r="A1819" s="112" t="s">
        <v>1814</v>
      </c>
      <c r="B1819" s="112" t="s">
        <v>906</v>
      </c>
      <c r="C1819" s="112" t="s">
        <v>1106</v>
      </c>
      <c r="D1819" s="113">
        <v>3097857</v>
      </c>
      <c r="E1819" s="115">
        <v>43928</v>
      </c>
      <c r="F1819" s="114">
        <v>202101</v>
      </c>
      <c r="G1819" s="112" t="s">
        <v>1091</v>
      </c>
      <c r="H1819" s="112" t="s">
        <v>1015</v>
      </c>
      <c r="I1819" s="112" t="s">
        <v>1169</v>
      </c>
      <c r="J1819" s="112" t="s">
        <v>1815</v>
      </c>
      <c r="K1819" s="112" t="s">
        <v>2071</v>
      </c>
      <c r="L1819" s="116">
        <v>697.29</v>
      </c>
    </row>
    <row r="1820" spans="1:12" hidden="1" outlineLevel="1" collapsed="1" x14ac:dyDescent="0.35">
      <c r="A1820" s="112" t="s">
        <v>1814</v>
      </c>
      <c r="B1820" s="112" t="s">
        <v>905</v>
      </c>
      <c r="C1820" s="112" t="s">
        <v>1266</v>
      </c>
      <c r="D1820" s="113">
        <v>1069416</v>
      </c>
      <c r="E1820" s="115">
        <v>43914</v>
      </c>
      <c r="F1820" s="114">
        <v>202101</v>
      </c>
      <c r="G1820" s="112" t="s">
        <v>1091</v>
      </c>
      <c r="H1820" s="112" t="s">
        <v>1015</v>
      </c>
      <c r="I1820" s="112" t="s">
        <v>1968</v>
      </c>
      <c r="J1820" s="112" t="s">
        <v>1817</v>
      </c>
      <c r="K1820" s="112" t="s">
        <v>2072</v>
      </c>
      <c r="L1820" s="116">
        <v>48609</v>
      </c>
    </row>
    <row r="1821" spans="1:12" hidden="1" outlineLevel="1" collapsed="1" x14ac:dyDescent="0.35">
      <c r="A1821" s="112" t="s">
        <v>1814</v>
      </c>
      <c r="B1821" s="112" t="s">
        <v>905</v>
      </c>
      <c r="C1821" s="112" t="s">
        <v>1099</v>
      </c>
      <c r="D1821" s="113">
        <v>1069669</v>
      </c>
      <c r="E1821" s="115">
        <v>43943</v>
      </c>
      <c r="F1821" s="114">
        <v>202101</v>
      </c>
      <c r="G1821" s="112" t="s">
        <v>1091</v>
      </c>
      <c r="H1821" s="112" t="s">
        <v>1015</v>
      </c>
      <c r="I1821" s="112" t="s">
        <v>1153</v>
      </c>
      <c r="J1821" s="112" t="s">
        <v>1842</v>
      </c>
      <c r="K1821" s="112" t="s">
        <v>2073</v>
      </c>
      <c r="L1821" s="116">
        <v>1750</v>
      </c>
    </row>
    <row r="1822" spans="1:12" hidden="1" outlineLevel="1" collapsed="1" x14ac:dyDescent="0.35">
      <c r="A1822" s="112" t="s">
        <v>1814</v>
      </c>
      <c r="B1822" s="112" t="s">
        <v>905</v>
      </c>
      <c r="C1822" s="112" t="s">
        <v>1099</v>
      </c>
      <c r="D1822" s="113">
        <v>1069629</v>
      </c>
      <c r="E1822" s="115">
        <v>43941</v>
      </c>
      <c r="F1822" s="114">
        <v>202101</v>
      </c>
      <c r="G1822" s="112" t="s">
        <v>1091</v>
      </c>
      <c r="H1822" s="112" t="s">
        <v>1015</v>
      </c>
      <c r="I1822" s="112" t="s">
        <v>1153</v>
      </c>
      <c r="J1822" s="112" t="s">
        <v>1842</v>
      </c>
      <c r="K1822" s="112" t="s">
        <v>2074</v>
      </c>
      <c r="L1822" s="116">
        <v>1729.32</v>
      </c>
    </row>
    <row r="1823" spans="1:12" hidden="1" outlineLevel="1" collapsed="1" x14ac:dyDescent="0.35">
      <c r="A1823" s="112" t="s">
        <v>1814</v>
      </c>
      <c r="B1823" s="112" t="s">
        <v>905</v>
      </c>
      <c r="C1823" s="112" t="s">
        <v>695</v>
      </c>
      <c r="D1823" s="113">
        <v>10348352</v>
      </c>
      <c r="E1823" s="115">
        <v>43942</v>
      </c>
      <c r="F1823" s="114">
        <v>202101</v>
      </c>
      <c r="G1823" s="112" t="s">
        <v>1091</v>
      </c>
      <c r="H1823" s="112" t="s">
        <v>1016</v>
      </c>
      <c r="I1823" s="112" t="s">
        <v>1131</v>
      </c>
      <c r="J1823" s="112" t="s">
        <v>1842</v>
      </c>
      <c r="K1823" s="112" t="s">
        <v>1975</v>
      </c>
      <c r="L1823" s="116">
        <v>-42672.53</v>
      </c>
    </row>
    <row r="1824" spans="1:12" hidden="1" outlineLevel="1" collapsed="1" x14ac:dyDescent="0.35">
      <c r="A1824" s="112" t="s">
        <v>1814</v>
      </c>
      <c r="B1824" s="112" t="s">
        <v>905</v>
      </c>
      <c r="C1824" s="112" t="s">
        <v>695</v>
      </c>
      <c r="D1824" s="113">
        <v>10348352</v>
      </c>
      <c r="E1824" s="115">
        <v>43942</v>
      </c>
      <c r="F1824" s="114">
        <v>202101</v>
      </c>
      <c r="G1824" s="112" t="s">
        <v>1091</v>
      </c>
      <c r="H1824" s="112" t="s">
        <v>1016</v>
      </c>
      <c r="I1824" s="112" t="s">
        <v>1131</v>
      </c>
      <c r="J1824" s="112" t="s">
        <v>1842</v>
      </c>
      <c r="K1824" s="112" t="s">
        <v>2075</v>
      </c>
      <c r="L1824" s="116">
        <v>44672.93</v>
      </c>
    </row>
    <row r="1825" spans="1:12" hidden="1" outlineLevel="1" collapsed="1" x14ac:dyDescent="0.35">
      <c r="A1825" s="112" t="s">
        <v>1814</v>
      </c>
      <c r="B1825" s="112" t="s">
        <v>906</v>
      </c>
      <c r="C1825" s="112" t="s">
        <v>1099</v>
      </c>
      <c r="D1825" s="113">
        <v>1069458</v>
      </c>
      <c r="E1825" s="115">
        <v>43921</v>
      </c>
      <c r="F1825" s="114">
        <v>202101</v>
      </c>
      <c r="G1825" s="112" t="s">
        <v>1091</v>
      </c>
      <c r="H1825" s="112" t="s">
        <v>1015</v>
      </c>
      <c r="I1825" s="112" t="s">
        <v>2076</v>
      </c>
      <c r="J1825" s="112" t="s">
        <v>1815</v>
      </c>
      <c r="K1825" s="112" t="s">
        <v>2077</v>
      </c>
      <c r="L1825" s="116">
        <v>8195</v>
      </c>
    </row>
    <row r="1826" spans="1:12" hidden="1" outlineLevel="1" collapsed="1" x14ac:dyDescent="0.35">
      <c r="A1826" s="112" t="s">
        <v>1814</v>
      </c>
      <c r="B1826" s="112" t="s">
        <v>905</v>
      </c>
      <c r="C1826" s="112" t="s">
        <v>1099</v>
      </c>
      <c r="D1826" s="113">
        <v>1069607</v>
      </c>
      <c r="E1826" s="115">
        <v>43936</v>
      </c>
      <c r="F1826" s="114">
        <v>202101</v>
      </c>
      <c r="G1826" s="112" t="s">
        <v>1091</v>
      </c>
      <c r="H1826" s="112" t="s">
        <v>1015</v>
      </c>
      <c r="I1826" s="112" t="s">
        <v>1153</v>
      </c>
      <c r="J1826" s="112" t="s">
        <v>1842</v>
      </c>
      <c r="K1826" s="112" t="s">
        <v>2078</v>
      </c>
      <c r="L1826" s="116">
        <v>4200</v>
      </c>
    </row>
    <row r="1827" spans="1:12" hidden="1" outlineLevel="1" collapsed="1" x14ac:dyDescent="0.35">
      <c r="A1827" s="112" t="s">
        <v>1814</v>
      </c>
      <c r="B1827" s="112" t="s">
        <v>905</v>
      </c>
      <c r="C1827" s="112" t="s">
        <v>1150</v>
      </c>
      <c r="D1827" s="113">
        <v>10348570</v>
      </c>
      <c r="E1827" s="115">
        <v>43957</v>
      </c>
      <c r="F1827" s="114">
        <v>202101</v>
      </c>
      <c r="G1827" s="112" t="s">
        <v>1091</v>
      </c>
      <c r="H1827" s="112" t="s">
        <v>1016</v>
      </c>
      <c r="I1827" s="112" t="s">
        <v>823</v>
      </c>
      <c r="J1827" s="112" t="s">
        <v>1971</v>
      </c>
      <c r="K1827" s="112" t="s">
        <v>2036</v>
      </c>
      <c r="L1827" s="116">
        <v>-93775.45</v>
      </c>
    </row>
    <row r="1828" spans="1:12" hidden="1" outlineLevel="1" collapsed="1" x14ac:dyDescent="0.35">
      <c r="A1828" s="112" t="s">
        <v>1814</v>
      </c>
      <c r="B1828" s="112" t="s">
        <v>905</v>
      </c>
      <c r="C1828" s="112" t="s">
        <v>1150</v>
      </c>
      <c r="D1828" s="113">
        <v>10348570</v>
      </c>
      <c r="E1828" s="115">
        <v>43957</v>
      </c>
      <c r="F1828" s="114">
        <v>202101</v>
      </c>
      <c r="G1828" s="112" t="s">
        <v>1091</v>
      </c>
      <c r="H1828" s="112" t="s">
        <v>1016</v>
      </c>
      <c r="I1828" s="112" t="s">
        <v>823</v>
      </c>
      <c r="J1828" s="112" t="s">
        <v>1822</v>
      </c>
      <c r="K1828" s="112" t="s">
        <v>2036</v>
      </c>
      <c r="L1828" s="116">
        <v>-30821.85</v>
      </c>
    </row>
    <row r="1829" spans="1:12" hidden="1" outlineLevel="1" collapsed="1" x14ac:dyDescent="0.35">
      <c r="A1829" s="112" t="s">
        <v>1814</v>
      </c>
      <c r="B1829" s="112" t="s">
        <v>905</v>
      </c>
      <c r="C1829" s="112" t="s">
        <v>1150</v>
      </c>
      <c r="D1829" s="113">
        <v>10348570</v>
      </c>
      <c r="E1829" s="115">
        <v>43957</v>
      </c>
      <c r="F1829" s="114">
        <v>202101</v>
      </c>
      <c r="G1829" s="112" t="s">
        <v>1091</v>
      </c>
      <c r="H1829" s="112" t="s">
        <v>1016</v>
      </c>
      <c r="I1829" s="112" t="s">
        <v>823</v>
      </c>
      <c r="J1829" s="112" t="s">
        <v>1839</v>
      </c>
      <c r="K1829" s="112" t="s">
        <v>2036</v>
      </c>
      <c r="L1829" s="116">
        <v>-7313.43</v>
      </c>
    </row>
    <row r="1830" spans="1:12" hidden="1" outlineLevel="1" collapsed="1" x14ac:dyDescent="0.35">
      <c r="A1830" s="112" t="s">
        <v>1814</v>
      </c>
      <c r="B1830" s="112" t="s">
        <v>906</v>
      </c>
      <c r="C1830" s="112" t="s">
        <v>1106</v>
      </c>
      <c r="D1830" s="113">
        <v>3097425</v>
      </c>
      <c r="E1830" s="115">
        <v>43928</v>
      </c>
      <c r="F1830" s="114">
        <v>202101</v>
      </c>
      <c r="G1830" s="112" t="s">
        <v>1091</v>
      </c>
      <c r="H1830" s="112" t="s">
        <v>1015</v>
      </c>
      <c r="I1830" s="112" t="s">
        <v>1169</v>
      </c>
      <c r="J1830" s="112" t="s">
        <v>1815</v>
      </c>
      <c r="K1830" s="112" t="s">
        <v>2079</v>
      </c>
      <c r="L1830" s="116">
        <v>189.39</v>
      </c>
    </row>
    <row r="1831" spans="1:12" hidden="1" outlineLevel="1" collapsed="1" x14ac:dyDescent="0.35">
      <c r="A1831" s="112" t="s">
        <v>1814</v>
      </c>
      <c r="B1831" s="112" t="s">
        <v>905</v>
      </c>
      <c r="C1831" s="112" t="s">
        <v>1099</v>
      </c>
      <c r="D1831" s="113">
        <v>1069456</v>
      </c>
      <c r="E1831" s="115">
        <v>43920</v>
      </c>
      <c r="F1831" s="114">
        <v>202101</v>
      </c>
      <c r="G1831" s="112" t="s">
        <v>1091</v>
      </c>
      <c r="H1831" s="112" t="s">
        <v>1015</v>
      </c>
      <c r="I1831" s="112" t="s">
        <v>1471</v>
      </c>
      <c r="J1831" s="112" t="s">
        <v>1996</v>
      </c>
      <c r="K1831" s="112" t="s">
        <v>2080</v>
      </c>
      <c r="L1831" s="116">
        <v>1200</v>
      </c>
    </row>
    <row r="1832" spans="1:12" hidden="1" outlineLevel="1" collapsed="1" x14ac:dyDescent="0.35">
      <c r="A1832" s="112" t="s">
        <v>1814</v>
      </c>
      <c r="B1832" s="112" t="s">
        <v>905</v>
      </c>
      <c r="C1832" s="112" t="s">
        <v>1095</v>
      </c>
      <c r="D1832" s="113">
        <v>10348451</v>
      </c>
      <c r="E1832" s="115">
        <v>43949</v>
      </c>
      <c r="F1832" s="114">
        <v>202101</v>
      </c>
      <c r="G1832" s="112" t="s">
        <v>1091</v>
      </c>
      <c r="H1832" s="112" t="s">
        <v>1015</v>
      </c>
      <c r="I1832" s="112" t="s">
        <v>1116</v>
      </c>
      <c r="J1832" s="112" t="s">
        <v>1839</v>
      </c>
      <c r="K1832" s="112" t="s">
        <v>1098</v>
      </c>
      <c r="L1832" s="116">
        <v>3717</v>
      </c>
    </row>
    <row r="1833" spans="1:12" hidden="1" outlineLevel="1" collapsed="1" x14ac:dyDescent="0.35">
      <c r="A1833" s="112" t="s">
        <v>1814</v>
      </c>
      <c r="B1833" s="112" t="s">
        <v>905</v>
      </c>
      <c r="C1833" s="112" t="s">
        <v>1511</v>
      </c>
      <c r="D1833" s="113">
        <v>47036508</v>
      </c>
      <c r="E1833" s="115">
        <v>43928</v>
      </c>
      <c r="F1833" s="114">
        <v>202101</v>
      </c>
      <c r="G1833" s="112" t="s">
        <v>1091</v>
      </c>
      <c r="H1833" s="112" t="s">
        <v>1015</v>
      </c>
      <c r="I1833" s="112" t="s">
        <v>749</v>
      </c>
      <c r="J1833" s="112" t="s">
        <v>1822</v>
      </c>
      <c r="K1833" s="112" t="s">
        <v>2081</v>
      </c>
      <c r="L1833" s="116">
        <v>254.52</v>
      </c>
    </row>
    <row r="1834" spans="1:12" hidden="1" outlineLevel="1" collapsed="1" x14ac:dyDescent="0.35">
      <c r="A1834" s="112" t="s">
        <v>1814</v>
      </c>
      <c r="B1834" s="112" t="s">
        <v>905</v>
      </c>
      <c r="C1834" s="112" t="s">
        <v>1095</v>
      </c>
      <c r="D1834" s="113">
        <v>10348451</v>
      </c>
      <c r="E1834" s="115">
        <v>43949</v>
      </c>
      <c r="F1834" s="114">
        <v>202101</v>
      </c>
      <c r="G1834" s="112" t="s">
        <v>1091</v>
      </c>
      <c r="H1834" s="112" t="s">
        <v>1015</v>
      </c>
      <c r="I1834" s="112" t="s">
        <v>1101</v>
      </c>
      <c r="J1834" s="112" t="s">
        <v>1827</v>
      </c>
      <c r="K1834" s="112" t="s">
        <v>1098</v>
      </c>
      <c r="L1834" s="116">
        <v>913.23</v>
      </c>
    </row>
    <row r="1835" spans="1:12" hidden="1" outlineLevel="1" collapsed="1" x14ac:dyDescent="0.35">
      <c r="A1835" s="112" t="s">
        <v>1814</v>
      </c>
      <c r="B1835" s="112" t="s">
        <v>905</v>
      </c>
      <c r="C1835" s="112" t="s">
        <v>1511</v>
      </c>
      <c r="D1835" s="113">
        <v>47036529</v>
      </c>
      <c r="E1835" s="115">
        <v>43928</v>
      </c>
      <c r="F1835" s="114">
        <v>202101</v>
      </c>
      <c r="G1835" s="112" t="s">
        <v>1091</v>
      </c>
      <c r="H1835" s="112" t="s">
        <v>1015</v>
      </c>
      <c r="I1835" s="112" t="s">
        <v>749</v>
      </c>
      <c r="J1835" s="112" t="s">
        <v>1822</v>
      </c>
      <c r="K1835" s="112" t="s">
        <v>2082</v>
      </c>
      <c r="L1835" s="116">
        <v>134.63999999999999</v>
      </c>
    </row>
    <row r="1836" spans="1:12" hidden="1" outlineLevel="1" collapsed="1" x14ac:dyDescent="0.35">
      <c r="A1836" s="112" t="s">
        <v>1814</v>
      </c>
      <c r="B1836" s="112" t="s">
        <v>905</v>
      </c>
      <c r="C1836" s="112" t="s">
        <v>1095</v>
      </c>
      <c r="D1836" s="113">
        <v>10348451</v>
      </c>
      <c r="E1836" s="115">
        <v>43949</v>
      </c>
      <c r="F1836" s="114">
        <v>202101</v>
      </c>
      <c r="G1836" s="112" t="s">
        <v>1091</v>
      </c>
      <c r="H1836" s="112" t="s">
        <v>1015</v>
      </c>
      <c r="I1836" s="112" t="s">
        <v>1128</v>
      </c>
      <c r="J1836" s="112" t="s">
        <v>1971</v>
      </c>
      <c r="K1836" s="112" t="s">
        <v>1098</v>
      </c>
      <c r="L1836" s="116">
        <v>50</v>
      </c>
    </row>
    <row r="1837" spans="1:12" hidden="1" outlineLevel="1" collapsed="1" x14ac:dyDescent="0.35">
      <c r="A1837" s="112" t="s">
        <v>1814</v>
      </c>
      <c r="B1837" s="112" t="s">
        <v>905</v>
      </c>
      <c r="C1837" s="112" t="s">
        <v>1219</v>
      </c>
      <c r="D1837" s="113">
        <v>46307057</v>
      </c>
      <c r="E1837" s="115">
        <v>43936</v>
      </c>
      <c r="F1837" s="114">
        <v>202101</v>
      </c>
      <c r="G1837" s="112" t="s">
        <v>1091</v>
      </c>
      <c r="H1837" s="112" t="s">
        <v>1015</v>
      </c>
      <c r="I1837" s="112" t="s">
        <v>1956</v>
      </c>
      <c r="J1837" s="112" t="s">
        <v>1817</v>
      </c>
      <c r="K1837" s="112" t="s">
        <v>2083</v>
      </c>
      <c r="L1837" s="116">
        <v>750</v>
      </c>
    </row>
    <row r="1838" spans="1:12" hidden="1" outlineLevel="1" collapsed="1" x14ac:dyDescent="0.35">
      <c r="A1838" s="112" t="s">
        <v>1814</v>
      </c>
      <c r="B1838" s="112" t="s">
        <v>905</v>
      </c>
      <c r="C1838" s="112" t="s">
        <v>1095</v>
      </c>
      <c r="D1838" s="113">
        <v>10348451</v>
      </c>
      <c r="E1838" s="115">
        <v>43949</v>
      </c>
      <c r="F1838" s="114">
        <v>202101</v>
      </c>
      <c r="G1838" s="112" t="s">
        <v>1091</v>
      </c>
      <c r="H1838" s="112" t="s">
        <v>1015</v>
      </c>
      <c r="I1838" s="112" t="s">
        <v>1096</v>
      </c>
      <c r="J1838" s="112" t="s">
        <v>1827</v>
      </c>
      <c r="K1838" s="112" t="s">
        <v>1098</v>
      </c>
      <c r="L1838" s="116">
        <v>368.78</v>
      </c>
    </row>
    <row r="1839" spans="1:12" hidden="1" outlineLevel="1" collapsed="1" x14ac:dyDescent="0.35">
      <c r="A1839" s="112" t="s">
        <v>1814</v>
      </c>
      <c r="B1839" s="112" t="s">
        <v>905</v>
      </c>
      <c r="C1839" s="112" t="s">
        <v>1219</v>
      </c>
      <c r="D1839" s="113">
        <v>46307069</v>
      </c>
      <c r="E1839" s="115">
        <v>43935</v>
      </c>
      <c r="F1839" s="114">
        <v>202101</v>
      </c>
      <c r="G1839" s="112" t="s">
        <v>1091</v>
      </c>
      <c r="H1839" s="112" t="s">
        <v>1015</v>
      </c>
      <c r="I1839" s="112" t="s">
        <v>1952</v>
      </c>
      <c r="J1839" s="112" t="s">
        <v>1971</v>
      </c>
      <c r="K1839" s="112" t="s">
        <v>2084</v>
      </c>
      <c r="L1839" s="116">
        <v>94.84</v>
      </c>
    </row>
    <row r="1840" spans="1:12" hidden="1" outlineLevel="1" collapsed="1" x14ac:dyDescent="0.35">
      <c r="A1840" s="112" t="s">
        <v>1814</v>
      </c>
      <c r="B1840" s="112" t="s">
        <v>905</v>
      </c>
      <c r="C1840" s="112" t="s">
        <v>1219</v>
      </c>
      <c r="D1840" s="113">
        <v>46307070</v>
      </c>
      <c r="E1840" s="115">
        <v>43935</v>
      </c>
      <c r="F1840" s="114">
        <v>202101</v>
      </c>
      <c r="G1840" s="112" t="s">
        <v>1091</v>
      </c>
      <c r="H1840" s="112" t="s">
        <v>1015</v>
      </c>
      <c r="I1840" s="112" t="s">
        <v>1952</v>
      </c>
      <c r="J1840" s="112" t="s">
        <v>1971</v>
      </c>
      <c r="K1840" s="112" t="s">
        <v>2084</v>
      </c>
      <c r="L1840" s="116">
        <v>83.92</v>
      </c>
    </row>
    <row r="1841" spans="1:12" hidden="1" outlineLevel="1" collapsed="1" x14ac:dyDescent="0.35">
      <c r="A1841" s="112" t="s">
        <v>1814</v>
      </c>
      <c r="B1841" s="112" t="s">
        <v>905</v>
      </c>
      <c r="C1841" s="112" t="s">
        <v>1095</v>
      </c>
      <c r="D1841" s="113">
        <v>10348451</v>
      </c>
      <c r="E1841" s="115">
        <v>43949</v>
      </c>
      <c r="F1841" s="114">
        <v>202101</v>
      </c>
      <c r="G1841" s="112" t="s">
        <v>1091</v>
      </c>
      <c r="H1841" s="112" t="s">
        <v>1015</v>
      </c>
      <c r="I1841" s="112" t="s">
        <v>1101</v>
      </c>
      <c r="J1841" s="112" t="s">
        <v>1827</v>
      </c>
      <c r="K1841" s="112" t="s">
        <v>1098</v>
      </c>
      <c r="L1841" s="116">
        <v>551.5</v>
      </c>
    </row>
    <row r="1842" spans="1:12" hidden="1" outlineLevel="1" collapsed="1" x14ac:dyDescent="0.35">
      <c r="A1842" s="112" t="s">
        <v>1814</v>
      </c>
      <c r="B1842" s="112" t="s">
        <v>905</v>
      </c>
      <c r="C1842" s="112" t="s">
        <v>1511</v>
      </c>
      <c r="D1842" s="113">
        <v>47036519</v>
      </c>
      <c r="E1842" s="115">
        <v>43928</v>
      </c>
      <c r="F1842" s="114">
        <v>202101</v>
      </c>
      <c r="G1842" s="112" t="s">
        <v>1091</v>
      </c>
      <c r="H1842" s="112" t="s">
        <v>1015</v>
      </c>
      <c r="I1842" s="112" t="s">
        <v>749</v>
      </c>
      <c r="J1842" s="112" t="s">
        <v>1822</v>
      </c>
      <c r="K1842" s="112" t="s">
        <v>2085</v>
      </c>
      <c r="L1842" s="116">
        <v>1292.81</v>
      </c>
    </row>
    <row r="1843" spans="1:12" hidden="1" outlineLevel="1" collapsed="1" x14ac:dyDescent="0.35">
      <c r="A1843" s="112" t="s">
        <v>1814</v>
      </c>
      <c r="B1843" s="112" t="s">
        <v>905</v>
      </c>
      <c r="C1843" s="112" t="s">
        <v>1511</v>
      </c>
      <c r="D1843" s="113">
        <v>47036513</v>
      </c>
      <c r="E1843" s="115">
        <v>43928</v>
      </c>
      <c r="F1843" s="114">
        <v>202101</v>
      </c>
      <c r="G1843" s="112" t="s">
        <v>1091</v>
      </c>
      <c r="H1843" s="112" t="s">
        <v>1015</v>
      </c>
      <c r="I1843" s="112" t="s">
        <v>749</v>
      </c>
      <c r="J1843" s="112" t="s">
        <v>1822</v>
      </c>
      <c r="K1843" s="112" t="s">
        <v>2086</v>
      </c>
      <c r="L1843" s="116">
        <v>340.82</v>
      </c>
    </row>
    <row r="1844" spans="1:12" hidden="1" outlineLevel="1" collapsed="1" x14ac:dyDescent="0.35">
      <c r="A1844" s="112" t="s">
        <v>1814</v>
      </c>
      <c r="B1844" s="112" t="s">
        <v>905</v>
      </c>
      <c r="C1844" s="112" t="s">
        <v>1095</v>
      </c>
      <c r="D1844" s="113">
        <v>10348451</v>
      </c>
      <c r="E1844" s="115">
        <v>43949</v>
      </c>
      <c r="F1844" s="114">
        <v>202101</v>
      </c>
      <c r="G1844" s="112" t="s">
        <v>1091</v>
      </c>
      <c r="H1844" s="112" t="s">
        <v>1015</v>
      </c>
      <c r="I1844" s="112" t="s">
        <v>1101</v>
      </c>
      <c r="J1844" s="112" t="s">
        <v>1878</v>
      </c>
      <c r="K1844" s="112" t="s">
        <v>1098</v>
      </c>
      <c r="L1844" s="116">
        <v>426.26</v>
      </c>
    </row>
    <row r="1845" spans="1:12" hidden="1" outlineLevel="1" collapsed="1" x14ac:dyDescent="0.35">
      <c r="A1845" s="112" t="s">
        <v>1814</v>
      </c>
      <c r="B1845" s="112" t="s">
        <v>905</v>
      </c>
      <c r="C1845" s="112" t="s">
        <v>1511</v>
      </c>
      <c r="D1845" s="113">
        <v>47036511</v>
      </c>
      <c r="E1845" s="115">
        <v>43928</v>
      </c>
      <c r="F1845" s="114">
        <v>202101</v>
      </c>
      <c r="G1845" s="112" t="s">
        <v>1091</v>
      </c>
      <c r="H1845" s="112" t="s">
        <v>1015</v>
      </c>
      <c r="I1845" s="112" t="s">
        <v>749</v>
      </c>
      <c r="J1845" s="112" t="s">
        <v>1822</v>
      </c>
      <c r="K1845" s="112" t="s">
        <v>2087</v>
      </c>
      <c r="L1845" s="116">
        <v>256.70999999999998</v>
      </c>
    </row>
    <row r="1846" spans="1:12" hidden="1" outlineLevel="1" collapsed="1" x14ac:dyDescent="0.35">
      <c r="A1846" s="112" t="s">
        <v>1814</v>
      </c>
      <c r="B1846" s="112" t="s">
        <v>904</v>
      </c>
      <c r="C1846" s="112" t="s">
        <v>1095</v>
      </c>
      <c r="D1846" s="113">
        <v>10348451</v>
      </c>
      <c r="E1846" s="115">
        <v>43949</v>
      </c>
      <c r="F1846" s="114">
        <v>202101</v>
      </c>
      <c r="G1846" s="112" t="s">
        <v>1091</v>
      </c>
      <c r="H1846" s="112" t="s">
        <v>1015</v>
      </c>
      <c r="I1846" s="112" t="s">
        <v>1096</v>
      </c>
      <c r="J1846" s="112" t="s">
        <v>1838</v>
      </c>
      <c r="K1846" s="112" t="s">
        <v>1098</v>
      </c>
      <c r="L1846" s="116">
        <v>71.83</v>
      </c>
    </row>
    <row r="1847" spans="1:12" hidden="1" outlineLevel="1" collapsed="1" x14ac:dyDescent="0.35">
      <c r="A1847" s="112" t="s">
        <v>1814</v>
      </c>
      <c r="B1847" s="112" t="s">
        <v>905</v>
      </c>
      <c r="C1847" s="112" t="s">
        <v>1095</v>
      </c>
      <c r="D1847" s="113">
        <v>10348451</v>
      </c>
      <c r="E1847" s="115">
        <v>43949</v>
      </c>
      <c r="F1847" s="114">
        <v>202101</v>
      </c>
      <c r="G1847" s="112" t="s">
        <v>1091</v>
      </c>
      <c r="H1847" s="112" t="s">
        <v>1015</v>
      </c>
      <c r="I1847" s="112" t="s">
        <v>1096</v>
      </c>
      <c r="J1847" s="112" t="s">
        <v>1878</v>
      </c>
      <c r="K1847" s="112" t="s">
        <v>1098</v>
      </c>
      <c r="L1847" s="116">
        <v>262.10000000000002</v>
      </c>
    </row>
    <row r="1848" spans="1:12" hidden="1" outlineLevel="1" collapsed="1" x14ac:dyDescent="0.35">
      <c r="A1848" s="112" t="s">
        <v>1814</v>
      </c>
      <c r="B1848" s="112" t="s">
        <v>905</v>
      </c>
      <c r="C1848" s="112" t="s">
        <v>1511</v>
      </c>
      <c r="D1848" s="113">
        <v>47036510</v>
      </c>
      <c r="E1848" s="115">
        <v>43928</v>
      </c>
      <c r="F1848" s="114">
        <v>202101</v>
      </c>
      <c r="G1848" s="112" t="s">
        <v>1091</v>
      </c>
      <c r="H1848" s="112" t="s">
        <v>1015</v>
      </c>
      <c r="I1848" s="112" t="s">
        <v>749</v>
      </c>
      <c r="J1848" s="112" t="s">
        <v>1822</v>
      </c>
      <c r="K1848" s="112" t="s">
        <v>2088</v>
      </c>
      <c r="L1848" s="116">
        <v>180.97</v>
      </c>
    </row>
    <row r="1849" spans="1:12" hidden="1" outlineLevel="1" collapsed="1" x14ac:dyDescent="0.35">
      <c r="A1849" s="112" t="s">
        <v>1814</v>
      </c>
      <c r="B1849" s="112" t="s">
        <v>905</v>
      </c>
      <c r="C1849" s="112" t="s">
        <v>1511</v>
      </c>
      <c r="D1849" s="113">
        <v>47036509</v>
      </c>
      <c r="E1849" s="115">
        <v>43928</v>
      </c>
      <c r="F1849" s="114">
        <v>202101</v>
      </c>
      <c r="G1849" s="112" t="s">
        <v>1091</v>
      </c>
      <c r="H1849" s="112" t="s">
        <v>1015</v>
      </c>
      <c r="I1849" s="112" t="s">
        <v>749</v>
      </c>
      <c r="J1849" s="112" t="s">
        <v>1822</v>
      </c>
      <c r="K1849" s="112" t="s">
        <v>2089</v>
      </c>
      <c r="L1849" s="116">
        <v>280.36</v>
      </c>
    </row>
    <row r="1850" spans="1:12" hidden="1" outlineLevel="1" collapsed="1" x14ac:dyDescent="0.35">
      <c r="A1850" s="112" t="s">
        <v>1814</v>
      </c>
      <c r="B1850" s="112" t="s">
        <v>905</v>
      </c>
      <c r="C1850" s="112" t="s">
        <v>1511</v>
      </c>
      <c r="D1850" s="113">
        <v>47036536</v>
      </c>
      <c r="E1850" s="115">
        <v>43928</v>
      </c>
      <c r="F1850" s="114">
        <v>202101</v>
      </c>
      <c r="G1850" s="112" t="s">
        <v>1091</v>
      </c>
      <c r="H1850" s="112" t="s">
        <v>1015</v>
      </c>
      <c r="I1850" s="112" t="s">
        <v>749</v>
      </c>
      <c r="J1850" s="112" t="s">
        <v>1822</v>
      </c>
      <c r="K1850" s="112" t="s">
        <v>2090</v>
      </c>
      <c r="L1850" s="116">
        <v>100.95</v>
      </c>
    </row>
    <row r="1851" spans="1:12" hidden="1" outlineLevel="1" collapsed="1" x14ac:dyDescent="0.35">
      <c r="A1851" s="112" t="s">
        <v>1814</v>
      </c>
      <c r="B1851" s="112" t="s">
        <v>905</v>
      </c>
      <c r="C1851" s="112" t="s">
        <v>1511</v>
      </c>
      <c r="D1851" s="113">
        <v>47036507</v>
      </c>
      <c r="E1851" s="115">
        <v>43928</v>
      </c>
      <c r="F1851" s="114">
        <v>202101</v>
      </c>
      <c r="G1851" s="112" t="s">
        <v>1091</v>
      </c>
      <c r="H1851" s="112" t="s">
        <v>1015</v>
      </c>
      <c r="I1851" s="112" t="s">
        <v>749</v>
      </c>
      <c r="J1851" s="112" t="s">
        <v>1822</v>
      </c>
      <c r="K1851" s="112" t="s">
        <v>2091</v>
      </c>
      <c r="L1851" s="116">
        <v>201.67</v>
      </c>
    </row>
    <row r="1852" spans="1:12" hidden="1" outlineLevel="1" collapsed="1" x14ac:dyDescent="0.35">
      <c r="A1852" s="112" t="s">
        <v>1814</v>
      </c>
      <c r="B1852" s="112" t="s">
        <v>905</v>
      </c>
      <c r="C1852" s="112" t="s">
        <v>1219</v>
      </c>
      <c r="D1852" s="113">
        <v>46307059</v>
      </c>
      <c r="E1852" s="115">
        <v>43936</v>
      </c>
      <c r="F1852" s="114">
        <v>202101</v>
      </c>
      <c r="G1852" s="112" t="s">
        <v>1091</v>
      </c>
      <c r="H1852" s="112" t="s">
        <v>1015</v>
      </c>
      <c r="I1852" s="112" t="s">
        <v>1605</v>
      </c>
      <c r="J1852" s="112" t="s">
        <v>1996</v>
      </c>
      <c r="K1852" s="112" t="s">
        <v>2092</v>
      </c>
      <c r="L1852" s="116">
        <v>470.4</v>
      </c>
    </row>
    <row r="1853" spans="1:12" hidden="1" outlineLevel="1" collapsed="1" x14ac:dyDescent="0.35">
      <c r="A1853" s="112" t="s">
        <v>1814</v>
      </c>
      <c r="B1853" s="112" t="s">
        <v>905</v>
      </c>
      <c r="C1853" s="112" t="s">
        <v>1219</v>
      </c>
      <c r="D1853" s="113">
        <v>46307046</v>
      </c>
      <c r="E1853" s="115">
        <v>43935</v>
      </c>
      <c r="F1853" s="114">
        <v>202101</v>
      </c>
      <c r="G1853" s="112" t="s">
        <v>1091</v>
      </c>
      <c r="H1853" s="112" t="s">
        <v>1015</v>
      </c>
      <c r="I1853" s="112" t="s">
        <v>1950</v>
      </c>
      <c r="J1853" s="112" t="s">
        <v>1839</v>
      </c>
      <c r="K1853" s="112" t="s">
        <v>2093</v>
      </c>
      <c r="L1853" s="116">
        <v>3671.68</v>
      </c>
    </row>
    <row r="1854" spans="1:12" hidden="1" outlineLevel="1" collapsed="1" x14ac:dyDescent="0.35">
      <c r="A1854" s="112" t="s">
        <v>1814</v>
      </c>
      <c r="B1854" s="112" t="s">
        <v>904</v>
      </c>
      <c r="C1854" s="112" t="s">
        <v>1095</v>
      </c>
      <c r="D1854" s="113">
        <v>10348451</v>
      </c>
      <c r="E1854" s="115">
        <v>43949</v>
      </c>
      <c r="F1854" s="114">
        <v>202101</v>
      </c>
      <c r="G1854" s="112" t="s">
        <v>1091</v>
      </c>
      <c r="H1854" s="112" t="s">
        <v>1015</v>
      </c>
      <c r="I1854" s="112" t="s">
        <v>1101</v>
      </c>
      <c r="J1854" s="112" t="s">
        <v>1838</v>
      </c>
      <c r="K1854" s="112" t="s">
        <v>1098</v>
      </c>
      <c r="L1854" s="116">
        <v>426.26</v>
      </c>
    </row>
    <row r="1855" spans="1:12" hidden="1" outlineLevel="1" collapsed="1" x14ac:dyDescent="0.35">
      <c r="A1855" s="112" t="s">
        <v>1814</v>
      </c>
      <c r="B1855" s="112" t="s">
        <v>905</v>
      </c>
      <c r="C1855" s="112" t="s">
        <v>679</v>
      </c>
      <c r="D1855" s="113">
        <v>10347962</v>
      </c>
      <c r="E1855" s="115">
        <v>43923</v>
      </c>
      <c r="F1855" s="114">
        <v>202101</v>
      </c>
      <c r="G1855" s="112" t="s">
        <v>1091</v>
      </c>
      <c r="H1855" s="112" t="s">
        <v>1016</v>
      </c>
      <c r="I1855" s="112" t="s">
        <v>1845</v>
      </c>
      <c r="J1855" s="112" t="s">
        <v>1817</v>
      </c>
      <c r="K1855" s="112" t="s">
        <v>2094</v>
      </c>
      <c r="L1855" s="116">
        <v>-30</v>
      </c>
    </row>
    <row r="1856" spans="1:12" hidden="1" outlineLevel="1" collapsed="1" x14ac:dyDescent="0.35">
      <c r="A1856" s="112" t="s">
        <v>1814</v>
      </c>
      <c r="B1856" s="112" t="s">
        <v>905</v>
      </c>
      <c r="C1856" s="112" t="s">
        <v>1095</v>
      </c>
      <c r="D1856" s="113">
        <v>10348451</v>
      </c>
      <c r="E1856" s="115">
        <v>43949</v>
      </c>
      <c r="F1856" s="114">
        <v>202101</v>
      </c>
      <c r="G1856" s="112" t="s">
        <v>1091</v>
      </c>
      <c r="H1856" s="112" t="s">
        <v>1015</v>
      </c>
      <c r="I1856" s="112" t="s">
        <v>1096</v>
      </c>
      <c r="J1856" s="112" t="s">
        <v>1827</v>
      </c>
      <c r="K1856" s="112" t="s">
        <v>1098</v>
      </c>
      <c r="L1856" s="116">
        <v>366.99</v>
      </c>
    </row>
    <row r="1857" spans="1:12" hidden="1" outlineLevel="1" collapsed="1" x14ac:dyDescent="0.35">
      <c r="A1857" s="112" t="s">
        <v>1814</v>
      </c>
      <c r="B1857" s="112" t="s">
        <v>905</v>
      </c>
      <c r="C1857" s="112" t="s">
        <v>1219</v>
      </c>
      <c r="D1857" s="113">
        <v>46307047</v>
      </c>
      <c r="E1857" s="115">
        <v>43935</v>
      </c>
      <c r="F1857" s="114">
        <v>202101</v>
      </c>
      <c r="G1857" s="112" t="s">
        <v>1091</v>
      </c>
      <c r="H1857" s="112" t="s">
        <v>1015</v>
      </c>
      <c r="I1857" s="112" t="s">
        <v>1950</v>
      </c>
      <c r="J1857" s="112" t="s">
        <v>1839</v>
      </c>
      <c r="K1857" s="112" t="s">
        <v>2095</v>
      </c>
      <c r="L1857" s="116">
        <v>2718.1</v>
      </c>
    </row>
    <row r="1858" spans="1:12" hidden="1" outlineLevel="1" collapsed="1" x14ac:dyDescent="0.35">
      <c r="A1858" s="112" t="s">
        <v>1814</v>
      </c>
      <c r="B1858" s="112" t="s">
        <v>905</v>
      </c>
      <c r="C1858" s="112" t="s">
        <v>1511</v>
      </c>
      <c r="D1858" s="113">
        <v>47036506</v>
      </c>
      <c r="E1858" s="115">
        <v>43928</v>
      </c>
      <c r="F1858" s="114">
        <v>202101</v>
      </c>
      <c r="G1858" s="112" t="s">
        <v>1091</v>
      </c>
      <c r="H1858" s="112" t="s">
        <v>1015</v>
      </c>
      <c r="I1858" s="112" t="s">
        <v>749</v>
      </c>
      <c r="J1858" s="112" t="s">
        <v>1822</v>
      </c>
      <c r="K1858" s="112" t="s">
        <v>2096</v>
      </c>
      <c r="L1858" s="116">
        <v>280.36</v>
      </c>
    </row>
    <row r="1859" spans="1:12" hidden="1" outlineLevel="1" collapsed="1" x14ac:dyDescent="0.35">
      <c r="A1859" s="112" t="s">
        <v>1814</v>
      </c>
      <c r="B1859" s="112" t="s">
        <v>905</v>
      </c>
      <c r="C1859" s="112" t="s">
        <v>1511</v>
      </c>
      <c r="D1859" s="113">
        <v>47036505</v>
      </c>
      <c r="E1859" s="115">
        <v>43928</v>
      </c>
      <c r="F1859" s="114">
        <v>202101</v>
      </c>
      <c r="G1859" s="112" t="s">
        <v>1091</v>
      </c>
      <c r="H1859" s="112" t="s">
        <v>1015</v>
      </c>
      <c r="I1859" s="112" t="s">
        <v>749</v>
      </c>
      <c r="J1859" s="112" t="s">
        <v>1822</v>
      </c>
      <c r="K1859" s="112" t="s">
        <v>2097</v>
      </c>
      <c r="L1859" s="116">
        <v>179.06</v>
      </c>
    </row>
    <row r="1860" spans="1:12" hidden="1" outlineLevel="1" collapsed="1" x14ac:dyDescent="0.35">
      <c r="A1860" s="112" t="s">
        <v>1814</v>
      </c>
      <c r="B1860" s="112" t="s">
        <v>905</v>
      </c>
      <c r="C1860" s="112" t="s">
        <v>1511</v>
      </c>
      <c r="D1860" s="113">
        <v>47036499</v>
      </c>
      <c r="E1860" s="115">
        <v>43913</v>
      </c>
      <c r="F1860" s="114">
        <v>202101</v>
      </c>
      <c r="G1860" s="112" t="s">
        <v>1091</v>
      </c>
      <c r="H1860" s="112" t="s">
        <v>1015</v>
      </c>
      <c r="I1860" s="112" t="s">
        <v>749</v>
      </c>
      <c r="J1860" s="112" t="s">
        <v>1822</v>
      </c>
      <c r="K1860" s="112" t="s">
        <v>2098</v>
      </c>
      <c r="L1860" s="116">
        <v>200.59</v>
      </c>
    </row>
    <row r="1861" spans="1:12" hidden="1" outlineLevel="1" collapsed="1" x14ac:dyDescent="0.35">
      <c r="A1861" s="112" t="s">
        <v>1814</v>
      </c>
      <c r="B1861" s="112" t="s">
        <v>905</v>
      </c>
      <c r="C1861" s="112" t="s">
        <v>1511</v>
      </c>
      <c r="D1861" s="113">
        <v>47036494</v>
      </c>
      <c r="E1861" s="115">
        <v>43914</v>
      </c>
      <c r="F1861" s="114">
        <v>202101</v>
      </c>
      <c r="G1861" s="112" t="s">
        <v>1091</v>
      </c>
      <c r="H1861" s="112" t="s">
        <v>1015</v>
      </c>
      <c r="I1861" s="112" t="s">
        <v>757</v>
      </c>
      <c r="J1861" s="112" t="s">
        <v>1839</v>
      </c>
      <c r="K1861" s="112" t="s">
        <v>2099</v>
      </c>
      <c r="L1861" s="116">
        <v>382.68</v>
      </c>
    </row>
    <row r="1862" spans="1:12" hidden="1" outlineLevel="1" collapsed="1" x14ac:dyDescent="0.35">
      <c r="A1862" s="112" t="s">
        <v>1814</v>
      </c>
      <c r="B1862" s="112" t="s">
        <v>906</v>
      </c>
      <c r="C1862" s="112" t="s">
        <v>1511</v>
      </c>
      <c r="D1862" s="113">
        <v>47036495</v>
      </c>
      <c r="E1862" s="115">
        <v>43923</v>
      </c>
      <c r="F1862" s="114">
        <v>202101</v>
      </c>
      <c r="G1862" s="112" t="s">
        <v>1091</v>
      </c>
      <c r="H1862" s="112" t="s">
        <v>1015</v>
      </c>
      <c r="I1862" s="112" t="s">
        <v>749</v>
      </c>
      <c r="J1862" s="112" t="s">
        <v>1815</v>
      </c>
      <c r="K1862" s="112" t="s">
        <v>2100</v>
      </c>
      <c r="L1862" s="116">
        <v>6.82</v>
      </c>
    </row>
    <row r="1863" spans="1:12" hidden="1" outlineLevel="1" collapsed="1" x14ac:dyDescent="0.35">
      <c r="A1863" s="112" t="s">
        <v>1814</v>
      </c>
      <c r="B1863" s="112" t="s">
        <v>905</v>
      </c>
      <c r="C1863" s="112" t="s">
        <v>1511</v>
      </c>
      <c r="D1863" s="113">
        <v>47036493</v>
      </c>
      <c r="E1863" s="115">
        <v>43832</v>
      </c>
      <c r="F1863" s="114">
        <v>202101</v>
      </c>
      <c r="G1863" s="112" t="s">
        <v>1091</v>
      </c>
      <c r="H1863" s="112" t="s">
        <v>1015</v>
      </c>
      <c r="I1863" s="112" t="s">
        <v>749</v>
      </c>
      <c r="J1863" s="112" t="s">
        <v>1822</v>
      </c>
      <c r="K1863" s="112" t="s">
        <v>2101</v>
      </c>
      <c r="L1863" s="116">
        <v>80.83</v>
      </c>
    </row>
    <row r="1864" spans="1:12" hidden="1" outlineLevel="1" collapsed="1" x14ac:dyDescent="0.35">
      <c r="A1864" s="112" t="s">
        <v>1814</v>
      </c>
      <c r="B1864" s="112" t="s">
        <v>905</v>
      </c>
      <c r="C1864" s="112" t="s">
        <v>1095</v>
      </c>
      <c r="D1864" s="113">
        <v>10348451</v>
      </c>
      <c r="E1864" s="115">
        <v>43949</v>
      </c>
      <c r="F1864" s="114">
        <v>202101</v>
      </c>
      <c r="G1864" s="112" t="s">
        <v>1091</v>
      </c>
      <c r="H1864" s="112" t="s">
        <v>1015</v>
      </c>
      <c r="I1864" s="112" t="s">
        <v>1096</v>
      </c>
      <c r="J1864" s="112" t="s">
        <v>1839</v>
      </c>
      <c r="K1864" s="112" t="s">
        <v>1098</v>
      </c>
      <c r="L1864" s="116">
        <v>411.93</v>
      </c>
    </row>
    <row r="1865" spans="1:12" hidden="1" outlineLevel="1" collapsed="1" x14ac:dyDescent="0.35">
      <c r="A1865" s="112" t="s">
        <v>1814</v>
      </c>
      <c r="B1865" s="112" t="s">
        <v>905</v>
      </c>
      <c r="C1865" s="112" t="s">
        <v>1511</v>
      </c>
      <c r="D1865" s="113">
        <v>47036492</v>
      </c>
      <c r="E1865" s="115">
        <v>43882</v>
      </c>
      <c r="F1865" s="114">
        <v>202101</v>
      </c>
      <c r="G1865" s="112" t="s">
        <v>1091</v>
      </c>
      <c r="H1865" s="112" t="s">
        <v>1015</v>
      </c>
      <c r="I1865" s="112" t="s">
        <v>749</v>
      </c>
      <c r="J1865" s="112" t="s">
        <v>1822</v>
      </c>
      <c r="K1865" s="112" t="s">
        <v>2101</v>
      </c>
      <c r="L1865" s="116">
        <v>-80.83</v>
      </c>
    </row>
    <row r="1866" spans="1:12" hidden="1" outlineLevel="1" collapsed="1" x14ac:dyDescent="0.35">
      <c r="A1866" s="112" t="s">
        <v>1814</v>
      </c>
      <c r="B1866" s="112" t="s">
        <v>905</v>
      </c>
      <c r="C1866" s="112" t="s">
        <v>1095</v>
      </c>
      <c r="D1866" s="113">
        <v>10348451</v>
      </c>
      <c r="E1866" s="115">
        <v>43949</v>
      </c>
      <c r="F1866" s="114">
        <v>202101</v>
      </c>
      <c r="G1866" s="112" t="s">
        <v>1091</v>
      </c>
      <c r="H1866" s="112" t="s">
        <v>1015</v>
      </c>
      <c r="I1866" s="112" t="s">
        <v>1096</v>
      </c>
      <c r="J1866" s="112" t="s">
        <v>1878</v>
      </c>
      <c r="K1866" s="112" t="s">
        <v>1098</v>
      </c>
      <c r="L1866" s="116">
        <v>331.24</v>
      </c>
    </row>
    <row r="1867" spans="1:12" hidden="1" outlineLevel="1" collapsed="1" x14ac:dyDescent="0.35">
      <c r="A1867" s="112" t="s">
        <v>1814</v>
      </c>
      <c r="B1867" s="112" t="s">
        <v>905</v>
      </c>
      <c r="C1867" s="112" t="s">
        <v>1511</v>
      </c>
      <c r="D1867" s="113">
        <v>47036491</v>
      </c>
      <c r="E1867" s="115">
        <v>43882</v>
      </c>
      <c r="F1867" s="114">
        <v>202101</v>
      </c>
      <c r="G1867" s="112" t="s">
        <v>1091</v>
      </c>
      <c r="H1867" s="112" t="s">
        <v>1015</v>
      </c>
      <c r="I1867" s="112" t="s">
        <v>749</v>
      </c>
      <c r="J1867" s="112" t="s">
        <v>1822</v>
      </c>
      <c r="K1867" s="112" t="s">
        <v>2101</v>
      </c>
      <c r="L1867" s="116">
        <v>42.77</v>
      </c>
    </row>
    <row r="1868" spans="1:12" hidden="1" outlineLevel="1" collapsed="1" x14ac:dyDescent="0.35">
      <c r="A1868" s="112" t="s">
        <v>1814</v>
      </c>
      <c r="B1868" s="112" t="s">
        <v>905</v>
      </c>
      <c r="C1868" s="112" t="s">
        <v>1511</v>
      </c>
      <c r="D1868" s="113">
        <v>47036552</v>
      </c>
      <c r="E1868" s="115">
        <v>43928</v>
      </c>
      <c r="F1868" s="114">
        <v>202101</v>
      </c>
      <c r="G1868" s="112" t="s">
        <v>1091</v>
      </c>
      <c r="H1868" s="112" t="s">
        <v>1015</v>
      </c>
      <c r="I1868" s="112" t="s">
        <v>749</v>
      </c>
      <c r="J1868" s="112" t="s">
        <v>1822</v>
      </c>
      <c r="K1868" s="112" t="s">
        <v>2102</v>
      </c>
      <c r="L1868" s="116">
        <v>48.37</v>
      </c>
    </row>
    <row r="1869" spans="1:12" hidden="1" outlineLevel="1" collapsed="1" x14ac:dyDescent="0.35">
      <c r="A1869" s="112" t="s">
        <v>1814</v>
      </c>
      <c r="B1869" s="112" t="s">
        <v>905</v>
      </c>
      <c r="C1869" s="112" t="s">
        <v>1095</v>
      </c>
      <c r="D1869" s="113">
        <v>10348451</v>
      </c>
      <c r="E1869" s="115">
        <v>43949</v>
      </c>
      <c r="F1869" s="114">
        <v>202101</v>
      </c>
      <c r="G1869" s="112" t="s">
        <v>1091</v>
      </c>
      <c r="H1869" s="112" t="s">
        <v>1015</v>
      </c>
      <c r="I1869" s="112" t="s">
        <v>1101</v>
      </c>
      <c r="J1869" s="112" t="s">
        <v>1839</v>
      </c>
      <c r="K1869" s="112" t="s">
        <v>1098</v>
      </c>
      <c r="L1869" s="116">
        <v>602.15</v>
      </c>
    </row>
    <row r="1870" spans="1:12" hidden="1" outlineLevel="1" collapsed="1" x14ac:dyDescent="0.35">
      <c r="A1870" s="112" t="s">
        <v>1814</v>
      </c>
      <c r="B1870" s="112" t="s">
        <v>905</v>
      </c>
      <c r="C1870" s="112" t="s">
        <v>695</v>
      </c>
      <c r="D1870" s="113">
        <v>10347977</v>
      </c>
      <c r="E1870" s="115">
        <v>43924</v>
      </c>
      <c r="F1870" s="114">
        <v>202101</v>
      </c>
      <c r="G1870" s="112" t="s">
        <v>1091</v>
      </c>
      <c r="H1870" s="112" t="s">
        <v>1015</v>
      </c>
      <c r="I1870" s="112" t="s">
        <v>751</v>
      </c>
      <c r="J1870" s="112" t="s">
        <v>1822</v>
      </c>
      <c r="K1870" s="112" t="s">
        <v>2103</v>
      </c>
      <c r="L1870" s="116">
        <v>-45</v>
      </c>
    </row>
    <row r="1871" spans="1:12" hidden="1" outlineLevel="1" collapsed="1" x14ac:dyDescent="0.35">
      <c r="A1871" s="112" t="s">
        <v>1814</v>
      </c>
      <c r="B1871" s="112" t="s">
        <v>904</v>
      </c>
      <c r="C1871" s="112" t="s">
        <v>1095</v>
      </c>
      <c r="D1871" s="113">
        <v>10348451</v>
      </c>
      <c r="E1871" s="115">
        <v>43949</v>
      </c>
      <c r="F1871" s="114">
        <v>202101</v>
      </c>
      <c r="G1871" s="112" t="s">
        <v>1091</v>
      </c>
      <c r="H1871" s="112" t="s">
        <v>1015</v>
      </c>
      <c r="I1871" s="112" t="s">
        <v>1101</v>
      </c>
      <c r="J1871" s="112" t="s">
        <v>1838</v>
      </c>
      <c r="K1871" s="112" t="s">
        <v>1098</v>
      </c>
      <c r="L1871" s="116">
        <v>157.5</v>
      </c>
    </row>
    <row r="1872" spans="1:12" hidden="1" outlineLevel="1" collapsed="1" x14ac:dyDescent="0.35">
      <c r="A1872" s="112" t="s">
        <v>1814</v>
      </c>
      <c r="B1872" s="112" t="s">
        <v>905</v>
      </c>
      <c r="C1872" s="112" t="s">
        <v>695</v>
      </c>
      <c r="D1872" s="113">
        <v>10347977</v>
      </c>
      <c r="E1872" s="115">
        <v>43924</v>
      </c>
      <c r="F1872" s="114">
        <v>202101</v>
      </c>
      <c r="G1872" s="112" t="s">
        <v>1091</v>
      </c>
      <c r="H1872" s="112" t="s">
        <v>1015</v>
      </c>
      <c r="I1872" s="112" t="s">
        <v>749</v>
      </c>
      <c r="J1872" s="112" t="s">
        <v>1822</v>
      </c>
      <c r="K1872" s="112" t="s">
        <v>2104</v>
      </c>
      <c r="L1872" s="116">
        <v>-155</v>
      </c>
    </row>
    <row r="1873" spans="1:12" hidden="1" outlineLevel="1" collapsed="1" x14ac:dyDescent="0.35">
      <c r="A1873" s="112" t="s">
        <v>1814</v>
      </c>
      <c r="B1873" s="112" t="s">
        <v>904</v>
      </c>
      <c r="C1873" s="112" t="s">
        <v>1095</v>
      </c>
      <c r="D1873" s="113">
        <v>10348451</v>
      </c>
      <c r="E1873" s="115">
        <v>43949</v>
      </c>
      <c r="F1873" s="114">
        <v>202101</v>
      </c>
      <c r="G1873" s="112" t="s">
        <v>1091</v>
      </c>
      <c r="H1873" s="112" t="s">
        <v>1015</v>
      </c>
      <c r="I1873" s="112" t="s">
        <v>1096</v>
      </c>
      <c r="J1873" s="112" t="s">
        <v>1838</v>
      </c>
      <c r="K1873" s="112" t="s">
        <v>1098</v>
      </c>
      <c r="L1873" s="116">
        <v>33.15</v>
      </c>
    </row>
    <row r="1874" spans="1:12" hidden="1" outlineLevel="1" collapsed="1" x14ac:dyDescent="0.35">
      <c r="A1874" s="112" t="s">
        <v>1814</v>
      </c>
      <c r="B1874" s="112" t="s">
        <v>905</v>
      </c>
      <c r="C1874" s="112" t="s">
        <v>1095</v>
      </c>
      <c r="D1874" s="113">
        <v>10348451</v>
      </c>
      <c r="E1874" s="115">
        <v>43949</v>
      </c>
      <c r="F1874" s="114">
        <v>202101</v>
      </c>
      <c r="G1874" s="112" t="s">
        <v>1091</v>
      </c>
      <c r="H1874" s="112" t="s">
        <v>1015</v>
      </c>
      <c r="I1874" s="112" t="s">
        <v>1096</v>
      </c>
      <c r="J1874" s="112" t="s">
        <v>1827</v>
      </c>
      <c r="K1874" s="112" t="s">
        <v>1098</v>
      </c>
      <c r="L1874" s="116">
        <v>348.85</v>
      </c>
    </row>
    <row r="1875" spans="1:12" hidden="1" outlineLevel="1" collapsed="1" x14ac:dyDescent="0.35">
      <c r="A1875" s="112" t="s">
        <v>1814</v>
      </c>
      <c r="B1875" s="112" t="s">
        <v>905</v>
      </c>
      <c r="C1875" s="112" t="s">
        <v>695</v>
      </c>
      <c r="D1875" s="113">
        <v>10347977</v>
      </c>
      <c r="E1875" s="115">
        <v>43924</v>
      </c>
      <c r="F1875" s="114">
        <v>202101</v>
      </c>
      <c r="G1875" s="112" t="s">
        <v>1091</v>
      </c>
      <c r="H1875" s="112" t="s">
        <v>1015</v>
      </c>
      <c r="I1875" s="112" t="s">
        <v>749</v>
      </c>
      <c r="J1875" s="112" t="s">
        <v>1822</v>
      </c>
      <c r="K1875" s="112" t="s">
        <v>2105</v>
      </c>
      <c r="L1875" s="116">
        <v>-33</v>
      </c>
    </row>
    <row r="1876" spans="1:12" hidden="1" outlineLevel="1" collapsed="1" x14ac:dyDescent="0.35">
      <c r="A1876" s="112" t="s">
        <v>1814</v>
      </c>
      <c r="B1876" s="112" t="s">
        <v>905</v>
      </c>
      <c r="C1876" s="112" t="s">
        <v>1095</v>
      </c>
      <c r="D1876" s="113">
        <v>10348451</v>
      </c>
      <c r="E1876" s="115">
        <v>43949</v>
      </c>
      <c r="F1876" s="114">
        <v>202101</v>
      </c>
      <c r="G1876" s="112" t="s">
        <v>1091</v>
      </c>
      <c r="H1876" s="112" t="s">
        <v>1015</v>
      </c>
      <c r="I1876" s="112" t="s">
        <v>1101</v>
      </c>
      <c r="J1876" s="112" t="s">
        <v>1827</v>
      </c>
      <c r="K1876" s="112" t="s">
        <v>1098</v>
      </c>
      <c r="L1876" s="116">
        <v>528.11</v>
      </c>
    </row>
    <row r="1877" spans="1:12" hidden="1" outlineLevel="1" collapsed="1" x14ac:dyDescent="0.35">
      <c r="A1877" s="112" t="s">
        <v>1814</v>
      </c>
      <c r="B1877" s="112" t="s">
        <v>905</v>
      </c>
      <c r="C1877" s="112" t="s">
        <v>695</v>
      </c>
      <c r="D1877" s="113">
        <v>10347977</v>
      </c>
      <c r="E1877" s="115">
        <v>43924</v>
      </c>
      <c r="F1877" s="114">
        <v>202101</v>
      </c>
      <c r="G1877" s="112" t="s">
        <v>1091</v>
      </c>
      <c r="H1877" s="112" t="s">
        <v>1015</v>
      </c>
      <c r="I1877" s="112" t="s">
        <v>749</v>
      </c>
      <c r="J1877" s="112" t="s">
        <v>1839</v>
      </c>
      <c r="K1877" s="112" t="s">
        <v>2106</v>
      </c>
      <c r="L1877" s="116">
        <v>-139</v>
      </c>
    </row>
    <row r="1878" spans="1:12" hidden="1" outlineLevel="1" collapsed="1" x14ac:dyDescent="0.35">
      <c r="A1878" s="112" t="s">
        <v>1814</v>
      </c>
      <c r="B1878" s="112" t="s">
        <v>905</v>
      </c>
      <c r="C1878" s="112" t="s">
        <v>695</v>
      </c>
      <c r="D1878" s="113">
        <v>10347977</v>
      </c>
      <c r="E1878" s="115">
        <v>43924</v>
      </c>
      <c r="F1878" s="114">
        <v>202101</v>
      </c>
      <c r="G1878" s="112" t="s">
        <v>1091</v>
      </c>
      <c r="H1878" s="112" t="s">
        <v>1015</v>
      </c>
      <c r="I1878" s="112" t="s">
        <v>757</v>
      </c>
      <c r="J1878" s="112" t="s">
        <v>1822</v>
      </c>
      <c r="K1878" s="112" t="s">
        <v>2107</v>
      </c>
      <c r="L1878" s="116">
        <v>-124</v>
      </c>
    </row>
    <row r="1879" spans="1:12" hidden="1" outlineLevel="1" collapsed="1" x14ac:dyDescent="0.35">
      <c r="A1879" s="112" t="s">
        <v>1814</v>
      </c>
      <c r="B1879" s="112" t="s">
        <v>905</v>
      </c>
      <c r="C1879" s="112" t="s">
        <v>1095</v>
      </c>
      <c r="D1879" s="113">
        <v>10348451</v>
      </c>
      <c r="E1879" s="115">
        <v>43949</v>
      </c>
      <c r="F1879" s="114">
        <v>202101</v>
      </c>
      <c r="G1879" s="112" t="s">
        <v>1091</v>
      </c>
      <c r="H1879" s="112" t="s">
        <v>1015</v>
      </c>
      <c r="I1879" s="112" t="s">
        <v>1190</v>
      </c>
      <c r="J1879" s="112" t="s">
        <v>1827</v>
      </c>
      <c r="K1879" s="112" t="s">
        <v>1098</v>
      </c>
      <c r="L1879" s="116">
        <v>391.06</v>
      </c>
    </row>
    <row r="1880" spans="1:12" hidden="1" outlineLevel="1" collapsed="1" x14ac:dyDescent="0.35">
      <c r="A1880" s="112" t="s">
        <v>1814</v>
      </c>
      <c r="B1880" s="112" t="s">
        <v>905</v>
      </c>
      <c r="C1880" s="112" t="s">
        <v>1095</v>
      </c>
      <c r="D1880" s="113">
        <v>10348451</v>
      </c>
      <c r="E1880" s="115">
        <v>43949</v>
      </c>
      <c r="F1880" s="114">
        <v>202101</v>
      </c>
      <c r="G1880" s="112" t="s">
        <v>1091</v>
      </c>
      <c r="H1880" s="112" t="s">
        <v>1015</v>
      </c>
      <c r="I1880" s="112" t="s">
        <v>1190</v>
      </c>
      <c r="J1880" s="112" t="s">
        <v>1827</v>
      </c>
      <c r="K1880" s="112" t="s">
        <v>1098</v>
      </c>
      <c r="L1880" s="116">
        <v>158.02000000000001</v>
      </c>
    </row>
    <row r="1881" spans="1:12" hidden="1" outlineLevel="1" collapsed="1" x14ac:dyDescent="0.35">
      <c r="A1881" s="112" t="s">
        <v>1814</v>
      </c>
      <c r="B1881" s="112" t="s">
        <v>905</v>
      </c>
      <c r="C1881" s="112" t="s">
        <v>1095</v>
      </c>
      <c r="D1881" s="113">
        <v>10348451</v>
      </c>
      <c r="E1881" s="115">
        <v>43949</v>
      </c>
      <c r="F1881" s="114">
        <v>202101</v>
      </c>
      <c r="G1881" s="112" t="s">
        <v>1091</v>
      </c>
      <c r="H1881" s="112" t="s">
        <v>1015</v>
      </c>
      <c r="I1881" s="112" t="s">
        <v>1096</v>
      </c>
      <c r="J1881" s="112" t="s">
        <v>1827</v>
      </c>
      <c r="K1881" s="112" t="s">
        <v>1098</v>
      </c>
      <c r="L1881" s="116">
        <v>310.49</v>
      </c>
    </row>
    <row r="1882" spans="1:12" hidden="1" outlineLevel="1" collapsed="1" x14ac:dyDescent="0.35">
      <c r="A1882" s="112" t="s">
        <v>1814</v>
      </c>
      <c r="B1882" s="112" t="s">
        <v>905</v>
      </c>
      <c r="C1882" s="112" t="s">
        <v>1095</v>
      </c>
      <c r="D1882" s="113">
        <v>10348451</v>
      </c>
      <c r="E1882" s="115">
        <v>43949</v>
      </c>
      <c r="F1882" s="114">
        <v>202101</v>
      </c>
      <c r="G1882" s="112" t="s">
        <v>1091</v>
      </c>
      <c r="H1882" s="112" t="s">
        <v>1015</v>
      </c>
      <c r="I1882" s="112" t="s">
        <v>1190</v>
      </c>
      <c r="J1882" s="112" t="s">
        <v>1827</v>
      </c>
      <c r="K1882" s="112" t="s">
        <v>1098</v>
      </c>
      <c r="L1882" s="116">
        <v>48.65</v>
      </c>
    </row>
    <row r="1883" spans="1:12" hidden="1" outlineLevel="1" collapsed="1" x14ac:dyDescent="0.35">
      <c r="A1883" s="112" t="s">
        <v>1814</v>
      </c>
      <c r="B1883" s="112" t="s">
        <v>905</v>
      </c>
      <c r="C1883" s="112" t="s">
        <v>1095</v>
      </c>
      <c r="D1883" s="113">
        <v>10348451</v>
      </c>
      <c r="E1883" s="115">
        <v>43949</v>
      </c>
      <c r="F1883" s="114">
        <v>202101</v>
      </c>
      <c r="G1883" s="112" t="s">
        <v>1091</v>
      </c>
      <c r="H1883" s="112" t="s">
        <v>1015</v>
      </c>
      <c r="I1883" s="112" t="s">
        <v>1190</v>
      </c>
      <c r="J1883" s="112" t="s">
        <v>1827</v>
      </c>
      <c r="K1883" s="112" t="s">
        <v>1098</v>
      </c>
      <c r="L1883" s="116">
        <v>60.72</v>
      </c>
    </row>
    <row r="1884" spans="1:12" hidden="1" outlineLevel="1" collapsed="1" x14ac:dyDescent="0.35">
      <c r="A1884" s="112" t="s">
        <v>1814</v>
      </c>
      <c r="B1884" s="112" t="s">
        <v>905</v>
      </c>
      <c r="C1884" s="112" t="s">
        <v>1095</v>
      </c>
      <c r="D1884" s="113">
        <v>10348451</v>
      </c>
      <c r="E1884" s="115">
        <v>43949</v>
      </c>
      <c r="F1884" s="114">
        <v>202101</v>
      </c>
      <c r="G1884" s="112" t="s">
        <v>1091</v>
      </c>
      <c r="H1884" s="112" t="s">
        <v>1015</v>
      </c>
      <c r="I1884" s="112" t="s">
        <v>1190</v>
      </c>
      <c r="J1884" s="112" t="s">
        <v>1839</v>
      </c>
      <c r="K1884" s="112" t="s">
        <v>1098</v>
      </c>
      <c r="L1884" s="116">
        <v>45.1</v>
      </c>
    </row>
    <row r="1885" spans="1:12" hidden="1" outlineLevel="1" collapsed="1" x14ac:dyDescent="0.35">
      <c r="A1885" s="112" t="s">
        <v>1814</v>
      </c>
      <c r="B1885" s="112" t="s">
        <v>905</v>
      </c>
      <c r="C1885" s="112" t="s">
        <v>695</v>
      </c>
      <c r="D1885" s="113">
        <v>10347977</v>
      </c>
      <c r="E1885" s="115">
        <v>43924</v>
      </c>
      <c r="F1885" s="114">
        <v>202101</v>
      </c>
      <c r="G1885" s="112" t="s">
        <v>1091</v>
      </c>
      <c r="H1885" s="112" t="s">
        <v>1015</v>
      </c>
      <c r="I1885" s="112" t="s">
        <v>757</v>
      </c>
      <c r="J1885" s="112" t="s">
        <v>1822</v>
      </c>
      <c r="K1885" s="112" t="s">
        <v>2108</v>
      </c>
      <c r="L1885" s="116">
        <v>-40</v>
      </c>
    </row>
    <row r="1886" spans="1:12" hidden="1" outlineLevel="1" collapsed="1" x14ac:dyDescent="0.35">
      <c r="A1886" s="112" t="s">
        <v>1814</v>
      </c>
      <c r="B1886" s="112" t="s">
        <v>905</v>
      </c>
      <c r="C1886" s="112" t="s">
        <v>695</v>
      </c>
      <c r="D1886" s="113">
        <v>10347977</v>
      </c>
      <c r="E1886" s="115">
        <v>43924</v>
      </c>
      <c r="F1886" s="114">
        <v>202101</v>
      </c>
      <c r="G1886" s="112" t="s">
        <v>1091</v>
      </c>
      <c r="H1886" s="112" t="s">
        <v>1015</v>
      </c>
      <c r="I1886" s="112" t="s">
        <v>751</v>
      </c>
      <c r="J1886" s="112" t="s">
        <v>1822</v>
      </c>
      <c r="K1886" s="112" t="s">
        <v>2109</v>
      </c>
      <c r="L1886" s="116">
        <v>-77</v>
      </c>
    </row>
    <row r="1887" spans="1:12" hidden="1" outlineLevel="1" collapsed="1" x14ac:dyDescent="0.35">
      <c r="A1887" s="112" t="s">
        <v>1814</v>
      </c>
      <c r="B1887" s="112" t="s">
        <v>905</v>
      </c>
      <c r="C1887" s="112" t="s">
        <v>695</v>
      </c>
      <c r="D1887" s="113">
        <v>10347977</v>
      </c>
      <c r="E1887" s="115">
        <v>43924</v>
      </c>
      <c r="F1887" s="114">
        <v>202101</v>
      </c>
      <c r="G1887" s="112" t="s">
        <v>1091</v>
      </c>
      <c r="H1887" s="112" t="s">
        <v>1015</v>
      </c>
      <c r="I1887" s="112" t="s">
        <v>751</v>
      </c>
      <c r="J1887" s="112" t="s">
        <v>1822</v>
      </c>
      <c r="K1887" s="112" t="s">
        <v>2110</v>
      </c>
      <c r="L1887" s="116">
        <v>-66</v>
      </c>
    </row>
    <row r="1888" spans="1:12" hidden="1" outlineLevel="1" collapsed="1" x14ac:dyDescent="0.35">
      <c r="A1888" s="112" t="s">
        <v>1814</v>
      </c>
      <c r="B1888" s="112" t="s">
        <v>905</v>
      </c>
      <c r="C1888" s="112" t="s">
        <v>695</v>
      </c>
      <c r="D1888" s="113">
        <v>10347977</v>
      </c>
      <c r="E1888" s="115">
        <v>43924</v>
      </c>
      <c r="F1888" s="114">
        <v>202101</v>
      </c>
      <c r="G1888" s="112" t="s">
        <v>1091</v>
      </c>
      <c r="H1888" s="112" t="s">
        <v>1015</v>
      </c>
      <c r="I1888" s="112" t="s">
        <v>749</v>
      </c>
      <c r="J1888" s="112" t="s">
        <v>1822</v>
      </c>
      <c r="K1888" s="112" t="s">
        <v>2111</v>
      </c>
      <c r="L1888" s="116">
        <v>-43</v>
      </c>
    </row>
    <row r="1889" spans="1:12" hidden="1" outlineLevel="1" collapsed="1" x14ac:dyDescent="0.35">
      <c r="A1889" s="112" t="s">
        <v>1814</v>
      </c>
      <c r="B1889" s="112" t="s">
        <v>905</v>
      </c>
      <c r="C1889" s="112" t="s">
        <v>695</v>
      </c>
      <c r="D1889" s="113">
        <v>10347977</v>
      </c>
      <c r="E1889" s="115">
        <v>43924</v>
      </c>
      <c r="F1889" s="114">
        <v>202101</v>
      </c>
      <c r="G1889" s="112" t="s">
        <v>1091</v>
      </c>
      <c r="H1889" s="112" t="s">
        <v>1015</v>
      </c>
      <c r="I1889" s="112" t="s">
        <v>749</v>
      </c>
      <c r="J1889" s="112" t="s">
        <v>1822</v>
      </c>
      <c r="K1889" s="112" t="s">
        <v>2112</v>
      </c>
      <c r="L1889" s="116">
        <v>-110</v>
      </c>
    </row>
    <row r="1890" spans="1:12" hidden="1" outlineLevel="1" collapsed="1" x14ac:dyDescent="0.35">
      <c r="A1890" s="112" t="s">
        <v>1814</v>
      </c>
      <c r="B1890" s="112" t="s">
        <v>905</v>
      </c>
      <c r="C1890" s="112" t="s">
        <v>1095</v>
      </c>
      <c r="D1890" s="113">
        <v>10348451</v>
      </c>
      <c r="E1890" s="115">
        <v>43949</v>
      </c>
      <c r="F1890" s="114">
        <v>202101</v>
      </c>
      <c r="G1890" s="112" t="s">
        <v>1091</v>
      </c>
      <c r="H1890" s="112" t="s">
        <v>1015</v>
      </c>
      <c r="I1890" s="112" t="s">
        <v>1190</v>
      </c>
      <c r="J1890" s="112" t="s">
        <v>1839</v>
      </c>
      <c r="K1890" s="112" t="s">
        <v>1098</v>
      </c>
      <c r="L1890" s="116">
        <v>97.3</v>
      </c>
    </row>
    <row r="1891" spans="1:12" hidden="1" outlineLevel="1" collapsed="1" x14ac:dyDescent="0.35">
      <c r="A1891" s="112" t="s">
        <v>1814</v>
      </c>
      <c r="B1891" s="112" t="s">
        <v>905</v>
      </c>
      <c r="C1891" s="112" t="s">
        <v>1095</v>
      </c>
      <c r="D1891" s="113">
        <v>10348451</v>
      </c>
      <c r="E1891" s="115">
        <v>43949</v>
      </c>
      <c r="F1891" s="114">
        <v>202101</v>
      </c>
      <c r="G1891" s="112" t="s">
        <v>1091</v>
      </c>
      <c r="H1891" s="112" t="s">
        <v>1015</v>
      </c>
      <c r="I1891" s="112" t="s">
        <v>1190</v>
      </c>
      <c r="J1891" s="112" t="s">
        <v>1839</v>
      </c>
      <c r="K1891" s="112" t="s">
        <v>1098</v>
      </c>
      <c r="L1891" s="116">
        <v>150</v>
      </c>
    </row>
    <row r="1892" spans="1:12" hidden="1" outlineLevel="1" collapsed="1" x14ac:dyDescent="0.35">
      <c r="A1892" s="112" t="s">
        <v>1814</v>
      </c>
      <c r="B1892" s="112" t="s">
        <v>905</v>
      </c>
      <c r="C1892" s="112" t="s">
        <v>695</v>
      </c>
      <c r="D1892" s="113">
        <v>10347977</v>
      </c>
      <c r="E1892" s="115">
        <v>43924</v>
      </c>
      <c r="F1892" s="114">
        <v>202101</v>
      </c>
      <c r="G1892" s="112" t="s">
        <v>1091</v>
      </c>
      <c r="H1892" s="112" t="s">
        <v>1015</v>
      </c>
      <c r="I1892" s="112" t="s">
        <v>749</v>
      </c>
      <c r="J1892" s="112" t="s">
        <v>1839</v>
      </c>
      <c r="K1892" s="112" t="s">
        <v>2113</v>
      </c>
      <c r="L1892" s="116">
        <v>-194</v>
      </c>
    </row>
    <row r="1893" spans="1:12" hidden="1" outlineLevel="1" collapsed="1" x14ac:dyDescent="0.35">
      <c r="A1893" s="112" t="s">
        <v>1814</v>
      </c>
      <c r="B1893" s="112" t="s">
        <v>905</v>
      </c>
      <c r="C1893" s="112" t="s">
        <v>695</v>
      </c>
      <c r="D1893" s="113">
        <v>10347977</v>
      </c>
      <c r="E1893" s="115">
        <v>43924</v>
      </c>
      <c r="F1893" s="114">
        <v>202101</v>
      </c>
      <c r="G1893" s="112" t="s">
        <v>1091</v>
      </c>
      <c r="H1893" s="112" t="s">
        <v>1015</v>
      </c>
      <c r="I1893" s="112" t="s">
        <v>749</v>
      </c>
      <c r="J1893" s="112" t="s">
        <v>1839</v>
      </c>
      <c r="K1893" s="112" t="s">
        <v>2114</v>
      </c>
      <c r="L1893" s="116">
        <v>-180</v>
      </c>
    </row>
    <row r="1894" spans="1:12" hidden="1" outlineLevel="1" collapsed="1" x14ac:dyDescent="0.35">
      <c r="A1894" s="112" t="s">
        <v>1814</v>
      </c>
      <c r="B1894" s="112" t="s">
        <v>905</v>
      </c>
      <c r="C1894" s="112" t="s">
        <v>695</v>
      </c>
      <c r="D1894" s="113">
        <v>10347977</v>
      </c>
      <c r="E1894" s="115">
        <v>43924</v>
      </c>
      <c r="F1894" s="114">
        <v>202101</v>
      </c>
      <c r="G1894" s="112" t="s">
        <v>1091</v>
      </c>
      <c r="H1894" s="112" t="s">
        <v>1015</v>
      </c>
      <c r="I1894" s="112" t="s">
        <v>749</v>
      </c>
      <c r="J1894" s="112" t="s">
        <v>1839</v>
      </c>
      <c r="K1894" s="112" t="s">
        <v>2115</v>
      </c>
      <c r="L1894" s="116">
        <v>-244</v>
      </c>
    </row>
    <row r="1895" spans="1:12" hidden="1" outlineLevel="1" collapsed="1" x14ac:dyDescent="0.35">
      <c r="A1895" s="112" t="s">
        <v>1814</v>
      </c>
      <c r="B1895" s="112" t="s">
        <v>905</v>
      </c>
      <c r="C1895" s="112" t="s">
        <v>695</v>
      </c>
      <c r="D1895" s="113">
        <v>10347977</v>
      </c>
      <c r="E1895" s="115">
        <v>43924</v>
      </c>
      <c r="F1895" s="114">
        <v>202101</v>
      </c>
      <c r="G1895" s="112" t="s">
        <v>1091</v>
      </c>
      <c r="H1895" s="112" t="s">
        <v>1015</v>
      </c>
      <c r="I1895" s="112" t="s">
        <v>749</v>
      </c>
      <c r="J1895" s="112" t="s">
        <v>1822</v>
      </c>
      <c r="K1895" s="112" t="s">
        <v>2116</v>
      </c>
      <c r="L1895" s="116">
        <v>-46</v>
      </c>
    </row>
    <row r="1896" spans="1:12" hidden="1" outlineLevel="1" collapsed="1" x14ac:dyDescent="0.35">
      <c r="A1896" s="112" t="s">
        <v>1814</v>
      </c>
      <c r="B1896" s="112" t="s">
        <v>905</v>
      </c>
      <c r="C1896" s="112" t="s">
        <v>695</v>
      </c>
      <c r="D1896" s="113">
        <v>10347977</v>
      </c>
      <c r="E1896" s="115">
        <v>43924</v>
      </c>
      <c r="F1896" s="114">
        <v>202101</v>
      </c>
      <c r="G1896" s="112" t="s">
        <v>1091</v>
      </c>
      <c r="H1896" s="112" t="s">
        <v>1015</v>
      </c>
      <c r="I1896" s="112" t="s">
        <v>751</v>
      </c>
      <c r="J1896" s="112" t="s">
        <v>1822</v>
      </c>
      <c r="K1896" s="112" t="s">
        <v>2117</v>
      </c>
      <c r="L1896" s="116">
        <v>-106</v>
      </c>
    </row>
    <row r="1897" spans="1:12" hidden="1" outlineLevel="1" collapsed="1" x14ac:dyDescent="0.35">
      <c r="A1897" s="112" t="s">
        <v>1814</v>
      </c>
      <c r="B1897" s="112" t="s">
        <v>906</v>
      </c>
      <c r="C1897" s="112" t="s">
        <v>1266</v>
      </c>
      <c r="D1897" s="113">
        <v>1069309</v>
      </c>
      <c r="E1897" s="115">
        <v>43917</v>
      </c>
      <c r="F1897" s="114">
        <v>202101</v>
      </c>
      <c r="G1897" s="112" t="s">
        <v>1091</v>
      </c>
      <c r="H1897" s="112" t="s">
        <v>1015</v>
      </c>
      <c r="I1897" s="112" t="s">
        <v>2118</v>
      </c>
      <c r="J1897" s="112" t="s">
        <v>1815</v>
      </c>
      <c r="K1897" s="112" t="s">
        <v>2119</v>
      </c>
      <c r="L1897" s="116">
        <v>-22736.98</v>
      </c>
    </row>
    <row r="1898" spans="1:12" hidden="1" outlineLevel="1" collapsed="1" x14ac:dyDescent="0.35">
      <c r="A1898" s="112" t="s">
        <v>1814</v>
      </c>
      <c r="B1898" s="112" t="s">
        <v>905</v>
      </c>
      <c r="C1898" s="112" t="s">
        <v>695</v>
      </c>
      <c r="D1898" s="113">
        <v>10348473</v>
      </c>
      <c r="E1898" s="115">
        <v>43948</v>
      </c>
      <c r="F1898" s="114">
        <v>202101</v>
      </c>
      <c r="G1898" s="112" t="s">
        <v>1091</v>
      </c>
      <c r="H1898" s="112" t="s">
        <v>1015</v>
      </c>
      <c r="I1898" s="112" t="s">
        <v>1605</v>
      </c>
      <c r="J1898" s="112" t="s">
        <v>1842</v>
      </c>
      <c r="K1898" s="112" t="s">
        <v>2120</v>
      </c>
      <c r="L1898" s="116">
        <v>11769.5</v>
      </c>
    </row>
    <row r="1899" spans="1:12" hidden="1" outlineLevel="1" collapsed="1" x14ac:dyDescent="0.35">
      <c r="A1899" s="112" t="s">
        <v>1814</v>
      </c>
      <c r="B1899" s="112" t="s">
        <v>905</v>
      </c>
      <c r="C1899" s="112" t="s">
        <v>1511</v>
      </c>
      <c r="D1899" s="113">
        <v>47036563</v>
      </c>
      <c r="E1899" s="115">
        <v>43928</v>
      </c>
      <c r="F1899" s="114">
        <v>202101</v>
      </c>
      <c r="G1899" s="112" t="s">
        <v>1091</v>
      </c>
      <c r="H1899" s="112" t="s">
        <v>1015</v>
      </c>
      <c r="I1899" s="112" t="s">
        <v>749</v>
      </c>
      <c r="J1899" s="112" t="s">
        <v>1822</v>
      </c>
      <c r="K1899" s="112" t="s">
        <v>2121</v>
      </c>
      <c r="L1899" s="116">
        <v>49.45</v>
      </c>
    </row>
    <row r="1900" spans="1:12" hidden="1" outlineLevel="1" collapsed="1" x14ac:dyDescent="0.35">
      <c r="A1900" s="112" t="s">
        <v>1814</v>
      </c>
      <c r="B1900" s="112" t="s">
        <v>905</v>
      </c>
      <c r="C1900" s="112" t="s">
        <v>1511</v>
      </c>
      <c r="D1900" s="113">
        <v>47036560</v>
      </c>
      <c r="E1900" s="115">
        <v>43928</v>
      </c>
      <c r="F1900" s="114">
        <v>202101</v>
      </c>
      <c r="G1900" s="112" t="s">
        <v>1091</v>
      </c>
      <c r="H1900" s="112" t="s">
        <v>1015</v>
      </c>
      <c r="I1900" s="112" t="s">
        <v>749</v>
      </c>
      <c r="J1900" s="112" t="s">
        <v>1822</v>
      </c>
      <c r="K1900" s="112" t="s">
        <v>2122</v>
      </c>
      <c r="L1900" s="116">
        <v>116.59</v>
      </c>
    </row>
    <row r="1901" spans="1:12" hidden="1" outlineLevel="1" collapsed="1" x14ac:dyDescent="0.35">
      <c r="A1901" s="112" t="s">
        <v>1814</v>
      </c>
      <c r="B1901" s="112" t="s">
        <v>905</v>
      </c>
      <c r="C1901" s="112" t="s">
        <v>1511</v>
      </c>
      <c r="D1901" s="113">
        <v>47036558</v>
      </c>
      <c r="E1901" s="115">
        <v>43928</v>
      </c>
      <c r="F1901" s="114">
        <v>202101</v>
      </c>
      <c r="G1901" s="112" t="s">
        <v>1091</v>
      </c>
      <c r="H1901" s="112" t="s">
        <v>1015</v>
      </c>
      <c r="I1901" s="112" t="s">
        <v>749</v>
      </c>
      <c r="J1901" s="112" t="s">
        <v>1822</v>
      </c>
      <c r="K1901" s="112" t="s">
        <v>2123</v>
      </c>
      <c r="L1901" s="116">
        <v>280.36</v>
      </c>
    </row>
    <row r="1902" spans="1:12" hidden="1" outlineLevel="1" collapsed="1" x14ac:dyDescent="0.35">
      <c r="A1902" s="112" t="s">
        <v>1814</v>
      </c>
      <c r="B1902" s="112" t="s">
        <v>905</v>
      </c>
      <c r="C1902" s="112" t="s">
        <v>1511</v>
      </c>
      <c r="D1902" s="113">
        <v>47036557</v>
      </c>
      <c r="E1902" s="115">
        <v>43928</v>
      </c>
      <c r="F1902" s="114">
        <v>202101</v>
      </c>
      <c r="G1902" s="112" t="s">
        <v>1091</v>
      </c>
      <c r="H1902" s="112" t="s">
        <v>1015</v>
      </c>
      <c r="I1902" s="112" t="s">
        <v>749</v>
      </c>
      <c r="J1902" s="112" t="s">
        <v>1822</v>
      </c>
      <c r="K1902" s="112" t="s">
        <v>2124</v>
      </c>
      <c r="L1902" s="116">
        <v>114.46</v>
      </c>
    </row>
    <row r="1903" spans="1:12" hidden="1" outlineLevel="1" collapsed="1" x14ac:dyDescent="0.35">
      <c r="A1903" s="112" t="s">
        <v>1814</v>
      </c>
      <c r="B1903" s="112" t="s">
        <v>905</v>
      </c>
      <c r="C1903" s="112" t="s">
        <v>1511</v>
      </c>
      <c r="D1903" s="113">
        <v>47036556</v>
      </c>
      <c r="E1903" s="115">
        <v>43928</v>
      </c>
      <c r="F1903" s="114">
        <v>202101</v>
      </c>
      <c r="G1903" s="112" t="s">
        <v>1091</v>
      </c>
      <c r="H1903" s="112" t="s">
        <v>1015</v>
      </c>
      <c r="I1903" s="112" t="s">
        <v>749</v>
      </c>
      <c r="J1903" s="112" t="s">
        <v>1822</v>
      </c>
      <c r="K1903" s="112" t="s">
        <v>2125</v>
      </c>
      <c r="L1903" s="116">
        <v>106.23</v>
      </c>
    </row>
    <row r="1904" spans="1:12" hidden="1" outlineLevel="1" collapsed="1" x14ac:dyDescent="0.35">
      <c r="A1904" s="112" t="s">
        <v>1814</v>
      </c>
      <c r="B1904" s="112" t="s">
        <v>905</v>
      </c>
      <c r="C1904" s="112" t="s">
        <v>1511</v>
      </c>
      <c r="D1904" s="113">
        <v>47036555</v>
      </c>
      <c r="E1904" s="115">
        <v>43928</v>
      </c>
      <c r="F1904" s="114">
        <v>202101</v>
      </c>
      <c r="G1904" s="112" t="s">
        <v>1091</v>
      </c>
      <c r="H1904" s="112" t="s">
        <v>1015</v>
      </c>
      <c r="I1904" s="112" t="s">
        <v>749</v>
      </c>
      <c r="J1904" s="112" t="s">
        <v>1822</v>
      </c>
      <c r="K1904" s="112" t="s">
        <v>2126</v>
      </c>
      <c r="L1904" s="116">
        <v>144.85</v>
      </c>
    </row>
    <row r="1905" spans="1:12" hidden="1" outlineLevel="1" collapsed="1" x14ac:dyDescent="0.35">
      <c r="A1905" s="112" t="s">
        <v>1814</v>
      </c>
      <c r="B1905" s="112" t="s">
        <v>905</v>
      </c>
      <c r="C1905" s="112" t="s">
        <v>1511</v>
      </c>
      <c r="D1905" s="113">
        <v>47036489</v>
      </c>
      <c r="E1905" s="115">
        <v>43922</v>
      </c>
      <c r="F1905" s="114">
        <v>202101</v>
      </c>
      <c r="G1905" s="112" t="s">
        <v>1091</v>
      </c>
      <c r="H1905" s="112" t="s">
        <v>1015</v>
      </c>
      <c r="I1905" s="112" t="s">
        <v>749</v>
      </c>
      <c r="J1905" s="112" t="s">
        <v>1822</v>
      </c>
      <c r="K1905" s="112" t="s">
        <v>2127</v>
      </c>
      <c r="L1905" s="116">
        <v>309.76</v>
      </c>
    </row>
    <row r="1906" spans="1:12" hidden="1" outlineLevel="1" collapsed="1" x14ac:dyDescent="0.35">
      <c r="A1906" s="112" t="s">
        <v>1814</v>
      </c>
      <c r="B1906" s="112" t="s">
        <v>905</v>
      </c>
      <c r="C1906" s="112" t="s">
        <v>695</v>
      </c>
      <c r="D1906" s="113">
        <v>10347977</v>
      </c>
      <c r="E1906" s="115">
        <v>43924</v>
      </c>
      <c r="F1906" s="114">
        <v>202101</v>
      </c>
      <c r="G1906" s="112" t="s">
        <v>1091</v>
      </c>
      <c r="H1906" s="112" t="s">
        <v>1015</v>
      </c>
      <c r="I1906" s="112" t="s">
        <v>751</v>
      </c>
      <c r="J1906" s="112" t="s">
        <v>1822</v>
      </c>
      <c r="K1906" s="112" t="s">
        <v>2128</v>
      </c>
      <c r="L1906" s="116">
        <v>-48</v>
      </c>
    </row>
    <row r="1907" spans="1:12" hidden="1" outlineLevel="1" collapsed="1" x14ac:dyDescent="0.35">
      <c r="A1907" s="112" t="s">
        <v>1814</v>
      </c>
      <c r="B1907" s="112" t="s">
        <v>906</v>
      </c>
      <c r="C1907" s="112" t="s">
        <v>1106</v>
      </c>
      <c r="D1907" s="113">
        <v>3098853</v>
      </c>
      <c r="E1907" s="115">
        <v>43949</v>
      </c>
      <c r="F1907" s="114">
        <v>202101</v>
      </c>
      <c r="G1907" s="112" t="s">
        <v>1091</v>
      </c>
      <c r="H1907" s="112" t="s">
        <v>1015</v>
      </c>
      <c r="I1907" s="112" t="s">
        <v>2129</v>
      </c>
      <c r="J1907" s="112" t="s">
        <v>1815</v>
      </c>
      <c r="K1907" s="112" t="s">
        <v>2130</v>
      </c>
      <c r="L1907" s="116">
        <v>51.5</v>
      </c>
    </row>
    <row r="1908" spans="1:12" hidden="1" outlineLevel="1" collapsed="1" x14ac:dyDescent="0.35">
      <c r="A1908" s="112" t="s">
        <v>1814</v>
      </c>
      <c r="B1908" s="112" t="s">
        <v>905</v>
      </c>
      <c r="C1908" s="112" t="s">
        <v>1219</v>
      </c>
      <c r="D1908" s="113">
        <v>46307067</v>
      </c>
      <c r="E1908" s="115">
        <v>43935</v>
      </c>
      <c r="F1908" s="114">
        <v>202101</v>
      </c>
      <c r="G1908" s="112" t="s">
        <v>1091</v>
      </c>
      <c r="H1908" s="112" t="s">
        <v>1015</v>
      </c>
      <c r="I1908" s="112" t="s">
        <v>1950</v>
      </c>
      <c r="J1908" s="112" t="s">
        <v>1839</v>
      </c>
      <c r="K1908" s="112" t="s">
        <v>2131</v>
      </c>
      <c r="L1908" s="116">
        <v>-49143.9</v>
      </c>
    </row>
    <row r="1909" spans="1:12" hidden="1" outlineLevel="1" collapsed="1" x14ac:dyDescent="0.35">
      <c r="A1909" s="112" t="s">
        <v>1814</v>
      </c>
      <c r="B1909" s="112" t="s">
        <v>905</v>
      </c>
      <c r="C1909" s="112" t="s">
        <v>1219</v>
      </c>
      <c r="D1909" s="113">
        <v>46307068</v>
      </c>
      <c r="E1909" s="115">
        <v>43935</v>
      </c>
      <c r="F1909" s="114">
        <v>202101</v>
      </c>
      <c r="G1909" s="112" t="s">
        <v>1091</v>
      </c>
      <c r="H1909" s="112" t="s">
        <v>1015</v>
      </c>
      <c r="I1909" s="112" t="s">
        <v>1950</v>
      </c>
      <c r="J1909" s="112" t="s">
        <v>1839</v>
      </c>
      <c r="K1909" s="112" t="s">
        <v>2132</v>
      </c>
      <c r="L1909" s="116">
        <v>-1157.04</v>
      </c>
    </row>
    <row r="1910" spans="1:12" hidden="1" outlineLevel="1" collapsed="1" x14ac:dyDescent="0.35">
      <c r="A1910" s="112" t="s">
        <v>1814</v>
      </c>
      <c r="B1910" s="112" t="s">
        <v>905</v>
      </c>
      <c r="C1910" s="112" t="s">
        <v>1095</v>
      </c>
      <c r="D1910" s="113">
        <v>10348451</v>
      </c>
      <c r="E1910" s="115">
        <v>43949</v>
      </c>
      <c r="F1910" s="114">
        <v>202101</v>
      </c>
      <c r="G1910" s="112" t="s">
        <v>1091</v>
      </c>
      <c r="H1910" s="112" t="s">
        <v>1015</v>
      </c>
      <c r="I1910" s="112" t="s">
        <v>1101</v>
      </c>
      <c r="J1910" s="112" t="s">
        <v>1839</v>
      </c>
      <c r="K1910" s="112" t="s">
        <v>1098</v>
      </c>
      <c r="L1910" s="116">
        <v>241.54</v>
      </c>
    </row>
    <row r="1911" spans="1:12" hidden="1" outlineLevel="1" collapsed="1" x14ac:dyDescent="0.35">
      <c r="A1911" s="112" t="s">
        <v>1814</v>
      </c>
      <c r="B1911" s="112" t="s">
        <v>906</v>
      </c>
      <c r="C1911" s="112" t="s">
        <v>1095</v>
      </c>
      <c r="D1911" s="113">
        <v>10348451</v>
      </c>
      <c r="E1911" s="115">
        <v>43949</v>
      </c>
      <c r="F1911" s="114">
        <v>202101</v>
      </c>
      <c r="G1911" s="112" t="s">
        <v>1091</v>
      </c>
      <c r="H1911" s="112" t="s">
        <v>1015</v>
      </c>
      <c r="I1911" s="112" t="s">
        <v>1101</v>
      </c>
      <c r="J1911" s="112" t="s">
        <v>1874</v>
      </c>
      <c r="K1911" s="112" t="s">
        <v>1098</v>
      </c>
      <c r="L1911" s="116">
        <v>366.04</v>
      </c>
    </row>
    <row r="1912" spans="1:12" hidden="1" outlineLevel="1" collapsed="1" x14ac:dyDescent="0.35">
      <c r="A1912" s="112" t="s">
        <v>1814</v>
      </c>
      <c r="B1912" s="112" t="s">
        <v>905</v>
      </c>
      <c r="C1912" s="112" t="s">
        <v>1095</v>
      </c>
      <c r="D1912" s="113">
        <v>10348451</v>
      </c>
      <c r="E1912" s="115">
        <v>43949</v>
      </c>
      <c r="F1912" s="114">
        <v>202101</v>
      </c>
      <c r="G1912" s="112" t="s">
        <v>1091</v>
      </c>
      <c r="H1912" s="112" t="s">
        <v>1015</v>
      </c>
      <c r="I1912" s="112" t="s">
        <v>1101</v>
      </c>
      <c r="J1912" s="112" t="s">
        <v>1842</v>
      </c>
      <c r="K1912" s="112" t="s">
        <v>1098</v>
      </c>
      <c r="L1912" s="116">
        <v>426.26</v>
      </c>
    </row>
    <row r="1913" spans="1:12" hidden="1" outlineLevel="1" collapsed="1" x14ac:dyDescent="0.35">
      <c r="A1913" s="112" t="s">
        <v>1814</v>
      </c>
      <c r="B1913" s="112" t="s">
        <v>905</v>
      </c>
      <c r="C1913" s="112" t="s">
        <v>1099</v>
      </c>
      <c r="D1913" s="113">
        <v>1069494</v>
      </c>
      <c r="E1913" s="115">
        <v>43935</v>
      </c>
      <c r="F1913" s="114">
        <v>202101</v>
      </c>
      <c r="G1913" s="112" t="s">
        <v>1091</v>
      </c>
      <c r="H1913" s="112" t="s">
        <v>1015</v>
      </c>
      <c r="I1913" s="112" t="s">
        <v>761</v>
      </c>
      <c r="J1913" s="112" t="s">
        <v>1827</v>
      </c>
      <c r="K1913" s="112" t="s">
        <v>2133</v>
      </c>
      <c r="L1913" s="116">
        <v>1600</v>
      </c>
    </row>
    <row r="1914" spans="1:12" hidden="1" outlineLevel="1" collapsed="1" x14ac:dyDescent="0.35">
      <c r="A1914" s="112" t="s">
        <v>1814</v>
      </c>
      <c r="B1914" s="112" t="s">
        <v>905</v>
      </c>
      <c r="C1914" s="112" t="s">
        <v>1095</v>
      </c>
      <c r="D1914" s="113">
        <v>10348451</v>
      </c>
      <c r="E1914" s="115">
        <v>43949</v>
      </c>
      <c r="F1914" s="114">
        <v>202101</v>
      </c>
      <c r="G1914" s="112" t="s">
        <v>1091</v>
      </c>
      <c r="H1914" s="112" t="s">
        <v>1015</v>
      </c>
      <c r="I1914" s="112" t="s">
        <v>1101</v>
      </c>
      <c r="J1914" s="112" t="s">
        <v>1827</v>
      </c>
      <c r="K1914" s="112" t="s">
        <v>1098</v>
      </c>
      <c r="L1914" s="116">
        <v>274.18</v>
      </c>
    </row>
    <row r="1915" spans="1:12" hidden="1" outlineLevel="1" collapsed="1" x14ac:dyDescent="0.35">
      <c r="A1915" s="112" t="s">
        <v>1814</v>
      </c>
      <c r="B1915" s="112" t="s">
        <v>905</v>
      </c>
      <c r="C1915" s="112" t="s">
        <v>1095</v>
      </c>
      <c r="D1915" s="113">
        <v>10348451</v>
      </c>
      <c r="E1915" s="115">
        <v>43949</v>
      </c>
      <c r="F1915" s="114">
        <v>202101</v>
      </c>
      <c r="G1915" s="112" t="s">
        <v>1091</v>
      </c>
      <c r="H1915" s="112" t="s">
        <v>1015</v>
      </c>
      <c r="I1915" s="112" t="s">
        <v>1096</v>
      </c>
      <c r="J1915" s="112" t="s">
        <v>1827</v>
      </c>
      <c r="K1915" s="112" t="s">
        <v>1098</v>
      </c>
      <c r="L1915" s="116">
        <v>132.54</v>
      </c>
    </row>
    <row r="1916" spans="1:12" hidden="1" outlineLevel="1" collapsed="1" x14ac:dyDescent="0.35">
      <c r="A1916" s="112" t="s">
        <v>1814</v>
      </c>
      <c r="B1916" s="112" t="s">
        <v>905</v>
      </c>
      <c r="C1916" s="112" t="s">
        <v>1095</v>
      </c>
      <c r="D1916" s="113">
        <v>10348451</v>
      </c>
      <c r="E1916" s="115">
        <v>43949</v>
      </c>
      <c r="F1916" s="114">
        <v>202101</v>
      </c>
      <c r="G1916" s="112" t="s">
        <v>1091</v>
      </c>
      <c r="H1916" s="112" t="s">
        <v>1015</v>
      </c>
      <c r="I1916" s="112" t="s">
        <v>1096</v>
      </c>
      <c r="J1916" s="112" t="s">
        <v>1827</v>
      </c>
      <c r="K1916" s="112" t="s">
        <v>1098</v>
      </c>
      <c r="L1916" s="116">
        <v>228.19</v>
      </c>
    </row>
    <row r="1917" spans="1:12" hidden="1" outlineLevel="1" collapsed="1" x14ac:dyDescent="0.35">
      <c r="A1917" s="112" t="s">
        <v>1814</v>
      </c>
      <c r="B1917" s="112" t="s">
        <v>905</v>
      </c>
      <c r="C1917" s="112" t="s">
        <v>1095</v>
      </c>
      <c r="D1917" s="113">
        <v>10348451</v>
      </c>
      <c r="E1917" s="115">
        <v>43949</v>
      </c>
      <c r="F1917" s="114">
        <v>202101</v>
      </c>
      <c r="G1917" s="112" t="s">
        <v>1091</v>
      </c>
      <c r="H1917" s="112" t="s">
        <v>1015</v>
      </c>
      <c r="I1917" s="112" t="s">
        <v>1101</v>
      </c>
      <c r="J1917" s="112" t="s">
        <v>1827</v>
      </c>
      <c r="K1917" s="112" t="s">
        <v>1098</v>
      </c>
      <c r="L1917" s="116">
        <v>386.46</v>
      </c>
    </row>
    <row r="1918" spans="1:12" hidden="1" outlineLevel="1" collapsed="1" x14ac:dyDescent="0.35">
      <c r="A1918" s="112" t="s">
        <v>1814</v>
      </c>
      <c r="B1918" s="112" t="s">
        <v>906</v>
      </c>
      <c r="C1918" s="112" t="s">
        <v>695</v>
      </c>
      <c r="D1918" s="113">
        <v>10348237</v>
      </c>
      <c r="E1918" s="115">
        <v>43936</v>
      </c>
      <c r="F1918" s="114">
        <v>202101</v>
      </c>
      <c r="G1918" s="112" t="s">
        <v>1091</v>
      </c>
      <c r="H1918" s="112" t="s">
        <v>1015</v>
      </c>
      <c r="I1918" s="112" t="s">
        <v>1102</v>
      </c>
      <c r="J1918" s="112" t="s">
        <v>1852</v>
      </c>
      <c r="K1918" s="112" t="s">
        <v>2134</v>
      </c>
      <c r="L1918" s="116">
        <v>10421.780000000001</v>
      </c>
    </row>
    <row r="1919" spans="1:12" hidden="1" outlineLevel="1" collapsed="1" x14ac:dyDescent="0.35">
      <c r="A1919" s="112" t="s">
        <v>1814</v>
      </c>
      <c r="B1919" s="112" t="s">
        <v>906</v>
      </c>
      <c r="C1919" s="112" t="s">
        <v>1106</v>
      </c>
      <c r="D1919" s="113">
        <v>3098849</v>
      </c>
      <c r="E1919" s="115">
        <v>43949</v>
      </c>
      <c r="F1919" s="114">
        <v>202101</v>
      </c>
      <c r="G1919" s="112" t="s">
        <v>1091</v>
      </c>
      <c r="H1919" s="112" t="s">
        <v>1015</v>
      </c>
      <c r="I1919" s="112" t="s">
        <v>2129</v>
      </c>
      <c r="J1919" s="112" t="s">
        <v>1815</v>
      </c>
      <c r="K1919" s="112" t="s">
        <v>2135</v>
      </c>
      <c r="L1919" s="116">
        <v>51.5</v>
      </c>
    </row>
    <row r="1920" spans="1:12" hidden="1" outlineLevel="1" collapsed="1" x14ac:dyDescent="0.35">
      <c r="A1920" s="112" t="s">
        <v>1814</v>
      </c>
      <c r="B1920" s="112" t="s">
        <v>905</v>
      </c>
      <c r="C1920" s="112" t="s">
        <v>1095</v>
      </c>
      <c r="D1920" s="113">
        <v>10348451</v>
      </c>
      <c r="E1920" s="115">
        <v>43949</v>
      </c>
      <c r="F1920" s="114">
        <v>202101</v>
      </c>
      <c r="G1920" s="112" t="s">
        <v>1091</v>
      </c>
      <c r="H1920" s="112" t="s">
        <v>1015</v>
      </c>
      <c r="I1920" s="112" t="s">
        <v>1096</v>
      </c>
      <c r="J1920" s="112" t="s">
        <v>1817</v>
      </c>
      <c r="K1920" s="112" t="s">
        <v>1098</v>
      </c>
      <c r="L1920" s="116">
        <v>310.49</v>
      </c>
    </row>
    <row r="1921" spans="1:12" hidden="1" outlineLevel="1" collapsed="1" x14ac:dyDescent="0.35">
      <c r="A1921" s="112" t="s">
        <v>1814</v>
      </c>
      <c r="B1921" s="112" t="s">
        <v>906</v>
      </c>
      <c r="C1921" s="112" t="s">
        <v>1106</v>
      </c>
      <c r="D1921" s="113">
        <v>3098850</v>
      </c>
      <c r="E1921" s="115">
        <v>43949</v>
      </c>
      <c r="F1921" s="114">
        <v>202101</v>
      </c>
      <c r="G1921" s="112" t="s">
        <v>1091</v>
      </c>
      <c r="H1921" s="112" t="s">
        <v>1015</v>
      </c>
      <c r="I1921" s="112" t="s">
        <v>2129</v>
      </c>
      <c r="J1921" s="112" t="s">
        <v>1815</v>
      </c>
      <c r="K1921" s="112" t="s">
        <v>2136</v>
      </c>
      <c r="L1921" s="116">
        <v>51.5</v>
      </c>
    </row>
    <row r="1922" spans="1:12" hidden="1" outlineLevel="1" collapsed="1" x14ac:dyDescent="0.35">
      <c r="A1922" s="112" t="s">
        <v>1814</v>
      </c>
      <c r="B1922" s="112" t="s">
        <v>906</v>
      </c>
      <c r="C1922" s="112" t="s">
        <v>1106</v>
      </c>
      <c r="D1922" s="113">
        <v>3098851</v>
      </c>
      <c r="E1922" s="115">
        <v>43949</v>
      </c>
      <c r="F1922" s="114">
        <v>202101</v>
      </c>
      <c r="G1922" s="112" t="s">
        <v>1091</v>
      </c>
      <c r="H1922" s="112" t="s">
        <v>1015</v>
      </c>
      <c r="I1922" s="112" t="s">
        <v>2129</v>
      </c>
      <c r="J1922" s="112" t="s">
        <v>1815</v>
      </c>
      <c r="K1922" s="112" t="s">
        <v>2137</v>
      </c>
      <c r="L1922" s="116">
        <v>51.5</v>
      </c>
    </row>
    <row r="1923" spans="1:12" hidden="1" outlineLevel="1" collapsed="1" x14ac:dyDescent="0.35">
      <c r="A1923" s="112" t="s">
        <v>1814</v>
      </c>
      <c r="B1923" s="112" t="s">
        <v>906</v>
      </c>
      <c r="C1923" s="112" t="s">
        <v>1106</v>
      </c>
      <c r="D1923" s="113">
        <v>3098852</v>
      </c>
      <c r="E1923" s="115">
        <v>43949</v>
      </c>
      <c r="F1923" s="114">
        <v>202101</v>
      </c>
      <c r="G1923" s="112" t="s">
        <v>1091</v>
      </c>
      <c r="H1923" s="112" t="s">
        <v>1015</v>
      </c>
      <c r="I1923" s="112" t="s">
        <v>2129</v>
      </c>
      <c r="J1923" s="112" t="s">
        <v>1815</v>
      </c>
      <c r="K1923" s="112" t="s">
        <v>2138</v>
      </c>
      <c r="L1923" s="116">
        <v>51.5</v>
      </c>
    </row>
    <row r="1924" spans="1:12" hidden="1" outlineLevel="1" collapsed="1" x14ac:dyDescent="0.35">
      <c r="A1924" s="112" t="s">
        <v>1814</v>
      </c>
      <c r="B1924" s="112" t="s">
        <v>905</v>
      </c>
      <c r="C1924" s="112" t="s">
        <v>1219</v>
      </c>
      <c r="D1924" s="113">
        <v>46307066</v>
      </c>
      <c r="E1924" s="115">
        <v>43935</v>
      </c>
      <c r="F1924" s="114">
        <v>202101</v>
      </c>
      <c r="G1924" s="112" t="s">
        <v>1091</v>
      </c>
      <c r="H1924" s="112" t="s">
        <v>1015</v>
      </c>
      <c r="I1924" s="112" t="s">
        <v>1950</v>
      </c>
      <c r="J1924" s="112" t="s">
        <v>1839</v>
      </c>
      <c r="K1924" s="112" t="s">
        <v>2139</v>
      </c>
      <c r="L1924" s="116">
        <v>1157.04</v>
      </c>
    </row>
    <row r="1925" spans="1:12" hidden="1" outlineLevel="1" collapsed="1" x14ac:dyDescent="0.35">
      <c r="A1925" s="112" t="s">
        <v>1814</v>
      </c>
      <c r="B1925" s="112" t="s">
        <v>906</v>
      </c>
      <c r="C1925" s="112" t="s">
        <v>1106</v>
      </c>
      <c r="D1925" s="113">
        <v>3098846</v>
      </c>
      <c r="E1925" s="115">
        <v>43949</v>
      </c>
      <c r="F1925" s="114">
        <v>202101</v>
      </c>
      <c r="G1925" s="112" t="s">
        <v>1091</v>
      </c>
      <c r="H1925" s="112" t="s">
        <v>1015</v>
      </c>
      <c r="I1925" s="112" t="s">
        <v>2129</v>
      </c>
      <c r="J1925" s="112" t="s">
        <v>1815</v>
      </c>
      <c r="K1925" s="112" t="s">
        <v>2140</v>
      </c>
      <c r="L1925" s="116">
        <v>51.5</v>
      </c>
    </row>
    <row r="1926" spans="1:12" hidden="1" outlineLevel="1" collapsed="1" x14ac:dyDescent="0.35">
      <c r="A1926" s="112" t="s">
        <v>1814</v>
      </c>
      <c r="B1926" s="112" t="s">
        <v>905</v>
      </c>
      <c r="C1926" s="112" t="s">
        <v>1095</v>
      </c>
      <c r="D1926" s="113">
        <v>10348451</v>
      </c>
      <c r="E1926" s="115">
        <v>43949</v>
      </c>
      <c r="F1926" s="114">
        <v>202101</v>
      </c>
      <c r="G1926" s="112" t="s">
        <v>1091</v>
      </c>
      <c r="H1926" s="112" t="s">
        <v>1015</v>
      </c>
      <c r="I1926" s="112" t="s">
        <v>1096</v>
      </c>
      <c r="J1926" s="112" t="s">
        <v>1817</v>
      </c>
      <c r="K1926" s="112" t="s">
        <v>1098</v>
      </c>
      <c r="L1926" s="116">
        <v>366.99</v>
      </c>
    </row>
    <row r="1927" spans="1:12" hidden="1" outlineLevel="1" collapsed="1" x14ac:dyDescent="0.35">
      <c r="A1927" s="112" t="s">
        <v>1814</v>
      </c>
      <c r="B1927" s="112" t="s">
        <v>906</v>
      </c>
      <c r="C1927" s="112" t="s">
        <v>1106</v>
      </c>
      <c r="D1927" s="113">
        <v>3098847</v>
      </c>
      <c r="E1927" s="115">
        <v>43949</v>
      </c>
      <c r="F1927" s="114">
        <v>202101</v>
      </c>
      <c r="G1927" s="112" t="s">
        <v>1091</v>
      </c>
      <c r="H1927" s="112" t="s">
        <v>1015</v>
      </c>
      <c r="I1927" s="112" t="s">
        <v>2129</v>
      </c>
      <c r="J1927" s="112" t="s">
        <v>1815</v>
      </c>
      <c r="K1927" s="112" t="s">
        <v>2141</v>
      </c>
      <c r="L1927" s="116">
        <v>51.5</v>
      </c>
    </row>
    <row r="1928" spans="1:12" hidden="1" outlineLevel="1" collapsed="1" x14ac:dyDescent="0.35">
      <c r="A1928" s="112" t="s">
        <v>1814</v>
      </c>
      <c r="B1928" s="112" t="s">
        <v>906</v>
      </c>
      <c r="C1928" s="112" t="s">
        <v>1106</v>
      </c>
      <c r="D1928" s="113">
        <v>3098848</v>
      </c>
      <c r="E1928" s="115">
        <v>43949</v>
      </c>
      <c r="F1928" s="114">
        <v>202101</v>
      </c>
      <c r="G1928" s="112" t="s">
        <v>1091</v>
      </c>
      <c r="H1928" s="112" t="s">
        <v>1015</v>
      </c>
      <c r="I1928" s="112" t="s">
        <v>2129</v>
      </c>
      <c r="J1928" s="112" t="s">
        <v>1815</v>
      </c>
      <c r="K1928" s="112" t="s">
        <v>2142</v>
      </c>
      <c r="L1928" s="116">
        <v>51.5</v>
      </c>
    </row>
    <row r="1929" spans="1:12" hidden="1" outlineLevel="1" collapsed="1" x14ac:dyDescent="0.35">
      <c r="A1929" s="112" t="s">
        <v>1814</v>
      </c>
      <c r="B1929" s="112" t="s">
        <v>906</v>
      </c>
      <c r="C1929" s="112" t="s">
        <v>1106</v>
      </c>
      <c r="D1929" s="113">
        <v>3099036</v>
      </c>
      <c r="E1929" s="115">
        <v>43949</v>
      </c>
      <c r="F1929" s="114">
        <v>202101</v>
      </c>
      <c r="G1929" s="112" t="s">
        <v>1091</v>
      </c>
      <c r="H1929" s="112" t="s">
        <v>1015</v>
      </c>
      <c r="I1929" s="112" t="s">
        <v>2129</v>
      </c>
      <c r="J1929" s="112" t="s">
        <v>1815</v>
      </c>
      <c r="K1929" s="112" t="s">
        <v>2143</v>
      </c>
      <c r="L1929" s="116">
        <v>51.5</v>
      </c>
    </row>
    <row r="1930" spans="1:12" hidden="1" outlineLevel="1" collapsed="1" x14ac:dyDescent="0.35">
      <c r="A1930" s="112" t="s">
        <v>1814</v>
      </c>
      <c r="B1930" s="112" t="s">
        <v>906</v>
      </c>
      <c r="C1930" s="112" t="s">
        <v>1106</v>
      </c>
      <c r="D1930" s="113">
        <v>3099037</v>
      </c>
      <c r="E1930" s="115">
        <v>43949</v>
      </c>
      <c r="F1930" s="114">
        <v>202101</v>
      </c>
      <c r="G1930" s="112" t="s">
        <v>1091</v>
      </c>
      <c r="H1930" s="112" t="s">
        <v>1015</v>
      </c>
      <c r="I1930" s="112" t="s">
        <v>2129</v>
      </c>
      <c r="J1930" s="112" t="s">
        <v>1815</v>
      </c>
      <c r="K1930" s="112" t="s">
        <v>2144</v>
      </c>
      <c r="L1930" s="116">
        <v>51.5</v>
      </c>
    </row>
    <row r="1931" spans="1:12" hidden="1" outlineLevel="1" collapsed="1" x14ac:dyDescent="0.35">
      <c r="A1931" s="112" t="s">
        <v>1814</v>
      </c>
      <c r="B1931" s="112" t="s">
        <v>906</v>
      </c>
      <c r="C1931" s="112" t="s">
        <v>1106</v>
      </c>
      <c r="D1931" s="113">
        <v>3098757</v>
      </c>
      <c r="E1931" s="115">
        <v>43949</v>
      </c>
      <c r="F1931" s="114">
        <v>202101</v>
      </c>
      <c r="G1931" s="112" t="s">
        <v>1091</v>
      </c>
      <c r="H1931" s="112" t="s">
        <v>1015</v>
      </c>
      <c r="I1931" s="112" t="s">
        <v>1894</v>
      </c>
      <c r="J1931" s="112" t="s">
        <v>1815</v>
      </c>
      <c r="K1931" s="112" t="s">
        <v>2145</v>
      </c>
      <c r="L1931" s="116">
        <v>1067.95</v>
      </c>
    </row>
    <row r="1932" spans="1:12" hidden="1" outlineLevel="1" collapsed="1" x14ac:dyDescent="0.35">
      <c r="A1932" s="112" t="s">
        <v>1814</v>
      </c>
      <c r="B1932" s="112" t="s">
        <v>906</v>
      </c>
      <c r="C1932" s="112" t="s">
        <v>1106</v>
      </c>
      <c r="D1932" s="113">
        <v>3099033</v>
      </c>
      <c r="E1932" s="115">
        <v>43949</v>
      </c>
      <c r="F1932" s="114">
        <v>202101</v>
      </c>
      <c r="G1932" s="112" t="s">
        <v>1091</v>
      </c>
      <c r="H1932" s="112" t="s">
        <v>1015</v>
      </c>
      <c r="I1932" s="112" t="s">
        <v>2129</v>
      </c>
      <c r="J1932" s="112" t="s">
        <v>1815</v>
      </c>
      <c r="K1932" s="112" t="s">
        <v>2146</v>
      </c>
      <c r="L1932" s="116">
        <v>51.5</v>
      </c>
    </row>
    <row r="1933" spans="1:12" hidden="1" outlineLevel="1" collapsed="1" x14ac:dyDescent="0.35">
      <c r="A1933" s="112" t="s">
        <v>1814</v>
      </c>
      <c r="B1933" s="112" t="s">
        <v>906</v>
      </c>
      <c r="C1933" s="112" t="s">
        <v>1106</v>
      </c>
      <c r="D1933" s="113">
        <v>3099034</v>
      </c>
      <c r="E1933" s="115">
        <v>43949</v>
      </c>
      <c r="F1933" s="114">
        <v>202101</v>
      </c>
      <c r="G1933" s="112" t="s">
        <v>1091</v>
      </c>
      <c r="H1933" s="112" t="s">
        <v>1015</v>
      </c>
      <c r="I1933" s="112" t="s">
        <v>2129</v>
      </c>
      <c r="J1933" s="112" t="s">
        <v>1815</v>
      </c>
      <c r="K1933" s="112" t="s">
        <v>2147</v>
      </c>
      <c r="L1933" s="116">
        <v>51.5</v>
      </c>
    </row>
    <row r="1934" spans="1:12" hidden="1" outlineLevel="1" collapsed="1" x14ac:dyDescent="0.35">
      <c r="A1934" s="112" t="s">
        <v>1814</v>
      </c>
      <c r="B1934" s="112" t="s">
        <v>906</v>
      </c>
      <c r="C1934" s="112" t="s">
        <v>1106</v>
      </c>
      <c r="D1934" s="113">
        <v>3099035</v>
      </c>
      <c r="E1934" s="115">
        <v>43949</v>
      </c>
      <c r="F1934" s="114">
        <v>202101</v>
      </c>
      <c r="G1934" s="112" t="s">
        <v>1091</v>
      </c>
      <c r="H1934" s="112" t="s">
        <v>1015</v>
      </c>
      <c r="I1934" s="112" t="s">
        <v>2129</v>
      </c>
      <c r="J1934" s="112" t="s">
        <v>1815</v>
      </c>
      <c r="K1934" s="112" t="s">
        <v>2148</v>
      </c>
      <c r="L1934" s="116">
        <v>51.5</v>
      </c>
    </row>
    <row r="1935" spans="1:12" hidden="1" outlineLevel="1" collapsed="1" x14ac:dyDescent="0.35">
      <c r="A1935" s="112" t="s">
        <v>1814</v>
      </c>
      <c r="B1935" s="112" t="s">
        <v>906</v>
      </c>
      <c r="C1935" s="112" t="s">
        <v>1099</v>
      </c>
      <c r="D1935" s="113">
        <v>1069723</v>
      </c>
      <c r="E1935" s="115">
        <v>43843</v>
      </c>
      <c r="F1935" s="114">
        <v>202101</v>
      </c>
      <c r="G1935" s="112" t="s">
        <v>1091</v>
      </c>
      <c r="H1935" s="112" t="s">
        <v>1015</v>
      </c>
      <c r="I1935" s="112" t="s">
        <v>761</v>
      </c>
      <c r="J1935" s="112" t="s">
        <v>1815</v>
      </c>
      <c r="K1935" s="112" t="s">
        <v>2149</v>
      </c>
      <c r="L1935" s="116">
        <v>975</v>
      </c>
    </row>
    <row r="1936" spans="1:12" hidden="1" outlineLevel="1" collapsed="1" x14ac:dyDescent="0.35">
      <c r="A1936" s="112" t="s">
        <v>1814</v>
      </c>
      <c r="B1936" s="112" t="s">
        <v>905</v>
      </c>
      <c r="C1936" s="112" t="s">
        <v>1099</v>
      </c>
      <c r="D1936" s="113">
        <v>1069701</v>
      </c>
      <c r="E1936" s="115">
        <v>43928</v>
      </c>
      <c r="F1936" s="114">
        <v>202101</v>
      </c>
      <c r="G1936" s="112" t="s">
        <v>1091</v>
      </c>
      <c r="H1936" s="112" t="s">
        <v>1015</v>
      </c>
      <c r="I1936" s="112" t="s">
        <v>761</v>
      </c>
      <c r="J1936" s="112" t="s">
        <v>1842</v>
      </c>
      <c r="K1936" s="112" t="s">
        <v>2150</v>
      </c>
      <c r="L1936" s="116">
        <v>675</v>
      </c>
    </row>
    <row r="1937" spans="1:12" hidden="1" outlineLevel="1" collapsed="1" x14ac:dyDescent="0.35">
      <c r="A1937" s="112" t="s">
        <v>1814</v>
      </c>
      <c r="B1937" s="112" t="s">
        <v>905</v>
      </c>
      <c r="C1937" s="112" t="s">
        <v>1095</v>
      </c>
      <c r="D1937" s="113">
        <v>10348451</v>
      </c>
      <c r="E1937" s="115">
        <v>43949</v>
      </c>
      <c r="F1937" s="114">
        <v>202101</v>
      </c>
      <c r="G1937" s="112" t="s">
        <v>1091</v>
      </c>
      <c r="H1937" s="112" t="s">
        <v>1015</v>
      </c>
      <c r="I1937" s="112" t="s">
        <v>1096</v>
      </c>
      <c r="J1937" s="112" t="s">
        <v>1827</v>
      </c>
      <c r="K1937" s="112" t="s">
        <v>1098</v>
      </c>
      <c r="L1937" s="116">
        <v>310.49</v>
      </c>
    </row>
    <row r="1938" spans="1:12" hidden="1" outlineLevel="1" collapsed="1" x14ac:dyDescent="0.35">
      <c r="A1938" s="112" t="s">
        <v>1814</v>
      </c>
      <c r="B1938" s="112" t="s">
        <v>905</v>
      </c>
      <c r="C1938" s="112" t="s">
        <v>1219</v>
      </c>
      <c r="D1938" s="113">
        <v>46308048</v>
      </c>
      <c r="E1938" s="115">
        <v>43949</v>
      </c>
      <c r="F1938" s="114">
        <v>202101</v>
      </c>
      <c r="G1938" s="112" t="s">
        <v>1091</v>
      </c>
      <c r="H1938" s="112" t="s">
        <v>1015</v>
      </c>
      <c r="I1938" s="112" t="s">
        <v>1952</v>
      </c>
      <c r="J1938" s="112" t="s">
        <v>1817</v>
      </c>
      <c r="K1938" s="112" t="s">
        <v>2151</v>
      </c>
      <c r="L1938" s="116">
        <v>1582.08</v>
      </c>
    </row>
    <row r="1939" spans="1:12" hidden="1" outlineLevel="1" collapsed="1" x14ac:dyDescent="0.35">
      <c r="A1939" s="112" t="s">
        <v>1814</v>
      </c>
      <c r="B1939" s="112" t="s">
        <v>905</v>
      </c>
      <c r="C1939" s="112" t="s">
        <v>1219</v>
      </c>
      <c r="D1939" s="113">
        <v>46308049</v>
      </c>
      <c r="E1939" s="115">
        <v>43949</v>
      </c>
      <c r="F1939" s="114">
        <v>202101</v>
      </c>
      <c r="G1939" s="112" t="s">
        <v>1091</v>
      </c>
      <c r="H1939" s="112" t="s">
        <v>1015</v>
      </c>
      <c r="I1939" s="112" t="s">
        <v>2152</v>
      </c>
      <c r="J1939" s="112" t="s">
        <v>1817</v>
      </c>
      <c r="K1939" s="112" t="s">
        <v>2153</v>
      </c>
      <c r="L1939" s="116">
        <v>1590</v>
      </c>
    </row>
    <row r="1940" spans="1:12" hidden="1" outlineLevel="1" collapsed="1" x14ac:dyDescent="0.35">
      <c r="A1940" s="112" t="s">
        <v>1814</v>
      </c>
      <c r="B1940" s="112" t="s">
        <v>905</v>
      </c>
      <c r="C1940" s="112" t="s">
        <v>1219</v>
      </c>
      <c r="D1940" s="113">
        <v>46308050</v>
      </c>
      <c r="E1940" s="115">
        <v>43949</v>
      </c>
      <c r="F1940" s="114">
        <v>202101</v>
      </c>
      <c r="G1940" s="112" t="s">
        <v>1091</v>
      </c>
      <c r="H1940" s="112" t="s">
        <v>1015</v>
      </c>
      <c r="I1940" s="112" t="s">
        <v>1952</v>
      </c>
      <c r="J1940" s="112" t="s">
        <v>1817</v>
      </c>
      <c r="K1940" s="112" t="s">
        <v>2154</v>
      </c>
      <c r="L1940" s="116">
        <v>1590</v>
      </c>
    </row>
    <row r="1941" spans="1:12" hidden="1" outlineLevel="1" collapsed="1" x14ac:dyDescent="0.35">
      <c r="A1941" s="112" t="s">
        <v>1814</v>
      </c>
      <c r="B1941" s="112" t="s">
        <v>905</v>
      </c>
      <c r="C1941" s="112" t="s">
        <v>1095</v>
      </c>
      <c r="D1941" s="113">
        <v>10348451</v>
      </c>
      <c r="E1941" s="115">
        <v>43949</v>
      </c>
      <c r="F1941" s="114">
        <v>202101</v>
      </c>
      <c r="G1941" s="112" t="s">
        <v>1091</v>
      </c>
      <c r="H1941" s="112" t="s">
        <v>1015</v>
      </c>
      <c r="I1941" s="112" t="s">
        <v>1096</v>
      </c>
      <c r="J1941" s="112" t="s">
        <v>1817</v>
      </c>
      <c r="K1941" s="112" t="s">
        <v>1098</v>
      </c>
      <c r="L1941" s="116">
        <v>232.64</v>
      </c>
    </row>
    <row r="1942" spans="1:12" hidden="1" outlineLevel="1" collapsed="1" x14ac:dyDescent="0.35">
      <c r="A1942" s="112" t="s">
        <v>1814</v>
      </c>
      <c r="B1942" s="112" t="s">
        <v>905</v>
      </c>
      <c r="C1942" s="112" t="s">
        <v>1219</v>
      </c>
      <c r="D1942" s="113">
        <v>46307065</v>
      </c>
      <c r="E1942" s="115">
        <v>43935</v>
      </c>
      <c r="F1942" s="114">
        <v>202101</v>
      </c>
      <c r="G1942" s="112" t="s">
        <v>1091</v>
      </c>
      <c r="H1942" s="112" t="s">
        <v>1015</v>
      </c>
      <c r="I1942" s="112" t="s">
        <v>1950</v>
      </c>
      <c r="J1942" s="112" t="s">
        <v>1839</v>
      </c>
      <c r="K1942" s="112" t="s">
        <v>2155</v>
      </c>
      <c r="L1942" s="116">
        <v>49143.9</v>
      </c>
    </row>
    <row r="1943" spans="1:12" hidden="1" outlineLevel="1" collapsed="1" x14ac:dyDescent="0.35">
      <c r="A1943" s="112" t="s">
        <v>1814</v>
      </c>
      <c r="B1943" s="112" t="s">
        <v>905</v>
      </c>
      <c r="C1943" s="112" t="s">
        <v>1099</v>
      </c>
      <c r="D1943" s="113">
        <v>1069570</v>
      </c>
      <c r="E1943" s="115">
        <v>43928</v>
      </c>
      <c r="F1943" s="114">
        <v>202101</v>
      </c>
      <c r="G1943" s="112" t="s">
        <v>1091</v>
      </c>
      <c r="H1943" s="112" t="s">
        <v>1015</v>
      </c>
      <c r="I1943" s="112" t="s">
        <v>1153</v>
      </c>
      <c r="J1943" s="112" t="s">
        <v>1842</v>
      </c>
      <c r="K1943" s="112" t="s">
        <v>2156</v>
      </c>
      <c r="L1943" s="116">
        <v>1750</v>
      </c>
    </row>
    <row r="1944" spans="1:12" hidden="1" outlineLevel="1" collapsed="1" x14ac:dyDescent="0.35">
      <c r="A1944" s="112" t="s">
        <v>1814</v>
      </c>
      <c r="B1944" s="112" t="s">
        <v>905</v>
      </c>
      <c r="C1944" s="112" t="s">
        <v>679</v>
      </c>
      <c r="D1944" s="113">
        <v>10347962</v>
      </c>
      <c r="E1944" s="115">
        <v>43923</v>
      </c>
      <c r="F1944" s="114">
        <v>202101</v>
      </c>
      <c r="G1944" s="112" t="s">
        <v>1091</v>
      </c>
      <c r="H1944" s="112" t="s">
        <v>1016</v>
      </c>
      <c r="I1944" s="112" t="s">
        <v>1845</v>
      </c>
      <c r="J1944" s="112" t="s">
        <v>1817</v>
      </c>
      <c r="K1944" s="112" t="s">
        <v>2157</v>
      </c>
      <c r="L1944" s="116">
        <v>-50</v>
      </c>
    </row>
    <row r="1945" spans="1:12" hidden="1" outlineLevel="1" collapsed="1" x14ac:dyDescent="0.35">
      <c r="A1945" s="112" t="s">
        <v>1814</v>
      </c>
      <c r="B1945" s="112" t="s">
        <v>905</v>
      </c>
      <c r="C1945" s="112" t="s">
        <v>1511</v>
      </c>
      <c r="D1945" s="113">
        <v>47036483</v>
      </c>
      <c r="E1945" s="115">
        <v>43914</v>
      </c>
      <c r="F1945" s="114">
        <v>202101</v>
      </c>
      <c r="G1945" s="112" t="s">
        <v>1091</v>
      </c>
      <c r="H1945" s="112" t="s">
        <v>1015</v>
      </c>
      <c r="I1945" s="112" t="s">
        <v>757</v>
      </c>
      <c r="J1945" s="112" t="s">
        <v>1839</v>
      </c>
      <c r="K1945" s="112" t="s">
        <v>2158</v>
      </c>
      <c r="L1945" s="116">
        <v>546.22</v>
      </c>
    </row>
    <row r="1946" spans="1:12" hidden="1" outlineLevel="1" collapsed="1" x14ac:dyDescent="0.35">
      <c r="A1946" s="112" t="s">
        <v>1814</v>
      </c>
      <c r="B1946" s="112" t="s">
        <v>905</v>
      </c>
      <c r="C1946" s="112" t="s">
        <v>1511</v>
      </c>
      <c r="D1946" s="113">
        <v>47036482</v>
      </c>
      <c r="E1946" s="115">
        <v>43914</v>
      </c>
      <c r="F1946" s="114">
        <v>202101</v>
      </c>
      <c r="G1946" s="112" t="s">
        <v>1091</v>
      </c>
      <c r="H1946" s="112" t="s">
        <v>1015</v>
      </c>
      <c r="I1946" s="112" t="s">
        <v>757</v>
      </c>
      <c r="J1946" s="112" t="s">
        <v>1839</v>
      </c>
      <c r="K1946" s="112" t="s">
        <v>2159</v>
      </c>
      <c r="L1946" s="116">
        <v>382.68</v>
      </c>
    </row>
    <row r="1947" spans="1:12" hidden="1" outlineLevel="1" collapsed="1" x14ac:dyDescent="0.35">
      <c r="A1947" s="112" t="s">
        <v>1814</v>
      </c>
      <c r="B1947" s="112" t="s">
        <v>905</v>
      </c>
      <c r="C1947" s="112" t="s">
        <v>1511</v>
      </c>
      <c r="D1947" s="113">
        <v>47036481</v>
      </c>
      <c r="E1947" s="115">
        <v>43914</v>
      </c>
      <c r="F1947" s="114">
        <v>202101</v>
      </c>
      <c r="G1947" s="112" t="s">
        <v>1091</v>
      </c>
      <c r="H1947" s="112" t="s">
        <v>1015</v>
      </c>
      <c r="I1947" s="112" t="s">
        <v>757</v>
      </c>
      <c r="J1947" s="112" t="s">
        <v>1839</v>
      </c>
      <c r="K1947" s="112" t="s">
        <v>2160</v>
      </c>
      <c r="L1947" s="116">
        <v>382.68</v>
      </c>
    </row>
    <row r="1948" spans="1:12" hidden="1" outlineLevel="1" collapsed="1" x14ac:dyDescent="0.35">
      <c r="A1948" s="112" t="s">
        <v>1814</v>
      </c>
      <c r="B1948" s="112" t="s">
        <v>905</v>
      </c>
      <c r="C1948" s="112" t="s">
        <v>1511</v>
      </c>
      <c r="D1948" s="113">
        <v>47036480</v>
      </c>
      <c r="E1948" s="115">
        <v>43914</v>
      </c>
      <c r="F1948" s="114">
        <v>202101</v>
      </c>
      <c r="G1948" s="112" t="s">
        <v>1091</v>
      </c>
      <c r="H1948" s="112" t="s">
        <v>1015</v>
      </c>
      <c r="I1948" s="112" t="s">
        <v>757</v>
      </c>
      <c r="J1948" s="112" t="s">
        <v>1839</v>
      </c>
      <c r="K1948" s="112" t="s">
        <v>2161</v>
      </c>
      <c r="L1948" s="116">
        <v>382.68</v>
      </c>
    </row>
    <row r="1949" spans="1:12" hidden="1" outlineLevel="1" collapsed="1" x14ac:dyDescent="0.35">
      <c r="A1949" s="112" t="s">
        <v>1814</v>
      </c>
      <c r="B1949" s="112" t="s">
        <v>906</v>
      </c>
      <c r="C1949" s="112" t="s">
        <v>1511</v>
      </c>
      <c r="D1949" s="113">
        <v>47036484</v>
      </c>
      <c r="E1949" s="115">
        <v>43923</v>
      </c>
      <c r="F1949" s="114">
        <v>202101</v>
      </c>
      <c r="G1949" s="112" t="s">
        <v>1091</v>
      </c>
      <c r="H1949" s="112" t="s">
        <v>1015</v>
      </c>
      <c r="I1949" s="112" t="s">
        <v>749</v>
      </c>
      <c r="J1949" s="112" t="s">
        <v>1815</v>
      </c>
      <c r="K1949" s="112" t="s">
        <v>2162</v>
      </c>
      <c r="L1949" s="116">
        <v>379.75</v>
      </c>
    </row>
    <row r="1950" spans="1:12" hidden="1" outlineLevel="1" collapsed="1" x14ac:dyDescent="0.35">
      <c r="A1950" s="112" t="s">
        <v>1814</v>
      </c>
      <c r="B1950" s="112" t="s">
        <v>905</v>
      </c>
      <c r="C1950" s="112" t="s">
        <v>1219</v>
      </c>
      <c r="D1950" s="113">
        <v>46307050</v>
      </c>
      <c r="E1950" s="115">
        <v>43935</v>
      </c>
      <c r="F1950" s="114">
        <v>202101</v>
      </c>
      <c r="G1950" s="112" t="s">
        <v>1091</v>
      </c>
      <c r="H1950" s="112" t="s">
        <v>1015</v>
      </c>
      <c r="I1950" s="112" t="s">
        <v>1950</v>
      </c>
      <c r="J1950" s="112" t="s">
        <v>1839</v>
      </c>
      <c r="K1950" s="112" t="s">
        <v>2163</v>
      </c>
      <c r="L1950" s="116">
        <v>-439.34</v>
      </c>
    </row>
    <row r="1951" spans="1:12" hidden="1" outlineLevel="1" collapsed="1" x14ac:dyDescent="0.35">
      <c r="A1951" s="112" t="s">
        <v>1814</v>
      </c>
      <c r="B1951" s="112" t="s">
        <v>905</v>
      </c>
      <c r="C1951" s="112" t="s">
        <v>1219</v>
      </c>
      <c r="D1951" s="113">
        <v>46307051</v>
      </c>
      <c r="E1951" s="115">
        <v>43935</v>
      </c>
      <c r="F1951" s="114">
        <v>202101</v>
      </c>
      <c r="G1951" s="112" t="s">
        <v>1091</v>
      </c>
      <c r="H1951" s="112" t="s">
        <v>1015</v>
      </c>
      <c r="I1951" s="112" t="s">
        <v>1950</v>
      </c>
      <c r="J1951" s="112" t="s">
        <v>1839</v>
      </c>
      <c r="K1951" s="112" t="s">
        <v>2164</v>
      </c>
      <c r="L1951" s="116">
        <v>878.68</v>
      </c>
    </row>
    <row r="1952" spans="1:12" hidden="1" outlineLevel="1" collapsed="1" x14ac:dyDescent="0.35">
      <c r="A1952" s="112" t="s">
        <v>1814</v>
      </c>
      <c r="B1952" s="112" t="s">
        <v>905</v>
      </c>
      <c r="C1952" s="112" t="s">
        <v>1219</v>
      </c>
      <c r="D1952" s="113">
        <v>46307052</v>
      </c>
      <c r="E1952" s="115">
        <v>43935</v>
      </c>
      <c r="F1952" s="114">
        <v>202101</v>
      </c>
      <c r="G1952" s="112" t="s">
        <v>1091</v>
      </c>
      <c r="H1952" s="112" t="s">
        <v>1015</v>
      </c>
      <c r="I1952" s="112" t="s">
        <v>1950</v>
      </c>
      <c r="J1952" s="112" t="s">
        <v>1839</v>
      </c>
      <c r="K1952" s="112" t="s">
        <v>2165</v>
      </c>
      <c r="L1952" s="116">
        <v>-1874.52</v>
      </c>
    </row>
    <row r="1953" spans="1:12" hidden="1" outlineLevel="1" collapsed="1" x14ac:dyDescent="0.35">
      <c r="A1953" s="112" t="s">
        <v>1814</v>
      </c>
      <c r="B1953" s="112" t="s">
        <v>906</v>
      </c>
      <c r="C1953" s="112" t="s">
        <v>1106</v>
      </c>
      <c r="D1953" s="113">
        <v>3098344</v>
      </c>
      <c r="E1953" s="115">
        <v>43935</v>
      </c>
      <c r="F1953" s="114">
        <v>202101</v>
      </c>
      <c r="G1953" s="112" t="s">
        <v>1091</v>
      </c>
      <c r="H1953" s="112" t="s">
        <v>1015</v>
      </c>
      <c r="I1953" s="112" t="s">
        <v>1820</v>
      </c>
      <c r="J1953" s="112" t="s">
        <v>1815</v>
      </c>
      <c r="K1953" s="112" t="s">
        <v>2166</v>
      </c>
      <c r="L1953" s="116">
        <v>105.17</v>
      </c>
    </row>
    <row r="1954" spans="1:12" hidden="1" outlineLevel="1" collapsed="1" x14ac:dyDescent="0.35">
      <c r="A1954" s="112" t="s">
        <v>1814</v>
      </c>
      <c r="B1954" s="112" t="s">
        <v>906</v>
      </c>
      <c r="C1954" s="112" t="s">
        <v>1106</v>
      </c>
      <c r="D1954" s="113">
        <v>3098085</v>
      </c>
      <c r="E1954" s="115">
        <v>43935</v>
      </c>
      <c r="F1954" s="114">
        <v>202101</v>
      </c>
      <c r="G1954" s="112" t="s">
        <v>1091</v>
      </c>
      <c r="H1954" s="112" t="s">
        <v>1015</v>
      </c>
      <c r="I1954" s="112" t="s">
        <v>1820</v>
      </c>
      <c r="J1954" s="112" t="s">
        <v>1815</v>
      </c>
      <c r="K1954" s="112" t="s">
        <v>2167</v>
      </c>
      <c r="L1954" s="116">
        <v>167.54</v>
      </c>
    </row>
    <row r="1955" spans="1:12" hidden="1" outlineLevel="1" collapsed="1" x14ac:dyDescent="0.35">
      <c r="A1955" s="112" t="s">
        <v>1814</v>
      </c>
      <c r="B1955" s="112" t="s">
        <v>906</v>
      </c>
      <c r="C1955" s="112" t="s">
        <v>1106</v>
      </c>
      <c r="D1955" s="113">
        <v>3098086</v>
      </c>
      <c r="E1955" s="115">
        <v>43935</v>
      </c>
      <c r="F1955" s="114">
        <v>202101</v>
      </c>
      <c r="G1955" s="112" t="s">
        <v>1091</v>
      </c>
      <c r="H1955" s="112" t="s">
        <v>1015</v>
      </c>
      <c r="I1955" s="112" t="s">
        <v>1820</v>
      </c>
      <c r="J1955" s="112" t="s">
        <v>1815</v>
      </c>
      <c r="K1955" s="112" t="s">
        <v>2168</v>
      </c>
      <c r="L1955" s="116">
        <v>502.59</v>
      </c>
    </row>
    <row r="1956" spans="1:12" hidden="1" outlineLevel="1" collapsed="1" x14ac:dyDescent="0.35">
      <c r="A1956" s="112" t="s">
        <v>1814</v>
      </c>
      <c r="B1956" s="112" t="s">
        <v>906</v>
      </c>
      <c r="C1956" s="112" t="s">
        <v>1106</v>
      </c>
      <c r="D1956" s="113">
        <v>3098184</v>
      </c>
      <c r="E1956" s="115">
        <v>43935</v>
      </c>
      <c r="F1956" s="114">
        <v>202101</v>
      </c>
      <c r="G1956" s="112" t="s">
        <v>1091</v>
      </c>
      <c r="H1956" s="112" t="s">
        <v>1015</v>
      </c>
      <c r="I1956" s="112" t="s">
        <v>1820</v>
      </c>
      <c r="J1956" s="112" t="s">
        <v>1815</v>
      </c>
      <c r="K1956" s="112" t="s">
        <v>2169</v>
      </c>
      <c r="L1956" s="116">
        <v>62.41</v>
      </c>
    </row>
    <row r="1957" spans="1:12" hidden="1" outlineLevel="1" collapsed="1" x14ac:dyDescent="0.35">
      <c r="A1957" s="112" t="s">
        <v>1814</v>
      </c>
      <c r="B1957" s="112" t="s">
        <v>906</v>
      </c>
      <c r="C1957" s="112" t="s">
        <v>1106</v>
      </c>
      <c r="D1957" s="113">
        <v>3098185</v>
      </c>
      <c r="E1957" s="115">
        <v>43935</v>
      </c>
      <c r="F1957" s="114">
        <v>202101</v>
      </c>
      <c r="G1957" s="112" t="s">
        <v>1091</v>
      </c>
      <c r="H1957" s="112" t="s">
        <v>1015</v>
      </c>
      <c r="I1957" s="112" t="s">
        <v>1820</v>
      </c>
      <c r="J1957" s="112" t="s">
        <v>1815</v>
      </c>
      <c r="K1957" s="112" t="s">
        <v>2170</v>
      </c>
      <c r="L1957" s="116">
        <v>777.52</v>
      </c>
    </row>
    <row r="1958" spans="1:12" hidden="1" outlineLevel="1" collapsed="1" x14ac:dyDescent="0.35">
      <c r="A1958" s="112" t="s">
        <v>1814</v>
      </c>
      <c r="B1958" s="112" t="s">
        <v>906</v>
      </c>
      <c r="C1958" s="112" t="s">
        <v>1106</v>
      </c>
      <c r="D1958" s="113">
        <v>3098122</v>
      </c>
      <c r="E1958" s="115">
        <v>43935</v>
      </c>
      <c r="F1958" s="114">
        <v>202101</v>
      </c>
      <c r="G1958" s="112" t="s">
        <v>1091</v>
      </c>
      <c r="H1958" s="112" t="s">
        <v>1015</v>
      </c>
      <c r="I1958" s="112" t="s">
        <v>1820</v>
      </c>
      <c r="J1958" s="112" t="s">
        <v>1815</v>
      </c>
      <c r="K1958" s="112" t="s">
        <v>2171</v>
      </c>
      <c r="L1958" s="116">
        <v>213.9</v>
      </c>
    </row>
    <row r="1959" spans="1:12" hidden="1" outlineLevel="1" collapsed="1" x14ac:dyDescent="0.35">
      <c r="A1959" s="112" t="s">
        <v>1814</v>
      </c>
      <c r="B1959" s="112" t="s">
        <v>906</v>
      </c>
      <c r="C1959" s="112" t="s">
        <v>1106</v>
      </c>
      <c r="D1959" s="113">
        <v>3098094</v>
      </c>
      <c r="E1959" s="115">
        <v>43935</v>
      </c>
      <c r="F1959" s="114">
        <v>202101</v>
      </c>
      <c r="G1959" s="112" t="s">
        <v>1091</v>
      </c>
      <c r="H1959" s="112" t="s">
        <v>1015</v>
      </c>
      <c r="I1959" s="112" t="s">
        <v>1820</v>
      </c>
      <c r="J1959" s="112" t="s">
        <v>1815</v>
      </c>
      <c r="K1959" s="112" t="s">
        <v>2172</v>
      </c>
      <c r="L1959" s="116">
        <v>459.83</v>
      </c>
    </row>
    <row r="1960" spans="1:12" hidden="1" outlineLevel="1" collapsed="1" x14ac:dyDescent="0.35">
      <c r="A1960" s="112" t="s">
        <v>1814</v>
      </c>
      <c r="B1960" s="112" t="s">
        <v>906</v>
      </c>
      <c r="C1960" s="112" t="s">
        <v>1106</v>
      </c>
      <c r="D1960" s="113">
        <v>3098395</v>
      </c>
      <c r="E1960" s="115">
        <v>43935</v>
      </c>
      <c r="F1960" s="114">
        <v>202101</v>
      </c>
      <c r="G1960" s="112" t="s">
        <v>1091</v>
      </c>
      <c r="H1960" s="112" t="s">
        <v>1015</v>
      </c>
      <c r="I1960" s="112" t="s">
        <v>2129</v>
      </c>
      <c r="J1960" s="112" t="s">
        <v>1815</v>
      </c>
      <c r="K1960" s="112" t="s">
        <v>2173</v>
      </c>
      <c r="L1960" s="116">
        <v>7107</v>
      </c>
    </row>
    <row r="1961" spans="1:12" hidden="1" outlineLevel="1" collapsed="1" x14ac:dyDescent="0.35">
      <c r="A1961" s="112" t="s">
        <v>1814</v>
      </c>
      <c r="B1961" s="112" t="s">
        <v>905</v>
      </c>
      <c r="C1961" s="112" t="s">
        <v>1219</v>
      </c>
      <c r="D1961" s="113">
        <v>46307049</v>
      </c>
      <c r="E1961" s="115">
        <v>43935</v>
      </c>
      <c r="F1961" s="114">
        <v>202101</v>
      </c>
      <c r="G1961" s="112" t="s">
        <v>1091</v>
      </c>
      <c r="H1961" s="112" t="s">
        <v>1015</v>
      </c>
      <c r="I1961" s="112" t="s">
        <v>1950</v>
      </c>
      <c r="J1961" s="112" t="s">
        <v>1839</v>
      </c>
      <c r="K1961" s="112" t="s">
        <v>2174</v>
      </c>
      <c r="L1961" s="116">
        <v>2718.1</v>
      </c>
    </row>
    <row r="1962" spans="1:12" hidden="1" outlineLevel="1" collapsed="1" x14ac:dyDescent="0.35">
      <c r="A1962" s="112" t="s">
        <v>1814</v>
      </c>
      <c r="B1962" s="112" t="s">
        <v>905</v>
      </c>
      <c r="C1962" s="112" t="s">
        <v>1219</v>
      </c>
      <c r="D1962" s="113">
        <v>46307071</v>
      </c>
      <c r="E1962" s="115">
        <v>43935</v>
      </c>
      <c r="F1962" s="114">
        <v>202101</v>
      </c>
      <c r="G1962" s="112" t="s">
        <v>1091</v>
      </c>
      <c r="H1962" s="112" t="s">
        <v>1015</v>
      </c>
      <c r="I1962" s="112" t="s">
        <v>1952</v>
      </c>
      <c r="J1962" s="112" t="s">
        <v>1971</v>
      </c>
      <c r="K1962" s="112" t="s">
        <v>2175</v>
      </c>
      <c r="L1962" s="116">
        <v>189.68</v>
      </c>
    </row>
    <row r="1963" spans="1:12" hidden="1" outlineLevel="1" collapsed="1" x14ac:dyDescent="0.35">
      <c r="A1963" s="112" t="s">
        <v>1814</v>
      </c>
      <c r="B1963" s="112" t="s">
        <v>906</v>
      </c>
      <c r="C1963" s="112" t="s">
        <v>1095</v>
      </c>
      <c r="D1963" s="113">
        <v>10348451</v>
      </c>
      <c r="E1963" s="115">
        <v>43949</v>
      </c>
      <c r="F1963" s="114">
        <v>202101</v>
      </c>
      <c r="G1963" s="112" t="s">
        <v>1091</v>
      </c>
      <c r="H1963" s="112" t="s">
        <v>1015</v>
      </c>
      <c r="I1963" s="112" t="s">
        <v>1101</v>
      </c>
      <c r="J1963" s="112" t="s">
        <v>1852</v>
      </c>
      <c r="K1963" s="112" t="s">
        <v>1098</v>
      </c>
      <c r="L1963" s="116">
        <v>549.4</v>
      </c>
    </row>
    <row r="1964" spans="1:12" hidden="1" outlineLevel="1" collapsed="1" x14ac:dyDescent="0.35">
      <c r="A1964" s="112" t="s">
        <v>1814</v>
      </c>
      <c r="B1964" s="112" t="s">
        <v>905</v>
      </c>
      <c r="C1964" s="112" t="s">
        <v>1219</v>
      </c>
      <c r="D1964" s="113">
        <v>46307072</v>
      </c>
      <c r="E1964" s="115">
        <v>43935</v>
      </c>
      <c r="F1964" s="114">
        <v>202101</v>
      </c>
      <c r="G1964" s="112" t="s">
        <v>1091</v>
      </c>
      <c r="H1964" s="112" t="s">
        <v>1015</v>
      </c>
      <c r="I1964" s="112" t="s">
        <v>1952</v>
      </c>
      <c r="J1964" s="112" t="s">
        <v>1971</v>
      </c>
      <c r="K1964" s="112" t="s">
        <v>2176</v>
      </c>
      <c r="L1964" s="116">
        <v>90.63</v>
      </c>
    </row>
    <row r="1965" spans="1:12" hidden="1" outlineLevel="1" collapsed="1" x14ac:dyDescent="0.35">
      <c r="A1965" s="112" t="s">
        <v>1814</v>
      </c>
      <c r="B1965" s="112" t="s">
        <v>905</v>
      </c>
      <c r="C1965" s="112" t="s">
        <v>1219</v>
      </c>
      <c r="D1965" s="113">
        <v>46307073</v>
      </c>
      <c r="E1965" s="115">
        <v>43935</v>
      </c>
      <c r="F1965" s="114">
        <v>202101</v>
      </c>
      <c r="G1965" s="112" t="s">
        <v>1091</v>
      </c>
      <c r="H1965" s="112" t="s">
        <v>1015</v>
      </c>
      <c r="I1965" s="112" t="s">
        <v>1952</v>
      </c>
      <c r="J1965" s="112" t="s">
        <v>1971</v>
      </c>
      <c r="K1965" s="112" t="s">
        <v>2177</v>
      </c>
      <c r="L1965" s="116">
        <v>94.84</v>
      </c>
    </row>
    <row r="1966" spans="1:12" hidden="1" outlineLevel="1" collapsed="1" x14ac:dyDescent="0.35">
      <c r="A1966" s="112" t="s">
        <v>1814</v>
      </c>
      <c r="B1966" s="112" t="s">
        <v>905</v>
      </c>
      <c r="C1966" s="112" t="s">
        <v>1219</v>
      </c>
      <c r="D1966" s="113">
        <v>46307074</v>
      </c>
      <c r="E1966" s="115">
        <v>43935</v>
      </c>
      <c r="F1966" s="114">
        <v>202101</v>
      </c>
      <c r="G1966" s="112" t="s">
        <v>1091</v>
      </c>
      <c r="H1966" s="112" t="s">
        <v>1015</v>
      </c>
      <c r="I1966" s="112" t="s">
        <v>1952</v>
      </c>
      <c r="J1966" s="112" t="s">
        <v>1971</v>
      </c>
      <c r="K1966" s="112" t="s">
        <v>2177</v>
      </c>
      <c r="L1966" s="116">
        <v>83.92</v>
      </c>
    </row>
    <row r="1967" spans="1:12" hidden="1" outlineLevel="1" collapsed="1" x14ac:dyDescent="0.35">
      <c r="A1967" s="112" t="s">
        <v>1814</v>
      </c>
      <c r="B1967" s="112" t="s">
        <v>905</v>
      </c>
      <c r="C1967" s="112" t="s">
        <v>1219</v>
      </c>
      <c r="D1967" s="113">
        <v>46307075</v>
      </c>
      <c r="E1967" s="115">
        <v>43935</v>
      </c>
      <c r="F1967" s="114">
        <v>202101</v>
      </c>
      <c r="G1967" s="112" t="s">
        <v>1091</v>
      </c>
      <c r="H1967" s="112" t="s">
        <v>1015</v>
      </c>
      <c r="I1967" s="112" t="s">
        <v>1952</v>
      </c>
      <c r="J1967" s="112" t="s">
        <v>1971</v>
      </c>
      <c r="K1967" s="112" t="s">
        <v>2177</v>
      </c>
      <c r="L1967" s="116">
        <v>83.92</v>
      </c>
    </row>
    <row r="1968" spans="1:12" hidden="1" outlineLevel="1" collapsed="1" x14ac:dyDescent="0.35">
      <c r="A1968" s="112" t="s">
        <v>1814</v>
      </c>
      <c r="B1968" s="112" t="s">
        <v>905</v>
      </c>
      <c r="C1968" s="112" t="s">
        <v>1219</v>
      </c>
      <c r="D1968" s="113">
        <v>46307076</v>
      </c>
      <c r="E1968" s="115">
        <v>43935</v>
      </c>
      <c r="F1968" s="114">
        <v>202101</v>
      </c>
      <c r="G1968" s="112" t="s">
        <v>1091</v>
      </c>
      <c r="H1968" s="112" t="s">
        <v>1015</v>
      </c>
      <c r="I1968" s="112" t="s">
        <v>1952</v>
      </c>
      <c r="J1968" s="112" t="s">
        <v>1971</v>
      </c>
      <c r="K1968" s="112" t="s">
        <v>2177</v>
      </c>
      <c r="L1968" s="116">
        <v>83.92</v>
      </c>
    </row>
    <row r="1969" spans="1:12" hidden="1" outlineLevel="1" collapsed="1" x14ac:dyDescent="0.35">
      <c r="A1969" s="112" t="s">
        <v>1814</v>
      </c>
      <c r="B1969" s="112" t="s">
        <v>905</v>
      </c>
      <c r="C1969" s="112" t="s">
        <v>1219</v>
      </c>
      <c r="D1969" s="113">
        <v>46307077</v>
      </c>
      <c r="E1969" s="115">
        <v>43935</v>
      </c>
      <c r="F1969" s="114">
        <v>202101</v>
      </c>
      <c r="G1969" s="112" t="s">
        <v>1091</v>
      </c>
      <c r="H1969" s="112" t="s">
        <v>1015</v>
      </c>
      <c r="I1969" s="112" t="s">
        <v>1952</v>
      </c>
      <c r="J1969" s="112" t="s">
        <v>1971</v>
      </c>
      <c r="K1969" s="112" t="s">
        <v>2177</v>
      </c>
      <c r="L1969" s="116">
        <v>83.92</v>
      </c>
    </row>
    <row r="1970" spans="1:12" hidden="1" outlineLevel="1" collapsed="1" x14ac:dyDescent="0.35">
      <c r="A1970" s="112" t="s">
        <v>1814</v>
      </c>
      <c r="B1970" s="112" t="s">
        <v>905</v>
      </c>
      <c r="C1970" s="112" t="s">
        <v>1099</v>
      </c>
      <c r="D1970" s="113">
        <v>1069692</v>
      </c>
      <c r="E1970" s="115">
        <v>43941</v>
      </c>
      <c r="F1970" s="114">
        <v>202101</v>
      </c>
      <c r="G1970" s="112" t="s">
        <v>1091</v>
      </c>
      <c r="H1970" s="112" t="s">
        <v>1015</v>
      </c>
      <c r="I1970" s="112" t="s">
        <v>1153</v>
      </c>
      <c r="J1970" s="112" t="s">
        <v>1901</v>
      </c>
      <c r="K1970" s="112" t="s">
        <v>2178</v>
      </c>
      <c r="L1970" s="116">
        <v>2035.92</v>
      </c>
    </row>
    <row r="1971" spans="1:12" hidden="1" outlineLevel="1" collapsed="1" x14ac:dyDescent="0.35">
      <c r="A1971" s="112" t="s">
        <v>1814</v>
      </c>
      <c r="B1971" s="112" t="s">
        <v>905</v>
      </c>
      <c r="C1971" s="112" t="s">
        <v>1150</v>
      </c>
      <c r="D1971" s="113">
        <v>10348573</v>
      </c>
      <c r="E1971" s="115">
        <v>43958</v>
      </c>
      <c r="F1971" s="114">
        <v>202101</v>
      </c>
      <c r="G1971" s="112" t="s">
        <v>1091</v>
      </c>
      <c r="H1971" s="112" t="s">
        <v>1015</v>
      </c>
      <c r="I1971" s="112" t="s">
        <v>1153</v>
      </c>
      <c r="J1971" s="112" t="s">
        <v>1842</v>
      </c>
      <c r="K1971" s="112" t="s">
        <v>2179</v>
      </c>
      <c r="L1971" s="116">
        <v>1034.6199999999999</v>
      </c>
    </row>
    <row r="1972" spans="1:12" hidden="1" outlineLevel="1" collapsed="1" x14ac:dyDescent="0.35">
      <c r="A1972" s="112" t="s">
        <v>1814</v>
      </c>
      <c r="B1972" s="112" t="s">
        <v>905</v>
      </c>
      <c r="C1972" s="112" t="s">
        <v>1219</v>
      </c>
      <c r="D1972" s="113">
        <v>46307053</v>
      </c>
      <c r="E1972" s="115">
        <v>43935</v>
      </c>
      <c r="F1972" s="114">
        <v>202101</v>
      </c>
      <c r="G1972" s="112" t="s">
        <v>1091</v>
      </c>
      <c r="H1972" s="112" t="s">
        <v>1015</v>
      </c>
      <c r="I1972" s="112" t="s">
        <v>1950</v>
      </c>
      <c r="J1972" s="112" t="s">
        <v>1839</v>
      </c>
      <c r="K1972" s="112" t="s">
        <v>2180</v>
      </c>
      <c r="L1972" s="116">
        <v>2197.86</v>
      </c>
    </row>
    <row r="1973" spans="1:12" hidden="1" outlineLevel="1" collapsed="1" x14ac:dyDescent="0.35">
      <c r="A1973" s="112" t="s">
        <v>1814</v>
      </c>
      <c r="B1973" s="112" t="s">
        <v>905</v>
      </c>
      <c r="C1973" s="112" t="s">
        <v>1219</v>
      </c>
      <c r="D1973" s="113">
        <v>46307054</v>
      </c>
      <c r="E1973" s="115">
        <v>43935</v>
      </c>
      <c r="F1973" s="114">
        <v>202101</v>
      </c>
      <c r="G1973" s="112" t="s">
        <v>1091</v>
      </c>
      <c r="H1973" s="112" t="s">
        <v>1015</v>
      </c>
      <c r="I1973" s="112" t="s">
        <v>1950</v>
      </c>
      <c r="J1973" s="112" t="s">
        <v>1839</v>
      </c>
      <c r="K1973" s="112" t="s">
        <v>2181</v>
      </c>
      <c r="L1973" s="116">
        <v>2718.1</v>
      </c>
    </row>
    <row r="1974" spans="1:12" hidden="1" outlineLevel="1" collapsed="1" x14ac:dyDescent="0.35">
      <c r="A1974" s="112" t="s">
        <v>1814</v>
      </c>
      <c r="B1974" s="112" t="s">
        <v>905</v>
      </c>
      <c r="C1974" s="112" t="s">
        <v>1219</v>
      </c>
      <c r="D1974" s="113">
        <v>46307062</v>
      </c>
      <c r="E1974" s="115">
        <v>43936</v>
      </c>
      <c r="F1974" s="114">
        <v>202101</v>
      </c>
      <c r="G1974" s="112" t="s">
        <v>1091</v>
      </c>
      <c r="H1974" s="112" t="s">
        <v>1015</v>
      </c>
      <c r="I1974" s="112" t="s">
        <v>1952</v>
      </c>
      <c r="J1974" s="112" t="s">
        <v>1817</v>
      </c>
      <c r="K1974" s="112" t="s">
        <v>2182</v>
      </c>
      <c r="L1974" s="116">
        <v>524.04</v>
      </c>
    </row>
    <row r="1975" spans="1:12" hidden="1" outlineLevel="1" collapsed="1" x14ac:dyDescent="0.35">
      <c r="A1975" s="112" t="s">
        <v>1814</v>
      </c>
      <c r="B1975" s="112" t="s">
        <v>905</v>
      </c>
      <c r="C1975" s="112" t="s">
        <v>1219</v>
      </c>
      <c r="D1975" s="113">
        <v>46307060</v>
      </c>
      <c r="E1975" s="115">
        <v>43936</v>
      </c>
      <c r="F1975" s="114">
        <v>202101</v>
      </c>
      <c r="G1975" s="112" t="s">
        <v>1091</v>
      </c>
      <c r="H1975" s="112" t="s">
        <v>1015</v>
      </c>
      <c r="I1975" s="112" t="s">
        <v>1956</v>
      </c>
      <c r="J1975" s="112" t="s">
        <v>1996</v>
      </c>
      <c r="K1975" s="112" t="s">
        <v>2183</v>
      </c>
      <c r="L1975" s="116">
        <v>3944.76</v>
      </c>
    </row>
    <row r="1976" spans="1:12" hidden="1" outlineLevel="1" collapsed="1" x14ac:dyDescent="0.35">
      <c r="A1976" s="112" t="s">
        <v>1814</v>
      </c>
      <c r="B1976" s="112" t="s">
        <v>905</v>
      </c>
      <c r="C1976" s="112" t="s">
        <v>1219</v>
      </c>
      <c r="D1976" s="113">
        <v>46307078</v>
      </c>
      <c r="E1976" s="115">
        <v>43935</v>
      </c>
      <c r="F1976" s="114">
        <v>202101</v>
      </c>
      <c r="G1976" s="112" t="s">
        <v>1091</v>
      </c>
      <c r="H1976" s="112" t="s">
        <v>1015</v>
      </c>
      <c r="I1976" s="112" t="s">
        <v>1952</v>
      </c>
      <c r="J1976" s="112" t="s">
        <v>1971</v>
      </c>
      <c r="K1976" s="112" t="s">
        <v>2177</v>
      </c>
      <c r="L1976" s="116">
        <v>83.92</v>
      </c>
    </row>
    <row r="1977" spans="1:12" hidden="1" outlineLevel="1" collapsed="1" x14ac:dyDescent="0.35">
      <c r="A1977" s="112" t="s">
        <v>1814</v>
      </c>
      <c r="B1977" s="112" t="s">
        <v>905</v>
      </c>
      <c r="C1977" s="112" t="s">
        <v>1219</v>
      </c>
      <c r="D1977" s="113">
        <v>46307079</v>
      </c>
      <c r="E1977" s="115">
        <v>43935</v>
      </c>
      <c r="F1977" s="114">
        <v>202101</v>
      </c>
      <c r="G1977" s="112" t="s">
        <v>1091</v>
      </c>
      <c r="H1977" s="112" t="s">
        <v>1015</v>
      </c>
      <c r="I1977" s="112" t="s">
        <v>1952</v>
      </c>
      <c r="J1977" s="112" t="s">
        <v>1971</v>
      </c>
      <c r="K1977" s="112" t="s">
        <v>2177</v>
      </c>
      <c r="L1977" s="116">
        <v>72.52</v>
      </c>
    </row>
    <row r="1978" spans="1:12" hidden="1" outlineLevel="1" collapsed="1" x14ac:dyDescent="0.35">
      <c r="A1978" s="112" t="s">
        <v>1814</v>
      </c>
      <c r="B1978" s="112" t="s">
        <v>905</v>
      </c>
      <c r="C1978" s="112" t="s">
        <v>1219</v>
      </c>
      <c r="D1978" s="113">
        <v>46307080</v>
      </c>
      <c r="E1978" s="115">
        <v>43935</v>
      </c>
      <c r="F1978" s="114">
        <v>202101</v>
      </c>
      <c r="G1978" s="112" t="s">
        <v>1091</v>
      </c>
      <c r="H1978" s="112" t="s">
        <v>1015</v>
      </c>
      <c r="I1978" s="112" t="s">
        <v>1952</v>
      </c>
      <c r="J1978" s="112" t="s">
        <v>1971</v>
      </c>
      <c r="K1978" s="112" t="s">
        <v>2177</v>
      </c>
      <c r="L1978" s="116">
        <v>83.92</v>
      </c>
    </row>
    <row r="1979" spans="1:12" hidden="1" outlineLevel="1" collapsed="1" x14ac:dyDescent="0.35">
      <c r="A1979" s="112" t="s">
        <v>1814</v>
      </c>
      <c r="B1979" s="112" t="s">
        <v>905</v>
      </c>
      <c r="C1979" s="112" t="s">
        <v>1219</v>
      </c>
      <c r="D1979" s="113">
        <v>46307048</v>
      </c>
      <c r="E1979" s="115">
        <v>43935</v>
      </c>
      <c r="F1979" s="114">
        <v>202101</v>
      </c>
      <c r="G1979" s="112" t="s">
        <v>1091</v>
      </c>
      <c r="H1979" s="112" t="s">
        <v>1015</v>
      </c>
      <c r="I1979" s="112" t="s">
        <v>1950</v>
      </c>
      <c r="J1979" s="112" t="s">
        <v>1839</v>
      </c>
      <c r="K1979" s="112" t="s">
        <v>2184</v>
      </c>
      <c r="L1979" s="116">
        <v>2197.86</v>
      </c>
    </row>
    <row r="1980" spans="1:12" hidden="1" outlineLevel="1" collapsed="1" x14ac:dyDescent="0.35">
      <c r="A1980" s="112" t="s">
        <v>1814</v>
      </c>
      <c r="B1980" s="112" t="s">
        <v>905</v>
      </c>
      <c r="C1980" s="112" t="s">
        <v>679</v>
      </c>
      <c r="D1980" s="113">
        <v>10348271</v>
      </c>
      <c r="E1980" s="115">
        <v>43937</v>
      </c>
      <c r="F1980" s="114">
        <v>202101</v>
      </c>
      <c r="G1980" s="112" t="s">
        <v>1091</v>
      </c>
      <c r="H1980" s="112" t="s">
        <v>1016</v>
      </c>
      <c r="I1980" s="112" t="s">
        <v>1845</v>
      </c>
      <c r="J1980" s="112" t="s">
        <v>1817</v>
      </c>
      <c r="K1980" s="112" t="s">
        <v>2185</v>
      </c>
      <c r="L1980" s="116">
        <v>-40</v>
      </c>
    </row>
    <row r="1981" spans="1:12" hidden="1" outlineLevel="1" collapsed="1" x14ac:dyDescent="0.35">
      <c r="A1981" s="112" t="s">
        <v>1814</v>
      </c>
      <c r="B1981" s="112" t="s">
        <v>905</v>
      </c>
      <c r="C1981" s="112" t="s">
        <v>695</v>
      </c>
      <c r="D1981" s="113">
        <v>10347977</v>
      </c>
      <c r="E1981" s="115">
        <v>43924</v>
      </c>
      <c r="F1981" s="114">
        <v>202101</v>
      </c>
      <c r="G1981" s="112" t="s">
        <v>1091</v>
      </c>
      <c r="H1981" s="112" t="s">
        <v>1015</v>
      </c>
      <c r="I1981" s="112" t="s">
        <v>751</v>
      </c>
      <c r="J1981" s="112" t="s">
        <v>1822</v>
      </c>
      <c r="K1981" s="112" t="s">
        <v>2186</v>
      </c>
      <c r="L1981" s="116">
        <v>-75</v>
      </c>
    </row>
    <row r="1982" spans="1:12" hidden="1" outlineLevel="1" collapsed="1" x14ac:dyDescent="0.35">
      <c r="A1982" s="112" t="s">
        <v>1814</v>
      </c>
      <c r="B1982" s="112" t="s">
        <v>905</v>
      </c>
      <c r="C1982" s="112" t="s">
        <v>695</v>
      </c>
      <c r="D1982" s="113">
        <v>10347977</v>
      </c>
      <c r="E1982" s="115">
        <v>43924</v>
      </c>
      <c r="F1982" s="114">
        <v>202101</v>
      </c>
      <c r="G1982" s="112" t="s">
        <v>1091</v>
      </c>
      <c r="H1982" s="112" t="s">
        <v>1015</v>
      </c>
      <c r="I1982" s="112" t="s">
        <v>751</v>
      </c>
      <c r="J1982" s="112" t="s">
        <v>1822</v>
      </c>
      <c r="K1982" s="112" t="s">
        <v>2187</v>
      </c>
      <c r="L1982" s="116">
        <v>-109</v>
      </c>
    </row>
    <row r="1983" spans="1:12" hidden="1" outlineLevel="1" collapsed="1" x14ac:dyDescent="0.35">
      <c r="A1983" s="112" t="s">
        <v>1814</v>
      </c>
      <c r="B1983" s="112" t="s">
        <v>905</v>
      </c>
      <c r="C1983" s="112" t="s">
        <v>695</v>
      </c>
      <c r="D1983" s="113">
        <v>10347977</v>
      </c>
      <c r="E1983" s="115">
        <v>43924</v>
      </c>
      <c r="F1983" s="114">
        <v>202101</v>
      </c>
      <c r="G1983" s="112" t="s">
        <v>1091</v>
      </c>
      <c r="H1983" s="112" t="s">
        <v>1015</v>
      </c>
      <c r="I1983" s="112" t="s">
        <v>749</v>
      </c>
      <c r="J1983" s="112" t="s">
        <v>1822</v>
      </c>
      <c r="K1983" s="112" t="s">
        <v>2188</v>
      </c>
      <c r="L1983" s="116">
        <v>-31</v>
      </c>
    </row>
    <row r="1984" spans="1:12" hidden="1" outlineLevel="1" collapsed="1" x14ac:dyDescent="0.35">
      <c r="A1984" s="112" t="s">
        <v>1814</v>
      </c>
      <c r="B1984" s="112" t="s">
        <v>905</v>
      </c>
      <c r="C1984" s="112" t="s">
        <v>695</v>
      </c>
      <c r="D1984" s="113">
        <v>10347977</v>
      </c>
      <c r="E1984" s="115">
        <v>43924</v>
      </c>
      <c r="F1984" s="114">
        <v>202101</v>
      </c>
      <c r="G1984" s="112" t="s">
        <v>1091</v>
      </c>
      <c r="H1984" s="112" t="s">
        <v>1015</v>
      </c>
      <c r="I1984" s="112" t="s">
        <v>749</v>
      </c>
      <c r="J1984" s="112" t="s">
        <v>1822</v>
      </c>
      <c r="K1984" s="112" t="s">
        <v>2189</v>
      </c>
      <c r="L1984" s="116">
        <v>-109</v>
      </c>
    </row>
    <row r="1985" spans="1:12" hidden="1" outlineLevel="1" collapsed="1" x14ac:dyDescent="0.35">
      <c r="A1985" s="112" t="s">
        <v>1814</v>
      </c>
      <c r="B1985" s="112" t="s">
        <v>906</v>
      </c>
      <c r="C1985" s="112" t="s">
        <v>1095</v>
      </c>
      <c r="D1985" s="113">
        <v>10348451</v>
      </c>
      <c r="E1985" s="115">
        <v>43949</v>
      </c>
      <c r="F1985" s="114">
        <v>202101</v>
      </c>
      <c r="G1985" s="112" t="s">
        <v>1091</v>
      </c>
      <c r="H1985" s="112" t="s">
        <v>1015</v>
      </c>
      <c r="I1985" s="112" t="s">
        <v>1096</v>
      </c>
      <c r="J1985" s="112" t="s">
        <v>1852</v>
      </c>
      <c r="K1985" s="112" t="s">
        <v>1098</v>
      </c>
      <c r="L1985" s="116">
        <v>378.29</v>
      </c>
    </row>
    <row r="1986" spans="1:12" hidden="1" outlineLevel="1" collapsed="1" x14ac:dyDescent="0.35">
      <c r="A1986" s="112" t="s">
        <v>1814</v>
      </c>
      <c r="B1986" s="112" t="s">
        <v>906</v>
      </c>
      <c r="C1986" s="112" t="s">
        <v>1095</v>
      </c>
      <c r="D1986" s="113">
        <v>10348451</v>
      </c>
      <c r="E1986" s="115">
        <v>43949</v>
      </c>
      <c r="F1986" s="114">
        <v>202101</v>
      </c>
      <c r="G1986" s="112" t="s">
        <v>1091</v>
      </c>
      <c r="H1986" s="112" t="s">
        <v>1015</v>
      </c>
      <c r="I1986" s="112" t="s">
        <v>1096</v>
      </c>
      <c r="J1986" s="112" t="s">
        <v>1852</v>
      </c>
      <c r="K1986" s="112" t="s">
        <v>1098</v>
      </c>
      <c r="L1986" s="116">
        <v>378.29</v>
      </c>
    </row>
    <row r="1987" spans="1:12" hidden="1" outlineLevel="1" collapsed="1" x14ac:dyDescent="0.35">
      <c r="A1987" s="112" t="s">
        <v>1814</v>
      </c>
      <c r="B1987" s="112" t="s">
        <v>906</v>
      </c>
      <c r="C1987" s="112" t="s">
        <v>1095</v>
      </c>
      <c r="D1987" s="113">
        <v>10348451</v>
      </c>
      <c r="E1987" s="115">
        <v>43949</v>
      </c>
      <c r="F1987" s="114">
        <v>202101</v>
      </c>
      <c r="G1987" s="112" t="s">
        <v>1091</v>
      </c>
      <c r="H1987" s="112" t="s">
        <v>1015</v>
      </c>
      <c r="I1987" s="112" t="s">
        <v>1096</v>
      </c>
      <c r="J1987" s="112" t="s">
        <v>1852</v>
      </c>
      <c r="K1987" s="112" t="s">
        <v>1098</v>
      </c>
      <c r="L1987" s="116">
        <v>769.15</v>
      </c>
    </row>
    <row r="1988" spans="1:12" hidden="1" outlineLevel="1" collapsed="1" x14ac:dyDescent="0.35">
      <c r="A1988" s="112" t="s">
        <v>1814</v>
      </c>
      <c r="B1988" s="112" t="s">
        <v>905</v>
      </c>
      <c r="C1988" s="112" t="s">
        <v>695</v>
      </c>
      <c r="D1988" s="113">
        <v>10347977</v>
      </c>
      <c r="E1988" s="115">
        <v>43924</v>
      </c>
      <c r="F1988" s="114">
        <v>202101</v>
      </c>
      <c r="G1988" s="112" t="s">
        <v>1091</v>
      </c>
      <c r="H1988" s="112" t="s">
        <v>1015</v>
      </c>
      <c r="I1988" s="112" t="s">
        <v>751</v>
      </c>
      <c r="J1988" s="112" t="s">
        <v>1822</v>
      </c>
      <c r="K1988" s="112" t="s">
        <v>2190</v>
      </c>
      <c r="L1988" s="116">
        <v>-73</v>
      </c>
    </row>
    <row r="1989" spans="1:12" hidden="1" outlineLevel="1" collapsed="1" x14ac:dyDescent="0.35">
      <c r="A1989" s="112" t="s">
        <v>1814</v>
      </c>
      <c r="B1989" s="112" t="s">
        <v>905</v>
      </c>
      <c r="C1989" s="112" t="s">
        <v>695</v>
      </c>
      <c r="D1989" s="113">
        <v>10347977</v>
      </c>
      <c r="E1989" s="115">
        <v>43924</v>
      </c>
      <c r="F1989" s="114">
        <v>202101</v>
      </c>
      <c r="G1989" s="112" t="s">
        <v>1091</v>
      </c>
      <c r="H1989" s="112" t="s">
        <v>1015</v>
      </c>
      <c r="I1989" s="112" t="s">
        <v>757</v>
      </c>
      <c r="J1989" s="112" t="s">
        <v>1822</v>
      </c>
      <c r="K1989" s="112" t="s">
        <v>2191</v>
      </c>
      <c r="L1989" s="116">
        <v>-49</v>
      </c>
    </row>
    <row r="1990" spans="1:12" hidden="1" outlineLevel="1" collapsed="1" x14ac:dyDescent="0.35">
      <c r="A1990" s="112" t="s">
        <v>1814</v>
      </c>
      <c r="B1990" s="112" t="s">
        <v>905</v>
      </c>
      <c r="C1990" s="112" t="s">
        <v>695</v>
      </c>
      <c r="D1990" s="113">
        <v>10347977</v>
      </c>
      <c r="E1990" s="115">
        <v>43924</v>
      </c>
      <c r="F1990" s="114">
        <v>202101</v>
      </c>
      <c r="G1990" s="112" t="s">
        <v>1091</v>
      </c>
      <c r="H1990" s="112" t="s">
        <v>1015</v>
      </c>
      <c r="I1990" s="112" t="s">
        <v>749</v>
      </c>
      <c r="J1990" s="112" t="s">
        <v>1822</v>
      </c>
      <c r="K1990" s="112" t="s">
        <v>2192</v>
      </c>
      <c r="L1990" s="116">
        <v>-643</v>
      </c>
    </row>
    <row r="1991" spans="1:12" hidden="1" outlineLevel="1" collapsed="1" x14ac:dyDescent="0.35">
      <c r="A1991" s="112" t="s">
        <v>1814</v>
      </c>
      <c r="B1991" s="112" t="s">
        <v>905</v>
      </c>
      <c r="C1991" s="112" t="s">
        <v>695</v>
      </c>
      <c r="D1991" s="113">
        <v>10347977</v>
      </c>
      <c r="E1991" s="115">
        <v>43924</v>
      </c>
      <c r="F1991" s="114">
        <v>202101</v>
      </c>
      <c r="G1991" s="112" t="s">
        <v>1091</v>
      </c>
      <c r="H1991" s="112" t="s">
        <v>1015</v>
      </c>
      <c r="I1991" s="112" t="s">
        <v>749</v>
      </c>
      <c r="J1991" s="112" t="s">
        <v>1822</v>
      </c>
      <c r="K1991" s="112" t="s">
        <v>2193</v>
      </c>
      <c r="L1991" s="116">
        <v>-476</v>
      </c>
    </row>
    <row r="1992" spans="1:12" hidden="1" outlineLevel="1" collapsed="1" x14ac:dyDescent="0.35">
      <c r="A1992" s="112" t="s">
        <v>1814</v>
      </c>
      <c r="B1992" s="112" t="s">
        <v>905</v>
      </c>
      <c r="C1992" s="112" t="s">
        <v>695</v>
      </c>
      <c r="D1992" s="113">
        <v>10347977</v>
      </c>
      <c r="E1992" s="115">
        <v>43924</v>
      </c>
      <c r="F1992" s="114">
        <v>202101</v>
      </c>
      <c r="G1992" s="112" t="s">
        <v>1091</v>
      </c>
      <c r="H1992" s="112" t="s">
        <v>1015</v>
      </c>
      <c r="I1992" s="112" t="s">
        <v>749</v>
      </c>
      <c r="J1992" s="112" t="s">
        <v>1839</v>
      </c>
      <c r="K1992" s="112" t="s">
        <v>2194</v>
      </c>
      <c r="L1992" s="116">
        <v>-918</v>
      </c>
    </row>
    <row r="1993" spans="1:12" hidden="1" outlineLevel="1" collapsed="1" x14ac:dyDescent="0.35">
      <c r="A1993" s="112" t="s">
        <v>1814</v>
      </c>
      <c r="B1993" s="112" t="s">
        <v>905</v>
      </c>
      <c r="C1993" s="112" t="s">
        <v>1095</v>
      </c>
      <c r="D1993" s="113">
        <v>10348451</v>
      </c>
      <c r="E1993" s="115">
        <v>43949</v>
      </c>
      <c r="F1993" s="114">
        <v>202101</v>
      </c>
      <c r="G1993" s="112" t="s">
        <v>1091</v>
      </c>
      <c r="H1993" s="112" t="s">
        <v>1015</v>
      </c>
      <c r="I1993" s="112" t="s">
        <v>1096</v>
      </c>
      <c r="J1993" s="112" t="s">
        <v>1827</v>
      </c>
      <c r="K1993" s="112" t="s">
        <v>1098</v>
      </c>
      <c r="L1993" s="116">
        <v>310.49</v>
      </c>
    </row>
    <row r="1994" spans="1:12" hidden="1" outlineLevel="1" collapsed="1" x14ac:dyDescent="0.35">
      <c r="A1994" s="112" t="s">
        <v>1814</v>
      </c>
      <c r="B1994" s="112" t="s">
        <v>905</v>
      </c>
      <c r="C1994" s="112" t="s">
        <v>695</v>
      </c>
      <c r="D1994" s="113">
        <v>10347977</v>
      </c>
      <c r="E1994" s="115">
        <v>43924</v>
      </c>
      <c r="F1994" s="114">
        <v>202101</v>
      </c>
      <c r="G1994" s="112" t="s">
        <v>1091</v>
      </c>
      <c r="H1994" s="112" t="s">
        <v>1015</v>
      </c>
      <c r="I1994" s="112" t="s">
        <v>751</v>
      </c>
      <c r="J1994" s="112" t="s">
        <v>1839</v>
      </c>
      <c r="K1994" s="112" t="s">
        <v>2195</v>
      </c>
      <c r="L1994" s="116">
        <v>-990</v>
      </c>
    </row>
    <row r="1995" spans="1:12" hidden="1" outlineLevel="1" collapsed="1" x14ac:dyDescent="0.35">
      <c r="A1995" s="112" t="s">
        <v>1814</v>
      </c>
      <c r="B1995" s="112" t="s">
        <v>904</v>
      </c>
      <c r="C1995" s="112" t="s">
        <v>1095</v>
      </c>
      <c r="D1995" s="113">
        <v>10348451</v>
      </c>
      <c r="E1995" s="115">
        <v>43949</v>
      </c>
      <c r="F1995" s="114">
        <v>202101</v>
      </c>
      <c r="G1995" s="112" t="s">
        <v>1091</v>
      </c>
      <c r="H1995" s="112" t="s">
        <v>1015</v>
      </c>
      <c r="I1995" s="112" t="s">
        <v>1101</v>
      </c>
      <c r="J1995" s="112" t="s">
        <v>1909</v>
      </c>
      <c r="K1995" s="112" t="s">
        <v>1098</v>
      </c>
      <c r="L1995" s="116">
        <v>1348.51</v>
      </c>
    </row>
    <row r="1996" spans="1:12" hidden="1" outlineLevel="1" collapsed="1" x14ac:dyDescent="0.35">
      <c r="A1996" s="112" t="s">
        <v>1814</v>
      </c>
      <c r="B1996" s="112" t="s">
        <v>905</v>
      </c>
      <c r="C1996" s="112" t="s">
        <v>695</v>
      </c>
      <c r="D1996" s="113">
        <v>10347977</v>
      </c>
      <c r="E1996" s="115">
        <v>43924</v>
      </c>
      <c r="F1996" s="114">
        <v>202101</v>
      </c>
      <c r="G1996" s="112" t="s">
        <v>1091</v>
      </c>
      <c r="H1996" s="112" t="s">
        <v>1015</v>
      </c>
      <c r="I1996" s="112" t="s">
        <v>757</v>
      </c>
      <c r="J1996" s="112" t="s">
        <v>1822</v>
      </c>
      <c r="K1996" s="112" t="s">
        <v>2196</v>
      </c>
      <c r="L1996" s="116">
        <v>-28</v>
      </c>
    </row>
    <row r="1997" spans="1:12" hidden="1" outlineLevel="1" collapsed="1" x14ac:dyDescent="0.35">
      <c r="A1997" s="112" t="s">
        <v>1814</v>
      </c>
      <c r="B1997" s="112" t="s">
        <v>904</v>
      </c>
      <c r="C1997" s="112" t="s">
        <v>1095</v>
      </c>
      <c r="D1997" s="113">
        <v>10348451</v>
      </c>
      <c r="E1997" s="115">
        <v>43949</v>
      </c>
      <c r="F1997" s="114">
        <v>202101</v>
      </c>
      <c r="G1997" s="112" t="s">
        <v>1091</v>
      </c>
      <c r="H1997" s="112" t="s">
        <v>1015</v>
      </c>
      <c r="I1997" s="112" t="s">
        <v>1096</v>
      </c>
      <c r="J1997" s="112" t="s">
        <v>1838</v>
      </c>
      <c r="K1997" s="112" t="s">
        <v>1098</v>
      </c>
      <c r="L1997" s="116">
        <v>289.02999999999997</v>
      </c>
    </row>
    <row r="1998" spans="1:12" hidden="1" outlineLevel="1" collapsed="1" x14ac:dyDescent="0.35">
      <c r="A1998" s="112" t="s">
        <v>1814</v>
      </c>
      <c r="B1998" s="112" t="s">
        <v>904</v>
      </c>
      <c r="C1998" s="112" t="s">
        <v>1095</v>
      </c>
      <c r="D1998" s="113">
        <v>10348451</v>
      </c>
      <c r="E1998" s="115">
        <v>43949</v>
      </c>
      <c r="F1998" s="114">
        <v>202101</v>
      </c>
      <c r="G1998" s="112" t="s">
        <v>1091</v>
      </c>
      <c r="H1998" s="112" t="s">
        <v>1015</v>
      </c>
      <c r="I1998" s="112" t="s">
        <v>1096</v>
      </c>
      <c r="J1998" s="112" t="s">
        <v>1838</v>
      </c>
      <c r="K1998" s="112" t="s">
        <v>1098</v>
      </c>
      <c r="L1998" s="116">
        <v>228.19</v>
      </c>
    </row>
    <row r="1999" spans="1:12" hidden="1" outlineLevel="1" collapsed="1" x14ac:dyDescent="0.35">
      <c r="A1999" s="112" t="s">
        <v>1814</v>
      </c>
      <c r="B1999" s="112" t="s">
        <v>905</v>
      </c>
      <c r="C1999" s="112" t="s">
        <v>695</v>
      </c>
      <c r="D1999" s="113">
        <v>10347977</v>
      </c>
      <c r="E1999" s="115">
        <v>43924</v>
      </c>
      <c r="F1999" s="114">
        <v>202101</v>
      </c>
      <c r="G1999" s="112" t="s">
        <v>1091</v>
      </c>
      <c r="H1999" s="112" t="s">
        <v>1015</v>
      </c>
      <c r="I1999" s="112" t="s">
        <v>751</v>
      </c>
      <c r="J1999" s="112" t="s">
        <v>1822</v>
      </c>
      <c r="K1999" s="112" t="s">
        <v>2197</v>
      </c>
      <c r="L1999" s="116">
        <v>-108</v>
      </c>
    </row>
    <row r="2000" spans="1:12" hidden="1" outlineLevel="1" collapsed="1" x14ac:dyDescent="0.35">
      <c r="A2000" s="112" t="s">
        <v>1814</v>
      </c>
      <c r="B2000" s="112" t="s">
        <v>904</v>
      </c>
      <c r="C2000" s="112" t="s">
        <v>1095</v>
      </c>
      <c r="D2000" s="113">
        <v>10348451</v>
      </c>
      <c r="E2000" s="115">
        <v>43949</v>
      </c>
      <c r="F2000" s="114">
        <v>202101</v>
      </c>
      <c r="G2000" s="112" t="s">
        <v>1091</v>
      </c>
      <c r="H2000" s="112" t="s">
        <v>1015</v>
      </c>
      <c r="I2000" s="112" t="s">
        <v>1101</v>
      </c>
      <c r="J2000" s="112" t="s">
        <v>1838</v>
      </c>
      <c r="K2000" s="112" t="s">
        <v>1098</v>
      </c>
      <c r="L2000" s="116">
        <v>386.46</v>
      </c>
    </row>
    <row r="2001" spans="1:12" hidden="1" outlineLevel="1" collapsed="1" x14ac:dyDescent="0.35">
      <c r="A2001" s="112" t="s">
        <v>1814</v>
      </c>
      <c r="B2001" s="112" t="s">
        <v>905</v>
      </c>
      <c r="C2001" s="112" t="s">
        <v>695</v>
      </c>
      <c r="D2001" s="113">
        <v>10347977</v>
      </c>
      <c r="E2001" s="115">
        <v>43924</v>
      </c>
      <c r="F2001" s="114">
        <v>202101</v>
      </c>
      <c r="G2001" s="112" t="s">
        <v>1091</v>
      </c>
      <c r="H2001" s="112" t="s">
        <v>1015</v>
      </c>
      <c r="I2001" s="112" t="s">
        <v>749</v>
      </c>
      <c r="J2001" s="112" t="s">
        <v>1822</v>
      </c>
      <c r="K2001" s="112" t="s">
        <v>2198</v>
      </c>
      <c r="L2001" s="116">
        <v>-72</v>
      </c>
    </row>
    <row r="2002" spans="1:12" hidden="1" outlineLevel="1" collapsed="1" x14ac:dyDescent="0.35">
      <c r="A2002" s="112" t="s">
        <v>1814</v>
      </c>
      <c r="B2002" s="112" t="s">
        <v>905</v>
      </c>
      <c r="C2002" s="112" t="s">
        <v>695</v>
      </c>
      <c r="D2002" s="113">
        <v>10347977</v>
      </c>
      <c r="E2002" s="115">
        <v>43924</v>
      </c>
      <c r="F2002" s="114">
        <v>202101</v>
      </c>
      <c r="G2002" s="112" t="s">
        <v>1091</v>
      </c>
      <c r="H2002" s="112" t="s">
        <v>1015</v>
      </c>
      <c r="I2002" s="112" t="s">
        <v>757</v>
      </c>
      <c r="J2002" s="112" t="s">
        <v>1822</v>
      </c>
      <c r="K2002" s="112" t="s">
        <v>2199</v>
      </c>
      <c r="L2002" s="116">
        <v>-62</v>
      </c>
    </row>
    <row r="2003" spans="1:12" hidden="1" outlineLevel="1" collapsed="1" x14ac:dyDescent="0.35">
      <c r="A2003" s="112" t="s">
        <v>1814</v>
      </c>
      <c r="B2003" s="112" t="s">
        <v>906</v>
      </c>
      <c r="C2003" s="112" t="s">
        <v>1095</v>
      </c>
      <c r="D2003" s="113">
        <v>10348451</v>
      </c>
      <c r="E2003" s="115">
        <v>43949</v>
      </c>
      <c r="F2003" s="114">
        <v>202101</v>
      </c>
      <c r="G2003" s="112" t="s">
        <v>1091</v>
      </c>
      <c r="H2003" s="112" t="s">
        <v>1015</v>
      </c>
      <c r="I2003" s="112" t="s">
        <v>1096</v>
      </c>
      <c r="J2003" s="112" t="s">
        <v>1852</v>
      </c>
      <c r="K2003" s="112" t="s">
        <v>1098</v>
      </c>
      <c r="L2003" s="116">
        <v>114.89</v>
      </c>
    </row>
    <row r="2004" spans="1:12" hidden="1" outlineLevel="1" collapsed="1" x14ac:dyDescent="0.35">
      <c r="A2004" s="112" t="s">
        <v>1814</v>
      </c>
      <c r="B2004" s="112" t="s">
        <v>906</v>
      </c>
      <c r="C2004" s="112" t="s">
        <v>695</v>
      </c>
      <c r="D2004" s="113">
        <v>10347977</v>
      </c>
      <c r="E2004" s="115">
        <v>43924</v>
      </c>
      <c r="F2004" s="114">
        <v>202101</v>
      </c>
      <c r="G2004" s="112" t="s">
        <v>1091</v>
      </c>
      <c r="H2004" s="112" t="s">
        <v>1015</v>
      </c>
      <c r="I2004" s="112" t="s">
        <v>749</v>
      </c>
      <c r="J2004" s="112" t="s">
        <v>1815</v>
      </c>
      <c r="K2004" s="112" t="s">
        <v>1883</v>
      </c>
      <c r="L2004" s="116">
        <v>-7</v>
      </c>
    </row>
    <row r="2005" spans="1:12" hidden="1" outlineLevel="1" collapsed="1" x14ac:dyDescent="0.35">
      <c r="A2005" s="112" t="s">
        <v>1814</v>
      </c>
      <c r="B2005" s="112" t="s">
        <v>906</v>
      </c>
      <c r="C2005" s="112" t="s">
        <v>1095</v>
      </c>
      <c r="D2005" s="113">
        <v>10348451</v>
      </c>
      <c r="E2005" s="115">
        <v>43949</v>
      </c>
      <c r="F2005" s="114">
        <v>202101</v>
      </c>
      <c r="G2005" s="112" t="s">
        <v>1091</v>
      </c>
      <c r="H2005" s="112" t="s">
        <v>1015</v>
      </c>
      <c r="I2005" s="112" t="s">
        <v>1096</v>
      </c>
      <c r="J2005" s="112" t="s">
        <v>1852</v>
      </c>
      <c r="K2005" s="112" t="s">
        <v>1098</v>
      </c>
      <c r="L2005" s="116">
        <v>252.7</v>
      </c>
    </row>
    <row r="2006" spans="1:12" hidden="1" outlineLevel="1" collapsed="1" x14ac:dyDescent="0.35">
      <c r="A2006" s="112" t="s">
        <v>1814</v>
      </c>
      <c r="B2006" s="112" t="s">
        <v>906</v>
      </c>
      <c r="C2006" s="112" t="s">
        <v>1095</v>
      </c>
      <c r="D2006" s="113">
        <v>10348451</v>
      </c>
      <c r="E2006" s="115">
        <v>43949</v>
      </c>
      <c r="F2006" s="114">
        <v>202101</v>
      </c>
      <c r="G2006" s="112" t="s">
        <v>1091</v>
      </c>
      <c r="H2006" s="112" t="s">
        <v>1015</v>
      </c>
      <c r="I2006" s="112" t="s">
        <v>1096</v>
      </c>
      <c r="J2006" s="112" t="s">
        <v>1852</v>
      </c>
      <c r="K2006" s="112" t="s">
        <v>1098</v>
      </c>
      <c r="L2006" s="116">
        <v>366.99</v>
      </c>
    </row>
    <row r="2007" spans="1:12" hidden="1" outlineLevel="1" collapsed="1" x14ac:dyDescent="0.35">
      <c r="A2007" s="112" t="s">
        <v>1814</v>
      </c>
      <c r="B2007" s="112" t="s">
        <v>905</v>
      </c>
      <c r="C2007" s="112" t="s">
        <v>695</v>
      </c>
      <c r="D2007" s="113">
        <v>10347977</v>
      </c>
      <c r="E2007" s="115">
        <v>43924</v>
      </c>
      <c r="F2007" s="114">
        <v>202101</v>
      </c>
      <c r="G2007" s="112" t="s">
        <v>1091</v>
      </c>
      <c r="H2007" s="112" t="s">
        <v>1015</v>
      </c>
      <c r="I2007" s="112" t="s">
        <v>757</v>
      </c>
      <c r="J2007" s="112" t="s">
        <v>1822</v>
      </c>
      <c r="K2007" s="112" t="s">
        <v>2200</v>
      </c>
      <c r="L2007" s="116">
        <v>-38</v>
      </c>
    </row>
    <row r="2008" spans="1:12" hidden="1" outlineLevel="1" collapsed="1" x14ac:dyDescent="0.35">
      <c r="A2008" s="112" t="s">
        <v>1814</v>
      </c>
      <c r="B2008" s="112" t="s">
        <v>905</v>
      </c>
      <c r="C2008" s="112" t="s">
        <v>1095</v>
      </c>
      <c r="D2008" s="113">
        <v>10348451</v>
      </c>
      <c r="E2008" s="115">
        <v>43949</v>
      </c>
      <c r="F2008" s="114">
        <v>202101</v>
      </c>
      <c r="G2008" s="112" t="s">
        <v>1091</v>
      </c>
      <c r="H2008" s="112" t="s">
        <v>1015</v>
      </c>
      <c r="I2008" s="112" t="s">
        <v>1113</v>
      </c>
      <c r="J2008" s="112" t="s">
        <v>1839</v>
      </c>
      <c r="K2008" s="112" t="s">
        <v>1098</v>
      </c>
      <c r="L2008" s="116">
        <v>75</v>
      </c>
    </row>
    <row r="2009" spans="1:12" hidden="1" outlineLevel="1" collapsed="1" x14ac:dyDescent="0.35">
      <c r="A2009" s="112" t="s">
        <v>1814</v>
      </c>
      <c r="B2009" s="112" t="s">
        <v>906</v>
      </c>
      <c r="C2009" s="112" t="s">
        <v>1095</v>
      </c>
      <c r="D2009" s="113">
        <v>10348451</v>
      </c>
      <c r="E2009" s="115">
        <v>43949</v>
      </c>
      <c r="F2009" s="114">
        <v>202101</v>
      </c>
      <c r="G2009" s="112" t="s">
        <v>1091</v>
      </c>
      <c r="H2009" s="112" t="s">
        <v>1015</v>
      </c>
      <c r="I2009" s="112" t="s">
        <v>1096</v>
      </c>
      <c r="J2009" s="112" t="s">
        <v>1852</v>
      </c>
      <c r="K2009" s="112" t="s">
        <v>1098</v>
      </c>
      <c r="L2009" s="116">
        <v>378.29</v>
      </c>
    </row>
    <row r="2010" spans="1:12" hidden="1" outlineLevel="1" collapsed="1" x14ac:dyDescent="0.35">
      <c r="A2010" s="112" t="s">
        <v>1814</v>
      </c>
      <c r="B2010" s="112" t="s">
        <v>905</v>
      </c>
      <c r="C2010" s="112" t="s">
        <v>695</v>
      </c>
      <c r="D2010" s="113">
        <v>10347977</v>
      </c>
      <c r="E2010" s="115">
        <v>43924</v>
      </c>
      <c r="F2010" s="114">
        <v>202101</v>
      </c>
      <c r="G2010" s="112" t="s">
        <v>1091</v>
      </c>
      <c r="H2010" s="112" t="s">
        <v>1015</v>
      </c>
      <c r="I2010" s="112" t="s">
        <v>757</v>
      </c>
      <c r="J2010" s="112" t="s">
        <v>1822</v>
      </c>
      <c r="K2010" s="112" t="s">
        <v>2201</v>
      </c>
      <c r="L2010" s="116">
        <v>-178</v>
      </c>
    </row>
    <row r="2011" spans="1:12" hidden="1" outlineLevel="1" collapsed="1" x14ac:dyDescent="0.35">
      <c r="A2011" s="112" t="s">
        <v>1814</v>
      </c>
      <c r="B2011" s="112" t="s">
        <v>906</v>
      </c>
      <c r="C2011" s="112" t="s">
        <v>1095</v>
      </c>
      <c r="D2011" s="113">
        <v>10348451</v>
      </c>
      <c r="E2011" s="115">
        <v>43949</v>
      </c>
      <c r="F2011" s="114">
        <v>202101</v>
      </c>
      <c r="G2011" s="112" t="s">
        <v>1091</v>
      </c>
      <c r="H2011" s="112" t="s">
        <v>1015</v>
      </c>
      <c r="I2011" s="112" t="s">
        <v>1096</v>
      </c>
      <c r="J2011" s="112" t="s">
        <v>1852</v>
      </c>
      <c r="K2011" s="112" t="s">
        <v>1098</v>
      </c>
      <c r="L2011" s="116">
        <v>310.49</v>
      </c>
    </row>
    <row r="2012" spans="1:12" hidden="1" outlineLevel="1" collapsed="1" x14ac:dyDescent="0.35">
      <c r="A2012" s="112" t="s">
        <v>1814</v>
      </c>
      <c r="B2012" s="112" t="s">
        <v>906</v>
      </c>
      <c r="C2012" s="112" t="s">
        <v>695</v>
      </c>
      <c r="D2012" s="113">
        <v>10347981</v>
      </c>
      <c r="E2012" s="115">
        <v>43924</v>
      </c>
      <c r="F2012" s="114">
        <v>202101</v>
      </c>
      <c r="G2012" s="112" t="s">
        <v>1091</v>
      </c>
      <c r="H2012" s="112" t="s">
        <v>1015</v>
      </c>
      <c r="I2012" s="112" t="s">
        <v>747</v>
      </c>
      <c r="J2012" s="112" t="s">
        <v>1815</v>
      </c>
      <c r="K2012" s="112" t="s">
        <v>2202</v>
      </c>
      <c r="L2012" s="116">
        <v>-1530</v>
      </c>
    </row>
    <row r="2013" spans="1:12" hidden="1" outlineLevel="1" collapsed="1" x14ac:dyDescent="0.35">
      <c r="A2013" s="112" t="s">
        <v>1814</v>
      </c>
      <c r="B2013" s="112" t="s">
        <v>905</v>
      </c>
      <c r="C2013" s="112" t="s">
        <v>679</v>
      </c>
      <c r="D2013" s="113">
        <v>10347984</v>
      </c>
      <c r="E2013" s="115">
        <v>43924</v>
      </c>
      <c r="F2013" s="114">
        <v>202101</v>
      </c>
      <c r="G2013" s="112" t="s">
        <v>1091</v>
      </c>
      <c r="H2013" s="112" t="s">
        <v>1015</v>
      </c>
      <c r="I2013" s="112" t="s">
        <v>736</v>
      </c>
      <c r="J2013" s="112" t="s">
        <v>1822</v>
      </c>
      <c r="K2013" s="112" t="s">
        <v>2203</v>
      </c>
      <c r="L2013" s="116">
        <v>818.53</v>
      </c>
    </row>
    <row r="2014" spans="1:12" hidden="1" outlineLevel="1" collapsed="1" x14ac:dyDescent="0.35">
      <c r="A2014" s="112" t="s">
        <v>1814</v>
      </c>
      <c r="B2014" s="112" t="s">
        <v>905</v>
      </c>
      <c r="C2014" s="112" t="s">
        <v>679</v>
      </c>
      <c r="D2014" s="113">
        <v>10347984</v>
      </c>
      <c r="E2014" s="115">
        <v>43924</v>
      </c>
      <c r="F2014" s="114">
        <v>202101</v>
      </c>
      <c r="G2014" s="112" t="s">
        <v>1091</v>
      </c>
      <c r="H2014" s="112" t="s">
        <v>1015</v>
      </c>
      <c r="I2014" s="112" t="s">
        <v>2204</v>
      </c>
      <c r="J2014" s="112" t="s">
        <v>1822</v>
      </c>
      <c r="K2014" s="112" t="s">
        <v>2205</v>
      </c>
      <c r="L2014" s="116">
        <v>430.07</v>
      </c>
    </row>
    <row r="2015" spans="1:12" hidden="1" outlineLevel="1" collapsed="1" x14ac:dyDescent="0.35">
      <c r="A2015" s="112" t="s">
        <v>1814</v>
      </c>
      <c r="B2015" s="112" t="s">
        <v>905</v>
      </c>
      <c r="C2015" s="112" t="s">
        <v>679</v>
      </c>
      <c r="D2015" s="113">
        <v>10347984</v>
      </c>
      <c r="E2015" s="115">
        <v>43924</v>
      </c>
      <c r="F2015" s="114">
        <v>202101</v>
      </c>
      <c r="G2015" s="112" t="s">
        <v>1091</v>
      </c>
      <c r="H2015" s="112" t="s">
        <v>1015</v>
      </c>
      <c r="I2015" s="112" t="s">
        <v>736</v>
      </c>
      <c r="J2015" s="112" t="s">
        <v>1822</v>
      </c>
      <c r="K2015" s="112" t="s">
        <v>2206</v>
      </c>
      <c r="L2015" s="116">
        <v>438.8</v>
      </c>
    </row>
    <row r="2016" spans="1:12" hidden="1" outlineLevel="1" collapsed="1" x14ac:dyDescent="0.35">
      <c r="A2016" s="112" t="s">
        <v>1814</v>
      </c>
      <c r="B2016" s="112" t="s">
        <v>905</v>
      </c>
      <c r="C2016" s="112" t="s">
        <v>679</v>
      </c>
      <c r="D2016" s="113">
        <v>10347984</v>
      </c>
      <c r="E2016" s="115">
        <v>43924</v>
      </c>
      <c r="F2016" s="114">
        <v>202101</v>
      </c>
      <c r="G2016" s="112" t="s">
        <v>1091</v>
      </c>
      <c r="H2016" s="112" t="s">
        <v>1015</v>
      </c>
      <c r="I2016" s="112" t="s">
        <v>736</v>
      </c>
      <c r="J2016" s="112" t="s">
        <v>1822</v>
      </c>
      <c r="K2016" s="112" t="s">
        <v>2207</v>
      </c>
      <c r="L2016" s="116">
        <v>818.53</v>
      </c>
    </row>
    <row r="2017" spans="1:12" hidden="1" outlineLevel="1" collapsed="1" x14ac:dyDescent="0.35">
      <c r="A2017" s="112" t="s">
        <v>1814</v>
      </c>
      <c r="B2017" s="112" t="s">
        <v>906</v>
      </c>
      <c r="C2017" s="112" t="s">
        <v>695</v>
      </c>
      <c r="D2017" s="113">
        <v>10347981</v>
      </c>
      <c r="E2017" s="115">
        <v>43924</v>
      </c>
      <c r="F2017" s="114">
        <v>202101</v>
      </c>
      <c r="G2017" s="112" t="s">
        <v>1091</v>
      </c>
      <c r="H2017" s="112" t="s">
        <v>1015</v>
      </c>
      <c r="I2017" s="112" t="s">
        <v>745</v>
      </c>
      <c r="J2017" s="112" t="s">
        <v>1815</v>
      </c>
      <c r="K2017" s="112" t="s">
        <v>2208</v>
      </c>
      <c r="L2017" s="116">
        <v>-231.8</v>
      </c>
    </row>
    <row r="2018" spans="1:12" hidden="1" outlineLevel="1" collapsed="1" x14ac:dyDescent="0.35">
      <c r="A2018" s="112" t="s">
        <v>1814</v>
      </c>
      <c r="B2018" s="112" t="s">
        <v>906</v>
      </c>
      <c r="C2018" s="112" t="s">
        <v>695</v>
      </c>
      <c r="D2018" s="113">
        <v>10347981</v>
      </c>
      <c r="E2018" s="115">
        <v>43924</v>
      </c>
      <c r="F2018" s="114">
        <v>202101</v>
      </c>
      <c r="G2018" s="112" t="s">
        <v>1091</v>
      </c>
      <c r="H2018" s="112" t="s">
        <v>1015</v>
      </c>
      <c r="I2018" s="112" t="s">
        <v>745</v>
      </c>
      <c r="J2018" s="112" t="s">
        <v>1815</v>
      </c>
      <c r="K2018" s="112" t="s">
        <v>2209</v>
      </c>
      <c r="L2018" s="116">
        <v>-380</v>
      </c>
    </row>
    <row r="2019" spans="1:12" hidden="1" outlineLevel="1" collapsed="1" x14ac:dyDescent="0.35">
      <c r="A2019" s="112" t="s">
        <v>1814</v>
      </c>
      <c r="B2019" s="112" t="s">
        <v>905</v>
      </c>
      <c r="C2019" s="112" t="s">
        <v>1095</v>
      </c>
      <c r="D2019" s="113">
        <v>10348451</v>
      </c>
      <c r="E2019" s="115">
        <v>43949</v>
      </c>
      <c r="F2019" s="114">
        <v>202101</v>
      </c>
      <c r="G2019" s="112" t="s">
        <v>1091</v>
      </c>
      <c r="H2019" s="112" t="s">
        <v>1015</v>
      </c>
      <c r="I2019" s="112" t="s">
        <v>1101</v>
      </c>
      <c r="J2019" s="112" t="s">
        <v>1827</v>
      </c>
      <c r="K2019" s="112" t="s">
        <v>1098</v>
      </c>
      <c r="L2019" s="116">
        <v>549.4</v>
      </c>
    </row>
    <row r="2020" spans="1:12" hidden="1" outlineLevel="1" collapsed="1" x14ac:dyDescent="0.35">
      <c r="A2020" s="112" t="s">
        <v>1814</v>
      </c>
      <c r="B2020" s="112" t="s">
        <v>906</v>
      </c>
      <c r="C2020" s="112" t="s">
        <v>695</v>
      </c>
      <c r="D2020" s="113">
        <v>10347981</v>
      </c>
      <c r="E2020" s="115">
        <v>43924</v>
      </c>
      <c r="F2020" s="114">
        <v>202101</v>
      </c>
      <c r="G2020" s="112" t="s">
        <v>1091</v>
      </c>
      <c r="H2020" s="112" t="s">
        <v>1015</v>
      </c>
      <c r="I2020" s="112" t="s">
        <v>745</v>
      </c>
      <c r="J2020" s="112" t="s">
        <v>1815</v>
      </c>
      <c r="K2020" s="112" t="s">
        <v>2210</v>
      </c>
      <c r="L2020" s="116">
        <v>-525</v>
      </c>
    </row>
    <row r="2021" spans="1:12" hidden="1" outlineLevel="1" collapsed="1" x14ac:dyDescent="0.35">
      <c r="A2021" s="112" t="s">
        <v>1814</v>
      </c>
      <c r="B2021" s="112" t="s">
        <v>906</v>
      </c>
      <c r="C2021" s="112" t="s">
        <v>695</v>
      </c>
      <c r="D2021" s="113">
        <v>10347981</v>
      </c>
      <c r="E2021" s="115">
        <v>43924</v>
      </c>
      <c r="F2021" s="114">
        <v>202101</v>
      </c>
      <c r="G2021" s="112" t="s">
        <v>1091</v>
      </c>
      <c r="H2021" s="112" t="s">
        <v>1015</v>
      </c>
      <c r="I2021" s="112" t="s">
        <v>745</v>
      </c>
      <c r="J2021" s="112" t="s">
        <v>1815</v>
      </c>
      <c r="K2021" s="112" t="s">
        <v>2211</v>
      </c>
      <c r="L2021" s="116">
        <v>-227.2</v>
      </c>
    </row>
    <row r="2022" spans="1:12" hidden="1" outlineLevel="1" collapsed="1" x14ac:dyDescent="0.35">
      <c r="A2022" s="112" t="s">
        <v>1814</v>
      </c>
      <c r="B2022" s="112" t="s">
        <v>906</v>
      </c>
      <c r="C2022" s="112" t="s">
        <v>695</v>
      </c>
      <c r="D2022" s="113">
        <v>10347981</v>
      </c>
      <c r="E2022" s="115">
        <v>43924</v>
      </c>
      <c r="F2022" s="114">
        <v>202101</v>
      </c>
      <c r="G2022" s="112" t="s">
        <v>1091</v>
      </c>
      <c r="H2022" s="112" t="s">
        <v>1015</v>
      </c>
      <c r="I2022" s="112" t="s">
        <v>747</v>
      </c>
      <c r="J2022" s="112" t="s">
        <v>1815</v>
      </c>
      <c r="K2022" s="112" t="s">
        <v>2212</v>
      </c>
      <c r="L2022" s="116">
        <v>-1530</v>
      </c>
    </row>
    <row r="2023" spans="1:12" hidden="1" outlineLevel="1" collapsed="1" x14ac:dyDescent="0.35">
      <c r="A2023" s="112" t="s">
        <v>1814</v>
      </c>
      <c r="B2023" s="112" t="s">
        <v>906</v>
      </c>
      <c r="C2023" s="112" t="s">
        <v>695</v>
      </c>
      <c r="D2023" s="113">
        <v>10347981</v>
      </c>
      <c r="E2023" s="115">
        <v>43924</v>
      </c>
      <c r="F2023" s="114">
        <v>202101</v>
      </c>
      <c r="G2023" s="112" t="s">
        <v>1091</v>
      </c>
      <c r="H2023" s="112" t="s">
        <v>1015</v>
      </c>
      <c r="I2023" s="112" t="s">
        <v>745</v>
      </c>
      <c r="J2023" s="112" t="s">
        <v>1815</v>
      </c>
      <c r="K2023" s="112" t="s">
        <v>2213</v>
      </c>
      <c r="L2023" s="116">
        <v>-450</v>
      </c>
    </row>
    <row r="2024" spans="1:12" hidden="1" outlineLevel="1" collapsed="1" x14ac:dyDescent="0.35">
      <c r="A2024" s="112" t="s">
        <v>1814</v>
      </c>
      <c r="B2024" s="112" t="s">
        <v>906</v>
      </c>
      <c r="C2024" s="112" t="s">
        <v>695</v>
      </c>
      <c r="D2024" s="113">
        <v>10347981</v>
      </c>
      <c r="E2024" s="115">
        <v>43924</v>
      </c>
      <c r="F2024" s="114">
        <v>202101</v>
      </c>
      <c r="G2024" s="112" t="s">
        <v>1091</v>
      </c>
      <c r="H2024" s="112" t="s">
        <v>1015</v>
      </c>
      <c r="I2024" s="112" t="s">
        <v>745</v>
      </c>
      <c r="J2024" s="112" t="s">
        <v>1815</v>
      </c>
      <c r="K2024" s="112" t="s">
        <v>2214</v>
      </c>
      <c r="L2024" s="116">
        <v>-719</v>
      </c>
    </row>
    <row r="2025" spans="1:12" hidden="1" outlineLevel="1" collapsed="1" x14ac:dyDescent="0.35">
      <c r="A2025" s="112" t="s">
        <v>1814</v>
      </c>
      <c r="B2025" s="112" t="s">
        <v>905</v>
      </c>
      <c r="C2025" s="112" t="s">
        <v>1095</v>
      </c>
      <c r="D2025" s="113">
        <v>10348451</v>
      </c>
      <c r="E2025" s="115">
        <v>43949</v>
      </c>
      <c r="F2025" s="114">
        <v>202101</v>
      </c>
      <c r="G2025" s="112" t="s">
        <v>1091</v>
      </c>
      <c r="H2025" s="112" t="s">
        <v>1015</v>
      </c>
      <c r="I2025" s="112" t="s">
        <v>1128</v>
      </c>
      <c r="J2025" s="112" t="s">
        <v>1827</v>
      </c>
      <c r="K2025" s="112" t="s">
        <v>1098</v>
      </c>
      <c r="L2025" s="116">
        <v>80</v>
      </c>
    </row>
    <row r="2026" spans="1:12" hidden="1" outlineLevel="1" collapsed="1" x14ac:dyDescent="0.35">
      <c r="A2026" s="112" t="s">
        <v>1814</v>
      </c>
      <c r="B2026" s="112" t="s">
        <v>905</v>
      </c>
      <c r="C2026" s="112" t="s">
        <v>679</v>
      </c>
      <c r="D2026" s="113">
        <v>10347984</v>
      </c>
      <c r="E2026" s="115">
        <v>43924</v>
      </c>
      <c r="F2026" s="114">
        <v>202101</v>
      </c>
      <c r="G2026" s="112" t="s">
        <v>1091</v>
      </c>
      <c r="H2026" s="112" t="s">
        <v>1015</v>
      </c>
      <c r="I2026" s="112" t="s">
        <v>736</v>
      </c>
      <c r="J2026" s="112" t="s">
        <v>1822</v>
      </c>
      <c r="K2026" s="112" t="s">
        <v>2215</v>
      </c>
      <c r="L2026" s="116">
        <v>429.83</v>
      </c>
    </row>
    <row r="2027" spans="1:12" hidden="1" outlineLevel="1" collapsed="1" x14ac:dyDescent="0.35">
      <c r="A2027" s="112" t="s">
        <v>1814</v>
      </c>
      <c r="B2027" s="112" t="s">
        <v>904</v>
      </c>
      <c r="C2027" s="112" t="s">
        <v>1095</v>
      </c>
      <c r="D2027" s="113">
        <v>10348451</v>
      </c>
      <c r="E2027" s="115">
        <v>43949</v>
      </c>
      <c r="F2027" s="114">
        <v>202101</v>
      </c>
      <c r="G2027" s="112" t="s">
        <v>1091</v>
      </c>
      <c r="H2027" s="112" t="s">
        <v>1015</v>
      </c>
      <c r="I2027" s="112" t="s">
        <v>1096</v>
      </c>
      <c r="J2027" s="112" t="s">
        <v>2216</v>
      </c>
      <c r="K2027" s="112" t="s">
        <v>1098</v>
      </c>
      <c r="L2027" s="116">
        <v>36.979999999999997</v>
      </c>
    </row>
    <row r="2028" spans="1:12" hidden="1" outlineLevel="1" collapsed="1" x14ac:dyDescent="0.35">
      <c r="A2028" s="112" t="s">
        <v>1814</v>
      </c>
      <c r="B2028" s="112" t="s">
        <v>905</v>
      </c>
      <c r="C2028" s="112" t="s">
        <v>1095</v>
      </c>
      <c r="D2028" s="113">
        <v>10348451</v>
      </c>
      <c r="E2028" s="115">
        <v>43949</v>
      </c>
      <c r="F2028" s="114">
        <v>202101</v>
      </c>
      <c r="G2028" s="112" t="s">
        <v>1091</v>
      </c>
      <c r="H2028" s="112" t="s">
        <v>1015</v>
      </c>
      <c r="I2028" s="112" t="s">
        <v>1096</v>
      </c>
      <c r="J2028" s="112" t="s">
        <v>1827</v>
      </c>
      <c r="K2028" s="112" t="s">
        <v>1098</v>
      </c>
      <c r="L2028" s="116">
        <v>665.88</v>
      </c>
    </row>
    <row r="2029" spans="1:12" hidden="1" outlineLevel="1" collapsed="1" x14ac:dyDescent="0.35">
      <c r="A2029" s="112" t="s">
        <v>1814</v>
      </c>
      <c r="B2029" s="112" t="s">
        <v>906</v>
      </c>
      <c r="C2029" s="112" t="s">
        <v>695</v>
      </c>
      <c r="D2029" s="113">
        <v>10347981</v>
      </c>
      <c r="E2029" s="115">
        <v>43924</v>
      </c>
      <c r="F2029" s="114">
        <v>202101</v>
      </c>
      <c r="G2029" s="112" t="s">
        <v>1091</v>
      </c>
      <c r="H2029" s="112" t="s">
        <v>1015</v>
      </c>
      <c r="I2029" s="112" t="s">
        <v>745</v>
      </c>
      <c r="J2029" s="112" t="s">
        <v>1815</v>
      </c>
      <c r="K2029" s="112" t="s">
        <v>2217</v>
      </c>
      <c r="L2029" s="116">
        <v>-754.48</v>
      </c>
    </row>
    <row r="2030" spans="1:12" hidden="1" outlineLevel="1" collapsed="1" x14ac:dyDescent="0.35">
      <c r="A2030" s="112" t="s">
        <v>1814</v>
      </c>
      <c r="B2030" s="112" t="s">
        <v>906</v>
      </c>
      <c r="C2030" s="112" t="s">
        <v>695</v>
      </c>
      <c r="D2030" s="113">
        <v>10347981</v>
      </c>
      <c r="E2030" s="115">
        <v>43924</v>
      </c>
      <c r="F2030" s="114">
        <v>202101</v>
      </c>
      <c r="G2030" s="112" t="s">
        <v>1091</v>
      </c>
      <c r="H2030" s="112" t="s">
        <v>1015</v>
      </c>
      <c r="I2030" s="112" t="s">
        <v>745</v>
      </c>
      <c r="J2030" s="112" t="s">
        <v>1815</v>
      </c>
      <c r="K2030" s="112" t="s">
        <v>2218</v>
      </c>
      <c r="L2030" s="116">
        <v>-306.89</v>
      </c>
    </row>
    <row r="2031" spans="1:12" hidden="1" outlineLevel="1" collapsed="1" x14ac:dyDescent="0.35">
      <c r="A2031" s="112" t="s">
        <v>1814</v>
      </c>
      <c r="B2031" s="112" t="s">
        <v>906</v>
      </c>
      <c r="C2031" s="112" t="s">
        <v>695</v>
      </c>
      <c r="D2031" s="113">
        <v>10347981</v>
      </c>
      <c r="E2031" s="115">
        <v>43924</v>
      </c>
      <c r="F2031" s="114">
        <v>202101</v>
      </c>
      <c r="G2031" s="112" t="s">
        <v>1091</v>
      </c>
      <c r="H2031" s="112" t="s">
        <v>1015</v>
      </c>
      <c r="I2031" s="112" t="s">
        <v>745</v>
      </c>
      <c r="J2031" s="112" t="s">
        <v>1815</v>
      </c>
      <c r="K2031" s="112" t="s">
        <v>2219</v>
      </c>
      <c r="L2031" s="116">
        <v>-252.1</v>
      </c>
    </row>
    <row r="2032" spans="1:12" hidden="1" outlineLevel="1" collapsed="1" x14ac:dyDescent="0.35">
      <c r="A2032" s="112" t="s">
        <v>1814</v>
      </c>
      <c r="B2032" s="112" t="s">
        <v>906</v>
      </c>
      <c r="C2032" s="112" t="s">
        <v>695</v>
      </c>
      <c r="D2032" s="113">
        <v>10347981</v>
      </c>
      <c r="E2032" s="115">
        <v>43924</v>
      </c>
      <c r="F2032" s="114">
        <v>202101</v>
      </c>
      <c r="G2032" s="112" t="s">
        <v>1091</v>
      </c>
      <c r="H2032" s="112" t="s">
        <v>1015</v>
      </c>
      <c r="I2032" s="112" t="s">
        <v>745</v>
      </c>
      <c r="J2032" s="112" t="s">
        <v>1815</v>
      </c>
      <c r="K2032" s="112" t="s">
        <v>2220</v>
      </c>
      <c r="L2032" s="116">
        <v>-366.6</v>
      </c>
    </row>
    <row r="2033" spans="1:12" hidden="1" outlineLevel="1" collapsed="1" x14ac:dyDescent="0.35">
      <c r="A2033" s="112" t="s">
        <v>1814</v>
      </c>
      <c r="B2033" s="112" t="s">
        <v>906</v>
      </c>
      <c r="C2033" s="112" t="s">
        <v>695</v>
      </c>
      <c r="D2033" s="113">
        <v>10347981</v>
      </c>
      <c r="E2033" s="115">
        <v>43924</v>
      </c>
      <c r="F2033" s="114">
        <v>202101</v>
      </c>
      <c r="G2033" s="112" t="s">
        <v>1091</v>
      </c>
      <c r="H2033" s="112" t="s">
        <v>1015</v>
      </c>
      <c r="I2033" s="112" t="s">
        <v>747</v>
      </c>
      <c r="J2033" s="112" t="s">
        <v>1815</v>
      </c>
      <c r="K2033" s="112" t="s">
        <v>2221</v>
      </c>
      <c r="L2033" s="116">
        <v>-776.63</v>
      </c>
    </row>
    <row r="2034" spans="1:12" hidden="1" outlineLevel="1" collapsed="1" x14ac:dyDescent="0.35">
      <c r="A2034" s="112" t="s">
        <v>1814</v>
      </c>
      <c r="B2034" s="112" t="s">
        <v>906</v>
      </c>
      <c r="C2034" s="112" t="s">
        <v>695</v>
      </c>
      <c r="D2034" s="113">
        <v>10347981</v>
      </c>
      <c r="E2034" s="115">
        <v>43924</v>
      </c>
      <c r="F2034" s="114">
        <v>202101</v>
      </c>
      <c r="G2034" s="112" t="s">
        <v>1091</v>
      </c>
      <c r="H2034" s="112" t="s">
        <v>1015</v>
      </c>
      <c r="I2034" s="112" t="s">
        <v>747</v>
      </c>
      <c r="J2034" s="112" t="s">
        <v>1815</v>
      </c>
      <c r="K2034" s="112" t="s">
        <v>2222</v>
      </c>
      <c r="L2034" s="116">
        <v>-500</v>
      </c>
    </row>
    <row r="2035" spans="1:12" hidden="1" outlineLevel="1" collapsed="1" x14ac:dyDescent="0.35">
      <c r="A2035" s="112" t="s">
        <v>1814</v>
      </c>
      <c r="B2035" s="112" t="s">
        <v>906</v>
      </c>
      <c r="C2035" s="112" t="s">
        <v>695</v>
      </c>
      <c r="D2035" s="113">
        <v>10347981</v>
      </c>
      <c r="E2035" s="115">
        <v>43924</v>
      </c>
      <c r="F2035" s="114">
        <v>202101</v>
      </c>
      <c r="G2035" s="112" t="s">
        <v>1091</v>
      </c>
      <c r="H2035" s="112" t="s">
        <v>1015</v>
      </c>
      <c r="I2035" s="112" t="s">
        <v>2223</v>
      </c>
      <c r="J2035" s="112" t="s">
        <v>1815</v>
      </c>
      <c r="K2035" s="112" t="s">
        <v>2224</v>
      </c>
      <c r="L2035" s="116">
        <v>-1193</v>
      </c>
    </row>
    <row r="2036" spans="1:12" hidden="1" outlineLevel="1" collapsed="1" x14ac:dyDescent="0.35">
      <c r="A2036" s="112" t="s">
        <v>1814</v>
      </c>
      <c r="B2036" s="112" t="s">
        <v>906</v>
      </c>
      <c r="C2036" s="112" t="s">
        <v>695</v>
      </c>
      <c r="D2036" s="113">
        <v>10347981</v>
      </c>
      <c r="E2036" s="115">
        <v>43924</v>
      </c>
      <c r="F2036" s="114">
        <v>202101</v>
      </c>
      <c r="G2036" s="112" t="s">
        <v>1091</v>
      </c>
      <c r="H2036" s="112" t="s">
        <v>1015</v>
      </c>
      <c r="I2036" s="112" t="s">
        <v>745</v>
      </c>
      <c r="J2036" s="112" t="s">
        <v>1815</v>
      </c>
      <c r="K2036" s="112" t="s">
        <v>2225</v>
      </c>
      <c r="L2036" s="116">
        <v>-250</v>
      </c>
    </row>
    <row r="2037" spans="1:12" hidden="1" outlineLevel="1" collapsed="1" x14ac:dyDescent="0.35">
      <c r="A2037" s="112" t="s">
        <v>1814</v>
      </c>
      <c r="B2037" s="112" t="s">
        <v>906</v>
      </c>
      <c r="C2037" s="112" t="s">
        <v>695</v>
      </c>
      <c r="D2037" s="113">
        <v>10347981</v>
      </c>
      <c r="E2037" s="115">
        <v>43924</v>
      </c>
      <c r="F2037" s="114">
        <v>202101</v>
      </c>
      <c r="G2037" s="112" t="s">
        <v>1091</v>
      </c>
      <c r="H2037" s="112" t="s">
        <v>1015</v>
      </c>
      <c r="I2037" s="112" t="s">
        <v>745</v>
      </c>
      <c r="J2037" s="112" t="s">
        <v>1815</v>
      </c>
      <c r="K2037" s="112" t="s">
        <v>2226</v>
      </c>
      <c r="L2037" s="116">
        <v>-400</v>
      </c>
    </row>
    <row r="2038" spans="1:12" hidden="1" outlineLevel="1" collapsed="1" x14ac:dyDescent="0.35">
      <c r="A2038" s="112" t="s">
        <v>1814</v>
      </c>
      <c r="B2038" s="112" t="s">
        <v>905</v>
      </c>
      <c r="C2038" s="112" t="s">
        <v>695</v>
      </c>
      <c r="D2038" s="113">
        <v>10347977</v>
      </c>
      <c r="E2038" s="115">
        <v>43924</v>
      </c>
      <c r="F2038" s="114">
        <v>202101</v>
      </c>
      <c r="G2038" s="112" t="s">
        <v>1091</v>
      </c>
      <c r="H2038" s="112" t="s">
        <v>1015</v>
      </c>
      <c r="I2038" s="112" t="s">
        <v>751</v>
      </c>
      <c r="J2038" s="112" t="s">
        <v>1822</v>
      </c>
      <c r="K2038" s="112" t="s">
        <v>2227</v>
      </c>
      <c r="L2038" s="116">
        <v>-131</v>
      </c>
    </row>
    <row r="2039" spans="1:12" hidden="1" outlineLevel="1" collapsed="1" x14ac:dyDescent="0.35">
      <c r="A2039" s="112" t="s">
        <v>1814</v>
      </c>
      <c r="B2039" s="112" t="s">
        <v>905</v>
      </c>
      <c r="C2039" s="112" t="s">
        <v>1095</v>
      </c>
      <c r="D2039" s="113">
        <v>10348451</v>
      </c>
      <c r="E2039" s="115">
        <v>43949</v>
      </c>
      <c r="F2039" s="114">
        <v>202101</v>
      </c>
      <c r="G2039" s="112" t="s">
        <v>1091</v>
      </c>
      <c r="H2039" s="112" t="s">
        <v>1015</v>
      </c>
      <c r="I2039" s="112" t="s">
        <v>1101</v>
      </c>
      <c r="J2039" s="112" t="s">
        <v>1842</v>
      </c>
      <c r="K2039" s="112" t="s">
        <v>1098</v>
      </c>
      <c r="L2039" s="116">
        <v>602.15</v>
      </c>
    </row>
    <row r="2040" spans="1:12" hidden="1" outlineLevel="1" collapsed="1" x14ac:dyDescent="0.35">
      <c r="A2040" s="112" t="s">
        <v>1814</v>
      </c>
      <c r="B2040" s="112" t="s">
        <v>905</v>
      </c>
      <c r="C2040" s="112" t="s">
        <v>695</v>
      </c>
      <c r="D2040" s="113">
        <v>10347977</v>
      </c>
      <c r="E2040" s="115">
        <v>43924</v>
      </c>
      <c r="F2040" s="114">
        <v>202101</v>
      </c>
      <c r="G2040" s="112" t="s">
        <v>1091</v>
      </c>
      <c r="H2040" s="112" t="s">
        <v>1015</v>
      </c>
      <c r="I2040" s="112" t="s">
        <v>757</v>
      </c>
      <c r="J2040" s="112" t="s">
        <v>1822</v>
      </c>
      <c r="K2040" s="112" t="s">
        <v>2228</v>
      </c>
      <c r="L2040" s="116">
        <v>-111</v>
      </c>
    </row>
    <row r="2041" spans="1:12" hidden="1" outlineLevel="1" collapsed="1" x14ac:dyDescent="0.35">
      <c r="A2041" s="112" t="s">
        <v>1814</v>
      </c>
      <c r="B2041" s="112" t="s">
        <v>906</v>
      </c>
      <c r="C2041" s="112" t="s">
        <v>1095</v>
      </c>
      <c r="D2041" s="113">
        <v>10348451</v>
      </c>
      <c r="E2041" s="115">
        <v>43949</v>
      </c>
      <c r="F2041" s="114">
        <v>202101</v>
      </c>
      <c r="G2041" s="112" t="s">
        <v>1091</v>
      </c>
      <c r="H2041" s="112" t="s">
        <v>1015</v>
      </c>
      <c r="I2041" s="112" t="s">
        <v>1096</v>
      </c>
      <c r="J2041" s="112" t="s">
        <v>1852</v>
      </c>
      <c r="K2041" s="112" t="s">
        <v>1098</v>
      </c>
      <c r="L2041" s="116">
        <v>479.25</v>
      </c>
    </row>
    <row r="2042" spans="1:12" hidden="1" outlineLevel="1" collapsed="1" x14ac:dyDescent="0.35">
      <c r="A2042" s="112" t="s">
        <v>1814</v>
      </c>
      <c r="B2042" s="112" t="s">
        <v>906</v>
      </c>
      <c r="C2042" s="112" t="s">
        <v>695</v>
      </c>
      <c r="D2042" s="113">
        <v>10347948</v>
      </c>
      <c r="E2042" s="115">
        <v>43923</v>
      </c>
      <c r="F2042" s="114">
        <v>202101</v>
      </c>
      <c r="G2042" s="112" t="s">
        <v>1091</v>
      </c>
      <c r="H2042" s="112" t="s">
        <v>1015</v>
      </c>
      <c r="I2042" s="112" t="s">
        <v>813</v>
      </c>
      <c r="J2042" s="112" t="s">
        <v>1815</v>
      </c>
      <c r="K2042" s="112" t="s">
        <v>1905</v>
      </c>
      <c r="L2042" s="116">
        <v>-128.83000000000001</v>
      </c>
    </row>
    <row r="2043" spans="1:12" hidden="1" outlineLevel="1" collapsed="1" x14ac:dyDescent="0.35">
      <c r="A2043" s="112" t="s">
        <v>1814</v>
      </c>
      <c r="B2043" s="112" t="s">
        <v>905</v>
      </c>
      <c r="C2043" s="112" t="s">
        <v>679</v>
      </c>
      <c r="D2043" s="113">
        <v>10348297</v>
      </c>
      <c r="E2043" s="115">
        <v>43938</v>
      </c>
      <c r="F2043" s="114">
        <v>202101</v>
      </c>
      <c r="G2043" s="112" t="s">
        <v>1091</v>
      </c>
      <c r="H2043" s="112" t="s">
        <v>1015</v>
      </c>
      <c r="I2043" s="112" t="s">
        <v>1952</v>
      </c>
      <c r="J2043" s="112" t="s">
        <v>1971</v>
      </c>
      <c r="K2043" s="112" t="s">
        <v>2229</v>
      </c>
      <c r="L2043" s="116">
        <v>60.85</v>
      </c>
    </row>
    <row r="2044" spans="1:12" hidden="1" outlineLevel="1" collapsed="1" x14ac:dyDescent="0.35">
      <c r="A2044" s="112" t="s">
        <v>1814</v>
      </c>
      <c r="B2044" s="112" t="s">
        <v>905</v>
      </c>
      <c r="C2044" s="112" t="s">
        <v>679</v>
      </c>
      <c r="D2044" s="113">
        <v>10348297</v>
      </c>
      <c r="E2044" s="115">
        <v>43938</v>
      </c>
      <c r="F2044" s="114">
        <v>202101</v>
      </c>
      <c r="G2044" s="112" t="s">
        <v>1091</v>
      </c>
      <c r="H2044" s="112" t="s">
        <v>1015</v>
      </c>
      <c r="I2044" s="112" t="s">
        <v>1952</v>
      </c>
      <c r="J2044" s="112" t="s">
        <v>1971</v>
      </c>
      <c r="K2044" s="112" t="s">
        <v>2230</v>
      </c>
      <c r="L2044" s="116">
        <v>83.92</v>
      </c>
    </row>
    <row r="2045" spans="1:12" hidden="1" outlineLevel="1" collapsed="1" x14ac:dyDescent="0.35">
      <c r="A2045" s="112" t="s">
        <v>1814</v>
      </c>
      <c r="B2045" s="112" t="s">
        <v>905</v>
      </c>
      <c r="C2045" s="112" t="s">
        <v>679</v>
      </c>
      <c r="D2045" s="113">
        <v>10348297</v>
      </c>
      <c r="E2045" s="115">
        <v>43938</v>
      </c>
      <c r="F2045" s="114">
        <v>202101</v>
      </c>
      <c r="G2045" s="112" t="s">
        <v>1091</v>
      </c>
      <c r="H2045" s="112" t="s">
        <v>1015</v>
      </c>
      <c r="I2045" s="112" t="s">
        <v>1952</v>
      </c>
      <c r="J2045" s="112" t="s">
        <v>1971</v>
      </c>
      <c r="K2045" s="112" t="s">
        <v>2231</v>
      </c>
      <c r="L2045" s="116">
        <v>72.52</v>
      </c>
    </row>
    <row r="2046" spans="1:12" hidden="1" outlineLevel="1" collapsed="1" x14ac:dyDescent="0.35">
      <c r="A2046" s="112" t="s">
        <v>1814</v>
      </c>
      <c r="B2046" s="112" t="s">
        <v>905</v>
      </c>
      <c r="C2046" s="112" t="s">
        <v>1095</v>
      </c>
      <c r="D2046" s="113">
        <v>10348451</v>
      </c>
      <c r="E2046" s="115">
        <v>43949</v>
      </c>
      <c r="F2046" s="114">
        <v>202101</v>
      </c>
      <c r="G2046" s="112" t="s">
        <v>1091</v>
      </c>
      <c r="H2046" s="112" t="s">
        <v>1015</v>
      </c>
      <c r="I2046" s="112" t="s">
        <v>1096</v>
      </c>
      <c r="J2046" s="112" t="s">
        <v>1827</v>
      </c>
      <c r="K2046" s="112" t="s">
        <v>1098</v>
      </c>
      <c r="L2046" s="116">
        <v>327.05</v>
      </c>
    </row>
    <row r="2047" spans="1:12" hidden="1" outlineLevel="1" collapsed="1" x14ac:dyDescent="0.35">
      <c r="A2047" s="112" t="s">
        <v>1814</v>
      </c>
      <c r="B2047" s="112" t="s">
        <v>905</v>
      </c>
      <c r="C2047" s="112" t="s">
        <v>679</v>
      </c>
      <c r="D2047" s="113">
        <v>10348297</v>
      </c>
      <c r="E2047" s="115">
        <v>43938</v>
      </c>
      <c r="F2047" s="114">
        <v>202101</v>
      </c>
      <c r="G2047" s="112" t="s">
        <v>1091</v>
      </c>
      <c r="H2047" s="112" t="s">
        <v>1015</v>
      </c>
      <c r="I2047" s="112" t="s">
        <v>1952</v>
      </c>
      <c r="J2047" s="112" t="s">
        <v>1971</v>
      </c>
      <c r="K2047" s="112" t="s">
        <v>2232</v>
      </c>
      <c r="L2047" s="116">
        <v>72.510000000000005</v>
      </c>
    </row>
    <row r="2048" spans="1:12" hidden="1" outlineLevel="1" collapsed="1" x14ac:dyDescent="0.35">
      <c r="A2048" s="112" t="s">
        <v>1814</v>
      </c>
      <c r="B2048" s="112" t="s">
        <v>905</v>
      </c>
      <c r="C2048" s="112" t="s">
        <v>679</v>
      </c>
      <c r="D2048" s="113">
        <v>10348297</v>
      </c>
      <c r="E2048" s="115">
        <v>43938</v>
      </c>
      <c r="F2048" s="114">
        <v>202101</v>
      </c>
      <c r="G2048" s="112" t="s">
        <v>1091</v>
      </c>
      <c r="H2048" s="112" t="s">
        <v>1015</v>
      </c>
      <c r="I2048" s="112" t="s">
        <v>1952</v>
      </c>
      <c r="J2048" s="112" t="s">
        <v>1971</v>
      </c>
      <c r="K2048" s="112" t="s">
        <v>2233</v>
      </c>
      <c r="L2048" s="116">
        <v>83.92</v>
      </c>
    </row>
    <row r="2049" spans="1:12" hidden="1" outlineLevel="1" collapsed="1" x14ac:dyDescent="0.35">
      <c r="A2049" s="112" t="s">
        <v>1814</v>
      </c>
      <c r="B2049" s="112" t="s">
        <v>905</v>
      </c>
      <c r="C2049" s="112" t="s">
        <v>679</v>
      </c>
      <c r="D2049" s="113">
        <v>10348297</v>
      </c>
      <c r="E2049" s="115">
        <v>43938</v>
      </c>
      <c r="F2049" s="114">
        <v>202101</v>
      </c>
      <c r="G2049" s="112" t="s">
        <v>1091</v>
      </c>
      <c r="H2049" s="112" t="s">
        <v>1015</v>
      </c>
      <c r="I2049" s="112" t="s">
        <v>1952</v>
      </c>
      <c r="J2049" s="112" t="s">
        <v>1971</v>
      </c>
      <c r="K2049" s="112" t="s">
        <v>2234</v>
      </c>
      <c r="L2049" s="116">
        <v>83.92</v>
      </c>
    </row>
    <row r="2050" spans="1:12" hidden="1" outlineLevel="1" collapsed="1" x14ac:dyDescent="0.35">
      <c r="A2050" s="112" t="s">
        <v>1814</v>
      </c>
      <c r="B2050" s="112" t="s">
        <v>905</v>
      </c>
      <c r="C2050" s="112" t="s">
        <v>679</v>
      </c>
      <c r="D2050" s="113">
        <v>10348297</v>
      </c>
      <c r="E2050" s="115">
        <v>43938</v>
      </c>
      <c r="F2050" s="114">
        <v>202101</v>
      </c>
      <c r="G2050" s="112" t="s">
        <v>1091</v>
      </c>
      <c r="H2050" s="112" t="s">
        <v>1015</v>
      </c>
      <c r="I2050" s="112" t="s">
        <v>1952</v>
      </c>
      <c r="J2050" s="112" t="s">
        <v>1971</v>
      </c>
      <c r="K2050" s="112" t="s">
        <v>2235</v>
      </c>
      <c r="L2050" s="116">
        <v>83.92</v>
      </c>
    </row>
    <row r="2051" spans="1:12" hidden="1" outlineLevel="1" collapsed="1" x14ac:dyDescent="0.35">
      <c r="A2051" s="112" t="s">
        <v>1814</v>
      </c>
      <c r="B2051" s="112" t="s">
        <v>905</v>
      </c>
      <c r="C2051" s="112" t="s">
        <v>679</v>
      </c>
      <c r="D2051" s="113">
        <v>10348297</v>
      </c>
      <c r="E2051" s="115">
        <v>43938</v>
      </c>
      <c r="F2051" s="114">
        <v>202101</v>
      </c>
      <c r="G2051" s="112" t="s">
        <v>1091</v>
      </c>
      <c r="H2051" s="112" t="s">
        <v>1015</v>
      </c>
      <c r="I2051" s="112" t="s">
        <v>1952</v>
      </c>
      <c r="J2051" s="112" t="s">
        <v>1971</v>
      </c>
      <c r="K2051" s="112" t="s">
        <v>2236</v>
      </c>
      <c r="L2051" s="116">
        <v>83.92</v>
      </c>
    </row>
    <row r="2052" spans="1:12" hidden="1" outlineLevel="1" collapsed="1" x14ac:dyDescent="0.35">
      <c r="A2052" s="112" t="s">
        <v>1814</v>
      </c>
      <c r="B2052" s="112" t="s">
        <v>905</v>
      </c>
      <c r="C2052" s="112" t="s">
        <v>679</v>
      </c>
      <c r="D2052" s="113">
        <v>10348297</v>
      </c>
      <c r="E2052" s="115">
        <v>43938</v>
      </c>
      <c r="F2052" s="114">
        <v>202101</v>
      </c>
      <c r="G2052" s="112" t="s">
        <v>1091</v>
      </c>
      <c r="H2052" s="112" t="s">
        <v>1015</v>
      </c>
      <c r="I2052" s="112" t="s">
        <v>1952</v>
      </c>
      <c r="J2052" s="112" t="s">
        <v>1971</v>
      </c>
      <c r="K2052" s="112" t="s">
        <v>2237</v>
      </c>
      <c r="L2052" s="116">
        <v>83.92</v>
      </c>
    </row>
    <row r="2053" spans="1:12" hidden="1" outlineLevel="1" collapsed="1" x14ac:dyDescent="0.35">
      <c r="A2053" s="112" t="s">
        <v>1814</v>
      </c>
      <c r="B2053" s="112" t="s">
        <v>905</v>
      </c>
      <c r="C2053" s="112" t="s">
        <v>679</v>
      </c>
      <c r="D2053" s="113">
        <v>10348297</v>
      </c>
      <c r="E2053" s="115">
        <v>43938</v>
      </c>
      <c r="F2053" s="114">
        <v>202101</v>
      </c>
      <c r="G2053" s="112" t="s">
        <v>1091</v>
      </c>
      <c r="H2053" s="112" t="s">
        <v>1015</v>
      </c>
      <c r="I2053" s="112" t="s">
        <v>1952</v>
      </c>
      <c r="J2053" s="112" t="s">
        <v>1971</v>
      </c>
      <c r="K2053" s="112" t="s">
        <v>2238</v>
      </c>
      <c r="L2053" s="116">
        <v>83.92</v>
      </c>
    </row>
    <row r="2054" spans="1:12" hidden="1" outlineLevel="1" collapsed="1" x14ac:dyDescent="0.35">
      <c r="A2054" s="112" t="s">
        <v>1814</v>
      </c>
      <c r="B2054" s="112" t="s">
        <v>905</v>
      </c>
      <c r="C2054" s="112" t="s">
        <v>1095</v>
      </c>
      <c r="D2054" s="113">
        <v>10348451</v>
      </c>
      <c r="E2054" s="115">
        <v>43949</v>
      </c>
      <c r="F2054" s="114">
        <v>202101</v>
      </c>
      <c r="G2054" s="112" t="s">
        <v>1091</v>
      </c>
      <c r="H2054" s="112" t="s">
        <v>1015</v>
      </c>
      <c r="I2054" s="112" t="s">
        <v>1096</v>
      </c>
      <c r="J2054" s="112" t="s">
        <v>1827</v>
      </c>
      <c r="K2054" s="112" t="s">
        <v>1098</v>
      </c>
      <c r="L2054" s="116">
        <v>310.49</v>
      </c>
    </row>
    <row r="2055" spans="1:12" hidden="1" outlineLevel="1" collapsed="1" x14ac:dyDescent="0.35">
      <c r="A2055" s="112" t="s">
        <v>1814</v>
      </c>
      <c r="B2055" s="112" t="s">
        <v>905</v>
      </c>
      <c r="C2055" s="112" t="s">
        <v>1095</v>
      </c>
      <c r="D2055" s="113">
        <v>10348451</v>
      </c>
      <c r="E2055" s="115">
        <v>43949</v>
      </c>
      <c r="F2055" s="114">
        <v>202101</v>
      </c>
      <c r="G2055" s="112" t="s">
        <v>1091</v>
      </c>
      <c r="H2055" s="112" t="s">
        <v>1015</v>
      </c>
      <c r="I2055" s="112" t="s">
        <v>1101</v>
      </c>
      <c r="J2055" s="112" t="s">
        <v>1827</v>
      </c>
      <c r="K2055" s="112" t="s">
        <v>1098</v>
      </c>
      <c r="L2055" s="116">
        <v>483.07</v>
      </c>
    </row>
    <row r="2056" spans="1:12" hidden="1" outlineLevel="1" collapsed="1" x14ac:dyDescent="0.35">
      <c r="A2056" s="112" t="s">
        <v>1814</v>
      </c>
      <c r="B2056" s="112" t="s">
        <v>905</v>
      </c>
      <c r="C2056" s="112" t="s">
        <v>679</v>
      </c>
      <c r="D2056" s="113">
        <v>10348297</v>
      </c>
      <c r="E2056" s="115">
        <v>43938</v>
      </c>
      <c r="F2056" s="114">
        <v>202101</v>
      </c>
      <c r="G2056" s="112" t="s">
        <v>1091</v>
      </c>
      <c r="H2056" s="112" t="s">
        <v>1015</v>
      </c>
      <c r="I2056" s="112" t="s">
        <v>1952</v>
      </c>
      <c r="J2056" s="112" t="s">
        <v>1971</v>
      </c>
      <c r="K2056" s="112" t="s">
        <v>2239</v>
      </c>
      <c r="L2056" s="116">
        <v>71.75</v>
      </c>
    </row>
    <row r="2057" spans="1:12" hidden="1" outlineLevel="1" collapsed="1" x14ac:dyDescent="0.35">
      <c r="A2057" s="112" t="s">
        <v>1814</v>
      </c>
      <c r="B2057" s="112" t="s">
        <v>905</v>
      </c>
      <c r="C2057" s="112" t="s">
        <v>1095</v>
      </c>
      <c r="D2057" s="113">
        <v>10348451</v>
      </c>
      <c r="E2057" s="115">
        <v>43949</v>
      </c>
      <c r="F2057" s="114">
        <v>202101</v>
      </c>
      <c r="G2057" s="112" t="s">
        <v>1091</v>
      </c>
      <c r="H2057" s="112" t="s">
        <v>1015</v>
      </c>
      <c r="I2057" s="112" t="s">
        <v>1116</v>
      </c>
      <c r="J2057" s="112" t="s">
        <v>1839</v>
      </c>
      <c r="K2057" s="112" t="s">
        <v>1098</v>
      </c>
      <c r="L2057" s="116">
        <v>2981.92</v>
      </c>
    </row>
    <row r="2058" spans="1:12" hidden="1" outlineLevel="1" collapsed="1" x14ac:dyDescent="0.35">
      <c r="A2058" s="112" t="s">
        <v>1814</v>
      </c>
      <c r="B2058" s="112" t="s">
        <v>905</v>
      </c>
      <c r="C2058" s="112" t="s">
        <v>679</v>
      </c>
      <c r="D2058" s="113">
        <v>10348297</v>
      </c>
      <c r="E2058" s="115">
        <v>43938</v>
      </c>
      <c r="F2058" s="114">
        <v>202101</v>
      </c>
      <c r="G2058" s="112" t="s">
        <v>1091</v>
      </c>
      <c r="H2058" s="112" t="s">
        <v>1015</v>
      </c>
      <c r="I2058" s="112" t="s">
        <v>1952</v>
      </c>
      <c r="J2058" s="112" t="s">
        <v>1971</v>
      </c>
      <c r="K2058" s="112" t="s">
        <v>2240</v>
      </c>
      <c r="L2058" s="116">
        <v>141.74</v>
      </c>
    </row>
    <row r="2059" spans="1:12" hidden="1" outlineLevel="1" collapsed="1" x14ac:dyDescent="0.35">
      <c r="A2059" s="112" t="s">
        <v>1814</v>
      </c>
      <c r="B2059" s="112" t="s">
        <v>905</v>
      </c>
      <c r="C2059" s="112" t="s">
        <v>679</v>
      </c>
      <c r="D2059" s="113">
        <v>10348297</v>
      </c>
      <c r="E2059" s="115">
        <v>43938</v>
      </c>
      <c r="F2059" s="114">
        <v>202101</v>
      </c>
      <c r="G2059" s="112" t="s">
        <v>1091</v>
      </c>
      <c r="H2059" s="112" t="s">
        <v>1015</v>
      </c>
      <c r="I2059" s="112" t="s">
        <v>1952</v>
      </c>
      <c r="J2059" s="112" t="s">
        <v>1971</v>
      </c>
      <c r="K2059" s="112" t="s">
        <v>2241</v>
      </c>
      <c r="L2059" s="116">
        <v>83.92</v>
      </c>
    </row>
    <row r="2060" spans="1:12" hidden="1" outlineLevel="1" collapsed="1" x14ac:dyDescent="0.35">
      <c r="A2060" s="112" t="s">
        <v>1814</v>
      </c>
      <c r="B2060" s="112" t="s">
        <v>905</v>
      </c>
      <c r="C2060" s="112" t="s">
        <v>679</v>
      </c>
      <c r="D2060" s="113">
        <v>10348297</v>
      </c>
      <c r="E2060" s="115">
        <v>43938</v>
      </c>
      <c r="F2060" s="114">
        <v>202101</v>
      </c>
      <c r="G2060" s="112" t="s">
        <v>1091</v>
      </c>
      <c r="H2060" s="112" t="s">
        <v>1015</v>
      </c>
      <c r="I2060" s="112" t="s">
        <v>1952</v>
      </c>
      <c r="J2060" s="112" t="s">
        <v>1971</v>
      </c>
      <c r="K2060" s="112" t="s">
        <v>2242</v>
      </c>
      <c r="L2060" s="116">
        <v>72.52</v>
      </c>
    </row>
    <row r="2061" spans="1:12" hidden="1" outlineLevel="1" collapsed="1" x14ac:dyDescent="0.35">
      <c r="A2061" s="112" t="s">
        <v>1814</v>
      </c>
      <c r="B2061" s="112" t="s">
        <v>905</v>
      </c>
      <c r="C2061" s="112" t="s">
        <v>679</v>
      </c>
      <c r="D2061" s="113">
        <v>10348297</v>
      </c>
      <c r="E2061" s="115">
        <v>43938</v>
      </c>
      <c r="F2061" s="114">
        <v>202101</v>
      </c>
      <c r="G2061" s="112" t="s">
        <v>1091</v>
      </c>
      <c r="H2061" s="112" t="s">
        <v>1015</v>
      </c>
      <c r="I2061" s="112" t="s">
        <v>1952</v>
      </c>
      <c r="J2061" s="112" t="s">
        <v>1971</v>
      </c>
      <c r="K2061" s="112" t="s">
        <v>2243</v>
      </c>
      <c r="L2061" s="116">
        <v>83.92</v>
      </c>
    </row>
    <row r="2062" spans="1:12" hidden="1" outlineLevel="1" collapsed="1" x14ac:dyDescent="0.35">
      <c r="A2062" s="112" t="s">
        <v>1814</v>
      </c>
      <c r="B2062" s="112" t="s">
        <v>905</v>
      </c>
      <c r="C2062" s="112" t="s">
        <v>679</v>
      </c>
      <c r="D2062" s="113">
        <v>10348297</v>
      </c>
      <c r="E2062" s="115">
        <v>43938</v>
      </c>
      <c r="F2062" s="114">
        <v>202101</v>
      </c>
      <c r="G2062" s="112" t="s">
        <v>1091</v>
      </c>
      <c r="H2062" s="112" t="s">
        <v>1015</v>
      </c>
      <c r="I2062" s="112" t="s">
        <v>1952</v>
      </c>
      <c r="J2062" s="112" t="s">
        <v>1971</v>
      </c>
      <c r="K2062" s="112" t="s">
        <v>2244</v>
      </c>
      <c r="L2062" s="116">
        <v>83.92</v>
      </c>
    </row>
    <row r="2063" spans="1:12" hidden="1" outlineLevel="1" collapsed="1" x14ac:dyDescent="0.35">
      <c r="A2063" s="112" t="s">
        <v>1814</v>
      </c>
      <c r="B2063" s="112" t="s">
        <v>905</v>
      </c>
      <c r="C2063" s="112" t="s">
        <v>679</v>
      </c>
      <c r="D2063" s="113">
        <v>10348297</v>
      </c>
      <c r="E2063" s="115">
        <v>43938</v>
      </c>
      <c r="F2063" s="114">
        <v>202101</v>
      </c>
      <c r="G2063" s="112" t="s">
        <v>1091</v>
      </c>
      <c r="H2063" s="112" t="s">
        <v>1015</v>
      </c>
      <c r="I2063" s="112" t="s">
        <v>1952</v>
      </c>
      <c r="J2063" s="112" t="s">
        <v>1971</v>
      </c>
      <c r="K2063" s="112" t="s">
        <v>2245</v>
      </c>
      <c r="L2063" s="116">
        <v>83.92</v>
      </c>
    </row>
    <row r="2064" spans="1:12" hidden="1" outlineLevel="1" collapsed="1" x14ac:dyDescent="0.35">
      <c r="A2064" s="112" t="s">
        <v>1814</v>
      </c>
      <c r="B2064" s="112" t="s">
        <v>905</v>
      </c>
      <c r="C2064" s="112" t="s">
        <v>679</v>
      </c>
      <c r="D2064" s="113">
        <v>10348297</v>
      </c>
      <c r="E2064" s="115">
        <v>43938</v>
      </c>
      <c r="F2064" s="114">
        <v>202101</v>
      </c>
      <c r="G2064" s="112" t="s">
        <v>1091</v>
      </c>
      <c r="H2064" s="112" t="s">
        <v>1015</v>
      </c>
      <c r="I2064" s="112" t="s">
        <v>1952</v>
      </c>
      <c r="J2064" s="112" t="s">
        <v>1971</v>
      </c>
      <c r="K2064" s="112" t="s">
        <v>2246</v>
      </c>
      <c r="L2064" s="116">
        <v>83.92</v>
      </c>
    </row>
    <row r="2065" spans="1:12" hidden="1" outlineLevel="1" collapsed="1" x14ac:dyDescent="0.35">
      <c r="A2065" s="112" t="s">
        <v>1814</v>
      </c>
      <c r="B2065" s="112" t="s">
        <v>905</v>
      </c>
      <c r="C2065" s="112" t="s">
        <v>679</v>
      </c>
      <c r="D2065" s="113">
        <v>10348297</v>
      </c>
      <c r="E2065" s="115">
        <v>43938</v>
      </c>
      <c r="F2065" s="114">
        <v>202101</v>
      </c>
      <c r="G2065" s="112" t="s">
        <v>1091</v>
      </c>
      <c r="H2065" s="112" t="s">
        <v>1015</v>
      </c>
      <c r="I2065" s="112" t="s">
        <v>1952</v>
      </c>
      <c r="J2065" s="112" t="s">
        <v>1971</v>
      </c>
      <c r="K2065" s="112" t="s">
        <v>2247</v>
      </c>
      <c r="L2065" s="116">
        <v>94.84</v>
      </c>
    </row>
    <row r="2066" spans="1:12" hidden="1" outlineLevel="1" collapsed="1" x14ac:dyDescent="0.35">
      <c r="A2066" s="112" t="s">
        <v>1814</v>
      </c>
      <c r="B2066" s="112" t="s">
        <v>906</v>
      </c>
      <c r="C2066" s="112" t="s">
        <v>1095</v>
      </c>
      <c r="D2066" s="113">
        <v>10348451</v>
      </c>
      <c r="E2066" s="115">
        <v>43949</v>
      </c>
      <c r="F2066" s="114">
        <v>202101</v>
      </c>
      <c r="G2066" s="112" t="s">
        <v>1091</v>
      </c>
      <c r="H2066" s="112" t="s">
        <v>1015</v>
      </c>
      <c r="I2066" s="112" t="s">
        <v>1101</v>
      </c>
      <c r="J2066" s="112" t="s">
        <v>1852</v>
      </c>
      <c r="K2066" s="112" t="s">
        <v>1098</v>
      </c>
      <c r="L2066" s="116">
        <v>549.4</v>
      </c>
    </row>
    <row r="2067" spans="1:12" hidden="1" outlineLevel="1" collapsed="1" x14ac:dyDescent="0.35">
      <c r="A2067" s="112" t="s">
        <v>1814</v>
      </c>
      <c r="B2067" s="112" t="s">
        <v>905</v>
      </c>
      <c r="C2067" s="112" t="s">
        <v>679</v>
      </c>
      <c r="D2067" s="113">
        <v>10348297</v>
      </c>
      <c r="E2067" s="115">
        <v>43938</v>
      </c>
      <c r="F2067" s="114">
        <v>202101</v>
      </c>
      <c r="G2067" s="112" t="s">
        <v>1091</v>
      </c>
      <c r="H2067" s="112" t="s">
        <v>1015</v>
      </c>
      <c r="I2067" s="112" t="s">
        <v>1952</v>
      </c>
      <c r="J2067" s="112" t="s">
        <v>1817</v>
      </c>
      <c r="K2067" s="112" t="s">
        <v>2248</v>
      </c>
      <c r="L2067" s="116">
        <v>500</v>
      </c>
    </row>
    <row r="2068" spans="1:12" hidden="1" outlineLevel="1" collapsed="1" x14ac:dyDescent="0.35">
      <c r="A2068" s="112" t="s">
        <v>1814</v>
      </c>
      <c r="B2068" s="112" t="s">
        <v>905</v>
      </c>
      <c r="C2068" s="112" t="s">
        <v>679</v>
      </c>
      <c r="D2068" s="113">
        <v>10348297</v>
      </c>
      <c r="E2068" s="115">
        <v>43938</v>
      </c>
      <c r="F2068" s="114">
        <v>202101</v>
      </c>
      <c r="G2068" s="112" t="s">
        <v>1091</v>
      </c>
      <c r="H2068" s="112" t="s">
        <v>1015</v>
      </c>
      <c r="I2068" s="112" t="s">
        <v>1952</v>
      </c>
      <c r="J2068" s="112" t="s">
        <v>1971</v>
      </c>
      <c r="K2068" s="112" t="s">
        <v>2249</v>
      </c>
      <c r="L2068" s="116">
        <v>72.52</v>
      </c>
    </row>
    <row r="2069" spans="1:12" hidden="1" outlineLevel="1" collapsed="1" x14ac:dyDescent="0.35">
      <c r="A2069" s="112" t="s">
        <v>1814</v>
      </c>
      <c r="B2069" s="112" t="s">
        <v>905</v>
      </c>
      <c r="C2069" s="112" t="s">
        <v>679</v>
      </c>
      <c r="D2069" s="113">
        <v>10348297</v>
      </c>
      <c r="E2069" s="115">
        <v>43938</v>
      </c>
      <c r="F2069" s="114">
        <v>202101</v>
      </c>
      <c r="G2069" s="112" t="s">
        <v>1091</v>
      </c>
      <c r="H2069" s="112" t="s">
        <v>1015</v>
      </c>
      <c r="I2069" s="112" t="s">
        <v>1952</v>
      </c>
      <c r="J2069" s="112" t="s">
        <v>1971</v>
      </c>
      <c r="K2069" s="112" t="s">
        <v>2250</v>
      </c>
      <c r="L2069" s="116">
        <v>83.92</v>
      </c>
    </row>
    <row r="2070" spans="1:12" hidden="1" outlineLevel="1" collapsed="1" x14ac:dyDescent="0.35">
      <c r="A2070" s="112" t="s">
        <v>1814</v>
      </c>
      <c r="B2070" s="112" t="s">
        <v>905</v>
      </c>
      <c r="C2070" s="112" t="s">
        <v>679</v>
      </c>
      <c r="D2070" s="113">
        <v>10348297</v>
      </c>
      <c r="E2070" s="115">
        <v>43938</v>
      </c>
      <c r="F2070" s="114">
        <v>202101</v>
      </c>
      <c r="G2070" s="112" t="s">
        <v>1091</v>
      </c>
      <c r="H2070" s="112" t="s">
        <v>1015</v>
      </c>
      <c r="I2070" s="112" t="s">
        <v>1952</v>
      </c>
      <c r="J2070" s="112" t="s">
        <v>1971</v>
      </c>
      <c r="K2070" s="112" t="s">
        <v>2251</v>
      </c>
      <c r="L2070" s="116">
        <v>83.92</v>
      </c>
    </row>
    <row r="2071" spans="1:12" hidden="1" outlineLevel="1" collapsed="1" x14ac:dyDescent="0.35">
      <c r="A2071" s="112" t="s">
        <v>1814</v>
      </c>
      <c r="B2071" s="112" t="s">
        <v>905</v>
      </c>
      <c r="C2071" s="112" t="s">
        <v>679</v>
      </c>
      <c r="D2071" s="113">
        <v>10348297</v>
      </c>
      <c r="E2071" s="115">
        <v>43938</v>
      </c>
      <c r="F2071" s="114">
        <v>202101</v>
      </c>
      <c r="G2071" s="112" t="s">
        <v>1091</v>
      </c>
      <c r="H2071" s="112" t="s">
        <v>1015</v>
      </c>
      <c r="I2071" s="112" t="s">
        <v>1952</v>
      </c>
      <c r="J2071" s="112" t="s">
        <v>1971</v>
      </c>
      <c r="K2071" s="112" t="s">
        <v>2252</v>
      </c>
      <c r="L2071" s="116">
        <v>83.92</v>
      </c>
    </row>
    <row r="2072" spans="1:12" hidden="1" outlineLevel="1" collapsed="1" x14ac:dyDescent="0.35">
      <c r="A2072" s="112" t="s">
        <v>1814</v>
      </c>
      <c r="B2072" s="112" t="s">
        <v>905</v>
      </c>
      <c r="C2072" s="112" t="s">
        <v>1219</v>
      </c>
      <c r="D2072" s="113">
        <v>46307243</v>
      </c>
      <c r="E2072" s="115">
        <v>43936</v>
      </c>
      <c r="F2072" s="114">
        <v>202101</v>
      </c>
      <c r="G2072" s="112" t="s">
        <v>1091</v>
      </c>
      <c r="H2072" s="112" t="s">
        <v>1015</v>
      </c>
      <c r="I2072" s="112" t="s">
        <v>1952</v>
      </c>
      <c r="J2072" s="112" t="s">
        <v>1971</v>
      </c>
      <c r="K2072" s="112" t="s">
        <v>2177</v>
      </c>
      <c r="L2072" s="116">
        <v>83.92</v>
      </c>
    </row>
    <row r="2073" spans="1:12" hidden="1" outlineLevel="1" collapsed="1" x14ac:dyDescent="0.35">
      <c r="A2073" s="112" t="s">
        <v>1814</v>
      </c>
      <c r="B2073" s="112" t="s">
        <v>905</v>
      </c>
      <c r="C2073" s="112" t="s">
        <v>1095</v>
      </c>
      <c r="D2073" s="113">
        <v>10348451</v>
      </c>
      <c r="E2073" s="115">
        <v>43949</v>
      </c>
      <c r="F2073" s="114">
        <v>202101</v>
      </c>
      <c r="G2073" s="112" t="s">
        <v>1091</v>
      </c>
      <c r="H2073" s="112" t="s">
        <v>1015</v>
      </c>
      <c r="I2073" s="112" t="s">
        <v>1096</v>
      </c>
      <c r="J2073" s="112" t="s">
        <v>1839</v>
      </c>
      <c r="K2073" s="112" t="s">
        <v>1098</v>
      </c>
      <c r="L2073" s="116">
        <v>310.49</v>
      </c>
    </row>
    <row r="2074" spans="1:12" hidden="1" outlineLevel="1" collapsed="1" x14ac:dyDescent="0.35">
      <c r="A2074" s="112" t="s">
        <v>1814</v>
      </c>
      <c r="B2074" s="112" t="s">
        <v>906</v>
      </c>
      <c r="C2074" s="112" t="s">
        <v>1095</v>
      </c>
      <c r="D2074" s="113">
        <v>10348451</v>
      </c>
      <c r="E2074" s="115">
        <v>43949</v>
      </c>
      <c r="F2074" s="114">
        <v>202101</v>
      </c>
      <c r="G2074" s="112" t="s">
        <v>1091</v>
      </c>
      <c r="H2074" s="112" t="s">
        <v>1015</v>
      </c>
      <c r="I2074" s="112" t="s">
        <v>1096</v>
      </c>
      <c r="J2074" s="112" t="s">
        <v>1852</v>
      </c>
      <c r="K2074" s="112" t="s">
        <v>1098</v>
      </c>
      <c r="L2074" s="116">
        <v>647.9</v>
      </c>
    </row>
    <row r="2075" spans="1:12" hidden="1" outlineLevel="1" collapsed="1" x14ac:dyDescent="0.35">
      <c r="A2075" s="112" t="s">
        <v>1814</v>
      </c>
      <c r="B2075" s="112" t="s">
        <v>906</v>
      </c>
      <c r="C2075" s="112" t="s">
        <v>1099</v>
      </c>
      <c r="D2075" s="113">
        <v>1069524</v>
      </c>
      <c r="E2075" s="115">
        <v>43921</v>
      </c>
      <c r="F2075" s="114">
        <v>202101</v>
      </c>
      <c r="G2075" s="112" t="s">
        <v>1091</v>
      </c>
      <c r="H2075" s="112" t="s">
        <v>1015</v>
      </c>
      <c r="I2075" s="112" t="s">
        <v>761</v>
      </c>
      <c r="J2075" s="112" t="s">
        <v>1815</v>
      </c>
      <c r="K2075" s="112" t="s">
        <v>2253</v>
      </c>
      <c r="L2075" s="116">
        <v>28.45</v>
      </c>
    </row>
    <row r="2076" spans="1:12" hidden="1" outlineLevel="1" collapsed="1" x14ac:dyDescent="0.35">
      <c r="A2076" s="112" t="s">
        <v>1814</v>
      </c>
      <c r="B2076" s="112" t="s">
        <v>906</v>
      </c>
      <c r="C2076" s="112" t="s">
        <v>1099</v>
      </c>
      <c r="D2076" s="113">
        <v>1069523</v>
      </c>
      <c r="E2076" s="115">
        <v>43921</v>
      </c>
      <c r="F2076" s="114">
        <v>202101</v>
      </c>
      <c r="G2076" s="112" t="s">
        <v>1091</v>
      </c>
      <c r="H2076" s="112" t="s">
        <v>1015</v>
      </c>
      <c r="I2076" s="112" t="s">
        <v>761</v>
      </c>
      <c r="J2076" s="112" t="s">
        <v>1815</v>
      </c>
      <c r="K2076" s="112" t="s">
        <v>2254</v>
      </c>
      <c r="L2076" s="116">
        <v>85.35</v>
      </c>
    </row>
    <row r="2077" spans="1:12" hidden="1" outlineLevel="1" collapsed="1" x14ac:dyDescent="0.35">
      <c r="A2077" s="112" t="s">
        <v>1814</v>
      </c>
      <c r="B2077" s="112" t="s">
        <v>905</v>
      </c>
      <c r="C2077" s="112" t="s">
        <v>1095</v>
      </c>
      <c r="D2077" s="113">
        <v>10348451</v>
      </c>
      <c r="E2077" s="115">
        <v>43949</v>
      </c>
      <c r="F2077" s="114">
        <v>202101</v>
      </c>
      <c r="G2077" s="112" t="s">
        <v>1091</v>
      </c>
      <c r="H2077" s="112" t="s">
        <v>1015</v>
      </c>
      <c r="I2077" s="112" t="s">
        <v>2255</v>
      </c>
      <c r="J2077" s="112" t="s">
        <v>1827</v>
      </c>
      <c r="K2077" s="112" t="s">
        <v>1098</v>
      </c>
      <c r="L2077" s="116">
        <v>460</v>
      </c>
    </row>
    <row r="2078" spans="1:12" hidden="1" outlineLevel="1" collapsed="1" x14ac:dyDescent="0.35">
      <c r="A2078" s="112" t="s">
        <v>1814</v>
      </c>
      <c r="B2078" s="112" t="s">
        <v>906</v>
      </c>
      <c r="C2078" s="112" t="s">
        <v>1095</v>
      </c>
      <c r="D2078" s="113">
        <v>10348451</v>
      </c>
      <c r="E2078" s="115">
        <v>43949</v>
      </c>
      <c r="F2078" s="114">
        <v>202101</v>
      </c>
      <c r="G2078" s="112" t="s">
        <v>1091</v>
      </c>
      <c r="H2078" s="112" t="s">
        <v>1015</v>
      </c>
      <c r="I2078" s="112" t="s">
        <v>1096</v>
      </c>
      <c r="J2078" s="112" t="s">
        <v>1852</v>
      </c>
      <c r="K2078" s="112" t="s">
        <v>1098</v>
      </c>
      <c r="L2078" s="116">
        <v>378.29</v>
      </c>
    </row>
    <row r="2079" spans="1:12" hidden="1" outlineLevel="1" collapsed="1" x14ac:dyDescent="0.35">
      <c r="A2079" s="112" t="s">
        <v>1814</v>
      </c>
      <c r="B2079" s="112" t="s">
        <v>905</v>
      </c>
      <c r="C2079" s="112" t="s">
        <v>1219</v>
      </c>
      <c r="D2079" s="113">
        <v>46308189</v>
      </c>
      <c r="E2079" s="115">
        <v>43951</v>
      </c>
      <c r="F2079" s="114">
        <v>202101</v>
      </c>
      <c r="G2079" s="112" t="s">
        <v>1091</v>
      </c>
      <c r="H2079" s="112" t="s">
        <v>1015</v>
      </c>
      <c r="I2079" s="112" t="s">
        <v>1952</v>
      </c>
      <c r="J2079" s="112" t="s">
        <v>1971</v>
      </c>
      <c r="K2079" s="112" t="s">
        <v>2256</v>
      </c>
      <c r="L2079" s="116">
        <v>500</v>
      </c>
    </row>
    <row r="2080" spans="1:12" hidden="1" outlineLevel="1" collapsed="1" x14ac:dyDescent="0.35">
      <c r="A2080" s="112" t="s">
        <v>1814</v>
      </c>
      <c r="B2080" s="112" t="s">
        <v>906</v>
      </c>
      <c r="C2080" s="112" t="s">
        <v>1095</v>
      </c>
      <c r="D2080" s="113">
        <v>10348451</v>
      </c>
      <c r="E2080" s="115">
        <v>43949</v>
      </c>
      <c r="F2080" s="114">
        <v>202101</v>
      </c>
      <c r="G2080" s="112" t="s">
        <v>1091</v>
      </c>
      <c r="H2080" s="112" t="s">
        <v>1015</v>
      </c>
      <c r="I2080" s="112" t="s">
        <v>1096</v>
      </c>
      <c r="J2080" s="112" t="s">
        <v>1852</v>
      </c>
      <c r="K2080" s="112" t="s">
        <v>1098</v>
      </c>
      <c r="L2080" s="116">
        <v>366.99</v>
      </c>
    </row>
    <row r="2081" spans="1:12" hidden="1" outlineLevel="1" collapsed="1" x14ac:dyDescent="0.35">
      <c r="A2081" s="112" t="s">
        <v>1814</v>
      </c>
      <c r="B2081" s="112" t="s">
        <v>906</v>
      </c>
      <c r="C2081" s="112" t="s">
        <v>1095</v>
      </c>
      <c r="D2081" s="113">
        <v>10348451</v>
      </c>
      <c r="E2081" s="115">
        <v>43949</v>
      </c>
      <c r="F2081" s="114">
        <v>202101</v>
      </c>
      <c r="G2081" s="112" t="s">
        <v>1091</v>
      </c>
      <c r="H2081" s="112" t="s">
        <v>1015</v>
      </c>
      <c r="I2081" s="112" t="s">
        <v>1096</v>
      </c>
      <c r="J2081" s="112" t="s">
        <v>1852</v>
      </c>
      <c r="K2081" s="112" t="s">
        <v>1098</v>
      </c>
      <c r="L2081" s="116">
        <v>366.99</v>
      </c>
    </row>
    <row r="2082" spans="1:12" hidden="1" outlineLevel="1" collapsed="1" x14ac:dyDescent="0.35">
      <c r="A2082" s="112" t="s">
        <v>1814</v>
      </c>
      <c r="B2082" s="112" t="s">
        <v>906</v>
      </c>
      <c r="C2082" s="112" t="s">
        <v>1095</v>
      </c>
      <c r="D2082" s="113">
        <v>10348451</v>
      </c>
      <c r="E2082" s="115">
        <v>43949</v>
      </c>
      <c r="F2082" s="114">
        <v>202101</v>
      </c>
      <c r="G2082" s="112" t="s">
        <v>1091</v>
      </c>
      <c r="H2082" s="112" t="s">
        <v>1015</v>
      </c>
      <c r="I2082" s="112" t="s">
        <v>1096</v>
      </c>
      <c r="J2082" s="112" t="s">
        <v>1852</v>
      </c>
      <c r="K2082" s="112" t="s">
        <v>1098</v>
      </c>
      <c r="L2082" s="116">
        <v>366.99</v>
      </c>
    </row>
    <row r="2083" spans="1:12" hidden="1" outlineLevel="1" collapsed="1" x14ac:dyDescent="0.35">
      <c r="A2083" s="112" t="s">
        <v>1814</v>
      </c>
      <c r="B2083" s="112" t="s">
        <v>906</v>
      </c>
      <c r="C2083" s="112" t="s">
        <v>1095</v>
      </c>
      <c r="D2083" s="113">
        <v>10348451</v>
      </c>
      <c r="E2083" s="115">
        <v>43949</v>
      </c>
      <c r="F2083" s="114">
        <v>202101</v>
      </c>
      <c r="G2083" s="112" t="s">
        <v>1091</v>
      </c>
      <c r="H2083" s="112" t="s">
        <v>1015</v>
      </c>
      <c r="I2083" s="112" t="s">
        <v>1096</v>
      </c>
      <c r="J2083" s="112" t="s">
        <v>1852</v>
      </c>
      <c r="K2083" s="112" t="s">
        <v>1098</v>
      </c>
      <c r="L2083" s="116">
        <v>271.86</v>
      </c>
    </row>
    <row r="2084" spans="1:12" hidden="1" outlineLevel="1" collapsed="1" x14ac:dyDescent="0.35">
      <c r="A2084" s="112" t="s">
        <v>1814</v>
      </c>
      <c r="B2084" s="112" t="s">
        <v>906</v>
      </c>
      <c r="C2084" s="112" t="s">
        <v>1095</v>
      </c>
      <c r="D2084" s="113">
        <v>10348451</v>
      </c>
      <c r="E2084" s="115">
        <v>43949</v>
      </c>
      <c r="F2084" s="114">
        <v>202101</v>
      </c>
      <c r="G2084" s="112" t="s">
        <v>1091</v>
      </c>
      <c r="H2084" s="112" t="s">
        <v>1015</v>
      </c>
      <c r="I2084" s="112" t="s">
        <v>1096</v>
      </c>
      <c r="J2084" s="112" t="s">
        <v>1852</v>
      </c>
      <c r="K2084" s="112" t="s">
        <v>1098</v>
      </c>
      <c r="L2084" s="116">
        <v>366.99</v>
      </c>
    </row>
    <row r="2085" spans="1:12" hidden="1" outlineLevel="1" collapsed="1" x14ac:dyDescent="0.35">
      <c r="A2085" s="112" t="s">
        <v>1814</v>
      </c>
      <c r="B2085" s="112" t="s">
        <v>906</v>
      </c>
      <c r="C2085" s="112" t="s">
        <v>1095</v>
      </c>
      <c r="D2085" s="113">
        <v>10348451</v>
      </c>
      <c r="E2085" s="115">
        <v>43949</v>
      </c>
      <c r="F2085" s="114">
        <v>202101</v>
      </c>
      <c r="G2085" s="112" t="s">
        <v>1091</v>
      </c>
      <c r="H2085" s="112" t="s">
        <v>1015</v>
      </c>
      <c r="I2085" s="112" t="s">
        <v>1096</v>
      </c>
      <c r="J2085" s="112" t="s">
        <v>1852</v>
      </c>
      <c r="K2085" s="112" t="s">
        <v>1098</v>
      </c>
      <c r="L2085" s="116">
        <v>366.99</v>
      </c>
    </row>
    <row r="2086" spans="1:12" hidden="1" outlineLevel="1" collapsed="1" x14ac:dyDescent="0.35">
      <c r="A2086" s="112" t="s">
        <v>1814</v>
      </c>
      <c r="B2086" s="112" t="s">
        <v>906</v>
      </c>
      <c r="C2086" s="112" t="s">
        <v>1095</v>
      </c>
      <c r="D2086" s="113">
        <v>10348451</v>
      </c>
      <c r="E2086" s="115">
        <v>43949</v>
      </c>
      <c r="F2086" s="114">
        <v>202101</v>
      </c>
      <c r="G2086" s="112" t="s">
        <v>1091</v>
      </c>
      <c r="H2086" s="112" t="s">
        <v>1015</v>
      </c>
      <c r="I2086" s="112" t="s">
        <v>1096</v>
      </c>
      <c r="J2086" s="112" t="s">
        <v>1852</v>
      </c>
      <c r="K2086" s="112" t="s">
        <v>1098</v>
      </c>
      <c r="L2086" s="116">
        <v>366.99</v>
      </c>
    </row>
    <row r="2087" spans="1:12" hidden="1" outlineLevel="1" collapsed="1" x14ac:dyDescent="0.35">
      <c r="A2087" s="112" t="s">
        <v>1814</v>
      </c>
      <c r="B2087" s="112" t="s">
        <v>906</v>
      </c>
      <c r="C2087" s="112" t="s">
        <v>1095</v>
      </c>
      <c r="D2087" s="113">
        <v>10348451</v>
      </c>
      <c r="E2087" s="115">
        <v>43949</v>
      </c>
      <c r="F2087" s="114">
        <v>202101</v>
      </c>
      <c r="G2087" s="112" t="s">
        <v>1091</v>
      </c>
      <c r="H2087" s="112" t="s">
        <v>1015</v>
      </c>
      <c r="I2087" s="112" t="s">
        <v>1096</v>
      </c>
      <c r="J2087" s="112" t="s">
        <v>1852</v>
      </c>
      <c r="K2087" s="112" t="s">
        <v>1098</v>
      </c>
      <c r="L2087" s="116">
        <v>366.99</v>
      </c>
    </row>
    <row r="2088" spans="1:12" hidden="1" outlineLevel="1" collapsed="1" x14ac:dyDescent="0.35">
      <c r="A2088" s="112" t="s">
        <v>1814</v>
      </c>
      <c r="B2088" s="112" t="s">
        <v>906</v>
      </c>
      <c r="C2088" s="112" t="s">
        <v>1095</v>
      </c>
      <c r="D2088" s="113">
        <v>10348451</v>
      </c>
      <c r="E2088" s="115">
        <v>43949</v>
      </c>
      <c r="F2088" s="114">
        <v>202101</v>
      </c>
      <c r="G2088" s="112" t="s">
        <v>1091</v>
      </c>
      <c r="H2088" s="112" t="s">
        <v>1015</v>
      </c>
      <c r="I2088" s="112" t="s">
        <v>1096</v>
      </c>
      <c r="J2088" s="112" t="s">
        <v>1852</v>
      </c>
      <c r="K2088" s="112" t="s">
        <v>1098</v>
      </c>
      <c r="L2088" s="116">
        <v>210.79</v>
      </c>
    </row>
    <row r="2089" spans="1:12" hidden="1" outlineLevel="1" collapsed="1" x14ac:dyDescent="0.35">
      <c r="A2089" s="112" t="s">
        <v>1814</v>
      </c>
      <c r="B2089" s="112" t="s">
        <v>905</v>
      </c>
      <c r="C2089" s="112" t="s">
        <v>1095</v>
      </c>
      <c r="D2089" s="113">
        <v>10348451</v>
      </c>
      <c r="E2089" s="115">
        <v>43949</v>
      </c>
      <c r="F2089" s="114">
        <v>202101</v>
      </c>
      <c r="G2089" s="112" t="s">
        <v>1091</v>
      </c>
      <c r="H2089" s="112" t="s">
        <v>1015</v>
      </c>
      <c r="I2089" s="112" t="s">
        <v>1101</v>
      </c>
      <c r="J2089" s="112" t="s">
        <v>1839</v>
      </c>
      <c r="K2089" s="112" t="s">
        <v>1098</v>
      </c>
      <c r="L2089" s="116">
        <v>483.07</v>
      </c>
    </row>
    <row r="2090" spans="1:12" hidden="1" outlineLevel="1" collapsed="1" x14ac:dyDescent="0.35">
      <c r="A2090" s="112" t="s">
        <v>1814</v>
      </c>
      <c r="B2090" s="112" t="s">
        <v>906</v>
      </c>
      <c r="C2090" s="112" t="s">
        <v>1095</v>
      </c>
      <c r="D2090" s="113">
        <v>10348451</v>
      </c>
      <c r="E2090" s="115">
        <v>43949</v>
      </c>
      <c r="F2090" s="114">
        <v>202101</v>
      </c>
      <c r="G2090" s="112" t="s">
        <v>1091</v>
      </c>
      <c r="H2090" s="112" t="s">
        <v>1015</v>
      </c>
      <c r="I2090" s="112" t="s">
        <v>1096</v>
      </c>
      <c r="J2090" s="112" t="s">
        <v>1852</v>
      </c>
      <c r="K2090" s="112" t="s">
        <v>1098</v>
      </c>
      <c r="L2090" s="116">
        <v>366.99</v>
      </c>
    </row>
    <row r="2091" spans="1:12" hidden="1" outlineLevel="1" collapsed="1" x14ac:dyDescent="0.35">
      <c r="A2091" s="112" t="s">
        <v>1814</v>
      </c>
      <c r="B2091" s="112" t="s">
        <v>906</v>
      </c>
      <c r="C2091" s="112" t="s">
        <v>1095</v>
      </c>
      <c r="D2091" s="113">
        <v>10348451</v>
      </c>
      <c r="E2091" s="115">
        <v>43949</v>
      </c>
      <c r="F2091" s="114">
        <v>202101</v>
      </c>
      <c r="G2091" s="112" t="s">
        <v>1091</v>
      </c>
      <c r="H2091" s="112" t="s">
        <v>1015</v>
      </c>
      <c r="I2091" s="112" t="s">
        <v>1096</v>
      </c>
      <c r="J2091" s="112" t="s">
        <v>1852</v>
      </c>
      <c r="K2091" s="112" t="s">
        <v>1098</v>
      </c>
      <c r="L2091" s="116">
        <v>262.10000000000002</v>
      </c>
    </row>
    <row r="2092" spans="1:12" hidden="1" outlineLevel="1" collapsed="1" x14ac:dyDescent="0.35">
      <c r="A2092" s="112" t="s">
        <v>1814</v>
      </c>
      <c r="B2092" s="112" t="s">
        <v>906</v>
      </c>
      <c r="C2092" s="112" t="s">
        <v>1095</v>
      </c>
      <c r="D2092" s="113">
        <v>10348451</v>
      </c>
      <c r="E2092" s="115">
        <v>43949</v>
      </c>
      <c r="F2092" s="114">
        <v>202101</v>
      </c>
      <c r="G2092" s="112" t="s">
        <v>1091</v>
      </c>
      <c r="H2092" s="112" t="s">
        <v>1015</v>
      </c>
      <c r="I2092" s="112" t="s">
        <v>1096</v>
      </c>
      <c r="J2092" s="112" t="s">
        <v>1852</v>
      </c>
      <c r="K2092" s="112" t="s">
        <v>1098</v>
      </c>
      <c r="L2092" s="116">
        <v>310.49</v>
      </c>
    </row>
    <row r="2093" spans="1:12" hidden="1" outlineLevel="1" collapsed="1" x14ac:dyDescent="0.35">
      <c r="A2093" s="112" t="s">
        <v>1814</v>
      </c>
      <c r="B2093" s="112" t="s">
        <v>905</v>
      </c>
      <c r="C2093" s="112" t="s">
        <v>695</v>
      </c>
      <c r="D2093" s="113">
        <v>10347977</v>
      </c>
      <c r="E2093" s="115">
        <v>43924</v>
      </c>
      <c r="F2093" s="114">
        <v>202101</v>
      </c>
      <c r="G2093" s="112" t="s">
        <v>1091</v>
      </c>
      <c r="H2093" s="112" t="s">
        <v>1015</v>
      </c>
      <c r="I2093" s="112" t="s">
        <v>751</v>
      </c>
      <c r="J2093" s="112" t="s">
        <v>1822</v>
      </c>
      <c r="K2093" s="112" t="s">
        <v>2257</v>
      </c>
      <c r="L2093" s="116">
        <v>-54</v>
      </c>
    </row>
    <row r="2094" spans="1:12" hidden="1" outlineLevel="1" collapsed="1" x14ac:dyDescent="0.35">
      <c r="A2094" s="112" t="s">
        <v>1814</v>
      </c>
      <c r="B2094" s="112" t="s">
        <v>905</v>
      </c>
      <c r="C2094" s="112" t="s">
        <v>695</v>
      </c>
      <c r="D2094" s="113">
        <v>10348547</v>
      </c>
      <c r="E2094" s="115">
        <v>43952</v>
      </c>
      <c r="F2094" s="114">
        <v>202101</v>
      </c>
      <c r="G2094" s="112" t="s">
        <v>1091</v>
      </c>
      <c r="H2094" s="112" t="s">
        <v>1015</v>
      </c>
      <c r="I2094" s="112" t="s">
        <v>1950</v>
      </c>
      <c r="J2094" s="112" t="s">
        <v>1839</v>
      </c>
      <c r="K2094" s="112" t="s">
        <v>2258</v>
      </c>
      <c r="L2094" s="116">
        <v>4107.84</v>
      </c>
    </row>
    <row r="2095" spans="1:12" hidden="1" outlineLevel="1" collapsed="1" x14ac:dyDescent="0.35">
      <c r="A2095" s="112" t="s">
        <v>1814</v>
      </c>
      <c r="B2095" s="112" t="s">
        <v>905</v>
      </c>
      <c r="C2095" s="112" t="s">
        <v>695</v>
      </c>
      <c r="D2095" s="113">
        <v>10348547</v>
      </c>
      <c r="E2095" s="115">
        <v>43952</v>
      </c>
      <c r="F2095" s="114">
        <v>202101</v>
      </c>
      <c r="G2095" s="112" t="s">
        <v>1091</v>
      </c>
      <c r="H2095" s="112" t="s">
        <v>1015</v>
      </c>
      <c r="I2095" s="112" t="s">
        <v>1950</v>
      </c>
      <c r="J2095" s="112" t="s">
        <v>1839</v>
      </c>
      <c r="K2095" s="112" t="s">
        <v>2259</v>
      </c>
      <c r="L2095" s="116">
        <v>-1157.04</v>
      </c>
    </row>
    <row r="2096" spans="1:12" hidden="1" outlineLevel="1" collapsed="1" x14ac:dyDescent="0.35">
      <c r="A2096" s="112" t="s">
        <v>1814</v>
      </c>
      <c r="B2096" s="112" t="s">
        <v>905</v>
      </c>
      <c r="C2096" s="112" t="s">
        <v>695</v>
      </c>
      <c r="D2096" s="113">
        <v>10348547</v>
      </c>
      <c r="E2096" s="115">
        <v>43952</v>
      </c>
      <c r="F2096" s="114">
        <v>202101</v>
      </c>
      <c r="G2096" s="112" t="s">
        <v>1091</v>
      </c>
      <c r="H2096" s="112" t="s">
        <v>1015</v>
      </c>
      <c r="I2096" s="112" t="s">
        <v>1950</v>
      </c>
      <c r="J2096" s="112" t="s">
        <v>1839</v>
      </c>
      <c r="K2096" s="112" t="s">
        <v>2259</v>
      </c>
      <c r="L2096" s="116">
        <v>-49143.9</v>
      </c>
    </row>
    <row r="2097" spans="1:12" hidden="1" outlineLevel="1" collapsed="1" x14ac:dyDescent="0.35">
      <c r="A2097" s="112" t="s">
        <v>1814</v>
      </c>
      <c r="B2097" s="112" t="s">
        <v>905</v>
      </c>
      <c r="C2097" s="112" t="s">
        <v>695</v>
      </c>
      <c r="D2097" s="113">
        <v>10348547</v>
      </c>
      <c r="E2097" s="115">
        <v>43952</v>
      </c>
      <c r="F2097" s="114">
        <v>202101</v>
      </c>
      <c r="G2097" s="112" t="s">
        <v>1091</v>
      </c>
      <c r="H2097" s="112" t="s">
        <v>1015</v>
      </c>
      <c r="I2097" s="112" t="s">
        <v>1950</v>
      </c>
      <c r="J2097" s="112" t="s">
        <v>1839</v>
      </c>
      <c r="K2097" s="112" t="s">
        <v>2260</v>
      </c>
      <c r="L2097" s="116">
        <v>1157.04</v>
      </c>
    </row>
    <row r="2098" spans="1:12" hidden="1" outlineLevel="1" collapsed="1" x14ac:dyDescent="0.35">
      <c r="A2098" s="112" t="s">
        <v>1814</v>
      </c>
      <c r="B2098" s="112" t="s">
        <v>905</v>
      </c>
      <c r="C2098" s="112" t="s">
        <v>695</v>
      </c>
      <c r="D2098" s="113">
        <v>10348547</v>
      </c>
      <c r="E2098" s="115">
        <v>43952</v>
      </c>
      <c r="F2098" s="114">
        <v>202101</v>
      </c>
      <c r="G2098" s="112" t="s">
        <v>1091</v>
      </c>
      <c r="H2098" s="112" t="s">
        <v>1015</v>
      </c>
      <c r="I2098" s="112" t="s">
        <v>1950</v>
      </c>
      <c r="J2098" s="112" t="s">
        <v>1839</v>
      </c>
      <c r="K2098" s="112" t="s">
        <v>2260</v>
      </c>
      <c r="L2098" s="116">
        <v>49143.9</v>
      </c>
    </row>
    <row r="2099" spans="1:12" hidden="1" outlineLevel="1" collapsed="1" x14ac:dyDescent="0.35">
      <c r="A2099" s="112" t="s">
        <v>1814</v>
      </c>
      <c r="B2099" s="112" t="s">
        <v>906</v>
      </c>
      <c r="C2099" s="112" t="s">
        <v>1095</v>
      </c>
      <c r="D2099" s="113">
        <v>10348451</v>
      </c>
      <c r="E2099" s="115">
        <v>43949</v>
      </c>
      <c r="F2099" s="114">
        <v>202101</v>
      </c>
      <c r="G2099" s="112" t="s">
        <v>1091</v>
      </c>
      <c r="H2099" s="112" t="s">
        <v>1015</v>
      </c>
      <c r="I2099" s="112" t="s">
        <v>1101</v>
      </c>
      <c r="J2099" s="112" t="s">
        <v>1852</v>
      </c>
      <c r="K2099" s="112" t="s">
        <v>1098</v>
      </c>
      <c r="L2099" s="116">
        <v>549.4</v>
      </c>
    </row>
    <row r="2100" spans="1:12" hidden="1" outlineLevel="1" collapsed="1" x14ac:dyDescent="0.35">
      <c r="A2100" s="112" t="s">
        <v>1814</v>
      </c>
      <c r="B2100" s="112" t="s">
        <v>906</v>
      </c>
      <c r="C2100" s="112" t="s">
        <v>1095</v>
      </c>
      <c r="D2100" s="113">
        <v>10348451</v>
      </c>
      <c r="E2100" s="115">
        <v>43949</v>
      </c>
      <c r="F2100" s="114">
        <v>202101</v>
      </c>
      <c r="G2100" s="112" t="s">
        <v>1091</v>
      </c>
      <c r="H2100" s="112" t="s">
        <v>1015</v>
      </c>
      <c r="I2100" s="112" t="s">
        <v>1101</v>
      </c>
      <c r="J2100" s="112" t="s">
        <v>1852</v>
      </c>
      <c r="K2100" s="112" t="s">
        <v>1098</v>
      </c>
      <c r="L2100" s="116">
        <v>562.66999999999996</v>
      </c>
    </row>
    <row r="2101" spans="1:12" hidden="1" outlineLevel="1" collapsed="1" x14ac:dyDescent="0.35">
      <c r="A2101" s="112" t="s">
        <v>1814</v>
      </c>
      <c r="B2101" s="112" t="s">
        <v>905</v>
      </c>
      <c r="C2101" s="112" t="s">
        <v>695</v>
      </c>
      <c r="D2101" s="113">
        <v>10347977</v>
      </c>
      <c r="E2101" s="115">
        <v>43924</v>
      </c>
      <c r="F2101" s="114">
        <v>202101</v>
      </c>
      <c r="G2101" s="112" t="s">
        <v>1091</v>
      </c>
      <c r="H2101" s="112" t="s">
        <v>1015</v>
      </c>
      <c r="I2101" s="112" t="s">
        <v>749</v>
      </c>
      <c r="J2101" s="112" t="s">
        <v>1822</v>
      </c>
      <c r="K2101" s="112" t="s">
        <v>2261</v>
      </c>
      <c r="L2101" s="116">
        <v>-114</v>
      </c>
    </row>
    <row r="2102" spans="1:12" hidden="1" outlineLevel="1" collapsed="1" x14ac:dyDescent="0.35">
      <c r="A2102" s="112" t="s">
        <v>1814</v>
      </c>
      <c r="B2102" s="112" t="s">
        <v>905</v>
      </c>
      <c r="C2102" s="112" t="s">
        <v>1095</v>
      </c>
      <c r="D2102" s="113">
        <v>10348451</v>
      </c>
      <c r="E2102" s="115">
        <v>43949</v>
      </c>
      <c r="F2102" s="114">
        <v>202101</v>
      </c>
      <c r="G2102" s="112" t="s">
        <v>1091</v>
      </c>
      <c r="H2102" s="112" t="s">
        <v>1015</v>
      </c>
      <c r="I2102" s="112" t="s">
        <v>1101</v>
      </c>
      <c r="J2102" s="112" t="s">
        <v>1817</v>
      </c>
      <c r="K2102" s="112" t="s">
        <v>1098</v>
      </c>
      <c r="L2102" s="116">
        <v>483.07</v>
      </c>
    </row>
    <row r="2103" spans="1:12" hidden="1" outlineLevel="1" collapsed="1" x14ac:dyDescent="0.35">
      <c r="A2103" s="112" t="s">
        <v>1814</v>
      </c>
      <c r="B2103" s="112" t="s">
        <v>906</v>
      </c>
      <c r="C2103" s="112" t="s">
        <v>695</v>
      </c>
      <c r="D2103" s="113">
        <v>10347948</v>
      </c>
      <c r="E2103" s="115">
        <v>43923</v>
      </c>
      <c r="F2103" s="114">
        <v>202101</v>
      </c>
      <c r="G2103" s="112" t="s">
        <v>1091</v>
      </c>
      <c r="H2103" s="112" t="s">
        <v>1015</v>
      </c>
      <c r="I2103" s="112" t="s">
        <v>813</v>
      </c>
      <c r="J2103" s="112" t="s">
        <v>1815</v>
      </c>
      <c r="K2103" s="112" t="s">
        <v>1830</v>
      </c>
      <c r="L2103" s="116">
        <v>-2499.2800000000002</v>
      </c>
    </row>
    <row r="2104" spans="1:12" hidden="1" outlineLevel="1" collapsed="1" x14ac:dyDescent="0.35">
      <c r="A2104" s="112" t="s">
        <v>1814</v>
      </c>
      <c r="B2104" s="112" t="s">
        <v>904</v>
      </c>
      <c r="C2104" s="112" t="s">
        <v>1095</v>
      </c>
      <c r="D2104" s="113">
        <v>10348451</v>
      </c>
      <c r="E2104" s="115">
        <v>43949</v>
      </c>
      <c r="F2104" s="114">
        <v>202101</v>
      </c>
      <c r="G2104" s="112" t="s">
        <v>1091</v>
      </c>
      <c r="H2104" s="112" t="s">
        <v>1015</v>
      </c>
      <c r="I2104" s="112" t="s">
        <v>1096</v>
      </c>
      <c r="J2104" s="112" t="s">
        <v>1838</v>
      </c>
      <c r="K2104" s="112" t="s">
        <v>1098</v>
      </c>
      <c r="L2104" s="116">
        <v>80.540000000000006</v>
      </c>
    </row>
    <row r="2105" spans="1:12" hidden="1" outlineLevel="1" collapsed="1" x14ac:dyDescent="0.35">
      <c r="A2105" s="112" t="s">
        <v>1814</v>
      </c>
      <c r="B2105" s="112" t="s">
        <v>906</v>
      </c>
      <c r="C2105" s="112" t="s">
        <v>695</v>
      </c>
      <c r="D2105" s="113">
        <v>10347954</v>
      </c>
      <c r="E2105" s="115">
        <v>43923</v>
      </c>
      <c r="F2105" s="114">
        <v>202101</v>
      </c>
      <c r="G2105" s="112" t="s">
        <v>1091</v>
      </c>
      <c r="H2105" s="112" t="s">
        <v>1015</v>
      </c>
      <c r="I2105" s="112" t="s">
        <v>813</v>
      </c>
      <c r="J2105" s="112" t="s">
        <v>1815</v>
      </c>
      <c r="K2105" s="112" t="s">
        <v>1836</v>
      </c>
      <c r="L2105" s="116">
        <v>-267.68</v>
      </c>
    </row>
    <row r="2106" spans="1:12" hidden="1" outlineLevel="1" collapsed="1" x14ac:dyDescent="0.35">
      <c r="A2106" s="112" t="s">
        <v>1814</v>
      </c>
      <c r="B2106" s="112" t="s">
        <v>906</v>
      </c>
      <c r="C2106" s="112" t="s">
        <v>695</v>
      </c>
      <c r="D2106" s="113">
        <v>10347954</v>
      </c>
      <c r="E2106" s="115">
        <v>43923</v>
      </c>
      <c r="F2106" s="114">
        <v>202101</v>
      </c>
      <c r="G2106" s="112" t="s">
        <v>1091</v>
      </c>
      <c r="H2106" s="112" t="s">
        <v>1015</v>
      </c>
      <c r="I2106" s="112" t="s">
        <v>813</v>
      </c>
      <c r="J2106" s="112" t="s">
        <v>1815</v>
      </c>
      <c r="K2106" s="112" t="s">
        <v>2262</v>
      </c>
      <c r="L2106" s="116">
        <v>-3931.09</v>
      </c>
    </row>
    <row r="2107" spans="1:12" hidden="1" outlineLevel="1" collapsed="1" x14ac:dyDescent="0.35">
      <c r="A2107" s="112" t="s">
        <v>1814</v>
      </c>
      <c r="B2107" s="112" t="s">
        <v>905</v>
      </c>
      <c r="C2107" s="112" t="s">
        <v>679</v>
      </c>
      <c r="D2107" s="113">
        <v>10348241</v>
      </c>
      <c r="E2107" s="115">
        <v>43936</v>
      </c>
      <c r="F2107" s="114">
        <v>202101</v>
      </c>
      <c r="G2107" s="112" t="s">
        <v>1091</v>
      </c>
      <c r="H2107" s="112" t="s">
        <v>1016</v>
      </c>
      <c r="I2107" s="112" t="s">
        <v>1845</v>
      </c>
      <c r="J2107" s="112" t="s">
        <v>1817</v>
      </c>
      <c r="K2107" s="112" t="s">
        <v>2263</v>
      </c>
      <c r="L2107" s="116">
        <v>-100</v>
      </c>
    </row>
    <row r="2108" spans="1:12" hidden="1" outlineLevel="1" collapsed="1" x14ac:dyDescent="0.35">
      <c r="A2108" s="112" t="s">
        <v>1814</v>
      </c>
      <c r="B2108" s="112" t="s">
        <v>906</v>
      </c>
      <c r="C2108" s="112" t="s">
        <v>695</v>
      </c>
      <c r="D2108" s="113">
        <v>10347954</v>
      </c>
      <c r="E2108" s="115">
        <v>43923</v>
      </c>
      <c r="F2108" s="114">
        <v>202101</v>
      </c>
      <c r="G2108" s="112" t="s">
        <v>1091</v>
      </c>
      <c r="H2108" s="112" t="s">
        <v>1015</v>
      </c>
      <c r="I2108" s="112" t="s">
        <v>813</v>
      </c>
      <c r="J2108" s="112" t="s">
        <v>1815</v>
      </c>
      <c r="K2108" s="112" t="s">
        <v>1833</v>
      </c>
      <c r="L2108" s="116">
        <v>-376.11</v>
      </c>
    </row>
    <row r="2109" spans="1:12" hidden="1" outlineLevel="1" collapsed="1" x14ac:dyDescent="0.35">
      <c r="A2109" s="112" t="s">
        <v>1814</v>
      </c>
      <c r="B2109" s="112" t="s">
        <v>905</v>
      </c>
      <c r="C2109" s="112" t="s">
        <v>679</v>
      </c>
      <c r="D2109" s="113">
        <v>10348241</v>
      </c>
      <c r="E2109" s="115">
        <v>43936</v>
      </c>
      <c r="F2109" s="114">
        <v>202101</v>
      </c>
      <c r="G2109" s="112" t="s">
        <v>1091</v>
      </c>
      <c r="H2109" s="112" t="s">
        <v>1016</v>
      </c>
      <c r="I2109" s="112" t="s">
        <v>1845</v>
      </c>
      <c r="J2109" s="112" t="s">
        <v>1817</v>
      </c>
      <c r="K2109" s="112" t="s">
        <v>2264</v>
      </c>
      <c r="L2109" s="116">
        <v>-80</v>
      </c>
    </row>
    <row r="2110" spans="1:12" hidden="1" outlineLevel="1" collapsed="1" x14ac:dyDescent="0.35">
      <c r="A2110" s="112" t="s">
        <v>1814</v>
      </c>
      <c r="B2110" s="112" t="s">
        <v>906</v>
      </c>
      <c r="C2110" s="112" t="s">
        <v>695</v>
      </c>
      <c r="D2110" s="113">
        <v>10347954</v>
      </c>
      <c r="E2110" s="115">
        <v>43923</v>
      </c>
      <c r="F2110" s="114">
        <v>202101</v>
      </c>
      <c r="G2110" s="112" t="s">
        <v>1091</v>
      </c>
      <c r="H2110" s="112" t="s">
        <v>1015</v>
      </c>
      <c r="I2110" s="112" t="s">
        <v>813</v>
      </c>
      <c r="J2110" s="112" t="s">
        <v>1815</v>
      </c>
      <c r="K2110" s="112" t="s">
        <v>2265</v>
      </c>
      <c r="L2110" s="116">
        <v>-97.25</v>
      </c>
    </row>
    <row r="2111" spans="1:12" hidden="1" outlineLevel="1" collapsed="1" x14ac:dyDescent="0.35">
      <c r="A2111" s="112" t="s">
        <v>1814</v>
      </c>
      <c r="B2111" s="112" t="s">
        <v>906</v>
      </c>
      <c r="C2111" s="112" t="s">
        <v>695</v>
      </c>
      <c r="D2111" s="113">
        <v>10347954</v>
      </c>
      <c r="E2111" s="115">
        <v>43923</v>
      </c>
      <c r="F2111" s="114">
        <v>202101</v>
      </c>
      <c r="G2111" s="112" t="s">
        <v>1091</v>
      </c>
      <c r="H2111" s="112" t="s">
        <v>1015</v>
      </c>
      <c r="I2111" s="112" t="s">
        <v>813</v>
      </c>
      <c r="J2111" s="112" t="s">
        <v>1815</v>
      </c>
      <c r="K2111" s="112" t="s">
        <v>1830</v>
      </c>
      <c r="L2111" s="116">
        <v>-119.99</v>
      </c>
    </row>
    <row r="2112" spans="1:12" hidden="1" outlineLevel="1" collapsed="1" x14ac:dyDescent="0.35">
      <c r="A2112" s="112" t="s">
        <v>1814</v>
      </c>
      <c r="B2112" s="112" t="s">
        <v>906</v>
      </c>
      <c r="C2112" s="112" t="s">
        <v>695</v>
      </c>
      <c r="D2112" s="113">
        <v>10347954</v>
      </c>
      <c r="E2112" s="115">
        <v>43923</v>
      </c>
      <c r="F2112" s="114">
        <v>202101</v>
      </c>
      <c r="G2112" s="112" t="s">
        <v>1091</v>
      </c>
      <c r="H2112" s="112" t="s">
        <v>1015</v>
      </c>
      <c r="I2112" s="112" t="s">
        <v>813</v>
      </c>
      <c r="J2112" s="112" t="s">
        <v>1815</v>
      </c>
      <c r="K2112" s="112" t="s">
        <v>1110</v>
      </c>
      <c r="L2112" s="116">
        <v>-1126.53</v>
      </c>
    </row>
    <row r="2113" spans="1:12" hidden="1" outlineLevel="1" collapsed="1" x14ac:dyDescent="0.35">
      <c r="A2113" s="112" t="s">
        <v>1814</v>
      </c>
      <c r="B2113" s="112" t="s">
        <v>905</v>
      </c>
      <c r="C2113" s="112" t="s">
        <v>1095</v>
      </c>
      <c r="D2113" s="113">
        <v>10348451</v>
      </c>
      <c r="E2113" s="115">
        <v>43949</v>
      </c>
      <c r="F2113" s="114">
        <v>202101</v>
      </c>
      <c r="G2113" s="112" t="s">
        <v>1091</v>
      </c>
      <c r="H2113" s="112" t="s">
        <v>1015</v>
      </c>
      <c r="I2113" s="112" t="s">
        <v>1101</v>
      </c>
      <c r="J2113" s="112" t="s">
        <v>1827</v>
      </c>
      <c r="K2113" s="112" t="s">
        <v>1098</v>
      </c>
      <c r="L2113" s="116">
        <v>549.4</v>
      </c>
    </row>
    <row r="2114" spans="1:12" hidden="1" outlineLevel="1" collapsed="1" x14ac:dyDescent="0.35">
      <c r="A2114" s="112" t="s">
        <v>1814</v>
      </c>
      <c r="B2114" s="112" t="s">
        <v>906</v>
      </c>
      <c r="C2114" s="112" t="s">
        <v>695</v>
      </c>
      <c r="D2114" s="113">
        <v>10347954</v>
      </c>
      <c r="E2114" s="115">
        <v>43923</v>
      </c>
      <c r="F2114" s="114">
        <v>202101</v>
      </c>
      <c r="G2114" s="112" t="s">
        <v>1091</v>
      </c>
      <c r="H2114" s="112" t="s">
        <v>1015</v>
      </c>
      <c r="I2114" s="112" t="s">
        <v>813</v>
      </c>
      <c r="J2114" s="112" t="s">
        <v>1815</v>
      </c>
      <c r="K2114" s="112" t="s">
        <v>1833</v>
      </c>
      <c r="L2114" s="116">
        <v>-4907.53</v>
      </c>
    </row>
    <row r="2115" spans="1:12" hidden="1" outlineLevel="1" collapsed="1" x14ac:dyDescent="0.35">
      <c r="A2115" s="112" t="s">
        <v>1814</v>
      </c>
      <c r="B2115" s="112" t="s">
        <v>906</v>
      </c>
      <c r="C2115" s="112" t="s">
        <v>695</v>
      </c>
      <c r="D2115" s="113">
        <v>10347954</v>
      </c>
      <c r="E2115" s="115">
        <v>43923</v>
      </c>
      <c r="F2115" s="114">
        <v>202101</v>
      </c>
      <c r="G2115" s="112" t="s">
        <v>1091</v>
      </c>
      <c r="H2115" s="112" t="s">
        <v>1015</v>
      </c>
      <c r="I2115" s="112" t="s">
        <v>813</v>
      </c>
      <c r="J2115" s="112" t="s">
        <v>1815</v>
      </c>
      <c r="K2115" s="112" t="s">
        <v>2266</v>
      </c>
      <c r="L2115" s="116">
        <v>-550.44000000000005</v>
      </c>
    </row>
    <row r="2116" spans="1:12" hidden="1" outlineLevel="1" collapsed="1" x14ac:dyDescent="0.35">
      <c r="A2116" s="112" t="s">
        <v>1814</v>
      </c>
      <c r="B2116" s="112" t="s">
        <v>906</v>
      </c>
      <c r="C2116" s="112" t="s">
        <v>695</v>
      </c>
      <c r="D2116" s="113">
        <v>10347954</v>
      </c>
      <c r="E2116" s="115">
        <v>43923</v>
      </c>
      <c r="F2116" s="114">
        <v>202101</v>
      </c>
      <c r="G2116" s="112" t="s">
        <v>1091</v>
      </c>
      <c r="H2116" s="112" t="s">
        <v>1015</v>
      </c>
      <c r="I2116" s="112" t="s">
        <v>813</v>
      </c>
      <c r="J2116" s="112" t="s">
        <v>1815</v>
      </c>
      <c r="K2116" s="112" t="s">
        <v>1836</v>
      </c>
      <c r="L2116" s="116">
        <v>-965.72</v>
      </c>
    </row>
    <row r="2117" spans="1:12" hidden="1" outlineLevel="1" collapsed="1" x14ac:dyDescent="0.35">
      <c r="A2117" s="112" t="s">
        <v>1814</v>
      </c>
      <c r="B2117" s="112" t="s">
        <v>906</v>
      </c>
      <c r="C2117" s="112" t="s">
        <v>1095</v>
      </c>
      <c r="D2117" s="113">
        <v>10348451</v>
      </c>
      <c r="E2117" s="115">
        <v>43949</v>
      </c>
      <c r="F2117" s="114">
        <v>202101</v>
      </c>
      <c r="G2117" s="112" t="s">
        <v>1091</v>
      </c>
      <c r="H2117" s="112" t="s">
        <v>1015</v>
      </c>
      <c r="I2117" s="112" t="s">
        <v>1101</v>
      </c>
      <c r="J2117" s="112" t="s">
        <v>1852</v>
      </c>
      <c r="K2117" s="112" t="s">
        <v>1098</v>
      </c>
      <c r="L2117" s="116">
        <v>549.4</v>
      </c>
    </row>
    <row r="2118" spans="1:12" hidden="1" outlineLevel="1" collapsed="1" x14ac:dyDescent="0.35">
      <c r="A2118" s="112" t="s">
        <v>1814</v>
      </c>
      <c r="B2118" s="112" t="s">
        <v>906</v>
      </c>
      <c r="C2118" s="112" t="s">
        <v>695</v>
      </c>
      <c r="D2118" s="113">
        <v>10347954</v>
      </c>
      <c r="E2118" s="115">
        <v>43923</v>
      </c>
      <c r="F2118" s="114">
        <v>202101</v>
      </c>
      <c r="G2118" s="112" t="s">
        <v>1091</v>
      </c>
      <c r="H2118" s="112" t="s">
        <v>1015</v>
      </c>
      <c r="I2118" s="112" t="s">
        <v>813</v>
      </c>
      <c r="J2118" s="112" t="s">
        <v>1815</v>
      </c>
      <c r="K2118" s="112" t="s">
        <v>2267</v>
      </c>
      <c r="L2118" s="116">
        <v>-235.18</v>
      </c>
    </row>
    <row r="2119" spans="1:12" hidden="1" outlineLevel="1" collapsed="1" x14ac:dyDescent="0.35">
      <c r="A2119" s="112" t="s">
        <v>1814</v>
      </c>
      <c r="B2119" s="112" t="s">
        <v>906</v>
      </c>
      <c r="C2119" s="112" t="s">
        <v>695</v>
      </c>
      <c r="D2119" s="113">
        <v>10347954</v>
      </c>
      <c r="E2119" s="115">
        <v>43923</v>
      </c>
      <c r="F2119" s="114">
        <v>202101</v>
      </c>
      <c r="G2119" s="112" t="s">
        <v>1091</v>
      </c>
      <c r="H2119" s="112" t="s">
        <v>1015</v>
      </c>
      <c r="I2119" s="112" t="s">
        <v>813</v>
      </c>
      <c r="J2119" s="112" t="s">
        <v>1815</v>
      </c>
      <c r="K2119" s="112" t="s">
        <v>2268</v>
      </c>
      <c r="L2119" s="116">
        <v>-58.08</v>
      </c>
    </row>
    <row r="2120" spans="1:12" hidden="1" outlineLevel="1" collapsed="1" x14ac:dyDescent="0.35">
      <c r="A2120" s="112" t="s">
        <v>1814</v>
      </c>
      <c r="B2120" s="112" t="s">
        <v>906</v>
      </c>
      <c r="C2120" s="112" t="s">
        <v>695</v>
      </c>
      <c r="D2120" s="113">
        <v>10347954</v>
      </c>
      <c r="E2120" s="115">
        <v>43923</v>
      </c>
      <c r="F2120" s="114">
        <v>202101</v>
      </c>
      <c r="G2120" s="112" t="s">
        <v>1091</v>
      </c>
      <c r="H2120" s="112" t="s">
        <v>1015</v>
      </c>
      <c r="I2120" s="112" t="s">
        <v>813</v>
      </c>
      <c r="J2120" s="112" t="s">
        <v>1815</v>
      </c>
      <c r="K2120" s="112" t="s">
        <v>2269</v>
      </c>
      <c r="L2120" s="116">
        <v>-1904.89</v>
      </c>
    </row>
    <row r="2121" spans="1:12" hidden="1" outlineLevel="1" collapsed="1" x14ac:dyDescent="0.35">
      <c r="A2121" s="112" t="s">
        <v>1814</v>
      </c>
      <c r="B2121" s="112" t="s">
        <v>906</v>
      </c>
      <c r="C2121" s="112" t="s">
        <v>695</v>
      </c>
      <c r="D2121" s="113">
        <v>10347954</v>
      </c>
      <c r="E2121" s="115">
        <v>43923</v>
      </c>
      <c r="F2121" s="114">
        <v>202101</v>
      </c>
      <c r="G2121" s="112" t="s">
        <v>1091</v>
      </c>
      <c r="H2121" s="112" t="s">
        <v>1015</v>
      </c>
      <c r="I2121" s="112" t="s">
        <v>813</v>
      </c>
      <c r="J2121" s="112" t="s">
        <v>1815</v>
      </c>
      <c r="K2121" s="112" t="s">
        <v>1836</v>
      </c>
      <c r="L2121" s="116">
        <v>-314.17</v>
      </c>
    </row>
    <row r="2122" spans="1:12" hidden="1" outlineLevel="1" collapsed="1" x14ac:dyDescent="0.35">
      <c r="A2122" s="112" t="s">
        <v>1814</v>
      </c>
      <c r="B2122" s="112" t="s">
        <v>906</v>
      </c>
      <c r="C2122" s="112" t="s">
        <v>695</v>
      </c>
      <c r="D2122" s="113">
        <v>10347954</v>
      </c>
      <c r="E2122" s="115">
        <v>43923</v>
      </c>
      <c r="F2122" s="114">
        <v>202101</v>
      </c>
      <c r="G2122" s="112" t="s">
        <v>1091</v>
      </c>
      <c r="H2122" s="112" t="s">
        <v>1015</v>
      </c>
      <c r="I2122" s="112" t="s">
        <v>813</v>
      </c>
      <c r="J2122" s="112" t="s">
        <v>1815</v>
      </c>
      <c r="K2122" s="112" t="s">
        <v>1891</v>
      </c>
      <c r="L2122" s="116">
        <v>-159.80000000000001</v>
      </c>
    </row>
    <row r="2123" spans="1:12" hidden="1" outlineLevel="1" collapsed="1" x14ac:dyDescent="0.35">
      <c r="A2123" s="112" t="s">
        <v>1814</v>
      </c>
      <c r="B2123" s="112" t="s">
        <v>905</v>
      </c>
      <c r="C2123" s="112" t="s">
        <v>1095</v>
      </c>
      <c r="D2123" s="113">
        <v>10348451</v>
      </c>
      <c r="E2123" s="115">
        <v>43949</v>
      </c>
      <c r="F2123" s="114">
        <v>202101</v>
      </c>
      <c r="G2123" s="112" t="s">
        <v>1091</v>
      </c>
      <c r="H2123" s="112" t="s">
        <v>1015</v>
      </c>
      <c r="I2123" s="112" t="s">
        <v>1101</v>
      </c>
      <c r="J2123" s="112" t="s">
        <v>1817</v>
      </c>
      <c r="K2123" s="112" t="s">
        <v>1098</v>
      </c>
      <c r="L2123" s="116">
        <v>391.68</v>
      </c>
    </row>
    <row r="2124" spans="1:12" hidden="1" outlineLevel="1" collapsed="1" x14ac:dyDescent="0.35">
      <c r="A2124" s="112" t="s">
        <v>1814</v>
      </c>
      <c r="B2124" s="112" t="s">
        <v>906</v>
      </c>
      <c r="C2124" s="112" t="s">
        <v>695</v>
      </c>
      <c r="D2124" s="113">
        <v>10347954</v>
      </c>
      <c r="E2124" s="115">
        <v>43923</v>
      </c>
      <c r="F2124" s="114">
        <v>202101</v>
      </c>
      <c r="G2124" s="112" t="s">
        <v>1091</v>
      </c>
      <c r="H2124" s="112" t="s">
        <v>1015</v>
      </c>
      <c r="I2124" s="112" t="s">
        <v>759</v>
      </c>
      <c r="J2124" s="112" t="s">
        <v>1815</v>
      </c>
      <c r="K2124" s="112" t="s">
        <v>1110</v>
      </c>
      <c r="L2124" s="116">
        <v>-1.86</v>
      </c>
    </row>
    <row r="2125" spans="1:12" hidden="1" outlineLevel="1" collapsed="1" x14ac:dyDescent="0.35">
      <c r="A2125" s="112" t="s">
        <v>1814</v>
      </c>
      <c r="B2125" s="112" t="s">
        <v>905</v>
      </c>
      <c r="C2125" s="112" t="s">
        <v>1095</v>
      </c>
      <c r="D2125" s="113">
        <v>10348451</v>
      </c>
      <c r="E2125" s="115">
        <v>43949</v>
      </c>
      <c r="F2125" s="114">
        <v>202101</v>
      </c>
      <c r="G2125" s="112" t="s">
        <v>1091</v>
      </c>
      <c r="H2125" s="112" t="s">
        <v>1015</v>
      </c>
      <c r="I2125" s="112" t="s">
        <v>1096</v>
      </c>
      <c r="J2125" s="112" t="s">
        <v>1817</v>
      </c>
      <c r="K2125" s="112" t="s">
        <v>1098</v>
      </c>
      <c r="L2125" s="116">
        <v>199.1</v>
      </c>
    </row>
    <row r="2126" spans="1:12" hidden="1" outlineLevel="1" collapsed="1" x14ac:dyDescent="0.35">
      <c r="A2126" s="112" t="s">
        <v>1814</v>
      </c>
      <c r="B2126" s="112" t="s">
        <v>906</v>
      </c>
      <c r="C2126" s="112" t="s">
        <v>695</v>
      </c>
      <c r="D2126" s="113">
        <v>10348237</v>
      </c>
      <c r="E2126" s="115">
        <v>43936</v>
      </c>
      <c r="F2126" s="114">
        <v>202101</v>
      </c>
      <c r="G2126" s="112" t="s">
        <v>1091</v>
      </c>
      <c r="H2126" s="112" t="s">
        <v>1016</v>
      </c>
      <c r="I2126" s="112" t="s">
        <v>1131</v>
      </c>
      <c r="J2126" s="112" t="s">
        <v>1815</v>
      </c>
      <c r="K2126" s="112" t="s">
        <v>2270</v>
      </c>
      <c r="L2126" s="116">
        <v>14195.57</v>
      </c>
    </row>
    <row r="2127" spans="1:12" hidden="1" outlineLevel="1" collapsed="1" x14ac:dyDescent="0.35">
      <c r="A2127" s="112" t="s">
        <v>1814</v>
      </c>
      <c r="B2127" s="112" t="s">
        <v>905</v>
      </c>
      <c r="C2127" s="112" t="s">
        <v>1095</v>
      </c>
      <c r="D2127" s="113">
        <v>10348451</v>
      </c>
      <c r="E2127" s="115">
        <v>43949</v>
      </c>
      <c r="F2127" s="114">
        <v>202101</v>
      </c>
      <c r="G2127" s="112" t="s">
        <v>1091</v>
      </c>
      <c r="H2127" s="112" t="s">
        <v>1015</v>
      </c>
      <c r="I2127" s="112" t="s">
        <v>1101</v>
      </c>
      <c r="J2127" s="112" t="s">
        <v>1827</v>
      </c>
      <c r="K2127" s="112" t="s">
        <v>1098</v>
      </c>
      <c r="L2127" s="116">
        <v>476.33</v>
      </c>
    </row>
    <row r="2128" spans="1:12" hidden="1" outlineLevel="1" collapsed="1" x14ac:dyDescent="0.35">
      <c r="A2128" s="112" t="s">
        <v>1814</v>
      </c>
      <c r="B2128" s="112" t="s">
        <v>904</v>
      </c>
      <c r="C2128" s="112" t="s">
        <v>1095</v>
      </c>
      <c r="D2128" s="113">
        <v>10348451</v>
      </c>
      <c r="E2128" s="115">
        <v>43949</v>
      </c>
      <c r="F2128" s="114">
        <v>202101</v>
      </c>
      <c r="G2128" s="112" t="s">
        <v>1091</v>
      </c>
      <c r="H2128" s="112" t="s">
        <v>1015</v>
      </c>
      <c r="I2128" s="112" t="s">
        <v>1101</v>
      </c>
      <c r="J2128" s="112" t="s">
        <v>1838</v>
      </c>
      <c r="K2128" s="112" t="s">
        <v>1098</v>
      </c>
      <c r="L2128" s="116">
        <v>143.62</v>
      </c>
    </row>
    <row r="2129" spans="1:12" hidden="1" outlineLevel="1" collapsed="1" x14ac:dyDescent="0.35">
      <c r="A2129" s="112" t="s">
        <v>1814</v>
      </c>
      <c r="B2129" s="112" t="s">
        <v>905</v>
      </c>
      <c r="C2129" s="112" t="s">
        <v>1095</v>
      </c>
      <c r="D2129" s="113">
        <v>10348451</v>
      </c>
      <c r="E2129" s="115">
        <v>43949</v>
      </c>
      <c r="F2129" s="114">
        <v>202101</v>
      </c>
      <c r="G2129" s="112" t="s">
        <v>1091</v>
      </c>
      <c r="H2129" s="112" t="s">
        <v>1015</v>
      </c>
      <c r="I2129" s="112" t="s">
        <v>1096</v>
      </c>
      <c r="J2129" s="112" t="s">
        <v>1827</v>
      </c>
      <c r="K2129" s="112" t="s">
        <v>1098</v>
      </c>
      <c r="L2129" s="116">
        <v>310.49</v>
      </c>
    </row>
    <row r="2130" spans="1:12" hidden="1" outlineLevel="1" collapsed="1" x14ac:dyDescent="0.35">
      <c r="A2130" s="112" t="s">
        <v>1814</v>
      </c>
      <c r="B2130" s="112" t="s">
        <v>905</v>
      </c>
      <c r="C2130" s="112" t="s">
        <v>1099</v>
      </c>
      <c r="D2130" s="113">
        <v>1069644</v>
      </c>
      <c r="E2130" s="115">
        <v>43936</v>
      </c>
      <c r="F2130" s="114">
        <v>202101</v>
      </c>
      <c r="G2130" s="112" t="s">
        <v>1091</v>
      </c>
      <c r="H2130" s="112" t="s">
        <v>1015</v>
      </c>
      <c r="I2130" s="112" t="s">
        <v>1153</v>
      </c>
      <c r="J2130" s="112" t="s">
        <v>1842</v>
      </c>
      <c r="K2130" s="112" t="s">
        <v>2271</v>
      </c>
      <c r="L2130" s="116">
        <v>4200</v>
      </c>
    </row>
    <row r="2131" spans="1:12" hidden="1" outlineLevel="1" collapsed="1" x14ac:dyDescent="0.35">
      <c r="A2131" s="112" t="s">
        <v>1814</v>
      </c>
      <c r="B2131" s="112" t="s">
        <v>904</v>
      </c>
      <c r="C2131" s="112" t="s">
        <v>1095</v>
      </c>
      <c r="D2131" s="113">
        <v>10348451</v>
      </c>
      <c r="E2131" s="115">
        <v>43949</v>
      </c>
      <c r="F2131" s="114">
        <v>202101</v>
      </c>
      <c r="G2131" s="112" t="s">
        <v>1091</v>
      </c>
      <c r="H2131" s="112" t="s">
        <v>1015</v>
      </c>
      <c r="I2131" s="112" t="s">
        <v>1096</v>
      </c>
      <c r="J2131" s="112" t="s">
        <v>1838</v>
      </c>
      <c r="K2131" s="112" t="s">
        <v>1098</v>
      </c>
      <c r="L2131" s="116">
        <v>262.10000000000002</v>
      </c>
    </row>
    <row r="2132" spans="1:12" hidden="1" outlineLevel="1" collapsed="1" x14ac:dyDescent="0.35">
      <c r="A2132" s="112" t="s">
        <v>1814</v>
      </c>
      <c r="B2132" s="112" t="s">
        <v>904</v>
      </c>
      <c r="C2132" s="112" t="s">
        <v>1095</v>
      </c>
      <c r="D2132" s="113">
        <v>10348451</v>
      </c>
      <c r="E2132" s="115">
        <v>43949</v>
      </c>
      <c r="F2132" s="114">
        <v>202101</v>
      </c>
      <c r="G2132" s="112" t="s">
        <v>1091</v>
      </c>
      <c r="H2132" s="112" t="s">
        <v>1015</v>
      </c>
      <c r="I2132" s="112" t="s">
        <v>1096</v>
      </c>
      <c r="J2132" s="112" t="s">
        <v>1838</v>
      </c>
      <c r="K2132" s="112" t="s">
        <v>1098</v>
      </c>
      <c r="L2132" s="116">
        <v>201.51</v>
      </c>
    </row>
    <row r="2133" spans="1:12" hidden="1" outlineLevel="1" collapsed="1" x14ac:dyDescent="0.35">
      <c r="A2133" s="112" t="s">
        <v>1814</v>
      </c>
      <c r="B2133" s="112" t="s">
        <v>905</v>
      </c>
      <c r="C2133" s="112" t="s">
        <v>679</v>
      </c>
      <c r="D2133" s="113">
        <v>10348241</v>
      </c>
      <c r="E2133" s="115">
        <v>43936</v>
      </c>
      <c r="F2133" s="114">
        <v>202101</v>
      </c>
      <c r="G2133" s="112" t="s">
        <v>1091</v>
      </c>
      <c r="H2133" s="112" t="s">
        <v>1015</v>
      </c>
      <c r="I2133" s="112" t="s">
        <v>1153</v>
      </c>
      <c r="J2133" s="112" t="s">
        <v>1842</v>
      </c>
      <c r="K2133" s="112" t="s">
        <v>2272</v>
      </c>
      <c r="L2133" s="116">
        <v>37800</v>
      </c>
    </row>
    <row r="2134" spans="1:12" hidden="1" outlineLevel="1" collapsed="1" x14ac:dyDescent="0.35">
      <c r="A2134" s="112" t="s">
        <v>1814</v>
      </c>
      <c r="B2134" s="112" t="s">
        <v>905</v>
      </c>
      <c r="C2134" s="112" t="s">
        <v>1095</v>
      </c>
      <c r="D2134" s="113">
        <v>10348451</v>
      </c>
      <c r="E2134" s="115">
        <v>43949</v>
      </c>
      <c r="F2134" s="114">
        <v>202101</v>
      </c>
      <c r="G2134" s="112" t="s">
        <v>1091</v>
      </c>
      <c r="H2134" s="112" t="s">
        <v>1015</v>
      </c>
      <c r="I2134" s="112" t="s">
        <v>1101</v>
      </c>
      <c r="J2134" s="112" t="s">
        <v>1971</v>
      </c>
      <c r="K2134" s="112" t="s">
        <v>1098</v>
      </c>
      <c r="L2134" s="116">
        <v>483.07</v>
      </c>
    </row>
    <row r="2135" spans="1:12" hidden="1" outlineLevel="1" collapsed="1" x14ac:dyDescent="0.35">
      <c r="A2135" s="112" t="s">
        <v>1814</v>
      </c>
      <c r="B2135" s="112" t="s">
        <v>906</v>
      </c>
      <c r="C2135" s="112" t="s">
        <v>695</v>
      </c>
      <c r="D2135" s="113">
        <v>10347956</v>
      </c>
      <c r="E2135" s="115">
        <v>43923</v>
      </c>
      <c r="F2135" s="114">
        <v>202101</v>
      </c>
      <c r="G2135" s="112" t="s">
        <v>1091</v>
      </c>
      <c r="H2135" s="112" t="s">
        <v>1015</v>
      </c>
      <c r="I2135" s="112" t="s">
        <v>817</v>
      </c>
      <c r="J2135" s="112" t="s">
        <v>1815</v>
      </c>
      <c r="K2135" s="112" t="s">
        <v>2273</v>
      </c>
      <c r="L2135" s="116">
        <v>-185.85</v>
      </c>
    </row>
    <row r="2136" spans="1:12" hidden="1" outlineLevel="1" collapsed="1" x14ac:dyDescent="0.35">
      <c r="A2136" s="112" t="s">
        <v>1814</v>
      </c>
      <c r="B2136" s="112" t="s">
        <v>906</v>
      </c>
      <c r="C2136" s="112" t="s">
        <v>1150</v>
      </c>
      <c r="D2136" s="113">
        <v>10348573</v>
      </c>
      <c r="E2136" s="115">
        <v>43958</v>
      </c>
      <c r="F2136" s="114">
        <v>202101</v>
      </c>
      <c r="G2136" s="112" t="s">
        <v>1091</v>
      </c>
      <c r="H2136" s="112" t="s">
        <v>1015</v>
      </c>
      <c r="I2136" s="112" t="s">
        <v>813</v>
      </c>
      <c r="J2136" s="112" t="s">
        <v>1815</v>
      </c>
      <c r="K2136" s="112" t="s">
        <v>1151</v>
      </c>
      <c r="L2136" s="116">
        <v>2903.88</v>
      </c>
    </row>
    <row r="2137" spans="1:12" hidden="1" outlineLevel="1" collapsed="1" x14ac:dyDescent="0.35">
      <c r="A2137" s="112" t="s">
        <v>1814</v>
      </c>
      <c r="B2137" s="112" t="s">
        <v>906</v>
      </c>
      <c r="C2137" s="112" t="s">
        <v>1150</v>
      </c>
      <c r="D2137" s="113">
        <v>10348573</v>
      </c>
      <c r="E2137" s="115">
        <v>43958</v>
      </c>
      <c r="F2137" s="114">
        <v>202101</v>
      </c>
      <c r="G2137" s="112" t="s">
        <v>1091</v>
      </c>
      <c r="H2137" s="112" t="s">
        <v>1015</v>
      </c>
      <c r="I2137" s="112" t="s">
        <v>817</v>
      </c>
      <c r="J2137" s="112" t="s">
        <v>1815</v>
      </c>
      <c r="K2137" s="112" t="s">
        <v>2179</v>
      </c>
      <c r="L2137" s="116">
        <v>1965.99</v>
      </c>
    </row>
    <row r="2138" spans="1:12" hidden="1" outlineLevel="1" collapsed="1" x14ac:dyDescent="0.35">
      <c r="A2138" s="112" t="s">
        <v>1814</v>
      </c>
      <c r="B2138" s="112" t="s">
        <v>905</v>
      </c>
      <c r="C2138" s="112" t="s">
        <v>1095</v>
      </c>
      <c r="D2138" s="113">
        <v>10348451</v>
      </c>
      <c r="E2138" s="115">
        <v>43949</v>
      </c>
      <c r="F2138" s="114">
        <v>202101</v>
      </c>
      <c r="G2138" s="112" t="s">
        <v>1091</v>
      </c>
      <c r="H2138" s="112" t="s">
        <v>1015</v>
      </c>
      <c r="I2138" s="112" t="s">
        <v>1096</v>
      </c>
      <c r="J2138" s="112" t="s">
        <v>1827</v>
      </c>
      <c r="K2138" s="112" t="s">
        <v>1098</v>
      </c>
      <c r="L2138" s="116">
        <v>366.99</v>
      </c>
    </row>
    <row r="2139" spans="1:12" hidden="1" outlineLevel="1" collapsed="1" x14ac:dyDescent="0.35">
      <c r="A2139" s="112" t="s">
        <v>1814</v>
      </c>
      <c r="B2139" s="112" t="s">
        <v>906</v>
      </c>
      <c r="C2139" s="112" t="s">
        <v>1150</v>
      </c>
      <c r="D2139" s="113">
        <v>10348573</v>
      </c>
      <c r="E2139" s="115">
        <v>43958</v>
      </c>
      <c r="F2139" s="114">
        <v>202101</v>
      </c>
      <c r="G2139" s="112" t="s">
        <v>1091</v>
      </c>
      <c r="H2139" s="112" t="s">
        <v>1015</v>
      </c>
      <c r="I2139" s="112" t="s">
        <v>759</v>
      </c>
      <c r="J2139" s="112" t="s">
        <v>1815</v>
      </c>
      <c r="K2139" s="112" t="s">
        <v>1151</v>
      </c>
      <c r="L2139" s="116">
        <v>199.52</v>
      </c>
    </row>
    <row r="2140" spans="1:12" hidden="1" outlineLevel="1" collapsed="1" x14ac:dyDescent="0.35">
      <c r="A2140" s="112" t="s">
        <v>1814</v>
      </c>
      <c r="B2140" s="112" t="s">
        <v>904</v>
      </c>
      <c r="C2140" s="112" t="s">
        <v>1095</v>
      </c>
      <c r="D2140" s="113">
        <v>10348451</v>
      </c>
      <c r="E2140" s="115">
        <v>43949</v>
      </c>
      <c r="F2140" s="114">
        <v>202101</v>
      </c>
      <c r="G2140" s="112" t="s">
        <v>1091</v>
      </c>
      <c r="H2140" s="112" t="s">
        <v>1015</v>
      </c>
      <c r="I2140" s="112" t="s">
        <v>1096</v>
      </c>
      <c r="J2140" s="112" t="s">
        <v>2216</v>
      </c>
      <c r="K2140" s="112" t="s">
        <v>1098</v>
      </c>
      <c r="L2140" s="116">
        <v>36.979999999999997</v>
      </c>
    </row>
    <row r="2141" spans="1:12" hidden="1" outlineLevel="1" collapsed="1" x14ac:dyDescent="0.35">
      <c r="A2141" s="112" t="s">
        <v>1814</v>
      </c>
      <c r="B2141" s="112" t="s">
        <v>906</v>
      </c>
      <c r="C2141" s="112" t="s">
        <v>1150</v>
      </c>
      <c r="D2141" s="113">
        <v>10348573</v>
      </c>
      <c r="E2141" s="115">
        <v>43958</v>
      </c>
      <c r="F2141" s="114">
        <v>202101</v>
      </c>
      <c r="G2141" s="112" t="s">
        <v>1091</v>
      </c>
      <c r="H2141" s="112" t="s">
        <v>1015</v>
      </c>
      <c r="I2141" s="112" t="s">
        <v>2223</v>
      </c>
      <c r="J2141" s="112" t="s">
        <v>1815</v>
      </c>
      <c r="K2141" s="112" t="s">
        <v>2179</v>
      </c>
      <c r="L2141" s="116">
        <v>144.34</v>
      </c>
    </row>
    <row r="2142" spans="1:12" hidden="1" outlineLevel="1" collapsed="1" x14ac:dyDescent="0.35">
      <c r="A2142" s="112" t="s">
        <v>1814</v>
      </c>
      <c r="B2142" s="112" t="s">
        <v>906</v>
      </c>
      <c r="C2142" s="112" t="s">
        <v>1150</v>
      </c>
      <c r="D2142" s="113">
        <v>10348573</v>
      </c>
      <c r="E2142" s="115">
        <v>43958</v>
      </c>
      <c r="F2142" s="114">
        <v>202101</v>
      </c>
      <c r="G2142" s="112" t="s">
        <v>1091</v>
      </c>
      <c r="H2142" s="112" t="s">
        <v>1015</v>
      </c>
      <c r="I2142" s="112" t="s">
        <v>759</v>
      </c>
      <c r="J2142" s="112" t="s">
        <v>1815</v>
      </c>
      <c r="K2142" s="112" t="s">
        <v>2179</v>
      </c>
      <c r="L2142" s="116">
        <v>376.44</v>
      </c>
    </row>
    <row r="2143" spans="1:12" hidden="1" outlineLevel="1" collapsed="1" x14ac:dyDescent="0.35">
      <c r="A2143" s="112" t="s">
        <v>1814</v>
      </c>
      <c r="B2143" s="112" t="s">
        <v>906</v>
      </c>
      <c r="C2143" s="112" t="s">
        <v>1150</v>
      </c>
      <c r="D2143" s="113">
        <v>10348573</v>
      </c>
      <c r="E2143" s="115">
        <v>43958</v>
      </c>
      <c r="F2143" s="114">
        <v>202101</v>
      </c>
      <c r="G2143" s="112" t="s">
        <v>1091</v>
      </c>
      <c r="H2143" s="112" t="s">
        <v>1015</v>
      </c>
      <c r="I2143" s="112" t="s">
        <v>813</v>
      </c>
      <c r="J2143" s="112" t="s">
        <v>1815</v>
      </c>
      <c r="K2143" s="112" t="s">
        <v>2179</v>
      </c>
      <c r="L2143" s="116">
        <v>36827.67</v>
      </c>
    </row>
    <row r="2144" spans="1:12" hidden="1" outlineLevel="1" collapsed="1" x14ac:dyDescent="0.35">
      <c r="A2144" s="112" t="s">
        <v>1814</v>
      </c>
      <c r="B2144" s="112" t="s">
        <v>906</v>
      </c>
      <c r="C2144" s="112" t="s">
        <v>1099</v>
      </c>
      <c r="D2144" s="113">
        <v>1069683</v>
      </c>
      <c r="E2144" s="115">
        <v>43944</v>
      </c>
      <c r="F2144" s="114">
        <v>202101</v>
      </c>
      <c r="G2144" s="112" t="s">
        <v>1091</v>
      </c>
      <c r="H2144" s="112" t="s">
        <v>1015</v>
      </c>
      <c r="I2144" s="112" t="s">
        <v>2274</v>
      </c>
      <c r="J2144" s="112" t="s">
        <v>1815</v>
      </c>
      <c r="K2144" s="112" t="s">
        <v>2275</v>
      </c>
      <c r="L2144" s="116">
        <v>800.46</v>
      </c>
    </row>
    <row r="2145" spans="1:12" hidden="1" outlineLevel="1" collapsed="1" x14ac:dyDescent="0.35">
      <c r="A2145" s="112" t="s">
        <v>1814</v>
      </c>
      <c r="B2145" s="112" t="s">
        <v>906</v>
      </c>
      <c r="C2145" s="112" t="s">
        <v>695</v>
      </c>
      <c r="D2145" s="113">
        <v>10347956</v>
      </c>
      <c r="E2145" s="115">
        <v>43923</v>
      </c>
      <c r="F2145" s="114">
        <v>202101</v>
      </c>
      <c r="G2145" s="112" t="s">
        <v>1091</v>
      </c>
      <c r="H2145" s="112" t="s">
        <v>1015</v>
      </c>
      <c r="I2145" s="112" t="s">
        <v>817</v>
      </c>
      <c r="J2145" s="112" t="s">
        <v>1815</v>
      </c>
      <c r="K2145" s="112" t="s">
        <v>1891</v>
      </c>
      <c r="L2145" s="116">
        <v>-128.51</v>
      </c>
    </row>
    <row r="2146" spans="1:12" hidden="1" outlineLevel="1" collapsed="1" x14ac:dyDescent="0.35">
      <c r="A2146" s="112" t="s">
        <v>1814</v>
      </c>
      <c r="B2146" s="112" t="s">
        <v>906</v>
      </c>
      <c r="C2146" s="112" t="s">
        <v>695</v>
      </c>
      <c r="D2146" s="113">
        <v>10347956</v>
      </c>
      <c r="E2146" s="115">
        <v>43923</v>
      </c>
      <c r="F2146" s="114">
        <v>202101</v>
      </c>
      <c r="G2146" s="112" t="s">
        <v>1091</v>
      </c>
      <c r="H2146" s="112" t="s">
        <v>1015</v>
      </c>
      <c r="I2146" s="112" t="s">
        <v>817</v>
      </c>
      <c r="J2146" s="112" t="s">
        <v>1815</v>
      </c>
      <c r="K2146" s="112" t="s">
        <v>1110</v>
      </c>
      <c r="L2146" s="116">
        <v>-1136.97</v>
      </c>
    </row>
    <row r="2147" spans="1:12" hidden="1" outlineLevel="1" collapsed="1" x14ac:dyDescent="0.35">
      <c r="A2147" s="112" t="s">
        <v>1814</v>
      </c>
      <c r="B2147" s="112" t="s">
        <v>906</v>
      </c>
      <c r="C2147" s="112" t="s">
        <v>695</v>
      </c>
      <c r="D2147" s="113">
        <v>10347956</v>
      </c>
      <c r="E2147" s="115">
        <v>43923</v>
      </c>
      <c r="F2147" s="114">
        <v>202101</v>
      </c>
      <c r="G2147" s="112" t="s">
        <v>1091</v>
      </c>
      <c r="H2147" s="112" t="s">
        <v>1015</v>
      </c>
      <c r="I2147" s="112" t="s">
        <v>759</v>
      </c>
      <c r="J2147" s="112" t="s">
        <v>1815</v>
      </c>
      <c r="K2147" s="112" t="s">
        <v>2276</v>
      </c>
      <c r="L2147" s="116">
        <v>-257.25</v>
      </c>
    </row>
    <row r="2148" spans="1:12" hidden="1" outlineLevel="1" collapsed="1" x14ac:dyDescent="0.35">
      <c r="A2148" s="112" t="s">
        <v>1814</v>
      </c>
      <c r="B2148" s="112" t="s">
        <v>906</v>
      </c>
      <c r="C2148" s="112" t="s">
        <v>695</v>
      </c>
      <c r="D2148" s="113">
        <v>10347956</v>
      </c>
      <c r="E2148" s="115">
        <v>43923</v>
      </c>
      <c r="F2148" s="114">
        <v>202101</v>
      </c>
      <c r="G2148" s="112" t="s">
        <v>1091</v>
      </c>
      <c r="H2148" s="112" t="s">
        <v>1015</v>
      </c>
      <c r="I2148" s="112" t="s">
        <v>759</v>
      </c>
      <c r="J2148" s="112" t="s">
        <v>1815</v>
      </c>
      <c r="K2148" s="112" t="s">
        <v>2277</v>
      </c>
      <c r="L2148" s="116">
        <v>-117.33</v>
      </c>
    </row>
    <row r="2149" spans="1:12" hidden="1" outlineLevel="1" collapsed="1" x14ac:dyDescent="0.35">
      <c r="A2149" s="112" t="s">
        <v>1814</v>
      </c>
      <c r="B2149" s="112" t="s">
        <v>906</v>
      </c>
      <c r="C2149" s="112" t="s">
        <v>1095</v>
      </c>
      <c r="D2149" s="113">
        <v>10348451</v>
      </c>
      <c r="E2149" s="115">
        <v>43949</v>
      </c>
      <c r="F2149" s="114">
        <v>202101</v>
      </c>
      <c r="G2149" s="112" t="s">
        <v>1091</v>
      </c>
      <c r="H2149" s="112" t="s">
        <v>1015</v>
      </c>
      <c r="I2149" s="112" t="s">
        <v>1101</v>
      </c>
      <c r="J2149" s="112" t="s">
        <v>1852</v>
      </c>
      <c r="K2149" s="112" t="s">
        <v>1098</v>
      </c>
      <c r="L2149" s="116">
        <v>366.04</v>
      </c>
    </row>
    <row r="2150" spans="1:12" hidden="1" outlineLevel="1" collapsed="1" x14ac:dyDescent="0.35">
      <c r="A2150" s="112" t="s">
        <v>1814</v>
      </c>
      <c r="B2150" s="112" t="s">
        <v>906</v>
      </c>
      <c r="C2150" s="112" t="s">
        <v>695</v>
      </c>
      <c r="D2150" s="113">
        <v>10347956</v>
      </c>
      <c r="E2150" s="115">
        <v>43923</v>
      </c>
      <c r="F2150" s="114">
        <v>202101</v>
      </c>
      <c r="G2150" s="112" t="s">
        <v>1091</v>
      </c>
      <c r="H2150" s="112" t="s">
        <v>1015</v>
      </c>
      <c r="I2150" s="112" t="s">
        <v>817</v>
      </c>
      <c r="J2150" s="112" t="s">
        <v>1815</v>
      </c>
      <c r="K2150" s="112" t="s">
        <v>2278</v>
      </c>
      <c r="L2150" s="116">
        <v>-166.87</v>
      </c>
    </row>
    <row r="2151" spans="1:12" hidden="1" outlineLevel="1" collapsed="1" x14ac:dyDescent="0.35">
      <c r="A2151" s="112" t="s">
        <v>1814</v>
      </c>
      <c r="B2151" s="112" t="s">
        <v>906</v>
      </c>
      <c r="C2151" s="112" t="s">
        <v>695</v>
      </c>
      <c r="D2151" s="113">
        <v>10347956</v>
      </c>
      <c r="E2151" s="115">
        <v>43923</v>
      </c>
      <c r="F2151" s="114">
        <v>202101</v>
      </c>
      <c r="G2151" s="112" t="s">
        <v>1091</v>
      </c>
      <c r="H2151" s="112" t="s">
        <v>1015</v>
      </c>
      <c r="I2151" s="112" t="s">
        <v>817</v>
      </c>
      <c r="J2151" s="112" t="s">
        <v>1815</v>
      </c>
      <c r="K2151" s="112" t="s">
        <v>1833</v>
      </c>
      <c r="L2151" s="116">
        <v>-69.7</v>
      </c>
    </row>
    <row r="2152" spans="1:12" hidden="1" outlineLevel="1" collapsed="1" x14ac:dyDescent="0.35">
      <c r="A2152" s="112" t="s">
        <v>1814</v>
      </c>
      <c r="B2152" s="112" t="s">
        <v>906</v>
      </c>
      <c r="C2152" s="112" t="s">
        <v>695</v>
      </c>
      <c r="D2152" s="113">
        <v>10347956</v>
      </c>
      <c r="E2152" s="115">
        <v>43923</v>
      </c>
      <c r="F2152" s="114">
        <v>202101</v>
      </c>
      <c r="G2152" s="112" t="s">
        <v>1091</v>
      </c>
      <c r="H2152" s="112" t="s">
        <v>1015</v>
      </c>
      <c r="I2152" s="112" t="s">
        <v>817</v>
      </c>
      <c r="J2152" s="112" t="s">
        <v>1815</v>
      </c>
      <c r="K2152" s="112" t="s">
        <v>1110</v>
      </c>
      <c r="L2152" s="116">
        <v>-200.02</v>
      </c>
    </row>
    <row r="2153" spans="1:12" hidden="1" outlineLevel="1" collapsed="1" x14ac:dyDescent="0.35">
      <c r="A2153" s="112" t="s">
        <v>1814</v>
      </c>
      <c r="B2153" s="112" t="s">
        <v>906</v>
      </c>
      <c r="C2153" s="112" t="s">
        <v>695</v>
      </c>
      <c r="D2153" s="113">
        <v>10347956</v>
      </c>
      <c r="E2153" s="115">
        <v>43923</v>
      </c>
      <c r="F2153" s="114">
        <v>202101</v>
      </c>
      <c r="G2153" s="112" t="s">
        <v>1091</v>
      </c>
      <c r="H2153" s="112" t="s">
        <v>1015</v>
      </c>
      <c r="I2153" s="112" t="s">
        <v>813</v>
      </c>
      <c r="J2153" s="112" t="s">
        <v>1815</v>
      </c>
      <c r="K2153" s="112" t="s">
        <v>1824</v>
      </c>
      <c r="L2153" s="116">
        <v>-129.69</v>
      </c>
    </row>
    <row r="2154" spans="1:12" hidden="1" outlineLevel="1" collapsed="1" x14ac:dyDescent="0.35">
      <c r="A2154" s="112" t="s">
        <v>1814</v>
      </c>
      <c r="B2154" s="112" t="s">
        <v>905</v>
      </c>
      <c r="C2154" s="112" t="s">
        <v>1095</v>
      </c>
      <c r="D2154" s="113">
        <v>10348451</v>
      </c>
      <c r="E2154" s="115">
        <v>43949</v>
      </c>
      <c r="F2154" s="114">
        <v>202101</v>
      </c>
      <c r="G2154" s="112" t="s">
        <v>1091</v>
      </c>
      <c r="H2154" s="112" t="s">
        <v>1015</v>
      </c>
      <c r="I2154" s="112" t="s">
        <v>1101</v>
      </c>
      <c r="J2154" s="112" t="s">
        <v>1827</v>
      </c>
      <c r="K2154" s="112" t="s">
        <v>1098</v>
      </c>
      <c r="L2154" s="116">
        <v>502.51</v>
      </c>
    </row>
    <row r="2155" spans="1:12" hidden="1" outlineLevel="1" collapsed="1" x14ac:dyDescent="0.35">
      <c r="A2155" s="112" t="s">
        <v>1814</v>
      </c>
      <c r="B2155" s="112" t="s">
        <v>906</v>
      </c>
      <c r="C2155" s="112" t="s">
        <v>695</v>
      </c>
      <c r="D2155" s="113">
        <v>10347956</v>
      </c>
      <c r="E2155" s="115">
        <v>43923</v>
      </c>
      <c r="F2155" s="114">
        <v>202101</v>
      </c>
      <c r="G2155" s="112" t="s">
        <v>1091</v>
      </c>
      <c r="H2155" s="112" t="s">
        <v>1015</v>
      </c>
      <c r="I2155" s="112" t="s">
        <v>813</v>
      </c>
      <c r="J2155" s="112" t="s">
        <v>1815</v>
      </c>
      <c r="K2155" s="112" t="s">
        <v>1932</v>
      </c>
      <c r="L2155" s="116">
        <v>-77.13</v>
      </c>
    </row>
    <row r="2156" spans="1:12" hidden="1" outlineLevel="1" collapsed="1" x14ac:dyDescent="0.35">
      <c r="A2156" s="112" t="s">
        <v>1814</v>
      </c>
      <c r="B2156" s="112" t="s">
        <v>906</v>
      </c>
      <c r="C2156" s="112" t="s">
        <v>695</v>
      </c>
      <c r="D2156" s="113">
        <v>10347956</v>
      </c>
      <c r="E2156" s="115">
        <v>43923</v>
      </c>
      <c r="F2156" s="114">
        <v>202101</v>
      </c>
      <c r="G2156" s="112" t="s">
        <v>1091</v>
      </c>
      <c r="H2156" s="112" t="s">
        <v>1015</v>
      </c>
      <c r="I2156" s="112" t="s">
        <v>813</v>
      </c>
      <c r="J2156" s="112" t="s">
        <v>1815</v>
      </c>
      <c r="K2156" s="112" t="s">
        <v>1836</v>
      </c>
      <c r="L2156" s="116">
        <v>-116.16</v>
      </c>
    </row>
    <row r="2157" spans="1:12" hidden="1" outlineLevel="1" collapsed="1" x14ac:dyDescent="0.35">
      <c r="A2157" s="112" t="s">
        <v>1814</v>
      </c>
      <c r="B2157" s="112" t="s">
        <v>906</v>
      </c>
      <c r="C2157" s="112" t="s">
        <v>695</v>
      </c>
      <c r="D2157" s="113">
        <v>10347956</v>
      </c>
      <c r="E2157" s="115">
        <v>43923</v>
      </c>
      <c r="F2157" s="114">
        <v>202101</v>
      </c>
      <c r="G2157" s="112" t="s">
        <v>1091</v>
      </c>
      <c r="H2157" s="112" t="s">
        <v>1015</v>
      </c>
      <c r="I2157" s="112" t="s">
        <v>817</v>
      </c>
      <c r="J2157" s="112" t="s">
        <v>1815</v>
      </c>
      <c r="K2157" s="112" t="s">
        <v>1833</v>
      </c>
      <c r="L2157" s="116">
        <v>-177.55</v>
      </c>
    </row>
    <row r="2158" spans="1:12" hidden="1" outlineLevel="1" collapsed="1" x14ac:dyDescent="0.35">
      <c r="A2158" s="112" t="s">
        <v>1814</v>
      </c>
      <c r="B2158" s="112" t="s">
        <v>906</v>
      </c>
      <c r="C2158" s="112" t="s">
        <v>695</v>
      </c>
      <c r="D2158" s="113">
        <v>10347954</v>
      </c>
      <c r="E2158" s="115">
        <v>43923</v>
      </c>
      <c r="F2158" s="114">
        <v>202101</v>
      </c>
      <c r="G2158" s="112" t="s">
        <v>1091</v>
      </c>
      <c r="H2158" s="112" t="s">
        <v>1015</v>
      </c>
      <c r="I2158" s="112" t="s">
        <v>813</v>
      </c>
      <c r="J2158" s="112" t="s">
        <v>1815</v>
      </c>
      <c r="K2158" s="112" t="s">
        <v>1919</v>
      </c>
      <c r="L2158" s="116">
        <v>-267.17</v>
      </c>
    </row>
    <row r="2159" spans="1:12" hidden="1" outlineLevel="1" collapsed="1" x14ac:dyDescent="0.35">
      <c r="A2159" s="112" t="s">
        <v>1814</v>
      </c>
      <c r="B2159" s="112" t="s">
        <v>906</v>
      </c>
      <c r="C2159" s="112" t="s">
        <v>695</v>
      </c>
      <c r="D2159" s="113">
        <v>10347954</v>
      </c>
      <c r="E2159" s="115">
        <v>43923</v>
      </c>
      <c r="F2159" s="114">
        <v>202101</v>
      </c>
      <c r="G2159" s="112" t="s">
        <v>1091</v>
      </c>
      <c r="H2159" s="112" t="s">
        <v>1015</v>
      </c>
      <c r="I2159" s="112" t="s">
        <v>813</v>
      </c>
      <c r="J2159" s="112" t="s">
        <v>1815</v>
      </c>
      <c r="K2159" s="112" t="s">
        <v>1836</v>
      </c>
      <c r="L2159" s="116">
        <v>-58.61</v>
      </c>
    </row>
    <row r="2160" spans="1:12" hidden="1" outlineLevel="1" collapsed="1" x14ac:dyDescent="0.35">
      <c r="A2160" s="112" t="s">
        <v>1814</v>
      </c>
      <c r="B2160" s="112" t="s">
        <v>906</v>
      </c>
      <c r="C2160" s="112" t="s">
        <v>695</v>
      </c>
      <c r="D2160" s="113">
        <v>10347954</v>
      </c>
      <c r="E2160" s="115">
        <v>43923</v>
      </c>
      <c r="F2160" s="114">
        <v>202101</v>
      </c>
      <c r="G2160" s="112" t="s">
        <v>1091</v>
      </c>
      <c r="H2160" s="112" t="s">
        <v>1015</v>
      </c>
      <c r="I2160" s="112" t="s">
        <v>813</v>
      </c>
      <c r="J2160" s="112" t="s">
        <v>1815</v>
      </c>
      <c r="K2160" s="112" t="s">
        <v>1919</v>
      </c>
      <c r="L2160" s="116">
        <v>-58.61</v>
      </c>
    </row>
    <row r="2161" spans="1:12" hidden="1" outlineLevel="1" collapsed="1" x14ac:dyDescent="0.35">
      <c r="A2161" s="112" t="s">
        <v>1814</v>
      </c>
      <c r="B2161" s="112" t="s">
        <v>905</v>
      </c>
      <c r="C2161" s="112" t="s">
        <v>1095</v>
      </c>
      <c r="D2161" s="113">
        <v>10348451</v>
      </c>
      <c r="E2161" s="115">
        <v>43949</v>
      </c>
      <c r="F2161" s="114">
        <v>202101</v>
      </c>
      <c r="G2161" s="112" t="s">
        <v>1091</v>
      </c>
      <c r="H2161" s="112" t="s">
        <v>1015</v>
      </c>
      <c r="I2161" s="112" t="s">
        <v>1096</v>
      </c>
      <c r="J2161" s="112" t="s">
        <v>1827</v>
      </c>
      <c r="K2161" s="112" t="s">
        <v>1098</v>
      </c>
      <c r="L2161" s="116">
        <v>447.46</v>
      </c>
    </row>
    <row r="2162" spans="1:12" hidden="1" outlineLevel="1" collapsed="1" x14ac:dyDescent="0.35">
      <c r="A2162" s="112" t="s">
        <v>1814</v>
      </c>
      <c r="B2162" s="112" t="s">
        <v>906</v>
      </c>
      <c r="C2162" s="112" t="s">
        <v>695</v>
      </c>
      <c r="D2162" s="113">
        <v>10347954</v>
      </c>
      <c r="E2162" s="115">
        <v>43923</v>
      </c>
      <c r="F2162" s="114">
        <v>202101</v>
      </c>
      <c r="G2162" s="112" t="s">
        <v>1091</v>
      </c>
      <c r="H2162" s="112" t="s">
        <v>1015</v>
      </c>
      <c r="I2162" s="112" t="s">
        <v>813</v>
      </c>
      <c r="J2162" s="112" t="s">
        <v>1815</v>
      </c>
      <c r="K2162" s="112" t="s">
        <v>2269</v>
      </c>
      <c r="L2162" s="116">
        <v>-232.32</v>
      </c>
    </row>
    <row r="2163" spans="1:12" hidden="1" outlineLevel="1" collapsed="1" x14ac:dyDescent="0.35">
      <c r="A2163" s="112" t="s">
        <v>1814</v>
      </c>
      <c r="B2163" s="112" t="s">
        <v>906</v>
      </c>
      <c r="C2163" s="112" t="s">
        <v>695</v>
      </c>
      <c r="D2163" s="113">
        <v>10347954</v>
      </c>
      <c r="E2163" s="115">
        <v>43923</v>
      </c>
      <c r="F2163" s="114">
        <v>202101</v>
      </c>
      <c r="G2163" s="112" t="s">
        <v>1091</v>
      </c>
      <c r="H2163" s="112" t="s">
        <v>1015</v>
      </c>
      <c r="I2163" s="112" t="s">
        <v>813</v>
      </c>
      <c r="J2163" s="112" t="s">
        <v>1815</v>
      </c>
      <c r="K2163" s="112" t="s">
        <v>1905</v>
      </c>
      <c r="L2163" s="116">
        <v>-231.85</v>
      </c>
    </row>
    <row r="2164" spans="1:12" hidden="1" outlineLevel="1" collapsed="1" x14ac:dyDescent="0.35">
      <c r="A2164" s="112" t="s">
        <v>1814</v>
      </c>
      <c r="B2164" s="112" t="s">
        <v>905</v>
      </c>
      <c r="C2164" s="112" t="s">
        <v>1095</v>
      </c>
      <c r="D2164" s="113">
        <v>10348451</v>
      </c>
      <c r="E2164" s="115">
        <v>43949</v>
      </c>
      <c r="F2164" s="114">
        <v>202101</v>
      </c>
      <c r="G2164" s="112" t="s">
        <v>1091</v>
      </c>
      <c r="H2164" s="112" t="s">
        <v>1015</v>
      </c>
      <c r="I2164" s="112" t="s">
        <v>1096</v>
      </c>
      <c r="J2164" s="112" t="s">
        <v>1971</v>
      </c>
      <c r="K2164" s="112" t="s">
        <v>1098</v>
      </c>
      <c r="L2164" s="116">
        <v>303.58999999999997</v>
      </c>
    </row>
    <row r="2165" spans="1:12" hidden="1" outlineLevel="1" collapsed="1" x14ac:dyDescent="0.35">
      <c r="A2165" s="112" t="s">
        <v>1814</v>
      </c>
      <c r="B2165" s="112" t="s">
        <v>905</v>
      </c>
      <c r="C2165" s="112" t="s">
        <v>1099</v>
      </c>
      <c r="D2165" s="113">
        <v>1069729</v>
      </c>
      <c r="E2165" s="115">
        <v>43949</v>
      </c>
      <c r="F2165" s="114">
        <v>202101</v>
      </c>
      <c r="G2165" s="112" t="s">
        <v>1091</v>
      </c>
      <c r="H2165" s="112" t="s">
        <v>1015</v>
      </c>
      <c r="I2165" s="112" t="s">
        <v>1153</v>
      </c>
      <c r="J2165" s="112" t="s">
        <v>1842</v>
      </c>
      <c r="K2165" s="112" t="s">
        <v>2279</v>
      </c>
      <c r="L2165" s="116">
        <v>4200</v>
      </c>
    </row>
    <row r="2166" spans="1:12" hidden="1" outlineLevel="1" collapsed="1" x14ac:dyDescent="0.35">
      <c r="A2166" s="112" t="s">
        <v>1814</v>
      </c>
      <c r="B2166" s="112" t="s">
        <v>905</v>
      </c>
      <c r="C2166" s="112" t="s">
        <v>1106</v>
      </c>
      <c r="D2166" s="113">
        <v>3098968</v>
      </c>
      <c r="E2166" s="115">
        <v>43949</v>
      </c>
      <c r="F2166" s="114">
        <v>202101</v>
      </c>
      <c r="G2166" s="112" t="s">
        <v>1091</v>
      </c>
      <c r="H2166" s="112" t="s">
        <v>1015</v>
      </c>
      <c r="I2166" s="112" t="s">
        <v>1153</v>
      </c>
      <c r="J2166" s="112" t="s">
        <v>1842</v>
      </c>
      <c r="K2166" s="112" t="s">
        <v>2280</v>
      </c>
      <c r="L2166" s="116">
        <v>153.36000000000001</v>
      </c>
    </row>
    <row r="2167" spans="1:12" hidden="1" outlineLevel="1" collapsed="1" x14ac:dyDescent="0.35">
      <c r="A2167" s="112" t="s">
        <v>1814</v>
      </c>
      <c r="B2167" s="112" t="s">
        <v>906</v>
      </c>
      <c r="C2167" s="112" t="s">
        <v>1099</v>
      </c>
      <c r="D2167" s="113">
        <v>1069548</v>
      </c>
      <c r="E2167" s="115">
        <v>43930</v>
      </c>
      <c r="F2167" s="114">
        <v>202101</v>
      </c>
      <c r="G2167" s="112" t="s">
        <v>1091</v>
      </c>
      <c r="H2167" s="112" t="s">
        <v>1015</v>
      </c>
      <c r="I2167" s="112" t="s">
        <v>745</v>
      </c>
      <c r="J2167" s="112" t="s">
        <v>1815</v>
      </c>
      <c r="K2167" s="112" t="s">
        <v>2281</v>
      </c>
      <c r="L2167" s="116">
        <v>269.5</v>
      </c>
    </row>
    <row r="2168" spans="1:12" hidden="1" outlineLevel="1" collapsed="1" x14ac:dyDescent="0.35">
      <c r="A2168" s="112" t="s">
        <v>1814</v>
      </c>
      <c r="B2168" s="112" t="s">
        <v>906</v>
      </c>
      <c r="C2168" s="112" t="s">
        <v>695</v>
      </c>
      <c r="D2168" s="113">
        <v>10348539</v>
      </c>
      <c r="E2168" s="115">
        <v>43951</v>
      </c>
      <c r="F2168" s="114">
        <v>202101</v>
      </c>
      <c r="G2168" s="112" t="s">
        <v>1091</v>
      </c>
      <c r="H2168" s="112" t="s">
        <v>1015</v>
      </c>
      <c r="I2168" s="112" t="s">
        <v>747</v>
      </c>
      <c r="J2168" s="112" t="s">
        <v>1815</v>
      </c>
      <c r="K2168" s="112" t="s">
        <v>2282</v>
      </c>
      <c r="L2168" s="116">
        <v>500</v>
      </c>
    </row>
    <row r="2169" spans="1:12" hidden="1" outlineLevel="1" collapsed="1" x14ac:dyDescent="0.35">
      <c r="A2169" s="112" t="s">
        <v>1814</v>
      </c>
      <c r="B2169" s="112" t="s">
        <v>905</v>
      </c>
      <c r="C2169" s="112" t="s">
        <v>1095</v>
      </c>
      <c r="D2169" s="113">
        <v>10348451</v>
      </c>
      <c r="E2169" s="115">
        <v>43949</v>
      </c>
      <c r="F2169" s="114">
        <v>202101</v>
      </c>
      <c r="G2169" s="112" t="s">
        <v>1091</v>
      </c>
      <c r="H2169" s="112" t="s">
        <v>1015</v>
      </c>
      <c r="I2169" s="112" t="s">
        <v>1096</v>
      </c>
      <c r="J2169" s="112" t="s">
        <v>1827</v>
      </c>
      <c r="K2169" s="112" t="s">
        <v>1098</v>
      </c>
      <c r="L2169" s="116">
        <v>411.93</v>
      </c>
    </row>
    <row r="2170" spans="1:12" hidden="1" outlineLevel="1" collapsed="1" x14ac:dyDescent="0.35">
      <c r="A2170" s="112" t="s">
        <v>1814</v>
      </c>
      <c r="B2170" s="112" t="s">
        <v>906</v>
      </c>
      <c r="C2170" s="112" t="s">
        <v>695</v>
      </c>
      <c r="D2170" s="113">
        <v>10348539</v>
      </c>
      <c r="E2170" s="115">
        <v>43951</v>
      </c>
      <c r="F2170" s="114">
        <v>202101</v>
      </c>
      <c r="G2170" s="112" t="s">
        <v>1091</v>
      </c>
      <c r="H2170" s="112" t="s">
        <v>1015</v>
      </c>
      <c r="I2170" s="112" t="s">
        <v>747</v>
      </c>
      <c r="J2170" s="112" t="s">
        <v>1815</v>
      </c>
      <c r="K2170" s="112" t="s">
        <v>2283</v>
      </c>
      <c r="L2170" s="116">
        <v>776.63</v>
      </c>
    </row>
    <row r="2171" spans="1:12" hidden="1" outlineLevel="1" collapsed="1" x14ac:dyDescent="0.35">
      <c r="A2171" s="112" t="s">
        <v>1814</v>
      </c>
      <c r="B2171" s="112" t="s">
        <v>906</v>
      </c>
      <c r="C2171" s="112" t="s">
        <v>1099</v>
      </c>
      <c r="D2171" s="113">
        <v>1069765</v>
      </c>
      <c r="E2171" s="115">
        <v>43950</v>
      </c>
      <c r="F2171" s="114">
        <v>202101</v>
      </c>
      <c r="G2171" s="112" t="s">
        <v>1091</v>
      </c>
      <c r="H2171" s="112" t="s">
        <v>1015</v>
      </c>
      <c r="I2171" s="112" t="s">
        <v>745</v>
      </c>
      <c r="J2171" s="112" t="s">
        <v>1815</v>
      </c>
      <c r="K2171" s="112" t="s">
        <v>2284</v>
      </c>
      <c r="L2171" s="116">
        <v>95</v>
      </c>
    </row>
    <row r="2172" spans="1:12" hidden="1" outlineLevel="1" collapsed="1" x14ac:dyDescent="0.35">
      <c r="A2172" s="112" t="s">
        <v>1814</v>
      </c>
      <c r="B2172" s="112" t="s">
        <v>906</v>
      </c>
      <c r="C2172" s="112" t="s">
        <v>1099</v>
      </c>
      <c r="D2172" s="113">
        <v>1069518</v>
      </c>
      <c r="E2172" s="115">
        <v>43921</v>
      </c>
      <c r="F2172" s="114">
        <v>202101</v>
      </c>
      <c r="G2172" s="112" t="s">
        <v>1091</v>
      </c>
      <c r="H2172" s="112" t="s">
        <v>1015</v>
      </c>
      <c r="I2172" s="112" t="s">
        <v>2285</v>
      </c>
      <c r="J2172" s="112" t="s">
        <v>1815</v>
      </c>
      <c r="K2172" s="112" t="s">
        <v>2286</v>
      </c>
      <c r="L2172" s="116">
        <v>480</v>
      </c>
    </row>
    <row r="2173" spans="1:12" hidden="1" outlineLevel="1" collapsed="1" x14ac:dyDescent="0.35">
      <c r="A2173" s="112" t="s">
        <v>1814</v>
      </c>
      <c r="B2173" s="112" t="s">
        <v>905</v>
      </c>
      <c r="C2173" s="112" t="s">
        <v>679</v>
      </c>
      <c r="D2173" s="113">
        <v>10347933</v>
      </c>
      <c r="E2173" s="115">
        <v>43922</v>
      </c>
      <c r="F2173" s="114">
        <v>202101</v>
      </c>
      <c r="G2173" s="112" t="s">
        <v>1091</v>
      </c>
      <c r="H2173" s="112" t="s">
        <v>1015</v>
      </c>
      <c r="I2173" s="112" t="s">
        <v>1952</v>
      </c>
      <c r="J2173" s="112" t="s">
        <v>1817</v>
      </c>
      <c r="K2173" s="112" t="s">
        <v>2287</v>
      </c>
      <c r="L2173" s="116">
        <v>1000</v>
      </c>
    </row>
    <row r="2174" spans="1:12" hidden="1" outlineLevel="1" collapsed="1" x14ac:dyDescent="0.35">
      <c r="A2174" s="112" t="s">
        <v>1814</v>
      </c>
      <c r="B2174" s="112" t="s">
        <v>906</v>
      </c>
      <c r="C2174" s="112" t="s">
        <v>1095</v>
      </c>
      <c r="D2174" s="113">
        <v>10348451</v>
      </c>
      <c r="E2174" s="115">
        <v>43949</v>
      </c>
      <c r="F2174" s="114">
        <v>202101</v>
      </c>
      <c r="G2174" s="112" t="s">
        <v>1091</v>
      </c>
      <c r="H2174" s="112" t="s">
        <v>1015</v>
      </c>
      <c r="I2174" s="112" t="s">
        <v>1101</v>
      </c>
      <c r="J2174" s="112" t="s">
        <v>1852</v>
      </c>
      <c r="K2174" s="112" t="s">
        <v>1098</v>
      </c>
      <c r="L2174" s="116">
        <v>483.07</v>
      </c>
    </row>
    <row r="2175" spans="1:12" hidden="1" outlineLevel="1" collapsed="1" x14ac:dyDescent="0.35">
      <c r="A2175" s="112" t="s">
        <v>1814</v>
      </c>
      <c r="B2175" s="112" t="s">
        <v>906</v>
      </c>
      <c r="C2175" s="112" t="s">
        <v>1095</v>
      </c>
      <c r="D2175" s="113">
        <v>10348451</v>
      </c>
      <c r="E2175" s="115">
        <v>43949</v>
      </c>
      <c r="F2175" s="114">
        <v>202101</v>
      </c>
      <c r="G2175" s="112" t="s">
        <v>1091</v>
      </c>
      <c r="H2175" s="112" t="s">
        <v>1015</v>
      </c>
      <c r="I2175" s="112" t="s">
        <v>1096</v>
      </c>
      <c r="J2175" s="112" t="s">
        <v>1874</v>
      </c>
      <c r="K2175" s="112" t="s">
        <v>1098</v>
      </c>
      <c r="L2175" s="116">
        <v>210.79</v>
      </c>
    </row>
    <row r="2176" spans="1:12" hidden="1" outlineLevel="1" collapsed="1" x14ac:dyDescent="0.35">
      <c r="A2176" s="112" t="s">
        <v>1814</v>
      </c>
      <c r="B2176" s="112" t="s">
        <v>906</v>
      </c>
      <c r="C2176" s="112" t="s">
        <v>1095</v>
      </c>
      <c r="D2176" s="113">
        <v>10348451</v>
      </c>
      <c r="E2176" s="115">
        <v>43949</v>
      </c>
      <c r="F2176" s="114">
        <v>202101</v>
      </c>
      <c r="G2176" s="112" t="s">
        <v>1091</v>
      </c>
      <c r="H2176" s="112" t="s">
        <v>1015</v>
      </c>
      <c r="I2176" s="112" t="s">
        <v>1101</v>
      </c>
      <c r="J2176" s="112" t="s">
        <v>1874</v>
      </c>
      <c r="K2176" s="112" t="s">
        <v>1098</v>
      </c>
      <c r="L2176" s="116">
        <v>88.79</v>
      </c>
    </row>
    <row r="2177" spans="1:12" hidden="1" outlineLevel="1" collapsed="1" x14ac:dyDescent="0.35">
      <c r="A2177" s="112" t="s">
        <v>1814</v>
      </c>
      <c r="B2177" s="112" t="s">
        <v>905</v>
      </c>
      <c r="C2177" s="112" t="s">
        <v>1095</v>
      </c>
      <c r="D2177" s="113">
        <v>10348451</v>
      </c>
      <c r="E2177" s="115">
        <v>43949</v>
      </c>
      <c r="F2177" s="114">
        <v>202101</v>
      </c>
      <c r="G2177" s="112" t="s">
        <v>1091</v>
      </c>
      <c r="H2177" s="112" t="s">
        <v>1015</v>
      </c>
      <c r="I2177" s="112" t="s">
        <v>1101</v>
      </c>
      <c r="J2177" s="112" t="s">
        <v>1827</v>
      </c>
      <c r="K2177" s="112" t="s">
        <v>1098</v>
      </c>
      <c r="L2177" s="116">
        <v>483.07</v>
      </c>
    </row>
    <row r="2178" spans="1:12" hidden="1" outlineLevel="1" collapsed="1" x14ac:dyDescent="0.35">
      <c r="A2178" s="112" t="s">
        <v>1814</v>
      </c>
      <c r="B2178" s="112" t="s">
        <v>905</v>
      </c>
      <c r="C2178" s="112" t="s">
        <v>1095</v>
      </c>
      <c r="D2178" s="113">
        <v>10348451</v>
      </c>
      <c r="E2178" s="115">
        <v>43949</v>
      </c>
      <c r="F2178" s="114">
        <v>202101</v>
      </c>
      <c r="G2178" s="112" t="s">
        <v>1091</v>
      </c>
      <c r="H2178" s="112" t="s">
        <v>1015</v>
      </c>
      <c r="I2178" s="112" t="s">
        <v>1544</v>
      </c>
      <c r="J2178" s="112" t="s">
        <v>1839</v>
      </c>
      <c r="K2178" s="112" t="s">
        <v>1098</v>
      </c>
      <c r="L2178" s="116">
        <v>60.3</v>
      </c>
    </row>
    <row r="2179" spans="1:12" hidden="1" outlineLevel="1" collapsed="1" x14ac:dyDescent="0.35">
      <c r="A2179" s="112" t="s">
        <v>1814</v>
      </c>
      <c r="B2179" s="112" t="s">
        <v>905</v>
      </c>
      <c r="C2179" s="112" t="s">
        <v>1095</v>
      </c>
      <c r="D2179" s="113">
        <v>10348451</v>
      </c>
      <c r="E2179" s="115">
        <v>43949</v>
      </c>
      <c r="F2179" s="114">
        <v>202101</v>
      </c>
      <c r="G2179" s="112" t="s">
        <v>1091</v>
      </c>
      <c r="H2179" s="112" t="s">
        <v>1015</v>
      </c>
      <c r="I2179" s="112" t="s">
        <v>2288</v>
      </c>
      <c r="J2179" s="112" t="s">
        <v>1827</v>
      </c>
      <c r="K2179" s="112" t="s">
        <v>1098</v>
      </c>
      <c r="L2179" s="116">
        <v>55</v>
      </c>
    </row>
    <row r="2180" spans="1:12" hidden="1" outlineLevel="1" collapsed="1" x14ac:dyDescent="0.35">
      <c r="A2180" s="112" t="s">
        <v>1814</v>
      </c>
      <c r="B2180" s="112" t="s">
        <v>906</v>
      </c>
      <c r="C2180" s="112" t="s">
        <v>1099</v>
      </c>
      <c r="D2180" s="113">
        <v>1069535</v>
      </c>
      <c r="E2180" s="115">
        <v>43930</v>
      </c>
      <c r="F2180" s="114">
        <v>202101</v>
      </c>
      <c r="G2180" s="112" t="s">
        <v>1091</v>
      </c>
      <c r="H2180" s="112" t="s">
        <v>1015</v>
      </c>
      <c r="I2180" s="112" t="s">
        <v>745</v>
      </c>
      <c r="J2180" s="112" t="s">
        <v>1815</v>
      </c>
      <c r="K2180" s="112" t="s">
        <v>2289</v>
      </c>
      <c r="L2180" s="116">
        <v>349.94</v>
      </c>
    </row>
    <row r="2181" spans="1:12" hidden="1" outlineLevel="1" collapsed="1" x14ac:dyDescent="0.35">
      <c r="A2181" s="112" t="s">
        <v>1814</v>
      </c>
      <c r="B2181" s="112" t="s">
        <v>905</v>
      </c>
      <c r="C2181" s="112" t="s">
        <v>1095</v>
      </c>
      <c r="D2181" s="113">
        <v>10348451</v>
      </c>
      <c r="E2181" s="115">
        <v>43949</v>
      </c>
      <c r="F2181" s="114">
        <v>202101</v>
      </c>
      <c r="G2181" s="112" t="s">
        <v>1091</v>
      </c>
      <c r="H2181" s="112" t="s">
        <v>1015</v>
      </c>
      <c r="I2181" s="112" t="s">
        <v>1544</v>
      </c>
      <c r="J2181" s="112" t="s">
        <v>1839</v>
      </c>
      <c r="K2181" s="112" t="s">
        <v>1098</v>
      </c>
      <c r="L2181" s="116">
        <v>49.5</v>
      </c>
    </row>
    <row r="2182" spans="1:12" hidden="1" outlineLevel="1" collapsed="1" x14ac:dyDescent="0.35">
      <c r="A2182" s="112" t="s">
        <v>1814</v>
      </c>
      <c r="B2182" s="112" t="s">
        <v>905</v>
      </c>
      <c r="C2182" s="112" t="s">
        <v>1095</v>
      </c>
      <c r="D2182" s="113">
        <v>10348451</v>
      </c>
      <c r="E2182" s="115">
        <v>43949</v>
      </c>
      <c r="F2182" s="114">
        <v>202101</v>
      </c>
      <c r="G2182" s="112" t="s">
        <v>1091</v>
      </c>
      <c r="H2182" s="112" t="s">
        <v>1015</v>
      </c>
      <c r="I2182" s="112" t="s">
        <v>1096</v>
      </c>
      <c r="J2182" s="112" t="s">
        <v>1827</v>
      </c>
      <c r="K2182" s="112" t="s">
        <v>1098</v>
      </c>
      <c r="L2182" s="116">
        <v>350.32</v>
      </c>
    </row>
    <row r="2183" spans="1:12" hidden="1" outlineLevel="1" collapsed="1" x14ac:dyDescent="0.35">
      <c r="A2183" s="112" t="s">
        <v>1814</v>
      </c>
      <c r="B2183" s="112" t="s">
        <v>906</v>
      </c>
      <c r="C2183" s="112" t="s">
        <v>1095</v>
      </c>
      <c r="D2183" s="113">
        <v>10348451</v>
      </c>
      <c r="E2183" s="115">
        <v>43949</v>
      </c>
      <c r="F2183" s="114">
        <v>202101</v>
      </c>
      <c r="G2183" s="112" t="s">
        <v>1091</v>
      </c>
      <c r="H2183" s="112" t="s">
        <v>1015</v>
      </c>
      <c r="I2183" s="112" t="s">
        <v>1544</v>
      </c>
      <c r="J2183" s="112" t="s">
        <v>1852</v>
      </c>
      <c r="K2183" s="112" t="s">
        <v>1098</v>
      </c>
      <c r="L2183" s="116">
        <v>85.05</v>
      </c>
    </row>
    <row r="2184" spans="1:12" hidden="1" outlineLevel="1" collapsed="1" x14ac:dyDescent="0.35">
      <c r="A2184" s="112" t="s">
        <v>1814</v>
      </c>
      <c r="B2184" s="112" t="s">
        <v>906</v>
      </c>
      <c r="C2184" s="112" t="s">
        <v>1095</v>
      </c>
      <c r="D2184" s="113">
        <v>10348451</v>
      </c>
      <c r="E2184" s="115">
        <v>43949</v>
      </c>
      <c r="F2184" s="114">
        <v>202101</v>
      </c>
      <c r="G2184" s="112" t="s">
        <v>1091</v>
      </c>
      <c r="H2184" s="112" t="s">
        <v>1015</v>
      </c>
      <c r="I2184" s="112" t="s">
        <v>1399</v>
      </c>
      <c r="J2184" s="112" t="s">
        <v>1852</v>
      </c>
      <c r="K2184" s="112" t="s">
        <v>1098</v>
      </c>
      <c r="L2184" s="116">
        <v>61</v>
      </c>
    </row>
    <row r="2185" spans="1:12" hidden="1" outlineLevel="1" collapsed="1" x14ac:dyDescent="0.35">
      <c r="A2185" s="112" t="s">
        <v>1814</v>
      </c>
      <c r="B2185" s="112" t="s">
        <v>906</v>
      </c>
      <c r="C2185" s="112" t="s">
        <v>1095</v>
      </c>
      <c r="D2185" s="113">
        <v>10348451</v>
      </c>
      <c r="E2185" s="115">
        <v>43949</v>
      </c>
      <c r="F2185" s="114">
        <v>202101</v>
      </c>
      <c r="G2185" s="112" t="s">
        <v>1091</v>
      </c>
      <c r="H2185" s="112" t="s">
        <v>1015</v>
      </c>
      <c r="I2185" s="112" t="s">
        <v>1101</v>
      </c>
      <c r="J2185" s="112" t="s">
        <v>1852</v>
      </c>
      <c r="K2185" s="112" t="s">
        <v>1098</v>
      </c>
      <c r="L2185" s="116">
        <v>549.4</v>
      </c>
    </row>
    <row r="2186" spans="1:12" hidden="1" outlineLevel="1" collapsed="1" x14ac:dyDescent="0.35">
      <c r="A2186" s="112" t="s">
        <v>1814</v>
      </c>
      <c r="B2186" s="112" t="s">
        <v>905</v>
      </c>
      <c r="C2186" s="112" t="s">
        <v>1095</v>
      </c>
      <c r="D2186" s="113">
        <v>10348451</v>
      </c>
      <c r="E2186" s="115">
        <v>43949</v>
      </c>
      <c r="F2186" s="114">
        <v>202101</v>
      </c>
      <c r="G2186" s="112" t="s">
        <v>1091</v>
      </c>
      <c r="H2186" s="112" t="s">
        <v>1015</v>
      </c>
      <c r="I2186" s="112" t="s">
        <v>1544</v>
      </c>
      <c r="J2186" s="112" t="s">
        <v>1839</v>
      </c>
      <c r="K2186" s="112" t="s">
        <v>1098</v>
      </c>
      <c r="L2186" s="116">
        <v>49.5</v>
      </c>
    </row>
    <row r="2187" spans="1:12" hidden="1" outlineLevel="1" collapsed="1" x14ac:dyDescent="0.35">
      <c r="A2187" s="112" t="s">
        <v>1814</v>
      </c>
      <c r="B2187" s="112" t="s">
        <v>906</v>
      </c>
      <c r="C2187" s="112" t="s">
        <v>1095</v>
      </c>
      <c r="D2187" s="113">
        <v>10348451</v>
      </c>
      <c r="E2187" s="115">
        <v>43949</v>
      </c>
      <c r="F2187" s="114">
        <v>202101</v>
      </c>
      <c r="G2187" s="112" t="s">
        <v>1091</v>
      </c>
      <c r="H2187" s="112" t="s">
        <v>1015</v>
      </c>
      <c r="I2187" s="112" t="s">
        <v>1101</v>
      </c>
      <c r="J2187" s="112" t="s">
        <v>1852</v>
      </c>
      <c r="K2187" s="112" t="s">
        <v>1098</v>
      </c>
      <c r="L2187" s="116">
        <v>549.4</v>
      </c>
    </row>
    <row r="2188" spans="1:12" hidden="1" outlineLevel="1" collapsed="1" x14ac:dyDescent="0.35">
      <c r="A2188" s="112" t="s">
        <v>1814</v>
      </c>
      <c r="B2188" s="112" t="s">
        <v>905</v>
      </c>
      <c r="C2188" s="112" t="s">
        <v>1095</v>
      </c>
      <c r="D2188" s="113">
        <v>10348451</v>
      </c>
      <c r="E2188" s="115">
        <v>43949</v>
      </c>
      <c r="F2188" s="114">
        <v>202101</v>
      </c>
      <c r="G2188" s="112" t="s">
        <v>1091</v>
      </c>
      <c r="H2188" s="112" t="s">
        <v>1015</v>
      </c>
      <c r="I2188" s="112" t="s">
        <v>1101</v>
      </c>
      <c r="J2188" s="112" t="s">
        <v>1827</v>
      </c>
      <c r="K2188" s="112" t="s">
        <v>1098</v>
      </c>
      <c r="L2188" s="116">
        <v>602.15</v>
      </c>
    </row>
    <row r="2189" spans="1:12" hidden="1" outlineLevel="1" collapsed="1" x14ac:dyDescent="0.35">
      <c r="A2189" s="112" t="s">
        <v>1814</v>
      </c>
      <c r="B2189" s="112" t="s">
        <v>905</v>
      </c>
      <c r="C2189" s="112" t="s">
        <v>1095</v>
      </c>
      <c r="D2189" s="113">
        <v>10348451</v>
      </c>
      <c r="E2189" s="115">
        <v>43949</v>
      </c>
      <c r="F2189" s="114">
        <v>202101</v>
      </c>
      <c r="G2189" s="112" t="s">
        <v>1091</v>
      </c>
      <c r="H2189" s="112" t="s">
        <v>1015</v>
      </c>
      <c r="I2189" s="112" t="s">
        <v>1096</v>
      </c>
      <c r="J2189" s="112" t="s">
        <v>1827</v>
      </c>
      <c r="K2189" s="112" t="s">
        <v>1098</v>
      </c>
      <c r="L2189" s="116">
        <v>187.85</v>
      </c>
    </row>
    <row r="2190" spans="1:12" hidden="1" outlineLevel="1" collapsed="1" x14ac:dyDescent="0.35">
      <c r="A2190" s="112" t="s">
        <v>1814</v>
      </c>
      <c r="B2190" s="112" t="s">
        <v>905</v>
      </c>
      <c r="C2190" s="112" t="s">
        <v>695</v>
      </c>
      <c r="D2190" s="113">
        <v>10348461</v>
      </c>
      <c r="E2190" s="115">
        <v>43948</v>
      </c>
      <c r="F2190" s="114">
        <v>202101</v>
      </c>
      <c r="G2190" s="112" t="s">
        <v>1091</v>
      </c>
      <c r="H2190" s="112" t="s">
        <v>1016</v>
      </c>
      <c r="I2190" s="112" t="s">
        <v>2290</v>
      </c>
      <c r="J2190" s="112" t="s">
        <v>1827</v>
      </c>
      <c r="K2190" s="112" t="s">
        <v>2291</v>
      </c>
      <c r="L2190" s="116">
        <v>-1320</v>
      </c>
    </row>
    <row r="2191" spans="1:12" hidden="1" outlineLevel="1" collapsed="1" x14ac:dyDescent="0.35">
      <c r="A2191" s="112" t="s">
        <v>1814</v>
      </c>
      <c r="B2191" s="112" t="s">
        <v>905</v>
      </c>
      <c r="C2191" s="112" t="s">
        <v>1095</v>
      </c>
      <c r="D2191" s="113">
        <v>10348451</v>
      </c>
      <c r="E2191" s="115">
        <v>43949</v>
      </c>
      <c r="F2191" s="114">
        <v>202101</v>
      </c>
      <c r="G2191" s="112" t="s">
        <v>1091</v>
      </c>
      <c r="H2191" s="112" t="s">
        <v>1015</v>
      </c>
      <c r="I2191" s="112" t="s">
        <v>1544</v>
      </c>
      <c r="J2191" s="112" t="s">
        <v>1839</v>
      </c>
      <c r="K2191" s="112" t="s">
        <v>1098</v>
      </c>
      <c r="L2191" s="116">
        <v>18.899999999999999</v>
      </c>
    </row>
    <row r="2192" spans="1:12" hidden="1" outlineLevel="1" collapsed="1" x14ac:dyDescent="0.35">
      <c r="A2192" s="112" t="s">
        <v>1814</v>
      </c>
      <c r="B2192" s="112" t="s">
        <v>905</v>
      </c>
      <c r="C2192" s="112" t="s">
        <v>1095</v>
      </c>
      <c r="D2192" s="113">
        <v>10348451</v>
      </c>
      <c r="E2192" s="115">
        <v>43949</v>
      </c>
      <c r="F2192" s="114">
        <v>202101</v>
      </c>
      <c r="G2192" s="112" t="s">
        <v>1091</v>
      </c>
      <c r="H2192" s="112" t="s">
        <v>1015</v>
      </c>
      <c r="I2192" s="112" t="s">
        <v>1544</v>
      </c>
      <c r="J2192" s="112" t="s">
        <v>1817</v>
      </c>
      <c r="K2192" s="112" t="s">
        <v>1098</v>
      </c>
      <c r="L2192" s="116">
        <v>189.9</v>
      </c>
    </row>
    <row r="2193" spans="1:12" hidden="1" outlineLevel="1" collapsed="1" x14ac:dyDescent="0.35">
      <c r="A2193" s="112" t="s">
        <v>1814</v>
      </c>
      <c r="B2193" s="112" t="s">
        <v>906</v>
      </c>
      <c r="C2193" s="112" t="s">
        <v>695</v>
      </c>
      <c r="D2193" s="113">
        <v>10347948</v>
      </c>
      <c r="E2193" s="115">
        <v>43923</v>
      </c>
      <c r="F2193" s="114">
        <v>202101</v>
      </c>
      <c r="G2193" s="112" t="s">
        <v>1091</v>
      </c>
      <c r="H2193" s="112" t="s">
        <v>1015</v>
      </c>
      <c r="I2193" s="112" t="s">
        <v>759</v>
      </c>
      <c r="J2193" s="112" t="s">
        <v>1815</v>
      </c>
      <c r="K2193" s="112" t="s">
        <v>1110</v>
      </c>
      <c r="L2193" s="116">
        <v>-44.52</v>
      </c>
    </row>
    <row r="2194" spans="1:12" hidden="1" outlineLevel="1" collapsed="1" x14ac:dyDescent="0.35">
      <c r="A2194" s="112" t="s">
        <v>1814</v>
      </c>
      <c r="B2194" s="112" t="s">
        <v>906</v>
      </c>
      <c r="C2194" s="112" t="s">
        <v>1266</v>
      </c>
      <c r="D2194" s="113">
        <v>1069720</v>
      </c>
      <c r="E2194" s="115">
        <v>43945</v>
      </c>
      <c r="F2194" s="114">
        <v>202101</v>
      </c>
      <c r="G2194" s="112" t="s">
        <v>1091</v>
      </c>
      <c r="H2194" s="112" t="s">
        <v>1015</v>
      </c>
      <c r="I2194" s="112" t="s">
        <v>745</v>
      </c>
      <c r="J2194" s="112" t="s">
        <v>1815</v>
      </c>
      <c r="K2194" s="112" t="s">
        <v>2292</v>
      </c>
      <c r="L2194" s="116">
        <v>-390.35</v>
      </c>
    </row>
    <row r="2195" spans="1:12" hidden="1" outlineLevel="1" collapsed="1" x14ac:dyDescent="0.35">
      <c r="A2195" s="112" t="s">
        <v>1814</v>
      </c>
      <c r="B2195" s="112" t="s">
        <v>906</v>
      </c>
      <c r="C2195" s="112" t="s">
        <v>695</v>
      </c>
      <c r="D2195" s="113">
        <v>10347948</v>
      </c>
      <c r="E2195" s="115">
        <v>43923</v>
      </c>
      <c r="F2195" s="114">
        <v>202101</v>
      </c>
      <c r="G2195" s="112" t="s">
        <v>1091</v>
      </c>
      <c r="H2195" s="112" t="s">
        <v>1015</v>
      </c>
      <c r="I2195" s="112" t="s">
        <v>813</v>
      </c>
      <c r="J2195" s="112" t="s">
        <v>1815</v>
      </c>
      <c r="K2195" s="112" t="s">
        <v>1891</v>
      </c>
      <c r="L2195" s="116">
        <v>-27.07</v>
      </c>
    </row>
    <row r="2196" spans="1:12" hidden="1" outlineLevel="1" collapsed="1" x14ac:dyDescent="0.35">
      <c r="A2196" s="112" t="s">
        <v>1814</v>
      </c>
      <c r="B2196" s="112" t="s">
        <v>906</v>
      </c>
      <c r="C2196" s="112" t="s">
        <v>695</v>
      </c>
      <c r="D2196" s="113">
        <v>10348345</v>
      </c>
      <c r="E2196" s="115">
        <v>43942</v>
      </c>
      <c r="F2196" s="114">
        <v>202101</v>
      </c>
      <c r="G2196" s="112" t="s">
        <v>1091</v>
      </c>
      <c r="H2196" s="112" t="s">
        <v>1015</v>
      </c>
      <c r="I2196" s="112" t="s">
        <v>817</v>
      </c>
      <c r="J2196" s="112" t="s">
        <v>1815</v>
      </c>
      <c r="K2196" s="112" t="s">
        <v>2293</v>
      </c>
      <c r="L2196" s="116">
        <v>-277.10000000000002</v>
      </c>
    </row>
    <row r="2197" spans="1:12" hidden="1" outlineLevel="1" collapsed="1" x14ac:dyDescent="0.35">
      <c r="A2197" s="112" t="s">
        <v>1814</v>
      </c>
      <c r="B2197" s="112" t="s">
        <v>905</v>
      </c>
      <c r="C2197" s="112" t="s">
        <v>1095</v>
      </c>
      <c r="D2197" s="113">
        <v>10348451</v>
      </c>
      <c r="E2197" s="115">
        <v>43949</v>
      </c>
      <c r="F2197" s="114">
        <v>202101</v>
      </c>
      <c r="G2197" s="112" t="s">
        <v>1091</v>
      </c>
      <c r="H2197" s="112" t="s">
        <v>1015</v>
      </c>
      <c r="I2197" s="112" t="s">
        <v>1096</v>
      </c>
      <c r="J2197" s="112" t="s">
        <v>1827</v>
      </c>
      <c r="K2197" s="112" t="s">
        <v>1098</v>
      </c>
      <c r="L2197" s="116">
        <v>132.99</v>
      </c>
    </row>
    <row r="2198" spans="1:12" hidden="1" outlineLevel="1" collapsed="1" x14ac:dyDescent="0.35">
      <c r="A2198" s="112" t="s">
        <v>1814</v>
      </c>
      <c r="B2198" s="112" t="s">
        <v>905</v>
      </c>
      <c r="C2198" s="112" t="s">
        <v>1095</v>
      </c>
      <c r="D2198" s="113">
        <v>10348451</v>
      </c>
      <c r="E2198" s="115">
        <v>43949</v>
      </c>
      <c r="F2198" s="114">
        <v>202101</v>
      </c>
      <c r="G2198" s="112" t="s">
        <v>1091</v>
      </c>
      <c r="H2198" s="112" t="s">
        <v>1015</v>
      </c>
      <c r="I2198" s="112" t="s">
        <v>1096</v>
      </c>
      <c r="J2198" s="112" t="s">
        <v>1839</v>
      </c>
      <c r="K2198" s="112" t="s">
        <v>1098</v>
      </c>
      <c r="L2198" s="116">
        <v>310.49</v>
      </c>
    </row>
    <row r="2199" spans="1:12" hidden="1" outlineLevel="1" collapsed="1" x14ac:dyDescent="0.35">
      <c r="A2199" s="112" t="s">
        <v>1814</v>
      </c>
      <c r="B2199" s="112" t="s">
        <v>905</v>
      </c>
      <c r="C2199" s="112" t="s">
        <v>1095</v>
      </c>
      <c r="D2199" s="113">
        <v>10348451</v>
      </c>
      <c r="E2199" s="115">
        <v>43949</v>
      </c>
      <c r="F2199" s="114">
        <v>202101</v>
      </c>
      <c r="G2199" s="112" t="s">
        <v>1091</v>
      </c>
      <c r="H2199" s="112" t="s">
        <v>1015</v>
      </c>
      <c r="I2199" s="112" t="s">
        <v>1101</v>
      </c>
      <c r="J2199" s="112" t="s">
        <v>1827</v>
      </c>
      <c r="K2199" s="112" t="s">
        <v>1098</v>
      </c>
      <c r="L2199" s="116">
        <v>598.26</v>
      </c>
    </row>
    <row r="2200" spans="1:12" hidden="1" outlineLevel="1" collapsed="1" x14ac:dyDescent="0.35">
      <c r="A2200" s="112" t="s">
        <v>1814</v>
      </c>
      <c r="B2200" s="112" t="s">
        <v>905</v>
      </c>
      <c r="C2200" s="112" t="s">
        <v>1095</v>
      </c>
      <c r="D2200" s="113">
        <v>10348451</v>
      </c>
      <c r="E2200" s="115">
        <v>43949</v>
      </c>
      <c r="F2200" s="114">
        <v>202101</v>
      </c>
      <c r="G2200" s="112" t="s">
        <v>1091</v>
      </c>
      <c r="H2200" s="112" t="s">
        <v>1015</v>
      </c>
      <c r="I2200" s="112" t="s">
        <v>1096</v>
      </c>
      <c r="J2200" s="112" t="s">
        <v>1827</v>
      </c>
      <c r="K2200" s="112" t="s">
        <v>1098</v>
      </c>
      <c r="L2200" s="116">
        <v>408.61</v>
      </c>
    </row>
    <row r="2201" spans="1:12" hidden="1" outlineLevel="1" collapsed="1" x14ac:dyDescent="0.35">
      <c r="A2201" s="112" t="s">
        <v>1814</v>
      </c>
      <c r="B2201" s="112" t="s">
        <v>905</v>
      </c>
      <c r="C2201" s="112" t="s">
        <v>1095</v>
      </c>
      <c r="D2201" s="113">
        <v>10348451</v>
      </c>
      <c r="E2201" s="115">
        <v>43949</v>
      </c>
      <c r="F2201" s="114">
        <v>202101</v>
      </c>
      <c r="G2201" s="112" t="s">
        <v>1091</v>
      </c>
      <c r="H2201" s="112" t="s">
        <v>1015</v>
      </c>
      <c r="I2201" s="112" t="s">
        <v>1096</v>
      </c>
      <c r="J2201" s="112" t="s">
        <v>1839</v>
      </c>
      <c r="K2201" s="112" t="s">
        <v>1098</v>
      </c>
      <c r="L2201" s="116">
        <v>104.74</v>
      </c>
    </row>
    <row r="2202" spans="1:12" hidden="1" outlineLevel="1" collapsed="1" x14ac:dyDescent="0.35">
      <c r="A2202" s="112" t="s">
        <v>1814</v>
      </c>
      <c r="B2202" s="112" t="s">
        <v>905</v>
      </c>
      <c r="C2202" s="112" t="s">
        <v>1095</v>
      </c>
      <c r="D2202" s="113">
        <v>10348451</v>
      </c>
      <c r="E2202" s="115">
        <v>43949</v>
      </c>
      <c r="F2202" s="114">
        <v>202101</v>
      </c>
      <c r="G2202" s="112" t="s">
        <v>1091</v>
      </c>
      <c r="H2202" s="112" t="s">
        <v>1015</v>
      </c>
      <c r="I2202" s="112" t="s">
        <v>1096</v>
      </c>
      <c r="J2202" s="112" t="s">
        <v>1996</v>
      </c>
      <c r="K2202" s="112" t="s">
        <v>1098</v>
      </c>
      <c r="L2202" s="116">
        <v>310.49</v>
      </c>
    </row>
    <row r="2203" spans="1:12" hidden="1" outlineLevel="1" collapsed="1" x14ac:dyDescent="0.35">
      <c r="A2203" s="112" t="s">
        <v>1814</v>
      </c>
      <c r="B2203" s="112" t="s">
        <v>905</v>
      </c>
      <c r="C2203" s="112" t="s">
        <v>1095</v>
      </c>
      <c r="D2203" s="113">
        <v>10348451</v>
      </c>
      <c r="E2203" s="115">
        <v>43949</v>
      </c>
      <c r="F2203" s="114">
        <v>202101</v>
      </c>
      <c r="G2203" s="112" t="s">
        <v>1091</v>
      </c>
      <c r="H2203" s="112" t="s">
        <v>1015</v>
      </c>
      <c r="I2203" s="112" t="s">
        <v>1101</v>
      </c>
      <c r="J2203" s="112" t="s">
        <v>1817</v>
      </c>
      <c r="K2203" s="112" t="s">
        <v>1098</v>
      </c>
      <c r="L2203" s="116">
        <v>391.68</v>
      </c>
    </row>
    <row r="2204" spans="1:12" hidden="1" outlineLevel="1" collapsed="1" x14ac:dyDescent="0.35">
      <c r="A2204" s="112" t="s">
        <v>1814</v>
      </c>
      <c r="B2204" s="112" t="s">
        <v>905</v>
      </c>
      <c r="C2204" s="112" t="s">
        <v>1095</v>
      </c>
      <c r="D2204" s="113">
        <v>10348451</v>
      </c>
      <c r="E2204" s="115">
        <v>43949</v>
      </c>
      <c r="F2204" s="114">
        <v>202101</v>
      </c>
      <c r="G2204" s="112" t="s">
        <v>1091</v>
      </c>
      <c r="H2204" s="112" t="s">
        <v>1015</v>
      </c>
      <c r="I2204" s="112" t="s">
        <v>1101</v>
      </c>
      <c r="J2204" s="112" t="s">
        <v>1817</v>
      </c>
      <c r="K2204" s="112" t="s">
        <v>1098</v>
      </c>
      <c r="L2204" s="116">
        <v>483.07</v>
      </c>
    </row>
    <row r="2205" spans="1:12" hidden="1" outlineLevel="1" collapsed="1" x14ac:dyDescent="0.35">
      <c r="A2205" s="112" t="s">
        <v>1814</v>
      </c>
      <c r="B2205" s="112" t="s">
        <v>906</v>
      </c>
      <c r="C2205" s="112" t="s">
        <v>695</v>
      </c>
      <c r="D2205" s="113">
        <v>10348429</v>
      </c>
      <c r="E2205" s="115">
        <v>43945</v>
      </c>
      <c r="F2205" s="114">
        <v>202101</v>
      </c>
      <c r="G2205" s="112" t="s">
        <v>1091</v>
      </c>
      <c r="H2205" s="112" t="s">
        <v>1015</v>
      </c>
      <c r="I2205" s="112" t="s">
        <v>2076</v>
      </c>
      <c r="J2205" s="112" t="s">
        <v>1815</v>
      </c>
      <c r="K2205" s="112" t="s">
        <v>2294</v>
      </c>
      <c r="L2205" s="116">
        <v>-8195</v>
      </c>
    </row>
    <row r="2206" spans="1:12" hidden="1" outlineLevel="1" collapsed="1" x14ac:dyDescent="0.35">
      <c r="A2206" s="112" t="s">
        <v>1814</v>
      </c>
      <c r="B2206" s="112" t="s">
        <v>906</v>
      </c>
      <c r="C2206" s="112" t="s">
        <v>1099</v>
      </c>
      <c r="D2206" s="113">
        <v>1069314</v>
      </c>
      <c r="E2206" s="115">
        <v>43921</v>
      </c>
      <c r="F2206" s="114">
        <v>202101</v>
      </c>
      <c r="G2206" s="112" t="s">
        <v>1091</v>
      </c>
      <c r="H2206" s="112" t="s">
        <v>1015</v>
      </c>
      <c r="I2206" s="112" t="s">
        <v>747</v>
      </c>
      <c r="J2206" s="112" t="s">
        <v>1815</v>
      </c>
      <c r="K2206" s="112" t="s">
        <v>2295</v>
      </c>
      <c r="L2206" s="116">
        <v>672</v>
      </c>
    </row>
    <row r="2207" spans="1:12" hidden="1" outlineLevel="1" collapsed="1" x14ac:dyDescent="0.35">
      <c r="A2207" s="112" t="s">
        <v>1814</v>
      </c>
      <c r="B2207" s="112" t="s">
        <v>905</v>
      </c>
      <c r="C2207" s="112" t="s">
        <v>679</v>
      </c>
      <c r="D2207" s="113">
        <v>10348217</v>
      </c>
      <c r="E2207" s="115">
        <v>43935</v>
      </c>
      <c r="F2207" s="114">
        <v>202101</v>
      </c>
      <c r="G2207" s="112" t="s">
        <v>1091</v>
      </c>
      <c r="H2207" s="112" t="s">
        <v>1016</v>
      </c>
      <c r="I2207" s="112" t="s">
        <v>1845</v>
      </c>
      <c r="J2207" s="112" t="s">
        <v>1817</v>
      </c>
      <c r="K2207" s="112" t="s">
        <v>2296</v>
      </c>
      <c r="L2207" s="116">
        <v>-150</v>
      </c>
    </row>
    <row r="2208" spans="1:12" hidden="1" outlineLevel="1" collapsed="1" x14ac:dyDescent="0.35">
      <c r="A2208" s="112" t="s">
        <v>1814</v>
      </c>
      <c r="B2208" s="112" t="s">
        <v>905</v>
      </c>
      <c r="C2208" s="112" t="s">
        <v>679</v>
      </c>
      <c r="D2208" s="113">
        <v>10348217</v>
      </c>
      <c r="E2208" s="115">
        <v>43935</v>
      </c>
      <c r="F2208" s="114">
        <v>202101</v>
      </c>
      <c r="G2208" s="112" t="s">
        <v>1091</v>
      </c>
      <c r="H2208" s="112" t="s">
        <v>1016</v>
      </c>
      <c r="I2208" s="112" t="s">
        <v>1845</v>
      </c>
      <c r="J2208" s="112" t="s">
        <v>1996</v>
      </c>
      <c r="K2208" s="112" t="s">
        <v>2297</v>
      </c>
      <c r="L2208" s="116">
        <v>-667.31</v>
      </c>
    </row>
    <row r="2209" spans="1:12" hidden="1" outlineLevel="1" collapsed="1" x14ac:dyDescent="0.35">
      <c r="A2209" s="112" t="s">
        <v>1814</v>
      </c>
      <c r="B2209" s="112" t="s">
        <v>905</v>
      </c>
      <c r="C2209" s="112" t="s">
        <v>1095</v>
      </c>
      <c r="D2209" s="113">
        <v>10348451</v>
      </c>
      <c r="E2209" s="115">
        <v>43949</v>
      </c>
      <c r="F2209" s="114">
        <v>202101</v>
      </c>
      <c r="G2209" s="112" t="s">
        <v>1091</v>
      </c>
      <c r="H2209" s="112" t="s">
        <v>1015</v>
      </c>
      <c r="I2209" s="112" t="s">
        <v>1101</v>
      </c>
      <c r="J2209" s="112" t="s">
        <v>1839</v>
      </c>
      <c r="K2209" s="112" t="s">
        <v>1098</v>
      </c>
      <c r="L2209" s="116">
        <v>483.07</v>
      </c>
    </row>
    <row r="2210" spans="1:12" hidden="1" outlineLevel="1" collapsed="1" x14ac:dyDescent="0.35">
      <c r="A2210" s="112" t="s">
        <v>1814</v>
      </c>
      <c r="B2210" s="112" t="s">
        <v>906</v>
      </c>
      <c r="C2210" s="112" t="s">
        <v>1106</v>
      </c>
      <c r="D2210" s="113">
        <v>3098425</v>
      </c>
      <c r="E2210" s="115">
        <v>43942</v>
      </c>
      <c r="F2210" s="114">
        <v>202101</v>
      </c>
      <c r="G2210" s="112" t="s">
        <v>1091</v>
      </c>
      <c r="H2210" s="112" t="s">
        <v>1015</v>
      </c>
      <c r="I2210" s="112" t="s">
        <v>1169</v>
      </c>
      <c r="J2210" s="112" t="s">
        <v>1815</v>
      </c>
      <c r="K2210" s="112" t="s">
        <v>2298</v>
      </c>
      <c r="L2210" s="116">
        <v>265.92</v>
      </c>
    </row>
    <row r="2211" spans="1:12" hidden="1" outlineLevel="1" collapsed="1" x14ac:dyDescent="0.35">
      <c r="A2211" s="112" t="s">
        <v>1814</v>
      </c>
      <c r="B2211" s="112" t="s">
        <v>906</v>
      </c>
      <c r="C2211" s="112" t="s">
        <v>1106</v>
      </c>
      <c r="D2211" s="113">
        <v>3098490</v>
      </c>
      <c r="E2211" s="115">
        <v>43942</v>
      </c>
      <c r="F2211" s="114">
        <v>202101</v>
      </c>
      <c r="G2211" s="112" t="s">
        <v>1091</v>
      </c>
      <c r="H2211" s="112" t="s">
        <v>1015</v>
      </c>
      <c r="I2211" s="112" t="s">
        <v>1169</v>
      </c>
      <c r="J2211" s="112" t="s">
        <v>1815</v>
      </c>
      <c r="K2211" s="112" t="s">
        <v>2299</v>
      </c>
      <c r="L2211" s="116">
        <v>256.77999999999997</v>
      </c>
    </row>
    <row r="2212" spans="1:12" hidden="1" outlineLevel="1" collapsed="1" x14ac:dyDescent="0.35">
      <c r="A2212" s="112" t="s">
        <v>1814</v>
      </c>
      <c r="B2212" s="112" t="s">
        <v>905</v>
      </c>
      <c r="C2212" s="112" t="s">
        <v>1095</v>
      </c>
      <c r="D2212" s="113">
        <v>10348451</v>
      </c>
      <c r="E2212" s="115">
        <v>43949</v>
      </c>
      <c r="F2212" s="114">
        <v>202101</v>
      </c>
      <c r="G2212" s="112" t="s">
        <v>1091</v>
      </c>
      <c r="H2212" s="112" t="s">
        <v>1015</v>
      </c>
      <c r="I2212" s="112" t="s">
        <v>1101</v>
      </c>
      <c r="J2212" s="112" t="s">
        <v>1827</v>
      </c>
      <c r="K2212" s="112" t="s">
        <v>1098</v>
      </c>
      <c r="L2212" s="116">
        <v>483.07</v>
      </c>
    </row>
    <row r="2213" spans="1:12" hidden="1" outlineLevel="1" collapsed="1" x14ac:dyDescent="0.35">
      <c r="A2213" s="112" t="s">
        <v>1814</v>
      </c>
      <c r="B2213" s="112" t="s">
        <v>906</v>
      </c>
      <c r="C2213" s="112" t="s">
        <v>1095</v>
      </c>
      <c r="D2213" s="113">
        <v>10348451</v>
      </c>
      <c r="E2213" s="115">
        <v>43949</v>
      </c>
      <c r="F2213" s="114">
        <v>202101</v>
      </c>
      <c r="G2213" s="112" t="s">
        <v>1091</v>
      </c>
      <c r="H2213" s="112" t="s">
        <v>1015</v>
      </c>
      <c r="I2213" s="112" t="s">
        <v>1101</v>
      </c>
      <c r="J2213" s="112" t="s">
        <v>1852</v>
      </c>
      <c r="K2213" s="112" t="s">
        <v>1098</v>
      </c>
      <c r="L2213" s="116">
        <v>426.26</v>
      </c>
    </row>
    <row r="2214" spans="1:12" hidden="1" outlineLevel="1" collapsed="1" x14ac:dyDescent="0.35">
      <c r="A2214" s="112" t="s">
        <v>1814</v>
      </c>
      <c r="B2214" s="112" t="s">
        <v>906</v>
      </c>
      <c r="C2214" s="112" t="s">
        <v>1106</v>
      </c>
      <c r="D2214" s="113">
        <v>3098496</v>
      </c>
      <c r="E2214" s="115">
        <v>43942</v>
      </c>
      <c r="F2214" s="114">
        <v>202101</v>
      </c>
      <c r="G2214" s="112" t="s">
        <v>1091</v>
      </c>
      <c r="H2214" s="112" t="s">
        <v>1015</v>
      </c>
      <c r="I2214" s="112" t="s">
        <v>1169</v>
      </c>
      <c r="J2214" s="112" t="s">
        <v>1815</v>
      </c>
      <c r="K2214" s="112" t="s">
        <v>2300</v>
      </c>
      <c r="L2214" s="116">
        <v>143.65</v>
      </c>
    </row>
    <row r="2215" spans="1:12" hidden="1" outlineLevel="1" collapsed="1" x14ac:dyDescent="0.35">
      <c r="A2215" s="112" t="s">
        <v>1814</v>
      </c>
      <c r="B2215" s="112" t="s">
        <v>906</v>
      </c>
      <c r="C2215" s="112" t="s">
        <v>1106</v>
      </c>
      <c r="D2215" s="113">
        <v>3098497</v>
      </c>
      <c r="E2215" s="115">
        <v>43942</v>
      </c>
      <c r="F2215" s="114">
        <v>202101</v>
      </c>
      <c r="G2215" s="112" t="s">
        <v>1091</v>
      </c>
      <c r="H2215" s="112" t="s">
        <v>1015</v>
      </c>
      <c r="I2215" s="112" t="s">
        <v>1169</v>
      </c>
      <c r="J2215" s="112" t="s">
        <v>1815</v>
      </c>
      <c r="K2215" s="112" t="s">
        <v>2301</v>
      </c>
      <c r="L2215" s="116">
        <v>98.17</v>
      </c>
    </row>
    <row r="2216" spans="1:12" hidden="1" outlineLevel="1" collapsed="1" x14ac:dyDescent="0.35">
      <c r="A2216" s="112" t="s">
        <v>1814</v>
      </c>
      <c r="B2216" s="112" t="s">
        <v>905</v>
      </c>
      <c r="C2216" s="112" t="s">
        <v>1095</v>
      </c>
      <c r="D2216" s="113">
        <v>10348451</v>
      </c>
      <c r="E2216" s="115">
        <v>43949</v>
      </c>
      <c r="F2216" s="114">
        <v>202101</v>
      </c>
      <c r="G2216" s="112" t="s">
        <v>1091</v>
      </c>
      <c r="H2216" s="112" t="s">
        <v>1015</v>
      </c>
      <c r="I2216" s="112" t="s">
        <v>1096</v>
      </c>
      <c r="J2216" s="112" t="s">
        <v>1827</v>
      </c>
      <c r="K2216" s="112" t="s">
        <v>1098</v>
      </c>
      <c r="L2216" s="116">
        <v>310.49</v>
      </c>
    </row>
    <row r="2217" spans="1:12" hidden="1" outlineLevel="1" collapsed="1" x14ac:dyDescent="0.35">
      <c r="A2217" s="112" t="s">
        <v>1814</v>
      </c>
      <c r="B2217" s="112" t="s">
        <v>906</v>
      </c>
      <c r="C2217" s="112" t="s">
        <v>1106</v>
      </c>
      <c r="D2217" s="113">
        <v>3098498</v>
      </c>
      <c r="E2217" s="115">
        <v>43942</v>
      </c>
      <c r="F2217" s="114">
        <v>202101</v>
      </c>
      <c r="G2217" s="112" t="s">
        <v>1091</v>
      </c>
      <c r="H2217" s="112" t="s">
        <v>1015</v>
      </c>
      <c r="I2217" s="112" t="s">
        <v>1169</v>
      </c>
      <c r="J2217" s="112" t="s">
        <v>1815</v>
      </c>
      <c r="K2217" s="112" t="s">
        <v>2302</v>
      </c>
      <c r="L2217" s="116">
        <v>324.52</v>
      </c>
    </row>
    <row r="2218" spans="1:12" hidden="1" outlineLevel="1" collapsed="1" x14ac:dyDescent="0.35">
      <c r="A2218" s="112" t="s">
        <v>1814</v>
      </c>
      <c r="B2218" s="112" t="s">
        <v>906</v>
      </c>
      <c r="C2218" s="112" t="s">
        <v>1106</v>
      </c>
      <c r="D2218" s="113">
        <v>3098602</v>
      </c>
      <c r="E2218" s="115">
        <v>43942</v>
      </c>
      <c r="F2218" s="114">
        <v>202101</v>
      </c>
      <c r="G2218" s="112" t="s">
        <v>1091</v>
      </c>
      <c r="H2218" s="112" t="s">
        <v>1015</v>
      </c>
      <c r="I2218" s="112" t="s">
        <v>813</v>
      </c>
      <c r="J2218" s="112" t="s">
        <v>1815</v>
      </c>
      <c r="K2218" s="112" t="s">
        <v>2303</v>
      </c>
      <c r="L2218" s="116">
        <v>51.11</v>
      </c>
    </row>
    <row r="2219" spans="1:12" hidden="1" outlineLevel="1" collapsed="1" x14ac:dyDescent="0.35">
      <c r="A2219" s="112" t="s">
        <v>1814</v>
      </c>
      <c r="B2219" s="112" t="s">
        <v>906</v>
      </c>
      <c r="C2219" s="112" t="s">
        <v>1106</v>
      </c>
      <c r="D2219" s="113">
        <v>3098603</v>
      </c>
      <c r="E2219" s="115">
        <v>43942</v>
      </c>
      <c r="F2219" s="114">
        <v>202101</v>
      </c>
      <c r="G2219" s="112" t="s">
        <v>1091</v>
      </c>
      <c r="H2219" s="112" t="s">
        <v>1015</v>
      </c>
      <c r="I2219" s="112" t="s">
        <v>813</v>
      </c>
      <c r="J2219" s="112" t="s">
        <v>1815</v>
      </c>
      <c r="K2219" s="112" t="s">
        <v>2304</v>
      </c>
      <c r="L2219" s="116">
        <v>118.7</v>
      </c>
    </row>
    <row r="2220" spans="1:12" hidden="1" outlineLevel="1" collapsed="1" x14ac:dyDescent="0.35">
      <c r="A2220" s="112" t="s">
        <v>1814</v>
      </c>
      <c r="B2220" s="112" t="s">
        <v>906</v>
      </c>
      <c r="C2220" s="112" t="s">
        <v>1099</v>
      </c>
      <c r="D2220" s="113">
        <v>1069675</v>
      </c>
      <c r="E2220" s="115">
        <v>43921</v>
      </c>
      <c r="F2220" s="114">
        <v>202101</v>
      </c>
      <c r="G2220" s="112" t="s">
        <v>1091</v>
      </c>
      <c r="H2220" s="112" t="s">
        <v>1015</v>
      </c>
      <c r="I2220" s="112" t="s">
        <v>2305</v>
      </c>
      <c r="J2220" s="112" t="s">
        <v>1815</v>
      </c>
      <c r="K2220" s="112" t="s">
        <v>2306</v>
      </c>
      <c r="L2220" s="116">
        <v>5141</v>
      </c>
    </row>
    <row r="2221" spans="1:12" hidden="1" outlineLevel="1" collapsed="1" x14ac:dyDescent="0.35">
      <c r="A2221" s="112" t="s">
        <v>1814</v>
      </c>
      <c r="B2221" s="112" t="s">
        <v>906</v>
      </c>
      <c r="C2221" s="112" t="s">
        <v>1099</v>
      </c>
      <c r="D2221" s="113">
        <v>1069665</v>
      </c>
      <c r="E2221" s="115">
        <v>43942</v>
      </c>
      <c r="F2221" s="114">
        <v>202101</v>
      </c>
      <c r="G2221" s="112" t="s">
        <v>1091</v>
      </c>
      <c r="H2221" s="112" t="s">
        <v>1015</v>
      </c>
      <c r="I2221" s="112" t="s">
        <v>2305</v>
      </c>
      <c r="J2221" s="112" t="s">
        <v>1815</v>
      </c>
      <c r="K2221" s="112" t="s">
        <v>2307</v>
      </c>
      <c r="L2221" s="116">
        <v>2680.4</v>
      </c>
    </row>
    <row r="2222" spans="1:12" hidden="1" outlineLevel="1" collapsed="1" x14ac:dyDescent="0.35">
      <c r="A2222" s="112" t="s">
        <v>1814</v>
      </c>
      <c r="B2222" s="112" t="s">
        <v>906</v>
      </c>
      <c r="C2222" s="112" t="s">
        <v>1099</v>
      </c>
      <c r="D2222" s="113">
        <v>1069303</v>
      </c>
      <c r="E2222" s="115">
        <v>43916</v>
      </c>
      <c r="F2222" s="114">
        <v>202101</v>
      </c>
      <c r="G2222" s="112" t="s">
        <v>1091</v>
      </c>
      <c r="H2222" s="112" t="s">
        <v>1015</v>
      </c>
      <c r="I2222" s="112" t="s">
        <v>747</v>
      </c>
      <c r="J2222" s="112" t="s">
        <v>1815</v>
      </c>
      <c r="K2222" s="112" t="s">
        <v>2308</v>
      </c>
      <c r="L2222" s="116">
        <v>1543.2</v>
      </c>
    </row>
    <row r="2223" spans="1:12" hidden="1" outlineLevel="1" collapsed="1" x14ac:dyDescent="0.35">
      <c r="A2223" s="112" t="s">
        <v>1814</v>
      </c>
      <c r="B2223" s="112" t="s">
        <v>905</v>
      </c>
      <c r="C2223" s="112" t="s">
        <v>1095</v>
      </c>
      <c r="D2223" s="113">
        <v>10348451</v>
      </c>
      <c r="E2223" s="115">
        <v>43949</v>
      </c>
      <c r="F2223" s="114">
        <v>202101</v>
      </c>
      <c r="G2223" s="112" t="s">
        <v>1091</v>
      </c>
      <c r="H2223" s="112" t="s">
        <v>1015</v>
      </c>
      <c r="I2223" s="112" t="s">
        <v>1101</v>
      </c>
      <c r="J2223" s="112" t="s">
        <v>1827</v>
      </c>
      <c r="K2223" s="112" t="s">
        <v>1098</v>
      </c>
      <c r="L2223" s="116">
        <v>483.07</v>
      </c>
    </row>
    <row r="2224" spans="1:12" hidden="1" outlineLevel="1" collapsed="1" x14ac:dyDescent="0.35">
      <c r="A2224" s="112" t="s">
        <v>1814</v>
      </c>
      <c r="B2224" s="112" t="s">
        <v>905</v>
      </c>
      <c r="C2224" s="112" t="s">
        <v>1095</v>
      </c>
      <c r="D2224" s="113">
        <v>10348451</v>
      </c>
      <c r="E2224" s="115">
        <v>43949</v>
      </c>
      <c r="F2224" s="114">
        <v>202101</v>
      </c>
      <c r="G2224" s="112" t="s">
        <v>1091</v>
      </c>
      <c r="H2224" s="112" t="s">
        <v>1015</v>
      </c>
      <c r="I2224" s="112" t="s">
        <v>1101</v>
      </c>
      <c r="J2224" s="112" t="s">
        <v>1839</v>
      </c>
      <c r="K2224" s="112" t="s">
        <v>1098</v>
      </c>
      <c r="L2224" s="116">
        <v>305.69</v>
      </c>
    </row>
    <row r="2225" spans="1:12" hidden="1" outlineLevel="1" collapsed="1" x14ac:dyDescent="0.35">
      <c r="A2225" s="112" t="s">
        <v>1814</v>
      </c>
      <c r="B2225" s="112" t="s">
        <v>906</v>
      </c>
      <c r="C2225" s="112" t="s">
        <v>695</v>
      </c>
      <c r="D2225" s="113">
        <v>10347948</v>
      </c>
      <c r="E2225" s="115">
        <v>43923</v>
      </c>
      <c r="F2225" s="114">
        <v>202101</v>
      </c>
      <c r="G2225" s="112" t="s">
        <v>1091</v>
      </c>
      <c r="H2225" s="112" t="s">
        <v>1015</v>
      </c>
      <c r="I2225" s="112" t="s">
        <v>813</v>
      </c>
      <c r="J2225" s="112" t="s">
        <v>1815</v>
      </c>
      <c r="K2225" s="112" t="s">
        <v>1830</v>
      </c>
      <c r="L2225" s="116">
        <v>-245.7</v>
      </c>
    </row>
    <row r="2226" spans="1:12" hidden="1" outlineLevel="1" collapsed="1" x14ac:dyDescent="0.35">
      <c r="A2226" s="112" t="s">
        <v>1814</v>
      </c>
      <c r="B2226" s="112" t="s">
        <v>904</v>
      </c>
      <c r="C2226" s="112" t="s">
        <v>1095</v>
      </c>
      <c r="D2226" s="113">
        <v>10348451</v>
      </c>
      <c r="E2226" s="115">
        <v>43949</v>
      </c>
      <c r="F2226" s="114">
        <v>202101</v>
      </c>
      <c r="G2226" s="112" t="s">
        <v>1091</v>
      </c>
      <c r="H2226" s="112" t="s">
        <v>1015</v>
      </c>
      <c r="I2226" s="112" t="s">
        <v>1101</v>
      </c>
      <c r="J2226" s="112" t="s">
        <v>1838</v>
      </c>
      <c r="K2226" s="112" t="s">
        <v>1098</v>
      </c>
      <c r="L2226" s="116">
        <v>213.13</v>
      </c>
    </row>
    <row r="2227" spans="1:12" hidden="1" outlineLevel="1" collapsed="1" x14ac:dyDescent="0.35">
      <c r="A2227" s="112" t="s">
        <v>1814</v>
      </c>
      <c r="B2227" s="112" t="s">
        <v>905</v>
      </c>
      <c r="C2227" s="112" t="s">
        <v>1095</v>
      </c>
      <c r="D2227" s="113">
        <v>10348451</v>
      </c>
      <c r="E2227" s="115">
        <v>43949</v>
      </c>
      <c r="F2227" s="114">
        <v>202101</v>
      </c>
      <c r="G2227" s="112" t="s">
        <v>1091</v>
      </c>
      <c r="H2227" s="112" t="s">
        <v>1015</v>
      </c>
      <c r="I2227" s="112" t="s">
        <v>1096</v>
      </c>
      <c r="J2227" s="112" t="s">
        <v>1839</v>
      </c>
      <c r="K2227" s="112" t="s">
        <v>1098</v>
      </c>
      <c r="L2227" s="116">
        <v>167.31</v>
      </c>
    </row>
    <row r="2228" spans="1:12" hidden="1" outlineLevel="1" collapsed="1" x14ac:dyDescent="0.35">
      <c r="A2228" s="112" t="s">
        <v>1814</v>
      </c>
      <c r="B2228" s="112" t="s">
        <v>905</v>
      </c>
      <c r="C2228" s="112" t="s">
        <v>695</v>
      </c>
      <c r="D2228" s="113">
        <v>10347977</v>
      </c>
      <c r="E2228" s="115">
        <v>43924</v>
      </c>
      <c r="F2228" s="114">
        <v>202101</v>
      </c>
      <c r="G2228" s="112" t="s">
        <v>1091</v>
      </c>
      <c r="H2228" s="112" t="s">
        <v>1015</v>
      </c>
      <c r="I2228" s="112" t="s">
        <v>749</v>
      </c>
      <c r="J2228" s="112" t="s">
        <v>1822</v>
      </c>
      <c r="K2228" s="112" t="s">
        <v>2309</v>
      </c>
      <c r="L2228" s="116">
        <v>-820</v>
      </c>
    </row>
    <row r="2229" spans="1:12" hidden="1" outlineLevel="1" collapsed="1" x14ac:dyDescent="0.35">
      <c r="A2229" s="112" t="s">
        <v>1814</v>
      </c>
      <c r="B2229" s="112" t="s">
        <v>905</v>
      </c>
      <c r="C2229" s="112" t="s">
        <v>1095</v>
      </c>
      <c r="D2229" s="113">
        <v>10348451</v>
      </c>
      <c r="E2229" s="115">
        <v>43949</v>
      </c>
      <c r="F2229" s="114">
        <v>202101</v>
      </c>
      <c r="G2229" s="112" t="s">
        <v>1091</v>
      </c>
      <c r="H2229" s="112" t="s">
        <v>1015</v>
      </c>
      <c r="I2229" s="112" t="s">
        <v>1101</v>
      </c>
      <c r="J2229" s="112" t="s">
        <v>1839</v>
      </c>
      <c r="K2229" s="112" t="s">
        <v>1098</v>
      </c>
      <c r="L2229" s="116">
        <v>334.09</v>
      </c>
    </row>
    <row r="2230" spans="1:12" hidden="1" outlineLevel="1" collapsed="1" x14ac:dyDescent="0.35">
      <c r="A2230" s="112" t="s">
        <v>1814</v>
      </c>
      <c r="B2230" s="112" t="s">
        <v>906</v>
      </c>
      <c r="C2230" s="112" t="s">
        <v>1150</v>
      </c>
      <c r="D2230" s="113">
        <v>10348573</v>
      </c>
      <c r="E2230" s="115">
        <v>43958</v>
      </c>
      <c r="F2230" s="114">
        <v>202101</v>
      </c>
      <c r="G2230" s="112" t="s">
        <v>1091</v>
      </c>
      <c r="H2230" s="112" t="s">
        <v>1015</v>
      </c>
      <c r="I2230" s="112" t="s">
        <v>1868</v>
      </c>
      <c r="J2230" s="112" t="s">
        <v>1815</v>
      </c>
      <c r="K2230" s="112" t="s">
        <v>1151</v>
      </c>
      <c r="L2230" s="116">
        <v>1326.81</v>
      </c>
    </row>
    <row r="2231" spans="1:12" hidden="1" outlineLevel="1" collapsed="1" x14ac:dyDescent="0.35">
      <c r="A2231" s="112" t="s">
        <v>1814</v>
      </c>
      <c r="B2231" s="112" t="s">
        <v>906</v>
      </c>
      <c r="C2231" s="112" t="s">
        <v>1150</v>
      </c>
      <c r="D2231" s="113">
        <v>10348573</v>
      </c>
      <c r="E2231" s="115">
        <v>43958</v>
      </c>
      <c r="F2231" s="114">
        <v>202101</v>
      </c>
      <c r="G2231" s="112" t="s">
        <v>1091</v>
      </c>
      <c r="H2231" s="112" t="s">
        <v>1015</v>
      </c>
      <c r="I2231" s="112" t="s">
        <v>2129</v>
      </c>
      <c r="J2231" s="112" t="s">
        <v>1815</v>
      </c>
      <c r="K2231" s="112" t="s">
        <v>1151</v>
      </c>
      <c r="L2231" s="116">
        <v>619.03</v>
      </c>
    </row>
    <row r="2232" spans="1:12" hidden="1" outlineLevel="1" collapsed="1" x14ac:dyDescent="0.35">
      <c r="A2232" s="112" t="s">
        <v>1814</v>
      </c>
      <c r="B2232" s="112" t="s">
        <v>905</v>
      </c>
      <c r="C2232" s="112" t="s">
        <v>1150</v>
      </c>
      <c r="D2232" s="113">
        <v>10348573</v>
      </c>
      <c r="E2232" s="115">
        <v>43958</v>
      </c>
      <c r="F2232" s="114">
        <v>202101</v>
      </c>
      <c r="G2232" s="112" t="s">
        <v>1091</v>
      </c>
      <c r="H2232" s="112" t="s">
        <v>1015</v>
      </c>
      <c r="I2232" s="112" t="s">
        <v>813</v>
      </c>
      <c r="J2232" s="112" t="s">
        <v>1822</v>
      </c>
      <c r="K2232" s="112" t="s">
        <v>2179</v>
      </c>
      <c r="L2232" s="116">
        <v>793.28</v>
      </c>
    </row>
    <row r="2233" spans="1:12" hidden="1" outlineLevel="1" collapsed="1" x14ac:dyDescent="0.35">
      <c r="A2233" s="112" t="s">
        <v>1814</v>
      </c>
      <c r="B2233" s="112" t="s">
        <v>906</v>
      </c>
      <c r="C2233" s="112" t="s">
        <v>1150</v>
      </c>
      <c r="D2233" s="113">
        <v>10348573</v>
      </c>
      <c r="E2233" s="115">
        <v>43958</v>
      </c>
      <c r="F2233" s="114">
        <v>202101</v>
      </c>
      <c r="G2233" s="112" t="s">
        <v>1091</v>
      </c>
      <c r="H2233" s="112" t="s">
        <v>1015</v>
      </c>
      <c r="I2233" s="112" t="s">
        <v>1873</v>
      </c>
      <c r="J2233" s="112" t="s">
        <v>1815</v>
      </c>
      <c r="K2233" s="112" t="s">
        <v>2179</v>
      </c>
      <c r="L2233" s="116">
        <v>4379.43</v>
      </c>
    </row>
    <row r="2234" spans="1:12" hidden="1" outlineLevel="1" collapsed="1" x14ac:dyDescent="0.35">
      <c r="A2234" s="112" t="s">
        <v>1814</v>
      </c>
      <c r="B2234" s="112" t="s">
        <v>906</v>
      </c>
      <c r="C2234" s="112" t="s">
        <v>1095</v>
      </c>
      <c r="D2234" s="113">
        <v>10348451</v>
      </c>
      <c r="E2234" s="115">
        <v>43949</v>
      </c>
      <c r="F2234" s="114">
        <v>202101</v>
      </c>
      <c r="G2234" s="112" t="s">
        <v>1091</v>
      </c>
      <c r="H2234" s="112" t="s">
        <v>1015</v>
      </c>
      <c r="I2234" s="112" t="s">
        <v>1116</v>
      </c>
      <c r="J2234" s="112" t="s">
        <v>1852</v>
      </c>
      <c r="K2234" s="112" t="s">
        <v>1098</v>
      </c>
      <c r="L2234" s="116">
        <v>3075.83</v>
      </c>
    </row>
    <row r="2235" spans="1:12" hidden="1" outlineLevel="1" collapsed="1" x14ac:dyDescent="0.35">
      <c r="A2235" s="112" t="s">
        <v>1814</v>
      </c>
      <c r="B2235" s="112" t="s">
        <v>905</v>
      </c>
      <c r="C2235" s="112" t="s">
        <v>1219</v>
      </c>
      <c r="D2235" s="113">
        <v>46307710</v>
      </c>
      <c r="E2235" s="115">
        <v>43943</v>
      </c>
      <c r="F2235" s="114">
        <v>202101</v>
      </c>
      <c r="G2235" s="112" t="s">
        <v>1091</v>
      </c>
      <c r="H2235" s="112" t="s">
        <v>1015</v>
      </c>
      <c r="I2235" s="112" t="s">
        <v>1952</v>
      </c>
      <c r="J2235" s="112" t="s">
        <v>1971</v>
      </c>
      <c r="K2235" s="112" t="s">
        <v>2310</v>
      </c>
      <c r="L2235" s="116">
        <v>3300</v>
      </c>
    </row>
    <row r="2236" spans="1:12" hidden="1" outlineLevel="1" collapsed="1" x14ac:dyDescent="0.35">
      <c r="A2236" s="112" t="s">
        <v>1814</v>
      </c>
      <c r="B2236" s="112" t="s">
        <v>906</v>
      </c>
      <c r="C2236" s="112" t="s">
        <v>1095</v>
      </c>
      <c r="D2236" s="113">
        <v>10348451</v>
      </c>
      <c r="E2236" s="115">
        <v>43949</v>
      </c>
      <c r="F2236" s="114">
        <v>202101</v>
      </c>
      <c r="G2236" s="112" t="s">
        <v>1091</v>
      </c>
      <c r="H2236" s="112" t="s">
        <v>1015</v>
      </c>
      <c r="I2236" s="112" t="s">
        <v>1101</v>
      </c>
      <c r="J2236" s="112" t="s">
        <v>1852</v>
      </c>
      <c r="K2236" s="112" t="s">
        <v>1098</v>
      </c>
      <c r="L2236" s="116">
        <v>483.07</v>
      </c>
    </row>
    <row r="2237" spans="1:12" hidden="1" outlineLevel="1" collapsed="1" x14ac:dyDescent="0.35">
      <c r="A2237" s="112" t="s">
        <v>1814</v>
      </c>
      <c r="B2237" s="112" t="s">
        <v>905</v>
      </c>
      <c r="C2237" s="112" t="s">
        <v>695</v>
      </c>
      <c r="D2237" s="113">
        <v>10348136</v>
      </c>
      <c r="E2237" s="115">
        <v>43930</v>
      </c>
      <c r="F2237" s="114">
        <v>202101</v>
      </c>
      <c r="G2237" s="112" t="s">
        <v>1091</v>
      </c>
      <c r="H2237" s="112" t="s">
        <v>1015</v>
      </c>
      <c r="I2237" s="112" t="s">
        <v>1153</v>
      </c>
      <c r="J2237" s="112" t="s">
        <v>1842</v>
      </c>
      <c r="K2237" s="112" t="s">
        <v>2311</v>
      </c>
      <c r="L2237" s="116">
        <v>-9663.2099999999991</v>
      </c>
    </row>
    <row r="2238" spans="1:12" hidden="1" outlineLevel="1" collapsed="1" x14ac:dyDescent="0.35">
      <c r="A2238" s="112" t="s">
        <v>1814</v>
      </c>
      <c r="B2238" s="112" t="s">
        <v>904</v>
      </c>
      <c r="C2238" s="112" t="s">
        <v>1095</v>
      </c>
      <c r="D2238" s="113">
        <v>10348451</v>
      </c>
      <c r="E2238" s="115">
        <v>43949</v>
      </c>
      <c r="F2238" s="114">
        <v>202101</v>
      </c>
      <c r="G2238" s="112" t="s">
        <v>1091</v>
      </c>
      <c r="H2238" s="112" t="s">
        <v>1015</v>
      </c>
      <c r="I2238" s="112" t="s">
        <v>1101</v>
      </c>
      <c r="J2238" s="112" t="s">
        <v>1838</v>
      </c>
      <c r="K2238" s="112" t="s">
        <v>1098</v>
      </c>
      <c r="L2238" s="116">
        <v>355.14</v>
      </c>
    </row>
    <row r="2239" spans="1:12" hidden="1" outlineLevel="1" collapsed="1" x14ac:dyDescent="0.35">
      <c r="A2239" s="112" t="s">
        <v>1814</v>
      </c>
      <c r="B2239" s="112" t="s">
        <v>905</v>
      </c>
      <c r="C2239" s="112" t="s">
        <v>1219</v>
      </c>
      <c r="D2239" s="113">
        <v>46307709</v>
      </c>
      <c r="E2239" s="115">
        <v>43943</v>
      </c>
      <c r="F2239" s="114">
        <v>202101</v>
      </c>
      <c r="G2239" s="112" t="s">
        <v>1091</v>
      </c>
      <c r="H2239" s="112" t="s">
        <v>1015</v>
      </c>
      <c r="I2239" s="112" t="s">
        <v>1952</v>
      </c>
      <c r="J2239" s="112" t="s">
        <v>1971</v>
      </c>
      <c r="K2239" s="112" t="s">
        <v>2312</v>
      </c>
      <c r="L2239" s="116">
        <v>4125</v>
      </c>
    </row>
    <row r="2240" spans="1:12" hidden="1" outlineLevel="1" collapsed="1" x14ac:dyDescent="0.35">
      <c r="A2240" s="112" t="s">
        <v>1814</v>
      </c>
      <c r="B2240" s="112" t="s">
        <v>905</v>
      </c>
      <c r="C2240" s="112" t="s">
        <v>1219</v>
      </c>
      <c r="D2240" s="113">
        <v>46307708</v>
      </c>
      <c r="E2240" s="115">
        <v>43943</v>
      </c>
      <c r="F2240" s="114">
        <v>202101</v>
      </c>
      <c r="G2240" s="112" t="s">
        <v>1091</v>
      </c>
      <c r="H2240" s="112" t="s">
        <v>1015</v>
      </c>
      <c r="I2240" s="112" t="s">
        <v>1952</v>
      </c>
      <c r="J2240" s="112" t="s">
        <v>1971</v>
      </c>
      <c r="K2240" s="112" t="s">
        <v>2313</v>
      </c>
      <c r="L2240" s="116">
        <v>3300</v>
      </c>
    </row>
    <row r="2241" spans="1:12" hidden="1" outlineLevel="1" collapsed="1" x14ac:dyDescent="0.35">
      <c r="A2241" s="112" t="s">
        <v>1814</v>
      </c>
      <c r="B2241" s="112" t="s">
        <v>905</v>
      </c>
      <c r="C2241" s="112" t="s">
        <v>1219</v>
      </c>
      <c r="D2241" s="113">
        <v>46307711</v>
      </c>
      <c r="E2241" s="115">
        <v>43943</v>
      </c>
      <c r="F2241" s="114">
        <v>202101</v>
      </c>
      <c r="G2241" s="112" t="s">
        <v>1091</v>
      </c>
      <c r="H2241" s="112" t="s">
        <v>1015</v>
      </c>
      <c r="I2241" s="112" t="s">
        <v>1952</v>
      </c>
      <c r="J2241" s="112" t="s">
        <v>1971</v>
      </c>
      <c r="K2241" s="112" t="s">
        <v>2314</v>
      </c>
      <c r="L2241" s="116">
        <v>2775</v>
      </c>
    </row>
    <row r="2242" spans="1:12" hidden="1" outlineLevel="1" collapsed="1" x14ac:dyDescent="0.35">
      <c r="A2242" s="112" t="s">
        <v>1814</v>
      </c>
      <c r="B2242" s="112" t="s">
        <v>905</v>
      </c>
      <c r="C2242" s="112" t="s">
        <v>1219</v>
      </c>
      <c r="D2242" s="113">
        <v>46307707</v>
      </c>
      <c r="E2242" s="115">
        <v>43943</v>
      </c>
      <c r="F2242" s="114">
        <v>202101</v>
      </c>
      <c r="G2242" s="112" t="s">
        <v>1091</v>
      </c>
      <c r="H2242" s="112" t="s">
        <v>1015</v>
      </c>
      <c r="I2242" s="112" t="s">
        <v>1952</v>
      </c>
      <c r="J2242" s="112" t="s">
        <v>1971</v>
      </c>
      <c r="K2242" s="112" t="s">
        <v>2315</v>
      </c>
      <c r="L2242" s="116">
        <v>2775</v>
      </c>
    </row>
    <row r="2243" spans="1:12" hidden="1" outlineLevel="1" collapsed="1" x14ac:dyDescent="0.35">
      <c r="A2243" s="112" t="s">
        <v>1814</v>
      </c>
      <c r="B2243" s="112" t="s">
        <v>905</v>
      </c>
      <c r="C2243" s="112" t="s">
        <v>695</v>
      </c>
      <c r="D2243" s="113">
        <v>10347977</v>
      </c>
      <c r="E2243" s="115">
        <v>43924</v>
      </c>
      <c r="F2243" s="114">
        <v>202101</v>
      </c>
      <c r="G2243" s="112" t="s">
        <v>1091</v>
      </c>
      <c r="H2243" s="112" t="s">
        <v>1015</v>
      </c>
      <c r="I2243" s="112" t="s">
        <v>751</v>
      </c>
      <c r="J2243" s="112" t="s">
        <v>1822</v>
      </c>
      <c r="K2243" s="112" t="s">
        <v>2316</v>
      </c>
      <c r="L2243" s="116">
        <v>-77</v>
      </c>
    </row>
    <row r="2244" spans="1:12" hidden="1" outlineLevel="1" collapsed="1" x14ac:dyDescent="0.35">
      <c r="A2244" s="112" t="s">
        <v>1814</v>
      </c>
      <c r="B2244" s="112" t="s">
        <v>905</v>
      </c>
      <c r="C2244" s="112" t="s">
        <v>695</v>
      </c>
      <c r="D2244" s="113">
        <v>10348163</v>
      </c>
      <c r="E2244" s="115">
        <v>43930</v>
      </c>
      <c r="F2244" s="114">
        <v>202101</v>
      </c>
      <c r="G2244" s="112" t="s">
        <v>1091</v>
      </c>
      <c r="H2244" s="112" t="s">
        <v>1016</v>
      </c>
      <c r="I2244" s="112" t="s">
        <v>2290</v>
      </c>
      <c r="J2244" s="112" t="s">
        <v>1827</v>
      </c>
      <c r="K2244" s="112" t="s">
        <v>2317</v>
      </c>
      <c r="L2244" s="116">
        <v>1320</v>
      </c>
    </row>
    <row r="2245" spans="1:12" hidden="1" outlineLevel="1" collapsed="1" x14ac:dyDescent="0.35">
      <c r="A2245" s="112" t="s">
        <v>1814</v>
      </c>
      <c r="B2245" s="112" t="s">
        <v>905</v>
      </c>
      <c r="C2245" s="112" t="s">
        <v>1219</v>
      </c>
      <c r="D2245" s="113">
        <v>46307706</v>
      </c>
      <c r="E2245" s="115">
        <v>43943</v>
      </c>
      <c r="F2245" s="114">
        <v>202101</v>
      </c>
      <c r="G2245" s="112" t="s">
        <v>1091</v>
      </c>
      <c r="H2245" s="112" t="s">
        <v>1015</v>
      </c>
      <c r="I2245" s="112" t="s">
        <v>1952</v>
      </c>
      <c r="J2245" s="112" t="s">
        <v>1971</v>
      </c>
      <c r="K2245" s="112" t="s">
        <v>2318</v>
      </c>
      <c r="L2245" s="116">
        <v>3889.35</v>
      </c>
    </row>
    <row r="2246" spans="1:12" hidden="1" outlineLevel="1" collapsed="1" x14ac:dyDescent="0.35">
      <c r="A2246" s="112" t="s">
        <v>1814</v>
      </c>
      <c r="B2246" s="112" t="s">
        <v>905</v>
      </c>
      <c r="C2246" s="112" t="s">
        <v>1219</v>
      </c>
      <c r="D2246" s="113">
        <v>46307705</v>
      </c>
      <c r="E2246" s="115">
        <v>43943</v>
      </c>
      <c r="F2246" s="114">
        <v>202101</v>
      </c>
      <c r="G2246" s="112" t="s">
        <v>1091</v>
      </c>
      <c r="H2246" s="112" t="s">
        <v>1015</v>
      </c>
      <c r="I2246" s="112" t="s">
        <v>1952</v>
      </c>
      <c r="J2246" s="112" t="s">
        <v>1971</v>
      </c>
      <c r="K2246" s="112" t="s">
        <v>2319</v>
      </c>
      <c r="L2246" s="116">
        <v>2700</v>
      </c>
    </row>
    <row r="2247" spans="1:12" hidden="1" outlineLevel="1" collapsed="1" x14ac:dyDescent="0.35">
      <c r="A2247" s="112" t="s">
        <v>1814</v>
      </c>
      <c r="B2247" s="112" t="s">
        <v>905</v>
      </c>
      <c r="C2247" s="112" t="s">
        <v>695</v>
      </c>
      <c r="D2247" s="113">
        <v>10347977</v>
      </c>
      <c r="E2247" s="115">
        <v>43924</v>
      </c>
      <c r="F2247" s="114">
        <v>202101</v>
      </c>
      <c r="G2247" s="112" t="s">
        <v>1091</v>
      </c>
      <c r="H2247" s="112" t="s">
        <v>1015</v>
      </c>
      <c r="I2247" s="112" t="s">
        <v>757</v>
      </c>
      <c r="J2247" s="112" t="s">
        <v>1822</v>
      </c>
      <c r="K2247" s="112" t="s">
        <v>2320</v>
      </c>
      <c r="L2247" s="116">
        <v>-84</v>
      </c>
    </row>
    <row r="2248" spans="1:12" hidden="1" outlineLevel="1" collapsed="1" x14ac:dyDescent="0.35">
      <c r="A2248" s="112" t="s">
        <v>1814</v>
      </c>
      <c r="B2248" s="112" t="s">
        <v>906</v>
      </c>
      <c r="C2248" s="112" t="s">
        <v>1095</v>
      </c>
      <c r="D2248" s="113">
        <v>10348451</v>
      </c>
      <c r="E2248" s="115">
        <v>43949</v>
      </c>
      <c r="F2248" s="114">
        <v>202101</v>
      </c>
      <c r="G2248" s="112" t="s">
        <v>1091</v>
      </c>
      <c r="H2248" s="112" t="s">
        <v>1015</v>
      </c>
      <c r="I2248" s="112" t="s">
        <v>1101</v>
      </c>
      <c r="J2248" s="112" t="s">
        <v>1852</v>
      </c>
      <c r="K2248" s="112" t="s">
        <v>1098</v>
      </c>
      <c r="L2248" s="116">
        <v>415.24</v>
      </c>
    </row>
    <row r="2249" spans="1:12" hidden="1" outlineLevel="1" collapsed="1" x14ac:dyDescent="0.35">
      <c r="A2249" s="112" t="s">
        <v>1814</v>
      </c>
      <c r="B2249" s="112" t="s">
        <v>905</v>
      </c>
      <c r="C2249" s="112" t="s">
        <v>695</v>
      </c>
      <c r="D2249" s="113">
        <v>10347977</v>
      </c>
      <c r="E2249" s="115">
        <v>43924</v>
      </c>
      <c r="F2249" s="114">
        <v>202101</v>
      </c>
      <c r="G2249" s="112" t="s">
        <v>1091</v>
      </c>
      <c r="H2249" s="112" t="s">
        <v>1015</v>
      </c>
      <c r="I2249" s="112" t="s">
        <v>757</v>
      </c>
      <c r="J2249" s="112" t="s">
        <v>1822</v>
      </c>
      <c r="K2249" s="112" t="s">
        <v>2321</v>
      </c>
      <c r="L2249" s="116">
        <v>-130</v>
      </c>
    </row>
    <row r="2250" spans="1:12" hidden="1" outlineLevel="1" collapsed="1" x14ac:dyDescent="0.35">
      <c r="A2250" s="112" t="s">
        <v>1814</v>
      </c>
      <c r="B2250" s="112" t="s">
        <v>905</v>
      </c>
      <c r="C2250" s="112" t="s">
        <v>695</v>
      </c>
      <c r="D2250" s="113">
        <v>10347977</v>
      </c>
      <c r="E2250" s="115">
        <v>43924</v>
      </c>
      <c r="F2250" s="114">
        <v>202101</v>
      </c>
      <c r="G2250" s="112" t="s">
        <v>1091</v>
      </c>
      <c r="H2250" s="112" t="s">
        <v>1015</v>
      </c>
      <c r="I2250" s="112" t="s">
        <v>757</v>
      </c>
      <c r="J2250" s="112" t="s">
        <v>1822</v>
      </c>
      <c r="K2250" s="112" t="s">
        <v>2322</v>
      </c>
      <c r="L2250" s="116">
        <v>-103</v>
      </c>
    </row>
    <row r="2251" spans="1:12" hidden="1" outlineLevel="1" collapsed="1" x14ac:dyDescent="0.35">
      <c r="A2251" s="112" t="s">
        <v>1814</v>
      </c>
      <c r="B2251" s="112" t="s">
        <v>905</v>
      </c>
      <c r="C2251" s="112" t="s">
        <v>1219</v>
      </c>
      <c r="D2251" s="113">
        <v>46307704</v>
      </c>
      <c r="E2251" s="115">
        <v>43943</v>
      </c>
      <c r="F2251" s="114">
        <v>202101</v>
      </c>
      <c r="G2251" s="112" t="s">
        <v>1091</v>
      </c>
      <c r="H2251" s="112" t="s">
        <v>1015</v>
      </c>
      <c r="I2251" s="112" t="s">
        <v>1952</v>
      </c>
      <c r="J2251" s="112" t="s">
        <v>1971</v>
      </c>
      <c r="K2251" s="112" t="s">
        <v>2323</v>
      </c>
      <c r="L2251" s="116">
        <v>2775</v>
      </c>
    </row>
    <row r="2252" spans="1:12" hidden="1" outlineLevel="1" collapsed="1" x14ac:dyDescent="0.35">
      <c r="A2252" s="112" t="s">
        <v>1814</v>
      </c>
      <c r="B2252" s="112" t="s">
        <v>906</v>
      </c>
      <c r="C2252" s="112" t="s">
        <v>1150</v>
      </c>
      <c r="D2252" s="113">
        <v>10348573</v>
      </c>
      <c r="E2252" s="115">
        <v>43958</v>
      </c>
      <c r="F2252" s="114">
        <v>202101</v>
      </c>
      <c r="G2252" s="112" t="s">
        <v>1091</v>
      </c>
      <c r="H2252" s="112" t="s">
        <v>1015</v>
      </c>
      <c r="I2252" s="112" t="s">
        <v>1873</v>
      </c>
      <c r="J2252" s="112" t="s">
        <v>1815</v>
      </c>
      <c r="K2252" s="112" t="s">
        <v>1151</v>
      </c>
      <c r="L2252" s="116">
        <v>2473.13</v>
      </c>
    </row>
    <row r="2253" spans="1:12" hidden="1" outlineLevel="1" collapsed="1" x14ac:dyDescent="0.35">
      <c r="A2253" s="112" t="s">
        <v>1814</v>
      </c>
      <c r="B2253" s="112" t="s">
        <v>906</v>
      </c>
      <c r="C2253" s="112" t="s">
        <v>1150</v>
      </c>
      <c r="D2253" s="113">
        <v>10348573</v>
      </c>
      <c r="E2253" s="115">
        <v>43958</v>
      </c>
      <c r="F2253" s="114">
        <v>202101</v>
      </c>
      <c r="G2253" s="112" t="s">
        <v>1091</v>
      </c>
      <c r="H2253" s="112" t="s">
        <v>1015</v>
      </c>
      <c r="I2253" s="112" t="s">
        <v>1820</v>
      </c>
      <c r="J2253" s="112" t="s">
        <v>1815</v>
      </c>
      <c r="K2253" s="112" t="s">
        <v>2179</v>
      </c>
      <c r="L2253" s="116">
        <v>6800.58</v>
      </c>
    </row>
    <row r="2254" spans="1:12" hidden="1" outlineLevel="1" collapsed="1" x14ac:dyDescent="0.35">
      <c r="A2254" s="112" t="s">
        <v>1814</v>
      </c>
      <c r="B2254" s="112" t="s">
        <v>906</v>
      </c>
      <c r="C2254" s="112" t="s">
        <v>1095</v>
      </c>
      <c r="D2254" s="113">
        <v>10348451</v>
      </c>
      <c r="E2254" s="115">
        <v>43949</v>
      </c>
      <c r="F2254" s="114">
        <v>202101</v>
      </c>
      <c r="G2254" s="112" t="s">
        <v>1091</v>
      </c>
      <c r="H2254" s="112" t="s">
        <v>1015</v>
      </c>
      <c r="I2254" s="112" t="s">
        <v>1116</v>
      </c>
      <c r="J2254" s="112" t="s">
        <v>1852</v>
      </c>
      <c r="K2254" s="112" t="s">
        <v>1098</v>
      </c>
      <c r="L2254" s="116">
        <v>3391.33</v>
      </c>
    </row>
    <row r="2255" spans="1:12" hidden="1" outlineLevel="1" collapsed="1" x14ac:dyDescent="0.35">
      <c r="A2255" s="112" t="s">
        <v>1814</v>
      </c>
      <c r="B2255" s="112" t="s">
        <v>905</v>
      </c>
      <c r="C2255" s="112" t="s">
        <v>1219</v>
      </c>
      <c r="D2255" s="113">
        <v>46307718</v>
      </c>
      <c r="E2255" s="115">
        <v>43943</v>
      </c>
      <c r="F2255" s="114">
        <v>202101</v>
      </c>
      <c r="G2255" s="112" t="s">
        <v>1091</v>
      </c>
      <c r="H2255" s="112" t="s">
        <v>1015</v>
      </c>
      <c r="I2255" s="112" t="s">
        <v>1952</v>
      </c>
      <c r="J2255" s="112" t="s">
        <v>1971</v>
      </c>
      <c r="K2255" s="112" t="s">
        <v>2324</v>
      </c>
      <c r="L2255" s="116">
        <v>2775</v>
      </c>
    </row>
    <row r="2256" spans="1:12" hidden="1" outlineLevel="1" collapsed="1" x14ac:dyDescent="0.35">
      <c r="A2256" s="112" t="s">
        <v>1814</v>
      </c>
      <c r="B2256" s="112" t="s">
        <v>906</v>
      </c>
      <c r="C2256" s="112" t="s">
        <v>695</v>
      </c>
      <c r="D2256" s="113">
        <v>10348429</v>
      </c>
      <c r="E2256" s="115">
        <v>43945</v>
      </c>
      <c r="F2256" s="114">
        <v>202101</v>
      </c>
      <c r="G2256" s="112" t="s">
        <v>1091</v>
      </c>
      <c r="H2256" s="112" t="s">
        <v>1015</v>
      </c>
      <c r="I2256" s="112" t="s">
        <v>761</v>
      </c>
      <c r="J2256" s="112" t="s">
        <v>1815</v>
      </c>
      <c r="K2256" s="112" t="s">
        <v>2325</v>
      </c>
      <c r="L2256" s="116">
        <v>-6280</v>
      </c>
    </row>
    <row r="2257" spans="1:12" hidden="1" outlineLevel="1" collapsed="1" x14ac:dyDescent="0.35">
      <c r="A2257" s="112" t="s">
        <v>1814</v>
      </c>
      <c r="B2257" s="112" t="s">
        <v>905</v>
      </c>
      <c r="C2257" s="112" t="s">
        <v>695</v>
      </c>
      <c r="D2257" s="113">
        <v>10347977</v>
      </c>
      <c r="E2257" s="115">
        <v>43924</v>
      </c>
      <c r="F2257" s="114">
        <v>202101</v>
      </c>
      <c r="G2257" s="112" t="s">
        <v>1091</v>
      </c>
      <c r="H2257" s="112" t="s">
        <v>1015</v>
      </c>
      <c r="I2257" s="112" t="s">
        <v>751</v>
      </c>
      <c r="J2257" s="112" t="s">
        <v>1822</v>
      </c>
      <c r="K2257" s="112" t="s">
        <v>2326</v>
      </c>
      <c r="L2257" s="116">
        <v>-88</v>
      </c>
    </row>
    <row r="2258" spans="1:12" hidden="1" outlineLevel="1" collapsed="1" x14ac:dyDescent="0.35">
      <c r="A2258" s="112" t="s">
        <v>1814</v>
      </c>
      <c r="B2258" s="112" t="s">
        <v>905</v>
      </c>
      <c r="C2258" s="112" t="s">
        <v>695</v>
      </c>
      <c r="D2258" s="113">
        <v>10348136</v>
      </c>
      <c r="E2258" s="115">
        <v>43930</v>
      </c>
      <c r="F2258" s="114">
        <v>202101</v>
      </c>
      <c r="G2258" s="112" t="s">
        <v>1091</v>
      </c>
      <c r="H2258" s="112" t="s">
        <v>1015</v>
      </c>
      <c r="I2258" s="112" t="s">
        <v>1153</v>
      </c>
      <c r="J2258" s="112" t="s">
        <v>1842</v>
      </c>
      <c r="K2258" s="112" t="s">
        <v>2327</v>
      </c>
      <c r="L2258" s="116">
        <v>-5670</v>
      </c>
    </row>
    <row r="2259" spans="1:12" hidden="1" outlineLevel="1" collapsed="1" x14ac:dyDescent="0.35">
      <c r="A2259" s="112" t="s">
        <v>1814</v>
      </c>
      <c r="B2259" s="112" t="s">
        <v>905</v>
      </c>
      <c r="C2259" s="112" t="s">
        <v>695</v>
      </c>
      <c r="D2259" s="113">
        <v>10348136</v>
      </c>
      <c r="E2259" s="115">
        <v>43930</v>
      </c>
      <c r="F2259" s="114">
        <v>202101</v>
      </c>
      <c r="G2259" s="112" t="s">
        <v>1091</v>
      </c>
      <c r="H2259" s="112" t="s">
        <v>1015</v>
      </c>
      <c r="I2259" s="112" t="s">
        <v>1153</v>
      </c>
      <c r="J2259" s="112" t="s">
        <v>1842</v>
      </c>
      <c r="K2259" s="112" t="s">
        <v>2328</v>
      </c>
      <c r="L2259" s="116">
        <v>-4800</v>
      </c>
    </row>
    <row r="2260" spans="1:12" hidden="1" outlineLevel="1" collapsed="1" x14ac:dyDescent="0.35">
      <c r="A2260" s="112" t="s">
        <v>1814</v>
      </c>
      <c r="B2260" s="112" t="s">
        <v>905</v>
      </c>
      <c r="C2260" s="112" t="s">
        <v>695</v>
      </c>
      <c r="D2260" s="113">
        <v>10348136</v>
      </c>
      <c r="E2260" s="115">
        <v>43930</v>
      </c>
      <c r="F2260" s="114">
        <v>202101</v>
      </c>
      <c r="G2260" s="112" t="s">
        <v>1091</v>
      </c>
      <c r="H2260" s="112" t="s">
        <v>1015</v>
      </c>
      <c r="I2260" s="112" t="s">
        <v>1153</v>
      </c>
      <c r="J2260" s="112" t="s">
        <v>1842</v>
      </c>
      <c r="K2260" s="112" t="s">
        <v>2329</v>
      </c>
      <c r="L2260" s="116">
        <v>24000</v>
      </c>
    </row>
    <row r="2261" spans="1:12" hidden="1" outlineLevel="1" collapsed="1" x14ac:dyDescent="0.35">
      <c r="A2261" s="112" t="s">
        <v>1814</v>
      </c>
      <c r="B2261" s="112" t="s">
        <v>905</v>
      </c>
      <c r="C2261" s="112" t="s">
        <v>695</v>
      </c>
      <c r="D2261" s="113">
        <v>10347977</v>
      </c>
      <c r="E2261" s="115">
        <v>43924</v>
      </c>
      <c r="F2261" s="114">
        <v>202101</v>
      </c>
      <c r="G2261" s="112" t="s">
        <v>1091</v>
      </c>
      <c r="H2261" s="112" t="s">
        <v>1015</v>
      </c>
      <c r="I2261" s="112" t="s">
        <v>749</v>
      </c>
      <c r="J2261" s="112" t="s">
        <v>1839</v>
      </c>
      <c r="K2261" s="112" t="s">
        <v>2330</v>
      </c>
      <c r="L2261" s="116">
        <v>-463</v>
      </c>
    </row>
    <row r="2262" spans="1:12" hidden="1" outlineLevel="1" collapsed="1" x14ac:dyDescent="0.35">
      <c r="A2262" s="112" t="s">
        <v>1814</v>
      </c>
      <c r="B2262" s="112" t="s">
        <v>905</v>
      </c>
      <c r="C2262" s="112" t="s">
        <v>1150</v>
      </c>
      <c r="D2262" s="113">
        <v>10348573</v>
      </c>
      <c r="E2262" s="115">
        <v>43958</v>
      </c>
      <c r="F2262" s="114">
        <v>202101</v>
      </c>
      <c r="G2262" s="112" t="s">
        <v>1091</v>
      </c>
      <c r="H2262" s="112" t="s">
        <v>1015</v>
      </c>
      <c r="I2262" s="112" t="s">
        <v>1900</v>
      </c>
      <c r="J2262" s="112" t="s">
        <v>1901</v>
      </c>
      <c r="K2262" s="112" t="s">
        <v>2179</v>
      </c>
      <c r="L2262" s="116">
        <v>652.36</v>
      </c>
    </row>
    <row r="2263" spans="1:12" hidden="1" outlineLevel="1" collapsed="1" x14ac:dyDescent="0.35">
      <c r="A2263" s="112" t="s">
        <v>1814</v>
      </c>
      <c r="B2263" s="112" t="s">
        <v>905</v>
      </c>
      <c r="C2263" s="112" t="s">
        <v>695</v>
      </c>
      <c r="D2263" s="113">
        <v>10348136</v>
      </c>
      <c r="E2263" s="115">
        <v>43930</v>
      </c>
      <c r="F2263" s="114">
        <v>202101</v>
      </c>
      <c r="G2263" s="112" t="s">
        <v>1091</v>
      </c>
      <c r="H2263" s="112" t="s">
        <v>1015</v>
      </c>
      <c r="I2263" s="112" t="s">
        <v>1153</v>
      </c>
      <c r="J2263" s="112" t="s">
        <v>1842</v>
      </c>
      <c r="K2263" s="112" t="s">
        <v>2331</v>
      </c>
      <c r="L2263" s="116">
        <v>-119.92</v>
      </c>
    </row>
    <row r="2264" spans="1:12" hidden="1" outlineLevel="1" collapsed="1" x14ac:dyDescent="0.35">
      <c r="A2264" s="112" t="s">
        <v>1814</v>
      </c>
      <c r="B2264" s="112" t="s">
        <v>906</v>
      </c>
      <c r="C2264" s="112" t="s">
        <v>1095</v>
      </c>
      <c r="D2264" s="113">
        <v>10348451</v>
      </c>
      <c r="E2264" s="115">
        <v>43949</v>
      </c>
      <c r="F2264" s="114">
        <v>202101</v>
      </c>
      <c r="G2264" s="112" t="s">
        <v>1091</v>
      </c>
      <c r="H2264" s="112" t="s">
        <v>1015</v>
      </c>
      <c r="I2264" s="112" t="s">
        <v>1096</v>
      </c>
      <c r="J2264" s="112" t="s">
        <v>1874</v>
      </c>
      <c r="K2264" s="112" t="s">
        <v>1098</v>
      </c>
      <c r="L2264" s="116">
        <v>25.13</v>
      </c>
    </row>
    <row r="2265" spans="1:12" hidden="1" outlineLevel="1" collapsed="1" x14ac:dyDescent="0.35">
      <c r="A2265" s="112" t="s">
        <v>1814</v>
      </c>
      <c r="B2265" s="112" t="s">
        <v>905</v>
      </c>
      <c r="C2265" s="112" t="s">
        <v>695</v>
      </c>
      <c r="D2265" s="113">
        <v>10348136</v>
      </c>
      <c r="E2265" s="115">
        <v>43930</v>
      </c>
      <c r="F2265" s="114">
        <v>202101</v>
      </c>
      <c r="G2265" s="112" t="s">
        <v>1091</v>
      </c>
      <c r="H2265" s="112" t="s">
        <v>1015</v>
      </c>
      <c r="I2265" s="112" t="s">
        <v>1153</v>
      </c>
      <c r="J2265" s="112" t="s">
        <v>1842</v>
      </c>
      <c r="K2265" s="112" t="s">
        <v>2332</v>
      </c>
      <c r="L2265" s="116">
        <v>-2157.3000000000002</v>
      </c>
    </row>
    <row r="2266" spans="1:12" hidden="1" outlineLevel="1" collapsed="1" x14ac:dyDescent="0.35">
      <c r="A2266" s="112" t="s">
        <v>1814</v>
      </c>
      <c r="B2266" s="112" t="s">
        <v>905</v>
      </c>
      <c r="C2266" s="112" t="s">
        <v>1219</v>
      </c>
      <c r="D2266" s="113">
        <v>46307726</v>
      </c>
      <c r="E2266" s="115">
        <v>43943</v>
      </c>
      <c r="F2266" s="114">
        <v>202101</v>
      </c>
      <c r="G2266" s="112" t="s">
        <v>1091</v>
      </c>
      <c r="H2266" s="112" t="s">
        <v>1015</v>
      </c>
      <c r="I2266" s="112" t="s">
        <v>1952</v>
      </c>
      <c r="J2266" s="112" t="s">
        <v>1971</v>
      </c>
      <c r="K2266" s="112" t="s">
        <v>2333</v>
      </c>
      <c r="L2266" s="116">
        <v>2775</v>
      </c>
    </row>
    <row r="2267" spans="1:12" hidden="1" outlineLevel="1" collapsed="1" x14ac:dyDescent="0.35">
      <c r="A2267" s="112" t="s">
        <v>1814</v>
      </c>
      <c r="B2267" s="112" t="s">
        <v>905</v>
      </c>
      <c r="C2267" s="112" t="s">
        <v>1150</v>
      </c>
      <c r="D2267" s="113">
        <v>10348573</v>
      </c>
      <c r="E2267" s="115">
        <v>43958</v>
      </c>
      <c r="F2267" s="114">
        <v>202101</v>
      </c>
      <c r="G2267" s="112" t="s">
        <v>1091</v>
      </c>
      <c r="H2267" s="112" t="s">
        <v>1015</v>
      </c>
      <c r="I2267" s="112" t="s">
        <v>1900</v>
      </c>
      <c r="J2267" s="112" t="s">
        <v>1839</v>
      </c>
      <c r="K2267" s="112" t="s">
        <v>2179</v>
      </c>
      <c r="L2267" s="116">
        <v>456.15</v>
      </c>
    </row>
    <row r="2268" spans="1:12" hidden="1" outlineLevel="1" collapsed="1" x14ac:dyDescent="0.35">
      <c r="A2268" s="112" t="s">
        <v>1814</v>
      </c>
      <c r="B2268" s="112" t="s">
        <v>906</v>
      </c>
      <c r="C2268" s="112" t="s">
        <v>1095</v>
      </c>
      <c r="D2268" s="113">
        <v>10348451</v>
      </c>
      <c r="E2268" s="115">
        <v>43949</v>
      </c>
      <c r="F2268" s="114">
        <v>202101</v>
      </c>
      <c r="G2268" s="112" t="s">
        <v>1091</v>
      </c>
      <c r="H2268" s="112" t="s">
        <v>1015</v>
      </c>
      <c r="I2268" s="112" t="s">
        <v>1116</v>
      </c>
      <c r="J2268" s="112" t="s">
        <v>1852</v>
      </c>
      <c r="K2268" s="112" t="s">
        <v>1098</v>
      </c>
      <c r="L2268" s="116">
        <v>4191.83</v>
      </c>
    </row>
    <row r="2269" spans="1:12" hidden="1" outlineLevel="1" collapsed="1" x14ac:dyDescent="0.35">
      <c r="A2269" s="112" t="s">
        <v>1814</v>
      </c>
      <c r="B2269" s="112" t="s">
        <v>906</v>
      </c>
      <c r="C2269" s="112" t="s">
        <v>1095</v>
      </c>
      <c r="D2269" s="113">
        <v>10348451</v>
      </c>
      <c r="E2269" s="115">
        <v>43949</v>
      </c>
      <c r="F2269" s="114">
        <v>202101</v>
      </c>
      <c r="G2269" s="112" t="s">
        <v>1091</v>
      </c>
      <c r="H2269" s="112" t="s">
        <v>1015</v>
      </c>
      <c r="I2269" s="112" t="s">
        <v>1116</v>
      </c>
      <c r="J2269" s="112" t="s">
        <v>1852</v>
      </c>
      <c r="K2269" s="112" t="s">
        <v>1098</v>
      </c>
      <c r="L2269" s="116">
        <v>3391.33</v>
      </c>
    </row>
    <row r="2270" spans="1:12" hidden="1" outlineLevel="1" collapsed="1" x14ac:dyDescent="0.35">
      <c r="A2270" s="112" t="s">
        <v>1814</v>
      </c>
      <c r="B2270" s="112" t="s">
        <v>904</v>
      </c>
      <c r="C2270" s="112" t="s">
        <v>1099</v>
      </c>
      <c r="D2270" s="113">
        <v>1069681</v>
      </c>
      <c r="E2270" s="115">
        <v>43918</v>
      </c>
      <c r="F2270" s="114">
        <v>202101</v>
      </c>
      <c r="G2270" s="112" t="s">
        <v>1091</v>
      </c>
      <c r="H2270" s="112" t="s">
        <v>1015</v>
      </c>
      <c r="I2270" s="112" t="s">
        <v>1133</v>
      </c>
      <c r="J2270" s="112" t="s">
        <v>1909</v>
      </c>
      <c r="K2270" s="112" t="s">
        <v>1134</v>
      </c>
      <c r="L2270" s="116">
        <v>19.2</v>
      </c>
    </row>
    <row r="2271" spans="1:12" hidden="1" outlineLevel="1" collapsed="1" x14ac:dyDescent="0.35">
      <c r="A2271" s="112" t="s">
        <v>1814</v>
      </c>
      <c r="B2271" s="112" t="s">
        <v>905</v>
      </c>
      <c r="C2271" s="112" t="s">
        <v>1095</v>
      </c>
      <c r="D2271" s="113">
        <v>10348451</v>
      </c>
      <c r="E2271" s="115">
        <v>43949</v>
      </c>
      <c r="F2271" s="114">
        <v>202101</v>
      </c>
      <c r="G2271" s="112" t="s">
        <v>1091</v>
      </c>
      <c r="H2271" s="112" t="s">
        <v>1015</v>
      </c>
      <c r="I2271" s="112" t="s">
        <v>1096</v>
      </c>
      <c r="J2271" s="112" t="s">
        <v>1839</v>
      </c>
      <c r="K2271" s="112" t="s">
        <v>1098</v>
      </c>
      <c r="L2271" s="116">
        <v>417.31</v>
      </c>
    </row>
    <row r="2272" spans="1:12" hidden="1" outlineLevel="1" collapsed="1" x14ac:dyDescent="0.35">
      <c r="A2272" s="112" t="s">
        <v>1814</v>
      </c>
      <c r="B2272" s="112" t="s">
        <v>905</v>
      </c>
      <c r="C2272" s="112" t="s">
        <v>1219</v>
      </c>
      <c r="D2272" s="113">
        <v>46307725</v>
      </c>
      <c r="E2272" s="115">
        <v>43943</v>
      </c>
      <c r="F2272" s="114">
        <v>202101</v>
      </c>
      <c r="G2272" s="112" t="s">
        <v>1091</v>
      </c>
      <c r="H2272" s="112" t="s">
        <v>1015</v>
      </c>
      <c r="I2272" s="112" t="s">
        <v>1952</v>
      </c>
      <c r="J2272" s="112" t="s">
        <v>1971</v>
      </c>
      <c r="K2272" s="112" t="s">
        <v>2334</v>
      </c>
      <c r="L2272" s="116">
        <v>4125</v>
      </c>
    </row>
    <row r="2273" spans="1:12" hidden="1" outlineLevel="1" collapsed="1" x14ac:dyDescent="0.35">
      <c r="A2273" s="112" t="s">
        <v>1814</v>
      </c>
      <c r="B2273" s="112" t="s">
        <v>905</v>
      </c>
      <c r="C2273" s="112" t="s">
        <v>1219</v>
      </c>
      <c r="D2273" s="113">
        <v>46307724</v>
      </c>
      <c r="E2273" s="115">
        <v>43943</v>
      </c>
      <c r="F2273" s="114">
        <v>202101</v>
      </c>
      <c r="G2273" s="112" t="s">
        <v>1091</v>
      </c>
      <c r="H2273" s="112" t="s">
        <v>1015</v>
      </c>
      <c r="I2273" s="112" t="s">
        <v>1952</v>
      </c>
      <c r="J2273" s="112" t="s">
        <v>1971</v>
      </c>
      <c r="K2273" s="112" t="s">
        <v>2335</v>
      </c>
      <c r="L2273" s="116">
        <v>2775</v>
      </c>
    </row>
    <row r="2274" spans="1:12" hidden="1" outlineLevel="1" collapsed="1" x14ac:dyDescent="0.35">
      <c r="A2274" s="112" t="s">
        <v>1814</v>
      </c>
      <c r="B2274" s="112" t="s">
        <v>905</v>
      </c>
      <c r="C2274" s="112" t="s">
        <v>1095</v>
      </c>
      <c r="D2274" s="113">
        <v>10348451</v>
      </c>
      <c r="E2274" s="115">
        <v>43949</v>
      </c>
      <c r="F2274" s="114">
        <v>202101</v>
      </c>
      <c r="G2274" s="112" t="s">
        <v>1091</v>
      </c>
      <c r="H2274" s="112" t="s">
        <v>1015</v>
      </c>
      <c r="I2274" s="112" t="s">
        <v>1101</v>
      </c>
      <c r="J2274" s="112" t="s">
        <v>1827</v>
      </c>
      <c r="K2274" s="112" t="s">
        <v>1098</v>
      </c>
      <c r="L2274" s="116">
        <v>483.07</v>
      </c>
    </row>
    <row r="2275" spans="1:12" hidden="1" outlineLevel="1" collapsed="1" x14ac:dyDescent="0.35">
      <c r="A2275" s="112" t="s">
        <v>1814</v>
      </c>
      <c r="B2275" s="112" t="s">
        <v>905</v>
      </c>
      <c r="C2275" s="112" t="s">
        <v>1219</v>
      </c>
      <c r="D2275" s="113">
        <v>46307723</v>
      </c>
      <c r="E2275" s="115">
        <v>43943</v>
      </c>
      <c r="F2275" s="114">
        <v>202101</v>
      </c>
      <c r="G2275" s="112" t="s">
        <v>1091</v>
      </c>
      <c r="H2275" s="112" t="s">
        <v>1015</v>
      </c>
      <c r="I2275" s="112" t="s">
        <v>1952</v>
      </c>
      <c r="J2275" s="112" t="s">
        <v>1971</v>
      </c>
      <c r="K2275" s="112" t="s">
        <v>2336</v>
      </c>
      <c r="L2275" s="116">
        <v>3300</v>
      </c>
    </row>
    <row r="2276" spans="1:12" hidden="1" outlineLevel="1" collapsed="1" x14ac:dyDescent="0.35">
      <c r="A2276" s="112" t="s">
        <v>1814</v>
      </c>
      <c r="B2276" s="112" t="s">
        <v>906</v>
      </c>
      <c r="C2276" s="112" t="s">
        <v>1095</v>
      </c>
      <c r="D2276" s="113">
        <v>10348451</v>
      </c>
      <c r="E2276" s="115">
        <v>43949</v>
      </c>
      <c r="F2276" s="114">
        <v>202101</v>
      </c>
      <c r="G2276" s="112" t="s">
        <v>1091</v>
      </c>
      <c r="H2276" s="112" t="s">
        <v>1015</v>
      </c>
      <c r="I2276" s="112" t="s">
        <v>1116</v>
      </c>
      <c r="J2276" s="112" t="s">
        <v>1852</v>
      </c>
      <c r="K2276" s="112" t="s">
        <v>1098</v>
      </c>
      <c r="L2276" s="116">
        <v>2631.25</v>
      </c>
    </row>
    <row r="2277" spans="1:12" hidden="1" outlineLevel="1" collapsed="1" x14ac:dyDescent="0.35">
      <c r="A2277" s="112" t="s">
        <v>1814</v>
      </c>
      <c r="B2277" s="112" t="s">
        <v>905</v>
      </c>
      <c r="C2277" s="112" t="s">
        <v>695</v>
      </c>
      <c r="D2277" s="113">
        <v>10348136</v>
      </c>
      <c r="E2277" s="115">
        <v>43930</v>
      </c>
      <c r="F2277" s="114">
        <v>202101</v>
      </c>
      <c r="G2277" s="112" t="s">
        <v>1091</v>
      </c>
      <c r="H2277" s="112" t="s">
        <v>1016</v>
      </c>
      <c r="I2277" s="112" t="s">
        <v>2337</v>
      </c>
      <c r="J2277" s="112" t="s">
        <v>1827</v>
      </c>
      <c r="K2277" s="112" t="s">
        <v>2338</v>
      </c>
      <c r="L2277" s="116">
        <v>1800</v>
      </c>
    </row>
    <row r="2278" spans="1:12" hidden="1" outlineLevel="1" collapsed="1" x14ac:dyDescent="0.35">
      <c r="A2278" s="112" t="s">
        <v>1814</v>
      </c>
      <c r="B2278" s="112" t="s">
        <v>905</v>
      </c>
      <c r="C2278" s="112" t="s">
        <v>1219</v>
      </c>
      <c r="D2278" s="113">
        <v>46307722</v>
      </c>
      <c r="E2278" s="115">
        <v>43943</v>
      </c>
      <c r="F2278" s="114">
        <v>202101</v>
      </c>
      <c r="G2278" s="112" t="s">
        <v>1091</v>
      </c>
      <c r="H2278" s="112" t="s">
        <v>1015</v>
      </c>
      <c r="I2278" s="112" t="s">
        <v>1952</v>
      </c>
      <c r="J2278" s="112" t="s">
        <v>1971</v>
      </c>
      <c r="K2278" s="112" t="s">
        <v>2339</v>
      </c>
      <c r="L2278" s="116">
        <v>3300</v>
      </c>
    </row>
    <row r="2279" spans="1:12" hidden="1" outlineLevel="1" collapsed="1" x14ac:dyDescent="0.35">
      <c r="A2279" s="112" t="s">
        <v>1814</v>
      </c>
      <c r="B2279" s="112" t="s">
        <v>906</v>
      </c>
      <c r="C2279" s="112" t="s">
        <v>1150</v>
      </c>
      <c r="D2279" s="113">
        <v>10348573</v>
      </c>
      <c r="E2279" s="115">
        <v>43958</v>
      </c>
      <c r="F2279" s="114">
        <v>202101</v>
      </c>
      <c r="G2279" s="112" t="s">
        <v>1091</v>
      </c>
      <c r="H2279" s="112" t="s">
        <v>1015</v>
      </c>
      <c r="I2279" s="112" t="s">
        <v>1866</v>
      </c>
      <c r="J2279" s="112" t="s">
        <v>1815</v>
      </c>
      <c r="K2279" s="112" t="s">
        <v>1151</v>
      </c>
      <c r="L2279" s="116">
        <v>35879.089999999997</v>
      </c>
    </row>
    <row r="2280" spans="1:12" hidden="1" outlineLevel="1" collapsed="1" x14ac:dyDescent="0.35">
      <c r="A2280" s="112" t="s">
        <v>1814</v>
      </c>
      <c r="B2280" s="112" t="s">
        <v>905</v>
      </c>
      <c r="C2280" s="112" t="s">
        <v>1219</v>
      </c>
      <c r="D2280" s="113">
        <v>46307721</v>
      </c>
      <c r="E2280" s="115">
        <v>43943</v>
      </c>
      <c r="F2280" s="114">
        <v>202101</v>
      </c>
      <c r="G2280" s="112" t="s">
        <v>1091</v>
      </c>
      <c r="H2280" s="112" t="s">
        <v>1015</v>
      </c>
      <c r="I2280" s="112" t="s">
        <v>1952</v>
      </c>
      <c r="J2280" s="112" t="s">
        <v>1971</v>
      </c>
      <c r="K2280" s="112" t="s">
        <v>2340</v>
      </c>
      <c r="L2280" s="116">
        <v>2775</v>
      </c>
    </row>
    <row r="2281" spans="1:12" hidden="1" outlineLevel="1" collapsed="1" x14ac:dyDescent="0.35">
      <c r="A2281" s="112" t="s">
        <v>1814</v>
      </c>
      <c r="B2281" s="112" t="s">
        <v>905</v>
      </c>
      <c r="C2281" s="112" t="s">
        <v>1219</v>
      </c>
      <c r="D2281" s="113">
        <v>46307720</v>
      </c>
      <c r="E2281" s="115">
        <v>43943</v>
      </c>
      <c r="F2281" s="114">
        <v>202101</v>
      </c>
      <c r="G2281" s="112" t="s">
        <v>1091</v>
      </c>
      <c r="H2281" s="112" t="s">
        <v>1015</v>
      </c>
      <c r="I2281" s="112" t="s">
        <v>1952</v>
      </c>
      <c r="J2281" s="112" t="s">
        <v>1971</v>
      </c>
      <c r="K2281" s="112" t="s">
        <v>2341</v>
      </c>
      <c r="L2281" s="116">
        <v>2775</v>
      </c>
    </row>
    <row r="2282" spans="1:12" hidden="1" outlineLevel="1" collapsed="1" x14ac:dyDescent="0.35">
      <c r="A2282" s="112" t="s">
        <v>1814</v>
      </c>
      <c r="B2282" s="112" t="s">
        <v>905</v>
      </c>
      <c r="C2282" s="112" t="s">
        <v>1219</v>
      </c>
      <c r="D2282" s="113">
        <v>46307719</v>
      </c>
      <c r="E2282" s="115">
        <v>43943</v>
      </c>
      <c r="F2282" s="114">
        <v>202101</v>
      </c>
      <c r="G2282" s="112" t="s">
        <v>1091</v>
      </c>
      <c r="H2282" s="112" t="s">
        <v>1015</v>
      </c>
      <c r="I2282" s="112" t="s">
        <v>1952</v>
      </c>
      <c r="J2282" s="112" t="s">
        <v>1971</v>
      </c>
      <c r="K2282" s="112" t="s">
        <v>2342</v>
      </c>
      <c r="L2282" s="116">
        <v>2775</v>
      </c>
    </row>
    <row r="2283" spans="1:12" hidden="1" outlineLevel="1" collapsed="1" x14ac:dyDescent="0.35">
      <c r="A2283" s="112" t="s">
        <v>1814</v>
      </c>
      <c r="B2283" s="112" t="s">
        <v>905</v>
      </c>
      <c r="C2283" s="112" t="s">
        <v>1095</v>
      </c>
      <c r="D2283" s="113">
        <v>10348451</v>
      </c>
      <c r="E2283" s="115">
        <v>43949</v>
      </c>
      <c r="F2283" s="114">
        <v>202101</v>
      </c>
      <c r="G2283" s="112" t="s">
        <v>1091</v>
      </c>
      <c r="H2283" s="112" t="s">
        <v>1015</v>
      </c>
      <c r="I2283" s="112" t="s">
        <v>1096</v>
      </c>
      <c r="J2283" s="112" t="s">
        <v>1839</v>
      </c>
      <c r="K2283" s="112" t="s">
        <v>1098</v>
      </c>
      <c r="L2283" s="116">
        <v>183.58</v>
      </c>
    </row>
    <row r="2284" spans="1:12" hidden="1" outlineLevel="1" collapsed="1" x14ac:dyDescent="0.35">
      <c r="A2284" s="112" t="s">
        <v>1814</v>
      </c>
      <c r="B2284" s="112" t="s">
        <v>905</v>
      </c>
      <c r="C2284" s="112" t="s">
        <v>695</v>
      </c>
      <c r="D2284" s="113">
        <v>10347977</v>
      </c>
      <c r="E2284" s="115">
        <v>43924</v>
      </c>
      <c r="F2284" s="114">
        <v>202101</v>
      </c>
      <c r="G2284" s="112" t="s">
        <v>1091</v>
      </c>
      <c r="H2284" s="112" t="s">
        <v>1015</v>
      </c>
      <c r="I2284" s="112" t="s">
        <v>749</v>
      </c>
      <c r="J2284" s="112" t="s">
        <v>1822</v>
      </c>
      <c r="K2284" s="112" t="s">
        <v>2343</v>
      </c>
      <c r="L2284" s="116">
        <v>-12</v>
      </c>
    </row>
    <row r="2285" spans="1:12" hidden="1" outlineLevel="1" collapsed="1" x14ac:dyDescent="0.35">
      <c r="A2285" s="112" t="s">
        <v>1814</v>
      </c>
      <c r="B2285" s="112" t="s">
        <v>906</v>
      </c>
      <c r="C2285" s="112" t="s">
        <v>1095</v>
      </c>
      <c r="D2285" s="113">
        <v>10348451</v>
      </c>
      <c r="E2285" s="115">
        <v>43949</v>
      </c>
      <c r="F2285" s="114">
        <v>202101</v>
      </c>
      <c r="G2285" s="112" t="s">
        <v>1091</v>
      </c>
      <c r="H2285" s="112" t="s">
        <v>1015</v>
      </c>
      <c r="I2285" s="112" t="s">
        <v>1116</v>
      </c>
      <c r="J2285" s="112" t="s">
        <v>1852</v>
      </c>
      <c r="K2285" s="112" t="s">
        <v>1098</v>
      </c>
      <c r="L2285" s="116">
        <v>3391.33</v>
      </c>
    </row>
    <row r="2286" spans="1:12" hidden="1" outlineLevel="1" collapsed="1" x14ac:dyDescent="0.35">
      <c r="A2286" s="112" t="s">
        <v>1814</v>
      </c>
      <c r="B2286" s="112" t="s">
        <v>906</v>
      </c>
      <c r="C2286" s="112" t="s">
        <v>1106</v>
      </c>
      <c r="D2286" s="113">
        <v>3098505</v>
      </c>
      <c r="E2286" s="115">
        <v>43942</v>
      </c>
      <c r="F2286" s="114">
        <v>202101</v>
      </c>
      <c r="G2286" s="112" t="s">
        <v>1091</v>
      </c>
      <c r="H2286" s="112" t="s">
        <v>1015</v>
      </c>
      <c r="I2286" s="112" t="s">
        <v>1873</v>
      </c>
      <c r="J2286" s="112" t="s">
        <v>1815</v>
      </c>
      <c r="K2286" s="112" t="s">
        <v>2344</v>
      </c>
      <c r="L2286" s="116">
        <v>71.34</v>
      </c>
    </row>
    <row r="2287" spans="1:12" hidden="1" outlineLevel="1" collapsed="1" x14ac:dyDescent="0.35">
      <c r="A2287" s="112" t="s">
        <v>1814</v>
      </c>
      <c r="B2287" s="112" t="s">
        <v>905</v>
      </c>
      <c r="C2287" s="112" t="s">
        <v>1150</v>
      </c>
      <c r="D2287" s="113">
        <v>10348570</v>
      </c>
      <c r="E2287" s="115">
        <v>43957</v>
      </c>
      <c r="F2287" s="114">
        <v>202101</v>
      </c>
      <c r="G2287" s="112" t="s">
        <v>1091</v>
      </c>
      <c r="H2287" s="112" t="s">
        <v>1015</v>
      </c>
      <c r="I2287" s="112" t="s">
        <v>2345</v>
      </c>
      <c r="J2287" s="112" t="s">
        <v>1822</v>
      </c>
      <c r="K2287" s="112" t="s">
        <v>2036</v>
      </c>
      <c r="L2287" s="116">
        <v>3153.49</v>
      </c>
    </row>
    <row r="2288" spans="1:12" hidden="1" outlineLevel="1" collapsed="1" x14ac:dyDescent="0.35">
      <c r="A2288" s="112" t="s">
        <v>1814</v>
      </c>
      <c r="B2288" s="112" t="s">
        <v>905</v>
      </c>
      <c r="C2288" s="112" t="s">
        <v>695</v>
      </c>
      <c r="D2288" s="113">
        <v>10348034</v>
      </c>
      <c r="E2288" s="115">
        <v>43928</v>
      </c>
      <c r="F2288" s="114">
        <v>202101</v>
      </c>
      <c r="G2288" s="112" t="s">
        <v>1091</v>
      </c>
      <c r="H2288" s="112" t="s">
        <v>1015</v>
      </c>
      <c r="I2288" s="112" t="s">
        <v>1211</v>
      </c>
      <c r="J2288" s="112" t="s">
        <v>1842</v>
      </c>
      <c r="K2288" s="112" t="s">
        <v>2346</v>
      </c>
      <c r="L2288" s="116">
        <v>-1653.06</v>
      </c>
    </row>
    <row r="2289" spans="1:12" hidden="1" outlineLevel="1" collapsed="1" x14ac:dyDescent="0.35">
      <c r="A2289" s="112" t="s">
        <v>1814</v>
      </c>
      <c r="B2289" s="112" t="s">
        <v>906</v>
      </c>
      <c r="C2289" s="112" t="s">
        <v>1095</v>
      </c>
      <c r="D2289" s="113">
        <v>10348451</v>
      </c>
      <c r="E2289" s="115">
        <v>43949</v>
      </c>
      <c r="F2289" s="114">
        <v>202101</v>
      </c>
      <c r="G2289" s="112" t="s">
        <v>1091</v>
      </c>
      <c r="H2289" s="112" t="s">
        <v>1015</v>
      </c>
      <c r="I2289" s="112" t="s">
        <v>1096</v>
      </c>
      <c r="J2289" s="112" t="s">
        <v>1874</v>
      </c>
      <c r="K2289" s="112" t="s">
        <v>1098</v>
      </c>
      <c r="L2289" s="116">
        <v>54.02</v>
      </c>
    </row>
    <row r="2290" spans="1:12" hidden="1" outlineLevel="1" collapsed="1" x14ac:dyDescent="0.35">
      <c r="A2290" s="112" t="s">
        <v>1814</v>
      </c>
      <c r="B2290" s="112" t="s">
        <v>905</v>
      </c>
      <c r="C2290" s="112" t="s">
        <v>1150</v>
      </c>
      <c r="D2290" s="113">
        <v>10348570</v>
      </c>
      <c r="E2290" s="115">
        <v>43957</v>
      </c>
      <c r="F2290" s="114">
        <v>202101</v>
      </c>
      <c r="G2290" s="112" t="s">
        <v>1091</v>
      </c>
      <c r="H2290" s="112" t="s">
        <v>1015</v>
      </c>
      <c r="I2290" s="112" t="s">
        <v>2345</v>
      </c>
      <c r="J2290" s="112" t="s">
        <v>1971</v>
      </c>
      <c r="K2290" s="112" t="s">
        <v>2036</v>
      </c>
      <c r="L2290" s="116">
        <v>533.05999999999995</v>
      </c>
    </row>
    <row r="2291" spans="1:12" hidden="1" outlineLevel="1" collapsed="1" x14ac:dyDescent="0.35">
      <c r="A2291" s="112" t="s">
        <v>1814</v>
      </c>
      <c r="B2291" s="112" t="s">
        <v>906</v>
      </c>
      <c r="C2291" s="112" t="s">
        <v>1150</v>
      </c>
      <c r="D2291" s="113">
        <v>10348570</v>
      </c>
      <c r="E2291" s="115">
        <v>43957</v>
      </c>
      <c r="F2291" s="114">
        <v>202101</v>
      </c>
      <c r="G2291" s="112" t="s">
        <v>1091</v>
      </c>
      <c r="H2291" s="112" t="s">
        <v>1015</v>
      </c>
      <c r="I2291" s="112" t="s">
        <v>2345</v>
      </c>
      <c r="J2291" s="112" t="s">
        <v>1874</v>
      </c>
      <c r="K2291" s="112" t="s">
        <v>2036</v>
      </c>
      <c r="L2291" s="116">
        <v>557.88</v>
      </c>
    </row>
    <row r="2292" spans="1:12" hidden="1" outlineLevel="1" collapsed="1" x14ac:dyDescent="0.35">
      <c r="A2292" s="112" t="s">
        <v>1814</v>
      </c>
      <c r="B2292" s="112" t="s">
        <v>905</v>
      </c>
      <c r="C2292" s="112" t="s">
        <v>1150</v>
      </c>
      <c r="D2292" s="113">
        <v>10348570</v>
      </c>
      <c r="E2292" s="115">
        <v>43957</v>
      </c>
      <c r="F2292" s="114">
        <v>202101</v>
      </c>
      <c r="G2292" s="112" t="s">
        <v>1091</v>
      </c>
      <c r="H2292" s="112" t="s">
        <v>1015</v>
      </c>
      <c r="I2292" s="112" t="s">
        <v>2345</v>
      </c>
      <c r="J2292" s="112" t="s">
        <v>1901</v>
      </c>
      <c r="K2292" s="112" t="s">
        <v>2036</v>
      </c>
      <c r="L2292" s="116">
        <v>135.15</v>
      </c>
    </row>
    <row r="2293" spans="1:12" hidden="1" outlineLevel="1" collapsed="1" x14ac:dyDescent="0.35">
      <c r="A2293" s="112" t="s">
        <v>1814</v>
      </c>
      <c r="B2293" s="112" t="s">
        <v>905</v>
      </c>
      <c r="C2293" s="112" t="s">
        <v>695</v>
      </c>
      <c r="D2293" s="113">
        <v>10347977</v>
      </c>
      <c r="E2293" s="115">
        <v>43924</v>
      </c>
      <c r="F2293" s="114">
        <v>202101</v>
      </c>
      <c r="G2293" s="112" t="s">
        <v>1091</v>
      </c>
      <c r="H2293" s="112" t="s">
        <v>1015</v>
      </c>
      <c r="I2293" s="112" t="s">
        <v>749</v>
      </c>
      <c r="J2293" s="112" t="s">
        <v>1822</v>
      </c>
      <c r="K2293" s="112" t="s">
        <v>2347</v>
      </c>
      <c r="L2293" s="116">
        <v>-27</v>
      </c>
    </row>
    <row r="2294" spans="1:12" hidden="1" outlineLevel="1" collapsed="1" x14ac:dyDescent="0.35">
      <c r="A2294" s="112" t="s">
        <v>1814</v>
      </c>
      <c r="B2294" s="112" t="s">
        <v>905</v>
      </c>
      <c r="C2294" s="112" t="s">
        <v>695</v>
      </c>
      <c r="D2294" s="113">
        <v>10347977</v>
      </c>
      <c r="E2294" s="115">
        <v>43924</v>
      </c>
      <c r="F2294" s="114">
        <v>202101</v>
      </c>
      <c r="G2294" s="112" t="s">
        <v>1091</v>
      </c>
      <c r="H2294" s="112" t="s">
        <v>1015</v>
      </c>
      <c r="I2294" s="112" t="s">
        <v>751</v>
      </c>
      <c r="J2294" s="112" t="s">
        <v>1822</v>
      </c>
      <c r="K2294" s="112" t="s">
        <v>2348</v>
      </c>
      <c r="L2294" s="116">
        <v>-64</v>
      </c>
    </row>
    <row r="2295" spans="1:12" hidden="1" outlineLevel="1" collapsed="1" x14ac:dyDescent="0.35">
      <c r="A2295" s="112" t="s">
        <v>1814</v>
      </c>
      <c r="B2295" s="112" t="s">
        <v>905</v>
      </c>
      <c r="C2295" s="112" t="s">
        <v>1150</v>
      </c>
      <c r="D2295" s="113">
        <v>10348570</v>
      </c>
      <c r="E2295" s="115">
        <v>43957</v>
      </c>
      <c r="F2295" s="114">
        <v>202101</v>
      </c>
      <c r="G2295" s="112" t="s">
        <v>1091</v>
      </c>
      <c r="H2295" s="112" t="s">
        <v>1015</v>
      </c>
      <c r="I2295" s="112" t="s">
        <v>2345</v>
      </c>
      <c r="J2295" s="112" t="s">
        <v>1839</v>
      </c>
      <c r="K2295" s="112" t="s">
        <v>2036</v>
      </c>
      <c r="L2295" s="116">
        <v>1216.3499999999999</v>
      </c>
    </row>
    <row r="2296" spans="1:12" hidden="1" outlineLevel="1" collapsed="1" x14ac:dyDescent="0.35">
      <c r="A2296" s="112" t="s">
        <v>1814</v>
      </c>
      <c r="B2296" s="112" t="s">
        <v>906</v>
      </c>
      <c r="C2296" s="112" t="s">
        <v>1150</v>
      </c>
      <c r="D2296" s="113">
        <v>10348573</v>
      </c>
      <c r="E2296" s="115">
        <v>43958</v>
      </c>
      <c r="F2296" s="114">
        <v>202101</v>
      </c>
      <c r="G2296" s="112" t="s">
        <v>1091</v>
      </c>
      <c r="H2296" s="112" t="s">
        <v>1015</v>
      </c>
      <c r="I2296" s="112" t="s">
        <v>1894</v>
      </c>
      <c r="J2296" s="112" t="s">
        <v>1815</v>
      </c>
      <c r="K2296" s="112" t="s">
        <v>2179</v>
      </c>
      <c r="L2296" s="116">
        <v>115.24</v>
      </c>
    </row>
    <row r="2297" spans="1:12" hidden="1" outlineLevel="1" collapsed="1" x14ac:dyDescent="0.35">
      <c r="A2297" s="112" t="s">
        <v>1814</v>
      </c>
      <c r="B2297" s="112" t="s">
        <v>905</v>
      </c>
      <c r="C2297" s="112" t="s">
        <v>695</v>
      </c>
      <c r="D2297" s="113">
        <v>10347977</v>
      </c>
      <c r="E2297" s="115">
        <v>43924</v>
      </c>
      <c r="F2297" s="114">
        <v>202101</v>
      </c>
      <c r="G2297" s="112" t="s">
        <v>1091</v>
      </c>
      <c r="H2297" s="112" t="s">
        <v>1015</v>
      </c>
      <c r="I2297" s="112" t="s">
        <v>757</v>
      </c>
      <c r="J2297" s="112" t="s">
        <v>1822</v>
      </c>
      <c r="K2297" s="112" t="s">
        <v>2349</v>
      </c>
      <c r="L2297" s="116">
        <v>-28</v>
      </c>
    </row>
    <row r="2298" spans="1:12" hidden="1" outlineLevel="1" collapsed="1" x14ac:dyDescent="0.35">
      <c r="A2298" s="112" t="s">
        <v>1814</v>
      </c>
      <c r="B2298" s="112" t="s">
        <v>905</v>
      </c>
      <c r="C2298" s="112" t="s">
        <v>1095</v>
      </c>
      <c r="D2298" s="113">
        <v>10348451</v>
      </c>
      <c r="E2298" s="115">
        <v>43949</v>
      </c>
      <c r="F2298" s="114">
        <v>202101</v>
      </c>
      <c r="G2298" s="112" t="s">
        <v>1091</v>
      </c>
      <c r="H2298" s="112" t="s">
        <v>1015</v>
      </c>
      <c r="I2298" s="112" t="s">
        <v>1101</v>
      </c>
      <c r="J2298" s="112" t="s">
        <v>1839</v>
      </c>
      <c r="K2298" s="112" t="s">
        <v>1098</v>
      </c>
      <c r="L2298" s="116">
        <v>527.99</v>
      </c>
    </row>
    <row r="2299" spans="1:12" hidden="1" outlineLevel="1" collapsed="1" x14ac:dyDescent="0.35">
      <c r="A2299" s="112" t="s">
        <v>1814</v>
      </c>
      <c r="B2299" s="112" t="s">
        <v>905</v>
      </c>
      <c r="C2299" s="112" t="s">
        <v>679</v>
      </c>
      <c r="D2299" s="113">
        <v>10348418</v>
      </c>
      <c r="E2299" s="115">
        <v>43944</v>
      </c>
      <c r="F2299" s="114">
        <v>202101</v>
      </c>
      <c r="G2299" s="112" t="s">
        <v>1091</v>
      </c>
      <c r="H2299" s="112" t="s">
        <v>1015</v>
      </c>
      <c r="I2299" s="112" t="s">
        <v>1952</v>
      </c>
      <c r="J2299" s="112" t="s">
        <v>1817</v>
      </c>
      <c r="K2299" s="112" t="s">
        <v>2350</v>
      </c>
      <c r="L2299" s="116">
        <v>4888</v>
      </c>
    </row>
    <row r="2300" spans="1:12" hidden="1" outlineLevel="1" collapsed="1" x14ac:dyDescent="0.35">
      <c r="A2300" s="112" t="s">
        <v>1814</v>
      </c>
      <c r="B2300" s="112" t="s">
        <v>905</v>
      </c>
      <c r="C2300" s="112" t="s">
        <v>1095</v>
      </c>
      <c r="D2300" s="113">
        <v>10348451</v>
      </c>
      <c r="E2300" s="115">
        <v>43949</v>
      </c>
      <c r="F2300" s="114">
        <v>202101</v>
      </c>
      <c r="G2300" s="112" t="s">
        <v>1091</v>
      </c>
      <c r="H2300" s="112" t="s">
        <v>1015</v>
      </c>
      <c r="I2300" s="112" t="s">
        <v>1096</v>
      </c>
      <c r="J2300" s="112" t="s">
        <v>1839</v>
      </c>
      <c r="K2300" s="112" t="s">
        <v>1098</v>
      </c>
      <c r="L2300" s="116">
        <v>348.76</v>
      </c>
    </row>
    <row r="2301" spans="1:12" hidden="1" outlineLevel="1" collapsed="1" x14ac:dyDescent="0.35">
      <c r="A2301" s="112" t="s">
        <v>1814</v>
      </c>
      <c r="B2301" s="112" t="s">
        <v>906</v>
      </c>
      <c r="C2301" s="112" t="s">
        <v>695</v>
      </c>
      <c r="D2301" s="113">
        <v>10347977</v>
      </c>
      <c r="E2301" s="115">
        <v>43924</v>
      </c>
      <c r="F2301" s="114">
        <v>202101</v>
      </c>
      <c r="G2301" s="112" t="s">
        <v>1091</v>
      </c>
      <c r="H2301" s="112" t="s">
        <v>1015</v>
      </c>
      <c r="I2301" s="112" t="s">
        <v>757</v>
      </c>
      <c r="J2301" s="112" t="s">
        <v>1874</v>
      </c>
      <c r="K2301" s="112" t="s">
        <v>2351</v>
      </c>
      <c r="L2301" s="116">
        <v>-6</v>
      </c>
    </row>
    <row r="2302" spans="1:12" hidden="1" outlineLevel="1" collapsed="1" x14ac:dyDescent="0.35">
      <c r="A2302" s="112" t="s">
        <v>1814</v>
      </c>
      <c r="B2302" s="112" t="s">
        <v>905</v>
      </c>
      <c r="C2302" s="112" t="s">
        <v>1106</v>
      </c>
      <c r="D2302" s="113">
        <v>3098409</v>
      </c>
      <c r="E2302" s="115">
        <v>43942</v>
      </c>
      <c r="F2302" s="114">
        <v>202101</v>
      </c>
      <c r="G2302" s="112" t="s">
        <v>1091</v>
      </c>
      <c r="H2302" s="112" t="s">
        <v>1015</v>
      </c>
      <c r="I2302" s="112" t="s">
        <v>1900</v>
      </c>
      <c r="J2302" s="112" t="s">
        <v>1839</v>
      </c>
      <c r="K2302" s="112" t="s">
        <v>2352</v>
      </c>
      <c r="L2302" s="116">
        <v>57.06</v>
      </c>
    </row>
    <row r="2303" spans="1:12" hidden="1" outlineLevel="1" collapsed="1" x14ac:dyDescent="0.35">
      <c r="A2303" s="112" t="s">
        <v>1814</v>
      </c>
      <c r="B2303" s="112" t="s">
        <v>905</v>
      </c>
      <c r="C2303" s="112" t="s">
        <v>695</v>
      </c>
      <c r="D2303" s="113">
        <v>10347977</v>
      </c>
      <c r="E2303" s="115">
        <v>43924</v>
      </c>
      <c r="F2303" s="114">
        <v>202101</v>
      </c>
      <c r="G2303" s="112" t="s">
        <v>1091</v>
      </c>
      <c r="H2303" s="112" t="s">
        <v>1015</v>
      </c>
      <c r="I2303" s="112" t="s">
        <v>749</v>
      </c>
      <c r="J2303" s="112" t="s">
        <v>1822</v>
      </c>
      <c r="K2303" s="112" t="s">
        <v>2353</v>
      </c>
      <c r="L2303" s="116">
        <v>-29</v>
      </c>
    </row>
    <row r="2304" spans="1:12" hidden="1" outlineLevel="1" collapsed="1" x14ac:dyDescent="0.35">
      <c r="A2304" s="112" t="s">
        <v>1814</v>
      </c>
      <c r="B2304" s="112" t="s">
        <v>905</v>
      </c>
      <c r="C2304" s="112" t="s">
        <v>1106</v>
      </c>
      <c r="D2304" s="113">
        <v>3098410</v>
      </c>
      <c r="E2304" s="115">
        <v>43942</v>
      </c>
      <c r="F2304" s="114">
        <v>202101</v>
      </c>
      <c r="G2304" s="112" t="s">
        <v>1091</v>
      </c>
      <c r="H2304" s="112" t="s">
        <v>1015</v>
      </c>
      <c r="I2304" s="112" t="s">
        <v>1900</v>
      </c>
      <c r="J2304" s="112" t="s">
        <v>1901</v>
      </c>
      <c r="K2304" s="112" t="s">
        <v>2354</v>
      </c>
      <c r="L2304" s="116">
        <v>57.06</v>
      </c>
    </row>
    <row r="2305" spans="1:12" hidden="1" outlineLevel="1" collapsed="1" x14ac:dyDescent="0.35">
      <c r="A2305" s="112" t="s">
        <v>1814</v>
      </c>
      <c r="B2305" s="112" t="s">
        <v>905</v>
      </c>
      <c r="C2305" s="112" t="s">
        <v>695</v>
      </c>
      <c r="D2305" s="113">
        <v>10347977</v>
      </c>
      <c r="E2305" s="115">
        <v>43924</v>
      </c>
      <c r="F2305" s="114">
        <v>202101</v>
      </c>
      <c r="G2305" s="112" t="s">
        <v>1091</v>
      </c>
      <c r="H2305" s="112" t="s">
        <v>1015</v>
      </c>
      <c r="I2305" s="112" t="s">
        <v>751</v>
      </c>
      <c r="J2305" s="112" t="s">
        <v>1822</v>
      </c>
      <c r="K2305" s="112" t="s">
        <v>2355</v>
      </c>
      <c r="L2305" s="116">
        <v>-119</v>
      </c>
    </row>
    <row r="2306" spans="1:12" hidden="1" outlineLevel="1" collapsed="1" x14ac:dyDescent="0.35">
      <c r="A2306" s="112" t="s">
        <v>1814</v>
      </c>
      <c r="B2306" s="112" t="s">
        <v>905</v>
      </c>
      <c r="C2306" s="112" t="s">
        <v>1106</v>
      </c>
      <c r="D2306" s="113">
        <v>3098411</v>
      </c>
      <c r="E2306" s="115">
        <v>43942</v>
      </c>
      <c r="F2306" s="114">
        <v>202101</v>
      </c>
      <c r="G2306" s="112" t="s">
        <v>1091</v>
      </c>
      <c r="H2306" s="112" t="s">
        <v>1015</v>
      </c>
      <c r="I2306" s="112" t="s">
        <v>1900</v>
      </c>
      <c r="J2306" s="112" t="s">
        <v>1901</v>
      </c>
      <c r="K2306" s="112" t="s">
        <v>2356</v>
      </c>
      <c r="L2306" s="116">
        <v>57.06</v>
      </c>
    </row>
    <row r="2307" spans="1:12" hidden="1" outlineLevel="1" collapsed="1" x14ac:dyDescent="0.35">
      <c r="A2307" s="112" t="s">
        <v>1814</v>
      </c>
      <c r="B2307" s="112" t="s">
        <v>906</v>
      </c>
      <c r="C2307" s="112" t="s">
        <v>1106</v>
      </c>
      <c r="D2307" s="113">
        <v>3098530</v>
      </c>
      <c r="E2307" s="115">
        <v>43942</v>
      </c>
      <c r="F2307" s="114">
        <v>202101</v>
      </c>
      <c r="G2307" s="112" t="s">
        <v>1091</v>
      </c>
      <c r="H2307" s="112" t="s">
        <v>1015</v>
      </c>
      <c r="I2307" s="112" t="s">
        <v>1820</v>
      </c>
      <c r="J2307" s="112" t="s">
        <v>1815</v>
      </c>
      <c r="K2307" s="112" t="s">
        <v>2357</v>
      </c>
      <c r="L2307" s="116">
        <v>110.16</v>
      </c>
    </row>
    <row r="2308" spans="1:12" hidden="1" outlineLevel="1" collapsed="1" x14ac:dyDescent="0.35">
      <c r="A2308" s="112" t="s">
        <v>1814</v>
      </c>
      <c r="B2308" s="112" t="s">
        <v>906</v>
      </c>
      <c r="C2308" s="112" t="s">
        <v>1106</v>
      </c>
      <c r="D2308" s="113">
        <v>3098669</v>
      </c>
      <c r="E2308" s="115">
        <v>43942</v>
      </c>
      <c r="F2308" s="114">
        <v>202101</v>
      </c>
      <c r="G2308" s="112" t="s">
        <v>1091</v>
      </c>
      <c r="H2308" s="112" t="s">
        <v>1015</v>
      </c>
      <c r="I2308" s="112" t="s">
        <v>1873</v>
      </c>
      <c r="J2308" s="112" t="s">
        <v>1815</v>
      </c>
      <c r="K2308" s="112" t="s">
        <v>2358</v>
      </c>
      <c r="L2308" s="116">
        <v>685</v>
      </c>
    </row>
    <row r="2309" spans="1:12" hidden="1" outlineLevel="1" collapsed="1" x14ac:dyDescent="0.35">
      <c r="A2309" s="112" t="s">
        <v>1814</v>
      </c>
      <c r="B2309" s="112" t="s">
        <v>905</v>
      </c>
      <c r="C2309" s="112" t="s">
        <v>695</v>
      </c>
      <c r="D2309" s="113">
        <v>10347977</v>
      </c>
      <c r="E2309" s="115">
        <v>43924</v>
      </c>
      <c r="F2309" s="114">
        <v>202101</v>
      </c>
      <c r="G2309" s="112" t="s">
        <v>1091</v>
      </c>
      <c r="H2309" s="112" t="s">
        <v>1015</v>
      </c>
      <c r="I2309" s="112" t="s">
        <v>751</v>
      </c>
      <c r="J2309" s="112" t="s">
        <v>1822</v>
      </c>
      <c r="K2309" s="112" t="s">
        <v>2359</v>
      </c>
      <c r="L2309" s="116">
        <v>-101</v>
      </c>
    </row>
    <row r="2310" spans="1:12" hidden="1" outlineLevel="1" collapsed="1" x14ac:dyDescent="0.35">
      <c r="A2310" s="112" t="s">
        <v>1814</v>
      </c>
      <c r="B2310" s="112" t="s">
        <v>905</v>
      </c>
      <c r="C2310" s="112" t="s">
        <v>695</v>
      </c>
      <c r="D2310" s="113">
        <v>10347977</v>
      </c>
      <c r="E2310" s="115">
        <v>43924</v>
      </c>
      <c r="F2310" s="114">
        <v>202101</v>
      </c>
      <c r="G2310" s="112" t="s">
        <v>1091</v>
      </c>
      <c r="H2310" s="112" t="s">
        <v>1015</v>
      </c>
      <c r="I2310" s="112" t="s">
        <v>757</v>
      </c>
      <c r="J2310" s="112" t="s">
        <v>1822</v>
      </c>
      <c r="K2310" s="112" t="s">
        <v>2360</v>
      </c>
      <c r="L2310" s="116">
        <v>-45</v>
      </c>
    </row>
    <row r="2311" spans="1:12" hidden="1" outlineLevel="1" collapsed="1" x14ac:dyDescent="0.35">
      <c r="A2311" s="112" t="s">
        <v>1814</v>
      </c>
      <c r="B2311" s="112" t="s">
        <v>905</v>
      </c>
      <c r="C2311" s="112" t="s">
        <v>695</v>
      </c>
      <c r="D2311" s="113">
        <v>10347977</v>
      </c>
      <c r="E2311" s="115">
        <v>43924</v>
      </c>
      <c r="F2311" s="114">
        <v>202101</v>
      </c>
      <c r="G2311" s="112" t="s">
        <v>1091</v>
      </c>
      <c r="H2311" s="112" t="s">
        <v>1015</v>
      </c>
      <c r="I2311" s="112" t="s">
        <v>749</v>
      </c>
      <c r="J2311" s="112" t="s">
        <v>1822</v>
      </c>
      <c r="K2311" s="112" t="s">
        <v>2361</v>
      </c>
      <c r="L2311" s="116">
        <v>-206</v>
      </c>
    </row>
    <row r="2312" spans="1:12" hidden="1" outlineLevel="1" collapsed="1" x14ac:dyDescent="0.35">
      <c r="A2312" s="112" t="s">
        <v>1814</v>
      </c>
      <c r="B2312" s="112" t="s">
        <v>906</v>
      </c>
      <c r="C2312" s="112" t="s">
        <v>695</v>
      </c>
      <c r="D2312" s="113">
        <v>10347977</v>
      </c>
      <c r="E2312" s="115">
        <v>43924</v>
      </c>
      <c r="F2312" s="114">
        <v>202101</v>
      </c>
      <c r="G2312" s="112" t="s">
        <v>1091</v>
      </c>
      <c r="H2312" s="112" t="s">
        <v>1015</v>
      </c>
      <c r="I2312" s="112" t="s">
        <v>749</v>
      </c>
      <c r="J2312" s="112" t="s">
        <v>1942</v>
      </c>
      <c r="K2312" s="112" t="s">
        <v>2362</v>
      </c>
      <c r="L2312" s="116">
        <v>-9</v>
      </c>
    </row>
    <row r="2313" spans="1:12" hidden="1" outlineLevel="1" collapsed="1" x14ac:dyDescent="0.35">
      <c r="A2313" s="112" t="s">
        <v>1814</v>
      </c>
      <c r="B2313" s="112" t="s">
        <v>905</v>
      </c>
      <c r="C2313" s="112" t="s">
        <v>1219</v>
      </c>
      <c r="D2313" s="113">
        <v>46307134</v>
      </c>
      <c r="E2313" s="115">
        <v>43924</v>
      </c>
      <c r="F2313" s="114">
        <v>202101</v>
      </c>
      <c r="G2313" s="112" t="s">
        <v>1091</v>
      </c>
      <c r="H2313" s="112" t="s">
        <v>1015</v>
      </c>
      <c r="I2313" s="112" t="s">
        <v>1211</v>
      </c>
      <c r="J2313" s="112" t="s">
        <v>1842</v>
      </c>
      <c r="K2313" s="112" t="s">
        <v>1220</v>
      </c>
      <c r="L2313" s="116">
        <v>1653.06</v>
      </c>
    </row>
    <row r="2314" spans="1:12" hidden="1" outlineLevel="1" collapsed="1" x14ac:dyDescent="0.35">
      <c r="A2314" s="112" t="s">
        <v>1814</v>
      </c>
      <c r="B2314" s="112" t="s">
        <v>905</v>
      </c>
      <c r="C2314" s="112" t="s">
        <v>1219</v>
      </c>
      <c r="D2314" s="113">
        <v>46307727</v>
      </c>
      <c r="E2314" s="115">
        <v>43943</v>
      </c>
      <c r="F2314" s="114">
        <v>202101</v>
      </c>
      <c r="G2314" s="112" t="s">
        <v>1091</v>
      </c>
      <c r="H2314" s="112" t="s">
        <v>1015</v>
      </c>
      <c r="I2314" s="112" t="s">
        <v>1952</v>
      </c>
      <c r="J2314" s="112" t="s">
        <v>1971</v>
      </c>
      <c r="K2314" s="112" t="s">
        <v>2363</v>
      </c>
      <c r="L2314" s="116">
        <v>3300</v>
      </c>
    </row>
    <row r="2315" spans="1:12" hidden="1" outlineLevel="1" collapsed="1" x14ac:dyDescent="0.35">
      <c r="A2315" s="112" t="s">
        <v>1814</v>
      </c>
      <c r="B2315" s="112" t="s">
        <v>906</v>
      </c>
      <c r="C2315" s="112" t="s">
        <v>1095</v>
      </c>
      <c r="D2315" s="113">
        <v>10348451</v>
      </c>
      <c r="E2315" s="115">
        <v>43949</v>
      </c>
      <c r="F2315" s="114">
        <v>202101</v>
      </c>
      <c r="G2315" s="112" t="s">
        <v>1091</v>
      </c>
      <c r="H2315" s="112" t="s">
        <v>1015</v>
      </c>
      <c r="I2315" s="112" t="s">
        <v>1116</v>
      </c>
      <c r="J2315" s="112" t="s">
        <v>1852</v>
      </c>
      <c r="K2315" s="112" t="s">
        <v>1098</v>
      </c>
      <c r="L2315" s="116">
        <v>2259.5</v>
      </c>
    </row>
    <row r="2316" spans="1:12" hidden="1" outlineLevel="1" collapsed="1" x14ac:dyDescent="0.35">
      <c r="A2316" s="112" t="s">
        <v>1814</v>
      </c>
      <c r="B2316" s="112" t="s">
        <v>905</v>
      </c>
      <c r="C2316" s="112" t="s">
        <v>695</v>
      </c>
      <c r="D2316" s="113">
        <v>10347977</v>
      </c>
      <c r="E2316" s="115">
        <v>43924</v>
      </c>
      <c r="F2316" s="114">
        <v>202101</v>
      </c>
      <c r="G2316" s="112" t="s">
        <v>1091</v>
      </c>
      <c r="H2316" s="112" t="s">
        <v>1015</v>
      </c>
      <c r="I2316" s="112" t="s">
        <v>749</v>
      </c>
      <c r="J2316" s="112" t="s">
        <v>1822</v>
      </c>
      <c r="K2316" s="112" t="s">
        <v>2364</v>
      </c>
      <c r="L2316" s="116">
        <v>-252</v>
      </c>
    </row>
    <row r="2317" spans="1:12" hidden="1" outlineLevel="1" collapsed="1" x14ac:dyDescent="0.35">
      <c r="A2317" s="112" t="s">
        <v>1814</v>
      </c>
      <c r="B2317" s="112" t="s">
        <v>905</v>
      </c>
      <c r="C2317" s="112" t="s">
        <v>695</v>
      </c>
      <c r="D2317" s="113">
        <v>10347977</v>
      </c>
      <c r="E2317" s="115">
        <v>43924</v>
      </c>
      <c r="F2317" s="114">
        <v>202101</v>
      </c>
      <c r="G2317" s="112" t="s">
        <v>1091</v>
      </c>
      <c r="H2317" s="112" t="s">
        <v>1015</v>
      </c>
      <c r="I2317" s="112" t="s">
        <v>749</v>
      </c>
      <c r="J2317" s="112" t="s">
        <v>1822</v>
      </c>
      <c r="K2317" s="112" t="s">
        <v>2365</v>
      </c>
      <c r="L2317" s="116">
        <v>-68</v>
      </c>
    </row>
    <row r="2318" spans="1:12" hidden="1" outlineLevel="1" collapsed="1" x14ac:dyDescent="0.35">
      <c r="A2318" s="112" t="s">
        <v>1814</v>
      </c>
      <c r="B2318" s="112" t="s">
        <v>905</v>
      </c>
      <c r="C2318" s="112" t="s">
        <v>695</v>
      </c>
      <c r="D2318" s="113">
        <v>10347977</v>
      </c>
      <c r="E2318" s="115">
        <v>43924</v>
      </c>
      <c r="F2318" s="114">
        <v>202101</v>
      </c>
      <c r="G2318" s="112" t="s">
        <v>1091</v>
      </c>
      <c r="H2318" s="112" t="s">
        <v>1015</v>
      </c>
      <c r="I2318" s="112" t="s">
        <v>757</v>
      </c>
      <c r="J2318" s="112" t="s">
        <v>1822</v>
      </c>
      <c r="K2318" s="112" t="s">
        <v>2366</v>
      </c>
      <c r="L2318" s="116">
        <v>-27</v>
      </c>
    </row>
    <row r="2319" spans="1:12" hidden="1" outlineLevel="1" collapsed="1" x14ac:dyDescent="0.35">
      <c r="A2319" s="112" t="s">
        <v>1814</v>
      </c>
      <c r="B2319" s="112" t="s">
        <v>906</v>
      </c>
      <c r="C2319" s="112" t="s">
        <v>1095</v>
      </c>
      <c r="D2319" s="113">
        <v>10348451</v>
      </c>
      <c r="E2319" s="115">
        <v>43949</v>
      </c>
      <c r="F2319" s="114">
        <v>202101</v>
      </c>
      <c r="G2319" s="112" t="s">
        <v>1091</v>
      </c>
      <c r="H2319" s="112" t="s">
        <v>1015</v>
      </c>
      <c r="I2319" s="112" t="s">
        <v>1116</v>
      </c>
      <c r="J2319" s="112" t="s">
        <v>1852</v>
      </c>
      <c r="K2319" s="112" t="s">
        <v>1098</v>
      </c>
      <c r="L2319" s="116">
        <v>5426.92</v>
      </c>
    </row>
    <row r="2320" spans="1:12" hidden="1" outlineLevel="1" collapsed="1" x14ac:dyDescent="0.35">
      <c r="A2320" s="112" t="s">
        <v>1814</v>
      </c>
      <c r="B2320" s="112" t="s">
        <v>906</v>
      </c>
      <c r="C2320" s="112" t="s">
        <v>1095</v>
      </c>
      <c r="D2320" s="113">
        <v>10348451</v>
      </c>
      <c r="E2320" s="115">
        <v>43949</v>
      </c>
      <c r="F2320" s="114">
        <v>202101</v>
      </c>
      <c r="G2320" s="112" t="s">
        <v>1091</v>
      </c>
      <c r="H2320" s="112" t="s">
        <v>1015</v>
      </c>
      <c r="I2320" s="112" t="s">
        <v>1116</v>
      </c>
      <c r="J2320" s="112" t="s">
        <v>1852</v>
      </c>
      <c r="K2320" s="112" t="s">
        <v>1098</v>
      </c>
      <c r="L2320" s="116">
        <v>3391.33</v>
      </c>
    </row>
    <row r="2321" spans="1:12" hidden="1" outlineLevel="1" collapsed="1" x14ac:dyDescent="0.35">
      <c r="A2321" s="112" t="s">
        <v>1814</v>
      </c>
      <c r="B2321" s="112" t="s">
        <v>906</v>
      </c>
      <c r="C2321" s="112" t="s">
        <v>1095</v>
      </c>
      <c r="D2321" s="113">
        <v>10348451</v>
      </c>
      <c r="E2321" s="115">
        <v>43949</v>
      </c>
      <c r="F2321" s="114">
        <v>202101</v>
      </c>
      <c r="G2321" s="112" t="s">
        <v>1091</v>
      </c>
      <c r="H2321" s="112" t="s">
        <v>1015</v>
      </c>
      <c r="I2321" s="112" t="s">
        <v>1116</v>
      </c>
      <c r="J2321" s="112" t="s">
        <v>1852</v>
      </c>
      <c r="K2321" s="112" t="s">
        <v>1098</v>
      </c>
      <c r="L2321" s="116">
        <v>2981.92</v>
      </c>
    </row>
    <row r="2322" spans="1:12" hidden="1" outlineLevel="1" collapsed="1" x14ac:dyDescent="0.35">
      <c r="A2322" s="112" t="s">
        <v>1814</v>
      </c>
      <c r="B2322" s="112" t="s">
        <v>906</v>
      </c>
      <c r="C2322" s="112" t="s">
        <v>1095</v>
      </c>
      <c r="D2322" s="113">
        <v>10348451</v>
      </c>
      <c r="E2322" s="115">
        <v>43949</v>
      </c>
      <c r="F2322" s="114">
        <v>202101</v>
      </c>
      <c r="G2322" s="112" t="s">
        <v>1091</v>
      </c>
      <c r="H2322" s="112" t="s">
        <v>1015</v>
      </c>
      <c r="I2322" s="112" t="s">
        <v>1116</v>
      </c>
      <c r="J2322" s="112" t="s">
        <v>1852</v>
      </c>
      <c r="K2322" s="112" t="s">
        <v>1098</v>
      </c>
      <c r="L2322" s="116">
        <v>1564.53</v>
      </c>
    </row>
    <row r="2323" spans="1:12" hidden="1" outlineLevel="1" collapsed="1" x14ac:dyDescent="0.35">
      <c r="A2323" s="112" t="s">
        <v>1814</v>
      </c>
      <c r="B2323" s="112" t="s">
        <v>906</v>
      </c>
      <c r="C2323" s="112" t="s">
        <v>1095</v>
      </c>
      <c r="D2323" s="113">
        <v>10348451</v>
      </c>
      <c r="E2323" s="115">
        <v>43949</v>
      </c>
      <c r="F2323" s="114">
        <v>202101</v>
      </c>
      <c r="G2323" s="112" t="s">
        <v>1091</v>
      </c>
      <c r="H2323" s="112" t="s">
        <v>1015</v>
      </c>
      <c r="I2323" s="112" t="s">
        <v>1116</v>
      </c>
      <c r="J2323" s="112" t="s">
        <v>1852</v>
      </c>
      <c r="K2323" s="112" t="s">
        <v>1098</v>
      </c>
      <c r="L2323" s="116">
        <v>2702</v>
      </c>
    </row>
    <row r="2324" spans="1:12" hidden="1" outlineLevel="1" collapsed="1" x14ac:dyDescent="0.35">
      <c r="A2324" s="112" t="s">
        <v>1814</v>
      </c>
      <c r="B2324" s="112" t="s">
        <v>906</v>
      </c>
      <c r="C2324" s="112" t="s">
        <v>1095</v>
      </c>
      <c r="D2324" s="113">
        <v>10348451</v>
      </c>
      <c r="E2324" s="115">
        <v>43949</v>
      </c>
      <c r="F2324" s="114">
        <v>202101</v>
      </c>
      <c r="G2324" s="112" t="s">
        <v>1091</v>
      </c>
      <c r="H2324" s="112" t="s">
        <v>1015</v>
      </c>
      <c r="I2324" s="112" t="s">
        <v>1116</v>
      </c>
      <c r="J2324" s="112" t="s">
        <v>1852</v>
      </c>
      <c r="K2324" s="112" t="s">
        <v>1098</v>
      </c>
      <c r="L2324" s="116">
        <v>6305.58</v>
      </c>
    </row>
    <row r="2325" spans="1:12" hidden="1" outlineLevel="1" collapsed="1" x14ac:dyDescent="0.35">
      <c r="A2325" s="112" t="s">
        <v>1814</v>
      </c>
      <c r="B2325" s="112" t="s">
        <v>905</v>
      </c>
      <c r="C2325" s="112" t="s">
        <v>695</v>
      </c>
      <c r="D2325" s="113">
        <v>10347977</v>
      </c>
      <c r="E2325" s="115">
        <v>43924</v>
      </c>
      <c r="F2325" s="114">
        <v>202101</v>
      </c>
      <c r="G2325" s="112" t="s">
        <v>1091</v>
      </c>
      <c r="H2325" s="112" t="s">
        <v>1015</v>
      </c>
      <c r="I2325" s="112" t="s">
        <v>749</v>
      </c>
      <c r="J2325" s="112" t="s">
        <v>1822</v>
      </c>
      <c r="K2325" s="112" t="s">
        <v>2367</v>
      </c>
      <c r="L2325" s="116">
        <v>-152</v>
      </c>
    </row>
    <row r="2326" spans="1:12" hidden="1" outlineLevel="1" collapsed="1" x14ac:dyDescent="0.35">
      <c r="A2326" s="112" t="s">
        <v>1814</v>
      </c>
      <c r="B2326" s="112" t="s">
        <v>906</v>
      </c>
      <c r="C2326" s="112" t="s">
        <v>1095</v>
      </c>
      <c r="D2326" s="113">
        <v>10348451</v>
      </c>
      <c r="E2326" s="115">
        <v>43949</v>
      </c>
      <c r="F2326" s="114">
        <v>202101</v>
      </c>
      <c r="G2326" s="112" t="s">
        <v>1091</v>
      </c>
      <c r="H2326" s="112" t="s">
        <v>1015</v>
      </c>
      <c r="I2326" s="112" t="s">
        <v>1116</v>
      </c>
      <c r="J2326" s="112" t="s">
        <v>1852</v>
      </c>
      <c r="K2326" s="112" t="s">
        <v>1098</v>
      </c>
      <c r="L2326" s="116">
        <v>3391.33</v>
      </c>
    </row>
    <row r="2327" spans="1:12" hidden="1" outlineLevel="1" collapsed="1" x14ac:dyDescent="0.35">
      <c r="A2327" s="112" t="s">
        <v>1814</v>
      </c>
      <c r="B2327" s="112" t="s">
        <v>906</v>
      </c>
      <c r="C2327" s="112" t="s">
        <v>1095</v>
      </c>
      <c r="D2327" s="113">
        <v>10348451</v>
      </c>
      <c r="E2327" s="115">
        <v>43949</v>
      </c>
      <c r="F2327" s="114">
        <v>202101</v>
      </c>
      <c r="G2327" s="112" t="s">
        <v>1091</v>
      </c>
      <c r="H2327" s="112" t="s">
        <v>1015</v>
      </c>
      <c r="I2327" s="112" t="s">
        <v>1116</v>
      </c>
      <c r="J2327" s="112" t="s">
        <v>1852</v>
      </c>
      <c r="K2327" s="112" t="s">
        <v>1098</v>
      </c>
      <c r="L2327" s="116">
        <v>2981.92</v>
      </c>
    </row>
    <row r="2328" spans="1:12" hidden="1" outlineLevel="1" collapsed="1" x14ac:dyDescent="0.35">
      <c r="A2328" s="112" t="s">
        <v>1814</v>
      </c>
      <c r="B2328" s="112" t="s">
        <v>904</v>
      </c>
      <c r="C2328" s="112" t="s">
        <v>1095</v>
      </c>
      <c r="D2328" s="113">
        <v>10348451</v>
      </c>
      <c r="E2328" s="115">
        <v>43949</v>
      </c>
      <c r="F2328" s="114">
        <v>202101</v>
      </c>
      <c r="G2328" s="112" t="s">
        <v>1091</v>
      </c>
      <c r="H2328" s="112" t="s">
        <v>1015</v>
      </c>
      <c r="I2328" s="112" t="s">
        <v>1101</v>
      </c>
      <c r="J2328" s="112" t="s">
        <v>1838</v>
      </c>
      <c r="K2328" s="112" t="s">
        <v>1098</v>
      </c>
      <c r="L2328" s="116">
        <v>457.88</v>
      </c>
    </row>
    <row r="2329" spans="1:12" hidden="1" outlineLevel="1" collapsed="1" x14ac:dyDescent="0.35">
      <c r="A2329" s="112" t="s">
        <v>1814</v>
      </c>
      <c r="B2329" s="112" t="s">
        <v>906</v>
      </c>
      <c r="C2329" s="112" t="s">
        <v>1095</v>
      </c>
      <c r="D2329" s="113">
        <v>10348451</v>
      </c>
      <c r="E2329" s="115">
        <v>43949</v>
      </c>
      <c r="F2329" s="114">
        <v>202101</v>
      </c>
      <c r="G2329" s="112" t="s">
        <v>1091</v>
      </c>
      <c r="H2329" s="112" t="s">
        <v>1015</v>
      </c>
      <c r="I2329" s="112" t="s">
        <v>1116</v>
      </c>
      <c r="J2329" s="112" t="s">
        <v>1852</v>
      </c>
      <c r="K2329" s="112" t="s">
        <v>1098</v>
      </c>
      <c r="L2329" s="116">
        <v>3473.25</v>
      </c>
    </row>
    <row r="2330" spans="1:12" hidden="1" outlineLevel="1" collapsed="1" x14ac:dyDescent="0.35">
      <c r="A2330" s="112" t="s">
        <v>1814</v>
      </c>
      <c r="B2330" s="112" t="s">
        <v>905</v>
      </c>
      <c r="C2330" s="112" t="s">
        <v>679</v>
      </c>
      <c r="D2330" s="113">
        <v>10348446</v>
      </c>
      <c r="E2330" s="115">
        <v>43945</v>
      </c>
      <c r="F2330" s="114">
        <v>202101</v>
      </c>
      <c r="G2330" s="112" t="s">
        <v>1091</v>
      </c>
      <c r="H2330" s="112" t="s">
        <v>1015</v>
      </c>
      <c r="I2330" s="112" t="s">
        <v>1956</v>
      </c>
      <c r="J2330" s="112" t="s">
        <v>1817</v>
      </c>
      <c r="K2330" s="112" t="s">
        <v>2368</v>
      </c>
      <c r="L2330" s="116">
        <v>1450</v>
      </c>
    </row>
    <row r="2331" spans="1:12" hidden="1" outlineLevel="1" collapsed="1" x14ac:dyDescent="0.35">
      <c r="A2331" s="112" t="s">
        <v>1814</v>
      </c>
      <c r="B2331" s="112" t="s">
        <v>905</v>
      </c>
      <c r="C2331" s="112" t="s">
        <v>1095</v>
      </c>
      <c r="D2331" s="113">
        <v>10348451</v>
      </c>
      <c r="E2331" s="115">
        <v>43949</v>
      </c>
      <c r="F2331" s="114">
        <v>202101</v>
      </c>
      <c r="G2331" s="112" t="s">
        <v>1091</v>
      </c>
      <c r="H2331" s="112" t="s">
        <v>1015</v>
      </c>
      <c r="I2331" s="112" t="s">
        <v>1101</v>
      </c>
      <c r="J2331" s="112" t="s">
        <v>1878</v>
      </c>
      <c r="K2331" s="112" t="s">
        <v>1098</v>
      </c>
      <c r="L2331" s="116">
        <v>507.44</v>
      </c>
    </row>
    <row r="2332" spans="1:12" hidden="1" outlineLevel="1" collapsed="1" x14ac:dyDescent="0.35">
      <c r="A2332" s="112" t="s">
        <v>1814</v>
      </c>
      <c r="B2332" s="112" t="s">
        <v>905</v>
      </c>
      <c r="C2332" s="112" t="s">
        <v>695</v>
      </c>
      <c r="D2332" s="113">
        <v>10347977</v>
      </c>
      <c r="E2332" s="115">
        <v>43924</v>
      </c>
      <c r="F2332" s="114">
        <v>202101</v>
      </c>
      <c r="G2332" s="112" t="s">
        <v>1091</v>
      </c>
      <c r="H2332" s="112" t="s">
        <v>1015</v>
      </c>
      <c r="I2332" s="112" t="s">
        <v>751</v>
      </c>
      <c r="J2332" s="112" t="s">
        <v>1822</v>
      </c>
      <c r="K2332" s="112" t="s">
        <v>2369</v>
      </c>
      <c r="L2332" s="116">
        <v>-27</v>
      </c>
    </row>
    <row r="2333" spans="1:12" hidden="1" outlineLevel="1" collapsed="1" x14ac:dyDescent="0.35">
      <c r="A2333" s="112" t="s">
        <v>1814</v>
      </c>
      <c r="B2333" s="112" t="s">
        <v>906</v>
      </c>
      <c r="C2333" s="112" t="s">
        <v>1099</v>
      </c>
      <c r="D2333" s="113">
        <v>1069305</v>
      </c>
      <c r="E2333" s="115">
        <v>43917</v>
      </c>
      <c r="F2333" s="114">
        <v>202101</v>
      </c>
      <c r="G2333" s="112" t="s">
        <v>1091</v>
      </c>
      <c r="H2333" s="112" t="s">
        <v>1015</v>
      </c>
      <c r="I2333" s="112" t="s">
        <v>761</v>
      </c>
      <c r="J2333" s="112" t="s">
        <v>1815</v>
      </c>
      <c r="K2333" s="112" t="s">
        <v>2370</v>
      </c>
      <c r="L2333" s="116">
        <v>6280</v>
      </c>
    </row>
    <row r="2334" spans="1:12" hidden="1" outlineLevel="1" collapsed="1" x14ac:dyDescent="0.35">
      <c r="A2334" s="112" t="s">
        <v>1814</v>
      </c>
      <c r="B2334" s="112" t="s">
        <v>905</v>
      </c>
      <c r="C2334" s="112" t="s">
        <v>695</v>
      </c>
      <c r="D2334" s="113">
        <v>10347977</v>
      </c>
      <c r="E2334" s="115">
        <v>43924</v>
      </c>
      <c r="F2334" s="114">
        <v>202101</v>
      </c>
      <c r="G2334" s="112" t="s">
        <v>1091</v>
      </c>
      <c r="H2334" s="112" t="s">
        <v>1015</v>
      </c>
      <c r="I2334" s="112" t="s">
        <v>757</v>
      </c>
      <c r="J2334" s="112" t="s">
        <v>1822</v>
      </c>
      <c r="K2334" s="112" t="s">
        <v>2371</v>
      </c>
      <c r="L2334" s="116">
        <v>-35</v>
      </c>
    </row>
    <row r="2335" spans="1:12" hidden="1" outlineLevel="1" collapsed="1" x14ac:dyDescent="0.35">
      <c r="A2335" s="112" t="s">
        <v>1814</v>
      </c>
      <c r="B2335" s="112" t="s">
        <v>906</v>
      </c>
      <c r="C2335" s="112" t="s">
        <v>1099</v>
      </c>
      <c r="D2335" s="113">
        <v>1069318</v>
      </c>
      <c r="E2335" s="115">
        <v>43921</v>
      </c>
      <c r="F2335" s="114">
        <v>202101</v>
      </c>
      <c r="G2335" s="112" t="s">
        <v>1091</v>
      </c>
      <c r="H2335" s="112" t="s">
        <v>1015</v>
      </c>
      <c r="I2335" s="112" t="s">
        <v>761</v>
      </c>
      <c r="J2335" s="112" t="s">
        <v>1815</v>
      </c>
      <c r="K2335" s="112" t="s">
        <v>2372</v>
      </c>
      <c r="L2335" s="116">
        <v>645</v>
      </c>
    </row>
    <row r="2336" spans="1:12" hidden="1" outlineLevel="1" collapsed="1" x14ac:dyDescent="0.35">
      <c r="A2336" s="112" t="s">
        <v>1814</v>
      </c>
      <c r="B2336" s="112" t="s">
        <v>905</v>
      </c>
      <c r="C2336" s="112" t="s">
        <v>1511</v>
      </c>
      <c r="D2336" s="113">
        <v>47036512</v>
      </c>
      <c r="E2336" s="115">
        <v>43928</v>
      </c>
      <c r="F2336" s="114">
        <v>202101</v>
      </c>
      <c r="G2336" s="112" t="s">
        <v>1091</v>
      </c>
      <c r="H2336" s="112" t="s">
        <v>1015</v>
      </c>
      <c r="I2336" s="112" t="s">
        <v>749</v>
      </c>
      <c r="J2336" s="112" t="s">
        <v>1822</v>
      </c>
      <c r="K2336" s="112" t="s">
        <v>2373</v>
      </c>
      <c r="L2336" s="116">
        <v>119.39</v>
      </c>
    </row>
    <row r="2337" spans="1:12" hidden="1" outlineLevel="1" collapsed="1" x14ac:dyDescent="0.35">
      <c r="A2337" s="112" t="s">
        <v>1814</v>
      </c>
      <c r="B2337" s="112" t="s">
        <v>905</v>
      </c>
      <c r="C2337" s="112" t="s">
        <v>695</v>
      </c>
      <c r="D2337" s="113">
        <v>10347977</v>
      </c>
      <c r="E2337" s="115">
        <v>43924</v>
      </c>
      <c r="F2337" s="114">
        <v>202101</v>
      </c>
      <c r="G2337" s="112" t="s">
        <v>1091</v>
      </c>
      <c r="H2337" s="112" t="s">
        <v>1015</v>
      </c>
      <c r="I2337" s="112" t="s">
        <v>749</v>
      </c>
      <c r="J2337" s="112" t="s">
        <v>1822</v>
      </c>
      <c r="K2337" s="112" t="s">
        <v>2374</v>
      </c>
      <c r="L2337" s="116">
        <v>-180</v>
      </c>
    </row>
    <row r="2338" spans="1:12" hidden="1" outlineLevel="1" collapsed="1" x14ac:dyDescent="0.35">
      <c r="A2338" s="112" t="s">
        <v>1814</v>
      </c>
      <c r="B2338" s="112" t="s">
        <v>905</v>
      </c>
      <c r="C2338" s="112" t="s">
        <v>1219</v>
      </c>
      <c r="D2338" s="113">
        <v>46306736</v>
      </c>
      <c r="E2338" s="115">
        <v>43921</v>
      </c>
      <c r="F2338" s="114">
        <v>202101</v>
      </c>
      <c r="G2338" s="112" t="s">
        <v>1091</v>
      </c>
      <c r="H2338" s="112" t="s">
        <v>1015</v>
      </c>
      <c r="I2338" s="112" t="s">
        <v>1952</v>
      </c>
      <c r="J2338" s="112" t="s">
        <v>1971</v>
      </c>
      <c r="K2338" s="112" t="s">
        <v>2375</v>
      </c>
      <c r="L2338" s="116">
        <v>398</v>
      </c>
    </row>
    <row r="2339" spans="1:12" hidden="1" outlineLevel="1" collapsed="1" x14ac:dyDescent="0.35">
      <c r="A2339" s="112" t="s">
        <v>1814</v>
      </c>
      <c r="B2339" s="112" t="s">
        <v>905</v>
      </c>
      <c r="C2339" s="112" t="s">
        <v>1219</v>
      </c>
      <c r="D2339" s="113">
        <v>46306778</v>
      </c>
      <c r="E2339" s="115">
        <v>43922</v>
      </c>
      <c r="F2339" s="114">
        <v>202101</v>
      </c>
      <c r="G2339" s="112" t="s">
        <v>1091</v>
      </c>
      <c r="H2339" s="112" t="s">
        <v>1015</v>
      </c>
      <c r="I2339" s="112" t="s">
        <v>1182</v>
      </c>
      <c r="J2339" s="112" t="s">
        <v>1901</v>
      </c>
      <c r="K2339" s="112" t="s">
        <v>2376</v>
      </c>
      <c r="L2339" s="116">
        <v>210</v>
      </c>
    </row>
    <row r="2340" spans="1:12" hidden="1" outlineLevel="1" collapsed="1" x14ac:dyDescent="0.35">
      <c r="A2340" s="112" t="s">
        <v>1814</v>
      </c>
      <c r="B2340" s="112" t="s">
        <v>904</v>
      </c>
      <c r="C2340" s="112" t="s">
        <v>1150</v>
      </c>
      <c r="D2340" s="113">
        <v>10348688</v>
      </c>
      <c r="E2340" s="115">
        <v>43978</v>
      </c>
      <c r="F2340" s="114">
        <v>202101</v>
      </c>
      <c r="G2340" s="112" t="s">
        <v>1091</v>
      </c>
      <c r="H2340" s="112" t="s">
        <v>1015</v>
      </c>
      <c r="I2340" s="112" t="s">
        <v>1211</v>
      </c>
      <c r="J2340" s="112" t="s">
        <v>2216</v>
      </c>
      <c r="K2340" s="112" t="s">
        <v>2377</v>
      </c>
      <c r="L2340" s="116">
        <v>-40.15</v>
      </c>
    </row>
    <row r="2341" spans="1:12" hidden="1" outlineLevel="1" collapsed="1" x14ac:dyDescent="0.35">
      <c r="A2341" s="112" t="s">
        <v>1814</v>
      </c>
      <c r="B2341" s="112" t="s">
        <v>905</v>
      </c>
      <c r="C2341" s="112" t="s">
        <v>679</v>
      </c>
      <c r="D2341" s="113">
        <v>10348418</v>
      </c>
      <c r="E2341" s="115">
        <v>43944</v>
      </c>
      <c r="F2341" s="114">
        <v>202101</v>
      </c>
      <c r="G2341" s="112" t="s">
        <v>1091</v>
      </c>
      <c r="H2341" s="112" t="s">
        <v>1015</v>
      </c>
      <c r="I2341" s="112" t="s">
        <v>1952</v>
      </c>
      <c r="J2341" s="112" t="s">
        <v>1817</v>
      </c>
      <c r="K2341" s="112" t="s">
        <v>2378</v>
      </c>
      <c r="L2341" s="116">
        <v>250</v>
      </c>
    </row>
    <row r="2342" spans="1:12" hidden="1" outlineLevel="1" collapsed="1" x14ac:dyDescent="0.35">
      <c r="A2342" s="112" t="s">
        <v>1814</v>
      </c>
      <c r="B2342" s="112" t="s">
        <v>906</v>
      </c>
      <c r="C2342" s="112" t="s">
        <v>1095</v>
      </c>
      <c r="D2342" s="113">
        <v>10348451</v>
      </c>
      <c r="E2342" s="115">
        <v>43949</v>
      </c>
      <c r="F2342" s="114">
        <v>202101</v>
      </c>
      <c r="G2342" s="112" t="s">
        <v>1091</v>
      </c>
      <c r="H2342" s="112" t="s">
        <v>1015</v>
      </c>
      <c r="I2342" s="112" t="s">
        <v>1116</v>
      </c>
      <c r="J2342" s="112" t="s">
        <v>1852</v>
      </c>
      <c r="K2342" s="112" t="s">
        <v>1098</v>
      </c>
      <c r="L2342" s="116">
        <v>3391.33</v>
      </c>
    </row>
    <row r="2343" spans="1:12" hidden="1" outlineLevel="1" collapsed="1" x14ac:dyDescent="0.35">
      <c r="A2343" s="112" t="s">
        <v>1814</v>
      </c>
      <c r="B2343" s="112" t="s">
        <v>905</v>
      </c>
      <c r="C2343" s="112" t="s">
        <v>1095</v>
      </c>
      <c r="D2343" s="113">
        <v>10348451</v>
      </c>
      <c r="E2343" s="115">
        <v>43949</v>
      </c>
      <c r="F2343" s="114">
        <v>202101</v>
      </c>
      <c r="G2343" s="112" t="s">
        <v>1091</v>
      </c>
      <c r="H2343" s="112" t="s">
        <v>1015</v>
      </c>
      <c r="I2343" s="112" t="s">
        <v>1263</v>
      </c>
      <c r="J2343" s="112" t="s">
        <v>1827</v>
      </c>
      <c r="K2343" s="112" t="s">
        <v>1098</v>
      </c>
      <c r="L2343" s="116">
        <v>349.23</v>
      </c>
    </row>
    <row r="2344" spans="1:12" hidden="1" outlineLevel="1" collapsed="1" x14ac:dyDescent="0.35">
      <c r="A2344" s="112" t="s">
        <v>1814</v>
      </c>
      <c r="B2344" s="112" t="s">
        <v>905</v>
      </c>
      <c r="C2344" s="112" t="s">
        <v>1095</v>
      </c>
      <c r="D2344" s="113">
        <v>10348451</v>
      </c>
      <c r="E2344" s="115">
        <v>43949</v>
      </c>
      <c r="F2344" s="114">
        <v>202101</v>
      </c>
      <c r="G2344" s="112" t="s">
        <v>1091</v>
      </c>
      <c r="H2344" s="112" t="s">
        <v>1015</v>
      </c>
      <c r="I2344" s="112" t="s">
        <v>1101</v>
      </c>
      <c r="J2344" s="112" t="s">
        <v>1996</v>
      </c>
      <c r="K2344" s="112" t="s">
        <v>1098</v>
      </c>
      <c r="L2344" s="116">
        <v>483.07</v>
      </c>
    </row>
    <row r="2345" spans="1:12" hidden="1" outlineLevel="1" collapsed="1" x14ac:dyDescent="0.35">
      <c r="A2345" s="112" t="s">
        <v>1814</v>
      </c>
      <c r="B2345" s="112" t="s">
        <v>905</v>
      </c>
      <c r="C2345" s="112" t="s">
        <v>1591</v>
      </c>
      <c r="D2345" s="113">
        <v>41556280</v>
      </c>
      <c r="E2345" s="115">
        <v>43938</v>
      </c>
      <c r="F2345" s="114">
        <v>202101</v>
      </c>
      <c r="G2345" s="112" t="s">
        <v>1091</v>
      </c>
      <c r="H2345" s="112" t="s">
        <v>1015</v>
      </c>
      <c r="I2345" s="112" t="s">
        <v>1952</v>
      </c>
      <c r="J2345" s="112" t="s">
        <v>1971</v>
      </c>
      <c r="K2345" s="112" t="s">
        <v>2379</v>
      </c>
      <c r="L2345" s="116">
        <v>-90.63</v>
      </c>
    </row>
    <row r="2346" spans="1:12" hidden="1" outlineLevel="1" collapsed="1" x14ac:dyDescent="0.35">
      <c r="A2346" s="112" t="s">
        <v>1814</v>
      </c>
      <c r="B2346" s="112" t="s">
        <v>905</v>
      </c>
      <c r="C2346" s="112" t="s">
        <v>695</v>
      </c>
      <c r="D2346" s="113">
        <v>10348513</v>
      </c>
      <c r="E2346" s="115">
        <v>43949</v>
      </c>
      <c r="F2346" s="114">
        <v>202101</v>
      </c>
      <c r="G2346" s="112" t="s">
        <v>1091</v>
      </c>
      <c r="H2346" s="112" t="s">
        <v>1016</v>
      </c>
      <c r="I2346" s="112" t="s">
        <v>680</v>
      </c>
      <c r="J2346" s="112" t="s">
        <v>1959</v>
      </c>
      <c r="K2346" s="112" t="s">
        <v>2380</v>
      </c>
      <c r="L2346" s="116">
        <v>241850</v>
      </c>
    </row>
    <row r="2347" spans="1:12" hidden="1" outlineLevel="1" collapsed="1" x14ac:dyDescent="0.35">
      <c r="A2347" s="112" t="s">
        <v>1814</v>
      </c>
      <c r="B2347" s="112" t="s">
        <v>905</v>
      </c>
      <c r="C2347" s="112" t="s">
        <v>1095</v>
      </c>
      <c r="D2347" s="113">
        <v>10348451</v>
      </c>
      <c r="E2347" s="115">
        <v>43949</v>
      </c>
      <c r="F2347" s="114">
        <v>202101</v>
      </c>
      <c r="G2347" s="112" t="s">
        <v>1091</v>
      </c>
      <c r="H2347" s="112" t="s">
        <v>1015</v>
      </c>
      <c r="I2347" s="112" t="s">
        <v>1096</v>
      </c>
      <c r="J2347" s="112" t="s">
        <v>1842</v>
      </c>
      <c r="K2347" s="112" t="s">
        <v>1098</v>
      </c>
      <c r="L2347" s="116">
        <v>411.93</v>
      </c>
    </row>
    <row r="2348" spans="1:12" hidden="1" outlineLevel="1" collapsed="1" x14ac:dyDescent="0.35">
      <c r="A2348" s="112" t="s">
        <v>1814</v>
      </c>
      <c r="B2348" s="112" t="s">
        <v>905</v>
      </c>
      <c r="C2348" s="112" t="s">
        <v>2381</v>
      </c>
      <c r="D2348" s="113">
        <v>10348251</v>
      </c>
      <c r="E2348" s="115">
        <v>43927</v>
      </c>
      <c r="F2348" s="114">
        <v>202101</v>
      </c>
      <c r="G2348" s="112" t="s">
        <v>1091</v>
      </c>
      <c r="H2348" s="112" t="s">
        <v>1015</v>
      </c>
      <c r="I2348" s="112" t="s">
        <v>1153</v>
      </c>
      <c r="J2348" s="112" t="s">
        <v>1842</v>
      </c>
      <c r="K2348" s="112" t="s">
        <v>2382</v>
      </c>
      <c r="L2348" s="116">
        <v>7404</v>
      </c>
    </row>
    <row r="2349" spans="1:12" hidden="1" outlineLevel="1" collapsed="1" x14ac:dyDescent="0.35">
      <c r="A2349" s="112" t="s">
        <v>1814</v>
      </c>
      <c r="B2349" s="112" t="s">
        <v>905</v>
      </c>
      <c r="C2349" s="112" t="s">
        <v>1095</v>
      </c>
      <c r="D2349" s="113">
        <v>10348451</v>
      </c>
      <c r="E2349" s="115">
        <v>43949</v>
      </c>
      <c r="F2349" s="114">
        <v>202101</v>
      </c>
      <c r="G2349" s="112" t="s">
        <v>1091</v>
      </c>
      <c r="H2349" s="112" t="s">
        <v>1015</v>
      </c>
      <c r="I2349" s="112" t="s">
        <v>1096</v>
      </c>
      <c r="J2349" s="112" t="s">
        <v>1827</v>
      </c>
      <c r="K2349" s="112" t="s">
        <v>1098</v>
      </c>
      <c r="L2349" s="116">
        <v>310.49</v>
      </c>
    </row>
    <row r="2350" spans="1:12" hidden="1" outlineLevel="1" collapsed="1" x14ac:dyDescent="0.35">
      <c r="A2350" s="112" t="s">
        <v>1814</v>
      </c>
      <c r="B2350" s="112" t="s">
        <v>906</v>
      </c>
      <c r="C2350" s="112" t="s">
        <v>1219</v>
      </c>
      <c r="D2350" s="113">
        <v>46307134</v>
      </c>
      <c r="E2350" s="115">
        <v>43924</v>
      </c>
      <c r="F2350" s="114">
        <v>202101</v>
      </c>
      <c r="G2350" s="112" t="s">
        <v>1091</v>
      </c>
      <c r="H2350" s="112" t="s">
        <v>1015</v>
      </c>
      <c r="I2350" s="112" t="s">
        <v>1211</v>
      </c>
      <c r="J2350" s="112" t="s">
        <v>1852</v>
      </c>
      <c r="K2350" s="112" t="s">
        <v>1220</v>
      </c>
      <c r="L2350" s="116">
        <v>12239.09</v>
      </c>
    </row>
    <row r="2351" spans="1:12" hidden="1" outlineLevel="1" collapsed="1" x14ac:dyDescent="0.35">
      <c r="A2351" s="112" t="s">
        <v>1814</v>
      </c>
      <c r="B2351" s="112" t="s">
        <v>905</v>
      </c>
      <c r="C2351" s="112" t="s">
        <v>1095</v>
      </c>
      <c r="D2351" s="113">
        <v>10348451</v>
      </c>
      <c r="E2351" s="115">
        <v>43949</v>
      </c>
      <c r="F2351" s="114">
        <v>202101</v>
      </c>
      <c r="G2351" s="112" t="s">
        <v>1091</v>
      </c>
      <c r="H2351" s="112" t="s">
        <v>1015</v>
      </c>
      <c r="I2351" s="112" t="s">
        <v>1096</v>
      </c>
      <c r="J2351" s="112" t="s">
        <v>1817</v>
      </c>
      <c r="K2351" s="112" t="s">
        <v>1098</v>
      </c>
      <c r="L2351" s="116">
        <v>310.49</v>
      </c>
    </row>
    <row r="2352" spans="1:12" hidden="1" outlineLevel="1" collapsed="1" x14ac:dyDescent="0.35">
      <c r="A2352" s="112" t="s">
        <v>1814</v>
      </c>
      <c r="B2352" s="112" t="s">
        <v>905</v>
      </c>
      <c r="C2352" s="112" t="s">
        <v>2381</v>
      </c>
      <c r="D2352" s="113">
        <v>10348251</v>
      </c>
      <c r="E2352" s="115">
        <v>43928</v>
      </c>
      <c r="F2352" s="114">
        <v>202101</v>
      </c>
      <c r="G2352" s="112" t="s">
        <v>1091</v>
      </c>
      <c r="H2352" s="112" t="s">
        <v>1015</v>
      </c>
      <c r="I2352" s="112" t="s">
        <v>1153</v>
      </c>
      <c r="J2352" s="112" t="s">
        <v>1842</v>
      </c>
      <c r="K2352" s="112" t="s">
        <v>2383</v>
      </c>
      <c r="L2352" s="116">
        <v>971.8</v>
      </c>
    </row>
    <row r="2353" spans="1:12" hidden="1" outlineLevel="1" collapsed="1" x14ac:dyDescent="0.35">
      <c r="A2353" s="112" t="s">
        <v>1814</v>
      </c>
      <c r="B2353" s="112" t="s">
        <v>906</v>
      </c>
      <c r="C2353" s="112" t="s">
        <v>695</v>
      </c>
      <c r="D2353" s="113">
        <v>10347956</v>
      </c>
      <c r="E2353" s="115">
        <v>43923</v>
      </c>
      <c r="F2353" s="114">
        <v>202101</v>
      </c>
      <c r="G2353" s="112" t="s">
        <v>1091</v>
      </c>
      <c r="H2353" s="112" t="s">
        <v>1015</v>
      </c>
      <c r="I2353" s="112" t="s">
        <v>813</v>
      </c>
      <c r="J2353" s="112" t="s">
        <v>1815</v>
      </c>
      <c r="K2353" s="112" t="s">
        <v>1818</v>
      </c>
      <c r="L2353" s="116">
        <v>-46.46</v>
      </c>
    </row>
    <row r="2354" spans="1:12" hidden="1" outlineLevel="1" collapsed="1" x14ac:dyDescent="0.35">
      <c r="A2354" s="112" t="s">
        <v>1814</v>
      </c>
      <c r="B2354" s="112" t="s">
        <v>906</v>
      </c>
      <c r="C2354" s="112" t="s">
        <v>695</v>
      </c>
      <c r="D2354" s="113">
        <v>10347956</v>
      </c>
      <c r="E2354" s="115">
        <v>43923</v>
      </c>
      <c r="F2354" s="114">
        <v>202101</v>
      </c>
      <c r="G2354" s="112" t="s">
        <v>1091</v>
      </c>
      <c r="H2354" s="112" t="s">
        <v>1015</v>
      </c>
      <c r="I2354" s="112" t="s">
        <v>813</v>
      </c>
      <c r="J2354" s="112" t="s">
        <v>1815</v>
      </c>
      <c r="K2354" s="112" t="s">
        <v>1833</v>
      </c>
      <c r="L2354" s="116">
        <v>-93.36</v>
      </c>
    </row>
    <row r="2355" spans="1:12" hidden="1" outlineLevel="1" collapsed="1" x14ac:dyDescent="0.35">
      <c r="A2355" s="112" t="s">
        <v>1814</v>
      </c>
      <c r="B2355" s="112" t="s">
        <v>905</v>
      </c>
      <c r="C2355" s="112" t="s">
        <v>1095</v>
      </c>
      <c r="D2355" s="113">
        <v>10348451</v>
      </c>
      <c r="E2355" s="115">
        <v>43949</v>
      </c>
      <c r="F2355" s="114">
        <v>202101</v>
      </c>
      <c r="G2355" s="112" t="s">
        <v>1091</v>
      </c>
      <c r="H2355" s="112" t="s">
        <v>1015</v>
      </c>
      <c r="I2355" s="112" t="s">
        <v>1101</v>
      </c>
      <c r="J2355" s="112" t="s">
        <v>1827</v>
      </c>
      <c r="K2355" s="112" t="s">
        <v>1098</v>
      </c>
      <c r="L2355" s="116">
        <v>483.07</v>
      </c>
    </row>
    <row r="2356" spans="1:12" hidden="1" outlineLevel="1" collapsed="1" x14ac:dyDescent="0.35">
      <c r="A2356" s="112" t="s">
        <v>1814</v>
      </c>
      <c r="B2356" s="112" t="s">
        <v>904</v>
      </c>
      <c r="C2356" s="112" t="s">
        <v>2381</v>
      </c>
      <c r="D2356" s="113">
        <v>10348251</v>
      </c>
      <c r="E2356" s="115">
        <v>43924</v>
      </c>
      <c r="F2356" s="114">
        <v>202101</v>
      </c>
      <c r="G2356" s="112" t="s">
        <v>1091</v>
      </c>
      <c r="H2356" s="112" t="s">
        <v>1016</v>
      </c>
      <c r="I2356" s="112" t="s">
        <v>1293</v>
      </c>
      <c r="J2356" s="112" t="s">
        <v>1838</v>
      </c>
      <c r="K2356" s="112" t="s">
        <v>2384</v>
      </c>
      <c r="L2356" s="116">
        <v>-4000</v>
      </c>
    </row>
    <row r="2357" spans="1:12" hidden="1" outlineLevel="1" collapsed="1" x14ac:dyDescent="0.35">
      <c r="A2357" s="112" t="s">
        <v>1814</v>
      </c>
      <c r="B2357" s="112" t="s">
        <v>906</v>
      </c>
      <c r="C2357" s="112" t="s">
        <v>1099</v>
      </c>
      <c r="D2357" s="113">
        <v>1069361</v>
      </c>
      <c r="E2357" s="115">
        <v>43922</v>
      </c>
      <c r="F2357" s="114">
        <v>202101</v>
      </c>
      <c r="G2357" s="112" t="s">
        <v>1091</v>
      </c>
      <c r="H2357" s="112" t="s">
        <v>1015</v>
      </c>
      <c r="I2357" s="112" t="s">
        <v>1211</v>
      </c>
      <c r="J2357" s="112" t="s">
        <v>1852</v>
      </c>
      <c r="K2357" s="112" t="s">
        <v>2385</v>
      </c>
      <c r="L2357" s="116">
        <v>1184</v>
      </c>
    </row>
    <row r="2358" spans="1:12" hidden="1" outlineLevel="1" collapsed="1" x14ac:dyDescent="0.35">
      <c r="A2358" s="112" t="s">
        <v>1814</v>
      </c>
      <c r="B2358" s="112" t="s">
        <v>906</v>
      </c>
      <c r="C2358" s="112" t="s">
        <v>1099</v>
      </c>
      <c r="D2358" s="113">
        <v>1069484</v>
      </c>
      <c r="E2358" s="115">
        <v>43920</v>
      </c>
      <c r="F2358" s="114">
        <v>202101</v>
      </c>
      <c r="G2358" s="112" t="s">
        <v>1091</v>
      </c>
      <c r="H2358" s="112" t="s">
        <v>1015</v>
      </c>
      <c r="I2358" s="112" t="s">
        <v>1211</v>
      </c>
      <c r="J2358" s="112" t="s">
        <v>1852</v>
      </c>
      <c r="K2358" s="112" t="s">
        <v>2386</v>
      </c>
      <c r="L2358" s="116">
        <v>49.5</v>
      </c>
    </row>
    <row r="2359" spans="1:12" hidden="1" outlineLevel="1" collapsed="1" x14ac:dyDescent="0.35">
      <c r="A2359" s="112" t="s">
        <v>1814</v>
      </c>
      <c r="B2359" s="112" t="s">
        <v>905</v>
      </c>
      <c r="C2359" s="112" t="s">
        <v>695</v>
      </c>
      <c r="D2359" s="113">
        <v>10347977</v>
      </c>
      <c r="E2359" s="115">
        <v>43924</v>
      </c>
      <c r="F2359" s="114">
        <v>202101</v>
      </c>
      <c r="G2359" s="112" t="s">
        <v>1091</v>
      </c>
      <c r="H2359" s="112" t="s">
        <v>1015</v>
      </c>
      <c r="I2359" s="112" t="s">
        <v>751</v>
      </c>
      <c r="J2359" s="112" t="s">
        <v>1822</v>
      </c>
      <c r="K2359" s="112" t="s">
        <v>2387</v>
      </c>
      <c r="L2359" s="116">
        <v>-103</v>
      </c>
    </row>
    <row r="2360" spans="1:12" hidden="1" outlineLevel="1" collapsed="1" x14ac:dyDescent="0.35">
      <c r="A2360" s="112" t="s">
        <v>1814</v>
      </c>
      <c r="B2360" s="112" t="s">
        <v>905</v>
      </c>
      <c r="C2360" s="112" t="s">
        <v>2381</v>
      </c>
      <c r="D2360" s="113">
        <v>10348251</v>
      </c>
      <c r="E2360" s="115">
        <v>43930</v>
      </c>
      <c r="F2360" s="114">
        <v>202101</v>
      </c>
      <c r="G2360" s="112" t="s">
        <v>1091</v>
      </c>
      <c r="H2360" s="112" t="s">
        <v>1015</v>
      </c>
      <c r="I2360" s="112" t="s">
        <v>1153</v>
      </c>
      <c r="J2360" s="112" t="s">
        <v>1842</v>
      </c>
      <c r="K2360" s="112" t="s">
        <v>2388</v>
      </c>
      <c r="L2360" s="116">
        <v>5040</v>
      </c>
    </row>
    <row r="2361" spans="1:12" hidden="1" outlineLevel="1" collapsed="1" x14ac:dyDescent="0.35">
      <c r="A2361" s="112" t="s">
        <v>1814</v>
      </c>
      <c r="B2361" s="112" t="s">
        <v>905</v>
      </c>
      <c r="C2361" s="112" t="s">
        <v>1095</v>
      </c>
      <c r="D2361" s="113">
        <v>10348451</v>
      </c>
      <c r="E2361" s="115">
        <v>43949</v>
      </c>
      <c r="F2361" s="114">
        <v>202101</v>
      </c>
      <c r="G2361" s="112" t="s">
        <v>1091</v>
      </c>
      <c r="H2361" s="112" t="s">
        <v>1015</v>
      </c>
      <c r="I2361" s="112" t="s">
        <v>1101</v>
      </c>
      <c r="J2361" s="112" t="s">
        <v>1839</v>
      </c>
      <c r="K2361" s="112" t="s">
        <v>1098</v>
      </c>
      <c r="L2361" s="116">
        <v>549.4</v>
      </c>
    </row>
    <row r="2362" spans="1:12" hidden="1" outlineLevel="1" collapsed="1" x14ac:dyDescent="0.35">
      <c r="A2362" s="112" t="s">
        <v>1814</v>
      </c>
      <c r="B2362" s="112" t="s">
        <v>905</v>
      </c>
      <c r="C2362" s="112" t="s">
        <v>2381</v>
      </c>
      <c r="D2362" s="113">
        <v>10348251</v>
      </c>
      <c r="E2362" s="115">
        <v>43930</v>
      </c>
      <c r="F2362" s="114">
        <v>202101</v>
      </c>
      <c r="G2362" s="112" t="s">
        <v>1091</v>
      </c>
      <c r="H2362" s="112" t="s">
        <v>1015</v>
      </c>
      <c r="I2362" s="112" t="s">
        <v>1153</v>
      </c>
      <c r="J2362" s="112" t="s">
        <v>1842</v>
      </c>
      <c r="K2362" s="112" t="s">
        <v>2389</v>
      </c>
      <c r="L2362" s="116">
        <v>1500</v>
      </c>
    </row>
    <row r="2363" spans="1:12" hidden="1" outlineLevel="1" collapsed="1" x14ac:dyDescent="0.35">
      <c r="A2363" s="112" t="s">
        <v>1814</v>
      </c>
      <c r="B2363" s="112" t="s">
        <v>904</v>
      </c>
      <c r="C2363" s="112" t="s">
        <v>1095</v>
      </c>
      <c r="D2363" s="113">
        <v>10348451</v>
      </c>
      <c r="E2363" s="115">
        <v>43949</v>
      </c>
      <c r="F2363" s="114">
        <v>202101</v>
      </c>
      <c r="G2363" s="112" t="s">
        <v>1091</v>
      </c>
      <c r="H2363" s="112" t="s">
        <v>1015</v>
      </c>
      <c r="I2363" s="112" t="s">
        <v>1096</v>
      </c>
      <c r="J2363" s="112" t="s">
        <v>1838</v>
      </c>
      <c r="K2363" s="112" t="s">
        <v>1098</v>
      </c>
      <c r="L2363" s="116">
        <v>263.89</v>
      </c>
    </row>
    <row r="2364" spans="1:12" hidden="1" outlineLevel="1" collapsed="1" x14ac:dyDescent="0.35">
      <c r="A2364" s="112" t="s">
        <v>1814</v>
      </c>
      <c r="B2364" s="112" t="s">
        <v>906</v>
      </c>
      <c r="C2364" s="112" t="s">
        <v>695</v>
      </c>
      <c r="D2364" s="113">
        <v>10347956</v>
      </c>
      <c r="E2364" s="115">
        <v>43923</v>
      </c>
      <c r="F2364" s="114">
        <v>202101</v>
      </c>
      <c r="G2364" s="112" t="s">
        <v>1091</v>
      </c>
      <c r="H2364" s="112" t="s">
        <v>1015</v>
      </c>
      <c r="I2364" s="112" t="s">
        <v>813</v>
      </c>
      <c r="J2364" s="112" t="s">
        <v>1815</v>
      </c>
      <c r="K2364" s="112" t="s">
        <v>1830</v>
      </c>
      <c r="L2364" s="116">
        <v>-69.7</v>
      </c>
    </row>
    <row r="2365" spans="1:12" hidden="1" outlineLevel="1" collapsed="1" x14ac:dyDescent="0.35">
      <c r="A2365" s="112" t="s">
        <v>1814</v>
      </c>
      <c r="B2365" s="112" t="s">
        <v>905</v>
      </c>
      <c r="C2365" s="112" t="s">
        <v>695</v>
      </c>
      <c r="D2365" s="113">
        <v>10347977</v>
      </c>
      <c r="E2365" s="115">
        <v>43924</v>
      </c>
      <c r="F2365" s="114">
        <v>202101</v>
      </c>
      <c r="G2365" s="112" t="s">
        <v>1091</v>
      </c>
      <c r="H2365" s="112" t="s">
        <v>1015</v>
      </c>
      <c r="I2365" s="112" t="s">
        <v>749</v>
      </c>
      <c r="J2365" s="112" t="s">
        <v>1822</v>
      </c>
      <c r="K2365" s="112" t="s">
        <v>2390</v>
      </c>
      <c r="L2365" s="116">
        <v>-142</v>
      </c>
    </row>
    <row r="2366" spans="1:12" hidden="1" outlineLevel="1" collapsed="1" x14ac:dyDescent="0.35">
      <c r="A2366" s="112" t="s">
        <v>1814</v>
      </c>
      <c r="B2366" s="112" t="s">
        <v>906</v>
      </c>
      <c r="C2366" s="112" t="s">
        <v>1095</v>
      </c>
      <c r="D2366" s="113">
        <v>10348451</v>
      </c>
      <c r="E2366" s="115">
        <v>43949</v>
      </c>
      <c r="F2366" s="114">
        <v>202101</v>
      </c>
      <c r="G2366" s="112" t="s">
        <v>1091</v>
      </c>
      <c r="H2366" s="112" t="s">
        <v>1015</v>
      </c>
      <c r="I2366" s="112" t="s">
        <v>1101</v>
      </c>
      <c r="J2366" s="112" t="s">
        <v>1852</v>
      </c>
      <c r="K2366" s="112" t="s">
        <v>1098</v>
      </c>
      <c r="L2366" s="116">
        <v>549.4</v>
      </c>
    </row>
    <row r="2367" spans="1:12" hidden="1" outlineLevel="1" collapsed="1" x14ac:dyDescent="0.35">
      <c r="A2367" s="112" t="s">
        <v>1814</v>
      </c>
      <c r="B2367" s="112" t="s">
        <v>905</v>
      </c>
      <c r="C2367" s="112" t="s">
        <v>1095</v>
      </c>
      <c r="D2367" s="113">
        <v>10348451</v>
      </c>
      <c r="E2367" s="115">
        <v>43949</v>
      </c>
      <c r="F2367" s="114">
        <v>202101</v>
      </c>
      <c r="G2367" s="112" t="s">
        <v>1091</v>
      </c>
      <c r="H2367" s="112" t="s">
        <v>1015</v>
      </c>
      <c r="I2367" s="112" t="s">
        <v>1096</v>
      </c>
      <c r="J2367" s="112" t="s">
        <v>1839</v>
      </c>
      <c r="K2367" s="112" t="s">
        <v>1098</v>
      </c>
      <c r="L2367" s="116">
        <v>366.99</v>
      </c>
    </row>
    <row r="2368" spans="1:12" hidden="1" outlineLevel="1" collapsed="1" x14ac:dyDescent="0.35">
      <c r="A2368" s="112" t="s">
        <v>1814</v>
      </c>
      <c r="B2368" s="112" t="s">
        <v>905</v>
      </c>
      <c r="C2368" s="112" t="s">
        <v>1219</v>
      </c>
      <c r="D2368" s="113">
        <v>46307221</v>
      </c>
      <c r="E2368" s="115">
        <v>43938</v>
      </c>
      <c r="F2368" s="114">
        <v>202101</v>
      </c>
      <c r="G2368" s="112" t="s">
        <v>1091</v>
      </c>
      <c r="H2368" s="112" t="s">
        <v>1015</v>
      </c>
      <c r="I2368" s="112" t="s">
        <v>1952</v>
      </c>
      <c r="J2368" s="112" t="s">
        <v>1971</v>
      </c>
      <c r="K2368" s="112" t="s">
        <v>2391</v>
      </c>
      <c r="L2368" s="116">
        <v>90.65</v>
      </c>
    </row>
    <row r="2369" spans="1:12" hidden="1" outlineLevel="1" collapsed="1" x14ac:dyDescent="0.35">
      <c r="A2369" s="112" t="s">
        <v>1814</v>
      </c>
      <c r="B2369" s="112" t="s">
        <v>905</v>
      </c>
      <c r="C2369" s="112" t="s">
        <v>1219</v>
      </c>
      <c r="D2369" s="113">
        <v>46307222</v>
      </c>
      <c r="E2369" s="115">
        <v>43938</v>
      </c>
      <c r="F2369" s="114">
        <v>202101</v>
      </c>
      <c r="G2369" s="112" t="s">
        <v>1091</v>
      </c>
      <c r="H2369" s="112" t="s">
        <v>1015</v>
      </c>
      <c r="I2369" s="112" t="s">
        <v>1952</v>
      </c>
      <c r="J2369" s="112" t="s">
        <v>1971</v>
      </c>
      <c r="K2369" s="112" t="s">
        <v>2392</v>
      </c>
      <c r="L2369" s="116">
        <v>189.68</v>
      </c>
    </row>
    <row r="2370" spans="1:12" hidden="1" outlineLevel="1" collapsed="1" x14ac:dyDescent="0.35">
      <c r="A2370" s="112" t="s">
        <v>1814</v>
      </c>
      <c r="B2370" s="112" t="s">
        <v>905</v>
      </c>
      <c r="C2370" s="112" t="s">
        <v>1591</v>
      </c>
      <c r="D2370" s="113">
        <v>41556279</v>
      </c>
      <c r="E2370" s="115">
        <v>43938</v>
      </c>
      <c r="F2370" s="114">
        <v>202101</v>
      </c>
      <c r="G2370" s="112" t="s">
        <v>1091</v>
      </c>
      <c r="H2370" s="112" t="s">
        <v>1015</v>
      </c>
      <c r="I2370" s="112" t="s">
        <v>1952</v>
      </c>
      <c r="J2370" s="112" t="s">
        <v>1971</v>
      </c>
      <c r="K2370" s="112" t="s">
        <v>2393</v>
      </c>
      <c r="L2370" s="116">
        <v>-189.68</v>
      </c>
    </row>
    <row r="2371" spans="1:12" hidden="1" outlineLevel="1" collapsed="1" x14ac:dyDescent="0.35">
      <c r="A2371" s="112" t="s">
        <v>1814</v>
      </c>
      <c r="B2371" s="112" t="s">
        <v>905</v>
      </c>
      <c r="C2371" s="112" t="s">
        <v>695</v>
      </c>
      <c r="D2371" s="113">
        <v>10347977</v>
      </c>
      <c r="E2371" s="115">
        <v>43924</v>
      </c>
      <c r="F2371" s="114">
        <v>202101</v>
      </c>
      <c r="G2371" s="112" t="s">
        <v>1091</v>
      </c>
      <c r="H2371" s="112" t="s">
        <v>1015</v>
      </c>
      <c r="I2371" s="112" t="s">
        <v>751</v>
      </c>
      <c r="J2371" s="112" t="s">
        <v>1822</v>
      </c>
      <c r="K2371" s="112" t="s">
        <v>2394</v>
      </c>
      <c r="L2371" s="116">
        <v>-257</v>
      </c>
    </row>
    <row r="2372" spans="1:12" hidden="1" outlineLevel="1" collapsed="1" x14ac:dyDescent="0.35">
      <c r="A2372" s="112" t="s">
        <v>1814</v>
      </c>
      <c r="B2372" s="112" t="s">
        <v>905</v>
      </c>
      <c r="C2372" s="112" t="s">
        <v>1219</v>
      </c>
      <c r="D2372" s="113">
        <v>46307223</v>
      </c>
      <c r="E2372" s="115">
        <v>43936</v>
      </c>
      <c r="F2372" s="114">
        <v>202101</v>
      </c>
      <c r="G2372" s="112" t="s">
        <v>1091</v>
      </c>
      <c r="H2372" s="112" t="s">
        <v>1015</v>
      </c>
      <c r="I2372" s="112" t="s">
        <v>1952</v>
      </c>
      <c r="J2372" s="112" t="s">
        <v>1971</v>
      </c>
      <c r="K2372" s="112" t="s">
        <v>2177</v>
      </c>
      <c r="L2372" s="116">
        <v>83.92</v>
      </c>
    </row>
    <row r="2373" spans="1:12" hidden="1" outlineLevel="1" collapsed="1" x14ac:dyDescent="0.35">
      <c r="A2373" s="112" t="s">
        <v>1814</v>
      </c>
      <c r="B2373" s="112" t="s">
        <v>905</v>
      </c>
      <c r="C2373" s="112" t="s">
        <v>1219</v>
      </c>
      <c r="D2373" s="113">
        <v>46307224</v>
      </c>
      <c r="E2373" s="115">
        <v>43936</v>
      </c>
      <c r="F2373" s="114">
        <v>202101</v>
      </c>
      <c r="G2373" s="112" t="s">
        <v>1091</v>
      </c>
      <c r="H2373" s="112" t="s">
        <v>1015</v>
      </c>
      <c r="I2373" s="112" t="s">
        <v>1952</v>
      </c>
      <c r="J2373" s="112" t="s">
        <v>1971</v>
      </c>
      <c r="K2373" s="112" t="s">
        <v>2177</v>
      </c>
      <c r="L2373" s="116">
        <v>83.92</v>
      </c>
    </row>
    <row r="2374" spans="1:12" hidden="1" outlineLevel="1" collapsed="1" x14ac:dyDescent="0.35">
      <c r="A2374" s="112" t="s">
        <v>1814</v>
      </c>
      <c r="B2374" s="112" t="s">
        <v>905</v>
      </c>
      <c r="C2374" s="112" t="s">
        <v>1219</v>
      </c>
      <c r="D2374" s="113">
        <v>46307225</v>
      </c>
      <c r="E2374" s="115">
        <v>43936</v>
      </c>
      <c r="F2374" s="114">
        <v>202101</v>
      </c>
      <c r="G2374" s="112" t="s">
        <v>1091</v>
      </c>
      <c r="H2374" s="112" t="s">
        <v>1015</v>
      </c>
      <c r="I2374" s="112" t="s">
        <v>1952</v>
      </c>
      <c r="J2374" s="112" t="s">
        <v>1971</v>
      </c>
      <c r="K2374" s="112" t="s">
        <v>2177</v>
      </c>
      <c r="L2374" s="116">
        <v>50.84</v>
      </c>
    </row>
    <row r="2375" spans="1:12" hidden="1" outlineLevel="1" collapsed="1" x14ac:dyDescent="0.35">
      <c r="A2375" s="112" t="s">
        <v>1814</v>
      </c>
      <c r="B2375" s="112" t="s">
        <v>905</v>
      </c>
      <c r="C2375" s="112" t="s">
        <v>1219</v>
      </c>
      <c r="D2375" s="113">
        <v>46307226</v>
      </c>
      <c r="E2375" s="115">
        <v>43936</v>
      </c>
      <c r="F2375" s="114">
        <v>202101</v>
      </c>
      <c r="G2375" s="112" t="s">
        <v>1091</v>
      </c>
      <c r="H2375" s="112" t="s">
        <v>1015</v>
      </c>
      <c r="I2375" s="112" t="s">
        <v>1952</v>
      </c>
      <c r="J2375" s="112" t="s">
        <v>1971</v>
      </c>
      <c r="K2375" s="112" t="s">
        <v>2177</v>
      </c>
      <c r="L2375" s="116">
        <v>94.84</v>
      </c>
    </row>
    <row r="2376" spans="1:12" hidden="1" outlineLevel="1" collapsed="1" x14ac:dyDescent="0.35">
      <c r="A2376" s="112" t="s">
        <v>1814</v>
      </c>
      <c r="B2376" s="112" t="s">
        <v>905</v>
      </c>
      <c r="C2376" s="112" t="s">
        <v>1219</v>
      </c>
      <c r="D2376" s="113">
        <v>46307227</v>
      </c>
      <c r="E2376" s="115">
        <v>43936</v>
      </c>
      <c r="F2376" s="114">
        <v>202101</v>
      </c>
      <c r="G2376" s="112" t="s">
        <v>1091</v>
      </c>
      <c r="H2376" s="112" t="s">
        <v>1015</v>
      </c>
      <c r="I2376" s="112" t="s">
        <v>1952</v>
      </c>
      <c r="J2376" s="112" t="s">
        <v>1971</v>
      </c>
      <c r="K2376" s="112" t="s">
        <v>2177</v>
      </c>
      <c r="L2376" s="116">
        <v>83.92</v>
      </c>
    </row>
    <row r="2377" spans="1:12" hidden="1" outlineLevel="1" collapsed="1" x14ac:dyDescent="0.35">
      <c r="A2377" s="112" t="s">
        <v>1814</v>
      </c>
      <c r="B2377" s="112" t="s">
        <v>905</v>
      </c>
      <c r="C2377" s="112" t="s">
        <v>1095</v>
      </c>
      <c r="D2377" s="113">
        <v>10348451</v>
      </c>
      <c r="E2377" s="115">
        <v>43949</v>
      </c>
      <c r="F2377" s="114">
        <v>202101</v>
      </c>
      <c r="G2377" s="112" t="s">
        <v>1091</v>
      </c>
      <c r="H2377" s="112" t="s">
        <v>1015</v>
      </c>
      <c r="I2377" s="112" t="s">
        <v>1101</v>
      </c>
      <c r="J2377" s="112" t="s">
        <v>1827</v>
      </c>
      <c r="K2377" s="112" t="s">
        <v>1098</v>
      </c>
      <c r="L2377" s="116">
        <v>549.4</v>
      </c>
    </row>
    <row r="2378" spans="1:12" hidden="1" outlineLevel="1" collapsed="1" x14ac:dyDescent="0.35">
      <c r="A2378" s="112" t="s">
        <v>1814</v>
      </c>
      <c r="B2378" s="112" t="s">
        <v>904</v>
      </c>
      <c r="C2378" s="112" t="s">
        <v>1095</v>
      </c>
      <c r="D2378" s="113">
        <v>10348451</v>
      </c>
      <c r="E2378" s="115">
        <v>43949</v>
      </c>
      <c r="F2378" s="114">
        <v>202101</v>
      </c>
      <c r="G2378" s="112" t="s">
        <v>1091</v>
      </c>
      <c r="H2378" s="112" t="s">
        <v>1015</v>
      </c>
      <c r="I2378" s="112" t="s">
        <v>1101</v>
      </c>
      <c r="J2378" s="112" t="s">
        <v>1838</v>
      </c>
      <c r="K2378" s="112" t="s">
        <v>1098</v>
      </c>
      <c r="L2378" s="116">
        <v>439.83</v>
      </c>
    </row>
    <row r="2379" spans="1:12" hidden="1" outlineLevel="1" collapsed="1" x14ac:dyDescent="0.35">
      <c r="A2379" s="112" t="s">
        <v>1814</v>
      </c>
      <c r="B2379" s="112" t="s">
        <v>905</v>
      </c>
      <c r="C2379" s="112" t="s">
        <v>1219</v>
      </c>
      <c r="D2379" s="113">
        <v>46307228</v>
      </c>
      <c r="E2379" s="115">
        <v>43936</v>
      </c>
      <c r="F2379" s="114">
        <v>202101</v>
      </c>
      <c r="G2379" s="112" t="s">
        <v>1091</v>
      </c>
      <c r="H2379" s="112" t="s">
        <v>1015</v>
      </c>
      <c r="I2379" s="112" t="s">
        <v>1952</v>
      </c>
      <c r="J2379" s="112" t="s">
        <v>1971</v>
      </c>
      <c r="K2379" s="112" t="s">
        <v>2177</v>
      </c>
      <c r="L2379" s="116">
        <v>83.92</v>
      </c>
    </row>
    <row r="2380" spans="1:12" hidden="1" outlineLevel="1" collapsed="1" x14ac:dyDescent="0.35">
      <c r="A2380" s="112" t="s">
        <v>1814</v>
      </c>
      <c r="B2380" s="112" t="s">
        <v>905</v>
      </c>
      <c r="C2380" s="112" t="s">
        <v>1095</v>
      </c>
      <c r="D2380" s="113">
        <v>10348451</v>
      </c>
      <c r="E2380" s="115">
        <v>43949</v>
      </c>
      <c r="F2380" s="114">
        <v>202101</v>
      </c>
      <c r="G2380" s="112" t="s">
        <v>1091</v>
      </c>
      <c r="H2380" s="112" t="s">
        <v>1015</v>
      </c>
      <c r="I2380" s="112" t="s">
        <v>1096</v>
      </c>
      <c r="J2380" s="112" t="s">
        <v>1839</v>
      </c>
      <c r="K2380" s="112" t="s">
        <v>1098</v>
      </c>
      <c r="L2380" s="116">
        <v>160.16999999999999</v>
      </c>
    </row>
    <row r="2381" spans="1:12" hidden="1" outlineLevel="1" collapsed="1" x14ac:dyDescent="0.35">
      <c r="A2381" s="112" t="s">
        <v>1814</v>
      </c>
      <c r="B2381" s="112" t="s">
        <v>906</v>
      </c>
      <c r="C2381" s="112" t="s">
        <v>1095</v>
      </c>
      <c r="D2381" s="113">
        <v>10348451</v>
      </c>
      <c r="E2381" s="115">
        <v>43949</v>
      </c>
      <c r="F2381" s="114">
        <v>202101</v>
      </c>
      <c r="G2381" s="112" t="s">
        <v>1091</v>
      </c>
      <c r="H2381" s="112" t="s">
        <v>1015</v>
      </c>
      <c r="I2381" s="112" t="s">
        <v>1101</v>
      </c>
      <c r="J2381" s="112" t="s">
        <v>1852</v>
      </c>
      <c r="K2381" s="112" t="s">
        <v>1098</v>
      </c>
      <c r="L2381" s="116">
        <v>437.72</v>
      </c>
    </row>
    <row r="2382" spans="1:12" hidden="1" outlineLevel="1" collapsed="1" x14ac:dyDescent="0.35">
      <c r="A2382" s="112" t="s">
        <v>1814</v>
      </c>
      <c r="B2382" s="112" t="s">
        <v>905</v>
      </c>
      <c r="C2382" s="112" t="s">
        <v>1219</v>
      </c>
      <c r="D2382" s="113">
        <v>46307229</v>
      </c>
      <c r="E2382" s="115">
        <v>43936</v>
      </c>
      <c r="F2382" s="114">
        <v>202101</v>
      </c>
      <c r="G2382" s="112" t="s">
        <v>1091</v>
      </c>
      <c r="H2382" s="112" t="s">
        <v>1015</v>
      </c>
      <c r="I2382" s="112" t="s">
        <v>1952</v>
      </c>
      <c r="J2382" s="112" t="s">
        <v>1971</v>
      </c>
      <c r="K2382" s="112" t="s">
        <v>2177</v>
      </c>
      <c r="L2382" s="116">
        <v>72.52</v>
      </c>
    </row>
    <row r="2383" spans="1:12" hidden="1" outlineLevel="1" collapsed="1" x14ac:dyDescent="0.35">
      <c r="A2383" s="112" t="s">
        <v>1814</v>
      </c>
      <c r="B2383" s="112" t="s">
        <v>905</v>
      </c>
      <c r="C2383" s="112" t="s">
        <v>1219</v>
      </c>
      <c r="D2383" s="113">
        <v>46307230</v>
      </c>
      <c r="E2383" s="115">
        <v>43936</v>
      </c>
      <c r="F2383" s="114">
        <v>202101</v>
      </c>
      <c r="G2383" s="112" t="s">
        <v>1091</v>
      </c>
      <c r="H2383" s="112" t="s">
        <v>1015</v>
      </c>
      <c r="I2383" s="112" t="s">
        <v>1952</v>
      </c>
      <c r="J2383" s="112" t="s">
        <v>1971</v>
      </c>
      <c r="K2383" s="112" t="s">
        <v>2177</v>
      </c>
      <c r="L2383" s="116">
        <v>83.92</v>
      </c>
    </row>
    <row r="2384" spans="1:12" hidden="1" outlineLevel="1" collapsed="1" x14ac:dyDescent="0.35">
      <c r="A2384" s="112" t="s">
        <v>1814</v>
      </c>
      <c r="B2384" s="112" t="s">
        <v>905</v>
      </c>
      <c r="C2384" s="112" t="s">
        <v>1095</v>
      </c>
      <c r="D2384" s="113">
        <v>10348451</v>
      </c>
      <c r="E2384" s="115">
        <v>43949</v>
      </c>
      <c r="F2384" s="114">
        <v>202101</v>
      </c>
      <c r="G2384" s="112" t="s">
        <v>1091</v>
      </c>
      <c r="H2384" s="112" t="s">
        <v>1015</v>
      </c>
      <c r="I2384" s="112" t="s">
        <v>1096</v>
      </c>
      <c r="J2384" s="112" t="s">
        <v>1827</v>
      </c>
      <c r="K2384" s="112" t="s">
        <v>1098</v>
      </c>
      <c r="L2384" s="116">
        <v>366.99</v>
      </c>
    </row>
    <row r="2385" spans="1:12" hidden="1" outlineLevel="1" collapsed="1" x14ac:dyDescent="0.35">
      <c r="A2385" s="112" t="s">
        <v>1814</v>
      </c>
      <c r="B2385" s="112" t="s">
        <v>905</v>
      </c>
      <c r="C2385" s="112" t="s">
        <v>695</v>
      </c>
      <c r="D2385" s="113">
        <v>10347977</v>
      </c>
      <c r="E2385" s="115">
        <v>43924</v>
      </c>
      <c r="F2385" s="114">
        <v>202101</v>
      </c>
      <c r="G2385" s="112" t="s">
        <v>1091</v>
      </c>
      <c r="H2385" s="112" t="s">
        <v>1015</v>
      </c>
      <c r="I2385" s="112" t="s">
        <v>749</v>
      </c>
      <c r="J2385" s="112" t="s">
        <v>1822</v>
      </c>
      <c r="K2385" s="112" t="s">
        <v>2395</v>
      </c>
      <c r="L2385" s="116">
        <v>-31</v>
      </c>
    </row>
    <row r="2386" spans="1:12" hidden="1" outlineLevel="1" collapsed="1" x14ac:dyDescent="0.35">
      <c r="A2386" s="112" t="s">
        <v>1814</v>
      </c>
      <c r="B2386" s="112" t="s">
        <v>906</v>
      </c>
      <c r="C2386" s="112" t="s">
        <v>695</v>
      </c>
      <c r="D2386" s="113">
        <v>10347956</v>
      </c>
      <c r="E2386" s="115">
        <v>43923</v>
      </c>
      <c r="F2386" s="114">
        <v>202101</v>
      </c>
      <c r="G2386" s="112" t="s">
        <v>1091</v>
      </c>
      <c r="H2386" s="112" t="s">
        <v>1015</v>
      </c>
      <c r="I2386" s="112" t="s">
        <v>1873</v>
      </c>
      <c r="J2386" s="112" t="s">
        <v>1815</v>
      </c>
      <c r="K2386" s="112" t="s">
        <v>1110</v>
      </c>
      <c r="L2386" s="116">
        <v>-49.29</v>
      </c>
    </row>
    <row r="2387" spans="1:12" hidden="1" outlineLevel="1" collapsed="1" x14ac:dyDescent="0.35">
      <c r="A2387" s="112" t="s">
        <v>1814</v>
      </c>
      <c r="B2387" s="112" t="s">
        <v>905</v>
      </c>
      <c r="C2387" s="112" t="s">
        <v>1219</v>
      </c>
      <c r="D2387" s="113">
        <v>46307231</v>
      </c>
      <c r="E2387" s="115">
        <v>43936</v>
      </c>
      <c r="F2387" s="114">
        <v>202101</v>
      </c>
      <c r="G2387" s="112" t="s">
        <v>1091</v>
      </c>
      <c r="H2387" s="112" t="s">
        <v>1015</v>
      </c>
      <c r="I2387" s="112" t="s">
        <v>1952</v>
      </c>
      <c r="J2387" s="112" t="s">
        <v>1971</v>
      </c>
      <c r="K2387" s="112" t="s">
        <v>2177</v>
      </c>
      <c r="L2387" s="116">
        <v>83.92</v>
      </c>
    </row>
    <row r="2388" spans="1:12" hidden="1" outlineLevel="1" collapsed="1" x14ac:dyDescent="0.35">
      <c r="A2388" s="112" t="s">
        <v>1814</v>
      </c>
      <c r="B2388" s="112" t="s">
        <v>905</v>
      </c>
      <c r="C2388" s="112" t="s">
        <v>1219</v>
      </c>
      <c r="D2388" s="113">
        <v>46307232</v>
      </c>
      <c r="E2388" s="115">
        <v>43936</v>
      </c>
      <c r="F2388" s="114">
        <v>202101</v>
      </c>
      <c r="G2388" s="112" t="s">
        <v>1091</v>
      </c>
      <c r="H2388" s="112" t="s">
        <v>1015</v>
      </c>
      <c r="I2388" s="112" t="s">
        <v>1952</v>
      </c>
      <c r="J2388" s="112" t="s">
        <v>1971</v>
      </c>
      <c r="K2388" s="112" t="s">
        <v>2177</v>
      </c>
      <c r="L2388" s="116">
        <v>83.92</v>
      </c>
    </row>
    <row r="2389" spans="1:12" hidden="1" outlineLevel="1" collapsed="1" x14ac:dyDescent="0.35">
      <c r="A2389" s="112" t="s">
        <v>1814</v>
      </c>
      <c r="B2389" s="112" t="s">
        <v>905</v>
      </c>
      <c r="C2389" s="112" t="s">
        <v>1219</v>
      </c>
      <c r="D2389" s="113">
        <v>46307233</v>
      </c>
      <c r="E2389" s="115">
        <v>43936</v>
      </c>
      <c r="F2389" s="114">
        <v>202101</v>
      </c>
      <c r="G2389" s="112" t="s">
        <v>1091</v>
      </c>
      <c r="H2389" s="112" t="s">
        <v>1015</v>
      </c>
      <c r="I2389" s="112" t="s">
        <v>1952</v>
      </c>
      <c r="J2389" s="112" t="s">
        <v>1971</v>
      </c>
      <c r="K2389" s="112" t="s">
        <v>2177</v>
      </c>
      <c r="L2389" s="116">
        <v>83.92</v>
      </c>
    </row>
    <row r="2390" spans="1:12" hidden="1" outlineLevel="1" collapsed="1" x14ac:dyDescent="0.35">
      <c r="A2390" s="112" t="s">
        <v>1814</v>
      </c>
      <c r="B2390" s="112" t="s">
        <v>905</v>
      </c>
      <c r="C2390" s="112" t="s">
        <v>1219</v>
      </c>
      <c r="D2390" s="113">
        <v>46307234</v>
      </c>
      <c r="E2390" s="115">
        <v>43936</v>
      </c>
      <c r="F2390" s="114">
        <v>202101</v>
      </c>
      <c r="G2390" s="112" t="s">
        <v>1091</v>
      </c>
      <c r="H2390" s="112" t="s">
        <v>1015</v>
      </c>
      <c r="I2390" s="112" t="s">
        <v>1952</v>
      </c>
      <c r="J2390" s="112" t="s">
        <v>1971</v>
      </c>
      <c r="K2390" s="112" t="s">
        <v>2177</v>
      </c>
      <c r="L2390" s="116">
        <v>94.84</v>
      </c>
    </row>
    <row r="2391" spans="1:12" hidden="1" outlineLevel="1" collapsed="1" x14ac:dyDescent="0.35">
      <c r="A2391" s="112" t="s">
        <v>1814</v>
      </c>
      <c r="B2391" s="112" t="s">
        <v>905</v>
      </c>
      <c r="C2391" s="112" t="s">
        <v>1219</v>
      </c>
      <c r="D2391" s="113">
        <v>46307235</v>
      </c>
      <c r="E2391" s="115">
        <v>43936</v>
      </c>
      <c r="F2391" s="114">
        <v>202101</v>
      </c>
      <c r="G2391" s="112" t="s">
        <v>1091</v>
      </c>
      <c r="H2391" s="112" t="s">
        <v>1015</v>
      </c>
      <c r="I2391" s="112" t="s">
        <v>1952</v>
      </c>
      <c r="J2391" s="112" t="s">
        <v>1971</v>
      </c>
      <c r="K2391" s="112" t="s">
        <v>2177</v>
      </c>
      <c r="L2391" s="116">
        <v>83.92</v>
      </c>
    </row>
    <row r="2392" spans="1:12" hidden="1" outlineLevel="1" collapsed="1" x14ac:dyDescent="0.35">
      <c r="A2392" s="112" t="s">
        <v>1814</v>
      </c>
      <c r="B2392" s="112" t="s">
        <v>905</v>
      </c>
      <c r="C2392" s="112" t="s">
        <v>1219</v>
      </c>
      <c r="D2392" s="113">
        <v>46307236</v>
      </c>
      <c r="E2392" s="115">
        <v>43936</v>
      </c>
      <c r="F2392" s="114">
        <v>202101</v>
      </c>
      <c r="G2392" s="112" t="s">
        <v>1091</v>
      </c>
      <c r="H2392" s="112" t="s">
        <v>1015</v>
      </c>
      <c r="I2392" s="112" t="s">
        <v>1952</v>
      </c>
      <c r="J2392" s="112" t="s">
        <v>1971</v>
      </c>
      <c r="K2392" s="112" t="s">
        <v>2177</v>
      </c>
      <c r="L2392" s="116">
        <v>83.92</v>
      </c>
    </row>
    <row r="2393" spans="1:12" hidden="1" outlineLevel="1" collapsed="1" x14ac:dyDescent="0.35">
      <c r="A2393" s="112" t="s">
        <v>1814</v>
      </c>
      <c r="B2393" s="112" t="s">
        <v>905</v>
      </c>
      <c r="C2393" s="112" t="s">
        <v>1219</v>
      </c>
      <c r="D2393" s="113">
        <v>46307237</v>
      </c>
      <c r="E2393" s="115">
        <v>43936</v>
      </c>
      <c r="F2393" s="114">
        <v>202101</v>
      </c>
      <c r="G2393" s="112" t="s">
        <v>1091</v>
      </c>
      <c r="H2393" s="112" t="s">
        <v>1015</v>
      </c>
      <c r="I2393" s="112" t="s">
        <v>1952</v>
      </c>
      <c r="J2393" s="112" t="s">
        <v>1971</v>
      </c>
      <c r="K2393" s="112" t="s">
        <v>2177</v>
      </c>
      <c r="L2393" s="116">
        <v>94.84</v>
      </c>
    </row>
    <row r="2394" spans="1:12" hidden="1" outlineLevel="1" collapsed="1" x14ac:dyDescent="0.35">
      <c r="A2394" s="112" t="s">
        <v>1814</v>
      </c>
      <c r="B2394" s="112" t="s">
        <v>905</v>
      </c>
      <c r="C2394" s="112" t="s">
        <v>1219</v>
      </c>
      <c r="D2394" s="113">
        <v>46307238</v>
      </c>
      <c r="E2394" s="115">
        <v>43936</v>
      </c>
      <c r="F2394" s="114">
        <v>202101</v>
      </c>
      <c r="G2394" s="112" t="s">
        <v>1091</v>
      </c>
      <c r="H2394" s="112" t="s">
        <v>1015</v>
      </c>
      <c r="I2394" s="112" t="s">
        <v>1952</v>
      </c>
      <c r="J2394" s="112" t="s">
        <v>1971</v>
      </c>
      <c r="K2394" s="112" t="s">
        <v>2177</v>
      </c>
      <c r="L2394" s="116">
        <v>83.92</v>
      </c>
    </row>
    <row r="2395" spans="1:12" hidden="1" outlineLevel="1" collapsed="1" x14ac:dyDescent="0.35">
      <c r="A2395" s="112" t="s">
        <v>1814</v>
      </c>
      <c r="B2395" s="112" t="s">
        <v>905</v>
      </c>
      <c r="C2395" s="112" t="s">
        <v>1219</v>
      </c>
      <c r="D2395" s="113">
        <v>46307239</v>
      </c>
      <c r="E2395" s="115">
        <v>43936</v>
      </c>
      <c r="F2395" s="114">
        <v>202101</v>
      </c>
      <c r="G2395" s="112" t="s">
        <v>1091</v>
      </c>
      <c r="H2395" s="112" t="s">
        <v>1015</v>
      </c>
      <c r="I2395" s="112" t="s">
        <v>1952</v>
      </c>
      <c r="J2395" s="112" t="s">
        <v>1971</v>
      </c>
      <c r="K2395" s="112" t="s">
        <v>2177</v>
      </c>
      <c r="L2395" s="116">
        <v>94.84</v>
      </c>
    </row>
    <row r="2396" spans="1:12" hidden="1" outlineLevel="1" collapsed="1" x14ac:dyDescent="0.35">
      <c r="A2396" s="112" t="s">
        <v>1814</v>
      </c>
      <c r="B2396" s="112" t="s">
        <v>905</v>
      </c>
      <c r="C2396" s="112" t="s">
        <v>1219</v>
      </c>
      <c r="D2396" s="113">
        <v>46307240</v>
      </c>
      <c r="E2396" s="115">
        <v>43936</v>
      </c>
      <c r="F2396" s="114">
        <v>202101</v>
      </c>
      <c r="G2396" s="112" t="s">
        <v>1091</v>
      </c>
      <c r="H2396" s="112" t="s">
        <v>1015</v>
      </c>
      <c r="I2396" s="112" t="s">
        <v>1952</v>
      </c>
      <c r="J2396" s="112" t="s">
        <v>1971</v>
      </c>
      <c r="K2396" s="112" t="s">
        <v>2177</v>
      </c>
      <c r="L2396" s="116">
        <v>83.92</v>
      </c>
    </row>
    <row r="2397" spans="1:12" hidden="1" outlineLevel="1" collapsed="1" x14ac:dyDescent="0.35">
      <c r="A2397" s="112" t="s">
        <v>1814</v>
      </c>
      <c r="B2397" s="112" t="s">
        <v>905</v>
      </c>
      <c r="C2397" s="112" t="s">
        <v>695</v>
      </c>
      <c r="D2397" s="113">
        <v>10347977</v>
      </c>
      <c r="E2397" s="115">
        <v>43924</v>
      </c>
      <c r="F2397" s="114">
        <v>202101</v>
      </c>
      <c r="G2397" s="112" t="s">
        <v>1091</v>
      </c>
      <c r="H2397" s="112" t="s">
        <v>1015</v>
      </c>
      <c r="I2397" s="112" t="s">
        <v>749</v>
      </c>
      <c r="J2397" s="112" t="s">
        <v>1839</v>
      </c>
      <c r="K2397" s="112" t="s">
        <v>1844</v>
      </c>
      <c r="L2397" s="116">
        <v>-138</v>
      </c>
    </row>
    <row r="2398" spans="1:12" hidden="1" outlineLevel="1" collapsed="1" x14ac:dyDescent="0.35">
      <c r="A2398" s="112" t="s">
        <v>1814</v>
      </c>
      <c r="B2398" s="112" t="s">
        <v>905</v>
      </c>
      <c r="C2398" s="112" t="s">
        <v>1219</v>
      </c>
      <c r="D2398" s="113">
        <v>46307241</v>
      </c>
      <c r="E2398" s="115">
        <v>43936</v>
      </c>
      <c r="F2398" s="114">
        <v>202101</v>
      </c>
      <c r="G2398" s="112" t="s">
        <v>1091</v>
      </c>
      <c r="H2398" s="112" t="s">
        <v>1015</v>
      </c>
      <c r="I2398" s="112" t="s">
        <v>1952</v>
      </c>
      <c r="J2398" s="112" t="s">
        <v>1971</v>
      </c>
      <c r="K2398" s="112" t="s">
        <v>2177</v>
      </c>
      <c r="L2398" s="116">
        <v>83.92</v>
      </c>
    </row>
    <row r="2399" spans="1:12" hidden="1" outlineLevel="1" collapsed="1" x14ac:dyDescent="0.35">
      <c r="A2399" s="112" t="s">
        <v>1814</v>
      </c>
      <c r="B2399" s="112" t="s">
        <v>905</v>
      </c>
      <c r="C2399" s="112" t="s">
        <v>695</v>
      </c>
      <c r="D2399" s="113">
        <v>10347977</v>
      </c>
      <c r="E2399" s="115">
        <v>43924</v>
      </c>
      <c r="F2399" s="114">
        <v>202101</v>
      </c>
      <c r="G2399" s="112" t="s">
        <v>1091</v>
      </c>
      <c r="H2399" s="112" t="s">
        <v>1015</v>
      </c>
      <c r="I2399" s="112" t="s">
        <v>751</v>
      </c>
      <c r="J2399" s="112" t="s">
        <v>1822</v>
      </c>
      <c r="K2399" s="112" t="s">
        <v>2396</v>
      </c>
      <c r="L2399" s="116">
        <v>-83</v>
      </c>
    </row>
    <row r="2400" spans="1:12" hidden="1" outlineLevel="1" collapsed="1" x14ac:dyDescent="0.35">
      <c r="A2400" s="112" t="s">
        <v>1814</v>
      </c>
      <c r="B2400" s="112" t="s">
        <v>905</v>
      </c>
      <c r="C2400" s="112" t="s">
        <v>1219</v>
      </c>
      <c r="D2400" s="113">
        <v>46306785</v>
      </c>
      <c r="E2400" s="115">
        <v>43922</v>
      </c>
      <c r="F2400" s="114">
        <v>202101</v>
      </c>
      <c r="G2400" s="112" t="s">
        <v>1091</v>
      </c>
      <c r="H2400" s="112" t="s">
        <v>1015</v>
      </c>
      <c r="I2400" s="112" t="s">
        <v>1605</v>
      </c>
      <c r="J2400" s="112" t="s">
        <v>1878</v>
      </c>
      <c r="K2400" s="112" t="s">
        <v>2397</v>
      </c>
      <c r="L2400" s="116">
        <v>14425</v>
      </c>
    </row>
    <row r="2401" spans="1:12" hidden="1" outlineLevel="1" collapsed="1" x14ac:dyDescent="0.35">
      <c r="A2401" s="112" t="s">
        <v>1814</v>
      </c>
      <c r="B2401" s="112" t="s">
        <v>906</v>
      </c>
      <c r="C2401" s="112" t="s">
        <v>695</v>
      </c>
      <c r="D2401" s="113">
        <v>10347956</v>
      </c>
      <c r="E2401" s="115">
        <v>43923</v>
      </c>
      <c r="F2401" s="114">
        <v>202101</v>
      </c>
      <c r="G2401" s="112" t="s">
        <v>1091</v>
      </c>
      <c r="H2401" s="112" t="s">
        <v>1015</v>
      </c>
      <c r="I2401" s="112" t="s">
        <v>1873</v>
      </c>
      <c r="J2401" s="112" t="s">
        <v>1815</v>
      </c>
      <c r="K2401" s="112" t="s">
        <v>1110</v>
      </c>
      <c r="L2401" s="116">
        <v>-824.72</v>
      </c>
    </row>
    <row r="2402" spans="1:12" hidden="1" outlineLevel="1" collapsed="1" x14ac:dyDescent="0.35">
      <c r="A2402" s="112" t="s">
        <v>1814</v>
      </c>
      <c r="B2402" s="112" t="s">
        <v>905</v>
      </c>
      <c r="C2402" s="112" t="s">
        <v>695</v>
      </c>
      <c r="D2402" s="113">
        <v>10347977</v>
      </c>
      <c r="E2402" s="115">
        <v>43924</v>
      </c>
      <c r="F2402" s="114">
        <v>202101</v>
      </c>
      <c r="G2402" s="112" t="s">
        <v>1091</v>
      </c>
      <c r="H2402" s="112" t="s">
        <v>1015</v>
      </c>
      <c r="I2402" s="112" t="s">
        <v>751</v>
      </c>
      <c r="J2402" s="112" t="s">
        <v>1822</v>
      </c>
      <c r="K2402" s="112" t="s">
        <v>2398</v>
      </c>
      <c r="L2402" s="116">
        <v>-48</v>
      </c>
    </row>
    <row r="2403" spans="1:12" hidden="1" outlineLevel="1" collapsed="1" x14ac:dyDescent="0.35">
      <c r="A2403" s="112" t="s">
        <v>1814</v>
      </c>
      <c r="B2403" s="112" t="s">
        <v>905</v>
      </c>
      <c r="C2403" s="112" t="s">
        <v>1095</v>
      </c>
      <c r="D2403" s="113">
        <v>10348451</v>
      </c>
      <c r="E2403" s="115">
        <v>43949</v>
      </c>
      <c r="F2403" s="114">
        <v>202101</v>
      </c>
      <c r="G2403" s="112" t="s">
        <v>1091</v>
      </c>
      <c r="H2403" s="112" t="s">
        <v>1015</v>
      </c>
      <c r="I2403" s="112" t="s">
        <v>1101</v>
      </c>
      <c r="J2403" s="112" t="s">
        <v>1839</v>
      </c>
      <c r="K2403" s="112" t="s">
        <v>1098</v>
      </c>
      <c r="L2403" s="116">
        <v>315</v>
      </c>
    </row>
    <row r="2404" spans="1:12" hidden="1" outlineLevel="1" collapsed="1" x14ac:dyDescent="0.35">
      <c r="A2404" s="112" t="s">
        <v>1814</v>
      </c>
      <c r="B2404" s="112" t="s">
        <v>905</v>
      </c>
      <c r="C2404" s="112" t="s">
        <v>1219</v>
      </c>
      <c r="D2404" s="113">
        <v>46306775</v>
      </c>
      <c r="E2404" s="115">
        <v>43922</v>
      </c>
      <c r="F2404" s="114">
        <v>202101</v>
      </c>
      <c r="G2404" s="112" t="s">
        <v>1091</v>
      </c>
      <c r="H2404" s="112" t="s">
        <v>1015</v>
      </c>
      <c r="I2404" s="112" t="s">
        <v>1605</v>
      </c>
      <c r="J2404" s="112" t="s">
        <v>1878</v>
      </c>
      <c r="K2404" s="112" t="s">
        <v>2399</v>
      </c>
      <c r="L2404" s="116">
        <v>6307</v>
      </c>
    </row>
    <row r="2405" spans="1:12" hidden="1" outlineLevel="1" collapsed="1" x14ac:dyDescent="0.35">
      <c r="A2405" s="112" t="s">
        <v>1814</v>
      </c>
      <c r="B2405" s="112" t="s">
        <v>906</v>
      </c>
      <c r="C2405" s="112" t="s">
        <v>695</v>
      </c>
      <c r="D2405" s="113">
        <v>10347956</v>
      </c>
      <c r="E2405" s="115">
        <v>43923</v>
      </c>
      <c r="F2405" s="114">
        <v>202101</v>
      </c>
      <c r="G2405" s="112" t="s">
        <v>1091</v>
      </c>
      <c r="H2405" s="112" t="s">
        <v>1015</v>
      </c>
      <c r="I2405" s="112" t="s">
        <v>1873</v>
      </c>
      <c r="J2405" s="112" t="s">
        <v>1815</v>
      </c>
      <c r="K2405" s="112" t="s">
        <v>1110</v>
      </c>
      <c r="L2405" s="116">
        <v>-678.5</v>
      </c>
    </row>
    <row r="2406" spans="1:12" hidden="1" outlineLevel="1" collapsed="1" x14ac:dyDescent="0.35">
      <c r="A2406" s="112" t="s">
        <v>1814</v>
      </c>
      <c r="B2406" s="112" t="s">
        <v>906</v>
      </c>
      <c r="C2406" s="112" t="s">
        <v>1099</v>
      </c>
      <c r="D2406" s="113">
        <v>1069364</v>
      </c>
      <c r="E2406" s="115">
        <v>43921</v>
      </c>
      <c r="F2406" s="114">
        <v>202101</v>
      </c>
      <c r="G2406" s="112" t="s">
        <v>1091</v>
      </c>
      <c r="H2406" s="112" t="s">
        <v>1015</v>
      </c>
      <c r="I2406" s="112" t="s">
        <v>761</v>
      </c>
      <c r="J2406" s="112" t="s">
        <v>1815</v>
      </c>
      <c r="K2406" s="112" t="s">
        <v>2400</v>
      </c>
      <c r="L2406" s="116">
        <v>1000</v>
      </c>
    </row>
    <row r="2407" spans="1:12" hidden="1" outlineLevel="1" collapsed="1" x14ac:dyDescent="0.35">
      <c r="A2407" s="112" t="s">
        <v>1814</v>
      </c>
      <c r="B2407" s="112" t="s">
        <v>905</v>
      </c>
      <c r="C2407" s="112" t="s">
        <v>695</v>
      </c>
      <c r="D2407" s="113">
        <v>10347977</v>
      </c>
      <c r="E2407" s="115">
        <v>43924</v>
      </c>
      <c r="F2407" s="114">
        <v>202101</v>
      </c>
      <c r="G2407" s="112" t="s">
        <v>1091</v>
      </c>
      <c r="H2407" s="112" t="s">
        <v>1015</v>
      </c>
      <c r="I2407" s="112" t="s">
        <v>749</v>
      </c>
      <c r="J2407" s="112" t="s">
        <v>1822</v>
      </c>
      <c r="K2407" s="112" t="s">
        <v>2401</v>
      </c>
      <c r="L2407" s="116">
        <v>-120</v>
      </c>
    </row>
    <row r="2408" spans="1:12" hidden="1" outlineLevel="1" collapsed="1" x14ac:dyDescent="0.35">
      <c r="A2408" s="112" t="s">
        <v>1814</v>
      </c>
      <c r="B2408" s="112" t="s">
        <v>906</v>
      </c>
      <c r="C2408" s="112" t="s">
        <v>1095</v>
      </c>
      <c r="D2408" s="113">
        <v>10348451</v>
      </c>
      <c r="E2408" s="115">
        <v>43949</v>
      </c>
      <c r="F2408" s="114">
        <v>202101</v>
      </c>
      <c r="G2408" s="112" t="s">
        <v>1091</v>
      </c>
      <c r="H2408" s="112" t="s">
        <v>1015</v>
      </c>
      <c r="I2408" s="112" t="s">
        <v>1116</v>
      </c>
      <c r="J2408" s="112" t="s">
        <v>1852</v>
      </c>
      <c r="K2408" s="112" t="s">
        <v>1098</v>
      </c>
      <c r="L2408" s="116">
        <v>3473.25</v>
      </c>
    </row>
    <row r="2409" spans="1:12" hidden="1" outlineLevel="1" collapsed="1" x14ac:dyDescent="0.35">
      <c r="A2409" s="112" t="s">
        <v>1814</v>
      </c>
      <c r="B2409" s="112" t="s">
        <v>905</v>
      </c>
      <c r="C2409" s="112" t="s">
        <v>695</v>
      </c>
      <c r="D2409" s="113">
        <v>10347977</v>
      </c>
      <c r="E2409" s="115">
        <v>43924</v>
      </c>
      <c r="F2409" s="114">
        <v>202101</v>
      </c>
      <c r="G2409" s="112" t="s">
        <v>1091</v>
      </c>
      <c r="H2409" s="112" t="s">
        <v>1015</v>
      </c>
      <c r="I2409" s="112" t="s">
        <v>749</v>
      </c>
      <c r="J2409" s="112" t="s">
        <v>1822</v>
      </c>
      <c r="K2409" s="112" t="s">
        <v>2402</v>
      </c>
      <c r="L2409" s="116">
        <v>-146</v>
      </c>
    </row>
    <row r="2410" spans="1:12" hidden="1" outlineLevel="1" collapsed="1" x14ac:dyDescent="0.35">
      <c r="A2410" s="112" t="s">
        <v>1814</v>
      </c>
      <c r="B2410" s="112" t="s">
        <v>905</v>
      </c>
      <c r="C2410" s="112" t="s">
        <v>679</v>
      </c>
      <c r="D2410" s="113">
        <v>10348375</v>
      </c>
      <c r="E2410" s="115">
        <v>43942</v>
      </c>
      <c r="F2410" s="114">
        <v>202101</v>
      </c>
      <c r="G2410" s="112" t="s">
        <v>1091</v>
      </c>
      <c r="H2410" s="112" t="s">
        <v>1015</v>
      </c>
      <c r="I2410" s="112" t="s">
        <v>1952</v>
      </c>
      <c r="J2410" s="112" t="s">
        <v>1817</v>
      </c>
      <c r="K2410" s="112" t="s">
        <v>2403</v>
      </c>
      <c r="L2410" s="116">
        <v>138</v>
      </c>
    </row>
    <row r="2411" spans="1:12" hidden="1" outlineLevel="1" collapsed="1" x14ac:dyDescent="0.35">
      <c r="A2411" s="112" t="s">
        <v>1814</v>
      </c>
      <c r="B2411" s="112" t="s">
        <v>905</v>
      </c>
      <c r="C2411" s="112" t="s">
        <v>1095</v>
      </c>
      <c r="D2411" s="113">
        <v>10348451</v>
      </c>
      <c r="E2411" s="115">
        <v>43949</v>
      </c>
      <c r="F2411" s="114">
        <v>202101</v>
      </c>
      <c r="G2411" s="112" t="s">
        <v>1091</v>
      </c>
      <c r="H2411" s="112" t="s">
        <v>1015</v>
      </c>
      <c r="I2411" s="112" t="s">
        <v>1096</v>
      </c>
      <c r="J2411" s="112" t="s">
        <v>1827</v>
      </c>
      <c r="K2411" s="112" t="s">
        <v>1098</v>
      </c>
      <c r="L2411" s="116">
        <v>363.64</v>
      </c>
    </row>
    <row r="2412" spans="1:12" hidden="1" outlineLevel="1" collapsed="1" x14ac:dyDescent="0.35">
      <c r="A2412" s="112" t="s">
        <v>1814</v>
      </c>
      <c r="B2412" s="112" t="s">
        <v>906</v>
      </c>
      <c r="C2412" s="112" t="s">
        <v>695</v>
      </c>
      <c r="D2412" s="113">
        <v>10347956</v>
      </c>
      <c r="E2412" s="115">
        <v>43923</v>
      </c>
      <c r="F2412" s="114">
        <v>202101</v>
      </c>
      <c r="G2412" s="112" t="s">
        <v>1091</v>
      </c>
      <c r="H2412" s="112" t="s">
        <v>1015</v>
      </c>
      <c r="I2412" s="112" t="s">
        <v>813</v>
      </c>
      <c r="J2412" s="112" t="s">
        <v>1815</v>
      </c>
      <c r="K2412" s="112" t="s">
        <v>2268</v>
      </c>
      <c r="L2412" s="116">
        <v>-46.46</v>
      </c>
    </row>
    <row r="2413" spans="1:12" hidden="1" outlineLevel="1" collapsed="1" x14ac:dyDescent="0.35">
      <c r="A2413" s="112" t="s">
        <v>1814</v>
      </c>
      <c r="B2413" s="112" t="s">
        <v>905</v>
      </c>
      <c r="C2413" s="112" t="s">
        <v>695</v>
      </c>
      <c r="D2413" s="113">
        <v>10347977</v>
      </c>
      <c r="E2413" s="115">
        <v>43924</v>
      </c>
      <c r="F2413" s="114">
        <v>202101</v>
      </c>
      <c r="G2413" s="112" t="s">
        <v>1091</v>
      </c>
      <c r="H2413" s="112" t="s">
        <v>1015</v>
      </c>
      <c r="I2413" s="112" t="s">
        <v>757</v>
      </c>
      <c r="J2413" s="112" t="s">
        <v>1822</v>
      </c>
      <c r="K2413" s="112" t="s">
        <v>2404</v>
      </c>
      <c r="L2413" s="116">
        <v>-51</v>
      </c>
    </row>
    <row r="2414" spans="1:12" hidden="1" outlineLevel="1" collapsed="1" x14ac:dyDescent="0.35">
      <c r="A2414" s="112" t="s">
        <v>1814</v>
      </c>
      <c r="B2414" s="112" t="s">
        <v>905</v>
      </c>
      <c r="C2414" s="112" t="s">
        <v>695</v>
      </c>
      <c r="D2414" s="113">
        <v>10347977</v>
      </c>
      <c r="E2414" s="115">
        <v>43924</v>
      </c>
      <c r="F2414" s="114">
        <v>202101</v>
      </c>
      <c r="G2414" s="112" t="s">
        <v>1091</v>
      </c>
      <c r="H2414" s="112" t="s">
        <v>1015</v>
      </c>
      <c r="I2414" s="112" t="s">
        <v>749</v>
      </c>
      <c r="J2414" s="112" t="s">
        <v>1822</v>
      </c>
      <c r="K2414" s="112" t="s">
        <v>2405</v>
      </c>
      <c r="L2414" s="116">
        <v>-21</v>
      </c>
    </row>
    <row r="2415" spans="1:12" hidden="1" outlineLevel="1" collapsed="1" x14ac:dyDescent="0.35">
      <c r="A2415" s="112" t="s">
        <v>1814</v>
      </c>
      <c r="B2415" s="112" t="s">
        <v>905</v>
      </c>
      <c r="C2415" s="112" t="s">
        <v>695</v>
      </c>
      <c r="D2415" s="113">
        <v>10347977</v>
      </c>
      <c r="E2415" s="115">
        <v>43924</v>
      </c>
      <c r="F2415" s="114">
        <v>202101</v>
      </c>
      <c r="G2415" s="112" t="s">
        <v>1091</v>
      </c>
      <c r="H2415" s="112" t="s">
        <v>1015</v>
      </c>
      <c r="I2415" s="112" t="s">
        <v>749</v>
      </c>
      <c r="J2415" s="112" t="s">
        <v>1822</v>
      </c>
      <c r="K2415" s="112" t="s">
        <v>2406</v>
      </c>
      <c r="L2415" s="116">
        <v>-150</v>
      </c>
    </row>
    <row r="2416" spans="1:12" hidden="1" outlineLevel="1" collapsed="1" x14ac:dyDescent="0.35">
      <c r="A2416" s="112" t="s">
        <v>1814</v>
      </c>
      <c r="B2416" s="112" t="s">
        <v>905</v>
      </c>
      <c r="C2416" s="112" t="s">
        <v>695</v>
      </c>
      <c r="D2416" s="113">
        <v>10347977</v>
      </c>
      <c r="E2416" s="115">
        <v>43924</v>
      </c>
      <c r="F2416" s="114">
        <v>202101</v>
      </c>
      <c r="G2416" s="112" t="s">
        <v>1091</v>
      </c>
      <c r="H2416" s="112" t="s">
        <v>1015</v>
      </c>
      <c r="I2416" s="112" t="s">
        <v>757</v>
      </c>
      <c r="J2416" s="112" t="s">
        <v>1822</v>
      </c>
      <c r="K2416" s="112" t="s">
        <v>2407</v>
      </c>
      <c r="L2416" s="116">
        <v>-51</v>
      </c>
    </row>
    <row r="2417" spans="1:12" hidden="1" outlineLevel="1" collapsed="1" x14ac:dyDescent="0.35">
      <c r="A2417" s="112" t="s">
        <v>1814</v>
      </c>
      <c r="B2417" s="112" t="s">
        <v>905</v>
      </c>
      <c r="C2417" s="112" t="s">
        <v>695</v>
      </c>
      <c r="D2417" s="113">
        <v>10347977</v>
      </c>
      <c r="E2417" s="115">
        <v>43924</v>
      </c>
      <c r="F2417" s="114">
        <v>202101</v>
      </c>
      <c r="G2417" s="112" t="s">
        <v>1091</v>
      </c>
      <c r="H2417" s="112" t="s">
        <v>1015</v>
      </c>
      <c r="I2417" s="112" t="s">
        <v>751</v>
      </c>
      <c r="J2417" s="112" t="s">
        <v>1822</v>
      </c>
      <c r="K2417" s="112" t="s">
        <v>2408</v>
      </c>
      <c r="L2417" s="116">
        <v>-56</v>
      </c>
    </row>
    <row r="2418" spans="1:12" hidden="1" outlineLevel="1" collapsed="1" x14ac:dyDescent="0.35">
      <c r="A2418" s="112" t="s">
        <v>1814</v>
      </c>
      <c r="B2418" s="112" t="s">
        <v>905</v>
      </c>
      <c r="C2418" s="112" t="s">
        <v>695</v>
      </c>
      <c r="D2418" s="113">
        <v>10347977</v>
      </c>
      <c r="E2418" s="115">
        <v>43924</v>
      </c>
      <c r="F2418" s="114">
        <v>202101</v>
      </c>
      <c r="G2418" s="112" t="s">
        <v>1091</v>
      </c>
      <c r="H2418" s="112" t="s">
        <v>1015</v>
      </c>
      <c r="I2418" s="112" t="s">
        <v>757</v>
      </c>
      <c r="J2418" s="112" t="s">
        <v>1822</v>
      </c>
      <c r="K2418" s="112" t="s">
        <v>2409</v>
      </c>
      <c r="L2418" s="116">
        <v>-17</v>
      </c>
    </row>
    <row r="2419" spans="1:12" hidden="1" outlineLevel="1" collapsed="1" x14ac:dyDescent="0.35">
      <c r="A2419" s="112" t="s">
        <v>1814</v>
      </c>
      <c r="B2419" s="112" t="s">
        <v>905</v>
      </c>
      <c r="C2419" s="112" t="s">
        <v>695</v>
      </c>
      <c r="D2419" s="113">
        <v>10347977</v>
      </c>
      <c r="E2419" s="115">
        <v>43924</v>
      </c>
      <c r="F2419" s="114">
        <v>202101</v>
      </c>
      <c r="G2419" s="112" t="s">
        <v>1091</v>
      </c>
      <c r="H2419" s="112" t="s">
        <v>1015</v>
      </c>
      <c r="I2419" s="112" t="s">
        <v>749</v>
      </c>
      <c r="J2419" s="112" t="s">
        <v>1822</v>
      </c>
      <c r="K2419" s="112" t="s">
        <v>2410</v>
      </c>
      <c r="L2419" s="116">
        <v>-146</v>
      </c>
    </row>
    <row r="2420" spans="1:12" hidden="1" outlineLevel="1" collapsed="1" x14ac:dyDescent="0.35">
      <c r="A2420" s="112" t="s">
        <v>1814</v>
      </c>
      <c r="B2420" s="112" t="s">
        <v>905</v>
      </c>
      <c r="C2420" s="112" t="s">
        <v>1219</v>
      </c>
      <c r="D2420" s="113">
        <v>46307734</v>
      </c>
      <c r="E2420" s="115">
        <v>43944</v>
      </c>
      <c r="F2420" s="114">
        <v>202101</v>
      </c>
      <c r="G2420" s="112" t="s">
        <v>1091</v>
      </c>
      <c r="H2420" s="112" t="s">
        <v>1015</v>
      </c>
      <c r="I2420" s="112" t="s">
        <v>1952</v>
      </c>
      <c r="J2420" s="112" t="s">
        <v>1971</v>
      </c>
      <c r="K2420" s="112" t="s">
        <v>2411</v>
      </c>
      <c r="L2420" s="116">
        <v>3300</v>
      </c>
    </row>
    <row r="2421" spans="1:12" hidden="1" outlineLevel="1" collapsed="1" x14ac:dyDescent="0.35">
      <c r="A2421" s="112" t="s">
        <v>1814</v>
      </c>
      <c r="B2421" s="112" t="s">
        <v>905</v>
      </c>
      <c r="C2421" s="112" t="s">
        <v>1095</v>
      </c>
      <c r="D2421" s="113">
        <v>10348451</v>
      </c>
      <c r="E2421" s="115">
        <v>43949</v>
      </c>
      <c r="F2421" s="114">
        <v>202101</v>
      </c>
      <c r="G2421" s="112" t="s">
        <v>1091</v>
      </c>
      <c r="H2421" s="112" t="s">
        <v>1015</v>
      </c>
      <c r="I2421" s="112" t="s">
        <v>1101</v>
      </c>
      <c r="J2421" s="112" t="s">
        <v>1827</v>
      </c>
      <c r="K2421" s="112" t="s">
        <v>1098</v>
      </c>
      <c r="L2421" s="116">
        <v>483.07</v>
      </c>
    </row>
    <row r="2422" spans="1:12" hidden="1" outlineLevel="1" collapsed="1" x14ac:dyDescent="0.35">
      <c r="A2422" s="112" t="s">
        <v>1814</v>
      </c>
      <c r="B2422" s="112" t="s">
        <v>905</v>
      </c>
      <c r="C2422" s="112" t="s">
        <v>695</v>
      </c>
      <c r="D2422" s="113">
        <v>10347977</v>
      </c>
      <c r="E2422" s="115">
        <v>43924</v>
      </c>
      <c r="F2422" s="114">
        <v>202101</v>
      </c>
      <c r="G2422" s="112" t="s">
        <v>1091</v>
      </c>
      <c r="H2422" s="112" t="s">
        <v>1015</v>
      </c>
      <c r="I2422" s="112" t="s">
        <v>749</v>
      </c>
      <c r="J2422" s="112" t="s">
        <v>1822</v>
      </c>
      <c r="K2422" s="112" t="s">
        <v>2412</v>
      </c>
      <c r="L2422" s="116">
        <v>-228</v>
      </c>
    </row>
    <row r="2423" spans="1:12" hidden="1" outlineLevel="1" collapsed="1" x14ac:dyDescent="0.35">
      <c r="A2423" s="112" t="s">
        <v>1814</v>
      </c>
      <c r="B2423" s="112" t="s">
        <v>905</v>
      </c>
      <c r="C2423" s="112" t="s">
        <v>695</v>
      </c>
      <c r="D2423" s="113">
        <v>10347977</v>
      </c>
      <c r="E2423" s="115">
        <v>43924</v>
      </c>
      <c r="F2423" s="114">
        <v>202101</v>
      </c>
      <c r="G2423" s="112" t="s">
        <v>1091</v>
      </c>
      <c r="H2423" s="112" t="s">
        <v>1015</v>
      </c>
      <c r="I2423" s="112" t="s">
        <v>751</v>
      </c>
      <c r="J2423" s="112" t="s">
        <v>1822</v>
      </c>
      <c r="K2423" s="112" t="s">
        <v>2413</v>
      </c>
      <c r="L2423" s="116">
        <v>-130</v>
      </c>
    </row>
    <row r="2424" spans="1:12" hidden="1" outlineLevel="1" collapsed="1" x14ac:dyDescent="0.35">
      <c r="A2424" s="112" t="s">
        <v>1814</v>
      </c>
      <c r="B2424" s="112" t="s">
        <v>905</v>
      </c>
      <c r="C2424" s="112" t="s">
        <v>1095</v>
      </c>
      <c r="D2424" s="113">
        <v>10348451</v>
      </c>
      <c r="E2424" s="115">
        <v>43949</v>
      </c>
      <c r="F2424" s="114">
        <v>202101</v>
      </c>
      <c r="G2424" s="112" t="s">
        <v>1091</v>
      </c>
      <c r="H2424" s="112" t="s">
        <v>1015</v>
      </c>
      <c r="I2424" s="112" t="s">
        <v>1096</v>
      </c>
      <c r="J2424" s="112" t="s">
        <v>1827</v>
      </c>
      <c r="K2424" s="112" t="s">
        <v>1098</v>
      </c>
      <c r="L2424" s="116">
        <v>310.49</v>
      </c>
    </row>
    <row r="2425" spans="1:12" hidden="1" outlineLevel="1" collapsed="1" x14ac:dyDescent="0.35">
      <c r="A2425" s="112" t="s">
        <v>1814</v>
      </c>
      <c r="B2425" s="112" t="s">
        <v>904</v>
      </c>
      <c r="C2425" s="112" t="s">
        <v>1095</v>
      </c>
      <c r="D2425" s="113">
        <v>10348451</v>
      </c>
      <c r="E2425" s="115">
        <v>43949</v>
      </c>
      <c r="F2425" s="114">
        <v>202101</v>
      </c>
      <c r="G2425" s="112" t="s">
        <v>1091</v>
      </c>
      <c r="H2425" s="112" t="s">
        <v>1015</v>
      </c>
      <c r="I2425" s="112" t="s">
        <v>1096</v>
      </c>
      <c r="J2425" s="112" t="s">
        <v>1838</v>
      </c>
      <c r="K2425" s="112" t="s">
        <v>1098</v>
      </c>
      <c r="L2425" s="116">
        <v>273.64999999999998</v>
      </c>
    </row>
    <row r="2426" spans="1:12" hidden="1" outlineLevel="1" collapsed="1" x14ac:dyDescent="0.35">
      <c r="A2426" s="112" t="s">
        <v>1814</v>
      </c>
      <c r="B2426" s="112" t="s">
        <v>905</v>
      </c>
      <c r="C2426" s="112" t="s">
        <v>695</v>
      </c>
      <c r="D2426" s="113">
        <v>10347977</v>
      </c>
      <c r="E2426" s="115">
        <v>43924</v>
      </c>
      <c r="F2426" s="114">
        <v>202101</v>
      </c>
      <c r="G2426" s="112" t="s">
        <v>1091</v>
      </c>
      <c r="H2426" s="112" t="s">
        <v>1015</v>
      </c>
      <c r="I2426" s="112" t="s">
        <v>757</v>
      </c>
      <c r="J2426" s="112" t="s">
        <v>1822</v>
      </c>
      <c r="K2426" s="112" t="s">
        <v>2414</v>
      </c>
      <c r="L2426" s="116">
        <v>-109</v>
      </c>
    </row>
    <row r="2427" spans="1:12" hidden="1" outlineLevel="1" collapsed="1" x14ac:dyDescent="0.35">
      <c r="A2427" s="112" t="s">
        <v>1814</v>
      </c>
      <c r="B2427" s="112" t="s">
        <v>905</v>
      </c>
      <c r="C2427" s="112" t="s">
        <v>695</v>
      </c>
      <c r="D2427" s="113">
        <v>10347977</v>
      </c>
      <c r="E2427" s="115">
        <v>43924</v>
      </c>
      <c r="F2427" s="114">
        <v>202101</v>
      </c>
      <c r="G2427" s="112" t="s">
        <v>1091</v>
      </c>
      <c r="H2427" s="112" t="s">
        <v>1015</v>
      </c>
      <c r="I2427" s="112" t="s">
        <v>757</v>
      </c>
      <c r="J2427" s="112" t="s">
        <v>1822</v>
      </c>
      <c r="K2427" s="112" t="s">
        <v>2415</v>
      </c>
      <c r="L2427" s="116">
        <v>-30</v>
      </c>
    </row>
    <row r="2428" spans="1:12" hidden="1" outlineLevel="1" collapsed="1" x14ac:dyDescent="0.35">
      <c r="A2428" s="112" t="s">
        <v>1814</v>
      </c>
      <c r="B2428" s="112" t="s">
        <v>905</v>
      </c>
      <c r="C2428" s="112" t="s">
        <v>1219</v>
      </c>
      <c r="D2428" s="113">
        <v>46306787</v>
      </c>
      <c r="E2428" s="115">
        <v>43922</v>
      </c>
      <c r="F2428" s="114">
        <v>202101</v>
      </c>
      <c r="G2428" s="112" t="s">
        <v>1091</v>
      </c>
      <c r="H2428" s="112" t="s">
        <v>1015</v>
      </c>
      <c r="I2428" s="112" t="s">
        <v>1605</v>
      </c>
      <c r="J2428" s="112" t="s">
        <v>1959</v>
      </c>
      <c r="K2428" s="112" t="s">
        <v>2416</v>
      </c>
      <c r="L2428" s="116">
        <v>6450</v>
      </c>
    </row>
    <row r="2429" spans="1:12" hidden="1" outlineLevel="1" collapsed="1" x14ac:dyDescent="0.35">
      <c r="A2429" s="112" t="s">
        <v>1814</v>
      </c>
      <c r="B2429" s="112" t="s">
        <v>905</v>
      </c>
      <c r="C2429" s="112" t="s">
        <v>1266</v>
      </c>
      <c r="D2429" s="113">
        <v>1069566</v>
      </c>
      <c r="E2429" s="115">
        <v>43594</v>
      </c>
      <c r="F2429" s="114">
        <v>202101</v>
      </c>
      <c r="G2429" s="112" t="s">
        <v>1091</v>
      </c>
      <c r="H2429" s="112" t="s">
        <v>1015</v>
      </c>
      <c r="I2429" s="112" t="s">
        <v>1966</v>
      </c>
      <c r="J2429" s="112" t="s">
        <v>1839</v>
      </c>
      <c r="K2429" s="112" t="s">
        <v>2417</v>
      </c>
      <c r="L2429" s="116">
        <v>4497</v>
      </c>
    </row>
    <row r="2430" spans="1:12" hidden="1" outlineLevel="1" collapsed="1" x14ac:dyDescent="0.35">
      <c r="A2430" s="112" t="s">
        <v>1814</v>
      </c>
      <c r="B2430" s="112" t="s">
        <v>905</v>
      </c>
      <c r="C2430" s="112" t="s">
        <v>695</v>
      </c>
      <c r="D2430" s="113">
        <v>10347977</v>
      </c>
      <c r="E2430" s="115">
        <v>43924</v>
      </c>
      <c r="F2430" s="114">
        <v>202101</v>
      </c>
      <c r="G2430" s="112" t="s">
        <v>1091</v>
      </c>
      <c r="H2430" s="112" t="s">
        <v>1015</v>
      </c>
      <c r="I2430" s="112" t="s">
        <v>749</v>
      </c>
      <c r="J2430" s="112" t="s">
        <v>1822</v>
      </c>
      <c r="K2430" s="112" t="s">
        <v>2418</v>
      </c>
      <c r="L2430" s="116">
        <v>-81</v>
      </c>
    </row>
    <row r="2431" spans="1:12" hidden="1" outlineLevel="1" collapsed="1" x14ac:dyDescent="0.35">
      <c r="A2431" s="112" t="s">
        <v>1814</v>
      </c>
      <c r="B2431" s="112" t="s">
        <v>905</v>
      </c>
      <c r="C2431" s="112" t="s">
        <v>1095</v>
      </c>
      <c r="D2431" s="113">
        <v>10348451</v>
      </c>
      <c r="E2431" s="115">
        <v>43949</v>
      </c>
      <c r="F2431" s="114">
        <v>202101</v>
      </c>
      <c r="G2431" s="112" t="s">
        <v>1091</v>
      </c>
      <c r="H2431" s="112" t="s">
        <v>1015</v>
      </c>
      <c r="I2431" s="112" t="s">
        <v>1101</v>
      </c>
      <c r="J2431" s="112" t="s">
        <v>1839</v>
      </c>
      <c r="K2431" s="112" t="s">
        <v>1098</v>
      </c>
      <c r="L2431" s="116">
        <v>289.83999999999997</v>
      </c>
    </row>
    <row r="2432" spans="1:12" hidden="1" outlineLevel="1" collapsed="1" x14ac:dyDescent="0.35">
      <c r="A2432" s="112" t="s">
        <v>1814</v>
      </c>
      <c r="B2432" s="112" t="s">
        <v>905</v>
      </c>
      <c r="C2432" s="112" t="s">
        <v>695</v>
      </c>
      <c r="D2432" s="113">
        <v>10347977</v>
      </c>
      <c r="E2432" s="115">
        <v>43924</v>
      </c>
      <c r="F2432" s="114">
        <v>202101</v>
      </c>
      <c r="G2432" s="112" t="s">
        <v>1091</v>
      </c>
      <c r="H2432" s="112" t="s">
        <v>1015</v>
      </c>
      <c r="I2432" s="112" t="s">
        <v>749</v>
      </c>
      <c r="J2432" s="112" t="s">
        <v>1839</v>
      </c>
      <c r="K2432" s="112" t="s">
        <v>1844</v>
      </c>
      <c r="L2432" s="116">
        <v>-355</v>
      </c>
    </row>
    <row r="2433" spans="1:12" hidden="1" outlineLevel="1" collapsed="1" x14ac:dyDescent="0.35">
      <c r="A2433" s="112" t="s">
        <v>1814</v>
      </c>
      <c r="B2433" s="112" t="s">
        <v>905</v>
      </c>
      <c r="C2433" s="112" t="s">
        <v>1095</v>
      </c>
      <c r="D2433" s="113">
        <v>10348451</v>
      </c>
      <c r="E2433" s="115">
        <v>43949</v>
      </c>
      <c r="F2433" s="114">
        <v>202101</v>
      </c>
      <c r="G2433" s="112" t="s">
        <v>1091</v>
      </c>
      <c r="H2433" s="112" t="s">
        <v>1015</v>
      </c>
      <c r="I2433" s="112" t="s">
        <v>1096</v>
      </c>
      <c r="J2433" s="112" t="s">
        <v>1839</v>
      </c>
      <c r="K2433" s="112" t="s">
        <v>1098</v>
      </c>
      <c r="L2433" s="116">
        <v>143.13</v>
      </c>
    </row>
    <row r="2434" spans="1:12" hidden="1" outlineLevel="1" collapsed="1" x14ac:dyDescent="0.35">
      <c r="A2434" s="112" t="s">
        <v>1814</v>
      </c>
      <c r="B2434" s="112" t="s">
        <v>905</v>
      </c>
      <c r="C2434" s="112" t="s">
        <v>695</v>
      </c>
      <c r="D2434" s="113">
        <v>10347977</v>
      </c>
      <c r="E2434" s="115">
        <v>43924</v>
      </c>
      <c r="F2434" s="114">
        <v>202101</v>
      </c>
      <c r="G2434" s="112" t="s">
        <v>1091</v>
      </c>
      <c r="H2434" s="112" t="s">
        <v>1015</v>
      </c>
      <c r="I2434" s="112" t="s">
        <v>757</v>
      </c>
      <c r="J2434" s="112" t="s">
        <v>1822</v>
      </c>
      <c r="K2434" s="112" t="s">
        <v>2419</v>
      </c>
      <c r="L2434" s="116">
        <v>-26</v>
      </c>
    </row>
    <row r="2435" spans="1:12" hidden="1" outlineLevel="1" collapsed="1" x14ac:dyDescent="0.35">
      <c r="A2435" s="112" t="s">
        <v>1814</v>
      </c>
      <c r="B2435" s="112" t="s">
        <v>905</v>
      </c>
      <c r="C2435" s="112" t="s">
        <v>1095</v>
      </c>
      <c r="D2435" s="113">
        <v>10348451</v>
      </c>
      <c r="E2435" s="115">
        <v>43949</v>
      </c>
      <c r="F2435" s="114">
        <v>202101</v>
      </c>
      <c r="G2435" s="112" t="s">
        <v>1091</v>
      </c>
      <c r="H2435" s="112" t="s">
        <v>1015</v>
      </c>
      <c r="I2435" s="112" t="s">
        <v>1113</v>
      </c>
      <c r="J2435" s="112" t="s">
        <v>1827</v>
      </c>
      <c r="K2435" s="112" t="s">
        <v>1098</v>
      </c>
      <c r="L2435" s="116">
        <v>38.89</v>
      </c>
    </row>
    <row r="2436" spans="1:12" hidden="1" outlineLevel="1" collapsed="1" x14ac:dyDescent="0.35">
      <c r="A2436" s="112" t="s">
        <v>1814</v>
      </c>
      <c r="B2436" s="112" t="s">
        <v>905</v>
      </c>
      <c r="C2436" s="112" t="s">
        <v>1095</v>
      </c>
      <c r="D2436" s="113">
        <v>10348451</v>
      </c>
      <c r="E2436" s="115">
        <v>43949</v>
      </c>
      <c r="F2436" s="114">
        <v>202101</v>
      </c>
      <c r="G2436" s="112" t="s">
        <v>1091</v>
      </c>
      <c r="H2436" s="112" t="s">
        <v>1015</v>
      </c>
      <c r="I2436" s="112" t="s">
        <v>1096</v>
      </c>
      <c r="J2436" s="112" t="s">
        <v>1827</v>
      </c>
      <c r="K2436" s="112" t="s">
        <v>1098</v>
      </c>
      <c r="L2436" s="116">
        <v>305.12</v>
      </c>
    </row>
    <row r="2437" spans="1:12" hidden="1" outlineLevel="1" collapsed="1" x14ac:dyDescent="0.35">
      <c r="A2437" s="112" t="s">
        <v>1814</v>
      </c>
      <c r="B2437" s="112" t="s">
        <v>906</v>
      </c>
      <c r="C2437" s="112" t="s">
        <v>695</v>
      </c>
      <c r="D2437" s="113">
        <v>10348034</v>
      </c>
      <c r="E2437" s="115">
        <v>43928</v>
      </c>
      <c r="F2437" s="114">
        <v>202101</v>
      </c>
      <c r="G2437" s="112" t="s">
        <v>1091</v>
      </c>
      <c r="H2437" s="112" t="s">
        <v>1015</v>
      </c>
      <c r="I2437" s="112" t="s">
        <v>1211</v>
      </c>
      <c r="J2437" s="112" t="s">
        <v>1852</v>
      </c>
      <c r="K2437" s="112" t="s">
        <v>2420</v>
      </c>
      <c r="L2437" s="116">
        <v>-1406</v>
      </c>
    </row>
    <row r="2438" spans="1:12" hidden="1" outlineLevel="1" collapsed="1" x14ac:dyDescent="0.35">
      <c r="A2438" s="112" t="s">
        <v>1814</v>
      </c>
      <c r="B2438" s="112" t="s">
        <v>905</v>
      </c>
      <c r="C2438" s="112" t="s">
        <v>695</v>
      </c>
      <c r="D2438" s="113">
        <v>10347977</v>
      </c>
      <c r="E2438" s="115">
        <v>43924</v>
      </c>
      <c r="F2438" s="114">
        <v>202101</v>
      </c>
      <c r="G2438" s="112" t="s">
        <v>1091</v>
      </c>
      <c r="H2438" s="112" t="s">
        <v>1015</v>
      </c>
      <c r="I2438" s="112" t="s">
        <v>757</v>
      </c>
      <c r="J2438" s="112" t="s">
        <v>1822</v>
      </c>
      <c r="K2438" s="112" t="s">
        <v>2421</v>
      </c>
      <c r="L2438" s="116">
        <v>-86</v>
      </c>
    </row>
    <row r="2439" spans="1:12" hidden="1" outlineLevel="1" collapsed="1" x14ac:dyDescent="0.35">
      <c r="A2439" s="112" t="s">
        <v>1814</v>
      </c>
      <c r="B2439" s="112" t="s">
        <v>905</v>
      </c>
      <c r="C2439" s="112" t="s">
        <v>695</v>
      </c>
      <c r="D2439" s="113">
        <v>10347977</v>
      </c>
      <c r="E2439" s="115">
        <v>43924</v>
      </c>
      <c r="F2439" s="114">
        <v>202101</v>
      </c>
      <c r="G2439" s="112" t="s">
        <v>1091</v>
      </c>
      <c r="H2439" s="112" t="s">
        <v>1015</v>
      </c>
      <c r="I2439" s="112" t="s">
        <v>757</v>
      </c>
      <c r="J2439" s="112" t="s">
        <v>1822</v>
      </c>
      <c r="K2439" s="112" t="s">
        <v>2422</v>
      </c>
      <c r="L2439" s="116">
        <v>-30</v>
      </c>
    </row>
    <row r="2440" spans="1:12" hidden="1" outlineLevel="1" collapsed="1" x14ac:dyDescent="0.35">
      <c r="A2440" s="112" t="s">
        <v>1814</v>
      </c>
      <c r="B2440" s="112" t="s">
        <v>905</v>
      </c>
      <c r="C2440" s="112" t="s">
        <v>1095</v>
      </c>
      <c r="D2440" s="113">
        <v>10348451</v>
      </c>
      <c r="E2440" s="115">
        <v>43949</v>
      </c>
      <c r="F2440" s="114">
        <v>202101</v>
      </c>
      <c r="G2440" s="112" t="s">
        <v>1091</v>
      </c>
      <c r="H2440" s="112" t="s">
        <v>1015</v>
      </c>
      <c r="I2440" s="112" t="s">
        <v>1128</v>
      </c>
      <c r="J2440" s="112" t="s">
        <v>1839</v>
      </c>
      <c r="K2440" s="112" t="s">
        <v>1098</v>
      </c>
      <c r="L2440" s="116">
        <v>20</v>
      </c>
    </row>
    <row r="2441" spans="1:12" hidden="1" outlineLevel="1" collapsed="1" x14ac:dyDescent="0.35">
      <c r="A2441" s="112" t="s">
        <v>1814</v>
      </c>
      <c r="B2441" s="112" t="s">
        <v>905</v>
      </c>
      <c r="C2441" s="112" t="s">
        <v>1095</v>
      </c>
      <c r="D2441" s="113">
        <v>10348451</v>
      </c>
      <c r="E2441" s="115">
        <v>43949</v>
      </c>
      <c r="F2441" s="114">
        <v>202101</v>
      </c>
      <c r="G2441" s="112" t="s">
        <v>1091</v>
      </c>
      <c r="H2441" s="112" t="s">
        <v>1015</v>
      </c>
      <c r="I2441" s="112" t="s">
        <v>1101</v>
      </c>
      <c r="J2441" s="112" t="s">
        <v>1839</v>
      </c>
      <c r="K2441" s="112" t="s">
        <v>1098</v>
      </c>
      <c r="L2441" s="116">
        <v>306.61</v>
      </c>
    </row>
    <row r="2442" spans="1:12" hidden="1" outlineLevel="1" collapsed="1" x14ac:dyDescent="0.35">
      <c r="A2442" s="112" t="s">
        <v>1814</v>
      </c>
      <c r="B2442" s="112" t="s">
        <v>905</v>
      </c>
      <c r="C2442" s="112" t="s">
        <v>1219</v>
      </c>
      <c r="D2442" s="113">
        <v>46306786</v>
      </c>
      <c r="E2442" s="115">
        <v>43922</v>
      </c>
      <c r="F2442" s="114">
        <v>202101</v>
      </c>
      <c r="G2442" s="112" t="s">
        <v>1091</v>
      </c>
      <c r="H2442" s="112" t="s">
        <v>1015</v>
      </c>
      <c r="I2442" s="112" t="s">
        <v>1605</v>
      </c>
      <c r="J2442" s="112" t="s">
        <v>1878</v>
      </c>
      <c r="K2442" s="112" t="s">
        <v>2423</v>
      </c>
      <c r="L2442" s="116">
        <v>7104.25</v>
      </c>
    </row>
    <row r="2443" spans="1:12" hidden="1" outlineLevel="1" collapsed="1" x14ac:dyDescent="0.35">
      <c r="A2443" s="112" t="s">
        <v>1814</v>
      </c>
      <c r="B2443" s="112" t="s">
        <v>906</v>
      </c>
      <c r="C2443" s="112" t="s">
        <v>695</v>
      </c>
      <c r="D2443" s="113">
        <v>10347956</v>
      </c>
      <c r="E2443" s="115">
        <v>43923</v>
      </c>
      <c r="F2443" s="114">
        <v>202101</v>
      </c>
      <c r="G2443" s="112" t="s">
        <v>1091</v>
      </c>
      <c r="H2443" s="112" t="s">
        <v>1015</v>
      </c>
      <c r="I2443" s="112" t="s">
        <v>813</v>
      </c>
      <c r="J2443" s="112" t="s">
        <v>1815</v>
      </c>
      <c r="K2443" s="112" t="s">
        <v>2424</v>
      </c>
      <c r="L2443" s="116">
        <v>-139.38999999999999</v>
      </c>
    </row>
    <row r="2444" spans="1:12" hidden="1" outlineLevel="1" collapsed="1" x14ac:dyDescent="0.35">
      <c r="A2444" s="112" t="s">
        <v>1814</v>
      </c>
      <c r="B2444" s="112" t="s">
        <v>906</v>
      </c>
      <c r="C2444" s="112" t="s">
        <v>695</v>
      </c>
      <c r="D2444" s="113">
        <v>10348034</v>
      </c>
      <c r="E2444" s="115">
        <v>43928</v>
      </c>
      <c r="F2444" s="114">
        <v>202101</v>
      </c>
      <c r="G2444" s="112" t="s">
        <v>1091</v>
      </c>
      <c r="H2444" s="112" t="s">
        <v>1015</v>
      </c>
      <c r="I2444" s="112" t="s">
        <v>1211</v>
      </c>
      <c r="J2444" s="112" t="s">
        <v>1852</v>
      </c>
      <c r="K2444" s="112" t="s">
        <v>2425</v>
      </c>
      <c r="L2444" s="116">
        <v>-10833.09</v>
      </c>
    </row>
    <row r="2445" spans="1:12" hidden="1" outlineLevel="1" collapsed="1" x14ac:dyDescent="0.35">
      <c r="A2445" s="112" t="s">
        <v>1814</v>
      </c>
      <c r="B2445" s="112" t="s">
        <v>905</v>
      </c>
      <c r="C2445" s="112" t="s">
        <v>1219</v>
      </c>
      <c r="D2445" s="113">
        <v>46306785</v>
      </c>
      <c r="E2445" s="115">
        <v>43922</v>
      </c>
      <c r="F2445" s="114">
        <v>202101</v>
      </c>
      <c r="G2445" s="112" t="s">
        <v>1091</v>
      </c>
      <c r="H2445" s="112" t="s">
        <v>1015</v>
      </c>
      <c r="I2445" s="112" t="s">
        <v>1605</v>
      </c>
      <c r="J2445" s="112" t="s">
        <v>1878</v>
      </c>
      <c r="K2445" s="112" t="s">
        <v>2426</v>
      </c>
      <c r="L2445" s="116">
        <v>8509.5</v>
      </c>
    </row>
    <row r="2446" spans="1:12" hidden="1" outlineLevel="1" collapsed="1" x14ac:dyDescent="0.35">
      <c r="A2446" s="112" t="s">
        <v>1814</v>
      </c>
      <c r="B2446" s="112" t="s">
        <v>905</v>
      </c>
      <c r="C2446" s="112" t="s">
        <v>695</v>
      </c>
      <c r="D2446" s="113">
        <v>10347977</v>
      </c>
      <c r="E2446" s="115">
        <v>43924</v>
      </c>
      <c r="F2446" s="114">
        <v>202101</v>
      </c>
      <c r="G2446" s="112" t="s">
        <v>1091</v>
      </c>
      <c r="H2446" s="112" t="s">
        <v>1015</v>
      </c>
      <c r="I2446" s="112" t="s">
        <v>749</v>
      </c>
      <c r="J2446" s="112" t="s">
        <v>1822</v>
      </c>
      <c r="K2446" s="112" t="s">
        <v>2427</v>
      </c>
      <c r="L2446" s="116">
        <v>-233</v>
      </c>
    </row>
    <row r="2447" spans="1:12" hidden="1" outlineLevel="1" collapsed="1" x14ac:dyDescent="0.35">
      <c r="A2447" s="112" t="s">
        <v>1814</v>
      </c>
      <c r="B2447" s="112" t="s">
        <v>905</v>
      </c>
      <c r="C2447" s="112" t="s">
        <v>1219</v>
      </c>
      <c r="D2447" s="113">
        <v>46306785</v>
      </c>
      <c r="E2447" s="115">
        <v>43922</v>
      </c>
      <c r="F2447" s="114">
        <v>202101</v>
      </c>
      <c r="G2447" s="112" t="s">
        <v>1091</v>
      </c>
      <c r="H2447" s="112" t="s">
        <v>1015</v>
      </c>
      <c r="I2447" s="112" t="s">
        <v>1605</v>
      </c>
      <c r="J2447" s="112" t="s">
        <v>1878</v>
      </c>
      <c r="K2447" s="112" t="s">
        <v>2428</v>
      </c>
      <c r="L2447" s="116">
        <v>7104.25</v>
      </c>
    </row>
    <row r="2448" spans="1:12" hidden="1" outlineLevel="1" collapsed="1" x14ac:dyDescent="0.35">
      <c r="A2448" s="112" t="s">
        <v>1814</v>
      </c>
      <c r="B2448" s="112" t="s">
        <v>906</v>
      </c>
      <c r="C2448" s="112" t="s">
        <v>695</v>
      </c>
      <c r="D2448" s="113">
        <v>10347956</v>
      </c>
      <c r="E2448" s="115">
        <v>43923</v>
      </c>
      <c r="F2448" s="114">
        <v>202101</v>
      </c>
      <c r="G2448" s="112" t="s">
        <v>1091</v>
      </c>
      <c r="H2448" s="112" t="s">
        <v>1015</v>
      </c>
      <c r="I2448" s="112" t="s">
        <v>813</v>
      </c>
      <c r="J2448" s="112" t="s">
        <v>1815</v>
      </c>
      <c r="K2448" s="112" t="s">
        <v>1891</v>
      </c>
      <c r="L2448" s="116">
        <v>-46.46</v>
      </c>
    </row>
    <row r="2449" spans="1:12" hidden="1" outlineLevel="1" collapsed="1" x14ac:dyDescent="0.35">
      <c r="A2449" s="112" t="s">
        <v>1814</v>
      </c>
      <c r="B2449" s="112" t="s">
        <v>906</v>
      </c>
      <c r="C2449" s="112" t="s">
        <v>695</v>
      </c>
      <c r="D2449" s="113">
        <v>10347956</v>
      </c>
      <c r="E2449" s="115">
        <v>43923</v>
      </c>
      <c r="F2449" s="114">
        <v>202101</v>
      </c>
      <c r="G2449" s="112" t="s">
        <v>1091</v>
      </c>
      <c r="H2449" s="112" t="s">
        <v>1015</v>
      </c>
      <c r="I2449" s="112" t="s">
        <v>813</v>
      </c>
      <c r="J2449" s="112" t="s">
        <v>1815</v>
      </c>
      <c r="K2449" s="112" t="s">
        <v>1836</v>
      </c>
      <c r="L2449" s="116">
        <v>-69.7</v>
      </c>
    </row>
    <row r="2450" spans="1:12" hidden="1" outlineLevel="1" collapsed="1" x14ac:dyDescent="0.35">
      <c r="A2450" s="112" t="s">
        <v>1814</v>
      </c>
      <c r="B2450" s="112" t="s">
        <v>906</v>
      </c>
      <c r="C2450" s="112" t="s">
        <v>695</v>
      </c>
      <c r="D2450" s="113">
        <v>10347956</v>
      </c>
      <c r="E2450" s="115">
        <v>43923</v>
      </c>
      <c r="F2450" s="114">
        <v>202101</v>
      </c>
      <c r="G2450" s="112" t="s">
        <v>1091</v>
      </c>
      <c r="H2450" s="112" t="s">
        <v>1015</v>
      </c>
      <c r="I2450" s="112" t="s">
        <v>813</v>
      </c>
      <c r="J2450" s="112" t="s">
        <v>1815</v>
      </c>
      <c r="K2450" s="112" t="s">
        <v>1826</v>
      </c>
      <c r="L2450" s="116">
        <v>-38.909999999999997</v>
      </c>
    </row>
    <row r="2451" spans="1:12" hidden="1" outlineLevel="1" collapsed="1" x14ac:dyDescent="0.35">
      <c r="A2451" s="112" t="s">
        <v>1814</v>
      </c>
      <c r="B2451" s="112" t="s">
        <v>905</v>
      </c>
      <c r="C2451" s="112" t="s">
        <v>695</v>
      </c>
      <c r="D2451" s="113">
        <v>10347977</v>
      </c>
      <c r="E2451" s="115">
        <v>43924</v>
      </c>
      <c r="F2451" s="114">
        <v>202101</v>
      </c>
      <c r="G2451" s="112" t="s">
        <v>1091</v>
      </c>
      <c r="H2451" s="112" t="s">
        <v>1015</v>
      </c>
      <c r="I2451" s="112" t="s">
        <v>749</v>
      </c>
      <c r="J2451" s="112" t="s">
        <v>1822</v>
      </c>
      <c r="K2451" s="112" t="s">
        <v>2429</v>
      </c>
      <c r="L2451" s="116">
        <v>-205</v>
      </c>
    </row>
    <row r="2452" spans="1:12" hidden="1" outlineLevel="1" collapsed="1" x14ac:dyDescent="0.35">
      <c r="A2452" s="112" t="s">
        <v>1814</v>
      </c>
      <c r="B2452" s="112" t="s">
        <v>905</v>
      </c>
      <c r="C2452" s="112" t="s">
        <v>695</v>
      </c>
      <c r="D2452" s="113">
        <v>10347977</v>
      </c>
      <c r="E2452" s="115">
        <v>43924</v>
      </c>
      <c r="F2452" s="114">
        <v>202101</v>
      </c>
      <c r="G2452" s="112" t="s">
        <v>1091</v>
      </c>
      <c r="H2452" s="112" t="s">
        <v>1015</v>
      </c>
      <c r="I2452" s="112" t="s">
        <v>749</v>
      </c>
      <c r="J2452" s="112" t="s">
        <v>1822</v>
      </c>
      <c r="K2452" s="112" t="s">
        <v>2430</v>
      </c>
      <c r="L2452" s="116">
        <v>-154</v>
      </c>
    </row>
    <row r="2453" spans="1:12" hidden="1" outlineLevel="1" collapsed="1" x14ac:dyDescent="0.35">
      <c r="A2453" s="112" t="s">
        <v>1814</v>
      </c>
      <c r="B2453" s="112" t="s">
        <v>905</v>
      </c>
      <c r="C2453" s="112" t="s">
        <v>1219</v>
      </c>
      <c r="D2453" s="113">
        <v>46307712</v>
      </c>
      <c r="E2453" s="115">
        <v>43943</v>
      </c>
      <c r="F2453" s="114">
        <v>202101</v>
      </c>
      <c r="G2453" s="112" t="s">
        <v>1091</v>
      </c>
      <c r="H2453" s="112" t="s">
        <v>1015</v>
      </c>
      <c r="I2453" s="112" t="s">
        <v>1952</v>
      </c>
      <c r="J2453" s="112" t="s">
        <v>1971</v>
      </c>
      <c r="K2453" s="112" t="s">
        <v>2431</v>
      </c>
      <c r="L2453" s="116">
        <v>2775</v>
      </c>
    </row>
    <row r="2454" spans="1:12" hidden="1" outlineLevel="1" collapsed="1" x14ac:dyDescent="0.35">
      <c r="A2454" s="112" t="s">
        <v>1814</v>
      </c>
      <c r="B2454" s="112" t="s">
        <v>905</v>
      </c>
      <c r="C2454" s="112" t="s">
        <v>1219</v>
      </c>
      <c r="D2454" s="113">
        <v>46307242</v>
      </c>
      <c r="E2454" s="115">
        <v>43936</v>
      </c>
      <c r="F2454" s="114">
        <v>202101</v>
      </c>
      <c r="G2454" s="112" t="s">
        <v>1091</v>
      </c>
      <c r="H2454" s="112" t="s">
        <v>1015</v>
      </c>
      <c r="I2454" s="112" t="s">
        <v>1952</v>
      </c>
      <c r="J2454" s="112" t="s">
        <v>1971</v>
      </c>
      <c r="K2454" s="112" t="s">
        <v>2177</v>
      </c>
      <c r="L2454" s="116">
        <v>94.84</v>
      </c>
    </row>
    <row r="2455" spans="1:12" hidden="1" outlineLevel="1" collapsed="1" x14ac:dyDescent="0.35">
      <c r="A2455" s="112" t="s">
        <v>1814</v>
      </c>
      <c r="B2455" s="112" t="s">
        <v>905</v>
      </c>
      <c r="C2455" s="112" t="s">
        <v>1219</v>
      </c>
      <c r="D2455" s="113">
        <v>46307713</v>
      </c>
      <c r="E2455" s="115">
        <v>43943</v>
      </c>
      <c r="F2455" s="114">
        <v>202101</v>
      </c>
      <c r="G2455" s="112" t="s">
        <v>1091</v>
      </c>
      <c r="H2455" s="112" t="s">
        <v>1015</v>
      </c>
      <c r="I2455" s="112" t="s">
        <v>1952</v>
      </c>
      <c r="J2455" s="112" t="s">
        <v>1971</v>
      </c>
      <c r="K2455" s="112" t="s">
        <v>2432</v>
      </c>
      <c r="L2455" s="116">
        <v>3300</v>
      </c>
    </row>
    <row r="2456" spans="1:12" hidden="1" outlineLevel="1" collapsed="1" x14ac:dyDescent="0.35">
      <c r="A2456" s="112" t="s">
        <v>1814</v>
      </c>
      <c r="B2456" s="112" t="s">
        <v>905</v>
      </c>
      <c r="C2456" s="112" t="s">
        <v>679</v>
      </c>
      <c r="D2456" s="113">
        <v>10348164</v>
      </c>
      <c r="E2456" s="115">
        <v>43930</v>
      </c>
      <c r="F2456" s="114">
        <v>202101</v>
      </c>
      <c r="G2456" s="112" t="s">
        <v>1091</v>
      </c>
      <c r="H2456" s="112" t="s">
        <v>1016</v>
      </c>
      <c r="I2456" s="112" t="s">
        <v>1845</v>
      </c>
      <c r="J2456" s="112" t="s">
        <v>1996</v>
      </c>
      <c r="K2456" s="112" t="s">
        <v>2433</v>
      </c>
      <c r="L2456" s="116">
        <v>-500</v>
      </c>
    </row>
    <row r="2457" spans="1:12" hidden="1" outlineLevel="1" collapsed="1" x14ac:dyDescent="0.35">
      <c r="A2457" s="112" t="s">
        <v>1814</v>
      </c>
      <c r="B2457" s="112" t="s">
        <v>905</v>
      </c>
      <c r="C2457" s="112" t="s">
        <v>1219</v>
      </c>
      <c r="D2457" s="113">
        <v>46307703</v>
      </c>
      <c r="E2457" s="115">
        <v>43943</v>
      </c>
      <c r="F2457" s="114">
        <v>202101</v>
      </c>
      <c r="G2457" s="112" t="s">
        <v>1091</v>
      </c>
      <c r="H2457" s="112" t="s">
        <v>1015</v>
      </c>
      <c r="I2457" s="112" t="s">
        <v>1952</v>
      </c>
      <c r="J2457" s="112" t="s">
        <v>1971</v>
      </c>
      <c r="K2457" s="112" t="s">
        <v>2434</v>
      </c>
      <c r="L2457" s="116">
        <v>3300</v>
      </c>
    </row>
    <row r="2458" spans="1:12" hidden="1" outlineLevel="1" collapsed="1" x14ac:dyDescent="0.35">
      <c r="A2458" s="112" t="s">
        <v>1814</v>
      </c>
      <c r="B2458" s="112" t="s">
        <v>905</v>
      </c>
      <c r="C2458" s="112" t="s">
        <v>1219</v>
      </c>
      <c r="D2458" s="113">
        <v>46307697</v>
      </c>
      <c r="E2458" s="115">
        <v>43943</v>
      </c>
      <c r="F2458" s="114">
        <v>202101</v>
      </c>
      <c r="G2458" s="112" t="s">
        <v>1091</v>
      </c>
      <c r="H2458" s="112" t="s">
        <v>1015</v>
      </c>
      <c r="I2458" s="112" t="s">
        <v>1952</v>
      </c>
      <c r="J2458" s="112" t="s">
        <v>1971</v>
      </c>
      <c r="K2458" s="112" t="s">
        <v>2435</v>
      </c>
      <c r="L2458" s="116">
        <v>2775</v>
      </c>
    </row>
    <row r="2459" spans="1:12" hidden="1" outlineLevel="1" collapsed="1" x14ac:dyDescent="0.35">
      <c r="A2459" s="112" t="s">
        <v>1814</v>
      </c>
      <c r="B2459" s="112" t="s">
        <v>905</v>
      </c>
      <c r="C2459" s="112" t="s">
        <v>1095</v>
      </c>
      <c r="D2459" s="113">
        <v>10348451</v>
      </c>
      <c r="E2459" s="115">
        <v>43949</v>
      </c>
      <c r="F2459" s="114">
        <v>202101</v>
      </c>
      <c r="G2459" s="112" t="s">
        <v>1091</v>
      </c>
      <c r="H2459" s="112" t="s">
        <v>1015</v>
      </c>
      <c r="I2459" s="112" t="s">
        <v>1096</v>
      </c>
      <c r="J2459" s="112" t="s">
        <v>1827</v>
      </c>
      <c r="K2459" s="112" t="s">
        <v>1098</v>
      </c>
      <c r="L2459" s="116">
        <v>366.99</v>
      </c>
    </row>
    <row r="2460" spans="1:12" hidden="1" outlineLevel="1" collapsed="1" x14ac:dyDescent="0.35">
      <c r="A2460" s="112" t="s">
        <v>1814</v>
      </c>
      <c r="B2460" s="112" t="s">
        <v>905</v>
      </c>
      <c r="C2460" s="112" t="s">
        <v>1219</v>
      </c>
      <c r="D2460" s="113">
        <v>46307699</v>
      </c>
      <c r="E2460" s="115">
        <v>43943</v>
      </c>
      <c r="F2460" s="114">
        <v>202101</v>
      </c>
      <c r="G2460" s="112" t="s">
        <v>1091</v>
      </c>
      <c r="H2460" s="112" t="s">
        <v>1015</v>
      </c>
      <c r="I2460" s="112" t="s">
        <v>1952</v>
      </c>
      <c r="J2460" s="112" t="s">
        <v>1971</v>
      </c>
      <c r="K2460" s="112" t="s">
        <v>2436</v>
      </c>
      <c r="L2460" s="116">
        <v>2775</v>
      </c>
    </row>
    <row r="2461" spans="1:12" hidden="1" outlineLevel="1" collapsed="1" x14ac:dyDescent="0.35">
      <c r="A2461" s="112" t="s">
        <v>1814</v>
      </c>
      <c r="B2461" s="112" t="s">
        <v>905</v>
      </c>
      <c r="C2461" s="112" t="s">
        <v>1219</v>
      </c>
      <c r="D2461" s="113">
        <v>46307700</v>
      </c>
      <c r="E2461" s="115">
        <v>43943</v>
      </c>
      <c r="F2461" s="114">
        <v>202101</v>
      </c>
      <c r="G2461" s="112" t="s">
        <v>1091</v>
      </c>
      <c r="H2461" s="112" t="s">
        <v>1015</v>
      </c>
      <c r="I2461" s="112" t="s">
        <v>1952</v>
      </c>
      <c r="J2461" s="112" t="s">
        <v>1971</v>
      </c>
      <c r="K2461" s="112" t="s">
        <v>2437</v>
      </c>
      <c r="L2461" s="116">
        <v>3300</v>
      </c>
    </row>
    <row r="2462" spans="1:12" hidden="1" outlineLevel="1" collapsed="1" x14ac:dyDescent="0.35">
      <c r="A2462" s="112" t="s">
        <v>1814</v>
      </c>
      <c r="B2462" s="112" t="s">
        <v>905</v>
      </c>
      <c r="C2462" s="112" t="s">
        <v>679</v>
      </c>
      <c r="D2462" s="113">
        <v>10348164</v>
      </c>
      <c r="E2462" s="115">
        <v>43930</v>
      </c>
      <c r="F2462" s="114">
        <v>202101</v>
      </c>
      <c r="G2462" s="112" t="s">
        <v>1091</v>
      </c>
      <c r="H2462" s="112" t="s">
        <v>1016</v>
      </c>
      <c r="I2462" s="112" t="s">
        <v>1845</v>
      </c>
      <c r="J2462" s="112" t="s">
        <v>1817</v>
      </c>
      <c r="K2462" s="112" t="s">
        <v>2438</v>
      </c>
      <c r="L2462" s="116">
        <v>-50</v>
      </c>
    </row>
    <row r="2463" spans="1:12" hidden="1" outlineLevel="1" collapsed="1" x14ac:dyDescent="0.35">
      <c r="A2463" s="112" t="s">
        <v>1814</v>
      </c>
      <c r="B2463" s="112" t="s">
        <v>905</v>
      </c>
      <c r="C2463" s="112" t="s">
        <v>1219</v>
      </c>
      <c r="D2463" s="113">
        <v>46307716</v>
      </c>
      <c r="E2463" s="115">
        <v>43943</v>
      </c>
      <c r="F2463" s="114">
        <v>202101</v>
      </c>
      <c r="G2463" s="112" t="s">
        <v>1091</v>
      </c>
      <c r="H2463" s="112" t="s">
        <v>1015</v>
      </c>
      <c r="I2463" s="112" t="s">
        <v>1952</v>
      </c>
      <c r="J2463" s="112" t="s">
        <v>1971</v>
      </c>
      <c r="K2463" s="112" t="s">
        <v>2439</v>
      </c>
      <c r="L2463" s="116">
        <v>2775</v>
      </c>
    </row>
    <row r="2464" spans="1:12" hidden="1" outlineLevel="1" collapsed="1" x14ac:dyDescent="0.35">
      <c r="A2464" s="112" t="s">
        <v>1814</v>
      </c>
      <c r="B2464" s="112" t="s">
        <v>905</v>
      </c>
      <c r="C2464" s="112" t="s">
        <v>1219</v>
      </c>
      <c r="D2464" s="113">
        <v>46307715</v>
      </c>
      <c r="E2464" s="115">
        <v>43943</v>
      </c>
      <c r="F2464" s="114">
        <v>202101</v>
      </c>
      <c r="G2464" s="112" t="s">
        <v>1091</v>
      </c>
      <c r="H2464" s="112" t="s">
        <v>1015</v>
      </c>
      <c r="I2464" s="112" t="s">
        <v>1952</v>
      </c>
      <c r="J2464" s="112" t="s">
        <v>1971</v>
      </c>
      <c r="K2464" s="112" t="s">
        <v>2440</v>
      </c>
      <c r="L2464" s="116">
        <v>2775</v>
      </c>
    </row>
    <row r="2465" spans="1:12" hidden="1" outlineLevel="1" collapsed="1" x14ac:dyDescent="0.35">
      <c r="A2465" s="112" t="s">
        <v>1814</v>
      </c>
      <c r="B2465" s="112" t="s">
        <v>905</v>
      </c>
      <c r="C2465" s="112" t="s">
        <v>1219</v>
      </c>
      <c r="D2465" s="113">
        <v>46307702</v>
      </c>
      <c r="E2465" s="115">
        <v>43943</v>
      </c>
      <c r="F2465" s="114">
        <v>202101</v>
      </c>
      <c r="G2465" s="112" t="s">
        <v>1091</v>
      </c>
      <c r="H2465" s="112" t="s">
        <v>1015</v>
      </c>
      <c r="I2465" s="112" t="s">
        <v>1952</v>
      </c>
      <c r="J2465" s="112" t="s">
        <v>1971</v>
      </c>
      <c r="K2465" s="112" t="s">
        <v>2441</v>
      </c>
      <c r="L2465" s="116">
        <v>4125</v>
      </c>
    </row>
    <row r="2466" spans="1:12" hidden="1" outlineLevel="1" collapsed="1" x14ac:dyDescent="0.35">
      <c r="A2466" s="112" t="s">
        <v>1814</v>
      </c>
      <c r="B2466" s="112" t="s">
        <v>905</v>
      </c>
      <c r="C2466" s="112" t="s">
        <v>1219</v>
      </c>
      <c r="D2466" s="113">
        <v>46307714</v>
      </c>
      <c r="E2466" s="115">
        <v>43943</v>
      </c>
      <c r="F2466" s="114">
        <v>202101</v>
      </c>
      <c r="G2466" s="112" t="s">
        <v>1091</v>
      </c>
      <c r="H2466" s="112" t="s">
        <v>1015</v>
      </c>
      <c r="I2466" s="112" t="s">
        <v>1952</v>
      </c>
      <c r="J2466" s="112" t="s">
        <v>1971</v>
      </c>
      <c r="K2466" s="112" t="s">
        <v>2442</v>
      </c>
      <c r="L2466" s="116">
        <v>3300</v>
      </c>
    </row>
    <row r="2467" spans="1:12" hidden="1" outlineLevel="1" collapsed="1" x14ac:dyDescent="0.35">
      <c r="A2467" s="112" t="s">
        <v>1814</v>
      </c>
      <c r="B2467" s="112" t="s">
        <v>905</v>
      </c>
      <c r="C2467" s="112" t="s">
        <v>1219</v>
      </c>
      <c r="D2467" s="113">
        <v>46307701</v>
      </c>
      <c r="E2467" s="115">
        <v>43943</v>
      </c>
      <c r="F2467" s="114">
        <v>202101</v>
      </c>
      <c r="G2467" s="112" t="s">
        <v>1091</v>
      </c>
      <c r="H2467" s="112" t="s">
        <v>1015</v>
      </c>
      <c r="I2467" s="112" t="s">
        <v>1952</v>
      </c>
      <c r="J2467" s="112" t="s">
        <v>1971</v>
      </c>
      <c r="K2467" s="112" t="s">
        <v>2443</v>
      </c>
      <c r="L2467" s="116">
        <v>3300</v>
      </c>
    </row>
    <row r="2468" spans="1:12" hidden="1" outlineLevel="1" collapsed="1" x14ac:dyDescent="0.35">
      <c r="A2468" s="112" t="s">
        <v>1814</v>
      </c>
      <c r="B2468" s="112" t="s">
        <v>905</v>
      </c>
      <c r="C2468" s="112" t="s">
        <v>1219</v>
      </c>
      <c r="D2468" s="113">
        <v>46307698</v>
      </c>
      <c r="E2468" s="115">
        <v>43943</v>
      </c>
      <c r="F2468" s="114">
        <v>202101</v>
      </c>
      <c r="G2468" s="112" t="s">
        <v>1091</v>
      </c>
      <c r="H2468" s="112" t="s">
        <v>1015</v>
      </c>
      <c r="I2468" s="112" t="s">
        <v>1952</v>
      </c>
      <c r="J2468" s="112" t="s">
        <v>1971</v>
      </c>
      <c r="K2468" s="112" t="s">
        <v>2444</v>
      </c>
      <c r="L2468" s="116">
        <v>2775</v>
      </c>
    </row>
    <row r="2469" spans="1:12" hidden="1" outlineLevel="1" collapsed="1" x14ac:dyDescent="0.35">
      <c r="A2469" s="112" t="s">
        <v>1814</v>
      </c>
      <c r="B2469" s="112" t="s">
        <v>905</v>
      </c>
      <c r="C2469" s="112" t="s">
        <v>1219</v>
      </c>
      <c r="D2469" s="113">
        <v>46307717</v>
      </c>
      <c r="E2469" s="115">
        <v>43943</v>
      </c>
      <c r="F2469" s="114">
        <v>202101</v>
      </c>
      <c r="G2469" s="112" t="s">
        <v>1091</v>
      </c>
      <c r="H2469" s="112" t="s">
        <v>1015</v>
      </c>
      <c r="I2469" s="112" t="s">
        <v>1952</v>
      </c>
      <c r="J2469" s="112" t="s">
        <v>1971</v>
      </c>
      <c r="K2469" s="112" t="s">
        <v>2445</v>
      </c>
      <c r="L2469" s="116">
        <v>3300</v>
      </c>
    </row>
    <row r="2470" spans="1:12" hidden="1" outlineLevel="1" collapsed="1" x14ac:dyDescent="0.35">
      <c r="A2470" s="112" t="s">
        <v>1814</v>
      </c>
      <c r="B2470" s="112" t="s">
        <v>906</v>
      </c>
      <c r="C2470" s="112" t="s">
        <v>695</v>
      </c>
      <c r="D2470" s="113">
        <v>10347956</v>
      </c>
      <c r="E2470" s="115">
        <v>43923</v>
      </c>
      <c r="F2470" s="114">
        <v>202101</v>
      </c>
      <c r="G2470" s="112" t="s">
        <v>1091</v>
      </c>
      <c r="H2470" s="112" t="s">
        <v>1015</v>
      </c>
      <c r="I2470" s="112" t="s">
        <v>813</v>
      </c>
      <c r="J2470" s="112" t="s">
        <v>1815</v>
      </c>
      <c r="K2470" s="112" t="s">
        <v>2446</v>
      </c>
      <c r="L2470" s="116">
        <v>-90.79</v>
      </c>
    </row>
    <row r="2471" spans="1:12" hidden="1" outlineLevel="1" collapsed="1" x14ac:dyDescent="0.35">
      <c r="A2471" s="112" t="s">
        <v>1814</v>
      </c>
      <c r="B2471" s="112" t="s">
        <v>905</v>
      </c>
      <c r="C2471" s="112" t="s">
        <v>1099</v>
      </c>
      <c r="D2471" s="113">
        <v>1069724</v>
      </c>
      <c r="E2471" s="115">
        <v>43948</v>
      </c>
      <c r="F2471" s="114">
        <v>202101</v>
      </c>
      <c r="G2471" s="112" t="s">
        <v>1091</v>
      </c>
      <c r="H2471" s="112" t="s">
        <v>1015</v>
      </c>
      <c r="I2471" s="112" t="s">
        <v>1153</v>
      </c>
      <c r="J2471" s="112" t="s">
        <v>1842</v>
      </c>
      <c r="K2471" s="112" t="s">
        <v>2447</v>
      </c>
      <c r="L2471" s="116">
        <v>2250</v>
      </c>
    </row>
    <row r="2472" spans="1:12" hidden="1" outlineLevel="1" collapsed="1" x14ac:dyDescent="0.35">
      <c r="A2472" s="112" t="s">
        <v>1814</v>
      </c>
      <c r="B2472" s="112" t="s">
        <v>905</v>
      </c>
      <c r="C2472" s="112" t="s">
        <v>1095</v>
      </c>
      <c r="D2472" s="113">
        <v>10348451</v>
      </c>
      <c r="E2472" s="115">
        <v>43949</v>
      </c>
      <c r="F2472" s="114">
        <v>202101</v>
      </c>
      <c r="G2472" s="112" t="s">
        <v>1091</v>
      </c>
      <c r="H2472" s="112" t="s">
        <v>1015</v>
      </c>
      <c r="I2472" s="112" t="s">
        <v>1116</v>
      </c>
      <c r="J2472" s="112" t="s">
        <v>1827</v>
      </c>
      <c r="K2472" s="112" t="s">
        <v>1098</v>
      </c>
      <c r="L2472" s="116">
        <v>3391.33</v>
      </c>
    </row>
    <row r="2473" spans="1:12" hidden="1" outlineLevel="1" collapsed="1" x14ac:dyDescent="0.35">
      <c r="A2473" s="112" t="s">
        <v>1814</v>
      </c>
      <c r="B2473" s="112" t="s">
        <v>905</v>
      </c>
      <c r="C2473" s="112" t="s">
        <v>1095</v>
      </c>
      <c r="D2473" s="113">
        <v>10348451</v>
      </c>
      <c r="E2473" s="115">
        <v>43949</v>
      </c>
      <c r="F2473" s="114">
        <v>202101</v>
      </c>
      <c r="G2473" s="112" t="s">
        <v>1091</v>
      </c>
      <c r="H2473" s="112" t="s">
        <v>1015</v>
      </c>
      <c r="I2473" s="112" t="s">
        <v>1116</v>
      </c>
      <c r="J2473" s="112" t="s">
        <v>1842</v>
      </c>
      <c r="K2473" s="112" t="s">
        <v>1098</v>
      </c>
      <c r="L2473" s="116">
        <v>3391.33</v>
      </c>
    </row>
    <row r="2474" spans="1:12" hidden="1" outlineLevel="1" collapsed="1" x14ac:dyDescent="0.35">
      <c r="A2474" s="112" t="s">
        <v>1814</v>
      </c>
      <c r="B2474" s="112" t="s">
        <v>906</v>
      </c>
      <c r="C2474" s="112" t="s">
        <v>1106</v>
      </c>
      <c r="D2474" s="113">
        <v>3098840</v>
      </c>
      <c r="E2474" s="115">
        <v>43949</v>
      </c>
      <c r="F2474" s="114">
        <v>202101</v>
      </c>
      <c r="G2474" s="112" t="s">
        <v>1091</v>
      </c>
      <c r="H2474" s="112" t="s">
        <v>1015</v>
      </c>
      <c r="I2474" s="112" t="s">
        <v>1169</v>
      </c>
      <c r="J2474" s="112" t="s">
        <v>1815</v>
      </c>
      <c r="K2474" s="112" t="s">
        <v>2448</v>
      </c>
      <c r="L2474" s="116">
        <v>625.05999999999995</v>
      </c>
    </row>
    <row r="2475" spans="1:12" hidden="1" outlineLevel="1" collapsed="1" x14ac:dyDescent="0.35">
      <c r="A2475" s="112" t="s">
        <v>1814</v>
      </c>
      <c r="B2475" s="112" t="s">
        <v>906</v>
      </c>
      <c r="C2475" s="112" t="s">
        <v>1099</v>
      </c>
      <c r="D2475" s="113">
        <v>1069726</v>
      </c>
      <c r="E2475" s="115">
        <v>43889</v>
      </c>
      <c r="F2475" s="114">
        <v>202101</v>
      </c>
      <c r="G2475" s="112" t="s">
        <v>1091</v>
      </c>
      <c r="H2475" s="112" t="s">
        <v>1015</v>
      </c>
      <c r="I2475" s="112" t="s">
        <v>745</v>
      </c>
      <c r="J2475" s="112" t="s">
        <v>1815</v>
      </c>
      <c r="K2475" s="112" t="s">
        <v>2449</v>
      </c>
      <c r="L2475" s="116">
        <v>175</v>
      </c>
    </row>
    <row r="2476" spans="1:12" hidden="1" outlineLevel="1" collapsed="1" x14ac:dyDescent="0.35">
      <c r="A2476" s="112" t="s">
        <v>1814</v>
      </c>
      <c r="B2476" s="112" t="s">
        <v>906</v>
      </c>
      <c r="C2476" s="112" t="s">
        <v>1099</v>
      </c>
      <c r="D2476" s="113">
        <v>1069727</v>
      </c>
      <c r="E2476" s="115">
        <v>43889</v>
      </c>
      <c r="F2476" s="114">
        <v>202101</v>
      </c>
      <c r="G2476" s="112" t="s">
        <v>1091</v>
      </c>
      <c r="H2476" s="112" t="s">
        <v>1015</v>
      </c>
      <c r="I2476" s="112" t="s">
        <v>745</v>
      </c>
      <c r="J2476" s="112" t="s">
        <v>1815</v>
      </c>
      <c r="K2476" s="112" t="s">
        <v>2450</v>
      </c>
      <c r="L2476" s="116">
        <v>136</v>
      </c>
    </row>
    <row r="2477" spans="1:12" hidden="1" outlineLevel="1" collapsed="1" x14ac:dyDescent="0.35">
      <c r="A2477" s="112" t="s">
        <v>1814</v>
      </c>
      <c r="B2477" s="112" t="s">
        <v>906</v>
      </c>
      <c r="C2477" s="112" t="s">
        <v>1099</v>
      </c>
      <c r="D2477" s="113">
        <v>1069568</v>
      </c>
      <c r="E2477" s="115">
        <v>43921</v>
      </c>
      <c r="F2477" s="114">
        <v>202101</v>
      </c>
      <c r="G2477" s="112" t="s">
        <v>1091</v>
      </c>
      <c r="H2477" s="112" t="s">
        <v>1015</v>
      </c>
      <c r="I2477" s="112" t="s">
        <v>745</v>
      </c>
      <c r="J2477" s="112" t="s">
        <v>1815</v>
      </c>
      <c r="K2477" s="112" t="s">
        <v>2451</v>
      </c>
      <c r="L2477" s="116">
        <v>120</v>
      </c>
    </row>
    <row r="2478" spans="1:12" hidden="1" outlineLevel="1" collapsed="1" x14ac:dyDescent="0.35">
      <c r="A2478" s="112" t="s">
        <v>1814</v>
      </c>
      <c r="B2478" s="112" t="s">
        <v>905</v>
      </c>
      <c r="C2478" s="112" t="s">
        <v>1095</v>
      </c>
      <c r="D2478" s="113">
        <v>10348451</v>
      </c>
      <c r="E2478" s="115">
        <v>43949</v>
      </c>
      <c r="F2478" s="114">
        <v>202101</v>
      </c>
      <c r="G2478" s="112" t="s">
        <v>1091</v>
      </c>
      <c r="H2478" s="112" t="s">
        <v>1015</v>
      </c>
      <c r="I2478" s="112" t="s">
        <v>1116</v>
      </c>
      <c r="J2478" s="112" t="s">
        <v>1827</v>
      </c>
      <c r="K2478" s="112" t="s">
        <v>1098</v>
      </c>
      <c r="L2478" s="116">
        <v>2981.92</v>
      </c>
    </row>
    <row r="2479" spans="1:12" hidden="1" outlineLevel="1" collapsed="1" x14ac:dyDescent="0.35">
      <c r="A2479" s="112" t="s">
        <v>1814</v>
      </c>
      <c r="B2479" s="112" t="s">
        <v>905</v>
      </c>
      <c r="C2479" s="112" t="s">
        <v>1095</v>
      </c>
      <c r="D2479" s="113">
        <v>10348451</v>
      </c>
      <c r="E2479" s="115">
        <v>43949</v>
      </c>
      <c r="F2479" s="114">
        <v>202101</v>
      </c>
      <c r="G2479" s="112" t="s">
        <v>1091</v>
      </c>
      <c r="H2479" s="112" t="s">
        <v>1015</v>
      </c>
      <c r="I2479" s="112" t="s">
        <v>1116</v>
      </c>
      <c r="J2479" s="112" t="s">
        <v>1827</v>
      </c>
      <c r="K2479" s="112" t="s">
        <v>1098</v>
      </c>
      <c r="L2479" s="116">
        <v>2981.92</v>
      </c>
    </row>
    <row r="2480" spans="1:12" hidden="1" outlineLevel="1" collapsed="1" x14ac:dyDescent="0.35">
      <c r="A2480" s="112" t="s">
        <v>1814</v>
      </c>
      <c r="B2480" s="112" t="s">
        <v>905</v>
      </c>
      <c r="C2480" s="112" t="s">
        <v>1095</v>
      </c>
      <c r="D2480" s="113">
        <v>10348451</v>
      </c>
      <c r="E2480" s="115">
        <v>43949</v>
      </c>
      <c r="F2480" s="114">
        <v>202101</v>
      </c>
      <c r="G2480" s="112" t="s">
        <v>1091</v>
      </c>
      <c r="H2480" s="112" t="s">
        <v>1015</v>
      </c>
      <c r="I2480" s="112" t="s">
        <v>1116</v>
      </c>
      <c r="J2480" s="112" t="s">
        <v>1827</v>
      </c>
      <c r="K2480" s="112" t="s">
        <v>1098</v>
      </c>
      <c r="L2480" s="116">
        <v>3717</v>
      </c>
    </row>
    <row r="2481" spans="1:12" hidden="1" outlineLevel="1" collapsed="1" x14ac:dyDescent="0.35">
      <c r="A2481" s="112" t="s">
        <v>1814</v>
      </c>
      <c r="B2481" s="112" t="s">
        <v>906</v>
      </c>
      <c r="C2481" s="112" t="s">
        <v>695</v>
      </c>
      <c r="D2481" s="113">
        <v>10348402</v>
      </c>
      <c r="E2481" s="115">
        <v>43943</v>
      </c>
      <c r="F2481" s="114">
        <v>202101</v>
      </c>
      <c r="G2481" s="112" t="s">
        <v>1091</v>
      </c>
      <c r="H2481" s="112" t="s">
        <v>1015</v>
      </c>
      <c r="I2481" s="112" t="s">
        <v>2118</v>
      </c>
      <c r="J2481" s="112" t="s">
        <v>1815</v>
      </c>
      <c r="K2481" s="112" t="s">
        <v>2452</v>
      </c>
      <c r="L2481" s="116">
        <v>-22736.98</v>
      </c>
    </row>
    <row r="2482" spans="1:12" hidden="1" outlineLevel="1" collapsed="1" x14ac:dyDescent="0.35">
      <c r="A2482" s="112" t="s">
        <v>1814</v>
      </c>
      <c r="B2482" s="112" t="s">
        <v>906</v>
      </c>
      <c r="C2482" s="112" t="s">
        <v>695</v>
      </c>
      <c r="D2482" s="113">
        <v>10348402</v>
      </c>
      <c r="E2482" s="115">
        <v>43943</v>
      </c>
      <c r="F2482" s="114">
        <v>202101</v>
      </c>
      <c r="G2482" s="112" t="s">
        <v>1091</v>
      </c>
      <c r="H2482" s="112" t="s">
        <v>1015</v>
      </c>
      <c r="I2482" s="112" t="s">
        <v>2118</v>
      </c>
      <c r="J2482" s="112" t="s">
        <v>1815</v>
      </c>
      <c r="K2482" s="112" t="s">
        <v>2453</v>
      </c>
      <c r="L2482" s="116">
        <v>-83933.03</v>
      </c>
    </row>
    <row r="2483" spans="1:12" hidden="1" outlineLevel="1" collapsed="1" x14ac:dyDescent="0.35">
      <c r="A2483" s="112" t="s">
        <v>1814</v>
      </c>
      <c r="B2483" s="112" t="s">
        <v>906</v>
      </c>
      <c r="C2483" s="112" t="s">
        <v>695</v>
      </c>
      <c r="D2483" s="113">
        <v>10348402</v>
      </c>
      <c r="E2483" s="115">
        <v>43943</v>
      </c>
      <c r="F2483" s="114">
        <v>202101</v>
      </c>
      <c r="G2483" s="112" t="s">
        <v>1091</v>
      </c>
      <c r="H2483" s="112" t="s">
        <v>1015</v>
      </c>
      <c r="I2483" s="112" t="s">
        <v>2118</v>
      </c>
      <c r="J2483" s="112" t="s">
        <v>1815</v>
      </c>
      <c r="K2483" s="112" t="s">
        <v>2452</v>
      </c>
      <c r="L2483" s="116">
        <v>22736.98</v>
      </c>
    </row>
    <row r="2484" spans="1:12" hidden="1" outlineLevel="1" collapsed="1" x14ac:dyDescent="0.35">
      <c r="A2484" s="112" t="s">
        <v>1814</v>
      </c>
      <c r="B2484" s="112" t="s">
        <v>906</v>
      </c>
      <c r="C2484" s="112" t="s">
        <v>695</v>
      </c>
      <c r="D2484" s="113">
        <v>10348402</v>
      </c>
      <c r="E2484" s="115">
        <v>43943</v>
      </c>
      <c r="F2484" s="114">
        <v>202101</v>
      </c>
      <c r="G2484" s="112" t="s">
        <v>1091</v>
      </c>
      <c r="H2484" s="112" t="s">
        <v>1015</v>
      </c>
      <c r="I2484" s="112" t="s">
        <v>2118</v>
      </c>
      <c r="J2484" s="112" t="s">
        <v>1815</v>
      </c>
      <c r="K2484" s="112" t="s">
        <v>2453</v>
      </c>
      <c r="L2484" s="116">
        <v>83933.03</v>
      </c>
    </row>
    <row r="2485" spans="1:12" hidden="1" outlineLevel="1" collapsed="1" x14ac:dyDescent="0.35">
      <c r="A2485" s="112" t="s">
        <v>1814</v>
      </c>
      <c r="B2485" s="112" t="s">
        <v>904</v>
      </c>
      <c r="C2485" s="112" t="s">
        <v>1095</v>
      </c>
      <c r="D2485" s="113">
        <v>10348451</v>
      </c>
      <c r="E2485" s="115">
        <v>43949</v>
      </c>
      <c r="F2485" s="114">
        <v>202101</v>
      </c>
      <c r="G2485" s="112" t="s">
        <v>1091</v>
      </c>
      <c r="H2485" s="112" t="s">
        <v>1015</v>
      </c>
      <c r="I2485" s="112" t="s">
        <v>1116</v>
      </c>
      <c r="J2485" s="112" t="s">
        <v>1838</v>
      </c>
      <c r="K2485" s="112" t="s">
        <v>1098</v>
      </c>
      <c r="L2485" s="116">
        <v>2631.25</v>
      </c>
    </row>
    <row r="2486" spans="1:12" hidden="1" outlineLevel="1" collapsed="1" x14ac:dyDescent="0.35">
      <c r="A2486" s="112" t="s">
        <v>1814</v>
      </c>
      <c r="B2486" s="112" t="s">
        <v>905</v>
      </c>
      <c r="C2486" s="112" t="s">
        <v>1095</v>
      </c>
      <c r="D2486" s="113">
        <v>10348451</v>
      </c>
      <c r="E2486" s="115">
        <v>43949</v>
      </c>
      <c r="F2486" s="114">
        <v>202101</v>
      </c>
      <c r="G2486" s="112" t="s">
        <v>1091</v>
      </c>
      <c r="H2486" s="112" t="s">
        <v>1015</v>
      </c>
      <c r="I2486" s="112" t="s">
        <v>1116</v>
      </c>
      <c r="J2486" s="112" t="s">
        <v>1827</v>
      </c>
      <c r="K2486" s="112" t="s">
        <v>1098</v>
      </c>
      <c r="L2486" s="116">
        <v>3391.33</v>
      </c>
    </row>
    <row r="2487" spans="1:12" hidden="1" outlineLevel="1" collapsed="1" x14ac:dyDescent="0.35">
      <c r="A2487" s="112" t="s">
        <v>1814</v>
      </c>
      <c r="B2487" s="112" t="s">
        <v>906</v>
      </c>
      <c r="C2487" s="112" t="s">
        <v>1106</v>
      </c>
      <c r="D2487" s="113">
        <v>3098059</v>
      </c>
      <c r="E2487" s="115">
        <v>43935</v>
      </c>
      <c r="F2487" s="114">
        <v>202101</v>
      </c>
      <c r="G2487" s="112" t="s">
        <v>1091</v>
      </c>
      <c r="H2487" s="112" t="s">
        <v>1015</v>
      </c>
      <c r="I2487" s="112" t="s">
        <v>2454</v>
      </c>
      <c r="J2487" s="112" t="s">
        <v>1815</v>
      </c>
      <c r="K2487" s="112" t="s">
        <v>2455</v>
      </c>
      <c r="L2487" s="116">
        <v>60</v>
      </c>
    </row>
    <row r="2488" spans="1:12" hidden="1" outlineLevel="1" collapsed="1" x14ac:dyDescent="0.35">
      <c r="A2488" s="112" t="s">
        <v>1814</v>
      </c>
      <c r="B2488" s="112" t="s">
        <v>905</v>
      </c>
      <c r="C2488" s="112" t="s">
        <v>1095</v>
      </c>
      <c r="D2488" s="113">
        <v>10348451</v>
      </c>
      <c r="E2488" s="115">
        <v>43949</v>
      </c>
      <c r="F2488" s="114">
        <v>202101</v>
      </c>
      <c r="G2488" s="112" t="s">
        <v>1091</v>
      </c>
      <c r="H2488" s="112" t="s">
        <v>1015</v>
      </c>
      <c r="I2488" s="112" t="s">
        <v>1116</v>
      </c>
      <c r="J2488" s="112" t="s">
        <v>1827</v>
      </c>
      <c r="K2488" s="112" t="s">
        <v>1098</v>
      </c>
      <c r="L2488" s="116">
        <v>1695.67</v>
      </c>
    </row>
    <row r="2489" spans="1:12" hidden="1" outlineLevel="1" collapsed="1" x14ac:dyDescent="0.35">
      <c r="A2489" s="112" t="s">
        <v>1814</v>
      </c>
      <c r="B2489" s="112" t="s">
        <v>905</v>
      </c>
      <c r="C2489" s="112" t="s">
        <v>1095</v>
      </c>
      <c r="D2489" s="113">
        <v>10348451</v>
      </c>
      <c r="E2489" s="115">
        <v>43949</v>
      </c>
      <c r="F2489" s="114">
        <v>202101</v>
      </c>
      <c r="G2489" s="112" t="s">
        <v>1091</v>
      </c>
      <c r="H2489" s="112" t="s">
        <v>1015</v>
      </c>
      <c r="I2489" s="112" t="s">
        <v>1116</v>
      </c>
      <c r="J2489" s="112" t="s">
        <v>1827</v>
      </c>
      <c r="K2489" s="112" t="s">
        <v>1098</v>
      </c>
      <c r="L2489" s="116">
        <v>2981.92</v>
      </c>
    </row>
    <row r="2490" spans="1:12" hidden="1" outlineLevel="1" collapsed="1" x14ac:dyDescent="0.35">
      <c r="A2490" s="112" t="s">
        <v>1814</v>
      </c>
      <c r="B2490" s="112" t="s">
        <v>905</v>
      </c>
      <c r="C2490" s="112" t="s">
        <v>203</v>
      </c>
      <c r="D2490" s="113">
        <v>10348453</v>
      </c>
      <c r="E2490" s="115">
        <v>43948</v>
      </c>
      <c r="F2490" s="114">
        <v>202101</v>
      </c>
      <c r="G2490" s="112" t="s">
        <v>1091</v>
      </c>
      <c r="H2490" s="112" t="s">
        <v>1015</v>
      </c>
      <c r="I2490" s="112" t="s">
        <v>1479</v>
      </c>
      <c r="J2490" s="112" t="s">
        <v>1827</v>
      </c>
      <c r="K2490" s="112" t="s">
        <v>1098</v>
      </c>
      <c r="L2490" s="116">
        <v>-2093.2399999999998</v>
      </c>
    </row>
    <row r="2491" spans="1:12" hidden="1" outlineLevel="1" collapsed="1" x14ac:dyDescent="0.35">
      <c r="A2491" s="112" t="s">
        <v>1814</v>
      </c>
      <c r="B2491" s="112" t="s">
        <v>905</v>
      </c>
      <c r="C2491" s="112" t="s">
        <v>1095</v>
      </c>
      <c r="D2491" s="113">
        <v>10348451</v>
      </c>
      <c r="E2491" s="115">
        <v>43949</v>
      </c>
      <c r="F2491" s="114">
        <v>202101</v>
      </c>
      <c r="G2491" s="112" t="s">
        <v>1091</v>
      </c>
      <c r="H2491" s="112" t="s">
        <v>1015</v>
      </c>
      <c r="I2491" s="112" t="s">
        <v>1116</v>
      </c>
      <c r="J2491" s="112" t="s">
        <v>1827</v>
      </c>
      <c r="K2491" s="112" t="s">
        <v>1098</v>
      </c>
      <c r="L2491" s="116">
        <v>2981.92</v>
      </c>
    </row>
    <row r="2492" spans="1:12" hidden="1" outlineLevel="1" collapsed="1" x14ac:dyDescent="0.35">
      <c r="A2492" s="112" t="s">
        <v>1814</v>
      </c>
      <c r="B2492" s="112" t="s">
        <v>905</v>
      </c>
      <c r="C2492" s="112" t="s">
        <v>1095</v>
      </c>
      <c r="D2492" s="113">
        <v>10348451</v>
      </c>
      <c r="E2492" s="115">
        <v>43949</v>
      </c>
      <c r="F2492" s="114">
        <v>202101</v>
      </c>
      <c r="G2492" s="112" t="s">
        <v>1091</v>
      </c>
      <c r="H2492" s="112" t="s">
        <v>1015</v>
      </c>
      <c r="I2492" s="112" t="s">
        <v>1116</v>
      </c>
      <c r="J2492" s="112" t="s">
        <v>1827</v>
      </c>
      <c r="K2492" s="112" t="s">
        <v>1098</v>
      </c>
      <c r="L2492" s="116">
        <v>3974.5</v>
      </c>
    </row>
    <row r="2493" spans="1:12" hidden="1" outlineLevel="1" collapsed="1" x14ac:dyDescent="0.35">
      <c r="A2493" s="112" t="s">
        <v>1814</v>
      </c>
      <c r="B2493" s="112" t="s">
        <v>905</v>
      </c>
      <c r="C2493" s="112" t="s">
        <v>1095</v>
      </c>
      <c r="D2493" s="113">
        <v>10348451</v>
      </c>
      <c r="E2493" s="115">
        <v>43949</v>
      </c>
      <c r="F2493" s="114">
        <v>202101</v>
      </c>
      <c r="G2493" s="112" t="s">
        <v>1091</v>
      </c>
      <c r="H2493" s="112" t="s">
        <v>1015</v>
      </c>
      <c r="I2493" s="112" t="s">
        <v>1116</v>
      </c>
      <c r="J2493" s="112" t="s">
        <v>1827</v>
      </c>
      <c r="K2493" s="112" t="s">
        <v>1098</v>
      </c>
      <c r="L2493" s="116">
        <v>2981.92</v>
      </c>
    </row>
    <row r="2494" spans="1:12" hidden="1" outlineLevel="1" collapsed="1" x14ac:dyDescent="0.35">
      <c r="A2494" s="112" t="s">
        <v>1814</v>
      </c>
      <c r="B2494" s="112" t="s">
        <v>906</v>
      </c>
      <c r="C2494" s="112" t="s">
        <v>679</v>
      </c>
      <c r="D2494" s="113">
        <v>10348411</v>
      </c>
      <c r="E2494" s="115">
        <v>43943</v>
      </c>
      <c r="F2494" s="114">
        <v>202101</v>
      </c>
      <c r="G2494" s="112" t="s">
        <v>1091</v>
      </c>
      <c r="H2494" s="112" t="s">
        <v>1015</v>
      </c>
      <c r="I2494" s="112" t="s">
        <v>736</v>
      </c>
      <c r="J2494" s="112" t="s">
        <v>1874</v>
      </c>
      <c r="K2494" s="112" t="s">
        <v>2456</v>
      </c>
      <c r="L2494" s="116">
        <v>1646.7</v>
      </c>
    </row>
    <row r="2495" spans="1:12" hidden="1" outlineLevel="1" collapsed="1" x14ac:dyDescent="0.35">
      <c r="A2495" s="112" t="s">
        <v>1814</v>
      </c>
      <c r="B2495" s="112" t="s">
        <v>905</v>
      </c>
      <c r="C2495" s="112" t="s">
        <v>1095</v>
      </c>
      <c r="D2495" s="113">
        <v>10348451</v>
      </c>
      <c r="E2495" s="115">
        <v>43949</v>
      </c>
      <c r="F2495" s="114">
        <v>202101</v>
      </c>
      <c r="G2495" s="112" t="s">
        <v>1091</v>
      </c>
      <c r="H2495" s="112" t="s">
        <v>1015</v>
      </c>
      <c r="I2495" s="112" t="s">
        <v>1116</v>
      </c>
      <c r="J2495" s="112" t="s">
        <v>1827</v>
      </c>
      <c r="K2495" s="112" t="s">
        <v>1098</v>
      </c>
      <c r="L2495" s="116">
        <v>1885.86</v>
      </c>
    </row>
    <row r="2496" spans="1:12" hidden="1" outlineLevel="1" collapsed="1" x14ac:dyDescent="0.35">
      <c r="A2496" s="112" t="s">
        <v>1814</v>
      </c>
      <c r="B2496" s="112" t="s">
        <v>905</v>
      </c>
      <c r="C2496" s="112" t="s">
        <v>1095</v>
      </c>
      <c r="D2496" s="113">
        <v>10348451</v>
      </c>
      <c r="E2496" s="115">
        <v>43949</v>
      </c>
      <c r="F2496" s="114">
        <v>202101</v>
      </c>
      <c r="G2496" s="112" t="s">
        <v>1091</v>
      </c>
      <c r="H2496" s="112" t="s">
        <v>1015</v>
      </c>
      <c r="I2496" s="112" t="s">
        <v>1116</v>
      </c>
      <c r="J2496" s="112" t="s">
        <v>1878</v>
      </c>
      <c r="K2496" s="112" t="s">
        <v>1098</v>
      </c>
      <c r="L2496" s="116">
        <v>2857.88</v>
      </c>
    </row>
    <row r="2497" spans="1:12" hidden="1" outlineLevel="1" collapsed="1" x14ac:dyDescent="0.35">
      <c r="A2497" s="112" t="s">
        <v>1814</v>
      </c>
      <c r="B2497" s="112" t="s">
        <v>905</v>
      </c>
      <c r="C2497" s="112" t="s">
        <v>1095</v>
      </c>
      <c r="D2497" s="113">
        <v>10348451</v>
      </c>
      <c r="E2497" s="115">
        <v>43949</v>
      </c>
      <c r="F2497" s="114">
        <v>202101</v>
      </c>
      <c r="G2497" s="112" t="s">
        <v>1091</v>
      </c>
      <c r="H2497" s="112" t="s">
        <v>1015</v>
      </c>
      <c r="I2497" s="112" t="s">
        <v>1116</v>
      </c>
      <c r="J2497" s="112" t="s">
        <v>1827</v>
      </c>
      <c r="K2497" s="112" t="s">
        <v>1098</v>
      </c>
      <c r="L2497" s="116">
        <v>2385.5300000000002</v>
      </c>
    </row>
    <row r="2498" spans="1:12" hidden="1" outlineLevel="1" collapsed="1" x14ac:dyDescent="0.35">
      <c r="A2498" s="112" t="s">
        <v>1814</v>
      </c>
      <c r="B2498" s="112" t="s">
        <v>905</v>
      </c>
      <c r="C2498" s="112" t="s">
        <v>1095</v>
      </c>
      <c r="D2498" s="113">
        <v>10348451</v>
      </c>
      <c r="E2498" s="115">
        <v>43949</v>
      </c>
      <c r="F2498" s="114">
        <v>202101</v>
      </c>
      <c r="G2498" s="112" t="s">
        <v>1091</v>
      </c>
      <c r="H2498" s="112" t="s">
        <v>1015</v>
      </c>
      <c r="I2498" s="112" t="s">
        <v>1116</v>
      </c>
      <c r="J2498" s="112" t="s">
        <v>1827</v>
      </c>
      <c r="K2498" s="112" t="s">
        <v>1098</v>
      </c>
      <c r="L2498" s="116">
        <v>2981.92</v>
      </c>
    </row>
    <row r="2499" spans="1:12" hidden="1" outlineLevel="1" collapsed="1" x14ac:dyDescent="0.35">
      <c r="A2499" s="112" t="s">
        <v>1814</v>
      </c>
      <c r="B2499" s="112" t="s">
        <v>904</v>
      </c>
      <c r="C2499" s="112" t="s">
        <v>1095</v>
      </c>
      <c r="D2499" s="113">
        <v>10348451</v>
      </c>
      <c r="E2499" s="115">
        <v>43949</v>
      </c>
      <c r="F2499" s="114">
        <v>202101</v>
      </c>
      <c r="G2499" s="112" t="s">
        <v>1091</v>
      </c>
      <c r="H2499" s="112" t="s">
        <v>1015</v>
      </c>
      <c r="I2499" s="112" t="s">
        <v>1116</v>
      </c>
      <c r="J2499" s="112" t="s">
        <v>1838</v>
      </c>
      <c r="K2499" s="112" t="s">
        <v>1098</v>
      </c>
      <c r="L2499" s="116">
        <v>2702</v>
      </c>
    </row>
    <row r="2500" spans="1:12" hidden="1" outlineLevel="1" collapsed="1" x14ac:dyDescent="0.35">
      <c r="A2500" s="112" t="s">
        <v>1814</v>
      </c>
      <c r="B2500" s="112" t="s">
        <v>905</v>
      </c>
      <c r="C2500" s="112" t="s">
        <v>1095</v>
      </c>
      <c r="D2500" s="113">
        <v>10348451</v>
      </c>
      <c r="E2500" s="115">
        <v>43949</v>
      </c>
      <c r="F2500" s="114">
        <v>202101</v>
      </c>
      <c r="G2500" s="112" t="s">
        <v>1091</v>
      </c>
      <c r="H2500" s="112" t="s">
        <v>1015</v>
      </c>
      <c r="I2500" s="112" t="s">
        <v>1116</v>
      </c>
      <c r="J2500" s="112" t="s">
        <v>1827</v>
      </c>
      <c r="K2500" s="112" t="s">
        <v>1098</v>
      </c>
      <c r="L2500" s="116">
        <v>2981.92</v>
      </c>
    </row>
    <row r="2501" spans="1:12" hidden="1" outlineLevel="1" collapsed="1" x14ac:dyDescent="0.35">
      <c r="A2501" s="112" t="s">
        <v>1814</v>
      </c>
      <c r="B2501" s="112" t="s">
        <v>906</v>
      </c>
      <c r="C2501" s="112" t="s">
        <v>1106</v>
      </c>
      <c r="D2501" s="113">
        <v>3098206</v>
      </c>
      <c r="E2501" s="115">
        <v>43935</v>
      </c>
      <c r="F2501" s="114">
        <v>202101</v>
      </c>
      <c r="G2501" s="112" t="s">
        <v>1091</v>
      </c>
      <c r="H2501" s="112" t="s">
        <v>1015</v>
      </c>
      <c r="I2501" s="112" t="s">
        <v>1169</v>
      </c>
      <c r="J2501" s="112" t="s">
        <v>1815</v>
      </c>
      <c r="K2501" s="112" t="s">
        <v>2457</v>
      </c>
      <c r="L2501" s="116">
        <v>3247.26</v>
      </c>
    </row>
    <row r="2502" spans="1:12" hidden="1" outlineLevel="1" collapsed="1" x14ac:dyDescent="0.35">
      <c r="A2502" s="112" t="s">
        <v>1814</v>
      </c>
      <c r="B2502" s="112" t="s">
        <v>905</v>
      </c>
      <c r="C2502" s="112" t="s">
        <v>1095</v>
      </c>
      <c r="D2502" s="113">
        <v>10348451</v>
      </c>
      <c r="E2502" s="115">
        <v>43949</v>
      </c>
      <c r="F2502" s="114">
        <v>202101</v>
      </c>
      <c r="G2502" s="112" t="s">
        <v>1091</v>
      </c>
      <c r="H2502" s="112" t="s">
        <v>1015</v>
      </c>
      <c r="I2502" s="112" t="s">
        <v>1116</v>
      </c>
      <c r="J2502" s="112" t="s">
        <v>1878</v>
      </c>
      <c r="K2502" s="112" t="s">
        <v>1098</v>
      </c>
      <c r="L2502" s="116">
        <v>2631.25</v>
      </c>
    </row>
    <row r="2503" spans="1:12" hidden="1" outlineLevel="1" collapsed="1" x14ac:dyDescent="0.35">
      <c r="A2503" s="112" t="s">
        <v>1814</v>
      </c>
      <c r="B2503" s="112" t="s">
        <v>905</v>
      </c>
      <c r="C2503" s="112" t="s">
        <v>1511</v>
      </c>
      <c r="D2503" s="113">
        <v>47036628</v>
      </c>
      <c r="E2503" s="115">
        <v>43930</v>
      </c>
      <c r="F2503" s="114">
        <v>202101</v>
      </c>
      <c r="G2503" s="112" t="s">
        <v>1091</v>
      </c>
      <c r="H2503" s="112" t="s">
        <v>1015</v>
      </c>
      <c r="I2503" s="112" t="s">
        <v>751</v>
      </c>
      <c r="J2503" s="112" t="s">
        <v>1822</v>
      </c>
      <c r="K2503" s="112" t="s">
        <v>2458</v>
      </c>
      <c r="L2503" s="116">
        <v>95.76</v>
      </c>
    </row>
    <row r="2504" spans="1:12" hidden="1" outlineLevel="1" collapsed="1" x14ac:dyDescent="0.35">
      <c r="A2504" s="112" t="s">
        <v>1814</v>
      </c>
      <c r="B2504" s="112" t="s">
        <v>906</v>
      </c>
      <c r="C2504" s="112" t="s">
        <v>695</v>
      </c>
      <c r="D2504" s="113">
        <v>10348237</v>
      </c>
      <c r="E2504" s="115">
        <v>43936</v>
      </c>
      <c r="F2504" s="114">
        <v>202101</v>
      </c>
      <c r="G2504" s="112" t="s">
        <v>1091</v>
      </c>
      <c r="H2504" s="112" t="s">
        <v>1015</v>
      </c>
      <c r="I2504" s="112" t="s">
        <v>2118</v>
      </c>
      <c r="J2504" s="112" t="s">
        <v>1815</v>
      </c>
      <c r="K2504" s="112" t="s">
        <v>2452</v>
      </c>
      <c r="L2504" s="116">
        <v>22736.98</v>
      </c>
    </row>
    <row r="2505" spans="1:12" hidden="1" outlineLevel="1" collapsed="1" x14ac:dyDescent="0.35">
      <c r="A2505" s="112" t="s">
        <v>1814</v>
      </c>
      <c r="B2505" s="112" t="s">
        <v>906</v>
      </c>
      <c r="C2505" s="112" t="s">
        <v>695</v>
      </c>
      <c r="D2505" s="113">
        <v>10348237</v>
      </c>
      <c r="E2505" s="115">
        <v>43936</v>
      </c>
      <c r="F2505" s="114">
        <v>202101</v>
      </c>
      <c r="G2505" s="112" t="s">
        <v>1091</v>
      </c>
      <c r="H2505" s="112" t="s">
        <v>1015</v>
      </c>
      <c r="I2505" s="112" t="s">
        <v>813</v>
      </c>
      <c r="J2505" s="112" t="s">
        <v>1815</v>
      </c>
      <c r="K2505" s="112" t="s">
        <v>2001</v>
      </c>
      <c r="L2505" s="116">
        <v>12977.1</v>
      </c>
    </row>
    <row r="2506" spans="1:12" hidden="1" outlineLevel="1" collapsed="1" x14ac:dyDescent="0.35">
      <c r="A2506" s="112" t="s">
        <v>1814</v>
      </c>
      <c r="B2506" s="112" t="s">
        <v>906</v>
      </c>
      <c r="C2506" s="112" t="s">
        <v>695</v>
      </c>
      <c r="D2506" s="113">
        <v>10348237</v>
      </c>
      <c r="E2506" s="115">
        <v>43936</v>
      </c>
      <c r="F2506" s="114">
        <v>202101</v>
      </c>
      <c r="G2506" s="112" t="s">
        <v>1091</v>
      </c>
      <c r="H2506" s="112" t="s">
        <v>1015</v>
      </c>
      <c r="I2506" s="112" t="s">
        <v>2118</v>
      </c>
      <c r="J2506" s="112" t="s">
        <v>1815</v>
      </c>
      <c r="K2506" s="112" t="s">
        <v>2453</v>
      </c>
      <c r="L2506" s="116">
        <v>83933.03</v>
      </c>
    </row>
    <row r="2507" spans="1:12" hidden="1" outlineLevel="1" collapsed="1" x14ac:dyDescent="0.35">
      <c r="A2507" s="112" t="s">
        <v>1814</v>
      </c>
      <c r="B2507" s="112" t="s">
        <v>906</v>
      </c>
      <c r="C2507" s="112" t="s">
        <v>1106</v>
      </c>
      <c r="D2507" s="113">
        <v>3098258</v>
      </c>
      <c r="E2507" s="115">
        <v>43935</v>
      </c>
      <c r="F2507" s="114">
        <v>202101</v>
      </c>
      <c r="G2507" s="112" t="s">
        <v>1091</v>
      </c>
      <c r="H2507" s="112" t="s">
        <v>1015</v>
      </c>
      <c r="I2507" s="112" t="s">
        <v>1169</v>
      </c>
      <c r="J2507" s="112" t="s">
        <v>1815</v>
      </c>
      <c r="K2507" s="112" t="s">
        <v>2459</v>
      </c>
      <c r="L2507" s="116">
        <v>87.4</v>
      </c>
    </row>
    <row r="2508" spans="1:12" hidden="1" outlineLevel="1" collapsed="1" x14ac:dyDescent="0.35">
      <c r="A2508" s="112" t="s">
        <v>1814</v>
      </c>
      <c r="B2508" s="112" t="s">
        <v>905</v>
      </c>
      <c r="C2508" s="112" t="s">
        <v>1511</v>
      </c>
      <c r="D2508" s="113">
        <v>47036626</v>
      </c>
      <c r="E2508" s="115">
        <v>43930</v>
      </c>
      <c r="F2508" s="114">
        <v>202101</v>
      </c>
      <c r="G2508" s="112" t="s">
        <v>1091</v>
      </c>
      <c r="H2508" s="112" t="s">
        <v>1015</v>
      </c>
      <c r="I2508" s="112" t="s">
        <v>751</v>
      </c>
      <c r="J2508" s="112" t="s">
        <v>1822</v>
      </c>
      <c r="K2508" s="112" t="s">
        <v>2460</v>
      </c>
      <c r="L2508" s="116">
        <v>120.05</v>
      </c>
    </row>
    <row r="2509" spans="1:12" hidden="1" outlineLevel="1" collapsed="1" x14ac:dyDescent="0.35">
      <c r="A2509" s="112" t="s">
        <v>1814</v>
      </c>
      <c r="B2509" s="112" t="s">
        <v>905</v>
      </c>
      <c r="C2509" s="112" t="s">
        <v>1511</v>
      </c>
      <c r="D2509" s="113">
        <v>47036625</v>
      </c>
      <c r="E2509" s="115">
        <v>43930</v>
      </c>
      <c r="F2509" s="114">
        <v>202101</v>
      </c>
      <c r="G2509" s="112" t="s">
        <v>1091</v>
      </c>
      <c r="H2509" s="112" t="s">
        <v>1015</v>
      </c>
      <c r="I2509" s="112" t="s">
        <v>751</v>
      </c>
      <c r="J2509" s="112" t="s">
        <v>1822</v>
      </c>
      <c r="K2509" s="112" t="s">
        <v>2461</v>
      </c>
      <c r="L2509" s="116">
        <v>78.81</v>
      </c>
    </row>
    <row r="2510" spans="1:12" hidden="1" outlineLevel="1" collapsed="1" x14ac:dyDescent="0.35">
      <c r="A2510" s="112" t="s">
        <v>1814</v>
      </c>
      <c r="B2510" s="112" t="s">
        <v>905</v>
      </c>
      <c r="C2510" s="112" t="s">
        <v>1511</v>
      </c>
      <c r="D2510" s="113">
        <v>47036622</v>
      </c>
      <c r="E2510" s="115">
        <v>43930</v>
      </c>
      <c r="F2510" s="114">
        <v>202101</v>
      </c>
      <c r="G2510" s="112" t="s">
        <v>1091</v>
      </c>
      <c r="H2510" s="112" t="s">
        <v>1015</v>
      </c>
      <c r="I2510" s="112" t="s">
        <v>751</v>
      </c>
      <c r="J2510" s="112" t="s">
        <v>1822</v>
      </c>
      <c r="K2510" s="112" t="s">
        <v>2462</v>
      </c>
      <c r="L2510" s="116">
        <v>168.87</v>
      </c>
    </row>
    <row r="2511" spans="1:12" hidden="1" outlineLevel="1" collapsed="1" x14ac:dyDescent="0.35">
      <c r="A2511" s="112" t="s">
        <v>1814</v>
      </c>
      <c r="B2511" s="112" t="s">
        <v>905</v>
      </c>
      <c r="C2511" s="112" t="s">
        <v>1511</v>
      </c>
      <c r="D2511" s="113">
        <v>47036619</v>
      </c>
      <c r="E2511" s="115">
        <v>43930</v>
      </c>
      <c r="F2511" s="114">
        <v>202101</v>
      </c>
      <c r="G2511" s="112" t="s">
        <v>1091</v>
      </c>
      <c r="H2511" s="112" t="s">
        <v>1015</v>
      </c>
      <c r="I2511" s="112" t="s">
        <v>751</v>
      </c>
      <c r="J2511" s="112" t="s">
        <v>1822</v>
      </c>
      <c r="K2511" s="112" t="s">
        <v>2463</v>
      </c>
      <c r="L2511" s="116">
        <v>-150.24</v>
      </c>
    </row>
    <row r="2512" spans="1:12" hidden="1" outlineLevel="1" collapsed="1" x14ac:dyDescent="0.35">
      <c r="A2512" s="112" t="s">
        <v>1814</v>
      </c>
      <c r="B2512" s="112" t="s">
        <v>905</v>
      </c>
      <c r="C2512" s="112" t="s">
        <v>1511</v>
      </c>
      <c r="D2512" s="113">
        <v>47036618</v>
      </c>
      <c r="E2512" s="115">
        <v>43930</v>
      </c>
      <c r="F2512" s="114">
        <v>202101</v>
      </c>
      <c r="G2512" s="112" t="s">
        <v>1091</v>
      </c>
      <c r="H2512" s="112" t="s">
        <v>1015</v>
      </c>
      <c r="I2512" s="112" t="s">
        <v>751</v>
      </c>
      <c r="J2512" s="112" t="s">
        <v>1822</v>
      </c>
      <c r="K2512" s="112" t="s">
        <v>2463</v>
      </c>
      <c r="L2512" s="116">
        <v>98.96</v>
      </c>
    </row>
    <row r="2513" spans="1:12" hidden="1" outlineLevel="1" collapsed="1" x14ac:dyDescent="0.35">
      <c r="A2513" s="112" t="s">
        <v>1814</v>
      </c>
      <c r="B2513" s="112" t="s">
        <v>905</v>
      </c>
      <c r="C2513" s="112" t="s">
        <v>1511</v>
      </c>
      <c r="D2513" s="113">
        <v>47036615</v>
      </c>
      <c r="E2513" s="115">
        <v>43930</v>
      </c>
      <c r="F2513" s="114">
        <v>202101</v>
      </c>
      <c r="G2513" s="112" t="s">
        <v>1091</v>
      </c>
      <c r="H2513" s="112" t="s">
        <v>1015</v>
      </c>
      <c r="I2513" s="112" t="s">
        <v>751</v>
      </c>
      <c r="J2513" s="112" t="s">
        <v>1822</v>
      </c>
      <c r="K2513" s="112" t="s">
        <v>2464</v>
      </c>
      <c r="L2513" s="116">
        <v>-74.19</v>
      </c>
    </row>
    <row r="2514" spans="1:12" hidden="1" outlineLevel="1" collapsed="1" x14ac:dyDescent="0.35">
      <c r="A2514" s="112" t="s">
        <v>1814</v>
      </c>
      <c r="B2514" s="112" t="s">
        <v>905</v>
      </c>
      <c r="C2514" s="112" t="s">
        <v>1511</v>
      </c>
      <c r="D2514" s="113">
        <v>47036632</v>
      </c>
      <c r="E2514" s="115">
        <v>43930</v>
      </c>
      <c r="F2514" s="114">
        <v>202101</v>
      </c>
      <c r="G2514" s="112" t="s">
        <v>1091</v>
      </c>
      <c r="H2514" s="112" t="s">
        <v>1015</v>
      </c>
      <c r="I2514" s="112" t="s">
        <v>749</v>
      </c>
      <c r="J2514" s="112" t="s">
        <v>1822</v>
      </c>
      <c r="K2514" s="112" t="s">
        <v>2465</v>
      </c>
      <c r="L2514" s="116">
        <v>126.64</v>
      </c>
    </row>
    <row r="2515" spans="1:12" hidden="1" outlineLevel="1" collapsed="1" x14ac:dyDescent="0.35">
      <c r="A2515" s="112" t="s">
        <v>1814</v>
      </c>
      <c r="B2515" s="112" t="s">
        <v>905</v>
      </c>
      <c r="C2515" s="112" t="s">
        <v>1095</v>
      </c>
      <c r="D2515" s="113">
        <v>10348451</v>
      </c>
      <c r="E2515" s="115">
        <v>43949</v>
      </c>
      <c r="F2515" s="114">
        <v>202101</v>
      </c>
      <c r="G2515" s="112" t="s">
        <v>1091</v>
      </c>
      <c r="H2515" s="112" t="s">
        <v>1015</v>
      </c>
      <c r="I2515" s="112" t="s">
        <v>1116</v>
      </c>
      <c r="J2515" s="112" t="s">
        <v>1878</v>
      </c>
      <c r="K2515" s="112" t="s">
        <v>1098</v>
      </c>
      <c r="L2515" s="116">
        <v>2738.92</v>
      </c>
    </row>
    <row r="2516" spans="1:12" hidden="1" outlineLevel="1" collapsed="1" x14ac:dyDescent="0.35">
      <c r="A2516" s="112" t="s">
        <v>1814</v>
      </c>
      <c r="B2516" s="112" t="s">
        <v>905</v>
      </c>
      <c r="C2516" s="112" t="s">
        <v>1095</v>
      </c>
      <c r="D2516" s="113">
        <v>10348451</v>
      </c>
      <c r="E2516" s="115">
        <v>43949</v>
      </c>
      <c r="F2516" s="114">
        <v>202101</v>
      </c>
      <c r="G2516" s="112" t="s">
        <v>1091</v>
      </c>
      <c r="H2516" s="112" t="s">
        <v>1015</v>
      </c>
      <c r="I2516" s="112" t="s">
        <v>1116</v>
      </c>
      <c r="J2516" s="112" t="s">
        <v>1877</v>
      </c>
      <c r="K2516" s="112" t="s">
        <v>1098</v>
      </c>
      <c r="L2516" s="116">
        <v>4249.08</v>
      </c>
    </row>
    <row r="2517" spans="1:12" hidden="1" outlineLevel="1" collapsed="1" x14ac:dyDescent="0.35">
      <c r="A2517" s="112" t="s">
        <v>1814</v>
      </c>
      <c r="B2517" s="112" t="s">
        <v>905</v>
      </c>
      <c r="C2517" s="112" t="s">
        <v>1095</v>
      </c>
      <c r="D2517" s="113">
        <v>10348451</v>
      </c>
      <c r="E2517" s="115">
        <v>43949</v>
      </c>
      <c r="F2517" s="114">
        <v>202101</v>
      </c>
      <c r="G2517" s="112" t="s">
        <v>1091</v>
      </c>
      <c r="H2517" s="112" t="s">
        <v>1015</v>
      </c>
      <c r="I2517" s="112" t="s">
        <v>1116</v>
      </c>
      <c r="J2517" s="112" t="s">
        <v>1971</v>
      </c>
      <c r="K2517" s="112" t="s">
        <v>1098</v>
      </c>
      <c r="L2517" s="116">
        <v>2931.92</v>
      </c>
    </row>
    <row r="2518" spans="1:12" hidden="1" outlineLevel="1" collapsed="1" x14ac:dyDescent="0.35">
      <c r="A2518" s="112" t="s">
        <v>1814</v>
      </c>
      <c r="B2518" s="112" t="s">
        <v>905</v>
      </c>
      <c r="C2518" s="112" t="s">
        <v>1095</v>
      </c>
      <c r="D2518" s="113">
        <v>10348451</v>
      </c>
      <c r="E2518" s="115">
        <v>43949</v>
      </c>
      <c r="F2518" s="114">
        <v>202101</v>
      </c>
      <c r="G2518" s="112" t="s">
        <v>1091</v>
      </c>
      <c r="H2518" s="112" t="s">
        <v>1015</v>
      </c>
      <c r="I2518" s="112" t="s">
        <v>1116</v>
      </c>
      <c r="J2518" s="112" t="s">
        <v>1996</v>
      </c>
      <c r="K2518" s="112" t="s">
        <v>1098</v>
      </c>
      <c r="L2518" s="116">
        <v>2981.92</v>
      </c>
    </row>
    <row r="2519" spans="1:12" hidden="1" outlineLevel="1" collapsed="1" x14ac:dyDescent="0.35">
      <c r="A2519" s="112" t="s">
        <v>1814</v>
      </c>
      <c r="B2519" s="112" t="s">
        <v>906</v>
      </c>
      <c r="C2519" s="112" t="s">
        <v>1095</v>
      </c>
      <c r="D2519" s="113">
        <v>10348451</v>
      </c>
      <c r="E2519" s="115">
        <v>43949</v>
      </c>
      <c r="F2519" s="114">
        <v>202101</v>
      </c>
      <c r="G2519" s="112" t="s">
        <v>1091</v>
      </c>
      <c r="H2519" s="112" t="s">
        <v>1015</v>
      </c>
      <c r="I2519" s="112" t="s">
        <v>1116</v>
      </c>
      <c r="J2519" s="112" t="s">
        <v>1874</v>
      </c>
      <c r="K2519" s="112" t="s">
        <v>1098</v>
      </c>
      <c r="L2519" s="116">
        <v>2259.5</v>
      </c>
    </row>
    <row r="2520" spans="1:12" hidden="1" outlineLevel="1" collapsed="1" x14ac:dyDescent="0.35">
      <c r="A2520" s="112" t="s">
        <v>1814</v>
      </c>
      <c r="B2520" s="112" t="s">
        <v>906</v>
      </c>
      <c r="C2520" s="112" t="s">
        <v>1095</v>
      </c>
      <c r="D2520" s="113">
        <v>10348451</v>
      </c>
      <c r="E2520" s="115">
        <v>43949</v>
      </c>
      <c r="F2520" s="114">
        <v>202101</v>
      </c>
      <c r="G2520" s="112" t="s">
        <v>1091</v>
      </c>
      <c r="H2520" s="112" t="s">
        <v>1015</v>
      </c>
      <c r="I2520" s="112" t="s">
        <v>1116</v>
      </c>
      <c r="J2520" s="112" t="s">
        <v>1874</v>
      </c>
      <c r="K2520" s="112" t="s">
        <v>1098</v>
      </c>
      <c r="L2520" s="116">
        <v>548.07000000000005</v>
      </c>
    </row>
    <row r="2521" spans="1:12" hidden="1" outlineLevel="1" collapsed="1" x14ac:dyDescent="0.35">
      <c r="A2521" s="112" t="s">
        <v>1814</v>
      </c>
      <c r="B2521" s="112" t="s">
        <v>906</v>
      </c>
      <c r="C2521" s="112" t="s">
        <v>1095</v>
      </c>
      <c r="D2521" s="113">
        <v>10348451</v>
      </c>
      <c r="E2521" s="115">
        <v>43949</v>
      </c>
      <c r="F2521" s="114">
        <v>202101</v>
      </c>
      <c r="G2521" s="112" t="s">
        <v>1091</v>
      </c>
      <c r="H2521" s="112" t="s">
        <v>1015</v>
      </c>
      <c r="I2521" s="112" t="s">
        <v>1116</v>
      </c>
      <c r="J2521" s="112" t="s">
        <v>1874</v>
      </c>
      <c r="K2521" s="112" t="s">
        <v>1098</v>
      </c>
      <c r="L2521" s="116">
        <v>1096.1300000000001</v>
      </c>
    </row>
    <row r="2522" spans="1:12" hidden="1" outlineLevel="1" collapsed="1" x14ac:dyDescent="0.35">
      <c r="A2522" s="112" t="s">
        <v>1814</v>
      </c>
      <c r="B2522" s="112" t="s">
        <v>904</v>
      </c>
      <c r="C2522" s="112" t="s">
        <v>1095</v>
      </c>
      <c r="D2522" s="113">
        <v>10348451</v>
      </c>
      <c r="E2522" s="115">
        <v>43949</v>
      </c>
      <c r="F2522" s="114">
        <v>202101</v>
      </c>
      <c r="G2522" s="112" t="s">
        <v>1091</v>
      </c>
      <c r="H2522" s="112" t="s">
        <v>1015</v>
      </c>
      <c r="I2522" s="112" t="s">
        <v>1116</v>
      </c>
      <c r="J2522" s="112" t="s">
        <v>1838</v>
      </c>
      <c r="K2522" s="112" t="s">
        <v>1098</v>
      </c>
      <c r="L2522" s="116">
        <v>886.52</v>
      </c>
    </row>
    <row r="2523" spans="1:12" hidden="1" outlineLevel="1" collapsed="1" x14ac:dyDescent="0.35">
      <c r="A2523" s="112" t="s">
        <v>1814</v>
      </c>
      <c r="B2523" s="112" t="s">
        <v>904</v>
      </c>
      <c r="C2523" s="112" t="s">
        <v>1095</v>
      </c>
      <c r="D2523" s="113">
        <v>10348451</v>
      </c>
      <c r="E2523" s="115">
        <v>43949</v>
      </c>
      <c r="F2523" s="114">
        <v>202101</v>
      </c>
      <c r="G2523" s="112" t="s">
        <v>1091</v>
      </c>
      <c r="H2523" s="112" t="s">
        <v>1015</v>
      </c>
      <c r="I2523" s="112" t="s">
        <v>1116</v>
      </c>
      <c r="J2523" s="112" t="s">
        <v>1838</v>
      </c>
      <c r="K2523" s="112" t="s">
        <v>1098</v>
      </c>
      <c r="L2523" s="116">
        <v>1315.63</v>
      </c>
    </row>
    <row r="2524" spans="1:12" hidden="1" outlineLevel="1" collapsed="1" x14ac:dyDescent="0.35">
      <c r="A2524" s="112" t="s">
        <v>1814</v>
      </c>
      <c r="B2524" s="112" t="s">
        <v>904</v>
      </c>
      <c r="C2524" s="112" t="s">
        <v>1095</v>
      </c>
      <c r="D2524" s="113">
        <v>10348451</v>
      </c>
      <c r="E2524" s="115">
        <v>43949</v>
      </c>
      <c r="F2524" s="114">
        <v>202101</v>
      </c>
      <c r="G2524" s="112" t="s">
        <v>1091</v>
      </c>
      <c r="H2524" s="112" t="s">
        <v>1015</v>
      </c>
      <c r="I2524" s="112" t="s">
        <v>1116</v>
      </c>
      <c r="J2524" s="112" t="s">
        <v>1838</v>
      </c>
      <c r="K2524" s="112" t="s">
        <v>1098</v>
      </c>
      <c r="L2524" s="116">
        <v>972.21</v>
      </c>
    </row>
    <row r="2525" spans="1:12" hidden="1" outlineLevel="1" collapsed="1" x14ac:dyDescent="0.35">
      <c r="A2525" s="112" t="s">
        <v>1814</v>
      </c>
      <c r="B2525" s="112" t="s">
        <v>904</v>
      </c>
      <c r="C2525" s="112" t="s">
        <v>1095</v>
      </c>
      <c r="D2525" s="113">
        <v>10348451</v>
      </c>
      <c r="E2525" s="115">
        <v>43949</v>
      </c>
      <c r="F2525" s="114">
        <v>202101</v>
      </c>
      <c r="G2525" s="112" t="s">
        <v>1091</v>
      </c>
      <c r="H2525" s="112" t="s">
        <v>1015</v>
      </c>
      <c r="I2525" s="112" t="s">
        <v>1116</v>
      </c>
      <c r="J2525" s="112" t="s">
        <v>1838</v>
      </c>
      <c r="K2525" s="112" t="s">
        <v>1098</v>
      </c>
      <c r="L2525" s="116">
        <v>3717</v>
      </c>
    </row>
    <row r="2526" spans="1:12" hidden="1" outlineLevel="1" collapsed="1" x14ac:dyDescent="0.35">
      <c r="A2526" s="112" t="s">
        <v>1814</v>
      </c>
      <c r="B2526" s="112" t="s">
        <v>904</v>
      </c>
      <c r="C2526" s="112" t="s">
        <v>1095</v>
      </c>
      <c r="D2526" s="113">
        <v>10348451</v>
      </c>
      <c r="E2526" s="115">
        <v>43949</v>
      </c>
      <c r="F2526" s="114">
        <v>202101</v>
      </c>
      <c r="G2526" s="112" t="s">
        <v>1091</v>
      </c>
      <c r="H2526" s="112" t="s">
        <v>1015</v>
      </c>
      <c r="I2526" s="112" t="s">
        <v>1116</v>
      </c>
      <c r="J2526" s="112" t="s">
        <v>1838</v>
      </c>
      <c r="K2526" s="112" t="s">
        <v>1098</v>
      </c>
      <c r="L2526" s="116">
        <v>2631.25</v>
      </c>
    </row>
    <row r="2527" spans="1:12" hidden="1" outlineLevel="1" collapsed="1" x14ac:dyDescent="0.35">
      <c r="A2527" s="112" t="s">
        <v>1814</v>
      </c>
      <c r="B2527" s="112" t="s">
        <v>904</v>
      </c>
      <c r="C2527" s="112" t="s">
        <v>1095</v>
      </c>
      <c r="D2527" s="113">
        <v>10348451</v>
      </c>
      <c r="E2527" s="115">
        <v>43949</v>
      </c>
      <c r="F2527" s="114">
        <v>202101</v>
      </c>
      <c r="G2527" s="112" t="s">
        <v>1091</v>
      </c>
      <c r="H2527" s="112" t="s">
        <v>1015</v>
      </c>
      <c r="I2527" s="112" t="s">
        <v>1116</v>
      </c>
      <c r="J2527" s="112" t="s">
        <v>1838</v>
      </c>
      <c r="K2527" s="112" t="s">
        <v>1098</v>
      </c>
      <c r="L2527" s="116">
        <v>2826.44</v>
      </c>
    </row>
    <row r="2528" spans="1:12" hidden="1" outlineLevel="1" collapsed="1" x14ac:dyDescent="0.35">
      <c r="A2528" s="112" t="s">
        <v>1814</v>
      </c>
      <c r="B2528" s="112" t="s">
        <v>904</v>
      </c>
      <c r="C2528" s="112" t="s">
        <v>1095</v>
      </c>
      <c r="D2528" s="113">
        <v>10348451</v>
      </c>
      <c r="E2528" s="115">
        <v>43949</v>
      </c>
      <c r="F2528" s="114">
        <v>202101</v>
      </c>
      <c r="G2528" s="112" t="s">
        <v>1091</v>
      </c>
      <c r="H2528" s="112" t="s">
        <v>1015</v>
      </c>
      <c r="I2528" s="112" t="s">
        <v>1116</v>
      </c>
      <c r="J2528" s="112" t="s">
        <v>1838</v>
      </c>
      <c r="K2528" s="112" t="s">
        <v>1098</v>
      </c>
      <c r="L2528" s="116">
        <v>2385.5300000000002</v>
      </c>
    </row>
    <row r="2529" spans="1:12" hidden="1" outlineLevel="1" collapsed="1" x14ac:dyDescent="0.35">
      <c r="A2529" s="112" t="s">
        <v>1814</v>
      </c>
      <c r="B2529" s="112" t="s">
        <v>905</v>
      </c>
      <c r="C2529" s="112" t="s">
        <v>1095</v>
      </c>
      <c r="D2529" s="113">
        <v>10348451</v>
      </c>
      <c r="E2529" s="115">
        <v>43949</v>
      </c>
      <c r="F2529" s="114">
        <v>202101</v>
      </c>
      <c r="G2529" s="112" t="s">
        <v>1091</v>
      </c>
      <c r="H2529" s="112" t="s">
        <v>1015</v>
      </c>
      <c r="I2529" s="112" t="s">
        <v>1116</v>
      </c>
      <c r="J2529" s="112" t="s">
        <v>1827</v>
      </c>
      <c r="K2529" s="112" t="s">
        <v>1098</v>
      </c>
      <c r="L2529" s="116">
        <v>5426.92</v>
      </c>
    </row>
    <row r="2530" spans="1:12" hidden="1" outlineLevel="1" collapsed="1" x14ac:dyDescent="0.35">
      <c r="A2530" s="112" t="s">
        <v>1814</v>
      </c>
      <c r="B2530" s="112" t="s">
        <v>905</v>
      </c>
      <c r="C2530" s="112" t="s">
        <v>1511</v>
      </c>
      <c r="D2530" s="113">
        <v>47036629</v>
      </c>
      <c r="E2530" s="115">
        <v>43930</v>
      </c>
      <c r="F2530" s="114">
        <v>202101</v>
      </c>
      <c r="G2530" s="112" t="s">
        <v>1091</v>
      </c>
      <c r="H2530" s="112" t="s">
        <v>1015</v>
      </c>
      <c r="I2530" s="112" t="s">
        <v>751</v>
      </c>
      <c r="J2530" s="112" t="s">
        <v>1822</v>
      </c>
      <c r="K2530" s="112" t="s">
        <v>2458</v>
      </c>
      <c r="L2530" s="116">
        <v>-141.41999999999999</v>
      </c>
    </row>
    <row r="2531" spans="1:12" hidden="1" outlineLevel="1" collapsed="1" x14ac:dyDescent="0.35">
      <c r="A2531" s="112" t="s">
        <v>1814</v>
      </c>
      <c r="B2531" s="112" t="s">
        <v>905</v>
      </c>
      <c r="C2531" s="112" t="s">
        <v>1511</v>
      </c>
      <c r="D2531" s="113">
        <v>47036607</v>
      </c>
      <c r="E2531" s="115">
        <v>43930</v>
      </c>
      <c r="F2531" s="114">
        <v>202101</v>
      </c>
      <c r="G2531" s="112" t="s">
        <v>1091</v>
      </c>
      <c r="H2531" s="112" t="s">
        <v>1015</v>
      </c>
      <c r="I2531" s="112" t="s">
        <v>751</v>
      </c>
      <c r="J2531" s="112" t="s">
        <v>1822</v>
      </c>
      <c r="K2531" s="112" t="s">
        <v>2466</v>
      </c>
      <c r="L2531" s="116">
        <v>63.56</v>
      </c>
    </row>
    <row r="2532" spans="1:12" hidden="1" outlineLevel="1" collapsed="1" x14ac:dyDescent="0.35">
      <c r="A2532" s="112" t="s">
        <v>1814</v>
      </c>
      <c r="B2532" s="112" t="s">
        <v>905</v>
      </c>
      <c r="C2532" s="112" t="s">
        <v>1095</v>
      </c>
      <c r="D2532" s="113">
        <v>10348451</v>
      </c>
      <c r="E2532" s="115">
        <v>43949</v>
      </c>
      <c r="F2532" s="114">
        <v>202101</v>
      </c>
      <c r="G2532" s="112" t="s">
        <v>1091</v>
      </c>
      <c r="H2532" s="112" t="s">
        <v>1015</v>
      </c>
      <c r="I2532" s="112" t="s">
        <v>1116</v>
      </c>
      <c r="J2532" s="112" t="s">
        <v>1817</v>
      </c>
      <c r="K2532" s="112" t="s">
        <v>1098</v>
      </c>
      <c r="L2532" s="116">
        <v>2981.92</v>
      </c>
    </row>
    <row r="2533" spans="1:12" hidden="1" outlineLevel="1" collapsed="1" x14ac:dyDescent="0.35">
      <c r="A2533" s="112" t="s">
        <v>1814</v>
      </c>
      <c r="B2533" s="112" t="s">
        <v>905</v>
      </c>
      <c r="C2533" s="112" t="s">
        <v>1095</v>
      </c>
      <c r="D2533" s="113">
        <v>10348451</v>
      </c>
      <c r="E2533" s="115">
        <v>43949</v>
      </c>
      <c r="F2533" s="114">
        <v>202101</v>
      </c>
      <c r="G2533" s="112" t="s">
        <v>1091</v>
      </c>
      <c r="H2533" s="112" t="s">
        <v>1015</v>
      </c>
      <c r="I2533" s="112" t="s">
        <v>1116</v>
      </c>
      <c r="J2533" s="112" t="s">
        <v>1817</v>
      </c>
      <c r="K2533" s="112" t="s">
        <v>1098</v>
      </c>
      <c r="L2533" s="116">
        <v>2417.77</v>
      </c>
    </row>
    <row r="2534" spans="1:12" hidden="1" outlineLevel="1" collapsed="1" x14ac:dyDescent="0.35">
      <c r="A2534" s="112" t="s">
        <v>1814</v>
      </c>
      <c r="B2534" s="112" t="s">
        <v>905</v>
      </c>
      <c r="C2534" s="112" t="s">
        <v>1095</v>
      </c>
      <c r="D2534" s="113">
        <v>10348451</v>
      </c>
      <c r="E2534" s="115">
        <v>43949</v>
      </c>
      <c r="F2534" s="114">
        <v>202101</v>
      </c>
      <c r="G2534" s="112" t="s">
        <v>1091</v>
      </c>
      <c r="H2534" s="112" t="s">
        <v>1015</v>
      </c>
      <c r="I2534" s="112" t="s">
        <v>1116</v>
      </c>
      <c r="J2534" s="112" t="s">
        <v>1817</v>
      </c>
      <c r="K2534" s="112" t="s">
        <v>1098</v>
      </c>
      <c r="L2534" s="116">
        <v>2738.92</v>
      </c>
    </row>
    <row r="2535" spans="1:12" hidden="1" outlineLevel="1" collapsed="1" x14ac:dyDescent="0.35">
      <c r="A2535" s="112" t="s">
        <v>1814</v>
      </c>
      <c r="B2535" s="112" t="s">
        <v>905</v>
      </c>
      <c r="C2535" s="112" t="s">
        <v>1095</v>
      </c>
      <c r="D2535" s="113">
        <v>10348451</v>
      </c>
      <c r="E2535" s="115">
        <v>43949</v>
      </c>
      <c r="F2535" s="114">
        <v>202101</v>
      </c>
      <c r="G2535" s="112" t="s">
        <v>1091</v>
      </c>
      <c r="H2535" s="112" t="s">
        <v>1015</v>
      </c>
      <c r="I2535" s="112" t="s">
        <v>1116</v>
      </c>
      <c r="J2535" s="112" t="s">
        <v>1817</v>
      </c>
      <c r="K2535" s="112" t="s">
        <v>1098</v>
      </c>
      <c r="L2535" s="116">
        <v>2981.92</v>
      </c>
    </row>
    <row r="2536" spans="1:12" hidden="1" outlineLevel="1" collapsed="1" x14ac:dyDescent="0.35">
      <c r="A2536" s="112" t="s">
        <v>1814</v>
      </c>
      <c r="B2536" s="112" t="s">
        <v>905</v>
      </c>
      <c r="C2536" s="112" t="s">
        <v>1095</v>
      </c>
      <c r="D2536" s="113">
        <v>10348451</v>
      </c>
      <c r="E2536" s="115">
        <v>43949</v>
      </c>
      <c r="F2536" s="114">
        <v>202101</v>
      </c>
      <c r="G2536" s="112" t="s">
        <v>1091</v>
      </c>
      <c r="H2536" s="112" t="s">
        <v>1015</v>
      </c>
      <c r="I2536" s="112" t="s">
        <v>1116</v>
      </c>
      <c r="J2536" s="112" t="s">
        <v>1839</v>
      </c>
      <c r="K2536" s="112" t="s">
        <v>1098</v>
      </c>
      <c r="L2536" s="116">
        <v>2981.92</v>
      </c>
    </row>
    <row r="2537" spans="1:12" hidden="1" outlineLevel="1" collapsed="1" x14ac:dyDescent="0.35">
      <c r="A2537" s="112" t="s">
        <v>1814</v>
      </c>
      <c r="B2537" s="112" t="s">
        <v>905</v>
      </c>
      <c r="C2537" s="112" t="s">
        <v>1095</v>
      </c>
      <c r="D2537" s="113">
        <v>10348451</v>
      </c>
      <c r="E2537" s="115">
        <v>43949</v>
      </c>
      <c r="F2537" s="114">
        <v>202101</v>
      </c>
      <c r="G2537" s="112" t="s">
        <v>1091</v>
      </c>
      <c r="H2537" s="112" t="s">
        <v>1015</v>
      </c>
      <c r="I2537" s="112" t="s">
        <v>1116</v>
      </c>
      <c r="J2537" s="112" t="s">
        <v>1839</v>
      </c>
      <c r="K2537" s="112" t="s">
        <v>1098</v>
      </c>
      <c r="L2537" s="116">
        <v>3391.33</v>
      </c>
    </row>
    <row r="2538" spans="1:12" hidden="1" outlineLevel="1" collapsed="1" x14ac:dyDescent="0.35">
      <c r="A2538" s="112" t="s">
        <v>1814</v>
      </c>
      <c r="B2538" s="112" t="s">
        <v>905</v>
      </c>
      <c r="C2538" s="112" t="s">
        <v>1095</v>
      </c>
      <c r="D2538" s="113">
        <v>10348451</v>
      </c>
      <c r="E2538" s="115">
        <v>43949</v>
      </c>
      <c r="F2538" s="114">
        <v>202101</v>
      </c>
      <c r="G2538" s="112" t="s">
        <v>1091</v>
      </c>
      <c r="H2538" s="112" t="s">
        <v>1015</v>
      </c>
      <c r="I2538" s="112" t="s">
        <v>1116</v>
      </c>
      <c r="J2538" s="112" t="s">
        <v>1839</v>
      </c>
      <c r="K2538" s="112" t="s">
        <v>1098</v>
      </c>
      <c r="L2538" s="116">
        <v>2062.3000000000002</v>
      </c>
    </row>
    <row r="2539" spans="1:12" hidden="1" outlineLevel="1" collapsed="1" x14ac:dyDescent="0.35">
      <c r="A2539" s="112" t="s">
        <v>1814</v>
      </c>
      <c r="B2539" s="112" t="s">
        <v>905</v>
      </c>
      <c r="C2539" s="112" t="s">
        <v>1219</v>
      </c>
      <c r="D2539" s="113">
        <v>46306922</v>
      </c>
      <c r="E2539" s="115">
        <v>43928</v>
      </c>
      <c r="F2539" s="114">
        <v>202101</v>
      </c>
      <c r="G2539" s="112" t="s">
        <v>1091</v>
      </c>
      <c r="H2539" s="112" t="s">
        <v>1015</v>
      </c>
      <c r="I2539" s="112" t="s">
        <v>1952</v>
      </c>
      <c r="J2539" s="112" t="s">
        <v>1971</v>
      </c>
      <c r="K2539" s="112" t="s">
        <v>2467</v>
      </c>
      <c r="L2539" s="116">
        <v>5884.52</v>
      </c>
    </row>
    <row r="2540" spans="1:12" hidden="1" outlineLevel="1" collapsed="1" x14ac:dyDescent="0.35">
      <c r="A2540" s="112" t="s">
        <v>1814</v>
      </c>
      <c r="B2540" s="112" t="s">
        <v>905</v>
      </c>
      <c r="C2540" s="112" t="s">
        <v>1095</v>
      </c>
      <c r="D2540" s="113">
        <v>10348451</v>
      </c>
      <c r="E2540" s="115">
        <v>43949</v>
      </c>
      <c r="F2540" s="114">
        <v>202101</v>
      </c>
      <c r="G2540" s="112" t="s">
        <v>1091</v>
      </c>
      <c r="H2540" s="112" t="s">
        <v>1015</v>
      </c>
      <c r="I2540" s="112" t="s">
        <v>1116</v>
      </c>
      <c r="J2540" s="112" t="s">
        <v>1839</v>
      </c>
      <c r="K2540" s="112" t="s">
        <v>1098</v>
      </c>
      <c r="L2540" s="116">
        <v>1769.15</v>
      </c>
    </row>
    <row r="2541" spans="1:12" hidden="1" outlineLevel="1" collapsed="1" x14ac:dyDescent="0.35">
      <c r="A2541" s="112" t="s">
        <v>1814</v>
      </c>
      <c r="B2541" s="112" t="s">
        <v>905</v>
      </c>
      <c r="C2541" s="112" t="s">
        <v>1095</v>
      </c>
      <c r="D2541" s="113">
        <v>10348451</v>
      </c>
      <c r="E2541" s="115">
        <v>43949</v>
      </c>
      <c r="F2541" s="114">
        <v>202101</v>
      </c>
      <c r="G2541" s="112" t="s">
        <v>1091</v>
      </c>
      <c r="H2541" s="112" t="s">
        <v>1015</v>
      </c>
      <c r="I2541" s="112" t="s">
        <v>1116</v>
      </c>
      <c r="J2541" s="112" t="s">
        <v>1839</v>
      </c>
      <c r="K2541" s="112" t="s">
        <v>1098</v>
      </c>
      <c r="L2541" s="116">
        <v>1944.42</v>
      </c>
    </row>
    <row r="2542" spans="1:12" hidden="1" outlineLevel="1" collapsed="1" x14ac:dyDescent="0.35">
      <c r="A2542" s="112" t="s">
        <v>1814</v>
      </c>
      <c r="B2542" s="112" t="s">
        <v>905</v>
      </c>
      <c r="C2542" s="112" t="s">
        <v>1219</v>
      </c>
      <c r="D2542" s="113">
        <v>46306921</v>
      </c>
      <c r="E2542" s="115">
        <v>43928</v>
      </c>
      <c r="F2542" s="114">
        <v>202101</v>
      </c>
      <c r="G2542" s="112" t="s">
        <v>1091</v>
      </c>
      <c r="H2542" s="112" t="s">
        <v>1015</v>
      </c>
      <c r="I2542" s="112" t="s">
        <v>1952</v>
      </c>
      <c r="J2542" s="112" t="s">
        <v>1817</v>
      </c>
      <c r="K2542" s="112" t="s">
        <v>2468</v>
      </c>
      <c r="L2542" s="116">
        <v>180</v>
      </c>
    </row>
    <row r="2543" spans="1:12" hidden="1" outlineLevel="1" collapsed="1" x14ac:dyDescent="0.35">
      <c r="A2543" s="112" t="s">
        <v>1814</v>
      </c>
      <c r="B2543" s="112" t="s">
        <v>904</v>
      </c>
      <c r="C2543" s="112" t="s">
        <v>1095</v>
      </c>
      <c r="D2543" s="113">
        <v>10348451</v>
      </c>
      <c r="E2543" s="115">
        <v>43949</v>
      </c>
      <c r="F2543" s="114">
        <v>202101</v>
      </c>
      <c r="G2543" s="112" t="s">
        <v>1091</v>
      </c>
      <c r="H2543" s="112" t="s">
        <v>1015</v>
      </c>
      <c r="I2543" s="112" t="s">
        <v>1116</v>
      </c>
      <c r="J2543" s="112" t="s">
        <v>1838</v>
      </c>
      <c r="K2543" s="112" t="s">
        <v>1098</v>
      </c>
      <c r="L2543" s="116">
        <v>2192.25</v>
      </c>
    </row>
    <row r="2544" spans="1:12" hidden="1" outlineLevel="1" collapsed="1" x14ac:dyDescent="0.35">
      <c r="A2544" s="112" t="s">
        <v>1814</v>
      </c>
      <c r="B2544" s="112" t="s">
        <v>905</v>
      </c>
      <c r="C2544" s="112" t="s">
        <v>1511</v>
      </c>
      <c r="D2544" s="113">
        <v>47036614</v>
      </c>
      <c r="E2544" s="115">
        <v>43930</v>
      </c>
      <c r="F2544" s="114">
        <v>202101</v>
      </c>
      <c r="G2544" s="112" t="s">
        <v>1091</v>
      </c>
      <c r="H2544" s="112" t="s">
        <v>1015</v>
      </c>
      <c r="I2544" s="112" t="s">
        <v>751</v>
      </c>
      <c r="J2544" s="112" t="s">
        <v>1822</v>
      </c>
      <c r="K2544" s="112" t="s">
        <v>2464</v>
      </c>
      <c r="L2544" s="116">
        <v>100.76</v>
      </c>
    </row>
    <row r="2545" spans="1:12" hidden="1" outlineLevel="1" collapsed="1" x14ac:dyDescent="0.35">
      <c r="A2545" s="112" t="s">
        <v>1814</v>
      </c>
      <c r="B2545" s="112" t="s">
        <v>905</v>
      </c>
      <c r="C2545" s="112" t="s">
        <v>1511</v>
      </c>
      <c r="D2545" s="113">
        <v>47036612</v>
      </c>
      <c r="E2545" s="115">
        <v>43930</v>
      </c>
      <c r="F2545" s="114">
        <v>202101</v>
      </c>
      <c r="G2545" s="112" t="s">
        <v>1091</v>
      </c>
      <c r="H2545" s="112" t="s">
        <v>1015</v>
      </c>
      <c r="I2545" s="112" t="s">
        <v>751</v>
      </c>
      <c r="J2545" s="112" t="s">
        <v>1822</v>
      </c>
      <c r="K2545" s="112" t="s">
        <v>2469</v>
      </c>
      <c r="L2545" s="116">
        <v>61.84</v>
      </c>
    </row>
    <row r="2546" spans="1:12" hidden="1" outlineLevel="1" collapsed="1" x14ac:dyDescent="0.35">
      <c r="A2546" s="112" t="s">
        <v>1814</v>
      </c>
      <c r="B2546" s="112" t="s">
        <v>905</v>
      </c>
      <c r="C2546" s="112" t="s">
        <v>1511</v>
      </c>
      <c r="D2546" s="113">
        <v>47036611</v>
      </c>
      <c r="E2546" s="115">
        <v>43930</v>
      </c>
      <c r="F2546" s="114">
        <v>202101</v>
      </c>
      <c r="G2546" s="112" t="s">
        <v>1091</v>
      </c>
      <c r="H2546" s="112" t="s">
        <v>1015</v>
      </c>
      <c r="I2546" s="112" t="s">
        <v>751</v>
      </c>
      <c r="J2546" s="112" t="s">
        <v>1822</v>
      </c>
      <c r="K2546" s="112" t="s">
        <v>2470</v>
      </c>
      <c r="L2546" s="116">
        <v>98.87</v>
      </c>
    </row>
    <row r="2547" spans="1:12" hidden="1" outlineLevel="1" collapsed="1" x14ac:dyDescent="0.35">
      <c r="A2547" s="112" t="s">
        <v>1814</v>
      </c>
      <c r="B2547" s="112" t="s">
        <v>905</v>
      </c>
      <c r="C2547" s="112" t="s">
        <v>1095</v>
      </c>
      <c r="D2547" s="113">
        <v>10348451</v>
      </c>
      <c r="E2547" s="115">
        <v>43949</v>
      </c>
      <c r="F2547" s="114">
        <v>202101</v>
      </c>
      <c r="G2547" s="112" t="s">
        <v>1091</v>
      </c>
      <c r="H2547" s="112" t="s">
        <v>1015</v>
      </c>
      <c r="I2547" s="112" t="s">
        <v>1116</v>
      </c>
      <c r="J2547" s="112" t="s">
        <v>1827</v>
      </c>
      <c r="K2547" s="112" t="s">
        <v>1098</v>
      </c>
      <c r="L2547" s="116">
        <v>2632.69</v>
      </c>
    </row>
    <row r="2548" spans="1:12" hidden="1" outlineLevel="1" collapsed="1" x14ac:dyDescent="0.35">
      <c r="A2548" s="112" t="s">
        <v>1814</v>
      </c>
      <c r="B2548" s="112" t="s">
        <v>905</v>
      </c>
      <c r="C2548" s="112" t="s">
        <v>1511</v>
      </c>
      <c r="D2548" s="113">
        <v>47036609</v>
      </c>
      <c r="E2548" s="115">
        <v>43930</v>
      </c>
      <c r="F2548" s="114">
        <v>202101</v>
      </c>
      <c r="G2548" s="112" t="s">
        <v>1091</v>
      </c>
      <c r="H2548" s="112" t="s">
        <v>1015</v>
      </c>
      <c r="I2548" s="112" t="s">
        <v>751</v>
      </c>
      <c r="J2548" s="112" t="s">
        <v>1822</v>
      </c>
      <c r="K2548" s="112" t="s">
        <v>2471</v>
      </c>
      <c r="L2548" s="116">
        <v>222.95</v>
      </c>
    </row>
    <row r="2549" spans="1:12" hidden="1" outlineLevel="1" collapsed="1" x14ac:dyDescent="0.35">
      <c r="A2549" s="112" t="s">
        <v>1814</v>
      </c>
      <c r="B2549" s="112" t="s">
        <v>905</v>
      </c>
      <c r="C2549" s="112" t="s">
        <v>1511</v>
      </c>
      <c r="D2549" s="113">
        <v>47036608</v>
      </c>
      <c r="E2549" s="115">
        <v>43930</v>
      </c>
      <c r="F2549" s="114">
        <v>202101</v>
      </c>
      <c r="G2549" s="112" t="s">
        <v>1091</v>
      </c>
      <c r="H2549" s="112" t="s">
        <v>1015</v>
      </c>
      <c r="I2549" s="112" t="s">
        <v>751</v>
      </c>
      <c r="J2549" s="112" t="s">
        <v>1822</v>
      </c>
      <c r="K2549" s="112" t="s">
        <v>2472</v>
      </c>
      <c r="L2549" s="116">
        <v>140.97999999999999</v>
      </c>
    </row>
    <row r="2550" spans="1:12" hidden="1" outlineLevel="1" collapsed="1" x14ac:dyDescent="0.35">
      <c r="A2550" s="112" t="s">
        <v>1814</v>
      </c>
      <c r="B2550" s="112" t="s">
        <v>905</v>
      </c>
      <c r="C2550" s="112" t="s">
        <v>1095</v>
      </c>
      <c r="D2550" s="113">
        <v>10348451</v>
      </c>
      <c r="E2550" s="115">
        <v>43949</v>
      </c>
      <c r="F2550" s="114">
        <v>202101</v>
      </c>
      <c r="G2550" s="112" t="s">
        <v>1091</v>
      </c>
      <c r="H2550" s="112" t="s">
        <v>1015</v>
      </c>
      <c r="I2550" s="112" t="s">
        <v>1116</v>
      </c>
      <c r="J2550" s="112" t="s">
        <v>1827</v>
      </c>
      <c r="K2550" s="112" t="s">
        <v>1098</v>
      </c>
      <c r="L2550" s="116">
        <v>2981.92</v>
      </c>
    </row>
    <row r="2551" spans="1:12" hidden="1" outlineLevel="1" collapsed="1" x14ac:dyDescent="0.35">
      <c r="A2551" s="112" t="s">
        <v>1814</v>
      </c>
      <c r="B2551" s="112" t="s">
        <v>905</v>
      </c>
      <c r="C2551" s="112" t="s">
        <v>1095</v>
      </c>
      <c r="D2551" s="113">
        <v>10348451</v>
      </c>
      <c r="E2551" s="115">
        <v>43949</v>
      </c>
      <c r="F2551" s="114">
        <v>202101</v>
      </c>
      <c r="G2551" s="112" t="s">
        <v>1091</v>
      </c>
      <c r="H2551" s="112" t="s">
        <v>1015</v>
      </c>
      <c r="I2551" s="112" t="s">
        <v>1116</v>
      </c>
      <c r="J2551" s="112" t="s">
        <v>1817</v>
      </c>
      <c r="K2551" s="112" t="s">
        <v>1098</v>
      </c>
      <c r="L2551" s="116">
        <v>2981.92</v>
      </c>
    </row>
    <row r="2552" spans="1:12" hidden="1" outlineLevel="1" collapsed="1" x14ac:dyDescent="0.35">
      <c r="A2552" s="112" t="s">
        <v>1814</v>
      </c>
      <c r="B2552" s="112" t="s">
        <v>905</v>
      </c>
      <c r="C2552" s="112" t="s">
        <v>1219</v>
      </c>
      <c r="D2552" s="113">
        <v>46306918</v>
      </c>
      <c r="E2552" s="115">
        <v>43928</v>
      </c>
      <c r="F2552" s="114">
        <v>202101</v>
      </c>
      <c r="G2552" s="112" t="s">
        <v>1091</v>
      </c>
      <c r="H2552" s="112" t="s">
        <v>1015</v>
      </c>
      <c r="I2552" s="112" t="s">
        <v>1956</v>
      </c>
      <c r="J2552" s="112" t="s">
        <v>1817</v>
      </c>
      <c r="K2552" s="112" t="s">
        <v>2473</v>
      </c>
      <c r="L2552" s="116">
        <v>391.23</v>
      </c>
    </row>
    <row r="2553" spans="1:12" hidden="1" outlineLevel="1" collapsed="1" x14ac:dyDescent="0.35">
      <c r="A2553" s="112" t="s">
        <v>1814</v>
      </c>
      <c r="B2553" s="112" t="s">
        <v>905</v>
      </c>
      <c r="C2553" s="112" t="s">
        <v>1511</v>
      </c>
      <c r="D2553" s="113">
        <v>47036599</v>
      </c>
      <c r="E2553" s="115">
        <v>43930</v>
      </c>
      <c r="F2553" s="114">
        <v>202101</v>
      </c>
      <c r="G2553" s="112" t="s">
        <v>1091</v>
      </c>
      <c r="H2553" s="112" t="s">
        <v>1015</v>
      </c>
      <c r="I2553" s="112" t="s">
        <v>751</v>
      </c>
      <c r="J2553" s="112" t="s">
        <v>1822</v>
      </c>
      <c r="K2553" s="112" t="s">
        <v>2474</v>
      </c>
      <c r="L2553" s="116">
        <v>161.74</v>
      </c>
    </row>
    <row r="2554" spans="1:12" hidden="1" outlineLevel="1" collapsed="1" x14ac:dyDescent="0.35">
      <c r="A2554" s="112" t="s">
        <v>1814</v>
      </c>
      <c r="B2554" s="112" t="s">
        <v>904</v>
      </c>
      <c r="C2554" s="112" t="s">
        <v>1099</v>
      </c>
      <c r="D2554" s="113">
        <v>1069363</v>
      </c>
      <c r="E2554" s="115">
        <v>43922</v>
      </c>
      <c r="F2554" s="114">
        <v>202101</v>
      </c>
      <c r="G2554" s="112" t="s">
        <v>1091</v>
      </c>
      <c r="H2554" s="112" t="s">
        <v>1015</v>
      </c>
      <c r="I2554" s="112" t="s">
        <v>761</v>
      </c>
      <c r="J2554" s="112" t="s">
        <v>1909</v>
      </c>
      <c r="K2554" s="112" t="s">
        <v>2475</v>
      </c>
      <c r="L2554" s="116">
        <v>345.6</v>
      </c>
    </row>
    <row r="2555" spans="1:12" hidden="1" outlineLevel="1" collapsed="1" x14ac:dyDescent="0.35">
      <c r="A2555" s="112" t="s">
        <v>1814</v>
      </c>
      <c r="B2555" s="112" t="s">
        <v>905</v>
      </c>
      <c r="C2555" s="112" t="s">
        <v>1095</v>
      </c>
      <c r="D2555" s="113">
        <v>10348451</v>
      </c>
      <c r="E2555" s="115">
        <v>43949</v>
      </c>
      <c r="F2555" s="114">
        <v>202101</v>
      </c>
      <c r="G2555" s="112" t="s">
        <v>1091</v>
      </c>
      <c r="H2555" s="112" t="s">
        <v>1015</v>
      </c>
      <c r="I2555" s="112" t="s">
        <v>1116</v>
      </c>
      <c r="J2555" s="112" t="s">
        <v>1827</v>
      </c>
      <c r="K2555" s="112" t="s">
        <v>1098</v>
      </c>
      <c r="L2555" s="116">
        <v>2943.03</v>
      </c>
    </row>
    <row r="2556" spans="1:12" hidden="1" outlineLevel="1" collapsed="1" x14ac:dyDescent="0.35">
      <c r="A2556" s="112" t="s">
        <v>1814</v>
      </c>
      <c r="B2556" s="112" t="s">
        <v>905</v>
      </c>
      <c r="C2556" s="112" t="s">
        <v>1095</v>
      </c>
      <c r="D2556" s="113">
        <v>10348451</v>
      </c>
      <c r="E2556" s="115">
        <v>43949</v>
      </c>
      <c r="F2556" s="114">
        <v>202101</v>
      </c>
      <c r="G2556" s="112" t="s">
        <v>1091</v>
      </c>
      <c r="H2556" s="112" t="s">
        <v>1015</v>
      </c>
      <c r="I2556" s="112" t="s">
        <v>1116</v>
      </c>
      <c r="J2556" s="112" t="s">
        <v>1827</v>
      </c>
      <c r="K2556" s="112" t="s">
        <v>1098</v>
      </c>
      <c r="L2556" s="116">
        <v>5557.21</v>
      </c>
    </row>
    <row r="2557" spans="1:12" hidden="1" outlineLevel="1" collapsed="1" x14ac:dyDescent="0.35">
      <c r="A2557" s="112" t="s">
        <v>1814</v>
      </c>
      <c r="B2557" s="112" t="s">
        <v>905</v>
      </c>
      <c r="C2557" s="112" t="s">
        <v>1511</v>
      </c>
      <c r="D2557" s="113">
        <v>47036598</v>
      </c>
      <c r="E2557" s="115">
        <v>43930</v>
      </c>
      <c r="F2557" s="114">
        <v>202101</v>
      </c>
      <c r="G2557" s="112" t="s">
        <v>1091</v>
      </c>
      <c r="H2557" s="112" t="s">
        <v>1015</v>
      </c>
      <c r="I2557" s="112" t="s">
        <v>751</v>
      </c>
      <c r="J2557" s="112" t="s">
        <v>1822</v>
      </c>
      <c r="K2557" s="112" t="s">
        <v>2476</v>
      </c>
      <c r="L2557" s="116">
        <v>83.65</v>
      </c>
    </row>
    <row r="2558" spans="1:12" hidden="1" outlineLevel="1" collapsed="1" x14ac:dyDescent="0.35">
      <c r="A2558" s="112" t="s">
        <v>1814</v>
      </c>
      <c r="B2558" s="112" t="s">
        <v>905</v>
      </c>
      <c r="C2558" s="112" t="s">
        <v>203</v>
      </c>
      <c r="D2558" s="113">
        <v>10348453</v>
      </c>
      <c r="E2558" s="115">
        <v>43948</v>
      </c>
      <c r="F2558" s="114">
        <v>202101</v>
      </c>
      <c r="G2558" s="112" t="s">
        <v>1091</v>
      </c>
      <c r="H2558" s="112" t="s">
        <v>1015</v>
      </c>
      <c r="I2558" s="112" t="s">
        <v>1116</v>
      </c>
      <c r="J2558" s="112" t="s">
        <v>1827</v>
      </c>
      <c r="K2558" s="112" t="s">
        <v>1098</v>
      </c>
      <c r="L2558" s="116">
        <v>1539.14</v>
      </c>
    </row>
    <row r="2559" spans="1:12" hidden="1" outlineLevel="1" collapsed="1" x14ac:dyDescent="0.35">
      <c r="A2559" s="112" t="s">
        <v>1814</v>
      </c>
      <c r="B2559" s="112" t="s">
        <v>905</v>
      </c>
      <c r="C2559" s="112" t="s">
        <v>1095</v>
      </c>
      <c r="D2559" s="113">
        <v>10348451</v>
      </c>
      <c r="E2559" s="115">
        <v>43949</v>
      </c>
      <c r="F2559" s="114">
        <v>202101</v>
      </c>
      <c r="G2559" s="112" t="s">
        <v>1091</v>
      </c>
      <c r="H2559" s="112" t="s">
        <v>1015</v>
      </c>
      <c r="I2559" s="112" t="s">
        <v>1116</v>
      </c>
      <c r="J2559" s="112" t="s">
        <v>1827</v>
      </c>
      <c r="K2559" s="112" t="s">
        <v>1098</v>
      </c>
      <c r="L2559" s="116">
        <v>3391.33</v>
      </c>
    </row>
    <row r="2560" spans="1:12" hidden="1" outlineLevel="1" collapsed="1" x14ac:dyDescent="0.35">
      <c r="A2560" s="112" t="s">
        <v>1814</v>
      </c>
      <c r="B2560" s="112" t="s">
        <v>905</v>
      </c>
      <c r="C2560" s="112" t="s">
        <v>1095</v>
      </c>
      <c r="D2560" s="113">
        <v>10348451</v>
      </c>
      <c r="E2560" s="115">
        <v>43949</v>
      </c>
      <c r="F2560" s="114">
        <v>202101</v>
      </c>
      <c r="G2560" s="112" t="s">
        <v>1091</v>
      </c>
      <c r="H2560" s="112" t="s">
        <v>1015</v>
      </c>
      <c r="I2560" s="112" t="s">
        <v>1116</v>
      </c>
      <c r="J2560" s="112" t="s">
        <v>1827</v>
      </c>
      <c r="K2560" s="112" t="s">
        <v>1098</v>
      </c>
      <c r="L2560" s="116">
        <v>3391.33</v>
      </c>
    </row>
    <row r="2561" spans="1:12" hidden="1" outlineLevel="1" collapsed="1" x14ac:dyDescent="0.35">
      <c r="A2561" s="112" t="s">
        <v>1814</v>
      </c>
      <c r="B2561" s="112" t="s">
        <v>905</v>
      </c>
      <c r="C2561" s="112" t="s">
        <v>1095</v>
      </c>
      <c r="D2561" s="113">
        <v>10348451</v>
      </c>
      <c r="E2561" s="115">
        <v>43949</v>
      </c>
      <c r="F2561" s="114">
        <v>202101</v>
      </c>
      <c r="G2561" s="112" t="s">
        <v>1091</v>
      </c>
      <c r="H2561" s="112" t="s">
        <v>1015</v>
      </c>
      <c r="I2561" s="112" t="s">
        <v>1116</v>
      </c>
      <c r="J2561" s="112" t="s">
        <v>1827</v>
      </c>
      <c r="K2561" s="112" t="s">
        <v>1098</v>
      </c>
      <c r="L2561" s="116">
        <v>2981.92</v>
      </c>
    </row>
    <row r="2562" spans="1:12" hidden="1" outlineLevel="1" collapsed="1" x14ac:dyDescent="0.35">
      <c r="A2562" s="112" t="s">
        <v>1814</v>
      </c>
      <c r="B2562" s="112" t="s">
        <v>905</v>
      </c>
      <c r="C2562" s="112" t="s">
        <v>1095</v>
      </c>
      <c r="D2562" s="113">
        <v>10348451</v>
      </c>
      <c r="E2562" s="115">
        <v>43949</v>
      </c>
      <c r="F2562" s="114">
        <v>202101</v>
      </c>
      <c r="G2562" s="112" t="s">
        <v>1091</v>
      </c>
      <c r="H2562" s="112" t="s">
        <v>1015</v>
      </c>
      <c r="I2562" s="112" t="s">
        <v>1116</v>
      </c>
      <c r="J2562" s="112" t="s">
        <v>1827</v>
      </c>
      <c r="K2562" s="112" t="s">
        <v>1098</v>
      </c>
      <c r="L2562" s="116">
        <v>2981.92</v>
      </c>
    </row>
    <row r="2563" spans="1:12" hidden="1" outlineLevel="1" collapsed="1" x14ac:dyDescent="0.35">
      <c r="A2563" s="112" t="s">
        <v>1814</v>
      </c>
      <c r="B2563" s="112" t="s">
        <v>905</v>
      </c>
      <c r="C2563" s="112" t="s">
        <v>1095</v>
      </c>
      <c r="D2563" s="113">
        <v>10348451</v>
      </c>
      <c r="E2563" s="115">
        <v>43949</v>
      </c>
      <c r="F2563" s="114">
        <v>202101</v>
      </c>
      <c r="G2563" s="112" t="s">
        <v>1091</v>
      </c>
      <c r="H2563" s="112" t="s">
        <v>1015</v>
      </c>
      <c r="I2563" s="112" t="s">
        <v>1116</v>
      </c>
      <c r="J2563" s="112" t="s">
        <v>1827</v>
      </c>
      <c r="K2563" s="112" t="s">
        <v>1098</v>
      </c>
      <c r="L2563" s="116">
        <v>2981.92</v>
      </c>
    </row>
    <row r="2564" spans="1:12" hidden="1" outlineLevel="1" collapsed="1" x14ac:dyDescent="0.35">
      <c r="A2564" s="112" t="s">
        <v>1814</v>
      </c>
      <c r="B2564" s="112" t="s">
        <v>905</v>
      </c>
      <c r="C2564" s="112" t="s">
        <v>1511</v>
      </c>
      <c r="D2564" s="113">
        <v>47036597</v>
      </c>
      <c r="E2564" s="115">
        <v>43930</v>
      </c>
      <c r="F2564" s="114">
        <v>202101</v>
      </c>
      <c r="G2564" s="112" t="s">
        <v>1091</v>
      </c>
      <c r="H2564" s="112" t="s">
        <v>1015</v>
      </c>
      <c r="I2564" s="112" t="s">
        <v>751</v>
      </c>
      <c r="J2564" s="112" t="s">
        <v>1822</v>
      </c>
      <c r="K2564" s="112" t="s">
        <v>2477</v>
      </c>
      <c r="L2564" s="116">
        <v>142.57</v>
      </c>
    </row>
    <row r="2565" spans="1:12" hidden="1" outlineLevel="1" collapsed="1" x14ac:dyDescent="0.35">
      <c r="A2565" s="112" t="s">
        <v>1814</v>
      </c>
      <c r="B2565" s="112" t="s">
        <v>905</v>
      </c>
      <c r="C2565" s="112" t="s">
        <v>1511</v>
      </c>
      <c r="D2565" s="113">
        <v>47036596</v>
      </c>
      <c r="E2565" s="115">
        <v>43930</v>
      </c>
      <c r="F2565" s="114">
        <v>202101</v>
      </c>
      <c r="G2565" s="112" t="s">
        <v>1091</v>
      </c>
      <c r="H2565" s="112" t="s">
        <v>1015</v>
      </c>
      <c r="I2565" s="112" t="s">
        <v>751</v>
      </c>
      <c r="J2565" s="112" t="s">
        <v>1822</v>
      </c>
      <c r="K2565" s="112" t="s">
        <v>2478</v>
      </c>
      <c r="L2565" s="116">
        <v>44.54</v>
      </c>
    </row>
    <row r="2566" spans="1:12" hidden="1" outlineLevel="1" collapsed="1" x14ac:dyDescent="0.35">
      <c r="A2566" s="112" t="s">
        <v>1814</v>
      </c>
      <c r="B2566" s="112" t="s">
        <v>905</v>
      </c>
      <c r="C2566" s="112" t="s">
        <v>1095</v>
      </c>
      <c r="D2566" s="113">
        <v>10348451</v>
      </c>
      <c r="E2566" s="115">
        <v>43949</v>
      </c>
      <c r="F2566" s="114">
        <v>202101</v>
      </c>
      <c r="G2566" s="112" t="s">
        <v>1091</v>
      </c>
      <c r="H2566" s="112" t="s">
        <v>1015</v>
      </c>
      <c r="I2566" s="112" t="s">
        <v>1116</v>
      </c>
      <c r="J2566" s="112" t="s">
        <v>1827</v>
      </c>
      <c r="K2566" s="112" t="s">
        <v>1098</v>
      </c>
      <c r="L2566" s="116">
        <v>2981.92</v>
      </c>
    </row>
    <row r="2567" spans="1:12" hidden="1" outlineLevel="1" collapsed="1" x14ac:dyDescent="0.35">
      <c r="A2567" s="112" t="s">
        <v>1814</v>
      </c>
      <c r="B2567" s="112" t="s">
        <v>905</v>
      </c>
      <c r="C2567" s="112" t="s">
        <v>1095</v>
      </c>
      <c r="D2567" s="113">
        <v>10348451</v>
      </c>
      <c r="E2567" s="115">
        <v>43949</v>
      </c>
      <c r="F2567" s="114">
        <v>202101</v>
      </c>
      <c r="G2567" s="112" t="s">
        <v>1091</v>
      </c>
      <c r="H2567" s="112" t="s">
        <v>1015</v>
      </c>
      <c r="I2567" s="112" t="s">
        <v>1116</v>
      </c>
      <c r="J2567" s="112" t="s">
        <v>1817</v>
      </c>
      <c r="K2567" s="112" t="s">
        <v>1098</v>
      </c>
      <c r="L2567" s="116">
        <v>2174.77</v>
      </c>
    </row>
    <row r="2568" spans="1:12" hidden="1" outlineLevel="1" collapsed="1" x14ac:dyDescent="0.35">
      <c r="A2568" s="112" t="s">
        <v>1814</v>
      </c>
      <c r="B2568" s="112" t="s">
        <v>905</v>
      </c>
      <c r="C2568" s="112" t="s">
        <v>1095</v>
      </c>
      <c r="D2568" s="113">
        <v>10348451</v>
      </c>
      <c r="E2568" s="115">
        <v>43949</v>
      </c>
      <c r="F2568" s="114">
        <v>202101</v>
      </c>
      <c r="G2568" s="112" t="s">
        <v>1091</v>
      </c>
      <c r="H2568" s="112" t="s">
        <v>1015</v>
      </c>
      <c r="I2568" s="112" t="s">
        <v>1116</v>
      </c>
      <c r="J2568" s="112" t="s">
        <v>1817</v>
      </c>
      <c r="K2568" s="112" t="s">
        <v>1098</v>
      </c>
      <c r="L2568" s="116">
        <v>3391.33</v>
      </c>
    </row>
    <row r="2569" spans="1:12" hidden="1" outlineLevel="1" collapsed="1" x14ac:dyDescent="0.35">
      <c r="A2569" s="112" t="s">
        <v>1814</v>
      </c>
      <c r="B2569" s="112" t="s">
        <v>904</v>
      </c>
      <c r="C2569" s="112" t="s">
        <v>1095</v>
      </c>
      <c r="D2569" s="113">
        <v>10348451</v>
      </c>
      <c r="E2569" s="115">
        <v>43949</v>
      </c>
      <c r="F2569" s="114">
        <v>202101</v>
      </c>
      <c r="G2569" s="112" t="s">
        <v>1091</v>
      </c>
      <c r="H2569" s="112" t="s">
        <v>1015</v>
      </c>
      <c r="I2569" s="112" t="s">
        <v>1116</v>
      </c>
      <c r="J2569" s="112" t="s">
        <v>2216</v>
      </c>
      <c r="K2569" s="112" t="s">
        <v>1098</v>
      </c>
      <c r="L2569" s="116">
        <v>1000</v>
      </c>
    </row>
    <row r="2570" spans="1:12" hidden="1" outlineLevel="1" collapsed="1" x14ac:dyDescent="0.35">
      <c r="A2570" s="112" t="s">
        <v>1814</v>
      </c>
      <c r="B2570" s="112" t="s">
        <v>904</v>
      </c>
      <c r="C2570" s="112" t="s">
        <v>1095</v>
      </c>
      <c r="D2570" s="113">
        <v>10348451</v>
      </c>
      <c r="E2570" s="115">
        <v>43949</v>
      </c>
      <c r="F2570" s="114">
        <v>202101</v>
      </c>
      <c r="G2570" s="112" t="s">
        <v>1091</v>
      </c>
      <c r="H2570" s="112" t="s">
        <v>1015</v>
      </c>
      <c r="I2570" s="112" t="s">
        <v>1116</v>
      </c>
      <c r="J2570" s="112" t="s">
        <v>1909</v>
      </c>
      <c r="K2570" s="112" t="s">
        <v>1098</v>
      </c>
      <c r="L2570" s="116">
        <v>8324.16</v>
      </c>
    </row>
    <row r="2571" spans="1:12" hidden="1" outlineLevel="1" collapsed="1" x14ac:dyDescent="0.35">
      <c r="A2571" s="112" t="s">
        <v>1814</v>
      </c>
      <c r="B2571" s="112" t="s">
        <v>905</v>
      </c>
      <c r="C2571" s="112" t="s">
        <v>1095</v>
      </c>
      <c r="D2571" s="113">
        <v>10348451</v>
      </c>
      <c r="E2571" s="115">
        <v>43949</v>
      </c>
      <c r="F2571" s="114">
        <v>202101</v>
      </c>
      <c r="G2571" s="112" t="s">
        <v>1091</v>
      </c>
      <c r="H2571" s="112" t="s">
        <v>1015</v>
      </c>
      <c r="I2571" s="112" t="s">
        <v>1116</v>
      </c>
      <c r="J2571" s="112" t="s">
        <v>1827</v>
      </c>
      <c r="K2571" s="112" t="s">
        <v>1098</v>
      </c>
      <c r="L2571" s="116">
        <v>2981.92</v>
      </c>
    </row>
    <row r="2572" spans="1:12" hidden="1" outlineLevel="1" collapsed="1" x14ac:dyDescent="0.35">
      <c r="A2572" s="112" t="s">
        <v>1814</v>
      </c>
      <c r="B2572" s="112" t="s">
        <v>905</v>
      </c>
      <c r="C2572" s="112" t="s">
        <v>1099</v>
      </c>
      <c r="D2572" s="113">
        <v>1069268</v>
      </c>
      <c r="E2572" s="115">
        <v>43909</v>
      </c>
      <c r="F2572" s="114">
        <v>202101</v>
      </c>
      <c r="G2572" s="112" t="s">
        <v>1091</v>
      </c>
      <c r="H2572" s="112" t="s">
        <v>1015</v>
      </c>
      <c r="I2572" s="112" t="s">
        <v>1092</v>
      </c>
      <c r="J2572" s="112" t="s">
        <v>1827</v>
      </c>
      <c r="K2572" s="112" t="s">
        <v>1438</v>
      </c>
      <c r="L2572" s="116">
        <v>40</v>
      </c>
    </row>
    <row r="2573" spans="1:12" hidden="1" outlineLevel="1" collapsed="1" x14ac:dyDescent="0.35">
      <c r="A2573" s="112" t="s">
        <v>1814</v>
      </c>
      <c r="B2573" s="112" t="s">
        <v>905</v>
      </c>
      <c r="C2573" s="112" t="s">
        <v>1095</v>
      </c>
      <c r="D2573" s="113">
        <v>10348451</v>
      </c>
      <c r="E2573" s="115">
        <v>43949</v>
      </c>
      <c r="F2573" s="114">
        <v>202101</v>
      </c>
      <c r="G2573" s="112" t="s">
        <v>1091</v>
      </c>
      <c r="H2573" s="112" t="s">
        <v>1015</v>
      </c>
      <c r="I2573" s="112" t="s">
        <v>1116</v>
      </c>
      <c r="J2573" s="112" t="s">
        <v>1827</v>
      </c>
      <c r="K2573" s="112" t="s">
        <v>1098</v>
      </c>
      <c r="L2573" s="116">
        <v>1692.44</v>
      </c>
    </row>
    <row r="2574" spans="1:12" hidden="1" outlineLevel="1" collapsed="1" x14ac:dyDescent="0.35">
      <c r="A2574" s="112" t="s">
        <v>1814</v>
      </c>
      <c r="B2574" s="112" t="s">
        <v>905</v>
      </c>
      <c r="C2574" s="112" t="s">
        <v>1095</v>
      </c>
      <c r="D2574" s="113">
        <v>10348451</v>
      </c>
      <c r="E2574" s="115">
        <v>43949</v>
      </c>
      <c r="F2574" s="114">
        <v>202101</v>
      </c>
      <c r="G2574" s="112" t="s">
        <v>1091</v>
      </c>
      <c r="H2574" s="112" t="s">
        <v>1015</v>
      </c>
      <c r="I2574" s="112" t="s">
        <v>1116</v>
      </c>
      <c r="J2574" s="112" t="s">
        <v>1827</v>
      </c>
      <c r="K2574" s="112" t="s">
        <v>1098</v>
      </c>
      <c r="L2574" s="116">
        <v>2981.92</v>
      </c>
    </row>
    <row r="2575" spans="1:12" hidden="1" outlineLevel="1" collapsed="1" x14ac:dyDescent="0.35">
      <c r="A2575" s="112" t="s">
        <v>1814</v>
      </c>
      <c r="B2575" s="112" t="s">
        <v>904</v>
      </c>
      <c r="C2575" s="112" t="s">
        <v>1095</v>
      </c>
      <c r="D2575" s="113">
        <v>10348451</v>
      </c>
      <c r="E2575" s="115">
        <v>43949</v>
      </c>
      <c r="F2575" s="114">
        <v>202101</v>
      </c>
      <c r="G2575" s="112" t="s">
        <v>1091</v>
      </c>
      <c r="H2575" s="112" t="s">
        <v>1015</v>
      </c>
      <c r="I2575" s="112" t="s">
        <v>1116</v>
      </c>
      <c r="J2575" s="112" t="s">
        <v>2216</v>
      </c>
      <c r="K2575" s="112" t="s">
        <v>1098</v>
      </c>
      <c r="L2575" s="116">
        <v>1000</v>
      </c>
    </row>
    <row r="2576" spans="1:12" hidden="1" outlineLevel="1" collapsed="1" x14ac:dyDescent="0.35">
      <c r="A2576" s="112" t="s">
        <v>1814</v>
      </c>
      <c r="B2576" s="112" t="s">
        <v>905</v>
      </c>
      <c r="C2576" s="112" t="s">
        <v>1095</v>
      </c>
      <c r="D2576" s="113">
        <v>10348451</v>
      </c>
      <c r="E2576" s="115">
        <v>43949</v>
      </c>
      <c r="F2576" s="114">
        <v>202101</v>
      </c>
      <c r="G2576" s="112" t="s">
        <v>1091</v>
      </c>
      <c r="H2576" s="112" t="s">
        <v>1015</v>
      </c>
      <c r="I2576" s="112" t="s">
        <v>1116</v>
      </c>
      <c r="J2576" s="112" t="s">
        <v>1842</v>
      </c>
      <c r="K2576" s="112" t="s">
        <v>1098</v>
      </c>
      <c r="L2576" s="116">
        <v>2631.25</v>
      </c>
    </row>
    <row r="2577" spans="1:12" hidden="1" outlineLevel="1" collapsed="1" x14ac:dyDescent="0.35">
      <c r="A2577" s="112" t="s">
        <v>1814</v>
      </c>
      <c r="B2577" s="112" t="s">
        <v>905</v>
      </c>
      <c r="C2577" s="112" t="s">
        <v>1095</v>
      </c>
      <c r="D2577" s="113">
        <v>10348451</v>
      </c>
      <c r="E2577" s="115">
        <v>43949</v>
      </c>
      <c r="F2577" s="114">
        <v>202101</v>
      </c>
      <c r="G2577" s="112" t="s">
        <v>1091</v>
      </c>
      <c r="H2577" s="112" t="s">
        <v>1015</v>
      </c>
      <c r="I2577" s="112" t="s">
        <v>1116</v>
      </c>
      <c r="J2577" s="112" t="s">
        <v>1827</v>
      </c>
      <c r="K2577" s="112" t="s">
        <v>1098</v>
      </c>
      <c r="L2577" s="116">
        <v>3391.33</v>
      </c>
    </row>
    <row r="2578" spans="1:12" hidden="1" outlineLevel="1" collapsed="1" x14ac:dyDescent="0.35">
      <c r="A2578" s="112" t="s">
        <v>2479</v>
      </c>
      <c r="B2578" s="112" t="s">
        <v>909</v>
      </c>
      <c r="C2578" s="112" t="s">
        <v>695</v>
      </c>
      <c r="D2578" s="113">
        <v>10348420</v>
      </c>
      <c r="E2578" s="115">
        <v>43945</v>
      </c>
      <c r="F2578" s="114">
        <v>202101</v>
      </c>
      <c r="G2578" s="112" t="s">
        <v>1091</v>
      </c>
      <c r="H2578" s="112" t="s">
        <v>1015</v>
      </c>
      <c r="I2578" s="112" t="s">
        <v>1532</v>
      </c>
      <c r="J2578" s="112" t="s">
        <v>2480</v>
      </c>
      <c r="K2578" s="112" t="s">
        <v>2481</v>
      </c>
      <c r="L2578" s="116">
        <v>-21.93</v>
      </c>
    </row>
    <row r="2579" spans="1:12" hidden="1" outlineLevel="1" collapsed="1" x14ac:dyDescent="0.35">
      <c r="A2579" s="112" t="s">
        <v>2479</v>
      </c>
      <c r="B2579" s="112" t="s">
        <v>908</v>
      </c>
      <c r="C2579" s="112" t="s">
        <v>2482</v>
      </c>
      <c r="D2579" s="113">
        <v>10348555</v>
      </c>
      <c r="E2579" s="115">
        <v>43948</v>
      </c>
      <c r="F2579" s="114">
        <v>202101</v>
      </c>
      <c r="G2579" s="112" t="s">
        <v>1091</v>
      </c>
      <c r="H2579" s="112" t="s">
        <v>1016</v>
      </c>
      <c r="I2579" s="112" t="s">
        <v>2483</v>
      </c>
      <c r="J2579" s="112" t="s">
        <v>2484</v>
      </c>
      <c r="K2579" s="112" t="s">
        <v>2485</v>
      </c>
      <c r="L2579" s="116">
        <v>-496.5</v>
      </c>
    </row>
    <row r="2580" spans="1:12" hidden="1" outlineLevel="1" collapsed="1" x14ac:dyDescent="0.35">
      <c r="A2580" s="112" t="s">
        <v>2479</v>
      </c>
      <c r="B2580" s="112" t="s">
        <v>908</v>
      </c>
      <c r="C2580" s="112" t="s">
        <v>2482</v>
      </c>
      <c r="D2580" s="113">
        <v>10348555</v>
      </c>
      <c r="E2580" s="115">
        <v>43948</v>
      </c>
      <c r="F2580" s="114">
        <v>202101</v>
      </c>
      <c r="G2580" s="112" t="s">
        <v>1091</v>
      </c>
      <c r="H2580" s="112" t="s">
        <v>1016</v>
      </c>
      <c r="I2580" s="112" t="s">
        <v>2483</v>
      </c>
      <c r="J2580" s="112" t="s">
        <v>2484</v>
      </c>
      <c r="K2580" s="112" t="s">
        <v>2486</v>
      </c>
      <c r="L2580" s="116">
        <v>-10</v>
      </c>
    </row>
    <row r="2581" spans="1:12" hidden="1" outlineLevel="1" collapsed="1" x14ac:dyDescent="0.35">
      <c r="A2581" s="112" t="s">
        <v>2479</v>
      </c>
      <c r="B2581" s="112" t="s">
        <v>908</v>
      </c>
      <c r="C2581" s="112" t="s">
        <v>2482</v>
      </c>
      <c r="D2581" s="113">
        <v>10348555</v>
      </c>
      <c r="E2581" s="115">
        <v>43948</v>
      </c>
      <c r="F2581" s="114">
        <v>202101</v>
      </c>
      <c r="G2581" s="112" t="s">
        <v>1091</v>
      </c>
      <c r="H2581" s="112" t="s">
        <v>1016</v>
      </c>
      <c r="I2581" s="112" t="s">
        <v>2483</v>
      </c>
      <c r="J2581" s="112" t="s">
        <v>2484</v>
      </c>
      <c r="K2581" s="112" t="s">
        <v>2487</v>
      </c>
      <c r="L2581" s="116">
        <v>-10</v>
      </c>
    </row>
    <row r="2582" spans="1:12" hidden="1" outlineLevel="1" collapsed="1" x14ac:dyDescent="0.35">
      <c r="A2582" s="112" t="s">
        <v>2479</v>
      </c>
      <c r="B2582" s="112" t="s">
        <v>908</v>
      </c>
      <c r="C2582" s="112" t="s">
        <v>2482</v>
      </c>
      <c r="D2582" s="113">
        <v>10348555</v>
      </c>
      <c r="E2582" s="115">
        <v>43948</v>
      </c>
      <c r="F2582" s="114">
        <v>202101</v>
      </c>
      <c r="G2582" s="112" t="s">
        <v>1091</v>
      </c>
      <c r="H2582" s="112" t="s">
        <v>1016</v>
      </c>
      <c r="I2582" s="112" t="s">
        <v>2483</v>
      </c>
      <c r="J2582" s="112" t="s">
        <v>2484</v>
      </c>
      <c r="K2582" s="112" t="s">
        <v>2488</v>
      </c>
      <c r="L2582" s="116">
        <v>-12</v>
      </c>
    </row>
    <row r="2583" spans="1:12" hidden="1" outlineLevel="1" collapsed="1" x14ac:dyDescent="0.35">
      <c r="A2583" s="112" t="s">
        <v>2479</v>
      </c>
      <c r="B2583" s="112" t="s">
        <v>908</v>
      </c>
      <c r="C2583" s="112" t="s">
        <v>2482</v>
      </c>
      <c r="D2583" s="113">
        <v>10348555</v>
      </c>
      <c r="E2583" s="115">
        <v>43948</v>
      </c>
      <c r="F2583" s="114">
        <v>202101</v>
      </c>
      <c r="G2583" s="112" t="s">
        <v>1091</v>
      </c>
      <c r="H2583" s="112" t="s">
        <v>1016</v>
      </c>
      <c r="I2583" s="112" t="s">
        <v>2483</v>
      </c>
      <c r="J2583" s="112" t="s">
        <v>2484</v>
      </c>
      <c r="K2583" s="112" t="s">
        <v>2489</v>
      </c>
      <c r="L2583" s="116">
        <v>-10</v>
      </c>
    </row>
    <row r="2584" spans="1:12" hidden="1" outlineLevel="1" collapsed="1" x14ac:dyDescent="0.35">
      <c r="A2584" s="112" t="s">
        <v>2479</v>
      </c>
      <c r="B2584" s="112" t="s">
        <v>908</v>
      </c>
      <c r="C2584" s="112" t="s">
        <v>2482</v>
      </c>
      <c r="D2584" s="113">
        <v>10348555</v>
      </c>
      <c r="E2584" s="115">
        <v>43948</v>
      </c>
      <c r="F2584" s="114">
        <v>202101</v>
      </c>
      <c r="G2584" s="112" t="s">
        <v>1091</v>
      </c>
      <c r="H2584" s="112" t="s">
        <v>1016</v>
      </c>
      <c r="I2584" s="112" t="s">
        <v>2483</v>
      </c>
      <c r="J2584" s="112" t="s">
        <v>2484</v>
      </c>
      <c r="K2584" s="112" t="s">
        <v>2490</v>
      </c>
      <c r="L2584" s="116">
        <v>-10</v>
      </c>
    </row>
    <row r="2585" spans="1:12" hidden="1" outlineLevel="1" collapsed="1" x14ac:dyDescent="0.35">
      <c r="A2585" s="112" t="s">
        <v>2479</v>
      </c>
      <c r="B2585" s="112" t="s">
        <v>908</v>
      </c>
      <c r="C2585" s="112" t="s">
        <v>2482</v>
      </c>
      <c r="D2585" s="113">
        <v>10348555</v>
      </c>
      <c r="E2585" s="115">
        <v>43948</v>
      </c>
      <c r="F2585" s="114">
        <v>202101</v>
      </c>
      <c r="G2585" s="112" t="s">
        <v>1091</v>
      </c>
      <c r="H2585" s="112" t="s">
        <v>1016</v>
      </c>
      <c r="I2585" s="112" t="s">
        <v>2483</v>
      </c>
      <c r="J2585" s="112" t="s">
        <v>2484</v>
      </c>
      <c r="K2585" s="112" t="s">
        <v>2491</v>
      </c>
      <c r="L2585" s="116">
        <v>-64</v>
      </c>
    </row>
    <row r="2586" spans="1:12" hidden="1" outlineLevel="1" collapsed="1" x14ac:dyDescent="0.35">
      <c r="A2586" s="112" t="s">
        <v>2479</v>
      </c>
      <c r="B2586" s="112" t="s">
        <v>908</v>
      </c>
      <c r="C2586" s="112" t="s">
        <v>2482</v>
      </c>
      <c r="D2586" s="113">
        <v>10348555</v>
      </c>
      <c r="E2586" s="115">
        <v>43948</v>
      </c>
      <c r="F2586" s="114">
        <v>202101</v>
      </c>
      <c r="G2586" s="112" t="s">
        <v>1091</v>
      </c>
      <c r="H2586" s="112" t="s">
        <v>1016</v>
      </c>
      <c r="I2586" s="112" t="s">
        <v>2483</v>
      </c>
      <c r="J2586" s="112" t="s">
        <v>2484</v>
      </c>
      <c r="K2586" s="112" t="s">
        <v>2492</v>
      </c>
      <c r="L2586" s="116">
        <v>-10</v>
      </c>
    </row>
    <row r="2587" spans="1:12" hidden="1" outlineLevel="1" collapsed="1" x14ac:dyDescent="0.35">
      <c r="A2587" s="112" t="s">
        <v>2479</v>
      </c>
      <c r="B2587" s="112" t="s">
        <v>908</v>
      </c>
      <c r="C2587" s="112" t="s">
        <v>2482</v>
      </c>
      <c r="D2587" s="113">
        <v>10348555</v>
      </c>
      <c r="E2587" s="115">
        <v>43948</v>
      </c>
      <c r="F2587" s="114">
        <v>202101</v>
      </c>
      <c r="G2587" s="112" t="s">
        <v>1091</v>
      </c>
      <c r="H2587" s="112" t="s">
        <v>1016</v>
      </c>
      <c r="I2587" s="112" t="s">
        <v>2483</v>
      </c>
      <c r="J2587" s="112" t="s">
        <v>2484</v>
      </c>
      <c r="K2587" s="112" t="s">
        <v>2493</v>
      </c>
      <c r="L2587" s="116">
        <v>-10</v>
      </c>
    </row>
    <row r="2588" spans="1:12" hidden="1" outlineLevel="1" collapsed="1" x14ac:dyDescent="0.35">
      <c r="A2588" s="112" t="s">
        <v>2479</v>
      </c>
      <c r="B2588" s="112" t="s">
        <v>908</v>
      </c>
      <c r="C2588" s="112" t="s">
        <v>2482</v>
      </c>
      <c r="D2588" s="113">
        <v>10348555</v>
      </c>
      <c r="E2588" s="115">
        <v>43948</v>
      </c>
      <c r="F2588" s="114">
        <v>202101</v>
      </c>
      <c r="G2588" s="112" t="s">
        <v>1091</v>
      </c>
      <c r="H2588" s="112" t="s">
        <v>1016</v>
      </c>
      <c r="I2588" s="112" t="s">
        <v>2483</v>
      </c>
      <c r="J2588" s="112" t="s">
        <v>2484</v>
      </c>
      <c r="K2588" s="112" t="s">
        <v>2494</v>
      </c>
      <c r="L2588" s="116">
        <v>-10</v>
      </c>
    </row>
    <row r="2589" spans="1:12" hidden="1" outlineLevel="1" collapsed="1" x14ac:dyDescent="0.35">
      <c r="A2589" s="112" t="s">
        <v>2479</v>
      </c>
      <c r="B2589" s="112" t="s">
        <v>909</v>
      </c>
      <c r="C2589" s="112" t="s">
        <v>1099</v>
      </c>
      <c r="D2589" s="113">
        <v>1069496</v>
      </c>
      <c r="E2589" s="115">
        <v>43894</v>
      </c>
      <c r="F2589" s="114">
        <v>202101</v>
      </c>
      <c r="G2589" s="112" t="s">
        <v>1091</v>
      </c>
      <c r="H2589" s="112" t="s">
        <v>1015</v>
      </c>
      <c r="I2589" s="112" t="s">
        <v>2495</v>
      </c>
      <c r="J2589" s="112" t="s">
        <v>2496</v>
      </c>
      <c r="K2589" s="112" t="s">
        <v>2497</v>
      </c>
      <c r="L2589" s="116">
        <v>4307</v>
      </c>
    </row>
    <row r="2590" spans="1:12" hidden="1" outlineLevel="1" collapsed="1" x14ac:dyDescent="0.35">
      <c r="A2590" s="112" t="s">
        <v>2479</v>
      </c>
      <c r="B2590" s="112" t="s">
        <v>908</v>
      </c>
      <c r="C2590" s="112" t="s">
        <v>679</v>
      </c>
      <c r="D2590" s="113">
        <v>10348543</v>
      </c>
      <c r="E2590" s="115">
        <v>43951</v>
      </c>
      <c r="F2590" s="114">
        <v>202101</v>
      </c>
      <c r="G2590" s="112" t="s">
        <v>1091</v>
      </c>
      <c r="H2590" s="112" t="s">
        <v>1016</v>
      </c>
      <c r="I2590" s="112" t="s">
        <v>1788</v>
      </c>
      <c r="J2590" s="112" t="s">
        <v>2498</v>
      </c>
      <c r="K2590" s="112" t="s">
        <v>2499</v>
      </c>
      <c r="L2590" s="116">
        <v>-60</v>
      </c>
    </row>
    <row r="2591" spans="1:12" hidden="1" outlineLevel="1" collapsed="1" x14ac:dyDescent="0.35">
      <c r="A2591" s="112" t="s">
        <v>2479</v>
      </c>
      <c r="B2591" s="112" t="s">
        <v>908</v>
      </c>
      <c r="C2591" s="112" t="s">
        <v>1095</v>
      </c>
      <c r="D2591" s="113">
        <v>10348451</v>
      </c>
      <c r="E2591" s="115">
        <v>43949</v>
      </c>
      <c r="F2591" s="114">
        <v>202101</v>
      </c>
      <c r="G2591" s="112" t="s">
        <v>1091</v>
      </c>
      <c r="H2591" s="112" t="s">
        <v>1015</v>
      </c>
      <c r="I2591" s="112" t="s">
        <v>2500</v>
      </c>
      <c r="J2591" s="112" t="s">
        <v>2501</v>
      </c>
      <c r="K2591" s="112" t="s">
        <v>1098</v>
      </c>
      <c r="L2591" s="116">
        <v>25</v>
      </c>
    </row>
    <row r="2592" spans="1:12" hidden="1" outlineLevel="1" collapsed="1" x14ac:dyDescent="0.35">
      <c r="A2592" s="112" t="s">
        <v>2479</v>
      </c>
      <c r="B2592" s="112" t="s">
        <v>908</v>
      </c>
      <c r="C2592" s="112" t="s">
        <v>1099</v>
      </c>
      <c r="D2592" s="113">
        <v>1069490</v>
      </c>
      <c r="E2592" s="115">
        <v>43845</v>
      </c>
      <c r="F2592" s="114">
        <v>202101</v>
      </c>
      <c r="G2592" s="112" t="s">
        <v>1091</v>
      </c>
      <c r="H2592" s="112" t="s">
        <v>1015</v>
      </c>
      <c r="I2592" s="112" t="s">
        <v>2502</v>
      </c>
      <c r="J2592" s="112" t="s">
        <v>2503</v>
      </c>
      <c r="K2592" s="112" t="s">
        <v>2504</v>
      </c>
      <c r="L2592" s="116">
        <v>51.67</v>
      </c>
    </row>
    <row r="2593" spans="1:12" hidden="1" outlineLevel="1" collapsed="1" x14ac:dyDescent="0.35">
      <c r="A2593" s="112" t="s">
        <v>2479</v>
      </c>
      <c r="B2593" s="112" t="s">
        <v>908</v>
      </c>
      <c r="C2593" s="112" t="s">
        <v>2482</v>
      </c>
      <c r="D2593" s="113">
        <v>10348555</v>
      </c>
      <c r="E2593" s="115">
        <v>43948</v>
      </c>
      <c r="F2593" s="114">
        <v>202101</v>
      </c>
      <c r="G2593" s="112" t="s">
        <v>1091</v>
      </c>
      <c r="H2593" s="112" t="s">
        <v>1016</v>
      </c>
      <c r="I2593" s="112" t="s">
        <v>2483</v>
      </c>
      <c r="J2593" s="112" t="s">
        <v>2484</v>
      </c>
      <c r="K2593" s="112" t="s">
        <v>2505</v>
      </c>
      <c r="L2593" s="116">
        <v>-857</v>
      </c>
    </row>
    <row r="2594" spans="1:12" hidden="1" outlineLevel="1" collapsed="1" x14ac:dyDescent="0.35">
      <c r="A2594" s="112" t="s">
        <v>2479</v>
      </c>
      <c r="B2594" s="112" t="s">
        <v>908</v>
      </c>
      <c r="C2594" s="112" t="s">
        <v>679</v>
      </c>
      <c r="D2594" s="113">
        <v>10348543</v>
      </c>
      <c r="E2594" s="115">
        <v>43951</v>
      </c>
      <c r="F2594" s="114">
        <v>202101</v>
      </c>
      <c r="G2594" s="112" t="s">
        <v>1091</v>
      </c>
      <c r="H2594" s="112" t="s">
        <v>1016</v>
      </c>
      <c r="I2594" s="112" t="s">
        <v>1788</v>
      </c>
      <c r="J2594" s="112" t="s">
        <v>2498</v>
      </c>
      <c r="K2594" s="112" t="s">
        <v>2506</v>
      </c>
      <c r="L2594" s="116">
        <v>-190</v>
      </c>
    </row>
    <row r="2595" spans="1:12" hidden="1" outlineLevel="1" collapsed="1" x14ac:dyDescent="0.35">
      <c r="A2595" s="112" t="s">
        <v>2479</v>
      </c>
      <c r="B2595" s="112" t="s">
        <v>908</v>
      </c>
      <c r="C2595" s="112" t="s">
        <v>2482</v>
      </c>
      <c r="D2595" s="113">
        <v>10348555</v>
      </c>
      <c r="E2595" s="115">
        <v>43948</v>
      </c>
      <c r="F2595" s="114">
        <v>202101</v>
      </c>
      <c r="G2595" s="112" t="s">
        <v>1091</v>
      </c>
      <c r="H2595" s="112" t="s">
        <v>1016</v>
      </c>
      <c r="I2595" s="112" t="s">
        <v>2483</v>
      </c>
      <c r="J2595" s="112" t="s">
        <v>2484</v>
      </c>
      <c r="K2595" s="112" t="s">
        <v>2507</v>
      </c>
      <c r="L2595" s="116">
        <v>-1694.45</v>
      </c>
    </row>
    <row r="2596" spans="1:12" hidden="1" outlineLevel="1" collapsed="1" x14ac:dyDescent="0.35">
      <c r="A2596" s="112" t="s">
        <v>2479</v>
      </c>
      <c r="B2596" s="112" t="s">
        <v>908</v>
      </c>
      <c r="C2596" s="112" t="s">
        <v>679</v>
      </c>
      <c r="D2596" s="113">
        <v>10348543</v>
      </c>
      <c r="E2596" s="115">
        <v>43951</v>
      </c>
      <c r="F2596" s="114">
        <v>202101</v>
      </c>
      <c r="G2596" s="112" t="s">
        <v>1091</v>
      </c>
      <c r="H2596" s="112" t="s">
        <v>1016</v>
      </c>
      <c r="I2596" s="112" t="s">
        <v>1788</v>
      </c>
      <c r="J2596" s="112" t="s">
        <v>2498</v>
      </c>
      <c r="K2596" s="112" t="s">
        <v>2508</v>
      </c>
      <c r="L2596" s="116">
        <v>-60</v>
      </c>
    </row>
    <row r="2597" spans="1:12" hidden="1" outlineLevel="1" collapsed="1" x14ac:dyDescent="0.35">
      <c r="A2597" s="112" t="s">
        <v>2479</v>
      </c>
      <c r="B2597" s="112" t="s">
        <v>908</v>
      </c>
      <c r="C2597" s="112" t="s">
        <v>679</v>
      </c>
      <c r="D2597" s="113">
        <v>10348543</v>
      </c>
      <c r="E2597" s="115">
        <v>43951</v>
      </c>
      <c r="F2597" s="114">
        <v>202101</v>
      </c>
      <c r="G2597" s="112" t="s">
        <v>1091</v>
      </c>
      <c r="H2597" s="112" t="s">
        <v>1016</v>
      </c>
      <c r="I2597" s="112" t="s">
        <v>1788</v>
      </c>
      <c r="J2597" s="112" t="s">
        <v>2498</v>
      </c>
      <c r="K2597" s="112" t="s">
        <v>2509</v>
      </c>
      <c r="L2597" s="116">
        <v>-85</v>
      </c>
    </row>
    <row r="2598" spans="1:12" hidden="1" outlineLevel="1" collapsed="1" x14ac:dyDescent="0.35">
      <c r="A2598" s="112" t="s">
        <v>2479</v>
      </c>
      <c r="B2598" s="112" t="s">
        <v>908</v>
      </c>
      <c r="C2598" s="112" t="s">
        <v>679</v>
      </c>
      <c r="D2598" s="113">
        <v>10348543</v>
      </c>
      <c r="E2598" s="115">
        <v>43951</v>
      </c>
      <c r="F2598" s="114">
        <v>202101</v>
      </c>
      <c r="G2598" s="112" t="s">
        <v>1091</v>
      </c>
      <c r="H2598" s="112" t="s">
        <v>1016</v>
      </c>
      <c r="I2598" s="112" t="s">
        <v>1788</v>
      </c>
      <c r="J2598" s="112" t="s">
        <v>2498</v>
      </c>
      <c r="K2598" s="112" t="s">
        <v>2510</v>
      </c>
      <c r="L2598" s="116">
        <v>-60</v>
      </c>
    </row>
    <row r="2599" spans="1:12" hidden="1" outlineLevel="1" collapsed="1" x14ac:dyDescent="0.35">
      <c r="A2599" s="112" t="s">
        <v>2479</v>
      </c>
      <c r="B2599" s="112" t="s">
        <v>908</v>
      </c>
      <c r="C2599" s="112" t="s">
        <v>679</v>
      </c>
      <c r="D2599" s="113">
        <v>10348543</v>
      </c>
      <c r="E2599" s="115">
        <v>43951</v>
      </c>
      <c r="F2599" s="114">
        <v>202101</v>
      </c>
      <c r="G2599" s="112" t="s">
        <v>1091</v>
      </c>
      <c r="H2599" s="112" t="s">
        <v>1016</v>
      </c>
      <c r="I2599" s="112" t="s">
        <v>1788</v>
      </c>
      <c r="J2599" s="112" t="s">
        <v>2498</v>
      </c>
      <c r="K2599" s="112" t="s">
        <v>2511</v>
      </c>
      <c r="L2599" s="116">
        <v>-196</v>
      </c>
    </row>
    <row r="2600" spans="1:12" hidden="1" outlineLevel="1" collapsed="1" x14ac:dyDescent="0.35">
      <c r="A2600" s="112" t="s">
        <v>2479</v>
      </c>
      <c r="B2600" s="112" t="s">
        <v>908</v>
      </c>
      <c r="C2600" s="112" t="s">
        <v>679</v>
      </c>
      <c r="D2600" s="113">
        <v>10348543</v>
      </c>
      <c r="E2600" s="115">
        <v>43951</v>
      </c>
      <c r="F2600" s="114">
        <v>202101</v>
      </c>
      <c r="G2600" s="112" t="s">
        <v>1091</v>
      </c>
      <c r="H2600" s="112" t="s">
        <v>1016</v>
      </c>
      <c r="I2600" s="112" t="s">
        <v>1788</v>
      </c>
      <c r="J2600" s="112" t="s">
        <v>2498</v>
      </c>
      <c r="K2600" s="112" t="s">
        <v>2512</v>
      </c>
      <c r="L2600" s="116">
        <v>-60</v>
      </c>
    </row>
    <row r="2601" spans="1:12" hidden="1" outlineLevel="1" collapsed="1" x14ac:dyDescent="0.35">
      <c r="A2601" s="112" t="s">
        <v>2479</v>
      </c>
      <c r="B2601" s="112" t="s">
        <v>908</v>
      </c>
      <c r="C2601" s="112" t="s">
        <v>679</v>
      </c>
      <c r="D2601" s="113">
        <v>10348241</v>
      </c>
      <c r="E2601" s="115">
        <v>43936</v>
      </c>
      <c r="F2601" s="114">
        <v>202101</v>
      </c>
      <c r="G2601" s="112" t="s">
        <v>1091</v>
      </c>
      <c r="H2601" s="112" t="s">
        <v>1015</v>
      </c>
      <c r="I2601" s="112" t="s">
        <v>1536</v>
      </c>
      <c r="J2601" s="112" t="s">
        <v>2513</v>
      </c>
      <c r="K2601" s="112" t="s">
        <v>2514</v>
      </c>
      <c r="L2601" s="116">
        <v>63</v>
      </c>
    </row>
    <row r="2602" spans="1:12" hidden="1" outlineLevel="1" collapsed="1" x14ac:dyDescent="0.35">
      <c r="A2602" s="112" t="s">
        <v>2479</v>
      </c>
      <c r="B2602" s="112" t="s">
        <v>908</v>
      </c>
      <c r="C2602" s="112" t="s">
        <v>2482</v>
      </c>
      <c r="D2602" s="113">
        <v>10348555</v>
      </c>
      <c r="E2602" s="115">
        <v>43948</v>
      </c>
      <c r="F2602" s="114">
        <v>202101</v>
      </c>
      <c r="G2602" s="112" t="s">
        <v>1091</v>
      </c>
      <c r="H2602" s="112" t="s">
        <v>1016</v>
      </c>
      <c r="I2602" s="112" t="s">
        <v>2483</v>
      </c>
      <c r="J2602" s="112" t="s">
        <v>2484</v>
      </c>
      <c r="K2602" s="112" t="s">
        <v>2515</v>
      </c>
      <c r="L2602" s="116">
        <v>-882.5</v>
      </c>
    </row>
    <row r="2603" spans="1:12" hidden="1" outlineLevel="1" collapsed="1" x14ac:dyDescent="0.35">
      <c r="A2603" s="112" t="s">
        <v>2479</v>
      </c>
      <c r="B2603" s="112" t="s">
        <v>908</v>
      </c>
      <c r="C2603" s="112" t="s">
        <v>1099</v>
      </c>
      <c r="D2603" s="113">
        <v>1069445</v>
      </c>
      <c r="E2603" s="115">
        <v>43917</v>
      </c>
      <c r="F2603" s="114">
        <v>202101</v>
      </c>
      <c r="G2603" s="112" t="s">
        <v>1091</v>
      </c>
      <c r="H2603" s="112" t="s">
        <v>1015</v>
      </c>
      <c r="I2603" s="112" t="s">
        <v>1399</v>
      </c>
      <c r="J2603" s="112" t="s">
        <v>2516</v>
      </c>
      <c r="K2603" s="112" t="s">
        <v>2517</v>
      </c>
      <c r="L2603" s="116">
        <v>316</v>
      </c>
    </row>
    <row r="2604" spans="1:12" hidden="1" outlineLevel="1" collapsed="1" x14ac:dyDescent="0.35">
      <c r="A2604" s="112" t="s">
        <v>2479</v>
      </c>
      <c r="B2604" s="112" t="s">
        <v>908</v>
      </c>
      <c r="C2604" s="112" t="s">
        <v>2482</v>
      </c>
      <c r="D2604" s="113">
        <v>10348555</v>
      </c>
      <c r="E2604" s="115">
        <v>43948</v>
      </c>
      <c r="F2604" s="114">
        <v>202101</v>
      </c>
      <c r="G2604" s="112" t="s">
        <v>1091</v>
      </c>
      <c r="H2604" s="112" t="s">
        <v>1016</v>
      </c>
      <c r="I2604" s="112" t="s">
        <v>2483</v>
      </c>
      <c r="J2604" s="112" t="s">
        <v>2484</v>
      </c>
      <c r="K2604" s="112" t="s">
        <v>2518</v>
      </c>
      <c r="L2604" s="116">
        <v>-971.15</v>
      </c>
    </row>
    <row r="2605" spans="1:12" hidden="1" outlineLevel="1" collapsed="1" x14ac:dyDescent="0.35">
      <c r="A2605" s="112" t="s">
        <v>2479</v>
      </c>
      <c r="B2605" s="112" t="s">
        <v>908</v>
      </c>
      <c r="C2605" s="112" t="s">
        <v>679</v>
      </c>
      <c r="D2605" s="113">
        <v>10348543</v>
      </c>
      <c r="E2605" s="115">
        <v>43951</v>
      </c>
      <c r="F2605" s="114">
        <v>202101</v>
      </c>
      <c r="G2605" s="112" t="s">
        <v>1091</v>
      </c>
      <c r="H2605" s="112" t="s">
        <v>1016</v>
      </c>
      <c r="I2605" s="112" t="s">
        <v>1788</v>
      </c>
      <c r="J2605" s="112" t="s">
        <v>2498</v>
      </c>
      <c r="K2605" s="112" t="s">
        <v>2519</v>
      </c>
      <c r="L2605" s="116">
        <v>-6</v>
      </c>
    </row>
    <row r="2606" spans="1:12" hidden="1" outlineLevel="1" collapsed="1" x14ac:dyDescent="0.35">
      <c r="A2606" s="112" t="s">
        <v>2479</v>
      </c>
      <c r="B2606" s="112" t="s">
        <v>908</v>
      </c>
      <c r="C2606" s="112" t="s">
        <v>1099</v>
      </c>
      <c r="D2606" s="113">
        <v>1069725</v>
      </c>
      <c r="E2606" s="115">
        <v>43941</v>
      </c>
      <c r="F2606" s="114">
        <v>202101</v>
      </c>
      <c r="G2606" s="112" t="s">
        <v>1091</v>
      </c>
      <c r="H2606" s="112" t="s">
        <v>1015</v>
      </c>
      <c r="I2606" s="112" t="s">
        <v>761</v>
      </c>
      <c r="J2606" s="112" t="s">
        <v>2520</v>
      </c>
      <c r="K2606" s="112" t="s">
        <v>2521</v>
      </c>
      <c r="L2606" s="116">
        <v>123.15</v>
      </c>
    </row>
    <row r="2607" spans="1:12" hidden="1" outlineLevel="1" collapsed="1" x14ac:dyDescent="0.35">
      <c r="A2607" s="112" t="s">
        <v>2479</v>
      </c>
      <c r="B2607" s="112" t="s">
        <v>909</v>
      </c>
      <c r="C2607" s="112" t="s">
        <v>679</v>
      </c>
      <c r="D2607" s="113">
        <v>10348543</v>
      </c>
      <c r="E2607" s="115">
        <v>43951</v>
      </c>
      <c r="F2607" s="114">
        <v>202101</v>
      </c>
      <c r="G2607" s="112" t="s">
        <v>1091</v>
      </c>
      <c r="H2607" s="112" t="s">
        <v>1016</v>
      </c>
      <c r="I2607" s="112" t="s">
        <v>2522</v>
      </c>
      <c r="J2607" s="112" t="s">
        <v>2523</v>
      </c>
      <c r="K2607" s="112" t="s">
        <v>2524</v>
      </c>
      <c r="L2607" s="116">
        <v>-352</v>
      </c>
    </row>
    <row r="2608" spans="1:12" hidden="1" outlineLevel="1" collapsed="1" x14ac:dyDescent="0.35">
      <c r="A2608" s="112" t="s">
        <v>2479</v>
      </c>
      <c r="B2608" s="112" t="s">
        <v>908</v>
      </c>
      <c r="C2608" s="112" t="s">
        <v>679</v>
      </c>
      <c r="D2608" s="113">
        <v>10348543</v>
      </c>
      <c r="E2608" s="115">
        <v>43951</v>
      </c>
      <c r="F2608" s="114">
        <v>202101</v>
      </c>
      <c r="G2608" s="112" t="s">
        <v>1091</v>
      </c>
      <c r="H2608" s="112" t="s">
        <v>1016</v>
      </c>
      <c r="I2608" s="112" t="s">
        <v>1788</v>
      </c>
      <c r="J2608" s="112" t="s">
        <v>2498</v>
      </c>
      <c r="K2608" s="112" t="s">
        <v>2525</v>
      </c>
      <c r="L2608" s="116">
        <v>-60</v>
      </c>
    </row>
    <row r="2609" spans="1:12" hidden="1" outlineLevel="1" collapsed="1" x14ac:dyDescent="0.35">
      <c r="A2609" s="112" t="s">
        <v>2479</v>
      </c>
      <c r="B2609" s="112" t="s">
        <v>908</v>
      </c>
      <c r="C2609" s="112" t="s">
        <v>2482</v>
      </c>
      <c r="D2609" s="113">
        <v>10348555</v>
      </c>
      <c r="E2609" s="115">
        <v>43948</v>
      </c>
      <c r="F2609" s="114">
        <v>202101</v>
      </c>
      <c r="G2609" s="112" t="s">
        <v>1091</v>
      </c>
      <c r="H2609" s="112" t="s">
        <v>1016</v>
      </c>
      <c r="I2609" s="112" t="s">
        <v>2483</v>
      </c>
      <c r="J2609" s="112" t="s">
        <v>2484</v>
      </c>
      <c r="K2609" s="112" t="s">
        <v>2526</v>
      </c>
      <c r="L2609" s="116">
        <v>-1874.39</v>
      </c>
    </row>
    <row r="2610" spans="1:12" hidden="1" outlineLevel="1" collapsed="1" x14ac:dyDescent="0.35">
      <c r="A2610" s="112" t="s">
        <v>2479</v>
      </c>
      <c r="B2610" s="112" t="s">
        <v>908</v>
      </c>
      <c r="C2610" s="112" t="s">
        <v>679</v>
      </c>
      <c r="D2610" s="113">
        <v>10348543</v>
      </c>
      <c r="E2610" s="115">
        <v>43951</v>
      </c>
      <c r="F2610" s="114">
        <v>202101</v>
      </c>
      <c r="G2610" s="112" t="s">
        <v>1091</v>
      </c>
      <c r="H2610" s="112" t="s">
        <v>1016</v>
      </c>
      <c r="I2610" s="112" t="s">
        <v>1788</v>
      </c>
      <c r="J2610" s="112" t="s">
        <v>2498</v>
      </c>
      <c r="K2610" s="112" t="s">
        <v>2527</v>
      </c>
      <c r="L2610" s="116">
        <v>-196</v>
      </c>
    </row>
    <row r="2611" spans="1:12" hidden="1" outlineLevel="1" collapsed="1" x14ac:dyDescent="0.35">
      <c r="A2611" s="112" t="s">
        <v>2479</v>
      </c>
      <c r="B2611" s="112" t="s">
        <v>908</v>
      </c>
      <c r="C2611" s="112" t="s">
        <v>679</v>
      </c>
      <c r="D2611" s="113">
        <v>10348543</v>
      </c>
      <c r="E2611" s="115">
        <v>43951</v>
      </c>
      <c r="F2611" s="114">
        <v>202101</v>
      </c>
      <c r="G2611" s="112" t="s">
        <v>1091</v>
      </c>
      <c r="H2611" s="112" t="s">
        <v>1016</v>
      </c>
      <c r="I2611" s="112" t="s">
        <v>1788</v>
      </c>
      <c r="J2611" s="112" t="s">
        <v>2498</v>
      </c>
      <c r="K2611" s="112" t="s">
        <v>2528</v>
      </c>
      <c r="L2611" s="116">
        <v>-190</v>
      </c>
    </row>
    <row r="2612" spans="1:12" hidden="1" outlineLevel="1" collapsed="1" x14ac:dyDescent="0.35">
      <c r="A2612" s="112" t="s">
        <v>2479</v>
      </c>
      <c r="B2612" s="112" t="s">
        <v>908</v>
      </c>
      <c r="C2612" s="112" t="s">
        <v>2482</v>
      </c>
      <c r="D2612" s="113">
        <v>10348555</v>
      </c>
      <c r="E2612" s="115">
        <v>43948</v>
      </c>
      <c r="F2612" s="114">
        <v>202101</v>
      </c>
      <c r="G2612" s="112" t="s">
        <v>1091</v>
      </c>
      <c r="H2612" s="112" t="s">
        <v>1016</v>
      </c>
      <c r="I2612" s="112" t="s">
        <v>2483</v>
      </c>
      <c r="J2612" s="112" t="s">
        <v>2484</v>
      </c>
      <c r="K2612" s="112" t="s">
        <v>2529</v>
      </c>
      <c r="L2612" s="116">
        <v>-1250</v>
      </c>
    </row>
    <row r="2613" spans="1:12" hidden="1" outlineLevel="1" collapsed="1" x14ac:dyDescent="0.35">
      <c r="A2613" s="112" t="s">
        <v>2479</v>
      </c>
      <c r="B2613" s="112" t="s">
        <v>908</v>
      </c>
      <c r="C2613" s="112" t="s">
        <v>2482</v>
      </c>
      <c r="D2613" s="113">
        <v>10348555</v>
      </c>
      <c r="E2613" s="115">
        <v>43948</v>
      </c>
      <c r="F2613" s="114">
        <v>202101</v>
      </c>
      <c r="G2613" s="112" t="s">
        <v>1091</v>
      </c>
      <c r="H2613" s="112" t="s">
        <v>1016</v>
      </c>
      <c r="I2613" s="112" t="s">
        <v>2483</v>
      </c>
      <c r="J2613" s="112" t="s">
        <v>2484</v>
      </c>
      <c r="K2613" s="112" t="s">
        <v>2530</v>
      </c>
      <c r="L2613" s="116">
        <v>-1599.86</v>
      </c>
    </row>
    <row r="2614" spans="1:12" hidden="1" outlineLevel="1" collapsed="1" x14ac:dyDescent="0.35">
      <c r="A2614" s="112" t="s">
        <v>2479</v>
      </c>
      <c r="B2614" s="112" t="s">
        <v>908</v>
      </c>
      <c r="C2614" s="112" t="s">
        <v>679</v>
      </c>
      <c r="D2614" s="113">
        <v>10348543</v>
      </c>
      <c r="E2614" s="115">
        <v>43951</v>
      </c>
      <c r="F2614" s="114">
        <v>202101</v>
      </c>
      <c r="G2614" s="112" t="s">
        <v>1091</v>
      </c>
      <c r="H2614" s="112" t="s">
        <v>1016</v>
      </c>
      <c r="I2614" s="112" t="s">
        <v>1788</v>
      </c>
      <c r="J2614" s="112" t="s">
        <v>2498</v>
      </c>
      <c r="K2614" s="112" t="s">
        <v>2531</v>
      </c>
      <c r="L2614" s="116">
        <v>-60</v>
      </c>
    </row>
    <row r="2615" spans="1:12" hidden="1" outlineLevel="1" collapsed="1" x14ac:dyDescent="0.35">
      <c r="A2615" s="112" t="s">
        <v>2479</v>
      </c>
      <c r="B2615" s="112" t="s">
        <v>908</v>
      </c>
      <c r="C2615" s="112" t="s">
        <v>679</v>
      </c>
      <c r="D2615" s="113">
        <v>10348543</v>
      </c>
      <c r="E2615" s="115">
        <v>43951</v>
      </c>
      <c r="F2615" s="114">
        <v>202101</v>
      </c>
      <c r="G2615" s="112" t="s">
        <v>1091</v>
      </c>
      <c r="H2615" s="112" t="s">
        <v>1016</v>
      </c>
      <c r="I2615" s="112" t="s">
        <v>1788</v>
      </c>
      <c r="J2615" s="112" t="s">
        <v>2498</v>
      </c>
      <c r="K2615" s="112" t="s">
        <v>2532</v>
      </c>
      <c r="L2615" s="116">
        <v>-60</v>
      </c>
    </row>
    <row r="2616" spans="1:12" hidden="1" outlineLevel="1" collapsed="1" x14ac:dyDescent="0.35">
      <c r="A2616" s="112" t="s">
        <v>2479</v>
      </c>
      <c r="B2616" s="112" t="s">
        <v>908</v>
      </c>
      <c r="C2616" s="112" t="s">
        <v>1095</v>
      </c>
      <c r="D2616" s="113">
        <v>10348451</v>
      </c>
      <c r="E2616" s="115">
        <v>43949</v>
      </c>
      <c r="F2616" s="114">
        <v>202101</v>
      </c>
      <c r="G2616" s="112" t="s">
        <v>1091</v>
      </c>
      <c r="H2616" s="112" t="s">
        <v>1015</v>
      </c>
      <c r="I2616" s="112" t="s">
        <v>1544</v>
      </c>
      <c r="J2616" s="112" t="s">
        <v>2501</v>
      </c>
      <c r="K2616" s="112" t="s">
        <v>1098</v>
      </c>
      <c r="L2616" s="116">
        <v>32.85</v>
      </c>
    </row>
    <row r="2617" spans="1:12" hidden="1" outlineLevel="1" collapsed="1" x14ac:dyDescent="0.35">
      <c r="A2617" s="112" t="s">
        <v>2479</v>
      </c>
      <c r="B2617" s="112" t="s">
        <v>908</v>
      </c>
      <c r="C2617" s="112" t="s">
        <v>679</v>
      </c>
      <c r="D2617" s="113">
        <v>10348543</v>
      </c>
      <c r="E2617" s="115">
        <v>43951</v>
      </c>
      <c r="F2617" s="114">
        <v>202101</v>
      </c>
      <c r="G2617" s="112" t="s">
        <v>1091</v>
      </c>
      <c r="H2617" s="112" t="s">
        <v>1016</v>
      </c>
      <c r="I2617" s="112" t="s">
        <v>1788</v>
      </c>
      <c r="J2617" s="112" t="s">
        <v>2498</v>
      </c>
      <c r="K2617" s="112" t="s">
        <v>2533</v>
      </c>
      <c r="L2617" s="116">
        <v>-60</v>
      </c>
    </row>
    <row r="2618" spans="1:12" hidden="1" outlineLevel="1" collapsed="1" x14ac:dyDescent="0.35">
      <c r="A2618" s="112" t="s">
        <v>2479</v>
      </c>
      <c r="B2618" s="112" t="s">
        <v>908</v>
      </c>
      <c r="C2618" s="112" t="s">
        <v>679</v>
      </c>
      <c r="D2618" s="113">
        <v>10348543</v>
      </c>
      <c r="E2618" s="115">
        <v>43951</v>
      </c>
      <c r="F2618" s="114">
        <v>202101</v>
      </c>
      <c r="G2618" s="112" t="s">
        <v>1091</v>
      </c>
      <c r="H2618" s="112" t="s">
        <v>1016</v>
      </c>
      <c r="I2618" s="112" t="s">
        <v>1788</v>
      </c>
      <c r="J2618" s="112" t="s">
        <v>2498</v>
      </c>
      <c r="K2618" s="112" t="s">
        <v>2534</v>
      </c>
      <c r="L2618" s="116">
        <v>-196</v>
      </c>
    </row>
    <row r="2619" spans="1:12" hidden="1" outlineLevel="1" collapsed="1" x14ac:dyDescent="0.35">
      <c r="A2619" s="112" t="s">
        <v>2479</v>
      </c>
      <c r="B2619" s="112" t="s">
        <v>908</v>
      </c>
      <c r="C2619" s="112" t="s">
        <v>2482</v>
      </c>
      <c r="D2619" s="113">
        <v>10348555</v>
      </c>
      <c r="E2619" s="115">
        <v>43948</v>
      </c>
      <c r="F2619" s="114">
        <v>202101</v>
      </c>
      <c r="G2619" s="112" t="s">
        <v>1091</v>
      </c>
      <c r="H2619" s="112" t="s">
        <v>1016</v>
      </c>
      <c r="I2619" s="112" t="s">
        <v>2483</v>
      </c>
      <c r="J2619" s="112" t="s">
        <v>2484</v>
      </c>
      <c r="K2619" s="112" t="s">
        <v>2535</v>
      </c>
      <c r="L2619" s="116">
        <v>-796.25</v>
      </c>
    </row>
    <row r="2620" spans="1:12" hidden="1" outlineLevel="1" collapsed="1" x14ac:dyDescent="0.35">
      <c r="A2620" s="112" t="s">
        <v>2479</v>
      </c>
      <c r="B2620" s="112" t="s">
        <v>909</v>
      </c>
      <c r="C2620" s="112" t="s">
        <v>679</v>
      </c>
      <c r="D2620" s="113">
        <v>10348543</v>
      </c>
      <c r="E2620" s="115">
        <v>43951</v>
      </c>
      <c r="F2620" s="114">
        <v>202101</v>
      </c>
      <c r="G2620" s="112" t="s">
        <v>1091</v>
      </c>
      <c r="H2620" s="112" t="s">
        <v>1016</v>
      </c>
      <c r="I2620" s="112" t="s">
        <v>2536</v>
      </c>
      <c r="J2620" s="112" t="s">
        <v>2523</v>
      </c>
      <c r="K2620" s="112" t="s">
        <v>2537</v>
      </c>
      <c r="L2620" s="116">
        <v>-75</v>
      </c>
    </row>
    <row r="2621" spans="1:12" hidden="1" outlineLevel="1" collapsed="1" x14ac:dyDescent="0.35">
      <c r="A2621" s="112" t="s">
        <v>2479</v>
      </c>
      <c r="B2621" s="112" t="s">
        <v>908</v>
      </c>
      <c r="C2621" s="112" t="s">
        <v>695</v>
      </c>
      <c r="D2621" s="113">
        <v>10348243</v>
      </c>
      <c r="E2621" s="115">
        <v>43937</v>
      </c>
      <c r="F2621" s="114">
        <v>202101</v>
      </c>
      <c r="G2621" s="112" t="s">
        <v>1091</v>
      </c>
      <c r="H2621" s="112" t="s">
        <v>1016</v>
      </c>
      <c r="I2621" s="112" t="s">
        <v>819</v>
      </c>
      <c r="J2621" s="112" t="s">
        <v>2501</v>
      </c>
      <c r="K2621" s="112" t="s">
        <v>2538</v>
      </c>
      <c r="L2621" s="116">
        <v>-61683.79</v>
      </c>
    </row>
    <row r="2622" spans="1:12" hidden="1" outlineLevel="1" collapsed="1" x14ac:dyDescent="0.35">
      <c r="A2622" s="112" t="s">
        <v>2479</v>
      </c>
      <c r="B2622" s="112" t="s">
        <v>908</v>
      </c>
      <c r="C2622" s="112" t="s">
        <v>1758</v>
      </c>
      <c r="D2622" s="113">
        <v>51366152</v>
      </c>
      <c r="E2622" s="115">
        <v>43937</v>
      </c>
      <c r="F2622" s="114">
        <v>202101</v>
      </c>
      <c r="G2622" s="112" t="s">
        <v>1091</v>
      </c>
      <c r="H2622" s="112" t="s">
        <v>1016</v>
      </c>
      <c r="I2622" s="112" t="s">
        <v>2539</v>
      </c>
      <c r="J2622" s="112" t="s">
        <v>2520</v>
      </c>
      <c r="K2622" s="112" t="s">
        <v>2540</v>
      </c>
      <c r="L2622" s="116">
        <v>-5346</v>
      </c>
    </row>
    <row r="2623" spans="1:12" hidden="1" outlineLevel="1" collapsed="1" x14ac:dyDescent="0.35">
      <c r="A2623" s="112" t="s">
        <v>2479</v>
      </c>
      <c r="B2623" s="112" t="s">
        <v>908</v>
      </c>
      <c r="C2623" s="112" t="s">
        <v>679</v>
      </c>
      <c r="D2623" s="113">
        <v>10348543</v>
      </c>
      <c r="E2623" s="115">
        <v>43951</v>
      </c>
      <c r="F2623" s="114">
        <v>202101</v>
      </c>
      <c r="G2623" s="112" t="s">
        <v>1091</v>
      </c>
      <c r="H2623" s="112" t="s">
        <v>1016</v>
      </c>
      <c r="I2623" s="112" t="s">
        <v>819</v>
      </c>
      <c r="J2623" s="112" t="s">
        <v>2501</v>
      </c>
      <c r="K2623" s="112" t="s">
        <v>2541</v>
      </c>
      <c r="L2623" s="116">
        <v>-877.5</v>
      </c>
    </row>
    <row r="2624" spans="1:12" hidden="1" outlineLevel="1" collapsed="1" x14ac:dyDescent="0.35">
      <c r="A2624" s="112" t="s">
        <v>2479</v>
      </c>
      <c r="B2624" s="112" t="s">
        <v>909</v>
      </c>
      <c r="C2624" s="112" t="s">
        <v>679</v>
      </c>
      <c r="D2624" s="113">
        <v>10348543</v>
      </c>
      <c r="E2624" s="115">
        <v>43951</v>
      </c>
      <c r="F2624" s="114">
        <v>202101</v>
      </c>
      <c r="G2624" s="112" t="s">
        <v>1091</v>
      </c>
      <c r="H2624" s="112" t="s">
        <v>1016</v>
      </c>
      <c r="I2624" s="112" t="s">
        <v>2536</v>
      </c>
      <c r="J2624" s="112" t="s">
        <v>2523</v>
      </c>
      <c r="K2624" s="112" t="s">
        <v>2542</v>
      </c>
      <c r="L2624" s="116">
        <v>-177</v>
      </c>
    </row>
    <row r="2625" spans="1:12" hidden="1" outlineLevel="1" collapsed="1" x14ac:dyDescent="0.35">
      <c r="A2625" s="112" t="s">
        <v>2479</v>
      </c>
      <c r="B2625" s="112" t="s">
        <v>908</v>
      </c>
      <c r="C2625" s="112" t="s">
        <v>1099</v>
      </c>
      <c r="D2625" s="113">
        <v>1069685</v>
      </c>
      <c r="E2625" s="115">
        <v>43920</v>
      </c>
      <c r="F2625" s="114">
        <v>202101</v>
      </c>
      <c r="G2625" s="112" t="s">
        <v>1091</v>
      </c>
      <c r="H2625" s="112" t="s">
        <v>1015</v>
      </c>
      <c r="I2625" s="112" t="s">
        <v>761</v>
      </c>
      <c r="J2625" s="112" t="s">
        <v>2484</v>
      </c>
      <c r="K2625" s="112" t="s">
        <v>2543</v>
      </c>
      <c r="L2625" s="116">
        <v>135.28</v>
      </c>
    </row>
    <row r="2626" spans="1:12" hidden="1" outlineLevel="1" collapsed="1" x14ac:dyDescent="0.35">
      <c r="A2626" s="112" t="s">
        <v>2479</v>
      </c>
      <c r="B2626" s="112" t="s">
        <v>908</v>
      </c>
      <c r="C2626" s="112" t="s">
        <v>2482</v>
      </c>
      <c r="D2626" s="113">
        <v>10348555</v>
      </c>
      <c r="E2626" s="115">
        <v>43948</v>
      </c>
      <c r="F2626" s="114">
        <v>202101</v>
      </c>
      <c r="G2626" s="112" t="s">
        <v>1091</v>
      </c>
      <c r="H2626" s="112" t="s">
        <v>1016</v>
      </c>
      <c r="I2626" s="112" t="s">
        <v>2483</v>
      </c>
      <c r="J2626" s="112" t="s">
        <v>2484</v>
      </c>
      <c r="K2626" s="112" t="s">
        <v>2544</v>
      </c>
      <c r="L2626" s="116">
        <v>-10</v>
      </c>
    </row>
    <row r="2627" spans="1:12" hidden="1" outlineLevel="1" collapsed="1" x14ac:dyDescent="0.35">
      <c r="A2627" s="112" t="s">
        <v>2479</v>
      </c>
      <c r="B2627" s="112" t="s">
        <v>908</v>
      </c>
      <c r="C2627" s="112" t="s">
        <v>2482</v>
      </c>
      <c r="D2627" s="113">
        <v>10348555</v>
      </c>
      <c r="E2627" s="115">
        <v>43948</v>
      </c>
      <c r="F2627" s="114">
        <v>202101</v>
      </c>
      <c r="G2627" s="112" t="s">
        <v>1091</v>
      </c>
      <c r="H2627" s="112" t="s">
        <v>1016</v>
      </c>
      <c r="I2627" s="112" t="s">
        <v>2483</v>
      </c>
      <c r="J2627" s="112" t="s">
        <v>2484</v>
      </c>
      <c r="K2627" s="112" t="s">
        <v>2545</v>
      </c>
      <c r="L2627" s="116">
        <v>-10</v>
      </c>
    </row>
    <row r="2628" spans="1:12" hidden="1" outlineLevel="1" collapsed="1" x14ac:dyDescent="0.35">
      <c r="A2628" s="112" t="s">
        <v>2479</v>
      </c>
      <c r="B2628" s="112" t="s">
        <v>908</v>
      </c>
      <c r="C2628" s="112" t="s">
        <v>2482</v>
      </c>
      <c r="D2628" s="113">
        <v>10348555</v>
      </c>
      <c r="E2628" s="115">
        <v>43948</v>
      </c>
      <c r="F2628" s="114">
        <v>202101</v>
      </c>
      <c r="G2628" s="112" t="s">
        <v>1091</v>
      </c>
      <c r="H2628" s="112" t="s">
        <v>1016</v>
      </c>
      <c r="I2628" s="112" t="s">
        <v>2483</v>
      </c>
      <c r="J2628" s="112" t="s">
        <v>2484</v>
      </c>
      <c r="K2628" s="112" t="s">
        <v>2546</v>
      </c>
      <c r="L2628" s="116">
        <v>-64</v>
      </c>
    </row>
    <row r="2629" spans="1:12" hidden="1" outlineLevel="1" collapsed="1" x14ac:dyDescent="0.35">
      <c r="A2629" s="112" t="s">
        <v>2479</v>
      </c>
      <c r="B2629" s="112" t="s">
        <v>908</v>
      </c>
      <c r="C2629" s="112" t="s">
        <v>2482</v>
      </c>
      <c r="D2629" s="113">
        <v>10348555</v>
      </c>
      <c r="E2629" s="115">
        <v>43948</v>
      </c>
      <c r="F2629" s="114">
        <v>202101</v>
      </c>
      <c r="G2629" s="112" t="s">
        <v>1091</v>
      </c>
      <c r="H2629" s="112" t="s">
        <v>1016</v>
      </c>
      <c r="I2629" s="112" t="s">
        <v>2483</v>
      </c>
      <c r="J2629" s="112" t="s">
        <v>2484</v>
      </c>
      <c r="K2629" s="112" t="s">
        <v>2547</v>
      </c>
      <c r="L2629" s="116">
        <v>-64</v>
      </c>
    </row>
    <row r="2630" spans="1:12" hidden="1" outlineLevel="1" collapsed="1" x14ac:dyDescent="0.35">
      <c r="A2630" s="112" t="s">
        <v>2479</v>
      </c>
      <c r="B2630" s="112" t="s">
        <v>908</v>
      </c>
      <c r="C2630" s="112" t="s">
        <v>2482</v>
      </c>
      <c r="D2630" s="113">
        <v>10348555</v>
      </c>
      <c r="E2630" s="115">
        <v>43948</v>
      </c>
      <c r="F2630" s="114">
        <v>202101</v>
      </c>
      <c r="G2630" s="112" t="s">
        <v>1091</v>
      </c>
      <c r="H2630" s="112" t="s">
        <v>1016</v>
      </c>
      <c r="I2630" s="112" t="s">
        <v>2483</v>
      </c>
      <c r="J2630" s="112" t="s">
        <v>2484</v>
      </c>
      <c r="K2630" s="112" t="s">
        <v>2548</v>
      </c>
      <c r="L2630" s="116">
        <v>-64</v>
      </c>
    </row>
    <row r="2631" spans="1:12" hidden="1" outlineLevel="1" collapsed="1" x14ac:dyDescent="0.35">
      <c r="A2631" s="112" t="s">
        <v>2479</v>
      </c>
      <c r="B2631" s="112" t="s">
        <v>909</v>
      </c>
      <c r="C2631" s="112" t="s">
        <v>695</v>
      </c>
      <c r="D2631" s="113">
        <v>10348175</v>
      </c>
      <c r="E2631" s="115">
        <v>43931</v>
      </c>
      <c r="F2631" s="114">
        <v>202101</v>
      </c>
      <c r="G2631" s="112" t="s">
        <v>1091</v>
      </c>
      <c r="H2631" s="112" t="s">
        <v>1015</v>
      </c>
      <c r="I2631" s="112" t="s">
        <v>2495</v>
      </c>
      <c r="J2631" s="112" t="s">
        <v>2496</v>
      </c>
      <c r="K2631" s="112" t="s">
        <v>2549</v>
      </c>
      <c r="L2631" s="116">
        <v>-4307</v>
      </c>
    </row>
    <row r="2632" spans="1:12" hidden="1" outlineLevel="1" collapsed="1" x14ac:dyDescent="0.35">
      <c r="A2632" s="112" t="s">
        <v>2479</v>
      </c>
      <c r="B2632" s="112" t="s">
        <v>909</v>
      </c>
      <c r="C2632" s="112" t="s">
        <v>2381</v>
      </c>
      <c r="D2632" s="113">
        <v>10348251</v>
      </c>
      <c r="E2632" s="115">
        <v>43929</v>
      </c>
      <c r="F2632" s="114">
        <v>202101</v>
      </c>
      <c r="G2632" s="112" t="s">
        <v>1091</v>
      </c>
      <c r="H2632" s="112" t="s">
        <v>1016</v>
      </c>
      <c r="I2632" s="112" t="s">
        <v>2522</v>
      </c>
      <c r="J2632" s="112" t="s">
        <v>2523</v>
      </c>
      <c r="K2632" s="112" t="s">
        <v>2550</v>
      </c>
      <c r="L2632" s="116">
        <v>295</v>
      </c>
    </row>
    <row r="2633" spans="1:12" hidden="1" outlineLevel="1" collapsed="1" x14ac:dyDescent="0.35">
      <c r="A2633" s="112" t="s">
        <v>2479</v>
      </c>
      <c r="B2633" s="112" t="s">
        <v>908</v>
      </c>
      <c r="C2633" s="112" t="s">
        <v>2482</v>
      </c>
      <c r="D2633" s="113">
        <v>10348555</v>
      </c>
      <c r="E2633" s="115">
        <v>43948</v>
      </c>
      <c r="F2633" s="114">
        <v>202101</v>
      </c>
      <c r="G2633" s="112" t="s">
        <v>1091</v>
      </c>
      <c r="H2633" s="112" t="s">
        <v>1016</v>
      </c>
      <c r="I2633" s="112" t="s">
        <v>2483</v>
      </c>
      <c r="J2633" s="112" t="s">
        <v>2484</v>
      </c>
      <c r="K2633" s="112" t="s">
        <v>2551</v>
      </c>
      <c r="L2633" s="116">
        <v>-64</v>
      </c>
    </row>
    <row r="2634" spans="1:12" hidden="1" outlineLevel="1" collapsed="1" x14ac:dyDescent="0.35">
      <c r="A2634" s="112" t="s">
        <v>2479</v>
      </c>
      <c r="B2634" s="112" t="s">
        <v>908</v>
      </c>
      <c r="C2634" s="112" t="s">
        <v>2482</v>
      </c>
      <c r="D2634" s="113">
        <v>10348555</v>
      </c>
      <c r="E2634" s="115">
        <v>43948</v>
      </c>
      <c r="F2634" s="114">
        <v>202101</v>
      </c>
      <c r="G2634" s="112" t="s">
        <v>1091</v>
      </c>
      <c r="H2634" s="112" t="s">
        <v>1016</v>
      </c>
      <c r="I2634" s="112" t="s">
        <v>2483</v>
      </c>
      <c r="J2634" s="112" t="s">
        <v>2484</v>
      </c>
      <c r="K2634" s="112" t="s">
        <v>2552</v>
      </c>
      <c r="L2634" s="116">
        <v>-64</v>
      </c>
    </row>
    <row r="2635" spans="1:12" hidden="1" outlineLevel="1" collapsed="1" x14ac:dyDescent="0.35">
      <c r="A2635" s="112" t="s">
        <v>2479</v>
      </c>
      <c r="B2635" s="112" t="s">
        <v>908</v>
      </c>
      <c r="C2635" s="112" t="s">
        <v>1099</v>
      </c>
      <c r="D2635" s="113">
        <v>1069297</v>
      </c>
      <c r="E2635" s="115">
        <v>43884</v>
      </c>
      <c r="F2635" s="114">
        <v>202101</v>
      </c>
      <c r="G2635" s="112" t="s">
        <v>1091</v>
      </c>
      <c r="H2635" s="112" t="s">
        <v>1015</v>
      </c>
      <c r="I2635" s="112" t="s">
        <v>761</v>
      </c>
      <c r="J2635" s="112" t="s">
        <v>2553</v>
      </c>
      <c r="K2635" s="112" t="s">
        <v>2554</v>
      </c>
      <c r="L2635" s="116">
        <v>490</v>
      </c>
    </row>
    <row r="2636" spans="1:12" hidden="1" outlineLevel="1" collapsed="1" x14ac:dyDescent="0.35">
      <c r="A2636" s="112" t="s">
        <v>2479</v>
      </c>
      <c r="B2636" s="112" t="s">
        <v>908</v>
      </c>
      <c r="C2636" s="112" t="s">
        <v>1758</v>
      </c>
      <c r="D2636" s="113">
        <v>51366153</v>
      </c>
      <c r="E2636" s="115">
        <v>43937</v>
      </c>
      <c r="F2636" s="114">
        <v>202101</v>
      </c>
      <c r="G2636" s="112" t="s">
        <v>1091</v>
      </c>
      <c r="H2636" s="112" t="s">
        <v>1016</v>
      </c>
      <c r="I2636" s="112" t="s">
        <v>2539</v>
      </c>
      <c r="J2636" s="112" t="s">
        <v>2520</v>
      </c>
      <c r="K2636" s="112" t="s">
        <v>2555</v>
      </c>
      <c r="L2636" s="116">
        <v>-1055</v>
      </c>
    </row>
    <row r="2637" spans="1:12" hidden="1" outlineLevel="1" collapsed="1" x14ac:dyDescent="0.35">
      <c r="A2637" s="112" t="s">
        <v>2479</v>
      </c>
      <c r="B2637" s="112" t="s">
        <v>908</v>
      </c>
      <c r="C2637" s="112" t="s">
        <v>2482</v>
      </c>
      <c r="D2637" s="113">
        <v>10348555</v>
      </c>
      <c r="E2637" s="115">
        <v>43948</v>
      </c>
      <c r="F2637" s="114">
        <v>202101</v>
      </c>
      <c r="G2637" s="112" t="s">
        <v>1091</v>
      </c>
      <c r="H2637" s="112" t="s">
        <v>1016</v>
      </c>
      <c r="I2637" s="112" t="s">
        <v>2483</v>
      </c>
      <c r="J2637" s="112" t="s">
        <v>2484</v>
      </c>
      <c r="K2637" s="112" t="s">
        <v>2556</v>
      </c>
      <c r="L2637" s="116">
        <v>-64</v>
      </c>
    </row>
    <row r="2638" spans="1:12" hidden="1" outlineLevel="1" collapsed="1" x14ac:dyDescent="0.35">
      <c r="A2638" s="112" t="s">
        <v>2479</v>
      </c>
      <c r="B2638" s="112" t="s">
        <v>908</v>
      </c>
      <c r="C2638" s="112" t="s">
        <v>2482</v>
      </c>
      <c r="D2638" s="113">
        <v>10348555</v>
      </c>
      <c r="E2638" s="115">
        <v>43948</v>
      </c>
      <c r="F2638" s="114">
        <v>202101</v>
      </c>
      <c r="G2638" s="112" t="s">
        <v>1091</v>
      </c>
      <c r="H2638" s="112" t="s">
        <v>1016</v>
      </c>
      <c r="I2638" s="112" t="s">
        <v>2483</v>
      </c>
      <c r="J2638" s="112" t="s">
        <v>2484</v>
      </c>
      <c r="K2638" s="112" t="s">
        <v>2557</v>
      </c>
      <c r="L2638" s="116">
        <v>-64</v>
      </c>
    </row>
    <row r="2639" spans="1:12" hidden="1" outlineLevel="1" collapsed="1" x14ac:dyDescent="0.35">
      <c r="A2639" s="112" t="s">
        <v>2479</v>
      </c>
      <c r="B2639" s="112" t="s">
        <v>908</v>
      </c>
      <c r="C2639" s="112" t="s">
        <v>2482</v>
      </c>
      <c r="D2639" s="113">
        <v>10348555</v>
      </c>
      <c r="E2639" s="115">
        <v>43948</v>
      </c>
      <c r="F2639" s="114">
        <v>202101</v>
      </c>
      <c r="G2639" s="112" t="s">
        <v>1091</v>
      </c>
      <c r="H2639" s="112" t="s">
        <v>1016</v>
      </c>
      <c r="I2639" s="112" t="s">
        <v>2483</v>
      </c>
      <c r="J2639" s="112" t="s">
        <v>2484</v>
      </c>
      <c r="K2639" s="112" t="s">
        <v>2558</v>
      </c>
      <c r="L2639" s="116">
        <v>-64</v>
      </c>
    </row>
    <row r="2640" spans="1:12" hidden="1" outlineLevel="1" collapsed="1" x14ac:dyDescent="0.35">
      <c r="A2640" s="112" t="s">
        <v>2479</v>
      </c>
      <c r="B2640" s="112" t="s">
        <v>908</v>
      </c>
      <c r="C2640" s="112" t="s">
        <v>2482</v>
      </c>
      <c r="D2640" s="113">
        <v>10348555</v>
      </c>
      <c r="E2640" s="115">
        <v>43948</v>
      </c>
      <c r="F2640" s="114">
        <v>202101</v>
      </c>
      <c r="G2640" s="112" t="s">
        <v>1091</v>
      </c>
      <c r="H2640" s="112" t="s">
        <v>1016</v>
      </c>
      <c r="I2640" s="112" t="s">
        <v>2483</v>
      </c>
      <c r="J2640" s="112" t="s">
        <v>2484</v>
      </c>
      <c r="K2640" s="112" t="s">
        <v>2558</v>
      </c>
      <c r="L2640" s="116">
        <v>-80</v>
      </c>
    </row>
    <row r="2641" spans="1:12" hidden="1" outlineLevel="1" collapsed="1" x14ac:dyDescent="0.35">
      <c r="A2641" s="112" t="s">
        <v>2479</v>
      </c>
      <c r="B2641" s="112" t="s">
        <v>909</v>
      </c>
      <c r="C2641" s="112" t="s">
        <v>1511</v>
      </c>
      <c r="D2641" s="113">
        <v>47036485</v>
      </c>
      <c r="E2641" s="115">
        <v>43923</v>
      </c>
      <c r="F2641" s="114">
        <v>202101</v>
      </c>
      <c r="G2641" s="112" t="s">
        <v>1091</v>
      </c>
      <c r="H2641" s="112" t="s">
        <v>1015</v>
      </c>
      <c r="I2641" s="112" t="s">
        <v>749</v>
      </c>
      <c r="J2641" s="112" t="s">
        <v>2559</v>
      </c>
      <c r="K2641" s="112" t="s">
        <v>2560</v>
      </c>
      <c r="L2641" s="116">
        <v>156.82</v>
      </c>
    </row>
    <row r="2642" spans="1:12" hidden="1" outlineLevel="1" collapsed="1" x14ac:dyDescent="0.35">
      <c r="A2642" s="112" t="s">
        <v>2479</v>
      </c>
      <c r="B2642" s="112" t="s">
        <v>908</v>
      </c>
      <c r="C2642" s="112" t="s">
        <v>679</v>
      </c>
      <c r="D2642" s="113">
        <v>10348543</v>
      </c>
      <c r="E2642" s="115">
        <v>43951</v>
      </c>
      <c r="F2642" s="114">
        <v>202101</v>
      </c>
      <c r="G2642" s="112" t="s">
        <v>1091</v>
      </c>
      <c r="H2642" s="112" t="s">
        <v>1016</v>
      </c>
      <c r="I2642" s="112" t="s">
        <v>1788</v>
      </c>
      <c r="J2642" s="112" t="s">
        <v>2498</v>
      </c>
      <c r="K2642" s="112" t="s">
        <v>2561</v>
      </c>
      <c r="L2642" s="116">
        <v>-190</v>
      </c>
    </row>
    <row r="2643" spans="1:12" hidden="1" outlineLevel="1" collapsed="1" x14ac:dyDescent="0.35">
      <c r="A2643" s="112" t="s">
        <v>2479</v>
      </c>
      <c r="B2643" s="112" t="s">
        <v>908</v>
      </c>
      <c r="C2643" s="112" t="s">
        <v>2482</v>
      </c>
      <c r="D2643" s="113">
        <v>10348555</v>
      </c>
      <c r="E2643" s="115">
        <v>43948</v>
      </c>
      <c r="F2643" s="114">
        <v>202101</v>
      </c>
      <c r="G2643" s="112" t="s">
        <v>1091</v>
      </c>
      <c r="H2643" s="112" t="s">
        <v>1016</v>
      </c>
      <c r="I2643" s="112" t="s">
        <v>2483</v>
      </c>
      <c r="J2643" s="112" t="s">
        <v>2484</v>
      </c>
      <c r="K2643" s="112" t="s">
        <v>2562</v>
      </c>
      <c r="L2643" s="116">
        <v>-80</v>
      </c>
    </row>
    <row r="2644" spans="1:12" hidden="1" outlineLevel="1" collapsed="1" x14ac:dyDescent="0.35">
      <c r="A2644" s="112" t="s">
        <v>2479</v>
      </c>
      <c r="B2644" s="112" t="s">
        <v>908</v>
      </c>
      <c r="C2644" s="112" t="s">
        <v>2482</v>
      </c>
      <c r="D2644" s="113">
        <v>10348555</v>
      </c>
      <c r="E2644" s="115">
        <v>43948</v>
      </c>
      <c r="F2644" s="114">
        <v>202101</v>
      </c>
      <c r="G2644" s="112" t="s">
        <v>1091</v>
      </c>
      <c r="H2644" s="112" t="s">
        <v>1016</v>
      </c>
      <c r="I2644" s="112" t="s">
        <v>2483</v>
      </c>
      <c r="J2644" s="112" t="s">
        <v>2484</v>
      </c>
      <c r="K2644" s="112" t="s">
        <v>2563</v>
      </c>
      <c r="L2644" s="116">
        <v>-80</v>
      </c>
    </row>
    <row r="2645" spans="1:12" hidden="1" outlineLevel="1" collapsed="1" x14ac:dyDescent="0.35">
      <c r="A2645" s="112" t="s">
        <v>2479</v>
      </c>
      <c r="B2645" s="112" t="s">
        <v>908</v>
      </c>
      <c r="C2645" s="112" t="s">
        <v>2482</v>
      </c>
      <c r="D2645" s="113">
        <v>10348555</v>
      </c>
      <c r="E2645" s="115">
        <v>43948</v>
      </c>
      <c r="F2645" s="114">
        <v>202101</v>
      </c>
      <c r="G2645" s="112" t="s">
        <v>1091</v>
      </c>
      <c r="H2645" s="112" t="s">
        <v>1016</v>
      </c>
      <c r="I2645" s="112" t="s">
        <v>2483</v>
      </c>
      <c r="J2645" s="112" t="s">
        <v>2484</v>
      </c>
      <c r="K2645" s="112" t="s">
        <v>2564</v>
      </c>
      <c r="L2645" s="116">
        <v>-80</v>
      </c>
    </row>
    <row r="2646" spans="1:12" hidden="1" outlineLevel="1" collapsed="1" x14ac:dyDescent="0.35">
      <c r="A2646" s="112" t="s">
        <v>2479</v>
      </c>
      <c r="B2646" s="112" t="s">
        <v>908</v>
      </c>
      <c r="C2646" s="112" t="s">
        <v>2482</v>
      </c>
      <c r="D2646" s="113">
        <v>10348555</v>
      </c>
      <c r="E2646" s="115">
        <v>43948</v>
      </c>
      <c r="F2646" s="114">
        <v>202101</v>
      </c>
      <c r="G2646" s="112" t="s">
        <v>1091</v>
      </c>
      <c r="H2646" s="112" t="s">
        <v>1016</v>
      </c>
      <c r="I2646" s="112" t="s">
        <v>2483</v>
      </c>
      <c r="J2646" s="112" t="s">
        <v>2484</v>
      </c>
      <c r="K2646" s="112" t="s">
        <v>2565</v>
      </c>
      <c r="L2646" s="116">
        <v>-40</v>
      </c>
    </row>
    <row r="2647" spans="1:12" hidden="1" outlineLevel="1" collapsed="1" x14ac:dyDescent="0.35">
      <c r="A2647" s="112" t="s">
        <v>2479</v>
      </c>
      <c r="B2647" s="112" t="s">
        <v>908</v>
      </c>
      <c r="C2647" s="112" t="s">
        <v>2482</v>
      </c>
      <c r="D2647" s="113">
        <v>10348555</v>
      </c>
      <c r="E2647" s="115">
        <v>43948</v>
      </c>
      <c r="F2647" s="114">
        <v>202101</v>
      </c>
      <c r="G2647" s="112" t="s">
        <v>1091</v>
      </c>
      <c r="H2647" s="112" t="s">
        <v>1016</v>
      </c>
      <c r="I2647" s="112" t="s">
        <v>2483</v>
      </c>
      <c r="J2647" s="112" t="s">
        <v>2484</v>
      </c>
      <c r="K2647" s="112" t="s">
        <v>2566</v>
      </c>
      <c r="L2647" s="116">
        <v>-957.5</v>
      </c>
    </row>
    <row r="2648" spans="1:12" hidden="1" outlineLevel="1" collapsed="1" x14ac:dyDescent="0.35">
      <c r="A2648" s="112" t="s">
        <v>2479</v>
      </c>
      <c r="B2648" s="112" t="s">
        <v>908</v>
      </c>
      <c r="C2648" s="112" t="s">
        <v>679</v>
      </c>
      <c r="D2648" s="113">
        <v>10348543</v>
      </c>
      <c r="E2648" s="115">
        <v>43951</v>
      </c>
      <c r="F2648" s="114">
        <v>202101</v>
      </c>
      <c r="G2648" s="112" t="s">
        <v>1091</v>
      </c>
      <c r="H2648" s="112" t="s">
        <v>1016</v>
      </c>
      <c r="I2648" s="112" t="s">
        <v>1788</v>
      </c>
      <c r="J2648" s="112" t="s">
        <v>2498</v>
      </c>
      <c r="K2648" s="112" t="s">
        <v>2567</v>
      </c>
      <c r="L2648" s="116">
        <v>-220</v>
      </c>
    </row>
    <row r="2649" spans="1:12" hidden="1" outlineLevel="1" collapsed="1" x14ac:dyDescent="0.35">
      <c r="A2649" s="112" t="s">
        <v>2479</v>
      </c>
      <c r="B2649" s="112" t="s">
        <v>908</v>
      </c>
      <c r="C2649" s="112" t="s">
        <v>2482</v>
      </c>
      <c r="D2649" s="113">
        <v>10348555</v>
      </c>
      <c r="E2649" s="115">
        <v>43948</v>
      </c>
      <c r="F2649" s="114">
        <v>202101</v>
      </c>
      <c r="G2649" s="112" t="s">
        <v>1091</v>
      </c>
      <c r="H2649" s="112" t="s">
        <v>1016</v>
      </c>
      <c r="I2649" s="112" t="s">
        <v>2483</v>
      </c>
      <c r="J2649" s="112" t="s">
        <v>2484</v>
      </c>
      <c r="K2649" s="112" t="s">
        <v>2568</v>
      </c>
      <c r="L2649" s="116">
        <v>-410.3</v>
      </c>
    </row>
    <row r="2650" spans="1:12" hidden="1" outlineLevel="1" collapsed="1" x14ac:dyDescent="0.35">
      <c r="A2650" s="112" t="s">
        <v>2479</v>
      </c>
      <c r="B2650" s="112" t="s">
        <v>908</v>
      </c>
      <c r="C2650" s="112" t="s">
        <v>2482</v>
      </c>
      <c r="D2650" s="113">
        <v>10348555</v>
      </c>
      <c r="E2650" s="115">
        <v>43948</v>
      </c>
      <c r="F2650" s="114">
        <v>202101</v>
      </c>
      <c r="G2650" s="112" t="s">
        <v>1091</v>
      </c>
      <c r="H2650" s="112" t="s">
        <v>1016</v>
      </c>
      <c r="I2650" s="112" t="s">
        <v>2483</v>
      </c>
      <c r="J2650" s="112" t="s">
        <v>2484</v>
      </c>
      <c r="K2650" s="112" t="s">
        <v>2569</v>
      </c>
      <c r="L2650" s="116">
        <v>-1134.6500000000001</v>
      </c>
    </row>
    <row r="2651" spans="1:12" hidden="1" outlineLevel="1" collapsed="1" x14ac:dyDescent="0.35">
      <c r="A2651" s="112" t="s">
        <v>2479</v>
      </c>
      <c r="B2651" s="112" t="s">
        <v>908</v>
      </c>
      <c r="C2651" s="112" t="s">
        <v>2482</v>
      </c>
      <c r="D2651" s="113">
        <v>10348555</v>
      </c>
      <c r="E2651" s="115">
        <v>43948</v>
      </c>
      <c r="F2651" s="114">
        <v>202101</v>
      </c>
      <c r="G2651" s="112" t="s">
        <v>1091</v>
      </c>
      <c r="H2651" s="112" t="s">
        <v>1016</v>
      </c>
      <c r="I2651" s="112" t="s">
        <v>2483</v>
      </c>
      <c r="J2651" s="112" t="s">
        <v>2484</v>
      </c>
      <c r="K2651" s="112" t="s">
        <v>2570</v>
      </c>
      <c r="L2651" s="116">
        <v>-893.6</v>
      </c>
    </row>
    <row r="2652" spans="1:12" hidden="1" outlineLevel="1" collapsed="1" x14ac:dyDescent="0.35">
      <c r="A2652" s="112" t="s">
        <v>2479</v>
      </c>
      <c r="B2652" s="112" t="s">
        <v>908</v>
      </c>
      <c r="C2652" s="112" t="s">
        <v>2482</v>
      </c>
      <c r="D2652" s="113">
        <v>10348555</v>
      </c>
      <c r="E2652" s="115">
        <v>43948</v>
      </c>
      <c r="F2652" s="114">
        <v>202101</v>
      </c>
      <c r="G2652" s="112" t="s">
        <v>1091</v>
      </c>
      <c r="H2652" s="112" t="s">
        <v>1016</v>
      </c>
      <c r="I2652" s="112" t="s">
        <v>2483</v>
      </c>
      <c r="J2652" s="112" t="s">
        <v>2484</v>
      </c>
      <c r="K2652" s="112" t="s">
        <v>2571</v>
      </c>
      <c r="L2652" s="116">
        <v>-859.25</v>
      </c>
    </row>
    <row r="2653" spans="1:12" hidden="1" outlineLevel="1" collapsed="1" x14ac:dyDescent="0.35">
      <c r="A2653" s="112" t="s">
        <v>2479</v>
      </c>
      <c r="B2653" s="112" t="s">
        <v>908</v>
      </c>
      <c r="C2653" s="112" t="s">
        <v>2482</v>
      </c>
      <c r="D2653" s="113">
        <v>10348555</v>
      </c>
      <c r="E2653" s="115">
        <v>43948</v>
      </c>
      <c r="F2653" s="114">
        <v>202101</v>
      </c>
      <c r="G2653" s="112" t="s">
        <v>1091</v>
      </c>
      <c r="H2653" s="112" t="s">
        <v>1016</v>
      </c>
      <c r="I2653" s="112" t="s">
        <v>2483</v>
      </c>
      <c r="J2653" s="112" t="s">
        <v>2484</v>
      </c>
      <c r="K2653" s="112" t="s">
        <v>2572</v>
      </c>
      <c r="L2653" s="116">
        <v>-1175</v>
      </c>
    </row>
    <row r="2654" spans="1:12" hidden="1" outlineLevel="1" collapsed="1" x14ac:dyDescent="0.35">
      <c r="A2654" s="112" t="s">
        <v>2479</v>
      </c>
      <c r="B2654" s="112" t="s">
        <v>908</v>
      </c>
      <c r="C2654" s="112" t="s">
        <v>679</v>
      </c>
      <c r="D2654" s="113">
        <v>10348297</v>
      </c>
      <c r="E2654" s="115">
        <v>43938</v>
      </c>
      <c r="F2654" s="114">
        <v>202101</v>
      </c>
      <c r="G2654" s="112" t="s">
        <v>1091</v>
      </c>
      <c r="H2654" s="112" t="s">
        <v>1016</v>
      </c>
      <c r="I2654" s="112" t="s">
        <v>1788</v>
      </c>
      <c r="J2654" s="112" t="s">
        <v>2498</v>
      </c>
      <c r="K2654" s="112" t="s">
        <v>2573</v>
      </c>
      <c r="L2654" s="116">
        <v>-60</v>
      </c>
    </row>
    <row r="2655" spans="1:12" hidden="1" outlineLevel="1" collapsed="1" x14ac:dyDescent="0.35">
      <c r="A2655" s="112" t="s">
        <v>2479</v>
      </c>
      <c r="B2655" s="112" t="s">
        <v>908</v>
      </c>
      <c r="C2655" s="112" t="s">
        <v>2482</v>
      </c>
      <c r="D2655" s="113">
        <v>10348555</v>
      </c>
      <c r="E2655" s="115">
        <v>43948</v>
      </c>
      <c r="F2655" s="114">
        <v>202101</v>
      </c>
      <c r="G2655" s="112" t="s">
        <v>1091</v>
      </c>
      <c r="H2655" s="112" t="s">
        <v>1016</v>
      </c>
      <c r="I2655" s="112" t="s">
        <v>2483</v>
      </c>
      <c r="J2655" s="112" t="s">
        <v>2484</v>
      </c>
      <c r="K2655" s="112" t="s">
        <v>2574</v>
      </c>
      <c r="L2655" s="116">
        <v>-264.14999999999998</v>
      </c>
    </row>
    <row r="2656" spans="1:12" hidden="1" outlineLevel="1" collapsed="1" x14ac:dyDescent="0.35">
      <c r="A2656" s="112" t="s">
        <v>2479</v>
      </c>
      <c r="B2656" s="112" t="s">
        <v>908</v>
      </c>
      <c r="C2656" s="112" t="s">
        <v>2482</v>
      </c>
      <c r="D2656" s="113">
        <v>10348555</v>
      </c>
      <c r="E2656" s="115">
        <v>43948</v>
      </c>
      <c r="F2656" s="114">
        <v>202101</v>
      </c>
      <c r="G2656" s="112" t="s">
        <v>1091</v>
      </c>
      <c r="H2656" s="112" t="s">
        <v>1016</v>
      </c>
      <c r="I2656" s="112" t="s">
        <v>2483</v>
      </c>
      <c r="J2656" s="112" t="s">
        <v>2484</v>
      </c>
      <c r="K2656" s="112" t="s">
        <v>2575</v>
      </c>
      <c r="L2656" s="116">
        <v>-64</v>
      </c>
    </row>
    <row r="2657" spans="1:12" hidden="1" outlineLevel="1" collapsed="1" x14ac:dyDescent="0.35">
      <c r="A2657" s="112" t="s">
        <v>2479</v>
      </c>
      <c r="B2657" s="112" t="s">
        <v>908</v>
      </c>
      <c r="C2657" s="112" t="s">
        <v>1095</v>
      </c>
      <c r="D2657" s="113">
        <v>10348451</v>
      </c>
      <c r="E2657" s="115">
        <v>43949</v>
      </c>
      <c r="F2657" s="114">
        <v>202101</v>
      </c>
      <c r="G2657" s="112" t="s">
        <v>1091</v>
      </c>
      <c r="H2657" s="112" t="s">
        <v>1015</v>
      </c>
      <c r="I2657" s="112" t="s">
        <v>1182</v>
      </c>
      <c r="J2657" s="112" t="s">
        <v>2484</v>
      </c>
      <c r="K2657" s="112" t="s">
        <v>1098</v>
      </c>
      <c r="L2657" s="116">
        <v>23.9</v>
      </c>
    </row>
    <row r="2658" spans="1:12" hidden="1" outlineLevel="1" collapsed="1" x14ac:dyDescent="0.35">
      <c r="A2658" s="112" t="s">
        <v>2479</v>
      </c>
      <c r="B2658" s="112" t="s">
        <v>908</v>
      </c>
      <c r="C2658" s="112" t="s">
        <v>1095</v>
      </c>
      <c r="D2658" s="113">
        <v>10348451</v>
      </c>
      <c r="E2658" s="115">
        <v>43949</v>
      </c>
      <c r="F2658" s="114">
        <v>202101</v>
      </c>
      <c r="G2658" s="112" t="s">
        <v>1091</v>
      </c>
      <c r="H2658" s="112" t="s">
        <v>1015</v>
      </c>
      <c r="I2658" s="112" t="s">
        <v>2500</v>
      </c>
      <c r="J2658" s="112" t="s">
        <v>2501</v>
      </c>
      <c r="K2658" s="112" t="s">
        <v>1098</v>
      </c>
      <c r="L2658" s="116">
        <v>25</v>
      </c>
    </row>
    <row r="2659" spans="1:12" hidden="1" outlineLevel="1" collapsed="1" x14ac:dyDescent="0.35">
      <c r="A2659" s="112" t="s">
        <v>2479</v>
      </c>
      <c r="B2659" s="112" t="s">
        <v>908</v>
      </c>
      <c r="C2659" s="112" t="s">
        <v>679</v>
      </c>
      <c r="D2659" s="113">
        <v>10348271</v>
      </c>
      <c r="E2659" s="115">
        <v>43937</v>
      </c>
      <c r="F2659" s="114">
        <v>202101</v>
      </c>
      <c r="G2659" s="112" t="s">
        <v>1091</v>
      </c>
      <c r="H2659" s="112" t="s">
        <v>1016</v>
      </c>
      <c r="I2659" s="112" t="s">
        <v>1788</v>
      </c>
      <c r="J2659" s="112" t="s">
        <v>2498</v>
      </c>
      <c r="K2659" s="112" t="s">
        <v>2576</v>
      </c>
      <c r="L2659" s="116">
        <v>-190</v>
      </c>
    </row>
    <row r="2660" spans="1:12" hidden="1" outlineLevel="1" collapsed="1" x14ac:dyDescent="0.35">
      <c r="A2660" s="112" t="s">
        <v>2479</v>
      </c>
      <c r="B2660" s="112" t="s">
        <v>908</v>
      </c>
      <c r="C2660" s="112" t="s">
        <v>2482</v>
      </c>
      <c r="D2660" s="113">
        <v>10348555</v>
      </c>
      <c r="E2660" s="115">
        <v>43948</v>
      </c>
      <c r="F2660" s="114">
        <v>202101</v>
      </c>
      <c r="G2660" s="112" t="s">
        <v>1091</v>
      </c>
      <c r="H2660" s="112" t="s">
        <v>1016</v>
      </c>
      <c r="I2660" s="112" t="s">
        <v>2483</v>
      </c>
      <c r="J2660" s="112" t="s">
        <v>2484</v>
      </c>
      <c r="K2660" s="112" t="s">
        <v>2577</v>
      </c>
      <c r="L2660" s="116">
        <v>-64</v>
      </c>
    </row>
    <row r="2661" spans="1:12" hidden="1" outlineLevel="1" collapsed="1" x14ac:dyDescent="0.35">
      <c r="A2661" s="112" t="s">
        <v>2479</v>
      </c>
      <c r="B2661" s="112" t="s">
        <v>908</v>
      </c>
      <c r="C2661" s="112" t="s">
        <v>2482</v>
      </c>
      <c r="D2661" s="113">
        <v>10348555</v>
      </c>
      <c r="E2661" s="115">
        <v>43948</v>
      </c>
      <c r="F2661" s="114">
        <v>202101</v>
      </c>
      <c r="G2661" s="112" t="s">
        <v>1091</v>
      </c>
      <c r="H2661" s="112" t="s">
        <v>1016</v>
      </c>
      <c r="I2661" s="112" t="s">
        <v>2483</v>
      </c>
      <c r="J2661" s="112" t="s">
        <v>2484</v>
      </c>
      <c r="K2661" s="112" t="s">
        <v>2578</v>
      </c>
      <c r="L2661" s="116">
        <v>-64</v>
      </c>
    </row>
    <row r="2662" spans="1:12" hidden="1" outlineLevel="1" collapsed="1" x14ac:dyDescent="0.35">
      <c r="A2662" s="112" t="s">
        <v>2479</v>
      </c>
      <c r="B2662" s="112" t="s">
        <v>908</v>
      </c>
      <c r="C2662" s="112" t="s">
        <v>2482</v>
      </c>
      <c r="D2662" s="113">
        <v>10348555</v>
      </c>
      <c r="E2662" s="115">
        <v>43948</v>
      </c>
      <c r="F2662" s="114">
        <v>202101</v>
      </c>
      <c r="G2662" s="112" t="s">
        <v>1091</v>
      </c>
      <c r="H2662" s="112" t="s">
        <v>1016</v>
      </c>
      <c r="I2662" s="112" t="s">
        <v>2483</v>
      </c>
      <c r="J2662" s="112" t="s">
        <v>2484</v>
      </c>
      <c r="K2662" s="112" t="s">
        <v>2579</v>
      </c>
      <c r="L2662" s="116">
        <v>-64</v>
      </c>
    </row>
    <row r="2663" spans="1:12" hidden="1" outlineLevel="1" collapsed="1" x14ac:dyDescent="0.35">
      <c r="A2663" s="112" t="s">
        <v>2479</v>
      </c>
      <c r="B2663" s="112" t="s">
        <v>908</v>
      </c>
      <c r="C2663" s="112" t="s">
        <v>679</v>
      </c>
      <c r="D2663" s="113">
        <v>10348297</v>
      </c>
      <c r="E2663" s="115">
        <v>43938</v>
      </c>
      <c r="F2663" s="114">
        <v>202101</v>
      </c>
      <c r="G2663" s="112" t="s">
        <v>1091</v>
      </c>
      <c r="H2663" s="112" t="s">
        <v>1016</v>
      </c>
      <c r="I2663" s="112" t="s">
        <v>1788</v>
      </c>
      <c r="J2663" s="112" t="s">
        <v>2498</v>
      </c>
      <c r="K2663" s="112" t="s">
        <v>2580</v>
      </c>
      <c r="L2663" s="116">
        <v>-85</v>
      </c>
    </row>
    <row r="2664" spans="1:12" hidden="1" outlineLevel="1" collapsed="1" x14ac:dyDescent="0.35">
      <c r="A2664" s="112" t="s">
        <v>2479</v>
      </c>
      <c r="B2664" s="112" t="s">
        <v>908</v>
      </c>
      <c r="C2664" s="112" t="s">
        <v>2482</v>
      </c>
      <c r="D2664" s="113">
        <v>10348555</v>
      </c>
      <c r="E2664" s="115">
        <v>43948</v>
      </c>
      <c r="F2664" s="114">
        <v>202101</v>
      </c>
      <c r="G2664" s="112" t="s">
        <v>1091</v>
      </c>
      <c r="H2664" s="112" t="s">
        <v>1016</v>
      </c>
      <c r="I2664" s="112" t="s">
        <v>2483</v>
      </c>
      <c r="J2664" s="112" t="s">
        <v>2484</v>
      </c>
      <c r="K2664" s="112" t="s">
        <v>2581</v>
      </c>
      <c r="L2664" s="116">
        <v>-10</v>
      </c>
    </row>
    <row r="2665" spans="1:12" hidden="1" outlineLevel="1" collapsed="1" x14ac:dyDescent="0.35">
      <c r="A2665" s="112" t="s">
        <v>2479</v>
      </c>
      <c r="B2665" s="112" t="s">
        <v>908</v>
      </c>
      <c r="C2665" s="112" t="s">
        <v>679</v>
      </c>
      <c r="D2665" s="113">
        <v>10348297</v>
      </c>
      <c r="E2665" s="115">
        <v>43938</v>
      </c>
      <c r="F2665" s="114">
        <v>202101</v>
      </c>
      <c r="G2665" s="112" t="s">
        <v>1091</v>
      </c>
      <c r="H2665" s="112" t="s">
        <v>1016</v>
      </c>
      <c r="I2665" s="112" t="s">
        <v>1788</v>
      </c>
      <c r="J2665" s="112" t="s">
        <v>2498</v>
      </c>
      <c r="K2665" s="112" t="s">
        <v>2582</v>
      </c>
      <c r="L2665" s="116">
        <v>-60</v>
      </c>
    </row>
    <row r="2666" spans="1:12" hidden="1" outlineLevel="1" collapsed="1" x14ac:dyDescent="0.35">
      <c r="A2666" s="112" t="s">
        <v>2479</v>
      </c>
      <c r="B2666" s="112" t="s">
        <v>908</v>
      </c>
      <c r="C2666" s="112" t="s">
        <v>679</v>
      </c>
      <c r="D2666" s="113">
        <v>10348297</v>
      </c>
      <c r="E2666" s="115">
        <v>43938</v>
      </c>
      <c r="F2666" s="114">
        <v>202101</v>
      </c>
      <c r="G2666" s="112" t="s">
        <v>1091</v>
      </c>
      <c r="H2666" s="112" t="s">
        <v>1016</v>
      </c>
      <c r="I2666" s="112" t="s">
        <v>1788</v>
      </c>
      <c r="J2666" s="112" t="s">
        <v>2498</v>
      </c>
      <c r="K2666" s="112" t="s">
        <v>2583</v>
      </c>
      <c r="L2666" s="116">
        <v>-85</v>
      </c>
    </row>
    <row r="2667" spans="1:12" hidden="1" outlineLevel="1" collapsed="1" x14ac:dyDescent="0.35">
      <c r="A2667" s="112" t="s">
        <v>2479</v>
      </c>
      <c r="B2667" s="112" t="s">
        <v>908</v>
      </c>
      <c r="C2667" s="112" t="s">
        <v>679</v>
      </c>
      <c r="D2667" s="113">
        <v>10347933</v>
      </c>
      <c r="E2667" s="115">
        <v>43922</v>
      </c>
      <c r="F2667" s="114">
        <v>202101</v>
      </c>
      <c r="G2667" s="112" t="s">
        <v>1091</v>
      </c>
      <c r="H2667" s="112" t="s">
        <v>1015</v>
      </c>
      <c r="I2667" s="112" t="s">
        <v>1536</v>
      </c>
      <c r="J2667" s="112" t="s">
        <v>2513</v>
      </c>
      <c r="K2667" s="112" t="s">
        <v>706</v>
      </c>
      <c r="L2667" s="116">
        <v>24</v>
      </c>
    </row>
    <row r="2668" spans="1:12" hidden="1" outlineLevel="1" collapsed="1" x14ac:dyDescent="0.35">
      <c r="A2668" s="112" t="s">
        <v>2479</v>
      </c>
      <c r="B2668" s="112" t="s">
        <v>908</v>
      </c>
      <c r="C2668" s="112" t="s">
        <v>1095</v>
      </c>
      <c r="D2668" s="113">
        <v>10348451</v>
      </c>
      <c r="E2668" s="115">
        <v>43949</v>
      </c>
      <c r="F2668" s="114">
        <v>202101</v>
      </c>
      <c r="G2668" s="112" t="s">
        <v>1091</v>
      </c>
      <c r="H2668" s="112" t="s">
        <v>1015</v>
      </c>
      <c r="I2668" s="112" t="s">
        <v>1544</v>
      </c>
      <c r="J2668" s="112" t="s">
        <v>2584</v>
      </c>
      <c r="K2668" s="112" t="s">
        <v>1098</v>
      </c>
      <c r="L2668" s="116">
        <v>8</v>
      </c>
    </row>
    <row r="2669" spans="1:12" hidden="1" outlineLevel="1" collapsed="1" x14ac:dyDescent="0.35">
      <c r="A2669" s="112" t="s">
        <v>2479</v>
      </c>
      <c r="B2669" s="112" t="s">
        <v>908</v>
      </c>
      <c r="C2669" s="112" t="s">
        <v>2482</v>
      </c>
      <c r="D2669" s="113">
        <v>10348555</v>
      </c>
      <c r="E2669" s="115">
        <v>43948</v>
      </c>
      <c r="F2669" s="114">
        <v>202101</v>
      </c>
      <c r="G2669" s="112" t="s">
        <v>1091</v>
      </c>
      <c r="H2669" s="112" t="s">
        <v>1016</v>
      </c>
      <c r="I2669" s="112" t="s">
        <v>2483</v>
      </c>
      <c r="J2669" s="112" t="s">
        <v>2484</v>
      </c>
      <c r="K2669" s="112" t="s">
        <v>2585</v>
      </c>
      <c r="L2669" s="116">
        <v>-1122.5</v>
      </c>
    </row>
    <row r="2670" spans="1:12" hidden="1" outlineLevel="1" collapsed="1" x14ac:dyDescent="0.35">
      <c r="A2670" s="112" t="s">
        <v>2479</v>
      </c>
      <c r="B2670" s="112" t="s">
        <v>908</v>
      </c>
      <c r="C2670" s="112" t="s">
        <v>2482</v>
      </c>
      <c r="D2670" s="113">
        <v>10348555</v>
      </c>
      <c r="E2670" s="115">
        <v>43948</v>
      </c>
      <c r="F2670" s="114">
        <v>202101</v>
      </c>
      <c r="G2670" s="112" t="s">
        <v>1091</v>
      </c>
      <c r="H2670" s="112" t="s">
        <v>1016</v>
      </c>
      <c r="I2670" s="112" t="s">
        <v>2483</v>
      </c>
      <c r="J2670" s="112" t="s">
        <v>2484</v>
      </c>
      <c r="K2670" s="112" t="s">
        <v>2586</v>
      </c>
      <c r="L2670" s="116">
        <v>-129.68</v>
      </c>
    </row>
    <row r="2671" spans="1:12" hidden="1" outlineLevel="1" collapsed="1" x14ac:dyDescent="0.35">
      <c r="A2671" s="112" t="s">
        <v>2479</v>
      </c>
      <c r="B2671" s="112" t="s">
        <v>908</v>
      </c>
      <c r="C2671" s="112" t="s">
        <v>679</v>
      </c>
      <c r="D2671" s="113">
        <v>10348297</v>
      </c>
      <c r="E2671" s="115">
        <v>43938</v>
      </c>
      <c r="F2671" s="114">
        <v>202101</v>
      </c>
      <c r="G2671" s="112" t="s">
        <v>1091</v>
      </c>
      <c r="H2671" s="112" t="s">
        <v>1016</v>
      </c>
      <c r="I2671" s="112" t="s">
        <v>1788</v>
      </c>
      <c r="J2671" s="112" t="s">
        <v>2498</v>
      </c>
      <c r="K2671" s="112" t="s">
        <v>2587</v>
      </c>
      <c r="L2671" s="116">
        <v>-21</v>
      </c>
    </row>
    <row r="2672" spans="1:12" hidden="1" outlineLevel="1" collapsed="1" x14ac:dyDescent="0.35">
      <c r="A2672" s="112" t="s">
        <v>2479</v>
      </c>
      <c r="B2672" s="112" t="s">
        <v>909</v>
      </c>
      <c r="C2672" s="112" t="s">
        <v>679</v>
      </c>
      <c r="D2672" s="113">
        <v>10348297</v>
      </c>
      <c r="E2672" s="115">
        <v>43938</v>
      </c>
      <c r="F2672" s="114">
        <v>202101</v>
      </c>
      <c r="G2672" s="112" t="s">
        <v>1091</v>
      </c>
      <c r="H2672" s="112" t="s">
        <v>1016</v>
      </c>
      <c r="I2672" s="112" t="s">
        <v>2536</v>
      </c>
      <c r="J2672" s="112" t="s">
        <v>2523</v>
      </c>
      <c r="K2672" s="112" t="s">
        <v>2588</v>
      </c>
      <c r="L2672" s="116">
        <v>-337</v>
      </c>
    </row>
    <row r="2673" spans="1:12" hidden="1" outlineLevel="1" collapsed="1" x14ac:dyDescent="0.35">
      <c r="A2673" s="112" t="s">
        <v>2479</v>
      </c>
      <c r="B2673" s="112" t="s">
        <v>909</v>
      </c>
      <c r="C2673" s="112" t="s">
        <v>679</v>
      </c>
      <c r="D2673" s="113">
        <v>10348297</v>
      </c>
      <c r="E2673" s="115">
        <v>43938</v>
      </c>
      <c r="F2673" s="114">
        <v>202101</v>
      </c>
      <c r="G2673" s="112" t="s">
        <v>1091</v>
      </c>
      <c r="H2673" s="112" t="s">
        <v>1016</v>
      </c>
      <c r="I2673" s="112" t="s">
        <v>2536</v>
      </c>
      <c r="J2673" s="112" t="s">
        <v>2523</v>
      </c>
      <c r="K2673" s="112" t="s">
        <v>2589</v>
      </c>
      <c r="L2673" s="116">
        <v>-277</v>
      </c>
    </row>
    <row r="2674" spans="1:12" hidden="1" outlineLevel="1" collapsed="1" x14ac:dyDescent="0.35">
      <c r="A2674" s="112" t="s">
        <v>2479</v>
      </c>
      <c r="B2674" s="112" t="s">
        <v>908</v>
      </c>
      <c r="C2674" s="112" t="s">
        <v>679</v>
      </c>
      <c r="D2674" s="113">
        <v>10348297</v>
      </c>
      <c r="E2674" s="115">
        <v>43938</v>
      </c>
      <c r="F2674" s="114">
        <v>202101</v>
      </c>
      <c r="G2674" s="112" t="s">
        <v>1091</v>
      </c>
      <c r="H2674" s="112" t="s">
        <v>1016</v>
      </c>
      <c r="I2674" s="112" t="s">
        <v>1788</v>
      </c>
      <c r="J2674" s="112" t="s">
        <v>2498</v>
      </c>
      <c r="K2674" s="112" t="s">
        <v>2590</v>
      </c>
      <c r="L2674" s="116">
        <v>-196</v>
      </c>
    </row>
    <row r="2675" spans="1:12" hidden="1" outlineLevel="1" collapsed="1" x14ac:dyDescent="0.35">
      <c r="A2675" s="112" t="s">
        <v>2479</v>
      </c>
      <c r="B2675" s="112" t="s">
        <v>909</v>
      </c>
      <c r="C2675" s="112" t="s">
        <v>1099</v>
      </c>
      <c r="D2675" s="113">
        <v>1069690</v>
      </c>
      <c r="E2675" s="115">
        <v>43906</v>
      </c>
      <c r="F2675" s="114">
        <v>202101</v>
      </c>
      <c r="G2675" s="112" t="s">
        <v>1091</v>
      </c>
      <c r="H2675" s="112" t="s">
        <v>1015</v>
      </c>
      <c r="I2675" s="112" t="s">
        <v>2591</v>
      </c>
      <c r="J2675" s="112" t="s">
        <v>2480</v>
      </c>
      <c r="K2675" s="112" t="s">
        <v>2592</v>
      </c>
      <c r="L2675" s="116">
        <v>85.6</v>
      </c>
    </row>
    <row r="2676" spans="1:12" hidden="1" outlineLevel="1" collapsed="1" x14ac:dyDescent="0.35">
      <c r="A2676" s="112" t="s">
        <v>2479</v>
      </c>
      <c r="B2676" s="112" t="s">
        <v>908</v>
      </c>
      <c r="C2676" s="112" t="s">
        <v>2482</v>
      </c>
      <c r="D2676" s="113">
        <v>10348555</v>
      </c>
      <c r="E2676" s="115">
        <v>43948</v>
      </c>
      <c r="F2676" s="114">
        <v>202101</v>
      </c>
      <c r="G2676" s="112" t="s">
        <v>1091</v>
      </c>
      <c r="H2676" s="112" t="s">
        <v>1016</v>
      </c>
      <c r="I2676" s="112" t="s">
        <v>2483</v>
      </c>
      <c r="J2676" s="112" t="s">
        <v>2484</v>
      </c>
      <c r="K2676" s="112" t="s">
        <v>2593</v>
      </c>
      <c r="L2676" s="116">
        <v>-35</v>
      </c>
    </row>
    <row r="2677" spans="1:12" hidden="1" outlineLevel="1" collapsed="1" x14ac:dyDescent="0.35">
      <c r="A2677" s="112" t="s">
        <v>2479</v>
      </c>
      <c r="B2677" s="112" t="s">
        <v>908</v>
      </c>
      <c r="C2677" s="112" t="s">
        <v>2482</v>
      </c>
      <c r="D2677" s="113">
        <v>10348555</v>
      </c>
      <c r="E2677" s="115">
        <v>43948</v>
      </c>
      <c r="F2677" s="114">
        <v>202101</v>
      </c>
      <c r="G2677" s="112" t="s">
        <v>1091</v>
      </c>
      <c r="H2677" s="112" t="s">
        <v>1016</v>
      </c>
      <c r="I2677" s="112" t="s">
        <v>2483</v>
      </c>
      <c r="J2677" s="112" t="s">
        <v>2484</v>
      </c>
      <c r="K2677" s="112" t="s">
        <v>2594</v>
      </c>
      <c r="L2677" s="116">
        <v>-10</v>
      </c>
    </row>
    <row r="2678" spans="1:12" hidden="1" outlineLevel="1" collapsed="1" x14ac:dyDescent="0.35">
      <c r="A2678" s="112" t="s">
        <v>2479</v>
      </c>
      <c r="B2678" s="112" t="s">
        <v>909</v>
      </c>
      <c r="C2678" s="112" t="s">
        <v>679</v>
      </c>
      <c r="D2678" s="113">
        <v>10348297</v>
      </c>
      <c r="E2678" s="115">
        <v>43938</v>
      </c>
      <c r="F2678" s="114">
        <v>202101</v>
      </c>
      <c r="G2678" s="112" t="s">
        <v>1091</v>
      </c>
      <c r="H2678" s="112" t="s">
        <v>1016</v>
      </c>
      <c r="I2678" s="112" t="s">
        <v>2595</v>
      </c>
      <c r="J2678" s="112" t="s">
        <v>2523</v>
      </c>
      <c r="K2678" s="112" t="s">
        <v>2596</v>
      </c>
      <c r="L2678" s="116">
        <v>-310</v>
      </c>
    </row>
    <row r="2679" spans="1:12" hidden="1" outlineLevel="1" collapsed="1" x14ac:dyDescent="0.35">
      <c r="A2679" s="112" t="s">
        <v>2479</v>
      </c>
      <c r="B2679" s="112" t="s">
        <v>908</v>
      </c>
      <c r="C2679" s="112" t="s">
        <v>2482</v>
      </c>
      <c r="D2679" s="113">
        <v>10348555</v>
      </c>
      <c r="E2679" s="115">
        <v>43948</v>
      </c>
      <c r="F2679" s="114">
        <v>202101</v>
      </c>
      <c r="G2679" s="112" t="s">
        <v>1091</v>
      </c>
      <c r="H2679" s="112" t="s">
        <v>1016</v>
      </c>
      <c r="I2679" s="112" t="s">
        <v>2483</v>
      </c>
      <c r="J2679" s="112" t="s">
        <v>2484</v>
      </c>
      <c r="K2679" s="112" t="s">
        <v>2597</v>
      </c>
      <c r="L2679" s="116">
        <v>-10</v>
      </c>
    </row>
    <row r="2680" spans="1:12" hidden="1" outlineLevel="1" collapsed="1" x14ac:dyDescent="0.35">
      <c r="A2680" s="112" t="s">
        <v>2479</v>
      </c>
      <c r="B2680" s="112" t="s">
        <v>909</v>
      </c>
      <c r="C2680" s="112" t="s">
        <v>679</v>
      </c>
      <c r="D2680" s="113">
        <v>10348271</v>
      </c>
      <c r="E2680" s="115">
        <v>43937</v>
      </c>
      <c r="F2680" s="114">
        <v>202101</v>
      </c>
      <c r="G2680" s="112" t="s">
        <v>1091</v>
      </c>
      <c r="H2680" s="112" t="s">
        <v>1016</v>
      </c>
      <c r="I2680" s="112" t="s">
        <v>2595</v>
      </c>
      <c r="J2680" s="112" t="s">
        <v>2523</v>
      </c>
      <c r="K2680" s="112" t="s">
        <v>2598</v>
      </c>
      <c r="L2680" s="116">
        <v>-108</v>
      </c>
    </row>
    <row r="2681" spans="1:12" hidden="1" outlineLevel="1" collapsed="1" x14ac:dyDescent="0.35">
      <c r="A2681" s="112" t="s">
        <v>2479</v>
      </c>
      <c r="B2681" s="112" t="s">
        <v>908</v>
      </c>
      <c r="C2681" s="112" t="s">
        <v>679</v>
      </c>
      <c r="D2681" s="113">
        <v>10348271</v>
      </c>
      <c r="E2681" s="115">
        <v>43937</v>
      </c>
      <c r="F2681" s="114">
        <v>202101</v>
      </c>
      <c r="G2681" s="112" t="s">
        <v>1091</v>
      </c>
      <c r="H2681" s="112" t="s">
        <v>1016</v>
      </c>
      <c r="I2681" s="112" t="s">
        <v>1788</v>
      </c>
      <c r="J2681" s="112" t="s">
        <v>2498</v>
      </c>
      <c r="K2681" s="112" t="s">
        <v>2599</v>
      </c>
      <c r="L2681" s="116">
        <v>-190</v>
      </c>
    </row>
    <row r="2682" spans="1:12" hidden="1" outlineLevel="1" collapsed="1" x14ac:dyDescent="0.35">
      <c r="A2682" s="112" t="s">
        <v>2479</v>
      </c>
      <c r="B2682" s="112" t="s">
        <v>908</v>
      </c>
      <c r="C2682" s="112" t="s">
        <v>2482</v>
      </c>
      <c r="D2682" s="113">
        <v>10348555</v>
      </c>
      <c r="E2682" s="115">
        <v>43948</v>
      </c>
      <c r="F2682" s="114">
        <v>202101</v>
      </c>
      <c r="G2682" s="112" t="s">
        <v>1091</v>
      </c>
      <c r="H2682" s="112" t="s">
        <v>1016</v>
      </c>
      <c r="I2682" s="112" t="s">
        <v>2483</v>
      </c>
      <c r="J2682" s="112" t="s">
        <v>2484</v>
      </c>
      <c r="K2682" s="112" t="s">
        <v>2600</v>
      </c>
      <c r="L2682" s="116">
        <v>-10.5</v>
      </c>
    </row>
    <row r="2683" spans="1:12" hidden="1" outlineLevel="1" collapsed="1" x14ac:dyDescent="0.35">
      <c r="A2683" s="112" t="s">
        <v>2479</v>
      </c>
      <c r="B2683" s="112" t="s">
        <v>909</v>
      </c>
      <c r="C2683" s="112" t="s">
        <v>679</v>
      </c>
      <c r="D2683" s="113">
        <v>10348411</v>
      </c>
      <c r="E2683" s="115">
        <v>43943</v>
      </c>
      <c r="F2683" s="114">
        <v>202101</v>
      </c>
      <c r="G2683" s="112" t="s">
        <v>1091</v>
      </c>
      <c r="H2683" s="112" t="s">
        <v>1015</v>
      </c>
      <c r="I2683" s="112" t="s">
        <v>1092</v>
      </c>
      <c r="J2683" s="112" t="s">
        <v>2523</v>
      </c>
      <c r="K2683" s="112" t="s">
        <v>2601</v>
      </c>
      <c r="L2683" s="116">
        <v>1480</v>
      </c>
    </row>
    <row r="2684" spans="1:12" hidden="1" outlineLevel="1" collapsed="1" x14ac:dyDescent="0.35">
      <c r="A2684" s="112" t="s">
        <v>2479</v>
      </c>
      <c r="B2684" s="112" t="s">
        <v>908</v>
      </c>
      <c r="C2684" s="112" t="s">
        <v>2482</v>
      </c>
      <c r="D2684" s="113">
        <v>10348555</v>
      </c>
      <c r="E2684" s="115">
        <v>43948</v>
      </c>
      <c r="F2684" s="114">
        <v>202101</v>
      </c>
      <c r="G2684" s="112" t="s">
        <v>1091</v>
      </c>
      <c r="H2684" s="112" t="s">
        <v>1016</v>
      </c>
      <c r="I2684" s="112" t="s">
        <v>2483</v>
      </c>
      <c r="J2684" s="112" t="s">
        <v>2484</v>
      </c>
      <c r="K2684" s="112" t="s">
        <v>2602</v>
      </c>
      <c r="L2684" s="116">
        <v>-515.25</v>
      </c>
    </row>
    <row r="2685" spans="1:12" hidden="1" outlineLevel="1" collapsed="1" x14ac:dyDescent="0.35">
      <c r="A2685" s="112" t="s">
        <v>2479</v>
      </c>
      <c r="B2685" s="112" t="s">
        <v>908</v>
      </c>
      <c r="C2685" s="112" t="s">
        <v>679</v>
      </c>
      <c r="D2685" s="113">
        <v>10348271</v>
      </c>
      <c r="E2685" s="115">
        <v>43937</v>
      </c>
      <c r="F2685" s="114">
        <v>202101</v>
      </c>
      <c r="G2685" s="112" t="s">
        <v>1091</v>
      </c>
      <c r="H2685" s="112" t="s">
        <v>1016</v>
      </c>
      <c r="I2685" s="112" t="s">
        <v>1788</v>
      </c>
      <c r="J2685" s="112" t="s">
        <v>2498</v>
      </c>
      <c r="K2685" s="112" t="s">
        <v>2603</v>
      </c>
      <c r="L2685" s="116">
        <v>-190</v>
      </c>
    </row>
    <row r="2686" spans="1:12" hidden="1" outlineLevel="1" collapsed="1" x14ac:dyDescent="0.35">
      <c r="A2686" s="112" t="s">
        <v>2479</v>
      </c>
      <c r="B2686" s="112" t="s">
        <v>908</v>
      </c>
      <c r="C2686" s="112" t="s">
        <v>679</v>
      </c>
      <c r="D2686" s="113">
        <v>10348411</v>
      </c>
      <c r="E2686" s="115">
        <v>43943</v>
      </c>
      <c r="F2686" s="114">
        <v>202101</v>
      </c>
      <c r="G2686" s="112" t="s">
        <v>1091</v>
      </c>
      <c r="H2686" s="112" t="s">
        <v>1015</v>
      </c>
      <c r="I2686" s="112" t="s">
        <v>1536</v>
      </c>
      <c r="J2686" s="112" t="s">
        <v>2513</v>
      </c>
      <c r="K2686" s="112" t="s">
        <v>2514</v>
      </c>
      <c r="L2686" s="116">
        <v>51</v>
      </c>
    </row>
    <row r="2687" spans="1:12" hidden="1" outlineLevel="1" collapsed="1" x14ac:dyDescent="0.35">
      <c r="A2687" s="112" t="s">
        <v>2479</v>
      </c>
      <c r="B2687" s="112" t="s">
        <v>908</v>
      </c>
      <c r="C2687" s="112" t="s">
        <v>679</v>
      </c>
      <c r="D2687" s="113">
        <v>10348271</v>
      </c>
      <c r="E2687" s="115">
        <v>43937</v>
      </c>
      <c r="F2687" s="114">
        <v>202101</v>
      </c>
      <c r="G2687" s="112" t="s">
        <v>1091</v>
      </c>
      <c r="H2687" s="112" t="s">
        <v>1016</v>
      </c>
      <c r="I2687" s="112" t="s">
        <v>1788</v>
      </c>
      <c r="J2687" s="112" t="s">
        <v>2498</v>
      </c>
      <c r="K2687" s="112" t="s">
        <v>2604</v>
      </c>
      <c r="L2687" s="116">
        <v>-305</v>
      </c>
    </row>
    <row r="2688" spans="1:12" hidden="1" outlineLevel="1" collapsed="1" x14ac:dyDescent="0.35">
      <c r="A2688" s="112" t="s">
        <v>2479</v>
      </c>
      <c r="B2688" s="112" t="s">
        <v>909</v>
      </c>
      <c r="C2688" s="112" t="s">
        <v>695</v>
      </c>
      <c r="D2688" s="113">
        <v>10348420</v>
      </c>
      <c r="E2688" s="115">
        <v>43945</v>
      </c>
      <c r="F2688" s="114">
        <v>202101</v>
      </c>
      <c r="G2688" s="112" t="s">
        <v>1091</v>
      </c>
      <c r="H2688" s="112" t="s">
        <v>1015</v>
      </c>
      <c r="I2688" s="112" t="s">
        <v>1532</v>
      </c>
      <c r="J2688" s="112" t="s">
        <v>2480</v>
      </c>
      <c r="K2688" s="112" t="s">
        <v>2605</v>
      </c>
      <c r="L2688" s="116">
        <v>-20.85</v>
      </c>
    </row>
    <row r="2689" spans="1:12" hidden="1" outlineLevel="1" collapsed="1" x14ac:dyDescent="0.35">
      <c r="A2689" s="112" t="s">
        <v>2479</v>
      </c>
      <c r="B2689" s="112" t="s">
        <v>908</v>
      </c>
      <c r="C2689" s="112" t="s">
        <v>2482</v>
      </c>
      <c r="D2689" s="113">
        <v>10348555</v>
      </c>
      <c r="E2689" s="115">
        <v>43948</v>
      </c>
      <c r="F2689" s="114">
        <v>202101</v>
      </c>
      <c r="G2689" s="112" t="s">
        <v>1091</v>
      </c>
      <c r="H2689" s="112" t="s">
        <v>1016</v>
      </c>
      <c r="I2689" s="112" t="s">
        <v>2483</v>
      </c>
      <c r="J2689" s="112" t="s">
        <v>2484</v>
      </c>
      <c r="K2689" s="112" t="s">
        <v>2606</v>
      </c>
      <c r="L2689" s="116">
        <v>-87.42</v>
      </c>
    </row>
    <row r="2690" spans="1:12" hidden="1" outlineLevel="1" collapsed="1" x14ac:dyDescent="0.35">
      <c r="A2690" s="112" t="s">
        <v>2479</v>
      </c>
      <c r="B2690" s="112" t="s">
        <v>908</v>
      </c>
      <c r="C2690" s="112" t="s">
        <v>2482</v>
      </c>
      <c r="D2690" s="113">
        <v>10348555</v>
      </c>
      <c r="E2690" s="115">
        <v>43948</v>
      </c>
      <c r="F2690" s="114">
        <v>202101</v>
      </c>
      <c r="G2690" s="112" t="s">
        <v>1091</v>
      </c>
      <c r="H2690" s="112" t="s">
        <v>1016</v>
      </c>
      <c r="I2690" s="112" t="s">
        <v>2483</v>
      </c>
      <c r="J2690" s="112" t="s">
        <v>2484</v>
      </c>
      <c r="K2690" s="112" t="s">
        <v>2607</v>
      </c>
      <c r="L2690" s="116">
        <v>-23.5</v>
      </c>
    </row>
    <row r="2691" spans="1:12" hidden="1" outlineLevel="1" collapsed="1" x14ac:dyDescent="0.35">
      <c r="A2691" s="112" t="s">
        <v>2479</v>
      </c>
      <c r="B2691" s="112" t="s">
        <v>908</v>
      </c>
      <c r="C2691" s="112" t="s">
        <v>2482</v>
      </c>
      <c r="D2691" s="113">
        <v>10348555</v>
      </c>
      <c r="E2691" s="115">
        <v>43948</v>
      </c>
      <c r="F2691" s="114">
        <v>202101</v>
      </c>
      <c r="G2691" s="112" t="s">
        <v>1091</v>
      </c>
      <c r="H2691" s="112" t="s">
        <v>1016</v>
      </c>
      <c r="I2691" s="112" t="s">
        <v>2483</v>
      </c>
      <c r="J2691" s="112" t="s">
        <v>2484</v>
      </c>
      <c r="K2691" s="112" t="s">
        <v>2608</v>
      </c>
      <c r="L2691" s="116">
        <v>-10</v>
      </c>
    </row>
    <row r="2692" spans="1:12" hidden="1" outlineLevel="1" collapsed="1" x14ac:dyDescent="0.35">
      <c r="A2692" s="112" t="s">
        <v>2479</v>
      </c>
      <c r="B2692" s="112" t="s">
        <v>908</v>
      </c>
      <c r="C2692" s="112" t="s">
        <v>679</v>
      </c>
      <c r="D2692" s="113">
        <v>10348271</v>
      </c>
      <c r="E2692" s="115">
        <v>43937</v>
      </c>
      <c r="F2692" s="114">
        <v>202101</v>
      </c>
      <c r="G2692" s="112" t="s">
        <v>1091</v>
      </c>
      <c r="H2692" s="112" t="s">
        <v>1016</v>
      </c>
      <c r="I2692" s="112" t="s">
        <v>1788</v>
      </c>
      <c r="J2692" s="112" t="s">
        <v>2498</v>
      </c>
      <c r="K2692" s="112" t="s">
        <v>2609</v>
      </c>
      <c r="L2692" s="116">
        <v>-196</v>
      </c>
    </row>
    <row r="2693" spans="1:12" hidden="1" outlineLevel="1" collapsed="1" x14ac:dyDescent="0.35">
      <c r="A2693" s="112" t="s">
        <v>2479</v>
      </c>
      <c r="B2693" s="112" t="s">
        <v>908</v>
      </c>
      <c r="C2693" s="112" t="s">
        <v>2482</v>
      </c>
      <c r="D2693" s="113">
        <v>10348555</v>
      </c>
      <c r="E2693" s="115">
        <v>43948</v>
      </c>
      <c r="F2693" s="114">
        <v>202101</v>
      </c>
      <c r="G2693" s="112" t="s">
        <v>1091</v>
      </c>
      <c r="H2693" s="112" t="s">
        <v>1016</v>
      </c>
      <c r="I2693" s="112" t="s">
        <v>2483</v>
      </c>
      <c r="J2693" s="112" t="s">
        <v>2484</v>
      </c>
      <c r="K2693" s="112" t="s">
        <v>2610</v>
      </c>
      <c r="L2693" s="116">
        <v>-498.2</v>
      </c>
    </row>
    <row r="2694" spans="1:12" hidden="1" outlineLevel="1" collapsed="1" x14ac:dyDescent="0.35">
      <c r="A2694" s="112" t="s">
        <v>2479</v>
      </c>
      <c r="B2694" s="112" t="s">
        <v>908</v>
      </c>
      <c r="C2694" s="112" t="s">
        <v>679</v>
      </c>
      <c r="D2694" s="113">
        <v>10348271</v>
      </c>
      <c r="E2694" s="115">
        <v>43937</v>
      </c>
      <c r="F2694" s="114">
        <v>202101</v>
      </c>
      <c r="G2694" s="112" t="s">
        <v>1091</v>
      </c>
      <c r="H2694" s="112" t="s">
        <v>1016</v>
      </c>
      <c r="I2694" s="112" t="s">
        <v>1788</v>
      </c>
      <c r="J2694" s="112" t="s">
        <v>2498</v>
      </c>
      <c r="K2694" s="112" t="s">
        <v>2611</v>
      </c>
      <c r="L2694" s="116">
        <v>-190</v>
      </c>
    </row>
    <row r="2695" spans="1:12" hidden="1" outlineLevel="1" collapsed="1" x14ac:dyDescent="0.35">
      <c r="A2695" s="112" t="s">
        <v>2479</v>
      </c>
      <c r="B2695" s="112" t="s">
        <v>909</v>
      </c>
      <c r="C2695" s="112" t="s">
        <v>679</v>
      </c>
      <c r="D2695" s="113">
        <v>10348271</v>
      </c>
      <c r="E2695" s="115">
        <v>43937</v>
      </c>
      <c r="F2695" s="114">
        <v>202101</v>
      </c>
      <c r="G2695" s="112" t="s">
        <v>1091</v>
      </c>
      <c r="H2695" s="112" t="s">
        <v>1016</v>
      </c>
      <c r="I2695" s="112" t="s">
        <v>2536</v>
      </c>
      <c r="J2695" s="112" t="s">
        <v>2523</v>
      </c>
      <c r="K2695" s="112" t="s">
        <v>2612</v>
      </c>
      <c r="L2695" s="116">
        <v>-177</v>
      </c>
    </row>
    <row r="2696" spans="1:12" hidden="1" outlineLevel="1" collapsed="1" x14ac:dyDescent="0.35">
      <c r="A2696" s="112" t="s">
        <v>2479</v>
      </c>
      <c r="B2696" s="112" t="s">
        <v>909</v>
      </c>
      <c r="C2696" s="112" t="s">
        <v>679</v>
      </c>
      <c r="D2696" s="113">
        <v>10348271</v>
      </c>
      <c r="E2696" s="115">
        <v>43937</v>
      </c>
      <c r="F2696" s="114">
        <v>202101</v>
      </c>
      <c r="G2696" s="112" t="s">
        <v>1091</v>
      </c>
      <c r="H2696" s="112" t="s">
        <v>1016</v>
      </c>
      <c r="I2696" s="112" t="s">
        <v>2536</v>
      </c>
      <c r="J2696" s="112" t="s">
        <v>2523</v>
      </c>
      <c r="K2696" s="112" t="s">
        <v>2613</v>
      </c>
      <c r="L2696" s="116">
        <v>-277</v>
      </c>
    </row>
    <row r="2697" spans="1:12" hidden="1" outlineLevel="1" collapsed="1" x14ac:dyDescent="0.35">
      <c r="A2697" s="112" t="s">
        <v>2479</v>
      </c>
      <c r="B2697" s="112" t="s">
        <v>909</v>
      </c>
      <c r="C2697" s="112" t="s">
        <v>679</v>
      </c>
      <c r="D2697" s="113">
        <v>10348271</v>
      </c>
      <c r="E2697" s="115">
        <v>43937</v>
      </c>
      <c r="F2697" s="114">
        <v>202101</v>
      </c>
      <c r="G2697" s="112" t="s">
        <v>1091</v>
      </c>
      <c r="H2697" s="112" t="s">
        <v>1016</v>
      </c>
      <c r="I2697" s="112" t="s">
        <v>2522</v>
      </c>
      <c r="J2697" s="112" t="s">
        <v>2523</v>
      </c>
      <c r="K2697" s="112" t="s">
        <v>2614</v>
      </c>
      <c r="L2697" s="116">
        <v>-122</v>
      </c>
    </row>
    <row r="2698" spans="1:12" hidden="1" outlineLevel="1" collapsed="1" x14ac:dyDescent="0.35">
      <c r="A2698" s="112" t="s">
        <v>2479</v>
      </c>
      <c r="B2698" s="112" t="s">
        <v>908</v>
      </c>
      <c r="C2698" s="112" t="s">
        <v>679</v>
      </c>
      <c r="D2698" s="113">
        <v>10348271</v>
      </c>
      <c r="E2698" s="115">
        <v>43937</v>
      </c>
      <c r="F2698" s="114">
        <v>202101</v>
      </c>
      <c r="G2698" s="112" t="s">
        <v>1091</v>
      </c>
      <c r="H2698" s="112" t="s">
        <v>1016</v>
      </c>
      <c r="I2698" s="112" t="s">
        <v>1788</v>
      </c>
      <c r="J2698" s="112" t="s">
        <v>2498</v>
      </c>
      <c r="K2698" s="112" t="s">
        <v>2615</v>
      </c>
      <c r="L2698" s="116">
        <v>-60</v>
      </c>
    </row>
    <row r="2699" spans="1:12" hidden="1" outlineLevel="1" collapsed="1" x14ac:dyDescent="0.35">
      <c r="A2699" s="112" t="s">
        <v>2479</v>
      </c>
      <c r="B2699" s="112" t="s">
        <v>908</v>
      </c>
      <c r="C2699" s="112" t="s">
        <v>679</v>
      </c>
      <c r="D2699" s="113">
        <v>10348532</v>
      </c>
      <c r="E2699" s="115">
        <v>43950</v>
      </c>
      <c r="F2699" s="114">
        <v>202101</v>
      </c>
      <c r="G2699" s="112" t="s">
        <v>1091</v>
      </c>
      <c r="H2699" s="112" t="s">
        <v>1015</v>
      </c>
      <c r="I2699" s="112" t="s">
        <v>1536</v>
      </c>
      <c r="J2699" s="112" t="s">
        <v>2513</v>
      </c>
      <c r="K2699" s="112" t="s">
        <v>706</v>
      </c>
      <c r="L2699" s="116">
        <v>51</v>
      </c>
    </row>
    <row r="2700" spans="1:12" hidden="1" outlineLevel="1" collapsed="1" x14ac:dyDescent="0.35">
      <c r="A2700" s="112" t="s">
        <v>2479</v>
      </c>
      <c r="B2700" s="112" t="s">
        <v>908</v>
      </c>
      <c r="C2700" s="112" t="s">
        <v>679</v>
      </c>
      <c r="D2700" s="113">
        <v>10348271</v>
      </c>
      <c r="E2700" s="115">
        <v>43937</v>
      </c>
      <c r="F2700" s="114">
        <v>202101</v>
      </c>
      <c r="G2700" s="112" t="s">
        <v>1091</v>
      </c>
      <c r="H2700" s="112" t="s">
        <v>1016</v>
      </c>
      <c r="I2700" s="112" t="s">
        <v>819</v>
      </c>
      <c r="J2700" s="112" t="s">
        <v>2501</v>
      </c>
      <c r="K2700" s="112" t="s">
        <v>2616</v>
      </c>
      <c r="L2700" s="116">
        <v>-550</v>
      </c>
    </row>
    <row r="2701" spans="1:12" hidden="1" outlineLevel="1" collapsed="1" x14ac:dyDescent="0.35">
      <c r="A2701" s="112" t="s">
        <v>2479</v>
      </c>
      <c r="B2701" s="112" t="s">
        <v>908</v>
      </c>
      <c r="C2701" s="112" t="s">
        <v>679</v>
      </c>
      <c r="D2701" s="113">
        <v>10348271</v>
      </c>
      <c r="E2701" s="115">
        <v>43937</v>
      </c>
      <c r="F2701" s="114">
        <v>202101</v>
      </c>
      <c r="G2701" s="112" t="s">
        <v>1091</v>
      </c>
      <c r="H2701" s="112" t="s">
        <v>1016</v>
      </c>
      <c r="I2701" s="112" t="s">
        <v>1788</v>
      </c>
      <c r="J2701" s="112" t="s">
        <v>2498</v>
      </c>
      <c r="K2701" s="112" t="s">
        <v>2617</v>
      </c>
      <c r="L2701" s="116">
        <v>-190</v>
      </c>
    </row>
    <row r="2702" spans="1:12" hidden="1" outlineLevel="1" collapsed="1" x14ac:dyDescent="0.35">
      <c r="A2702" s="112" t="s">
        <v>2479</v>
      </c>
      <c r="B2702" s="112" t="s">
        <v>908</v>
      </c>
      <c r="C2702" s="112" t="s">
        <v>1095</v>
      </c>
      <c r="D2702" s="113">
        <v>10348451</v>
      </c>
      <c r="E2702" s="115">
        <v>43949</v>
      </c>
      <c r="F2702" s="114">
        <v>202101</v>
      </c>
      <c r="G2702" s="112" t="s">
        <v>1091</v>
      </c>
      <c r="H2702" s="112" t="s">
        <v>1015</v>
      </c>
      <c r="I2702" s="112" t="s">
        <v>2500</v>
      </c>
      <c r="J2702" s="112" t="s">
        <v>2501</v>
      </c>
      <c r="K2702" s="112" t="s">
        <v>1098</v>
      </c>
      <c r="L2702" s="116">
        <v>25</v>
      </c>
    </row>
    <row r="2703" spans="1:12" hidden="1" outlineLevel="1" collapsed="1" x14ac:dyDescent="0.35">
      <c r="A2703" s="112" t="s">
        <v>2479</v>
      </c>
      <c r="B2703" s="112" t="s">
        <v>908</v>
      </c>
      <c r="C2703" s="112" t="s">
        <v>679</v>
      </c>
      <c r="D2703" s="113">
        <v>10348271</v>
      </c>
      <c r="E2703" s="115">
        <v>43937</v>
      </c>
      <c r="F2703" s="114">
        <v>202101</v>
      </c>
      <c r="G2703" s="112" t="s">
        <v>1091</v>
      </c>
      <c r="H2703" s="112" t="s">
        <v>1016</v>
      </c>
      <c r="I2703" s="112" t="s">
        <v>1788</v>
      </c>
      <c r="J2703" s="112" t="s">
        <v>2498</v>
      </c>
      <c r="K2703" s="112" t="s">
        <v>2618</v>
      </c>
      <c r="L2703" s="116">
        <v>-196</v>
      </c>
    </row>
    <row r="2704" spans="1:12" hidden="1" outlineLevel="1" collapsed="1" x14ac:dyDescent="0.35">
      <c r="A2704" s="112" t="s">
        <v>2479</v>
      </c>
      <c r="B2704" s="112" t="s">
        <v>908</v>
      </c>
      <c r="C2704" s="112" t="s">
        <v>679</v>
      </c>
      <c r="D2704" s="113">
        <v>10348271</v>
      </c>
      <c r="E2704" s="115">
        <v>43937</v>
      </c>
      <c r="F2704" s="114">
        <v>202101</v>
      </c>
      <c r="G2704" s="112" t="s">
        <v>1091</v>
      </c>
      <c r="H2704" s="112" t="s">
        <v>1016</v>
      </c>
      <c r="I2704" s="112" t="s">
        <v>1788</v>
      </c>
      <c r="J2704" s="112" t="s">
        <v>2498</v>
      </c>
      <c r="K2704" s="112" t="s">
        <v>2510</v>
      </c>
      <c r="L2704" s="116">
        <v>-190</v>
      </c>
    </row>
    <row r="2705" spans="1:12" hidden="1" outlineLevel="1" collapsed="1" x14ac:dyDescent="0.35">
      <c r="A2705" s="112" t="s">
        <v>2479</v>
      </c>
      <c r="B2705" s="112" t="s">
        <v>908</v>
      </c>
      <c r="C2705" s="112" t="s">
        <v>2482</v>
      </c>
      <c r="D2705" s="113">
        <v>10348555</v>
      </c>
      <c r="E2705" s="115">
        <v>43948</v>
      </c>
      <c r="F2705" s="114">
        <v>202101</v>
      </c>
      <c r="G2705" s="112" t="s">
        <v>1091</v>
      </c>
      <c r="H2705" s="112" t="s">
        <v>1016</v>
      </c>
      <c r="I2705" s="112" t="s">
        <v>2483</v>
      </c>
      <c r="J2705" s="112" t="s">
        <v>2484</v>
      </c>
      <c r="K2705" s="112" t="s">
        <v>2619</v>
      </c>
      <c r="L2705" s="116">
        <v>-16.03</v>
      </c>
    </row>
    <row r="2706" spans="1:12" hidden="1" outlineLevel="1" collapsed="1" x14ac:dyDescent="0.35">
      <c r="A2706" s="112" t="s">
        <v>2479</v>
      </c>
      <c r="B2706" s="112" t="s">
        <v>908</v>
      </c>
      <c r="C2706" s="112" t="s">
        <v>2482</v>
      </c>
      <c r="D2706" s="113">
        <v>10348555</v>
      </c>
      <c r="E2706" s="115">
        <v>43948</v>
      </c>
      <c r="F2706" s="114">
        <v>202101</v>
      </c>
      <c r="G2706" s="112" t="s">
        <v>1091</v>
      </c>
      <c r="H2706" s="112" t="s">
        <v>1016</v>
      </c>
      <c r="I2706" s="112" t="s">
        <v>2483</v>
      </c>
      <c r="J2706" s="112" t="s">
        <v>2484</v>
      </c>
      <c r="K2706" s="112" t="s">
        <v>2493</v>
      </c>
      <c r="L2706" s="116">
        <v>-87</v>
      </c>
    </row>
    <row r="2707" spans="1:12" hidden="1" outlineLevel="1" collapsed="1" x14ac:dyDescent="0.35">
      <c r="A2707" s="112" t="s">
        <v>2479</v>
      </c>
      <c r="B2707" s="112" t="s">
        <v>908</v>
      </c>
      <c r="C2707" s="112" t="s">
        <v>2482</v>
      </c>
      <c r="D2707" s="113">
        <v>10348555</v>
      </c>
      <c r="E2707" s="115">
        <v>43948</v>
      </c>
      <c r="F2707" s="114">
        <v>202101</v>
      </c>
      <c r="G2707" s="112" t="s">
        <v>1091</v>
      </c>
      <c r="H2707" s="112" t="s">
        <v>1016</v>
      </c>
      <c r="I2707" s="112" t="s">
        <v>2483</v>
      </c>
      <c r="J2707" s="112" t="s">
        <v>2484</v>
      </c>
      <c r="K2707" s="112" t="s">
        <v>2620</v>
      </c>
      <c r="L2707" s="116">
        <v>-22.5</v>
      </c>
    </row>
    <row r="2708" spans="1:12" hidden="1" outlineLevel="1" collapsed="1" x14ac:dyDescent="0.35">
      <c r="A2708" s="112" t="s">
        <v>2479</v>
      </c>
      <c r="B2708" s="112" t="s">
        <v>908</v>
      </c>
      <c r="C2708" s="112" t="s">
        <v>679</v>
      </c>
      <c r="D2708" s="113">
        <v>10348271</v>
      </c>
      <c r="E2708" s="115">
        <v>43937</v>
      </c>
      <c r="F2708" s="114">
        <v>202101</v>
      </c>
      <c r="G2708" s="112" t="s">
        <v>1091</v>
      </c>
      <c r="H2708" s="112" t="s">
        <v>1016</v>
      </c>
      <c r="I2708" s="112" t="s">
        <v>1788</v>
      </c>
      <c r="J2708" s="112" t="s">
        <v>2498</v>
      </c>
      <c r="K2708" s="112" t="s">
        <v>2621</v>
      </c>
      <c r="L2708" s="116">
        <v>-196</v>
      </c>
    </row>
    <row r="2709" spans="1:12" hidden="1" outlineLevel="1" collapsed="1" x14ac:dyDescent="0.35">
      <c r="A2709" s="112" t="s">
        <v>2479</v>
      </c>
      <c r="B2709" s="112" t="s">
        <v>908</v>
      </c>
      <c r="C2709" s="112" t="s">
        <v>2482</v>
      </c>
      <c r="D2709" s="113">
        <v>10348555</v>
      </c>
      <c r="E2709" s="115">
        <v>43948</v>
      </c>
      <c r="F2709" s="114">
        <v>202101</v>
      </c>
      <c r="G2709" s="112" t="s">
        <v>1091</v>
      </c>
      <c r="H2709" s="112" t="s">
        <v>1016</v>
      </c>
      <c r="I2709" s="112" t="s">
        <v>2483</v>
      </c>
      <c r="J2709" s="112" t="s">
        <v>2484</v>
      </c>
      <c r="K2709" s="112" t="s">
        <v>2622</v>
      </c>
      <c r="L2709" s="116">
        <v>-15</v>
      </c>
    </row>
    <row r="2710" spans="1:12" hidden="1" outlineLevel="1" collapsed="1" x14ac:dyDescent="0.35">
      <c r="A2710" s="112" t="s">
        <v>2479</v>
      </c>
      <c r="B2710" s="112" t="s">
        <v>908</v>
      </c>
      <c r="C2710" s="112" t="s">
        <v>2482</v>
      </c>
      <c r="D2710" s="113">
        <v>10348555</v>
      </c>
      <c r="E2710" s="115">
        <v>43948</v>
      </c>
      <c r="F2710" s="114">
        <v>202101</v>
      </c>
      <c r="G2710" s="112" t="s">
        <v>1091</v>
      </c>
      <c r="H2710" s="112" t="s">
        <v>1016</v>
      </c>
      <c r="I2710" s="112" t="s">
        <v>2483</v>
      </c>
      <c r="J2710" s="112" t="s">
        <v>2484</v>
      </c>
      <c r="K2710" s="112" t="s">
        <v>2623</v>
      </c>
      <c r="L2710" s="116">
        <v>-120.75</v>
      </c>
    </row>
    <row r="2711" spans="1:12" hidden="1" outlineLevel="1" collapsed="1" x14ac:dyDescent="0.35">
      <c r="A2711" s="112" t="s">
        <v>2479</v>
      </c>
      <c r="B2711" s="112" t="s">
        <v>908</v>
      </c>
      <c r="C2711" s="112" t="s">
        <v>2482</v>
      </c>
      <c r="D2711" s="113">
        <v>10348555</v>
      </c>
      <c r="E2711" s="115">
        <v>43948</v>
      </c>
      <c r="F2711" s="114">
        <v>202101</v>
      </c>
      <c r="G2711" s="112" t="s">
        <v>1091</v>
      </c>
      <c r="H2711" s="112" t="s">
        <v>1016</v>
      </c>
      <c r="I2711" s="112" t="s">
        <v>2483</v>
      </c>
      <c r="J2711" s="112" t="s">
        <v>2484</v>
      </c>
      <c r="K2711" s="112" t="s">
        <v>2624</v>
      </c>
      <c r="L2711" s="116">
        <v>-22.5</v>
      </c>
    </row>
    <row r="2712" spans="1:12" hidden="1" outlineLevel="1" collapsed="1" x14ac:dyDescent="0.35">
      <c r="A2712" s="112" t="s">
        <v>2479</v>
      </c>
      <c r="B2712" s="112" t="s">
        <v>908</v>
      </c>
      <c r="C2712" s="112" t="s">
        <v>695</v>
      </c>
      <c r="D2712" s="113">
        <v>10348200</v>
      </c>
      <c r="E2712" s="115">
        <v>43935</v>
      </c>
      <c r="F2712" s="114">
        <v>202101</v>
      </c>
      <c r="G2712" s="112" t="s">
        <v>1091</v>
      </c>
      <c r="H2712" s="112" t="s">
        <v>1015</v>
      </c>
      <c r="I2712" s="112" t="s">
        <v>763</v>
      </c>
      <c r="J2712" s="112" t="s">
        <v>2625</v>
      </c>
      <c r="K2712" s="112" t="s">
        <v>2626</v>
      </c>
      <c r="L2712" s="116">
        <v>-7997</v>
      </c>
    </row>
    <row r="2713" spans="1:12" hidden="1" outlineLevel="1" collapsed="1" x14ac:dyDescent="0.35">
      <c r="A2713" s="112" t="s">
        <v>2479</v>
      </c>
      <c r="B2713" s="112" t="s">
        <v>908</v>
      </c>
      <c r="C2713" s="112" t="s">
        <v>2482</v>
      </c>
      <c r="D2713" s="113">
        <v>10348555</v>
      </c>
      <c r="E2713" s="115">
        <v>43948</v>
      </c>
      <c r="F2713" s="114">
        <v>202101</v>
      </c>
      <c r="G2713" s="112" t="s">
        <v>1091</v>
      </c>
      <c r="H2713" s="112" t="s">
        <v>1016</v>
      </c>
      <c r="I2713" s="112" t="s">
        <v>2483</v>
      </c>
      <c r="J2713" s="112" t="s">
        <v>2484</v>
      </c>
      <c r="K2713" s="112" t="s">
        <v>2627</v>
      </c>
      <c r="L2713" s="116">
        <v>-408.74</v>
      </c>
    </row>
    <row r="2714" spans="1:12" hidden="1" outlineLevel="1" collapsed="1" x14ac:dyDescent="0.35">
      <c r="A2714" s="112" t="s">
        <v>2479</v>
      </c>
      <c r="B2714" s="112" t="s">
        <v>908</v>
      </c>
      <c r="C2714" s="112" t="s">
        <v>2482</v>
      </c>
      <c r="D2714" s="113">
        <v>10348555</v>
      </c>
      <c r="E2714" s="115">
        <v>43948</v>
      </c>
      <c r="F2714" s="114">
        <v>202101</v>
      </c>
      <c r="G2714" s="112" t="s">
        <v>1091</v>
      </c>
      <c r="H2714" s="112" t="s">
        <v>1016</v>
      </c>
      <c r="I2714" s="112" t="s">
        <v>2483</v>
      </c>
      <c r="J2714" s="112" t="s">
        <v>2484</v>
      </c>
      <c r="K2714" s="112" t="s">
        <v>2624</v>
      </c>
      <c r="L2714" s="116">
        <v>-148.08000000000001</v>
      </c>
    </row>
    <row r="2715" spans="1:12" hidden="1" outlineLevel="1" collapsed="1" x14ac:dyDescent="0.35">
      <c r="A2715" s="112" t="s">
        <v>2479</v>
      </c>
      <c r="B2715" s="112" t="s">
        <v>908</v>
      </c>
      <c r="C2715" s="112" t="s">
        <v>695</v>
      </c>
      <c r="D2715" s="113">
        <v>10348200</v>
      </c>
      <c r="E2715" s="115">
        <v>43935</v>
      </c>
      <c r="F2715" s="114">
        <v>202101</v>
      </c>
      <c r="G2715" s="112" t="s">
        <v>1091</v>
      </c>
      <c r="H2715" s="112" t="s">
        <v>1015</v>
      </c>
      <c r="I2715" s="112" t="s">
        <v>763</v>
      </c>
      <c r="J2715" s="112" t="s">
        <v>2625</v>
      </c>
      <c r="K2715" s="112" t="s">
        <v>2628</v>
      </c>
      <c r="L2715" s="116">
        <v>-9403</v>
      </c>
    </row>
    <row r="2716" spans="1:12" hidden="1" outlineLevel="1" collapsed="1" x14ac:dyDescent="0.35">
      <c r="A2716" s="112" t="s">
        <v>2479</v>
      </c>
      <c r="B2716" s="112" t="s">
        <v>908</v>
      </c>
      <c r="C2716" s="112" t="s">
        <v>695</v>
      </c>
      <c r="D2716" s="113">
        <v>10348200</v>
      </c>
      <c r="E2716" s="115">
        <v>43935</v>
      </c>
      <c r="F2716" s="114">
        <v>202101</v>
      </c>
      <c r="G2716" s="112" t="s">
        <v>1091</v>
      </c>
      <c r="H2716" s="112" t="s">
        <v>1015</v>
      </c>
      <c r="I2716" s="112" t="s">
        <v>767</v>
      </c>
      <c r="J2716" s="112" t="s">
        <v>2498</v>
      </c>
      <c r="K2716" s="112" t="s">
        <v>2629</v>
      </c>
      <c r="L2716" s="116">
        <v>13000</v>
      </c>
    </row>
    <row r="2717" spans="1:12" hidden="1" outlineLevel="1" collapsed="1" x14ac:dyDescent="0.35">
      <c r="A2717" s="112" t="s">
        <v>2479</v>
      </c>
      <c r="B2717" s="112" t="s">
        <v>908</v>
      </c>
      <c r="C2717" s="112" t="s">
        <v>679</v>
      </c>
      <c r="D2717" s="113">
        <v>10348271</v>
      </c>
      <c r="E2717" s="115">
        <v>43937</v>
      </c>
      <c r="F2717" s="114">
        <v>202101</v>
      </c>
      <c r="G2717" s="112" t="s">
        <v>1091</v>
      </c>
      <c r="H2717" s="112" t="s">
        <v>1016</v>
      </c>
      <c r="I2717" s="112" t="s">
        <v>1788</v>
      </c>
      <c r="J2717" s="112" t="s">
        <v>2498</v>
      </c>
      <c r="K2717" s="112" t="s">
        <v>2630</v>
      </c>
      <c r="L2717" s="116">
        <v>-190</v>
      </c>
    </row>
    <row r="2718" spans="1:12" hidden="1" outlineLevel="1" collapsed="1" x14ac:dyDescent="0.35">
      <c r="A2718" s="112" t="s">
        <v>2479</v>
      </c>
      <c r="B2718" s="112" t="s">
        <v>908</v>
      </c>
      <c r="C2718" s="112" t="s">
        <v>2482</v>
      </c>
      <c r="D2718" s="113">
        <v>10348555</v>
      </c>
      <c r="E2718" s="115">
        <v>43948</v>
      </c>
      <c r="F2718" s="114">
        <v>202101</v>
      </c>
      <c r="G2718" s="112" t="s">
        <v>1091</v>
      </c>
      <c r="H2718" s="112" t="s">
        <v>1016</v>
      </c>
      <c r="I2718" s="112" t="s">
        <v>2483</v>
      </c>
      <c r="J2718" s="112" t="s">
        <v>2484</v>
      </c>
      <c r="K2718" s="112" t="s">
        <v>2631</v>
      </c>
      <c r="L2718" s="116">
        <v>-901.25</v>
      </c>
    </row>
    <row r="2719" spans="1:12" hidden="1" outlineLevel="1" collapsed="1" x14ac:dyDescent="0.35">
      <c r="A2719" s="112" t="s">
        <v>2479</v>
      </c>
      <c r="B2719" s="112" t="s">
        <v>909</v>
      </c>
      <c r="C2719" s="112" t="s">
        <v>679</v>
      </c>
      <c r="D2719" s="113">
        <v>10348164</v>
      </c>
      <c r="E2719" s="115">
        <v>43930</v>
      </c>
      <c r="F2719" s="114">
        <v>202101</v>
      </c>
      <c r="G2719" s="112" t="s">
        <v>1091</v>
      </c>
      <c r="H2719" s="112" t="s">
        <v>1016</v>
      </c>
      <c r="I2719" s="112" t="s">
        <v>2536</v>
      </c>
      <c r="J2719" s="112" t="s">
        <v>2523</v>
      </c>
      <c r="K2719" s="112" t="s">
        <v>2632</v>
      </c>
      <c r="L2719" s="116">
        <v>-277</v>
      </c>
    </row>
    <row r="2720" spans="1:12" hidden="1" outlineLevel="1" collapsed="1" x14ac:dyDescent="0.35">
      <c r="A2720" s="112" t="s">
        <v>2479</v>
      </c>
      <c r="B2720" s="112" t="s">
        <v>908</v>
      </c>
      <c r="C2720" s="112" t="s">
        <v>679</v>
      </c>
      <c r="D2720" s="113">
        <v>10348164</v>
      </c>
      <c r="E2720" s="115">
        <v>43930</v>
      </c>
      <c r="F2720" s="114">
        <v>202101</v>
      </c>
      <c r="G2720" s="112" t="s">
        <v>1091</v>
      </c>
      <c r="H2720" s="112" t="s">
        <v>1016</v>
      </c>
      <c r="I2720" s="112" t="s">
        <v>1788</v>
      </c>
      <c r="J2720" s="112" t="s">
        <v>2498</v>
      </c>
      <c r="K2720" s="112" t="s">
        <v>2633</v>
      </c>
      <c r="L2720" s="116">
        <v>295</v>
      </c>
    </row>
    <row r="2721" spans="1:12" hidden="1" outlineLevel="1" collapsed="1" x14ac:dyDescent="0.35">
      <c r="A2721" s="112" t="s">
        <v>2479</v>
      </c>
      <c r="B2721" s="112" t="s">
        <v>908</v>
      </c>
      <c r="C2721" s="112" t="s">
        <v>679</v>
      </c>
      <c r="D2721" s="113">
        <v>10348164</v>
      </c>
      <c r="E2721" s="115">
        <v>43930</v>
      </c>
      <c r="F2721" s="114">
        <v>202101</v>
      </c>
      <c r="G2721" s="112" t="s">
        <v>1091</v>
      </c>
      <c r="H2721" s="112" t="s">
        <v>1016</v>
      </c>
      <c r="I2721" s="112" t="s">
        <v>1788</v>
      </c>
      <c r="J2721" s="112" t="s">
        <v>2498</v>
      </c>
      <c r="K2721" s="112" t="s">
        <v>2634</v>
      </c>
      <c r="L2721" s="116">
        <v>-85</v>
      </c>
    </row>
    <row r="2722" spans="1:12" hidden="1" outlineLevel="1" collapsed="1" x14ac:dyDescent="0.35">
      <c r="A2722" s="112" t="s">
        <v>2479</v>
      </c>
      <c r="B2722" s="112" t="s">
        <v>908</v>
      </c>
      <c r="C2722" s="112" t="s">
        <v>679</v>
      </c>
      <c r="D2722" s="113">
        <v>10348164</v>
      </c>
      <c r="E2722" s="115">
        <v>43930</v>
      </c>
      <c r="F2722" s="114">
        <v>202101</v>
      </c>
      <c r="G2722" s="112" t="s">
        <v>1091</v>
      </c>
      <c r="H2722" s="112" t="s">
        <v>1016</v>
      </c>
      <c r="I2722" s="112" t="s">
        <v>1788</v>
      </c>
      <c r="J2722" s="112" t="s">
        <v>2498</v>
      </c>
      <c r="K2722" s="112" t="s">
        <v>2635</v>
      </c>
      <c r="L2722" s="116">
        <v>-60</v>
      </c>
    </row>
    <row r="2723" spans="1:12" hidden="1" outlineLevel="1" collapsed="1" x14ac:dyDescent="0.35">
      <c r="A2723" s="112" t="s">
        <v>2479</v>
      </c>
      <c r="B2723" s="112" t="s">
        <v>908</v>
      </c>
      <c r="C2723" s="112" t="s">
        <v>679</v>
      </c>
      <c r="D2723" s="113">
        <v>10348164</v>
      </c>
      <c r="E2723" s="115">
        <v>43930</v>
      </c>
      <c r="F2723" s="114">
        <v>202101</v>
      </c>
      <c r="G2723" s="112" t="s">
        <v>1091</v>
      </c>
      <c r="H2723" s="112" t="s">
        <v>1016</v>
      </c>
      <c r="I2723" s="112" t="s">
        <v>1788</v>
      </c>
      <c r="J2723" s="112" t="s">
        <v>2498</v>
      </c>
      <c r="K2723" s="112" t="s">
        <v>2636</v>
      </c>
      <c r="L2723" s="116">
        <v>-190</v>
      </c>
    </row>
    <row r="2724" spans="1:12" hidden="1" outlineLevel="1" collapsed="1" x14ac:dyDescent="0.35">
      <c r="A2724" s="112" t="s">
        <v>2479</v>
      </c>
      <c r="B2724" s="112" t="s">
        <v>908</v>
      </c>
      <c r="C2724" s="112" t="s">
        <v>679</v>
      </c>
      <c r="D2724" s="113">
        <v>10348164</v>
      </c>
      <c r="E2724" s="115">
        <v>43930</v>
      </c>
      <c r="F2724" s="114">
        <v>202101</v>
      </c>
      <c r="G2724" s="112" t="s">
        <v>1091</v>
      </c>
      <c r="H2724" s="112" t="s">
        <v>1016</v>
      </c>
      <c r="I2724" s="112" t="s">
        <v>1788</v>
      </c>
      <c r="J2724" s="112" t="s">
        <v>2498</v>
      </c>
      <c r="K2724" s="112" t="s">
        <v>2637</v>
      </c>
      <c r="L2724" s="116">
        <v>-190</v>
      </c>
    </row>
    <row r="2725" spans="1:12" hidden="1" outlineLevel="1" collapsed="1" x14ac:dyDescent="0.35">
      <c r="A2725" s="112" t="s">
        <v>2479</v>
      </c>
      <c r="B2725" s="112" t="s">
        <v>909</v>
      </c>
      <c r="C2725" s="112" t="s">
        <v>1099</v>
      </c>
      <c r="D2725" s="113">
        <v>1069597</v>
      </c>
      <c r="E2725" s="115">
        <v>43935</v>
      </c>
      <c r="F2725" s="114">
        <v>202101</v>
      </c>
      <c r="G2725" s="112" t="s">
        <v>1091</v>
      </c>
      <c r="H2725" s="112" t="s">
        <v>1015</v>
      </c>
      <c r="I2725" s="112" t="s">
        <v>761</v>
      </c>
      <c r="J2725" s="112" t="s">
        <v>2480</v>
      </c>
      <c r="K2725" s="112" t="s">
        <v>2638</v>
      </c>
      <c r="L2725" s="116">
        <v>2579.5</v>
      </c>
    </row>
    <row r="2726" spans="1:12" hidden="1" outlineLevel="1" collapsed="1" x14ac:dyDescent="0.35">
      <c r="A2726" s="112" t="s">
        <v>2479</v>
      </c>
      <c r="B2726" s="112" t="s">
        <v>908</v>
      </c>
      <c r="C2726" s="112" t="s">
        <v>679</v>
      </c>
      <c r="D2726" s="113">
        <v>10348164</v>
      </c>
      <c r="E2726" s="115">
        <v>43930</v>
      </c>
      <c r="F2726" s="114">
        <v>202101</v>
      </c>
      <c r="G2726" s="112" t="s">
        <v>1091</v>
      </c>
      <c r="H2726" s="112" t="s">
        <v>1016</v>
      </c>
      <c r="I2726" s="112" t="s">
        <v>1788</v>
      </c>
      <c r="J2726" s="112" t="s">
        <v>2498</v>
      </c>
      <c r="K2726" s="112" t="s">
        <v>2639</v>
      </c>
      <c r="L2726" s="116">
        <v>-60</v>
      </c>
    </row>
    <row r="2727" spans="1:12" hidden="1" outlineLevel="1" collapsed="1" x14ac:dyDescent="0.35">
      <c r="A2727" s="112" t="s">
        <v>2479</v>
      </c>
      <c r="B2727" s="112" t="s">
        <v>908</v>
      </c>
      <c r="C2727" s="112" t="s">
        <v>679</v>
      </c>
      <c r="D2727" s="113">
        <v>10348164</v>
      </c>
      <c r="E2727" s="115">
        <v>43930</v>
      </c>
      <c r="F2727" s="114">
        <v>202101</v>
      </c>
      <c r="G2727" s="112" t="s">
        <v>1091</v>
      </c>
      <c r="H2727" s="112" t="s">
        <v>1016</v>
      </c>
      <c r="I2727" s="112" t="s">
        <v>1788</v>
      </c>
      <c r="J2727" s="112" t="s">
        <v>2498</v>
      </c>
      <c r="K2727" s="112" t="s">
        <v>2640</v>
      </c>
      <c r="L2727" s="116">
        <v>-305</v>
      </c>
    </row>
    <row r="2728" spans="1:12" hidden="1" outlineLevel="1" collapsed="1" x14ac:dyDescent="0.35">
      <c r="A2728" s="112" t="s">
        <v>2479</v>
      </c>
      <c r="B2728" s="112" t="s">
        <v>908</v>
      </c>
      <c r="C2728" s="112" t="s">
        <v>679</v>
      </c>
      <c r="D2728" s="113">
        <v>10348164</v>
      </c>
      <c r="E2728" s="115">
        <v>43930</v>
      </c>
      <c r="F2728" s="114">
        <v>202101</v>
      </c>
      <c r="G2728" s="112" t="s">
        <v>1091</v>
      </c>
      <c r="H2728" s="112" t="s">
        <v>1016</v>
      </c>
      <c r="I2728" s="112" t="s">
        <v>1788</v>
      </c>
      <c r="J2728" s="112" t="s">
        <v>2498</v>
      </c>
      <c r="K2728" s="112" t="s">
        <v>2641</v>
      </c>
      <c r="L2728" s="116">
        <v>-60</v>
      </c>
    </row>
    <row r="2729" spans="1:12" hidden="1" outlineLevel="1" collapsed="1" x14ac:dyDescent="0.35">
      <c r="A2729" s="112" t="s">
        <v>2479</v>
      </c>
      <c r="B2729" s="112" t="s">
        <v>908</v>
      </c>
      <c r="C2729" s="112" t="s">
        <v>679</v>
      </c>
      <c r="D2729" s="113">
        <v>10348164</v>
      </c>
      <c r="E2729" s="115">
        <v>43930</v>
      </c>
      <c r="F2729" s="114">
        <v>202101</v>
      </c>
      <c r="G2729" s="112" t="s">
        <v>1091</v>
      </c>
      <c r="H2729" s="112" t="s">
        <v>1016</v>
      </c>
      <c r="I2729" s="112" t="s">
        <v>1788</v>
      </c>
      <c r="J2729" s="112" t="s">
        <v>2498</v>
      </c>
      <c r="K2729" s="112" t="s">
        <v>2642</v>
      </c>
      <c r="L2729" s="116">
        <v>-190</v>
      </c>
    </row>
    <row r="2730" spans="1:12" hidden="1" outlineLevel="1" collapsed="1" x14ac:dyDescent="0.35">
      <c r="A2730" s="112" t="s">
        <v>2479</v>
      </c>
      <c r="B2730" s="112" t="s">
        <v>908</v>
      </c>
      <c r="C2730" s="112" t="s">
        <v>679</v>
      </c>
      <c r="D2730" s="113">
        <v>10348164</v>
      </c>
      <c r="E2730" s="115">
        <v>43930</v>
      </c>
      <c r="F2730" s="114">
        <v>202101</v>
      </c>
      <c r="G2730" s="112" t="s">
        <v>1091</v>
      </c>
      <c r="H2730" s="112" t="s">
        <v>1016</v>
      </c>
      <c r="I2730" s="112" t="s">
        <v>1788</v>
      </c>
      <c r="J2730" s="112" t="s">
        <v>2498</v>
      </c>
      <c r="K2730" s="112" t="s">
        <v>2643</v>
      </c>
      <c r="L2730" s="116">
        <v>-6</v>
      </c>
    </row>
    <row r="2731" spans="1:12" hidden="1" outlineLevel="1" collapsed="1" x14ac:dyDescent="0.35">
      <c r="A2731" s="112" t="s">
        <v>2479</v>
      </c>
      <c r="B2731" s="112" t="s">
        <v>909</v>
      </c>
      <c r="C2731" s="112" t="s">
        <v>679</v>
      </c>
      <c r="D2731" s="113">
        <v>10348164</v>
      </c>
      <c r="E2731" s="115">
        <v>43930</v>
      </c>
      <c r="F2731" s="114">
        <v>202101</v>
      </c>
      <c r="G2731" s="112" t="s">
        <v>1091</v>
      </c>
      <c r="H2731" s="112" t="s">
        <v>1016</v>
      </c>
      <c r="I2731" s="112" t="s">
        <v>2536</v>
      </c>
      <c r="J2731" s="112" t="s">
        <v>2523</v>
      </c>
      <c r="K2731" s="112" t="s">
        <v>2644</v>
      </c>
      <c r="L2731" s="116">
        <v>-337</v>
      </c>
    </row>
    <row r="2732" spans="1:12" hidden="1" outlineLevel="1" collapsed="1" x14ac:dyDescent="0.35">
      <c r="A2732" s="112" t="s">
        <v>2479</v>
      </c>
      <c r="B2732" s="112" t="s">
        <v>908</v>
      </c>
      <c r="C2732" s="112" t="s">
        <v>679</v>
      </c>
      <c r="D2732" s="113">
        <v>10348164</v>
      </c>
      <c r="E2732" s="115">
        <v>43930</v>
      </c>
      <c r="F2732" s="114">
        <v>202101</v>
      </c>
      <c r="G2732" s="112" t="s">
        <v>1091</v>
      </c>
      <c r="H2732" s="112" t="s">
        <v>1016</v>
      </c>
      <c r="I2732" s="112" t="s">
        <v>1788</v>
      </c>
      <c r="J2732" s="112" t="s">
        <v>2498</v>
      </c>
      <c r="K2732" s="112" t="s">
        <v>2645</v>
      </c>
      <c r="L2732" s="116">
        <v>-190</v>
      </c>
    </row>
    <row r="2733" spans="1:12" hidden="1" outlineLevel="1" collapsed="1" x14ac:dyDescent="0.35">
      <c r="A2733" s="112" t="s">
        <v>2479</v>
      </c>
      <c r="B2733" s="112" t="s">
        <v>908</v>
      </c>
      <c r="C2733" s="112" t="s">
        <v>679</v>
      </c>
      <c r="D2733" s="113">
        <v>10348180</v>
      </c>
      <c r="E2733" s="115">
        <v>43931</v>
      </c>
      <c r="F2733" s="114">
        <v>202101</v>
      </c>
      <c r="G2733" s="112" t="s">
        <v>1091</v>
      </c>
      <c r="H2733" s="112" t="s">
        <v>1016</v>
      </c>
      <c r="I2733" s="112" t="s">
        <v>1788</v>
      </c>
      <c r="J2733" s="112" t="s">
        <v>2498</v>
      </c>
      <c r="K2733" s="112" t="s">
        <v>2646</v>
      </c>
      <c r="L2733" s="116">
        <v>-196</v>
      </c>
    </row>
    <row r="2734" spans="1:12" hidden="1" outlineLevel="1" collapsed="1" x14ac:dyDescent="0.35">
      <c r="A2734" s="112" t="s">
        <v>2479</v>
      </c>
      <c r="B2734" s="112" t="s">
        <v>908</v>
      </c>
      <c r="C2734" s="112" t="s">
        <v>679</v>
      </c>
      <c r="D2734" s="113">
        <v>10348180</v>
      </c>
      <c r="E2734" s="115">
        <v>43931</v>
      </c>
      <c r="F2734" s="114">
        <v>202101</v>
      </c>
      <c r="G2734" s="112" t="s">
        <v>1091</v>
      </c>
      <c r="H2734" s="112" t="s">
        <v>1016</v>
      </c>
      <c r="I2734" s="112" t="s">
        <v>1788</v>
      </c>
      <c r="J2734" s="112" t="s">
        <v>2498</v>
      </c>
      <c r="K2734" s="112" t="s">
        <v>2647</v>
      </c>
      <c r="L2734" s="116">
        <v>-196</v>
      </c>
    </row>
    <row r="2735" spans="1:12" hidden="1" outlineLevel="1" collapsed="1" x14ac:dyDescent="0.35">
      <c r="A2735" s="112" t="s">
        <v>2479</v>
      </c>
      <c r="B2735" s="112" t="s">
        <v>908</v>
      </c>
      <c r="C2735" s="112" t="s">
        <v>1099</v>
      </c>
      <c r="D2735" s="113">
        <v>1069319</v>
      </c>
      <c r="E2735" s="115">
        <v>43920</v>
      </c>
      <c r="F2735" s="114">
        <v>202101</v>
      </c>
      <c r="G2735" s="112" t="s">
        <v>1091</v>
      </c>
      <c r="H2735" s="112" t="s">
        <v>1015</v>
      </c>
      <c r="I2735" s="112" t="s">
        <v>1605</v>
      </c>
      <c r="J2735" s="112" t="s">
        <v>2484</v>
      </c>
      <c r="K2735" s="112" t="s">
        <v>2648</v>
      </c>
      <c r="L2735" s="116">
        <v>1000</v>
      </c>
    </row>
    <row r="2736" spans="1:12" hidden="1" outlineLevel="1" collapsed="1" x14ac:dyDescent="0.35">
      <c r="A2736" s="112" t="s">
        <v>2479</v>
      </c>
      <c r="B2736" s="112" t="s">
        <v>908</v>
      </c>
      <c r="C2736" s="112" t="s">
        <v>1099</v>
      </c>
      <c r="D2736" s="113">
        <v>1069319</v>
      </c>
      <c r="E2736" s="115">
        <v>43920</v>
      </c>
      <c r="F2736" s="114">
        <v>202101</v>
      </c>
      <c r="G2736" s="112" t="s">
        <v>1091</v>
      </c>
      <c r="H2736" s="112" t="s">
        <v>1015</v>
      </c>
      <c r="I2736" s="112" t="s">
        <v>761</v>
      </c>
      <c r="J2736" s="112" t="s">
        <v>2553</v>
      </c>
      <c r="K2736" s="112" t="s">
        <v>2648</v>
      </c>
      <c r="L2736" s="116">
        <v>500</v>
      </c>
    </row>
    <row r="2737" spans="1:12" hidden="1" outlineLevel="1" collapsed="1" x14ac:dyDescent="0.35">
      <c r="A2737" s="112" t="s">
        <v>2479</v>
      </c>
      <c r="B2737" s="112" t="s">
        <v>908</v>
      </c>
      <c r="C2737" s="112" t="s">
        <v>679</v>
      </c>
      <c r="D2737" s="113">
        <v>10348115</v>
      </c>
      <c r="E2737" s="115">
        <v>43929</v>
      </c>
      <c r="F2737" s="114">
        <v>202101</v>
      </c>
      <c r="G2737" s="112" t="s">
        <v>1091</v>
      </c>
      <c r="H2737" s="112" t="s">
        <v>1016</v>
      </c>
      <c r="I2737" s="112" t="s">
        <v>1788</v>
      </c>
      <c r="J2737" s="112" t="s">
        <v>2498</v>
      </c>
      <c r="K2737" s="112" t="s">
        <v>2649</v>
      </c>
      <c r="L2737" s="116">
        <v>-60</v>
      </c>
    </row>
    <row r="2738" spans="1:12" hidden="1" outlineLevel="1" collapsed="1" x14ac:dyDescent="0.35">
      <c r="A2738" s="112" t="s">
        <v>2479</v>
      </c>
      <c r="B2738" s="112" t="s">
        <v>908</v>
      </c>
      <c r="C2738" s="112" t="s">
        <v>679</v>
      </c>
      <c r="D2738" s="113">
        <v>10348115</v>
      </c>
      <c r="E2738" s="115">
        <v>43929</v>
      </c>
      <c r="F2738" s="114">
        <v>202101</v>
      </c>
      <c r="G2738" s="112" t="s">
        <v>1091</v>
      </c>
      <c r="H2738" s="112" t="s">
        <v>1016</v>
      </c>
      <c r="I2738" s="112" t="s">
        <v>1788</v>
      </c>
      <c r="J2738" s="112" t="s">
        <v>2498</v>
      </c>
      <c r="K2738" s="112" t="s">
        <v>2650</v>
      </c>
      <c r="L2738" s="116">
        <v>-196</v>
      </c>
    </row>
    <row r="2739" spans="1:12" hidden="1" outlineLevel="1" collapsed="1" x14ac:dyDescent="0.35">
      <c r="A2739" s="112" t="s">
        <v>2479</v>
      </c>
      <c r="B2739" s="112" t="s">
        <v>908</v>
      </c>
      <c r="C2739" s="112" t="s">
        <v>679</v>
      </c>
      <c r="D2739" s="113">
        <v>10348115</v>
      </c>
      <c r="E2739" s="115">
        <v>43929</v>
      </c>
      <c r="F2739" s="114">
        <v>202101</v>
      </c>
      <c r="G2739" s="112" t="s">
        <v>1091</v>
      </c>
      <c r="H2739" s="112" t="s">
        <v>1016</v>
      </c>
      <c r="I2739" s="112" t="s">
        <v>1788</v>
      </c>
      <c r="J2739" s="112" t="s">
        <v>2498</v>
      </c>
      <c r="K2739" s="112" t="s">
        <v>2651</v>
      </c>
      <c r="L2739" s="116">
        <v>-196</v>
      </c>
    </row>
    <row r="2740" spans="1:12" hidden="1" outlineLevel="1" collapsed="1" x14ac:dyDescent="0.35">
      <c r="A2740" s="112" t="s">
        <v>2479</v>
      </c>
      <c r="B2740" s="112" t="s">
        <v>908</v>
      </c>
      <c r="C2740" s="112" t="s">
        <v>679</v>
      </c>
      <c r="D2740" s="113">
        <v>10348446</v>
      </c>
      <c r="E2740" s="115">
        <v>43945</v>
      </c>
      <c r="F2740" s="114">
        <v>202101</v>
      </c>
      <c r="G2740" s="112" t="s">
        <v>1091</v>
      </c>
      <c r="H2740" s="112" t="s">
        <v>1015</v>
      </c>
      <c r="I2740" s="112" t="s">
        <v>1536</v>
      </c>
      <c r="J2740" s="112" t="s">
        <v>2513</v>
      </c>
      <c r="K2740" s="112" t="s">
        <v>2514</v>
      </c>
      <c r="L2740" s="116">
        <v>75</v>
      </c>
    </row>
    <row r="2741" spans="1:12" hidden="1" outlineLevel="1" collapsed="1" x14ac:dyDescent="0.35">
      <c r="A2741" s="112" t="s">
        <v>2479</v>
      </c>
      <c r="B2741" s="112" t="s">
        <v>909</v>
      </c>
      <c r="C2741" s="112" t="s">
        <v>679</v>
      </c>
      <c r="D2741" s="113">
        <v>10348115</v>
      </c>
      <c r="E2741" s="115">
        <v>43929</v>
      </c>
      <c r="F2741" s="114">
        <v>202101</v>
      </c>
      <c r="G2741" s="112" t="s">
        <v>1091</v>
      </c>
      <c r="H2741" s="112" t="s">
        <v>1016</v>
      </c>
      <c r="I2741" s="112" t="s">
        <v>1788</v>
      </c>
      <c r="J2741" s="112" t="s">
        <v>2652</v>
      </c>
      <c r="K2741" s="112" t="s">
        <v>2653</v>
      </c>
      <c r="L2741" s="116">
        <v>-295</v>
      </c>
    </row>
    <row r="2742" spans="1:12" hidden="1" outlineLevel="1" collapsed="1" x14ac:dyDescent="0.35">
      <c r="A2742" s="112" t="s">
        <v>2479</v>
      </c>
      <c r="B2742" s="112" t="s">
        <v>909</v>
      </c>
      <c r="C2742" s="112" t="s">
        <v>679</v>
      </c>
      <c r="D2742" s="113">
        <v>10348164</v>
      </c>
      <c r="E2742" s="115">
        <v>43930</v>
      </c>
      <c r="F2742" s="114">
        <v>202101</v>
      </c>
      <c r="G2742" s="112" t="s">
        <v>1091</v>
      </c>
      <c r="H2742" s="112" t="s">
        <v>1016</v>
      </c>
      <c r="I2742" s="112" t="s">
        <v>2654</v>
      </c>
      <c r="J2742" s="112" t="s">
        <v>2523</v>
      </c>
      <c r="K2742" s="112" t="s">
        <v>2655</v>
      </c>
      <c r="L2742" s="116">
        <v>-415</v>
      </c>
    </row>
    <row r="2743" spans="1:12" hidden="1" outlineLevel="1" collapsed="1" x14ac:dyDescent="0.35">
      <c r="A2743" s="112" t="s">
        <v>2479</v>
      </c>
      <c r="B2743" s="112" t="s">
        <v>908</v>
      </c>
      <c r="C2743" s="112" t="s">
        <v>679</v>
      </c>
      <c r="D2743" s="113">
        <v>10348115</v>
      </c>
      <c r="E2743" s="115">
        <v>43929</v>
      </c>
      <c r="F2743" s="114">
        <v>202101</v>
      </c>
      <c r="G2743" s="112" t="s">
        <v>1091</v>
      </c>
      <c r="H2743" s="112" t="s">
        <v>1016</v>
      </c>
      <c r="I2743" s="112" t="s">
        <v>1788</v>
      </c>
      <c r="J2743" s="112" t="s">
        <v>2498</v>
      </c>
      <c r="K2743" s="112" t="s">
        <v>2656</v>
      </c>
      <c r="L2743" s="116">
        <v>-85</v>
      </c>
    </row>
    <row r="2744" spans="1:12" hidden="1" outlineLevel="1" collapsed="1" x14ac:dyDescent="0.35">
      <c r="A2744" s="112" t="s">
        <v>2479</v>
      </c>
      <c r="B2744" s="112" t="s">
        <v>908</v>
      </c>
      <c r="C2744" s="112" t="s">
        <v>679</v>
      </c>
      <c r="D2744" s="113">
        <v>10348115</v>
      </c>
      <c r="E2744" s="115">
        <v>43929</v>
      </c>
      <c r="F2744" s="114">
        <v>202101</v>
      </c>
      <c r="G2744" s="112" t="s">
        <v>1091</v>
      </c>
      <c r="H2744" s="112" t="s">
        <v>1016</v>
      </c>
      <c r="I2744" s="112" t="s">
        <v>1788</v>
      </c>
      <c r="J2744" s="112" t="s">
        <v>2498</v>
      </c>
      <c r="K2744" s="112" t="s">
        <v>2657</v>
      </c>
      <c r="L2744" s="116">
        <v>-190</v>
      </c>
    </row>
    <row r="2745" spans="1:12" hidden="1" outlineLevel="1" collapsed="1" x14ac:dyDescent="0.35">
      <c r="A2745" s="112" t="s">
        <v>2479</v>
      </c>
      <c r="B2745" s="112" t="s">
        <v>909</v>
      </c>
      <c r="C2745" s="112" t="s">
        <v>695</v>
      </c>
      <c r="D2745" s="113">
        <v>10348431</v>
      </c>
      <c r="E2745" s="115">
        <v>43945</v>
      </c>
      <c r="F2745" s="114">
        <v>202101</v>
      </c>
      <c r="G2745" s="112" t="s">
        <v>1091</v>
      </c>
      <c r="H2745" s="112" t="s">
        <v>1015</v>
      </c>
      <c r="I2745" s="112" t="s">
        <v>761</v>
      </c>
      <c r="J2745" s="112" t="s">
        <v>2480</v>
      </c>
      <c r="K2745" s="112" t="s">
        <v>2658</v>
      </c>
      <c r="L2745" s="116">
        <v>60</v>
      </c>
    </row>
    <row r="2746" spans="1:12" hidden="1" outlineLevel="1" collapsed="1" x14ac:dyDescent="0.35">
      <c r="A2746" s="112" t="s">
        <v>2479</v>
      </c>
      <c r="B2746" s="112" t="s">
        <v>908</v>
      </c>
      <c r="C2746" s="112" t="s">
        <v>679</v>
      </c>
      <c r="D2746" s="113">
        <v>10348189</v>
      </c>
      <c r="E2746" s="115">
        <v>43934</v>
      </c>
      <c r="F2746" s="114">
        <v>202101</v>
      </c>
      <c r="G2746" s="112" t="s">
        <v>1091</v>
      </c>
      <c r="H2746" s="112" t="s">
        <v>1016</v>
      </c>
      <c r="I2746" s="112" t="s">
        <v>1788</v>
      </c>
      <c r="J2746" s="112" t="s">
        <v>2498</v>
      </c>
      <c r="K2746" s="112" t="s">
        <v>2659</v>
      </c>
      <c r="L2746" s="116">
        <v>-190</v>
      </c>
    </row>
    <row r="2747" spans="1:12" hidden="1" outlineLevel="1" collapsed="1" x14ac:dyDescent="0.35">
      <c r="A2747" s="112" t="s">
        <v>2479</v>
      </c>
      <c r="B2747" s="112" t="s">
        <v>909</v>
      </c>
      <c r="C2747" s="112" t="s">
        <v>679</v>
      </c>
      <c r="D2747" s="113">
        <v>10348115</v>
      </c>
      <c r="E2747" s="115">
        <v>43929</v>
      </c>
      <c r="F2747" s="114">
        <v>202101</v>
      </c>
      <c r="G2747" s="112" t="s">
        <v>1091</v>
      </c>
      <c r="H2747" s="112" t="s">
        <v>1016</v>
      </c>
      <c r="I2747" s="112" t="s">
        <v>2595</v>
      </c>
      <c r="J2747" s="112" t="s">
        <v>2523</v>
      </c>
      <c r="K2747" s="112" t="s">
        <v>2660</v>
      </c>
      <c r="L2747" s="116">
        <v>-310</v>
      </c>
    </row>
    <row r="2748" spans="1:12" hidden="1" outlineLevel="1" collapsed="1" x14ac:dyDescent="0.35">
      <c r="A2748" s="112" t="s">
        <v>2479</v>
      </c>
      <c r="B2748" s="112" t="s">
        <v>908</v>
      </c>
      <c r="C2748" s="112" t="s">
        <v>679</v>
      </c>
      <c r="D2748" s="113">
        <v>10348115</v>
      </c>
      <c r="E2748" s="115">
        <v>43929</v>
      </c>
      <c r="F2748" s="114">
        <v>202101</v>
      </c>
      <c r="G2748" s="112" t="s">
        <v>1091</v>
      </c>
      <c r="H2748" s="112" t="s">
        <v>1016</v>
      </c>
      <c r="I2748" s="112" t="s">
        <v>1788</v>
      </c>
      <c r="J2748" s="112" t="s">
        <v>2498</v>
      </c>
      <c r="K2748" s="112" t="s">
        <v>2661</v>
      </c>
      <c r="L2748" s="116">
        <v>-190</v>
      </c>
    </row>
    <row r="2749" spans="1:12" hidden="1" outlineLevel="1" collapsed="1" x14ac:dyDescent="0.35">
      <c r="A2749" s="112" t="s">
        <v>2479</v>
      </c>
      <c r="B2749" s="112" t="s">
        <v>908</v>
      </c>
      <c r="C2749" s="112" t="s">
        <v>679</v>
      </c>
      <c r="D2749" s="113">
        <v>10348164</v>
      </c>
      <c r="E2749" s="115">
        <v>43930</v>
      </c>
      <c r="F2749" s="114">
        <v>202101</v>
      </c>
      <c r="G2749" s="112" t="s">
        <v>1091</v>
      </c>
      <c r="H2749" s="112" t="s">
        <v>1016</v>
      </c>
      <c r="I2749" s="112" t="s">
        <v>1788</v>
      </c>
      <c r="J2749" s="112" t="s">
        <v>2498</v>
      </c>
      <c r="K2749" s="112" t="s">
        <v>2662</v>
      </c>
      <c r="L2749" s="116">
        <v>-60</v>
      </c>
    </row>
    <row r="2750" spans="1:12" hidden="1" outlineLevel="1" collapsed="1" x14ac:dyDescent="0.35">
      <c r="A2750" s="112" t="s">
        <v>2479</v>
      </c>
      <c r="B2750" s="112" t="s">
        <v>909</v>
      </c>
      <c r="C2750" s="112" t="s">
        <v>679</v>
      </c>
      <c r="D2750" s="113">
        <v>10348164</v>
      </c>
      <c r="E2750" s="115">
        <v>43930</v>
      </c>
      <c r="F2750" s="114">
        <v>202101</v>
      </c>
      <c r="G2750" s="112" t="s">
        <v>1091</v>
      </c>
      <c r="H2750" s="112" t="s">
        <v>1016</v>
      </c>
      <c r="I2750" s="112" t="s">
        <v>2536</v>
      </c>
      <c r="J2750" s="112" t="s">
        <v>2523</v>
      </c>
      <c r="K2750" s="112" t="s">
        <v>2663</v>
      </c>
      <c r="L2750" s="116">
        <v>-177</v>
      </c>
    </row>
    <row r="2751" spans="1:12" hidden="1" outlineLevel="1" collapsed="1" x14ac:dyDescent="0.35">
      <c r="A2751" s="112" t="s">
        <v>2479</v>
      </c>
      <c r="B2751" s="112" t="s">
        <v>908</v>
      </c>
      <c r="C2751" s="112" t="s">
        <v>679</v>
      </c>
      <c r="D2751" s="113">
        <v>10348515</v>
      </c>
      <c r="E2751" s="115">
        <v>43949</v>
      </c>
      <c r="F2751" s="114">
        <v>202101</v>
      </c>
      <c r="G2751" s="112" t="s">
        <v>1091</v>
      </c>
      <c r="H2751" s="112" t="s">
        <v>1016</v>
      </c>
      <c r="I2751" s="112" t="s">
        <v>1788</v>
      </c>
      <c r="J2751" s="112" t="s">
        <v>2498</v>
      </c>
      <c r="K2751" s="112" t="s">
        <v>2664</v>
      </c>
      <c r="L2751" s="116">
        <v>-85</v>
      </c>
    </row>
    <row r="2752" spans="1:12" hidden="1" outlineLevel="1" collapsed="1" x14ac:dyDescent="0.35">
      <c r="A2752" s="112" t="s">
        <v>2479</v>
      </c>
      <c r="B2752" s="112" t="s">
        <v>908</v>
      </c>
      <c r="C2752" s="112" t="s">
        <v>1099</v>
      </c>
      <c r="D2752" s="113">
        <v>1069582</v>
      </c>
      <c r="E2752" s="115">
        <v>43928</v>
      </c>
      <c r="F2752" s="114">
        <v>202101</v>
      </c>
      <c r="G2752" s="112" t="s">
        <v>1091</v>
      </c>
      <c r="H2752" s="112" t="s">
        <v>1015</v>
      </c>
      <c r="I2752" s="112" t="s">
        <v>761</v>
      </c>
      <c r="J2752" s="112" t="s">
        <v>2553</v>
      </c>
      <c r="K2752" s="112" t="s">
        <v>2665</v>
      </c>
      <c r="L2752" s="116">
        <v>500</v>
      </c>
    </row>
    <row r="2753" spans="1:12" hidden="1" outlineLevel="1" collapsed="1" x14ac:dyDescent="0.35">
      <c r="A2753" s="112" t="s">
        <v>2479</v>
      </c>
      <c r="B2753" s="112" t="s">
        <v>908</v>
      </c>
      <c r="C2753" s="112" t="s">
        <v>1099</v>
      </c>
      <c r="D2753" s="113">
        <v>1069013</v>
      </c>
      <c r="E2753" s="115">
        <v>43908</v>
      </c>
      <c r="F2753" s="114">
        <v>202101</v>
      </c>
      <c r="G2753" s="112" t="s">
        <v>1091</v>
      </c>
      <c r="H2753" s="112" t="s">
        <v>1015</v>
      </c>
      <c r="I2753" s="112" t="s">
        <v>761</v>
      </c>
      <c r="J2753" s="112" t="s">
        <v>2584</v>
      </c>
      <c r="K2753" s="112" t="s">
        <v>2666</v>
      </c>
      <c r="L2753" s="116">
        <v>1045</v>
      </c>
    </row>
    <row r="2754" spans="1:12" hidden="1" outlineLevel="1" collapsed="1" x14ac:dyDescent="0.35">
      <c r="A2754" s="112" t="s">
        <v>2479</v>
      </c>
      <c r="B2754" s="112" t="s">
        <v>908</v>
      </c>
      <c r="C2754" s="112" t="s">
        <v>1099</v>
      </c>
      <c r="D2754" s="113">
        <v>1069582</v>
      </c>
      <c r="E2754" s="115">
        <v>43928</v>
      </c>
      <c r="F2754" s="114">
        <v>202101</v>
      </c>
      <c r="G2754" s="112" t="s">
        <v>1091</v>
      </c>
      <c r="H2754" s="112" t="s">
        <v>1015</v>
      </c>
      <c r="I2754" s="112" t="s">
        <v>1605</v>
      </c>
      <c r="J2754" s="112" t="s">
        <v>2484</v>
      </c>
      <c r="K2754" s="112" t="s">
        <v>2665</v>
      </c>
      <c r="L2754" s="116">
        <v>500</v>
      </c>
    </row>
    <row r="2755" spans="1:12" hidden="1" outlineLevel="1" collapsed="1" x14ac:dyDescent="0.35">
      <c r="A2755" s="112" t="s">
        <v>2479</v>
      </c>
      <c r="B2755" s="112" t="s">
        <v>908</v>
      </c>
      <c r="C2755" s="112" t="s">
        <v>1099</v>
      </c>
      <c r="D2755" s="113">
        <v>1069012</v>
      </c>
      <c r="E2755" s="115">
        <v>43908</v>
      </c>
      <c r="F2755" s="114">
        <v>202101</v>
      </c>
      <c r="G2755" s="112" t="s">
        <v>1091</v>
      </c>
      <c r="H2755" s="112" t="s">
        <v>1015</v>
      </c>
      <c r="I2755" s="112" t="s">
        <v>761</v>
      </c>
      <c r="J2755" s="112" t="s">
        <v>2584</v>
      </c>
      <c r="K2755" s="112" t="s">
        <v>2667</v>
      </c>
      <c r="L2755" s="116">
        <v>915</v>
      </c>
    </row>
    <row r="2756" spans="1:12" hidden="1" outlineLevel="1" collapsed="1" x14ac:dyDescent="0.35">
      <c r="A2756" s="112" t="s">
        <v>2479</v>
      </c>
      <c r="B2756" s="112" t="s">
        <v>908</v>
      </c>
      <c r="C2756" s="112" t="s">
        <v>1099</v>
      </c>
      <c r="D2756" s="113">
        <v>1068061</v>
      </c>
      <c r="E2756" s="115">
        <v>43873</v>
      </c>
      <c r="F2756" s="114">
        <v>202101</v>
      </c>
      <c r="G2756" s="112" t="s">
        <v>1091</v>
      </c>
      <c r="H2756" s="112" t="s">
        <v>1015</v>
      </c>
      <c r="I2756" s="112" t="s">
        <v>761</v>
      </c>
      <c r="J2756" s="112" t="s">
        <v>2584</v>
      </c>
      <c r="K2756" s="112" t="s">
        <v>2668</v>
      </c>
      <c r="L2756" s="116">
        <v>690</v>
      </c>
    </row>
    <row r="2757" spans="1:12" hidden="1" outlineLevel="1" collapsed="1" x14ac:dyDescent="0.35">
      <c r="A2757" s="112" t="s">
        <v>2479</v>
      </c>
      <c r="B2757" s="112" t="s">
        <v>908</v>
      </c>
      <c r="C2757" s="112" t="s">
        <v>679</v>
      </c>
      <c r="D2757" s="113">
        <v>10348271</v>
      </c>
      <c r="E2757" s="115">
        <v>43937</v>
      </c>
      <c r="F2757" s="114">
        <v>202101</v>
      </c>
      <c r="G2757" s="112" t="s">
        <v>1091</v>
      </c>
      <c r="H2757" s="112" t="s">
        <v>1015</v>
      </c>
      <c r="I2757" s="112" t="s">
        <v>1536</v>
      </c>
      <c r="J2757" s="112" t="s">
        <v>2513</v>
      </c>
      <c r="K2757" s="112" t="s">
        <v>2514</v>
      </c>
      <c r="L2757" s="116">
        <v>9</v>
      </c>
    </row>
    <row r="2758" spans="1:12" hidden="1" outlineLevel="1" collapsed="1" x14ac:dyDescent="0.35">
      <c r="A2758" s="112" t="s">
        <v>2479</v>
      </c>
      <c r="B2758" s="112" t="s">
        <v>908</v>
      </c>
      <c r="C2758" s="112" t="s">
        <v>679</v>
      </c>
      <c r="D2758" s="113">
        <v>10348411</v>
      </c>
      <c r="E2758" s="115">
        <v>43943</v>
      </c>
      <c r="F2758" s="114">
        <v>202101</v>
      </c>
      <c r="G2758" s="112" t="s">
        <v>1091</v>
      </c>
      <c r="H2758" s="112" t="s">
        <v>1016</v>
      </c>
      <c r="I2758" s="112" t="s">
        <v>1788</v>
      </c>
      <c r="J2758" s="112" t="s">
        <v>2498</v>
      </c>
      <c r="K2758" s="112" t="s">
        <v>2669</v>
      </c>
      <c r="L2758" s="116">
        <v>-85</v>
      </c>
    </row>
    <row r="2759" spans="1:12" hidden="1" outlineLevel="1" collapsed="1" x14ac:dyDescent="0.35">
      <c r="A2759" s="112" t="s">
        <v>2479</v>
      </c>
      <c r="B2759" s="112" t="s">
        <v>908</v>
      </c>
      <c r="C2759" s="112" t="s">
        <v>679</v>
      </c>
      <c r="D2759" s="113">
        <v>10348411</v>
      </c>
      <c r="E2759" s="115">
        <v>43943</v>
      </c>
      <c r="F2759" s="114">
        <v>202101</v>
      </c>
      <c r="G2759" s="112" t="s">
        <v>1091</v>
      </c>
      <c r="H2759" s="112" t="s">
        <v>1016</v>
      </c>
      <c r="I2759" s="112" t="s">
        <v>1788</v>
      </c>
      <c r="J2759" s="112" t="s">
        <v>2498</v>
      </c>
      <c r="K2759" s="112" t="s">
        <v>2670</v>
      </c>
      <c r="L2759" s="116">
        <v>-220</v>
      </c>
    </row>
    <row r="2760" spans="1:12" hidden="1" outlineLevel="1" collapsed="1" x14ac:dyDescent="0.35">
      <c r="A2760" s="112" t="s">
        <v>2479</v>
      </c>
      <c r="B2760" s="112" t="s">
        <v>909</v>
      </c>
      <c r="C2760" s="112" t="s">
        <v>1099</v>
      </c>
      <c r="D2760" s="113">
        <v>1069143</v>
      </c>
      <c r="E2760" s="115">
        <v>43881</v>
      </c>
      <c r="F2760" s="114">
        <v>202101</v>
      </c>
      <c r="G2760" s="112" t="s">
        <v>1091</v>
      </c>
      <c r="H2760" s="112" t="s">
        <v>1015</v>
      </c>
      <c r="I2760" s="112" t="s">
        <v>2591</v>
      </c>
      <c r="J2760" s="112" t="s">
        <v>2480</v>
      </c>
      <c r="K2760" s="112" t="s">
        <v>2671</v>
      </c>
      <c r="L2760" s="116">
        <v>42.8</v>
      </c>
    </row>
    <row r="2761" spans="1:12" hidden="1" outlineLevel="1" collapsed="1" x14ac:dyDescent="0.35">
      <c r="A2761" s="112" t="s">
        <v>2479</v>
      </c>
      <c r="B2761" s="112" t="s">
        <v>908</v>
      </c>
      <c r="C2761" s="112" t="s">
        <v>679</v>
      </c>
      <c r="D2761" s="113">
        <v>10348411</v>
      </c>
      <c r="E2761" s="115">
        <v>43943</v>
      </c>
      <c r="F2761" s="114">
        <v>202101</v>
      </c>
      <c r="G2761" s="112" t="s">
        <v>1091</v>
      </c>
      <c r="H2761" s="112" t="s">
        <v>1016</v>
      </c>
      <c r="I2761" s="112" t="s">
        <v>1788</v>
      </c>
      <c r="J2761" s="112" t="s">
        <v>2498</v>
      </c>
      <c r="K2761" s="112" t="s">
        <v>2672</v>
      </c>
      <c r="L2761" s="116">
        <v>-196</v>
      </c>
    </row>
    <row r="2762" spans="1:12" hidden="1" outlineLevel="1" collapsed="1" x14ac:dyDescent="0.35">
      <c r="A2762" s="112" t="s">
        <v>2479</v>
      </c>
      <c r="B2762" s="112" t="s">
        <v>909</v>
      </c>
      <c r="C2762" s="112" t="s">
        <v>1099</v>
      </c>
      <c r="D2762" s="113">
        <v>1069143</v>
      </c>
      <c r="E2762" s="115">
        <v>43881</v>
      </c>
      <c r="F2762" s="114">
        <v>202101</v>
      </c>
      <c r="G2762" s="112" t="s">
        <v>1091</v>
      </c>
      <c r="H2762" s="112" t="s">
        <v>1015</v>
      </c>
      <c r="I2762" s="112" t="s">
        <v>2591</v>
      </c>
      <c r="J2762" s="112" t="s">
        <v>2673</v>
      </c>
      <c r="K2762" s="112" t="s">
        <v>2671</v>
      </c>
      <c r="L2762" s="116">
        <v>85.6</v>
      </c>
    </row>
    <row r="2763" spans="1:12" hidden="1" outlineLevel="1" collapsed="1" x14ac:dyDescent="0.35">
      <c r="A2763" s="112" t="s">
        <v>2479</v>
      </c>
      <c r="B2763" s="112" t="s">
        <v>908</v>
      </c>
      <c r="C2763" s="112" t="s">
        <v>679</v>
      </c>
      <c r="D2763" s="113">
        <v>10348411</v>
      </c>
      <c r="E2763" s="115">
        <v>43943</v>
      </c>
      <c r="F2763" s="114">
        <v>202101</v>
      </c>
      <c r="G2763" s="112" t="s">
        <v>1091</v>
      </c>
      <c r="H2763" s="112" t="s">
        <v>1016</v>
      </c>
      <c r="I2763" s="112" t="s">
        <v>1788</v>
      </c>
      <c r="J2763" s="112" t="s">
        <v>2498</v>
      </c>
      <c r="K2763" s="112" t="s">
        <v>2674</v>
      </c>
      <c r="L2763" s="116">
        <v>-60</v>
      </c>
    </row>
    <row r="2764" spans="1:12" hidden="1" outlineLevel="1" collapsed="1" x14ac:dyDescent="0.35">
      <c r="A2764" s="112" t="s">
        <v>2479</v>
      </c>
      <c r="B2764" s="112" t="s">
        <v>909</v>
      </c>
      <c r="C2764" s="112" t="s">
        <v>679</v>
      </c>
      <c r="D2764" s="113">
        <v>10348411</v>
      </c>
      <c r="E2764" s="115">
        <v>43943</v>
      </c>
      <c r="F2764" s="114">
        <v>202101</v>
      </c>
      <c r="G2764" s="112" t="s">
        <v>1091</v>
      </c>
      <c r="H2764" s="112" t="s">
        <v>1016</v>
      </c>
      <c r="I2764" s="112" t="s">
        <v>2536</v>
      </c>
      <c r="J2764" s="112" t="s">
        <v>2523</v>
      </c>
      <c r="K2764" s="112" t="s">
        <v>2675</v>
      </c>
      <c r="L2764" s="116">
        <v>-177</v>
      </c>
    </row>
    <row r="2765" spans="1:12" hidden="1" outlineLevel="1" collapsed="1" x14ac:dyDescent="0.35">
      <c r="A2765" s="112" t="s">
        <v>2479</v>
      </c>
      <c r="B2765" s="112" t="s">
        <v>908</v>
      </c>
      <c r="C2765" s="112" t="s">
        <v>679</v>
      </c>
      <c r="D2765" s="113">
        <v>10348340</v>
      </c>
      <c r="E2765" s="115">
        <v>43941</v>
      </c>
      <c r="F2765" s="114">
        <v>202101</v>
      </c>
      <c r="G2765" s="112" t="s">
        <v>1091</v>
      </c>
      <c r="H2765" s="112" t="s">
        <v>1015</v>
      </c>
      <c r="I2765" s="112" t="s">
        <v>1536</v>
      </c>
      <c r="J2765" s="112" t="s">
        <v>2513</v>
      </c>
      <c r="K2765" s="112" t="s">
        <v>2676</v>
      </c>
      <c r="L2765" s="116">
        <v>75</v>
      </c>
    </row>
    <row r="2766" spans="1:12" hidden="1" outlineLevel="1" collapsed="1" x14ac:dyDescent="0.35">
      <c r="A2766" s="112" t="s">
        <v>2479</v>
      </c>
      <c r="B2766" s="112" t="s">
        <v>909</v>
      </c>
      <c r="C2766" s="112" t="s">
        <v>679</v>
      </c>
      <c r="D2766" s="113">
        <v>10348411</v>
      </c>
      <c r="E2766" s="115">
        <v>43943</v>
      </c>
      <c r="F2766" s="114">
        <v>202101</v>
      </c>
      <c r="G2766" s="112" t="s">
        <v>1091</v>
      </c>
      <c r="H2766" s="112" t="s">
        <v>1016</v>
      </c>
      <c r="I2766" s="112" t="s">
        <v>2595</v>
      </c>
      <c r="J2766" s="112" t="s">
        <v>2523</v>
      </c>
      <c r="K2766" s="112" t="s">
        <v>2677</v>
      </c>
      <c r="L2766" s="116">
        <v>-108</v>
      </c>
    </row>
    <row r="2767" spans="1:12" hidden="1" outlineLevel="1" collapsed="1" x14ac:dyDescent="0.35">
      <c r="A2767" s="112" t="s">
        <v>2479</v>
      </c>
      <c r="B2767" s="112" t="s">
        <v>908</v>
      </c>
      <c r="C2767" s="112" t="s">
        <v>679</v>
      </c>
      <c r="D2767" s="113">
        <v>10348411</v>
      </c>
      <c r="E2767" s="115">
        <v>43943</v>
      </c>
      <c r="F2767" s="114">
        <v>202101</v>
      </c>
      <c r="G2767" s="112" t="s">
        <v>1091</v>
      </c>
      <c r="H2767" s="112" t="s">
        <v>1016</v>
      </c>
      <c r="I2767" s="112" t="s">
        <v>1788</v>
      </c>
      <c r="J2767" s="112" t="s">
        <v>2498</v>
      </c>
      <c r="K2767" s="112" t="s">
        <v>2678</v>
      </c>
      <c r="L2767" s="116">
        <v>-205</v>
      </c>
    </row>
    <row r="2768" spans="1:12" hidden="1" outlineLevel="1" collapsed="1" x14ac:dyDescent="0.35">
      <c r="A2768" s="112" t="s">
        <v>2479</v>
      </c>
      <c r="B2768" s="112" t="s">
        <v>909</v>
      </c>
      <c r="C2768" s="112" t="s">
        <v>679</v>
      </c>
      <c r="D2768" s="113">
        <v>10348411</v>
      </c>
      <c r="E2768" s="115">
        <v>43943</v>
      </c>
      <c r="F2768" s="114">
        <v>202101</v>
      </c>
      <c r="G2768" s="112" t="s">
        <v>1091</v>
      </c>
      <c r="H2768" s="112" t="s">
        <v>1016</v>
      </c>
      <c r="I2768" s="112" t="s">
        <v>2536</v>
      </c>
      <c r="J2768" s="112" t="s">
        <v>2523</v>
      </c>
      <c r="K2768" s="112" t="s">
        <v>2679</v>
      </c>
      <c r="L2768" s="116">
        <v>-100</v>
      </c>
    </row>
    <row r="2769" spans="1:12" hidden="1" outlineLevel="1" collapsed="1" x14ac:dyDescent="0.35">
      <c r="A2769" s="112" t="s">
        <v>2479</v>
      </c>
      <c r="B2769" s="112" t="s">
        <v>908</v>
      </c>
      <c r="C2769" s="112" t="s">
        <v>679</v>
      </c>
      <c r="D2769" s="113">
        <v>10348515</v>
      </c>
      <c r="E2769" s="115">
        <v>43949</v>
      </c>
      <c r="F2769" s="114">
        <v>202101</v>
      </c>
      <c r="G2769" s="112" t="s">
        <v>1091</v>
      </c>
      <c r="H2769" s="112" t="s">
        <v>1016</v>
      </c>
      <c r="I2769" s="112" t="s">
        <v>1788</v>
      </c>
      <c r="J2769" s="112" t="s">
        <v>2498</v>
      </c>
      <c r="K2769" s="112" t="s">
        <v>2680</v>
      </c>
      <c r="L2769" s="116">
        <v>-85</v>
      </c>
    </row>
    <row r="2770" spans="1:12" hidden="1" outlineLevel="1" collapsed="1" x14ac:dyDescent="0.35">
      <c r="A2770" s="112" t="s">
        <v>2479</v>
      </c>
      <c r="B2770" s="112" t="s">
        <v>908</v>
      </c>
      <c r="C2770" s="112" t="s">
        <v>679</v>
      </c>
      <c r="D2770" s="113">
        <v>10348515</v>
      </c>
      <c r="E2770" s="115">
        <v>43949</v>
      </c>
      <c r="F2770" s="114">
        <v>202101</v>
      </c>
      <c r="G2770" s="112" t="s">
        <v>1091</v>
      </c>
      <c r="H2770" s="112" t="s">
        <v>1016</v>
      </c>
      <c r="I2770" s="112" t="s">
        <v>1788</v>
      </c>
      <c r="J2770" s="112" t="s">
        <v>2498</v>
      </c>
      <c r="K2770" s="112" t="s">
        <v>2681</v>
      </c>
      <c r="L2770" s="116">
        <v>-196</v>
      </c>
    </row>
    <row r="2771" spans="1:12" hidden="1" outlineLevel="1" collapsed="1" x14ac:dyDescent="0.35">
      <c r="A2771" s="112" t="s">
        <v>2479</v>
      </c>
      <c r="B2771" s="112" t="s">
        <v>908</v>
      </c>
      <c r="C2771" s="112" t="s">
        <v>679</v>
      </c>
      <c r="D2771" s="113">
        <v>10348515</v>
      </c>
      <c r="E2771" s="115">
        <v>43949</v>
      </c>
      <c r="F2771" s="114">
        <v>202101</v>
      </c>
      <c r="G2771" s="112" t="s">
        <v>1091</v>
      </c>
      <c r="H2771" s="112" t="s">
        <v>1016</v>
      </c>
      <c r="I2771" s="112" t="s">
        <v>1788</v>
      </c>
      <c r="J2771" s="112" t="s">
        <v>2498</v>
      </c>
      <c r="K2771" s="112" t="s">
        <v>2682</v>
      </c>
      <c r="L2771" s="116">
        <v>-85</v>
      </c>
    </row>
    <row r="2772" spans="1:12" hidden="1" outlineLevel="1" collapsed="1" x14ac:dyDescent="0.35">
      <c r="A2772" s="112" t="s">
        <v>2479</v>
      </c>
      <c r="B2772" s="112" t="s">
        <v>908</v>
      </c>
      <c r="C2772" s="112" t="s">
        <v>679</v>
      </c>
      <c r="D2772" s="113">
        <v>10348515</v>
      </c>
      <c r="E2772" s="115">
        <v>43949</v>
      </c>
      <c r="F2772" s="114">
        <v>202101</v>
      </c>
      <c r="G2772" s="112" t="s">
        <v>1091</v>
      </c>
      <c r="H2772" s="112" t="s">
        <v>1016</v>
      </c>
      <c r="I2772" s="112" t="s">
        <v>1788</v>
      </c>
      <c r="J2772" s="112" t="s">
        <v>2498</v>
      </c>
      <c r="K2772" s="112" t="s">
        <v>2683</v>
      </c>
      <c r="L2772" s="116">
        <v>-85</v>
      </c>
    </row>
    <row r="2773" spans="1:12" hidden="1" outlineLevel="1" collapsed="1" x14ac:dyDescent="0.35">
      <c r="A2773" s="112" t="s">
        <v>2479</v>
      </c>
      <c r="B2773" s="112" t="s">
        <v>909</v>
      </c>
      <c r="C2773" s="112" t="s">
        <v>679</v>
      </c>
      <c r="D2773" s="113">
        <v>10348515</v>
      </c>
      <c r="E2773" s="115">
        <v>43949</v>
      </c>
      <c r="F2773" s="114">
        <v>202101</v>
      </c>
      <c r="G2773" s="112" t="s">
        <v>1091</v>
      </c>
      <c r="H2773" s="112" t="s">
        <v>1016</v>
      </c>
      <c r="I2773" s="112" t="s">
        <v>2595</v>
      </c>
      <c r="J2773" s="112" t="s">
        <v>2523</v>
      </c>
      <c r="K2773" s="112" t="s">
        <v>2684</v>
      </c>
      <c r="L2773" s="116">
        <v>-108</v>
      </c>
    </row>
    <row r="2774" spans="1:12" hidden="1" outlineLevel="1" collapsed="1" x14ac:dyDescent="0.35">
      <c r="A2774" s="112" t="s">
        <v>2479</v>
      </c>
      <c r="B2774" s="112" t="s">
        <v>908</v>
      </c>
      <c r="C2774" s="112" t="s">
        <v>679</v>
      </c>
      <c r="D2774" s="113">
        <v>10348515</v>
      </c>
      <c r="E2774" s="115">
        <v>43949</v>
      </c>
      <c r="F2774" s="114">
        <v>202101</v>
      </c>
      <c r="G2774" s="112" t="s">
        <v>1091</v>
      </c>
      <c r="H2774" s="112" t="s">
        <v>1016</v>
      </c>
      <c r="I2774" s="112" t="s">
        <v>1788</v>
      </c>
      <c r="J2774" s="112" t="s">
        <v>2498</v>
      </c>
      <c r="K2774" s="112" t="s">
        <v>2685</v>
      </c>
      <c r="L2774" s="116">
        <v>-260</v>
      </c>
    </row>
    <row r="2775" spans="1:12" hidden="1" outlineLevel="1" collapsed="1" x14ac:dyDescent="0.35">
      <c r="A2775" s="112" t="s">
        <v>2479</v>
      </c>
      <c r="B2775" s="112" t="s">
        <v>908</v>
      </c>
      <c r="C2775" s="112" t="s">
        <v>679</v>
      </c>
      <c r="D2775" s="113">
        <v>10348515</v>
      </c>
      <c r="E2775" s="115">
        <v>43949</v>
      </c>
      <c r="F2775" s="114">
        <v>202101</v>
      </c>
      <c r="G2775" s="112" t="s">
        <v>1091</v>
      </c>
      <c r="H2775" s="112" t="s">
        <v>1016</v>
      </c>
      <c r="I2775" s="112" t="s">
        <v>1788</v>
      </c>
      <c r="J2775" s="112" t="s">
        <v>2498</v>
      </c>
      <c r="K2775" s="112" t="s">
        <v>2686</v>
      </c>
      <c r="L2775" s="116">
        <v>-85</v>
      </c>
    </row>
    <row r="2776" spans="1:12" hidden="1" outlineLevel="1" collapsed="1" x14ac:dyDescent="0.35">
      <c r="A2776" s="112" t="s">
        <v>2479</v>
      </c>
      <c r="B2776" s="112" t="s">
        <v>908</v>
      </c>
      <c r="C2776" s="112" t="s">
        <v>1266</v>
      </c>
      <c r="D2776" s="113">
        <v>1069762</v>
      </c>
      <c r="E2776" s="115">
        <v>43950</v>
      </c>
      <c r="F2776" s="114">
        <v>202101</v>
      </c>
      <c r="G2776" s="112" t="s">
        <v>1091</v>
      </c>
      <c r="H2776" s="112" t="s">
        <v>1015</v>
      </c>
      <c r="I2776" s="112" t="s">
        <v>761</v>
      </c>
      <c r="J2776" s="112" t="s">
        <v>2520</v>
      </c>
      <c r="K2776" s="112" t="s">
        <v>2687</v>
      </c>
      <c r="L2776" s="116">
        <v>43.2</v>
      </c>
    </row>
    <row r="2777" spans="1:12" hidden="1" outlineLevel="1" collapsed="1" x14ac:dyDescent="0.35">
      <c r="A2777" s="112" t="s">
        <v>2479</v>
      </c>
      <c r="B2777" s="112" t="s">
        <v>909</v>
      </c>
      <c r="C2777" s="112" t="s">
        <v>679</v>
      </c>
      <c r="D2777" s="113">
        <v>10348515</v>
      </c>
      <c r="E2777" s="115">
        <v>43949</v>
      </c>
      <c r="F2777" s="114">
        <v>202101</v>
      </c>
      <c r="G2777" s="112" t="s">
        <v>1091</v>
      </c>
      <c r="H2777" s="112" t="s">
        <v>1016</v>
      </c>
      <c r="I2777" s="112" t="s">
        <v>2522</v>
      </c>
      <c r="J2777" s="112" t="s">
        <v>2523</v>
      </c>
      <c r="K2777" s="112" t="s">
        <v>2688</v>
      </c>
      <c r="L2777" s="116">
        <v>-14</v>
      </c>
    </row>
    <row r="2778" spans="1:12" hidden="1" outlineLevel="1" collapsed="1" x14ac:dyDescent="0.35">
      <c r="A2778" s="112" t="s">
        <v>2479</v>
      </c>
      <c r="B2778" s="112" t="s">
        <v>908</v>
      </c>
      <c r="C2778" s="112" t="s">
        <v>679</v>
      </c>
      <c r="D2778" s="113">
        <v>10348515</v>
      </c>
      <c r="E2778" s="115">
        <v>43949</v>
      </c>
      <c r="F2778" s="114">
        <v>202101</v>
      </c>
      <c r="G2778" s="112" t="s">
        <v>1091</v>
      </c>
      <c r="H2778" s="112" t="s">
        <v>1016</v>
      </c>
      <c r="I2778" s="112" t="s">
        <v>1788</v>
      </c>
      <c r="J2778" s="112" t="s">
        <v>2498</v>
      </c>
      <c r="K2778" s="112" t="s">
        <v>2689</v>
      </c>
      <c r="L2778" s="116">
        <v>-840</v>
      </c>
    </row>
    <row r="2779" spans="1:12" hidden="1" outlineLevel="1" collapsed="1" x14ac:dyDescent="0.35">
      <c r="A2779" s="112" t="s">
        <v>2479</v>
      </c>
      <c r="B2779" s="112" t="s">
        <v>908</v>
      </c>
      <c r="C2779" s="112" t="s">
        <v>679</v>
      </c>
      <c r="D2779" s="113">
        <v>10348515</v>
      </c>
      <c r="E2779" s="115">
        <v>43949</v>
      </c>
      <c r="F2779" s="114">
        <v>202101</v>
      </c>
      <c r="G2779" s="112" t="s">
        <v>1091</v>
      </c>
      <c r="H2779" s="112" t="s">
        <v>1016</v>
      </c>
      <c r="I2779" s="112" t="s">
        <v>1788</v>
      </c>
      <c r="J2779" s="112" t="s">
        <v>2498</v>
      </c>
      <c r="K2779" s="112" t="s">
        <v>2690</v>
      </c>
      <c r="L2779" s="116">
        <v>-85</v>
      </c>
    </row>
    <row r="2780" spans="1:12" hidden="1" outlineLevel="1" collapsed="1" x14ac:dyDescent="0.35">
      <c r="A2780" s="112" t="s">
        <v>2479</v>
      </c>
      <c r="B2780" s="112" t="s">
        <v>908</v>
      </c>
      <c r="C2780" s="112" t="s">
        <v>679</v>
      </c>
      <c r="D2780" s="113">
        <v>10348515</v>
      </c>
      <c r="E2780" s="115">
        <v>43949</v>
      </c>
      <c r="F2780" s="114">
        <v>202101</v>
      </c>
      <c r="G2780" s="112" t="s">
        <v>1091</v>
      </c>
      <c r="H2780" s="112" t="s">
        <v>1016</v>
      </c>
      <c r="I2780" s="112" t="s">
        <v>1788</v>
      </c>
      <c r="J2780" s="112" t="s">
        <v>2498</v>
      </c>
      <c r="K2780" s="112" t="s">
        <v>2691</v>
      </c>
      <c r="L2780" s="116">
        <v>-85</v>
      </c>
    </row>
    <row r="2781" spans="1:12" hidden="1" outlineLevel="1" collapsed="1" x14ac:dyDescent="0.35">
      <c r="A2781" s="112" t="s">
        <v>2479</v>
      </c>
      <c r="B2781" s="112" t="s">
        <v>908</v>
      </c>
      <c r="C2781" s="112" t="s">
        <v>679</v>
      </c>
      <c r="D2781" s="113">
        <v>10348115</v>
      </c>
      <c r="E2781" s="115">
        <v>43929</v>
      </c>
      <c r="F2781" s="114">
        <v>202101</v>
      </c>
      <c r="G2781" s="112" t="s">
        <v>1091</v>
      </c>
      <c r="H2781" s="112" t="s">
        <v>1016</v>
      </c>
      <c r="I2781" s="112" t="s">
        <v>1788</v>
      </c>
      <c r="J2781" s="112" t="s">
        <v>2498</v>
      </c>
      <c r="K2781" s="112" t="s">
        <v>2692</v>
      </c>
      <c r="L2781" s="116">
        <v>-190</v>
      </c>
    </row>
    <row r="2782" spans="1:12" hidden="1" outlineLevel="1" collapsed="1" x14ac:dyDescent="0.35">
      <c r="A2782" s="112" t="s">
        <v>2479</v>
      </c>
      <c r="B2782" s="112" t="s">
        <v>909</v>
      </c>
      <c r="C2782" s="112" t="s">
        <v>1099</v>
      </c>
      <c r="D2782" s="113">
        <v>1069555</v>
      </c>
      <c r="E2782" s="115">
        <v>43922</v>
      </c>
      <c r="F2782" s="114">
        <v>202101</v>
      </c>
      <c r="G2782" s="112" t="s">
        <v>1091</v>
      </c>
      <c r="H2782" s="112" t="s">
        <v>1015</v>
      </c>
      <c r="I2782" s="112" t="s">
        <v>2693</v>
      </c>
      <c r="J2782" s="112" t="s">
        <v>2480</v>
      </c>
      <c r="K2782" s="112" t="s">
        <v>2694</v>
      </c>
      <c r="L2782" s="116">
        <v>250.5</v>
      </c>
    </row>
    <row r="2783" spans="1:12" hidden="1" outlineLevel="1" collapsed="1" x14ac:dyDescent="0.35">
      <c r="A2783" s="112" t="s">
        <v>2479</v>
      </c>
      <c r="B2783" s="112" t="s">
        <v>908</v>
      </c>
      <c r="C2783" s="112" t="s">
        <v>679</v>
      </c>
      <c r="D2783" s="113">
        <v>10348515</v>
      </c>
      <c r="E2783" s="115">
        <v>43949</v>
      </c>
      <c r="F2783" s="114">
        <v>202101</v>
      </c>
      <c r="G2783" s="112" t="s">
        <v>1091</v>
      </c>
      <c r="H2783" s="112" t="s">
        <v>1016</v>
      </c>
      <c r="I2783" s="112" t="s">
        <v>1788</v>
      </c>
      <c r="J2783" s="112" t="s">
        <v>2498</v>
      </c>
      <c r="K2783" s="112" t="s">
        <v>2695</v>
      </c>
      <c r="L2783" s="116">
        <v>-60</v>
      </c>
    </row>
    <row r="2784" spans="1:12" hidden="1" outlineLevel="1" collapsed="1" x14ac:dyDescent="0.35">
      <c r="A2784" s="112" t="s">
        <v>2479</v>
      </c>
      <c r="B2784" s="112" t="s">
        <v>908</v>
      </c>
      <c r="C2784" s="112" t="s">
        <v>679</v>
      </c>
      <c r="D2784" s="113">
        <v>10348515</v>
      </c>
      <c r="E2784" s="115">
        <v>43949</v>
      </c>
      <c r="F2784" s="114">
        <v>202101</v>
      </c>
      <c r="G2784" s="112" t="s">
        <v>1091</v>
      </c>
      <c r="H2784" s="112" t="s">
        <v>1016</v>
      </c>
      <c r="I2784" s="112" t="s">
        <v>1788</v>
      </c>
      <c r="J2784" s="112" t="s">
        <v>2498</v>
      </c>
      <c r="K2784" s="112" t="s">
        <v>2696</v>
      </c>
      <c r="L2784" s="116">
        <v>-60</v>
      </c>
    </row>
    <row r="2785" spans="1:12" hidden="1" outlineLevel="1" collapsed="1" x14ac:dyDescent="0.35">
      <c r="A2785" s="112" t="s">
        <v>2479</v>
      </c>
      <c r="B2785" s="112" t="s">
        <v>909</v>
      </c>
      <c r="C2785" s="112" t="s">
        <v>1099</v>
      </c>
      <c r="D2785" s="113">
        <v>1069554</v>
      </c>
      <c r="E2785" s="115">
        <v>43836</v>
      </c>
      <c r="F2785" s="114">
        <v>202101</v>
      </c>
      <c r="G2785" s="112" t="s">
        <v>1091</v>
      </c>
      <c r="H2785" s="112" t="s">
        <v>1015</v>
      </c>
      <c r="I2785" s="112" t="s">
        <v>2693</v>
      </c>
      <c r="J2785" s="112" t="s">
        <v>2480</v>
      </c>
      <c r="K2785" s="112" t="s">
        <v>2694</v>
      </c>
      <c r="L2785" s="116">
        <v>250.5</v>
      </c>
    </row>
    <row r="2786" spans="1:12" hidden="1" outlineLevel="1" collapsed="1" x14ac:dyDescent="0.35">
      <c r="A2786" s="112" t="s">
        <v>2479</v>
      </c>
      <c r="B2786" s="112" t="s">
        <v>908</v>
      </c>
      <c r="C2786" s="112" t="s">
        <v>679</v>
      </c>
      <c r="D2786" s="113">
        <v>10348515</v>
      </c>
      <c r="E2786" s="115">
        <v>43949</v>
      </c>
      <c r="F2786" s="114">
        <v>202101</v>
      </c>
      <c r="G2786" s="112" t="s">
        <v>1091</v>
      </c>
      <c r="H2786" s="112" t="s">
        <v>1016</v>
      </c>
      <c r="I2786" s="112" t="s">
        <v>1788</v>
      </c>
      <c r="J2786" s="112" t="s">
        <v>2498</v>
      </c>
      <c r="K2786" s="112" t="s">
        <v>2697</v>
      </c>
      <c r="L2786" s="116">
        <v>-60</v>
      </c>
    </row>
    <row r="2787" spans="1:12" hidden="1" outlineLevel="1" collapsed="1" x14ac:dyDescent="0.35">
      <c r="A2787" s="112" t="s">
        <v>2479</v>
      </c>
      <c r="B2787" s="112" t="s">
        <v>908</v>
      </c>
      <c r="C2787" s="112" t="s">
        <v>679</v>
      </c>
      <c r="D2787" s="113">
        <v>10348515</v>
      </c>
      <c r="E2787" s="115">
        <v>43949</v>
      </c>
      <c r="F2787" s="114">
        <v>202101</v>
      </c>
      <c r="G2787" s="112" t="s">
        <v>1091</v>
      </c>
      <c r="H2787" s="112" t="s">
        <v>1016</v>
      </c>
      <c r="I2787" s="112" t="s">
        <v>1788</v>
      </c>
      <c r="J2787" s="112" t="s">
        <v>2498</v>
      </c>
      <c r="K2787" s="112" t="s">
        <v>2698</v>
      </c>
      <c r="L2787" s="116">
        <v>-60</v>
      </c>
    </row>
    <row r="2788" spans="1:12" hidden="1" outlineLevel="1" collapsed="1" x14ac:dyDescent="0.35">
      <c r="A2788" s="112" t="s">
        <v>2479</v>
      </c>
      <c r="B2788" s="112" t="s">
        <v>909</v>
      </c>
      <c r="C2788" s="112" t="s">
        <v>679</v>
      </c>
      <c r="D2788" s="113">
        <v>10348375</v>
      </c>
      <c r="E2788" s="115">
        <v>43942</v>
      </c>
      <c r="F2788" s="114">
        <v>202101</v>
      </c>
      <c r="G2788" s="112" t="s">
        <v>1091</v>
      </c>
      <c r="H2788" s="112" t="s">
        <v>1015</v>
      </c>
      <c r="I2788" s="112" t="s">
        <v>738</v>
      </c>
      <c r="J2788" s="112" t="s">
        <v>2652</v>
      </c>
      <c r="K2788" s="112" t="s">
        <v>706</v>
      </c>
      <c r="L2788" s="116">
        <v>89.78</v>
      </c>
    </row>
    <row r="2789" spans="1:12" hidden="1" outlineLevel="1" collapsed="1" x14ac:dyDescent="0.35">
      <c r="A2789" s="112" t="s">
        <v>2479</v>
      </c>
      <c r="B2789" s="112" t="s">
        <v>908</v>
      </c>
      <c r="C2789" s="112" t="s">
        <v>679</v>
      </c>
      <c r="D2789" s="113">
        <v>10348515</v>
      </c>
      <c r="E2789" s="115">
        <v>43949</v>
      </c>
      <c r="F2789" s="114">
        <v>202101</v>
      </c>
      <c r="G2789" s="112" t="s">
        <v>1091</v>
      </c>
      <c r="H2789" s="112" t="s">
        <v>1016</v>
      </c>
      <c r="I2789" s="112" t="s">
        <v>1788</v>
      </c>
      <c r="J2789" s="112" t="s">
        <v>2498</v>
      </c>
      <c r="K2789" s="112" t="s">
        <v>2699</v>
      </c>
      <c r="L2789" s="116">
        <v>-81</v>
      </c>
    </row>
    <row r="2790" spans="1:12" hidden="1" outlineLevel="1" collapsed="1" x14ac:dyDescent="0.35">
      <c r="A2790" s="112" t="s">
        <v>2479</v>
      </c>
      <c r="B2790" s="112" t="s">
        <v>909</v>
      </c>
      <c r="C2790" s="112" t="s">
        <v>679</v>
      </c>
      <c r="D2790" s="113">
        <v>10348515</v>
      </c>
      <c r="E2790" s="115">
        <v>43949</v>
      </c>
      <c r="F2790" s="114">
        <v>202101</v>
      </c>
      <c r="G2790" s="112" t="s">
        <v>1091</v>
      </c>
      <c r="H2790" s="112" t="s">
        <v>1016</v>
      </c>
      <c r="I2790" s="112" t="s">
        <v>2536</v>
      </c>
      <c r="J2790" s="112" t="s">
        <v>2523</v>
      </c>
      <c r="K2790" s="112" t="s">
        <v>2700</v>
      </c>
      <c r="L2790" s="116">
        <v>-277</v>
      </c>
    </row>
    <row r="2791" spans="1:12" hidden="1" outlineLevel="1" collapsed="1" x14ac:dyDescent="0.35">
      <c r="A2791" s="112" t="s">
        <v>2479</v>
      </c>
      <c r="B2791" s="112" t="s">
        <v>908</v>
      </c>
      <c r="C2791" s="112" t="s">
        <v>679</v>
      </c>
      <c r="D2791" s="113">
        <v>10348515</v>
      </c>
      <c r="E2791" s="115">
        <v>43949</v>
      </c>
      <c r="F2791" s="114">
        <v>202101</v>
      </c>
      <c r="G2791" s="112" t="s">
        <v>1091</v>
      </c>
      <c r="H2791" s="112" t="s">
        <v>1016</v>
      </c>
      <c r="I2791" s="112" t="s">
        <v>819</v>
      </c>
      <c r="J2791" s="112" t="s">
        <v>2501</v>
      </c>
      <c r="K2791" s="112" t="s">
        <v>2701</v>
      </c>
      <c r="L2791" s="116">
        <v>-500</v>
      </c>
    </row>
    <row r="2792" spans="1:12" hidden="1" outlineLevel="1" collapsed="1" x14ac:dyDescent="0.35">
      <c r="A2792" s="112" t="s">
        <v>2479</v>
      </c>
      <c r="B2792" s="112" t="s">
        <v>908</v>
      </c>
      <c r="C2792" s="112" t="s">
        <v>679</v>
      </c>
      <c r="D2792" s="113">
        <v>10348515</v>
      </c>
      <c r="E2792" s="115">
        <v>43949</v>
      </c>
      <c r="F2792" s="114">
        <v>202101</v>
      </c>
      <c r="G2792" s="112" t="s">
        <v>1091</v>
      </c>
      <c r="H2792" s="112" t="s">
        <v>1016</v>
      </c>
      <c r="I2792" s="112" t="s">
        <v>1788</v>
      </c>
      <c r="J2792" s="112" t="s">
        <v>2498</v>
      </c>
      <c r="K2792" s="112" t="s">
        <v>2702</v>
      </c>
      <c r="L2792" s="116">
        <v>-60</v>
      </c>
    </row>
    <row r="2793" spans="1:12" hidden="1" outlineLevel="1" collapsed="1" x14ac:dyDescent="0.35">
      <c r="A2793" s="112" t="s">
        <v>2479</v>
      </c>
      <c r="B2793" s="112" t="s">
        <v>908</v>
      </c>
      <c r="C2793" s="112" t="s">
        <v>679</v>
      </c>
      <c r="D2793" s="113">
        <v>10348515</v>
      </c>
      <c r="E2793" s="115">
        <v>43949</v>
      </c>
      <c r="F2793" s="114">
        <v>202101</v>
      </c>
      <c r="G2793" s="112" t="s">
        <v>1091</v>
      </c>
      <c r="H2793" s="112" t="s">
        <v>1016</v>
      </c>
      <c r="I2793" s="112" t="s">
        <v>1788</v>
      </c>
      <c r="J2793" s="112" t="s">
        <v>2498</v>
      </c>
      <c r="K2793" s="112" t="s">
        <v>2703</v>
      </c>
      <c r="L2793" s="116">
        <v>-190</v>
      </c>
    </row>
    <row r="2794" spans="1:12" hidden="1" outlineLevel="1" collapsed="1" x14ac:dyDescent="0.35">
      <c r="A2794" s="112" t="s">
        <v>2479</v>
      </c>
      <c r="B2794" s="112" t="s">
        <v>908</v>
      </c>
      <c r="C2794" s="112" t="s">
        <v>679</v>
      </c>
      <c r="D2794" s="113">
        <v>10348515</v>
      </c>
      <c r="E2794" s="115">
        <v>43949</v>
      </c>
      <c r="F2794" s="114">
        <v>202101</v>
      </c>
      <c r="G2794" s="112" t="s">
        <v>1091</v>
      </c>
      <c r="H2794" s="112" t="s">
        <v>1016</v>
      </c>
      <c r="I2794" s="112" t="s">
        <v>1788</v>
      </c>
      <c r="J2794" s="112" t="s">
        <v>2498</v>
      </c>
      <c r="K2794" s="112" t="s">
        <v>2704</v>
      </c>
      <c r="L2794" s="116">
        <v>-314</v>
      </c>
    </row>
    <row r="2795" spans="1:12" hidden="1" outlineLevel="1" collapsed="1" x14ac:dyDescent="0.35">
      <c r="A2795" s="112" t="s">
        <v>2479</v>
      </c>
      <c r="B2795" s="112" t="s">
        <v>908</v>
      </c>
      <c r="C2795" s="112" t="s">
        <v>679</v>
      </c>
      <c r="D2795" s="113">
        <v>10348515</v>
      </c>
      <c r="E2795" s="115">
        <v>43949</v>
      </c>
      <c r="F2795" s="114">
        <v>202101</v>
      </c>
      <c r="G2795" s="112" t="s">
        <v>1091</v>
      </c>
      <c r="H2795" s="112" t="s">
        <v>1016</v>
      </c>
      <c r="I2795" s="112" t="s">
        <v>1788</v>
      </c>
      <c r="J2795" s="112" t="s">
        <v>2498</v>
      </c>
      <c r="K2795" s="112" t="s">
        <v>2603</v>
      </c>
      <c r="L2795" s="116">
        <v>-6</v>
      </c>
    </row>
    <row r="2796" spans="1:12" hidden="1" outlineLevel="1" collapsed="1" x14ac:dyDescent="0.35">
      <c r="A2796" s="112" t="s">
        <v>2479</v>
      </c>
      <c r="B2796" s="112" t="s">
        <v>909</v>
      </c>
      <c r="C2796" s="112" t="s">
        <v>203</v>
      </c>
      <c r="D2796" s="113">
        <v>10348517</v>
      </c>
      <c r="E2796" s="115">
        <v>43950</v>
      </c>
      <c r="F2796" s="114">
        <v>202101</v>
      </c>
      <c r="G2796" s="112" t="s">
        <v>1091</v>
      </c>
      <c r="H2796" s="112" t="s">
        <v>1016</v>
      </c>
      <c r="I2796" s="112" t="s">
        <v>2522</v>
      </c>
      <c r="J2796" s="112" t="s">
        <v>2523</v>
      </c>
      <c r="K2796" s="112" t="s">
        <v>2705</v>
      </c>
      <c r="L2796" s="116">
        <v>50</v>
      </c>
    </row>
    <row r="2797" spans="1:12" hidden="1" outlineLevel="1" collapsed="1" x14ac:dyDescent="0.35">
      <c r="A2797" s="112" t="s">
        <v>2479</v>
      </c>
      <c r="B2797" s="112" t="s">
        <v>908</v>
      </c>
      <c r="C2797" s="112" t="s">
        <v>679</v>
      </c>
      <c r="D2797" s="113">
        <v>10348180</v>
      </c>
      <c r="E2797" s="115">
        <v>43931</v>
      </c>
      <c r="F2797" s="114">
        <v>202101</v>
      </c>
      <c r="G2797" s="112" t="s">
        <v>1091</v>
      </c>
      <c r="H2797" s="112" t="s">
        <v>1016</v>
      </c>
      <c r="I2797" s="112" t="s">
        <v>1788</v>
      </c>
      <c r="J2797" s="112" t="s">
        <v>2498</v>
      </c>
      <c r="K2797" s="112" t="s">
        <v>2706</v>
      </c>
      <c r="L2797" s="116">
        <v>-190</v>
      </c>
    </row>
    <row r="2798" spans="1:12" hidden="1" outlineLevel="1" collapsed="1" x14ac:dyDescent="0.35">
      <c r="A2798" s="112" t="s">
        <v>2479</v>
      </c>
      <c r="B2798" s="112" t="s">
        <v>908</v>
      </c>
      <c r="C2798" s="112" t="s">
        <v>679</v>
      </c>
      <c r="D2798" s="113">
        <v>10348180</v>
      </c>
      <c r="E2798" s="115">
        <v>43931</v>
      </c>
      <c r="F2798" s="114">
        <v>202101</v>
      </c>
      <c r="G2798" s="112" t="s">
        <v>1091</v>
      </c>
      <c r="H2798" s="112" t="s">
        <v>1016</v>
      </c>
      <c r="I2798" s="112" t="s">
        <v>1788</v>
      </c>
      <c r="J2798" s="112" t="s">
        <v>2498</v>
      </c>
      <c r="K2798" s="112" t="s">
        <v>2707</v>
      </c>
      <c r="L2798" s="116">
        <v>-85</v>
      </c>
    </row>
    <row r="2799" spans="1:12" hidden="1" outlineLevel="1" collapsed="1" x14ac:dyDescent="0.35">
      <c r="A2799" s="112" t="s">
        <v>2479</v>
      </c>
      <c r="B2799" s="112" t="s">
        <v>908</v>
      </c>
      <c r="C2799" s="112" t="s">
        <v>1758</v>
      </c>
      <c r="D2799" s="113">
        <v>51366075</v>
      </c>
      <c r="E2799" s="115">
        <v>43930</v>
      </c>
      <c r="F2799" s="114">
        <v>202101</v>
      </c>
      <c r="G2799" s="112" t="s">
        <v>1091</v>
      </c>
      <c r="H2799" s="112" t="s">
        <v>1016</v>
      </c>
      <c r="I2799" s="112" t="s">
        <v>1293</v>
      </c>
      <c r="J2799" s="112" t="s">
        <v>2503</v>
      </c>
      <c r="K2799" s="112" t="s">
        <v>2708</v>
      </c>
      <c r="L2799" s="116">
        <v>1</v>
      </c>
    </row>
    <row r="2800" spans="1:12" hidden="1" outlineLevel="1" collapsed="1" x14ac:dyDescent="0.35">
      <c r="A2800" s="112" t="s">
        <v>2479</v>
      </c>
      <c r="B2800" s="112" t="s">
        <v>909</v>
      </c>
      <c r="C2800" s="112" t="s">
        <v>695</v>
      </c>
      <c r="D2800" s="113">
        <v>10348152</v>
      </c>
      <c r="E2800" s="115">
        <v>43930</v>
      </c>
      <c r="F2800" s="114">
        <v>202101</v>
      </c>
      <c r="G2800" s="112" t="s">
        <v>1091</v>
      </c>
      <c r="H2800" s="112" t="s">
        <v>1016</v>
      </c>
      <c r="I2800" s="112" t="s">
        <v>2709</v>
      </c>
      <c r="J2800" s="112" t="s">
        <v>2673</v>
      </c>
      <c r="K2800" s="112" t="s">
        <v>2710</v>
      </c>
      <c r="L2800" s="116">
        <v>-1742</v>
      </c>
    </row>
    <row r="2801" spans="1:12" hidden="1" outlineLevel="1" collapsed="1" x14ac:dyDescent="0.35">
      <c r="A2801" s="112" t="s">
        <v>2479</v>
      </c>
      <c r="B2801" s="112" t="s">
        <v>909</v>
      </c>
      <c r="C2801" s="112" t="s">
        <v>695</v>
      </c>
      <c r="D2801" s="113">
        <v>10348152</v>
      </c>
      <c r="E2801" s="115">
        <v>43930</v>
      </c>
      <c r="F2801" s="114">
        <v>202101</v>
      </c>
      <c r="G2801" s="112" t="s">
        <v>1091</v>
      </c>
      <c r="H2801" s="112" t="s">
        <v>1016</v>
      </c>
      <c r="I2801" s="112" t="s">
        <v>2709</v>
      </c>
      <c r="J2801" s="112" t="s">
        <v>2711</v>
      </c>
      <c r="K2801" s="112" t="s">
        <v>2712</v>
      </c>
      <c r="L2801" s="116">
        <v>-22000</v>
      </c>
    </row>
    <row r="2802" spans="1:12" hidden="1" outlineLevel="1" collapsed="1" x14ac:dyDescent="0.35">
      <c r="A2802" s="112" t="s">
        <v>2479</v>
      </c>
      <c r="B2802" s="112" t="s">
        <v>908</v>
      </c>
      <c r="C2802" s="112" t="s">
        <v>695</v>
      </c>
      <c r="D2802" s="113">
        <v>10347981</v>
      </c>
      <c r="E2802" s="115">
        <v>43924</v>
      </c>
      <c r="F2802" s="114">
        <v>202101</v>
      </c>
      <c r="G2802" s="112" t="s">
        <v>1091</v>
      </c>
      <c r="H2802" s="112" t="s">
        <v>1015</v>
      </c>
      <c r="I2802" s="112" t="s">
        <v>761</v>
      </c>
      <c r="J2802" s="112" t="s">
        <v>2484</v>
      </c>
      <c r="K2802" s="112" t="s">
        <v>2713</v>
      </c>
      <c r="L2802" s="116">
        <v>-1000</v>
      </c>
    </row>
    <row r="2803" spans="1:12" hidden="1" outlineLevel="1" collapsed="1" x14ac:dyDescent="0.35">
      <c r="A2803" s="112" t="s">
        <v>2479</v>
      </c>
      <c r="B2803" s="112" t="s">
        <v>908</v>
      </c>
      <c r="C2803" s="112" t="s">
        <v>695</v>
      </c>
      <c r="D2803" s="113">
        <v>10347981</v>
      </c>
      <c r="E2803" s="115">
        <v>43924</v>
      </c>
      <c r="F2803" s="114">
        <v>202101</v>
      </c>
      <c r="G2803" s="112" t="s">
        <v>1091</v>
      </c>
      <c r="H2803" s="112" t="s">
        <v>1015</v>
      </c>
      <c r="I2803" s="112" t="s">
        <v>761</v>
      </c>
      <c r="J2803" s="112" t="s">
        <v>2553</v>
      </c>
      <c r="K2803" s="112" t="s">
        <v>2714</v>
      </c>
      <c r="L2803" s="116">
        <v>-22</v>
      </c>
    </row>
    <row r="2804" spans="1:12" hidden="1" outlineLevel="1" collapsed="1" x14ac:dyDescent="0.35">
      <c r="A2804" s="112" t="s">
        <v>2479</v>
      </c>
      <c r="B2804" s="112" t="s">
        <v>908</v>
      </c>
      <c r="C2804" s="112" t="s">
        <v>695</v>
      </c>
      <c r="D2804" s="113">
        <v>10347981</v>
      </c>
      <c r="E2804" s="115">
        <v>43924</v>
      </c>
      <c r="F2804" s="114">
        <v>202101</v>
      </c>
      <c r="G2804" s="112" t="s">
        <v>1091</v>
      </c>
      <c r="H2804" s="112" t="s">
        <v>1015</v>
      </c>
      <c r="I2804" s="112" t="s">
        <v>761</v>
      </c>
      <c r="J2804" s="112" t="s">
        <v>2553</v>
      </c>
      <c r="K2804" s="112" t="s">
        <v>2715</v>
      </c>
      <c r="L2804" s="116">
        <v>-14</v>
      </c>
    </row>
    <row r="2805" spans="1:12" hidden="1" outlineLevel="1" collapsed="1" x14ac:dyDescent="0.35">
      <c r="A2805" s="112" t="s">
        <v>2479</v>
      </c>
      <c r="B2805" s="112" t="s">
        <v>909</v>
      </c>
      <c r="C2805" s="112" t="s">
        <v>679</v>
      </c>
      <c r="D2805" s="113">
        <v>10348027</v>
      </c>
      <c r="E2805" s="115">
        <v>43927</v>
      </c>
      <c r="F2805" s="114">
        <v>202101</v>
      </c>
      <c r="G2805" s="112" t="s">
        <v>1091</v>
      </c>
      <c r="H2805" s="112" t="s">
        <v>1016</v>
      </c>
      <c r="I2805" s="112" t="s">
        <v>2522</v>
      </c>
      <c r="J2805" s="112" t="s">
        <v>2523</v>
      </c>
      <c r="K2805" s="112" t="s">
        <v>2716</v>
      </c>
      <c r="L2805" s="116">
        <v>-122</v>
      </c>
    </row>
    <row r="2806" spans="1:12" hidden="1" outlineLevel="1" collapsed="1" x14ac:dyDescent="0.35">
      <c r="A2806" s="112" t="s">
        <v>2479</v>
      </c>
      <c r="B2806" s="112" t="s">
        <v>909</v>
      </c>
      <c r="C2806" s="112" t="s">
        <v>679</v>
      </c>
      <c r="D2806" s="113">
        <v>10348027</v>
      </c>
      <c r="E2806" s="115">
        <v>43927</v>
      </c>
      <c r="F2806" s="114">
        <v>202101</v>
      </c>
      <c r="G2806" s="112" t="s">
        <v>1091</v>
      </c>
      <c r="H2806" s="112" t="s">
        <v>1016</v>
      </c>
      <c r="I2806" s="112" t="s">
        <v>2522</v>
      </c>
      <c r="J2806" s="112" t="s">
        <v>2523</v>
      </c>
      <c r="K2806" s="112" t="s">
        <v>2717</v>
      </c>
      <c r="L2806" s="116">
        <v>-122</v>
      </c>
    </row>
    <row r="2807" spans="1:12" hidden="1" outlineLevel="1" collapsed="1" x14ac:dyDescent="0.35">
      <c r="A2807" s="112" t="s">
        <v>2479</v>
      </c>
      <c r="B2807" s="112" t="s">
        <v>908</v>
      </c>
      <c r="C2807" s="112" t="s">
        <v>679</v>
      </c>
      <c r="D2807" s="113">
        <v>10348027</v>
      </c>
      <c r="E2807" s="115">
        <v>43927</v>
      </c>
      <c r="F2807" s="114">
        <v>202101</v>
      </c>
      <c r="G2807" s="112" t="s">
        <v>1091</v>
      </c>
      <c r="H2807" s="112" t="s">
        <v>1016</v>
      </c>
      <c r="I2807" s="112" t="s">
        <v>1788</v>
      </c>
      <c r="J2807" s="112" t="s">
        <v>2498</v>
      </c>
      <c r="K2807" s="112" t="s">
        <v>2718</v>
      </c>
      <c r="L2807" s="116">
        <v>-305</v>
      </c>
    </row>
    <row r="2808" spans="1:12" hidden="1" outlineLevel="1" collapsed="1" x14ac:dyDescent="0.35">
      <c r="A2808" s="112" t="s">
        <v>2479</v>
      </c>
      <c r="B2808" s="112" t="s">
        <v>909</v>
      </c>
      <c r="C2808" s="112" t="s">
        <v>679</v>
      </c>
      <c r="D2808" s="113">
        <v>10348027</v>
      </c>
      <c r="E2808" s="115">
        <v>43927</v>
      </c>
      <c r="F2808" s="114">
        <v>202101</v>
      </c>
      <c r="G2808" s="112" t="s">
        <v>1091</v>
      </c>
      <c r="H2808" s="112" t="s">
        <v>1016</v>
      </c>
      <c r="I2808" s="112" t="s">
        <v>1788</v>
      </c>
      <c r="J2808" s="112" t="s">
        <v>2652</v>
      </c>
      <c r="K2808" s="112" t="s">
        <v>706</v>
      </c>
      <c r="L2808" s="116">
        <v>-450</v>
      </c>
    </row>
    <row r="2809" spans="1:12" hidden="1" outlineLevel="1" collapsed="1" x14ac:dyDescent="0.35">
      <c r="A2809" s="112" t="s">
        <v>2479</v>
      </c>
      <c r="B2809" s="112" t="s">
        <v>909</v>
      </c>
      <c r="C2809" s="112" t="s">
        <v>679</v>
      </c>
      <c r="D2809" s="113">
        <v>10348027</v>
      </c>
      <c r="E2809" s="115">
        <v>43927</v>
      </c>
      <c r="F2809" s="114">
        <v>202101</v>
      </c>
      <c r="G2809" s="112" t="s">
        <v>1091</v>
      </c>
      <c r="H2809" s="112" t="s">
        <v>1016</v>
      </c>
      <c r="I2809" s="112" t="s">
        <v>2536</v>
      </c>
      <c r="J2809" s="112" t="s">
        <v>2523</v>
      </c>
      <c r="K2809" s="112" t="s">
        <v>2719</v>
      </c>
      <c r="L2809" s="116">
        <v>-337</v>
      </c>
    </row>
    <row r="2810" spans="1:12" hidden="1" outlineLevel="1" collapsed="1" x14ac:dyDescent="0.35">
      <c r="A2810" s="112" t="s">
        <v>2479</v>
      </c>
      <c r="B2810" s="112" t="s">
        <v>908</v>
      </c>
      <c r="C2810" s="112" t="s">
        <v>679</v>
      </c>
      <c r="D2810" s="113">
        <v>10348027</v>
      </c>
      <c r="E2810" s="115">
        <v>43927</v>
      </c>
      <c r="F2810" s="114">
        <v>202101</v>
      </c>
      <c r="G2810" s="112" t="s">
        <v>1091</v>
      </c>
      <c r="H2810" s="112" t="s">
        <v>1016</v>
      </c>
      <c r="I2810" s="112" t="s">
        <v>1788</v>
      </c>
      <c r="J2810" s="112" t="s">
        <v>2498</v>
      </c>
      <c r="K2810" s="112" t="s">
        <v>2720</v>
      </c>
      <c r="L2810" s="116">
        <v>-190</v>
      </c>
    </row>
    <row r="2811" spans="1:12" hidden="1" outlineLevel="1" collapsed="1" x14ac:dyDescent="0.35">
      <c r="A2811" s="112" t="s">
        <v>2479</v>
      </c>
      <c r="B2811" s="112" t="s">
        <v>908</v>
      </c>
      <c r="C2811" s="112" t="s">
        <v>695</v>
      </c>
      <c r="D2811" s="113">
        <v>10347981</v>
      </c>
      <c r="E2811" s="115">
        <v>43924</v>
      </c>
      <c r="F2811" s="114">
        <v>202101</v>
      </c>
      <c r="G2811" s="112" t="s">
        <v>1091</v>
      </c>
      <c r="H2811" s="112" t="s">
        <v>1015</v>
      </c>
      <c r="I2811" s="112" t="s">
        <v>761</v>
      </c>
      <c r="J2811" s="112" t="s">
        <v>2484</v>
      </c>
      <c r="K2811" s="112" t="s">
        <v>2721</v>
      </c>
      <c r="L2811" s="116">
        <v>-630</v>
      </c>
    </row>
    <row r="2812" spans="1:12" hidden="1" outlineLevel="1" collapsed="1" x14ac:dyDescent="0.35">
      <c r="A2812" s="112" t="s">
        <v>2479</v>
      </c>
      <c r="B2812" s="112" t="s">
        <v>908</v>
      </c>
      <c r="C2812" s="112" t="s">
        <v>679</v>
      </c>
      <c r="D2812" s="113">
        <v>10348027</v>
      </c>
      <c r="E2812" s="115">
        <v>43927</v>
      </c>
      <c r="F2812" s="114">
        <v>202101</v>
      </c>
      <c r="G2812" s="112" t="s">
        <v>1091</v>
      </c>
      <c r="H2812" s="112" t="s">
        <v>1016</v>
      </c>
      <c r="I2812" s="112" t="s">
        <v>1788</v>
      </c>
      <c r="J2812" s="112" t="s">
        <v>2498</v>
      </c>
      <c r="K2812" s="112" t="s">
        <v>2722</v>
      </c>
      <c r="L2812" s="116">
        <v>-60</v>
      </c>
    </row>
    <row r="2813" spans="1:12" hidden="1" outlineLevel="1" collapsed="1" x14ac:dyDescent="0.35">
      <c r="A2813" s="112" t="s">
        <v>2479</v>
      </c>
      <c r="B2813" s="112" t="s">
        <v>908</v>
      </c>
      <c r="C2813" s="112" t="s">
        <v>679</v>
      </c>
      <c r="D2813" s="113">
        <v>10348027</v>
      </c>
      <c r="E2813" s="115">
        <v>43927</v>
      </c>
      <c r="F2813" s="114">
        <v>202101</v>
      </c>
      <c r="G2813" s="112" t="s">
        <v>1091</v>
      </c>
      <c r="H2813" s="112" t="s">
        <v>1016</v>
      </c>
      <c r="I2813" s="112" t="s">
        <v>1788</v>
      </c>
      <c r="J2813" s="112" t="s">
        <v>2498</v>
      </c>
      <c r="K2813" s="112" t="s">
        <v>2723</v>
      </c>
      <c r="L2813" s="116">
        <v>-190</v>
      </c>
    </row>
    <row r="2814" spans="1:12" hidden="1" outlineLevel="1" collapsed="1" x14ac:dyDescent="0.35">
      <c r="A2814" s="112" t="s">
        <v>2479</v>
      </c>
      <c r="B2814" s="112" t="s">
        <v>908</v>
      </c>
      <c r="C2814" s="112" t="s">
        <v>679</v>
      </c>
      <c r="D2814" s="113">
        <v>10348027</v>
      </c>
      <c r="E2814" s="115">
        <v>43927</v>
      </c>
      <c r="F2814" s="114">
        <v>202101</v>
      </c>
      <c r="G2814" s="112" t="s">
        <v>1091</v>
      </c>
      <c r="H2814" s="112" t="s">
        <v>1016</v>
      </c>
      <c r="I2814" s="112" t="s">
        <v>1293</v>
      </c>
      <c r="J2814" s="112" t="s">
        <v>2484</v>
      </c>
      <c r="K2814" s="112" t="s">
        <v>2724</v>
      </c>
      <c r="L2814" s="116">
        <v>-40</v>
      </c>
    </row>
    <row r="2815" spans="1:12" hidden="1" outlineLevel="1" collapsed="1" x14ac:dyDescent="0.35">
      <c r="A2815" s="112" t="s">
        <v>2479</v>
      </c>
      <c r="B2815" s="112" t="s">
        <v>908</v>
      </c>
      <c r="C2815" s="112" t="s">
        <v>679</v>
      </c>
      <c r="D2815" s="113">
        <v>10348027</v>
      </c>
      <c r="E2815" s="115">
        <v>43927</v>
      </c>
      <c r="F2815" s="114">
        <v>202101</v>
      </c>
      <c r="G2815" s="112" t="s">
        <v>1091</v>
      </c>
      <c r="H2815" s="112" t="s">
        <v>1016</v>
      </c>
      <c r="I2815" s="112" t="s">
        <v>1788</v>
      </c>
      <c r="J2815" s="112" t="s">
        <v>2498</v>
      </c>
      <c r="K2815" s="112" t="s">
        <v>2725</v>
      </c>
      <c r="L2815" s="116">
        <v>-190</v>
      </c>
    </row>
    <row r="2816" spans="1:12" hidden="1" outlineLevel="1" collapsed="1" x14ac:dyDescent="0.35">
      <c r="A2816" s="112" t="s">
        <v>2479</v>
      </c>
      <c r="B2816" s="112" t="s">
        <v>908</v>
      </c>
      <c r="C2816" s="112" t="s">
        <v>679</v>
      </c>
      <c r="D2816" s="113">
        <v>10348027</v>
      </c>
      <c r="E2816" s="115">
        <v>43927</v>
      </c>
      <c r="F2816" s="114">
        <v>202101</v>
      </c>
      <c r="G2816" s="112" t="s">
        <v>1091</v>
      </c>
      <c r="H2816" s="112" t="s">
        <v>1016</v>
      </c>
      <c r="I2816" s="112" t="s">
        <v>1788</v>
      </c>
      <c r="J2816" s="112" t="s">
        <v>2498</v>
      </c>
      <c r="K2816" s="112" t="s">
        <v>2726</v>
      </c>
      <c r="L2816" s="116">
        <v>-85</v>
      </c>
    </row>
    <row r="2817" spans="1:12" hidden="1" outlineLevel="1" collapsed="1" x14ac:dyDescent="0.35">
      <c r="A2817" s="112" t="s">
        <v>2479</v>
      </c>
      <c r="B2817" s="112" t="s">
        <v>908</v>
      </c>
      <c r="C2817" s="112" t="s">
        <v>679</v>
      </c>
      <c r="D2817" s="113">
        <v>10348027</v>
      </c>
      <c r="E2817" s="115">
        <v>43927</v>
      </c>
      <c r="F2817" s="114">
        <v>202101</v>
      </c>
      <c r="G2817" s="112" t="s">
        <v>1091</v>
      </c>
      <c r="H2817" s="112" t="s">
        <v>1016</v>
      </c>
      <c r="I2817" s="112" t="s">
        <v>819</v>
      </c>
      <c r="J2817" s="112" t="s">
        <v>2501</v>
      </c>
      <c r="K2817" s="112" t="s">
        <v>2727</v>
      </c>
      <c r="L2817" s="116">
        <v>-550</v>
      </c>
    </row>
    <row r="2818" spans="1:12" hidden="1" outlineLevel="1" collapsed="1" x14ac:dyDescent="0.35">
      <c r="A2818" s="112" t="s">
        <v>2479</v>
      </c>
      <c r="B2818" s="112" t="s">
        <v>908</v>
      </c>
      <c r="C2818" s="112" t="s">
        <v>679</v>
      </c>
      <c r="D2818" s="113">
        <v>10348027</v>
      </c>
      <c r="E2818" s="115">
        <v>43927</v>
      </c>
      <c r="F2818" s="114">
        <v>202101</v>
      </c>
      <c r="G2818" s="112" t="s">
        <v>1091</v>
      </c>
      <c r="H2818" s="112" t="s">
        <v>1016</v>
      </c>
      <c r="I2818" s="112" t="s">
        <v>1788</v>
      </c>
      <c r="J2818" s="112" t="s">
        <v>2498</v>
      </c>
      <c r="K2818" s="112" t="s">
        <v>2728</v>
      </c>
      <c r="L2818" s="116">
        <v>-190</v>
      </c>
    </row>
    <row r="2819" spans="1:12" hidden="1" outlineLevel="1" collapsed="1" x14ac:dyDescent="0.35">
      <c r="A2819" s="112" t="s">
        <v>2479</v>
      </c>
      <c r="B2819" s="112" t="s">
        <v>908</v>
      </c>
      <c r="C2819" s="112" t="s">
        <v>679</v>
      </c>
      <c r="D2819" s="113">
        <v>10348027</v>
      </c>
      <c r="E2819" s="115">
        <v>43927</v>
      </c>
      <c r="F2819" s="114">
        <v>202101</v>
      </c>
      <c r="G2819" s="112" t="s">
        <v>1091</v>
      </c>
      <c r="H2819" s="112" t="s">
        <v>1016</v>
      </c>
      <c r="I2819" s="112" t="s">
        <v>1788</v>
      </c>
      <c r="J2819" s="112" t="s">
        <v>2498</v>
      </c>
      <c r="K2819" s="112" t="s">
        <v>2729</v>
      </c>
      <c r="L2819" s="116">
        <v>-60</v>
      </c>
    </row>
    <row r="2820" spans="1:12" hidden="1" outlineLevel="1" collapsed="1" x14ac:dyDescent="0.35">
      <c r="A2820" s="112" t="s">
        <v>2479</v>
      </c>
      <c r="B2820" s="112" t="s">
        <v>908</v>
      </c>
      <c r="C2820" s="112" t="s">
        <v>679</v>
      </c>
      <c r="D2820" s="113">
        <v>10348027</v>
      </c>
      <c r="E2820" s="115">
        <v>43927</v>
      </c>
      <c r="F2820" s="114">
        <v>202101</v>
      </c>
      <c r="G2820" s="112" t="s">
        <v>1091</v>
      </c>
      <c r="H2820" s="112" t="s">
        <v>1016</v>
      </c>
      <c r="I2820" s="112" t="s">
        <v>1788</v>
      </c>
      <c r="J2820" s="112" t="s">
        <v>2498</v>
      </c>
      <c r="K2820" s="112" t="s">
        <v>2730</v>
      </c>
      <c r="L2820" s="116">
        <v>-60</v>
      </c>
    </row>
    <row r="2821" spans="1:12" hidden="1" outlineLevel="1" collapsed="1" x14ac:dyDescent="0.35">
      <c r="A2821" s="112" t="s">
        <v>2479</v>
      </c>
      <c r="B2821" s="112" t="s">
        <v>909</v>
      </c>
      <c r="C2821" s="112" t="s">
        <v>695</v>
      </c>
      <c r="D2821" s="113">
        <v>10347981</v>
      </c>
      <c r="E2821" s="115">
        <v>43924</v>
      </c>
      <c r="F2821" s="114">
        <v>202101</v>
      </c>
      <c r="G2821" s="112" t="s">
        <v>1091</v>
      </c>
      <c r="H2821" s="112" t="s">
        <v>1015</v>
      </c>
      <c r="I2821" s="112" t="s">
        <v>1092</v>
      </c>
      <c r="J2821" s="112" t="s">
        <v>2673</v>
      </c>
      <c r="K2821" s="112" t="s">
        <v>1208</v>
      </c>
      <c r="L2821" s="116">
        <v>-47</v>
      </c>
    </row>
    <row r="2822" spans="1:12" hidden="1" outlineLevel="1" collapsed="1" x14ac:dyDescent="0.35">
      <c r="A2822" s="112" t="s">
        <v>2479</v>
      </c>
      <c r="B2822" s="112" t="s">
        <v>909</v>
      </c>
      <c r="C2822" s="112" t="s">
        <v>1099</v>
      </c>
      <c r="D2822" s="113">
        <v>1069673</v>
      </c>
      <c r="E2822" s="115">
        <v>43943</v>
      </c>
      <c r="F2822" s="114">
        <v>202101</v>
      </c>
      <c r="G2822" s="112" t="s">
        <v>1091</v>
      </c>
      <c r="H2822" s="112" t="s">
        <v>1015</v>
      </c>
      <c r="I2822" s="112" t="s">
        <v>767</v>
      </c>
      <c r="J2822" s="112" t="s">
        <v>2523</v>
      </c>
      <c r="K2822" s="112" t="s">
        <v>2731</v>
      </c>
      <c r="L2822" s="116">
        <v>150</v>
      </c>
    </row>
    <row r="2823" spans="1:12" hidden="1" outlineLevel="1" collapsed="1" x14ac:dyDescent="0.35">
      <c r="A2823" s="112" t="s">
        <v>2479</v>
      </c>
      <c r="B2823" s="112" t="s">
        <v>908</v>
      </c>
      <c r="C2823" s="112" t="s">
        <v>679</v>
      </c>
      <c r="D2823" s="113">
        <v>10348027</v>
      </c>
      <c r="E2823" s="115">
        <v>43927</v>
      </c>
      <c r="F2823" s="114">
        <v>202101</v>
      </c>
      <c r="G2823" s="112" t="s">
        <v>1091</v>
      </c>
      <c r="H2823" s="112" t="s">
        <v>1016</v>
      </c>
      <c r="I2823" s="112" t="s">
        <v>1788</v>
      </c>
      <c r="J2823" s="112" t="s">
        <v>2498</v>
      </c>
      <c r="K2823" s="112" t="s">
        <v>2732</v>
      </c>
      <c r="L2823" s="116">
        <v>-25</v>
      </c>
    </row>
    <row r="2824" spans="1:12" hidden="1" outlineLevel="1" collapsed="1" x14ac:dyDescent="0.35">
      <c r="A2824" s="112" t="s">
        <v>2479</v>
      </c>
      <c r="B2824" s="112" t="s">
        <v>908</v>
      </c>
      <c r="C2824" s="112" t="s">
        <v>695</v>
      </c>
      <c r="D2824" s="113">
        <v>10347979</v>
      </c>
      <c r="E2824" s="115">
        <v>43924</v>
      </c>
      <c r="F2824" s="114">
        <v>202101</v>
      </c>
      <c r="G2824" s="112" t="s">
        <v>1091</v>
      </c>
      <c r="H2824" s="112" t="s">
        <v>1016</v>
      </c>
      <c r="I2824" s="112" t="s">
        <v>1788</v>
      </c>
      <c r="J2824" s="112" t="s">
        <v>2498</v>
      </c>
      <c r="K2824" s="112" t="s">
        <v>1698</v>
      </c>
      <c r="L2824" s="116">
        <v>180</v>
      </c>
    </row>
    <row r="2825" spans="1:12" hidden="1" outlineLevel="1" collapsed="1" x14ac:dyDescent="0.35">
      <c r="A2825" s="112" t="s">
        <v>2479</v>
      </c>
      <c r="B2825" s="112" t="s">
        <v>908</v>
      </c>
      <c r="C2825" s="112" t="s">
        <v>695</v>
      </c>
      <c r="D2825" s="113">
        <v>10347979</v>
      </c>
      <c r="E2825" s="115">
        <v>43924</v>
      </c>
      <c r="F2825" s="114">
        <v>202101</v>
      </c>
      <c r="G2825" s="112" t="s">
        <v>1091</v>
      </c>
      <c r="H2825" s="112" t="s">
        <v>1016</v>
      </c>
      <c r="I2825" s="112" t="s">
        <v>819</v>
      </c>
      <c r="J2825" s="112" t="s">
        <v>2501</v>
      </c>
      <c r="K2825" s="112" t="s">
        <v>1698</v>
      </c>
      <c r="L2825" s="116">
        <v>166.67</v>
      </c>
    </row>
    <row r="2826" spans="1:12" hidden="1" outlineLevel="1" collapsed="1" x14ac:dyDescent="0.35">
      <c r="A2826" s="112" t="s">
        <v>2479</v>
      </c>
      <c r="B2826" s="112" t="s">
        <v>909</v>
      </c>
      <c r="C2826" s="112" t="s">
        <v>695</v>
      </c>
      <c r="D2826" s="113">
        <v>10347981</v>
      </c>
      <c r="E2826" s="115">
        <v>43924</v>
      </c>
      <c r="F2826" s="114">
        <v>202101</v>
      </c>
      <c r="G2826" s="112" t="s">
        <v>1091</v>
      </c>
      <c r="H2826" s="112" t="s">
        <v>1015</v>
      </c>
      <c r="I2826" s="112" t="s">
        <v>1092</v>
      </c>
      <c r="J2826" s="112" t="s">
        <v>2673</v>
      </c>
      <c r="K2826" s="112" t="s">
        <v>1262</v>
      </c>
      <c r="L2826" s="116">
        <v>-47</v>
      </c>
    </row>
    <row r="2827" spans="1:12" hidden="1" outlineLevel="1" collapsed="1" x14ac:dyDescent="0.35">
      <c r="A2827" s="112" t="s">
        <v>2479</v>
      </c>
      <c r="B2827" s="112" t="s">
        <v>908</v>
      </c>
      <c r="C2827" s="112" t="s">
        <v>679</v>
      </c>
      <c r="D2827" s="113">
        <v>10347984</v>
      </c>
      <c r="E2827" s="115">
        <v>43924</v>
      </c>
      <c r="F2827" s="114">
        <v>202101</v>
      </c>
      <c r="G2827" s="112" t="s">
        <v>1091</v>
      </c>
      <c r="H2827" s="112" t="s">
        <v>1016</v>
      </c>
      <c r="I2827" s="112" t="s">
        <v>1788</v>
      </c>
      <c r="J2827" s="112" t="s">
        <v>2498</v>
      </c>
      <c r="K2827" s="112" t="s">
        <v>2733</v>
      </c>
      <c r="L2827" s="116">
        <v>-215</v>
      </c>
    </row>
    <row r="2828" spans="1:12" hidden="1" outlineLevel="1" collapsed="1" x14ac:dyDescent="0.35">
      <c r="A2828" s="112" t="s">
        <v>2479</v>
      </c>
      <c r="B2828" s="112" t="s">
        <v>908</v>
      </c>
      <c r="C2828" s="112" t="s">
        <v>679</v>
      </c>
      <c r="D2828" s="113">
        <v>10347984</v>
      </c>
      <c r="E2828" s="115">
        <v>43924</v>
      </c>
      <c r="F2828" s="114">
        <v>202101</v>
      </c>
      <c r="G2828" s="112" t="s">
        <v>1091</v>
      </c>
      <c r="H2828" s="112" t="s">
        <v>1016</v>
      </c>
      <c r="I2828" s="112" t="s">
        <v>1788</v>
      </c>
      <c r="J2828" s="112" t="s">
        <v>2498</v>
      </c>
      <c r="K2828" s="112" t="s">
        <v>2734</v>
      </c>
      <c r="L2828" s="116">
        <v>-190</v>
      </c>
    </row>
    <row r="2829" spans="1:12" hidden="1" outlineLevel="1" collapsed="1" x14ac:dyDescent="0.35">
      <c r="A2829" s="112" t="s">
        <v>2479</v>
      </c>
      <c r="B2829" s="112" t="s">
        <v>908</v>
      </c>
      <c r="C2829" s="112" t="s">
        <v>695</v>
      </c>
      <c r="D2829" s="113">
        <v>10347981</v>
      </c>
      <c r="E2829" s="115">
        <v>43924</v>
      </c>
      <c r="F2829" s="114">
        <v>202101</v>
      </c>
      <c r="G2829" s="112" t="s">
        <v>1091</v>
      </c>
      <c r="H2829" s="112" t="s">
        <v>1015</v>
      </c>
      <c r="I2829" s="112" t="s">
        <v>761</v>
      </c>
      <c r="J2829" s="112" t="s">
        <v>2553</v>
      </c>
      <c r="K2829" s="112" t="s">
        <v>2735</v>
      </c>
      <c r="L2829" s="116">
        <v>-66.92</v>
      </c>
    </row>
    <row r="2830" spans="1:12" hidden="1" outlineLevel="1" collapsed="1" x14ac:dyDescent="0.35">
      <c r="A2830" s="112" t="s">
        <v>2479</v>
      </c>
      <c r="B2830" s="112" t="s">
        <v>908</v>
      </c>
      <c r="C2830" s="112" t="s">
        <v>695</v>
      </c>
      <c r="D2830" s="113">
        <v>10347981</v>
      </c>
      <c r="E2830" s="115">
        <v>43924</v>
      </c>
      <c r="F2830" s="114">
        <v>202101</v>
      </c>
      <c r="G2830" s="112" t="s">
        <v>1091</v>
      </c>
      <c r="H2830" s="112" t="s">
        <v>1015</v>
      </c>
      <c r="I2830" s="112" t="s">
        <v>1133</v>
      </c>
      <c r="J2830" s="112" t="s">
        <v>2520</v>
      </c>
      <c r="K2830" s="112" t="s">
        <v>2736</v>
      </c>
      <c r="L2830" s="116">
        <v>-90</v>
      </c>
    </row>
    <row r="2831" spans="1:12" hidden="1" outlineLevel="1" collapsed="1" x14ac:dyDescent="0.35">
      <c r="A2831" s="112" t="s">
        <v>2479</v>
      </c>
      <c r="B2831" s="112" t="s">
        <v>908</v>
      </c>
      <c r="C2831" s="112" t="s">
        <v>695</v>
      </c>
      <c r="D2831" s="113">
        <v>10347981</v>
      </c>
      <c r="E2831" s="115">
        <v>43924</v>
      </c>
      <c r="F2831" s="114">
        <v>202101</v>
      </c>
      <c r="G2831" s="112" t="s">
        <v>1091</v>
      </c>
      <c r="H2831" s="112" t="s">
        <v>1015</v>
      </c>
      <c r="I2831" s="112" t="s">
        <v>761</v>
      </c>
      <c r="J2831" s="112" t="s">
        <v>2501</v>
      </c>
      <c r="K2831" s="112" t="s">
        <v>2737</v>
      </c>
      <c r="L2831" s="116">
        <v>-463.65</v>
      </c>
    </row>
    <row r="2832" spans="1:12" hidden="1" outlineLevel="1" collapsed="1" x14ac:dyDescent="0.35">
      <c r="A2832" s="112" t="s">
        <v>2479</v>
      </c>
      <c r="B2832" s="112" t="s">
        <v>908</v>
      </c>
      <c r="C2832" s="112" t="s">
        <v>695</v>
      </c>
      <c r="D2832" s="113">
        <v>10347981</v>
      </c>
      <c r="E2832" s="115">
        <v>43924</v>
      </c>
      <c r="F2832" s="114">
        <v>202101</v>
      </c>
      <c r="G2832" s="112" t="s">
        <v>1091</v>
      </c>
      <c r="H2832" s="112" t="s">
        <v>1015</v>
      </c>
      <c r="I2832" s="112" t="s">
        <v>1399</v>
      </c>
      <c r="J2832" s="112" t="s">
        <v>2584</v>
      </c>
      <c r="K2832" s="112" t="s">
        <v>2738</v>
      </c>
      <c r="L2832" s="116">
        <v>-536.75</v>
      </c>
    </row>
    <row r="2833" spans="1:12" hidden="1" outlineLevel="1" collapsed="1" x14ac:dyDescent="0.35">
      <c r="A2833" s="112" t="s">
        <v>2479</v>
      </c>
      <c r="B2833" s="112" t="s">
        <v>908</v>
      </c>
      <c r="C2833" s="112" t="s">
        <v>679</v>
      </c>
      <c r="D2833" s="113">
        <v>10348532</v>
      </c>
      <c r="E2833" s="115">
        <v>43950</v>
      </c>
      <c r="F2833" s="114">
        <v>202101</v>
      </c>
      <c r="G2833" s="112" t="s">
        <v>1091</v>
      </c>
      <c r="H2833" s="112" t="s">
        <v>1016</v>
      </c>
      <c r="I2833" s="112" t="s">
        <v>1788</v>
      </c>
      <c r="J2833" s="112" t="s">
        <v>2498</v>
      </c>
      <c r="K2833" s="112" t="s">
        <v>2739</v>
      </c>
      <c r="L2833" s="116">
        <v>-85</v>
      </c>
    </row>
    <row r="2834" spans="1:12" hidden="1" outlineLevel="1" collapsed="1" x14ac:dyDescent="0.35">
      <c r="A2834" s="112" t="s">
        <v>2479</v>
      </c>
      <c r="B2834" s="112" t="s">
        <v>909</v>
      </c>
      <c r="C2834" s="112" t="s">
        <v>695</v>
      </c>
      <c r="D2834" s="113">
        <v>10347981</v>
      </c>
      <c r="E2834" s="115">
        <v>43924</v>
      </c>
      <c r="F2834" s="114">
        <v>202101</v>
      </c>
      <c r="G2834" s="112" t="s">
        <v>1091</v>
      </c>
      <c r="H2834" s="112" t="s">
        <v>1015</v>
      </c>
      <c r="I2834" s="112" t="s">
        <v>761</v>
      </c>
      <c r="J2834" s="112" t="s">
        <v>2523</v>
      </c>
      <c r="K2834" s="112" t="s">
        <v>2740</v>
      </c>
      <c r="L2834" s="116">
        <v>-810</v>
      </c>
    </row>
    <row r="2835" spans="1:12" hidden="1" outlineLevel="1" collapsed="1" x14ac:dyDescent="0.35">
      <c r="A2835" s="112" t="s">
        <v>2479</v>
      </c>
      <c r="B2835" s="112" t="s">
        <v>909</v>
      </c>
      <c r="C2835" s="112" t="s">
        <v>679</v>
      </c>
      <c r="D2835" s="113">
        <v>10347984</v>
      </c>
      <c r="E2835" s="115">
        <v>43924</v>
      </c>
      <c r="F2835" s="114">
        <v>202101</v>
      </c>
      <c r="G2835" s="112" t="s">
        <v>1091</v>
      </c>
      <c r="H2835" s="112" t="s">
        <v>1016</v>
      </c>
      <c r="I2835" s="112" t="s">
        <v>2522</v>
      </c>
      <c r="J2835" s="112" t="s">
        <v>2523</v>
      </c>
      <c r="K2835" s="112" t="s">
        <v>2741</v>
      </c>
      <c r="L2835" s="116">
        <v>-122</v>
      </c>
    </row>
    <row r="2836" spans="1:12" hidden="1" outlineLevel="1" collapsed="1" x14ac:dyDescent="0.35">
      <c r="A2836" s="112" t="s">
        <v>2479</v>
      </c>
      <c r="B2836" s="112" t="s">
        <v>909</v>
      </c>
      <c r="C2836" s="112" t="s">
        <v>679</v>
      </c>
      <c r="D2836" s="113">
        <v>10347984</v>
      </c>
      <c r="E2836" s="115">
        <v>43924</v>
      </c>
      <c r="F2836" s="114">
        <v>202101</v>
      </c>
      <c r="G2836" s="112" t="s">
        <v>1091</v>
      </c>
      <c r="H2836" s="112" t="s">
        <v>1016</v>
      </c>
      <c r="I2836" s="112" t="s">
        <v>2742</v>
      </c>
      <c r="J2836" s="112" t="s">
        <v>2523</v>
      </c>
      <c r="K2836" s="112" t="s">
        <v>2743</v>
      </c>
      <c r="L2836" s="116">
        <v>-490</v>
      </c>
    </row>
    <row r="2837" spans="1:12" hidden="1" outlineLevel="1" collapsed="1" x14ac:dyDescent="0.35">
      <c r="A2837" s="112" t="s">
        <v>2479</v>
      </c>
      <c r="B2837" s="112" t="s">
        <v>908</v>
      </c>
      <c r="C2837" s="112" t="s">
        <v>695</v>
      </c>
      <c r="D2837" s="113">
        <v>10347981</v>
      </c>
      <c r="E2837" s="115">
        <v>43924</v>
      </c>
      <c r="F2837" s="114">
        <v>202101</v>
      </c>
      <c r="G2837" s="112" t="s">
        <v>1091</v>
      </c>
      <c r="H2837" s="112" t="s">
        <v>1015</v>
      </c>
      <c r="I2837" s="112" t="s">
        <v>761</v>
      </c>
      <c r="J2837" s="112" t="s">
        <v>2520</v>
      </c>
      <c r="K2837" s="112" t="s">
        <v>2744</v>
      </c>
      <c r="L2837" s="116">
        <v>-250</v>
      </c>
    </row>
    <row r="2838" spans="1:12" hidden="1" outlineLevel="1" collapsed="1" x14ac:dyDescent="0.35">
      <c r="A2838" s="112" t="s">
        <v>2479</v>
      </c>
      <c r="B2838" s="112" t="s">
        <v>908</v>
      </c>
      <c r="C2838" s="112" t="s">
        <v>695</v>
      </c>
      <c r="D2838" s="113">
        <v>10347981</v>
      </c>
      <c r="E2838" s="115">
        <v>43924</v>
      </c>
      <c r="F2838" s="114">
        <v>202101</v>
      </c>
      <c r="G2838" s="112" t="s">
        <v>1091</v>
      </c>
      <c r="H2838" s="112" t="s">
        <v>1015</v>
      </c>
      <c r="I2838" s="112" t="s">
        <v>761</v>
      </c>
      <c r="J2838" s="112" t="s">
        <v>2484</v>
      </c>
      <c r="K2838" s="112" t="s">
        <v>2745</v>
      </c>
      <c r="L2838" s="116">
        <v>-20</v>
      </c>
    </row>
    <row r="2839" spans="1:12" hidden="1" outlineLevel="1" collapsed="1" x14ac:dyDescent="0.35">
      <c r="A2839" s="112" t="s">
        <v>2479</v>
      </c>
      <c r="B2839" s="112" t="s">
        <v>909</v>
      </c>
      <c r="C2839" s="112" t="s">
        <v>679</v>
      </c>
      <c r="D2839" s="113">
        <v>10347984</v>
      </c>
      <c r="E2839" s="115">
        <v>43924</v>
      </c>
      <c r="F2839" s="114">
        <v>202101</v>
      </c>
      <c r="G2839" s="112" t="s">
        <v>1091</v>
      </c>
      <c r="H2839" s="112" t="s">
        <v>1016</v>
      </c>
      <c r="I2839" s="112" t="s">
        <v>2654</v>
      </c>
      <c r="J2839" s="112" t="s">
        <v>2523</v>
      </c>
      <c r="K2839" s="112" t="s">
        <v>2746</v>
      </c>
      <c r="L2839" s="116">
        <v>-530</v>
      </c>
    </row>
    <row r="2840" spans="1:12" hidden="1" outlineLevel="1" collapsed="1" x14ac:dyDescent="0.35">
      <c r="A2840" s="112" t="s">
        <v>2479</v>
      </c>
      <c r="B2840" s="112" t="s">
        <v>909</v>
      </c>
      <c r="C2840" s="112" t="s">
        <v>679</v>
      </c>
      <c r="D2840" s="113">
        <v>10347984</v>
      </c>
      <c r="E2840" s="115">
        <v>43924</v>
      </c>
      <c r="F2840" s="114">
        <v>202101</v>
      </c>
      <c r="G2840" s="112" t="s">
        <v>1091</v>
      </c>
      <c r="H2840" s="112" t="s">
        <v>1016</v>
      </c>
      <c r="I2840" s="112" t="s">
        <v>2742</v>
      </c>
      <c r="J2840" s="112" t="s">
        <v>2652</v>
      </c>
      <c r="K2840" s="112" t="s">
        <v>2747</v>
      </c>
      <c r="L2840" s="116">
        <v>490</v>
      </c>
    </row>
    <row r="2841" spans="1:12" hidden="1" outlineLevel="1" collapsed="1" x14ac:dyDescent="0.35">
      <c r="A2841" s="112" t="s">
        <v>2479</v>
      </c>
      <c r="B2841" s="112" t="s">
        <v>908</v>
      </c>
      <c r="C2841" s="112" t="s">
        <v>695</v>
      </c>
      <c r="D2841" s="113">
        <v>10347981</v>
      </c>
      <c r="E2841" s="115">
        <v>43924</v>
      </c>
      <c r="F2841" s="114">
        <v>202101</v>
      </c>
      <c r="G2841" s="112" t="s">
        <v>1091</v>
      </c>
      <c r="H2841" s="112" t="s">
        <v>1015</v>
      </c>
      <c r="I2841" s="112" t="s">
        <v>761</v>
      </c>
      <c r="J2841" s="112" t="s">
        <v>2553</v>
      </c>
      <c r="K2841" s="112" t="s">
        <v>2748</v>
      </c>
      <c r="L2841" s="116">
        <v>-185.6</v>
      </c>
    </row>
    <row r="2842" spans="1:12" hidden="1" outlineLevel="1" collapsed="1" x14ac:dyDescent="0.35">
      <c r="A2842" s="112" t="s">
        <v>2479</v>
      </c>
      <c r="B2842" s="112" t="s">
        <v>909</v>
      </c>
      <c r="C2842" s="112" t="s">
        <v>679</v>
      </c>
      <c r="D2842" s="113">
        <v>10347984</v>
      </c>
      <c r="E2842" s="115">
        <v>43924</v>
      </c>
      <c r="F2842" s="114">
        <v>202101</v>
      </c>
      <c r="G2842" s="112" t="s">
        <v>1091</v>
      </c>
      <c r="H2842" s="112" t="s">
        <v>1016</v>
      </c>
      <c r="I2842" s="112" t="s">
        <v>1788</v>
      </c>
      <c r="J2842" s="112" t="s">
        <v>2652</v>
      </c>
      <c r="K2842" s="112" t="s">
        <v>2749</v>
      </c>
      <c r="L2842" s="116">
        <v>-23</v>
      </c>
    </row>
    <row r="2843" spans="1:12" hidden="1" outlineLevel="1" collapsed="1" x14ac:dyDescent="0.35">
      <c r="A2843" s="112" t="s">
        <v>2479</v>
      </c>
      <c r="B2843" s="112" t="s">
        <v>908</v>
      </c>
      <c r="C2843" s="112" t="s">
        <v>679</v>
      </c>
      <c r="D2843" s="113">
        <v>10347984</v>
      </c>
      <c r="E2843" s="115">
        <v>43924</v>
      </c>
      <c r="F2843" s="114">
        <v>202101</v>
      </c>
      <c r="G2843" s="112" t="s">
        <v>1091</v>
      </c>
      <c r="H2843" s="112" t="s">
        <v>1016</v>
      </c>
      <c r="I2843" s="112" t="s">
        <v>819</v>
      </c>
      <c r="J2843" s="112" t="s">
        <v>2501</v>
      </c>
      <c r="K2843" s="112" t="s">
        <v>2750</v>
      </c>
      <c r="L2843" s="116">
        <v>-877.5</v>
      </c>
    </row>
    <row r="2844" spans="1:12" hidden="1" outlineLevel="1" collapsed="1" x14ac:dyDescent="0.35">
      <c r="A2844" s="112" t="s">
        <v>2479</v>
      </c>
      <c r="B2844" s="112" t="s">
        <v>908</v>
      </c>
      <c r="C2844" s="112" t="s">
        <v>695</v>
      </c>
      <c r="D2844" s="113">
        <v>10347981</v>
      </c>
      <c r="E2844" s="115">
        <v>43924</v>
      </c>
      <c r="F2844" s="114">
        <v>202101</v>
      </c>
      <c r="G2844" s="112" t="s">
        <v>1091</v>
      </c>
      <c r="H2844" s="112" t="s">
        <v>1015</v>
      </c>
      <c r="I2844" s="112" t="s">
        <v>1102</v>
      </c>
      <c r="J2844" s="112" t="s">
        <v>2513</v>
      </c>
      <c r="K2844" s="112" t="s">
        <v>2751</v>
      </c>
      <c r="L2844" s="116">
        <v>-348.39</v>
      </c>
    </row>
    <row r="2845" spans="1:12" hidden="1" outlineLevel="1" collapsed="1" x14ac:dyDescent="0.35">
      <c r="A2845" s="112" t="s">
        <v>2479</v>
      </c>
      <c r="B2845" s="112" t="s">
        <v>909</v>
      </c>
      <c r="C2845" s="112" t="s">
        <v>679</v>
      </c>
      <c r="D2845" s="113">
        <v>10347984</v>
      </c>
      <c r="E2845" s="115">
        <v>43924</v>
      </c>
      <c r="F2845" s="114">
        <v>202101</v>
      </c>
      <c r="G2845" s="112" t="s">
        <v>1091</v>
      </c>
      <c r="H2845" s="112" t="s">
        <v>1016</v>
      </c>
      <c r="I2845" s="112" t="s">
        <v>2536</v>
      </c>
      <c r="J2845" s="112" t="s">
        <v>2523</v>
      </c>
      <c r="K2845" s="112" t="s">
        <v>2752</v>
      </c>
      <c r="L2845" s="116">
        <v>-177</v>
      </c>
    </row>
    <row r="2846" spans="1:12" hidden="1" outlineLevel="1" collapsed="1" x14ac:dyDescent="0.35">
      <c r="A2846" s="112" t="s">
        <v>2479</v>
      </c>
      <c r="B2846" s="112" t="s">
        <v>908</v>
      </c>
      <c r="C2846" s="112" t="s">
        <v>679</v>
      </c>
      <c r="D2846" s="113">
        <v>10347984</v>
      </c>
      <c r="E2846" s="115">
        <v>43924</v>
      </c>
      <c r="F2846" s="114">
        <v>202101</v>
      </c>
      <c r="G2846" s="112" t="s">
        <v>1091</v>
      </c>
      <c r="H2846" s="112" t="s">
        <v>1016</v>
      </c>
      <c r="I2846" s="112" t="s">
        <v>1788</v>
      </c>
      <c r="J2846" s="112" t="s">
        <v>2498</v>
      </c>
      <c r="K2846" s="112" t="s">
        <v>2753</v>
      </c>
      <c r="L2846" s="116">
        <v>-190</v>
      </c>
    </row>
    <row r="2847" spans="1:12" hidden="1" outlineLevel="1" collapsed="1" x14ac:dyDescent="0.35">
      <c r="A2847" s="112" t="s">
        <v>2479</v>
      </c>
      <c r="B2847" s="112" t="s">
        <v>908</v>
      </c>
      <c r="C2847" s="112" t="s">
        <v>679</v>
      </c>
      <c r="D2847" s="113">
        <v>10347984</v>
      </c>
      <c r="E2847" s="115">
        <v>43924</v>
      </c>
      <c r="F2847" s="114">
        <v>202101</v>
      </c>
      <c r="G2847" s="112" t="s">
        <v>1091</v>
      </c>
      <c r="H2847" s="112" t="s">
        <v>1016</v>
      </c>
      <c r="I2847" s="112" t="s">
        <v>819</v>
      </c>
      <c r="J2847" s="112" t="s">
        <v>2501</v>
      </c>
      <c r="K2847" s="112" t="s">
        <v>2754</v>
      </c>
      <c r="L2847" s="116">
        <v>-500</v>
      </c>
    </row>
    <row r="2848" spans="1:12" hidden="1" outlineLevel="1" collapsed="1" x14ac:dyDescent="0.35">
      <c r="A2848" s="112" t="s">
        <v>2479</v>
      </c>
      <c r="B2848" s="112" t="s">
        <v>908</v>
      </c>
      <c r="C2848" s="112" t="s">
        <v>679</v>
      </c>
      <c r="D2848" s="113">
        <v>10347984</v>
      </c>
      <c r="E2848" s="115">
        <v>43924</v>
      </c>
      <c r="F2848" s="114">
        <v>202101</v>
      </c>
      <c r="G2848" s="112" t="s">
        <v>1091</v>
      </c>
      <c r="H2848" s="112" t="s">
        <v>1016</v>
      </c>
      <c r="I2848" s="112" t="s">
        <v>1788</v>
      </c>
      <c r="J2848" s="112" t="s">
        <v>2498</v>
      </c>
      <c r="K2848" s="112" t="s">
        <v>2755</v>
      </c>
      <c r="L2848" s="116">
        <v>-85</v>
      </c>
    </row>
    <row r="2849" spans="1:12" hidden="1" outlineLevel="1" collapsed="1" x14ac:dyDescent="0.35">
      <c r="A2849" s="112" t="s">
        <v>2479</v>
      </c>
      <c r="B2849" s="112" t="s">
        <v>908</v>
      </c>
      <c r="C2849" s="112" t="s">
        <v>695</v>
      </c>
      <c r="D2849" s="113">
        <v>10347981</v>
      </c>
      <c r="E2849" s="115">
        <v>43924</v>
      </c>
      <c r="F2849" s="114">
        <v>202101</v>
      </c>
      <c r="G2849" s="112" t="s">
        <v>1091</v>
      </c>
      <c r="H2849" s="112" t="s">
        <v>1015</v>
      </c>
      <c r="I2849" s="112" t="s">
        <v>761</v>
      </c>
      <c r="J2849" s="112" t="s">
        <v>2520</v>
      </c>
      <c r="K2849" s="112" t="s">
        <v>2756</v>
      </c>
      <c r="L2849" s="116">
        <v>-19.600000000000001</v>
      </c>
    </row>
    <row r="2850" spans="1:12" hidden="1" outlineLevel="1" collapsed="1" x14ac:dyDescent="0.35">
      <c r="A2850" s="112" t="s">
        <v>2479</v>
      </c>
      <c r="B2850" s="112" t="s">
        <v>908</v>
      </c>
      <c r="C2850" s="112" t="s">
        <v>695</v>
      </c>
      <c r="D2850" s="113">
        <v>10347981</v>
      </c>
      <c r="E2850" s="115">
        <v>43924</v>
      </c>
      <c r="F2850" s="114">
        <v>202101</v>
      </c>
      <c r="G2850" s="112" t="s">
        <v>1091</v>
      </c>
      <c r="H2850" s="112" t="s">
        <v>1015</v>
      </c>
      <c r="I2850" s="112" t="s">
        <v>1092</v>
      </c>
      <c r="J2850" s="112" t="s">
        <v>2484</v>
      </c>
      <c r="K2850" s="112" t="s">
        <v>1451</v>
      </c>
      <c r="L2850" s="116">
        <v>-51</v>
      </c>
    </row>
    <row r="2851" spans="1:12" hidden="1" outlineLevel="1" collapsed="1" x14ac:dyDescent="0.35">
      <c r="A2851" s="112" t="s">
        <v>2479</v>
      </c>
      <c r="B2851" s="112" t="s">
        <v>908</v>
      </c>
      <c r="C2851" s="112" t="s">
        <v>695</v>
      </c>
      <c r="D2851" s="113">
        <v>10347981</v>
      </c>
      <c r="E2851" s="115">
        <v>43924</v>
      </c>
      <c r="F2851" s="114">
        <v>202101</v>
      </c>
      <c r="G2851" s="112" t="s">
        <v>1091</v>
      </c>
      <c r="H2851" s="112" t="s">
        <v>1015</v>
      </c>
      <c r="I2851" s="112" t="s">
        <v>1182</v>
      </c>
      <c r="J2851" s="112" t="s">
        <v>2584</v>
      </c>
      <c r="K2851" s="112" t="s">
        <v>2757</v>
      </c>
      <c r="L2851" s="116">
        <v>-228</v>
      </c>
    </row>
    <row r="2852" spans="1:12" hidden="1" outlineLevel="1" collapsed="1" x14ac:dyDescent="0.35">
      <c r="A2852" s="112" t="s">
        <v>2479</v>
      </c>
      <c r="B2852" s="112" t="s">
        <v>908</v>
      </c>
      <c r="C2852" s="112" t="s">
        <v>679</v>
      </c>
      <c r="D2852" s="113">
        <v>10348056</v>
      </c>
      <c r="E2852" s="115">
        <v>43928</v>
      </c>
      <c r="F2852" s="114">
        <v>202101</v>
      </c>
      <c r="G2852" s="112" t="s">
        <v>1091</v>
      </c>
      <c r="H2852" s="112" t="s">
        <v>1016</v>
      </c>
      <c r="I2852" s="112" t="s">
        <v>1788</v>
      </c>
      <c r="J2852" s="112" t="s">
        <v>2498</v>
      </c>
      <c r="K2852" s="112" t="s">
        <v>2758</v>
      </c>
      <c r="L2852" s="116">
        <v>-25</v>
      </c>
    </row>
    <row r="2853" spans="1:12" hidden="1" outlineLevel="1" collapsed="1" x14ac:dyDescent="0.35">
      <c r="A2853" s="112" t="s">
        <v>2479</v>
      </c>
      <c r="B2853" s="112" t="s">
        <v>908</v>
      </c>
      <c r="C2853" s="112" t="s">
        <v>679</v>
      </c>
      <c r="D2853" s="113">
        <v>10348115</v>
      </c>
      <c r="E2853" s="115">
        <v>43929</v>
      </c>
      <c r="F2853" s="114">
        <v>202101</v>
      </c>
      <c r="G2853" s="112" t="s">
        <v>1091</v>
      </c>
      <c r="H2853" s="112" t="s">
        <v>1016</v>
      </c>
      <c r="I2853" s="112" t="s">
        <v>1788</v>
      </c>
      <c r="J2853" s="112" t="s">
        <v>2498</v>
      </c>
      <c r="K2853" s="112" t="s">
        <v>2759</v>
      </c>
      <c r="L2853" s="116">
        <v>-840</v>
      </c>
    </row>
    <row r="2854" spans="1:12" hidden="1" outlineLevel="1" collapsed="1" x14ac:dyDescent="0.35">
      <c r="A2854" s="112" t="s">
        <v>2479</v>
      </c>
      <c r="B2854" s="112" t="s">
        <v>908</v>
      </c>
      <c r="C2854" s="112" t="s">
        <v>679</v>
      </c>
      <c r="D2854" s="113">
        <v>10348115</v>
      </c>
      <c r="E2854" s="115">
        <v>43929</v>
      </c>
      <c r="F2854" s="114">
        <v>202101</v>
      </c>
      <c r="G2854" s="112" t="s">
        <v>1091</v>
      </c>
      <c r="H2854" s="112" t="s">
        <v>1016</v>
      </c>
      <c r="I2854" s="112" t="s">
        <v>1788</v>
      </c>
      <c r="J2854" s="112" t="s">
        <v>2498</v>
      </c>
      <c r="K2854" s="112" t="s">
        <v>2760</v>
      </c>
      <c r="L2854" s="116">
        <v>-196</v>
      </c>
    </row>
    <row r="2855" spans="1:12" hidden="1" outlineLevel="1" collapsed="1" x14ac:dyDescent="0.35">
      <c r="A2855" s="112" t="s">
        <v>2479</v>
      </c>
      <c r="B2855" s="112" t="s">
        <v>908</v>
      </c>
      <c r="C2855" s="112" t="s">
        <v>679</v>
      </c>
      <c r="D2855" s="113">
        <v>10348115</v>
      </c>
      <c r="E2855" s="115">
        <v>43929</v>
      </c>
      <c r="F2855" s="114">
        <v>202101</v>
      </c>
      <c r="G2855" s="112" t="s">
        <v>1091</v>
      </c>
      <c r="H2855" s="112" t="s">
        <v>1016</v>
      </c>
      <c r="I2855" s="112" t="s">
        <v>819</v>
      </c>
      <c r="J2855" s="112" t="s">
        <v>2501</v>
      </c>
      <c r="K2855" s="112" t="s">
        <v>2761</v>
      </c>
      <c r="L2855" s="116">
        <v>-255.83</v>
      </c>
    </row>
    <row r="2856" spans="1:12" hidden="1" outlineLevel="1" collapsed="1" x14ac:dyDescent="0.35">
      <c r="A2856" s="112" t="s">
        <v>2479</v>
      </c>
      <c r="B2856" s="112" t="s">
        <v>908</v>
      </c>
      <c r="C2856" s="112" t="s">
        <v>679</v>
      </c>
      <c r="D2856" s="113">
        <v>10348115</v>
      </c>
      <c r="E2856" s="115">
        <v>43929</v>
      </c>
      <c r="F2856" s="114">
        <v>202101</v>
      </c>
      <c r="G2856" s="112" t="s">
        <v>1091</v>
      </c>
      <c r="H2856" s="112" t="s">
        <v>1016</v>
      </c>
      <c r="I2856" s="112" t="s">
        <v>1788</v>
      </c>
      <c r="J2856" s="112" t="s">
        <v>2498</v>
      </c>
      <c r="K2856" s="112" t="s">
        <v>2762</v>
      </c>
      <c r="L2856" s="116">
        <v>-196</v>
      </c>
    </row>
    <row r="2857" spans="1:12" hidden="1" outlineLevel="1" collapsed="1" x14ac:dyDescent="0.35">
      <c r="A2857" s="112" t="s">
        <v>2479</v>
      </c>
      <c r="B2857" s="112" t="s">
        <v>908</v>
      </c>
      <c r="C2857" s="112" t="s">
        <v>679</v>
      </c>
      <c r="D2857" s="113">
        <v>10348115</v>
      </c>
      <c r="E2857" s="115">
        <v>43929</v>
      </c>
      <c r="F2857" s="114">
        <v>202101</v>
      </c>
      <c r="G2857" s="112" t="s">
        <v>1091</v>
      </c>
      <c r="H2857" s="112" t="s">
        <v>1016</v>
      </c>
      <c r="I2857" s="112" t="s">
        <v>1788</v>
      </c>
      <c r="J2857" s="112" t="s">
        <v>2498</v>
      </c>
      <c r="K2857" s="112" t="s">
        <v>2763</v>
      </c>
      <c r="L2857" s="116">
        <v>-60</v>
      </c>
    </row>
    <row r="2858" spans="1:12" hidden="1" outlineLevel="1" collapsed="1" x14ac:dyDescent="0.35">
      <c r="A2858" s="112" t="s">
        <v>2479</v>
      </c>
      <c r="B2858" s="112" t="s">
        <v>909</v>
      </c>
      <c r="C2858" s="112" t="s">
        <v>679</v>
      </c>
      <c r="D2858" s="113">
        <v>10348115</v>
      </c>
      <c r="E2858" s="115">
        <v>43929</v>
      </c>
      <c r="F2858" s="114">
        <v>202101</v>
      </c>
      <c r="G2858" s="112" t="s">
        <v>1091</v>
      </c>
      <c r="H2858" s="112" t="s">
        <v>1016</v>
      </c>
      <c r="I2858" s="112" t="s">
        <v>2742</v>
      </c>
      <c r="J2858" s="112" t="s">
        <v>2523</v>
      </c>
      <c r="K2858" s="112" t="s">
        <v>2764</v>
      </c>
      <c r="L2858" s="116">
        <v>-490</v>
      </c>
    </row>
    <row r="2859" spans="1:12" hidden="1" outlineLevel="1" collapsed="1" x14ac:dyDescent="0.35">
      <c r="A2859" s="112" t="s">
        <v>2479</v>
      </c>
      <c r="B2859" s="112" t="s">
        <v>908</v>
      </c>
      <c r="C2859" s="112" t="s">
        <v>679</v>
      </c>
      <c r="D2859" s="113">
        <v>10348115</v>
      </c>
      <c r="E2859" s="115">
        <v>43929</v>
      </c>
      <c r="F2859" s="114">
        <v>202101</v>
      </c>
      <c r="G2859" s="112" t="s">
        <v>1091</v>
      </c>
      <c r="H2859" s="112" t="s">
        <v>1016</v>
      </c>
      <c r="I2859" s="112" t="s">
        <v>1788</v>
      </c>
      <c r="J2859" s="112" t="s">
        <v>2498</v>
      </c>
      <c r="K2859" s="112" t="s">
        <v>2765</v>
      </c>
      <c r="L2859" s="116">
        <v>-1900</v>
      </c>
    </row>
    <row r="2860" spans="1:12" hidden="1" outlineLevel="1" collapsed="1" x14ac:dyDescent="0.35">
      <c r="A2860" s="112" t="s">
        <v>2479</v>
      </c>
      <c r="B2860" s="112" t="s">
        <v>908</v>
      </c>
      <c r="C2860" s="112" t="s">
        <v>679</v>
      </c>
      <c r="D2860" s="113">
        <v>10348115</v>
      </c>
      <c r="E2860" s="115">
        <v>43929</v>
      </c>
      <c r="F2860" s="114">
        <v>202101</v>
      </c>
      <c r="G2860" s="112" t="s">
        <v>1091</v>
      </c>
      <c r="H2860" s="112" t="s">
        <v>1016</v>
      </c>
      <c r="I2860" s="112" t="s">
        <v>1788</v>
      </c>
      <c r="J2860" s="112" t="s">
        <v>2498</v>
      </c>
      <c r="K2860" s="112" t="s">
        <v>2765</v>
      </c>
      <c r="L2860" s="116">
        <v>-600</v>
      </c>
    </row>
    <row r="2861" spans="1:12" hidden="1" outlineLevel="1" collapsed="1" x14ac:dyDescent="0.35">
      <c r="A2861" s="112" t="s">
        <v>2479</v>
      </c>
      <c r="B2861" s="112" t="s">
        <v>909</v>
      </c>
      <c r="C2861" s="112" t="s">
        <v>1150</v>
      </c>
      <c r="D2861" s="113">
        <v>10348573</v>
      </c>
      <c r="E2861" s="115">
        <v>43958</v>
      </c>
      <c r="F2861" s="114">
        <v>202101</v>
      </c>
      <c r="G2861" s="112" t="s">
        <v>1091</v>
      </c>
      <c r="H2861" s="112" t="s">
        <v>1015</v>
      </c>
      <c r="I2861" s="112" t="s">
        <v>1182</v>
      </c>
      <c r="J2861" s="112" t="s">
        <v>2523</v>
      </c>
      <c r="K2861" s="112" t="s">
        <v>1151</v>
      </c>
      <c r="L2861" s="116">
        <v>114.49</v>
      </c>
    </row>
    <row r="2862" spans="1:12" hidden="1" outlineLevel="1" collapsed="1" x14ac:dyDescent="0.35">
      <c r="A2862" s="112" t="s">
        <v>2479</v>
      </c>
      <c r="B2862" s="112" t="s">
        <v>909</v>
      </c>
      <c r="C2862" s="112" t="s">
        <v>679</v>
      </c>
      <c r="D2862" s="113">
        <v>10348115</v>
      </c>
      <c r="E2862" s="115">
        <v>43929</v>
      </c>
      <c r="F2862" s="114">
        <v>202101</v>
      </c>
      <c r="G2862" s="112" t="s">
        <v>1091</v>
      </c>
      <c r="H2862" s="112" t="s">
        <v>1016</v>
      </c>
      <c r="I2862" s="112" t="s">
        <v>2522</v>
      </c>
      <c r="J2862" s="112" t="s">
        <v>2523</v>
      </c>
      <c r="K2862" s="112" t="s">
        <v>2766</v>
      </c>
      <c r="L2862" s="116">
        <v>-352</v>
      </c>
    </row>
    <row r="2863" spans="1:12" hidden="1" outlineLevel="1" collapsed="1" x14ac:dyDescent="0.35">
      <c r="A2863" s="112" t="s">
        <v>2479</v>
      </c>
      <c r="B2863" s="112" t="s">
        <v>908</v>
      </c>
      <c r="C2863" s="112" t="s">
        <v>679</v>
      </c>
      <c r="D2863" s="113">
        <v>10348115</v>
      </c>
      <c r="E2863" s="115">
        <v>43929</v>
      </c>
      <c r="F2863" s="114">
        <v>202101</v>
      </c>
      <c r="G2863" s="112" t="s">
        <v>1091</v>
      </c>
      <c r="H2863" s="112" t="s">
        <v>1016</v>
      </c>
      <c r="I2863" s="112" t="s">
        <v>1788</v>
      </c>
      <c r="J2863" s="112" t="s">
        <v>2498</v>
      </c>
      <c r="K2863" s="112" t="s">
        <v>2767</v>
      </c>
      <c r="L2863" s="116">
        <v>-196</v>
      </c>
    </row>
    <row r="2864" spans="1:12" hidden="1" outlineLevel="1" collapsed="1" x14ac:dyDescent="0.35">
      <c r="A2864" s="112" t="s">
        <v>2479</v>
      </c>
      <c r="B2864" s="112" t="s">
        <v>909</v>
      </c>
      <c r="C2864" s="112" t="s">
        <v>679</v>
      </c>
      <c r="D2864" s="113">
        <v>10348115</v>
      </c>
      <c r="E2864" s="115">
        <v>43929</v>
      </c>
      <c r="F2864" s="114">
        <v>202101</v>
      </c>
      <c r="G2864" s="112" t="s">
        <v>1091</v>
      </c>
      <c r="H2864" s="112" t="s">
        <v>1016</v>
      </c>
      <c r="I2864" s="112" t="s">
        <v>2536</v>
      </c>
      <c r="J2864" s="112" t="s">
        <v>2523</v>
      </c>
      <c r="K2864" s="112" t="s">
        <v>2768</v>
      </c>
      <c r="L2864" s="116">
        <v>-177</v>
      </c>
    </row>
    <row r="2865" spans="1:12" hidden="1" outlineLevel="1" collapsed="1" x14ac:dyDescent="0.35">
      <c r="A2865" s="112" t="s">
        <v>2479</v>
      </c>
      <c r="B2865" s="112" t="s">
        <v>908</v>
      </c>
      <c r="C2865" s="112" t="s">
        <v>1518</v>
      </c>
      <c r="D2865" s="113">
        <v>51365984</v>
      </c>
      <c r="E2865" s="115">
        <v>43928</v>
      </c>
      <c r="F2865" s="114">
        <v>202101</v>
      </c>
      <c r="G2865" s="112" t="s">
        <v>1091</v>
      </c>
      <c r="H2865" s="112" t="s">
        <v>1016</v>
      </c>
      <c r="I2865" s="112" t="s">
        <v>1293</v>
      </c>
      <c r="J2865" s="112" t="s">
        <v>2503</v>
      </c>
      <c r="K2865" s="112" t="s">
        <v>2769</v>
      </c>
      <c r="L2865" s="116">
        <v>-1</v>
      </c>
    </row>
    <row r="2866" spans="1:12" hidden="1" outlineLevel="1" collapsed="1" x14ac:dyDescent="0.35">
      <c r="A2866" s="112" t="s">
        <v>2479</v>
      </c>
      <c r="B2866" s="112" t="s">
        <v>908</v>
      </c>
      <c r="C2866" s="112" t="s">
        <v>1518</v>
      </c>
      <c r="D2866" s="113">
        <v>51365986</v>
      </c>
      <c r="E2866" s="115">
        <v>43928</v>
      </c>
      <c r="F2866" s="114">
        <v>202101</v>
      </c>
      <c r="G2866" s="112" t="s">
        <v>1091</v>
      </c>
      <c r="H2866" s="112" t="s">
        <v>1016</v>
      </c>
      <c r="I2866" s="112" t="s">
        <v>1293</v>
      </c>
      <c r="J2866" s="112" t="s">
        <v>2484</v>
      </c>
      <c r="K2866" s="112" t="s">
        <v>2770</v>
      </c>
      <c r="L2866" s="116">
        <v>-36250</v>
      </c>
    </row>
    <row r="2867" spans="1:12" hidden="1" outlineLevel="1" collapsed="1" x14ac:dyDescent="0.35">
      <c r="A2867" s="112" t="s">
        <v>2479</v>
      </c>
      <c r="B2867" s="112" t="s">
        <v>908</v>
      </c>
      <c r="C2867" s="112" t="s">
        <v>1518</v>
      </c>
      <c r="D2867" s="113">
        <v>51366040</v>
      </c>
      <c r="E2867" s="115">
        <v>43928</v>
      </c>
      <c r="F2867" s="114">
        <v>202101</v>
      </c>
      <c r="G2867" s="112" t="s">
        <v>1091</v>
      </c>
      <c r="H2867" s="112" t="s">
        <v>1016</v>
      </c>
      <c r="I2867" s="112" t="s">
        <v>1293</v>
      </c>
      <c r="J2867" s="112" t="s">
        <v>2503</v>
      </c>
      <c r="K2867" s="112" t="s">
        <v>2771</v>
      </c>
      <c r="L2867" s="116">
        <v>-561.19000000000005</v>
      </c>
    </row>
    <row r="2868" spans="1:12" hidden="1" outlineLevel="1" collapsed="1" x14ac:dyDescent="0.35">
      <c r="A2868" s="112" t="s">
        <v>2479</v>
      </c>
      <c r="B2868" s="112" t="s">
        <v>908</v>
      </c>
      <c r="C2868" s="112" t="s">
        <v>679</v>
      </c>
      <c r="D2868" s="113">
        <v>10348056</v>
      </c>
      <c r="E2868" s="115">
        <v>43928</v>
      </c>
      <c r="F2868" s="114">
        <v>202101</v>
      </c>
      <c r="G2868" s="112" t="s">
        <v>1091</v>
      </c>
      <c r="H2868" s="112" t="s">
        <v>1016</v>
      </c>
      <c r="I2868" s="112" t="s">
        <v>1788</v>
      </c>
      <c r="J2868" s="112" t="s">
        <v>2498</v>
      </c>
      <c r="K2868" s="112" t="s">
        <v>2772</v>
      </c>
      <c r="L2868" s="116">
        <v>-190</v>
      </c>
    </row>
    <row r="2869" spans="1:12" hidden="1" outlineLevel="1" collapsed="1" x14ac:dyDescent="0.35">
      <c r="A2869" s="112" t="s">
        <v>2479</v>
      </c>
      <c r="B2869" s="112" t="s">
        <v>908</v>
      </c>
      <c r="C2869" s="112" t="s">
        <v>679</v>
      </c>
      <c r="D2869" s="113">
        <v>10348056</v>
      </c>
      <c r="E2869" s="115">
        <v>43928</v>
      </c>
      <c r="F2869" s="114">
        <v>202101</v>
      </c>
      <c r="G2869" s="112" t="s">
        <v>1091</v>
      </c>
      <c r="H2869" s="112" t="s">
        <v>1016</v>
      </c>
      <c r="I2869" s="112" t="s">
        <v>1788</v>
      </c>
      <c r="J2869" s="112" t="s">
        <v>2498</v>
      </c>
      <c r="K2869" s="112" t="s">
        <v>2773</v>
      </c>
      <c r="L2869" s="116">
        <v>215</v>
      </c>
    </row>
    <row r="2870" spans="1:12" hidden="1" outlineLevel="1" collapsed="1" x14ac:dyDescent="0.35">
      <c r="A2870" s="112" t="s">
        <v>2479</v>
      </c>
      <c r="B2870" s="112" t="s">
        <v>908</v>
      </c>
      <c r="C2870" s="112" t="s">
        <v>679</v>
      </c>
      <c r="D2870" s="113">
        <v>10348056</v>
      </c>
      <c r="E2870" s="115">
        <v>43928</v>
      </c>
      <c r="F2870" s="114">
        <v>202101</v>
      </c>
      <c r="G2870" s="112" t="s">
        <v>1091</v>
      </c>
      <c r="H2870" s="112" t="s">
        <v>1016</v>
      </c>
      <c r="I2870" s="112" t="s">
        <v>1788</v>
      </c>
      <c r="J2870" s="112" t="s">
        <v>2498</v>
      </c>
      <c r="K2870" s="112" t="s">
        <v>2774</v>
      </c>
      <c r="L2870" s="116">
        <v>-85</v>
      </c>
    </row>
    <row r="2871" spans="1:12" hidden="1" outlineLevel="1" collapsed="1" x14ac:dyDescent="0.35">
      <c r="A2871" s="112" t="s">
        <v>2479</v>
      </c>
      <c r="B2871" s="112" t="s">
        <v>908</v>
      </c>
      <c r="C2871" s="112" t="s">
        <v>679</v>
      </c>
      <c r="D2871" s="113">
        <v>10348056</v>
      </c>
      <c r="E2871" s="115">
        <v>43928</v>
      </c>
      <c r="F2871" s="114">
        <v>202101</v>
      </c>
      <c r="G2871" s="112" t="s">
        <v>1091</v>
      </c>
      <c r="H2871" s="112" t="s">
        <v>1016</v>
      </c>
      <c r="I2871" s="112" t="s">
        <v>1788</v>
      </c>
      <c r="J2871" s="112" t="s">
        <v>2498</v>
      </c>
      <c r="K2871" s="112" t="s">
        <v>2775</v>
      </c>
      <c r="L2871" s="116">
        <v>-190</v>
      </c>
    </row>
    <row r="2872" spans="1:12" hidden="1" outlineLevel="1" collapsed="1" x14ac:dyDescent="0.35">
      <c r="A2872" s="112" t="s">
        <v>2479</v>
      </c>
      <c r="B2872" s="112" t="s">
        <v>908</v>
      </c>
      <c r="C2872" s="112" t="s">
        <v>679</v>
      </c>
      <c r="D2872" s="113">
        <v>10348056</v>
      </c>
      <c r="E2872" s="115">
        <v>43928</v>
      </c>
      <c r="F2872" s="114">
        <v>202101</v>
      </c>
      <c r="G2872" s="112" t="s">
        <v>1091</v>
      </c>
      <c r="H2872" s="112" t="s">
        <v>1016</v>
      </c>
      <c r="I2872" s="112" t="s">
        <v>1788</v>
      </c>
      <c r="J2872" s="112" t="s">
        <v>2498</v>
      </c>
      <c r="K2872" s="112" t="s">
        <v>2776</v>
      </c>
      <c r="L2872" s="116">
        <v>-60</v>
      </c>
    </row>
    <row r="2873" spans="1:12" hidden="1" outlineLevel="1" collapsed="1" x14ac:dyDescent="0.35">
      <c r="A2873" s="112" t="s">
        <v>2479</v>
      </c>
      <c r="B2873" s="112" t="s">
        <v>908</v>
      </c>
      <c r="C2873" s="112" t="s">
        <v>679</v>
      </c>
      <c r="D2873" s="113">
        <v>10348056</v>
      </c>
      <c r="E2873" s="115">
        <v>43928</v>
      </c>
      <c r="F2873" s="114">
        <v>202101</v>
      </c>
      <c r="G2873" s="112" t="s">
        <v>1091</v>
      </c>
      <c r="H2873" s="112" t="s">
        <v>1016</v>
      </c>
      <c r="I2873" s="112" t="s">
        <v>1788</v>
      </c>
      <c r="J2873" s="112" t="s">
        <v>2498</v>
      </c>
      <c r="K2873" s="112" t="s">
        <v>2777</v>
      </c>
      <c r="L2873" s="116">
        <v>-1100</v>
      </c>
    </row>
    <row r="2874" spans="1:12" hidden="1" outlineLevel="1" collapsed="1" x14ac:dyDescent="0.35">
      <c r="A2874" s="112" t="s">
        <v>2479</v>
      </c>
      <c r="B2874" s="112" t="s">
        <v>909</v>
      </c>
      <c r="C2874" s="112" t="s">
        <v>679</v>
      </c>
      <c r="D2874" s="113">
        <v>10348056</v>
      </c>
      <c r="E2874" s="115">
        <v>43928</v>
      </c>
      <c r="F2874" s="114">
        <v>202101</v>
      </c>
      <c r="G2874" s="112" t="s">
        <v>1091</v>
      </c>
      <c r="H2874" s="112" t="s">
        <v>1016</v>
      </c>
      <c r="I2874" s="112" t="s">
        <v>2595</v>
      </c>
      <c r="J2874" s="112" t="s">
        <v>2523</v>
      </c>
      <c r="K2874" s="112" t="s">
        <v>2778</v>
      </c>
      <c r="L2874" s="116">
        <v>-310</v>
      </c>
    </row>
    <row r="2875" spans="1:12" hidden="1" outlineLevel="1" collapsed="1" x14ac:dyDescent="0.35">
      <c r="A2875" s="112" t="s">
        <v>2479</v>
      </c>
      <c r="B2875" s="112" t="s">
        <v>908</v>
      </c>
      <c r="C2875" s="112" t="s">
        <v>679</v>
      </c>
      <c r="D2875" s="113">
        <v>10348056</v>
      </c>
      <c r="E2875" s="115">
        <v>43928</v>
      </c>
      <c r="F2875" s="114">
        <v>202101</v>
      </c>
      <c r="G2875" s="112" t="s">
        <v>1091</v>
      </c>
      <c r="H2875" s="112" t="s">
        <v>1016</v>
      </c>
      <c r="I2875" s="112" t="s">
        <v>819</v>
      </c>
      <c r="J2875" s="112" t="s">
        <v>2501</v>
      </c>
      <c r="K2875" s="112" t="s">
        <v>2779</v>
      </c>
      <c r="L2875" s="116">
        <v>-1371.28</v>
      </c>
    </row>
    <row r="2876" spans="1:12" hidden="1" outlineLevel="1" collapsed="1" x14ac:dyDescent="0.35">
      <c r="A2876" s="112" t="s">
        <v>2479</v>
      </c>
      <c r="B2876" s="112" t="s">
        <v>909</v>
      </c>
      <c r="C2876" s="112" t="s">
        <v>695</v>
      </c>
      <c r="D2876" s="113">
        <v>10348431</v>
      </c>
      <c r="E2876" s="115">
        <v>43945</v>
      </c>
      <c r="F2876" s="114">
        <v>202101</v>
      </c>
      <c r="G2876" s="112" t="s">
        <v>1091</v>
      </c>
      <c r="H2876" s="112" t="s">
        <v>1015</v>
      </c>
      <c r="I2876" s="112" t="s">
        <v>1643</v>
      </c>
      <c r="J2876" s="112" t="s">
        <v>2480</v>
      </c>
      <c r="K2876" s="112" t="s">
        <v>2780</v>
      </c>
      <c r="L2876" s="116">
        <v>189</v>
      </c>
    </row>
    <row r="2877" spans="1:12" hidden="1" outlineLevel="1" collapsed="1" x14ac:dyDescent="0.35">
      <c r="A2877" s="112" t="s">
        <v>2479</v>
      </c>
      <c r="B2877" s="112" t="s">
        <v>908</v>
      </c>
      <c r="C2877" s="112" t="s">
        <v>679</v>
      </c>
      <c r="D2877" s="113">
        <v>10348056</v>
      </c>
      <c r="E2877" s="115">
        <v>43928</v>
      </c>
      <c r="F2877" s="114">
        <v>202101</v>
      </c>
      <c r="G2877" s="112" t="s">
        <v>1091</v>
      </c>
      <c r="H2877" s="112" t="s">
        <v>1016</v>
      </c>
      <c r="I2877" s="112" t="s">
        <v>1788</v>
      </c>
      <c r="J2877" s="112" t="s">
        <v>2498</v>
      </c>
      <c r="K2877" s="112" t="s">
        <v>2781</v>
      </c>
      <c r="L2877" s="116">
        <v>-196</v>
      </c>
    </row>
    <row r="2878" spans="1:12" hidden="1" outlineLevel="1" collapsed="1" x14ac:dyDescent="0.35">
      <c r="A2878" s="112" t="s">
        <v>2479</v>
      </c>
      <c r="B2878" s="112" t="s">
        <v>908</v>
      </c>
      <c r="C2878" s="112" t="s">
        <v>679</v>
      </c>
      <c r="D2878" s="113">
        <v>10348056</v>
      </c>
      <c r="E2878" s="115">
        <v>43928</v>
      </c>
      <c r="F2878" s="114">
        <v>202101</v>
      </c>
      <c r="G2878" s="112" t="s">
        <v>1091</v>
      </c>
      <c r="H2878" s="112" t="s">
        <v>1016</v>
      </c>
      <c r="I2878" s="112" t="s">
        <v>1788</v>
      </c>
      <c r="J2878" s="112" t="s">
        <v>2498</v>
      </c>
      <c r="K2878" s="112" t="s">
        <v>2782</v>
      </c>
      <c r="L2878" s="116">
        <v>-60</v>
      </c>
    </row>
    <row r="2879" spans="1:12" hidden="1" outlineLevel="1" collapsed="1" x14ac:dyDescent="0.35">
      <c r="A2879" s="112" t="s">
        <v>2479</v>
      </c>
      <c r="B2879" s="112" t="s">
        <v>908</v>
      </c>
      <c r="C2879" s="112" t="s">
        <v>679</v>
      </c>
      <c r="D2879" s="113">
        <v>10348056</v>
      </c>
      <c r="E2879" s="115">
        <v>43928</v>
      </c>
      <c r="F2879" s="114">
        <v>202101</v>
      </c>
      <c r="G2879" s="112" t="s">
        <v>1091</v>
      </c>
      <c r="H2879" s="112" t="s">
        <v>1016</v>
      </c>
      <c r="I2879" s="112" t="s">
        <v>1788</v>
      </c>
      <c r="J2879" s="112" t="s">
        <v>2498</v>
      </c>
      <c r="K2879" s="112" t="s">
        <v>2783</v>
      </c>
      <c r="L2879" s="116">
        <v>-190</v>
      </c>
    </row>
    <row r="2880" spans="1:12" hidden="1" outlineLevel="1" collapsed="1" x14ac:dyDescent="0.35">
      <c r="A2880" s="112" t="s">
        <v>2479</v>
      </c>
      <c r="B2880" s="112" t="s">
        <v>908</v>
      </c>
      <c r="C2880" s="112" t="s">
        <v>679</v>
      </c>
      <c r="D2880" s="113">
        <v>10348056</v>
      </c>
      <c r="E2880" s="115">
        <v>43928</v>
      </c>
      <c r="F2880" s="114">
        <v>202101</v>
      </c>
      <c r="G2880" s="112" t="s">
        <v>1091</v>
      </c>
      <c r="H2880" s="112" t="s">
        <v>1016</v>
      </c>
      <c r="I2880" s="112" t="s">
        <v>1788</v>
      </c>
      <c r="J2880" s="112" t="s">
        <v>2498</v>
      </c>
      <c r="K2880" s="112" t="s">
        <v>2784</v>
      </c>
      <c r="L2880" s="116">
        <v>-190</v>
      </c>
    </row>
    <row r="2881" spans="1:12" hidden="1" outlineLevel="1" collapsed="1" x14ac:dyDescent="0.35">
      <c r="A2881" s="112" t="s">
        <v>2479</v>
      </c>
      <c r="B2881" s="112" t="s">
        <v>908</v>
      </c>
      <c r="C2881" s="112" t="s">
        <v>679</v>
      </c>
      <c r="D2881" s="113">
        <v>10348056</v>
      </c>
      <c r="E2881" s="115">
        <v>43928</v>
      </c>
      <c r="F2881" s="114">
        <v>202101</v>
      </c>
      <c r="G2881" s="112" t="s">
        <v>1091</v>
      </c>
      <c r="H2881" s="112" t="s">
        <v>1016</v>
      </c>
      <c r="I2881" s="112" t="s">
        <v>1788</v>
      </c>
      <c r="J2881" s="112" t="s">
        <v>2498</v>
      </c>
      <c r="K2881" s="112" t="s">
        <v>2532</v>
      </c>
      <c r="L2881" s="116">
        <v>-190</v>
      </c>
    </row>
    <row r="2882" spans="1:12" hidden="1" outlineLevel="1" collapsed="1" x14ac:dyDescent="0.35">
      <c r="A2882" s="112" t="s">
        <v>2479</v>
      </c>
      <c r="B2882" s="112" t="s">
        <v>908</v>
      </c>
      <c r="C2882" s="112" t="s">
        <v>679</v>
      </c>
      <c r="D2882" s="113">
        <v>10348056</v>
      </c>
      <c r="E2882" s="115">
        <v>43928</v>
      </c>
      <c r="F2882" s="114">
        <v>202101</v>
      </c>
      <c r="G2882" s="112" t="s">
        <v>1091</v>
      </c>
      <c r="H2882" s="112" t="s">
        <v>1016</v>
      </c>
      <c r="I2882" s="112" t="s">
        <v>1788</v>
      </c>
      <c r="J2882" s="112" t="s">
        <v>2498</v>
      </c>
      <c r="K2882" s="112" t="s">
        <v>2785</v>
      </c>
      <c r="L2882" s="116">
        <v>-205</v>
      </c>
    </row>
    <row r="2883" spans="1:12" hidden="1" outlineLevel="1" collapsed="1" x14ac:dyDescent="0.35">
      <c r="A2883" s="112" t="s">
        <v>2479</v>
      </c>
      <c r="B2883" s="112" t="s">
        <v>908</v>
      </c>
      <c r="C2883" s="112" t="s">
        <v>679</v>
      </c>
      <c r="D2883" s="113">
        <v>10348056</v>
      </c>
      <c r="E2883" s="115">
        <v>43928</v>
      </c>
      <c r="F2883" s="114">
        <v>202101</v>
      </c>
      <c r="G2883" s="112" t="s">
        <v>1091</v>
      </c>
      <c r="H2883" s="112" t="s">
        <v>1016</v>
      </c>
      <c r="I2883" s="112" t="s">
        <v>819</v>
      </c>
      <c r="J2883" s="112" t="s">
        <v>2501</v>
      </c>
      <c r="K2883" s="112" t="s">
        <v>2786</v>
      </c>
      <c r="L2883" s="116">
        <v>-746.67</v>
      </c>
    </row>
    <row r="2884" spans="1:12" hidden="1" outlineLevel="1" collapsed="1" x14ac:dyDescent="0.35">
      <c r="A2884" s="112" t="s">
        <v>2479</v>
      </c>
      <c r="B2884" s="112" t="s">
        <v>908</v>
      </c>
      <c r="C2884" s="112" t="s">
        <v>679</v>
      </c>
      <c r="D2884" s="113">
        <v>10348056</v>
      </c>
      <c r="E2884" s="115">
        <v>43928</v>
      </c>
      <c r="F2884" s="114">
        <v>202101</v>
      </c>
      <c r="G2884" s="112" t="s">
        <v>1091</v>
      </c>
      <c r="H2884" s="112" t="s">
        <v>1016</v>
      </c>
      <c r="I2884" s="112" t="s">
        <v>1788</v>
      </c>
      <c r="J2884" s="112" t="s">
        <v>2498</v>
      </c>
      <c r="K2884" s="112" t="s">
        <v>2787</v>
      </c>
      <c r="L2884" s="116">
        <v>-60</v>
      </c>
    </row>
    <row r="2885" spans="1:12" hidden="1" outlineLevel="1" collapsed="1" x14ac:dyDescent="0.35">
      <c r="A2885" s="112" t="s">
        <v>2479</v>
      </c>
      <c r="B2885" s="112" t="s">
        <v>909</v>
      </c>
      <c r="C2885" s="112" t="s">
        <v>679</v>
      </c>
      <c r="D2885" s="113">
        <v>10348056</v>
      </c>
      <c r="E2885" s="115">
        <v>43928</v>
      </c>
      <c r="F2885" s="114">
        <v>202101</v>
      </c>
      <c r="G2885" s="112" t="s">
        <v>1091</v>
      </c>
      <c r="H2885" s="112" t="s">
        <v>1016</v>
      </c>
      <c r="I2885" s="112" t="s">
        <v>2595</v>
      </c>
      <c r="J2885" s="112" t="s">
        <v>2523</v>
      </c>
      <c r="K2885" s="112" t="s">
        <v>2788</v>
      </c>
      <c r="L2885" s="116">
        <v>-108</v>
      </c>
    </row>
    <row r="2886" spans="1:12" hidden="1" outlineLevel="1" collapsed="1" x14ac:dyDescent="0.35">
      <c r="A2886" s="112" t="s">
        <v>2479</v>
      </c>
      <c r="B2886" s="112" t="s">
        <v>908</v>
      </c>
      <c r="C2886" s="112" t="s">
        <v>679</v>
      </c>
      <c r="D2886" s="113">
        <v>10348056</v>
      </c>
      <c r="E2886" s="115">
        <v>43928</v>
      </c>
      <c r="F2886" s="114">
        <v>202101</v>
      </c>
      <c r="G2886" s="112" t="s">
        <v>1091</v>
      </c>
      <c r="H2886" s="112" t="s">
        <v>1016</v>
      </c>
      <c r="I2886" s="112" t="s">
        <v>1788</v>
      </c>
      <c r="J2886" s="112" t="s">
        <v>2498</v>
      </c>
      <c r="K2886" s="112" t="s">
        <v>2787</v>
      </c>
      <c r="L2886" s="116">
        <v>-60</v>
      </c>
    </row>
    <row r="2887" spans="1:12" hidden="1" outlineLevel="1" collapsed="1" x14ac:dyDescent="0.35">
      <c r="A2887" s="112" t="s">
        <v>2479</v>
      </c>
      <c r="B2887" s="112" t="s">
        <v>908</v>
      </c>
      <c r="C2887" s="112" t="s">
        <v>679</v>
      </c>
      <c r="D2887" s="113">
        <v>10348056</v>
      </c>
      <c r="E2887" s="115">
        <v>43928</v>
      </c>
      <c r="F2887" s="114">
        <v>202101</v>
      </c>
      <c r="G2887" s="112" t="s">
        <v>1091</v>
      </c>
      <c r="H2887" s="112" t="s">
        <v>1016</v>
      </c>
      <c r="I2887" s="112" t="s">
        <v>1788</v>
      </c>
      <c r="J2887" s="112" t="s">
        <v>2498</v>
      </c>
      <c r="K2887" s="112" t="s">
        <v>2789</v>
      </c>
      <c r="L2887" s="116">
        <v>-190</v>
      </c>
    </row>
    <row r="2888" spans="1:12" hidden="1" outlineLevel="1" collapsed="1" x14ac:dyDescent="0.35">
      <c r="A2888" s="112" t="s">
        <v>2479</v>
      </c>
      <c r="B2888" s="112" t="s">
        <v>908</v>
      </c>
      <c r="C2888" s="112" t="s">
        <v>679</v>
      </c>
      <c r="D2888" s="113">
        <v>10348056</v>
      </c>
      <c r="E2888" s="115">
        <v>43928</v>
      </c>
      <c r="F2888" s="114">
        <v>202101</v>
      </c>
      <c r="G2888" s="112" t="s">
        <v>1091</v>
      </c>
      <c r="H2888" s="112" t="s">
        <v>1016</v>
      </c>
      <c r="I2888" s="112" t="s">
        <v>1788</v>
      </c>
      <c r="J2888" s="112" t="s">
        <v>2498</v>
      </c>
      <c r="K2888" s="112" t="s">
        <v>2790</v>
      </c>
      <c r="L2888" s="116">
        <v>-190</v>
      </c>
    </row>
    <row r="2889" spans="1:12" hidden="1" outlineLevel="1" collapsed="1" x14ac:dyDescent="0.35">
      <c r="A2889" s="112" t="s">
        <v>2479</v>
      </c>
      <c r="B2889" s="112" t="s">
        <v>908</v>
      </c>
      <c r="C2889" s="112" t="s">
        <v>679</v>
      </c>
      <c r="D2889" s="113">
        <v>10347984</v>
      </c>
      <c r="E2889" s="115">
        <v>43924</v>
      </c>
      <c r="F2889" s="114">
        <v>202101</v>
      </c>
      <c r="G2889" s="112" t="s">
        <v>1091</v>
      </c>
      <c r="H2889" s="112" t="s">
        <v>1015</v>
      </c>
      <c r="I2889" s="112" t="s">
        <v>1536</v>
      </c>
      <c r="J2889" s="112" t="s">
        <v>2513</v>
      </c>
      <c r="K2889" s="112" t="s">
        <v>706</v>
      </c>
      <c r="L2889" s="116">
        <v>57</v>
      </c>
    </row>
    <row r="2890" spans="1:12" hidden="1" outlineLevel="1" collapsed="1" x14ac:dyDescent="0.35">
      <c r="A2890" s="112" t="s">
        <v>2479</v>
      </c>
      <c r="B2890" s="112" t="s">
        <v>908</v>
      </c>
      <c r="C2890" s="112" t="s">
        <v>695</v>
      </c>
      <c r="D2890" s="113">
        <v>10347981</v>
      </c>
      <c r="E2890" s="115">
        <v>43924</v>
      </c>
      <c r="F2890" s="114">
        <v>202101</v>
      </c>
      <c r="G2890" s="112" t="s">
        <v>1091</v>
      </c>
      <c r="H2890" s="112" t="s">
        <v>1015</v>
      </c>
      <c r="I2890" s="112" t="s">
        <v>1605</v>
      </c>
      <c r="J2890" s="112" t="s">
        <v>2484</v>
      </c>
      <c r="K2890" s="112" t="s">
        <v>2791</v>
      </c>
      <c r="L2890" s="116">
        <v>-11.54</v>
      </c>
    </row>
    <row r="2891" spans="1:12" hidden="1" outlineLevel="1" collapsed="1" x14ac:dyDescent="0.35">
      <c r="A2891" s="112" t="s">
        <v>2479</v>
      </c>
      <c r="B2891" s="112" t="s">
        <v>908</v>
      </c>
      <c r="C2891" s="112" t="s">
        <v>695</v>
      </c>
      <c r="D2891" s="113">
        <v>10347981</v>
      </c>
      <c r="E2891" s="115">
        <v>43924</v>
      </c>
      <c r="F2891" s="114">
        <v>202101</v>
      </c>
      <c r="G2891" s="112" t="s">
        <v>1091</v>
      </c>
      <c r="H2891" s="112" t="s">
        <v>1015</v>
      </c>
      <c r="I2891" s="112" t="s">
        <v>761</v>
      </c>
      <c r="J2891" s="112" t="s">
        <v>2520</v>
      </c>
      <c r="K2891" s="112" t="s">
        <v>2792</v>
      </c>
      <c r="L2891" s="116">
        <v>-100</v>
      </c>
    </row>
    <row r="2892" spans="1:12" hidden="1" outlineLevel="1" collapsed="1" x14ac:dyDescent="0.35">
      <c r="A2892" s="112" t="s">
        <v>2479</v>
      </c>
      <c r="B2892" s="112" t="s">
        <v>908</v>
      </c>
      <c r="C2892" s="112" t="s">
        <v>695</v>
      </c>
      <c r="D2892" s="113">
        <v>10347981</v>
      </c>
      <c r="E2892" s="115">
        <v>43924</v>
      </c>
      <c r="F2892" s="114">
        <v>202101</v>
      </c>
      <c r="G2892" s="112" t="s">
        <v>1091</v>
      </c>
      <c r="H2892" s="112" t="s">
        <v>1015</v>
      </c>
      <c r="I2892" s="112" t="s">
        <v>761</v>
      </c>
      <c r="J2892" s="112" t="s">
        <v>2553</v>
      </c>
      <c r="K2892" s="112" t="s">
        <v>2793</v>
      </c>
      <c r="L2892" s="116">
        <v>-500</v>
      </c>
    </row>
    <row r="2893" spans="1:12" hidden="1" outlineLevel="1" collapsed="1" x14ac:dyDescent="0.35">
      <c r="A2893" s="112" t="s">
        <v>2479</v>
      </c>
      <c r="B2893" s="112" t="s">
        <v>908</v>
      </c>
      <c r="C2893" s="112" t="s">
        <v>679</v>
      </c>
      <c r="D2893" s="113">
        <v>10348056</v>
      </c>
      <c r="E2893" s="115">
        <v>43928</v>
      </c>
      <c r="F2893" s="114">
        <v>202101</v>
      </c>
      <c r="G2893" s="112" t="s">
        <v>1091</v>
      </c>
      <c r="H2893" s="112" t="s">
        <v>1016</v>
      </c>
      <c r="I2893" s="112" t="s">
        <v>1788</v>
      </c>
      <c r="J2893" s="112" t="s">
        <v>2498</v>
      </c>
      <c r="K2893" s="112" t="s">
        <v>2794</v>
      </c>
      <c r="L2893" s="116">
        <v>-62</v>
      </c>
    </row>
    <row r="2894" spans="1:12" hidden="1" outlineLevel="1" collapsed="1" x14ac:dyDescent="0.35">
      <c r="A2894" s="112" t="s">
        <v>2479</v>
      </c>
      <c r="B2894" s="112" t="s">
        <v>909</v>
      </c>
      <c r="C2894" s="112" t="s">
        <v>679</v>
      </c>
      <c r="D2894" s="113">
        <v>10348056</v>
      </c>
      <c r="E2894" s="115">
        <v>43928</v>
      </c>
      <c r="F2894" s="114">
        <v>202101</v>
      </c>
      <c r="G2894" s="112" t="s">
        <v>1091</v>
      </c>
      <c r="H2894" s="112" t="s">
        <v>1016</v>
      </c>
      <c r="I2894" s="112" t="s">
        <v>2536</v>
      </c>
      <c r="J2894" s="112" t="s">
        <v>2523</v>
      </c>
      <c r="K2894" s="112" t="s">
        <v>2795</v>
      </c>
      <c r="L2894" s="116">
        <v>-100</v>
      </c>
    </row>
    <row r="2895" spans="1:12" hidden="1" outlineLevel="1" collapsed="1" x14ac:dyDescent="0.35">
      <c r="A2895" s="112" t="s">
        <v>2479</v>
      </c>
      <c r="B2895" s="112" t="s">
        <v>908</v>
      </c>
      <c r="C2895" s="112" t="s">
        <v>679</v>
      </c>
      <c r="D2895" s="113">
        <v>10348056</v>
      </c>
      <c r="E2895" s="115">
        <v>43928</v>
      </c>
      <c r="F2895" s="114">
        <v>202101</v>
      </c>
      <c r="G2895" s="112" t="s">
        <v>1091</v>
      </c>
      <c r="H2895" s="112" t="s">
        <v>1016</v>
      </c>
      <c r="I2895" s="112" t="s">
        <v>1788</v>
      </c>
      <c r="J2895" s="112" t="s">
        <v>2498</v>
      </c>
      <c r="K2895" s="112" t="s">
        <v>2796</v>
      </c>
      <c r="L2895" s="116">
        <v>-60</v>
      </c>
    </row>
    <row r="2896" spans="1:12" hidden="1" outlineLevel="1" collapsed="1" x14ac:dyDescent="0.35">
      <c r="A2896" s="112" t="s">
        <v>2479</v>
      </c>
      <c r="B2896" s="112" t="s">
        <v>908</v>
      </c>
      <c r="C2896" s="112" t="s">
        <v>1219</v>
      </c>
      <c r="D2896" s="113">
        <v>46306861</v>
      </c>
      <c r="E2896" s="115">
        <v>43927</v>
      </c>
      <c r="F2896" s="114">
        <v>202101</v>
      </c>
      <c r="G2896" s="112" t="s">
        <v>1091</v>
      </c>
      <c r="H2896" s="112" t="s">
        <v>1016</v>
      </c>
      <c r="I2896" s="112" t="s">
        <v>1788</v>
      </c>
      <c r="J2896" s="112" t="s">
        <v>2498</v>
      </c>
      <c r="K2896" s="112" t="s">
        <v>2797</v>
      </c>
      <c r="L2896" s="116">
        <v>1025</v>
      </c>
    </row>
    <row r="2897" spans="1:12" hidden="1" outlineLevel="1" collapsed="1" x14ac:dyDescent="0.35">
      <c r="A2897" s="112" t="s">
        <v>2479</v>
      </c>
      <c r="B2897" s="112" t="s">
        <v>908</v>
      </c>
      <c r="C2897" s="112" t="s">
        <v>679</v>
      </c>
      <c r="D2897" s="113">
        <v>10348027</v>
      </c>
      <c r="E2897" s="115">
        <v>43927</v>
      </c>
      <c r="F2897" s="114">
        <v>202101</v>
      </c>
      <c r="G2897" s="112" t="s">
        <v>1091</v>
      </c>
      <c r="H2897" s="112" t="s">
        <v>1016</v>
      </c>
      <c r="I2897" s="112" t="s">
        <v>1788</v>
      </c>
      <c r="J2897" s="112" t="s">
        <v>2498</v>
      </c>
      <c r="K2897" s="112" t="s">
        <v>2798</v>
      </c>
      <c r="L2897" s="116">
        <v>-190</v>
      </c>
    </row>
    <row r="2898" spans="1:12" hidden="1" outlineLevel="1" collapsed="1" x14ac:dyDescent="0.35">
      <c r="A2898" s="112" t="s">
        <v>2479</v>
      </c>
      <c r="B2898" s="112" t="s">
        <v>908</v>
      </c>
      <c r="C2898" s="112" t="s">
        <v>695</v>
      </c>
      <c r="D2898" s="113">
        <v>10347981</v>
      </c>
      <c r="E2898" s="115">
        <v>43924</v>
      </c>
      <c r="F2898" s="114">
        <v>202101</v>
      </c>
      <c r="G2898" s="112" t="s">
        <v>1091</v>
      </c>
      <c r="H2898" s="112" t="s">
        <v>1015</v>
      </c>
      <c r="I2898" s="112" t="s">
        <v>761</v>
      </c>
      <c r="J2898" s="112" t="s">
        <v>2501</v>
      </c>
      <c r="K2898" s="112" t="s">
        <v>2799</v>
      </c>
      <c r="L2898" s="116">
        <v>-41.91</v>
      </c>
    </row>
    <row r="2899" spans="1:12" hidden="1" outlineLevel="1" collapsed="1" x14ac:dyDescent="0.35">
      <c r="A2899" s="112" t="s">
        <v>2479</v>
      </c>
      <c r="B2899" s="112" t="s">
        <v>908</v>
      </c>
      <c r="C2899" s="112" t="s">
        <v>679</v>
      </c>
      <c r="D2899" s="113">
        <v>10348027</v>
      </c>
      <c r="E2899" s="115">
        <v>43927</v>
      </c>
      <c r="F2899" s="114">
        <v>202101</v>
      </c>
      <c r="G2899" s="112" t="s">
        <v>1091</v>
      </c>
      <c r="H2899" s="112" t="s">
        <v>1016</v>
      </c>
      <c r="I2899" s="112" t="s">
        <v>1788</v>
      </c>
      <c r="J2899" s="112" t="s">
        <v>2498</v>
      </c>
      <c r="K2899" s="112" t="s">
        <v>2758</v>
      </c>
      <c r="L2899" s="116">
        <v>-60</v>
      </c>
    </row>
    <row r="2900" spans="1:12" hidden="1" outlineLevel="1" collapsed="1" x14ac:dyDescent="0.35">
      <c r="A2900" s="112" t="s">
        <v>2479</v>
      </c>
      <c r="B2900" s="112" t="s">
        <v>909</v>
      </c>
      <c r="C2900" s="112" t="s">
        <v>695</v>
      </c>
      <c r="D2900" s="113">
        <v>10347981</v>
      </c>
      <c r="E2900" s="115">
        <v>43924</v>
      </c>
      <c r="F2900" s="114">
        <v>202101</v>
      </c>
      <c r="G2900" s="112" t="s">
        <v>1091</v>
      </c>
      <c r="H2900" s="112" t="s">
        <v>1015</v>
      </c>
      <c r="I2900" s="112" t="s">
        <v>761</v>
      </c>
      <c r="J2900" s="112" t="s">
        <v>2523</v>
      </c>
      <c r="K2900" s="112" t="s">
        <v>2800</v>
      </c>
      <c r="L2900" s="116">
        <v>-221.6</v>
      </c>
    </row>
    <row r="2901" spans="1:12" hidden="1" outlineLevel="1" collapsed="1" x14ac:dyDescent="0.35">
      <c r="A2901" s="112" t="s">
        <v>2479</v>
      </c>
      <c r="B2901" s="112" t="s">
        <v>908</v>
      </c>
      <c r="C2901" s="112" t="s">
        <v>679</v>
      </c>
      <c r="D2901" s="113">
        <v>10348115</v>
      </c>
      <c r="E2901" s="115">
        <v>43929</v>
      </c>
      <c r="F2901" s="114">
        <v>202101</v>
      </c>
      <c r="G2901" s="112" t="s">
        <v>1091</v>
      </c>
      <c r="H2901" s="112" t="s">
        <v>1016</v>
      </c>
      <c r="I2901" s="112" t="s">
        <v>1788</v>
      </c>
      <c r="J2901" s="112" t="s">
        <v>2498</v>
      </c>
      <c r="K2901" s="112" t="s">
        <v>2801</v>
      </c>
      <c r="L2901" s="116">
        <v>-190</v>
      </c>
    </row>
    <row r="2902" spans="1:12" hidden="1" outlineLevel="1" collapsed="1" x14ac:dyDescent="0.35">
      <c r="A2902" s="112" t="s">
        <v>2479</v>
      </c>
      <c r="B2902" s="112" t="s">
        <v>908</v>
      </c>
      <c r="C2902" s="112" t="s">
        <v>695</v>
      </c>
      <c r="D2902" s="113">
        <v>10347981</v>
      </c>
      <c r="E2902" s="115">
        <v>43924</v>
      </c>
      <c r="F2902" s="114">
        <v>202101</v>
      </c>
      <c r="G2902" s="112" t="s">
        <v>1091</v>
      </c>
      <c r="H2902" s="112" t="s">
        <v>1015</v>
      </c>
      <c r="I2902" s="112" t="s">
        <v>761</v>
      </c>
      <c r="J2902" s="112" t="s">
        <v>2584</v>
      </c>
      <c r="K2902" s="112" t="s">
        <v>2802</v>
      </c>
      <c r="L2902" s="116">
        <v>-29.76</v>
      </c>
    </row>
    <row r="2903" spans="1:12" hidden="1" outlineLevel="1" collapsed="1" x14ac:dyDescent="0.35">
      <c r="A2903" s="112" t="s">
        <v>2479</v>
      </c>
      <c r="B2903" s="112" t="s">
        <v>908</v>
      </c>
      <c r="C2903" s="112" t="s">
        <v>679</v>
      </c>
      <c r="D2903" s="113">
        <v>10348217</v>
      </c>
      <c r="E2903" s="115">
        <v>43935</v>
      </c>
      <c r="F2903" s="114">
        <v>202101</v>
      </c>
      <c r="G2903" s="112" t="s">
        <v>1091</v>
      </c>
      <c r="H2903" s="112" t="s">
        <v>1016</v>
      </c>
      <c r="I2903" s="112" t="s">
        <v>1788</v>
      </c>
      <c r="J2903" s="112" t="s">
        <v>2498</v>
      </c>
      <c r="K2903" s="112" t="s">
        <v>2803</v>
      </c>
      <c r="L2903" s="116">
        <v>-190</v>
      </c>
    </row>
    <row r="2904" spans="1:12" hidden="1" outlineLevel="1" collapsed="1" x14ac:dyDescent="0.35">
      <c r="A2904" s="112" t="s">
        <v>2479</v>
      </c>
      <c r="B2904" s="112" t="s">
        <v>908</v>
      </c>
      <c r="C2904" s="112" t="s">
        <v>679</v>
      </c>
      <c r="D2904" s="113">
        <v>10348532</v>
      </c>
      <c r="E2904" s="115">
        <v>43950</v>
      </c>
      <c r="F2904" s="114">
        <v>202101</v>
      </c>
      <c r="G2904" s="112" t="s">
        <v>1091</v>
      </c>
      <c r="H2904" s="112" t="s">
        <v>1016</v>
      </c>
      <c r="I2904" s="112" t="s">
        <v>1788</v>
      </c>
      <c r="J2904" s="112" t="s">
        <v>2498</v>
      </c>
      <c r="K2904" s="112" t="s">
        <v>2804</v>
      </c>
      <c r="L2904" s="116">
        <v>-314</v>
      </c>
    </row>
    <row r="2905" spans="1:12" hidden="1" outlineLevel="1" collapsed="1" x14ac:dyDescent="0.35">
      <c r="A2905" s="112" t="s">
        <v>2479</v>
      </c>
      <c r="B2905" s="112" t="s">
        <v>908</v>
      </c>
      <c r="C2905" s="112" t="s">
        <v>695</v>
      </c>
      <c r="D2905" s="113">
        <v>10348200</v>
      </c>
      <c r="E2905" s="115">
        <v>43935</v>
      </c>
      <c r="F2905" s="114">
        <v>202101</v>
      </c>
      <c r="G2905" s="112" t="s">
        <v>1091</v>
      </c>
      <c r="H2905" s="112" t="s">
        <v>1016</v>
      </c>
      <c r="I2905" s="112" t="s">
        <v>1293</v>
      </c>
      <c r="J2905" s="112" t="s">
        <v>2484</v>
      </c>
      <c r="K2905" s="112" t="s">
        <v>2805</v>
      </c>
      <c r="L2905" s="116">
        <v>36250</v>
      </c>
    </row>
    <row r="2906" spans="1:12" hidden="1" outlineLevel="1" collapsed="1" x14ac:dyDescent="0.35">
      <c r="A2906" s="112" t="s">
        <v>2479</v>
      </c>
      <c r="B2906" s="112" t="s">
        <v>908</v>
      </c>
      <c r="C2906" s="112" t="s">
        <v>695</v>
      </c>
      <c r="D2906" s="113">
        <v>10348200</v>
      </c>
      <c r="E2906" s="115">
        <v>43935</v>
      </c>
      <c r="F2906" s="114">
        <v>202101</v>
      </c>
      <c r="G2906" s="112" t="s">
        <v>1091</v>
      </c>
      <c r="H2906" s="112" t="s">
        <v>1016</v>
      </c>
      <c r="I2906" s="112" t="s">
        <v>2806</v>
      </c>
      <c r="J2906" s="112" t="s">
        <v>2553</v>
      </c>
      <c r="K2906" s="112" t="s">
        <v>2807</v>
      </c>
      <c r="L2906" s="116">
        <v>-8489.89</v>
      </c>
    </row>
    <row r="2907" spans="1:12" hidden="1" outlineLevel="1" collapsed="1" x14ac:dyDescent="0.35">
      <c r="A2907" s="112" t="s">
        <v>2479</v>
      </c>
      <c r="B2907" s="112" t="s">
        <v>908</v>
      </c>
      <c r="C2907" s="112" t="s">
        <v>695</v>
      </c>
      <c r="D2907" s="113">
        <v>10348200</v>
      </c>
      <c r="E2907" s="115">
        <v>43935</v>
      </c>
      <c r="F2907" s="114">
        <v>202101</v>
      </c>
      <c r="G2907" s="112" t="s">
        <v>1091</v>
      </c>
      <c r="H2907" s="112" t="s">
        <v>1016</v>
      </c>
      <c r="I2907" s="112" t="s">
        <v>2806</v>
      </c>
      <c r="J2907" s="112" t="s">
        <v>2516</v>
      </c>
      <c r="K2907" s="112" t="s">
        <v>2808</v>
      </c>
      <c r="L2907" s="116">
        <v>-16680.419999999998</v>
      </c>
    </row>
    <row r="2908" spans="1:12" hidden="1" outlineLevel="1" collapsed="1" x14ac:dyDescent="0.35">
      <c r="A2908" s="112" t="s">
        <v>2479</v>
      </c>
      <c r="B2908" s="112" t="s">
        <v>908</v>
      </c>
      <c r="C2908" s="112" t="s">
        <v>695</v>
      </c>
      <c r="D2908" s="113">
        <v>10348200</v>
      </c>
      <c r="E2908" s="115">
        <v>43935</v>
      </c>
      <c r="F2908" s="114">
        <v>202101</v>
      </c>
      <c r="G2908" s="112" t="s">
        <v>1091</v>
      </c>
      <c r="H2908" s="112" t="s">
        <v>1016</v>
      </c>
      <c r="I2908" s="112" t="s">
        <v>680</v>
      </c>
      <c r="J2908" s="112" t="s">
        <v>2625</v>
      </c>
      <c r="K2908" s="112" t="s">
        <v>2809</v>
      </c>
      <c r="L2908" s="116">
        <v>-40921.21</v>
      </c>
    </row>
    <row r="2909" spans="1:12" hidden="1" outlineLevel="1" collapsed="1" x14ac:dyDescent="0.35">
      <c r="A2909" s="112" t="s">
        <v>2479</v>
      </c>
      <c r="B2909" s="112" t="s">
        <v>908</v>
      </c>
      <c r="C2909" s="112" t="s">
        <v>679</v>
      </c>
      <c r="D2909" s="113">
        <v>10348217</v>
      </c>
      <c r="E2909" s="115">
        <v>43935</v>
      </c>
      <c r="F2909" s="114">
        <v>202101</v>
      </c>
      <c r="G2909" s="112" t="s">
        <v>1091</v>
      </c>
      <c r="H2909" s="112" t="s">
        <v>1016</v>
      </c>
      <c r="I2909" s="112" t="s">
        <v>1788</v>
      </c>
      <c r="J2909" s="112" t="s">
        <v>2498</v>
      </c>
      <c r="K2909" s="112" t="s">
        <v>2810</v>
      </c>
      <c r="L2909" s="116">
        <v>-85</v>
      </c>
    </row>
    <row r="2910" spans="1:12" hidden="1" outlineLevel="1" collapsed="1" x14ac:dyDescent="0.35">
      <c r="A2910" s="112" t="s">
        <v>2479</v>
      </c>
      <c r="B2910" s="112" t="s">
        <v>908</v>
      </c>
      <c r="C2910" s="112" t="s">
        <v>679</v>
      </c>
      <c r="D2910" s="113">
        <v>10348217</v>
      </c>
      <c r="E2910" s="115">
        <v>43935</v>
      </c>
      <c r="F2910" s="114">
        <v>202101</v>
      </c>
      <c r="G2910" s="112" t="s">
        <v>1091</v>
      </c>
      <c r="H2910" s="112" t="s">
        <v>1016</v>
      </c>
      <c r="I2910" s="112" t="s">
        <v>1788</v>
      </c>
      <c r="J2910" s="112" t="s">
        <v>2498</v>
      </c>
      <c r="K2910" s="112" t="s">
        <v>2811</v>
      </c>
      <c r="L2910" s="116">
        <v>-85</v>
      </c>
    </row>
    <row r="2911" spans="1:12" hidden="1" outlineLevel="1" collapsed="1" x14ac:dyDescent="0.35">
      <c r="A2911" s="112" t="s">
        <v>2479</v>
      </c>
      <c r="B2911" s="112" t="s">
        <v>908</v>
      </c>
      <c r="C2911" s="112" t="s">
        <v>679</v>
      </c>
      <c r="D2911" s="113">
        <v>10348217</v>
      </c>
      <c r="E2911" s="115">
        <v>43935</v>
      </c>
      <c r="F2911" s="114">
        <v>202101</v>
      </c>
      <c r="G2911" s="112" t="s">
        <v>1091</v>
      </c>
      <c r="H2911" s="112" t="s">
        <v>1016</v>
      </c>
      <c r="I2911" s="112" t="s">
        <v>819</v>
      </c>
      <c r="J2911" s="112" t="s">
        <v>2501</v>
      </c>
      <c r="K2911" s="112" t="s">
        <v>2812</v>
      </c>
      <c r="L2911" s="116">
        <v>-725</v>
      </c>
    </row>
    <row r="2912" spans="1:12" hidden="1" outlineLevel="1" collapsed="1" x14ac:dyDescent="0.35">
      <c r="A2912" s="112" t="s">
        <v>2479</v>
      </c>
      <c r="B2912" s="112" t="s">
        <v>908</v>
      </c>
      <c r="C2912" s="112" t="s">
        <v>679</v>
      </c>
      <c r="D2912" s="113">
        <v>10348217</v>
      </c>
      <c r="E2912" s="115">
        <v>43935</v>
      </c>
      <c r="F2912" s="114">
        <v>202101</v>
      </c>
      <c r="G2912" s="112" t="s">
        <v>1091</v>
      </c>
      <c r="H2912" s="112" t="s">
        <v>1016</v>
      </c>
      <c r="I2912" s="112" t="s">
        <v>1788</v>
      </c>
      <c r="J2912" s="112" t="s">
        <v>2498</v>
      </c>
      <c r="K2912" s="112" t="s">
        <v>2813</v>
      </c>
      <c r="L2912" s="116">
        <v>-85</v>
      </c>
    </row>
    <row r="2913" spans="1:12" hidden="1" outlineLevel="1" collapsed="1" x14ac:dyDescent="0.35">
      <c r="A2913" s="112" t="s">
        <v>2479</v>
      </c>
      <c r="B2913" s="112" t="s">
        <v>908</v>
      </c>
      <c r="C2913" s="112" t="s">
        <v>679</v>
      </c>
      <c r="D2913" s="113">
        <v>10348217</v>
      </c>
      <c r="E2913" s="115">
        <v>43935</v>
      </c>
      <c r="F2913" s="114">
        <v>202101</v>
      </c>
      <c r="G2913" s="112" t="s">
        <v>1091</v>
      </c>
      <c r="H2913" s="112" t="s">
        <v>1016</v>
      </c>
      <c r="I2913" s="112" t="s">
        <v>1788</v>
      </c>
      <c r="J2913" s="112" t="s">
        <v>2498</v>
      </c>
      <c r="K2913" s="112" t="s">
        <v>2814</v>
      </c>
      <c r="L2913" s="116">
        <v>-85</v>
      </c>
    </row>
    <row r="2914" spans="1:12" hidden="1" outlineLevel="1" collapsed="1" x14ac:dyDescent="0.35">
      <c r="A2914" s="112" t="s">
        <v>2479</v>
      </c>
      <c r="B2914" s="112" t="s">
        <v>908</v>
      </c>
      <c r="C2914" s="112" t="s">
        <v>679</v>
      </c>
      <c r="D2914" s="113">
        <v>10348217</v>
      </c>
      <c r="E2914" s="115">
        <v>43935</v>
      </c>
      <c r="F2914" s="114">
        <v>202101</v>
      </c>
      <c r="G2914" s="112" t="s">
        <v>1091</v>
      </c>
      <c r="H2914" s="112" t="s">
        <v>1016</v>
      </c>
      <c r="I2914" s="112" t="s">
        <v>819</v>
      </c>
      <c r="J2914" s="112" t="s">
        <v>2501</v>
      </c>
      <c r="K2914" s="112" t="s">
        <v>2815</v>
      </c>
      <c r="L2914" s="116">
        <v>-387.5</v>
      </c>
    </row>
    <row r="2915" spans="1:12" hidden="1" outlineLevel="1" collapsed="1" x14ac:dyDescent="0.35">
      <c r="A2915" s="112" t="s">
        <v>2479</v>
      </c>
      <c r="B2915" s="112" t="s">
        <v>908</v>
      </c>
      <c r="C2915" s="112" t="s">
        <v>679</v>
      </c>
      <c r="D2915" s="113">
        <v>10348217</v>
      </c>
      <c r="E2915" s="115">
        <v>43935</v>
      </c>
      <c r="F2915" s="114">
        <v>202101</v>
      </c>
      <c r="G2915" s="112" t="s">
        <v>1091</v>
      </c>
      <c r="H2915" s="112" t="s">
        <v>1016</v>
      </c>
      <c r="I2915" s="112" t="s">
        <v>1788</v>
      </c>
      <c r="J2915" s="112" t="s">
        <v>2498</v>
      </c>
      <c r="K2915" s="112" t="s">
        <v>2816</v>
      </c>
      <c r="L2915" s="116">
        <v>-190</v>
      </c>
    </row>
    <row r="2916" spans="1:12" hidden="1" outlineLevel="1" collapsed="1" x14ac:dyDescent="0.35">
      <c r="A2916" s="112" t="s">
        <v>2479</v>
      </c>
      <c r="B2916" s="112" t="s">
        <v>908</v>
      </c>
      <c r="C2916" s="112" t="s">
        <v>679</v>
      </c>
      <c r="D2916" s="113">
        <v>10348217</v>
      </c>
      <c r="E2916" s="115">
        <v>43935</v>
      </c>
      <c r="F2916" s="114">
        <v>202101</v>
      </c>
      <c r="G2916" s="112" t="s">
        <v>1091</v>
      </c>
      <c r="H2916" s="112" t="s">
        <v>1016</v>
      </c>
      <c r="I2916" s="112" t="s">
        <v>1788</v>
      </c>
      <c r="J2916" s="112" t="s">
        <v>2498</v>
      </c>
      <c r="K2916" s="112" t="s">
        <v>2817</v>
      </c>
      <c r="L2916" s="116">
        <v>-60</v>
      </c>
    </row>
    <row r="2917" spans="1:12" hidden="1" outlineLevel="1" collapsed="1" x14ac:dyDescent="0.35">
      <c r="A2917" s="112" t="s">
        <v>2479</v>
      </c>
      <c r="B2917" s="112" t="s">
        <v>908</v>
      </c>
      <c r="C2917" s="112" t="s">
        <v>679</v>
      </c>
      <c r="D2917" s="113">
        <v>10348217</v>
      </c>
      <c r="E2917" s="115">
        <v>43935</v>
      </c>
      <c r="F2917" s="114">
        <v>202101</v>
      </c>
      <c r="G2917" s="112" t="s">
        <v>1091</v>
      </c>
      <c r="H2917" s="112" t="s">
        <v>1016</v>
      </c>
      <c r="I2917" s="112" t="s">
        <v>1788</v>
      </c>
      <c r="J2917" s="112" t="s">
        <v>2498</v>
      </c>
      <c r="K2917" s="112" t="s">
        <v>2818</v>
      </c>
      <c r="L2917" s="116">
        <v>-85</v>
      </c>
    </row>
    <row r="2918" spans="1:12" hidden="1" outlineLevel="1" collapsed="1" x14ac:dyDescent="0.35">
      <c r="A2918" s="112" t="s">
        <v>2479</v>
      </c>
      <c r="B2918" s="112" t="s">
        <v>908</v>
      </c>
      <c r="C2918" s="112" t="s">
        <v>679</v>
      </c>
      <c r="D2918" s="113">
        <v>10348217</v>
      </c>
      <c r="E2918" s="115">
        <v>43935</v>
      </c>
      <c r="F2918" s="114">
        <v>202101</v>
      </c>
      <c r="G2918" s="112" t="s">
        <v>1091</v>
      </c>
      <c r="H2918" s="112" t="s">
        <v>1016</v>
      </c>
      <c r="I2918" s="112" t="s">
        <v>1788</v>
      </c>
      <c r="J2918" s="112" t="s">
        <v>2498</v>
      </c>
      <c r="K2918" s="112" t="s">
        <v>2819</v>
      </c>
      <c r="L2918" s="116">
        <v>60</v>
      </c>
    </row>
    <row r="2919" spans="1:12" hidden="1" outlineLevel="1" collapsed="1" x14ac:dyDescent="0.35">
      <c r="A2919" s="112" t="s">
        <v>2479</v>
      </c>
      <c r="B2919" s="112" t="s">
        <v>909</v>
      </c>
      <c r="C2919" s="112" t="s">
        <v>679</v>
      </c>
      <c r="D2919" s="113">
        <v>10348476</v>
      </c>
      <c r="E2919" s="115">
        <v>43948</v>
      </c>
      <c r="F2919" s="114">
        <v>202101</v>
      </c>
      <c r="G2919" s="112" t="s">
        <v>1091</v>
      </c>
      <c r="H2919" s="112" t="s">
        <v>1016</v>
      </c>
      <c r="I2919" s="112" t="s">
        <v>2536</v>
      </c>
      <c r="J2919" s="112" t="s">
        <v>2523</v>
      </c>
      <c r="K2919" s="112" t="s">
        <v>2820</v>
      </c>
      <c r="L2919" s="116">
        <v>-177</v>
      </c>
    </row>
    <row r="2920" spans="1:12" hidden="1" outlineLevel="1" collapsed="1" x14ac:dyDescent="0.35">
      <c r="A2920" s="112" t="s">
        <v>2479</v>
      </c>
      <c r="B2920" s="112" t="s">
        <v>908</v>
      </c>
      <c r="C2920" s="112" t="s">
        <v>679</v>
      </c>
      <c r="D2920" s="113">
        <v>10348476</v>
      </c>
      <c r="E2920" s="115">
        <v>43948</v>
      </c>
      <c r="F2920" s="114">
        <v>202101</v>
      </c>
      <c r="G2920" s="112" t="s">
        <v>1091</v>
      </c>
      <c r="H2920" s="112" t="s">
        <v>1016</v>
      </c>
      <c r="I2920" s="112" t="s">
        <v>1788</v>
      </c>
      <c r="J2920" s="112" t="s">
        <v>2498</v>
      </c>
      <c r="K2920" s="112" t="s">
        <v>2821</v>
      </c>
      <c r="L2920" s="116">
        <v>-196</v>
      </c>
    </row>
    <row r="2921" spans="1:12" hidden="1" outlineLevel="1" collapsed="1" x14ac:dyDescent="0.35">
      <c r="A2921" s="112" t="s">
        <v>2479</v>
      </c>
      <c r="B2921" s="112" t="s">
        <v>908</v>
      </c>
      <c r="C2921" s="112" t="s">
        <v>679</v>
      </c>
      <c r="D2921" s="113">
        <v>10348217</v>
      </c>
      <c r="E2921" s="115">
        <v>43935</v>
      </c>
      <c r="F2921" s="114">
        <v>202101</v>
      </c>
      <c r="G2921" s="112" t="s">
        <v>1091</v>
      </c>
      <c r="H2921" s="112" t="s">
        <v>1016</v>
      </c>
      <c r="I2921" s="112" t="s">
        <v>1788</v>
      </c>
      <c r="J2921" s="112" t="s">
        <v>2498</v>
      </c>
      <c r="K2921" s="112" t="s">
        <v>2822</v>
      </c>
      <c r="L2921" s="116">
        <v>-190</v>
      </c>
    </row>
    <row r="2922" spans="1:12" hidden="1" outlineLevel="1" collapsed="1" x14ac:dyDescent="0.35">
      <c r="A2922" s="112" t="s">
        <v>2479</v>
      </c>
      <c r="B2922" s="112" t="s">
        <v>908</v>
      </c>
      <c r="C2922" s="112" t="s">
        <v>679</v>
      </c>
      <c r="D2922" s="113">
        <v>10348476</v>
      </c>
      <c r="E2922" s="115">
        <v>43948</v>
      </c>
      <c r="F2922" s="114">
        <v>202101</v>
      </c>
      <c r="G2922" s="112" t="s">
        <v>1091</v>
      </c>
      <c r="H2922" s="112" t="s">
        <v>1016</v>
      </c>
      <c r="I2922" s="112" t="s">
        <v>1788</v>
      </c>
      <c r="J2922" s="112" t="s">
        <v>2498</v>
      </c>
      <c r="K2922" s="112" t="s">
        <v>2823</v>
      </c>
      <c r="L2922" s="116">
        <v>-205</v>
      </c>
    </row>
    <row r="2923" spans="1:12" hidden="1" outlineLevel="1" collapsed="1" x14ac:dyDescent="0.35">
      <c r="A2923" s="112" t="s">
        <v>2479</v>
      </c>
      <c r="B2923" s="112" t="s">
        <v>908</v>
      </c>
      <c r="C2923" s="112" t="s">
        <v>679</v>
      </c>
      <c r="D2923" s="113">
        <v>10348476</v>
      </c>
      <c r="E2923" s="115">
        <v>43948</v>
      </c>
      <c r="F2923" s="114">
        <v>202101</v>
      </c>
      <c r="G2923" s="112" t="s">
        <v>1091</v>
      </c>
      <c r="H2923" s="112" t="s">
        <v>1016</v>
      </c>
      <c r="I2923" s="112" t="s">
        <v>1788</v>
      </c>
      <c r="J2923" s="112" t="s">
        <v>2498</v>
      </c>
      <c r="K2923" s="112" t="s">
        <v>2824</v>
      </c>
      <c r="L2923" s="116">
        <v>-60</v>
      </c>
    </row>
    <row r="2924" spans="1:12" hidden="1" outlineLevel="1" collapsed="1" x14ac:dyDescent="0.35">
      <c r="A2924" s="112" t="s">
        <v>2479</v>
      </c>
      <c r="B2924" s="112" t="s">
        <v>908</v>
      </c>
      <c r="C2924" s="112" t="s">
        <v>679</v>
      </c>
      <c r="D2924" s="113">
        <v>10348476</v>
      </c>
      <c r="E2924" s="115">
        <v>43948</v>
      </c>
      <c r="F2924" s="114">
        <v>202101</v>
      </c>
      <c r="G2924" s="112" t="s">
        <v>1091</v>
      </c>
      <c r="H2924" s="112" t="s">
        <v>1016</v>
      </c>
      <c r="I2924" s="112" t="s">
        <v>1788</v>
      </c>
      <c r="J2924" s="112" t="s">
        <v>2498</v>
      </c>
      <c r="K2924" s="112" t="s">
        <v>2825</v>
      </c>
      <c r="L2924" s="116">
        <v>-85</v>
      </c>
    </row>
    <row r="2925" spans="1:12" hidden="1" outlineLevel="1" collapsed="1" x14ac:dyDescent="0.35">
      <c r="A2925" s="112" t="s">
        <v>2479</v>
      </c>
      <c r="B2925" s="112" t="s">
        <v>908</v>
      </c>
      <c r="C2925" s="112" t="s">
        <v>679</v>
      </c>
      <c r="D2925" s="113">
        <v>10348532</v>
      </c>
      <c r="E2925" s="115">
        <v>43950</v>
      </c>
      <c r="F2925" s="114">
        <v>202101</v>
      </c>
      <c r="G2925" s="112" t="s">
        <v>1091</v>
      </c>
      <c r="H2925" s="112" t="s">
        <v>1016</v>
      </c>
      <c r="I2925" s="112" t="s">
        <v>1788</v>
      </c>
      <c r="J2925" s="112" t="s">
        <v>2498</v>
      </c>
      <c r="K2925" s="112" t="s">
        <v>2826</v>
      </c>
      <c r="L2925" s="116">
        <v>-190</v>
      </c>
    </row>
    <row r="2926" spans="1:12" hidden="1" outlineLevel="1" collapsed="1" x14ac:dyDescent="0.35">
      <c r="A2926" s="112" t="s">
        <v>2479</v>
      </c>
      <c r="B2926" s="112" t="s">
        <v>908</v>
      </c>
      <c r="C2926" s="112" t="s">
        <v>679</v>
      </c>
      <c r="D2926" s="113">
        <v>10348217</v>
      </c>
      <c r="E2926" s="115">
        <v>43935</v>
      </c>
      <c r="F2926" s="114">
        <v>202101</v>
      </c>
      <c r="G2926" s="112" t="s">
        <v>1091</v>
      </c>
      <c r="H2926" s="112" t="s">
        <v>1016</v>
      </c>
      <c r="I2926" s="112" t="s">
        <v>819</v>
      </c>
      <c r="J2926" s="112" t="s">
        <v>2501</v>
      </c>
      <c r="K2926" s="112" t="s">
        <v>2827</v>
      </c>
      <c r="L2926" s="116">
        <v>-500</v>
      </c>
    </row>
    <row r="2927" spans="1:12" hidden="1" outlineLevel="1" collapsed="1" x14ac:dyDescent="0.35">
      <c r="A2927" s="112" t="s">
        <v>2479</v>
      </c>
      <c r="B2927" s="112" t="s">
        <v>909</v>
      </c>
      <c r="C2927" s="112" t="s">
        <v>679</v>
      </c>
      <c r="D2927" s="113">
        <v>10348476</v>
      </c>
      <c r="E2927" s="115">
        <v>43948</v>
      </c>
      <c r="F2927" s="114">
        <v>202101</v>
      </c>
      <c r="G2927" s="112" t="s">
        <v>1091</v>
      </c>
      <c r="H2927" s="112" t="s">
        <v>1016</v>
      </c>
      <c r="I2927" s="112" t="s">
        <v>2654</v>
      </c>
      <c r="J2927" s="112" t="s">
        <v>2523</v>
      </c>
      <c r="K2927" s="112" t="s">
        <v>2828</v>
      </c>
      <c r="L2927" s="116">
        <v>-415</v>
      </c>
    </row>
    <row r="2928" spans="1:12" hidden="1" outlineLevel="1" collapsed="1" x14ac:dyDescent="0.35">
      <c r="A2928" s="112" t="s">
        <v>2479</v>
      </c>
      <c r="B2928" s="112" t="s">
        <v>908</v>
      </c>
      <c r="C2928" s="112" t="s">
        <v>679</v>
      </c>
      <c r="D2928" s="113">
        <v>10348476</v>
      </c>
      <c r="E2928" s="115">
        <v>43948</v>
      </c>
      <c r="F2928" s="114">
        <v>202101</v>
      </c>
      <c r="G2928" s="112" t="s">
        <v>1091</v>
      </c>
      <c r="H2928" s="112" t="s">
        <v>1016</v>
      </c>
      <c r="I2928" s="112" t="s">
        <v>1788</v>
      </c>
      <c r="J2928" s="112" t="s">
        <v>2498</v>
      </c>
      <c r="K2928" s="112" t="s">
        <v>2829</v>
      </c>
      <c r="L2928" s="116">
        <v>-85</v>
      </c>
    </row>
    <row r="2929" spans="1:12" hidden="1" outlineLevel="1" collapsed="1" x14ac:dyDescent="0.35">
      <c r="A2929" s="112" t="s">
        <v>2479</v>
      </c>
      <c r="B2929" s="112" t="s">
        <v>908</v>
      </c>
      <c r="C2929" s="112" t="s">
        <v>679</v>
      </c>
      <c r="D2929" s="113">
        <v>10348476</v>
      </c>
      <c r="E2929" s="115">
        <v>43948</v>
      </c>
      <c r="F2929" s="114">
        <v>202101</v>
      </c>
      <c r="G2929" s="112" t="s">
        <v>1091</v>
      </c>
      <c r="H2929" s="112" t="s">
        <v>1016</v>
      </c>
      <c r="I2929" s="112" t="s">
        <v>1788</v>
      </c>
      <c r="J2929" s="112" t="s">
        <v>2498</v>
      </c>
      <c r="K2929" s="112" t="s">
        <v>2830</v>
      </c>
      <c r="L2929" s="116">
        <v>-85</v>
      </c>
    </row>
    <row r="2930" spans="1:12" hidden="1" outlineLevel="1" collapsed="1" x14ac:dyDescent="0.35">
      <c r="A2930" s="112" t="s">
        <v>2479</v>
      </c>
      <c r="B2930" s="112" t="s">
        <v>908</v>
      </c>
      <c r="C2930" s="112" t="s">
        <v>679</v>
      </c>
      <c r="D2930" s="113">
        <v>10348476</v>
      </c>
      <c r="E2930" s="115">
        <v>43948</v>
      </c>
      <c r="F2930" s="114">
        <v>202101</v>
      </c>
      <c r="G2930" s="112" t="s">
        <v>1091</v>
      </c>
      <c r="H2930" s="112" t="s">
        <v>1016</v>
      </c>
      <c r="I2930" s="112" t="s">
        <v>1788</v>
      </c>
      <c r="J2930" s="112" t="s">
        <v>2498</v>
      </c>
      <c r="K2930" s="112" t="s">
        <v>2831</v>
      </c>
      <c r="L2930" s="116">
        <v>-60</v>
      </c>
    </row>
    <row r="2931" spans="1:12" hidden="1" outlineLevel="1" collapsed="1" x14ac:dyDescent="0.35">
      <c r="A2931" s="112" t="s">
        <v>2479</v>
      </c>
      <c r="B2931" s="112" t="s">
        <v>908</v>
      </c>
      <c r="C2931" s="112" t="s">
        <v>679</v>
      </c>
      <c r="D2931" s="113">
        <v>10348476</v>
      </c>
      <c r="E2931" s="115">
        <v>43948</v>
      </c>
      <c r="F2931" s="114">
        <v>202101</v>
      </c>
      <c r="G2931" s="112" t="s">
        <v>1091</v>
      </c>
      <c r="H2931" s="112" t="s">
        <v>1016</v>
      </c>
      <c r="I2931" s="112" t="s">
        <v>1788</v>
      </c>
      <c r="J2931" s="112" t="s">
        <v>2498</v>
      </c>
      <c r="K2931" s="112" t="s">
        <v>2832</v>
      </c>
      <c r="L2931" s="116">
        <v>-196</v>
      </c>
    </row>
    <row r="2932" spans="1:12" hidden="1" outlineLevel="1" collapsed="1" x14ac:dyDescent="0.35">
      <c r="A2932" s="112" t="s">
        <v>2479</v>
      </c>
      <c r="B2932" s="112" t="s">
        <v>909</v>
      </c>
      <c r="C2932" s="112" t="s">
        <v>679</v>
      </c>
      <c r="D2932" s="113">
        <v>10348476</v>
      </c>
      <c r="E2932" s="115">
        <v>43948</v>
      </c>
      <c r="F2932" s="114">
        <v>202101</v>
      </c>
      <c r="G2932" s="112" t="s">
        <v>1091</v>
      </c>
      <c r="H2932" s="112" t="s">
        <v>1016</v>
      </c>
      <c r="I2932" s="112" t="s">
        <v>2536</v>
      </c>
      <c r="J2932" s="112" t="s">
        <v>2523</v>
      </c>
      <c r="K2932" s="112" t="s">
        <v>2833</v>
      </c>
      <c r="L2932" s="116">
        <v>-177</v>
      </c>
    </row>
    <row r="2933" spans="1:12" hidden="1" outlineLevel="1" collapsed="1" x14ac:dyDescent="0.35">
      <c r="A2933" s="112" t="s">
        <v>2479</v>
      </c>
      <c r="B2933" s="112" t="s">
        <v>908</v>
      </c>
      <c r="C2933" s="112" t="s">
        <v>679</v>
      </c>
      <c r="D2933" s="113">
        <v>10348476</v>
      </c>
      <c r="E2933" s="115">
        <v>43948</v>
      </c>
      <c r="F2933" s="114">
        <v>202101</v>
      </c>
      <c r="G2933" s="112" t="s">
        <v>1091</v>
      </c>
      <c r="H2933" s="112" t="s">
        <v>1016</v>
      </c>
      <c r="I2933" s="112" t="s">
        <v>1788</v>
      </c>
      <c r="J2933" s="112" t="s">
        <v>2498</v>
      </c>
      <c r="K2933" s="112" t="s">
        <v>2834</v>
      </c>
      <c r="L2933" s="116">
        <v>-220</v>
      </c>
    </row>
    <row r="2934" spans="1:12" hidden="1" outlineLevel="1" collapsed="1" x14ac:dyDescent="0.35">
      <c r="A2934" s="112" t="s">
        <v>2479</v>
      </c>
      <c r="B2934" s="112" t="s">
        <v>908</v>
      </c>
      <c r="C2934" s="112" t="s">
        <v>679</v>
      </c>
      <c r="D2934" s="113">
        <v>10348217</v>
      </c>
      <c r="E2934" s="115">
        <v>43935</v>
      </c>
      <c r="F2934" s="114">
        <v>202101</v>
      </c>
      <c r="G2934" s="112" t="s">
        <v>1091</v>
      </c>
      <c r="H2934" s="112" t="s">
        <v>1016</v>
      </c>
      <c r="I2934" s="112" t="s">
        <v>1788</v>
      </c>
      <c r="J2934" s="112" t="s">
        <v>2498</v>
      </c>
      <c r="K2934" s="112" t="s">
        <v>2835</v>
      </c>
      <c r="L2934" s="116">
        <v>-190</v>
      </c>
    </row>
    <row r="2935" spans="1:12" hidden="1" outlineLevel="1" collapsed="1" x14ac:dyDescent="0.35">
      <c r="A2935" s="112" t="s">
        <v>2479</v>
      </c>
      <c r="B2935" s="112" t="s">
        <v>909</v>
      </c>
      <c r="C2935" s="112" t="s">
        <v>679</v>
      </c>
      <c r="D2935" s="113">
        <v>10348476</v>
      </c>
      <c r="E2935" s="115">
        <v>43948</v>
      </c>
      <c r="F2935" s="114">
        <v>202101</v>
      </c>
      <c r="G2935" s="112" t="s">
        <v>1091</v>
      </c>
      <c r="H2935" s="112" t="s">
        <v>1016</v>
      </c>
      <c r="I2935" s="112" t="s">
        <v>1788</v>
      </c>
      <c r="J2935" s="112" t="s">
        <v>2652</v>
      </c>
      <c r="K2935" s="112" t="s">
        <v>706</v>
      </c>
      <c r="L2935" s="116">
        <v>-23</v>
      </c>
    </row>
    <row r="2936" spans="1:12" hidden="1" outlineLevel="1" collapsed="1" x14ac:dyDescent="0.35">
      <c r="A2936" s="112" t="s">
        <v>2479</v>
      </c>
      <c r="B2936" s="112" t="s">
        <v>908</v>
      </c>
      <c r="C2936" s="112" t="s">
        <v>679</v>
      </c>
      <c r="D2936" s="113">
        <v>10348217</v>
      </c>
      <c r="E2936" s="115">
        <v>43935</v>
      </c>
      <c r="F2936" s="114">
        <v>202101</v>
      </c>
      <c r="G2936" s="112" t="s">
        <v>1091</v>
      </c>
      <c r="H2936" s="112" t="s">
        <v>1016</v>
      </c>
      <c r="I2936" s="112" t="s">
        <v>1788</v>
      </c>
      <c r="J2936" s="112" t="s">
        <v>2498</v>
      </c>
      <c r="K2936" s="112" t="s">
        <v>2836</v>
      </c>
      <c r="L2936" s="116">
        <v>-85</v>
      </c>
    </row>
    <row r="2937" spans="1:12" hidden="1" outlineLevel="1" collapsed="1" x14ac:dyDescent="0.35">
      <c r="A2937" s="112" t="s">
        <v>2479</v>
      </c>
      <c r="B2937" s="112" t="s">
        <v>908</v>
      </c>
      <c r="C2937" s="112" t="s">
        <v>679</v>
      </c>
      <c r="D2937" s="113">
        <v>10348217</v>
      </c>
      <c r="E2937" s="115">
        <v>43935</v>
      </c>
      <c r="F2937" s="114">
        <v>202101</v>
      </c>
      <c r="G2937" s="112" t="s">
        <v>1091</v>
      </c>
      <c r="H2937" s="112" t="s">
        <v>1016</v>
      </c>
      <c r="I2937" s="112" t="s">
        <v>1788</v>
      </c>
      <c r="J2937" s="112" t="s">
        <v>2498</v>
      </c>
      <c r="K2937" s="112" t="s">
        <v>2837</v>
      </c>
      <c r="L2937" s="116">
        <v>-190</v>
      </c>
    </row>
    <row r="2938" spans="1:12" hidden="1" outlineLevel="1" collapsed="1" x14ac:dyDescent="0.35">
      <c r="A2938" s="112" t="s">
        <v>2479</v>
      </c>
      <c r="B2938" s="112" t="s">
        <v>908</v>
      </c>
      <c r="C2938" s="112" t="s">
        <v>679</v>
      </c>
      <c r="D2938" s="113">
        <v>10348217</v>
      </c>
      <c r="E2938" s="115">
        <v>43935</v>
      </c>
      <c r="F2938" s="114">
        <v>202101</v>
      </c>
      <c r="G2938" s="112" t="s">
        <v>1091</v>
      </c>
      <c r="H2938" s="112" t="s">
        <v>1016</v>
      </c>
      <c r="I2938" s="112" t="s">
        <v>1788</v>
      </c>
      <c r="J2938" s="112" t="s">
        <v>2498</v>
      </c>
      <c r="K2938" s="112" t="s">
        <v>2838</v>
      </c>
      <c r="L2938" s="116">
        <v>-190</v>
      </c>
    </row>
    <row r="2939" spans="1:12" hidden="1" outlineLevel="1" collapsed="1" x14ac:dyDescent="0.35">
      <c r="A2939" s="112" t="s">
        <v>2479</v>
      </c>
      <c r="B2939" s="112" t="s">
        <v>908</v>
      </c>
      <c r="C2939" s="112" t="s">
        <v>679</v>
      </c>
      <c r="D2939" s="113">
        <v>10348217</v>
      </c>
      <c r="E2939" s="115">
        <v>43935</v>
      </c>
      <c r="F2939" s="114">
        <v>202101</v>
      </c>
      <c r="G2939" s="112" t="s">
        <v>1091</v>
      </c>
      <c r="H2939" s="112" t="s">
        <v>1016</v>
      </c>
      <c r="I2939" s="112" t="s">
        <v>819</v>
      </c>
      <c r="J2939" s="112" t="s">
        <v>2501</v>
      </c>
      <c r="K2939" s="112" t="s">
        <v>2839</v>
      </c>
      <c r="L2939" s="116">
        <v>-317.5</v>
      </c>
    </row>
    <row r="2940" spans="1:12" hidden="1" outlineLevel="1" collapsed="1" x14ac:dyDescent="0.35">
      <c r="A2940" s="112" t="s">
        <v>2479</v>
      </c>
      <c r="B2940" s="112" t="s">
        <v>909</v>
      </c>
      <c r="C2940" s="112" t="s">
        <v>679</v>
      </c>
      <c r="D2940" s="113">
        <v>10348476</v>
      </c>
      <c r="E2940" s="115">
        <v>43948</v>
      </c>
      <c r="F2940" s="114">
        <v>202101</v>
      </c>
      <c r="G2940" s="112" t="s">
        <v>1091</v>
      </c>
      <c r="H2940" s="112" t="s">
        <v>1016</v>
      </c>
      <c r="I2940" s="112" t="s">
        <v>2536</v>
      </c>
      <c r="J2940" s="112" t="s">
        <v>2523</v>
      </c>
      <c r="K2940" s="112" t="s">
        <v>2840</v>
      </c>
      <c r="L2940" s="116">
        <v>-177</v>
      </c>
    </row>
    <row r="2941" spans="1:12" hidden="1" outlineLevel="1" collapsed="1" x14ac:dyDescent="0.35">
      <c r="A2941" s="112" t="s">
        <v>2479</v>
      </c>
      <c r="B2941" s="112" t="s">
        <v>908</v>
      </c>
      <c r="C2941" s="112" t="s">
        <v>679</v>
      </c>
      <c r="D2941" s="113">
        <v>10348217</v>
      </c>
      <c r="E2941" s="115">
        <v>43935</v>
      </c>
      <c r="F2941" s="114">
        <v>202101</v>
      </c>
      <c r="G2941" s="112" t="s">
        <v>1091</v>
      </c>
      <c r="H2941" s="112" t="s">
        <v>1016</v>
      </c>
      <c r="I2941" s="112" t="s">
        <v>1788</v>
      </c>
      <c r="J2941" s="112" t="s">
        <v>2498</v>
      </c>
      <c r="K2941" s="112" t="s">
        <v>2841</v>
      </c>
      <c r="L2941" s="116">
        <v>-60</v>
      </c>
    </row>
    <row r="2942" spans="1:12" hidden="1" outlineLevel="1" collapsed="1" x14ac:dyDescent="0.35">
      <c r="A2942" s="112" t="s">
        <v>2479</v>
      </c>
      <c r="B2942" s="112" t="s">
        <v>908</v>
      </c>
      <c r="C2942" s="112" t="s">
        <v>679</v>
      </c>
      <c r="D2942" s="113">
        <v>10348217</v>
      </c>
      <c r="E2942" s="115">
        <v>43935</v>
      </c>
      <c r="F2942" s="114">
        <v>202101</v>
      </c>
      <c r="G2942" s="112" t="s">
        <v>1091</v>
      </c>
      <c r="H2942" s="112" t="s">
        <v>1016</v>
      </c>
      <c r="I2942" s="112" t="s">
        <v>1788</v>
      </c>
      <c r="J2942" s="112" t="s">
        <v>2498</v>
      </c>
      <c r="K2942" s="112" t="s">
        <v>2842</v>
      </c>
      <c r="L2942" s="116">
        <v>-60</v>
      </c>
    </row>
    <row r="2943" spans="1:12" hidden="1" outlineLevel="1" collapsed="1" x14ac:dyDescent="0.35">
      <c r="A2943" s="112" t="s">
        <v>2479</v>
      </c>
      <c r="B2943" s="112" t="s">
        <v>909</v>
      </c>
      <c r="C2943" s="112" t="s">
        <v>679</v>
      </c>
      <c r="D2943" s="113">
        <v>10348476</v>
      </c>
      <c r="E2943" s="115">
        <v>43948</v>
      </c>
      <c r="F2943" s="114">
        <v>202101</v>
      </c>
      <c r="G2943" s="112" t="s">
        <v>1091</v>
      </c>
      <c r="H2943" s="112" t="s">
        <v>1016</v>
      </c>
      <c r="I2943" s="112" t="s">
        <v>2536</v>
      </c>
      <c r="J2943" s="112" t="s">
        <v>2523</v>
      </c>
      <c r="K2943" s="112" t="s">
        <v>2843</v>
      </c>
      <c r="L2943" s="116">
        <v>-177</v>
      </c>
    </row>
    <row r="2944" spans="1:12" hidden="1" outlineLevel="1" collapsed="1" x14ac:dyDescent="0.35">
      <c r="A2944" s="112" t="s">
        <v>2479</v>
      </c>
      <c r="B2944" s="112" t="s">
        <v>908</v>
      </c>
      <c r="C2944" s="112" t="s">
        <v>679</v>
      </c>
      <c r="D2944" s="113">
        <v>10348476</v>
      </c>
      <c r="E2944" s="115">
        <v>43948</v>
      </c>
      <c r="F2944" s="114">
        <v>202101</v>
      </c>
      <c r="G2944" s="112" t="s">
        <v>1091</v>
      </c>
      <c r="H2944" s="112" t="s">
        <v>1016</v>
      </c>
      <c r="I2944" s="112" t="s">
        <v>1788</v>
      </c>
      <c r="J2944" s="112" t="s">
        <v>2498</v>
      </c>
      <c r="K2944" s="112" t="s">
        <v>2844</v>
      </c>
      <c r="L2944" s="116">
        <v>-85</v>
      </c>
    </row>
    <row r="2945" spans="1:12" hidden="1" outlineLevel="1" collapsed="1" x14ac:dyDescent="0.35">
      <c r="A2945" s="112" t="s">
        <v>2479</v>
      </c>
      <c r="B2945" s="112" t="s">
        <v>908</v>
      </c>
      <c r="C2945" s="112" t="s">
        <v>679</v>
      </c>
      <c r="D2945" s="113">
        <v>10348476</v>
      </c>
      <c r="E2945" s="115">
        <v>43948</v>
      </c>
      <c r="F2945" s="114">
        <v>202101</v>
      </c>
      <c r="G2945" s="112" t="s">
        <v>1091</v>
      </c>
      <c r="H2945" s="112" t="s">
        <v>1016</v>
      </c>
      <c r="I2945" s="112" t="s">
        <v>1788</v>
      </c>
      <c r="J2945" s="112" t="s">
        <v>2498</v>
      </c>
      <c r="K2945" s="112" t="s">
        <v>2845</v>
      </c>
      <c r="L2945" s="116">
        <v>-60</v>
      </c>
    </row>
    <row r="2946" spans="1:12" hidden="1" outlineLevel="1" collapsed="1" x14ac:dyDescent="0.35">
      <c r="A2946" s="112" t="s">
        <v>2479</v>
      </c>
      <c r="B2946" s="112" t="s">
        <v>908</v>
      </c>
      <c r="C2946" s="112" t="s">
        <v>679</v>
      </c>
      <c r="D2946" s="113">
        <v>10348476</v>
      </c>
      <c r="E2946" s="115">
        <v>43948</v>
      </c>
      <c r="F2946" s="114">
        <v>202101</v>
      </c>
      <c r="G2946" s="112" t="s">
        <v>1091</v>
      </c>
      <c r="H2946" s="112" t="s">
        <v>1016</v>
      </c>
      <c r="I2946" s="112" t="s">
        <v>1788</v>
      </c>
      <c r="J2946" s="112" t="s">
        <v>2498</v>
      </c>
      <c r="K2946" s="112" t="s">
        <v>2846</v>
      </c>
      <c r="L2946" s="116">
        <v>-6</v>
      </c>
    </row>
    <row r="2947" spans="1:12" hidden="1" outlineLevel="1" collapsed="1" x14ac:dyDescent="0.35">
      <c r="A2947" s="112" t="s">
        <v>2479</v>
      </c>
      <c r="B2947" s="112" t="s">
        <v>908</v>
      </c>
      <c r="C2947" s="112" t="s">
        <v>679</v>
      </c>
      <c r="D2947" s="113">
        <v>10348532</v>
      </c>
      <c r="E2947" s="115">
        <v>43950</v>
      </c>
      <c r="F2947" s="114">
        <v>202101</v>
      </c>
      <c r="G2947" s="112" t="s">
        <v>1091</v>
      </c>
      <c r="H2947" s="112" t="s">
        <v>1016</v>
      </c>
      <c r="I2947" s="112" t="s">
        <v>1788</v>
      </c>
      <c r="J2947" s="112" t="s">
        <v>2498</v>
      </c>
      <c r="K2947" s="112" t="s">
        <v>2847</v>
      </c>
      <c r="L2947" s="116">
        <v>-85</v>
      </c>
    </row>
    <row r="2948" spans="1:12" hidden="1" outlineLevel="1" collapsed="1" x14ac:dyDescent="0.35">
      <c r="A2948" s="112" t="s">
        <v>2479</v>
      </c>
      <c r="B2948" s="112" t="s">
        <v>908</v>
      </c>
      <c r="C2948" s="112" t="s">
        <v>679</v>
      </c>
      <c r="D2948" s="113">
        <v>10348217</v>
      </c>
      <c r="E2948" s="115">
        <v>43935</v>
      </c>
      <c r="F2948" s="114">
        <v>202101</v>
      </c>
      <c r="G2948" s="112" t="s">
        <v>1091</v>
      </c>
      <c r="H2948" s="112" t="s">
        <v>1016</v>
      </c>
      <c r="I2948" s="112" t="s">
        <v>1788</v>
      </c>
      <c r="J2948" s="112" t="s">
        <v>2498</v>
      </c>
      <c r="K2948" s="112" t="s">
        <v>2848</v>
      </c>
      <c r="L2948" s="116">
        <v>-190</v>
      </c>
    </row>
    <row r="2949" spans="1:12" hidden="1" outlineLevel="1" collapsed="1" x14ac:dyDescent="0.35">
      <c r="A2949" s="112" t="s">
        <v>2479</v>
      </c>
      <c r="B2949" s="112" t="s">
        <v>908</v>
      </c>
      <c r="C2949" s="112" t="s">
        <v>679</v>
      </c>
      <c r="D2949" s="113">
        <v>10348241</v>
      </c>
      <c r="E2949" s="115">
        <v>43936</v>
      </c>
      <c r="F2949" s="114">
        <v>202101</v>
      </c>
      <c r="G2949" s="112" t="s">
        <v>1091</v>
      </c>
      <c r="H2949" s="112" t="s">
        <v>1016</v>
      </c>
      <c r="I2949" s="112" t="s">
        <v>1788</v>
      </c>
      <c r="J2949" s="112" t="s">
        <v>2498</v>
      </c>
      <c r="K2949" s="112" t="s">
        <v>2849</v>
      </c>
      <c r="L2949" s="116">
        <v>-215</v>
      </c>
    </row>
    <row r="2950" spans="1:12" hidden="1" outlineLevel="1" collapsed="1" x14ac:dyDescent="0.35">
      <c r="A2950" s="112" t="s">
        <v>2479</v>
      </c>
      <c r="B2950" s="112" t="s">
        <v>908</v>
      </c>
      <c r="C2950" s="112" t="s">
        <v>679</v>
      </c>
      <c r="D2950" s="113">
        <v>10348532</v>
      </c>
      <c r="E2950" s="115">
        <v>43950</v>
      </c>
      <c r="F2950" s="114">
        <v>202101</v>
      </c>
      <c r="G2950" s="112" t="s">
        <v>1091</v>
      </c>
      <c r="H2950" s="112" t="s">
        <v>1016</v>
      </c>
      <c r="I2950" s="112" t="s">
        <v>1788</v>
      </c>
      <c r="J2950" s="112" t="s">
        <v>2498</v>
      </c>
      <c r="K2950" s="112" t="s">
        <v>2850</v>
      </c>
      <c r="L2950" s="116">
        <v>-284</v>
      </c>
    </row>
    <row r="2951" spans="1:12" hidden="1" outlineLevel="1" collapsed="1" x14ac:dyDescent="0.35">
      <c r="A2951" s="112" t="s">
        <v>2479</v>
      </c>
      <c r="B2951" s="112" t="s">
        <v>908</v>
      </c>
      <c r="C2951" s="112" t="s">
        <v>679</v>
      </c>
      <c r="D2951" s="113">
        <v>10348532</v>
      </c>
      <c r="E2951" s="115">
        <v>43950</v>
      </c>
      <c r="F2951" s="114">
        <v>202101</v>
      </c>
      <c r="G2951" s="112" t="s">
        <v>1091</v>
      </c>
      <c r="H2951" s="112" t="s">
        <v>1016</v>
      </c>
      <c r="I2951" s="112" t="s">
        <v>1788</v>
      </c>
      <c r="J2951" s="112" t="s">
        <v>2498</v>
      </c>
      <c r="K2951" s="112" t="s">
        <v>2851</v>
      </c>
      <c r="L2951" s="116">
        <v>-196</v>
      </c>
    </row>
    <row r="2952" spans="1:12" hidden="1" outlineLevel="1" collapsed="1" x14ac:dyDescent="0.35">
      <c r="A2952" s="112" t="s">
        <v>2479</v>
      </c>
      <c r="B2952" s="112" t="s">
        <v>908</v>
      </c>
      <c r="C2952" s="112" t="s">
        <v>679</v>
      </c>
      <c r="D2952" s="113">
        <v>10348241</v>
      </c>
      <c r="E2952" s="115">
        <v>43936</v>
      </c>
      <c r="F2952" s="114">
        <v>202101</v>
      </c>
      <c r="G2952" s="112" t="s">
        <v>1091</v>
      </c>
      <c r="H2952" s="112" t="s">
        <v>1016</v>
      </c>
      <c r="I2952" s="112" t="s">
        <v>1788</v>
      </c>
      <c r="J2952" s="112" t="s">
        <v>2498</v>
      </c>
      <c r="K2952" s="112" t="s">
        <v>2852</v>
      </c>
      <c r="L2952" s="116">
        <v>-60</v>
      </c>
    </row>
    <row r="2953" spans="1:12" hidden="1" outlineLevel="1" collapsed="1" x14ac:dyDescent="0.35">
      <c r="A2953" s="112" t="s">
        <v>2479</v>
      </c>
      <c r="B2953" s="112" t="s">
        <v>908</v>
      </c>
      <c r="C2953" s="112" t="s">
        <v>679</v>
      </c>
      <c r="D2953" s="113">
        <v>10348532</v>
      </c>
      <c r="E2953" s="115">
        <v>43950</v>
      </c>
      <c r="F2953" s="114">
        <v>202101</v>
      </c>
      <c r="G2953" s="112" t="s">
        <v>1091</v>
      </c>
      <c r="H2953" s="112" t="s">
        <v>1016</v>
      </c>
      <c r="I2953" s="112" t="s">
        <v>819</v>
      </c>
      <c r="J2953" s="112" t="s">
        <v>2501</v>
      </c>
      <c r="K2953" s="112" t="s">
        <v>2761</v>
      </c>
      <c r="L2953" s="116">
        <v>-877.5</v>
      </c>
    </row>
    <row r="2954" spans="1:12" hidden="1" outlineLevel="1" collapsed="1" x14ac:dyDescent="0.35">
      <c r="A2954" s="112" t="s">
        <v>2479</v>
      </c>
      <c r="B2954" s="112" t="s">
        <v>908</v>
      </c>
      <c r="C2954" s="112" t="s">
        <v>679</v>
      </c>
      <c r="D2954" s="113">
        <v>10348532</v>
      </c>
      <c r="E2954" s="115">
        <v>43950</v>
      </c>
      <c r="F2954" s="114">
        <v>202101</v>
      </c>
      <c r="G2954" s="112" t="s">
        <v>1091</v>
      </c>
      <c r="H2954" s="112" t="s">
        <v>1016</v>
      </c>
      <c r="I2954" s="112" t="s">
        <v>1788</v>
      </c>
      <c r="J2954" s="112" t="s">
        <v>2498</v>
      </c>
      <c r="K2954" s="112" t="s">
        <v>2853</v>
      </c>
      <c r="L2954" s="116">
        <v>-60</v>
      </c>
    </row>
    <row r="2955" spans="1:12" hidden="1" outlineLevel="1" collapsed="1" x14ac:dyDescent="0.35">
      <c r="A2955" s="112" t="s">
        <v>2479</v>
      </c>
      <c r="B2955" s="112" t="s">
        <v>908</v>
      </c>
      <c r="C2955" s="112" t="s">
        <v>679</v>
      </c>
      <c r="D2955" s="113">
        <v>10348532</v>
      </c>
      <c r="E2955" s="115">
        <v>43950</v>
      </c>
      <c r="F2955" s="114">
        <v>202101</v>
      </c>
      <c r="G2955" s="112" t="s">
        <v>1091</v>
      </c>
      <c r="H2955" s="112" t="s">
        <v>1016</v>
      </c>
      <c r="I2955" s="112" t="s">
        <v>1788</v>
      </c>
      <c r="J2955" s="112" t="s">
        <v>2498</v>
      </c>
      <c r="K2955" s="112" t="s">
        <v>2854</v>
      </c>
      <c r="L2955" s="116">
        <v>-220</v>
      </c>
    </row>
    <row r="2956" spans="1:12" hidden="1" outlineLevel="1" collapsed="1" x14ac:dyDescent="0.35">
      <c r="A2956" s="112" t="s">
        <v>2479</v>
      </c>
      <c r="B2956" s="112" t="s">
        <v>908</v>
      </c>
      <c r="C2956" s="112" t="s">
        <v>679</v>
      </c>
      <c r="D2956" s="113">
        <v>10348532</v>
      </c>
      <c r="E2956" s="115">
        <v>43950</v>
      </c>
      <c r="F2956" s="114">
        <v>202101</v>
      </c>
      <c r="G2956" s="112" t="s">
        <v>1091</v>
      </c>
      <c r="H2956" s="112" t="s">
        <v>1016</v>
      </c>
      <c r="I2956" s="112" t="s">
        <v>1788</v>
      </c>
      <c r="J2956" s="112" t="s">
        <v>2498</v>
      </c>
      <c r="K2956" s="112" t="s">
        <v>2855</v>
      </c>
      <c r="L2956" s="116">
        <v>-85</v>
      </c>
    </row>
    <row r="2957" spans="1:12" hidden="1" outlineLevel="1" collapsed="1" x14ac:dyDescent="0.35">
      <c r="A2957" s="112" t="s">
        <v>2479</v>
      </c>
      <c r="B2957" s="112" t="s">
        <v>908</v>
      </c>
      <c r="C2957" s="112" t="s">
        <v>679</v>
      </c>
      <c r="D2957" s="113">
        <v>10348241</v>
      </c>
      <c r="E2957" s="115">
        <v>43936</v>
      </c>
      <c r="F2957" s="114">
        <v>202101</v>
      </c>
      <c r="G2957" s="112" t="s">
        <v>1091</v>
      </c>
      <c r="H2957" s="112" t="s">
        <v>1016</v>
      </c>
      <c r="I2957" s="112" t="s">
        <v>1788</v>
      </c>
      <c r="J2957" s="112" t="s">
        <v>2498</v>
      </c>
      <c r="K2957" s="112" t="s">
        <v>2856</v>
      </c>
      <c r="L2957" s="116">
        <v>-60</v>
      </c>
    </row>
    <row r="2958" spans="1:12" hidden="1" outlineLevel="1" collapsed="1" x14ac:dyDescent="0.35">
      <c r="A2958" s="112" t="s">
        <v>2479</v>
      </c>
      <c r="B2958" s="112" t="s">
        <v>909</v>
      </c>
      <c r="C2958" s="112" t="s">
        <v>679</v>
      </c>
      <c r="D2958" s="113">
        <v>10348241</v>
      </c>
      <c r="E2958" s="115">
        <v>43936</v>
      </c>
      <c r="F2958" s="114">
        <v>202101</v>
      </c>
      <c r="G2958" s="112" t="s">
        <v>1091</v>
      </c>
      <c r="H2958" s="112" t="s">
        <v>1016</v>
      </c>
      <c r="I2958" s="112" t="s">
        <v>2654</v>
      </c>
      <c r="J2958" s="112" t="s">
        <v>2523</v>
      </c>
      <c r="K2958" s="112" t="s">
        <v>2857</v>
      </c>
      <c r="L2958" s="116">
        <v>-415</v>
      </c>
    </row>
    <row r="2959" spans="1:12" hidden="1" outlineLevel="1" collapsed="1" x14ac:dyDescent="0.35">
      <c r="A2959" s="112" t="s">
        <v>2479</v>
      </c>
      <c r="B2959" s="112" t="s">
        <v>908</v>
      </c>
      <c r="C2959" s="112" t="s">
        <v>679</v>
      </c>
      <c r="D2959" s="113">
        <v>10348241</v>
      </c>
      <c r="E2959" s="115">
        <v>43936</v>
      </c>
      <c r="F2959" s="114">
        <v>202101</v>
      </c>
      <c r="G2959" s="112" t="s">
        <v>1091</v>
      </c>
      <c r="H2959" s="112" t="s">
        <v>1016</v>
      </c>
      <c r="I2959" s="112" t="s">
        <v>819</v>
      </c>
      <c r="J2959" s="112" t="s">
        <v>2501</v>
      </c>
      <c r="K2959" s="112" t="s">
        <v>2858</v>
      </c>
      <c r="L2959" s="116">
        <v>-1316.25</v>
      </c>
    </row>
    <row r="2960" spans="1:12" hidden="1" outlineLevel="1" collapsed="1" x14ac:dyDescent="0.35">
      <c r="A2960" s="112" t="s">
        <v>2479</v>
      </c>
      <c r="B2960" s="112" t="s">
        <v>909</v>
      </c>
      <c r="C2960" s="112" t="s">
        <v>679</v>
      </c>
      <c r="D2960" s="113">
        <v>10348241</v>
      </c>
      <c r="E2960" s="115">
        <v>43936</v>
      </c>
      <c r="F2960" s="114">
        <v>202101</v>
      </c>
      <c r="G2960" s="112" t="s">
        <v>1091</v>
      </c>
      <c r="H2960" s="112" t="s">
        <v>1016</v>
      </c>
      <c r="I2960" s="112" t="s">
        <v>2595</v>
      </c>
      <c r="J2960" s="112" t="s">
        <v>2523</v>
      </c>
      <c r="K2960" s="112" t="s">
        <v>2859</v>
      </c>
      <c r="L2960" s="116">
        <v>-310</v>
      </c>
    </row>
    <row r="2961" spans="1:12" hidden="1" outlineLevel="1" collapsed="1" x14ac:dyDescent="0.35">
      <c r="A2961" s="112" t="s">
        <v>2479</v>
      </c>
      <c r="B2961" s="112" t="s">
        <v>908</v>
      </c>
      <c r="C2961" s="112" t="s">
        <v>679</v>
      </c>
      <c r="D2961" s="113">
        <v>10348241</v>
      </c>
      <c r="E2961" s="115">
        <v>43936</v>
      </c>
      <c r="F2961" s="114">
        <v>202101</v>
      </c>
      <c r="G2961" s="112" t="s">
        <v>1091</v>
      </c>
      <c r="H2961" s="112" t="s">
        <v>1016</v>
      </c>
      <c r="I2961" s="112" t="s">
        <v>1788</v>
      </c>
      <c r="J2961" s="112" t="s">
        <v>2498</v>
      </c>
      <c r="K2961" s="112" t="s">
        <v>2860</v>
      </c>
      <c r="L2961" s="116">
        <v>-60</v>
      </c>
    </row>
    <row r="2962" spans="1:12" hidden="1" outlineLevel="1" collapsed="1" x14ac:dyDescent="0.35">
      <c r="A2962" s="112" t="s">
        <v>2479</v>
      </c>
      <c r="B2962" s="112" t="s">
        <v>908</v>
      </c>
      <c r="C2962" s="112" t="s">
        <v>679</v>
      </c>
      <c r="D2962" s="113">
        <v>10348241</v>
      </c>
      <c r="E2962" s="115">
        <v>43936</v>
      </c>
      <c r="F2962" s="114">
        <v>202101</v>
      </c>
      <c r="G2962" s="112" t="s">
        <v>1091</v>
      </c>
      <c r="H2962" s="112" t="s">
        <v>1016</v>
      </c>
      <c r="I2962" s="112" t="s">
        <v>1788</v>
      </c>
      <c r="J2962" s="112" t="s">
        <v>2498</v>
      </c>
      <c r="K2962" s="112" t="s">
        <v>2861</v>
      </c>
      <c r="L2962" s="116">
        <v>-205</v>
      </c>
    </row>
    <row r="2963" spans="1:12" hidden="1" outlineLevel="1" collapsed="1" x14ac:dyDescent="0.35">
      <c r="A2963" s="112" t="s">
        <v>2479</v>
      </c>
      <c r="B2963" s="112" t="s">
        <v>908</v>
      </c>
      <c r="C2963" s="112" t="s">
        <v>679</v>
      </c>
      <c r="D2963" s="113">
        <v>10348532</v>
      </c>
      <c r="E2963" s="115">
        <v>43950</v>
      </c>
      <c r="F2963" s="114">
        <v>202101</v>
      </c>
      <c r="G2963" s="112" t="s">
        <v>1091</v>
      </c>
      <c r="H2963" s="112" t="s">
        <v>1016</v>
      </c>
      <c r="I2963" s="112" t="s">
        <v>1788</v>
      </c>
      <c r="J2963" s="112" t="s">
        <v>2498</v>
      </c>
      <c r="K2963" s="112" t="s">
        <v>2862</v>
      </c>
      <c r="L2963" s="116">
        <v>-60</v>
      </c>
    </row>
    <row r="2964" spans="1:12" hidden="1" outlineLevel="1" collapsed="1" x14ac:dyDescent="0.35">
      <c r="A2964" s="112" t="s">
        <v>2479</v>
      </c>
      <c r="B2964" s="112" t="s">
        <v>908</v>
      </c>
      <c r="C2964" s="112" t="s">
        <v>679</v>
      </c>
      <c r="D2964" s="113">
        <v>10348532</v>
      </c>
      <c r="E2964" s="115">
        <v>43950</v>
      </c>
      <c r="F2964" s="114">
        <v>202101</v>
      </c>
      <c r="G2964" s="112" t="s">
        <v>1091</v>
      </c>
      <c r="H2964" s="112" t="s">
        <v>1016</v>
      </c>
      <c r="I2964" s="112" t="s">
        <v>1788</v>
      </c>
      <c r="J2964" s="112" t="s">
        <v>2498</v>
      </c>
      <c r="K2964" s="112" t="s">
        <v>2863</v>
      </c>
      <c r="L2964" s="116">
        <v>-85</v>
      </c>
    </row>
    <row r="2965" spans="1:12" hidden="1" outlineLevel="1" collapsed="1" x14ac:dyDescent="0.35">
      <c r="A2965" s="112" t="s">
        <v>2479</v>
      </c>
      <c r="B2965" s="112" t="s">
        <v>908</v>
      </c>
      <c r="C2965" s="112" t="s">
        <v>679</v>
      </c>
      <c r="D2965" s="113">
        <v>10348241</v>
      </c>
      <c r="E2965" s="115">
        <v>43936</v>
      </c>
      <c r="F2965" s="114">
        <v>202101</v>
      </c>
      <c r="G2965" s="112" t="s">
        <v>1091</v>
      </c>
      <c r="H2965" s="112" t="s">
        <v>1016</v>
      </c>
      <c r="I2965" s="112" t="s">
        <v>1788</v>
      </c>
      <c r="J2965" s="112" t="s">
        <v>2498</v>
      </c>
      <c r="K2965" s="112" t="s">
        <v>2864</v>
      </c>
      <c r="L2965" s="116">
        <v>-85</v>
      </c>
    </row>
    <row r="2966" spans="1:12" hidden="1" outlineLevel="1" collapsed="1" x14ac:dyDescent="0.35">
      <c r="A2966" s="112" t="s">
        <v>2479</v>
      </c>
      <c r="B2966" s="112" t="s">
        <v>908</v>
      </c>
      <c r="C2966" s="112" t="s">
        <v>679</v>
      </c>
      <c r="D2966" s="113">
        <v>10348532</v>
      </c>
      <c r="E2966" s="115">
        <v>43950</v>
      </c>
      <c r="F2966" s="114">
        <v>202101</v>
      </c>
      <c r="G2966" s="112" t="s">
        <v>1091</v>
      </c>
      <c r="H2966" s="112" t="s">
        <v>1016</v>
      </c>
      <c r="I2966" s="112" t="s">
        <v>819</v>
      </c>
      <c r="J2966" s="112" t="s">
        <v>2501</v>
      </c>
      <c r="K2966" s="112" t="s">
        <v>2761</v>
      </c>
      <c r="L2966" s="116">
        <v>-550</v>
      </c>
    </row>
    <row r="2967" spans="1:12" hidden="1" outlineLevel="1" collapsed="1" x14ac:dyDescent="0.35">
      <c r="A2967" s="112" t="s">
        <v>2479</v>
      </c>
      <c r="B2967" s="112" t="s">
        <v>908</v>
      </c>
      <c r="C2967" s="112" t="s">
        <v>679</v>
      </c>
      <c r="D2967" s="113">
        <v>10348241</v>
      </c>
      <c r="E2967" s="115">
        <v>43936</v>
      </c>
      <c r="F2967" s="114">
        <v>202101</v>
      </c>
      <c r="G2967" s="112" t="s">
        <v>1091</v>
      </c>
      <c r="H2967" s="112" t="s">
        <v>1016</v>
      </c>
      <c r="I2967" s="112" t="s">
        <v>1788</v>
      </c>
      <c r="J2967" s="112" t="s">
        <v>2498</v>
      </c>
      <c r="K2967" s="112" t="s">
        <v>2865</v>
      </c>
      <c r="L2967" s="116">
        <v>-115</v>
      </c>
    </row>
    <row r="2968" spans="1:12" hidden="1" outlineLevel="1" collapsed="1" x14ac:dyDescent="0.35">
      <c r="A2968" s="112" t="s">
        <v>2479</v>
      </c>
      <c r="B2968" s="112" t="s">
        <v>908</v>
      </c>
      <c r="C2968" s="112" t="s">
        <v>679</v>
      </c>
      <c r="D2968" s="113">
        <v>10348241</v>
      </c>
      <c r="E2968" s="115">
        <v>43936</v>
      </c>
      <c r="F2968" s="114">
        <v>202101</v>
      </c>
      <c r="G2968" s="112" t="s">
        <v>1091</v>
      </c>
      <c r="H2968" s="112" t="s">
        <v>1016</v>
      </c>
      <c r="I2968" s="112" t="s">
        <v>1788</v>
      </c>
      <c r="J2968" s="112" t="s">
        <v>2498</v>
      </c>
      <c r="K2968" s="112" t="s">
        <v>2866</v>
      </c>
      <c r="L2968" s="116">
        <v>-60</v>
      </c>
    </row>
    <row r="2969" spans="1:12" hidden="1" outlineLevel="1" collapsed="1" x14ac:dyDescent="0.35">
      <c r="A2969" s="112" t="s">
        <v>2479</v>
      </c>
      <c r="B2969" s="112" t="s">
        <v>908</v>
      </c>
      <c r="C2969" s="112" t="s">
        <v>679</v>
      </c>
      <c r="D2969" s="113">
        <v>10348241</v>
      </c>
      <c r="E2969" s="115">
        <v>43936</v>
      </c>
      <c r="F2969" s="114">
        <v>202101</v>
      </c>
      <c r="G2969" s="112" t="s">
        <v>1091</v>
      </c>
      <c r="H2969" s="112" t="s">
        <v>1016</v>
      </c>
      <c r="I2969" s="112" t="s">
        <v>1788</v>
      </c>
      <c r="J2969" s="112" t="s">
        <v>2498</v>
      </c>
      <c r="K2969" s="112" t="s">
        <v>2867</v>
      </c>
      <c r="L2969" s="116">
        <v>-190</v>
      </c>
    </row>
    <row r="2970" spans="1:12" hidden="1" outlineLevel="1" collapsed="1" x14ac:dyDescent="0.35">
      <c r="A2970" s="112" t="s">
        <v>2479</v>
      </c>
      <c r="B2970" s="112" t="s">
        <v>908</v>
      </c>
      <c r="C2970" s="112" t="s">
        <v>679</v>
      </c>
      <c r="D2970" s="113">
        <v>10348241</v>
      </c>
      <c r="E2970" s="115">
        <v>43936</v>
      </c>
      <c r="F2970" s="114">
        <v>202101</v>
      </c>
      <c r="G2970" s="112" t="s">
        <v>1091</v>
      </c>
      <c r="H2970" s="112" t="s">
        <v>1016</v>
      </c>
      <c r="I2970" s="112" t="s">
        <v>1788</v>
      </c>
      <c r="J2970" s="112" t="s">
        <v>2498</v>
      </c>
      <c r="K2970" s="112" t="s">
        <v>2868</v>
      </c>
      <c r="L2970" s="116">
        <v>-60</v>
      </c>
    </row>
    <row r="2971" spans="1:12" hidden="1" outlineLevel="1" collapsed="1" x14ac:dyDescent="0.35">
      <c r="A2971" s="112" t="s">
        <v>2479</v>
      </c>
      <c r="B2971" s="112" t="s">
        <v>908</v>
      </c>
      <c r="C2971" s="112" t="s">
        <v>679</v>
      </c>
      <c r="D2971" s="113">
        <v>10348241</v>
      </c>
      <c r="E2971" s="115">
        <v>43936</v>
      </c>
      <c r="F2971" s="114">
        <v>202101</v>
      </c>
      <c r="G2971" s="112" t="s">
        <v>1091</v>
      </c>
      <c r="H2971" s="112" t="s">
        <v>1016</v>
      </c>
      <c r="I2971" s="112" t="s">
        <v>1788</v>
      </c>
      <c r="J2971" s="112" t="s">
        <v>2498</v>
      </c>
      <c r="K2971" s="112" t="s">
        <v>2869</v>
      </c>
      <c r="L2971" s="116">
        <v>-85</v>
      </c>
    </row>
    <row r="2972" spans="1:12" hidden="1" outlineLevel="1" collapsed="1" x14ac:dyDescent="0.35">
      <c r="A2972" s="112" t="s">
        <v>2479</v>
      </c>
      <c r="B2972" s="112" t="s">
        <v>908</v>
      </c>
      <c r="C2972" s="112" t="s">
        <v>679</v>
      </c>
      <c r="D2972" s="113">
        <v>10348241</v>
      </c>
      <c r="E2972" s="115">
        <v>43936</v>
      </c>
      <c r="F2972" s="114">
        <v>202101</v>
      </c>
      <c r="G2972" s="112" t="s">
        <v>1091</v>
      </c>
      <c r="H2972" s="112" t="s">
        <v>1016</v>
      </c>
      <c r="I2972" s="112" t="s">
        <v>1788</v>
      </c>
      <c r="J2972" s="112" t="s">
        <v>2498</v>
      </c>
      <c r="K2972" s="112" t="s">
        <v>2870</v>
      </c>
      <c r="L2972" s="116">
        <v>-305</v>
      </c>
    </row>
    <row r="2973" spans="1:12" hidden="1" outlineLevel="1" collapsed="1" x14ac:dyDescent="0.35">
      <c r="A2973" s="112" t="s">
        <v>2479</v>
      </c>
      <c r="B2973" s="112" t="s">
        <v>908</v>
      </c>
      <c r="C2973" s="112" t="s">
        <v>679</v>
      </c>
      <c r="D2973" s="113">
        <v>10348241</v>
      </c>
      <c r="E2973" s="115">
        <v>43936</v>
      </c>
      <c r="F2973" s="114">
        <v>202101</v>
      </c>
      <c r="G2973" s="112" t="s">
        <v>1091</v>
      </c>
      <c r="H2973" s="112" t="s">
        <v>1016</v>
      </c>
      <c r="I2973" s="112" t="s">
        <v>1788</v>
      </c>
      <c r="J2973" s="112" t="s">
        <v>2498</v>
      </c>
      <c r="K2973" s="112" t="s">
        <v>2871</v>
      </c>
      <c r="L2973" s="116">
        <v>-60</v>
      </c>
    </row>
    <row r="2974" spans="1:12" hidden="1" outlineLevel="1" collapsed="1" x14ac:dyDescent="0.35">
      <c r="A2974" s="112" t="s">
        <v>2479</v>
      </c>
      <c r="B2974" s="112" t="s">
        <v>908</v>
      </c>
      <c r="C2974" s="112" t="s">
        <v>679</v>
      </c>
      <c r="D2974" s="113">
        <v>10348241</v>
      </c>
      <c r="E2974" s="115">
        <v>43936</v>
      </c>
      <c r="F2974" s="114">
        <v>202101</v>
      </c>
      <c r="G2974" s="112" t="s">
        <v>1091</v>
      </c>
      <c r="H2974" s="112" t="s">
        <v>1016</v>
      </c>
      <c r="I2974" s="112" t="s">
        <v>1788</v>
      </c>
      <c r="J2974" s="112" t="s">
        <v>2584</v>
      </c>
      <c r="K2974" s="112" t="s">
        <v>2872</v>
      </c>
      <c r="L2974" s="116">
        <v>-40</v>
      </c>
    </row>
    <row r="2975" spans="1:12" hidden="1" outlineLevel="1" collapsed="1" x14ac:dyDescent="0.35">
      <c r="A2975" s="112" t="s">
        <v>2479</v>
      </c>
      <c r="B2975" s="112" t="s">
        <v>908</v>
      </c>
      <c r="C2975" s="112" t="s">
        <v>679</v>
      </c>
      <c r="D2975" s="113">
        <v>10348241</v>
      </c>
      <c r="E2975" s="115">
        <v>43936</v>
      </c>
      <c r="F2975" s="114">
        <v>202101</v>
      </c>
      <c r="G2975" s="112" t="s">
        <v>1091</v>
      </c>
      <c r="H2975" s="112" t="s">
        <v>1016</v>
      </c>
      <c r="I2975" s="112" t="s">
        <v>1788</v>
      </c>
      <c r="J2975" s="112" t="s">
        <v>2498</v>
      </c>
      <c r="K2975" s="112" t="s">
        <v>2873</v>
      </c>
      <c r="L2975" s="116">
        <v>-305</v>
      </c>
    </row>
    <row r="2976" spans="1:12" hidden="1" outlineLevel="1" collapsed="1" x14ac:dyDescent="0.35">
      <c r="A2976" s="112" t="s">
        <v>2479</v>
      </c>
      <c r="B2976" s="112" t="s">
        <v>908</v>
      </c>
      <c r="C2976" s="112" t="s">
        <v>679</v>
      </c>
      <c r="D2976" s="113">
        <v>10348241</v>
      </c>
      <c r="E2976" s="115">
        <v>43936</v>
      </c>
      <c r="F2976" s="114">
        <v>202101</v>
      </c>
      <c r="G2976" s="112" t="s">
        <v>1091</v>
      </c>
      <c r="H2976" s="112" t="s">
        <v>1016</v>
      </c>
      <c r="I2976" s="112" t="s">
        <v>1788</v>
      </c>
      <c r="J2976" s="112" t="s">
        <v>2498</v>
      </c>
      <c r="K2976" s="112" t="s">
        <v>2874</v>
      </c>
      <c r="L2976" s="116">
        <v>-190</v>
      </c>
    </row>
    <row r="2977" spans="1:12" hidden="1" outlineLevel="1" collapsed="1" x14ac:dyDescent="0.35">
      <c r="A2977" s="112" t="s">
        <v>2479</v>
      </c>
      <c r="B2977" s="112" t="s">
        <v>908</v>
      </c>
      <c r="C2977" s="112" t="s">
        <v>679</v>
      </c>
      <c r="D2977" s="113">
        <v>10348532</v>
      </c>
      <c r="E2977" s="115">
        <v>43950</v>
      </c>
      <c r="F2977" s="114">
        <v>202101</v>
      </c>
      <c r="G2977" s="112" t="s">
        <v>1091</v>
      </c>
      <c r="H2977" s="112" t="s">
        <v>1016</v>
      </c>
      <c r="I2977" s="112" t="s">
        <v>1788</v>
      </c>
      <c r="J2977" s="112" t="s">
        <v>2498</v>
      </c>
      <c r="K2977" s="112" t="s">
        <v>2875</v>
      </c>
      <c r="L2977" s="116">
        <v>-190</v>
      </c>
    </row>
    <row r="2978" spans="1:12" hidden="1" outlineLevel="1" collapsed="1" x14ac:dyDescent="0.35">
      <c r="A2978" s="112" t="s">
        <v>2479</v>
      </c>
      <c r="B2978" s="112" t="s">
        <v>908</v>
      </c>
      <c r="C2978" s="112" t="s">
        <v>679</v>
      </c>
      <c r="D2978" s="113">
        <v>10348241</v>
      </c>
      <c r="E2978" s="115">
        <v>43936</v>
      </c>
      <c r="F2978" s="114">
        <v>202101</v>
      </c>
      <c r="G2978" s="112" t="s">
        <v>1091</v>
      </c>
      <c r="H2978" s="112" t="s">
        <v>1016</v>
      </c>
      <c r="I2978" s="112" t="s">
        <v>819</v>
      </c>
      <c r="J2978" s="112" t="s">
        <v>2501</v>
      </c>
      <c r="K2978" s="112" t="s">
        <v>2876</v>
      </c>
      <c r="L2978" s="116">
        <v>-500</v>
      </c>
    </row>
    <row r="2979" spans="1:12" hidden="1" outlineLevel="1" collapsed="1" x14ac:dyDescent="0.35">
      <c r="A2979" s="112" t="s">
        <v>2479</v>
      </c>
      <c r="B2979" s="112" t="s">
        <v>908</v>
      </c>
      <c r="C2979" s="112" t="s">
        <v>679</v>
      </c>
      <c r="D2979" s="113">
        <v>10348241</v>
      </c>
      <c r="E2979" s="115">
        <v>43936</v>
      </c>
      <c r="F2979" s="114">
        <v>202101</v>
      </c>
      <c r="G2979" s="112" t="s">
        <v>1091</v>
      </c>
      <c r="H2979" s="112" t="s">
        <v>1016</v>
      </c>
      <c r="I2979" s="112" t="s">
        <v>819</v>
      </c>
      <c r="J2979" s="112" t="s">
        <v>2501</v>
      </c>
      <c r="K2979" s="112" t="s">
        <v>2877</v>
      </c>
      <c r="L2979" s="116">
        <v>-550.25</v>
      </c>
    </row>
    <row r="2980" spans="1:12" hidden="1" outlineLevel="1" collapsed="1" x14ac:dyDescent="0.35">
      <c r="A2980" s="112" t="s">
        <v>2479</v>
      </c>
      <c r="B2980" s="112" t="s">
        <v>908</v>
      </c>
      <c r="C2980" s="112" t="s">
        <v>679</v>
      </c>
      <c r="D2980" s="113">
        <v>10348532</v>
      </c>
      <c r="E2980" s="115">
        <v>43950</v>
      </c>
      <c r="F2980" s="114">
        <v>202101</v>
      </c>
      <c r="G2980" s="112" t="s">
        <v>1091</v>
      </c>
      <c r="H2980" s="112" t="s">
        <v>1016</v>
      </c>
      <c r="I2980" s="112" t="s">
        <v>1788</v>
      </c>
      <c r="J2980" s="112" t="s">
        <v>2498</v>
      </c>
      <c r="K2980" s="112" t="s">
        <v>2878</v>
      </c>
      <c r="L2980" s="116">
        <v>-190</v>
      </c>
    </row>
    <row r="2981" spans="1:12" hidden="1" outlineLevel="1" collapsed="1" x14ac:dyDescent="0.35">
      <c r="A2981" s="112" t="s">
        <v>2479</v>
      </c>
      <c r="B2981" s="112" t="s">
        <v>908</v>
      </c>
      <c r="C2981" s="112" t="s">
        <v>679</v>
      </c>
      <c r="D2981" s="113">
        <v>10348241</v>
      </c>
      <c r="E2981" s="115">
        <v>43936</v>
      </c>
      <c r="F2981" s="114">
        <v>202101</v>
      </c>
      <c r="G2981" s="112" t="s">
        <v>1091</v>
      </c>
      <c r="H2981" s="112" t="s">
        <v>1016</v>
      </c>
      <c r="I2981" s="112" t="s">
        <v>1788</v>
      </c>
      <c r="J2981" s="112" t="s">
        <v>2498</v>
      </c>
      <c r="K2981" s="112" t="s">
        <v>2879</v>
      </c>
      <c r="L2981" s="116">
        <v>-305</v>
      </c>
    </row>
    <row r="2982" spans="1:12" hidden="1" outlineLevel="1" collapsed="1" x14ac:dyDescent="0.35">
      <c r="A2982" s="112" t="s">
        <v>2479</v>
      </c>
      <c r="B2982" s="112" t="s">
        <v>908</v>
      </c>
      <c r="C2982" s="112" t="s">
        <v>679</v>
      </c>
      <c r="D2982" s="113">
        <v>10348532</v>
      </c>
      <c r="E2982" s="115">
        <v>43950</v>
      </c>
      <c r="F2982" s="114">
        <v>202101</v>
      </c>
      <c r="G2982" s="112" t="s">
        <v>1091</v>
      </c>
      <c r="H2982" s="112" t="s">
        <v>1016</v>
      </c>
      <c r="I2982" s="112" t="s">
        <v>1788</v>
      </c>
      <c r="J2982" s="112" t="s">
        <v>2498</v>
      </c>
      <c r="K2982" s="112" t="s">
        <v>2880</v>
      </c>
      <c r="L2982" s="116">
        <v>-60</v>
      </c>
    </row>
    <row r="2983" spans="1:12" hidden="1" outlineLevel="1" collapsed="1" x14ac:dyDescent="0.35">
      <c r="A2983" s="112" t="s">
        <v>2479</v>
      </c>
      <c r="B2983" s="112" t="s">
        <v>908</v>
      </c>
      <c r="C2983" s="112" t="s">
        <v>679</v>
      </c>
      <c r="D2983" s="113">
        <v>10348532</v>
      </c>
      <c r="E2983" s="115">
        <v>43950</v>
      </c>
      <c r="F2983" s="114">
        <v>202101</v>
      </c>
      <c r="G2983" s="112" t="s">
        <v>1091</v>
      </c>
      <c r="H2983" s="112" t="s">
        <v>1016</v>
      </c>
      <c r="I2983" s="112" t="s">
        <v>1788</v>
      </c>
      <c r="J2983" s="112" t="s">
        <v>2498</v>
      </c>
      <c r="K2983" s="112" t="s">
        <v>2881</v>
      </c>
      <c r="L2983" s="116">
        <v>-190</v>
      </c>
    </row>
    <row r="2984" spans="1:12" hidden="1" outlineLevel="1" collapsed="1" x14ac:dyDescent="0.35">
      <c r="A2984" s="112" t="s">
        <v>2479</v>
      </c>
      <c r="B2984" s="112" t="s">
        <v>908</v>
      </c>
      <c r="C2984" s="112" t="s">
        <v>679</v>
      </c>
      <c r="D2984" s="113">
        <v>10348532</v>
      </c>
      <c r="E2984" s="115">
        <v>43950</v>
      </c>
      <c r="F2984" s="114">
        <v>202101</v>
      </c>
      <c r="G2984" s="112" t="s">
        <v>1091</v>
      </c>
      <c r="H2984" s="112" t="s">
        <v>1016</v>
      </c>
      <c r="I2984" s="112" t="s">
        <v>1788</v>
      </c>
      <c r="J2984" s="112" t="s">
        <v>2498</v>
      </c>
      <c r="K2984" s="112" t="s">
        <v>2882</v>
      </c>
      <c r="L2984" s="116">
        <v>-196</v>
      </c>
    </row>
    <row r="2985" spans="1:12" hidden="1" outlineLevel="1" collapsed="1" x14ac:dyDescent="0.35">
      <c r="A2985" s="112" t="s">
        <v>2479</v>
      </c>
      <c r="B2985" s="112" t="s">
        <v>908</v>
      </c>
      <c r="C2985" s="112" t="s">
        <v>679</v>
      </c>
      <c r="D2985" s="113">
        <v>10348241</v>
      </c>
      <c r="E2985" s="115">
        <v>43936</v>
      </c>
      <c r="F2985" s="114">
        <v>202101</v>
      </c>
      <c r="G2985" s="112" t="s">
        <v>1091</v>
      </c>
      <c r="H2985" s="112" t="s">
        <v>1016</v>
      </c>
      <c r="I2985" s="112" t="s">
        <v>1788</v>
      </c>
      <c r="J2985" s="112" t="s">
        <v>2498</v>
      </c>
      <c r="K2985" s="112" t="s">
        <v>2883</v>
      </c>
      <c r="L2985" s="116">
        <v>-60</v>
      </c>
    </row>
    <row r="2986" spans="1:12" hidden="1" outlineLevel="1" collapsed="1" x14ac:dyDescent="0.35">
      <c r="A2986" s="112" t="s">
        <v>2479</v>
      </c>
      <c r="B2986" s="112" t="s">
        <v>908</v>
      </c>
      <c r="C2986" s="112" t="s">
        <v>679</v>
      </c>
      <c r="D2986" s="113">
        <v>10348241</v>
      </c>
      <c r="E2986" s="115">
        <v>43936</v>
      </c>
      <c r="F2986" s="114">
        <v>202101</v>
      </c>
      <c r="G2986" s="112" t="s">
        <v>1091</v>
      </c>
      <c r="H2986" s="112" t="s">
        <v>1016</v>
      </c>
      <c r="I2986" s="112" t="s">
        <v>1788</v>
      </c>
      <c r="J2986" s="112" t="s">
        <v>2498</v>
      </c>
      <c r="K2986" s="112" t="s">
        <v>2884</v>
      </c>
      <c r="L2986" s="116">
        <v>-85</v>
      </c>
    </row>
    <row r="2987" spans="1:12" hidden="1" outlineLevel="1" collapsed="1" x14ac:dyDescent="0.35">
      <c r="A2987" s="112" t="s">
        <v>2479</v>
      </c>
      <c r="B2987" s="112" t="s">
        <v>908</v>
      </c>
      <c r="C2987" s="112" t="s">
        <v>679</v>
      </c>
      <c r="D2987" s="113">
        <v>10348241</v>
      </c>
      <c r="E2987" s="115">
        <v>43936</v>
      </c>
      <c r="F2987" s="114">
        <v>202101</v>
      </c>
      <c r="G2987" s="112" t="s">
        <v>1091</v>
      </c>
      <c r="H2987" s="112" t="s">
        <v>1016</v>
      </c>
      <c r="I2987" s="112" t="s">
        <v>1788</v>
      </c>
      <c r="J2987" s="112" t="s">
        <v>2498</v>
      </c>
      <c r="K2987" s="112" t="s">
        <v>2885</v>
      </c>
      <c r="L2987" s="116">
        <v>-60</v>
      </c>
    </row>
    <row r="2988" spans="1:12" hidden="1" outlineLevel="1" collapsed="1" x14ac:dyDescent="0.35">
      <c r="A2988" s="112" t="s">
        <v>2479</v>
      </c>
      <c r="B2988" s="112" t="s">
        <v>908</v>
      </c>
      <c r="C2988" s="112" t="s">
        <v>679</v>
      </c>
      <c r="D2988" s="113">
        <v>10348241</v>
      </c>
      <c r="E2988" s="115">
        <v>43936</v>
      </c>
      <c r="F2988" s="114">
        <v>202101</v>
      </c>
      <c r="G2988" s="112" t="s">
        <v>1091</v>
      </c>
      <c r="H2988" s="112" t="s">
        <v>1016</v>
      </c>
      <c r="I2988" s="112" t="s">
        <v>1788</v>
      </c>
      <c r="J2988" s="112" t="s">
        <v>2498</v>
      </c>
      <c r="K2988" s="112" t="s">
        <v>2886</v>
      </c>
      <c r="L2988" s="116">
        <v>-85</v>
      </c>
    </row>
    <row r="2989" spans="1:12" hidden="1" outlineLevel="1" collapsed="1" x14ac:dyDescent="0.35">
      <c r="A2989" s="112" t="s">
        <v>2479</v>
      </c>
      <c r="B2989" s="112" t="s">
        <v>909</v>
      </c>
      <c r="C2989" s="112" t="s">
        <v>679</v>
      </c>
      <c r="D2989" s="113">
        <v>10348241</v>
      </c>
      <c r="E2989" s="115">
        <v>43936</v>
      </c>
      <c r="F2989" s="114">
        <v>202101</v>
      </c>
      <c r="G2989" s="112" t="s">
        <v>1091</v>
      </c>
      <c r="H2989" s="112" t="s">
        <v>1016</v>
      </c>
      <c r="I2989" s="112" t="s">
        <v>2536</v>
      </c>
      <c r="J2989" s="112" t="s">
        <v>2523</v>
      </c>
      <c r="K2989" s="112" t="s">
        <v>2887</v>
      </c>
      <c r="L2989" s="116">
        <v>-177</v>
      </c>
    </row>
    <row r="2990" spans="1:12" hidden="1" outlineLevel="1" collapsed="1" x14ac:dyDescent="0.35">
      <c r="A2990" s="112" t="s">
        <v>2479</v>
      </c>
      <c r="B2990" s="112" t="s">
        <v>909</v>
      </c>
      <c r="C2990" s="112" t="s">
        <v>679</v>
      </c>
      <c r="D2990" s="113">
        <v>10348532</v>
      </c>
      <c r="E2990" s="115">
        <v>43950</v>
      </c>
      <c r="F2990" s="114">
        <v>202101</v>
      </c>
      <c r="G2990" s="112" t="s">
        <v>1091</v>
      </c>
      <c r="H2990" s="112" t="s">
        <v>1016</v>
      </c>
      <c r="I2990" s="112" t="s">
        <v>2536</v>
      </c>
      <c r="J2990" s="112" t="s">
        <v>2523</v>
      </c>
      <c r="K2990" s="112" t="s">
        <v>2888</v>
      </c>
      <c r="L2990" s="116">
        <v>-277</v>
      </c>
    </row>
    <row r="2991" spans="1:12" hidden="1" outlineLevel="1" collapsed="1" x14ac:dyDescent="0.35">
      <c r="A2991" s="112" t="s">
        <v>2479</v>
      </c>
      <c r="B2991" s="112" t="s">
        <v>908</v>
      </c>
      <c r="C2991" s="112" t="s">
        <v>679</v>
      </c>
      <c r="D2991" s="113">
        <v>10348532</v>
      </c>
      <c r="E2991" s="115">
        <v>43950</v>
      </c>
      <c r="F2991" s="114">
        <v>202101</v>
      </c>
      <c r="G2991" s="112" t="s">
        <v>1091</v>
      </c>
      <c r="H2991" s="112" t="s">
        <v>1016</v>
      </c>
      <c r="I2991" s="112" t="s">
        <v>1788</v>
      </c>
      <c r="J2991" s="112" t="s">
        <v>2498</v>
      </c>
      <c r="K2991" s="112" t="s">
        <v>2889</v>
      </c>
      <c r="L2991" s="116">
        <v>-196</v>
      </c>
    </row>
    <row r="2992" spans="1:12" hidden="1" outlineLevel="1" collapsed="1" x14ac:dyDescent="0.35">
      <c r="A2992" s="112" t="s">
        <v>2479</v>
      </c>
      <c r="B2992" s="112" t="s">
        <v>908</v>
      </c>
      <c r="C2992" s="112" t="s">
        <v>679</v>
      </c>
      <c r="D2992" s="113">
        <v>10348532</v>
      </c>
      <c r="E2992" s="115">
        <v>43950</v>
      </c>
      <c r="F2992" s="114">
        <v>202101</v>
      </c>
      <c r="G2992" s="112" t="s">
        <v>1091</v>
      </c>
      <c r="H2992" s="112" t="s">
        <v>1016</v>
      </c>
      <c r="I2992" s="112" t="s">
        <v>1788</v>
      </c>
      <c r="J2992" s="112" t="s">
        <v>2498</v>
      </c>
      <c r="K2992" s="112" t="s">
        <v>2890</v>
      </c>
      <c r="L2992" s="116">
        <v>-60</v>
      </c>
    </row>
    <row r="2993" spans="1:12" hidden="1" outlineLevel="1" collapsed="1" x14ac:dyDescent="0.35">
      <c r="A2993" s="112" t="s">
        <v>2479</v>
      </c>
      <c r="B2993" s="112" t="s">
        <v>908</v>
      </c>
      <c r="C2993" s="112" t="s">
        <v>679</v>
      </c>
      <c r="D2993" s="113">
        <v>10348476</v>
      </c>
      <c r="E2993" s="115">
        <v>43948</v>
      </c>
      <c r="F2993" s="114">
        <v>202101</v>
      </c>
      <c r="G2993" s="112" t="s">
        <v>1091</v>
      </c>
      <c r="H2993" s="112" t="s">
        <v>1016</v>
      </c>
      <c r="I2993" s="112" t="s">
        <v>1788</v>
      </c>
      <c r="J2993" s="112" t="s">
        <v>2498</v>
      </c>
      <c r="K2993" s="112" t="s">
        <v>2891</v>
      </c>
      <c r="L2993" s="116">
        <v>-85</v>
      </c>
    </row>
    <row r="2994" spans="1:12" hidden="1" outlineLevel="1" collapsed="1" x14ac:dyDescent="0.35">
      <c r="A2994" s="112" t="s">
        <v>2479</v>
      </c>
      <c r="B2994" s="112" t="s">
        <v>908</v>
      </c>
      <c r="C2994" s="112" t="s">
        <v>695</v>
      </c>
      <c r="D2994" s="113">
        <v>10347981</v>
      </c>
      <c r="E2994" s="115">
        <v>43924</v>
      </c>
      <c r="F2994" s="114">
        <v>202101</v>
      </c>
      <c r="G2994" s="112" t="s">
        <v>1091</v>
      </c>
      <c r="H2994" s="112" t="s">
        <v>1015</v>
      </c>
      <c r="I2994" s="112" t="s">
        <v>761</v>
      </c>
      <c r="J2994" s="112" t="s">
        <v>2501</v>
      </c>
      <c r="K2994" s="112" t="s">
        <v>2892</v>
      </c>
      <c r="L2994" s="116">
        <v>-310</v>
      </c>
    </row>
    <row r="2995" spans="1:12" hidden="1" outlineLevel="1" collapsed="1" x14ac:dyDescent="0.35">
      <c r="A2995" s="112" t="s">
        <v>2479</v>
      </c>
      <c r="B2995" s="112" t="s">
        <v>909</v>
      </c>
      <c r="C2995" s="112" t="s">
        <v>1518</v>
      </c>
      <c r="D2995" s="113">
        <v>51366235</v>
      </c>
      <c r="E2995" s="115">
        <v>43948</v>
      </c>
      <c r="F2995" s="114">
        <v>202101</v>
      </c>
      <c r="G2995" s="112" t="s">
        <v>1091</v>
      </c>
      <c r="H2995" s="112" t="s">
        <v>1016</v>
      </c>
      <c r="I2995" s="112" t="s">
        <v>1788</v>
      </c>
      <c r="J2995" s="112" t="s">
        <v>2652</v>
      </c>
      <c r="K2995" s="112" t="s">
        <v>2893</v>
      </c>
      <c r="L2995" s="116">
        <v>-180</v>
      </c>
    </row>
    <row r="2996" spans="1:12" hidden="1" outlineLevel="1" collapsed="1" x14ac:dyDescent="0.35">
      <c r="A2996" s="112" t="s">
        <v>2479</v>
      </c>
      <c r="B2996" s="112" t="s">
        <v>909</v>
      </c>
      <c r="C2996" s="112" t="s">
        <v>1518</v>
      </c>
      <c r="D2996" s="113">
        <v>51366252</v>
      </c>
      <c r="E2996" s="115">
        <v>43948</v>
      </c>
      <c r="F2996" s="114">
        <v>202101</v>
      </c>
      <c r="G2996" s="112" t="s">
        <v>1091</v>
      </c>
      <c r="H2996" s="112" t="s">
        <v>1016</v>
      </c>
      <c r="I2996" s="112" t="s">
        <v>1788</v>
      </c>
      <c r="J2996" s="112" t="s">
        <v>2652</v>
      </c>
      <c r="K2996" s="112" t="s">
        <v>2894</v>
      </c>
      <c r="L2996" s="116">
        <v>-70</v>
      </c>
    </row>
    <row r="2997" spans="1:12" hidden="1" outlineLevel="1" collapsed="1" x14ac:dyDescent="0.35">
      <c r="A2997" s="112" t="s">
        <v>2479</v>
      </c>
      <c r="B2997" s="112" t="s">
        <v>909</v>
      </c>
      <c r="C2997" s="112" t="s">
        <v>1518</v>
      </c>
      <c r="D2997" s="113">
        <v>51366251</v>
      </c>
      <c r="E2997" s="115">
        <v>43948</v>
      </c>
      <c r="F2997" s="114">
        <v>202101</v>
      </c>
      <c r="G2997" s="112" t="s">
        <v>1091</v>
      </c>
      <c r="H2997" s="112" t="s">
        <v>1016</v>
      </c>
      <c r="I2997" s="112" t="s">
        <v>1788</v>
      </c>
      <c r="J2997" s="112" t="s">
        <v>2652</v>
      </c>
      <c r="K2997" s="112" t="s">
        <v>2895</v>
      </c>
      <c r="L2997" s="116">
        <v>-180</v>
      </c>
    </row>
    <row r="2998" spans="1:12" hidden="1" outlineLevel="1" collapsed="1" x14ac:dyDescent="0.35">
      <c r="A2998" s="112" t="s">
        <v>2479</v>
      </c>
      <c r="B2998" s="112" t="s">
        <v>909</v>
      </c>
      <c r="C2998" s="112" t="s">
        <v>1518</v>
      </c>
      <c r="D2998" s="113">
        <v>51366250</v>
      </c>
      <c r="E2998" s="115">
        <v>43948</v>
      </c>
      <c r="F2998" s="114">
        <v>202101</v>
      </c>
      <c r="G2998" s="112" t="s">
        <v>1091</v>
      </c>
      <c r="H2998" s="112" t="s">
        <v>1016</v>
      </c>
      <c r="I2998" s="112" t="s">
        <v>1788</v>
      </c>
      <c r="J2998" s="112" t="s">
        <v>2652</v>
      </c>
      <c r="K2998" s="112" t="s">
        <v>2896</v>
      </c>
      <c r="L2998" s="116">
        <v>-180</v>
      </c>
    </row>
    <row r="2999" spans="1:12" hidden="1" outlineLevel="1" collapsed="1" x14ac:dyDescent="0.35">
      <c r="A2999" s="112" t="s">
        <v>2479</v>
      </c>
      <c r="B2999" s="112" t="s">
        <v>909</v>
      </c>
      <c r="C2999" s="112" t="s">
        <v>1518</v>
      </c>
      <c r="D2999" s="113">
        <v>51366249</v>
      </c>
      <c r="E2999" s="115">
        <v>43948</v>
      </c>
      <c r="F2999" s="114">
        <v>202101</v>
      </c>
      <c r="G2999" s="112" t="s">
        <v>1091</v>
      </c>
      <c r="H2999" s="112" t="s">
        <v>1016</v>
      </c>
      <c r="I2999" s="112" t="s">
        <v>1788</v>
      </c>
      <c r="J2999" s="112" t="s">
        <v>2652</v>
      </c>
      <c r="K2999" s="112" t="s">
        <v>2897</v>
      </c>
      <c r="L2999" s="116">
        <v>-180</v>
      </c>
    </row>
    <row r="3000" spans="1:12" hidden="1" outlineLevel="1" collapsed="1" x14ac:dyDescent="0.35">
      <c r="A3000" s="112" t="s">
        <v>2479</v>
      </c>
      <c r="B3000" s="112" t="s">
        <v>908</v>
      </c>
      <c r="C3000" s="112" t="s">
        <v>679</v>
      </c>
      <c r="D3000" s="113">
        <v>10348411</v>
      </c>
      <c r="E3000" s="115">
        <v>43943</v>
      </c>
      <c r="F3000" s="114">
        <v>202101</v>
      </c>
      <c r="G3000" s="112" t="s">
        <v>1091</v>
      </c>
      <c r="H3000" s="112" t="s">
        <v>1016</v>
      </c>
      <c r="I3000" s="112" t="s">
        <v>1788</v>
      </c>
      <c r="J3000" s="112" t="s">
        <v>2498</v>
      </c>
      <c r="K3000" s="112" t="s">
        <v>2898</v>
      </c>
      <c r="L3000" s="116">
        <v>-284</v>
      </c>
    </row>
    <row r="3001" spans="1:12" hidden="1" outlineLevel="1" collapsed="1" x14ac:dyDescent="0.35">
      <c r="A3001" s="112" t="s">
        <v>2479</v>
      </c>
      <c r="B3001" s="112" t="s">
        <v>909</v>
      </c>
      <c r="C3001" s="112" t="s">
        <v>1518</v>
      </c>
      <c r="D3001" s="113">
        <v>51366248</v>
      </c>
      <c r="E3001" s="115">
        <v>43948</v>
      </c>
      <c r="F3001" s="114">
        <v>202101</v>
      </c>
      <c r="G3001" s="112" t="s">
        <v>1091</v>
      </c>
      <c r="H3001" s="112" t="s">
        <v>1016</v>
      </c>
      <c r="I3001" s="112" t="s">
        <v>1788</v>
      </c>
      <c r="J3001" s="112" t="s">
        <v>2652</v>
      </c>
      <c r="K3001" s="112" t="s">
        <v>2899</v>
      </c>
      <c r="L3001" s="116">
        <v>-180</v>
      </c>
    </row>
    <row r="3002" spans="1:12" hidden="1" outlineLevel="1" collapsed="1" x14ac:dyDescent="0.35">
      <c r="A3002" s="112" t="s">
        <v>2479</v>
      </c>
      <c r="B3002" s="112" t="s">
        <v>909</v>
      </c>
      <c r="C3002" s="112" t="s">
        <v>1518</v>
      </c>
      <c r="D3002" s="113">
        <v>51366247</v>
      </c>
      <c r="E3002" s="115">
        <v>43948</v>
      </c>
      <c r="F3002" s="114">
        <v>202101</v>
      </c>
      <c r="G3002" s="112" t="s">
        <v>1091</v>
      </c>
      <c r="H3002" s="112" t="s">
        <v>1016</v>
      </c>
      <c r="I3002" s="112" t="s">
        <v>1788</v>
      </c>
      <c r="J3002" s="112" t="s">
        <v>2652</v>
      </c>
      <c r="K3002" s="112" t="s">
        <v>2900</v>
      </c>
      <c r="L3002" s="116">
        <v>-180</v>
      </c>
    </row>
    <row r="3003" spans="1:12" hidden="1" outlineLevel="1" collapsed="1" x14ac:dyDescent="0.35">
      <c r="A3003" s="112" t="s">
        <v>2479</v>
      </c>
      <c r="B3003" s="112" t="s">
        <v>909</v>
      </c>
      <c r="C3003" s="112" t="s">
        <v>1518</v>
      </c>
      <c r="D3003" s="113">
        <v>51366246</v>
      </c>
      <c r="E3003" s="115">
        <v>43948</v>
      </c>
      <c r="F3003" s="114">
        <v>202101</v>
      </c>
      <c r="G3003" s="112" t="s">
        <v>1091</v>
      </c>
      <c r="H3003" s="112" t="s">
        <v>1016</v>
      </c>
      <c r="I3003" s="112" t="s">
        <v>1788</v>
      </c>
      <c r="J3003" s="112" t="s">
        <v>2652</v>
      </c>
      <c r="K3003" s="112" t="s">
        <v>2901</v>
      </c>
      <c r="L3003" s="116">
        <v>-180</v>
      </c>
    </row>
    <row r="3004" spans="1:12" hidden="1" outlineLevel="1" collapsed="1" x14ac:dyDescent="0.35">
      <c r="A3004" s="112" t="s">
        <v>2479</v>
      </c>
      <c r="B3004" s="112" t="s">
        <v>909</v>
      </c>
      <c r="C3004" s="112" t="s">
        <v>1518</v>
      </c>
      <c r="D3004" s="113">
        <v>51366245</v>
      </c>
      <c r="E3004" s="115">
        <v>43948</v>
      </c>
      <c r="F3004" s="114">
        <v>202101</v>
      </c>
      <c r="G3004" s="112" t="s">
        <v>1091</v>
      </c>
      <c r="H3004" s="112" t="s">
        <v>1016</v>
      </c>
      <c r="I3004" s="112" t="s">
        <v>1788</v>
      </c>
      <c r="J3004" s="112" t="s">
        <v>2652</v>
      </c>
      <c r="K3004" s="112" t="s">
        <v>2902</v>
      </c>
      <c r="L3004" s="116">
        <v>-180</v>
      </c>
    </row>
    <row r="3005" spans="1:12" hidden="1" outlineLevel="1" collapsed="1" x14ac:dyDescent="0.35">
      <c r="A3005" s="112" t="s">
        <v>2479</v>
      </c>
      <c r="B3005" s="112" t="s">
        <v>909</v>
      </c>
      <c r="C3005" s="112" t="s">
        <v>1518</v>
      </c>
      <c r="D3005" s="113">
        <v>51366244</v>
      </c>
      <c r="E3005" s="115">
        <v>43948</v>
      </c>
      <c r="F3005" s="114">
        <v>202101</v>
      </c>
      <c r="G3005" s="112" t="s">
        <v>1091</v>
      </c>
      <c r="H3005" s="112" t="s">
        <v>1016</v>
      </c>
      <c r="I3005" s="112" t="s">
        <v>1788</v>
      </c>
      <c r="J3005" s="112" t="s">
        <v>2652</v>
      </c>
      <c r="K3005" s="112" t="s">
        <v>2903</v>
      </c>
      <c r="L3005" s="116">
        <v>-180</v>
      </c>
    </row>
    <row r="3006" spans="1:12" hidden="1" outlineLevel="1" collapsed="1" x14ac:dyDescent="0.35">
      <c r="A3006" s="112" t="s">
        <v>2479</v>
      </c>
      <c r="B3006" s="112" t="s">
        <v>909</v>
      </c>
      <c r="C3006" s="112" t="s">
        <v>1518</v>
      </c>
      <c r="D3006" s="113">
        <v>51366243</v>
      </c>
      <c r="E3006" s="115">
        <v>43948</v>
      </c>
      <c r="F3006" s="114">
        <v>202101</v>
      </c>
      <c r="G3006" s="112" t="s">
        <v>1091</v>
      </c>
      <c r="H3006" s="112" t="s">
        <v>1016</v>
      </c>
      <c r="I3006" s="112" t="s">
        <v>1788</v>
      </c>
      <c r="J3006" s="112" t="s">
        <v>2652</v>
      </c>
      <c r="K3006" s="112" t="s">
        <v>2904</v>
      </c>
      <c r="L3006" s="116">
        <v>-180</v>
      </c>
    </row>
    <row r="3007" spans="1:12" hidden="1" outlineLevel="1" collapsed="1" x14ac:dyDescent="0.35">
      <c r="A3007" s="112" t="s">
        <v>2479</v>
      </c>
      <c r="B3007" s="112" t="s">
        <v>908</v>
      </c>
      <c r="C3007" s="112" t="s">
        <v>679</v>
      </c>
      <c r="D3007" s="113">
        <v>10348411</v>
      </c>
      <c r="E3007" s="115">
        <v>43943</v>
      </c>
      <c r="F3007" s="114">
        <v>202101</v>
      </c>
      <c r="G3007" s="112" t="s">
        <v>1091</v>
      </c>
      <c r="H3007" s="112" t="s">
        <v>1016</v>
      </c>
      <c r="I3007" s="112" t="s">
        <v>1788</v>
      </c>
      <c r="J3007" s="112" t="s">
        <v>2498</v>
      </c>
      <c r="K3007" s="112" t="s">
        <v>2905</v>
      </c>
      <c r="L3007" s="116">
        <v>-60</v>
      </c>
    </row>
    <row r="3008" spans="1:12" hidden="1" outlineLevel="1" collapsed="1" x14ac:dyDescent="0.35">
      <c r="A3008" s="112" t="s">
        <v>2479</v>
      </c>
      <c r="B3008" s="112" t="s">
        <v>909</v>
      </c>
      <c r="C3008" s="112" t="s">
        <v>1518</v>
      </c>
      <c r="D3008" s="113">
        <v>51366242</v>
      </c>
      <c r="E3008" s="115">
        <v>43948</v>
      </c>
      <c r="F3008" s="114">
        <v>202101</v>
      </c>
      <c r="G3008" s="112" t="s">
        <v>1091</v>
      </c>
      <c r="H3008" s="112" t="s">
        <v>1016</v>
      </c>
      <c r="I3008" s="112" t="s">
        <v>1788</v>
      </c>
      <c r="J3008" s="112" t="s">
        <v>2652</v>
      </c>
      <c r="K3008" s="112" t="s">
        <v>2906</v>
      </c>
      <c r="L3008" s="116">
        <v>-180</v>
      </c>
    </row>
    <row r="3009" spans="1:12" hidden="1" outlineLevel="1" collapsed="1" x14ac:dyDescent="0.35">
      <c r="A3009" s="112" t="s">
        <v>2479</v>
      </c>
      <c r="B3009" s="112" t="s">
        <v>909</v>
      </c>
      <c r="C3009" s="112" t="s">
        <v>1518</v>
      </c>
      <c r="D3009" s="113">
        <v>51366241</v>
      </c>
      <c r="E3009" s="115">
        <v>43948</v>
      </c>
      <c r="F3009" s="114">
        <v>202101</v>
      </c>
      <c r="G3009" s="112" t="s">
        <v>1091</v>
      </c>
      <c r="H3009" s="112" t="s">
        <v>1016</v>
      </c>
      <c r="I3009" s="112" t="s">
        <v>1788</v>
      </c>
      <c r="J3009" s="112" t="s">
        <v>2652</v>
      </c>
      <c r="K3009" s="112" t="s">
        <v>2907</v>
      </c>
      <c r="L3009" s="116">
        <v>-180</v>
      </c>
    </row>
    <row r="3010" spans="1:12" hidden="1" outlineLevel="1" collapsed="1" x14ac:dyDescent="0.35">
      <c r="A3010" s="112" t="s">
        <v>2479</v>
      </c>
      <c r="B3010" s="112" t="s">
        <v>909</v>
      </c>
      <c r="C3010" s="112" t="s">
        <v>1518</v>
      </c>
      <c r="D3010" s="113">
        <v>51366240</v>
      </c>
      <c r="E3010" s="115">
        <v>43948</v>
      </c>
      <c r="F3010" s="114">
        <v>202101</v>
      </c>
      <c r="G3010" s="112" t="s">
        <v>1091</v>
      </c>
      <c r="H3010" s="112" t="s">
        <v>1016</v>
      </c>
      <c r="I3010" s="112" t="s">
        <v>1788</v>
      </c>
      <c r="J3010" s="112" t="s">
        <v>2652</v>
      </c>
      <c r="K3010" s="112" t="s">
        <v>2908</v>
      </c>
      <c r="L3010" s="116">
        <v>-180</v>
      </c>
    </row>
    <row r="3011" spans="1:12" hidden="1" outlineLevel="1" collapsed="1" x14ac:dyDescent="0.35">
      <c r="A3011" s="112" t="s">
        <v>2479</v>
      </c>
      <c r="B3011" s="112" t="s">
        <v>909</v>
      </c>
      <c r="C3011" s="112" t="s">
        <v>1518</v>
      </c>
      <c r="D3011" s="113">
        <v>51366239</v>
      </c>
      <c r="E3011" s="115">
        <v>43948</v>
      </c>
      <c r="F3011" s="114">
        <v>202101</v>
      </c>
      <c r="G3011" s="112" t="s">
        <v>1091</v>
      </c>
      <c r="H3011" s="112" t="s">
        <v>1016</v>
      </c>
      <c r="I3011" s="112" t="s">
        <v>1788</v>
      </c>
      <c r="J3011" s="112" t="s">
        <v>2652</v>
      </c>
      <c r="K3011" s="112" t="s">
        <v>2909</v>
      </c>
      <c r="L3011" s="116">
        <v>-295</v>
      </c>
    </row>
    <row r="3012" spans="1:12" hidden="1" outlineLevel="1" collapsed="1" x14ac:dyDescent="0.35">
      <c r="A3012" s="112" t="s">
        <v>2479</v>
      </c>
      <c r="B3012" s="112" t="s">
        <v>908</v>
      </c>
      <c r="C3012" s="112" t="s">
        <v>679</v>
      </c>
      <c r="D3012" s="113">
        <v>10348411</v>
      </c>
      <c r="E3012" s="115">
        <v>43943</v>
      </c>
      <c r="F3012" s="114">
        <v>202101</v>
      </c>
      <c r="G3012" s="112" t="s">
        <v>1091</v>
      </c>
      <c r="H3012" s="112" t="s">
        <v>1016</v>
      </c>
      <c r="I3012" s="112" t="s">
        <v>1788</v>
      </c>
      <c r="J3012" s="112" t="s">
        <v>2498</v>
      </c>
      <c r="K3012" s="112" t="s">
        <v>2910</v>
      </c>
      <c r="L3012" s="116">
        <v>-60</v>
      </c>
    </row>
    <row r="3013" spans="1:12" hidden="1" outlineLevel="1" collapsed="1" x14ac:dyDescent="0.35">
      <c r="A3013" s="112" t="s">
        <v>2479</v>
      </c>
      <c r="B3013" s="112" t="s">
        <v>908</v>
      </c>
      <c r="C3013" s="112" t="s">
        <v>679</v>
      </c>
      <c r="D3013" s="113">
        <v>10348411</v>
      </c>
      <c r="E3013" s="115">
        <v>43943</v>
      </c>
      <c r="F3013" s="114">
        <v>202101</v>
      </c>
      <c r="G3013" s="112" t="s">
        <v>1091</v>
      </c>
      <c r="H3013" s="112" t="s">
        <v>1016</v>
      </c>
      <c r="I3013" s="112" t="s">
        <v>1788</v>
      </c>
      <c r="J3013" s="112" t="s">
        <v>2498</v>
      </c>
      <c r="K3013" s="112" t="s">
        <v>2911</v>
      </c>
      <c r="L3013" s="116">
        <v>-60</v>
      </c>
    </row>
    <row r="3014" spans="1:12" hidden="1" outlineLevel="1" collapsed="1" x14ac:dyDescent="0.35">
      <c r="A3014" s="112" t="s">
        <v>2479</v>
      </c>
      <c r="B3014" s="112" t="s">
        <v>908</v>
      </c>
      <c r="C3014" s="112" t="s">
        <v>679</v>
      </c>
      <c r="D3014" s="113">
        <v>10348411</v>
      </c>
      <c r="E3014" s="115">
        <v>43943</v>
      </c>
      <c r="F3014" s="114">
        <v>202101</v>
      </c>
      <c r="G3014" s="112" t="s">
        <v>1091</v>
      </c>
      <c r="H3014" s="112" t="s">
        <v>1016</v>
      </c>
      <c r="I3014" s="112" t="s">
        <v>1788</v>
      </c>
      <c r="J3014" s="112" t="s">
        <v>2498</v>
      </c>
      <c r="K3014" s="112" t="s">
        <v>2912</v>
      </c>
      <c r="L3014" s="116">
        <v>-60</v>
      </c>
    </row>
    <row r="3015" spans="1:12" hidden="1" outlineLevel="1" collapsed="1" x14ac:dyDescent="0.35">
      <c r="A3015" s="112" t="s">
        <v>2479</v>
      </c>
      <c r="B3015" s="112" t="s">
        <v>908</v>
      </c>
      <c r="C3015" s="112" t="s">
        <v>679</v>
      </c>
      <c r="D3015" s="113">
        <v>10348411</v>
      </c>
      <c r="E3015" s="115">
        <v>43943</v>
      </c>
      <c r="F3015" s="114">
        <v>202101</v>
      </c>
      <c r="G3015" s="112" t="s">
        <v>1091</v>
      </c>
      <c r="H3015" s="112" t="s">
        <v>1016</v>
      </c>
      <c r="I3015" s="112" t="s">
        <v>1788</v>
      </c>
      <c r="J3015" s="112" t="s">
        <v>2498</v>
      </c>
      <c r="K3015" s="112" t="s">
        <v>2913</v>
      </c>
      <c r="L3015" s="116">
        <v>-79</v>
      </c>
    </row>
    <row r="3016" spans="1:12" hidden="1" outlineLevel="1" collapsed="1" x14ac:dyDescent="0.35">
      <c r="A3016" s="112" t="s">
        <v>2479</v>
      </c>
      <c r="B3016" s="112" t="s">
        <v>909</v>
      </c>
      <c r="C3016" s="112" t="s">
        <v>1518</v>
      </c>
      <c r="D3016" s="113">
        <v>51366253</v>
      </c>
      <c r="E3016" s="115">
        <v>43948</v>
      </c>
      <c r="F3016" s="114">
        <v>202101</v>
      </c>
      <c r="G3016" s="112" t="s">
        <v>1091</v>
      </c>
      <c r="H3016" s="112" t="s">
        <v>1016</v>
      </c>
      <c r="I3016" s="112" t="s">
        <v>1788</v>
      </c>
      <c r="J3016" s="112" t="s">
        <v>2652</v>
      </c>
      <c r="K3016" s="112" t="s">
        <v>2914</v>
      </c>
      <c r="L3016" s="116">
        <v>-70</v>
      </c>
    </row>
    <row r="3017" spans="1:12" hidden="1" outlineLevel="1" collapsed="1" x14ac:dyDescent="0.35">
      <c r="A3017" s="112" t="s">
        <v>2479</v>
      </c>
      <c r="B3017" s="112" t="s">
        <v>909</v>
      </c>
      <c r="C3017" s="112" t="s">
        <v>1518</v>
      </c>
      <c r="D3017" s="113">
        <v>51366234</v>
      </c>
      <c r="E3017" s="115">
        <v>43948</v>
      </c>
      <c r="F3017" s="114">
        <v>202101</v>
      </c>
      <c r="G3017" s="112" t="s">
        <v>1091</v>
      </c>
      <c r="H3017" s="112" t="s">
        <v>1016</v>
      </c>
      <c r="I3017" s="112" t="s">
        <v>1788</v>
      </c>
      <c r="J3017" s="112" t="s">
        <v>2652</v>
      </c>
      <c r="K3017" s="112" t="s">
        <v>2915</v>
      </c>
      <c r="L3017" s="116">
        <v>-350</v>
      </c>
    </row>
    <row r="3018" spans="1:12" hidden="1" outlineLevel="1" collapsed="1" x14ac:dyDescent="0.35">
      <c r="A3018" s="112" t="s">
        <v>2479</v>
      </c>
      <c r="B3018" s="112" t="s">
        <v>909</v>
      </c>
      <c r="C3018" s="112" t="s">
        <v>1518</v>
      </c>
      <c r="D3018" s="113">
        <v>51366233</v>
      </c>
      <c r="E3018" s="115">
        <v>43948</v>
      </c>
      <c r="F3018" s="114">
        <v>202101</v>
      </c>
      <c r="G3018" s="112" t="s">
        <v>1091</v>
      </c>
      <c r="H3018" s="112" t="s">
        <v>1016</v>
      </c>
      <c r="I3018" s="112" t="s">
        <v>1788</v>
      </c>
      <c r="J3018" s="112" t="s">
        <v>2652</v>
      </c>
      <c r="K3018" s="112" t="s">
        <v>2916</v>
      </c>
      <c r="L3018" s="116">
        <v>-295</v>
      </c>
    </row>
    <row r="3019" spans="1:12" hidden="1" outlineLevel="1" collapsed="1" x14ac:dyDescent="0.35">
      <c r="A3019" s="112" t="s">
        <v>2479</v>
      </c>
      <c r="B3019" s="112" t="s">
        <v>909</v>
      </c>
      <c r="C3019" s="112" t="s">
        <v>1518</v>
      </c>
      <c r="D3019" s="113">
        <v>51366232</v>
      </c>
      <c r="E3019" s="115">
        <v>43948</v>
      </c>
      <c r="F3019" s="114">
        <v>202101</v>
      </c>
      <c r="G3019" s="112" t="s">
        <v>1091</v>
      </c>
      <c r="H3019" s="112" t="s">
        <v>1016</v>
      </c>
      <c r="I3019" s="112" t="s">
        <v>1788</v>
      </c>
      <c r="J3019" s="112" t="s">
        <v>2652</v>
      </c>
      <c r="K3019" s="112" t="s">
        <v>2917</v>
      </c>
      <c r="L3019" s="116">
        <v>-180</v>
      </c>
    </row>
    <row r="3020" spans="1:12" hidden="1" outlineLevel="1" collapsed="1" x14ac:dyDescent="0.35">
      <c r="A3020" s="112" t="s">
        <v>2479</v>
      </c>
      <c r="B3020" s="112" t="s">
        <v>909</v>
      </c>
      <c r="C3020" s="112" t="s">
        <v>1518</v>
      </c>
      <c r="D3020" s="113">
        <v>51366231</v>
      </c>
      <c r="E3020" s="115">
        <v>43948</v>
      </c>
      <c r="F3020" s="114">
        <v>202101</v>
      </c>
      <c r="G3020" s="112" t="s">
        <v>1091</v>
      </c>
      <c r="H3020" s="112" t="s">
        <v>1016</v>
      </c>
      <c r="I3020" s="112" t="s">
        <v>1788</v>
      </c>
      <c r="J3020" s="112" t="s">
        <v>2652</v>
      </c>
      <c r="K3020" s="112" t="s">
        <v>2918</v>
      </c>
      <c r="L3020" s="116">
        <v>-180</v>
      </c>
    </row>
    <row r="3021" spans="1:12" hidden="1" outlineLevel="1" collapsed="1" x14ac:dyDescent="0.35">
      <c r="A3021" s="112" t="s">
        <v>2479</v>
      </c>
      <c r="B3021" s="112" t="s">
        <v>909</v>
      </c>
      <c r="C3021" s="112" t="s">
        <v>1518</v>
      </c>
      <c r="D3021" s="113">
        <v>51366230</v>
      </c>
      <c r="E3021" s="115">
        <v>43948</v>
      </c>
      <c r="F3021" s="114">
        <v>202101</v>
      </c>
      <c r="G3021" s="112" t="s">
        <v>1091</v>
      </c>
      <c r="H3021" s="112" t="s">
        <v>1016</v>
      </c>
      <c r="I3021" s="112" t="s">
        <v>1788</v>
      </c>
      <c r="J3021" s="112" t="s">
        <v>2652</v>
      </c>
      <c r="K3021" s="112" t="s">
        <v>2919</v>
      </c>
      <c r="L3021" s="116">
        <v>-180</v>
      </c>
    </row>
    <row r="3022" spans="1:12" hidden="1" outlineLevel="1" collapsed="1" x14ac:dyDescent="0.35">
      <c r="A3022" s="112" t="s">
        <v>2479</v>
      </c>
      <c r="B3022" s="112" t="s">
        <v>909</v>
      </c>
      <c r="C3022" s="112" t="s">
        <v>1518</v>
      </c>
      <c r="D3022" s="113">
        <v>51366229</v>
      </c>
      <c r="E3022" s="115">
        <v>43948</v>
      </c>
      <c r="F3022" s="114">
        <v>202101</v>
      </c>
      <c r="G3022" s="112" t="s">
        <v>1091</v>
      </c>
      <c r="H3022" s="112" t="s">
        <v>1016</v>
      </c>
      <c r="I3022" s="112" t="s">
        <v>1788</v>
      </c>
      <c r="J3022" s="112" t="s">
        <v>2652</v>
      </c>
      <c r="K3022" s="112" t="s">
        <v>2920</v>
      </c>
      <c r="L3022" s="116">
        <v>-180</v>
      </c>
    </row>
    <row r="3023" spans="1:12" hidden="1" outlineLevel="1" collapsed="1" x14ac:dyDescent="0.35">
      <c r="A3023" s="112" t="s">
        <v>2479</v>
      </c>
      <c r="B3023" s="112" t="s">
        <v>908</v>
      </c>
      <c r="C3023" s="112" t="s">
        <v>679</v>
      </c>
      <c r="D3023" s="113">
        <v>10347933</v>
      </c>
      <c r="E3023" s="115">
        <v>43922</v>
      </c>
      <c r="F3023" s="114">
        <v>202101</v>
      </c>
      <c r="G3023" s="112" t="s">
        <v>1091</v>
      </c>
      <c r="H3023" s="112" t="s">
        <v>1016</v>
      </c>
      <c r="I3023" s="112" t="s">
        <v>1788</v>
      </c>
      <c r="J3023" s="112" t="s">
        <v>2498</v>
      </c>
      <c r="K3023" s="112" t="s">
        <v>2921</v>
      </c>
      <c r="L3023" s="116">
        <v>-60</v>
      </c>
    </row>
    <row r="3024" spans="1:12" hidden="1" outlineLevel="1" collapsed="1" x14ac:dyDescent="0.35">
      <c r="A3024" s="112" t="s">
        <v>2479</v>
      </c>
      <c r="B3024" s="112" t="s">
        <v>908</v>
      </c>
      <c r="C3024" s="112" t="s">
        <v>679</v>
      </c>
      <c r="D3024" s="113">
        <v>10347933</v>
      </c>
      <c r="E3024" s="115">
        <v>43922</v>
      </c>
      <c r="F3024" s="114">
        <v>202101</v>
      </c>
      <c r="G3024" s="112" t="s">
        <v>1091</v>
      </c>
      <c r="H3024" s="112" t="s">
        <v>1016</v>
      </c>
      <c r="I3024" s="112" t="s">
        <v>1788</v>
      </c>
      <c r="J3024" s="112" t="s">
        <v>2498</v>
      </c>
      <c r="K3024" s="112" t="s">
        <v>2922</v>
      </c>
      <c r="L3024" s="116">
        <v>-85</v>
      </c>
    </row>
    <row r="3025" spans="1:12" hidden="1" outlineLevel="1" collapsed="1" x14ac:dyDescent="0.35">
      <c r="A3025" s="112" t="s">
        <v>2479</v>
      </c>
      <c r="B3025" s="112" t="s">
        <v>908</v>
      </c>
      <c r="C3025" s="112" t="s">
        <v>679</v>
      </c>
      <c r="D3025" s="113">
        <v>10347933</v>
      </c>
      <c r="E3025" s="115">
        <v>43922</v>
      </c>
      <c r="F3025" s="114">
        <v>202101</v>
      </c>
      <c r="G3025" s="112" t="s">
        <v>1091</v>
      </c>
      <c r="H3025" s="112" t="s">
        <v>1016</v>
      </c>
      <c r="I3025" s="112" t="s">
        <v>1788</v>
      </c>
      <c r="J3025" s="112" t="s">
        <v>2498</v>
      </c>
      <c r="K3025" s="112" t="s">
        <v>2923</v>
      </c>
      <c r="L3025" s="116">
        <v>-85</v>
      </c>
    </row>
    <row r="3026" spans="1:12" hidden="1" outlineLevel="1" collapsed="1" x14ac:dyDescent="0.35">
      <c r="A3026" s="112" t="s">
        <v>2479</v>
      </c>
      <c r="B3026" s="112" t="s">
        <v>908</v>
      </c>
      <c r="C3026" s="112" t="s">
        <v>679</v>
      </c>
      <c r="D3026" s="113">
        <v>10347933</v>
      </c>
      <c r="E3026" s="115">
        <v>43922</v>
      </c>
      <c r="F3026" s="114">
        <v>202101</v>
      </c>
      <c r="G3026" s="112" t="s">
        <v>1091</v>
      </c>
      <c r="H3026" s="112" t="s">
        <v>1016</v>
      </c>
      <c r="I3026" s="112" t="s">
        <v>1788</v>
      </c>
      <c r="J3026" s="112" t="s">
        <v>2498</v>
      </c>
      <c r="K3026" s="112" t="s">
        <v>2924</v>
      </c>
      <c r="L3026" s="116">
        <v>-190</v>
      </c>
    </row>
    <row r="3027" spans="1:12" hidden="1" outlineLevel="1" collapsed="1" x14ac:dyDescent="0.35">
      <c r="A3027" s="112" t="s">
        <v>2479</v>
      </c>
      <c r="B3027" s="112" t="s">
        <v>908</v>
      </c>
      <c r="C3027" s="112" t="s">
        <v>679</v>
      </c>
      <c r="D3027" s="113">
        <v>10347933</v>
      </c>
      <c r="E3027" s="115">
        <v>43922</v>
      </c>
      <c r="F3027" s="114">
        <v>202101</v>
      </c>
      <c r="G3027" s="112" t="s">
        <v>1091</v>
      </c>
      <c r="H3027" s="112" t="s">
        <v>1016</v>
      </c>
      <c r="I3027" s="112" t="s">
        <v>1788</v>
      </c>
      <c r="J3027" s="112" t="s">
        <v>2498</v>
      </c>
      <c r="K3027" s="112" t="s">
        <v>2925</v>
      </c>
      <c r="L3027" s="116">
        <v>-190</v>
      </c>
    </row>
    <row r="3028" spans="1:12" hidden="1" outlineLevel="1" collapsed="1" x14ac:dyDescent="0.35">
      <c r="A3028" s="112" t="s">
        <v>2479</v>
      </c>
      <c r="B3028" s="112" t="s">
        <v>908</v>
      </c>
      <c r="C3028" s="112" t="s">
        <v>679</v>
      </c>
      <c r="D3028" s="113">
        <v>10347933</v>
      </c>
      <c r="E3028" s="115">
        <v>43922</v>
      </c>
      <c r="F3028" s="114">
        <v>202101</v>
      </c>
      <c r="G3028" s="112" t="s">
        <v>1091</v>
      </c>
      <c r="H3028" s="112" t="s">
        <v>1016</v>
      </c>
      <c r="I3028" s="112" t="s">
        <v>1788</v>
      </c>
      <c r="J3028" s="112" t="s">
        <v>2498</v>
      </c>
      <c r="K3028" s="112" t="s">
        <v>2926</v>
      </c>
      <c r="L3028" s="116">
        <v>-85</v>
      </c>
    </row>
    <row r="3029" spans="1:12" hidden="1" outlineLevel="1" collapsed="1" x14ac:dyDescent="0.35">
      <c r="A3029" s="112" t="s">
        <v>2479</v>
      </c>
      <c r="B3029" s="112" t="s">
        <v>908</v>
      </c>
      <c r="C3029" s="112" t="s">
        <v>679</v>
      </c>
      <c r="D3029" s="113">
        <v>10347933</v>
      </c>
      <c r="E3029" s="115">
        <v>43922</v>
      </c>
      <c r="F3029" s="114">
        <v>202101</v>
      </c>
      <c r="G3029" s="112" t="s">
        <v>1091</v>
      </c>
      <c r="H3029" s="112" t="s">
        <v>1016</v>
      </c>
      <c r="I3029" s="112" t="s">
        <v>1788</v>
      </c>
      <c r="J3029" s="112" t="s">
        <v>2498</v>
      </c>
      <c r="K3029" s="112" t="s">
        <v>2927</v>
      </c>
      <c r="L3029" s="116">
        <v>-85</v>
      </c>
    </row>
    <row r="3030" spans="1:12" hidden="1" outlineLevel="1" collapsed="1" x14ac:dyDescent="0.35">
      <c r="A3030" s="112" t="s">
        <v>2479</v>
      </c>
      <c r="B3030" s="112" t="s">
        <v>908</v>
      </c>
      <c r="C3030" s="112" t="s">
        <v>679</v>
      </c>
      <c r="D3030" s="113">
        <v>10347933</v>
      </c>
      <c r="E3030" s="115">
        <v>43922</v>
      </c>
      <c r="F3030" s="114">
        <v>202101</v>
      </c>
      <c r="G3030" s="112" t="s">
        <v>1091</v>
      </c>
      <c r="H3030" s="112" t="s">
        <v>1016</v>
      </c>
      <c r="I3030" s="112" t="s">
        <v>1788</v>
      </c>
      <c r="J3030" s="112" t="s">
        <v>2498</v>
      </c>
      <c r="K3030" s="112" t="s">
        <v>2928</v>
      </c>
      <c r="L3030" s="116">
        <v>-190</v>
      </c>
    </row>
    <row r="3031" spans="1:12" hidden="1" outlineLevel="1" collapsed="1" x14ac:dyDescent="0.35">
      <c r="A3031" s="112" t="s">
        <v>2479</v>
      </c>
      <c r="B3031" s="112" t="s">
        <v>908</v>
      </c>
      <c r="C3031" s="112" t="s">
        <v>679</v>
      </c>
      <c r="D3031" s="113">
        <v>10347933</v>
      </c>
      <c r="E3031" s="115">
        <v>43922</v>
      </c>
      <c r="F3031" s="114">
        <v>202101</v>
      </c>
      <c r="G3031" s="112" t="s">
        <v>1091</v>
      </c>
      <c r="H3031" s="112" t="s">
        <v>1016</v>
      </c>
      <c r="I3031" s="112" t="s">
        <v>1788</v>
      </c>
      <c r="J3031" s="112" t="s">
        <v>2498</v>
      </c>
      <c r="K3031" s="112" t="s">
        <v>2929</v>
      </c>
      <c r="L3031" s="116">
        <v>-25</v>
      </c>
    </row>
    <row r="3032" spans="1:12" hidden="1" outlineLevel="1" collapsed="1" x14ac:dyDescent="0.35">
      <c r="A3032" s="112" t="s">
        <v>2479</v>
      </c>
      <c r="B3032" s="112" t="s">
        <v>908</v>
      </c>
      <c r="C3032" s="112" t="s">
        <v>679</v>
      </c>
      <c r="D3032" s="113">
        <v>10347933</v>
      </c>
      <c r="E3032" s="115">
        <v>43922</v>
      </c>
      <c r="F3032" s="114">
        <v>202101</v>
      </c>
      <c r="G3032" s="112" t="s">
        <v>1091</v>
      </c>
      <c r="H3032" s="112" t="s">
        <v>1016</v>
      </c>
      <c r="I3032" s="112" t="s">
        <v>1788</v>
      </c>
      <c r="J3032" s="112" t="s">
        <v>2498</v>
      </c>
      <c r="K3032" s="112" t="s">
        <v>2930</v>
      </c>
      <c r="L3032" s="116">
        <v>-190</v>
      </c>
    </row>
    <row r="3033" spans="1:12" hidden="1" outlineLevel="1" collapsed="1" x14ac:dyDescent="0.35">
      <c r="A3033" s="112" t="s">
        <v>2479</v>
      </c>
      <c r="B3033" s="112" t="s">
        <v>908</v>
      </c>
      <c r="C3033" s="112" t="s">
        <v>679</v>
      </c>
      <c r="D3033" s="113">
        <v>10347933</v>
      </c>
      <c r="E3033" s="115">
        <v>43922</v>
      </c>
      <c r="F3033" s="114">
        <v>202101</v>
      </c>
      <c r="G3033" s="112" t="s">
        <v>1091</v>
      </c>
      <c r="H3033" s="112" t="s">
        <v>1016</v>
      </c>
      <c r="I3033" s="112" t="s">
        <v>1788</v>
      </c>
      <c r="J3033" s="112" t="s">
        <v>2498</v>
      </c>
      <c r="K3033" s="112" t="s">
        <v>2931</v>
      </c>
      <c r="L3033" s="116">
        <v>-85</v>
      </c>
    </row>
    <row r="3034" spans="1:12" hidden="1" outlineLevel="1" collapsed="1" x14ac:dyDescent="0.35">
      <c r="A3034" s="112" t="s">
        <v>2479</v>
      </c>
      <c r="B3034" s="112" t="s">
        <v>908</v>
      </c>
      <c r="C3034" s="112" t="s">
        <v>679</v>
      </c>
      <c r="D3034" s="113">
        <v>10347933</v>
      </c>
      <c r="E3034" s="115">
        <v>43922</v>
      </c>
      <c r="F3034" s="114">
        <v>202101</v>
      </c>
      <c r="G3034" s="112" t="s">
        <v>1091</v>
      </c>
      <c r="H3034" s="112" t="s">
        <v>1016</v>
      </c>
      <c r="I3034" s="112" t="s">
        <v>1788</v>
      </c>
      <c r="J3034" s="112" t="s">
        <v>2498</v>
      </c>
      <c r="K3034" s="112" t="s">
        <v>2929</v>
      </c>
      <c r="L3034" s="116">
        <v>-60</v>
      </c>
    </row>
    <row r="3035" spans="1:12" hidden="1" outlineLevel="1" collapsed="1" x14ac:dyDescent="0.35">
      <c r="A3035" s="112" t="s">
        <v>2479</v>
      </c>
      <c r="B3035" s="112" t="s">
        <v>908</v>
      </c>
      <c r="C3035" s="112" t="s">
        <v>679</v>
      </c>
      <c r="D3035" s="113">
        <v>10347933</v>
      </c>
      <c r="E3035" s="115">
        <v>43922</v>
      </c>
      <c r="F3035" s="114">
        <v>202101</v>
      </c>
      <c r="G3035" s="112" t="s">
        <v>1091</v>
      </c>
      <c r="H3035" s="112" t="s">
        <v>1016</v>
      </c>
      <c r="I3035" s="112" t="s">
        <v>819</v>
      </c>
      <c r="J3035" s="112" t="s">
        <v>2501</v>
      </c>
      <c r="K3035" s="112" t="s">
        <v>2932</v>
      </c>
      <c r="L3035" s="116">
        <v>-61</v>
      </c>
    </row>
    <row r="3036" spans="1:12" hidden="1" outlineLevel="1" collapsed="1" x14ac:dyDescent="0.35">
      <c r="A3036" s="112" t="s">
        <v>2479</v>
      </c>
      <c r="B3036" s="112" t="s">
        <v>908</v>
      </c>
      <c r="C3036" s="112" t="s">
        <v>679</v>
      </c>
      <c r="D3036" s="113">
        <v>10347933</v>
      </c>
      <c r="E3036" s="115">
        <v>43922</v>
      </c>
      <c r="F3036" s="114">
        <v>202101</v>
      </c>
      <c r="G3036" s="112" t="s">
        <v>1091</v>
      </c>
      <c r="H3036" s="112" t="s">
        <v>1016</v>
      </c>
      <c r="I3036" s="112" t="s">
        <v>1788</v>
      </c>
      <c r="J3036" s="112" t="s">
        <v>2498</v>
      </c>
      <c r="K3036" s="112" t="s">
        <v>2933</v>
      </c>
      <c r="L3036" s="116">
        <v>-60</v>
      </c>
    </row>
    <row r="3037" spans="1:12" hidden="1" outlineLevel="1" collapsed="1" x14ac:dyDescent="0.35">
      <c r="A3037" s="112" t="s">
        <v>2479</v>
      </c>
      <c r="B3037" s="112" t="s">
        <v>908</v>
      </c>
      <c r="C3037" s="112" t="s">
        <v>679</v>
      </c>
      <c r="D3037" s="113">
        <v>10347933</v>
      </c>
      <c r="E3037" s="115">
        <v>43922</v>
      </c>
      <c r="F3037" s="114">
        <v>202101</v>
      </c>
      <c r="G3037" s="112" t="s">
        <v>1091</v>
      </c>
      <c r="H3037" s="112" t="s">
        <v>1016</v>
      </c>
      <c r="I3037" s="112" t="s">
        <v>1788</v>
      </c>
      <c r="J3037" s="112" t="s">
        <v>2498</v>
      </c>
      <c r="K3037" s="112" t="s">
        <v>2934</v>
      </c>
      <c r="L3037" s="116">
        <v>-60</v>
      </c>
    </row>
    <row r="3038" spans="1:12" hidden="1" outlineLevel="1" collapsed="1" x14ac:dyDescent="0.35">
      <c r="A3038" s="112" t="s">
        <v>2479</v>
      </c>
      <c r="B3038" s="112" t="s">
        <v>909</v>
      </c>
      <c r="C3038" s="112" t="s">
        <v>1518</v>
      </c>
      <c r="D3038" s="113">
        <v>51366254</v>
      </c>
      <c r="E3038" s="115">
        <v>43948</v>
      </c>
      <c r="F3038" s="114">
        <v>202101</v>
      </c>
      <c r="G3038" s="112" t="s">
        <v>1091</v>
      </c>
      <c r="H3038" s="112" t="s">
        <v>1016</v>
      </c>
      <c r="I3038" s="112" t="s">
        <v>1788</v>
      </c>
      <c r="J3038" s="112" t="s">
        <v>2652</v>
      </c>
      <c r="K3038" s="112" t="s">
        <v>2935</v>
      </c>
      <c r="L3038" s="116">
        <v>-180</v>
      </c>
    </row>
    <row r="3039" spans="1:12" hidden="1" outlineLevel="1" collapsed="1" x14ac:dyDescent="0.35">
      <c r="A3039" s="112" t="s">
        <v>2479</v>
      </c>
      <c r="B3039" s="112" t="s">
        <v>908</v>
      </c>
      <c r="C3039" s="112" t="s">
        <v>679</v>
      </c>
      <c r="D3039" s="113">
        <v>10347933</v>
      </c>
      <c r="E3039" s="115">
        <v>43922</v>
      </c>
      <c r="F3039" s="114">
        <v>202101</v>
      </c>
      <c r="G3039" s="112" t="s">
        <v>1091</v>
      </c>
      <c r="H3039" s="112" t="s">
        <v>1016</v>
      </c>
      <c r="I3039" s="112" t="s">
        <v>1788</v>
      </c>
      <c r="J3039" s="112" t="s">
        <v>2498</v>
      </c>
      <c r="K3039" s="112" t="s">
        <v>2936</v>
      </c>
      <c r="L3039" s="116">
        <v>-60</v>
      </c>
    </row>
    <row r="3040" spans="1:12" hidden="1" outlineLevel="1" collapsed="1" x14ac:dyDescent="0.35">
      <c r="A3040" s="112" t="s">
        <v>2479</v>
      </c>
      <c r="B3040" s="112" t="s">
        <v>908</v>
      </c>
      <c r="C3040" s="112" t="s">
        <v>679</v>
      </c>
      <c r="D3040" s="113">
        <v>10348411</v>
      </c>
      <c r="E3040" s="115">
        <v>43943</v>
      </c>
      <c r="F3040" s="114">
        <v>202101</v>
      </c>
      <c r="G3040" s="112" t="s">
        <v>1091</v>
      </c>
      <c r="H3040" s="112" t="s">
        <v>1016</v>
      </c>
      <c r="I3040" s="112" t="s">
        <v>1788</v>
      </c>
      <c r="J3040" s="112" t="s">
        <v>2498</v>
      </c>
      <c r="K3040" s="112" t="s">
        <v>2937</v>
      </c>
      <c r="L3040" s="116">
        <v>-196</v>
      </c>
    </row>
    <row r="3041" spans="1:12" hidden="1" outlineLevel="1" collapsed="1" x14ac:dyDescent="0.35">
      <c r="A3041" s="112" t="s">
        <v>2479</v>
      </c>
      <c r="B3041" s="112" t="s">
        <v>908</v>
      </c>
      <c r="C3041" s="112" t="s">
        <v>679</v>
      </c>
      <c r="D3041" s="113">
        <v>10348476</v>
      </c>
      <c r="E3041" s="115">
        <v>43948</v>
      </c>
      <c r="F3041" s="114">
        <v>202101</v>
      </c>
      <c r="G3041" s="112" t="s">
        <v>1091</v>
      </c>
      <c r="H3041" s="112" t="s">
        <v>1016</v>
      </c>
      <c r="I3041" s="112" t="s">
        <v>1788</v>
      </c>
      <c r="J3041" s="112" t="s">
        <v>2498</v>
      </c>
      <c r="K3041" s="112" t="s">
        <v>2938</v>
      </c>
      <c r="L3041" s="116">
        <v>-1133</v>
      </c>
    </row>
    <row r="3042" spans="1:12" hidden="1" outlineLevel="1" collapsed="1" x14ac:dyDescent="0.35">
      <c r="A3042" s="112" t="s">
        <v>2479</v>
      </c>
      <c r="B3042" s="112" t="s">
        <v>908</v>
      </c>
      <c r="C3042" s="112" t="s">
        <v>1518</v>
      </c>
      <c r="D3042" s="113">
        <v>51366151</v>
      </c>
      <c r="E3042" s="115">
        <v>43936</v>
      </c>
      <c r="F3042" s="114">
        <v>202101</v>
      </c>
      <c r="G3042" s="112" t="s">
        <v>1091</v>
      </c>
      <c r="H3042" s="112" t="s">
        <v>1016</v>
      </c>
      <c r="I3042" s="112" t="s">
        <v>1293</v>
      </c>
      <c r="J3042" s="112" t="s">
        <v>2503</v>
      </c>
      <c r="K3042" s="112" t="s">
        <v>2769</v>
      </c>
      <c r="L3042" s="116">
        <v>-232.95</v>
      </c>
    </row>
    <row r="3043" spans="1:12" hidden="1" outlineLevel="1" collapsed="1" x14ac:dyDescent="0.35">
      <c r="A3043" s="112" t="s">
        <v>2479</v>
      </c>
      <c r="B3043" s="112" t="s">
        <v>909</v>
      </c>
      <c r="C3043" s="112" t="s">
        <v>679</v>
      </c>
      <c r="D3043" s="113">
        <v>10348411</v>
      </c>
      <c r="E3043" s="115">
        <v>43943</v>
      </c>
      <c r="F3043" s="114">
        <v>202101</v>
      </c>
      <c r="G3043" s="112" t="s">
        <v>1091</v>
      </c>
      <c r="H3043" s="112" t="s">
        <v>1016</v>
      </c>
      <c r="I3043" s="112" t="s">
        <v>1788</v>
      </c>
      <c r="J3043" s="112" t="s">
        <v>2652</v>
      </c>
      <c r="K3043" s="112" t="s">
        <v>706</v>
      </c>
      <c r="L3043" s="116">
        <v>-44</v>
      </c>
    </row>
    <row r="3044" spans="1:12" hidden="1" outlineLevel="1" collapsed="1" x14ac:dyDescent="0.35">
      <c r="A3044" s="112" t="s">
        <v>2479</v>
      </c>
      <c r="B3044" s="112" t="s">
        <v>909</v>
      </c>
      <c r="C3044" s="112" t="s">
        <v>679</v>
      </c>
      <c r="D3044" s="113">
        <v>10348411</v>
      </c>
      <c r="E3044" s="115">
        <v>43943</v>
      </c>
      <c r="F3044" s="114">
        <v>202101</v>
      </c>
      <c r="G3044" s="112" t="s">
        <v>1091</v>
      </c>
      <c r="H3044" s="112" t="s">
        <v>1016</v>
      </c>
      <c r="I3044" s="112" t="s">
        <v>2536</v>
      </c>
      <c r="J3044" s="112" t="s">
        <v>2523</v>
      </c>
      <c r="K3044" s="112" t="s">
        <v>2939</v>
      </c>
      <c r="L3044" s="116">
        <v>-277</v>
      </c>
    </row>
    <row r="3045" spans="1:12" hidden="1" outlineLevel="1" collapsed="1" x14ac:dyDescent="0.35">
      <c r="A3045" s="112" t="s">
        <v>2479</v>
      </c>
      <c r="B3045" s="112" t="s">
        <v>908</v>
      </c>
      <c r="C3045" s="112" t="s">
        <v>679</v>
      </c>
      <c r="D3045" s="113">
        <v>10348411</v>
      </c>
      <c r="E3045" s="115">
        <v>43943</v>
      </c>
      <c r="F3045" s="114">
        <v>202101</v>
      </c>
      <c r="G3045" s="112" t="s">
        <v>1091</v>
      </c>
      <c r="H3045" s="112" t="s">
        <v>1016</v>
      </c>
      <c r="I3045" s="112" t="s">
        <v>1788</v>
      </c>
      <c r="J3045" s="112" t="s">
        <v>2498</v>
      </c>
      <c r="K3045" s="112" t="s">
        <v>2940</v>
      </c>
      <c r="L3045" s="116">
        <v>-85</v>
      </c>
    </row>
    <row r="3046" spans="1:12" hidden="1" outlineLevel="1" collapsed="1" x14ac:dyDescent="0.35">
      <c r="A3046" s="112" t="s">
        <v>2479</v>
      </c>
      <c r="B3046" s="112" t="s">
        <v>908</v>
      </c>
      <c r="C3046" s="112" t="s">
        <v>679</v>
      </c>
      <c r="D3046" s="113">
        <v>10348411</v>
      </c>
      <c r="E3046" s="115">
        <v>43943</v>
      </c>
      <c r="F3046" s="114">
        <v>202101</v>
      </c>
      <c r="G3046" s="112" t="s">
        <v>1091</v>
      </c>
      <c r="H3046" s="112" t="s">
        <v>1016</v>
      </c>
      <c r="I3046" s="112" t="s">
        <v>1788</v>
      </c>
      <c r="J3046" s="112" t="s">
        <v>2498</v>
      </c>
      <c r="K3046" s="112" t="s">
        <v>2941</v>
      </c>
      <c r="L3046" s="116">
        <v>-85</v>
      </c>
    </row>
    <row r="3047" spans="1:12" hidden="1" outlineLevel="1" collapsed="1" x14ac:dyDescent="0.35">
      <c r="A3047" s="112" t="s">
        <v>2479</v>
      </c>
      <c r="B3047" s="112" t="s">
        <v>908</v>
      </c>
      <c r="C3047" s="112" t="s">
        <v>679</v>
      </c>
      <c r="D3047" s="113">
        <v>10348411</v>
      </c>
      <c r="E3047" s="115">
        <v>43943</v>
      </c>
      <c r="F3047" s="114">
        <v>202101</v>
      </c>
      <c r="G3047" s="112" t="s">
        <v>1091</v>
      </c>
      <c r="H3047" s="112" t="s">
        <v>1016</v>
      </c>
      <c r="I3047" s="112" t="s">
        <v>1788</v>
      </c>
      <c r="J3047" s="112" t="s">
        <v>2498</v>
      </c>
      <c r="K3047" s="112" t="s">
        <v>2942</v>
      </c>
      <c r="L3047" s="116">
        <v>-215</v>
      </c>
    </row>
    <row r="3048" spans="1:12" hidden="1" outlineLevel="1" collapsed="1" x14ac:dyDescent="0.35">
      <c r="A3048" s="112" t="s">
        <v>2479</v>
      </c>
      <c r="B3048" s="112" t="s">
        <v>908</v>
      </c>
      <c r="C3048" s="112" t="s">
        <v>679</v>
      </c>
      <c r="D3048" s="113">
        <v>10348411</v>
      </c>
      <c r="E3048" s="115">
        <v>43943</v>
      </c>
      <c r="F3048" s="114">
        <v>202101</v>
      </c>
      <c r="G3048" s="112" t="s">
        <v>1091</v>
      </c>
      <c r="H3048" s="112" t="s">
        <v>1016</v>
      </c>
      <c r="I3048" s="112" t="s">
        <v>1788</v>
      </c>
      <c r="J3048" s="112" t="s">
        <v>2498</v>
      </c>
      <c r="K3048" s="112" t="s">
        <v>2943</v>
      </c>
      <c r="L3048" s="116">
        <v>-60</v>
      </c>
    </row>
    <row r="3049" spans="1:12" hidden="1" outlineLevel="1" collapsed="1" x14ac:dyDescent="0.35">
      <c r="A3049" s="112" t="s">
        <v>2479</v>
      </c>
      <c r="B3049" s="112" t="s">
        <v>908</v>
      </c>
      <c r="C3049" s="112" t="s">
        <v>679</v>
      </c>
      <c r="D3049" s="113">
        <v>10348411</v>
      </c>
      <c r="E3049" s="115">
        <v>43943</v>
      </c>
      <c r="F3049" s="114">
        <v>202101</v>
      </c>
      <c r="G3049" s="112" t="s">
        <v>1091</v>
      </c>
      <c r="H3049" s="112" t="s">
        <v>1016</v>
      </c>
      <c r="I3049" s="112" t="s">
        <v>1788</v>
      </c>
      <c r="J3049" s="112" t="s">
        <v>2498</v>
      </c>
      <c r="K3049" s="112" t="s">
        <v>2944</v>
      </c>
      <c r="L3049" s="116">
        <v>-196</v>
      </c>
    </row>
    <row r="3050" spans="1:12" hidden="1" outlineLevel="1" collapsed="1" x14ac:dyDescent="0.35">
      <c r="A3050" s="112" t="s">
        <v>2479</v>
      </c>
      <c r="B3050" s="112" t="s">
        <v>908</v>
      </c>
      <c r="C3050" s="112" t="s">
        <v>679</v>
      </c>
      <c r="D3050" s="113">
        <v>10348411</v>
      </c>
      <c r="E3050" s="115">
        <v>43943</v>
      </c>
      <c r="F3050" s="114">
        <v>202101</v>
      </c>
      <c r="G3050" s="112" t="s">
        <v>1091</v>
      </c>
      <c r="H3050" s="112" t="s">
        <v>1016</v>
      </c>
      <c r="I3050" s="112" t="s">
        <v>819</v>
      </c>
      <c r="J3050" s="112" t="s">
        <v>2501</v>
      </c>
      <c r="K3050" s="112" t="s">
        <v>2761</v>
      </c>
      <c r="L3050" s="116">
        <v>-608.33000000000004</v>
      </c>
    </row>
    <row r="3051" spans="1:12" hidden="1" outlineLevel="1" collapsed="1" x14ac:dyDescent="0.35">
      <c r="A3051" s="112" t="s">
        <v>2479</v>
      </c>
      <c r="B3051" s="112" t="s">
        <v>908</v>
      </c>
      <c r="C3051" s="112" t="s">
        <v>679</v>
      </c>
      <c r="D3051" s="113">
        <v>10348411</v>
      </c>
      <c r="E3051" s="115">
        <v>43943</v>
      </c>
      <c r="F3051" s="114">
        <v>202101</v>
      </c>
      <c r="G3051" s="112" t="s">
        <v>1091</v>
      </c>
      <c r="H3051" s="112" t="s">
        <v>1016</v>
      </c>
      <c r="I3051" s="112" t="s">
        <v>680</v>
      </c>
      <c r="J3051" s="112" t="s">
        <v>2503</v>
      </c>
      <c r="K3051" s="112" t="s">
        <v>2945</v>
      </c>
      <c r="L3051" s="116">
        <v>-1233</v>
      </c>
    </row>
    <row r="3052" spans="1:12" hidden="1" outlineLevel="1" collapsed="1" x14ac:dyDescent="0.35">
      <c r="A3052" s="112" t="s">
        <v>2479</v>
      </c>
      <c r="B3052" s="112" t="s">
        <v>908</v>
      </c>
      <c r="C3052" s="112" t="s">
        <v>679</v>
      </c>
      <c r="D3052" s="113">
        <v>10348411</v>
      </c>
      <c r="E3052" s="115">
        <v>43943</v>
      </c>
      <c r="F3052" s="114">
        <v>202101</v>
      </c>
      <c r="G3052" s="112" t="s">
        <v>1091</v>
      </c>
      <c r="H3052" s="112" t="s">
        <v>1016</v>
      </c>
      <c r="I3052" s="112" t="s">
        <v>1788</v>
      </c>
      <c r="J3052" s="112" t="s">
        <v>2498</v>
      </c>
      <c r="K3052" s="112" t="s">
        <v>2946</v>
      </c>
      <c r="L3052" s="116">
        <v>-190</v>
      </c>
    </row>
    <row r="3053" spans="1:12" hidden="1" outlineLevel="1" collapsed="1" x14ac:dyDescent="0.35">
      <c r="A3053" s="112" t="s">
        <v>2479</v>
      </c>
      <c r="B3053" s="112" t="s">
        <v>908</v>
      </c>
      <c r="C3053" s="112" t="s">
        <v>679</v>
      </c>
      <c r="D3053" s="113">
        <v>10348411</v>
      </c>
      <c r="E3053" s="115">
        <v>43943</v>
      </c>
      <c r="F3053" s="114">
        <v>202101</v>
      </c>
      <c r="G3053" s="112" t="s">
        <v>1091</v>
      </c>
      <c r="H3053" s="112" t="s">
        <v>1016</v>
      </c>
      <c r="I3053" s="112" t="s">
        <v>1788</v>
      </c>
      <c r="J3053" s="112" t="s">
        <v>2498</v>
      </c>
      <c r="K3053" s="112" t="s">
        <v>2947</v>
      </c>
      <c r="L3053" s="116">
        <v>-190</v>
      </c>
    </row>
    <row r="3054" spans="1:12" hidden="1" outlineLevel="1" collapsed="1" x14ac:dyDescent="0.35">
      <c r="A3054" s="112" t="s">
        <v>2479</v>
      </c>
      <c r="B3054" s="112" t="s">
        <v>909</v>
      </c>
      <c r="C3054" s="112" t="s">
        <v>679</v>
      </c>
      <c r="D3054" s="113">
        <v>10348411</v>
      </c>
      <c r="E3054" s="115">
        <v>43943</v>
      </c>
      <c r="F3054" s="114">
        <v>202101</v>
      </c>
      <c r="G3054" s="112" t="s">
        <v>1091</v>
      </c>
      <c r="H3054" s="112" t="s">
        <v>1016</v>
      </c>
      <c r="I3054" s="112" t="s">
        <v>1788</v>
      </c>
      <c r="J3054" s="112" t="s">
        <v>2652</v>
      </c>
      <c r="K3054" s="112" t="s">
        <v>2948</v>
      </c>
      <c r="L3054" s="116">
        <v>-37</v>
      </c>
    </row>
    <row r="3055" spans="1:12" hidden="1" outlineLevel="1" collapsed="1" x14ac:dyDescent="0.35">
      <c r="A3055" s="112" t="s">
        <v>2479</v>
      </c>
      <c r="B3055" s="112" t="s">
        <v>908</v>
      </c>
      <c r="C3055" s="112" t="s">
        <v>679</v>
      </c>
      <c r="D3055" s="113">
        <v>10348411</v>
      </c>
      <c r="E3055" s="115">
        <v>43943</v>
      </c>
      <c r="F3055" s="114">
        <v>202101</v>
      </c>
      <c r="G3055" s="112" t="s">
        <v>1091</v>
      </c>
      <c r="H3055" s="112" t="s">
        <v>1016</v>
      </c>
      <c r="I3055" s="112" t="s">
        <v>819</v>
      </c>
      <c r="J3055" s="112" t="s">
        <v>2501</v>
      </c>
      <c r="K3055" s="112" t="s">
        <v>2949</v>
      </c>
      <c r="L3055" s="116">
        <v>-555</v>
      </c>
    </row>
    <row r="3056" spans="1:12" hidden="1" outlineLevel="1" collapsed="1" x14ac:dyDescent="0.35">
      <c r="A3056" s="112" t="s">
        <v>2479</v>
      </c>
      <c r="B3056" s="112" t="s">
        <v>908</v>
      </c>
      <c r="C3056" s="112" t="s">
        <v>679</v>
      </c>
      <c r="D3056" s="113">
        <v>10348411</v>
      </c>
      <c r="E3056" s="115">
        <v>43943</v>
      </c>
      <c r="F3056" s="114">
        <v>202101</v>
      </c>
      <c r="G3056" s="112" t="s">
        <v>1091</v>
      </c>
      <c r="H3056" s="112" t="s">
        <v>1016</v>
      </c>
      <c r="I3056" s="112" t="s">
        <v>1788</v>
      </c>
      <c r="J3056" s="112" t="s">
        <v>2498</v>
      </c>
      <c r="K3056" s="112" t="s">
        <v>2950</v>
      </c>
      <c r="L3056" s="116">
        <v>-85</v>
      </c>
    </row>
    <row r="3057" spans="1:12" hidden="1" outlineLevel="1" collapsed="1" x14ac:dyDescent="0.35">
      <c r="A3057" s="112" t="s">
        <v>2479</v>
      </c>
      <c r="B3057" s="112" t="s">
        <v>908</v>
      </c>
      <c r="C3057" s="112" t="s">
        <v>679</v>
      </c>
      <c r="D3057" s="113">
        <v>10348411</v>
      </c>
      <c r="E3057" s="115">
        <v>43943</v>
      </c>
      <c r="F3057" s="114">
        <v>202101</v>
      </c>
      <c r="G3057" s="112" t="s">
        <v>1091</v>
      </c>
      <c r="H3057" s="112" t="s">
        <v>1016</v>
      </c>
      <c r="I3057" s="112" t="s">
        <v>1788</v>
      </c>
      <c r="J3057" s="112" t="s">
        <v>2498</v>
      </c>
      <c r="K3057" s="112" t="s">
        <v>2951</v>
      </c>
      <c r="L3057" s="116">
        <v>-60</v>
      </c>
    </row>
    <row r="3058" spans="1:12" hidden="1" outlineLevel="1" collapsed="1" x14ac:dyDescent="0.35">
      <c r="A3058" s="112" t="s">
        <v>2479</v>
      </c>
      <c r="B3058" s="112" t="s">
        <v>908</v>
      </c>
      <c r="C3058" s="112" t="s">
        <v>679</v>
      </c>
      <c r="D3058" s="113">
        <v>10348411</v>
      </c>
      <c r="E3058" s="115">
        <v>43943</v>
      </c>
      <c r="F3058" s="114">
        <v>202101</v>
      </c>
      <c r="G3058" s="112" t="s">
        <v>1091</v>
      </c>
      <c r="H3058" s="112" t="s">
        <v>1016</v>
      </c>
      <c r="I3058" s="112" t="s">
        <v>1788</v>
      </c>
      <c r="J3058" s="112" t="s">
        <v>2498</v>
      </c>
      <c r="K3058" s="112" t="s">
        <v>2952</v>
      </c>
      <c r="L3058" s="116">
        <v>-60</v>
      </c>
    </row>
    <row r="3059" spans="1:12" hidden="1" outlineLevel="1" collapsed="1" x14ac:dyDescent="0.35">
      <c r="A3059" s="112" t="s">
        <v>2479</v>
      </c>
      <c r="B3059" s="112" t="s">
        <v>908</v>
      </c>
      <c r="C3059" s="112" t="s">
        <v>679</v>
      </c>
      <c r="D3059" s="113">
        <v>10348411</v>
      </c>
      <c r="E3059" s="115">
        <v>43943</v>
      </c>
      <c r="F3059" s="114">
        <v>202101</v>
      </c>
      <c r="G3059" s="112" t="s">
        <v>1091</v>
      </c>
      <c r="H3059" s="112" t="s">
        <v>1016</v>
      </c>
      <c r="I3059" s="112" t="s">
        <v>1788</v>
      </c>
      <c r="J3059" s="112" t="s">
        <v>2498</v>
      </c>
      <c r="K3059" s="112" t="s">
        <v>2953</v>
      </c>
      <c r="L3059" s="116">
        <v>-85</v>
      </c>
    </row>
    <row r="3060" spans="1:12" hidden="1" outlineLevel="1" collapsed="1" x14ac:dyDescent="0.35">
      <c r="A3060" s="112" t="s">
        <v>2479</v>
      </c>
      <c r="B3060" s="112" t="s">
        <v>908</v>
      </c>
      <c r="C3060" s="112" t="s">
        <v>679</v>
      </c>
      <c r="D3060" s="113">
        <v>10348411</v>
      </c>
      <c r="E3060" s="115">
        <v>43943</v>
      </c>
      <c r="F3060" s="114">
        <v>202101</v>
      </c>
      <c r="G3060" s="112" t="s">
        <v>1091</v>
      </c>
      <c r="H3060" s="112" t="s">
        <v>1016</v>
      </c>
      <c r="I3060" s="112" t="s">
        <v>1788</v>
      </c>
      <c r="J3060" s="112" t="s">
        <v>2498</v>
      </c>
      <c r="K3060" s="112" t="s">
        <v>2954</v>
      </c>
      <c r="L3060" s="116">
        <v>-60</v>
      </c>
    </row>
    <row r="3061" spans="1:12" hidden="1" outlineLevel="1" collapsed="1" x14ac:dyDescent="0.35">
      <c r="A3061" s="112" t="s">
        <v>2479</v>
      </c>
      <c r="B3061" s="112" t="s">
        <v>908</v>
      </c>
      <c r="C3061" s="112" t="s">
        <v>679</v>
      </c>
      <c r="D3061" s="113">
        <v>10348476</v>
      </c>
      <c r="E3061" s="115">
        <v>43948</v>
      </c>
      <c r="F3061" s="114">
        <v>202101</v>
      </c>
      <c r="G3061" s="112" t="s">
        <v>1091</v>
      </c>
      <c r="H3061" s="112" t="s">
        <v>1016</v>
      </c>
      <c r="I3061" s="112" t="s">
        <v>1788</v>
      </c>
      <c r="J3061" s="112" t="s">
        <v>2498</v>
      </c>
      <c r="K3061" s="112" t="s">
        <v>2955</v>
      </c>
      <c r="L3061" s="116">
        <v>-85</v>
      </c>
    </row>
    <row r="3062" spans="1:12" hidden="1" outlineLevel="1" collapsed="1" x14ac:dyDescent="0.35">
      <c r="A3062" s="112" t="s">
        <v>2479</v>
      </c>
      <c r="B3062" s="112" t="s">
        <v>908</v>
      </c>
      <c r="C3062" s="112" t="s">
        <v>679</v>
      </c>
      <c r="D3062" s="113">
        <v>10348411</v>
      </c>
      <c r="E3062" s="115">
        <v>43943</v>
      </c>
      <c r="F3062" s="114">
        <v>202101</v>
      </c>
      <c r="G3062" s="112" t="s">
        <v>1091</v>
      </c>
      <c r="H3062" s="112" t="s">
        <v>1016</v>
      </c>
      <c r="I3062" s="112" t="s">
        <v>1788</v>
      </c>
      <c r="J3062" s="112" t="s">
        <v>2498</v>
      </c>
      <c r="K3062" s="112" t="s">
        <v>2956</v>
      </c>
      <c r="L3062" s="116">
        <v>-60</v>
      </c>
    </row>
    <row r="3063" spans="1:12" hidden="1" outlineLevel="1" collapsed="1" x14ac:dyDescent="0.35">
      <c r="A3063" s="112" t="s">
        <v>2479</v>
      </c>
      <c r="B3063" s="112" t="s">
        <v>908</v>
      </c>
      <c r="C3063" s="112" t="s">
        <v>679</v>
      </c>
      <c r="D3063" s="113">
        <v>10348411</v>
      </c>
      <c r="E3063" s="115">
        <v>43943</v>
      </c>
      <c r="F3063" s="114">
        <v>202101</v>
      </c>
      <c r="G3063" s="112" t="s">
        <v>1091</v>
      </c>
      <c r="H3063" s="112" t="s">
        <v>1016</v>
      </c>
      <c r="I3063" s="112" t="s">
        <v>1788</v>
      </c>
      <c r="J3063" s="112" t="s">
        <v>2498</v>
      </c>
      <c r="K3063" s="112" t="s">
        <v>2957</v>
      </c>
      <c r="L3063" s="116">
        <v>-60</v>
      </c>
    </row>
    <row r="3064" spans="1:12" hidden="1" outlineLevel="1" collapsed="1" x14ac:dyDescent="0.35">
      <c r="A3064" s="112" t="s">
        <v>2479</v>
      </c>
      <c r="B3064" s="112" t="s">
        <v>908</v>
      </c>
      <c r="C3064" s="112" t="s">
        <v>679</v>
      </c>
      <c r="D3064" s="113">
        <v>10348411</v>
      </c>
      <c r="E3064" s="115">
        <v>43943</v>
      </c>
      <c r="F3064" s="114">
        <v>202101</v>
      </c>
      <c r="G3064" s="112" t="s">
        <v>1091</v>
      </c>
      <c r="H3064" s="112" t="s">
        <v>1016</v>
      </c>
      <c r="I3064" s="112" t="s">
        <v>1788</v>
      </c>
      <c r="J3064" s="112" t="s">
        <v>2498</v>
      </c>
      <c r="K3064" s="112" t="s">
        <v>2958</v>
      </c>
      <c r="L3064" s="116">
        <v>-60</v>
      </c>
    </row>
    <row r="3065" spans="1:12" hidden="1" outlineLevel="1" collapsed="1" x14ac:dyDescent="0.35">
      <c r="A3065" s="112" t="s">
        <v>2479</v>
      </c>
      <c r="B3065" s="112" t="s">
        <v>909</v>
      </c>
      <c r="C3065" s="112" t="s">
        <v>1518</v>
      </c>
      <c r="D3065" s="113">
        <v>51366270</v>
      </c>
      <c r="E3065" s="115">
        <v>43948</v>
      </c>
      <c r="F3065" s="114">
        <v>202101</v>
      </c>
      <c r="G3065" s="112" t="s">
        <v>1091</v>
      </c>
      <c r="H3065" s="112" t="s">
        <v>1016</v>
      </c>
      <c r="I3065" s="112" t="s">
        <v>1788</v>
      </c>
      <c r="J3065" s="112" t="s">
        <v>2652</v>
      </c>
      <c r="K3065" s="112" t="s">
        <v>2959</v>
      </c>
      <c r="L3065" s="116">
        <v>-180</v>
      </c>
    </row>
    <row r="3066" spans="1:12" hidden="1" outlineLevel="1" collapsed="1" x14ac:dyDescent="0.35">
      <c r="A3066" s="112" t="s">
        <v>2479</v>
      </c>
      <c r="B3066" s="112" t="s">
        <v>909</v>
      </c>
      <c r="C3066" s="112" t="s">
        <v>1518</v>
      </c>
      <c r="D3066" s="113">
        <v>51366269</v>
      </c>
      <c r="E3066" s="115">
        <v>43948</v>
      </c>
      <c r="F3066" s="114">
        <v>202101</v>
      </c>
      <c r="G3066" s="112" t="s">
        <v>1091</v>
      </c>
      <c r="H3066" s="112" t="s">
        <v>1016</v>
      </c>
      <c r="I3066" s="112" t="s">
        <v>1788</v>
      </c>
      <c r="J3066" s="112" t="s">
        <v>2652</v>
      </c>
      <c r="K3066" s="112" t="s">
        <v>2960</v>
      </c>
      <c r="L3066" s="116">
        <v>-70</v>
      </c>
    </row>
    <row r="3067" spans="1:12" hidden="1" outlineLevel="1" collapsed="1" x14ac:dyDescent="0.35">
      <c r="A3067" s="112" t="s">
        <v>2479</v>
      </c>
      <c r="B3067" s="112" t="s">
        <v>908</v>
      </c>
      <c r="C3067" s="112" t="s">
        <v>679</v>
      </c>
      <c r="D3067" s="113">
        <v>10348411</v>
      </c>
      <c r="E3067" s="115">
        <v>43943</v>
      </c>
      <c r="F3067" s="114">
        <v>202101</v>
      </c>
      <c r="G3067" s="112" t="s">
        <v>1091</v>
      </c>
      <c r="H3067" s="112" t="s">
        <v>1016</v>
      </c>
      <c r="I3067" s="112" t="s">
        <v>1788</v>
      </c>
      <c r="J3067" s="112" t="s">
        <v>2498</v>
      </c>
      <c r="K3067" s="112" t="s">
        <v>2961</v>
      </c>
      <c r="L3067" s="116">
        <v>-85</v>
      </c>
    </row>
    <row r="3068" spans="1:12" hidden="1" outlineLevel="1" collapsed="1" x14ac:dyDescent="0.35">
      <c r="A3068" s="112" t="s">
        <v>2479</v>
      </c>
      <c r="B3068" s="112" t="s">
        <v>909</v>
      </c>
      <c r="C3068" s="112" t="s">
        <v>1518</v>
      </c>
      <c r="D3068" s="113">
        <v>51366268</v>
      </c>
      <c r="E3068" s="115">
        <v>43948</v>
      </c>
      <c r="F3068" s="114">
        <v>202101</v>
      </c>
      <c r="G3068" s="112" t="s">
        <v>1091</v>
      </c>
      <c r="H3068" s="112" t="s">
        <v>1016</v>
      </c>
      <c r="I3068" s="112" t="s">
        <v>1788</v>
      </c>
      <c r="J3068" s="112" t="s">
        <v>2652</v>
      </c>
      <c r="K3068" s="112" t="s">
        <v>2962</v>
      </c>
      <c r="L3068" s="116">
        <v>-295</v>
      </c>
    </row>
    <row r="3069" spans="1:12" hidden="1" outlineLevel="1" collapsed="1" x14ac:dyDescent="0.35">
      <c r="A3069" s="112" t="s">
        <v>2479</v>
      </c>
      <c r="B3069" s="112" t="s">
        <v>909</v>
      </c>
      <c r="C3069" s="112" t="s">
        <v>1518</v>
      </c>
      <c r="D3069" s="113">
        <v>51366267</v>
      </c>
      <c r="E3069" s="115">
        <v>43948</v>
      </c>
      <c r="F3069" s="114">
        <v>202101</v>
      </c>
      <c r="G3069" s="112" t="s">
        <v>1091</v>
      </c>
      <c r="H3069" s="112" t="s">
        <v>1016</v>
      </c>
      <c r="I3069" s="112" t="s">
        <v>1788</v>
      </c>
      <c r="J3069" s="112" t="s">
        <v>2652</v>
      </c>
      <c r="K3069" s="112" t="s">
        <v>2963</v>
      </c>
      <c r="L3069" s="116">
        <v>-180</v>
      </c>
    </row>
    <row r="3070" spans="1:12" hidden="1" outlineLevel="1" collapsed="1" x14ac:dyDescent="0.35">
      <c r="A3070" s="112" t="s">
        <v>2479</v>
      </c>
      <c r="B3070" s="112" t="s">
        <v>909</v>
      </c>
      <c r="C3070" s="112" t="s">
        <v>679</v>
      </c>
      <c r="D3070" s="113">
        <v>10348411</v>
      </c>
      <c r="E3070" s="115">
        <v>43943</v>
      </c>
      <c r="F3070" s="114">
        <v>202101</v>
      </c>
      <c r="G3070" s="112" t="s">
        <v>1091</v>
      </c>
      <c r="H3070" s="112" t="s">
        <v>1016</v>
      </c>
      <c r="I3070" s="112" t="s">
        <v>2536</v>
      </c>
      <c r="J3070" s="112" t="s">
        <v>2523</v>
      </c>
      <c r="K3070" s="112" t="s">
        <v>2964</v>
      </c>
      <c r="L3070" s="116">
        <v>-177</v>
      </c>
    </row>
    <row r="3071" spans="1:12" hidden="1" outlineLevel="1" collapsed="1" x14ac:dyDescent="0.35">
      <c r="A3071" s="112" t="s">
        <v>2479</v>
      </c>
      <c r="B3071" s="112" t="s">
        <v>909</v>
      </c>
      <c r="C3071" s="112" t="s">
        <v>1518</v>
      </c>
      <c r="D3071" s="113">
        <v>51366266</v>
      </c>
      <c r="E3071" s="115">
        <v>43948</v>
      </c>
      <c r="F3071" s="114">
        <v>202101</v>
      </c>
      <c r="G3071" s="112" t="s">
        <v>1091</v>
      </c>
      <c r="H3071" s="112" t="s">
        <v>1016</v>
      </c>
      <c r="I3071" s="112" t="s">
        <v>1788</v>
      </c>
      <c r="J3071" s="112" t="s">
        <v>2652</v>
      </c>
      <c r="K3071" s="112" t="s">
        <v>2965</v>
      </c>
      <c r="L3071" s="116">
        <v>-180</v>
      </c>
    </row>
    <row r="3072" spans="1:12" hidden="1" outlineLevel="1" collapsed="1" x14ac:dyDescent="0.35">
      <c r="A3072" s="112" t="s">
        <v>2479</v>
      </c>
      <c r="B3072" s="112" t="s">
        <v>909</v>
      </c>
      <c r="C3072" s="112" t="s">
        <v>1518</v>
      </c>
      <c r="D3072" s="113">
        <v>51366265</v>
      </c>
      <c r="E3072" s="115">
        <v>43948</v>
      </c>
      <c r="F3072" s="114">
        <v>202101</v>
      </c>
      <c r="G3072" s="112" t="s">
        <v>1091</v>
      </c>
      <c r="H3072" s="112" t="s">
        <v>1016</v>
      </c>
      <c r="I3072" s="112" t="s">
        <v>1788</v>
      </c>
      <c r="J3072" s="112" t="s">
        <v>2652</v>
      </c>
      <c r="K3072" s="112" t="s">
        <v>2966</v>
      </c>
      <c r="L3072" s="116">
        <v>-295</v>
      </c>
    </row>
    <row r="3073" spans="1:12" hidden="1" outlineLevel="1" collapsed="1" x14ac:dyDescent="0.35">
      <c r="A3073" s="112" t="s">
        <v>2479</v>
      </c>
      <c r="B3073" s="112" t="s">
        <v>909</v>
      </c>
      <c r="C3073" s="112" t="s">
        <v>1518</v>
      </c>
      <c r="D3073" s="113">
        <v>51366264</v>
      </c>
      <c r="E3073" s="115">
        <v>43948</v>
      </c>
      <c r="F3073" s="114">
        <v>202101</v>
      </c>
      <c r="G3073" s="112" t="s">
        <v>1091</v>
      </c>
      <c r="H3073" s="112" t="s">
        <v>1016</v>
      </c>
      <c r="I3073" s="112" t="s">
        <v>1788</v>
      </c>
      <c r="J3073" s="112" t="s">
        <v>2652</v>
      </c>
      <c r="K3073" s="112" t="s">
        <v>2967</v>
      </c>
      <c r="L3073" s="116">
        <v>-295</v>
      </c>
    </row>
    <row r="3074" spans="1:12" hidden="1" outlineLevel="1" collapsed="1" x14ac:dyDescent="0.35">
      <c r="A3074" s="112" t="s">
        <v>2479</v>
      </c>
      <c r="B3074" s="112" t="s">
        <v>909</v>
      </c>
      <c r="C3074" s="112" t="s">
        <v>1518</v>
      </c>
      <c r="D3074" s="113">
        <v>51366263</v>
      </c>
      <c r="E3074" s="115">
        <v>43948</v>
      </c>
      <c r="F3074" s="114">
        <v>202101</v>
      </c>
      <c r="G3074" s="112" t="s">
        <v>1091</v>
      </c>
      <c r="H3074" s="112" t="s">
        <v>1016</v>
      </c>
      <c r="I3074" s="112" t="s">
        <v>1788</v>
      </c>
      <c r="J3074" s="112" t="s">
        <v>2652</v>
      </c>
      <c r="K3074" s="112" t="s">
        <v>2968</v>
      </c>
      <c r="L3074" s="116">
        <v>-180</v>
      </c>
    </row>
    <row r="3075" spans="1:12" hidden="1" outlineLevel="1" collapsed="1" x14ac:dyDescent="0.35">
      <c r="A3075" s="112" t="s">
        <v>2479</v>
      </c>
      <c r="B3075" s="112" t="s">
        <v>909</v>
      </c>
      <c r="C3075" s="112" t="s">
        <v>1518</v>
      </c>
      <c r="D3075" s="113">
        <v>51366262</v>
      </c>
      <c r="E3075" s="115">
        <v>43948</v>
      </c>
      <c r="F3075" s="114">
        <v>202101</v>
      </c>
      <c r="G3075" s="112" t="s">
        <v>1091</v>
      </c>
      <c r="H3075" s="112" t="s">
        <v>1016</v>
      </c>
      <c r="I3075" s="112" t="s">
        <v>1788</v>
      </c>
      <c r="J3075" s="112" t="s">
        <v>2652</v>
      </c>
      <c r="K3075" s="112" t="s">
        <v>2969</v>
      </c>
      <c r="L3075" s="116">
        <v>-180</v>
      </c>
    </row>
    <row r="3076" spans="1:12" hidden="1" outlineLevel="1" collapsed="1" x14ac:dyDescent="0.35">
      <c r="A3076" s="112" t="s">
        <v>2479</v>
      </c>
      <c r="B3076" s="112" t="s">
        <v>909</v>
      </c>
      <c r="C3076" s="112" t="s">
        <v>679</v>
      </c>
      <c r="D3076" s="113">
        <v>10348411</v>
      </c>
      <c r="E3076" s="115">
        <v>43943</v>
      </c>
      <c r="F3076" s="114">
        <v>202101</v>
      </c>
      <c r="G3076" s="112" t="s">
        <v>1091</v>
      </c>
      <c r="H3076" s="112" t="s">
        <v>1016</v>
      </c>
      <c r="I3076" s="112" t="s">
        <v>2536</v>
      </c>
      <c r="J3076" s="112" t="s">
        <v>2523</v>
      </c>
      <c r="K3076" s="112" t="s">
        <v>2970</v>
      </c>
      <c r="L3076" s="116">
        <v>-177</v>
      </c>
    </row>
    <row r="3077" spans="1:12" hidden="1" outlineLevel="1" collapsed="1" x14ac:dyDescent="0.35">
      <c r="A3077" s="112" t="s">
        <v>2479</v>
      </c>
      <c r="B3077" s="112" t="s">
        <v>909</v>
      </c>
      <c r="C3077" s="112" t="s">
        <v>1518</v>
      </c>
      <c r="D3077" s="113">
        <v>51366261</v>
      </c>
      <c r="E3077" s="115">
        <v>43948</v>
      </c>
      <c r="F3077" s="114">
        <v>202101</v>
      </c>
      <c r="G3077" s="112" t="s">
        <v>1091</v>
      </c>
      <c r="H3077" s="112" t="s">
        <v>1016</v>
      </c>
      <c r="I3077" s="112" t="s">
        <v>1788</v>
      </c>
      <c r="J3077" s="112" t="s">
        <v>2652</v>
      </c>
      <c r="K3077" s="112" t="s">
        <v>2971</v>
      </c>
      <c r="L3077" s="116">
        <v>-180</v>
      </c>
    </row>
    <row r="3078" spans="1:12" hidden="1" outlineLevel="1" collapsed="1" x14ac:dyDescent="0.35">
      <c r="A3078" s="112" t="s">
        <v>2479</v>
      </c>
      <c r="B3078" s="112" t="s">
        <v>909</v>
      </c>
      <c r="C3078" s="112" t="s">
        <v>1518</v>
      </c>
      <c r="D3078" s="113">
        <v>51366260</v>
      </c>
      <c r="E3078" s="115">
        <v>43948</v>
      </c>
      <c r="F3078" s="114">
        <v>202101</v>
      </c>
      <c r="G3078" s="112" t="s">
        <v>1091</v>
      </c>
      <c r="H3078" s="112" t="s">
        <v>1016</v>
      </c>
      <c r="I3078" s="112" t="s">
        <v>1788</v>
      </c>
      <c r="J3078" s="112" t="s">
        <v>2652</v>
      </c>
      <c r="K3078" s="112" t="s">
        <v>2972</v>
      </c>
      <c r="L3078" s="116">
        <v>-295</v>
      </c>
    </row>
    <row r="3079" spans="1:12" hidden="1" outlineLevel="1" collapsed="1" x14ac:dyDescent="0.35">
      <c r="A3079" s="112" t="s">
        <v>2479</v>
      </c>
      <c r="B3079" s="112" t="s">
        <v>909</v>
      </c>
      <c r="C3079" s="112" t="s">
        <v>1518</v>
      </c>
      <c r="D3079" s="113">
        <v>51366259</v>
      </c>
      <c r="E3079" s="115">
        <v>43948</v>
      </c>
      <c r="F3079" s="114">
        <v>202101</v>
      </c>
      <c r="G3079" s="112" t="s">
        <v>1091</v>
      </c>
      <c r="H3079" s="112" t="s">
        <v>1016</v>
      </c>
      <c r="I3079" s="112" t="s">
        <v>1788</v>
      </c>
      <c r="J3079" s="112" t="s">
        <v>2652</v>
      </c>
      <c r="K3079" s="112" t="s">
        <v>2973</v>
      </c>
      <c r="L3079" s="116">
        <v>-180</v>
      </c>
    </row>
    <row r="3080" spans="1:12" hidden="1" outlineLevel="1" collapsed="1" x14ac:dyDescent="0.35">
      <c r="A3080" s="112" t="s">
        <v>2479</v>
      </c>
      <c r="B3080" s="112" t="s">
        <v>909</v>
      </c>
      <c r="C3080" s="112" t="s">
        <v>1518</v>
      </c>
      <c r="D3080" s="113">
        <v>51366258</v>
      </c>
      <c r="E3080" s="115">
        <v>43948</v>
      </c>
      <c r="F3080" s="114">
        <v>202101</v>
      </c>
      <c r="G3080" s="112" t="s">
        <v>1091</v>
      </c>
      <c r="H3080" s="112" t="s">
        <v>1016</v>
      </c>
      <c r="I3080" s="112" t="s">
        <v>1788</v>
      </c>
      <c r="J3080" s="112" t="s">
        <v>2652</v>
      </c>
      <c r="K3080" s="112" t="s">
        <v>2974</v>
      </c>
      <c r="L3080" s="116">
        <v>-350</v>
      </c>
    </row>
    <row r="3081" spans="1:12" hidden="1" outlineLevel="1" collapsed="1" x14ac:dyDescent="0.35">
      <c r="A3081" s="112" t="s">
        <v>2479</v>
      </c>
      <c r="B3081" s="112" t="s">
        <v>909</v>
      </c>
      <c r="C3081" s="112" t="s">
        <v>1518</v>
      </c>
      <c r="D3081" s="113">
        <v>51366257</v>
      </c>
      <c r="E3081" s="115">
        <v>43948</v>
      </c>
      <c r="F3081" s="114">
        <v>202101</v>
      </c>
      <c r="G3081" s="112" t="s">
        <v>1091</v>
      </c>
      <c r="H3081" s="112" t="s">
        <v>1016</v>
      </c>
      <c r="I3081" s="112" t="s">
        <v>1788</v>
      </c>
      <c r="J3081" s="112" t="s">
        <v>2652</v>
      </c>
      <c r="K3081" s="112" t="s">
        <v>2975</v>
      </c>
      <c r="L3081" s="116">
        <v>-180</v>
      </c>
    </row>
    <row r="3082" spans="1:12" hidden="1" outlineLevel="1" collapsed="1" x14ac:dyDescent="0.35">
      <c r="A3082" s="112" t="s">
        <v>2479</v>
      </c>
      <c r="B3082" s="112" t="s">
        <v>909</v>
      </c>
      <c r="C3082" s="112" t="s">
        <v>1518</v>
      </c>
      <c r="D3082" s="113">
        <v>51366256</v>
      </c>
      <c r="E3082" s="115">
        <v>43948</v>
      </c>
      <c r="F3082" s="114">
        <v>202101</v>
      </c>
      <c r="G3082" s="112" t="s">
        <v>1091</v>
      </c>
      <c r="H3082" s="112" t="s">
        <v>1016</v>
      </c>
      <c r="I3082" s="112" t="s">
        <v>1788</v>
      </c>
      <c r="J3082" s="112" t="s">
        <v>2652</v>
      </c>
      <c r="K3082" s="112" t="s">
        <v>2976</v>
      </c>
      <c r="L3082" s="116">
        <v>-180</v>
      </c>
    </row>
    <row r="3083" spans="1:12" hidden="1" outlineLevel="1" collapsed="1" x14ac:dyDescent="0.35">
      <c r="A3083" s="112" t="s">
        <v>2479</v>
      </c>
      <c r="B3083" s="112" t="s">
        <v>909</v>
      </c>
      <c r="C3083" s="112" t="s">
        <v>1518</v>
      </c>
      <c r="D3083" s="113">
        <v>51366255</v>
      </c>
      <c r="E3083" s="115">
        <v>43948</v>
      </c>
      <c r="F3083" s="114">
        <v>202101</v>
      </c>
      <c r="G3083" s="112" t="s">
        <v>1091</v>
      </c>
      <c r="H3083" s="112" t="s">
        <v>1016</v>
      </c>
      <c r="I3083" s="112" t="s">
        <v>1788</v>
      </c>
      <c r="J3083" s="112" t="s">
        <v>2652</v>
      </c>
      <c r="K3083" s="112" t="s">
        <v>2977</v>
      </c>
      <c r="L3083" s="116">
        <v>-180</v>
      </c>
    </row>
    <row r="3084" spans="1:12" hidden="1" outlineLevel="1" collapsed="1" x14ac:dyDescent="0.35">
      <c r="A3084" s="112" t="s">
        <v>2479</v>
      </c>
      <c r="B3084" s="112" t="s">
        <v>908</v>
      </c>
      <c r="C3084" s="112" t="s">
        <v>679</v>
      </c>
      <c r="D3084" s="113">
        <v>10348476</v>
      </c>
      <c r="E3084" s="115">
        <v>43948</v>
      </c>
      <c r="F3084" s="114">
        <v>202101</v>
      </c>
      <c r="G3084" s="112" t="s">
        <v>1091</v>
      </c>
      <c r="H3084" s="112" t="s">
        <v>1016</v>
      </c>
      <c r="I3084" s="112" t="s">
        <v>1788</v>
      </c>
      <c r="J3084" s="112" t="s">
        <v>2498</v>
      </c>
      <c r="K3084" s="112" t="s">
        <v>2978</v>
      </c>
      <c r="L3084" s="116">
        <v>-88</v>
      </c>
    </row>
    <row r="3085" spans="1:12" hidden="1" outlineLevel="1" collapsed="1" x14ac:dyDescent="0.35">
      <c r="A3085" s="112" t="s">
        <v>2479</v>
      </c>
      <c r="B3085" s="112" t="s">
        <v>909</v>
      </c>
      <c r="C3085" s="112" t="s">
        <v>695</v>
      </c>
      <c r="D3085" s="113">
        <v>10348539</v>
      </c>
      <c r="E3085" s="115">
        <v>43951</v>
      </c>
      <c r="F3085" s="114">
        <v>202101</v>
      </c>
      <c r="G3085" s="112" t="s">
        <v>1091</v>
      </c>
      <c r="H3085" s="112" t="s">
        <v>1015</v>
      </c>
      <c r="I3085" s="112" t="s">
        <v>761</v>
      </c>
      <c r="J3085" s="112" t="s">
        <v>2523</v>
      </c>
      <c r="K3085" s="112" t="s">
        <v>2979</v>
      </c>
      <c r="L3085" s="116">
        <v>810</v>
      </c>
    </row>
    <row r="3086" spans="1:12" hidden="1" outlineLevel="1" collapsed="1" x14ac:dyDescent="0.35">
      <c r="A3086" s="112" t="s">
        <v>2479</v>
      </c>
      <c r="B3086" s="112" t="s">
        <v>909</v>
      </c>
      <c r="C3086" s="112" t="s">
        <v>679</v>
      </c>
      <c r="D3086" s="113">
        <v>10348241</v>
      </c>
      <c r="E3086" s="115">
        <v>43936</v>
      </c>
      <c r="F3086" s="114">
        <v>202101</v>
      </c>
      <c r="G3086" s="112" t="s">
        <v>1091</v>
      </c>
      <c r="H3086" s="112" t="s">
        <v>1016</v>
      </c>
      <c r="I3086" s="112" t="s">
        <v>2522</v>
      </c>
      <c r="J3086" s="112" t="s">
        <v>2523</v>
      </c>
      <c r="K3086" s="112" t="s">
        <v>2980</v>
      </c>
      <c r="L3086" s="116">
        <v>-122</v>
      </c>
    </row>
    <row r="3087" spans="1:12" hidden="1" outlineLevel="1" collapsed="1" x14ac:dyDescent="0.35">
      <c r="A3087" s="112" t="s">
        <v>2479</v>
      </c>
      <c r="B3087" s="112" t="s">
        <v>909</v>
      </c>
      <c r="C3087" s="112" t="s">
        <v>1518</v>
      </c>
      <c r="D3087" s="113">
        <v>51366211</v>
      </c>
      <c r="E3087" s="115">
        <v>43948</v>
      </c>
      <c r="F3087" s="114">
        <v>202101</v>
      </c>
      <c r="G3087" s="112" t="s">
        <v>1091</v>
      </c>
      <c r="H3087" s="112" t="s">
        <v>1016</v>
      </c>
      <c r="I3087" s="112" t="s">
        <v>1788</v>
      </c>
      <c r="J3087" s="112" t="s">
        <v>2652</v>
      </c>
      <c r="K3087" s="112" t="s">
        <v>2981</v>
      </c>
      <c r="L3087" s="116">
        <v>-350</v>
      </c>
    </row>
    <row r="3088" spans="1:12" hidden="1" outlineLevel="1" collapsed="1" x14ac:dyDescent="0.35">
      <c r="A3088" s="112" t="s">
        <v>2479</v>
      </c>
      <c r="B3088" s="112" t="s">
        <v>909</v>
      </c>
      <c r="C3088" s="112" t="s">
        <v>1518</v>
      </c>
      <c r="D3088" s="113">
        <v>51366202</v>
      </c>
      <c r="E3088" s="115">
        <v>43948</v>
      </c>
      <c r="F3088" s="114">
        <v>202101</v>
      </c>
      <c r="G3088" s="112" t="s">
        <v>1091</v>
      </c>
      <c r="H3088" s="112" t="s">
        <v>1016</v>
      </c>
      <c r="I3088" s="112" t="s">
        <v>1788</v>
      </c>
      <c r="J3088" s="112" t="s">
        <v>2652</v>
      </c>
      <c r="K3088" s="112" t="s">
        <v>2982</v>
      </c>
      <c r="L3088" s="116">
        <v>-295</v>
      </c>
    </row>
    <row r="3089" spans="1:12" hidden="1" outlineLevel="1" collapsed="1" x14ac:dyDescent="0.35">
      <c r="A3089" s="112" t="s">
        <v>2479</v>
      </c>
      <c r="B3089" s="112" t="s">
        <v>909</v>
      </c>
      <c r="C3089" s="112" t="s">
        <v>1518</v>
      </c>
      <c r="D3089" s="113">
        <v>51366203</v>
      </c>
      <c r="E3089" s="115">
        <v>43948</v>
      </c>
      <c r="F3089" s="114">
        <v>202101</v>
      </c>
      <c r="G3089" s="112" t="s">
        <v>1091</v>
      </c>
      <c r="H3089" s="112" t="s">
        <v>1016</v>
      </c>
      <c r="I3089" s="112" t="s">
        <v>1788</v>
      </c>
      <c r="J3089" s="112" t="s">
        <v>2652</v>
      </c>
      <c r="K3089" s="112" t="s">
        <v>2983</v>
      </c>
      <c r="L3089" s="116">
        <v>-295</v>
      </c>
    </row>
    <row r="3090" spans="1:12" hidden="1" outlineLevel="1" collapsed="1" x14ac:dyDescent="0.35">
      <c r="A3090" s="112" t="s">
        <v>2479</v>
      </c>
      <c r="B3090" s="112" t="s">
        <v>908</v>
      </c>
      <c r="C3090" s="112" t="s">
        <v>679</v>
      </c>
      <c r="D3090" s="113">
        <v>10348375</v>
      </c>
      <c r="E3090" s="115">
        <v>43942</v>
      </c>
      <c r="F3090" s="114">
        <v>202101</v>
      </c>
      <c r="G3090" s="112" t="s">
        <v>1091</v>
      </c>
      <c r="H3090" s="112" t="s">
        <v>1016</v>
      </c>
      <c r="I3090" s="112" t="s">
        <v>1788</v>
      </c>
      <c r="J3090" s="112" t="s">
        <v>2498</v>
      </c>
      <c r="K3090" s="112" t="s">
        <v>2984</v>
      </c>
      <c r="L3090" s="116">
        <v>-205</v>
      </c>
    </row>
    <row r="3091" spans="1:12" hidden="1" outlineLevel="1" collapsed="1" x14ac:dyDescent="0.35">
      <c r="A3091" s="112" t="s">
        <v>2479</v>
      </c>
      <c r="B3091" s="112" t="s">
        <v>908</v>
      </c>
      <c r="C3091" s="112" t="s">
        <v>695</v>
      </c>
      <c r="D3091" s="113">
        <v>10347981</v>
      </c>
      <c r="E3091" s="115">
        <v>43924</v>
      </c>
      <c r="F3091" s="114">
        <v>202101</v>
      </c>
      <c r="G3091" s="112" t="s">
        <v>1091</v>
      </c>
      <c r="H3091" s="112" t="s">
        <v>1015</v>
      </c>
      <c r="I3091" s="112" t="s">
        <v>1102</v>
      </c>
      <c r="J3091" s="112" t="s">
        <v>2520</v>
      </c>
      <c r="K3091" s="112" t="s">
        <v>2985</v>
      </c>
      <c r="L3091" s="116">
        <v>-21.56</v>
      </c>
    </row>
    <row r="3092" spans="1:12" hidden="1" outlineLevel="1" collapsed="1" x14ac:dyDescent="0.35">
      <c r="A3092" s="112" t="s">
        <v>2479</v>
      </c>
      <c r="B3092" s="112" t="s">
        <v>909</v>
      </c>
      <c r="C3092" s="112" t="s">
        <v>1518</v>
      </c>
      <c r="D3092" s="113">
        <v>51366204</v>
      </c>
      <c r="E3092" s="115">
        <v>43948</v>
      </c>
      <c r="F3092" s="114">
        <v>202101</v>
      </c>
      <c r="G3092" s="112" t="s">
        <v>1091</v>
      </c>
      <c r="H3092" s="112" t="s">
        <v>1016</v>
      </c>
      <c r="I3092" s="112" t="s">
        <v>1788</v>
      </c>
      <c r="J3092" s="112" t="s">
        <v>2652</v>
      </c>
      <c r="K3092" s="112" t="s">
        <v>2986</v>
      </c>
      <c r="L3092" s="116">
        <v>-350</v>
      </c>
    </row>
    <row r="3093" spans="1:12" hidden="1" outlineLevel="1" collapsed="1" x14ac:dyDescent="0.35">
      <c r="A3093" s="112" t="s">
        <v>2479</v>
      </c>
      <c r="B3093" s="112" t="s">
        <v>908</v>
      </c>
      <c r="C3093" s="112" t="s">
        <v>679</v>
      </c>
      <c r="D3093" s="113">
        <v>10348375</v>
      </c>
      <c r="E3093" s="115">
        <v>43942</v>
      </c>
      <c r="F3093" s="114">
        <v>202101</v>
      </c>
      <c r="G3093" s="112" t="s">
        <v>1091</v>
      </c>
      <c r="H3093" s="112" t="s">
        <v>1016</v>
      </c>
      <c r="I3093" s="112" t="s">
        <v>819</v>
      </c>
      <c r="J3093" s="112" t="s">
        <v>2501</v>
      </c>
      <c r="K3093" s="112" t="s">
        <v>2987</v>
      </c>
      <c r="L3093" s="116">
        <v>-550</v>
      </c>
    </row>
    <row r="3094" spans="1:12" hidden="1" outlineLevel="1" collapsed="1" x14ac:dyDescent="0.35">
      <c r="A3094" s="112" t="s">
        <v>2479</v>
      </c>
      <c r="B3094" s="112" t="s">
        <v>908</v>
      </c>
      <c r="C3094" s="112" t="s">
        <v>679</v>
      </c>
      <c r="D3094" s="113">
        <v>10348375</v>
      </c>
      <c r="E3094" s="115">
        <v>43942</v>
      </c>
      <c r="F3094" s="114">
        <v>202101</v>
      </c>
      <c r="G3094" s="112" t="s">
        <v>1091</v>
      </c>
      <c r="H3094" s="112" t="s">
        <v>1016</v>
      </c>
      <c r="I3094" s="112" t="s">
        <v>1788</v>
      </c>
      <c r="J3094" s="112" t="s">
        <v>2498</v>
      </c>
      <c r="K3094" s="112" t="s">
        <v>2988</v>
      </c>
      <c r="L3094" s="116">
        <v>-60</v>
      </c>
    </row>
    <row r="3095" spans="1:12" hidden="1" outlineLevel="1" collapsed="1" x14ac:dyDescent="0.35">
      <c r="A3095" s="112" t="s">
        <v>2479</v>
      </c>
      <c r="B3095" s="112" t="s">
        <v>908</v>
      </c>
      <c r="C3095" s="112" t="s">
        <v>679</v>
      </c>
      <c r="D3095" s="113">
        <v>10348375</v>
      </c>
      <c r="E3095" s="115">
        <v>43942</v>
      </c>
      <c r="F3095" s="114">
        <v>202101</v>
      </c>
      <c r="G3095" s="112" t="s">
        <v>1091</v>
      </c>
      <c r="H3095" s="112" t="s">
        <v>1016</v>
      </c>
      <c r="I3095" s="112" t="s">
        <v>1788</v>
      </c>
      <c r="J3095" s="112" t="s">
        <v>2498</v>
      </c>
      <c r="K3095" s="112" t="s">
        <v>2989</v>
      </c>
      <c r="L3095" s="116">
        <v>-85</v>
      </c>
    </row>
    <row r="3096" spans="1:12" hidden="1" outlineLevel="1" collapsed="1" x14ac:dyDescent="0.35">
      <c r="A3096" s="112" t="s">
        <v>2479</v>
      </c>
      <c r="B3096" s="112" t="s">
        <v>908</v>
      </c>
      <c r="C3096" s="112" t="s">
        <v>679</v>
      </c>
      <c r="D3096" s="113">
        <v>10348375</v>
      </c>
      <c r="E3096" s="115">
        <v>43942</v>
      </c>
      <c r="F3096" s="114">
        <v>202101</v>
      </c>
      <c r="G3096" s="112" t="s">
        <v>1091</v>
      </c>
      <c r="H3096" s="112" t="s">
        <v>1016</v>
      </c>
      <c r="I3096" s="112" t="s">
        <v>1788</v>
      </c>
      <c r="J3096" s="112" t="s">
        <v>2498</v>
      </c>
      <c r="K3096" s="112" t="s">
        <v>2990</v>
      </c>
      <c r="L3096" s="116">
        <v>-85</v>
      </c>
    </row>
    <row r="3097" spans="1:12" hidden="1" outlineLevel="1" collapsed="1" x14ac:dyDescent="0.35">
      <c r="A3097" s="112" t="s">
        <v>2479</v>
      </c>
      <c r="B3097" s="112" t="s">
        <v>909</v>
      </c>
      <c r="C3097" s="112" t="s">
        <v>1518</v>
      </c>
      <c r="D3097" s="113">
        <v>51366205</v>
      </c>
      <c r="E3097" s="115">
        <v>43948</v>
      </c>
      <c r="F3097" s="114">
        <v>202101</v>
      </c>
      <c r="G3097" s="112" t="s">
        <v>1091</v>
      </c>
      <c r="H3097" s="112" t="s">
        <v>1016</v>
      </c>
      <c r="I3097" s="112" t="s">
        <v>1788</v>
      </c>
      <c r="J3097" s="112" t="s">
        <v>2652</v>
      </c>
      <c r="K3097" s="112" t="s">
        <v>2991</v>
      </c>
      <c r="L3097" s="116">
        <v>-180</v>
      </c>
    </row>
    <row r="3098" spans="1:12" hidden="1" outlineLevel="1" collapsed="1" x14ac:dyDescent="0.35">
      <c r="A3098" s="112" t="s">
        <v>2479</v>
      </c>
      <c r="B3098" s="112" t="s">
        <v>909</v>
      </c>
      <c r="C3098" s="112" t="s">
        <v>1518</v>
      </c>
      <c r="D3098" s="113">
        <v>51366206</v>
      </c>
      <c r="E3098" s="115">
        <v>43948</v>
      </c>
      <c r="F3098" s="114">
        <v>202101</v>
      </c>
      <c r="G3098" s="112" t="s">
        <v>1091</v>
      </c>
      <c r="H3098" s="112" t="s">
        <v>1016</v>
      </c>
      <c r="I3098" s="112" t="s">
        <v>1788</v>
      </c>
      <c r="J3098" s="112" t="s">
        <v>2652</v>
      </c>
      <c r="K3098" s="112" t="s">
        <v>2992</v>
      </c>
      <c r="L3098" s="116">
        <v>-180</v>
      </c>
    </row>
    <row r="3099" spans="1:12" hidden="1" outlineLevel="1" collapsed="1" x14ac:dyDescent="0.35">
      <c r="A3099" s="112" t="s">
        <v>2479</v>
      </c>
      <c r="B3099" s="112" t="s">
        <v>909</v>
      </c>
      <c r="C3099" s="112" t="s">
        <v>1518</v>
      </c>
      <c r="D3099" s="113">
        <v>51366207</v>
      </c>
      <c r="E3099" s="115">
        <v>43948</v>
      </c>
      <c r="F3099" s="114">
        <v>202101</v>
      </c>
      <c r="G3099" s="112" t="s">
        <v>1091</v>
      </c>
      <c r="H3099" s="112" t="s">
        <v>1016</v>
      </c>
      <c r="I3099" s="112" t="s">
        <v>1788</v>
      </c>
      <c r="J3099" s="112" t="s">
        <v>2652</v>
      </c>
      <c r="K3099" s="112" t="s">
        <v>2993</v>
      </c>
      <c r="L3099" s="116">
        <v>-320</v>
      </c>
    </row>
    <row r="3100" spans="1:12" hidden="1" outlineLevel="1" collapsed="1" x14ac:dyDescent="0.35">
      <c r="A3100" s="112" t="s">
        <v>2479</v>
      </c>
      <c r="B3100" s="112" t="s">
        <v>909</v>
      </c>
      <c r="C3100" s="112" t="s">
        <v>1518</v>
      </c>
      <c r="D3100" s="113">
        <v>51366208</v>
      </c>
      <c r="E3100" s="115">
        <v>43948</v>
      </c>
      <c r="F3100" s="114">
        <v>202101</v>
      </c>
      <c r="G3100" s="112" t="s">
        <v>1091</v>
      </c>
      <c r="H3100" s="112" t="s">
        <v>1016</v>
      </c>
      <c r="I3100" s="112" t="s">
        <v>1788</v>
      </c>
      <c r="J3100" s="112" t="s">
        <v>2652</v>
      </c>
      <c r="K3100" s="112" t="s">
        <v>2994</v>
      </c>
      <c r="L3100" s="116">
        <v>-320</v>
      </c>
    </row>
    <row r="3101" spans="1:12" hidden="1" outlineLevel="1" collapsed="1" x14ac:dyDescent="0.35">
      <c r="A3101" s="112" t="s">
        <v>2479</v>
      </c>
      <c r="B3101" s="112" t="s">
        <v>908</v>
      </c>
      <c r="C3101" s="112" t="s">
        <v>695</v>
      </c>
      <c r="D3101" s="113">
        <v>10347979</v>
      </c>
      <c r="E3101" s="115">
        <v>43924</v>
      </c>
      <c r="F3101" s="114">
        <v>202101</v>
      </c>
      <c r="G3101" s="112" t="s">
        <v>1091</v>
      </c>
      <c r="H3101" s="112" t="s">
        <v>1015</v>
      </c>
      <c r="I3101" s="112" t="s">
        <v>1536</v>
      </c>
      <c r="J3101" s="112" t="s">
        <v>2513</v>
      </c>
      <c r="K3101" s="112" t="s">
        <v>1698</v>
      </c>
      <c r="L3101" s="116">
        <v>-24</v>
      </c>
    </row>
    <row r="3102" spans="1:12" hidden="1" outlineLevel="1" collapsed="1" x14ac:dyDescent="0.35">
      <c r="A3102" s="112" t="s">
        <v>2479</v>
      </c>
      <c r="B3102" s="112" t="s">
        <v>909</v>
      </c>
      <c r="C3102" s="112" t="s">
        <v>1518</v>
      </c>
      <c r="D3102" s="113">
        <v>51366209</v>
      </c>
      <c r="E3102" s="115">
        <v>43948</v>
      </c>
      <c r="F3102" s="114">
        <v>202101</v>
      </c>
      <c r="G3102" s="112" t="s">
        <v>1091</v>
      </c>
      <c r="H3102" s="112" t="s">
        <v>1016</v>
      </c>
      <c r="I3102" s="112" t="s">
        <v>1788</v>
      </c>
      <c r="J3102" s="112" t="s">
        <v>2652</v>
      </c>
      <c r="K3102" s="112" t="s">
        <v>2995</v>
      </c>
      <c r="L3102" s="116">
        <v>-180</v>
      </c>
    </row>
    <row r="3103" spans="1:12" hidden="1" outlineLevel="1" collapsed="1" x14ac:dyDescent="0.35">
      <c r="A3103" s="112" t="s">
        <v>2479</v>
      </c>
      <c r="B3103" s="112" t="s">
        <v>909</v>
      </c>
      <c r="C3103" s="112" t="s">
        <v>1518</v>
      </c>
      <c r="D3103" s="113">
        <v>51366210</v>
      </c>
      <c r="E3103" s="115">
        <v>43948</v>
      </c>
      <c r="F3103" s="114">
        <v>202101</v>
      </c>
      <c r="G3103" s="112" t="s">
        <v>1091</v>
      </c>
      <c r="H3103" s="112" t="s">
        <v>1016</v>
      </c>
      <c r="I3103" s="112" t="s">
        <v>1788</v>
      </c>
      <c r="J3103" s="112" t="s">
        <v>2652</v>
      </c>
      <c r="K3103" s="112" t="s">
        <v>2996</v>
      </c>
      <c r="L3103" s="116">
        <v>-180</v>
      </c>
    </row>
    <row r="3104" spans="1:12" hidden="1" outlineLevel="1" collapsed="1" x14ac:dyDescent="0.35">
      <c r="A3104" s="112" t="s">
        <v>2479</v>
      </c>
      <c r="B3104" s="112" t="s">
        <v>909</v>
      </c>
      <c r="C3104" s="112" t="s">
        <v>695</v>
      </c>
      <c r="D3104" s="113">
        <v>10347973</v>
      </c>
      <c r="E3104" s="115">
        <v>43924</v>
      </c>
      <c r="F3104" s="114">
        <v>202101</v>
      </c>
      <c r="G3104" s="112" t="s">
        <v>1091</v>
      </c>
      <c r="H3104" s="112" t="s">
        <v>1015</v>
      </c>
      <c r="I3104" s="112" t="s">
        <v>1699</v>
      </c>
      <c r="J3104" s="112" t="s">
        <v>2480</v>
      </c>
      <c r="K3104" s="112" t="s">
        <v>865</v>
      </c>
      <c r="L3104" s="116">
        <v>-123.27</v>
      </c>
    </row>
    <row r="3105" spans="1:12" hidden="1" outlineLevel="1" collapsed="1" x14ac:dyDescent="0.35">
      <c r="A3105" s="112" t="s">
        <v>2479</v>
      </c>
      <c r="B3105" s="112" t="s">
        <v>908</v>
      </c>
      <c r="C3105" s="112" t="s">
        <v>695</v>
      </c>
      <c r="D3105" s="113">
        <v>10347981</v>
      </c>
      <c r="E3105" s="115">
        <v>43924</v>
      </c>
      <c r="F3105" s="114">
        <v>202101</v>
      </c>
      <c r="G3105" s="112" t="s">
        <v>1091</v>
      </c>
      <c r="H3105" s="112" t="s">
        <v>1015</v>
      </c>
      <c r="I3105" s="112" t="s">
        <v>2997</v>
      </c>
      <c r="J3105" s="112" t="s">
        <v>2520</v>
      </c>
      <c r="K3105" s="112" t="s">
        <v>2998</v>
      </c>
      <c r="L3105" s="116">
        <v>-20</v>
      </c>
    </row>
    <row r="3106" spans="1:12" hidden="1" outlineLevel="1" collapsed="1" x14ac:dyDescent="0.35">
      <c r="A3106" s="112" t="s">
        <v>2479</v>
      </c>
      <c r="B3106" s="112" t="s">
        <v>909</v>
      </c>
      <c r="C3106" s="112" t="s">
        <v>1518</v>
      </c>
      <c r="D3106" s="113">
        <v>51366212</v>
      </c>
      <c r="E3106" s="115">
        <v>43948</v>
      </c>
      <c r="F3106" s="114">
        <v>202101</v>
      </c>
      <c r="G3106" s="112" t="s">
        <v>1091</v>
      </c>
      <c r="H3106" s="112" t="s">
        <v>1016</v>
      </c>
      <c r="I3106" s="112" t="s">
        <v>1788</v>
      </c>
      <c r="J3106" s="112" t="s">
        <v>2652</v>
      </c>
      <c r="K3106" s="112" t="s">
        <v>2999</v>
      </c>
      <c r="L3106" s="116">
        <v>-50</v>
      </c>
    </row>
    <row r="3107" spans="1:12" hidden="1" outlineLevel="1" collapsed="1" x14ac:dyDescent="0.35">
      <c r="A3107" s="112" t="s">
        <v>2479</v>
      </c>
      <c r="B3107" s="112" t="s">
        <v>909</v>
      </c>
      <c r="C3107" s="112" t="s">
        <v>1518</v>
      </c>
      <c r="D3107" s="113">
        <v>51366213</v>
      </c>
      <c r="E3107" s="115">
        <v>43948</v>
      </c>
      <c r="F3107" s="114">
        <v>202101</v>
      </c>
      <c r="G3107" s="112" t="s">
        <v>1091</v>
      </c>
      <c r="H3107" s="112" t="s">
        <v>1016</v>
      </c>
      <c r="I3107" s="112" t="s">
        <v>1788</v>
      </c>
      <c r="J3107" s="112" t="s">
        <v>2652</v>
      </c>
      <c r="K3107" s="112" t="s">
        <v>3000</v>
      </c>
      <c r="L3107" s="116">
        <v>-180</v>
      </c>
    </row>
    <row r="3108" spans="1:12" hidden="1" outlineLevel="1" collapsed="1" x14ac:dyDescent="0.35">
      <c r="A3108" s="112" t="s">
        <v>2479</v>
      </c>
      <c r="B3108" s="112" t="s">
        <v>909</v>
      </c>
      <c r="C3108" s="112" t="s">
        <v>1518</v>
      </c>
      <c r="D3108" s="113">
        <v>51366214</v>
      </c>
      <c r="E3108" s="115">
        <v>43948</v>
      </c>
      <c r="F3108" s="114">
        <v>202101</v>
      </c>
      <c r="G3108" s="112" t="s">
        <v>1091</v>
      </c>
      <c r="H3108" s="112" t="s">
        <v>1016</v>
      </c>
      <c r="I3108" s="112" t="s">
        <v>1788</v>
      </c>
      <c r="J3108" s="112" t="s">
        <v>2652</v>
      </c>
      <c r="K3108" s="112" t="s">
        <v>3001</v>
      </c>
      <c r="L3108" s="116">
        <v>-350</v>
      </c>
    </row>
    <row r="3109" spans="1:12" hidden="1" outlineLevel="1" collapsed="1" x14ac:dyDescent="0.35">
      <c r="A3109" s="112" t="s">
        <v>2479</v>
      </c>
      <c r="B3109" s="112" t="s">
        <v>909</v>
      </c>
      <c r="C3109" s="112" t="s">
        <v>1518</v>
      </c>
      <c r="D3109" s="113">
        <v>51366215</v>
      </c>
      <c r="E3109" s="115">
        <v>43948</v>
      </c>
      <c r="F3109" s="114">
        <v>202101</v>
      </c>
      <c r="G3109" s="112" t="s">
        <v>1091</v>
      </c>
      <c r="H3109" s="112" t="s">
        <v>1016</v>
      </c>
      <c r="I3109" s="112" t="s">
        <v>1788</v>
      </c>
      <c r="J3109" s="112" t="s">
        <v>2652</v>
      </c>
      <c r="K3109" s="112" t="s">
        <v>3002</v>
      </c>
      <c r="L3109" s="116">
        <v>-295</v>
      </c>
    </row>
    <row r="3110" spans="1:12" hidden="1" outlineLevel="1" collapsed="1" x14ac:dyDescent="0.35">
      <c r="A3110" s="112" t="s">
        <v>2479</v>
      </c>
      <c r="B3110" s="112" t="s">
        <v>908</v>
      </c>
      <c r="C3110" s="112" t="s">
        <v>679</v>
      </c>
      <c r="D3110" s="113">
        <v>10348375</v>
      </c>
      <c r="E3110" s="115">
        <v>43942</v>
      </c>
      <c r="F3110" s="114">
        <v>202101</v>
      </c>
      <c r="G3110" s="112" t="s">
        <v>1091</v>
      </c>
      <c r="H3110" s="112" t="s">
        <v>1016</v>
      </c>
      <c r="I3110" s="112" t="s">
        <v>1788</v>
      </c>
      <c r="J3110" s="112" t="s">
        <v>2498</v>
      </c>
      <c r="K3110" s="112" t="s">
        <v>3003</v>
      </c>
      <c r="L3110" s="116">
        <v>-85</v>
      </c>
    </row>
    <row r="3111" spans="1:12" hidden="1" outlineLevel="1" collapsed="1" x14ac:dyDescent="0.35">
      <c r="A3111" s="112" t="s">
        <v>2479</v>
      </c>
      <c r="B3111" s="112" t="s">
        <v>908</v>
      </c>
      <c r="C3111" s="112" t="s">
        <v>679</v>
      </c>
      <c r="D3111" s="113">
        <v>10348375</v>
      </c>
      <c r="E3111" s="115">
        <v>43942</v>
      </c>
      <c r="F3111" s="114">
        <v>202101</v>
      </c>
      <c r="G3111" s="112" t="s">
        <v>1091</v>
      </c>
      <c r="H3111" s="112" t="s">
        <v>1016</v>
      </c>
      <c r="I3111" s="112" t="s">
        <v>1788</v>
      </c>
      <c r="J3111" s="112" t="s">
        <v>2498</v>
      </c>
      <c r="K3111" s="112" t="s">
        <v>3004</v>
      </c>
      <c r="L3111" s="116">
        <v>-284</v>
      </c>
    </row>
    <row r="3112" spans="1:12" hidden="1" outlineLevel="1" collapsed="1" x14ac:dyDescent="0.35">
      <c r="A3112" s="112" t="s">
        <v>2479</v>
      </c>
      <c r="B3112" s="112" t="s">
        <v>908</v>
      </c>
      <c r="C3112" s="112" t="s">
        <v>679</v>
      </c>
      <c r="D3112" s="113">
        <v>10348375</v>
      </c>
      <c r="E3112" s="115">
        <v>43942</v>
      </c>
      <c r="F3112" s="114">
        <v>202101</v>
      </c>
      <c r="G3112" s="112" t="s">
        <v>1091</v>
      </c>
      <c r="H3112" s="112" t="s">
        <v>1016</v>
      </c>
      <c r="I3112" s="112" t="s">
        <v>1788</v>
      </c>
      <c r="J3112" s="112" t="s">
        <v>2498</v>
      </c>
      <c r="K3112" s="112" t="s">
        <v>3005</v>
      </c>
      <c r="L3112" s="116">
        <v>-284</v>
      </c>
    </row>
    <row r="3113" spans="1:12" hidden="1" outlineLevel="1" collapsed="1" x14ac:dyDescent="0.35">
      <c r="A3113" s="112" t="s">
        <v>2479</v>
      </c>
      <c r="B3113" s="112" t="s">
        <v>909</v>
      </c>
      <c r="C3113" s="112" t="s">
        <v>1518</v>
      </c>
      <c r="D3113" s="113">
        <v>51366216</v>
      </c>
      <c r="E3113" s="115">
        <v>43948</v>
      </c>
      <c r="F3113" s="114">
        <v>202101</v>
      </c>
      <c r="G3113" s="112" t="s">
        <v>1091</v>
      </c>
      <c r="H3113" s="112" t="s">
        <v>1016</v>
      </c>
      <c r="I3113" s="112" t="s">
        <v>1788</v>
      </c>
      <c r="J3113" s="112" t="s">
        <v>2652</v>
      </c>
      <c r="K3113" s="112" t="s">
        <v>3006</v>
      </c>
      <c r="L3113" s="116">
        <v>-180</v>
      </c>
    </row>
    <row r="3114" spans="1:12" hidden="1" outlineLevel="1" collapsed="1" x14ac:dyDescent="0.35">
      <c r="A3114" s="112" t="s">
        <v>2479</v>
      </c>
      <c r="B3114" s="112" t="s">
        <v>909</v>
      </c>
      <c r="C3114" s="112" t="s">
        <v>1518</v>
      </c>
      <c r="D3114" s="113">
        <v>51366217</v>
      </c>
      <c r="E3114" s="115">
        <v>43948</v>
      </c>
      <c r="F3114" s="114">
        <v>202101</v>
      </c>
      <c r="G3114" s="112" t="s">
        <v>1091</v>
      </c>
      <c r="H3114" s="112" t="s">
        <v>1016</v>
      </c>
      <c r="I3114" s="112" t="s">
        <v>1788</v>
      </c>
      <c r="J3114" s="112" t="s">
        <v>2652</v>
      </c>
      <c r="K3114" s="112" t="s">
        <v>3007</v>
      </c>
      <c r="L3114" s="116">
        <v>-640</v>
      </c>
    </row>
    <row r="3115" spans="1:12" hidden="1" outlineLevel="1" collapsed="1" x14ac:dyDescent="0.35">
      <c r="A3115" s="112" t="s">
        <v>2479</v>
      </c>
      <c r="B3115" s="112" t="s">
        <v>909</v>
      </c>
      <c r="C3115" s="112" t="s">
        <v>695</v>
      </c>
      <c r="D3115" s="113">
        <v>10348018</v>
      </c>
      <c r="E3115" s="115">
        <v>43927</v>
      </c>
      <c r="F3115" s="114">
        <v>202101</v>
      </c>
      <c r="G3115" s="112" t="s">
        <v>1091</v>
      </c>
      <c r="H3115" s="112" t="s">
        <v>1015</v>
      </c>
      <c r="I3115" s="112" t="s">
        <v>1643</v>
      </c>
      <c r="J3115" s="112" t="s">
        <v>2480</v>
      </c>
      <c r="K3115" s="112" t="s">
        <v>1689</v>
      </c>
      <c r="L3115" s="116">
        <v>-21.93</v>
      </c>
    </row>
    <row r="3116" spans="1:12" hidden="1" outlineLevel="1" collapsed="1" x14ac:dyDescent="0.35">
      <c r="A3116" s="112" t="s">
        <v>2479</v>
      </c>
      <c r="B3116" s="112" t="s">
        <v>909</v>
      </c>
      <c r="C3116" s="112" t="s">
        <v>1518</v>
      </c>
      <c r="D3116" s="113">
        <v>51366218</v>
      </c>
      <c r="E3116" s="115">
        <v>43948</v>
      </c>
      <c r="F3116" s="114">
        <v>202101</v>
      </c>
      <c r="G3116" s="112" t="s">
        <v>1091</v>
      </c>
      <c r="H3116" s="112" t="s">
        <v>1016</v>
      </c>
      <c r="I3116" s="112" t="s">
        <v>1788</v>
      </c>
      <c r="J3116" s="112" t="s">
        <v>2652</v>
      </c>
      <c r="K3116" s="112" t="s">
        <v>3008</v>
      </c>
      <c r="L3116" s="116">
        <v>-295</v>
      </c>
    </row>
    <row r="3117" spans="1:12" hidden="1" outlineLevel="1" collapsed="1" x14ac:dyDescent="0.35">
      <c r="A3117" s="112" t="s">
        <v>2479</v>
      </c>
      <c r="B3117" s="112" t="s">
        <v>909</v>
      </c>
      <c r="C3117" s="112" t="s">
        <v>1518</v>
      </c>
      <c r="D3117" s="113">
        <v>51366219</v>
      </c>
      <c r="E3117" s="115">
        <v>43948</v>
      </c>
      <c r="F3117" s="114">
        <v>202101</v>
      </c>
      <c r="G3117" s="112" t="s">
        <v>1091</v>
      </c>
      <c r="H3117" s="112" t="s">
        <v>1016</v>
      </c>
      <c r="I3117" s="112" t="s">
        <v>1788</v>
      </c>
      <c r="J3117" s="112" t="s">
        <v>2652</v>
      </c>
      <c r="K3117" s="112" t="s">
        <v>3009</v>
      </c>
      <c r="L3117" s="116">
        <v>-295</v>
      </c>
    </row>
    <row r="3118" spans="1:12" hidden="1" outlineLevel="1" collapsed="1" x14ac:dyDescent="0.35">
      <c r="A3118" s="112" t="s">
        <v>2479</v>
      </c>
      <c r="B3118" s="112" t="s">
        <v>909</v>
      </c>
      <c r="C3118" s="112" t="s">
        <v>1518</v>
      </c>
      <c r="D3118" s="113">
        <v>51366220</v>
      </c>
      <c r="E3118" s="115">
        <v>43948</v>
      </c>
      <c r="F3118" s="114">
        <v>202101</v>
      </c>
      <c r="G3118" s="112" t="s">
        <v>1091</v>
      </c>
      <c r="H3118" s="112" t="s">
        <v>1016</v>
      </c>
      <c r="I3118" s="112" t="s">
        <v>1788</v>
      </c>
      <c r="J3118" s="112" t="s">
        <v>2652</v>
      </c>
      <c r="K3118" s="112" t="s">
        <v>3010</v>
      </c>
      <c r="L3118" s="116">
        <v>-180</v>
      </c>
    </row>
    <row r="3119" spans="1:12" hidden="1" outlineLevel="1" collapsed="1" x14ac:dyDescent="0.35">
      <c r="A3119" s="112" t="s">
        <v>2479</v>
      </c>
      <c r="B3119" s="112" t="s">
        <v>909</v>
      </c>
      <c r="C3119" s="112" t="s">
        <v>1518</v>
      </c>
      <c r="D3119" s="113">
        <v>51366221</v>
      </c>
      <c r="E3119" s="115">
        <v>43948</v>
      </c>
      <c r="F3119" s="114">
        <v>202101</v>
      </c>
      <c r="G3119" s="112" t="s">
        <v>1091</v>
      </c>
      <c r="H3119" s="112" t="s">
        <v>1016</v>
      </c>
      <c r="I3119" s="112" t="s">
        <v>1788</v>
      </c>
      <c r="J3119" s="112" t="s">
        <v>2652</v>
      </c>
      <c r="K3119" s="112" t="s">
        <v>3011</v>
      </c>
      <c r="L3119" s="116">
        <v>-350</v>
      </c>
    </row>
    <row r="3120" spans="1:12" hidden="1" outlineLevel="1" collapsed="1" x14ac:dyDescent="0.35">
      <c r="A3120" s="112" t="s">
        <v>2479</v>
      </c>
      <c r="B3120" s="112" t="s">
        <v>908</v>
      </c>
      <c r="C3120" s="112" t="s">
        <v>679</v>
      </c>
      <c r="D3120" s="113">
        <v>10348375</v>
      </c>
      <c r="E3120" s="115">
        <v>43942</v>
      </c>
      <c r="F3120" s="114">
        <v>202101</v>
      </c>
      <c r="G3120" s="112" t="s">
        <v>1091</v>
      </c>
      <c r="H3120" s="112" t="s">
        <v>1016</v>
      </c>
      <c r="I3120" s="112" t="s">
        <v>1788</v>
      </c>
      <c r="J3120" s="112" t="s">
        <v>2498</v>
      </c>
      <c r="K3120" s="112" t="s">
        <v>3012</v>
      </c>
      <c r="L3120" s="116">
        <v>-85</v>
      </c>
    </row>
    <row r="3121" spans="1:12" hidden="1" outlineLevel="1" collapsed="1" x14ac:dyDescent="0.35">
      <c r="A3121" s="112" t="s">
        <v>2479</v>
      </c>
      <c r="B3121" s="112" t="s">
        <v>908</v>
      </c>
      <c r="C3121" s="112" t="s">
        <v>679</v>
      </c>
      <c r="D3121" s="113">
        <v>10348375</v>
      </c>
      <c r="E3121" s="115">
        <v>43942</v>
      </c>
      <c r="F3121" s="114">
        <v>202101</v>
      </c>
      <c r="G3121" s="112" t="s">
        <v>1091</v>
      </c>
      <c r="H3121" s="112" t="s">
        <v>1016</v>
      </c>
      <c r="I3121" s="112" t="s">
        <v>1788</v>
      </c>
      <c r="J3121" s="112" t="s">
        <v>2498</v>
      </c>
      <c r="K3121" s="112" t="s">
        <v>3013</v>
      </c>
      <c r="L3121" s="116">
        <v>-196</v>
      </c>
    </row>
    <row r="3122" spans="1:12" hidden="1" outlineLevel="1" collapsed="1" x14ac:dyDescent="0.35">
      <c r="A3122" s="112" t="s">
        <v>2479</v>
      </c>
      <c r="B3122" s="112" t="s">
        <v>908</v>
      </c>
      <c r="C3122" s="112" t="s">
        <v>679</v>
      </c>
      <c r="D3122" s="113">
        <v>10348375</v>
      </c>
      <c r="E3122" s="115">
        <v>43942</v>
      </c>
      <c r="F3122" s="114">
        <v>202101</v>
      </c>
      <c r="G3122" s="112" t="s">
        <v>1091</v>
      </c>
      <c r="H3122" s="112" t="s">
        <v>1016</v>
      </c>
      <c r="I3122" s="112" t="s">
        <v>1788</v>
      </c>
      <c r="J3122" s="112" t="s">
        <v>2498</v>
      </c>
      <c r="K3122" s="112" t="s">
        <v>3014</v>
      </c>
      <c r="L3122" s="116">
        <v>-196</v>
      </c>
    </row>
    <row r="3123" spans="1:12" hidden="1" outlineLevel="1" collapsed="1" x14ac:dyDescent="0.35">
      <c r="A3123" s="112" t="s">
        <v>2479</v>
      </c>
      <c r="B3123" s="112" t="s">
        <v>909</v>
      </c>
      <c r="C3123" s="112" t="s">
        <v>1518</v>
      </c>
      <c r="D3123" s="113">
        <v>51366201</v>
      </c>
      <c r="E3123" s="115">
        <v>43948</v>
      </c>
      <c r="F3123" s="114">
        <v>202101</v>
      </c>
      <c r="G3123" s="112" t="s">
        <v>1091</v>
      </c>
      <c r="H3123" s="112" t="s">
        <v>1016</v>
      </c>
      <c r="I3123" s="112" t="s">
        <v>1788</v>
      </c>
      <c r="J3123" s="112" t="s">
        <v>2652</v>
      </c>
      <c r="K3123" s="112" t="s">
        <v>3015</v>
      </c>
      <c r="L3123" s="116">
        <v>-180</v>
      </c>
    </row>
    <row r="3124" spans="1:12" hidden="1" outlineLevel="1" collapsed="1" x14ac:dyDescent="0.35">
      <c r="A3124" s="112" t="s">
        <v>2479</v>
      </c>
      <c r="B3124" s="112" t="s">
        <v>908</v>
      </c>
      <c r="C3124" s="112" t="s">
        <v>679</v>
      </c>
      <c r="D3124" s="113">
        <v>10348375</v>
      </c>
      <c r="E3124" s="115">
        <v>43942</v>
      </c>
      <c r="F3124" s="114">
        <v>202101</v>
      </c>
      <c r="G3124" s="112" t="s">
        <v>1091</v>
      </c>
      <c r="H3124" s="112" t="s">
        <v>1016</v>
      </c>
      <c r="I3124" s="112" t="s">
        <v>1788</v>
      </c>
      <c r="J3124" s="112" t="s">
        <v>2498</v>
      </c>
      <c r="K3124" s="112" t="s">
        <v>3016</v>
      </c>
      <c r="L3124" s="116">
        <v>-60</v>
      </c>
    </row>
    <row r="3125" spans="1:12" hidden="1" outlineLevel="1" collapsed="1" x14ac:dyDescent="0.35">
      <c r="A3125" s="112" t="s">
        <v>2479</v>
      </c>
      <c r="B3125" s="112" t="s">
        <v>909</v>
      </c>
      <c r="C3125" s="112" t="s">
        <v>1518</v>
      </c>
      <c r="D3125" s="113">
        <v>51366196</v>
      </c>
      <c r="E3125" s="115">
        <v>43948</v>
      </c>
      <c r="F3125" s="114">
        <v>202101</v>
      </c>
      <c r="G3125" s="112" t="s">
        <v>1091</v>
      </c>
      <c r="H3125" s="112" t="s">
        <v>1016</v>
      </c>
      <c r="I3125" s="112" t="s">
        <v>1788</v>
      </c>
      <c r="J3125" s="112" t="s">
        <v>2652</v>
      </c>
      <c r="K3125" s="112" t="s">
        <v>3017</v>
      </c>
      <c r="L3125" s="116">
        <v>-680</v>
      </c>
    </row>
    <row r="3126" spans="1:12" hidden="1" outlineLevel="1" collapsed="1" x14ac:dyDescent="0.35">
      <c r="A3126" s="112" t="s">
        <v>2479</v>
      </c>
      <c r="B3126" s="112" t="s">
        <v>908</v>
      </c>
      <c r="C3126" s="112" t="s">
        <v>679</v>
      </c>
      <c r="D3126" s="113">
        <v>10348375</v>
      </c>
      <c r="E3126" s="115">
        <v>43942</v>
      </c>
      <c r="F3126" s="114">
        <v>202101</v>
      </c>
      <c r="G3126" s="112" t="s">
        <v>1091</v>
      </c>
      <c r="H3126" s="112" t="s">
        <v>1016</v>
      </c>
      <c r="I3126" s="112" t="s">
        <v>1788</v>
      </c>
      <c r="J3126" s="112" t="s">
        <v>2498</v>
      </c>
      <c r="K3126" s="112" t="s">
        <v>3018</v>
      </c>
      <c r="L3126" s="116">
        <v>-60</v>
      </c>
    </row>
    <row r="3127" spans="1:12" hidden="1" outlineLevel="1" collapsed="1" x14ac:dyDescent="0.35">
      <c r="A3127" s="112" t="s">
        <v>2479</v>
      </c>
      <c r="B3127" s="112" t="s">
        <v>908</v>
      </c>
      <c r="C3127" s="112" t="s">
        <v>695</v>
      </c>
      <c r="D3127" s="113">
        <v>10347981</v>
      </c>
      <c r="E3127" s="115">
        <v>43924</v>
      </c>
      <c r="F3127" s="114">
        <v>202101</v>
      </c>
      <c r="G3127" s="112" t="s">
        <v>1091</v>
      </c>
      <c r="H3127" s="112" t="s">
        <v>1015</v>
      </c>
      <c r="I3127" s="112" t="s">
        <v>1182</v>
      </c>
      <c r="J3127" s="112" t="s">
        <v>2584</v>
      </c>
      <c r="K3127" s="112" t="s">
        <v>2757</v>
      </c>
      <c r="L3127" s="116">
        <v>-25.2</v>
      </c>
    </row>
    <row r="3128" spans="1:12" hidden="1" outlineLevel="1" collapsed="1" x14ac:dyDescent="0.35">
      <c r="A3128" s="112" t="s">
        <v>2479</v>
      </c>
      <c r="B3128" s="112" t="s">
        <v>908</v>
      </c>
      <c r="C3128" s="112" t="s">
        <v>695</v>
      </c>
      <c r="D3128" s="113">
        <v>10347981</v>
      </c>
      <c r="E3128" s="115">
        <v>43924</v>
      </c>
      <c r="F3128" s="114">
        <v>202101</v>
      </c>
      <c r="G3128" s="112" t="s">
        <v>1091</v>
      </c>
      <c r="H3128" s="112" t="s">
        <v>1015</v>
      </c>
      <c r="I3128" s="112" t="s">
        <v>761</v>
      </c>
      <c r="J3128" s="112" t="s">
        <v>2584</v>
      </c>
      <c r="K3128" s="112" t="s">
        <v>3019</v>
      </c>
      <c r="L3128" s="116">
        <v>-32</v>
      </c>
    </row>
    <row r="3129" spans="1:12" hidden="1" outlineLevel="1" collapsed="1" x14ac:dyDescent="0.35">
      <c r="A3129" s="112" t="s">
        <v>2479</v>
      </c>
      <c r="B3129" s="112" t="s">
        <v>909</v>
      </c>
      <c r="C3129" s="112" t="s">
        <v>1518</v>
      </c>
      <c r="D3129" s="113">
        <v>51366188</v>
      </c>
      <c r="E3129" s="115">
        <v>43948</v>
      </c>
      <c r="F3129" s="114">
        <v>202101</v>
      </c>
      <c r="G3129" s="112" t="s">
        <v>1091</v>
      </c>
      <c r="H3129" s="112" t="s">
        <v>1016</v>
      </c>
      <c r="I3129" s="112" t="s">
        <v>1788</v>
      </c>
      <c r="J3129" s="112" t="s">
        <v>2652</v>
      </c>
      <c r="K3129" s="112" t="s">
        <v>3020</v>
      </c>
      <c r="L3129" s="116">
        <v>-295</v>
      </c>
    </row>
    <row r="3130" spans="1:12" hidden="1" outlineLevel="1" collapsed="1" x14ac:dyDescent="0.35">
      <c r="A3130" s="112" t="s">
        <v>2479</v>
      </c>
      <c r="B3130" s="112" t="s">
        <v>909</v>
      </c>
      <c r="C3130" s="112" t="s">
        <v>1518</v>
      </c>
      <c r="D3130" s="113">
        <v>51366190</v>
      </c>
      <c r="E3130" s="115">
        <v>43948</v>
      </c>
      <c r="F3130" s="114">
        <v>202101</v>
      </c>
      <c r="G3130" s="112" t="s">
        <v>1091</v>
      </c>
      <c r="H3130" s="112" t="s">
        <v>1016</v>
      </c>
      <c r="I3130" s="112" t="s">
        <v>1788</v>
      </c>
      <c r="J3130" s="112" t="s">
        <v>2652</v>
      </c>
      <c r="K3130" s="112" t="s">
        <v>3021</v>
      </c>
      <c r="L3130" s="116">
        <v>-295</v>
      </c>
    </row>
    <row r="3131" spans="1:12" hidden="1" outlineLevel="1" collapsed="1" x14ac:dyDescent="0.35">
      <c r="A3131" s="112" t="s">
        <v>2479</v>
      </c>
      <c r="B3131" s="112" t="s">
        <v>909</v>
      </c>
      <c r="C3131" s="112" t="s">
        <v>1518</v>
      </c>
      <c r="D3131" s="113">
        <v>51366191</v>
      </c>
      <c r="E3131" s="115">
        <v>43948</v>
      </c>
      <c r="F3131" s="114">
        <v>202101</v>
      </c>
      <c r="G3131" s="112" t="s">
        <v>1091</v>
      </c>
      <c r="H3131" s="112" t="s">
        <v>1016</v>
      </c>
      <c r="I3131" s="112" t="s">
        <v>1788</v>
      </c>
      <c r="J3131" s="112" t="s">
        <v>2652</v>
      </c>
      <c r="K3131" s="112" t="s">
        <v>3022</v>
      </c>
      <c r="L3131" s="116">
        <v>-180</v>
      </c>
    </row>
    <row r="3132" spans="1:12" hidden="1" outlineLevel="1" collapsed="1" x14ac:dyDescent="0.35">
      <c r="A3132" s="112" t="s">
        <v>2479</v>
      </c>
      <c r="B3132" s="112" t="s">
        <v>909</v>
      </c>
      <c r="C3132" s="112" t="s">
        <v>1518</v>
      </c>
      <c r="D3132" s="113">
        <v>51366192</v>
      </c>
      <c r="E3132" s="115">
        <v>43948</v>
      </c>
      <c r="F3132" s="114">
        <v>202101</v>
      </c>
      <c r="G3132" s="112" t="s">
        <v>1091</v>
      </c>
      <c r="H3132" s="112" t="s">
        <v>1016</v>
      </c>
      <c r="I3132" s="112" t="s">
        <v>1788</v>
      </c>
      <c r="J3132" s="112" t="s">
        <v>2652</v>
      </c>
      <c r="K3132" s="112" t="s">
        <v>3023</v>
      </c>
      <c r="L3132" s="116">
        <v>-350</v>
      </c>
    </row>
    <row r="3133" spans="1:12" hidden="1" outlineLevel="1" collapsed="1" x14ac:dyDescent="0.35">
      <c r="A3133" s="112" t="s">
        <v>2479</v>
      </c>
      <c r="B3133" s="112" t="s">
        <v>908</v>
      </c>
      <c r="C3133" s="112" t="s">
        <v>695</v>
      </c>
      <c r="D3133" s="113">
        <v>10347981</v>
      </c>
      <c r="E3133" s="115">
        <v>43924</v>
      </c>
      <c r="F3133" s="114">
        <v>202101</v>
      </c>
      <c r="G3133" s="112" t="s">
        <v>1091</v>
      </c>
      <c r="H3133" s="112" t="s">
        <v>1015</v>
      </c>
      <c r="I3133" s="112" t="s">
        <v>761</v>
      </c>
      <c r="J3133" s="112" t="s">
        <v>2553</v>
      </c>
      <c r="K3133" s="112" t="s">
        <v>3024</v>
      </c>
      <c r="L3133" s="116">
        <v>-98</v>
      </c>
    </row>
    <row r="3134" spans="1:12" hidden="1" outlineLevel="1" collapsed="1" x14ac:dyDescent="0.35">
      <c r="A3134" s="112" t="s">
        <v>2479</v>
      </c>
      <c r="B3134" s="112" t="s">
        <v>909</v>
      </c>
      <c r="C3134" s="112" t="s">
        <v>695</v>
      </c>
      <c r="D3134" s="113">
        <v>10347981</v>
      </c>
      <c r="E3134" s="115">
        <v>43924</v>
      </c>
      <c r="F3134" s="114">
        <v>202101</v>
      </c>
      <c r="G3134" s="112" t="s">
        <v>1091</v>
      </c>
      <c r="H3134" s="112" t="s">
        <v>1015</v>
      </c>
      <c r="I3134" s="112" t="s">
        <v>1399</v>
      </c>
      <c r="J3134" s="112" t="s">
        <v>2480</v>
      </c>
      <c r="K3134" s="112" t="s">
        <v>3025</v>
      </c>
      <c r="L3134" s="116">
        <v>-108</v>
      </c>
    </row>
    <row r="3135" spans="1:12" hidden="1" outlineLevel="1" collapsed="1" x14ac:dyDescent="0.35">
      <c r="A3135" s="112" t="s">
        <v>2479</v>
      </c>
      <c r="B3135" s="112" t="s">
        <v>909</v>
      </c>
      <c r="C3135" s="112" t="s">
        <v>1518</v>
      </c>
      <c r="D3135" s="113">
        <v>51366193</v>
      </c>
      <c r="E3135" s="115">
        <v>43948</v>
      </c>
      <c r="F3135" s="114">
        <v>202101</v>
      </c>
      <c r="G3135" s="112" t="s">
        <v>1091</v>
      </c>
      <c r="H3135" s="112" t="s">
        <v>1016</v>
      </c>
      <c r="I3135" s="112" t="s">
        <v>1788</v>
      </c>
      <c r="J3135" s="112" t="s">
        <v>2652</v>
      </c>
      <c r="K3135" s="112" t="s">
        <v>3026</v>
      </c>
      <c r="L3135" s="116">
        <v>-600</v>
      </c>
    </row>
    <row r="3136" spans="1:12" hidden="1" outlineLevel="1" collapsed="1" x14ac:dyDescent="0.35">
      <c r="A3136" s="112" t="s">
        <v>2479</v>
      </c>
      <c r="B3136" s="112" t="s">
        <v>908</v>
      </c>
      <c r="C3136" s="112" t="s">
        <v>695</v>
      </c>
      <c r="D3136" s="113">
        <v>10347981</v>
      </c>
      <c r="E3136" s="115">
        <v>43924</v>
      </c>
      <c r="F3136" s="114">
        <v>202101</v>
      </c>
      <c r="G3136" s="112" t="s">
        <v>1091</v>
      </c>
      <c r="H3136" s="112" t="s">
        <v>1015</v>
      </c>
      <c r="I3136" s="112" t="s">
        <v>761</v>
      </c>
      <c r="J3136" s="112" t="s">
        <v>2553</v>
      </c>
      <c r="K3136" s="112" t="s">
        <v>3027</v>
      </c>
      <c r="L3136" s="116">
        <v>-22</v>
      </c>
    </row>
    <row r="3137" spans="1:12" hidden="1" outlineLevel="1" collapsed="1" x14ac:dyDescent="0.35">
      <c r="A3137" s="112" t="s">
        <v>2479</v>
      </c>
      <c r="B3137" s="112" t="s">
        <v>908</v>
      </c>
      <c r="C3137" s="112" t="s">
        <v>695</v>
      </c>
      <c r="D3137" s="113">
        <v>10347981</v>
      </c>
      <c r="E3137" s="115">
        <v>43924</v>
      </c>
      <c r="F3137" s="114">
        <v>202101</v>
      </c>
      <c r="G3137" s="112" t="s">
        <v>1091</v>
      </c>
      <c r="H3137" s="112" t="s">
        <v>1015</v>
      </c>
      <c r="I3137" s="112" t="s">
        <v>763</v>
      </c>
      <c r="J3137" s="112" t="s">
        <v>2520</v>
      </c>
      <c r="K3137" s="112" t="s">
        <v>3028</v>
      </c>
      <c r="L3137" s="116">
        <v>-23.36</v>
      </c>
    </row>
    <row r="3138" spans="1:12" hidden="1" outlineLevel="1" collapsed="1" x14ac:dyDescent="0.35">
      <c r="A3138" s="112" t="s">
        <v>2479</v>
      </c>
      <c r="B3138" s="112" t="s">
        <v>908</v>
      </c>
      <c r="C3138" s="112" t="s">
        <v>695</v>
      </c>
      <c r="D3138" s="113">
        <v>10347981</v>
      </c>
      <c r="E3138" s="115">
        <v>43924</v>
      </c>
      <c r="F3138" s="114">
        <v>202101</v>
      </c>
      <c r="G3138" s="112" t="s">
        <v>1091</v>
      </c>
      <c r="H3138" s="112" t="s">
        <v>1015</v>
      </c>
      <c r="I3138" s="112" t="s">
        <v>761</v>
      </c>
      <c r="J3138" s="112" t="s">
        <v>2553</v>
      </c>
      <c r="K3138" s="112" t="s">
        <v>3029</v>
      </c>
      <c r="L3138" s="116">
        <v>-80.53</v>
      </c>
    </row>
    <row r="3139" spans="1:12" hidden="1" outlineLevel="1" collapsed="1" x14ac:dyDescent="0.35">
      <c r="A3139" s="112" t="s">
        <v>2479</v>
      </c>
      <c r="B3139" s="112" t="s">
        <v>909</v>
      </c>
      <c r="C3139" s="112" t="s">
        <v>1518</v>
      </c>
      <c r="D3139" s="113">
        <v>51366194</v>
      </c>
      <c r="E3139" s="115">
        <v>43948</v>
      </c>
      <c r="F3139" s="114">
        <v>202101</v>
      </c>
      <c r="G3139" s="112" t="s">
        <v>1091</v>
      </c>
      <c r="H3139" s="112" t="s">
        <v>1016</v>
      </c>
      <c r="I3139" s="112" t="s">
        <v>1788</v>
      </c>
      <c r="J3139" s="112" t="s">
        <v>2652</v>
      </c>
      <c r="K3139" s="112" t="s">
        <v>3030</v>
      </c>
      <c r="L3139" s="116">
        <v>-295</v>
      </c>
    </row>
    <row r="3140" spans="1:12" hidden="1" outlineLevel="1" collapsed="1" x14ac:dyDescent="0.35">
      <c r="A3140" s="112" t="s">
        <v>2479</v>
      </c>
      <c r="B3140" s="112" t="s">
        <v>909</v>
      </c>
      <c r="C3140" s="112" t="s">
        <v>695</v>
      </c>
      <c r="D3140" s="113">
        <v>10347981</v>
      </c>
      <c r="E3140" s="115">
        <v>43924</v>
      </c>
      <c r="F3140" s="114">
        <v>202101</v>
      </c>
      <c r="G3140" s="112" t="s">
        <v>1091</v>
      </c>
      <c r="H3140" s="112" t="s">
        <v>1015</v>
      </c>
      <c r="I3140" s="112" t="s">
        <v>761</v>
      </c>
      <c r="J3140" s="112" t="s">
        <v>2480</v>
      </c>
      <c r="K3140" s="112" t="s">
        <v>3031</v>
      </c>
      <c r="L3140" s="116">
        <v>-60</v>
      </c>
    </row>
    <row r="3141" spans="1:12" hidden="1" outlineLevel="1" collapsed="1" x14ac:dyDescent="0.35">
      <c r="A3141" s="112" t="s">
        <v>2479</v>
      </c>
      <c r="B3141" s="112" t="s">
        <v>909</v>
      </c>
      <c r="C3141" s="112" t="s">
        <v>1518</v>
      </c>
      <c r="D3141" s="113">
        <v>51366195</v>
      </c>
      <c r="E3141" s="115">
        <v>43948</v>
      </c>
      <c r="F3141" s="114">
        <v>202101</v>
      </c>
      <c r="G3141" s="112" t="s">
        <v>1091</v>
      </c>
      <c r="H3141" s="112" t="s">
        <v>1016</v>
      </c>
      <c r="I3141" s="112" t="s">
        <v>1788</v>
      </c>
      <c r="J3141" s="112" t="s">
        <v>2652</v>
      </c>
      <c r="K3141" s="112" t="s">
        <v>3032</v>
      </c>
      <c r="L3141" s="116">
        <v>-295</v>
      </c>
    </row>
    <row r="3142" spans="1:12" hidden="1" outlineLevel="1" collapsed="1" x14ac:dyDescent="0.35">
      <c r="A3142" s="112" t="s">
        <v>2479</v>
      </c>
      <c r="B3142" s="112" t="s">
        <v>909</v>
      </c>
      <c r="C3142" s="112" t="s">
        <v>1518</v>
      </c>
      <c r="D3142" s="113">
        <v>51366187</v>
      </c>
      <c r="E3142" s="115">
        <v>43948</v>
      </c>
      <c r="F3142" s="114">
        <v>202101</v>
      </c>
      <c r="G3142" s="112" t="s">
        <v>1091</v>
      </c>
      <c r="H3142" s="112" t="s">
        <v>1016</v>
      </c>
      <c r="I3142" s="112" t="s">
        <v>1788</v>
      </c>
      <c r="J3142" s="112" t="s">
        <v>2652</v>
      </c>
      <c r="K3142" s="112" t="s">
        <v>3033</v>
      </c>
      <c r="L3142" s="116">
        <v>-70</v>
      </c>
    </row>
    <row r="3143" spans="1:12" hidden="1" outlineLevel="1" collapsed="1" x14ac:dyDescent="0.35">
      <c r="A3143" s="112" t="s">
        <v>2479</v>
      </c>
      <c r="B3143" s="112" t="s">
        <v>908</v>
      </c>
      <c r="C3143" s="112" t="s">
        <v>695</v>
      </c>
      <c r="D3143" s="113">
        <v>10347981</v>
      </c>
      <c r="E3143" s="115">
        <v>43924</v>
      </c>
      <c r="F3143" s="114">
        <v>202101</v>
      </c>
      <c r="G3143" s="112" t="s">
        <v>1091</v>
      </c>
      <c r="H3143" s="112" t="s">
        <v>1015</v>
      </c>
      <c r="I3143" s="112" t="s">
        <v>761</v>
      </c>
      <c r="J3143" s="112" t="s">
        <v>2584</v>
      </c>
      <c r="K3143" s="112" t="s">
        <v>3034</v>
      </c>
      <c r="L3143" s="116">
        <v>-135</v>
      </c>
    </row>
    <row r="3144" spans="1:12" hidden="1" outlineLevel="1" collapsed="1" x14ac:dyDescent="0.35">
      <c r="A3144" s="112" t="s">
        <v>2479</v>
      </c>
      <c r="B3144" s="112" t="s">
        <v>908</v>
      </c>
      <c r="C3144" s="112" t="s">
        <v>679</v>
      </c>
      <c r="D3144" s="113">
        <v>10348375</v>
      </c>
      <c r="E3144" s="115">
        <v>43942</v>
      </c>
      <c r="F3144" s="114">
        <v>202101</v>
      </c>
      <c r="G3144" s="112" t="s">
        <v>1091</v>
      </c>
      <c r="H3144" s="112" t="s">
        <v>1016</v>
      </c>
      <c r="I3144" s="112" t="s">
        <v>1788</v>
      </c>
      <c r="J3144" s="112" t="s">
        <v>2498</v>
      </c>
      <c r="K3144" s="112" t="s">
        <v>3035</v>
      </c>
      <c r="L3144" s="116">
        <v>-85</v>
      </c>
    </row>
    <row r="3145" spans="1:12" hidden="1" outlineLevel="1" collapsed="1" x14ac:dyDescent="0.35">
      <c r="A3145" s="112" t="s">
        <v>2479</v>
      </c>
      <c r="B3145" s="112" t="s">
        <v>909</v>
      </c>
      <c r="C3145" s="112" t="s">
        <v>679</v>
      </c>
      <c r="D3145" s="113">
        <v>10348375</v>
      </c>
      <c r="E3145" s="115">
        <v>43942</v>
      </c>
      <c r="F3145" s="114">
        <v>202101</v>
      </c>
      <c r="G3145" s="112" t="s">
        <v>1091</v>
      </c>
      <c r="H3145" s="112" t="s">
        <v>1016</v>
      </c>
      <c r="I3145" s="112" t="s">
        <v>2595</v>
      </c>
      <c r="J3145" s="112" t="s">
        <v>2523</v>
      </c>
      <c r="K3145" s="112" t="s">
        <v>3036</v>
      </c>
      <c r="L3145" s="116">
        <v>-310</v>
      </c>
    </row>
    <row r="3146" spans="1:12" hidden="1" outlineLevel="1" collapsed="1" x14ac:dyDescent="0.35">
      <c r="A3146" s="112" t="s">
        <v>2479</v>
      </c>
      <c r="B3146" s="112" t="s">
        <v>909</v>
      </c>
      <c r="C3146" s="112" t="s">
        <v>679</v>
      </c>
      <c r="D3146" s="113">
        <v>10348375</v>
      </c>
      <c r="E3146" s="115">
        <v>43942</v>
      </c>
      <c r="F3146" s="114">
        <v>202101</v>
      </c>
      <c r="G3146" s="112" t="s">
        <v>1091</v>
      </c>
      <c r="H3146" s="112" t="s">
        <v>1016</v>
      </c>
      <c r="I3146" s="112" t="s">
        <v>2522</v>
      </c>
      <c r="J3146" s="112" t="s">
        <v>2523</v>
      </c>
      <c r="K3146" s="112" t="s">
        <v>3037</v>
      </c>
      <c r="L3146" s="116">
        <v>-122</v>
      </c>
    </row>
    <row r="3147" spans="1:12" hidden="1" outlineLevel="1" collapsed="1" x14ac:dyDescent="0.35">
      <c r="A3147" s="112" t="s">
        <v>2479</v>
      </c>
      <c r="B3147" s="112" t="s">
        <v>908</v>
      </c>
      <c r="C3147" s="112" t="s">
        <v>679</v>
      </c>
      <c r="D3147" s="113">
        <v>10348375</v>
      </c>
      <c r="E3147" s="115">
        <v>43942</v>
      </c>
      <c r="F3147" s="114">
        <v>202101</v>
      </c>
      <c r="G3147" s="112" t="s">
        <v>1091</v>
      </c>
      <c r="H3147" s="112" t="s">
        <v>1016</v>
      </c>
      <c r="I3147" s="112" t="s">
        <v>1788</v>
      </c>
      <c r="J3147" s="112" t="s">
        <v>2498</v>
      </c>
      <c r="K3147" s="112" t="s">
        <v>3038</v>
      </c>
      <c r="L3147" s="116">
        <v>-220</v>
      </c>
    </row>
    <row r="3148" spans="1:12" hidden="1" outlineLevel="1" collapsed="1" x14ac:dyDescent="0.35">
      <c r="A3148" s="112" t="s">
        <v>2479</v>
      </c>
      <c r="B3148" s="112" t="s">
        <v>908</v>
      </c>
      <c r="C3148" s="112" t="s">
        <v>679</v>
      </c>
      <c r="D3148" s="113">
        <v>10348375</v>
      </c>
      <c r="E3148" s="115">
        <v>43942</v>
      </c>
      <c r="F3148" s="114">
        <v>202101</v>
      </c>
      <c r="G3148" s="112" t="s">
        <v>1091</v>
      </c>
      <c r="H3148" s="112" t="s">
        <v>1016</v>
      </c>
      <c r="I3148" s="112" t="s">
        <v>1788</v>
      </c>
      <c r="J3148" s="112" t="s">
        <v>2498</v>
      </c>
      <c r="K3148" s="112" t="s">
        <v>3039</v>
      </c>
      <c r="L3148" s="116">
        <v>-60</v>
      </c>
    </row>
    <row r="3149" spans="1:12" hidden="1" outlineLevel="1" collapsed="1" x14ac:dyDescent="0.35">
      <c r="A3149" s="112" t="s">
        <v>2479</v>
      </c>
      <c r="B3149" s="112" t="s">
        <v>908</v>
      </c>
      <c r="C3149" s="112" t="s">
        <v>679</v>
      </c>
      <c r="D3149" s="113">
        <v>10348375</v>
      </c>
      <c r="E3149" s="115">
        <v>43942</v>
      </c>
      <c r="F3149" s="114">
        <v>202101</v>
      </c>
      <c r="G3149" s="112" t="s">
        <v>1091</v>
      </c>
      <c r="H3149" s="112" t="s">
        <v>1016</v>
      </c>
      <c r="I3149" s="112" t="s">
        <v>819</v>
      </c>
      <c r="J3149" s="112" t="s">
        <v>2501</v>
      </c>
      <c r="K3149" s="112" t="s">
        <v>3040</v>
      </c>
      <c r="L3149" s="116">
        <v>-725</v>
      </c>
    </row>
    <row r="3150" spans="1:12" hidden="1" outlineLevel="1" collapsed="1" x14ac:dyDescent="0.35">
      <c r="A3150" s="112" t="s">
        <v>2479</v>
      </c>
      <c r="B3150" s="112" t="s">
        <v>908</v>
      </c>
      <c r="C3150" s="112" t="s">
        <v>679</v>
      </c>
      <c r="D3150" s="113">
        <v>10348375</v>
      </c>
      <c r="E3150" s="115">
        <v>43942</v>
      </c>
      <c r="F3150" s="114">
        <v>202101</v>
      </c>
      <c r="G3150" s="112" t="s">
        <v>1091</v>
      </c>
      <c r="H3150" s="112" t="s">
        <v>1016</v>
      </c>
      <c r="I3150" s="112" t="s">
        <v>819</v>
      </c>
      <c r="J3150" s="112" t="s">
        <v>2501</v>
      </c>
      <c r="K3150" s="112" t="s">
        <v>3041</v>
      </c>
      <c r="L3150" s="116">
        <v>-255.83</v>
      </c>
    </row>
    <row r="3151" spans="1:12" hidden="1" outlineLevel="1" collapsed="1" x14ac:dyDescent="0.35">
      <c r="A3151" s="112" t="s">
        <v>2479</v>
      </c>
      <c r="B3151" s="112" t="s">
        <v>909</v>
      </c>
      <c r="C3151" s="112" t="s">
        <v>679</v>
      </c>
      <c r="D3151" s="113">
        <v>10348375</v>
      </c>
      <c r="E3151" s="115">
        <v>43942</v>
      </c>
      <c r="F3151" s="114">
        <v>202101</v>
      </c>
      <c r="G3151" s="112" t="s">
        <v>1091</v>
      </c>
      <c r="H3151" s="112" t="s">
        <v>1016</v>
      </c>
      <c r="I3151" s="112" t="s">
        <v>2595</v>
      </c>
      <c r="J3151" s="112" t="s">
        <v>2523</v>
      </c>
      <c r="K3151" s="112" t="s">
        <v>3042</v>
      </c>
      <c r="L3151" s="116">
        <v>-108</v>
      </c>
    </row>
    <row r="3152" spans="1:12" hidden="1" outlineLevel="1" collapsed="1" x14ac:dyDescent="0.35">
      <c r="A3152" s="112" t="s">
        <v>2479</v>
      </c>
      <c r="B3152" s="112" t="s">
        <v>909</v>
      </c>
      <c r="C3152" s="112" t="s">
        <v>1518</v>
      </c>
      <c r="D3152" s="113">
        <v>51366197</v>
      </c>
      <c r="E3152" s="115">
        <v>43948</v>
      </c>
      <c r="F3152" s="114">
        <v>202101</v>
      </c>
      <c r="G3152" s="112" t="s">
        <v>1091</v>
      </c>
      <c r="H3152" s="112" t="s">
        <v>1016</v>
      </c>
      <c r="I3152" s="112" t="s">
        <v>1788</v>
      </c>
      <c r="J3152" s="112" t="s">
        <v>2652</v>
      </c>
      <c r="K3152" s="112" t="s">
        <v>3043</v>
      </c>
      <c r="L3152" s="116">
        <v>-50</v>
      </c>
    </row>
    <row r="3153" spans="1:12" hidden="1" outlineLevel="1" collapsed="1" x14ac:dyDescent="0.35">
      <c r="A3153" s="112" t="s">
        <v>2479</v>
      </c>
      <c r="B3153" s="112" t="s">
        <v>909</v>
      </c>
      <c r="C3153" s="112" t="s">
        <v>679</v>
      </c>
      <c r="D3153" s="113">
        <v>10348375</v>
      </c>
      <c r="E3153" s="115">
        <v>43942</v>
      </c>
      <c r="F3153" s="114">
        <v>202101</v>
      </c>
      <c r="G3153" s="112" t="s">
        <v>1091</v>
      </c>
      <c r="H3153" s="112" t="s">
        <v>1016</v>
      </c>
      <c r="I3153" s="112" t="s">
        <v>2595</v>
      </c>
      <c r="J3153" s="112" t="s">
        <v>2523</v>
      </c>
      <c r="K3153" s="112" t="s">
        <v>3044</v>
      </c>
      <c r="L3153" s="116">
        <v>-108</v>
      </c>
    </row>
    <row r="3154" spans="1:12" hidden="1" outlineLevel="1" collapsed="1" x14ac:dyDescent="0.35">
      <c r="A3154" s="112" t="s">
        <v>2479</v>
      </c>
      <c r="B3154" s="112" t="s">
        <v>908</v>
      </c>
      <c r="C3154" s="112" t="s">
        <v>695</v>
      </c>
      <c r="D3154" s="113">
        <v>10347981</v>
      </c>
      <c r="E3154" s="115">
        <v>43924</v>
      </c>
      <c r="F3154" s="114">
        <v>202101</v>
      </c>
      <c r="G3154" s="112" t="s">
        <v>1091</v>
      </c>
      <c r="H3154" s="112" t="s">
        <v>1015</v>
      </c>
      <c r="I3154" s="112" t="s">
        <v>761</v>
      </c>
      <c r="J3154" s="112" t="s">
        <v>3045</v>
      </c>
      <c r="K3154" s="112" t="s">
        <v>3046</v>
      </c>
      <c r="L3154" s="116">
        <v>-1639.5</v>
      </c>
    </row>
    <row r="3155" spans="1:12" hidden="1" outlineLevel="1" collapsed="1" x14ac:dyDescent="0.35">
      <c r="A3155" s="112" t="s">
        <v>2479</v>
      </c>
      <c r="B3155" s="112" t="s">
        <v>909</v>
      </c>
      <c r="C3155" s="112" t="s">
        <v>1518</v>
      </c>
      <c r="D3155" s="113">
        <v>51366198</v>
      </c>
      <c r="E3155" s="115">
        <v>43948</v>
      </c>
      <c r="F3155" s="114">
        <v>202101</v>
      </c>
      <c r="G3155" s="112" t="s">
        <v>1091</v>
      </c>
      <c r="H3155" s="112" t="s">
        <v>1016</v>
      </c>
      <c r="I3155" s="112" t="s">
        <v>1788</v>
      </c>
      <c r="J3155" s="112" t="s">
        <v>2652</v>
      </c>
      <c r="K3155" s="112" t="s">
        <v>3047</v>
      </c>
      <c r="L3155" s="116">
        <v>-180</v>
      </c>
    </row>
    <row r="3156" spans="1:12" hidden="1" outlineLevel="1" collapsed="1" x14ac:dyDescent="0.35">
      <c r="A3156" s="112" t="s">
        <v>2479</v>
      </c>
      <c r="B3156" s="112" t="s">
        <v>909</v>
      </c>
      <c r="C3156" s="112" t="s">
        <v>1518</v>
      </c>
      <c r="D3156" s="113">
        <v>51366199</v>
      </c>
      <c r="E3156" s="115">
        <v>43948</v>
      </c>
      <c r="F3156" s="114">
        <v>202101</v>
      </c>
      <c r="G3156" s="112" t="s">
        <v>1091</v>
      </c>
      <c r="H3156" s="112" t="s">
        <v>1016</v>
      </c>
      <c r="I3156" s="112" t="s">
        <v>1788</v>
      </c>
      <c r="J3156" s="112" t="s">
        <v>2652</v>
      </c>
      <c r="K3156" s="112" t="s">
        <v>3048</v>
      </c>
      <c r="L3156" s="116">
        <v>-180</v>
      </c>
    </row>
    <row r="3157" spans="1:12" hidden="1" outlineLevel="1" collapsed="1" x14ac:dyDescent="0.35">
      <c r="A3157" s="112" t="s">
        <v>2479</v>
      </c>
      <c r="B3157" s="112" t="s">
        <v>908</v>
      </c>
      <c r="C3157" s="112" t="s">
        <v>695</v>
      </c>
      <c r="D3157" s="113">
        <v>10347981</v>
      </c>
      <c r="E3157" s="115">
        <v>43924</v>
      </c>
      <c r="F3157" s="114">
        <v>202101</v>
      </c>
      <c r="G3157" s="112" t="s">
        <v>1091</v>
      </c>
      <c r="H3157" s="112" t="s">
        <v>1015</v>
      </c>
      <c r="I3157" s="112" t="s">
        <v>761</v>
      </c>
      <c r="J3157" s="112" t="s">
        <v>2484</v>
      </c>
      <c r="K3157" s="112" t="s">
        <v>3049</v>
      </c>
      <c r="L3157" s="116">
        <v>-14</v>
      </c>
    </row>
    <row r="3158" spans="1:12" hidden="1" outlineLevel="1" collapsed="1" x14ac:dyDescent="0.35">
      <c r="A3158" s="112" t="s">
        <v>2479</v>
      </c>
      <c r="B3158" s="112" t="s">
        <v>909</v>
      </c>
      <c r="C3158" s="112" t="s">
        <v>1518</v>
      </c>
      <c r="D3158" s="113">
        <v>51366200</v>
      </c>
      <c r="E3158" s="115">
        <v>43948</v>
      </c>
      <c r="F3158" s="114">
        <v>202101</v>
      </c>
      <c r="G3158" s="112" t="s">
        <v>1091</v>
      </c>
      <c r="H3158" s="112" t="s">
        <v>1016</v>
      </c>
      <c r="I3158" s="112" t="s">
        <v>1788</v>
      </c>
      <c r="J3158" s="112" t="s">
        <v>2652</v>
      </c>
      <c r="K3158" s="112" t="s">
        <v>3050</v>
      </c>
      <c r="L3158" s="116">
        <v>-180</v>
      </c>
    </row>
    <row r="3159" spans="1:12" hidden="1" outlineLevel="1" collapsed="1" x14ac:dyDescent="0.35">
      <c r="A3159" s="112" t="s">
        <v>2479</v>
      </c>
      <c r="B3159" s="112" t="s">
        <v>908</v>
      </c>
      <c r="C3159" s="112" t="s">
        <v>695</v>
      </c>
      <c r="D3159" s="113">
        <v>10347981</v>
      </c>
      <c r="E3159" s="115">
        <v>43924</v>
      </c>
      <c r="F3159" s="114">
        <v>202101</v>
      </c>
      <c r="G3159" s="112" t="s">
        <v>1091</v>
      </c>
      <c r="H3159" s="112" t="s">
        <v>1015</v>
      </c>
      <c r="I3159" s="112" t="s">
        <v>2502</v>
      </c>
      <c r="J3159" s="112" t="s">
        <v>2503</v>
      </c>
      <c r="K3159" s="112" t="s">
        <v>3051</v>
      </c>
      <c r="L3159" s="116">
        <v>-7.07</v>
      </c>
    </row>
    <row r="3160" spans="1:12" hidden="1" outlineLevel="1" collapsed="1" x14ac:dyDescent="0.35">
      <c r="A3160" s="112" t="s">
        <v>2479</v>
      </c>
      <c r="B3160" s="112" t="s">
        <v>908</v>
      </c>
      <c r="C3160" s="112" t="s">
        <v>695</v>
      </c>
      <c r="D3160" s="113">
        <v>10347981</v>
      </c>
      <c r="E3160" s="115">
        <v>43924</v>
      </c>
      <c r="F3160" s="114">
        <v>202101</v>
      </c>
      <c r="G3160" s="112" t="s">
        <v>1091</v>
      </c>
      <c r="H3160" s="112" t="s">
        <v>1015</v>
      </c>
      <c r="I3160" s="112" t="s">
        <v>761</v>
      </c>
      <c r="J3160" s="112" t="s">
        <v>2584</v>
      </c>
      <c r="K3160" s="112" t="s">
        <v>3034</v>
      </c>
      <c r="L3160" s="116">
        <v>-2240</v>
      </c>
    </row>
    <row r="3161" spans="1:12" hidden="1" outlineLevel="1" collapsed="1" x14ac:dyDescent="0.35">
      <c r="A3161" s="112" t="s">
        <v>2479</v>
      </c>
      <c r="B3161" s="112" t="s">
        <v>909</v>
      </c>
      <c r="C3161" s="112" t="s">
        <v>1518</v>
      </c>
      <c r="D3161" s="113">
        <v>51366222</v>
      </c>
      <c r="E3161" s="115">
        <v>43948</v>
      </c>
      <c r="F3161" s="114">
        <v>202101</v>
      </c>
      <c r="G3161" s="112" t="s">
        <v>1091</v>
      </c>
      <c r="H3161" s="112" t="s">
        <v>1016</v>
      </c>
      <c r="I3161" s="112" t="s">
        <v>1788</v>
      </c>
      <c r="J3161" s="112" t="s">
        <v>2652</v>
      </c>
      <c r="K3161" s="112" t="s">
        <v>3052</v>
      </c>
      <c r="L3161" s="116">
        <v>-180</v>
      </c>
    </row>
    <row r="3162" spans="1:12" hidden="1" outlineLevel="1" collapsed="1" x14ac:dyDescent="0.35">
      <c r="A3162" s="112" t="s">
        <v>2479</v>
      </c>
      <c r="B3162" s="112" t="s">
        <v>909</v>
      </c>
      <c r="C3162" s="112" t="s">
        <v>679</v>
      </c>
      <c r="D3162" s="113">
        <v>10348446</v>
      </c>
      <c r="E3162" s="115">
        <v>43945</v>
      </c>
      <c r="F3162" s="114">
        <v>202101</v>
      </c>
      <c r="G3162" s="112" t="s">
        <v>1091</v>
      </c>
      <c r="H3162" s="112" t="s">
        <v>1016</v>
      </c>
      <c r="I3162" s="112" t="s">
        <v>1788</v>
      </c>
      <c r="J3162" s="112" t="s">
        <v>2652</v>
      </c>
      <c r="K3162" s="112" t="s">
        <v>706</v>
      </c>
      <c r="L3162" s="116">
        <v>-23</v>
      </c>
    </row>
    <row r="3163" spans="1:12" hidden="1" outlineLevel="1" collapsed="1" x14ac:dyDescent="0.35">
      <c r="A3163" s="112" t="s">
        <v>2479</v>
      </c>
      <c r="B3163" s="112" t="s">
        <v>908</v>
      </c>
      <c r="C3163" s="112" t="s">
        <v>679</v>
      </c>
      <c r="D3163" s="113">
        <v>10348340</v>
      </c>
      <c r="E3163" s="115">
        <v>43941</v>
      </c>
      <c r="F3163" s="114">
        <v>202101</v>
      </c>
      <c r="G3163" s="112" t="s">
        <v>1091</v>
      </c>
      <c r="H3163" s="112" t="s">
        <v>1016</v>
      </c>
      <c r="I3163" s="112" t="s">
        <v>1788</v>
      </c>
      <c r="J3163" s="112" t="s">
        <v>2498</v>
      </c>
      <c r="K3163" s="112" t="s">
        <v>3053</v>
      </c>
      <c r="L3163" s="116">
        <v>-50</v>
      </c>
    </row>
    <row r="3164" spans="1:12" hidden="1" outlineLevel="1" collapsed="1" x14ac:dyDescent="0.35">
      <c r="A3164" s="112" t="s">
        <v>2479</v>
      </c>
      <c r="B3164" s="112" t="s">
        <v>908</v>
      </c>
      <c r="C3164" s="112" t="s">
        <v>679</v>
      </c>
      <c r="D3164" s="113">
        <v>10348340</v>
      </c>
      <c r="E3164" s="115">
        <v>43941</v>
      </c>
      <c r="F3164" s="114">
        <v>202101</v>
      </c>
      <c r="G3164" s="112" t="s">
        <v>1091</v>
      </c>
      <c r="H3164" s="112" t="s">
        <v>1016</v>
      </c>
      <c r="I3164" s="112" t="s">
        <v>1788</v>
      </c>
      <c r="J3164" s="112" t="s">
        <v>2498</v>
      </c>
      <c r="K3164" s="112" t="s">
        <v>3054</v>
      </c>
      <c r="L3164" s="116">
        <v>-85</v>
      </c>
    </row>
    <row r="3165" spans="1:12" hidden="1" outlineLevel="1" collapsed="1" x14ac:dyDescent="0.35">
      <c r="A3165" s="112" t="s">
        <v>2479</v>
      </c>
      <c r="B3165" s="112" t="s">
        <v>908</v>
      </c>
      <c r="C3165" s="112" t="s">
        <v>679</v>
      </c>
      <c r="D3165" s="113">
        <v>10348340</v>
      </c>
      <c r="E3165" s="115">
        <v>43941</v>
      </c>
      <c r="F3165" s="114">
        <v>202101</v>
      </c>
      <c r="G3165" s="112" t="s">
        <v>1091</v>
      </c>
      <c r="H3165" s="112" t="s">
        <v>1016</v>
      </c>
      <c r="I3165" s="112" t="s">
        <v>1788</v>
      </c>
      <c r="J3165" s="112" t="s">
        <v>2498</v>
      </c>
      <c r="K3165" s="112" t="s">
        <v>3055</v>
      </c>
      <c r="L3165" s="116">
        <v>-85</v>
      </c>
    </row>
    <row r="3166" spans="1:12" hidden="1" outlineLevel="1" collapsed="1" x14ac:dyDescent="0.35">
      <c r="A3166" s="112" t="s">
        <v>2479</v>
      </c>
      <c r="B3166" s="112" t="s">
        <v>909</v>
      </c>
      <c r="C3166" s="112" t="s">
        <v>679</v>
      </c>
      <c r="D3166" s="113">
        <v>10348340</v>
      </c>
      <c r="E3166" s="115">
        <v>43941</v>
      </c>
      <c r="F3166" s="114">
        <v>202101</v>
      </c>
      <c r="G3166" s="112" t="s">
        <v>1091</v>
      </c>
      <c r="H3166" s="112" t="s">
        <v>1016</v>
      </c>
      <c r="I3166" s="112" t="s">
        <v>2654</v>
      </c>
      <c r="J3166" s="112" t="s">
        <v>2523</v>
      </c>
      <c r="K3166" s="112" t="s">
        <v>3056</v>
      </c>
      <c r="L3166" s="116">
        <v>-415</v>
      </c>
    </row>
    <row r="3167" spans="1:12" hidden="1" outlineLevel="1" collapsed="1" x14ac:dyDescent="0.35">
      <c r="A3167" s="112" t="s">
        <v>2479</v>
      </c>
      <c r="B3167" s="112" t="s">
        <v>908</v>
      </c>
      <c r="C3167" s="112" t="s">
        <v>679</v>
      </c>
      <c r="D3167" s="113">
        <v>10348340</v>
      </c>
      <c r="E3167" s="115">
        <v>43941</v>
      </c>
      <c r="F3167" s="114">
        <v>202101</v>
      </c>
      <c r="G3167" s="112" t="s">
        <v>1091</v>
      </c>
      <c r="H3167" s="112" t="s">
        <v>1016</v>
      </c>
      <c r="I3167" s="112" t="s">
        <v>1788</v>
      </c>
      <c r="J3167" s="112" t="s">
        <v>2498</v>
      </c>
      <c r="K3167" s="112" t="s">
        <v>3057</v>
      </c>
      <c r="L3167" s="116">
        <v>-196</v>
      </c>
    </row>
    <row r="3168" spans="1:12" hidden="1" outlineLevel="1" collapsed="1" x14ac:dyDescent="0.35">
      <c r="A3168" s="112" t="s">
        <v>2479</v>
      </c>
      <c r="B3168" s="112" t="s">
        <v>908</v>
      </c>
      <c r="C3168" s="112" t="s">
        <v>679</v>
      </c>
      <c r="D3168" s="113">
        <v>10348340</v>
      </c>
      <c r="E3168" s="115">
        <v>43941</v>
      </c>
      <c r="F3168" s="114">
        <v>202101</v>
      </c>
      <c r="G3168" s="112" t="s">
        <v>1091</v>
      </c>
      <c r="H3168" s="112" t="s">
        <v>1016</v>
      </c>
      <c r="I3168" s="112" t="s">
        <v>1788</v>
      </c>
      <c r="J3168" s="112" t="s">
        <v>2498</v>
      </c>
      <c r="K3168" s="112" t="s">
        <v>3058</v>
      </c>
      <c r="L3168" s="116">
        <v>-60</v>
      </c>
    </row>
    <row r="3169" spans="1:12" hidden="1" outlineLevel="1" collapsed="1" x14ac:dyDescent="0.35">
      <c r="A3169" s="112" t="s">
        <v>2479</v>
      </c>
      <c r="B3169" s="112" t="s">
        <v>908</v>
      </c>
      <c r="C3169" s="112" t="s">
        <v>679</v>
      </c>
      <c r="D3169" s="113">
        <v>10348340</v>
      </c>
      <c r="E3169" s="115">
        <v>43941</v>
      </c>
      <c r="F3169" s="114">
        <v>202101</v>
      </c>
      <c r="G3169" s="112" t="s">
        <v>1091</v>
      </c>
      <c r="H3169" s="112" t="s">
        <v>1016</v>
      </c>
      <c r="I3169" s="112" t="s">
        <v>1788</v>
      </c>
      <c r="J3169" s="112" t="s">
        <v>2498</v>
      </c>
      <c r="K3169" s="112" t="s">
        <v>3059</v>
      </c>
      <c r="L3169" s="116">
        <v>-220</v>
      </c>
    </row>
    <row r="3170" spans="1:12" hidden="1" outlineLevel="1" collapsed="1" x14ac:dyDescent="0.35">
      <c r="A3170" s="112" t="s">
        <v>2479</v>
      </c>
      <c r="B3170" s="112" t="s">
        <v>909</v>
      </c>
      <c r="C3170" s="112" t="s">
        <v>679</v>
      </c>
      <c r="D3170" s="113">
        <v>10348340</v>
      </c>
      <c r="E3170" s="115">
        <v>43941</v>
      </c>
      <c r="F3170" s="114">
        <v>202101</v>
      </c>
      <c r="G3170" s="112" t="s">
        <v>1091</v>
      </c>
      <c r="H3170" s="112" t="s">
        <v>1016</v>
      </c>
      <c r="I3170" s="112" t="s">
        <v>2536</v>
      </c>
      <c r="J3170" s="112" t="s">
        <v>2523</v>
      </c>
      <c r="K3170" s="112" t="s">
        <v>3060</v>
      </c>
      <c r="L3170" s="116">
        <v>-75</v>
      </c>
    </row>
    <row r="3171" spans="1:12" hidden="1" outlineLevel="1" collapsed="1" x14ac:dyDescent="0.35">
      <c r="A3171" s="112" t="s">
        <v>2479</v>
      </c>
      <c r="B3171" s="112" t="s">
        <v>908</v>
      </c>
      <c r="C3171" s="112" t="s">
        <v>679</v>
      </c>
      <c r="D3171" s="113">
        <v>10348340</v>
      </c>
      <c r="E3171" s="115">
        <v>43941</v>
      </c>
      <c r="F3171" s="114">
        <v>202101</v>
      </c>
      <c r="G3171" s="112" t="s">
        <v>1091</v>
      </c>
      <c r="H3171" s="112" t="s">
        <v>1016</v>
      </c>
      <c r="I3171" s="112" t="s">
        <v>1788</v>
      </c>
      <c r="J3171" s="112" t="s">
        <v>2498</v>
      </c>
      <c r="K3171" s="112" t="s">
        <v>3061</v>
      </c>
      <c r="L3171" s="116">
        <v>-60</v>
      </c>
    </row>
    <row r="3172" spans="1:12" hidden="1" outlineLevel="1" collapsed="1" x14ac:dyDescent="0.35">
      <c r="A3172" s="112" t="s">
        <v>2479</v>
      </c>
      <c r="B3172" s="112" t="s">
        <v>908</v>
      </c>
      <c r="C3172" s="112" t="s">
        <v>679</v>
      </c>
      <c r="D3172" s="113">
        <v>10348340</v>
      </c>
      <c r="E3172" s="115">
        <v>43941</v>
      </c>
      <c r="F3172" s="114">
        <v>202101</v>
      </c>
      <c r="G3172" s="112" t="s">
        <v>1091</v>
      </c>
      <c r="H3172" s="112" t="s">
        <v>1016</v>
      </c>
      <c r="I3172" s="112" t="s">
        <v>1788</v>
      </c>
      <c r="J3172" s="112" t="s">
        <v>2498</v>
      </c>
      <c r="K3172" s="112" t="s">
        <v>3062</v>
      </c>
      <c r="L3172" s="116">
        <v>-268</v>
      </c>
    </row>
    <row r="3173" spans="1:12" hidden="1" outlineLevel="1" collapsed="1" x14ac:dyDescent="0.35">
      <c r="A3173" s="112" t="s">
        <v>2479</v>
      </c>
      <c r="B3173" s="112" t="s">
        <v>908</v>
      </c>
      <c r="C3173" s="112" t="s">
        <v>679</v>
      </c>
      <c r="D3173" s="113">
        <v>10348340</v>
      </c>
      <c r="E3173" s="115">
        <v>43941</v>
      </c>
      <c r="F3173" s="114">
        <v>202101</v>
      </c>
      <c r="G3173" s="112" t="s">
        <v>1091</v>
      </c>
      <c r="H3173" s="112" t="s">
        <v>1016</v>
      </c>
      <c r="I3173" s="112" t="s">
        <v>1788</v>
      </c>
      <c r="J3173" s="112" t="s">
        <v>2498</v>
      </c>
      <c r="K3173" s="112" t="s">
        <v>3063</v>
      </c>
      <c r="L3173" s="116">
        <v>-260</v>
      </c>
    </row>
    <row r="3174" spans="1:12" hidden="1" outlineLevel="1" collapsed="1" x14ac:dyDescent="0.35">
      <c r="A3174" s="112" t="s">
        <v>2479</v>
      </c>
      <c r="B3174" s="112" t="s">
        <v>908</v>
      </c>
      <c r="C3174" s="112" t="s">
        <v>679</v>
      </c>
      <c r="D3174" s="113">
        <v>10348340</v>
      </c>
      <c r="E3174" s="115">
        <v>43941</v>
      </c>
      <c r="F3174" s="114">
        <v>202101</v>
      </c>
      <c r="G3174" s="112" t="s">
        <v>1091</v>
      </c>
      <c r="H3174" s="112" t="s">
        <v>1016</v>
      </c>
      <c r="I3174" s="112" t="s">
        <v>1788</v>
      </c>
      <c r="J3174" s="112" t="s">
        <v>2498</v>
      </c>
      <c r="K3174" s="112" t="s">
        <v>2599</v>
      </c>
      <c r="L3174" s="116">
        <v>-6</v>
      </c>
    </row>
    <row r="3175" spans="1:12" hidden="1" outlineLevel="1" collapsed="1" x14ac:dyDescent="0.35">
      <c r="A3175" s="112" t="s">
        <v>2479</v>
      </c>
      <c r="B3175" s="112" t="s">
        <v>908</v>
      </c>
      <c r="C3175" s="112" t="s">
        <v>679</v>
      </c>
      <c r="D3175" s="113">
        <v>10348340</v>
      </c>
      <c r="E3175" s="115">
        <v>43941</v>
      </c>
      <c r="F3175" s="114">
        <v>202101</v>
      </c>
      <c r="G3175" s="112" t="s">
        <v>1091</v>
      </c>
      <c r="H3175" s="112" t="s">
        <v>1016</v>
      </c>
      <c r="I3175" s="112" t="s">
        <v>1788</v>
      </c>
      <c r="J3175" s="112" t="s">
        <v>2498</v>
      </c>
      <c r="K3175" s="112" t="s">
        <v>3064</v>
      </c>
      <c r="L3175" s="116">
        <v>-284</v>
      </c>
    </row>
    <row r="3176" spans="1:12" hidden="1" outlineLevel="1" collapsed="1" x14ac:dyDescent="0.35">
      <c r="A3176" s="112" t="s">
        <v>2479</v>
      </c>
      <c r="B3176" s="112" t="s">
        <v>908</v>
      </c>
      <c r="C3176" s="112" t="s">
        <v>679</v>
      </c>
      <c r="D3176" s="113">
        <v>10348340</v>
      </c>
      <c r="E3176" s="115">
        <v>43941</v>
      </c>
      <c r="F3176" s="114">
        <v>202101</v>
      </c>
      <c r="G3176" s="112" t="s">
        <v>1091</v>
      </c>
      <c r="H3176" s="112" t="s">
        <v>1016</v>
      </c>
      <c r="I3176" s="112" t="s">
        <v>1788</v>
      </c>
      <c r="J3176" s="112" t="s">
        <v>2498</v>
      </c>
      <c r="K3176" s="112" t="s">
        <v>3065</v>
      </c>
      <c r="L3176" s="116">
        <v>-205</v>
      </c>
    </row>
    <row r="3177" spans="1:12" hidden="1" outlineLevel="1" collapsed="1" x14ac:dyDescent="0.35">
      <c r="A3177" s="112" t="s">
        <v>2479</v>
      </c>
      <c r="B3177" s="112" t="s">
        <v>908</v>
      </c>
      <c r="C3177" s="112" t="s">
        <v>679</v>
      </c>
      <c r="D3177" s="113">
        <v>10348340</v>
      </c>
      <c r="E3177" s="115">
        <v>43941</v>
      </c>
      <c r="F3177" s="114">
        <v>202101</v>
      </c>
      <c r="G3177" s="112" t="s">
        <v>1091</v>
      </c>
      <c r="H3177" s="112" t="s">
        <v>1016</v>
      </c>
      <c r="I3177" s="112" t="s">
        <v>1788</v>
      </c>
      <c r="J3177" s="112" t="s">
        <v>2498</v>
      </c>
      <c r="K3177" s="112" t="s">
        <v>3066</v>
      </c>
      <c r="L3177" s="116">
        <v>-190</v>
      </c>
    </row>
    <row r="3178" spans="1:12" hidden="1" outlineLevel="1" collapsed="1" x14ac:dyDescent="0.35">
      <c r="A3178" s="112" t="s">
        <v>2479</v>
      </c>
      <c r="B3178" s="112" t="s">
        <v>909</v>
      </c>
      <c r="C3178" s="112" t="s">
        <v>679</v>
      </c>
      <c r="D3178" s="113">
        <v>10348340</v>
      </c>
      <c r="E3178" s="115">
        <v>43941</v>
      </c>
      <c r="F3178" s="114">
        <v>202101</v>
      </c>
      <c r="G3178" s="112" t="s">
        <v>1091</v>
      </c>
      <c r="H3178" s="112" t="s">
        <v>1016</v>
      </c>
      <c r="I3178" s="112" t="s">
        <v>2654</v>
      </c>
      <c r="J3178" s="112" t="s">
        <v>2523</v>
      </c>
      <c r="K3178" s="112" t="s">
        <v>3067</v>
      </c>
      <c r="L3178" s="116">
        <v>-530</v>
      </c>
    </row>
    <row r="3179" spans="1:12" hidden="1" outlineLevel="1" collapsed="1" x14ac:dyDescent="0.35">
      <c r="A3179" s="112" t="s">
        <v>2479</v>
      </c>
      <c r="B3179" s="112" t="s">
        <v>908</v>
      </c>
      <c r="C3179" s="112" t="s">
        <v>679</v>
      </c>
      <c r="D3179" s="113">
        <v>10348340</v>
      </c>
      <c r="E3179" s="115">
        <v>43941</v>
      </c>
      <c r="F3179" s="114">
        <v>202101</v>
      </c>
      <c r="G3179" s="112" t="s">
        <v>1091</v>
      </c>
      <c r="H3179" s="112" t="s">
        <v>1016</v>
      </c>
      <c r="I3179" s="112" t="s">
        <v>1788</v>
      </c>
      <c r="J3179" s="112" t="s">
        <v>2498</v>
      </c>
      <c r="K3179" s="112" t="s">
        <v>3068</v>
      </c>
      <c r="L3179" s="116">
        <v>-190</v>
      </c>
    </row>
    <row r="3180" spans="1:12" hidden="1" outlineLevel="1" collapsed="1" x14ac:dyDescent="0.35">
      <c r="A3180" s="112" t="s">
        <v>2479</v>
      </c>
      <c r="B3180" s="112" t="s">
        <v>908</v>
      </c>
      <c r="C3180" s="112" t="s">
        <v>679</v>
      </c>
      <c r="D3180" s="113">
        <v>10348340</v>
      </c>
      <c r="E3180" s="115">
        <v>43941</v>
      </c>
      <c r="F3180" s="114">
        <v>202101</v>
      </c>
      <c r="G3180" s="112" t="s">
        <v>1091</v>
      </c>
      <c r="H3180" s="112" t="s">
        <v>1016</v>
      </c>
      <c r="I3180" s="112" t="s">
        <v>1788</v>
      </c>
      <c r="J3180" s="112" t="s">
        <v>2498</v>
      </c>
      <c r="K3180" s="112" t="s">
        <v>3069</v>
      </c>
      <c r="L3180" s="116">
        <v>-85</v>
      </c>
    </row>
    <row r="3181" spans="1:12" hidden="1" outlineLevel="1" collapsed="1" x14ac:dyDescent="0.35">
      <c r="A3181" s="112" t="s">
        <v>2479</v>
      </c>
      <c r="B3181" s="112" t="s">
        <v>908</v>
      </c>
      <c r="C3181" s="112" t="s">
        <v>679</v>
      </c>
      <c r="D3181" s="113">
        <v>10348340</v>
      </c>
      <c r="E3181" s="115">
        <v>43941</v>
      </c>
      <c r="F3181" s="114">
        <v>202101</v>
      </c>
      <c r="G3181" s="112" t="s">
        <v>1091</v>
      </c>
      <c r="H3181" s="112" t="s">
        <v>1016</v>
      </c>
      <c r="I3181" s="112" t="s">
        <v>1788</v>
      </c>
      <c r="J3181" s="112" t="s">
        <v>2498</v>
      </c>
      <c r="K3181" s="112" t="s">
        <v>3070</v>
      </c>
      <c r="L3181" s="116">
        <v>-50</v>
      </c>
    </row>
    <row r="3182" spans="1:12" hidden="1" outlineLevel="1" collapsed="1" x14ac:dyDescent="0.35">
      <c r="A3182" s="112" t="s">
        <v>2479</v>
      </c>
      <c r="B3182" s="112" t="s">
        <v>908</v>
      </c>
      <c r="C3182" s="112" t="s">
        <v>679</v>
      </c>
      <c r="D3182" s="113">
        <v>10348340</v>
      </c>
      <c r="E3182" s="115">
        <v>43941</v>
      </c>
      <c r="F3182" s="114">
        <v>202101</v>
      </c>
      <c r="G3182" s="112" t="s">
        <v>1091</v>
      </c>
      <c r="H3182" s="112" t="s">
        <v>1016</v>
      </c>
      <c r="I3182" s="112" t="s">
        <v>1788</v>
      </c>
      <c r="J3182" s="112" t="s">
        <v>2498</v>
      </c>
      <c r="K3182" s="112" t="s">
        <v>3071</v>
      </c>
      <c r="L3182" s="116">
        <v>-60</v>
      </c>
    </row>
    <row r="3183" spans="1:12" hidden="1" outlineLevel="1" collapsed="1" x14ac:dyDescent="0.35">
      <c r="A3183" s="112" t="s">
        <v>2479</v>
      </c>
      <c r="B3183" s="112" t="s">
        <v>908</v>
      </c>
      <c r="C3183" s="112" t="s">
        <v>679</v>
      </c>
      <c r="D3183" s="113">
        <v>10348340</v>
      </c>
      <c r="E3183" s="115">
        <v>43941</v>
      </c>
      <c r="F3183" s="114">
        <v>202101</v>
      </c>
      <c r="G3183" s="112" t="s">
        <v>1091</v>
      </c>
      <c r="H3183" s="112" t="s">
        <v>1016</v>
      </c>
      <c r="I3183" s="112" t="s">
        <v>1788</v>
      </c>
      <c r="J3183" s="112" t="s">
        <v>2498</v>
      </c>
      <c r="K3183" s="112" t="s">
        <v>3072</v>
      </c>
      <c r="L3183" s="116">
        <v>-85</v>
      </c>
    </row>
    <row r="3184" spans="1:12" hidden="1" outlineLevel="1" collapsed="1" x14ac:dyDescent="0.35">
      <c r="A3184" s="112" t="s">
        <v>2479</v>
      </c>
      <c r="B3184" s="112" t="s">
        <v>908</v>
      </c>
      <c r="C3184" s="112" t="s">
        <v>679</v>
      </c>
      <c r="D3184" s="113">
        <v>10348340</v>
      </c>
      <c r="E3184" s="115">
        <v>43941</v>
      </c>
      <c r="F3184" s="114">
        <v>202101</v>
      </c>
      <c r="G3184" s="112" t="s">
        <v>1091</v>
      </c>
      <c r="H3184" s="112" t="s">
        <v>1016</v>
      </c>
      <c r="I3184" s="112" t="s">
        <v>1788</v>
      </c>
      <c r="J3184" s="112" t="s">
        <v>2498</v>
      </c>
      <c r="K3184" s="112" t="s">
        <v>3073</v>
      </c>
      <c r="L3184" s="116">
        <v>-85</v>
      </c>
    </row>
    <row r="3185" spans="1:12" hidden="1" outlineLevel="1" collapsed="1" x14ac:dyDescent="0.35">
      <c r="A3185" s="112" t="s">
        <v>2479</v>
      </c>
      <c r="B3185" s="112" t="s">
        <v>909</v>
      </c>
      <c r="C3185" s="112" t="s">
        <v>679</v>
      </c>
      <c r="D3185" s="113">
        <v>10348340</v>
      </c>
      <c r="E3185" s="115">
        <v>43941</v>
      </c>
      <c r="F3185" s="114">
        <v>202101</v>
      </c>
      <c r="G3185" s="112" t="s">
        <v>1091</v>
      </c>
      <c r="H3185" s="112" t="s">
        <v>1016</v>
      </c>
      <c r="I3185" s="112" t="s">
        <v>2595</v>
      </c>
      <c r="J3185" s="112" t="s">
        <v>2523</v>
      </c>
      <c r="K3185" s="112" t="s">
        <v>3074</v>
      </c>
      <c r="L3185" s="116">
        <v>-310</v>
      </c>
    </row>
    <row r="3186" spans="1:12" hidden="1" outlineLevel="1" collapsed="1" x14ac:dyDescent="0.35">
      <c r="A3186" s="112" t="s">
        <v>2479</v>
      </c>
      <c r="B3186" s="112" t="s">
        <v>909</v>
      </c>
      <c r="C3186" s="112" t="s">
        <v>679</v>
      </c>
      <c r="D3186" s="113">
        <v>10348340</v>
      </c>
      <c r="E3186" s="115">
        <v>43941</v>
      </c>
      <c r="F3186" s="114">
        <v>202101</v>
      </c>
      <c r="G3186" s="112" t="s">
        <v>1091</v>
      </c>
      <c r="H3186" s="112" t="s">
        <v>1016</v>
      </c>
      <c r="I3186" s="112" t="s">
        <v>2536</v>
      </c>
      <c r="J3186" s="112" t="s">
        <v>2523</v>
      </c>
      <c r="K3186" s="112" t="s">
        <v>3075</v>
      </c>
      <c r="L3186" s="116">
        <v>-277</v>
      </c>
    </row>
    <row r="3187" spans="1:12" hidden="1" outlineLevel="1" collapsed="1" x14ac:dyDescent="0.35">
      <c r="A3187" s="112" t="s">
        <v>2479</v>
      </c>
      <c r="B3187" s="112" t="s">
        <v>908</v>
      </c>
      <c r="C3187" s="112" t="s">
        <v>679</v>
      </c>
      <c r="D3187" s="113">
        <v>10348340</v>
      </c>
      <c r="E3187" s="115">
        <v>43941</v>
      </c>
      <c r="F3187" s="114">
        <v>202101</v>
      </c>
      <c r="G3187" s="112" t="s">
        <v>1091</v>
      </c>
      <c r="H3187" s="112" t="s">
        <v>1016</v>
      </c>
      <c r="I3187" s="112" t="s">
        <v>1788</v>
      </c>
      <c r="J3187" s="112" t="s">
        <v>2498</v>
      </c>
      <c r="K3187" s="112" t="s">
        <v>3076</v>
      </c>
      <c r="L3187" s="116">
        <v>-85</v>
      </c>
    </row>
    <row r="3188" spans="1:12" hidden="1" outlineLevel="1" collapsed="1" x14ac:dyDescent="0.35">
      <c r="A3188" s="112" t="s">
        <v>2479</v>
      </c>
      <c r="B3188" s="112" t="s">
        <v>908</v>
      </c>
      <c r="C3188" s="112" t="s">
        <v>679</v>
      </c>
      <c r="D3188" s="113">
        <v>10348297</v>
      </c>
      <c r="E3188" s="115">
        <v>43938</v>
      </c>
      <c r="F3188" s="114">
        <v>202101</v>
      </c>
      <c r="G3188" s="112" t="s">
        <v>1091</v>
      </c>
      <c r="H3188" s="112" t="s">
        <v>1016</v>
      </c>
      <c r="I3188" s="112" t="s">
        <v>819</v>
      </c>
      <c r="J3188" s="112" t="s">
        <v>2501</v>
      </c>
      <c r="K3188" s="112" t="s">
        <v>3077</v>
      </c>
      <c r="L3188" s="116">
        <v>-429.17</v>
      </c>
    </row>
    <row r="3189" spans="1:12" hidden="1" outlineLevel="1" collapsed="1" x14ac:dyDescent="0.35">
      <c r="A3189" s="112" t="s">
        <v>2479</v>
      </c>
      <c r="B3189" s="112" t="s">
        <v>908</v>
      </c>
      <c r="C3189" s="112" t="s">
        <v>679</v>
      </c>
      <c r="D3189" s="113">
        <v>10348297</v>
      </c>
      <c r="E3189" s="115">
        <v>43938</v>
      </c>
      <c r="F3189" s="114">
        <v>202101</v>
      </c>
      <c r="G3189" s="112" t="s">
        <v>1091</v>
      </c>
      <c r="H3189" s="112" t="s">
        <v>1016</v>
      </c>
      <c r="I3189" s="112" t="s">
        <v>819</v>
      </c>
      <c r="J3189" s="112" t="s">
        <v>2501</v>
      </c>
      <c r="K3189" s="112" t="s">
        <v>3078</v>
      </c>
      <c r="L3189" s="116">
        <v>-608.33000000000004</v>
      </c>
    </row>
    <row r="3190" spans="1:12" hidden="1" outlineLevel="1" collapsed="1" x14ac:dyDescent="0.35">
      <c r="A3190" s="112" t="s">
        <v>2479</v>
      </c>
      <c r="B3190" s="112" t="s">
        <v>909</v>
      </c>
      <c r="C3190" s="112" t="s">
        <v>1758</v>
      </c>
      <c r="D3190" s="113">
        <v>51365638</v>
      </c>
      <c r="E3190" s="115">
        <v>43922</v>
      </c>
      <c r="F3190" s="114">
        <v>202101</v>
      </c>
      <c r="G3190" s="112" t="s">
        <v>1091</v>
      </c>
      <c r="H3190" s="112" t="s">
        <v>1016</v>
      </c>
      <c r="I3190" s="112" t="s">
        <v>1788</v>
      </c>
      <c r="J3190" s="112" t="s">
        <v>2652</v>
      </c>
      <c r="K3190" s="112" t="s">
        <v>3079</v>
      </c>
      <c r="L3190" s="116">
        <v>180</v>
      </c>
    </row>
    <row r="3191" spans="1:12" hidden="1" outlineLevel="1" collapsed="1" x14ac:dyDescent="0.35">
      <c r="A3191" s="112" t="s">
        <v>2479</v>
      </c>
      <c r="B3191" s="112" t="s">
        <v>909</v>
      </c>
      <c r="C3191" s="112" t="s">
        <v>1518</v>
      </c>
      <c r="D3191" s="113">
        <v>51366228</v>
      </c>
      <c r="E3191" s="115">
        <v>43948</v>
      </c>
      <c r="F3191" s="114">
        <v>202101</v>
      </c>
      <c r="G3191" s="112" t="s">
        <v>1091</v>
      </c>
      <c r="H3191" s="112" t="s">
        <v>1016</v>
      </c>
      <c r="I3191" s="112" t="s">
        <v>1788</v>
      </c>
      <c r="J3191" s="112" t="s">
        <v>2652</v>
      </c>
      <c r="K3191" s="112" t="s">
        <v>3080</v>
      </c>
      <c r="L3191" s="116">
        <v>-50</v>
      </c>
    </row>
    <row r="3192" spans="1:12" hidden="1" outlineLevel="1" collapsed="1" x14ac:dyDescent="0.35">
      <c r="A3192" s="112" t="s">
        <v>2479</v>
      </c>
      <c r="B3192" s="112" t="s">
        <v>909</v>
      </c>
      <c r="C3192" s="112" t="s">
        <v>1518</v>
      </c>
      <c r="D3192" s="113">
        <v>51366227</v>
      </c>
      <c r="E3192" s="115">
        <v>43948</v>
      </c>
      <c r="F3192" s="114">
        <v>202101</v>
      </c>
      <c r="G3192" s="112" t="s">
        <v>1091</v>
      </c>
      <c r="H3192" s="112" t="s">
        <v>1016</v>
      </c>
      <c r="I3192" s="112" t="s">
        <v>1788</v>
      </c>
      <c r="J3192" s="112" t="s">
        <v>2652</v>
      </c>
      <c r="K3192" s="112" t="s">
        <v>3081</v>
      </c>
      <c r="L3192" s="116">
        <v>-180</v>
      </c>
    </row>
    <row r="3193" spans="1:12" hidden="1" outlineLevel="1" collapsed="1" x14ac:dyDescent="0.35">
      <c r="A3193" s="112" t="s">
        <v>2479</v>
      </c>
      <c r="B3193" s="112" t="s">
        <v>908</v>
      </c>
      <c r="C3193" s="112" t="s">
        <v>1099</v>
      </c>
      <c r="D3193" s="113">
        <v>1069466</v>
      </c>
      <c r="E3193" s="115">
        <v>43925</v>
      </c>
      <c r="F3193" s="114">
        <v>202101</v>
      </c>
      <c r="G3193" s="112" t="s">
        <v>1091</v>
      </c>
      <c r="H3193" s="112" t="s">
        <v>1015</v>
      </c>
      <c r="I3193" s="112" t="s">
        <v>763</v>
      </c>
      <c r="J3193" s="112" t="s">
        <v>2520</v>
      </c>
      <c r="K3193" s="112" t="s">
        <v>3082</v>
      </c>
      <c r="L3193" s="116">
        <v>114.37</v>
      </c>
    </row>
    <row r="3194" spans="1:12" hidden="1" outlineLevel="1" collapsed="1" x14ac:dyDescent="0.35">
      <c r="A3194" s="112" t="s">
        <v>2479</v>
      </c>
      <c r="B3194" s="112" t="s">
        <v>909</v>
      </c>
      <c r="C3194" s="112" t="s">
        <v>679</v>
      </c>
      <c r="D3194" s="113">
        <v>10348297</v>
      </c>
      <c r="E3194" s="115">
        <v>43938</v>
      </c>
      <c r="F3194" s="114">
        <v>202101</v>
      </c>
      <c r="G3194" s="112" t="s">
        <v>1091</v>
      </c>
      <c r="H3194" s="112" t="s">
        <v>1016</v>
      </c>
      <c r="I3194" s="112" t="s">
        <v>2522</v>
      </c>
      <c r="J3194" s="112" t="s">
        <v>2523</v>
      </c>
      <c r="K3194" s="112" t="s">
        <v>3083</v>
      </c>
      <c r="L3194" s="116">
        <v>-108</v>
      </c>
    </row>
    <row r="3195" spans="1:12" hidden="1" outlineLevel="1" collapsed="1" x14ac:dyDescent="0.35">
      <c r="A3195" s="112" t="s">
        <v>2479</v>
      </c>
      <c r="B3195" s="112" t="s">
        <v>908</v>
      </c>
      <c r="C3195" s="112" t="s">
        <v>679</v>
      </c>
      <c r="D3195" s="113">
        <v>10348297</v>
      </c>
      <c r="E3195" s="115">
        <v>43938</v>
      </c>
      <c r="F3195" s="114">
        <v>202101</v>
      </c>
      <c r="G3195" s="112" t="s">
        <v>1091</v>
      </c>
      <c r="H3195" s="112" t="s">
        <v>1016</v>
      </c>
      <c r="I3195" s="112" t="s">
        <v>1788</v>
      </c>
      <c r="J3195" s="112" t="s">
        <v>2498</v>
      </c>
      <c r="K3195" s="112" t="s">
        <v>3084</v>
      </c>
      <c r="L3195" s="116">
        <v>-60</v>
      </c>
    </row>
    <row r="3196" spans="1:12" hidden="1" outlineLevel="1" collapsed="1" x14ac:dyDescent="0.35">
      <c r="A3196" s="112" t="s">
        <v>2479</v>
      </c>
      <c r="B3196" s="112" t="s">
        <v>908</v>
      </c>
      <c r="C3196" s="112" t="s">
        <v>679</v>
      </c>
      <c r="D3196" s="113">
        <v>10348297</v>
      </c>
      <c r="E3196" s="115">
        <v>43938</v>
      </c>
      <c r="F3196" s="114">
        <v>202101</v>
      </c>
      <c r="G3196" s="112" t="s">
        <v>1091</v>
      </c>
      <c r="H3196" s="112" t="s">
        <v>1016</v>
      </c>
      <c r="I3196" s="112" t="s">
        <v>1788</v>
      </c>
      <c r="J3196" s="112" t="s">
        <v>2498</v>
      </c>
      <c r="K3196" s="112" t="s">
        <v>3085</v>
      </c>
      <c r="L3196" s="116">
        <v>-205</v>
      </c>
    </row>
    <row r="3197" spans="1:12" hidden="1" outlineLevel="1" collapsed="1" x14ac:dyDescent="0.35">
      <c r="A3197" s="112" t="s">
        <v>2479</v>
      </c>
      <c r="B3197" s="112" t="s">
        <v>908</v>
      </c>
      <c r="C3197" s="112" t="s">
        <v>679</v>
      </c>
      <c r="D3197" s="113">
        <v>10348297</v>
      </c>
      <c r="E3197" s="115">
        <v>43938</v>
      </c>
      <c r="F3197" s="114">
        <v>202101</v>
      </c>
      <c r="G3197" s="112" t="s">
        <v>1091</v>
      </c>
      <c r="H3197" s="112" t="s">
        <v>1016</v>
      </c>
      <c r="I3197" s="112" t="s">
        <v>1788</v>
      </c>
      <c r="J3197" s="112" t="s">
        <v>2498</v>
      </c>
      <c r="K3197" s="112" t="s">
        <v>3086</v>
      </c>
      <c r="L3197" s="116">
        <v>-1100</v>
      </c>
    </row>
    <row r="3198" spans="1:12" hidden="1" outlineLevel="1" collapsed="1" x14ac:dyDescent="0.35">
      <c r="A3198" s="112" t="s">
        <v>2479</v>
      </c>
      <c r="B3198" s="112" t="s">
        <v>908</v>
      </c>
      <c r="C3198" s="112" t="s">
        <v>679</v>
      </c>
      <c r="D3198" s="113">
        <v>10348340</v>
      </c>
      <c r="E3198" s="115">
        <v>43941</v>
      </c>
      <c r="F3198" s="114">
        <v>202101</v>
      </c>
      <c r="G3198" s="112" t="s">
        <v>1091</v>
      </c>
      <c r="H3198" s="112" t="s">
        <v>1016</v>
      </c>
      <c r="I3198" s="112" t="s">
        <v>1788</v>
      </c>
      <c r="J3198" s="112" t="s">
        <v>2498</v>
      </c>
      <c r="K3198" s="112" t="s">
        <v>3087</v>
      </c>
      <c r="L3198" s="116">
        <v>-196</v>
      </c>
    </row>
    <row r="3199" spans="1:12" hidden="1" outlineLevel="1" collapsed="1" x14ac:dyDescent="0.35">
      <c r="A3199" s="112" t="s">
        <v>2479</v>
      </c>
      <c r="B3199" s="112" t="s">
        <v>908</v>
      </c>
      <c r="C3199" s="112" t="s">
        <v>695</v>
      </c>
      <c r="D3199" s="113">
        <v>10348126</v>
      </c>
      <c r="E3199" s="115">
        <v>43565</v>
      </c>
      <c r="F3199" s="114">
        <v>202101</v>
      </c>
      <c r="G3199" s="112" t="s">
        <v>1091</v>
      </c>
      <c r="H3199" s="112" t="s">
        <v>1015</v>
      </c>
      <c r="I3199" s="112" t="s">
        <v>1264</v>
      </c>
      <c r="J3199" s="112" t="s">
        <v>2484</v>
      </c>
      <c r="K3199" s="112" t="s">
        <v>3088</v>
      </c>
      <c r="L3199" s="116">
        <v>1400</v>
      </c>
    </row>
    <row r="3200" spans="1:12" hidden="1" outlineLevel="1" collapsed="1" x14ac:dyDescent="0.35">
      <c r="A3200" s="112" t="s">
        <v>2479</v>
      </c>
      <c r="B3200" s="112" t="s">
        <v>909</v>
      </c>
      <c r="C3200" s="112" t="s">
        <v>679</v>
      </c>
      <c r="D3200" s="113">
        <v>10348340</v>
      </c>
      <c r="E3200" s="115">
        <v>43941</v>
      </c>
      <c r="F3200" s="114">
        <v>202101</v>
      </c>
      <c r="G3200" s="112" t="s">
        <v>1091</v>
      </c>
      <c r="H3200" s="112" t="s">
        <v>1016</v>
      </c>
      <c r="I3200" s="112" t="s">
        <v>1788</v>
      </c>
      <c r="J3200" s="112" t="s">
        <v>2652</v>
      </c>
      <c r="K3200" s="112" t="s">
        <v>3089</v>
      </c>
      <c r="L3200" s="116">
        <v>-10.5</v>
      </c>
    </row>
    <row r="3201" spans="1:12" hidden="1" outlineLevel="1" collapsed="1" x14ac:dyDescent="0.35">
      <c r="A3201" s="112" t="s">
        <v>2479</v>
      </c>
      <c r="B3201" s="112" t="s">
        <v>908</v>
      </c>
      <c r="C3201" s="112" t="s">
        <v>695</v>
      </c>
      <c r="D3201" s="113">
        <v>10347981</v>
      </c>
      <c r="E3201" s="115">
        <v>43924</v>
      </c>
      <c r="F3201" s="114">
        <v>202101</v>
      </c>
      <c r="G3201" s="112" t="s">
        <v>1091</v>
      </c>
      <c r="H3201" s="112" t="s">
        <v>1015</v>
      </c>
      <c r="I3201" s="112" t="s">
        <v>2997</v>
      </c>
      <c r="J3201" s="112" t="s">
        <v>2520</v>
      </c>
      <c r="K3201" s="112" t="s">
        <v>3090</v>
      </c>
      <c r="L3201" s="116">
        <v>-20</v>
      </c>
    </row>
    <row r="3202" spans="1:12" hidden="1" outlineLevel="1" collapsed="1" x14ac:dyDescent="0.35">
      <c r="A3202" s="112" t="s">
        <v>2479</v>
      </c>
      <c r="B3202" s="112" t="s">
        <v>909</v>
      </c>
      <c r="C3202" s="112" t="s">
        <v>1518</v>
      </c>
      <c r="D3202" s="113">
        <v>51366225</v>
      </c>
      <c r="E3202" s="115">
        <v>43948</v>
      </c>
      <c r="F3202" s="114">
        <v>202101</v>
      </c>
      <c r="G3202" s="112" t="s">
        <v>1091</v>
      </c>
      <c r="H3202" s="112" t="s">
        <v>1016</v>
      </c>
      <c r="I3202" s="112" t="s">
        <v>1788</v>
      </c>
      <c r="J3202" s="112" t="s">
        <v>2652</v>
      </c>
      <c r="K3202" s="112" t="s">
        <v>3091</v>
      </c>
      <c r="L3202" s="116">
        <v>-295</v>
      </c>
    </row>
    <row r="3203" spans="1:12" hidden="1" outlineLevel="1" collapsed="1" x14ac:dyDescent="0.35">
      <c r="A3203" s="112" t="s">
        <v>2479</v>
      </c>
      <c r="B3203" s="112" t="s">
        <v>909</v>
      </c>
      <c r="C3203" s="112" t="s">
        <v>1518</v>
      </c>
      <c r="D3203" s="113">
        <v>51366226</v>
      </c>
      <c r="E3203" s="115">
        <v>43948</v>
      </c>
      <c r="F3203" s="114">
        <v>202101</v>
      </c>
      <c r="G3203" s="112" t="s">
        <v>1091</v>
      </c>
      <c r="H3203" s="112" t="s">
        <v>1016</v>
      </c>
      <c r="I3203" s="112" t="s">
        <v>1788</v>
      </c>
      <c r="J3203" s="112" t="s">
        <v>2652</v>
      </c>
      <c r="K3203" s="112" t="s">
        <v>3092</v>
      </c>
      <c r="L3203" s="116">
        <v>-70</v>
      </c>
    </row>
    <row r="3204" spans="1:12" hidden="1" outlineLevel="1" collapsed="1" x14ac:dyDescent="0.35">
      <c r="A3204" s="112" t="s">
        <v>2479</v>
      </c>
      <c r="B3204" s="112" t="s">
        <v>908</v>
      </c>
      <c r="C3204" s="112" t="s">
        <v>679</v>
      </c>
      <c r="D3204" s="113">
        <v>10348375</v>
      </c>
      <c r="E3204" s="115">
        <v>43942</v>
      </c>
      <c r="F3204" s="114">
        <v>202101</v>
      </c>
      <c r="G3204" s="112" t="s">
        <v>1091</v>
      </c>
      <c r="H3204" s="112" t="s">
        <v>1016</v>
      </c>
      <c r="I3204" s="112" t="s">
        <v>1788</v>
      </c>
      <c r="J3204" s="112" t="s">
        <v>2498</v>
      </c>
      <c r="K3204" s="112" t="s">
        <v>3093</v>
      </c>
      <c r="L3204" s="116">
        <v>-60</v>
      </c>
    </row>
    <row r="3205" spans="1:12" hidden="1" outlineLevel="1" collapsed="1" x14ac:dyDescent="0.35">
      <c r="A3205" s="112" t="s">
        <v>2479</v>
      </c>
      <c r="B3205" s="112" t="s">
        <v>908</v>
      </c>
      <c r="C3205" s="112" t="s">
        <v>2482</v>
      </c>
      <c r="D3205" s="113">
        <v>10348555</v>
      </c>
      <c r="E3205" s="115">
        <v>43948</v>
      </c>
      <c r="F3205" s="114">
        <v>202101</v>
      </c>
      <c r="G3205" s="112" t="s">
        <v>1091</v>
      </c>
      <c r="H3205" s="112" t="s">
        <v>1016</v>
      </c>
      <c r="I3205" s="112" t="s">
        <v>2483</v>
      </c>
      <c r="J3205" s="112" t="s">
        <v>2484</v>
      </c>
      <c r="K3205" s="112" t="s">
        <v>3094</v>
      </c>
      <c r="L3205" s="116">
        <v>-10</v>
      </c>
    </row>
    <row r="3206" spans="1:12" hidden="1" outlineLevel="1" collapsed="1" x14ac:dyDescent="0.35">
      <c r="A3206" s="112" t="s">
        <v>2479</v>
      </c>
      <c r="B3206" s="112" t="s">
        <v>908</v>
      </c>
      <c r="C3206" s="112" t="s">
        <v>679</v>
      </c>
      <c r="D3206" s="113">
        <v>10348375</v>
      </c>
      <c r="E3206" s="115">
        <v>43942</v>
      </c>
      <c r="F3206" s="114">
        <v>202101</v>
      </c>
      <c r="G3206" s="112" t="s">
        <v>1091</v>
      </c>
      <c r="H3206" s="112" t="s">
        <v>1016</v>
      </c>
      <c r="I3206" s="112" t="s">
        <v>1788</v>
      </c>
      <c r="J3206" s="112" t="s">
        <v>2498</v>
      </c>
      <c r="K3206" s="112" t="s">
        <v>3095</v>
      </c>
      <c r="L3206" s="116">
        <v>-60</v>
      </c>
    </row>
    <row r="3207" spans="1:12" hidden="1" outlineLevel="1" collapsed="1" x14ac:dyDescent="0.35">
      <c r="A3207" s="112" t="s">
        <v>2479</v>
      </c>
      <c r="B3207" s="112" t="s">
        <v>908</v>
      </c>
      <c r="C3207" s="112" t="s">
        <v>679</v>
      </c>
      <c r="D3207" s="113">
        <v>10348375</v>
      </c>
      <c r="E3207" s="115">
        <v>43942</v>
      </c>
      <c r="F3207" s="114">
        <v>202101</v>
      </c>
      <c r="G3207" s="112" t="s">
        <v>1091</v>
      </c>
      <c r="H3207" s="112" t="s">
        <v>1016</v>
      </c>
      <c r="I3207" s="112" t="s">
        <v>1788</v>
      </c>
      <c r="J3207" s="112" t="s">
        <v>2498</v>
      </c>
      <c r="K3207" s="112" t="s">
        <v>3096</v>
      </c>
      <c r="L3207" s="116">
        <v>-60</v>
      </c>
    </row>
    <row r="3208" spans="1:12" hidden="1" outlineLevel="1" collapsed="1" x14ac:dyDescent="0.35">
      <c r="A3208" s="112" t="s">
        <v>2479</v>
      </c>
      <c r="B3208" s="112" t="s">
        <v>908</v>
      </c>
      <c r="C3208" s="112" t="s">
        <v>679</v>
      </c>
      <c r="D3208" s="113">
        <v>10348375</v>
      </c>
      <c r="E3208" s="115">
        <v>43942</v>
      </c>
      <c r="F3208" s="114">
        <v>202101</v>
      </c>
      <c r="G3208" s="112" t="s">
        <v>1091</v>
      </c>
      <c r="H3208" s="112" t="s">
        <v>1016</v>
      </c>
      <c r="I3208" s="112" t="s">
        <v>1788</v>
      </c>
      <c r="J3208" s="112" t="s">
        <v>2498</v>
      </c>
      <c r="K3208" s="112" t="s">
        <v>3097</v>
      </c>
      <c r="L3208" s="116">
        <v>-60</v>
      </c>
    </row>
    <row r="3209" spans="1:12" hidden="1" outlineLevel="1" collapsed="1" x14ac:dyDescent="0.35">
      <c r="A3209" s="112" t="s">
        <v>2479</v>
      </c>
      <c r="B3209" s="112" t="s">
        <v>908</v>
      </c>
      <c r="C3209" s="112" t="s">
        <v>679</v>
      </c>
      <c r="D3209" s="113">
        <v>10348375</v>
      </c>
      <c r="E3209" s="115">
        <v>43942</v>
      </c>
      <c r="F3209" s="114">
        <v>202101</v>
      </c>
      <c r="G3209" s="112" t="s">
        <v>1091</v>
      </c>
      <c r="H3209" s="112" t="s">
        <v>1016</v>
      </c>
      <c r="I3209" s="112" t="s">
        <v>1788</v>
      </c>
      <c r="J3209" s="112" t="s">
        <v>2498</v>
      </c>
      <c r="K3209" s="112" t="s">
        <v>2699</v>
      </c>
      <c r="L3209" s="116">
        <v>-109</v>
      </c>
    </row>
    <row r="3210" spans="1:12" hidden="1" outlineLevel="1" collapsed="1" x14ac:dyDescent="0.35">
      <c r="A3210" s="112" t="s">
        <v>2479</v>
      </c>
      <c r="B3210" s="112" t="s">
        <v>908</v>
      </c>
      <c r="C3210" s="112" t="s">
        <v>1758</v>
      </c>
      <c r="D3210" s="113">
        <v>51366171</v>
      </c>
      <c r="E3210" s="115">
        <v>43943</v>
      </c>
      <c r="F3210" s="114">
        <v>202101</v>
      </c>
      <c r="G3210" s="112" t="s">
        <v>1091</v>
      </c>
      <c r="H3210" s="112" t="s">
        <v>1016</v>
      </c>
      <c r="I3210" s="112" t="s">
        <v>1293</v>
      </c>
      <c r="J3210" s="112" t="s">
        <v>2484</v>
      </c>
      <c r="K3210" s="112" t="s">
        <v>3098</v>
      </c>
      <c r="L3210" s="116">
        <v>2160</v>
      </c>
    </row>
    <row r="3211" spans="1:12" hidden="1" outlineLevel="1" collapsed="1" x14ac:dyDescent="0.35">
      <c r="A3211" s="112" t="s">
        <v>2479</v>
      </c>
      <c r="B3211" s="112" t="s">
        <v>908</v>
      </c>
      <c r="C3211" s="112" t="s">
        <v>1518</v>
      </c>
      <c r="D3211" s="113">
        <v>51366181</v>
      </c>
      <c r="E3211" s="115">
        <v>43943</v>
      </c>
      <c r="F3211" s="114">
        <v>202101</v>
      </c>
      <c r="G3211" s="112" t="s">
        <v>1091</v>
      </c>
      <c r="H3211" s="112" t="s">
        <v>1016</v>
      </c>
      <c r="I3211" s="112" t="s">
        <v>2539</v>
      </c>
      <c r="J3211" s="112" t="s">
        <v>2520</v>
      </c>
      <c r="K3211" s="112" t="s">
        <v>3099</v>
      </c>
      <c r="L3211" s="116">
        <v>-24244</v>
      </c>
    </row>
    <row r="3212" spans="1:12" hidden="1" outlineLevel="1" collapsed="1" x14ac:dyDescent="0.35">
      <c r="A3212" s="112" t="s">
        <v>2479</v>
      </c>
      <c r="B3212" s="112" t="s">
        <v>908</v>
      </c>
      <c r="C3212" s="112" t="s">
        <v>679</v>
      </c>
      <c r="D3212" s="113">
        <v>10347933</v>
      </c>
      <c r="E3212" s="115">
        <v>43922</v>
      </c>
      <c r="F3212" s="114">
        <v>202101</v>
      </c>
      <c r="G3212" s="112" t="s">
        <v>1091</v>
      </c>
      <c r="H3212" s="112" t="s">
        <v>1016</v>
      </c>
      <c r="I3212" s="112" t="s">
        <v>1788</v>
      </c>
      <c r="J3212" s="112" t="s">
        <v>2498</v>
      </c>
      <c r="K3212" s="112" t="s">
        <v>3100</v>
      </c>
      <c r="L3212" s="116">
        <v>-190</v>
      </c>
    </row>
    <row r="3213" spans="1:12" hidden="1" outlineLevel="1" collapsed="1" x14ac:dyDescent="0.35">
      <c r="A3213" s="112" t="s">
        <v>2479</v>
      </c>
      <c r="B3213" s="112" t="s">
        <v>908</v>
      </c>
      <c r="C3213" s="112" t="s">
        <v>679</v>
      </c>
      <c r="D3213" s="113">
        <v>10347933</v>
      </c>
      <c r="E3213" s="115">
        <v>43922</v>
      </c>
      <c r="F3213" s="114">
        <v>202101</v>
      </c>
      <c r="G3213" s="112" t="s">
        <v>1091</v>
      </c>
      <c r="H3213" s="112" t="s">
        <v>1016</v>
      </c>
      <c r="I3213" s="112" t="s">
        <v>1788</v>
      </c>
      <c r="J3213" s="112" t="s">
        <v>2498</v>
      </c>
      <c r="K3213" s="112" t="s">
        <v>3101</v>
      </c>
      <c r="L3213" s="116">
        <v>-190</v>
      </c>
    </row>
    <row r="3214" spans="1:12" hidden="1" outlineLevel="1" collapsed="1" x14ac:dyDescent="0.35">
      <c r="A3214" s="112" t="s">
        <v>2479</v>
      </c>
      <c r="B3214" s="112" t="s">
        <v>909</v>
      </c>
      <c r="C3214" s="112" t="s">
        <v>679</v>
      </c>
      <c r="D3214" s="113">
        <v>10348297</v>
      </c>
      <c r="E3214" s="115">
        <v>43938</v>
      </c>
      <c r="F3214" s="114">
        <v>202101</v>
      </c>
      <c r="G3214" s="112" t="s">
        <v>1091</v>
      </c>
      <c r="H3214" s="112" t="s">
        <v>1016</v>
      </c>
      <c r="I3214" s="112" t="s">
        <v>2595</v>
      </c>
      <c r="J3214" s="112" t="s">
        <v>2523</v>
      </c>
      <c r="K3214" s="112" t="s">
        <v>3102</v>
      </c>
      <c r="L3214" s="116">
        <v>-108</v>
      </c>
    </row>
    <row r="3215" spans="1:12" hidden="1" outlineLevel="1" collapsed="1" x14ac:dyDescent="0.35">
      <c r="A3215" s="112" t="s">
        <v>2479</v>
      </c>
      <c r="B3215" s="112" t="s">
        <v>908</v>
      </c>
      <c r="C3215" s="112" t="s">
        <v>679</v>
      </c>
      <c r="D3215" s="113">
        <v>10347933</v>
      </c>
      <c r="E3215" s="115">
        <v>43922</v>
      </c>
      <c r="F3215" s="114">
        <v>202101</v>
      </c>
      <c r="G3215" s="112" t="s">
        <v>1091</v>
      </c>
      <c r="H3215" s="112" t="s">
        <v>1016</v>
      </c>
      <c r="I3215" s="112" t="s">
        <v>1788</v>
      </c>
      <c r="J3215" s="112" t="s">
        <v>2498</v>
      </c>
      <c r="K3215" s="112" t="s">
        <v>3103</v>
      </c>
      <c r="L3215" s="116">
        <v>-190</v>
      </c>
    </row>
    <row r="3216" spans="1:12" hidden="1" outlineLevel="1" collapsed="1" x14ac:dyDescent="0.35">
      <c r="A3216" s="112" t="s">
        <v>2479</v>
      </c>
      <c r="B3216" s="112" t="s">
        <v>909</v>
      </c>
      <c r="C3216" s="112" t="s">
        <v>679</v>
      </c>
      <c r="D3216" s="113">
        <v>10348418</v>
      </c>
      <c r="E3216" s="115">
        <v>43944</v>
      </c>
      <c r="F3216" s="114">
        <v>202101</v>
      </c>
      <c r="G3216" s="112" t="s">
        <v>1091</v>
      </c>
      <c r="H3216" s="112" t="s">
        <v>1016</v>
      </c>
      <c r="I3216" s="112" t="s">
        <v>1788</v>
      </c>
      <c r="J3216" s="112" t="s">
        <v>2652</v>
      </c>
      <c r="K3216" s="112" t="s">
        <v>706</v>
      </c>
      <c r="L3216" s="116">
        <v>-46</v>
      </c>
    </row>
    <row r="3217" spans="1:12" hidden="1" outlineLevel="1" collapsed="1" x14ac:dyDescent="0.35">
      <c r="A3217" s="112" t="s">
        <v>2479</v>
      </c>
      <c r="B3217" s="112" t="s">
        <v>909</v>
      </c>
      <c r="C3217" s="112" t="s">
        <v>1518</v>
      </c>
      <c r="D3217" s="113">
        <v>51366224</v>
      </c>
      <c r="E3217" s="115">
        <v>43948</v>
      </c>
      <c r="F3217" s="114">
        <v>202101</v>
      </c>
      <c r="G3217" s="112" t="s">
        <v>1091</v>
      </c>
      <c r="H3217" s="112" t="s">
        <v>1016</v>
      </c>
      <c r="I3217" s="112" t="s">
        <v>1788</v>
      </c>
      <c r="J3217" s="112" t="s">
        <v>2652</v>
      </c>
      <c r="K3217" s="112" t="s">
        <v>3104</v>
      </c>
      <c r="L3217" s="116">
        <v>-180</v>
      </c>
    </row>
    <row r="3218" spans="1:12" hidden="1" outlineLevel="1" collapsed="1" x14ac:dyDescent="0.35">
      <c r="A3218" s="112" t="s">
        <v>2479</v>
      </c>
      <c r="B3218" s="112" t="s">
        <v>908</v>
      </c>
      <c r="C3218" s="112" t="s">
        <v>679</v>
      </c>
      <c r="D3218" s="113">
        <v>10348340</v>
      </c>
      <c r="E3218" s="115">
        <v>43941</v>
      </c>
      <c r="F3218" s="114">
        <v>202101</v>
      </c>
      <c r="G3218" s="112" t="s">
        <v>1091</v>
      </c>
      <c r="H3218" s="112" t="s">
        <v>1016</v>
      </c>
      <c r="I3218" s="112" t="s">
        <v>1788</v>
      </c>
      <c r="J3218" s="112" t="s">
        <v>2498</v>
      </c>
      <c r="K3218" s="112" t="s">
        <v>3105</v>
      </c>
      <c r="L3218" s="116">
        <v>-190</v>
      </c>
    </row>
    <row r="3219" spans="1:12" hidden="1" outlineLevel="1" collapsed="1" x14ac:dyDescent="0.35">
      <c r="A3219" s="112" t="s">
        <v>2479</v>
      </c>
      <c r="B3219" s="112" t="s">
        <v>908</v>
      </c>
      <c r="C3219" s="112" t="s">
        <v>679</v>
      </c>
      <c r="D3219" s="113">
        <v>10348340</v>
      </c>
      <c r="E3219" s="115">
        <v>43941</v>
      </c>
      <c r="F3219" s="114">
        <v>202101</v>
      </c>
      <c r="G3219" s="112" t="s">
        <v>1091</v>
      </c>
      <c r="H3219" s="112" t="s">
        <v>1016</v>
      </c>
      <c r="I3219" s="112" t="s">
        <v>1788</v>
      </c>
      <c r="J3219" s="112" t="s">
        <v>2498</v>
      </c>
      <c r="K3219" s="112" t="s">
        <v>3106</v>
      </c>
      <c r="L3219" s="116">
        <v>-205</v>
      </c>
    </row>
    <row r="3220" spans="1:12" hidden="1" outlineLevel="1" collapsed="1" x14ac:dyDescent="0.35">
      <c r="A3220" s="112" t="s">
        <v>2479</v>
      </c>
      <c r="B3220" s="112" t="s">
        <v>908</v>
      </c>
      <c r="C3220" s="112" t="s">
        <v>679</v>
      </c>
      <c r="D3220" s="113">
        <v>10348340</v>
      </c>
      <c r="E3220" s="115">
        <v>43941</v>
      </c>
      <c r="F3220" s="114">
        <v>202101</v>
      </c>
      <c r="G3220" s="112" t="s">
        <v>1091</v>
      </c>
      <c r="H3220" s="112" t="s">
        <v>1016</v>
      </c>
      <c r="I3220" s="112" t="s">
        <v>819</v>
      </c>
      <c r="J3220" s="112" t="s">
        <v>2501</v>
      </c>
      <c r="K3220" s="112" t="s">
        <v>3107</v>
      </c>
      <c r="L3220" s="116">
        <v>-210.83</v>
      </c>
    </row>
    <row r="3221" spans="1:12" hidden="1" outlineLevel="1" collapsed="1" x14ac:dyDescent="0.35">
      <c r="A3221" s="112" t="s">
        <v>2479</v>
      </c>
      <c r="B3221" s="112" t="s">
        <v>908</v>
      </c>
      <c r="C3221" s="112" t="s">
        <v>679</v>
      </c>
      <c r="D3221" s="113">
        <v>10348340</v>
      </c>
      <c r="E3221" s="115">
        <v>43941</v>
      </c>
      <c r="F3221" s="114">
        <v>202101</v>
      </c>
      <c r="G3221" s="112" t="s">
        <v>1091</v>
      </c>
      <c r="H3221" s="112" t="s">
        <v>1016</v>
      </c>
      <c r="I3221" s="112" t="s">
        <v>1788</v>
      </c>
      <c r="J3221" s="112" t="s">
        <v>2498</v>
      </c>
      <c r="K3221" s="112" t="s">
        <v>3108</v>
      </c>
      <c r="L3221" s="116">
        <v>-85</v>
      </c>
    </row>
    <row r="3222" spans="1:12" hidden="1" outlineLevel="1" collapsed="1" x14ac:dyDescent="0.35">
      <c r="A3222" s="112" t="s">
        <v>2479</v>
      </c>
      <c r="B3222" s="112" t="s">
        <v>908</v>
      </c>
      <c r="C3222" s="112" t="s">
        <v>679</v>
      </c>
      <c r="D3222" s="113">
        <v>10348340</v>
      </c>
      <c r="E3222" s="115">
        <v>43941</v>
      </c>
      <c r="F3222" s="114">
        <v>202101</v>
      </c>
      <c r="G3222" s="112" t="s">
        <v>1091</v>
      </c>
      <c r="H3222" s="112" t="s">
        <v>1016</v>
      </c>
      <c r="I3222" s="112" t="s">
        <v>1788</v>
      </c>
      <c r="J3222" s="112" t="s">
        <v>2498</v>
      </c>
      <c r="K3222" s="112" t="s">
        <v>3109</v>
      </c>
      <c r="L3222" s="116">
        <v>-60</v>
      </c>
    </row>
    <row r="3223" spans="1:12" hidden="1" outlineLevel="1" collapsed="1" x14ac:dyDescent="0.35">
      <c r="A3223" s="112" t="s">
        <v>2479</v>
      </c>
      <c r="B3223" s="112" t="s">
        <v>909</v>
      </c>
      <c r="C3223" s="112" t="s">
        <v>679</v>
      </c>
      <c r="D3223" s="113">
        <v>10348340</v>
      </c>
      <c r="E3223" s="115">
        <v>43941</v>
      </c>
      <c r="F3223" s="114">
        <v>202101</v>
      </c>
      <c r="G3223" s="112" t="s">
        <v>1091</v>
      </c>
      <c r="H3223" s="112" t="s">
        <v>1016</v>
      </c>
      <c r="I3223" s="112" t="s">
        <v>2595</v>
      </c>
      <c r="J3223" s="112" t="s">
        <v>2523</v>
      </c>
      <c r="K3223" s="112" t="s">
        <v>3110</v>
      </c>
      <c r="L3223" s="116">
        <v>-310</v>
      </c>
    </row>
    <row r="3224" spans="1:12" hidden="1" outlineLevel="1" collapsed="1" x14ac:dyDescent="0.35">
      <c r="A3224" s="112" t="s">
        <v>2479</v>
      </c>
      <c r="B3224" s="112" t="s">
        <v>909</v>
      </c>
      <c r="C3224" s="112" t="s">
        <v>679</v>
      </c>
      <c r="D3224" s="113">
        <v>10348340</v>
      </c>
      <c r="E3224" s="115">
        <v>43941</v>
      </c>
      <c r="F3224" s="114">
        <v>202101</v>
      </c>
      <c r="G3224" s="112" t="s">
        <v>1091</v>
      </c>
      <c r="H3224" s="112" t="s">
        <v>1016</v>
      </c>
      <c r="I3224" s="112" t="s">
        <v>2536</v>
      </c>
      <c r="J3224" s="112" t="s">
        <v>2523</v>
      </c>
      <c r="K3224" s="112" t="s">
        <v>3060</v>
      </c>
      <c r="L3224" s="116">
        <v>-162</v>
      </c>
    </row>
    <row r="3225" spans="1:12" hidden="1" outlineLevel="1" collapsed="1" x14ac:dyDescent="0.35">
      <c r="A3225" s="112" t="s">
        <v>2479</v>
      </c>
      <c r="B3225" s="112" t="s">
        <v>908</v>
      </c>
      <c r="C3225" s="112" t="s">
        <v>679</v>
      </c>
      <c r="D3225" s="113">
        <v>10348340</v>
      </c>
      <c r="E3225" s="115">
        <v>43941</v>
      </c>
      <c r="F3225" s="114">
        <v>202101</v>
      </c>
      <c r="G3225" s="112" t="s">
        <v>1091</v>
      </c>
      <c r="H3225" s="112" t="s">
        <v>1016</v>
      </c>
      <c r="I3225" s="112" t="s">
        <v>1788</v>
      </c>
      <c r="J3225" s="112" t="s">
        <v>2498</v>
      </c>
      <c r="K3225" s="112" t="s">
        <v>3111</v>
      </c>
      <c r="L3225" s="116">
        <v>-85</v>
      </c>
    </row>
    <row r="3226" spans="1:12" hidden="1" outlineLevel="1" collapsed="1" x14ac:dyDescent="0.35">
      <c r="A3226" s="112" t="s">
        <v>2479</v>
      </c>
      <c r="B3226" s="112" t="s">
        <v>908</v>
      </c>
      <c r="C3226" s="112" t="s">
        <v>679</v>
      </c>
      <c r="D3226" s="113">
        <v>10348340</v>
      </c>
      <c r="E3226" s="115">
        <v>43941</v>
      </c>
      <c r="F3226" s="114">
        <v>202101</v>
      </c>
      <c r="G3226" s="112" t="s">
        <v>1091</v>
      </c>
      <c r="H3226" s="112" t="s">
        <v>1016</v>
      </c>
      <c r="I3226" s="112" t="s">
        <v>1788</v>
      </c>
      <c r="J3226" s="112" t="s">
        <v>2498</v>
      </c>
      <c r="K3226" s="112" t="s">
        <v>3112</v>
      </c>
      <c r="L3226" s="116">
        <v>-85</v>
      </c>
    </row>
    <row r="3227" spans="1:12" hidden="1" outlineLevel="1" collapsed="1" x14ac:dyDescent="0.35">
      <c r="A3227" s="112" t="s">
        <v>2479</v>
      </c>
      <c r="B3227" s="112" t="s">
        <v>908</v>
      </c>
      <c r="C3227" s="112" t="s">
        <v>679</v>
      </c>
      <c r="D3227" s="113">
        <v>10348340</v>
      </c>
      <c r="E3227" s="115">
        <v>43941</v>
      </c>
      <c r="F3227" s="114">
        <v>202101</v>
      </c>
      <c r="G3227" s="112" t="s">
        <v>1091</v>
      </c>
      <c r="H3227" s="112" t="s">
        <v>1016</v>
      </c>
      <c r="I3227" s="112" t="s">
        <v>1788</v>
      </c>
      <c r="J3227" s="112" t="s">
        <v>2498</v>
      </c>
      <c r="K3227" s="112" t="s">
        <v>3113</v>
      </c>
      <c r="L3227" s="116">
        <v>-85</v>
      </c>
    </row>
    <row r="3228" spans="1:12" hidden="1" outlineLevel="1" collapsed="1" x14ac:dyDescent="0.35">
      <c r="A3228" s="112" t="s">
        <v>2479</v>
      </c>
      <c r="B3228" s="112" t="s">
        <v>908</v>
      </c>
      <c r="C3228" s="112" t="s">
        <v>679</v>
      </c>
      <c r="D3228" s="113">
        <v>10348340</v>
      </c>
      <c r="E3228" s="115">
        <v>43941</v>
      </c>
      <c r="F3228" s="114">
        <v>202101</v>
      </c>
      <c r="G3228" s="112" t="s">
        <v>1091</v>
      </c>
      <c r="H3228" s="112" t="s">
        <v>1016</v>
      </c>
      <c r="I3228" s="112" t="s">
        <v>1788</v>
      </c>
      <c r="J3228" s="112" t="s">
        <v>2498</v>
      </c>
      <c r="K3228" s="112" t="s">
        <v>3114</v>
      </c>
      <c r="L3228" s="116">
        <v>-190</v>
      </c>
    </row>
    <row r="3229" spans="1:12" hidden="1" outlineLevel="1" collapsed="1" x14ac:dyDescent="0.35">
      <c r="A3229" s="112" t="s">
        <v>2479</v>
      </c>
      <c r="B3229" s="112" t="s">
        <v>908</v>
      </c>
      <c r="C3229" s="112" t="s">
        <v>679</v>
      </c>
      <c r="D3229" s="113">
        <v>10348340</v>
      </c>
      <c r="E3229" s="115">
        <v>43941</v>
      </c>
      <c r="F3229" s="114">
        <v>202101</v>
      </c>
      <c r="G3229" s="112" t="s">
        <v>1091</v>
      </c>
      <c r="H3229" s="112" t="s">
        <v>1016</v>
      </c>
      <c r="I3229" s="112" t="s">
        <v>1788</v>
      </c>
      <c r="J3229" s="112" t="s">
        <v>2498</v>
      </c>
      <c r="K3229" s="112" t="s">
        <v>3115</v>
      </c>
      <c r="L3229" s="116">
        <v>-190</v>
      </c>
    </row>
    <row r="3230" spans="1:12" hidden="1" outlineLevel="1" collapsed="1" x14ac:dyDescent="0.35">
      <c r="A3230" s="112" t="s">
        <v>2479</v>
      </c>
      <c r="B3230" s="112" t="s">
        <v>908</v>
      </c>
      <c r="C3230" s="112" t="s">
        <v>679</v>
      </c>
      <c r="D3230" s="113">
        <v>10348340</v>
      </c>
      <c r="E3230" s="115">
        <v>43941</v>
      </c>
      <c r="F3230" s="114">
        <v>202101</v>
      </c>
      <c r="G3230" s="112" t="s">
        <v>1091</v>
      </c>
      <c r="H3230" s="112" t="s">
        <v>1016</v>
      </c>
      <c r="I3230" s="112" t="s">
        <v>1788</v>
      </c>
      <c r="J3230" s="112" t="s">
        <v>2498</v>
      </c>
      <c r="K3230" s="112" t="s">
        <v>3116</v>
      </c>
      <c r="L3230" s="116">
        <v>-190</v>
      </c>
    </row>
    <row r="3231" spans="1:12" hidden="1" outlineLevel="1" collapsed="1" x14ac:dyDescent="0.35">
      <c r="A3231" s="112" t="s">
        <v>2479</v>
      </c>
      <c r="B3231" s="112" t="s">
        <v>908</v>
      </c>
      <c r="C3231" s="112" t="s">
        <v>679</v>
      </c>
      <c r="D3231" s="113">
        <v>10348340</v>
      </c>
      <c r="E3231" s="115">
        <v>43941</v>
      </c>
      <c r="F3231" s="114">
        <v>202101</v>
      </c>
      <c r="G3231" s="112" t="s">
        <v>1091</v>
      </c>
      <c r="H3231" s="112" t="s">
        <v>1016</v>
      </c>
      <c r="I3231" s="112" t="s">
        <v>1788</v>
      </c>
      <c r="J3231" s="112" t="s">
        <v>2498</v>
      </c>
      <c r="K3231" s="112" t="s">
        <v>3117</v>
      </c>
      <c r="L3231" s="116">
        <v>-196</v>
      </c>
    </row>
    <row r="3232" spans="1:12" hidden="1" outlineLevel="1" collapsed="1" x14ac:dyDescent="0.35">
      <c r="A3232" s="112" t="s">
        <v>2479</v>
      </c>
      <c r="B3232" s="112" t="s">
        <v>908</v>
      </c>
      <c r="C3232" s="112" t="s">
        <v>679</v>
      </c>
      <c r="D3232" s="113">
        <v>10348340</v>
      </c>
      <c r="E3232" s="115">
        <v>43941</v>
      </c>
      <c r="F3232" s="114">
        <v>202101</v>
      </c>
      <c r="G3232" s="112" t="s">
        <v>1091</v>
      </c>
      <c r="H3232" s="112" t="s">
        <v>1016</v>
      </c>
      <c r="I3232" s="112" t="s">
        <v>1788</v>
      </c>
      <c r="J3232" s="112" t="s">
        <v>2498</v>
      </c>
      <c r="K3232" s="112" t="s">
        <v>3118</v>
      </c>
      <c r="L3232" s="116">
        <v>-196</v>
      </c>
    </row>
    <row r="3233" spans="1:12" hidden="1" outlineLevel="1" collapsed="1" x14ac:dyDescent="0.35">
      <c r="A3233" s="112" t="s">
        <v>2479</v>
      </c>
      <c r="B3233" s="112" t="s">
        <v>908</v>
      </c>
      <c r="C3233" s="112" t="s">
        <v>679</v>
      </c>
      <c r="D3233" s="113">
        <v>10348340</v>
      </c>
      <c r="E3233" s="115">
        <v>43941</v>
      </c>
      <c r="F3233" s="114">
        <v>202101</v>
      </c>
      <c r="G3233" s="112" t="s">
        <v>1091</v>
      </c>
      <c r="H3233" s="112" t="s">
        <v>1016</v>
      </c>
      <c r="I3233" s="112" t="s">
        <v>1788</v>
      </c>
      <c r="J3233" s="112" t="s">
        <v>2498</v>
      </c>
      <c r="K3233" s="112" t="s">
        <v>3119</v>
      </c>
      <c r="L3233" s="116">
        <v>-85</v>
      </c>
    </row>
    <row r="3234" spans="1:12" hidden="1" outlineLevel="1" collapsed="1" x14ac:dyDescent="0.35">
      <c r="A3234" s="112" t="s">
        <v>2479</v>
      </c>
      <c r="B3234" s="112" t="s">
        <v>908</v>
      </c>
      <c r="C3234" s="112" t="s">
        <v>679</v>
      </c>
      <c r="D3234" s="113">
        <v>10348340</v>
      </c>
      <c r="E3234" s="115">
        <v>43941</v>
      </c>
      <c r="F3234" s="114">
        <v>202101</v>
      </c>
      <c r="G3234" s="112" t="s">
        <v>1091</v>
      </c>
      <c r="H3234" s="112" t="s">
        <v>1016</v>
      </c>
      <c r="I3234" s="112" t="s">
        <v>1788</v>
      </c>
      <c r="J3234" s="112" t="s">
        <v>2498</v>
      </c>
      <c r="K3234" s="112" t="s">
        <v>3120</v>
      </c>
      <c r="L3234" s="116">
        <v>-196</v>
      </c>
    </row>
    <row r="3235" spans="1:12" hidden="1" outlineLevel="1" collapsed="1" x14ac:dyDescent="0.35">
      <c r="A3235" s="112" t="s">
        <v>2479</v>
      </c>
      <c r="B3235" s="112" t="s">
        <v>908</v>
      </c>
      <c r="C3235" s="112" t="s">
        <v>679</v>
      </c>
      <c r="D3235" s="113">
        <v>10348340</v>
      </c>
      <c r="E3235" s="115">
        <v>43941</v>
      </c>
      <c r="F3235" s="114">
        <v>202101</v>
      </c>
      <c r="G3235" s="112" t="s">
        <v>1091</v>
      </c>
      <c r="H3235" s="112" t="s">
        <v>1016</v>
      </c>
      <c r="I3235" s="112" t="s">
        <v>1788</v>
      </c>
      <c r="J3235" s="112" t="s">
        <v>2498</v>
      </c>
      <c r="K3235" s="112" t="s">
        <v>3121</v>
      </c>
      <c r="L3235" s="116">
        <v>-196</v>
      </c>
    </row>
    <row r="3236" spans="1:12" hidden="1" outlineLevel="1" collapsed="1" x14ac:dyDescent="0.35">
      <c r="A3236" s="112" t="s">
        <v>2479</v>
      </c>
      <c r="B3236" s="112" t="s">
        <v>909</v>
      </c>
      <c r="C3236" s="112" t="s">
        <v>1518</v>
      </c>
      <c r="D3236" s="113">
        <v>51366223</v>
      </c>
      <c r="E3236" s="115">
        <v>43948</v>
      </c>
      <c r="F3236" s="114">
        <v>202101</v>
      </c>
      <c r="G3236" s="112" t="s">
        <v>1091</v>
      </c>
      <c r="H3236" s="112" t="s">
        <v>1016</v>
      </c>
      <c r="I3236" s="112" t="s">
        <v>1788</v>
      </c>
      <c r="J3236" s="112" t="s">
        <v>2652</v>
      </c>
      <c r="K3236" s="112" t="s">
        <v>3122</v>
      </c>
      <c r="L3236" s="116">
        <v>-70</v>
      </c>
    </row>
    <row r="3237" spans="1:12" hidden="1" outlineLevel="1" collapsed="1" x14ac:dyDescent="0.35">
      <c r="A3237" s="112" t="s">
        <v>2479</v>
      </c>
      <c r="B3237" s="112" t="s">
        <v>908</v>
      </c>
      <c r="C3237" s="112" t="s">
        <v>695</v>
      </c>
      <c r="D3237" s="113">
        <v>10347981</v>
      </c>
      <c r="E3237" s="115">
        <v>43924</v>
      </c>
      <c r="F3237" s="114">
        <v>202101</v>
      </c>
      <c r="G3237" s="112" t="s">
        <v>1091</v>
      </c>
      <c r="H3237" s="112" t="s">
        <v>1015</v>
      </c>
      <c r="I3237" s="112" t="s">
        <v>1182</v>
      </c>
      <c r="J3237" s="112" t="s">
        <v>2584</v>
      </c>
      <c r="K3237" s="112" t="s">
        <v>2757</v>
      </c>
      <c r="L3237" s="116">
        <v>-39</v>
      </c>
    </row>
    <row r="3238" spans="1:12" hidden="1" outlineLevel="1" collapsed="1" x14ac:dyDescent="0.35">
      <c r="A3238" s="112" t="s">
        <v>2479</v>
      </c>
      <c r="B3238" s="112" t="s">
        <v>909</v>
      </c>
      <c r="C3238" s="112" t="s">
        <v>1150</v>
      </c>
      <c r="D3238" s="113">
        <v>10348594</v>
      </c>
      <c r="E3238" s="115">
        <v>43963</v>
      </c>
      <c r="F3238" s="114">
        <v>202101</v>
      </c>
      <c r="G3238" s="112" t="s">
        <v>1091</v>
      </c>
      <c r="H3238" s="112" t="s">
        <v>1015</v>
      </c>
      <c r="I3238" s="112" t="s">
        <v>1643</v>
      </c>
      <c r="J3238" s="112" t="s">
        <v>2480</v>
      </c>
      <c r="K3238" s="112" t="s">
        <v>1644</v>
      </c>
      <c r="L3238" s="116">
        <v>37.380000000000003</v>
      </c>
    </row>
    <row r="3239" spans="1:12" hidden="1" outlineLevel="1" collapsed="1" x14ac:dyDescent="0.35">
      <c r="A3239" s="112" t="s">
        <v>2479</v>
      </c>
      <c r="B3239" s="112" t="s">
        <v>909</v>
      </c>
      <c r="C3239" s="112" t="s">
        <v>695</v>
      </c>
      <c r="D3239" s="113">
        <v>10347981</v>
      </c>
      <c r="E3239" s="115">
        <v>43924</v>
      </c>
      <c r="F3239" s="114">
        <v>202101</v>
      </c>
      <c r="G3239" s="112" t="s">
        <v>1091</v>
      </c>
      <c r="H3239" s="112" t="s">
        <v>1015</v>
      </c>
      <c r="I3239" s="112" t="s">
        <v>775</v>
      </c>
      <c r="J3239" s="112" t="s">
        <v>3123</v>
      </c>
      <c r="K3239" s="112" t="s">
        <v>3124</v>
      </c>
      <c r="L3239" s="116">
        <v>-500</v>
      </c>
    </row>
    <row r="3240" spans="1:12" hidden="1" outlineLevel="1" collapsed="1" x14ac:dyDescent="0.35">
      <c r="A3240" s="112" t="s">
        <v>2479</v>
      </c>
      <c r="B3240" s="112" t="s">
        <v>908</v>
      </c>
      <c r="C3240" s="112" t="s">
        <v>679</v>
      </c>
      <c r="D3240" s="113">
        <v>10347962</v>
      </c>
      <c r="E3240" s="115">
        <v>43923</v>
      </c>
      <c r="F3240" s="114">
        <v>202101</v>
      </c>
      <c r="G3240" s="112" t="s">
        <v>1091</v>
      </c>
      <c r="H3240" s="112" t="s">
        <v>1016</v>
      </c>
      <c r="I3240" s="112" t="s">
        <v>1788</v>
      </c>
      <c r="J3240" s="112" t="s">
        <v>2498</v>
      </c>
      <c r="K3240" s="112" t="s">
        <v>3125</v>
      </c>
      <c r="L3240" s="116">
        <v>-60</v>
      </c>
    </row>
    <row r="3241" spans="1:12" hidden="1" outlineLevel="1" collapsed="1" x14ac:dyDescent="0.35">
      <c r="A3241" s="112" t="s">
        <v>2479</v>
      </c>
      <c r="B3241" s="112" t="s">
        <v>908</v>
      </c>
      <c r="C3241" s="112" t="s">
        <v>679</v>
      </c>
      <c r="D3241" s="113">
        <v>10347962</v>
      </c>
      <c r="E3241" s="115">
        <v>43923</v>
      </c>
      <c r="F3241" s="114">
        <v>202101</v>
      </c>
      <c r="G3241" s="112" t="s">
        <v>1091</v>
      </c>
      <c r="H3241" s="112" t="s">
        <v>1016</v>
      </c>
      <c r="I3241" s="112" t="s">
        <v>1788</v>
      </c>
      <c r="J3241" s="112" t="s">
        <v>2498</v>
      </c>
      <c r="K3241" s="112" t="s">
        <v>3126</v>
      </c>
      <c r="L3241" s="116">
        <v>-190</v>
      </c>
    </row>
    <row r="3242" spans="1:12" hidden="1" outlineLevel="1" collapsed="1" x14ac:dyDescent="0.35">
      <c r="A3242" s="112" t="s">
        <v>2479</v>
      </c>
      <c r="B3242" s="112" t="s">
        <v>908</v>
      </c>
      <c r="C3242" s="112" t="s">
        <v>695</v>
      </c>
      <c r="D3242" s="113">
        <v>10347981</v>
      </c>
      <c r="E3242" s="115">
        <v>43924</v>
      </c>
      <c r="F3242" s="114">
        <v>202101</v>
      </c>
      <c r="G3242" s="112" t="s">
        <v>1091</v>
      </c>
      <c r="H3242" s="112" t="s">
        <v>1015</v>
      </c>
      <c r="I3242" s="112" t="s">
        <v>761</v>
      </c>
      <c r="J3242" s="112" t="s">
        <v>2584</v>
      </c>
      <c r="K3242" s="112" t="s">
        <v>3127</v>
      </c>
      <c r="L3242" s="116">
        <v>-12.8</v>
      </c>
    </row>
    <row r="3243" spans="1:12" hidden="1" outlineLevel="1" collapsed="1" x14ac:dyDescent="0.35">
      <c r="A3243" s="112" t="s">
        <v>2479</v>
      </c>
      <c r="B3243" s="112" t="s">
        <v>908</v>
      </c>
      <c r="C3243" s="112" t="s">
        <v>679</v>
      </c>
      <c r="D3243" s="113">
        <v>10347962</v>
      </c>
      <c r="E3243" s="115">
        <v>43923</v>
      </c>
      <c r="F3243" s="114">
        <v>202101</v>
      </c>
      <c r="G3243" s="112" t="s">
        <v>1091</v>
      </c>
      <c r="H3243" s="112" t="s">
        <v>1016</v>
      </c>
      <c r="I3243" s="112" t="s">
        <v>1788</v>
      </c>
      <c r="J3243" s="112" t="s">
        <v>2498</v>
      </c>
      <c r="K3243" s="112" t="s">
        <v>3128</v>
      </c>
      <c r="L3243" s="116">
        <v>-85</v>
      </c>
    </row>
    <row r="3244" spans="1:12" hidden="1" outlineLevel="1" collapsed="1" x14ac:dyDescent="0.35">
      <c r="A3244" s="112" t="s">
        <v>2479</v>
      </c>
      <c r="B3244" s="112" t="s">
        <v>908</v>
      </c>
      <c r="C3244" s="112" t="s">
        <v>679</v>
      </c>
      <c r="D3244" s="113">
        <v>10347962</v>
      </c>
      <c r="E3244" s="115">
        <v>43923</v>
      </c>
      <c r="F3244" s="114">
        <v>202101</v>
      </c>
      <c r="G3244" s="112" t="s">
        <v>1091</v>
      </c>
      <c r="H3244" s="112" t="s">
        <v>1016</v>
      </c>
      <c r="I3244" s="112" t="s">
        <v>1788</v>
      </c>
      <c r="J3244" s="112" t="s">
        <v>2498</v>
      </c>
      <c r="K3244" s="112" t="s">
        <v>3129</v>
      </c>
      <c r="L3244" s="116">
        <v>-190</v>
      </c>
    </row>
    <row r="3245" spans="1:12" hidden="1" outlineLevel="1" collapsed="1" x14ac:dyDescent="0.35">
      <c r="A3245" s="112" t="s">
        <v>2479</v>
      </c>
      <c r="B3245" s="112" t="s">
        <v>908</v>
      </c>
      <c r="C3245" s="112" t="s">
        <v>679</v>
      </c>
      <c r="D3245" s="113">
        <v>10347962</v>
      </c>
      <c r="E3245" s="115">
        <v>43923</v>
      </c>
      <c r="F3245" s="114">
        <v>202101</v>
      </c>
      <c r="G3245" s="112" t="s">
        <v>1091</v>
      </c>
      <c r="H3245" s="112" t="s">
        <v>1016</v>
      </c>
      <c r="I3245" s="112" t="s">
        <v>1788</v>
      </c>
      <c r="J3245" s="112" t="s">
        <v>2498</v>
      </c>
      <c r="K3245" s="112" t="s">
        <v>3130</v>
      </c>
      <c r="L3245" s="116">
        <v>-60</v>
      </c>
    </row>
    <row r="3246" spans="1:12" hidden="1" outlineLevel="1" collapsed="1" x14ac:dyDescent="0.35">
      <c r="A3246" s="112" t="s">
        <v>2479</v>
      </c>
      <c r="B3246" s="112" t="s">
        <v>908</v>
      </c>
      <c r="C3246" s="112" t="s">
        <v>679</v>
      </c>
      <c r="D3246" s="113">
        <v>10347962</v>
      </c>
      <c r="E3246" s="115">
        <v>43923</v>
      </c>
      <c r="F3246" s="114">
        <v>202101</v>
      </c>
      <c r="G3246" s="112" t="s">
        <v>1091</v>
      </c>
      <c r="H3246" s="112" t="s">
        <v>1016</v>
      </c>
      <c r="I3246" s="112" t="s">
        <v>1788</v>
      </c>
      <c r="J3246" s="112" t="s">
        <v>2498</v>
      </c>
      <c r="K3246" s="112" t="s">
        <v>3131</v>
      </c>
      <c r="L3246" s="116">
        <v>-305</v>
      </c>
    </row>
    <row r="3247" spans="1:12" hidden="1" outlineLevel="1" collapsed="1" x14ac:dyDescent="0.35">
      <c r="A3247" s="112" t="s">
        <v>2479</v>
      </c>
      <c r="B3247" s="112" t="s">
        <v>908</v>
      </c>
      <c r="C3247" s="112" t="s">
        <v>679</v>
      </c>
      <c r="D3247" s="113">
        <v>10347962</v>
      </c>
      <c r="E3247" s="115">
        <v>43923</v>
      </c>
      <c r="F3247" s="114">
        <v>202101</v>
      </c>
      <c r="G3247" s="112" t="s">
        <v>1091</v>
      </c>
      <c r="H3247" s="112" t="s">
        <v>1016</v>
      </c>
      <c r="I3247" s="112" t="s">
        <v>1788</v>
      </c>
      <c r="J3247" s="112" t="s">
        <v>2498</v>
      </c>
      <c r="K3247" s="112" t="s">
        <v>3132</v>
      </c>
      <c r="L3247" s="116">
        <v>-190</v>
      </c>
    </row>
    <row r="3248" spans="1:12" hidden="1" outlineLevel="1" collapsed="1" x14ac:dyDescent="0.35">
      <c r="A3248" s="112" t="s">
        <v>2479</v>
      </c>
      <c r="B3248" s="112" t="s">
        <v>908</v>
      </c>
      <c r="C3248" s="112" t="s">
        <v>679</v>
      </c>
      <c r="D3248" s="113">
        <v>10347962</v>
      </c>
      <c r="E3248" s="115">
        <v>43923</v>
      </c>
      <c r="F3248" s="114">
        <v>202101</v>
      </c>
      <c r="G3248" s="112" t="s">
        <v>1091</v>
      </c>
      <c r="H3248" s="112" t="s">
        <v>1016</v>
      </c>
      <c r="I3248" s="112" t="s">
        <v>1788</v>
      </c>
      <c r="J3248" s="112" t="s">
        <v>2498</v>
      </c>
      <c r="K3248" s="112" t="s">
        <v>3133</v>
      </c>
      <c r="L3248" s="116">
        <v>-60</v>
      </c>
    </row>
    <row r="3249" spans="1:12" hidden="1" outlineLevel="1" collapsed="1" x14ac:dyDescent="0.35">
      <c r="A3249" s="112" t="s">
        <v>2479</v>
      </c>
      <c r="B3249" s="112" t="s">
        <v>908</v>
      </c>
      <c r="C3249" s="112" t="s">
        <v>679</v>
      </c>
      <c r="D3249" s="113">
        <v>10347962</v>
      </c>
      <c r="E3249" s="115">
        <v>43923</v>
      </c>
      <c r="F3249" s="114">
        <v>202101</v>
      </c>
      <c r="G3249" s="112" t="s">
        <v>1091</v>
      </c>
      <c r="H3249" s="112" t="s">
        <v>1016</v>
      </c>
      <c r="I3249" s="112" t="s">
        <v>1788</v>
      </c>
      <c r="J3249" s="112" t="s">
        <v>2498</v>
      </c>
      <c r="K3249" s="112" t="s">
        <v>3134</v>
      </c>
      <c r="L3249" s="116">
        <v>-60</v>
      </c>
    </row>
    <row r="3250" spans="1:12" hidden="1" outlineLevel="1" collapsed="1" x14ac:dyDescent="0.35">
      <c r="A3250" s="112" t="s">
        <v>2479</v>
      </c>
      <c r="B3250" s="112" t="s">
        <v>908</v>
      </c>
      <c r="C3250" s="112" t="s">
        <v>679</v>
      </c>
      <c r="D3250" s="113">
        <v>10347962</v>
      </c>
      <c r="E3250" s="115">
        <v>43923</v>
      </c>
      <c r="F3250" s="114">
        <v>202101</v>
      </c>
      <c r="G3250" s="112" t="s">
        <v>1091</v>
      </c>
      <c r="H3250" s="112" t="s">
        <v>1016</v>
      </c>
      <c r="I3250" s="112" t="s">
        <v>1788</v>
      </c>
      <c r="J3250" s="112" t="s">
        <v>2498</v>
      </c>
      <c r="K3250" s="112" t="s">
        <v>3135</v>
      </c>
      <c r="L3250" s="116">
        <v>-60</v>
      </c>
    </row>
    <row r="3251" spans="1:12" hidden="1" outlineLevel="1" collapsed="1" x14ac:dyDescent="0.35">
      <c r="A3251" s="112" t="s">
        <v>2479</v>
      </c>
      <c r="B3251" s="112" t="s">
        <v>908</v>
      </c>
      <c r="C3251" s="112" t="s">
        <v>679</v>
      </c>
      <c r="D3251" s="113">
        <v>10347962</v>
      </c>
      <c r="E3251" s="115">
        <v>43923</v>
      </c>
      <c r="F3251" s="114">
        <v>202101</v>
      </c>
      <c r="G3251" s="112" t="s">
        <v>1091</v>
      </c>
      <c r="H3251" s="112" t="s">
        <v>1016</v>
      </c>
      <c r="I3251" s="112" t="s">
        <v>1788</v>
      </c>
      <c r="J3251" s="112" t="s">
        <v>2498</v>
      </c>
      <c r="K3251" s="112" t="s">
        <v>3136</v>
      </c>
      <c r="L3251" s="116">
        <v>-190</v>
      </c>
    </row>
    <row r="3252" spans="1:12" hidden="1" outlineLevel="1" collapsed="1" x14ac:dyDescent="0.35">
      <c r="A3252" s="112" t="s">
        <v>2479</v>
      </c>
      <c r="B3252" s="112" t="s">
        <v>908</v>
      </c>
      <c r="C3252" s="112" t="s">
        <v>679</v>
      </c>
      <c r="D3252" s="113">
        <v>10347962</v>
      </c>
      <c r="E3252" s="115">
        <v>43923</v>
      </c>
      <c r="F3252" s="114">
        <v>202101</v>
      </c>
      <c r="G3252" s="112" t="s">
        <v>1091</v>
      </c>
      <c r="H3252" s="112" t="s">
        <v>1016</v>
      </c>
      <c r="I3252" s="112" t="s">
        <v>1788</v>
      </c>
      <c r="J3252" s="112" t="s">
        <v>2498</v>
      </c>
      <c r="K3252" s="112" t="s">
        <v>3137</v>
      </c>
      <c r="L3252" s="116">
        <v>-190</v>
      </c>
    </row>
    <row r="3253" spans="1:12" hidden="1" outlineLevel="1" collapsed="1" x14ac:dyDescent="0.35">
      <c r="A3253" s="112" t="s">
        <v>2479</v>
      </c>
      <c r="B3253" s="112" t="s">
        <v>908</v>
      </c>
      <c r="C3253" s="112" t="s">
        <v>679</v>
      </c>
      <c r="D3253" s="113">
        <v>10347962</v>
      </c>
      <c r="E3253" s="115">
        <v>43923</v>
      </c>
      <c r="F3253" s="114">
        <v>202101</v>
      </c>
      <c r="G3253" s="112" t="s">
        <v>1091</v>
      </c>
      <c r="H3253" s="112" t="s">
        <v>1016</v>
      </c>
      <c r="I3253" s="112" t="s">
        <v>1788</v>
      </c>
      <c r="J3253" s="112" t="s">
        <v>2498</v>
      </c>
      <c r="K3253" s="112" t="s">
        <v>3138</v>
      </c>
      <c r="L3253" s="116">
        <v>-190</v>
      </c>
    </row>
    <row r="3254" spans="1:12" hidden="1" outlineLevel="1" collapsed="1" x14ac:dyDescent="0.35">
      <c r="A3254" s="112" t="s">
        <v>2479</v>
      </c>
      <c r="B3254" s="112" t="s">
        <v>908</v>
      </c>
      <c r="C3254" s="112" t="s">
        <v>679</v>
      </c>
      <c r="D3254" s="113">
        <v>10347962</v>
      </c>
      <c r="E3254" s="115">
        <v>43923</v>
      </c>
      <c r="F3254" s="114">
        <v>202101</v>
      </c>
      <c r="G3254" s="112" t="s">
        <v>1091</v>
      </c>
      <c r="H3254" s="112" t="s">
        <v>1016</v>
      </c>
      <c r="I3254" s="112" t="s">
        <v>1788</v>
      </c>
      <c r="J3254" s="112" t="s">
        <v>2498</v>
      </c>
      <c r="K3254" s="112" t="s">
        <v>3139</v>
      </c>
      <c r="L3254" s="116">
        <v>-305</v>
      </c>
    </row>
    <row r="3255" spans="1:12" hidden="1" outlineLevel="1" collapsed="1" x14ac:dyDescent="0.35">
      <c r="A3255" s="112" t="s">
        <v>2479</v>
      </c>
      <c r="B3255" s="112" t="s">
        <v>908</v>
      </c>
      <c r="C3255" s="112" t="s">
        <v>695</v>
      </c>
      <c r="D3255" s="113">
        <v>10347981</v>
      </c>
      <c r="E3255" s="115">
        <v>43924</v>
      </c>
      <c r="F3255" s="114">
        <v>202101</v>
      </c>
      <c r="G3255" s="112" t="s">
        <v>1091</v>
      </c>
      <c r="H3255" s="112" t="s">
        <v>1015</v>
      </c>
      <c r="I3255" s="112" t="s">
        <v>1102</v>
      </c>
      <c r="J3255" s="112" t="s">
        <v>2520</v>
      </c>
      <c r="K3255" s="112" t="s">
        <v>3140</v>
      </c>
      <c r="L3255" s="116">
        <v>-82.66</v>
      </c>
    </row>
    <row r="3256" spans="1:12" hidden="1" outlineLevel="1" collapsed="1" x14ac:dyDescent="0.35">
      <c r="A3256" s="112" t="s">
        <v>2479</v>
      </c>
      <c r="B3256" s="112" t="s">
        <v>908</v>
      </c>
      <c r="C3256" s="112" t="s">
        <v>679</v>
      </c>
      <c r="D3256" s="113">
        <v>10347962</v>
      </c>
      <c r="E3256" s="115">
        <v>43923</v>
      </c>
      <c r="F3256" s="114">
        <v>202101</v>
      </c>
      <c r="G3256" s="112" t="s">
        <v>1091</v>
      </c>
      <c r="H3256" s="112" t="s">
        <v>1016</v>
      </c>
      <c r="I3256" s="112" t="s">
        <v>1788</v>
      </c>
      <c r="J3256" s="112" t="s">
        <v>2498</v>
      </c>
      <c r="K3256" s="112" t="s">
        <v>3141</v>
      </c>
      <c r="L3256" s="116">
        <v>-190</v>
      </c>
    </row>
    <row r="3257" spans="1:12" hidden="1" outlineLevel="1" collapsed="1" x14ac:dyDescent="0.35">
      <c r="A3257" s="112" t="s">
        <v>2479</v>
      </c>
      <c r="B3257" s="112" t="s">
        <v>908</v>
      </c>
      <c r="C3257" s="112" t="s">
        <v>695</v>
      </c>
      <c r="D3257" s="113">
        <v>10347981</v>
      </c>
      <c r="E3257" s="115">
        <v>43924</v>
      </c>
      <c r="F3257" s="114">
        <v>202101</v>
      </c>
      <c r="G3257" s="112" t="s">
        <v>1091</v>
      </c>
      <c r="H3257" s="112" t="s">
        <v>1015</v>
      </c>
      <c r="I3257" s="112" t="s">
        <v>761</v>
      </c>
      <c r="J3257" s="112" t="s">
        <v>2484</v>
      </c>
      <c r="K3257" s="112" t="s">
        <v>2748</v>
      </c>
      <c r="L3257" s="116">
        <v>-546</v>
      </c>
    </row>
    <row r="3258" spans="1:12" hidden="1" outlineLevel="1" collapsed="1" x14ac:dyDescent="0.35">
      <c r="A3258" s="112" t="s">
        <v>2479</v>
      </c>
      <c r="B3258" s="112" t="s">
        <v>908</v>
      </c>
      <c r="C3258" s="112" t="s">
        <v>679</v>
      </c>
      <c r="D3258" s="113">
        <v>10347962</v>
      </c>
      <c r="E3258" s="115">
        <v>43923</v>
      </c>
      <c r="F3258" s="114">
        <v>202101</v>
      </c>
      <c r="G3258" s="112" t="s">
        <v>1091</v>
      </c>
      <c r="H3258" s="112" t="s">
        <v>1016</v>
      </c>
      <c r="I3258" s="112" t="s">
        <v>1788</v>
      </c>
      <c r="J3258" s="112" t="s">
        <v>2498</v>
      </c>
      <c r="K3258" s="112" t="s">
        <v>3142</v>
      </c>
      <c r="L3258" s="116">
        <v>-190</v>
      </c>
    </row>
    <row r="3259" spans="1:12" hidden="1" outlineLevel="1" collapsed="1" x14ac:dyDescent="0.35">
      <c r="A3259" s="112" t="s">
        <v>2479</v>
      </c>
      <c r="B3259" s="112" t="s">
        <v>908</v>
      </c>
      <c r="C3259" s="112" t="s">
        <v>695</v>
      </c>
      <c r="D3259" s="113">
        <v>10347981</v>
      </c>
      <c r="E3259" s="115">
        <v>43924</v>
      </c>
      <c r="F3259" s="114">
        <v>202101</v>
      </c>
      <c r="G3259" s="112" t="s">
        <v>1091</v>
      </c>
      <c r="H3259" s="112" t="s">
        <v>1015</v>
      </c>
      <c r="I3259" s="112" t="s">
        <v>1182</v>
      </c>
      <c r="J3259" s="112" t="s">
        <v>2584</v>
      </c>
      <c r="K3259" s="112" t="s">
        <v>3143</v>
      </c>
      <c r="L3259" s="116">
        <v>-142.26</v>
      </c>
    </row>
    <row r="3260" spans="1:12" hidden="1" outlineLevel="1" collapsed="1" x14ac:dyDescent="0.35">
      <c r="A3260" s="112" t="s">
        <v>2479</v>
      </c>
      <c r="B3260" s="112" t="s">
        <v>908</v>
      </c>
      <c r="C3260" s="112" t="s">
        <v>679</v>
      </c>
      <c r="D3260" s="113">
        <v>10347962</v>
      </c>
      <c r="E3260" s="115">
        <v>43923</v>
      </c>
      <c r="F3260" s="114">
        <v>202101</v>
      </c>
      <c r="G3260" s="112" t="s">
        <v>1091</v>
      </c>
      <c r="H3260" s="112" t="s">
        <v>1016</v>
      </c>
      <c r="I3260" s="112" t="s">
        <v>1788</v>
      </c>
      <c r="J3260" s="112" t="s">
        <v>2498</v>
      </c>
      <c r="K3260" s="112" t="s">
        <v>3144</v>
      </c>
      <c r="L3260" s="116">
        <v>-60</v>
      </c>
    </row>
    <row r="3261" spans="1:12" hidden="1" outlineLevel="1" collapsed="1" x14ac:dyDescent="0.35">
      <c r="A3261" s="112" t="s">
        <v>2479</v>
      </c>
      <c r="B3261" s="112" t="s">
        <v>908</v>
      </c>
      <c r="C3261" s="112" t="s">
        <v>679</v>
      </c>
      <c r="D3261" s="113">
        <v>10347962</v>
      </c>
      <c r="E3261" s="115">
        <v>43923</v>
      </c>
      <c r="F3261" s="114">
        <v>202101</v>
      </c>
      <c r="G3261" s="112" t="s">
        <v>1091</v>
      </c>
      <c r="H3261" s="112" t="s">
        <v>1016</v>
      </c>
      <c r="I3261" s="112" t="s">
        <v>1788</v>
      </c>
      <c r="J3261" s="112" t="s">
        <v>2498</v>
      </c>
      <c r="K3261" s="112" t="s">
        <v>3145</v>
      </c>
      <c r="L3261" s="116">
        <v>-60</v>
      </c>
    </row>
    <row r="3262" spans="1:12" hidden="1" outlineLevel="1" collapsed="1" x14ac:dyDescent="0.35">
      <c r="A3262" s="112" t="s">
        <v>2479</v>
      </c>
      <c r="B3262" s="112" t="s">
        <v>908</v>
      </c>
      <c r="C3262" s="112" t="s">
        <v>695</v>
      </c>
      <c r="D3262" s="113">
        <v>10347981</v>
      </c>
      <c r="E3262" s="115">
        <v>43924</v>
      </c>
      <c r="F3262" s="114">
        <v>202101</v>
      </c>
      <c r="G3262" s="112" t="s">
        <v>1091</v>
      </c>
      <c r="H3262" s="112" t="s">
        <v>1015</v>
      </c>
      <c r="I3262" s="112" t="s">
        <v>2997</v>
      </c>
      <c r="J3262" s="112" t="s">
        <v>2520</v>
      </c>
      <c r="K3262" s="112" t="s">
        <v>3146</v>
      </c>
      <c r="L3262" s="116">
        <v>-20</v>
      </c>
    </row>
    <row r="3263" spans="1:12" hidden="1" outlineLevel="1" collapsed="1" x14ac:dyDescent="0.35">
      <c r="A3263" s="112" t="s">
        <v>2479</v>
      </c>
      <c r="B3263" s="112" t="s">
        <v>908</v>
      </c>
      <c r="C3263" s="112" t="s">
        <v>695</v>
      </c>
      <c r="D3263" s="113">
        <v>10347981</v>
      </c>
      <c r="E3263" s="115">
        <v>43924</v>
      </c>
      <c r="F3263" s="114">
        <v>202101</v>
      </c>
      <c r="G3263" s="112" t="s">
        <v>1091</v>
      </c>
      <c r="H3263" s="112" t="s">
        <v>1015</v>
      </c>
      <c r="I3263" s="112" t="s">
        <v>761</v>
      </c>
      <c r="J3263" s="112" t="s">
        <v>2484</v>
      </c>
      <c r="K3263" s="112" t="s">
        <v>3147</v>
      </c>
      <c r="L3263" s="116">
        <v>-47.2</v>
      </c>
    </row>
    <row r="3264" spans="1:12" hidden="1" outlineLevel="1" collapsed="1" x14ac:dyDescent="0.35">
      <c r="A3264" s="112" t="s">
        <v>2479</v>
      </c>
      <c r="B3264" s="112" t="s">
        <v>908</v>
      </c>
      <c r="C3264" s="112" t="s">
        <v>695</v>
      </c>
      <c r="D3264" s="113">
        <v>10347981</v>
      </c>
      <c r="E3264" s="115">
        <v>43924</v>
      </c>
      <c r="F3264" s="114">
        <v>202101</v>
      </c>
      <c r="G3264" s="112" t="s">
        <v>1091</v>
      </c>
      <c r="H3264" s="112" t="s">
        <v>1015</v>
      </c>
      <c r="I3264" s="112" t="s">
        <v>761</v>
      </c>
      <c r="J3264" s="112" t="s">
        <v>2484</v>
      </c>
      <c r="K3264" s="112" t="s">
        <v>3148</v>
      </c>
      <c r="L3264" s="116">
        <v>-500</v>
      </c>
    </row>
    <row r="3265" spans="1:12" hidden="1" outlineLevel="1" collapsed="1" x14ac:dyDescent="0.35">
      <c r="A3265" s="112" t="s">
        <v>2479</v>
      </c>
      <c r="B3265" s="112" t="s">
        <v>908</v>
      </c>
      <c r="C3265" s="112" t="s">
        <v>679</v>
      </c>
      <c r="D3265" s="113">
        <v>10347962</v>
      </c>
      <c r="E3265" s="115">
        <v>43923</v>
      </c>
      <c r="F3265" s="114">
        <v>202101</v>
      </c>
      <c r="G3265" s="112" t="s">
        <v>1091</v>
      </c>
      <c r="H3265" s="112" t="s">
        <v>1016</v>
      </c>
      <c r="I3265" s="112" t="s">
        <v>1788</v>
      </c>
      <c r="J3265" s="112" t="s">
        <v>2498</v>
      </c>
      <c r="K3265" s="112" t="s">
        <v>3149</v>
      </c>
      <c r="L3265" s="116">
        <v>-190</v>
      </c>
    </row>
    <row r="3266" spans="1:12" hidden="1" outlineLevel="1" collapsed="1" x14ac:dyDescent="0.35">
      <c r="A3266" s="112" t="s">
        <v>2479</v>
      </c>
      <c r="B3266" s="112" t="s">
        <v>909</v>
      </c>
      <c r="C3266" s="112" t="s">
        <v>695</v>
      </c>
      <c r="D3266" s="113">
        <v>10347981</v>
      </c>
      <c r="E3266" s="115">
        <v>43924</v>
      </c>
      <c r="F3266" s="114">
        <v>202101</v>
      </c>
      <c r="G3266" s="112" t="s">
        <v>1091</v>
      </c>
      <c r="H3266" s="112" t="s">
        <v>1015</v>
      </c>
      <c r="I3266" s="112" t="s">
        <v>1246</v>
      </c>
      <c r="J3266" s="112" t="s">
        <v>2523</v>
      </c>
      <c r="K3266" s="112" t="s">
        <v>3150</v>
      </c>
      <c r="L3266" s="116">
        <v>-3300</v>
      </c>
    </row>
    <row r="3267" spans="1:12" hidden="1" outlineLevel="1" collapsed="1" x14ac:dyDescent="0.35">
      <c r="A3267" s="112" t="s">
        <v>2479</v>
      </c>
      <c r="B3267" s="112" t="s">
        <v>908</v>
      </c>
      <c r="C3267" s="112" t="s">
        <v>679</v>
      </c>
      <c r="D3267" s="113">
        <v>10347962</v>
      </c>
      <c r="E3267" s="115">
        <v>43923</v>
      </c>
      <c r="F3267" s="114">
        <v>202101</v>
      </c>
      <c r="G3267" s="112" t="s">
        <v>1091</v>
      </c>
      <c r="H3267" s="112" t="s">
        <v>1016</v>
      </c>
      <c r="I3267" s="112" t="s">
        <v>1788</v>
      </c>
      <c r="J3267" s="112" t="s">
        <v>2498</v>
      </c>
      <c r="K3267" s="112" t="s">
        <v>3151</v>
      </c>
      <c r="L3267" s="116">
        <v>-190</v>
      </c>
    </row>
    <row r="3268" spans="1:12" hidden="1" outlineLevel="1" collapsed="1" x14ac:dyDescent="0.35">
      <c r="A3268" s="112" t="s">
        <v>2479</v>
      </c>
      <c r="B3268" s="112" t="s">
        <v>908</v>
      </c>
      <c r="C3268" s="112" t="s">
        <v>695</v>
      </c>
      <c r="D3268" s="113">
        <v>10347981</v>
      </c>
      <c r="E3268" s="115">
        <v>43924</v>
      </c>
      <c r="F3268" s="114">
        <v>202101</v>
      </c>
      <c r="G3268" s="112" t="s">
        <v>1091</v>
      </c>
      <c r="H3268" s="112" t="s">
        <v>1015</v>
      </c>
      <c r="I3268" s="112" t="s">
        <v>761</v>
      </c>
      <c r="J3268" s="112" t="s">
        <v>2553</v>
      </c>
      <c r="K3268" s="112" t="s">
        <v>3152</v>
      </c>
      <c r="L3268" s="116">
        <v>-45.9</v>
      </c>
    </row>
    <row r="3269" spans="1:12" hidden="1" outlineLevel="1" collapsed="1" x14ac:dyDescent="0.35">
      <c r="A3269" s="112" t="s">
        <v>2479</v>
      </c>
      <c r="B3269" s="112" t="s">
        <v>908</v>
      </c>
      <c r="C3269" s="112" t="s">
        <v>695</v>
      </c>
      <c r="D3269" s="113">
        <v>10347981</v>
      </c>
      <c r="E3269" s="115">
        <v>43924</v>
      </c>
      <c r="F3269" s="114">
        <v>202101</v>
      </c>
      <c r="G3269" s="112" t="s">
        <v>1091</v>
      </c>
      <c r="H3269" s="112" t="s">
        <v>1015</v>
      </c>
      <c r="I3269" s="112" t="s">
        <v>2502</v>
      </c>
      <c r="J3269" s="112" t="s">
        <v>2503</v>
      </c>
      <c r="K3269" s="112" t="s">
        <v>3153</v>
      </c>
      <c r="L3269" s="116">
        <v>-61.29</v>
      </c>
    </row>
    <row r="3270" spans="1:12" hidden="1" outlineLevel="1" collapsed="1" x14ac:dyDescent="0.35">
      <c r="A3270" s="112" t="s">
        <v>2479</v>
      </c>
      <c r="B3270" s="112" t="s">
        <v>908</v>
      </c>
      <c r="C3270" s="112" t="s">
        <v>695</v>
      </c>
      <c r="D3270" s="113">
        <v>10347981</v>
      </c>
      <c r="E3270" s="115">
        <v>43924</v>
      </c>
      <c r="F3270" s="114">
        <v>202101</v>
      </c>
      <c r="G3270" s="112" t="s">
        <v>1091</v>
      </c>
      <c r="H3270" s="112" t="s">
        <v>1015</v>
      </c>
      <c r="I3270" s="112" t="s">
        <v>761</v>
      </c>
      <c r="J3270" s="112" t="s">
        <v>2553</v>
      </c>
      <c r="K3270" s="112" t="s">
        <v>3154</v>
      </c>
      <c r="L3270" s="116">
        <v>-28.68</v>
      </c>
    </row>
    <row r="3271" spans="1:12" hidden="1" outlineLevel="1" collapsed="1" x14ac:dyDescent="0.35">
      <c r="A3271" s="112" t="s">
        <v>2479</v>
      </c>
      <c r="B3271" s="112" t="s">
        <v>908</v>
      </c>
      <c r="C3271" s="112" t="s">
        <v>695</v>
      </c>
      <c r="D3271" s="113">
        <v>10347981</v>
      </c>
      <c r="E3271" s="115">
        <v>43924</v>
      </c>
      <c r="F3271" s="114">
        <v>202101</v>
      </c>
      <c r="G3271" s="112" t="s">
        <v>1091</v>
      </c>
      <c r="H3271" s="112" t="s">
        <v>1015</v>
      </c>
      <c r="I3271" s="112" t="s">
        <v>761</v>
      </c>
      <c r="J3271" s="112" t="s">
        <v>2484</v>
      </c>
      <c r="K3271" s="112" t="s">
        <v>3155</v>
      </c>
      <c r="L3271" s="116">
        <v>-35.42</v>
      </c>
    </row>
    <row r="3272" spans="1:12" hidden="1" outlineLevel="1" collapsed="1" x14ac:dyDescent="0.35">
      <c r="A3272" s="112" t="s">
        <v>2479</v>
      </c>
      <c r="B3272" s="112" t="s">
        <v>908</v>
      </c>
      <c r="C3272" s="112" t="s">
        <v>679</v>
      </c>
      <c r="D3272" s="113">
        <v>10347962</v>
      </c>
      <c r="E3272" s="115">
        <v>43923</v>
      </c>
      <c r="F3272" s="114">
        <v>202101</v>
      </c>
      <c r="G3272" s="112" t="s">
        <v>1091</v>
      </c>
      <c r="H3272" s="112" t="s">
        <v>1016</v>
      </c>
      <c r="I3272" s="112" t="s">
        <v>1788</v>
      </c>
      <c r="J3272" s="112" t="s">
        <v>2498</v>
      </c>
      <c r="K3272" s="112" t="s">
        <v>3156</v>
      </c>
      <c r="L3272" s="116">
        <v>-190</v>
      </c>
    </row>
    <row r="3273" spans="1:12" hidden="1" outlineLevel="1" collapsed="1" x14ac:dyDescent="0.35">
      <c r="A3273" s="112" t="s">
        <v>2479</v>
      </c>
      <c r="B3273" s="112" t="s">
        <v>908</v>
      </c>
      <c r="C3273" s="112" t="s">
        <v>695</v>
      </c>
      <c r="D3273" s="113">
        <v>10347981</v>
      </c>
      <c r="E3273" s="115">
        <v>43924</v>
      </c>
      <c r="F3273" s="114">
        <v>202101</v>
      </c>
      <c r="G3273" s="112" t="s">
        <v>1091</v>
      </c>
      <c r="H3273" s="112" t="s">
        <v>1015</v>
      </c>
      <c r="I3273" s="112" t="s">
        <v>761</v>
      </c>
      <c r="J3273" s="112" t="s">
        <v>2484</v>
      </c>
      <c r="K3273" s="112" t="s">
        <v>3157</v>
      </c>
      <c r="L3273" s="116">
        <v>-62</v>
      </c>
    </row>
    <row r="3274" spans="1:12" hidden="1" outlineLevel="1" collapsed="1" x14ac:dyDescent="0.35">
      <c r="A3274" s="112" t="s">
        <v>2479</v>
      </c>
      <c r="B3274" s="112" t="s">
        <v>908</v>
      </c>
      <c r="C3274" s="112" t="s">
        <v>695</v>
      </c>
      <c r="D3274" s="113">
        <v>10347981</v>
      </c>
      <c r="E3274" s="115">
        <v>43924</v>
      </c>
      <c r="F3274" s="114">
        <v>202101</v>
      </c>
      <c r="G3274" s="112" t="s">
        <v>1091</v>
      </c>
      <c r="H3274" s="112" t="s">
        <v>1015</v>
      </c>
      <c r="I3274" s="112" t="s">
        <v>1182</v>
      </c>
      <c r="J3274" s="112" t="s">
        <v>2584</v>
      </c>
      <c r="K3274" s="112" t="s">
        <v>2757</v>
      </c>
      <c r="L3274" s="116">
        <v>-9</v>
      </c>
    </row>
    <row r="3275" spans="1:12" hidden="1" outlineLevel="1" collapsed="1" x14ac:dyDescent="0.35">
      <c r="A3275" s="112" t="s">
        <v>2479</v>
      </c>
      <c r="B3275" s="112" t="s">
        <v>908</v>
      </c>
      <c r="C3275" s="112" t="s">
        <v>679</v>
      </c>
      <c r="D3275" s="113">
        <v>10347962</v>
      </c>
      <c r="E3275" s="115">
        <v>43923</v>
      </c>
      <c r="F3275" s="114">
        <v>202101</v>
      </c>
      <c r="G3275" s="112" t="s">
        <v>1091</v>
      </c>
      <c r="H3275" s="112" t="s">
        <v>1016</v>
      </c>
      <c r="I3275" s="112" t="s">
        <v>819</v>
      </c>
      <c r="J3275" s="112" t="s">
        <v>2501</v>
      </c>
      <c r="K3275" s="112" t="s">
        <v>2877</v>
      </c>
      <c r="L3275" s="116">
        <v>-166.67</v>
      </c>
    </row>
    <row r="3276" spans="1:12" hidden="1" outlineLevel="1" collapsed="1" x14ac:dyDescent="0.35">
      <c r="A3276" s="112" t="s">
        <v>2479</v>
      </c>
      <c r="B3276" s="112" t="s">
        <v>908</v>
      </c>
      <c r="C3276" s="112" t="s">
        <v>679</v>
      </c>
      <c r="D3276" s="113">
        <v>10348418</v>
      </c>
      <c r="E3276" s="115">
        <v>43944</v>
      </c>
      <c r="F3276" s="114">
        <v>202101</v>
      </c>
      <c r="G3276" s="112" t="s">
        <v>1091</v>
      </c>
      <c r="H3276" s="112" t="s">
        <v>1016</v>
      </c>
      <c r="I3276" s="112" t="s">
        <v>1788</v>
      </c>
      <c r="J3276" s="112" t="s">
        <v>2498</v>
      </c>
      <c r="K3276" s="112" t="s">
        <v>3158</v>
      </c>
      <c r="L3276" s="116">
        <v>-60</v>
      </c>
    </row>
    <row r="3277" spans="1:12" hidden="1" outlineLevel="1" collapsed="1" x14ac:dyDescent="0.35">
      <c r="A3277" s="112" t="s">
        <v>2479</v>
      </c>
      <c r="B3277" s="112" t="s">
        <v>908</v>
      </c>
      <c r="C3277" s="112" t="s">
        <v>679</v>
      </c>
      <c r="D3277" s="113">
        <v>10348056</v>
      </c>
      <c r="E3277" s="115">
        <v>43928</v>
      </c>
      <c r="F3277" s="114">
        <v>202101</v>
      </c>
      <c r="G3277" s="112" t="s">
        <v>1091</v>
      </c>
      <c r="H3277" s="112" t="s">
        <v>1015</v>
      </c>
      <c r="I3277" s="112" t="s">
        <v>1536</v>
      </c>
      <c r="J3277" s="112" t="s">
        <v>2513</v>
      </c>
      <c r="K3277" s="112" t="s">
        <v>706</v>
      </c>
      <c r="L3277" s="116">
        <v>90</v>
      </c>
    </row>
    <row r="3278" spans="1:12" hidden="1" outlineLevel="1" collapsed="1" x14ac:dyDescent="0.35">
      <c r="A3278" s="112" t="s">
        <v>2479</v>
      </c>
      <c r="B3278" s="112" t="s">
        <v>909</v>
      </c>
      <c r="C3278" s="112" t="s">
        <v>679</v>
      </c>
      <c r="D3278" s="113">
        <v>10348418</v>
      </c>
      <c r="E3278" s="115">
        <v>43944</v>
      </c>
      <c r="F3278" s="114">
        <v>202101</v>
      </c>
      <c r="G3278" s="112" t="s">
        <v>1091</v>
      </c>
      <c r="H3278" s="112" t="s">
        <v>1016</v>
      </c>
      <c r="I3278" s="112" t="s">
        <v>2536</v>
      </c>
      <c r="J3278" s="112" t="s">
        <v>2523</v>
      </c>
      <c r="K3278" s="112" t="s">
        <v>3159</v>
      </c>
      <c r="L3278" s="116">
        <v>-177</v>
      </c>
    </row>
    <row r="3279" spans="1:12" hidden="1" outlineLevel="1" collapsed="1" x14ac:dyDescent="0.35">
      <c r="A3279" s="112" t="s">
        <v>2479</v>
      </c>
      <c r="B3279" s="112" t="s">
        <v>908</v>
      </c>
      <c r="C3279" s="112" t="s">
        <v>695</v>
      </c>
      <c r="D3279" s="113">
        <v>10347981</v>
      </c>
      <c r="E3279" s="115">
        <v>43924</v>
      </c>
      <c r="F3279" s="114">
        <v>202101</v>
      </c>
      <c r="G3279" s="112" t="s">
        <v>1091</v>
      </c>
      <c r="H3279" s="112" t="s">
        <v>1015</v>
      </c>
      <c r="I3279" s="112" t="s">
        <v>2997</v>
      </c>
      <c r="J3279" s="112" t="s">
        <v>2520</v>
      </c>
      <c r="K3279" s="112" t="s">
        <v>3160</v>
      </c>
      <c r="L3279" s="116">
        <v>-20</v>
      </c>
    </row>
    <row r="3280" spans="1:12" hidden="1" outlineLevel="1" collapsed="1" x14ac:dyDescent="0.35">
      <c r="A3280" s="112" t="s">
        <v>2479</v>
      </c>
      <c r="B3280" s="112" t="s">
        <v>909</v>
      </c>
      <c r="C3280" s="112" t="s">
        <v>1518</v>
      </c>
      <c r="D3280" s="113">
        <v>51365672</v>
      </c>
      <c r="E3280" s="115">
        <v>43923</v>
      </c>
      <c r="F3280" s="114">
        <v>202101</v>
      </c>
      <c r="G3280" s="112" t="s">
        <v>1091</v>
      </c>
      <c r="H3280" s="112" t="s">
        <v>1016</v>
      </c>
      <c r="I3280" s="112" t="s">
        <v>1788</v>
      </c>
      <c r="J3280" s="112" t="s">
        <v>2652</v>
      </c>
      <c r="K3280" s="112" t="s">
        <v>3161</v>
      </c>
      <c r="L3280" s="116">
        <v>-100</v>
      </c>
    </row>
    <row r="3281" spans="1:12" hidden="1" outlineLevel="1" collapsed="1" x14ac:dyDescent="0.35">
      <c r="A3281" s="112" t="s">
        <v>2479</v>
      </c>
      <c r="B3281" s="112" t="s">
        <v>909</v>
      </c>
      <c r="C3281" s="112" t="s">
        <v>679</v>
      </c>
      <c r="D3281" s="113">
        <v>10347962</v>
      </c>
      <c r="E3281" s="115">
        <v>43923</v>
      </c>
      <c r="F3281" s="114">
        <v>202101</v>
      </c>
      <c r="G3281" s="112" t="s">
        <v>1091</v>
      </c>
      <c r="H3281" s="112" t="s">
        <v>1016</v>
      </c>
      <c r="I3281" s="112" t="s">
        <v>2536</v>
      </c>
      <c r="J3281" s="112" t="s">
        <v>2523</v>
      </c>
      <c r="K3281" s="112" t="s">
        <v>3162</v>
      </c>
      <c r="L3281" s="116">
        <v>-115</v>
      </c>
    </row>
    <row r="3282" spans="1:12" hidden="1" outlineLevel="1" collapsed="1" x14ac:dyDescent="0.35">
      <c r="A3282" s="112" t="s">
        <v>2479</v>
      </c>
      <c r="B3282" s="112" t="s">
        <v>908</v>
      </c>
      <c r="C3282" s="112" t="s">
        <v>679</v>
      </c>
      <c r="D3282" s="113">
        <v>10347962</v>
      </c>
      <c r="E3282" s="115">
        <v>43923</v>
      </c>
      <c r="F3282" s="114">
        <v>202101</v>
      </c>
      <c r="G3282" s="112" t="s">
        <v>1091</v>
      </c>
      <c r="H3282" s="112" t="s">
        <v>1016</v>
      </c>
      <c r="I3282" s="112" t="s">
        <v>1788</v>
      </c>
      <c r="J3282" s="112" t="s">
        <v>2498</v>
      </c>
      <c r="K3282" s="112" t="s">
        <v>3163</v>
      </c>
      <c r="L3282" s="116">
        <v>-220</v>
      </c>
    </row>
    <row r="3283" spans="1:12" hidden="1" outlineLevel="1" collapsed="1" x14ac:dyDescent="0.35">
      <c r="A3283" s="112" t="s">
        <v>2479</v>
      </c>
      <c r="B3283" s="112" t="s">
        <v>908</v>
      </c>
      <c r="C3283" s="112" t="s">
        <v>679</v>
      </c>
      <c r="D3283" s="113">
        <v>10347962</v>
      </c>
      <c r="E3283" s="115">
        <v>43923</v>
      </c>
      <c r="F3283" s="114">
        <v>202101</v>
      </c>
      <c r="G3283" s="112" t="s">
        <v>1091</v>
      </c>
      <c r="H3283" s="112" t="s">
        <v>1016</v>
      </c>
      <c r="I3283" s="112" t="s">
        <v>1788</v>
      </c>
      <c r="J3283" s="112" t="s">
        <v>2498</v>
      </c>
      <c r="K3283" s="112" t="s">
        <v>3164</v>
      </c>
      <c r="L3283" s="116">
        <v>-85</v>
      </c>
    </row>
    <row r="3284" spans="1:12" hidden="1" outlineLevel="1" collapsed="1" x14ac:dyDescent="0.35">
      <c r="A3284" s="112" t="s">
        <v>2479</v>
      </c>
      <c r="B3284" s="112" t="s">
        <v>908</v>
      </c>
      <c r="C3284" s="112" t="s">
        <v>679</v>
      </c>
      <c r="D3284" s="113">
        <v>10348418</v>
      </c>
      <c r="E3284" s="115">
        <v>43944</v>
      </c>
      <c r="F3284" s="114">
        <v>202101</v>
      </c>
      <c r="G3284" s="112" t="s">
        <v>1091</v>
      </c>
      <c r="H3284" s="112" t="s">
        <v>1016</v>
      </c>
      <c r="I3284" s="112" t="s">
        <v>1788</v>
      </c>
      <c r="J3284" s="112" t="s">
        <v>2498</v>
      </c>
      <c r="K3284" s="112" t="s">
        <v>3165</v>
      </c>
      <c r="L3284" s="116">
        <v>-305</v>
      </c>
    </row>
    <row r="3285" spans="1:12" hidden="1" outlineLevel="1" collapsed="1" x14ac:dyDescent="0.35">
      <c r="A3285" s="112" t="s">
        <v>2479</v>
      </c>
      <c r="B3285" s="112" t="s">
        <v>908</v>
      </c>
      <c r="C3285" s="112" t="s">
        <v>679</v>
      </c>
      <c r="D3285" s="113">
        <v>10348418</v>
      </c>
      <c r="E3285" s="115">
        <v>43944</v>
      </c>
      <c r="F3285" s="114">
        <v>202101</v>
      </c>
      <c r="G3285" s="112" t="s">
        <v>1091</v>
      </c>
      <c r="H3285" s="112" t="s">
        <v>1016</v>
      </c>
      <c r="I3285" s="112" t="s">
        <v>1788</v>
      </c>
      <c r="J3285" s="112" t="s">
        <v>2498</v>
      </c>
      <c r="K3285" s="112" t="s">
        <v>3166</v>
      </c>
      <c r="L3285" s="116">
        <v>-190</v>
      </c>
    </row>
    <row r="3286" spans="1:12" hidden="1" outlineLevel="1" collapsed="1" x14ac:dyDescent="0.35">
      <c r="A3286" s="112" t="s">
        <v>2479</v>
      </c>
      <c r="B3286" s="112" t="s">
        <v>908</v>
      </c>
      <c r="C3286" s="112" t="s">
        <v>679</v>
      </c>
      <c r="D3286" s="113">
        <v>10348418</v>
      </c>
      <c r="E3286" s="115">
        <v>43944</v>
      </c>
      <c r="F3286" s="114">
        <v>202101</v>
      </c>
      <c r="G3286" s="112" t="s">
        <v>1091</v>
      </c>
      <c r="H3286" s="112" t="s">
        <v>1016</v>
      </c>
      <c r="I3286" s="112" t="s">
        <v>1788</v>
      </c>
      <c r="J3286" s="112" t="s">
        <v>2498</v>
      </c>
      <c r="K3286" s="112" t="s">
        <v>3167</v>
      </c>
      <c r="L3286" s="116">
        <v>-190</v>
      </c>
    </row>
    <row r="3287" spans="1:12" hidden="1" outlineLevel="1" collapsed="1" x14ac:dyDescent="0.35">
      <c r="A3287" s="112" t="s">
        <v>2479</v>
      </c>
      <c r="B3287" s="112" t="s">
        <v>908</v>
      </c>
      <c r="C3287" s="112" t="s">
        <v>679</v>
      </c>
      <c r="D3287" s="113">
        <v>10348418</v>
      </c>
      <c r="E3287" s="115">
        <v>43944</v>
      </c>
      <c r="F3287" s="114">
        <v>202101</v>
      </c>
      <c r="G3287" s="112" t="s">
        <v>1091</v>
      </c>
      <c r="H3287" s="112" t="s">
        <v>1016</v>
      </c>
      <c r="I3287" s="112" t="s">
        <v>1788</v>
      </c>
      <c r="J3287" s="112" t="s">
        <v>2498</v>
      </c>
      <c r="K3287" s="112" t="s">
        <v>3168</v>
      </c>
      <c r="L3287" s="116">
        <v>-190</v>
      </c>
    </row>
    <row r="3288" spans="1:12" hidden="1" outlineLevel="1" collapsed="1" x14ac:dyDescent="0.35">
      <c r="A3288" s="112" t="s">
        <v>2479</v>
      </c>
      <c r="B3288" s="112" t="s">
        <v>908</v>
      </c>
      <c r="C3288" s="112" t="s">
        <v>679</v>
      </c>
      <c r="D3288" s="113">
        <v>10348418</v>
      </c>
      <c r="E3288" s="115">
        <v>43944</v>
      </c>
      <c r="F3288" s="114">
        <v>202101</v>
      </c>
      <c r="G3288" s="112" t="s">
        <v>1091</v>
      </c>
      <c r="H3288" s="112" t="s">
        <v>1016</v>
      </c>
      <c r="I3288" s="112" t="s">
        <v>1788</v>
      </c>
      <c r="J3288" s="112" t="s">
        <v>2498</v>
      </c>
      <c r="K3288" s="112" t="s">
        <v>3169</v>
      </c>
      <c r="L3288" s="116">
        <v>-85</v>
      </c>
    </row>
    <row r="3289" spans="1:12" hidden="1" outlineLevel="1" collapsed="1" x14ac:dyDescent="0.35">
      <c r="A3289" s="112" t="s">
        <v>2479</v>
      </c>
      <c r="B3289" s="112" t="s">
        <v>908</v>
      </c>
      <c r="C3289" s="112" t="s">
        <v>679</v>
      </c>
      <c r="D3289" s="113">
        <v>10348418</v>
      </c>
      <c r="E3289" s="115">
        <v>43944</v>
      </c>
      <c r="F3289" s="114">
        <v>202101</v>
      </c>
      <c r="G3289" s="112" t="s">
        <v>1091</v>
      </c>
      <c r="H3289" s="112" t="s">
        <v>1016</v>
      </c>
      <c r="I3289" s="112" t="s">
        <v>1788</v>
      </c>
      <c r="J3289" s="112" t="s">
        <v>2498</v>
      </c>
      <c r="K3289" s="112" t="s">
        <v>3170</v>
      </c>
      <c r="L3289" s="116">
        <v>-60</v>
      </c>
    </row>
    <row r="3290" spans="1:12" hidden="1" outlineLevel="1" collapsed="1" x14ac:dyDescent="0.35">
      <c r="A3290" s="112" t="s">
        <v>2479</v>
      </c>
      <c r="B3290" s="112" t="s">
        <v>909</v>
      </c>
      <c r="C3290" s="112" t="s">
        <v>1099</v>
      </c>
      <c r="D3290" s="113">
        <v>1069268</v>
      </c>
      <c r="E3290" s="115">
        <v>43909</v>
      </c>
      <c r="F3290" s="114">
        <v>202101</v>
      </c>
      <c r="G3290" s="112" t="s">
        <v>1091</v>
      </c>
      <c r="H3290" s="112" t="s">
        <v>1015</v>
      </c>
      <c r="I3290" s="112" t="s">
        <v>1092</v>
      </c>
      <c r="J3290" s="112" t="s">
        <v>2673</v>
      </c>
      <c r="K3290" s="112" t="s">
        <v>1438</v>
      </c>
      <c r="L3290" s="116">
        <v>35</v>
      </c>
    </row>
    <row r="3291" spans="1:12" hidden="1" outlineLevel="1" collapsed="1" x14ac:dyDescent="0.35">
      <c r="A3291" s="112" t="s">
        <v>2479</v>
      </c>
      <c r="B3291" s="112" t="s">
        <v>908</v>
      </c>
      <c r="C3291" s="112" t="s">
        <v>679</v>
      </c>
      <c r="D3291" s="113">
        <v>10348418</v>
      </c>
      <c r="E3291" s="115">
        <v>43944</v>
      </c>
      <c r="F3291" s="114">
        <v>202101</v>
      </c>
      <c r="G3291" s="112" t="s">
        <v>1091</v>
      </c>
      <c r="H3291" s="112" t="s">
        <v>1016</v>
      </c>
      <c r="I3291" s="112" t="s">
        <v>1788</v>
      </c>
      <c r="J3291" s="112" t="s">
        <v>2498</v>
      </c>
      <c r="K3291" s="112" t="s">
        <v>3171</v>
      </c>
      <c r="L3291" s="116">
        <v>-190</v>
      </c>
    </row>
    <row r="3292" spans="1:12" hidden="1" outlineLevel="1" collapsed="1" x14ac:dyDescent="0.35">
      <c r="A3292" s="112" t="s">
        <v>2479</v>
      </c>
      <c r="B3292" s="112" t="s">
        <v>908</v>
      </c>
      <c r="C3292" s="112" t="s">
        <v>679</v>
      </c>
      <c r="D3292" s="113">
        <v>10348418</v>
      </c>
      <c r="E3292" s="115">
        <v>43944</v>
      </c>
      <c r="F3292" s="114">
        <v>202101</v>
      </c>
      <c r="G3292" s="112" t="s">
        <v>1091</v>
      </c>
      <c r="H3292" s="112" t="s">
        <v>1016</v>
      </c>
      <c r="I3292" s="112" t="s">
        <v>1788</v>
      </c>
      <c r="J3292" s="112" t="s">
        <v>2498</v>
      </c>
      <c r="K3292" s="112" t="s">
        <v>3172</v>
      </c>
      <c r="L3292" s="116">
        <v>-60</v>
      </c>
    </row>
    <row r="3293" spans="1:12" hidden="1" outlineLevel="1" collapsed="1" x14ac:dyDescent="0.35">
      <c r="A3293" s="112" t="s">
        <v>2479</v>
      </c>
      <c r="B3293" s="112" t="s">
        <v>909</v>
      </c>
      <c r="C3293" s="112" t="s">
        <v>679</v>
      </c>
      <c r="D3293" s="113">
        <v>10347984</v>
      </c>
      <c r="E3293" s="115">
        <v>43924</v>
      </c>
      <c r="F3293" s="114">
        <v>202101</v>
      </c>
      <c r="G3293" s="112" t="s">
        <v>1091</v>
      </c>
      <c r="H3293" s="112" t="s">
        <v>1016</v>
      </c>
      <c r="I3293" s="112" t="s">
        <v>2654</v>
      </c>
      <c r="J3293" s="112" t="s">
        <v>2523</v>
      </c>
      <c r="K3293" s="112" t="s">
        <v>3173</v>
      </c>
      <c r="L3293" s="116">
        <v>-415</v>
      </c>
    </row>
    <row r="3294" spans="1:12" hidden="1" outlineLevel="1" collapsed="1" x14ac:dyDescent="0.35">
      <c r="A3294" s="112" t="s">
        <v>2479</v>
      </c>
      <c r="B3294" s="112" t="s">
        <v>908</v>
      </c>
      <c r="C3294" s="112" t="s">
        <v>679</v>
      </c>
      <c r="D3294" s="113">
        <v>10348418</v>
      </c>
      <c r="E3294" s="115">
        <v>43944</v>
      </c>
      <c r="F3294" s="114">
        <v>202101</v>
      </c>
      <c r="G3294" s="112" t="s">
        <v>1091</v>
      </c>
      <c r="H3294" s="112" t="s">
        <v>1016</v>
      </c>
      <c r="I3294" s="112" t="s">
        <v>1788</v>
      </c>
      <c r="J3294" s="112" t="s">
        <v>2498</v>
      </c>
      <c r="K3294" s="112" t="s">
        <v>3174</v>
      </c>
      <c r="L3294" s="116">
        <v>-85</v>
      </c>
    </row>
    <row r="3295" spans="1:12" hidden="1" outlineLevel="1" collapsed="1" x14ac:dyDescent="0.35">
      <c r="A3295" s="112" t="s">
        <v>2479</v>
      </c>
      <c r="B3295" s="112" t="s">
        <v>908</v>
      </c>
      <c r="C3295" s="112" t="s">
        <v>679</v>
      </c>
      <c r="D3295" s="113">
        <v>10348418</v>
      </c>
      <c r="E3295" s="115">
        <v>43944</v>
      </c>
      <c r="F3295" s="114">
        <v>202101</v>
      </c>
      <c r="G3295" s="112" t="s">
        <v>1091</v>
      </c>
      <c r="H3295" s="112" t="s">
        <v>1016</v>
      </c>
      <c r="I3295" s="112" t="s">
        <v>1788</v>
      </c>
      <c r="J3295" s="112" t="s">
        <v>2498</v>
      </c>
      <c r="K3295" s="112" t="s">
        <v>3175</v>
      </c>
      <c r="L3295" s="116">
        <v>-85</v>
      </c>
    </row>
    <row r="3296" spans="1:12" hidden="1" outlineLevel="1" collapsed="1" x14ac:dyDescent="0.35">
      <c r="A3296" s="112" t="s">
        <v>2479</v>
      </c>
      <c r="B3296" s="112" t="s">
        <v>908</v>
      </c>
      <c r="C3296" s="112" t="s">
        <v>679</v>
      </c>
      <c r="D3296" s="113">
        <v>10348418</v>
      </c>
      <c r="E3296" s="115">
        <v>43944</v>
      </c>
      <c r="F3296" s="114">
        <v>202101</v>
      </c>
      <c r="G3296" s="112" t="s">
        <v>1091</v>
      </c>
      <c r="H3296" s="112" t="s">
        <v>1016</v>
      </c>
      <c r="I3296" s="112" t="s">
        <v>1788</v>
      </c>
      <c r="J3296" s="112" t="s">
        <v>2498</v>
      </c>
      <c r="K3296" s="112" t="s">
        <v>3176</v>
      </c>
      <c r="L3296" s="116">
        <v>-190</v>
      </c>
    </row>
    <row r="3297" spans="1:12" hidden="1" outlineLevel="1" collapsed="1" x14ac:dyDescent="0.35">
      <c r="A3297" s="112" t="s">
        <v>2479</v>
      </c>
      <c r="B3297" s="112" t="s">
        <v>908</v>
      </c>
      <c r="C3297" s="112" t="s">
        <v>679</v>
      </c>
      <c r="D3297" s="113">
        <v>10348418</v>
      </c>
      <c r="E3297" s="115">
        <v>43944</v>
      </c>
      <c r="F3297" s="114">
        <v>202101</v>
      </c>
      <c r="G3297" s="112" t="s">
        <v>1091</v>
      </c>
      <c r="H3297" s="112" t="s">
        <v>1016</v>
      </c>
      <c r="I3297" s="112" t="s">
        <v>1788</v>
      </c>
      <c r="J3297" s="112" t="s">
        <v>2498</v>
      </c>
      <c r="K3297" s="112" t="s">
        <v>3177</v>
      </c>
      <c r="L3297" s="116">
        <v>-190</v>
      </c>
    </row>
    <row r="3298" spans="1:12" hidden="1" outlineLevel="1" collapsed="1" x14ac:dyDescent="0.35">
      <c r="A3298" s="112" t="s">
        <v>2479</v>
      </c>
      <c r="B3298" s="112" t="s">
        <v>909</v>
      </c>
      <c r="C3298" s="112" t="s">
        <v>679</v>
      </c>
      <c r="D3298" s="113">
        <v>10348418</v>
      </c>
      <c r="E3298" s="115">
        <v>43944</v>
      </c>
      <c r="F3298" s="114">
        <v>202101</v>
      </c>
      <c r="G3298" s="112" t="s">
        <v>1091</v>
      </c>
      <c r="H3298" s="112" t="s">
        <v>1016</v>
      </c>
      <c r="I3298" s="112" t="s">
        <v>2595</v>
      </c>
      <c r="J3298" s="112" t="s">
        <v>2523</v>
      </c>
      <c r="K3298" s="112" t="s">
        <v>3178</v>
      </c>
      <c r="L3298" s="116">
        <v>-310</v>
      </c>
    </row>
    <row r="3299" spans="1:12" hidden="1" outlineLevel="1" collapsed="1" x14ac:dyDescent="0.35">
      <c r="A3299" s="112" t="s">
        <v>2479</v>
      </c>
      <c r="B3299" s="112" t="s">
        <v>908</v>
      </c>
      <c r="C3299" s="112" t="s">
        <v>679</v>
      </c>
      <c r="D3299" s="113">
        <v>10347962</v>
      </c>
      <c r="E3299" s="115">
        <v>43923</v>
      </c>
      <c r="F3299" s="114">
        <v>202101</v>
      </c>
      <c r="G3299" s="112" t="s">
        <v>1091</v>
      </c>
      <c r="H3299" s="112" t="s">
        <v>1016</v>
      </c>
      <c r="I3299" s="112" t="s">
        <v>1788</v>
      </c>
      <c r="J3299" s="112" t="s">
        <v>2498</v>
      </c>
      <c r="K3299" s="112" t="s">
        <v>3179</v>
      </c>
      <c r="L3299" s="116">
        <v>-190</v>
      </c>
    </row>
    <row r="3300" spans="1:12" hidden="1" outlineLevel="1" collapsed="1" x14ac:dyDescent="0.35">
      <c r="A3300" s="112" t="s">
        <v>2479</v>
      </c>
      <c r="B3300" s="112" t="s">
        <v>908</v>
      </c>
      <c r="C3300" s="112" t="s">
        <v>679</v>
      </c>
      <c r="D3300" s="113">
        <v>10348418</v>
      </c>
      <c r="E3300" s="115">
        <v>43944</v>
      </c>
      <c r="F3300" s="114">
        <v>202101</v>
      </c>
      <c r="G3300" s="112" t="s">
        <v>1091</v>
      </c>
      <c r="H3300" s="112" t="s">
        <v>1016</v>
      </c>
      <c r="I3300" s="112" t="s">
        <v>1788</v>
      </c>
      <c r="J3300" s="112" t="s">
        <v>2498</v>
      </c>
      <c r="K3300" s="112" t="s">
        <v>3180</v>
      </c>
      <c r="L3300" s="116">
        <v>-196</v>
      </c>
    </row>
    <row r="3301" spans="1:12" hidden="1" outlineLevel="1" collapsed="1" x14ac:dyDescent="0.35">
      <c r="A3301" s="112" t="s">
        <v>2479</v>
      </c>
      <c r="B3301" s="112" t="s">
        <v>908</v>
      </c>
      <c r="C3301" s="112" t="s">
        <v>679</v>
      </c>
      <c r="D3301" s="113">
        <v>10348418</v>
      </c>
      <c r="E3301" s="115">
        <v>43944</v>
      </c>
      <c r="F3301" s="114">
        <v>202101</v>
      </c>
      <c r="G3301" s="112" t="s">
        <v>1091</v>
      </c>
      <c r="H3301" s="112" t="s">
        <v>1016</v>
      </c>
      <c r="I3301" s="112" t="s">
        <v>1788</v>
      </c>
      <c r="J3301" s="112" t="s">
        <v>2498</v>
      </c>
      <c r="K3301" s="112" t="s">
        <v>3181</v>
      </c>
      <c r="L3301" s="116">
        <v>-196</v>
      </c>
    </row>
    <row r="3302" spans="1:12" hidden="1" outlineLevel="1" collapsed="1" x14ac:dyDescent="0.35">
      <c r="A3302" s="112" t="s">
        <v>2479</v>
      </c>
      <c r="B3302" s="112" t="s">
        <v>908</v>
      </c>
      <c r="C3302" s="112" t="s">
        <v>679</v>
      </c>
      <c r="D3302" s="113">
        <v>10347962</v>
      </c>
      <c r="E3302" s="115">
        <v>43923</v>
      </c>
      <c r="F3302" s="114">
        <v>202101</v>
      </c>
      <c r="G3302" s="112" t="s">
        <v>1091</v>
      </c>
      <c r="H3302" s="112" t="s">
        <v>1016</v>
      </c>
      <c r="I3302" s="112" t="s">
        <v>1788</v>
      </c>
      <c r="J3302" s="112" t="s">
        <v>2498</v>
      </c>
      <c r="K3302" s="112" t="s">
        <v>3182</v>
      </c>
      <c r="L3302" s="116">
        <v>-215</v>
      </c>
    </row>
    <row r="3303" spans="1:12" hidden="1" outlineLevel="1" collapsed="1" x14ac:dyDescent="0.35">
      <c r="A3303" s="112" t="s">
        <v>2479</v>
      </c>
      <c r="B3303" s="112" t="s">
        <v>908</v>
      </c>
      <c r="C3303" s="112" t="s">
        <v>679</v>
      </c>
      <c r="D3303" s="113">
        <v>10348418</v>
      </c>
      <c r="E3303" s="115">
        <v>43944</v>
      </c>
      <c r="F3303" s="114">
        <v>202101</v>
      </c>
      <c r="G3303" s="112" t="s">
        <v>1091</v>
      </c>
      <c r="H3303" s="112" t="s">
        <v>1016</v>
      </c>
      <c r="I3303" s="112" t="s">
        <v>1788</v>
      </c>
      <c r="J3303" s="112" t="s">
        <v>2498</v>
      </c>
      <c r="K3303" s="112" t="s">
        <v>3183</v>
      </c>
      <c r="L3303" s="116">
        <v>-190</v>
      </c>
    </row>
    <row r="3304" spans="1:12" hidden="1" outlineLevel="1" collapsed="1" x14ac:dyDescent="0.35">
      <c r="A3304" s="112" t="s">
        <v>2479</v>
      </c>
      <c r="B3304" s="112" t="s">
        <v>908</v>
      </c>
      <c r="C3304" s="112" t="s">
        <v>679</v>
      </c>
      <c r="D3304" s="113">
        <v>10348418</v>
      </c>
      <c r="E3304" s="115">
        <v>43944</v>
      </c>
      <c r="F3304" s="114">
        <v>202101</v>
      </c>
      <c r="G3304" s="112" t="s">
        <v>1091</v>
      </c>
      <c r="H3304" s="112" t="s">
        <v>1016</v>
      </c>
      <c r="I3304" s="112" t="s">
        <v>1788</v>
      </c>
      <c r="J3304" s="112" t="s">
        <v>2498</v>
      </c>
      <c r="K3304" s="112" t="s">
        <v>3184</v>
      </c>
      <c r="L3304" s="116">
        <v>-124</v>
      </c>
    </row>
    <row r="3305" spans="1:12" hidden="1" outlineLevel="1" collapsed="1" x14ac:dyDescent="0.35">
      <c r="A3305" s="112" t="s">
        <v>2479</v>
      </c>
      <c r="B3305" s="112" t="s">
        <v>908</v>
      </c>
      <c r="C3305" s="112" t="s">
        <v>679</v>
      </c>
      <c r="D3305" s="113">
        <v>10348418</v>
      </c>
      <c r="E3305" s="115">
        <v>43944</v>
      </c>
      <c r="F3305" s="114">
        <v>202101</v>
      </c>
      <c r="G3305" s="112" t="s">
        <v>1091</v>
      </c>
      <c r="H3305" s="112" t="s">
        <v>1016</v>
      </c>
      <c r="I3305" s="112" t="s">
        <v>1788</v>
      </c>
      <c r="J3305" s="112" t="s">
        <v>2498</v>
      </c>
      <c r="K3305" s="112" t="s">
        <v>3185</v>
      </c>
      <c r="L3305" s="116">
        <v>-60</v>
      </c>
    </row>
    <row r="3306" spans="1:12" hidden="1" outlineLevel="1" collapsed="1" x14ac:dyDescent="0.35">
      <c r="A3306" s="112" t="s">
        <v>2479</v>
      </c>
      <c r="B3306" s="112" t="s">
        <v>908</v>
      </c>
      <c r="C3306" s="112" t="s">
        <v>695</v>
      </c>
      <c r="D3306" s="113">
        <v>10347981</v>
      </c>
      <c r="E3306" s="115">
        <v>43924</v>
      </c>
      <c r="F3306" s="114">
        <v>202101</v>
      </c>
      <c r="G3306" s="112" t="s">
        <v>1091</v>
      </c>
      <c r="H3306" s="112" t="s">
        <v>1015</v>
      </c>
      <c r="I3306" s="112" t="s">
        <v>761</v>
      </c>
      <c r="J3306" s="112" t="s">
        <v>2584</v>
      </c>
      <c r="K3306" s="112" t="s">
        <v>3186</v>
      </c>
      <c r="L3306" s="116">
        <v>-46.36</v>
      </c>
    </row>
    <row r="3307" spans="1:12" hidden="1" outlineLevel="1" collapsed="1" x14ac:dyDescent="0.35">
      <c r="A3307" s="112" t="s">
        <v>2479</v>
      </c>
      <c r="B3307" s="112" t="s">
        <v>908</v>
      </c>
      <c r="C3307" s="112" t="s">
        <v>695</v>
      </c>
      <c r="D3307" s="113">
        <v>10347981</v>
      </c>
      <c r="E3307" s="115">
        <v>43924</v>
      </c>
      <c r="F3307" s="114">
        <v>202101</v>
      </c>
      <c r="G3307" s="112" t="s">
        <v>1091</v>
      </c>
      <c r="H3307" s="112" t="s">
        <v>1015</v>
      </c>
      <c r="I3307" s="112" t="s">
        <v>761</v>
      </c>
      <c r="J3307" s="112" t="s">
        <v>2553</v>
      </c>
      <c r="K3307" s="112" t="s">
        <v>3187</v>
      </c>
      <c r="L3307" s="116">
        <v>-43.79</v>
      </c>
    </row>
    <row r="3308" spans="1:12" hidden="1" outlineLevel="1" collapsed="1" x14ac:dyDescent="0.35">
      <c r="A3308" s="112" t="s">
        <v>2479</v>
      </c>
      <c r="B3308" s="112" t="s">
        <v>908</v>
      </c>
      <c r="C3308" s="112" t="s">
        <v>679</v>
      </c>
      <c r="D3308" s="113">
        <v>10347962</v>
      </c>
      <c r="E3308" s="115">
        <v>43923</v>
      </c>
      <c r="F3308" s="114">
        <v>202101</v>
      </c>
      <c r="G3308" s="112" t="s">
        <v>1091</v>
      </c>
      <c r="H3308" s="112" t="s">
        <v>1016</v>
      </c>
      <c r="I3308" s="112" t="s">
        <v>1788</v>
      </c>
      <c r="J3308" s="112" t="s">
        <v>2498</v>
      </c>
      <c r="K3308" s="112" t="s">
        <v>3188</v>
      </c>
      <c r="L3308" s="116">
        <v>-60</v>
      </c>
    </row>
    <row r="3309" spans="1:12" hidden="1" outlineLevel="1" collapsed="1" x14ac:dyDescent="0.35">
      <c r="A3309" s="112" t="s">
        <v>2479</v>
      </c>
      <c r="B3309" s="112" t="s">
        <v>908</v>
      </c>
      <c r="C3309" s="112" t="s">
        <v>695</v>
      </c>
      <c r="D3309" s="113">
        <v>10347981</v>
      </c>
      <c r="E3309" s="115">
        <v>43924</v>
      </c>
      <c r="F3309" s="114">
        <v>202101</v>
      </c>
      <c r="G3309" s="112" t="s">
        <v>1091</v>
      </c>
      <c r="H3309" s="112" t="s">
        <v>1015</v>
      </c>
      <c r="I3309" s="112" t="s">
        <v>761</v>
      </c>
      <c r="J3309" s="112" t="s">
        <v>2553</v>
      </c>
      <c r="K3309" s="112" t="s">
        <v>3189</v>
      </c>
      <c r="L3309" s="116">
        <v>-166.66</v>
      </c>
    </row>
    <row r="3310" spans="1:12" hidden="1" outlineLevel="1" collapsed="1" x14ac:dyDescent="0.35">
      <c r="A3310" s="112" t="s">
        <v>2479</v>
      </c>
      <c r="B3310" s="112" t="s">
        <v>908</v>
      </c>
      <c r="C3310" s="112" t="s">
        <v>679</v>
      </c>
      <c r="D3310" s="113">
        <v>10347962</v>
      </c>
      <c r="E3310" s="115">
        <v>43923</v>
      </c>
      <c r="F3310" s="114">
        <v>202101</v>
      </c>
      <c r="G3310" s="112" t="s">
        <v>1091</v>
      </c>
      <c r="H3310" s="112" t="s">
        <v>1016</v>
      </c>
      <c r="I3310" s="112" t="s">
        <v>1788</v>
      </c>
      <c r="J3310" s="112" t="s">
        <v>2498</v>
      </c>
      <c r="K3310" s="112" t="s">
        <v>3190</v>
      </c>
      <c r="L3310" s="116">
        <v>-190</v>
      </c>
    </row>
    <row r="3311" spans="1:12" hidden="1" outlineLevel="1" collapsed="1" x14ac:dyDescent="0.35">
      <c r="A3311" s="112" t="s">
        <v>2479</v>
      </c>
      <c r="B3311" s="112" t="s">
        <v>908</v>
      </c>
      <c r="C3311" s="112" t="s">
        <v>679</v>
      </c>
      <c r="D3311" s="113">
        <v>10347962</v>
      </c>
      <c r="E3311" s="115">
        <v>43923</v>
      </c>
      <c r="F3311" s="114">
        <v>202101</v>
      </c>
      <c r="G3311" s="112" t="s">
        <v>1091</v>
      </c>
      <c r="H3311" s="112" t="s">
        <v>1016</v>
      </c>
      <c r="I3311" s="112" t="s">
        <v>1788</v>
      </c>
      <c r="J3311" s="112" t="s">
        <v>2498</v>
      </c>
      <c r="K3311" s="112" t="s">
        <v>3191</v>
      </c>
      <c r="L3311" s="116">
        <v>-190</v>
      </c>
    </row>
    <row r="3312" spans="1:12" hidden="1" outlineLevel="1" collapsed="1" x14ac:dyDescent="0.35">
      <c r="A3312" s="112" t="s">
        <v>2479</v>
      </c>
      <c r="B3312" s="112" t="s">
        <v>908</v>
      </c>
      <c r="C3312" s="112" t="s">
        <v>695</v>
      </c>
      <c r="D3312" s="113">
        <v>10347981</v>
      </c>
      <c r="E3312" s="115">
        <v>43924</v>
      </c>
      <c r="F3312" s="114">
        <v>202101</v>
      </c>
      <c r="G3312" s="112" t="s">
        <v>1091</v>
      </c>
      <c r="H3312" s="112" t="s">
        <v>1015</v>
      </c>
      <c r="I3312" s="112" t="s">
        <v>761</v>
      </c>
      <c r="J3312" s="112" t="s">
        <v>2553</v>
      </c>
      <c r="K3312" s="112" t="s">
        <v>3192</v>
      </c>
      <c r="L3312" s="116">
        <v>-28</v>
      </c>
    </row>
    <row r="3313" spans="1:12" hidden="1" outlineLevel="1" collapsed="1" x14ac:dyDescent="0.35">
      <c r="A3313" s="112" t="s">
        <v>2479</v>
      </c>
      <c r="B3313" s="112" t="s">
        <v>908</v>
      </c>
      <c r="C3313" s="112" t="s">
        <v>679</v>
      </c>
      <c r="D3313" s="113">
        <v>10348115</v>
      </c>
      <c r="E3313" s="115">
        <v>43929</v>
      </c>
      <c r="F3313" s="114">
        <v>202101</v>
      </c>
      <c r="G3313" s="112" t="s">
        <v>1091</v>
      </c>
      <c r="H3313" s="112" t="s">
        <v>1015</v>
      </c>
      <c r="I3313" s="112" t="s">
        <v>1536</v>
      </c>
      <c r="J3313" s="112" t="s">
        <v>2513</v>
      </c>
      <c r="K3313" s="112" t="s">
        <v>706</v>
      </c>
      <c r="L3313" s="116">
        <v>39</v>
      </c>
    </row>
    <row r="3314" spans="1:12" hidden="1" outlineLevel="1" collapsed="1" x14ac:dyDescent="0.35">
      <c r="A3314" s="112" t="s">
        <v>2479</v>
      </c>
      <c r="B3314" s="112" t="s">
        <v>909</v>
      </c>
      <c r="C3314" s="112" t="s">
        <v>1099</v>
      </c>
      <c r="D3314" s="113">
        <v>1069407</v>
      </c>
      <c r="E3314" s="115">
        <v>43922</v>
      </c>
      <c r="F3314" s="114">
        <v>202101</v>
      </c>
      <c r="G3314" s="112" t="s">
        <v>1091</v>
      </c>
      <c r="H3314" s="112" t="s">
        <v>1015</v>
      </c>
      <c r="I3314" s="112" t="s">
        <v>2495</v>
      </c>
      <c r="J3314" s="112" t="s">
        <v>2523</v>
      </c>
      <c r="K3314" s="112" t="s">
        <v>3193</v>
      </c>
      <c r="L3314" s="116">
        <v>154.5</v>
      </c>
    </row>
    <row r="3315" spans="1:12" hidden="1" outlineLevel="1" collapsed="1" x14ac:dyDescent="0.35">
      <c r="A3315" s="112" t="s">
        <v>2479</v>
      </c>
      <c r="B3315" s="112" t="s">
        <v>908</v>
      </c>
      <c r="C3315" s="112" t="s">
        <v>679</v>
      </c>
      <c r="D3315" s="113">
        <v>10348446</v>
      </c>
      <c r="E3315" s="115">
        <v>43945</v>
      </c>
      <c r="F3315" s="114">
        <v>202101</v>
      </c>
      <c r="G3315" s="112" t="s">
        <v>1091</v>
      </c>
      <c r="H3315" s="112" t="s">
        <v>1016</v>
      </c>
      <c r="I3315" s="112" t="s">
        <v>1788</v>
      </c>
      <c r="J3315" s="112" t="s">
        <v>2498</v>
      </c>
      <c r="K3315" s="112" t="s">
        <v>3194</v>
      </c>
      <c r="L3315" s="116">
        <v>-196</v>
      </c>
    </row>
    <row r="3316" spans="1:12" hidden="1" outlineLevel="1" collapsed="1" x14ac:dyDescent="0.35">
      <c r="A3316" s="112" t="s">
        <v>2479</v>
      </c>
      <c r="B3316" s="112" t="s">
        <v>909</v>
      </c>
      <c r="C3316" s="112" t="s">
        <v>695</v>
      </c>
      <c r="D3316" s="113">
        <v>10347981</v>
      </c>
      <c r="E3316" s="115">
        <v>43924</v>
      </c>
      <c r="F3316" s="114">
        <v>202101</v>
      </c>
      <c r="G3316" s="112" t="s">
        <v>1091</v>
      </c>
      <c r="H3316" s="112" t="s">
        <v>1015</v>
      </c>
      <c r="I3316" s="112" t="s">
        <v>1182</v>
      </c>
      <c r="J3316" s="112" t="s">
        <v>2523</v>
      </c>
      <c r="K3316" s="112" t="s">
        <v>3195</v>
      </c>
      <c r="L3316" s="116">
        <v>-270</v>
      </c>
    </row>
    <row r="3317" spans="1:12" hidden="1" outlineLevel="1" collapsed="1" x14ac:dyDescent="0.35">
      <c r="A3317" s="112" t="s">
        <v>2479</v>
      </c>
      <c r="B3317" s="112" t="s">
        <v>908</v>
      </c>
      <c r="C3317" s="112" t="s">
        <v>695</v>
      </c>
      <c r="D3317" s="113">
        <v>10347981</v>
      </c>
      <c r="E3317" s="115">
        <v>43924</v>
      </c>
      <c r="F3317" s="114">
        <v>202101</v>
      </c>
      <c r="G3317" s="112" t="s">
        <v>1091</v>
      </c>
      <c r="H3317" s="112" t="s">
        <v>1015</v>
      </c>
      <c r="I3317" s="112" t="s">
        <v>761</v>
      </c>
      <c r="J3317" s="112" t="s">
        <v>2484</v>
      </c>
      <c r="K3317" s="112" t="s">
        <v>3196</v>
      </c>
      <c r="L3317" s="116">
        <v>-38</v>
      </c>
    </row>
    <row r="3318" spans="1:12" hidden="1" outlineLevel="1" collapsed="1" x14ac:dyDescent="0.35">
      <c r="A3318" s="112" t="s">
        <v>2479</v>
      </c>
      <c r="B3318" s="112" t="s">
        <v>908</v>
      </c>
      <c r="C3318" s="112" t="s">
        <v>695</v>
      </c>
      <c r="D3318" s="113">
        <v>10347981</v>
      </c>
      <c r="E3318" s="115">
        <v>43924</v>
      </c>
      <c r="F3318" s="114">
        <v>202101</v>
      </c>
      <c r="G3318" s="112" t="s">
        <v>1091</v>
      </c>
      <c r="H3318" s="112" t="s">
        <v>1015</v>
      </c>
      <c r="I3318" s="112" t="s">
        <v>761</v>
      </c>
      <c r="J3318" s="112" t="s">
        <v>2553</v>
      </c>
      <c r="K3318" s="112" t="s">
        <v>3197</v>
      </c>
      <c r="L3318" s="116">
        <v>-16.399999999999999</v>
      </c>
    </row>
    <row r="3319" spans="1:12" hidden="1" outlineLevel="1" collapsed="1" x14ac:dyDescent="0.35">
      <c r="A3319" s="112" t="s">
        <v>2479</v>
      </c>
      <c r="B3319" s="112" t="s">
        <v>908</v>
      </c>
      <c r="C3319" s="112" t="s">
        <v>695</v>
      </c>
      <c r="D3319" s="113">
        <v>10347981</v>
      </c>
      <c r="E3319" s="115">
        <v>43924</v>
      </c>
      <c r="F3319" s="114">
        <v>202101</v>
      </c>
      <c r="G3319" s="112" t="s">
        <v>1091</v>
      </c>
      <c r="H3319" s="112" t="s">
        <v>1015</v>
      </c>
      <c r="I3319" s="112" t="s">
        <v>761</v>
      </c>
      <c r="J3319" s="112" t="s">
        <v>2484</v>
      </c>
      <c r="K3319" s="112" t="s">
        <v>3198</v>
      </c>
      <c r="L3319" s="116">
        <v>-2.5</v>
      </c>
    </row>
    <row r="3320" spans="1:12" hidden="1" outlineLevel="1" collapsed="1" x14ac:dyDescent="0.35">
      <c r="A3320" s="112" t="s">
        <v>2479</v>
      </c>
      <c r="B3320" s="112" t="s">
        <v>908</v>
      </c>
      <c r="C3320" s="112" t="s">
        <v>695</v>
      </c>
      <c r="D3320" s="113">
        <v>10347981</v>
      </c>
      <c r="E3320" s="115">
        <v>43924</v>
      </c>
      <c r="F3320" s="114">
        <v>202101</v>
      </c>
      <c r="G3320" s="112" t="s">
        <v>1091</v>
      </c>
      <c r="H3320" s="112" t="s">
        <v>1015</v>
      </c>
      <c r="I3320" s="112" t="s">
        <v>761</v>
      </c>
      <c r="J3320" s="112" t="s">
        <v>2484</v>
      </c>
      <c r="K3320" s="112" t="s">
        <v>3199</v>
      </c>
      <c r="L3320" s="116">
        <v>-16</v>
      </c>
    </row>
    <row r="3321" spans="1:12" hidden="1" outlineLevel="1" collapsed="1" x14ac:dyDescent="0.35">
      <c r="A3321" s="112" t="s">
        <v>2479</v>
      </c>
      <c r="B3321" s="112" t="s">
        <v>908</v>
      </c>
      <c r="C3321" s="112" t="s">
        <v>679</v>
      </c>
      <c r="D3321" s="113">
        <v>10348446</v>
      </c>
      <c r="E3321" s="115">
        <v>43945</v>
      </c>
      <c r="F3321" s="114">
        <v>202101</v>
      </c>
      <c r="G3321" s="112" t="s">
        <v>1091</v>
      </c>
      <c r="H3321" s="112" t="s">
        <v>1016</v>
      </c>
      <c r="I3321" s="112" t="s">
        <v>1788</v>
      </c>
      <c r="J3321" s="112" t="s">
        <v>2584</v>
      </c>
      <c r="K3321" s="112" t="s">
        <v>3200</v>
      </c>
      <c r="L3321" s="116">
        <v>-278</v>
      </c>
    </row>
    <row r="3322" spans="1:12" hidden="1" outlineLevel="1" collapsed="1" x14ac:dyDescent="0.35">
      <c r="A3322" s="112" t="s">
        <v>2479</v>
      </c>
      <c r="B3322" s="112" t="s">
        <v>908</v>
      </c>
      <c r="C3322" s="112" t="s">
        <v>679</v>
      </c>
      <c r="D3322" s="113">
        <v>10348446</v>
      </c>
      <c r="E3322" s="115">
        <v>43945</v>
      </c>
      <c r="F3322" s="114">
        <v>202101</v>
      </c>
      <c r="G3322" s="112" t="s">
        <v>1091</v>
      </c>
      <c r="H3322" s="112" t="s">
        <v>1016</v>
      </c>
      <c r="I3322" s="112" t="s">
        <v>819</v>
      </c>
      <c r="J3322" s="112" t="s">
        <v>2501</v>
      </c>
      <c r="K3322" s="112" t="s">
        <v>3201</v>
      </c>
      <c r="L3322" s="116">
        <v>-550</v>
      </c>
    </row>
    <row r="3323" spans="1:12" hidden="1" outlineLevel="1" collapsed="1" x14ac:dyDescent="0.35">
      <c r="A3323" s="112" t="s">
        <v>2479</v>
      </c>
      <c r="B3323" s="112" t="s">
        <v>908</v>
      </c>
      <c r="C3323" s="112" t="s">
        <v>679</v>
      </c>
      <c r="D3323" s="113">
        <v>10348446</v>
      </c>
      <c r="E3323" s="115">
        <v>43945</v>
      </c>
      <c r="F3323" s="114">
        <v>202101</v>
      </c>
      <c r="G3323" s="112" t="s">
        <v>1091</v>
      </c>
      <c r="H3323" s="112" t="s">
        <v>1016</v>
      </c>
      <c r="I3323" s="112" t="s">
        <v>1788</v>
      </c>
      <c r="J3323" s="112" t="s">
        <v>2498</v>
      </c>
      <c r="K3323" s="112" t="s">
        <v>3202</v>
      </c>
      <c r="L3323" s="116">
        <v>-85</v>
      </c>
    </row>
    <row r="3324" spans="1:12" hidden="1" outlineLevel="1" collapsed="1" x14ac:dyDescent="0.35">
      <c r="A3324" s="112" t="s">
        <v>2479</v>
      </c>
      <c r="B3324" s="112" t="s">
        <v>908</v>
      </c>
      <c r="C3324" s="112" t="s">
        <v>695</v>
      </c>
      <c r="D3324" s="113">
        <v>10347981</v>
      </c>
      <c r="E3324" s="115">
        <v>43924</v>
      </c>
      <c r="F3324" s="114">
        <v>202101</v>
      </c>
      <c r="G3324" s="112" t="s">
        <v>1091</v>
      </c>
      <c r="H3324" s="112" t="s">
        <v>1015</v>
      </c>
      <c r="I3324" s="112" t="s">
        <v>761</v>
      </c>
      <c r="J3324" s="112" t="s">
        <v>2553</v>
      </c>
      <c r="K3324" s="112" t="s">
        <v>3203</v>
      </c>
      <c r="L3324" s="116">
        <v>-45.53</v>
      </c>
    </row>
    <row r="3325" spans="1:12" hidden="1" outlineLevel="1" collapsed="1" x14ac:dyDescent="0.35">
      <c r="A3325" s="112" t="s">
        <v>2479</v>
      </c>
      <c r="B3325" s="112" t="s">
        <v>908</v>
      </c>
      <c r="C3325" s="112" t="s">
        <v>695</v>
      </c>
      <c r="D3325" s="113">
        <v>10347981</v>
      </c>
      <c r="E3325" s="115">
        <v>43924</v>
      </c>
      <c r="F3325" s="114">
        <v>202101</v>
      </c>
      <c r="G3325" s="112" t="s">
        <v>1091</v>
      </c>
      <c r="H3325" s="112" t="s">
        <v>1015</v>
      </c>
      <c r="I3325" s="112" t="s">
        <v>2997</v>
      </c>
      <c r="J3325" s="112" t="s">
        <v>2520</v>
      </c>
      <c r="K3325" s="112" t="s">
        <v>3204</v>
      </c>
      <c r="L3325" s="116">
        <v>-20</v>
      </c>
    </row>
    <row r="3326" spans="1:12" hidden="1" outlineLevel="1" collapsed="1" x14ac:dyDescent="0.35">
      <c r="A3326" s="112" t="s">
        <v>2479</v>
      </c>
      <c r="B3326" s="112" t="s">
        <v>909</v>
      </c>
      <c r="C3326" s="112" t="s">
        <v>695</v>
      </c>
      <c r="D3326" s="113">
        <v>10347981</v>
      </c>
      <c r="E3326" s="115">
        <v>43924</v>
      </c>
      <c r="F3326" s="114">
        <v>202101</v>
      </c>
      <c r="G3326" s="112" t="s">
        <v>1091</v>
      </c>
      <c r="H3326" s="112" t="s">
        <v>1015</v>
      </c>
      <c r="I3326" s="112" t="s">
        <v>1643</v>
      </c>
      <c r="J3326" s="112" t="s">
        <v>2480</v>
      </c>
      <c r="K3326" s="112" t="s">
        <v>3205</v>
      </c>
      <c r="L3326" s="116">
        <v>-189</v>
      </c>
    </row>
    <row r="3327" spans="1:12" hidden="1" outlineLevel="1" collapsed="1" x14ac:dyDescent="0.35">
      <c r="A3327" s="112" t="s">
        <v>2479</v>
      </c>
      <c r="B3327" s="112" t="s">
        <v>908</v>
      </c>
      <c r="C3327" s="112" t="s">
        <v>695</v>
      </c>
      <c r="D3327" s="113">
        <v>10347981</v>
      </c>
      <c r="E3327" s="115">
        <v>43924</v>
      </c>
      <c r="F3327" s="114">
        <v>202101</v>
      </c>
      <c r="G3327" s="112" t="s">
        <v>1091</v>
      </c>
      <c r="H3327" s="112" t="s">
        <v>1015</v>
      </c>
      <c r="I3327" s="112" t="s">
        <v>1102</v>
      </c>
      <c r="J3327" s="112" t="s">
        <v>2520</v>
      </c>
      <c r="K3327" s="112" t="s">
        <v>3206</v>
      </c>
      <c r="L3327" s="116">
        <v>-19.600000000000001</v>
      </c>
    </row>
    <row r="3328" spans="1:12" hidden="1" outlineLevel="1" collapsed="1" x14ac:dyDescent="0.35">
      <c r="A3328" s="112" t="s">
        <v>2479</v>
      </c>
      <c r="B3328" s="112" t="s">
        <v>908</v>
      </c>
      <c r="C3328" s="112" t="s">
        <v>679</v>
      </c>
      <c r="D3328" s="113">
        <v>10348446</v>
      </c>
      <c r="E3328" s="115">
        <v>43945</v>
      </c>
      <c r="F3328" s="114">
        <v>202101</v>
      </c>
      <c r="G3328" s="112" t="s">
        <v>1091</v>
      </c>
      <c r="H3328" s="112" t="s">
        <v>1016</v>
      </c>
      <c r="I3328" s="112" t="s">
        <v>1788</v>
      </c>
      <c r="J3328" s="112" t="s">
        <v>2498</v>
      </c>
      <c r="K3328" s="112" t="s">
        <v>3207</v>
      </c>
      <c r="L3328" s="116">
        <v>-196</v>
      </c>
    </row>
    <row r="3329" spans="1:12" hidden="1" outlineLevel="1" collapsed="1" x14ac:dyDescent="0.35">
      <c r="A3329" s="112" t="s">
        <v>2479</v>
      </c>
      <c r="B3329" s="112" t="s">
        <v>909</v>
      </c>
      <c r="C3329" s="112" t="s">
        <v>679</v>
      </c>
      <c r="D3329" s="113">
        <v>10348446</v>
      </c>
      <c r="E3329" s="115">
        <v>43945</v>
      </c>
      <c r="F3329" s="114">
        <v>202101</v>
      </c>
      <c r="G3329" s="112" t="s">
        <v>1091</v>
      </c>
      <c r="H3329" s="112" t="s">
        <v>1016</v>
      </c>
      <c r="I3329" s="112" t="s">
        <v>2536</v>
      </c>
      <c r="J3329" s="112" t="s">
        <v>2523</v>
      </c>
      <c r="K3329" s="112" t="s">
        <v>3208</v>
      </c>
      <c r="L3329" s="116">
        <v>-177</v>
      </c>
    </row>
    <row r="3330" spans="1:12" hidden="1" outlineLevel="1" collapsed="1" x14ac:dyDescent="0.35">
      <c r="A3330" s="112" t="s">
        <v>2479</v>
      </c>
      <c r="B3330" s="112" t="s">
        <v>909</v>
      </c>
      <c r="C3330" s="112" t="s">
        <v>679</v>
      </c>
      <c r="D3330" s="113">
        <v>10348446</v>
      </c>
      <c r="E3330" s="115">
        <v>43945</v>
      </c>
      <c r="F3330" s="114">
        <v>202101</v>
      </c>
      <c r="G3330" s="112" t="s">
        <v>1091</v>
      </c>
      <c r="H3330" s="112" t="s">
        <v>1016</v>
      </c>
      <c r="I3330" s="112" t="s">
        <v>2522</v>
      </c>
      <c r="J3330" s="112" t="s">
        <v>2523</v>
      </c>
      <c r="K3330" s="112" t="s">
        <v>2688</v>
      </c>
      <c r="L3330" s="116">
        <v>-108</v>
      </c>
    </row>
    <row r="3331" spans="1:12" hidden="1" outlineLevel="1" collapsed="1" x14ac:dyDescent="0.35">
      <c r="A3331" s="112" t="s">
        <v>2479</v>
      </c>
      <c r="B3331" s="112" t="s">
        <v>908</v>
      </c>
      <c r="C3331" s="112" t="s">
        <v>679</v>
      </c>
      <c r="D3331" s="113">
        <v>10348446</v>
      </c>
      <c r="E3331" s="115">
        <v>43945</v>
      </c>
      <c r="F3331" s="114">
        <v>202101</v>
      </c>
      <c r="G3331" s="112" t="s">
        <v>1091</v>
      </c>
      <c r="H3331" s="112" t="s">
        <v>1016</v>
      </c>
      <c r="I3331" s="112" t="s">
        <v>1788</v>
      </c>
      <c r="J3331" s="112" t="s">
        <v>2498</v>
      </c>
      <c r="K3331" s="112" t="s">
        <v>3209</v>
      </c>
      <c r="L3331" s="116">
        <v>-190</v>
      </c>
    </row>
    <row r="3332" spans="1:12" hidden="1" outlineLevel="1" collapsed="1" x14ac:dyDescent="0.35">
      <c r="A3332" s="112" t="s">
        <v>2479</v>
      </c>
      <c r="B3332" s="112" t="s">
        <v>908</v>
      </c>
      <c r="C3332" s="112" t="s">
        <v>679</v>
      </c>
      <c r="D3332" s="113">
        <v>10348446</v>
      </c>
      <c r="E3332" s="115">
        <v>43945</v>
      </c>
      <c r="F3332" s="114">
        <v>202101</v>
      </c>
      <c r="G3332" s="112" t="s">
        <v>1091</v>
      </c>
      <c r="H3332" s="112" t="s">
        <v>1016</v>
      </c>
      <c r="I3332" s="112" t="s">
        <v>1788</v>
      </c>
      <c r="J3332" s="112" t="s">
        <v>2498</v>
      </c>
      <c r="K3332" s="112" t="s">
        <v>3210</v>
      </c>
      <c r="L3332" s="116">
        <v>-60</v>
      </c>
    </row>
    <row r="3333" spans="1:12" hidden="1" outlineLevel="1" collapsed="1" x14ac:dyDescent="0.35">
      <c r="A3333" s="112" t="s">
        <v>2479</v>
      </c>
      <c r="B3333" s="112" t="s">
        <v>908</v>
      </c>
      <c r="C3333" s="112" t="s">
        <v>679</v>
      </c>
      <c r="D3333" s="113">
        <v>10348446</v>
      </c>
      <c r="E3333" s="115">
        <v>43945</v>
      </c>
      <c r="F3333" s="114">
        <v>202101</v>
      </c>
      <c r="G3333" s="112" t="s">
        <v>1091</v>
      </c>
      <c r="H3333" s="112" t="s">
        <v>1016</v>
      </c>
      <c r="I3333" s="112" t="s">
        <v>1788</v>
      </c>
      <c r="J3333" s="112" t="s">
        <v>2498</v>
      </c>
      <c r="K3333" s="112" t="s">
        <v>3211</v>
      </c>
      <c r="L3333" s="116">
        <v>-60</v>
      </c>
    </row>
    <row r="3334" spans="1:12" hidden="1" outlineLevel="1" collapsed="1" x14ac:dyDescent="0.35">
      <c r="A3334" s="112" t="s">
        <v>2479</v>
      </c>
      <c r="B3334" s="112" t="s">
        <v>909</v>
      </c>
      <c r="C3334" s="112" t="s">
        <v>679</v>
      </c>
      <c r="D3334" s="113">
        <v>10348446</v>
      </c>
      <c r="E3334" s="115">
        <v>43945</v>
      </c>
      <c r="F3334" s="114">
        <v>202101</v>
      </c>
      <c r="G3334" s="112" t="s">
        <v>1091</v>
      </c>
      <c r="H3334" s="112" t="s">
        <v>1016</v>
      </c>
      <c r="I3334" s="112" t="s">
        <v>2536</v>
      </c>
      <c r="J3334" s="112" t="s">
        <v>2523</v>
      </c>
      <c r="K3334" s="112" t="s">
        <v>3212</v>
      </c>
      <c r="L3334" s="116">
        <v>-277</v>
      </c>
    </row>
    <row r="3335" spans="1:12" hidden="1" outlineLevel="1" collapsed="1" x14ac:dyDescent="0.35">
      <c r="A3335" s="112" t="s">
        <v>2479</v>
      </c>
      <c r="B3335" s="112" t="s">
        <v>908</v>
      </c>
      <c r="C3335" s="112" t="s">
        <v>679</v>
      </c>
      <c r="D3335" s="113">
        <v>10348446</v>
      </c>
      <c r="E3335" s="115">
        <v>43945</v>
      </c>
      <c r="F3335" s="114">
        <v>202101</v>
      </c>
      <c r="G3335" s="112" t="s">
        <v>1091</v>
      </c>
      <c r="H3335" s="112" t="s">
        <v>1016</v>
      </c>
      <c r="I3335" s="112" t="s">
        <v>1788</v>
      </c>
      <c r="J3335" s="112" t="s">
        <v>2498</v>
      </c>
      <c r="K3335" s="112" t="s">
        <v>3213</v>
      </c>
      <c r="L3335" s="116">
        <v>-220</v>
      </c>
    </row>
    <row r="3336" spans="1:12" hidden="1" outlineLevel="1" collapsed="1" x14ac:dyDescent="0.35">
      <c r="A3336" s="112" t="s">
        <v>2479</v>
      </c>
      <c r="B3336" s="112" t="s">
        <v>908</v>
      </c>
      <c r="C3336" s="112" t="s">
        <v>679</v>
      </c>
      <c r="D3336" s="113">
        <v>10348446</v>
      </c>
      <c r="E3336" s="115">
        <v>43945</v>
      </c>
      <c r="F3336" s="114">
        <v>202101</v>
      </c>
      <c r="G3336" s="112" t="s">
        <v>1091</v>
      </c>
      <c r="H3336" s="112" t="s">
        <v>1016</v>
      </c>
      <c r="I3336" s="112" t="s">
        <v>1788</v>
      </c>
      <c r="J3336" s="112" t="s">
        <v>2498</v>
      </c>
      <c r="K3336" s="112" t="s">
        <v>3214</v>
      </c>
      <c r="L3336" s="116">
        <v>-190</v>
      </c>
    </row>
    <row r="3337" spans="1:12" hidden="1" outlineLevel="1" collapsed="1" x14ac:dyDescent="0.35">
      <c r="A3337" s="112" t="s">
        <v>2479</v>
      </c>
      <c r="B3337" s="112" t="s">
        <v>908</v>
      </c>
      <c r="C3337" s="112" t="s">
        <v>679</v>
      </c>
      <c r="D3337" s="113">
        <v>10348418</v>
      </c>
      <c r="E3337" s="115">
        <v>43944</v>
      </c>
      <c r="F3337" s="114">
        <v>202101</v>
      </c>
      <c r="G3337" s="112" t="s">
        <v>1091</v>
      </c>
      <c r="H3337" s="112" t="s">
        <v>1016</v>
      </c>
      <c r="I3337" s="112" t="s">
        <v>1788</v>
      </c>
      <c r="J3337" s="112" t="s">
        <v>2498</v>
      </c>
      <c r="K3337" s="112" t="s">
        <v>3215</v>
      </c>
      <c r="L3337" s="116">
        <v>-60</v>
      </c>
    </row>
    <row r="3338" spans="1:12" hidden="1" outlineLevel="1" collapsed="1" x14ac:dyDescent="0.35">
      <c r="A3338" s="112" t="s">
        <v>2479</v>
      </c>
      <c r="B3338" s="112" t="s">
        <v>908</v>
      </c>
      <c r="C3338" s="112" t="s">
        <v>679</v>
      </c>
      <c r="D3338" s="113">
        <v>10348446</v>
      </c>
      <c r="E3338" s="115">
        <v>43945</v>
      </c>
      <c r="F3338" s="114">
        <v>202101</v>
      </c>
      <c r="G3338" s="112" t="s">
        <v>1091</v>
      </c>
      <c r="H3338" s="112" t="s">
        <v>1016</v>
      </c>
      <c r="I3338" s="112" t="s">
        <v>1788</v>
      </c>
      <c r="J3338" s="112" t="s">
        <v>2498</v>
      </c>
      <c r="K3338" s="112" t="s">
        <v>3216</v>
      </c>
      <c r="L3338" s="116">
        <v>-196</v>
      </c>
    </row>
    <row r="3339" spans="1:12" hidden="1" outlineLevel="1" collapsed="1" x14ac:dyDescent="0.35">
      <c r="A3339" s="112" t="s">
        <v>2479</v>
      </c>
      <c r="B3339" s="112" t="s">
        <v>909</v>
      </c>
      <c r="C3339" s="112" t="s">
        <v>695</v>
      </c>
      <c r="D3339" s="113">
        <v>10347981</v>
      </c>
      <c r="E3339" s="115">
        <v>43924</v>
      </c>
      <c r="F3339" s="114">
        <v>202101</v>
      </c>
      <c r="G3339" s="112" t="s">
        <v>1091</v>
      </c>
      <c r="H3339" s="112" t="s">
        <v>1015</v>
      </c>
      <c r="I3339" s="112" t="s">
        <v>761</v>
      </c>
      <c r="J3339" s="112" t="s">
        <v>3217</v>
      </c>
      <c r="K3339" s="112" t="s">
        <v>3218</v>
      </c>
      <c r="L3339" s="116">
        <v>-9.9499999999999993</v>
      </c>
    </row>
    <row r="3340" spans="1:12" hidden="1" outlineLevel="1" collapsed="1" x14ac:dyDescent="0.35">
      <c r="A3340" s="112" t="s">
        <v>2479</v>
      </c>
      <c r="B3340" s="112" t="s">
        <v>908</v>
      </c>
      <c r="C3340" s="112" t="s">
        <v>679</v>
      </c>
      <c r="D3340" s="113">
        <v>10348446</v>
      </c>
      <c r="E3340" s="115">
        <v>43945</v>
      </c>
      <c r="F3340" s="114">
        <v>202101</v>
      </c>
      <c r="G3340" s="112" t="s">
        <v>1091</v>
      </c>
      <c r="H3340" s="112" t="s">
        <v>1016</v>
      </c>
      <c r="I3340" s="112" t="s">
        <v>1788</v>
      </c>
      <c r="J3340" s="112" t="s">
        <v>2498</v>
      </c>
      <c r="K3340" s="112" t="s">
        <v>3219</v>
      </c>
      <c r="L3340" s="116">
        <v>-85</v>
      </c>
    </row>
    <row r="3341" spans="1:12" hidden="1" outlineLevel="1" collapsed="1" x14ac:dyDescent="0.35">
      <c r="A3341" s="112" t="s">
        <v>2479</v>
      </c>
      <c r="B3341" s="112" t="s">
        <v>908</v>
      </c>
      <c r="C3341" s="112" t="s">
        <v>695</v>
      </c>
      <c r="D3341" s="113">
        <v>10347981</v>
      </c>
      <c r="E3341" s="115">
        <v>43924</v>
      </c>
      <c r="F3341" s="114">
        <v>202101</v>
      </c>
      <c r="G3341" s="112" t="s">
        <v>1091</v>
      </c>
      <c r="H3341" s="112" t="s">
        <v>1015</v>
      </c>
      <c r="I3341" s="112" t="s">
        <v>761</v>
      </c>
      <c r="J3341" s="112" t="s">
        <v>2584</v>
      </c>
      <c r="K3341" s="112" t="s">
        <v>3220</v>
      </c>
      <c r="L3341" s="116">
        <v>-480</v>
      </c>
    </row>
    <row r="3342" spans="1:12" hidden="1" outlineLevel="1" collapsed="1" x14ac:dyDescent="0.35">
      <c r="A3342" s="112" t="s">
        <v>2479</v>
      </c>
      <c r="B3342" s="112" t="s">
        <v>908</v>
      </c>
      <c r="C3342" s="112" t="s">
        <v>679</v>
      </c>
      <c r="D3342" s="113">
        <v>10348189</v>
      </c>
      <c r="E3342" s="115">
        <v>43934</v>
      </c>
      <c r="F3342" s="114">
        <v>202101</v>
      </c>
      <c r="G3342" s="112" t="s">
        <v>1091</v>
      </c>
      <c r="H3342" s="112" t="s">
        <v>1016</v>
      </c>
      <c r="I3342" s="112" t="s">
        <v>1788</v>
      </c>
      <c r="J3342" s="112" t="s">
        <v>2498</v>
      </c>
      <c r="K3342" s="112" t="s">
        <v>3221</v>
      </c>
      <c r="L3342" s="116">
        <v>-196</v>
      </c>
    </row>
    <row r="3343" spans="1:12" hidden="1" outlineLevel="1" collapsed="1" x14ac:dyDescent="0.35">
      <c r="A3343" s="112" t="s">
        <v>2479</v>
      </c>
      <c r="B3343" s="112" t="s">
        <v>909</v>
      </c>
      <c r="C3343" s="112" t="s">
        <v>695</v>
      </c>
      <c r="D3343" s="113">
        <v>10348152</v>
      </c>
      <c r="E3343" s="115">
        <v>43930</v>
      </c>
      <c r="F3343" s="114">
        <v>202101</v>
      </c>
      <c r="G3343" s="112" t="s">
        <v>1091</v>
      </c>
      <c r="H3343" s="112" t="s">
        <v>1015</v>
      </c>
      <c r="I3343" s="112" t="s">
        <v>761</v>
      </c>
      <c r="J3343" s="112" t="s">
        <v>3217</v>
      </c>
      <c r="K3343" s="112" t="s">
        <v>3222</v>
      </c>
      <c r="L3343" s="116">
        <v>-5538.4</v>
      </c>
    </row>
    <row r="3344" spans="1:12" hidden="1" outlineLevel="1" collapsed="1" x14ac:dyDescent="0.35">
      <c r="A3344" s="112" t="s">
        <v>2479</v>
      </c>
      <c r="B3344" s="112" t="s">
        <v>908</v>
      </c>
      <c r="C3344" s="112" t="s">
        <v>695</v>
      </c>
      <c r="D3344" s="113">
        <v>10347981</v>
      </c>
      <c r="E3344" s="115">
        <v>43924</v>
      </c>
      <c r="F3344" s="114">
        <v>202101</v>
      </c>
      <c r="G3344" s="112" t="s">
        <v>1091</v>
      </c>
      <c r="H3344" s="112" t="s">
        <v>1015</v>
      </c>
      <c r="I3344" s="112" t="s">
        <v>1182</v>
      </c>
      <c r="J3344" s="112" t="s">
        <v>2584</v>
      </c>
      <c r="K3344" s="112" t="s">
        <v>3223</v>
      </c>
      <c r="L3344" s="116">
        <v>-139.1</v>
      </c>
    </row>
    <row r="3345" spans="1:12" hidden="1" outlineLevel="1" collapsed="1" x14ac:dyDescent="0.35">
      <c r="A3345" s="112" t="s">
        <v>2479</v>
      </c>
      <c r="B3345" s="112" t="s">
        <v>908</v>
      </c>
      <c r="C3345" s="112" t="s">
        <v>679</v>
      </c>
      <c r="D3345" s="113">
        <v>10348446</v>
      </c>
      <c r="E3345" s="115">
        <v>43945</v>
      </c>
      <c r="F3345" s="114">
        <v>202101</v>
      </c>
      <c r="G3345" s="112" t="s">
        <v>1091</v>
      </c>
      <c r="H3345" s="112" t="s">
        <v>1016</v>
      </c>
      <c r="I3345" s="112" t="s">
        <v>1788</v>
      </c>
      <c r="J3345" s="112" t="s">
        <v>2498</v>
      </c>
      <c r="K3345" s="112" t="s">
        <v>3224</v>
      </c>
      <c r="L3345" s="116">
        <v>-60</v>
      </c>
    </row>
    <row r="3346" spans="1:12" hidden="1" outlineLevel="1" collapsed="1" x14ac:dyDescent="0.35">
      <c r="A3346" s="112" t="s">
        <v>2479</v>
      </c>
      <c r="B3346" s="112" t="s">
        <v>908</v>
      </c>
      <c r="C3346" s="112" t="s">
        <v>679</v>
      </c>
      <c r="D3346" s="113">
        <v>10348189</v>
      </c>
      <c r="E3346" s="115">
        <v>43934</v>
      </c>
      <c r="F3346" s="114">
        <v>202101</v>
      </c>
      <c r="G3346" s="112" t="s">
        <v>1091</v>
      </c>
      <c r="H3346" s="112" t="s">
        <v>1016</v>
      </c>
      <c r="I3346" s="112" t="s">
        <v>1788</v>
      </c>
      <c r="J3346" s="112" t="s">
        <v>2498</v>
      </c>
      <c r="K3346" s="112" t="s">
        <v>3225</v>
      </c>
      <c r="L3346" s="116">
        <v>-190</v>
      </c>
    </row>
    <row r="3347" spans="1:12" hidden="1" outlineLevel="1" collapsed="1" x14ac:dyDescent="0.35">
      <c r="A3347" s="112" t="s">
        <v>2479</v>
      </c>
      <c r="B3347" s="112" t="s">
        <v>909</v>
      </c>
      <c r="C3347" s="112" t="s">
        <v>1099</v>
      </c>
      <c r="D3347" s="113">
        <v>1069436</v>
      </c>
      <c r="E3347" s="115">
        <v>43922</v>
      </c>
      <c r="F3347" s="114">
        <v>202101</v>
      </c>
      <c r="G3347" s="112" t="s">
        <v>1091</v>
      </c>
      <c r="H3347" s="112" t="s">
        <v>1015</v>
      </c>
      <c r="I3347" s="112" t="s">
        <v>2495</v>
      </c>
      <c r="J3347" s="112" t="s">
        <v>2496</v>
      </c>
      <c r="K3347" s="112" t="s">
        <v>3226</v>
      </c>
      <c r="L3347" s="116">
        <v>5310</v>
      </c>
    </row>
    <row r="3348" spans="1:12" hidden="1" outlineLevel="1" collapsed="1" x14ac:dyDescent="0.35">
      <c r="A3348" s="112" t="s">
        <v>2479</v>
      </c>
      <c r="B3348" s="112" t="s">
        <v>908</v>
      </c>
      <c r="C3348" s="112" t="s">
        <v>695</v>
      </c>
      <c r="D3348" s="113">
        <v>10347981</v>
      </c>
      <c r="E3348" s="115">
        <v>43924</v>
      </c>
      <c r="F3348" s="114">
        <v>202101</v>
      </c>
      <c r="G3348" s="112" t="s">
        <v>1091</v>
      </c>
      <c r="H3348" s="112" t="s">
        <v>1015</v>
      </c>
      <c r="I3348" s="112" t="s">
        <v>2502</v>
      </c>
      <c r="J3348" s="112" t="s">
        <v>2503</v>
      </c>
      <c r="K3348" s="112" t="s">
        <v>3227</v>
      </c>
      <c r="L3348" s="116">
        <v>-5.2</v>
      </c>
    </row>
    <row r="3349" spans="1:12" hidden="1" outlineLevel="1" collapsed="1" x14ac:dyDescent="0.35">
      <c r="A3349" s="112" t="s">
        <v>2479</v>
      </c>
      <c r="B3349" s="112" t="s">
        <v>908</v>
      </c>
      <c r="C3349" s="112" t="s">
        <v>679</v>
      </c>
      <c r="D3349" s="113">
        <v>10348446</v>
      </c>
      <c r="E3349" s="115">
        <v>43945</v>
      </c>
      <c r="F3349" s="114">
        <v>202101</v>
      </c>
      <c r="G3349" s="112" t="s">
        <v>1091</v>
      </c>
      <c r="H3349" s="112" t="s">
        <v>1016</v>
      </c>
      <c r="I3349" s="112" t="s">
        <v>1788</v>
      </c>
      <c r="J3349" s="112" t="s">
        <v>2498</v>
      </c>
      <c r="K3349" s="112" t="s">
        <v>3228</v>
      </c>
      <c r="L3349" s="116">
        <v>-190</v>
      </c>
    </row>
    <row r="3350" spans="1:12" hidden="1" outlineLevel="1" collapsed="1" x14ac:dyDescent="0.35">
      <c r="A3350" s="112" t="s">
        <v>2479</v>
      </c>
      <c r="B3350" s="112" t="s">
        <v>909</v>
      </c>
      <c r="C3350" s="112" t="s">
        <v>695</v>
      </c>
      <c r="D3350" s="113">
        <v>10347981</v>
      </c>
      <c r="E3350" s="115">
        <v>43924</v>
      </c>
      <c r="F3350" s="114">
        <v>202101</v>
      </c>
      <c r="G3350" s="112" t="s">
        <v>1091</v>
      </c>
      <c r="H3350" s="112" t="s">
        <v>1015</v>
      </c>
      <c r="I3350" s="112" t="s">
        <v>761</v>
      </c>
      <c r="J3350" s="112" t="s">
        <v>2523</v>
      </c>
      <c r="K3350" s="112" t="s">
        <v>3229</v>
      </c>
      <c r="L3350" s="116">
        <v>-154.5</v>
      </c>
    </row>
    <row r="3351" spans="1:12" hidden="1" outlineLevel="1" collapsed="1" x14ac:dyDescent="0.35">
      <c r="A3351" s="112" t="s">
        <v>2479</v>
      </c>
      <c r="B3351" s="112" t="s">
        <v>908</v>
      </c>
      <c r="C3351" s="112" t="s">
        <v>695</v>
      </c>
      <c r="D3351" s="113">
        <v>10347981</v>
      </c>
      <c r="E3351" s="115">
        <v>43924</v>
      </c>
      <c r="F3351" s="114">
        <v>202101</v>
      </c>
      <c r="G3351" s="112" t="s">
        <v>1091</v>
      </c>
      <c r="H3351" s="112" t="s">
        <v>1015</v>
      </c>
      <c r="I3351" s="112" t="s">
        <v>1102</v>
      </c>
      <c r="J3351" s="112" t="s">
        <v>2520</v>
      </c>
      <c r="K3351" s="112" t="s">
        <v>3230</v>
      </c>
      <c r="L3351" s="116">
        <v>-31.36</v>
      </c>
    </row>
    <row r="3352" spans="1:12" hidden="1" outlineLevel="1" collapsed="1" x14ac:dyDescent="0.35">
      <c r="A3352" s="112" t="s">
        <v>2479</v>
      </c>
      <c r="B3352" s="112" t="s">
        <v>909</v>
      </c>
      <c r="C3352" s="112" t="s">
        <v>1518</v>
      </c>
      <c r="D3352" s="113">
        <v>51366189</v>
      </c>
      <c r="E3352" s="115">
        <v>43948</v>
      </c>
      <c r="F3352" s="114">
        <v>202101</v>
      </c>
      <c r="G3352" s="112" t="s">
        <v>1091</v>
      </c>
      <c r="H3352" s="112" t="s">
        <v>1016</v>
      </c>
      <c r="I3352" s="112" t="s">
        <v>1788</v>
      </c>
      <c r="J3352" s="112" t="s">
        <v>2652</v>
      </c>
      <c r="K3352" s="112" t="s">
        <v>3231</v>
      </c>
      <c r="L3352" s="116">
        <v>-350</v>
      </c>
    </row>
    <row r="3353" spans="1:12" hidden="1" outlineLevel="1" collapsed="1" x14ac:dyDescent="0.35">
      <c r="A3353" s="112" t="s">
        <v>2479</v>
      </c>
      <c r="B3353" s="112" t="s">
        <v>908</v>
      </c>
      <c r="C3353" s="112" t="s">
        <v>679</v>
      </c>
      <c r="D3353" s="113">
        <v>10348375</v>
      </c>
      <c r="E3353" s="115">
        <v>43942</v>
      </c>
      <c r="F3353" s="114">
        <v>202101</v>
      </c>
      <c r="G3353" s="112" t="s">
        <v>1091</v>
      </c>
      <c r="H3353" s="112" t="s">
        <v>1016</v>
      </c>
      <c r="I3353" s="112" t="s">
        <v>1788</v>
      </c>
      <c r="J3353" s="112" t="s">
        <v>2498</v>
      </c>
      <c r="K3353" s="112" t="s">
        <v>3232</v>
      </c>
      <c r="L3353" s="116">
        <v>-196</v>
      </c>
    </row>
    <row r="3354" spans="1:12" hidden="1" outlineLevel="1" collapsed="1" x14ac:dyDescent="0.35">
      <c r="A3354" s="112" t="s">
        <v>2479</v>
      </c>
      <c r="B3354" s="112" t="s">
        <v>908</v>
      </c>
      <c r="C3354" s="112" t="s">
        <v>679</v>
      </c>
      <c r="D3354" s="113">
        <v>10348446</v>
      </c>
      <c r="E3354" s="115">
        <v>43945</v>
      </c>
      <c r="F3354" s="114">
        <v>202101</v>
      </c>
      <c r="G3354" s="112" t="s">
        <v>1091</v>
      </c>
      <c r="H3354" s="112" t="s">
        <v>1016</v>
      </c>
      <c r="I3354" s="112" t="s">
        <v>1788</v>
      </c>
      <c r="J3354" s="112" t="s">
        <v>2498</v>
      </c>
      <c r="K3354" s="112" t="s">
        <v>3233</v>
      </c>
      <c r="L3354" s="116">
        <v>-190</v>
      </c>
    </row>
    <row r="3355" spans="1:12" hidden="1" outlineLevel="1" collapsed="1" x14ac:dyDescent="0.35">
      <c r="A3355" s="112" t="s">
        <v>2479</v>
      </c>
      <c r="B3355" s="112" t="s">
        <v>909</v>
      </c>
      <c r="C3355" s="112" t="s">
        <v>695</v>
      </c>
      <c r="D3355" s="113">
        <v>10347981</v>
      </c>
      <c r="E3355" s="115">
        <v>43924</v>
      </c>
      <c r="F3355" s="114">
        <v>202101</v>
      </c>
      <c r="G3355" s="112" t="s">
        <v>1091</v>
      </c>
      <c r="H3355" s="112" t="s">
        <v>1015</v>
      </c>
      <c r="I3355" s="112" t="s">
        <v>1092</v>
      </c>
      <c r="J3355" s="112" t="s">
        <v>2673</v>
      </c>
      <c r="K3355" s="112" t="s">
        <v>1450</v>
      </c>
      <c r="L3355" s="116">
        <v>-47</v>
      </c>
    </row>
    <row r="3356" spans="1:12" hidden="1" outlineLevel="1" collapsed="1" x14ac:dyDescent="0.35">
      <c r="A3356" s="112" t="s">
        <v>2479</v>
      </c>
      <c r="B3356" s="112" t="s">
        <v>908</v>
      </c>
      <c r="C3356" s="112" t="s">
        <v>695</v>
      </c>
      <c r="D3356" s="113">
        <v>10347981</v>
      </c>
      <c r="E3356" s="115">
        <v>43924</v>
      </c>
      <c r="F3356" s="114">
        <v>202101</v>
      </c>
      <c r="G3356" s="112" t="s">
        <v>1091</v>
      </c>
      <c r="H3356" s="112" t="s">
        <v>1015</v>
      </c>
      <c r="I3356" s="112" t="s">
        <v>2997</v>
      </c>
      <c r="J3356" s="112" t="s">
        <v>2520</v>
      </c>
      <c r="K3356" s="112" t="s">
        <v>3234</v>
      </c>
      <c r="L3356" s="116">
        <v>-20</v>
      </c>
    </row>
    <row r="3357" spans="1:12" hidden="1" outlineLevel="1" collapsed="1" x14ac:dyDescent="0.35">
      <c r="A3357" s="112" t="s">
        <v>2479</v>
      </c>
      <c r="B3357" s="112" t="s">
        <v>908</v>
      </c>
      <c r="C3357" s="112" t="s">
        <v>695</v>
      </c>
      <c r="D3357" s="113">
        <v>10347981</v>
      </c>
      <c r="E3357" s="115">
        <v>43924</v>
      </c>
      <c r="F3357" s="114">
        <v>202101</v>
      </c>
      <c r="G3357" s="112" t="s">
        <v>1091</v>
      </c>
      <c r="H3357" s="112" t="s">
        <v>1015</v>
      </c>
      <c r="I3357" s="112" t="s">
        <v>1277</v>
      </c>
      <c r="J3357" s="112" t="s">
        <v>2501</v>
      </c>
      <c r="K3357" s="112" t="s">
        <v>3235</v>
      </c>
      <c r="L3357" s="116">
        <v>-671.88</v>
      </c>
    </row>
    <row r="3358" spans="1:12" hidden="1" outlineLevel="1" collapsed="1" x14ac:dyDescent="0.35">
      <c r="A3358" s="112" t="s">
        <v>2479</v>
      </c>
      <c r="B3358" s="112" t="s">
        <v>908</v>
      </c>
      <c r="C3358" s="112" t="s">
        <v>695</v>
      </c>
      <c r="D3358" s="113">
        <v>10347981</v>
      </c>
      <c r="E3358" s="115">
        <v>43924</v>
      </c>
      <c r="F3358" s="114">
        <v>202101</v>
      </c>
      <c r="G3358" s="112" t="s">
        <v>1091</v>
      </c>
      <c r="H3358" s="112" t="s">
        <v>1015</v>
      </c>
      <c r="I3358" s="112" t="s">
        <v>761</v>
      </c>
      <c r="J3358" s="112" t="s">
        <v>2553</v>
      </c>
      <c r="K3358" s="112" t="s">
        <v>2713</v>
      </c>
      <c r="L3358" s="116">
        <v>-34.799999999999997</v>
      </c>
    </row>
    <row r="3359" spans="1:12" hidden="1" outlineLevel="1" collapsed="1" x14ac:dyDescent="0.35">
      <c r="A3359" s="112" t="s">
        <v>2479</v>
      </c>
      <c r="B3359" s="112" t="s">
        <v>908</v>
      </c>
      <c r="C3359" s="112" t="s">
        <v>695</v>
      </c>
      <c r="D3359" s="113">
        <v>10347981</v>
      </c>
      <c r="E3359" s="115">
        <v>43924</v>
      </c>
      <c r="F3359" s="114">
        <v>202101</v>
      </c>
      <c r="G3359" s="112" t="s">
        <v>1091</v>
      </c>
      <c r="H3359" s="112" t="s">
        <v>1015</v>
      </c>
      <c r="I3359" s="112" t="s">
        <v>761</v>
      </c>
      <c r="J3359" s="112" t="s">
        <v>2484</v>
      </c>
      <c r="K3359" s="112" t="s">
        <v>3236</v>
      </c>
      <c r="L3359" s="116">
        <v>-230</v>
      </c>
    </row>
    <row r="3360" spans="1:12" hidden="1" outlineLevel="1" collapsed="1" x14ac:dyDescent="0.35">
      <c r="A3360" s="112" t="s">
        <v>2479</v>
      </c>
      <c r="B3360" s="112" t="s">
        <v>909</v>
      </c>
      <c r="C3360" s="112" t="s">
        <v>695</v>
      </c>
      <c r="D3360" s="113">
        <v>10347981</v>
      </c>
      <c r="E3360" s="115">
        <v>43924</v>
      </c>
      <c r="F3360" s="114">
        <v>202101</v>
      </c>
      <c r="G3360" s="112" t="s">
        <v>1091</v>
      </c>
      <c r="H3360" s="112" t="s">
        <v>1015</v>
      </c>
      <c r="I3360" s="112" t="s">
        <v>1182</v>
      </c>
      <c r="J3360" s="112" t="s">
        <v>2523</v>
      </c>
      <c r="K3360" s="112" t="s">
        <v>3237</v>
      </c>
      <c r="L3360" s="116">
        <v>-210.1</v>
      </c>
    </row>
    <row r="3361" spans="1:12" hidden="1" outlineLevel="1" collapsed="1" x14ac:dyDescent="0.35">
      <c r="A3361" s="112" t="s">
        <v>2479</v>
      </c>
      <c r="B3361" s="112" t="s">
        <v>908</v>
      </c>
      <c r="C3361" s="112" t="s">
        <v>695</v>
      </c>
      <c r="D3361" s="113">
        <v>10347981</v>
      </c>
      <c r="E3361" s="115">
        <v>43924</v>
      </c>
      <c r="F3361" s="114">
        <v>202101</v>
      </c>
      <c r="G3361" s="112" t="s">
        <v>1091</v>
      </c>
      <c r="H3361" s="112" t="s">
        <v>1015</v>
      </c>
      <c r="I3361" s="112" t="s">
        <v>761</v>
      </c>
      <c r="J3361" s="112" t="s">
        <v>2501</v>
      </c>
      <c r="K3361" s="112" t="s">
        <v>3238</v>
      </c>
      <c r="L3361" s="116">
        <v>-90</v>
      </c>
    </row>
    <row r="3362" spans="1:12" hidden="1" outlineLevel="1" collapsed="1" x14ac:dyDescent="0.35">
      <c r="A3362" s="112" t="s">
        <v>2479</v>
      </c>
      <c r="B3362" s="112" t="s">
        <v>908</v>
      </c>
      <c r="C3362" s="112" t="s">
        <v>695</v>
      </c>
      <c r="D3362" s="113">
        <v>10347981</v>
      </c>
      <c r="E3362" s="115">
        <v>43924</v>
      </c>
      <c r="F3362" s="114">
        <v>202101</v>
      </c>
      <c r="G3362" s="112" t="s">
        <v>1091</v>
      </c>
      <c r="H3362" s="112" t="s">
        <v>1015</v>
      </c>
      <c r="I3362" s="112" t="s">
        <v>1182</v>
      </c>
      <c r="J3362" s="112" t="s">
        <v>2584</v>
      </c>
      <c r="K3362" s="112" t="s">
        <v>2757</v>
      </c>
      <c r="L3362" s="116">
        <v>-21.96</v>
      </c>
    </row>
    <row r="3363" spans="1:12" hidden="1" outlineLevel="1" collapsed="1" x14ac:dyDescent="0.35">
      <c r="A3363" s="112" t="s">
        <v>2479</v>
      </c>
      <c r="B3363" s="112" t="s">
        <v>908</v>
      </c>
      <c r="C3363" s="112" t="s">
        <v>679</v>
      </c>
      <c r="D3363" s="113">
        <v>10348418</v>
      </c>
      <c r="E3363" s="115">
        <v>43944</v>
      </c>
      <c r="F3363" s="114">
        <v>202101</v>
      </c>
      <c r="G3363" s="112" t="s">
        <v>1091</v>
      </c>
      <c r="H3363" s="112" t="s">
        <v>1016</v>
      </c>
      <c r="I3363" s="112" t="s">
        <v>1788</v>
      </c>
      <c r="J3363" s="112" t="s">
        <v>2498</v>
      </c>
      <c r="K3363" s="112" t="s">
        <v>3239</v>
      </c>
      <c r="L3363" s="116">
        <v>-196</v>
      </c>
    </row>
    <row r="3364" spans="1:12" hidden="1" outlineLevel="1" collapsed="1" x14ac:dyDescent="0.35">
      <c r="A3364" s="112" t="s">
        <v>2479</v>
      </c>
      <c r="B3364" s="112" t="s">
        <v>908</v>
      </c>
      <c r="C3364" s="112" t="s">
        <v>679</v>
      </c>
      <c r="D3364" s="113">
        <v>10348418</v>
      </c>
      <c r="E3364" s="115">
        <v>43944</v>
      </c>
      <c r="F3364" s="114">
        <v>202101</v>
      </c>
      <c r="G3364" s="112" t="s">
        <v>1091</v>
      </c>
      <c r="H3364" s="112" t="s">
        <v>1016</v>
      </c>
      <c r="I3364" s="112" t="s">
        <v>1788</v>
      </c>
      <c r="J3364" s="112" t="s">
        <v>2498</v>
      </c>
      <c r="K3364" s="112" t="s">
        <v>3240</v>
      </c>
      <c r="L3364" s="116">
        <v>-60</v>
      </c>
    </row>
    <row r="3365" spans="1:12" hidden="1" outlineLevel="1" collapsed="1" x14ac:dyDescent="0.35">
      <c r="A3365" s="112" t="s">
        <v>2479</v>
      </c>
      <c r="B3365" s="112" t="s">
        <v>908</v>
      </c>
      <c r="C3365" s="112" t="s">
        <v>679</v>
      </c>
      <c r="D3365" s="113">
        <v>10348418</v>
      </c>
      <c r="E3365" s="115">
        <v>43944</v>
      </c>
      <c r="F3365" s="114">
        <v>202101</v>
      </c>
      <c r="G3365" s="112" t="s">
        <v>1091</v>
      </c>
      <c r="H3365" s="112" t="s">
        <v>1016</v>
      </c>
      <c r="I3365" s="112" t="s">
        <v>1788</v>
      </c>
      <c r="J3365" s="112" t="s">
        <v>2498</v>
      </c>
      <c r="K3365" s="112" t="s">
        <v>3241</v>
      </c>
      <c r="L3365" s="116">
        <v>-196</v>
      </c>
    </row>
    <row r="3366" spans="1:12" hidden="1" outlineLevel="1" collapsed="1" x14ac:dyDescent="0.35">
      <c r="A3366" s="112" t="s">
        <v>2479</v>
      </c>
      <c r="B3366" s="112" t="s">
        <v>908</v>
      </c>
      <c r="C3366" s="112" t="s">
        <v>679</v>
      </c>
      <c r="D3366" s="113">
        <v>10348418</v>
      </c>
      <c r="E3366" s="115">
        <v>43944</v>
      </c>
      <c r="F3366" s="114">
        <v>202101</v>
      </c>
      <c r="G3366" s="112" t="s">
        <v>1091</v>
      </c>
      <c r="H3366" s="112" t="s">
        <v>1016</v>
      </c>
      <c r="I3366" s="112" t="s">
        <v>1788</v>
      </c>
      <c r="J3366" s="112" t="s">
        <v>2498</v>
      </c>
      <c r="K3366" s="112" t="s">
        <v>3242</v>
      </c>
      <c r="L3366" s="116">
        <v>-205</v>
      </c>
    </row>
    <row r="3367" spans="1:12" hidden="1" outlineLevel="1" collapsed="1" x14ac:dyDescent="0.35">
      <c r="A3367" s="112" t="s">
        <v>2479</v>
      </c>
      <c r="B3367" s="112" t="s">
        <v>909</v>
      </c>
      <c r="C3367" s="112" t="s">
        <v>679</v>
      </c>
      <c r="D3367" s="113">
        <v>10348418</v>
      </c>
      <c r="E3367" s="115">
        <v>43944</v>
      </c>
      <c r="F3367" s="114">
        <v>202101</v>
      </c>
      <c r="G3367" s="112" t="s">
        <v>1091</v>
      </c>
      <c r="H3367" s="112" t="s">
        <v>1016</v>
      </c>
      <c r="I3367" s="112" t="s">
        <v>2536</v>
      </c>
      <c r="J3367" s="112" t="s">
        <v>2523</v>
      </c>
      <c r="K3367" s="112" t="s">
        <v>3243</v>
      </c>
      <c r="L3367" s="116">
        <v>-162</v>
      </c>
    </row>
    <row r="3368" spans="1:12" hidden="1" outlineLevel="1" collapsed="1" x14ac:dyDescent="0.35">
      <c r="A3368" s="112" t="s">
        <v>2479</v>
      </c>
      <c r="B3368" s="112" t="s">
        <v>908</v>
      </c>
      <c r="C3368" s="112" t="s">
        <v>695</v>
      </c>
      <c r="D3368" s="113">
        <v>10347981</v>
      </c>
      <c r="E3368" s="115">
        <v>43924</v>
      </c>
      <c r="F3368" s="114">
        <v>202101</v>
      </c>
      <c r="G3368" s="112" t="s">
        <v>1091</v>
      </c>
      <c r="H3368" s="112" t="s">
        <v>1015</v>
      </c>
      <c r="I3368" s="112" t="s">
        <v>1102</v>
      </c>
      <c r="J3368" s="112" t="s">
        <v>2520</v>
      </c>
      <c r="K3368" s="112" t="s">
        <v>3244</v>
      </c>
      <c r="L3368" s="116">
        <v>-29.4</v>
      </c>
    </row>
    <row r="3369" spans="1:12" hidden="1" outlineLevel="1" collapsed="1" x14ac:dyDescent="0.35">
      <c r="A3369" s="112" t="s">
        <v>2479</v>
      </c>
      <c r="B3369" s="112" t="s">
        <v>909</v>
      </c>
      <c r="C3369" s="112" t="s">
        <v>695</v>
      </c>
      <c r="D3369" s="113">
        <v>10347981</v>
      </c>
      <c r="E3369" s="115">
        <v>43924</v>
      </c>
      <c r="F3369" s="114">
        <v>202101</v>
      </c>
      <c r="G3369" s="112" t="s">
        <v>1091</v>
      </c>
      <c r="H3369" s="112" t="s">
        <v>1015</v>
      </c>
      <c r="I3369" s="112" t="s">
        <v>761</v>
      </c>
      <c r="J3369" s="112" t="s">
        <v>2480</v>
      </c>
      <c r="K3369" s="112" t="s">
        <v>3245</v>
      </c>
      <c r="L3369" s="116">
        <v>-50</v>
      </c>
    </row>
    <row r="3370" spans="1:12" hidden="1" outlineLevel="1" collapsed="1" x14ac:dyDescent="0.35">
      <c r="A3370" s="112" t="s">
        <v>2479</v>
      </c>
      <c r="B3370" s="112" t="s">
        <v>908</v>
      </c>
      <c r="C3370" s="112" t="s">
        <v>679</v>
      </c>
      <c r="D3370" s="113">
        <v>10348418</v>
      </c>
      <c r="E3370" s="115">
        <v>43944</v>
      </c>
      <c r="F3370" s="114">
        <v>202101</v>
      </c>
      <c r="G3370" s="112" t="s">
        <v>1091</v>
      </c>
      <c r="H3370" s="112" t="s">
        <v>1016</v>
      </c>
      <c r="I3370" s="112" t="s">
        <v>1788</v>
      </c>
      <c r="J3370" s="112" t="s">
        <v>2498</v>
      </c>
      <c r="K3370" s="112" t="s">
        <v>3246</v>
      </c>
      <c r="L3370" s="116">
        <v>-60</v>
      </c>
    </row>
    <row r="3371" spans="1:12" hidden="1" outlineLevel="1" collapsed="1" x14ac:dyDescent="0.35">
      <c r="A3371" s="112" t="s">
        <v>2479</v>
      </c>
      <c r="B3371" s="112" t="s">
        <v>908</v>
      </c>
      <c r="C3371" s="112" t="s">
        <v>679</v>
      </c>
      <c r="D3371" s="113">
        <v>10348418</v>
      </c>
      <c r="E3371" s="115">
        <v>43944</v>
      </c>
      <c r="F3371" s="114">
        <v>202101</v>
      </c>
      <c r="G3371" s="112" t="s">
        <v>1091</v>
      </c>
      <c r="H3371" s="112" t="s">
        <v>1016</v>
      </c>
      <c r="I3371" s="112" t="s">
        <v>1788</v>
      </c>
      <c r="J3371" s="112" t="s">
        <v>2498</v>
      </c>
      <c r="K3371" s="112" t="s">
        <v>3247</v>
      </c>
      <c r="L3371" s="116">
        <v>-60</v>
      </c>
    </row>
    <row r="3372" spans="1:12" hidden="1" outlineLevel="1" collapsed="1" x14ac:dyDescent="0.35">
      <c r="A3372" s="112" t="s">
        <v>2479</v>
      </c>
      <c r="B3372" s="112" t="s">
        <v>909</v>
      </c>
      <c r="C3372" s="112" t="s">
        <v>695</v>
      </c>
      <c r="D3372" s="113">
        <v>10347981</v>
      </c>
      <c r="E3372" s="115">
        <v>43924</v>
      </c>
      <c r="F3372" s="114">
        <v>202101</v>
      </c>
      <c r="G3372" s="112" t="s">
        <v>1091</v>
      </c>
      <c r="H3372" s="112" t="s">
        <v>1015</v>
      </c>
      <c r="I3372" s="112" t="s">
        <v>761</v>
      </c>
      <c r="J3372" s="112" t="s">
        <v>3248</v>
      </c>
      <c r="K3372" s="112" t="s">
        <v>3249</v>
      </c>
      <c r="L3372" s="116">
        <v>-347.88</v>
      </c>
    </row>
    <row r="3373" spans="1:12" hidden="1" outlineLevel="1" collapsed="1" x14ac:dyDescent="0.35">
      <c r="A3373" s="112" t="s">
        <v>2479</v>
      </c>
      <c r="B3373" s="112" t="s">
        <v>909</v>
      </c>
      <c r="C3373" s="112" t="s">
        <v>695</v>
      </c>
      <c r="D3373" s="113">
        <v>10347981</v>
      </c>
      <c r="E3373" s="115">
        <v>43924</v>
      </c>
      <c r="F3373" s="114">
        <v>202101</v>
      </c>
      <c r="G3373" s="112" t="s">
        <v>1091</v>
      </c>
      <c r="H3373" s="112" t="s">
        <v>1015</v>
      </c>
      <c r="I3373" s="112" t="s">
        <v>775</v>
      </c>
      <c r="J3373" s="112" t="s">
        <v>3123</v>
      </c>
      <c r="K3373" s="112" t="s">
        <v>3250</v>
      </c>
      <c r="L3373" s="116">
        <v>-3000</v>
      </c>
    </row>
    <row r="3374" spans="1:12" hidden="1" outlineLevel="1" collapsed="1" x14ac:dyDescent="0.35">
      <c r="A3374" s="112" t="s">
        <v>2479</v>
      </c>
      <c r="B3374" s="112" t="s">
        <v>908</v>
      </c>
      <c r="C3374" s="112" t="s">
        <v>679</v>
      </c>
      <c r="D3374" s="113">
        <v>10348418</v>
      </c>
      <c r="E3374" s="115">
        <v>43944</v>
      </c>
      <c r="F3374" s="114">
        <v>202101</v>
      </c>
      <c r="G3374" s="112" t="s">
        <v>1091</v>
      </c>
      <c r="H3374" s="112" t="s">
        <v>1016</v>
      </c>
      <c r="I3374" s="112" t="s">
        <v>1788</v>
      </c>
      <c r="J3374" s="112" t="s">
        <v>2498</v>
      </c>
      <c r="K3374" s="112" t="s">
        <v>3251</v>
      </c>
      <c r="L3374" s="116">
        <v>-190</v>
      </c>
    </row>
    <row r="3375" spans="1:12" hidden="1" outlineLevel="1" collapsed="1" x14ac:dyDescent="0.35">
      <c r="A3375" s="112" t="s">
        <v>2479</v>
      </c>
      <c r="B3375" s="112" t="s">
        <v>908</v>
      </c>
      <c r="C3375" s="112" t="s">
        <v>695</v>
      </c>
      <c r="D3375" s="113">
        <v>10347981</v>
      </c>
      <c r="E3375" s="115">
        <v>43924</v>
      </c>
      <c r="F3375" s="114">
        <v>202101</v>
      </c>
      <c r="G3375" s="112" t="s">
        <v>1091</v>
      </c>
      <c r="H3375" s="112" t="s">
        <v>1015</v>
      </c>
      <c r="I3375" s="112" t="s">
        <v>2502</v>
      </c>
      <c r="J3375" s="112" t="s">
        <v>2503</v>
      </c>
      <c r="K3375" s="112" t="s">
        <v>3252</v>
      </c>
      <c r="L3375" s="116">
        <v>-8.93</v>
      </c>
    </row>
    <row r="3376" spans="1:12" hidden="1" outlineLevel="1" collapsed="1" x14ac:dyDescent="0.35">
      <c r="A3376" s="112" t="s">
        <v>2479</v>
      </c>
      <c r="B3376" s="112" t="s">
        <v>908</v>
      </c>
      <c r="C3376" s="112" t="s">
        <v>695</v>
      </c>
      <c r="D3376" s="113">
        <v>10347981</v>
      </c>
      <c r="E3376" s="115">
        <v>43924</v>
      </c>
      <c r="F3376" s="114">
        <v>202101</v>
      </c>
      <c r="G3376" s="112" t="s">
        <v>1091</v>
      </c>
      <c r="H3376" s="112" t="s">
        <v>1015</v>
      </c>
      <c r="I3376" s="112" t="s">
        <v>1605</v>
      </c>
      <c r="J3376" s="112" t="s">
        <v>2484</v>
      </c>
      <c r="K3376" s="112" t="s">
        <v>2793</v>
      </c>
      <c r="L3376" s="116">
        <v>-1000</v>
      </c>
    </row>
    <row r="3377" spans="1:12" hidden="1" outlineLevel="1" collapsed="1" x14ac:dyDescent="0.35">
      <c r="A3377" s="112" t="s">
        <v>2479</v>
      </c>
      <c r="B3377" s="112" t="s">
        <v>908</v>
      </c>
      <c r="C3377" s="112" t="s">
        <v>695</v>
      </c>
      <c r="D3377" s="113">
        <v>10347981</v>
      </c>
      <c r="E3377" s="115">
        <v>43924</v>
      </c>
      <c r="F3377" s="114">
        <v>202101</v>
      </c>
      <c r="G3377" s="112" t="s">
        <v>1091</v>
      </c>
      <c r="H3377" s="112" t="s">
        <v>1015</v>
      </c>
      <c r="I3377" s="112" t="s">
        <v>761</v>
      </c>
      <c r="J3377" s="112" t="s">
        <v>2553</v>
      </c>
      <c r="K3377" s="112" t="s">
        <v>2791</v>
      </c>
      <c r="L3377" s="116">
        <v>-136.15</v>
      </c>
    </row>
    <row r="3378" spans="1:12" hidden="1" outlineLevel="1" collapsed="1" x14ac:dyDescent="0.35">
      <c r="A3378" s="112" t="s">
        <v>2479</v>
      </c>
      <c r="B3378" s="112" t="s">
        <v>908</v>
      </c>
      <c r="C3378" s="112" t="s">
        <v>695</v>
      </c>
      <c r="D3378" s="113">
        <v>10347981</v>
      </c>
      <c r="E3378" s="115">
        <v>43924</v>
      </c>
      <c r="F3378" s="114">
        <v>202101</v>
      </c>
      <c r="G3378" s="112" t="s">
        <v>1091</v>
      </c>
      <c r="H3378" s="112" t="s">
        <v>1015</v>
      </c>
      <c r="I3378" s="112" t="s">
        <v>761</v>
      </c>
      <c r="J3378" s="112" t="s">
        <v>2484</v>
      </c>
      <c r="K3378" s="112" t="s">
        <v>3253</v>
      </c>
      <c r="L3378" s="116">
        <v>-19.8</v>
      </c>
    </row>
    <row r="3379" spans="1:12" hidden="1" outlineLevel="1" collapsed="1" x14ac:dyDescent="0.35">
      <c r="A3379" s="112" t="s">
        <v>2479</v>
      </c>
      <c r="B3379" s="112" t="s">
        <v>908</v>
      </c>
      <c r="C3379" s="112" t="s">
        <v>679</v>
      </c>
      <c r="D3379" s="113">
        <v>10348297</v>
      </c>
      <c r="E3379" s="115">
        <v>43938</v>
      </c>
      <c r="F3379" s="114">
        <v>202101</v>
      </c>
      <c r="G3379" s="112" t="s">
        <v>1091</v>
      </c>
      <c r="H3379" s="112" t="s">
        <v>1016</v>
      </c>
      <c r="I3379" s="112" t="s">
        <v>1788</v>
      </c>
      <c r="J3379" s="112" t="s">
        <v>2498</v>
      </c>
      <c r="K3379" s="112" t="s">
        <v>3254</v>
      </c>
      <c r="L3379" s="116">
        <v>-190</v>
      </c>
    </row>
    <row r="3380" spans="1:12" hidden="1" outlineLevel="1" collapsed="1" x14ac:dyDescent="0.35">
      <c r="A3380" s="112" t="s">
        <v>2479</v>
      </c>
      <c r="B3380" s="112" t="s">
        <v>909</v>
      </c>
      <c r="C3380" s="112" t="s">
        <v>695</v>
      </c>
      <c r="D3380" s="113">
        <v>10347981</v>
      </c>
      <c r="E3380" s="115">
        <v>43924</v>
      </c>
      <c r="F3380" s="114">
        <v>202101</v>
      </c>
      <c r="G3380" s="112" t="s">
        <v>1091</v>
      </c>
      <c r="H3380" s="112" t="s">
        <v>1015</v>
      </c>
      <c r="I3380" s="112" t="s">
        <v>1092</v>
      </c>
      <c r="J3380" s="112" t="s">
        <v>2480</v>
      </c>
      <c r="K3380" s="112" t="s">
        <v>1208</v>
      </c>
      <c r="L3380" s="116">
        <v>-47</v>
      </c>
    </row>
    <row r="3381" spans="1:12" hidden="1" outlineLevel="1" collapsed="1" x14ac:dyDescent="0.35">
      <c r="A3381" s="112" t="s">
        <v>2479</v>
      </c>
      <c r="B3381" s="112" t="s">
        <v>908</v>
      </c>
      <c r="C3381" s="112" t="s">
        <v>1099</v>
      </c>
      <c r="D3381" s="113">
        <v>1069392</v>
      </c>
      <c r="E3381" s="115">
        <v>43896</v>
      </c>
      <c r="F3381" s="114">
        <v>202101</v>
      </c>
      <c r="G3381" s="112" t="s">
        <v>1091</v>
      </c>
      <c r="H3381" s="112" t="s">
        <v>1015</v>
      </c>
      <c r="I3381" s="112" t="s">
        <v>761</v>
      </c>
      <c r="J3381" s="112" t="s">
        <v>3045</v>
      </c>
      <c r="K3381" s="112" t="s">
        <v>3255</v>
      </c>
      <c r="L3381" s="116">
        <v>1639.5</v>
      </c>
    </row>
    <row r="3382" spans="1:12" hidden="1" outlineLevel="1" collapsed="1" x14ac:dyDescent="0.35">
      <c r="A3382" s="112" t="s">
        <v>2479</v>
      </c>
      <c r="B3382" s="112" t="s">
        <v>908</v>
      </c>
      <c r="C3382" s="112" t="s">
        <v>679</v>
      </c>
      <c r="D3382" s="113">
        <v>10348180</v>
      </c>
      <c r="E3382" s="115">
        <v>43931</v>
      </c>
      <c r="F3382" s="114">
        <v>202101</v>
      </c>
      <c r="G3382" s="112" t="s">
        <v>1091</v>
      </c>
      <c r="H3382" s="112" t="s">
        <v>1016</v>
      </c>
      <c r="I3382" s="112" t="s">
        <v>1788</v>
      </c>
      <c r="J3382" s="112" t="s">
        <v>2498</v>
      </c>
      <c r="K3382" s="112" t="s">
        <v>3256</v>
      </c>
      <c r="L3382" s="116">
        <v>-60</v>
      </c>
    </row>
    <row r="3383" spans="1:12" hidden="1" outlineLevel="1" collapsed="1" x14ac:dyDescent="0.35">
      <c r="A3383" s="112" t="s">
        <v>2479</v>
      </c>
      <c r="B3383" s="112" t="s">
        <v>908</v>
      </c>
      <c r="C3383" s="112" t="s">
        <v>1095</v>
      </c>
      <c r="D3383" s="113">
        <v>10348451</v>
      </c>
      <c r="E3383" s="115">
        <v>43949</v>
      </c>
      <c r="F3383" s="114">
        <v>202101</v>
      </c>
      <c r="G3383" s="112" t="s">
        <v>1091</v>
      </c>
      <c r="H3383" s="112" t="s">
        <v>1015</v>
      </c>
      <c r="I3383" s="112" t="s">
        <v>1116</v>
      </c>
      <c r="J3383" s="112" t="s">
        <v>2584</v>
      </c>
      <c r="K3383" s="112" t="s">
        <v>1098</v>
      </c>
      <c r="L3383" s="116">
        <v>2981.92</v>
      </c>
    </row>
    <row r="3384" spans="1:12" hidden="1" outlineLevel="1" collapsed="1" x14ac:dyDescent="0.35">
      <c r="A3384" s="112" t="s">
        <v>2479</v>
      </c>
      <c r="B3384" s="112" t="s">
        <v>908</v>
      </c>
      <c r="C3384" s="112" t="s">
        <v>1095</v>
      </c>
      <c r="D3384" s="113">
        <v>10348451</v>
      </c>
      <c r="E3384" s="115">
        <v>43949</v>
      </c>
      <c r="F3384" s="114">
        <v>202101</v>
      </c>
      <c r="G3384" s="112" t="s">
        <v>1091</v>
      </c>
      <c r="H3384" s="112" t="s">
        <v>1015</v>
      </c>
      <c r="I3384" s="112" t="s">
        <v>1096</v>
      </c>
      <c r="J3384" s="112" t="s">
        <v>2503</v>
      </c>
      <c r="K3384" s="112" t="s">
        <v>1098</v>
      </c>
      <c r="L3384" s="116">
        <v>310.49</v>
      </c>
    </row>
    <row r="3385" spans="1:12" hidden="1" outlineLevel="1" collapsed="1" x14ac:dyDescent="0.35">
      <c r="A3385" s="112" t="s">
        <v>2479</v>
      </c>
      <c r="B3385" s="112" t="s">
        <v>909</v>
      </c>
      <c r="C3385" s="112" t="s">
        <v>1095</v>
      </c>
      <c r="D3385" s="113">
        <v>10348451</v>
      </c>
      <c r="E3385" s="115">
        <v>43949</v>
      </c>
      <c r="F3385" s="114">
        <v>202101</v>
      </c>
      <c r="G3385" s="112" t="s">
        <v>1091</v>
      </c>
      <c r="H3385" s="112" t="s">
        <v>1015</v>
      </c>
      <c r="I3385" s="112" t="s">
        <v>1101</v>
      </c>
      <c r="J3385" s="112" t="s">
        <v>2480</v>
      </c>
      <c r="K3385" s="112" t="s">
        <v>1098</v>
      </c>
      <c r="L3385" s="116">
        <v>502.77</v>
      </c>
    </row>
    <row r="3386" spans="1:12" hidden="1" outlineLevel="1" collapsed="1" x14ac:dyDescent="0.35">
      <c r="A3386" s="112" t="s">
        <v>2479</v>
      </c>
      <c r="B3386" s="112" t="s">
        <v>909</v>
      </c>
      <c r="C3386" s="112" t="s">
        <v>1095</v>
      </c>
      <c r="D3386" s="113">
        <v>10348451</v>
      </c>
      <c r="E3386" s="115">
        <v>43949</v>
      </c>
      <c r="F3386" s="114">
        <v>202101</v>
      </c>
      <c r="G3386" s="112" t="s">
        <v>1091</v>
      </c>
      <c r="H3386" s="112" t="s">
        <v>1015</v>
      </c>
      <c r="I3386" s="112" t="s">
        <v>1116</v>
      </c>
      <c r="J3386" s="112" t="s">
        <v>2673</v>
      </c>
      <c r="K3386" s="112" t="s">
        <v>1098</v>
      </c>
      <c r="L3386" s="116">
        <v>1564.53</v>
      </c>
    </row>
    <row r="3387" spans="1:12" hidden="1" outlineLevel="1" collapsed="1" x14ac:dyDescent="0.35">
      <c r="A3387" s="112" t="s">
        <v>2479</v>
      </c>
      <c r="B3387" s="112" t="s">
        <v>909</v>
      </c>
      <c r="C3387" s="112" t="s">
        <v>1095</v>
      </c>
      <c r="D3387" s="113">
        <v>10348451</v>
      </c>
      <c r="E3387" s="115">
        <v>43949</v>
      </c>
      <c r="F3387" s="114">
        <v>202101</v>
      </c>
      <c r="G3387" s="112" t="s">
        <v>1091</v>
      </c>
      <c r="H3387" s="112" t="s">
        <v>1015</v>
      </c>
      <c r="I3387" s="112" t="s">
        <v>1116</v>
      </c>
      <c r="J3387" s="112" t="s">
        <v>2673</v>
      </c>
      <c r="K3387" s="112" t="s">
        <v>1098</v>
      </c>
      <c r="L3387" s="116">
        <v>2981.92</v>
      </c>
    </row>
    <row r="3388" spans="1:12" hidden="1" outlineLevel="1" collapsed="1" x14ac:dyDescent="0.35">
      <c r="A3388" s="112" t="s">
        <v>2479</v>
      </c>
      <c r="B3388" s="112" t="s">
        <v>909</v>
      </c>
      <c r="C3388" s="112" t="s">
        <v>1095</v>
      </c>
      <c r="D3388" s="113">
        <v>10348451</v>
      </c>
      <c r="E3388" s="115">
        <v>43949</v>
      </c>
      <c r="F3388" s="114">
        <v>202101</v>
      </c>
      <c r="G3388" s="112" t="s">
        <v>1091</v>
      </c>
      <c r="H3388" s="112" t="s">
        <v>1015</v>
      </c>
      <c r="I3388" s="112" t="s">
        <v>1116</v>
      </c>
      <c r="J3388" s="112" t="s">
        <v>2673</v>
      </c>
      <c r="K3388" s="112" t="s">
        <v>1098</v>
      </c>
      <c r="L3388" s="116">
        <v>2981.92</v>
      </c>
    </row>
    <row r="3389" spans="1:12" hidden="1" outlineLevel="1" collapsed="1" x14ac:dyDescent="0.35">
      <c r="A3389" s="112" t="s">
        <v>2479</v>
      </c>
      <c r="B3389" s="112" t="s">
        <v>909</v>
      </c>
      <c r="C3389" s="112" t="s">
        <v>1095</v>
      </c>
      <c r="D3389" s="113">
        <v>10348451</v>
      </c>
      <c r="E3389" s="115">
        <v>43949</v>
      </c>
      <c r="F3389" s="114">
        <v>202101</v>
      </c>
      <c r="G3389" s="112" t="s">
        <v>1091</v>
      </c>
      <c r="H3389" s="112" t="s">
        <v>1015</v>
      </c>
      <c r="I3389" s="112" t="s">
        <v>1116</v>
      </c>
      <c r="J3389" s="112" t="s">
        <v>2673</v>
      </c>
      <c r="K3389" s="112" t="s">
        <v>1098</v>
      </c>
      <c r="L3389" s="116">
        <v>2578.9499999999998</v>
      </c>
    </row>
    <row r="3390" spans="1:12" hidden="1" outlineLevel="1" collapsed="1" x14ac:dyDescent="0.35">
      <c r="A3390" s="112" t="s">
        <v>2479</v>
      </c>
      <c r="B3390" s="112" t="s">
        <v>909</v>
      </c>
      <c r="C3390" s="112" t="s">
        <v>1095</v>
      </c>
      <c r="D3390" s="113">
        <v>10348451</v>
      </c>
      <c r="E3390" s="115">
        <v>43949</v>
      </c>
      <c r="F3390" s="114">
        <v>202101</v>
      </c>
      <c r="G3390" s="112" t="s">
        <v>1091</v>
      </c>
      <c r="H3390" s="112" t="s">
        <v>1015</v>
      </c>
      <c r="I3390" s="112" t="s">
        <v>1116</v>
      </c>
      <c r="J3390" s="112" t="s">
        <v>2673</v>
      </c>
      <c r="K3390" s="112" t="s">
        <v>1098</v>
      </c>
      <c r="L3390" s="116">
        <v>3391.33</v>
      </c>
    </row>
    <row r="3391" spans="1:12" hidden="1" outlineLevel="1" collapsed="1" x14ac:dyDescent="0.35">
      <c r="A3391" s="112" t="s">
        <v>2479</v>
      </c>
      <c r="B3391" s="112" t="s">
        <v>909</v>
      </c>
      <c r="C3391" s="112" t="s">
        <v>1095</v>
      </c>
      <c r="D3391" s="113">
        <v>10348451</v>
      </c>
      <c r="E3391" s="115">
        <v>43949</v>
      </c>
      <c r="F3391" s="114">
        <v>202101</v>
      </c>
      <c r="G3391" s="112" t="s">
        <v>1091</v>
      </c>
      <c r="H3391" s="112" t="s">
        <v>1015</v>
      </c>
      <c r="I3391" s="112" t="s">
        <v>1116</v>
      </c>
      <c r="J3391" s="112" t="s">
        <v>2673</v>
      </c>
      <c r="K3391" s="112" t="s">
        <v>1098</v>
      </c>
      <c r="L3391" s="116">
        <v>2385.5300000000002</v>
      </c>
    </row>
    <row r="3392" spans="1:12" hidden="1" outlineLevel="1" collapsed="1" x14ac:dyDescent="0.35">
      <c r="A3392" s="112" t="s">
        <v>2479</v>
      </c>
      <c r="B3392" s="112" t="s">
        <v>909</v>
      </c>
      <c r="C3392" s="112" t="s">
        <v>1095</v>
      </c>
      <c r="D3392" s="113">
        <v>10348451</v>
      </c>
      <c r="E3392" s="115">
        <v>43949</v>
      </c>
      <c r="F3392" s="114">
        <v>202101</v>
      </c>
      <c r="G3392" s="112" t="s">
        <v>1091</v>
      </c>
      <c r="H3392" s="112" t="s">
        <v>1015</v>
      </c>
      <c r="I3392" s="112" t="s">
        <v>1116</v>
      </c>
      <c r="J3392" s="112" t="s">
        <v>2673</v>
      </c>
      <c r="K3392" s="112" t="s">
        <v>1098</v>
      </c>
      <c r="L3392" s="116">
        <v>2631.25</v>
      </c>
    </row>
    <row r="3393" spans="1:12" hidden="1" outlineLevel="1" collapsed="1" x14ac:dyDescent="0.35">
      <c r="A3393" s="112" t="s">
        <v>2479</v>
      </c>
      <c r="B3393" s="112" t="s">
        <v>909</v>
      </c>
      <c r="C3393" s="112" t="s">
        <v>1095</v>
      </c>
      <c r="D3393" s="113">
        <v>10348451</v>
      </c>
      <c r="E3393" s="115">
        <v>43949</v>
      </c>
      <c r="F3393" s="114">
        <v>202101</v>
      </c>
      <c r="G3393" s="112" t="s">
        <v>1091</v>
      </c>
      <c r="H3393" s="112" t="s">
        <v>1015</v>
      </c>
      <c r="I3393" s="112" t="s">
        <v>1116</v>
      </c>
      <c r="J3393" s="112" t="s">
        <v>2673</v>
      </c>
      <c r="K3393" s="112" t="s">
        <v>1098</v>
      </c>
      <c r="L3393" s="116">
        <v>2981.92</v>
      </c>
    </row>
    <row r="3394" spans="1:12" hidden="1" outlineLevel="1" collapsed="1" x14ac:dyDescent="0.35">
      <c r="A3394" s="112" t="s">
        <v>2479</v>
      </c>
      <c r="B3394" s="112" t="s">
        <v>909</v>
      </c>
      <c r="C3394" s="112" t="s">
        <v>1095</v>
      </c>
      <c r="D3394" s="113">
        <v>10348451</v>
      </c>
      <c r="E3394" s="115">
        <v>43949</v>
      </c>
      <c r="F3394" s="114">
        <v>202101</v>
      </c>
      <c r="G3394" s="112" t="s">
        <v>1091</v>
      </c>
      <c r="H3394" s="112" t="s">
        <v>1015</v>
      </c>
      <c r="I3394" s="112" t="s">
        <v>1116</v>
      </c>
      <c r="J3394" s="112" t="s">
        <v>2673</v>
      </c>
      <c r="K3394" s="112" t="s">
        <v>1098</v>
      </c>
      <c r="L3394" s="116">
        <v>2981.92</v>
      </c>
    </row>
    <row r="3395" spans="1:12" hidden="1" outlineLevel="1" collapsed="1" x14ac:dyDescent="0.35">
      <c r="A3395" s="112" t="s">
        <v>2479</v>
      </c>
      <c r="B3395" s="112" t="s">
        <v>909</v>
      </c>
      <c r="C3395" s="112" t="s">
        <v>1095</v>
      </c>
      <c r="D3395" s="113">
        <v>10348451</v>
      </c>
      <c r="E3395" s="115">
        <v>43949</v>
      </c>
      <c r="F3395" s="114">
        <v>202101</v>
      </c>
      <c r="G3395" s="112" t="s">
        <v>1091</v>
      </c>
      <c r="H3395" s="112" t="s">
        <v>1015</v>
      </c>
      <c r="I3395" s="112" t="s">
        <v>1116</v>
      </c>
      <c r="J3395" s="112" t="s">
        <v>2673</v>
      </c>
      <c r="K3395" s="112" t="s">
        <v>1098</v>
      </c>
      <c r="L3395" s="116">
        <v>1490.96</v>
      </c>
    </row>
    <row r="3396" spans="1:12" hidden="1" outlineLevel="1" collapsed="1" x14ac:dyDescent="0.35">
      <c r="A3396" s="112" t="s">
        <v>2479</v>
      </c>
      <c r="B3396" s="112" t="s">
        <v>908</v>
      </c>
      <c r="C3396" s="112" t="s">
        <v>1095</v>
      </c>
      <c r="D3396" s="113">
        <v>10348451</v>
      </c>
      <c r="E3396" s="115">
        <v>43949</v>
      </c>
      <c r="F3396" s="114">
        <v>202101</v>
      </c>
      <c r="G3396" s="112" t="s">
        <v>1091</v>
      </c>
      <c r="H3396" s="112" t="s">
        <v>1015</v>
      </c>
      <c r="I3396" s="112" t="s">
        <v>1116</v>
      </c>
      <c r="J3396" s="112" t="s">
        <v>2584</v>
      </c>
      <c r="K3396" s="112" t="s">
        <v>1098</v>
      </c>
      <c r="L3396" s="116">
        <v>1845.5</v>
      </c>
    </row>
    <row r="3397" spans="1:12" hidden="1" outlineLevel="1" collapsed="1" x14ac:dyDescent="0.35">
      <c r="A3397" s="112" t="s">
        <v>2479</v>
      </c>
      <c r="B3397" s="112" t="s">
        <v>908</v>
      </c>
      <c r="C3397" s="112" t="s">
        <v>1095</v>
      </c>
      <c r="D3397" s="113">
        <v>10348451</v>
      </c>
      <c r="E3397" s="115">
        <v>43949</v>
      </c>
      <c r="F3397" s="114">
        <v>202101</v>
      </c>
      <c r="G3397" s="112" t="s">
        <v>1091</v>
      </c>
      <c r="H3397" s="112" t="s">
        <v>1015</v>
      </c>
      <c r="I3397" s="112" t="s">
        <v>1116</v>
      </c>
      <c r="J3397" s="112" t="s">
        <v>2584</v>
      </c>
      <c r="K3397" s="112" t="s">
        <v>1098</v>
      </c>
      <c r="L3397" s="116">
        <v>3661.44</v>
      </c>
    </row>
    <row r="3398" spans="1:12" hidden="1" outlineLevel="1" collapsed="1" x14ac:dyDescent="0.35">
      <c r="A3398" s="112" t="s">
        <v>2479</v>
      </c>
      <c r="B3398" s="112" t="s">
        <v>908</v>
      </c>
      <c r="C3398" s="112" t="s">
        <v>1095</v>
      </c>
      <c r="D3398" s="113">
        <v>10348451</v>
      </c>
      <c r="E3398" s="115">
        <v>43949</v>
      </c>
      <c r="F3398" s="114">
        <v>202101</v>
      </c>
      <c r="G3398" s="112" t="s">
        <v>1091</v>
      </c>
      <c r="H3398" s="112" t="s">
        <v>1015</v>
      </c>
      <c r="I3398" s="112" t="s">
        <v>1116</v>
      </c>
      <c r="J3398" s="112" t="s">
        <v>2584</v>
      </c>
      <c r="K3398" s="112" t="s">
        <v>1098</v>
      </c>
      <c r="L3398" s="116">
        <v>2577.0500000000002</v>
      </c>
    </row>
    <row r="3399" spans="1:12" hidden="1" outlineLevel="1" collapsed="1" x14ac:dyDescent="0.35">
      <c r="A3399" s="112" t="s">
        <v>2479</v>
      </c>
      <c r="B3399" s="112" t="s">
        <v>908</v>
      </c>
      <c r="C3399" s="112" t="s">
        <v>1095</v>
      </c>
      <c r="D3399" s="113">
        <v>10348451</v>
      </c>
      <c r="E3399" s="115">
        <v>43949</v>
      </c>
      <c r="F3399" s="114">
        <v>202101</v>
      </c>
      <c r="G3399" s="112" t="s">
        <v>1091</v>
      </c>
      <c r="H3399" s="112" t="s">
        <v>1015</v>
      </c>
      <c r="I3399" s="112" t="s">
        <v>1116</v>
      </c>
      <c r="J3399" s="112" t="s">
        <v>2584</v>
      </c>
      <c r="K3399" s="112" t="s">
        <v>1098</v>
      </c>
      <c r="L3399" s="116">
        <v>2806.59</v>
      </c>
    </row>
    <row r="3400" spans="1:12" hidden="1" outlineLevel="1" collapsed="1" x14ac:dyDescent="0.35">
      <c r="A3400" s="112" t="s">
        <v>2479</v>
      </c>
      <c r="B3400" s="112" t="s">
        <v>908</v>
      </c>
      <c r="C3400" s="112" t="s">
        <v>1095</v>
      </c>
      <c r="D3400" s="113">
        <v>10348451</v>
      </c>
      <c r="E3400" s="115">
        <v>43949</v>
      </c>
      <c r="F3400" s="114">
        <v>202101</v>
      </c>
      <c r="G3400" s="112" t="s">
        <v>1091</v>
      </c>
      <c r="H3400" s="112" t="s">
        <v>1015</v>
      </c>
      <c r="I3400" s="112" t="s">
        <v>1101</v>
      </c>
      <c r="J3400" s="112" t="s">
        <v>2503</v>
      </c>
      <c r="K3400" s="112" t="s">
        <v>1098</v>
      </c>
      <c r="L3400" s="116">
        <v>483.07</v>
      </c>
    </row>
    <row r="3401" spans="1:12" hidden="1" outlineLevel="1" collapsed="1" x14ac:dyDescent="0.35">
      <c r="A3401" s="112" t="s">
        <v>2479</v>
      </c>
      <c r="B3401" s="112" t="s">
        <v>908</v>
      </c>
      <c r="C3401" s="112" t="s">
        <v>1095</v>
      </c>
      <c r="D3401" s="113">
        <v>10348451</v>
      </c>
      <c r="E3401" s="115">
        <v>43949</v>
      </c>
      <c r="F3401" s="114">
        <v>202101</v>
      </c>
      <c r="G3401" s="112" t="s">
        <v>1091</v>
      </c>
      <c r="H3401" s="112" t="s">
        <v>1015</v>
      </c>
      <c r="I3401" s="112" t="s">
        <v>1116</v>
      </c>
      <c r="J3401" s="112" t="s">
        <v>2584</v>
      </c>
      <c r="K3401" s="112" t="s">
        <v>1098</v>
      </c>
      <c r="L3401" s="116">
        <v>2715.04</v>
      </c>
    </row>
    <row r="3402" spans="1:12" hidden="1" outlineLevel="1" collapsed="1" x14ac:dyDescent="0.35">
      <c r="A3402" s="112" t="s">
        <v>2479</v>
      </c>
      <c r="B3402" s="112" t="s">
        <v>908</v>
      </c>
      <c r="C3402" s="112" t="s">
        <v>1095</v>
      </c>
      <c r="D3402" s="113">
        <v>10348451</v>
      </c>
      <c r="E3402" s="115">
        <v>43949</v>
      </c>
      <c r="F3402" s="114">
        <v>202101</v>
      </c>
      <c r="G3402" s="112" t="s">
        <v>1091</v>
      </c>
      <c r="H3402" s="112" t="s">
        <v>1015</v>
      </c>
      <c r="I3402" s="112" t="s">
        <v>1116</v>
      </c>
      <c r="J3402" s="112" t="s">
        <v>2584</v>
      </c>
      <c r="K3402" s="112" t="s">
        <v>1098</v>
      </c>
      <c r="L3402" s="116">
        <v>2631.25</v>
      </c>
    </row>
    <row r="3403" spans="1:12" hidden="1" outlineLevel="1" collapsed="1" x14ac:dyDescent="0.35">
      <c r="A3403" s="112" t="s">
        <v>2479</v>
      </c>
      <c r="B3403" s="112" t="s">
        <v>908</v>
      </c>
      <c r="C3403" s="112" t="s">
        <v>1095</v>
      </c>
      <c r="D3403" s="113">
        <v>10348451</v>
      </c>
      <c r="E3403" s="115">
        <v>43949</v>
      </c>
      <c r="F3403" s="114">
        <v>202101</v>
      </c>
      <c r="G3403" s="112" t="s">
        <v>1091</v>
      </c>
      <c r="H3403" s="112" t="s">
        <v>1015</v>
      </c>
      <c r="I3403" s="112" t="s">
        <v>1116</v>
      </c>
      <c r="J3403" s="112" t="s">
        <v>2584</v>
      </c>
      <c r="K3403" s="112" t="s">
        <v>1098</v>
      </c>
      <c r="L3403" s="116">
        <v>3473.25</v>
      </c>
    </row>
    <row r="3404" spans="1:12" hidden="1" outlineLevel="1" collapsed="1" x14ac:dyDescent="0.35">
      <c r="A3404" s="112" t="s">
        <v>2479</v>
      </c>
      <c r="B3404" s="112" t="s">
        <v>908</v>
      </c>
      <c r="C3404" s="112" t="s">
        <v>1095</v>
      </c>
      <c r="D3404" s="113">
        <v>10348451</v>
      </c>
      <c r="E3404" s="115">
        <v>43949</v>
      </c>
      <c r="F3404" s="114">
        <v>202101</v>
      </c>
      <c r="G3404" s="112" t="s">
        <v>1091</v>
      </c>
      <c r="H3404" s="112" t="s">
        <v>1015</v>
      </c>
      <c r="I3404" s="112" t="s">
        <v>1116</v>
      </c>
      <c r="J3404" s="112" t="s">
        <v>2584</v>
      </c>
      <c r="K3404" s="112" t="s">
        <v>1098</v>
      </c>
      <c r="L3404" s="116">
        <v>1958.23</v>
      </c>
    </row>
    <row r="3405" spans="1:12" hidden="1" outlineLevel="1" collapsed="1" x14ac:dyDescent="0.35">
      <c r="A3405" s="112" t="s">
        <v>2479</v>
      </c>
      <c r="B3405" s="112" t="s">
        <v>908</v>
      </c>
      <c r="C3405" s="112" t="s">
        <v>1095</v>
      </c>
      <c r="D3405" s="113">
        <v>10348451</v>
      </c>
      <c r="E3405" s="115">
        <v>43949</v>
      </c>
      <c r="F3405" s="114">
        <v>202101</v>
      </c>
      <c r="G3405" s="112" t="s">
        <v>1091</v>
      </c>
      <c r="H3405" s="112" t="s">
        <v>1015</v>
      </c>
      <c r="I3405" s="112" t="s">
        <v>1116</v>
      </c>
      <c r="J3405" s="112" t="s">
        <v>2503</v>
      </c>
      <c r="K3405" s="112" t="s">
        <v>1098</v>
      </c>
      <c r="L3405" s="116">
        <v>2981.92</v>
      </c>
    </row>
    <row r="3406" spans="1:12" hidden="1" outlineLevel="1" collapsed="1" x14ac:dyDescent="0.35">
      <c r="A3406" s="112" t="s">
        <v>2479</v>
      </c>
      <c r="B3406" s="112" t="s">
        <v>908</v>
      </c>
      <c r="C3406" s="112" t="s">
        <v>1095</v>
      </c>
      <c r="D3406" s="113">
        <v>10348451</v>
      </c>
      <c r="E3406" s="115">
        <v>43949</v>
      </c>
      <c r="F3406" s="114">
        <v>202101</v>
      </c>
      <c r="G3406" s="112" t="s">
        <v>1091</v>
      </c>
      <c r="H3406" s="112" t="s">
        <v>1015</v>
      </c>
      <c r="I3406" s="112" t="s">
        <v>1096</v>
      </c>
      <c r="J3406" s="112" t="s">
        <v>2501</v>
      </c>
      <c r="K3406" s="112" t="s">
        <v>1098</v>
      </c>
      <c r="L3406" s="116">
        <v>438.45</v>
      </c>
    </row>
    <row r="3407" spans="1:12" hidden="1" outlineLevel="1" collapsed="1" x14ac:dyDescent="0.35">
      <c r="A3407" s="112" t="s">
        <v>2479</v>
      </c>
      <c r="B3407" s="112" t="s">
        <v>908</v>
      </c>
      <c r="C3407" s="112" t="s">
        <v>1095</v>
      </c>
      <c r="D3407" s="113">
        <v>10348451</v>
      </c>
      <c r="E3407" s="115">
        <v>43949</v>
      </c>
      <c r="F3407" s="114">
        <v>202101</v>
      </c>
      <c r="G3407" s="112" t="s">
        <v>1091</v>
      </c>
      <c r="H3407" s="112" t="s">
        <v>1015</v>
      </c>
      <c r="I3407" s="112" t="s">
        <v>1116</v>
      </c>
      <c r="J3407" s="112" t="s">
        <v>2503</v>
      </c>
      <c r="K3407" s="112" t="s">
        <v>1098</v>
      </c>
      <c r="L3407" s="116">
        <v>3350.39</v>
      </c>
    </row>
    <row r="3408" spans="1:12" hidden="1" outlineLevel="1" collapsed="1" x14ac:dyDescent="0.35">
      <c r="A3408" s="112" t="s">
        <v>2479</v>
      </c>
      <c r="B3408" s="112" t="s">
        <v>908</v>
      </c>
      <c r="C3408" s="112" t="s">
        <v>1095</v>
      </c>
      <c r="D3408" s="113">
        <v>10348451</v>
      </c>
      <c r="E3408" s="115">
        <v>43949</v>
      </c>
      <c r="F3408" s="114">
        <v>202101</v>
      </c>
      <c r="G3408" s="112" t="s">
        <v>1091</v>
      </c>
      <c r="H3408" s="112" t="s">
        <v>1015</v>
      </c>
      <c r="I3408" s="112" t="s">
        <v>1116</v>
      </c>
      <c r="J3408" s="112" t="s">
        <v>2503</v>
      </c>
      <c r="K3408" s="112" t="s">
        <v>1098</v>
      </c>
      <c r="L3408" s="116">
        <v>2631.25</v>
      </c>
    </row>
    <row r="3409" spans="1:12" hidden="1" outlineLevel="1" collapsed="1" x14ac:dyDescent="0.35">
      <c r="A3409" s="112" t="s">
        <v>2479</v>
      </c>
      <c r="B3409" s="112" t="s">
        <v>908</v>
      </c>
      <c r="C3409" s="112" t="s">
        <v>1095</v>
      </c>
      <c r="D3409" s="113">
        <v>10348451</v>
      </c>
      <c r="E3409" s="115">
        <v>43949</v>
      </c>
      <c r="F3409" s="114">
        <v>202101</v>
      </c>
      <c r="G3409" s="112" t="s">
        <v>1091</v>
      </c>
      <c r="H3409" s="112" t="s">
        <v>1015</v>
      </c>
      <c r="I3409" s="112" t="s">
        <v>1116</v>
      </c>
      <c r="J3409" s="112" t="s">
        <v>2503</v>
      </c>
      <c r="K3409" s="112" t="s">
        <v>1098</v>
      </c>
      <c r="L3409" s="116">
        <v>2631.25</v>
      </c>
    </row>
    <row r="3410" spans="1:12" hidden="1" outlineLevel="1" collapsed="1" x14ac:dyDescent="0.35">
      <c r="A3410" s="112" t="s">
        <v>2479</v>
      </c>
      <c r="B3410" s="112" t="s">
        <v>908</v>
      </c>
      <c r="C3410" s="112" t="s">
        <v>1095</v>
      </c>
      <c r="D3410" s="113">
        <v>10348451</v>
      </c>
      <c r="E3410" s="115">
        <v>43949</v>
      </c>
      <c r="F3410" s="114">
        <v>202101</v>
      </c>
      <c r="G3410" s="112" t="s">
        <v>1091</v>
      </c>
      <c r="H3410" s="112" t="s">
        <v>1015</v>
      </c>
      <c r="I3410" s="112" t="s">
        <v>1116</v>
      </c>
      <c r="J3410" s="112" t="s">
        <v>2503</v>
      </c>
      <c r="K3410" s="112" t="s">
        <v>1098</v>
      </c>
      <c r="L3410" s="116">
        <v>2981.92</v>
      </c>
    </row>
    <row r="3411" spans="1:12" hidden="1" outlineLevel="1" collapsed="1" x14ac:dyDescent="0.35">
      <c r="A3411" s="112" t="s">
        <v>2479</v>
      </c>
      <c r="B3411" s="112" t="s">
        <v>908</v>
      </c>
      <c r="C3411" s="112" t="s">
        <v>1095</v>
      </c>
      <c r="D3411" s="113">
        <v>10348451</v>
      </c>
      <c r="E3411" s="115">
        <v>43949</v>
      </c>
      <c r="F3411" s="114">
        <v>202101</v>
      </c>
      <c r="G3411" s="112" t="s">
        <v>1091</v>
      </c>
      <c r="H3411" s="112" t="s">
        <v>1015</v>
      </c>
      <c r="I3411" s="112" t="s">
        <v>1116</v>
      </c>
      <c r="J3411" s="112" t="s">
        <v>2503</v>
      </c>
      <c r="K3411" s="112" t="s">
        <v>1098</v>
      </c>
      <c r="L3411" s="116">
        <v>3717</v>
      </c>
    </row>
    <row r="3412" spans="1:12" hidden="1" outlineLevel="1" collapsed="1" x14ac:dyDescent="0.35">
      <c r="A3412" s="112" t="s">
        <v>2479</v>
      </c>
      <c r="B3412" s="112" t="s">
        <v>908</v>
      </c>
      <c r="C3412" s="112" t="s">
        <v>1095</v>
      </c>
      <c r="D3412" s="113">
        <v>10348451</v>
      </c>
      <c r="E3412" s="115">
        <v>43949</v>
      </c>
      <c r="F3412" s="114">
        <v>202101</v>
      </c>
      <c r="G3412" s="112" t="s">
        <v>1091</v>
      </c>
      <c r="H3412" s="112" t="s">
        <v>1015</v>
      </c>
      <c r="I3412" s="112" t="s">
        <v>1116</v>
      </c>
      <c r="J3412" s="112" t="s">
        <v>2503</v>
      </c>
      <c r="K3412" s="112" t="s">
        <v>1098</v>
      </c>
      <c r="L3412" s="116">
        <v>2631.25</v>
      </c>
    </row>
    <row r="3413" spans="1:12" hidden="1" outlineLevel="1" collapsed="1" x14ac:dyDescent="0.35">
      <c r="A3413" s="112" t="s">
        <v>2479</v>
      </c>
      <c r="B3413" s="112" t="s">
        <v>908</v>
      </c>
      <c r="C3413" s="112" t="s">
        <v>1095</v>
      </c>
      <c r="D3413" s="113">
        <v>10348451</v>
      </c>
      <c r="E3413" s="115">
        <v>43949</v>
      </c>
      <c r="F3413" s="114">
        <v>202101</v>
      </c>
      <c r="G3413" s="112" t="s">
        <v>1091</v>
      </c>
      <c r="H3413" s="112" t="s">
        <v>1015</v>
      </c>
      <c r="I3413" s="112" t="s">
        <v>1116</v>
      </c>
      <c r="J3413" s="112" t="s">
        <v>2503</v>
      </c>
      <c r="K3413" s="112" t="s">
        <v>1098</v>
      </c>
      <c r="L3413" s="116">
        <v>3391.33</v>
      </c>
    </row>
    <row r="3414" spans="1:12" hidden="1" outlineLevel="1" collapsed="1" x14ac:dyDescent="0.35">
      <c r="A3414" s="112" t="s">
        <v>2479</v>
      </c>
      <c r="B3414" s="112" t="s">
        <v>908</v>
      </c>
      <c r="C3414" s="112" t="s">
        <v>1095</v>
      </c>
      <c r="D3414" s="113">
        <v>10348451</v>
      </c>
      <c r="E3414" s="115">
        <v>43949</v>
      </c>
      <c r="F3414" s="114">
        <v>202101</v>
      </c>
      <c r="G3414" s="112" t="s">
        <v>1091</v>
      </c>
      <c r="H3414" s="112" t="s">
        <v>1015</v>
      </c>
      <c r="I3414" s="112" t="s">
        <v>1116</v>
      </c>
      <c r="J3414" s="112" t="s">
        <v>2520</v>
      </c>
      <c r="K3414" s="112" t="s">
        <v>1098</v>
      </c>
      <c r="L3414" s="116">
        <v>3350.39</v>
      </c>
    </row>
    <row r="3415" spans="1:12" hidden="1" outlineLevel="1" collapsed="1" x14ac:dyDescent="0.35">
      <c r="A3415" s="112" t="s">
        <v>2479</v>
      </c>
      <c r="B3415" s="112" t="s">
        <v>908</v>
      </c>
      <c r="C3415" s="112" t="s">
        <v>1095</v>
      </c>
      <c r="D3415" s="113">
        <v>10348451</v>
      </c>
      <c r="E3415" s="115">
        <v>43949</v>
      </c>
      <c r="F3415" s="114">
        <v>202101</v>
      </c>
      <c r="G3415" s="112" t="s">
        <v>1091</v>
      </c>
      <c r="H3415" s="112" t="s">
        <v>1015</v>
      </c>
      <c r="I3415" s="112" t="s">
        <v>1116</v>
      </c>
      <c r="J3415" s="112" t="s">
        <v>2520</v>
      </c>
      <c r="K3415" s="112" t="s">
        <v>1098</v>
      </c>
      <c r="L3415" s="116">
        <v>3148.33</v>
      </c>
    </row>
    <row r="3416" spans="1:12" hidden="1" outlineLevel="1" collapsed="1" x14ac:dyDescent="0.35">
      <c r="A3416" s="112" t="s">
        <v>2479</v>
      </c>
      <c r="B3416" s="112" t="s">
        <v>908</v>
      </c>
      <c r="C3416" s="112" t="s">
        <v>1095</v>
      </c>
      <c r="D3416" s="113">
        <v>10348451</v>
      </c>
      <c r="E3416" s="115">
        <v>43949</v>
      </c>
      <c r="F3416" s="114">
        <v>202101</v>
      </c>
      <c r="G3416" s="112" t="s">
        <v>1091</v>
      </c>
      <c r="H3416" s="112" t="s">
        <v>1015</v>
      </c>
      <c r="I3416" s="112" t="s">
        <v>1116</v>
      </c>
      <c r="J3416" s="112" t="s">
        <v>2520</v>
      </c>
      <c r="K3416" s="112" t="s">
        <v>1098</v>
      </c>
      <c r="L3416" s="116">
        <v>2489.02</v>
      </c>
    </row>
    <row r="3417" spans="1:12" hidden="1" outlineLevel="1" collapsed="1" x14ac:dyDescent="0.35">
      <c r="A3417" s="112" t="s">
        <v>2479</v>
      </c>
      <c r="B3417" s="112" t="s">
        <v>908</v>
      </c>
      <c r="C3417" s="112" t="s">
        <v>1095</v>
      </c>
      <c r="D3417" s="113">
        <v>10348451</v>
      </c>
      <c r="E3417" s="115">
        <v>43949</v>
      </c>
      <c r="F3417" s="114">
        <v>202101</v>
      </c>
      <c r="G3417" s="112" t="s">
        <v>1091</v>
      </c>
      <c r="H3417" s="112" t="s">
        <v>1015</v>
      </c>
      <c r="I3417" s="112" t="s">
        <v>1096</v>
      </c>
      <c r="J3417" s="112" t="s">
        <v>2520</v>
      </c>
      <c r="K3417" s="112" t="s">
        <v>1098</v>
      </c>
      <c r="L3417" s="116">
        <v>423.19</v>
      </c>
    </row>
    <row r="3418" spans="1:12" hidden="1" outlineLevel="1" collapsed="1" x14ac:dyDescent="0.35">
      <c r="A3418" s="112" t="s">
        <v>2479</v>
      </c>
      <c r="B3418" s="112" t="s">
        <v>908</v>
      </c>
      <c r="C3418" s="112" t="s">
        <v>1095</v>
      </c>
      <c r="D3418" s="113">
        <v>10348451</v>
      </c>
      <c r="E3418" s="115">
        <v>43949</v>
      </c>
      <c r="F3418" s="114">
        <v>202101</v>
      </c>
      <c r="G3418" s="112" t="s">
        <v>1091</v>
      </c>
      <c r="H3418" s="112" t="s">
        <v>1015</v>
      </c>
      <c r="I3418" s="112" t="s">
        <v>1116</v>
      </c>
      <c r="J3418" s="112" t="s">
        <v>2520</v>
      </c>
      <c r="K3418" s="112" t="s">
        <v>1098</v>
      </c>
      <c r="L3418" s="116">
        <v>3075.83</v>
      </c>
    </row>
    <row r="3419" spans="1:12" hidden="1" outlineLevel="1" collapsed="1" x14ac:dyDescent="0.35">
      <c r="A3419" s="112" t="s">
        <v>2479</v>
      </c>
      <c r="B3419" s="112" t="s">
        <v>909</v>
      </c>
      <c r="C3419" s="112" t="s">
        <v>1095</v>
      </c>
      <c r="D3419" s="113">
        <v>10348451</v>
      </c>
      <c r="E3419" s="115">
        <v>43949</v>
      </c>
      <c r="F3419" s="114">
        <v>202101</v>
      </c>
      <c r="G3419" s="112" t="s">
        <v>1091</v>
      </c>
      <c r="H3419" s="112" t="s">
        <v>1015</v>
      </c>
      <c r="I3419" s="112" t="s">
        <v>1116</v>
      </c>
      <c r="J3419" s="112" t="s">
        <v>3217</v>
      </c>
      <c r="K3419" s="112" t="s">
        <v>1098</v>
      </c>
      <c r="L3419" s="116">
        <v>1934.22</v>
      </c>
    </row>
    <row r="3420" spans="1:12" hidden="1" outlineLevel="1" collapsed="1" x14ac:dyDescent="0.35">
      <c r="A3420" s="112" t="s">
        <v>2479</v>
      </c>
      <c r="B3420" s="112" t="s">
        <v>908</v>
      </c>
      <c r="C3420" s="112" t="s">
        <v>1095</v>
      </c>
      <c r="D3420" s="113">
        <v>10348451</v>
      </c>
      <c r="E3420" s="115">
        <v>43949</v>
      </c>
      <c r="F3420" s="114">
        <v>202101</v>
      </c>
      <c r="G3420" s="112" t="s">
        <v>1091</v>
      </c>
      <c r="H3420" s="112" t="s">
        <v>1015</v>
      </c>
      <c r="I3420" s="112" t="s">
        <v>1096</v>
      </c>
      <c r="J3420" s="112" t="s">
        <v>2520</v>
      </c>
      <c r="K3420" s="112" t="s">
        <v>1098</v>
      </c>
      <c r="L3420" s="116">
        <v>323.45</v>
      </c>
    </row>
    <row r="3421" spans="1:12" hidden="1" outlineLevel="1" collapsed="1" x14ac:dyDescent="0.35">
      <c r="A3421" s="112" t="s">
        <v>2479</v>
      </c>
      <c r="B3421" s="112" t="s">
        <v>908</v>
      </c>
      <c r="C3421" s="112" t="s">
        <v>1095</v>
      </c>
      <c r="D3421" s="113">
        <v>10348451</v>
      </c>
      <c r="E3421" s="115">
        <v>43949</v>
      </c>
      <c r="F3421" s="114">
        <v>202101</v>
      </c>
      <c r="G3421" s="112" t="s">
        <v>1091</v>
      </c>
      <c r="H3421" s="112" t="s">
        <v>1015</v>
      </c>
      <c r="I3421" s="112" t="s">
        <v>1116</v>
      </c>
      <c r="J3421" s="112" t="s">
        <v>2484</v>
      </c>
      <c r="K3421" s="112" t="s">
        <v>1098</v>
      </c>
      <c r="L3421" s="116">
        <v>1954.16</v>
      </c>
    </row>
    <row r="3422" spans="1:12" hidden="1" outlineLevel="1" collapsed="1" x14ac:dyDescent="0.35">
      <c r="A3422" s="112" t="s">
        <v>2479</v>
      </c>
      <c r="B3422" s="112" t="s">
        <v>909</v>
      </c>
      <c r="C3422" s="112" t="s">
        <v>1095</v>
      </c>
      <c r="D3422" s="113">
        <v>10348451</v>
      </c>
      <c r="E3422" s="115">
        <v>43949</v>
      </c>
      <c r="F3422" s="114">
        <v>202101</v>
      </c>
      <c r="G3422" s="112" t="s">
        <v>1091</v>
      </c>
      <c r="H3422" s="112" t="s">
        <v>1015</v>
      </c>
      <c r="I3422" s="112" t="s">
        <v>1101</v>
      </c>
      <c r="J3422" s="112" t="s">
        <v>2480</v>
      </c>
      <c r="K3422" s="112" t="s">
        <v>1098</v>
      </c>
      <c r="L3422" s="116">
        <v>426.26</v>
      </c>
    </row>
    <row r="3423" spans="1:12" hidden="1" outlineLevel="1" collapsed="1" x14ac:dyDescent="0.35">
      <c r="A3423" s="112" t="s">
        <v>2479</v>
      </c>
      <c r="B3423" s="112" t="s">
        <v>908</v>
      </c>
      <c r="C3423" s="112" t="s">
        <v>1095</v>
      </c>
      <c r="D3423" s="113">
        <v>10348451</v>
      </c>
      <c r="E3423" s="115">
        <v>43949</v>
      </c>
      <c r="F3423" s="114">
        <v>202101</v>
      </c>
      <c r="G3423" s="112" t="s">
        <v>1091</v>
      </c>
      <c r="H3423" s="112" t="s">
        <v>1015</v>
      </c>
      <c r="I3423" s="112" t="s">
        <v>1101</v>
      </c>
      <c r="J3423" s="112" t="s">
        <v>2520</v>
      </c>
      <c r="K3423" s="112" t="s">
        <v>1098</v>
      </c>
      <c r="L3423" s="116">
        <v>549.4</v>
      </c>
    </row>
    <row r="3424" spans="1:12" hidden="1" outlineLevel="1" collapsed="1" x14ac:dyDescent="0.35">
      <c r="A3424" s="112" t="s">
        <v>2479</v>
      </c>
      <c r="B3424" s="112" t="s">
        <v>909</v>
      </c>
      <c r="C3424" s="112" t="s">
        <v>1095</v>
      </c>
      <c r="D3424" s="113">
        <v>10348451</v>
      </c>
      <c r="E3424" s="115">
        <v>43949</v>
      </c>
      <c r="F3424" s="114">
        <v>202101</v>
      </c>
      <c r="G3424" s="112" t="s">
        <v>1091</v>
      </c>
      <c r="H3424" s="112" t="s">
        <v>1015</v>
      </c>
      <c r="I3424" s="112" t="s">
        <v>1096</v>
      </c>
      <c r="J3424" s="112" t="s">
        <v>2480</v>
      </c>
      <c r="K3424" s="112" t="s">
        <v>1098</v>
      </c>
      <c r="L3424" s="116">
        <v>262.10000000000002</v>
      </c>
    </row>
    <row r="3425" spans="1:12" hidden="1" outlineLevel="1" collapsed="1" x14ac:dyDescent="0.35">
      <c r="A3425" s="112" t="s">
        <v>2479</v>
      </c>
      <c r="B3425" s="112" t="s">
        <v>908</v>
      </c>
      <c r="C3425" s="112" t="s">
        <v>1095</v>
      </c>
      <c r="D3425" s="113">
        <v>10348451</v>
      </c>
      <c r="E3425" s="115">
        <v>43949</v>
      </c>
      <c r="F3425" s="114">
        <v>202101</v>
      </c>
      <c r="G3425" s="112" t="s">
        <v>1091</v>
      </c>
      <c r="H3425" s="112" t="s">
        <v>1015</v>
      </c>
      <c r="I3425" s="112" t="s">
        <v>1101</v>
      </c>
      <c r="J3425" s="112" t="s">
        <v>2584</v>
      </c>
      <c r="K3425" s="112" t="s">
        <v>1098</v>
      </c>
      <c r="L3425" s="116">
        <v>442.12</v>
      </c>
    </row>
    <row r="3426" spans="1:12" hidden="1" outlineLevel="1" collapsed="1" x14ac:dyDescent="0.35">
      <c r="A3426" s="112" t="s">
        <v>2479</v>
      </c>
      <c r="B3426" s="112" t="s">
        <v>909</v>
      </c>
      <c r="C3426" s="112" t="s">
        <v>1095</v>
      </c>
      <c r="D3426" s="113">
        <v>10348451</v>
      </c>
      <c r="E3426" s="115">
        <v>43949</v>
      </c>
      <c r="F3426" s="114">
        <v>202101</v>
      </c>
      <c r="G3426" s="112" t="s">
        <v>1091</v>
      </c>
      <c r="H3426" s="112" t="s">
        <v>1015</v>
      </c>
      <c r="I3426" s="112" t="s">
        <v>1101</v>
      </c>
      <c r="J3426" s="112" t="s">
        <v>2480</v>
      </c>
      <c r="K3426" s="112" t="s">
        <v>1098</v>
      </c>
      <c r="L3426" s="116">
        <v>414.64</v>
      </c>
    </row>
    <row r="3427" spans="1:12" hidden="1" outlineLevel="1" collapsed="1" x14ac:dyDescent="0.35">
      <c r="A3427" s="112" t="s">
        <v>2479</v>
      </c>
      <c r="B3427" s="112" t="s">
        <v>908</v>
      </c>
      <c r="C3427" s="112" t="s">
        <v>1095</v>
      </c>
      <c r="D3427" s="113">
        <v>10348451</v>
      </c>
      <c r="E3427" s="115">
        <v>43949</v>
      </c>
      <c r="F3427" s="114">
        <v>202101</v>
      </c>
      <c r="G3427" s="112" t="s">
        <v>1091</v>
      </c>
      <c r="H3427" s="112" t="s">
        <v>1015</v>
      </c>
      <c r="I3427" s="112" t="s">
        <v>1113</v>
      </c>
      <c r="J3427" s="112" t="s">
        <v>2584</v>
      </c>
      <c r="K3427" s="112" t="s">
        <v>1098</v>
      </c>
      <c r="L3427" s="116">
        <v>55.56</v>
      </c>
    </row>
    <row r="3428" spans="1:12" hidden="1" outlineLevel="1" collapsed="1" x14ac:dyDescent="0.35">
      <c r="A3428" s="112" t="s">
        <v>2479</v>
      </c>
      <c r="B3428" s="112" t="s">
        <v>908</v>
      </c>
      <c r="C3428" s="112" t="s">
        <v>1095</v>
      </c>
      <c r="D3428" s="113">
        <v>10348451</v>
      </c>
      <c r="E3428" s="115">
        <v>43949</v>
      </c>
      <c r="F3428" s="114">
        <v>202101</v>
      </c>
      <c r="G3428" s="112" t="s">
        <v>1091</v>
      </c>
      <c r="H3428" s="112" t="s">
        <v>1015</v>
      </c>
      <c r="I3428" s="112" t="s">
        <v>1096</v>
      </c>
      <c r="J3428" s="112" t="s">
        <v>2503</v>
      </c>
      <c r="K3428" s="112" t="s">
        <v>1098</v>
      </c>
      <c r="L3428" s="116">
        <v>310.49</v>
      </c>
    </row>
    <row r="3429" spans="1:12" hidden="1" outlineLevel="1" collapsed="1" x14ac:dyDescent="0.35">
      <c r="A3429" s="112" t="s">
        <v>2479</v>
      </c>
      <c r="B3429" s="112" t="s">
        <v>908</v>
      </c>
      <c r="C3429" s="112" t="s">
        <v>1095</v>
      </c>
      <c r="D3429" s="113">
        <v>10348451</v>
      </c>
      <c r="E3429" s="115">
        <v>43949</v>
      </c>
      <c r="F3429" s="114">
        <v>202101</v>
      </c>
      <c r="G3429" s="112" t="s">
        <v>1091</v>
      </c>
      <c r="H3429" s="112" t="s">
        <v>1015</v>
      </c>
      <c r="I3429" s="112" t="s">
        <v>1101</v>
      </c>
      <c r="J3429" s="112" t="s">
        <v>2503</v>
      </c>
      <c r="K3429" s="112" t="s">
        <v>1098</v>
      </c>
      <c r="L3429" s="116">
        <v>483.07</v>
      </c>
    </row>
    <row r="3430" spans="1:12" hidden="1" outlineLevel="1" collapsed="1" x14ac:dyDescent="0.35">
      <c r="A3430" s="112" t="s">
        <v>2479</v>
      </c>
      <c r="B3430" s="112" t="s">
        <v>908</v>
      </c>
      <c r="C3430" s="112" t="s">
        <v>1095</v>
      </c>
      <c r="D3430" s="113">
        <v>10348451</v>
      </c>
      <c r="E3430" s="115">
        <v>43949</v>
      </c>
      <c r="F3430" s="114">
        <v>202101</v>
      </c>
      <c r="G3430" s="112" t="s">
        <v>1091</v>
      </c>
      <c r="H3430" s="112" t="s">
        <v>1015</v>
      </c>
      <c r="I3430" s="112" t="s">
        <v>1116</v>
      </c>
      <c r="J3430" s="112" t="s">
        <v>2484</v>
      </c>
      <c r="K3430" s="112" t="s">
        <v>1098</v>
      </c>
      <c r="L3430" s="116">
        <v>2926.36</v>
      </c>
    </row>
    <row r="3431" spans="1:12" hidden="1" outlineLevel="1" collapsed="1" x14ac:dyDescent="0.35">
      <c r="A3431" s="112" t="s">
        <v>2479</v>
      </c>
      <c r="B3431" s="112" t="s">
        <v>908</v>
      </c>
      <c r="C3431" s="112" t="s">
        <v>1095</v>
      </c>
      <c r="D3431" s="113">
        <v>10348451</v>
      </c>
      <c r="E3431" s="115">
        <v>43949</v>
      </c>
      <c r="F3431" s="114">
        <v>202101</v>
      </c>
      <c r="G3431" s="112" t="s">
        <v>1091</v>
      </c>
      <c r="H3431" s="112" t="s">
        <v>1015</v>
      </c>
      <c r="I3431" s="112" t="s">
        <v>1116</v>
      </c>
      <c r="J3431" s="112" t="s">
        <v>2513</v>
      </c>
      <c r="K3431" s="112" t="s">
        <v>1098</v>
      </c>
      <c r="L3431" s="116">
        <v>1490.96</v>
      </c>
    </row>
    <row r="3432" spans="1:12" hidden="1" outlineLevel="1" collapsed="1" x14ac:dyDescent="0.35">
      <c r="A3432" s="112" t="s">
        <v>2479</v>
      </c>
      <c r="B3432" s="112" t="s">
        <v>908</v>
      </c>
      <c r="C3432" s="112" t="s">
        <v>1095</v>
      </c>
      <c r="D3432" s="113">
        <v>10348451</v>
      </c>
      <c r="E3432" s="115">
        <v>43949</v>
      </c>
      <c r="F3432" s="114">
        <v>202101</v>
      </c>
      <c r="G3432" s="112" t="s">
        <v>1091</v>
      </c>
      <c r="H3432" s="112" t="s">
        <v>1015</v>
      </c>
      <c r="I3432" s="112" t="s">
        <v>1116</v>
      </c>
      <c r="J3432" s="112" t="s">
        <v>2513</v>
      </c>
      <c r="K3432" s="112" t="s">
        <v>1098</v>
      </c>
      <c r="L3432" s="116">
        <v>7115.08</v>
      </c>
    </row>
    <row r="3433" spans="1:12" hidden="1" outlineLevel="1" collapsed="1" x14ac:dyDescent="0.35">
      <c r="A3433" s="112" t="s">
        <v>2479</v>
      </c>
      <c r="B3433" s="112" t="s">
        <v>909</v>
      </c>
      <c r="C3433" s="112" t="s">
        <v>1095</v>
      </c>
      <c r="D3433" s="113">
        <v>10348451</v>
      </c>
      <c r="E3433" s="115">
        <v>43949</v>
      </c>
      <c r="F3433" s="114">
        <v>202101</v>
      </c>
      <c r="G3433" s="112" t="s">
        <v>1091</v>
      </c>
      <c r="H3433" s="112" t="s">
        <v>1015</v>
      </c>
      <c r="I3433" s="112" t="s">
        <v>1101</v>
      </c>
      <c r="J3433" s="112" t="s">
        <v>2523</v>
      </c>
      <c r="K3433" s="112" t="s">
        <v>1098</v>
      </c>
      <c r="L3433" s="116">
        <v>549.4</v>
      </c>
    </row>
    <row r="3434" spans="1:12" hidden="1" outlineLevel="1" collapsed="1" x14ac:dyDescent="0.35">
      <c r="A3434" s="112" t="s">
        <v>2479</v>
      </c>
      <c r="B3434" s="112" t="s">
        <v>909</v>
      </c>
      <c r="C3434" s="112" t="s">
        <v>1095</v>
      </c>
      <c r="D3434" s="113">
        <v>10348451</v>
      </c>
      <c r="E3434" s="115">
        <v>43949</v>
      </c>
      <c r="F3434" s="114">
        <v>202101</v>
      </c>
      <c r="G3434" s="112" t="s">
        <v>1091</v>
      </c>
      <c r="H3434" s="112" t="s">
        <v>1015</v>
      </c>
      <c r="I3434" s="112" t="s">
        <v>1096</v>
      </c>
      <c r="J3434" s="112" t="s">
        <v>2523</v>
      </c>
      <c r="K3434" s="112" t="s">
        <v>1098</v>
      </c>
      <c r="L3434" s="116">
        <v>225.69</v>
      </c>
    </row>
    <row r="3435" spans="1:12" hidden="1" outlineLevel="1" collapsed="1" x14ac:dyDescent="0.35">
      <c r="A3435" s="112" t="s">
        <v>2479</v>
      </c>
      <c r="B3435" s="112" t="s">
        <v>909</v>
      </c>
      <c r="C3435" s="112" t="s">
        <v>1095</v>
      </c>
      <c r="D3435" s="113">
        <v>10348451</v>
      </c>
      <c r="E3435" s="115">
        <v>43949</v>
      </c>
      <c r="F3435" s="114">
        <v>202101</v>
      </c>
      <c r="G3435" s="112" t="s">
        <v>1091</v>
      </c>
      <c r="H3435" s="112" t="s">
        <v>1015</v>
      </c>
      <c r="I3435" s="112" t="s">
        <v>1096</v>
      </c>
      <c r="J3435" s="112" t="s">
        <v>2673</v>
      </c>
      <c r="K3435" s="112" t="s">
        <v>1098</v>
      </c>
      <c r="L3435" s="116">
        <v>310.49</v>
      </c>
    </row>
    <row r="3436" spans="1:12" hidden="1" outlineLevel="1" collapsed="1" x14ac:dyDescent="0.35">
      <c r="A3436" s="112" t="s">
        <v>2479</v>
      </c>
      <c r="B3436" s="112" t="s">
        <v>909</v>
      </c>
      <c r="C3436" s="112" t="s">
        <v>1095</v>
      </c>
      <c r="D3436" s="113">
        <v>10348451</v>
      </c>
      <c r="E3436" s="115">
        <v>43949</v>
      </c>
      <c r="F3436" s="114">
        <v>202101</v>
      </c>
      <c r="G3436" s="112" t="s">
        <v>1091</v>
      </c>
      <c r="H3436" s="112" t="s">
        <v>1015</v>
      </c>
      <c r="I3436" s="112" t="s">
        <v>1116</v>
      </c>
      <c r="J3436" s="112" t="s">
        <v>3217</v>
      </c>
      <c r="K3436" s="112" t="s">
        <v>1098</v>
      </c>
      <c r="L3436" s="116">
        <v>4871.08</v>
      </c>
    </row>
    <row r="3437" spans="1:12" hidden="1" outlineLevel="1" collapsed="1" x14ac:dyDescent="0.35">
      <c r="A3437" s="112" t="s">
        <v>2479</v>
      </c>
      <c r="B3437" s="112" t="s">
        <v>909</v>
      </c>
      <c r="C3437" s="112" t="s">
        <v>1095</v>
      </c>
      <c r="D3437" s="113">
        <v>10348451</v>
      </c>
      <c r="E3437" s="115">
        <v>43949</v>
      </c>
      <c r="F3437" s="114">
        <v>202101</v>
      </c>
      <c r="G3437" s="112" t="s">
        <v>1091</v>
      </c>
      <c r="H3437" s="112" t="s">
        <v>1015</v>
      </c>
      <c r="I3437" s="112" t="s">
        <v>1116</v>
      </c>
      <c r="J3437" s="112" t="s">
        <v>3217</v>
      </c>
      <c r="K3437" s="112" t="s">
        <v>1098</v>
      </c>
      <c r="L3437" s="116">
        <v>2702</v>
      </c>
    </row>
    <row r="3438" spans="1:12" hidden="1" outlineLevel="1" collapsed="1" x14ac:dyDescent="0.35">
      <c r="A3438" s="112" t="s">
        <v>2479</v>
      </c>
      <c r="B3438" s="112" t="s">
        <v>909</v>
      </c>
      <c r="C3438" s="112" t="s">
        <v>1095</v>
      </c>
      <c r="D3438" s="113">
        <v>10348451</v>
      </c>
      <c r="E3438" s="115">
        <v>43949</v>
      </c>
      <c r="F3438" s="114">
        <v>202101</v>
      </c>
      <c r="G3438" s="112" t="s">
        <v>1091</v>
      </c>
      <c r="H3438" s="112" t="s">
        <v>1015</v>
      </c>
      <c r="I3438" s="112" t="s">
        <v>1096</v>
      </c>
      <c r="J3438" s="112" t="s">
        <v>2673</v>
      </c>
      <c r="K3438" s="112" t="s">
        <v>1098</v>
      </c>
      <c r="L3438" s="116">
        <v>114.89</v>
      </c>
    </row>
    <row r="3439" spans="1:12" hidden="1" outlineLevel="1" collapsed="1" x14ac:dyDescent="0.35">
      <c r="A3439" s="112" t="s">
        <v>2479</v>
      </c>
      <c r="B3439" s="112" t="s">
        <v>909</v>
      </c>
      <c r="C3439" s="112" t="s">
        <v>1095</v>
      </c>
      <c r="D3439" s="113">
        <v>10348451</v>
      </c>
      <c r="E3439" s="115">
        <v>43949</v>
      </c>
      <c r="F3439" s="114">
        <v>202101</v>
      </c>
      <c r="G3439" s="112" t="s">
        <v>1091</v>
      </c>
      <c r="H3439" s="112" t="s">
        <v>1015</v>
      </c>
      <c r="I3439" s="112" t="s">
        <v>1101</v>
      </c>
      <c r="J3439" s="112" t="s">
        <v>2523</v>
      </c>
      <c r="K3439" s="112" t="s">
        <v>1098</v>
      </c>
      <c r="L3439" s="116">
        <v>345.62</v>
      </c>
    </row>
    <row r="3440" spans="1:12" hidden="1" outlineLevel="1" collapsed="1" x14ac:dyDescent="0.35">
      <c r="A3440" s="112" t="s">
        <v>2479</v>
      </c>
      <c r="B3440" s="112" t="s">
        <v>909</v>
      </c>
      <c r="C3440" s="112" t="s">
        <v>1095</v>
      </c>
      <c r="D3440" s="113">
        <v>10348451</v>
      </c>
      <c r="E3440" s="115">
        <v>43949</v>
      </c>
      <c r="F3440" s="114">
        <v>202101</v>
      </c>
      <c r="G3440" s="112" t="s">
        <v>1091</v>
      </c>
      <c r="H3440" s="112" t="s">
        <v>1015</v>
      </c>
      <c r="I3440" s="112" t="s">
        <v>1096</v>
      </c>
      <c r="J3440" s="112" t="s">
        <v>2523</v>
      </c>
      <c r="K3440" s="112" t="s">
        <v>1098</v>
      </c>
      <c r="L3440" s="116">
        <v>366.99</v>
      </c>
    </row>
    <row r="3441" spans="1:12" hidden="1" outlineLevel="1" collapsed="1" x14ac:dyDescent="0.35">
      <c r="A3441" s="112" t="s">
        <v>2479</v>
      </c>
      <c r="B3441" s="112" t="s">
        <v>909</v>
      </c>
      <c r="C3441" s="112" t="s">
        <v>1095</v>
      </c>
      <c r="D3441" s="113">
        <v>10348451</v>
      </c>
      <c r="E3441" s="115">
        <v>43949</v>
      </c>
      <c r="F3441" s="114">
        <v>202101</v>
      </c>
      <c r="G3441" s="112" t="s">
        <v>1091</v>
      </c>
      <c r="H3441" s="112" t="s">
        <v>1015</v>
      </c>
      <c r="I3441" s="112" t="s">
        <v>1128</v>
      </c>
      <c r="J3441" s="112" t="s">
        <v>2523</v>
      </c>
      <c r="K3441" s="112" t="s">
        <v>1098</v>
      </c>
      <c r="L3441" s="116">
        <v>243</v>
      </c>
    </row>
    <row r="3442" spans="1:12" hidden="1" outlineLevel="1" collapsed="1" x14ac:dyDescent="0.35">
      <c r="A3442" s="112" t="s">
        <v>2479</v>
      </c>
      <c r="B3442" s="112" t="s">
        <v>909</v>
      </c>
      <c r="C3442" s="112" t="s">
        <v>1095</v>
      </c>
      <c r="D3442" s="113">
        <v>10348451</v>
      </c>
      <c r="E3442" s="115">
        <v>43949</v>
      </c>
      <c r="F3442" s="114">
        <v>202101</v>
      </c>
      <c r="G3442" s="112" t="s">
        <v>1091</v>
      </c>
      <c r="H3442" s="112" t="s">
        <v>1015</v>
      </c>
      <c r="I3442" s="112" t="s">
        <v>1101</v>
      </c>
      <c r="J3442" s="112" t="s">
        <v>2480</v>
      </c>
      <c r="K3442" s="112" t="s">
        <v>1098</v>
      </c>
      <c r="L3442" s="116">
        <v>426.26</v>
      </c>
    </row>
    <row r="3443" spans="1:12" hidden="1" outlineLevel="1" collapsed="1" x14ac:dyDescent="0.35">
      <c r="A3443" s="112" t="s">
        <v>2479</v>
      </c>
      <c r="B3443" s="112" t="s">
        <v>908</v>
      </c>
      <c r="C3443" s="112" t="s">
        <v>1095</v>
      </c>
      <c r="D3443" s="113">
        <v>10348451</v>
      </c>
      <c r="E3443" s="115">
        <v>43949</v>
      </c>
      <c r="F3443" s="114">
        <v>202101</v>
      </c>
      <c r="G3443" s="112" t="s">
        <v>1091</v>
      </c>
      <c r="H3443" s="112" t="s">
        <v>1015</v>
      </c>
      <c r="I3443" s="112" t="s">
        <v>1096</v>
      </c>
      <c r="J3443" s="112" t="s">
        <v>2520</v>
      </c>
      <c r="K3443" s="112" t="s">
        <v>1098</v>
      </c>
      <c r="L3443" s="116">
        <v>361.34</v>
      </c>
    </row>
    <row r="3444" spans="1:12" hidden="1" outlineLevel="1" collapsed="1" x14ac:dyDescent="0.35">
      <c r="A3444" s="112" t="s">
        <v>2479</v>
      </c>
      <c r="B3444" s="112" t="s">
        <v>909</v>
      </c>
      <c r="C3444" s="112" t="s">
        <v>1095</v>
      </c>
      <c r="D3444" s="113">
        <v>10348451</v>
      </c>
      <c r="E3444" s="115">
        <v>43949</v>
      </c>
      <c r="F3444" s="114">
        <v>202101</v>
      </c>
      <c r="G3444" s="112" t="s">
        <v>1091</v>
      </c>
      <c r="H3444" s="112" t="s">
        <v>1015</v>
      </c>
      <c r="I3444" s="112" t="s">
        <v>1128</v>
      </c>
      <c r="J3444" s="112" t="s">
        <v>2480</v>
      </c>
      <c r="K3444" s="112" t="s">
        <v>1098</v>
      </c>
      <c r="L3444" s="116">
        <v>243</v>
      </c>
    </row>
    <row r="3445" spans="1:12" hidden="1" outlineLevel="1" collapsed="1" x14ac:dyDescent="0.35">
      <c r="A3445" s="112" t="s">
        <v>2479</v>
      </c>
      <c r="B3445" s="112" t="s">
        <v>909</v>
      </c>
      <c r="C3445" s="112" t="s">
        <v>1095</v>
      </c>
      <c r="D3445" s="113">
        <v>10348451</v>
      </c>
      <c r="E3445" s="115">
        <v>43949</v>
      </c>
      <c r="F3445" s="114">
        <v>202101</v>
      </c>
      <c r="G3445" s="112" t="s">
        <v>1091</v>
      </c>
      <c r="H3445" s="112" t="s">
        <v>1015</v>
      </c>
      <c r="I3445" s="112" t="s">
        <v>1096</v>
      </c>
      <c r="J3445" s="112" t="s">
        <v>2523</v>
      </c>
      <c r="K3445" s="112" t="s">
        <v>1098</v>
      </c>
      <c r="L3445" s="116">
        <v>172.7</v>
      </c>
    </row>
    <row r="3446" spans="1:12" hidden="1" outlineLevel="1" collapsed="1" x14ac:dyDescent="0.35">
      <c r="A3446" s="112" t="s">
        <v>2479</v>
      </c>
      <c r="B3446" s="112" t="s">
        <v>909</v>
      </c>
      <c r="C3446" s="112" t="s">
        <v>1095</v>
      </c>
      <c r="D3446" s="113">
        <v>10348451</v>
      </c>
      <c r="E3446" s="115">
        <v>43949</v>
      </c>
      <c r="F3446" s="114">
        <v>202101</v>
      </c>
      <c r="G3446" s="112" t="s">
        <v>1091</v>
      </c>
      <c r="H3446" s="112" t="s">
        <v>1015</v>
      </c>
      <c r="I3446" s="112" t="s">
        <v>1128</v>
      </c>
      <c r="J3446" s="112" t="s">
        <v>2523</v>
      </c>
      <c r="K3446" s="112" t="s">
        <v>1098</v>
      </c>
      <c r="L3446" s="116">
        <v>150</v>
      </c>
    </row>
    <row r="3447" spans="1:12" hidden="1" outlineLevel="1" collapsed="1" x14ac:dyDescent="0.35">
      <c r="A3447" s="112" t="s">
        <v>2479</v>
      </c>
      <c r="B3447" s="112" t="s">
        <v>908</v>
      </c>
      <c r="C3447" s="112" t="s">
        <v>1095</v>
      </c>
      <c r="D3447" s="113">
        <v>10348451</v>
      </c>
      <c r="E3447" s="115">
        <v>43949</v>
      </c>
      <c r="F3447" s="114">
        <v>202101</v>
      </c>
      <c r="G3447" s="112" t="s">
        <v>1091</v>
      </c>
      <c r="H3447" s="112" t="s">
        <v>1015</v>
      </c>
      <c r="I3447" s="112" t="s">
        <v>1101</v>
      </c>
      <c r="J3447" s="112" t="s">
        <v>2520</v>
      </c>
      <c r="K3447" s="112" t="s">
        <v>1098</v>
      </c>
      <c r="L3447" s="116">
        <v>542.77</v>
      </c>
    </row>
    <row r="3448" spans="1:12" hidden="1" outlineLevel="1" collapsed="1" x14ac:dyDescent="0.35">
      <c r="A3448" s="112" t="s">
        <v>2479</v>
      </c>
      <c r="B3448" s="112" t="s">
        <v>908</v>
      </c>
      <c r="C3448" s="112" t="s">
        <v>1095</v>
      </c>
      <c r="D3448" s="113">
        <v>10348451</v>
      </c>
      <c r="E3448" s="115">
        <v>43949</v>
      </c>
      <c r="F3448" s="114">
        <v>202101</v>
      </c>
      <c r="G3448" s="112" t="s">
        <v>1091</v>
      </c>
      <c r="H3448" s="112" t="s">
        <v>1015</v>
      </c>
      <c r="I3448" s="112" t="s">
        <v>1096</v>
      </c>
      <c r="J3448" s="112" t="s">
        <v>2503</v>
      </c>
      <c r="K3448" s="112" t="s">
        <v>1098</v>
      </c>
      <c r="L3448" s="116">
        <v>262.10000000000002</v>
      </c>
    </row>
    <row r="3449" spans="1:12" hidden="1" outlineLevel="1" collapsed="1" x14ac:dyDescent="0.35">
      <c r="A3449" s="112" t="s">
        <v>2479</v>
      </c>
      <c r="B3449" s="112" t="s">
        <v>909</v>
      </c>
      <c r="C3449" s="112" t="s">
        <v>1095</v>
      </c>
      <c r="D3449" s="113">
        <v>10348451</v>
      </c>
      <c r="E3449" s="115">
        <v>43949</v>
      </c>
      <c r="F3449" s="114">
        <v>202101</v>
      </c>
      <c r="G3449" s="112" t="s">
        <v>1091</v>
      </c>
      <c r="H3449" s="112" t="s">
        <v>1015</v>
      </c>
      <c r="I3449" s="112" t="s">
        <v>1101</v>
      </c>
      <c r="J3449" s="112" t="s">
        <v>3217</v>
      </c>
      <c r="K3449" s="112" t="s">
        <v>1098</v>
      </c>
      <c r="L3449" s="116">
        <v>313.33999999999997</v>
      </c>
    </row>
    <row r="3450" spans="1:12" hidden="1" outlineLevel="1" collapsed="1" x14ac:dyDescent="0.35">
      <c r="A3450" s="112" t="s">
        <v>2479</v>
      </c>
      <c r="B3450" s="112" t="s">
        <v>909</v>
      </c>
      <c r="C3450" s="112" t="s">
        <v>1095</v>
      </c>
      <c r="D3450" s="113">
        <v>10348451</v>
      </c>
      <c r="E3450" s="115">
        <v>43949</v>
      </c>
      <c r="F3450" s="114">
        <v>202101</v>
      </c>
      <c r="G3450" s="112" t="s">
        <v>1091</v>
      </c>
      <c r="H3450" s="112" t="s">
        <v>1015</v>
      </c>
      <c r="I3450" s="112" t="s">
        <v>1096</v>
      </c>
      <c r="J3450" s="112" t="s">
        <v>3217</v>
      </c>
      <c r="K3450" s="112" t="s">
        <v>1098</v>
      </c>
      <c r="L3450" s="116">
        <v>165.91</v>
      </c>
    </row>
    <row r="3451" spans="1:12" hidden="1" outlineLevel="1" collapsed="1" x14ac:dyDescent="0.35">
      <c r="A3451" s="112" t="s">
        <v>2479</v>
      </c>
      <c r="B3451" s="112" t="s">
        <v>909</v>
      </c>
      <c r="C3451" s="112" t="s">
        <v>1095</v>
      </c>
      <c r="D3451" s="113">
        <v>10348451</v>
      </c>
      <c r="E3451" s="115">
        <v>43949</v>
      </c>
      <c r="F3451" s="114">
        <v>202101</v>
      </c>
      <c r="G3451" s="112" t="s">
        <v>1091</v>
      </c>
      <c r="H3451" s="112" t="s">
        <v>1015</v>
      </c>
      <c r="I3451" s="112" t="s">
        <v>1096</v>
      </c>
      <c r="J3451" s="112" t="s">
        <v>2673</v>
      </c>
      <c r="K3451" s="112" t="s">
        <v>1098</v>
      </c>
      <c r="L3451" s="116">
        <v>155.24</v>
      </c>
    </row>
    <row r="3452" spans="1:12" hidden="1" outlineLevel="1" collapsed="1" x14ac:dyDescent="0.35">
      <c r="A3452" s="112" t="s">
        <v>2479</v>
      </c>
      <c r="B3452" s="112" t="s">
        <v>909</v>
      </c>
      <c r="C3452" s="112" t="s">
        <v>1095</v>
      </c>
      <c r="D3452" s="113">
        <v>10348451</v>
      </c>
      <c r="E3452" s="115">
        <v>43949</v>
      </c>
      <c r="F3452" s="114">
        <v>202101</v>
      </c>
      <c r="G3452" s="112" t="s">
        <v>1091</v>
      </c>
      <c r="H3452" s="112" t="s">
        <v>1015</v>
      </c>
      <c r="I3452" s="112" t="s">
        <v>1101</v>
      </c>
      <c r="J3452" s="112" t="s">
        <v>2673</v>
      </c>
      <c r="K3452" s="112" t="s">
        <v>1098</v>
      </c>
      <c r="L3452" s="116">
        <v>241.53</v>
      </c>
    </row>
    <row r="3453" spans="1:12" hidden="1" outlineLevel="1" collapsed="1" x14ac:dyDescent="0.35">
      <c r="A3453" s="112" t="s">
        <v>2479</v>
      </c>
      <c r="B3453" s="112" t="s">
        <v>908</v>
      </c>
      <c r="C3453" s="112" t="s">
        <v>1095</v>
      </c>
      <c r="D3453" s="113">
        <v>10348451</v>
      </c>
      <c r="E3453" s="115">
        <v>43949</v>
      </c>
      <c r="F3453" s="114">
        <v>202101</v>
      </c>
      <c r="G3453" s="112" t="s">
        <v>1091</v>
      </c>
      <c r="H3453" s="112" t="s">
        <v>1015</v>
      </c>
      <c r="I3453" s="112" t="s">
        <v>1116</v>
      </c>
      <c r="J3453" s="112" t="s">
        <v>2520</v>
      </c>
      <c r="K3453" s="112" t="s">
        <v>1098</v>
      </c>
      <c r="L3453" s="116">
        <v>3798.58</v>
      </c>
    </row>
    <row r="3454" spans="1:12" hidden="1" outlineLevel="1" collapsed="1" x14ac:dyDescent="0.35">
      <c r="A3454" s="112" t="s">
        <v>2479</v>
      </c>
      <c r="B3454" s="112" t="s">
        <v>909</v>
      </c>
      <c r="C3454" s="112" t="s">
        <v>1095</v>
      </c>
      <c r="D3454" s="113">
        <v>10348451</v>
      </c>
      <c r="E3454" s="115">
        <v>43949</v>
      </c>
      <c r="F3454" s="114">
        <v>202101</v>
      </c>
      <c r="G3454" s="112" t="s">
        <v>1091</v>
      </c>
      <c r="H3454" s="112" t="s">
        <v>1015</v>
      </c>
      <c r="I3454" s="112" t="s">
        <v>1096</v>
      </c>
      <c r="J3454" s="112" t="s">
        <v>2480</v>
      </c>
      <c r="K3454" s="112" t="s">
        <v>1098</v>
      </c>
      <c r="L3454" s="116">
        <v>214.56</v>
      </c>
    </row>
    <row r="3455" spans="1:12" hidden="1" outlineLevel="1" collapsed="1" x14ac:dyDescent="0.35">
      <c r="A3455" s="112" t="s">
        <v>2479</v>
      </c>
      <c r="B3455" s="112" t="s">
        <v>909</v>
      </c>
      <c r="C3455" s="112" t="s">
        <v>1095</v>
      </c>
      <c r="D3455" s="113">
        <v>10348451</v>
      </c>
      <c r="E3455" s="115">
        <v>43949</v>
      </c>
      <c r="F3455" s="114">
        <v>202101</v>
      </c>
      <c r="G3455" s="112" t="s">
        <v>1091</v>
      </c>
      <c r="H3455" s="112" t="s">
        <v>1015</v>
      </c>
      <c r="I3455" s="112" t="s">
        <v>1190</v>
      </c>
      <c r="J3455" s="112" t="s">
        <v>2480</v>
      </c>
      <c r="K3455" s="112" t="s">
        <v>1098</v>
      </c>
      <c r="L3455" s="116">
        <v>41.38</v>
      </c>
    </row>
    <row r="3456" spans="1:12" hidden="1" outlineLevel="1" collapsed="1" x14ac:dyDescent="0.35">
      <c r="A3456" s="112" t="s">
        <v>2479</v>
      </c>
      <c r="B3456" s="112" t="s">
        <v>908</v>
      </c>
      <c r="C3456" s="112" t="s">
        <v>1095</v>
      </c>
      <c r="D3456" s="113">
        <v>10348451</v>
      </c>
      <c r="E3456" s="115">
        <v>43949</v>
      </c>
      <c r="F3456" s="114">
        <v>202101</v>
      </c>
      <c r="G3456" s="112" t="s">
        <v>1091</v>
      </c>
      <c r="H3456" s="112" t="s">
        <v>1015</v>
      </c>
      <c r="I3456" s="112" t="s">
        <v>1929</v>
      </c>
      <c r="J3456" s="112" t="s">
        <v>2584</v>
      </c>
      <c r="K3456" s="112" t="s">
        <v>1098</v>
      </c>
      <c r="L3456" s="116">
        <v>97.9</v>
      </c>
    </row>
    <row r="3457" spans="1:12" hidden="1" outlineLevel="1" collapsed="1" x14ac:dyDescent="0.35">
      <c r="A3457" s="112" t="s">
        <v>2479</v>
      </c>
      <c r="B3457" s="112" t="s">
        <v>908</v>
      </c>
      <c r="C3457" s="112" t="s">
        <v>695</v>
      </c>
      <c r="D3457" s="113">
        <v>10347981</v>
      </c>
      <c r="E3457" s="115">
        <v>43924</v>
      </c>
      <c r="F3457" s="114">
        <v>202101</v>
      </c>
      <c r="G3457" s="112" t="s">
        <v>1091</v>
      </c>
      <c r="H3457" s="112" t="s">
        <v>1015</v>
      </c>
      <c r="I3457" s="112" t="s">
        <v>3257</v>
      </c>
      <c r="J3457" s="112" t="s">
        <v>2584</v>
      </c>
      <c r="K3457" s="112" t="s">
        <v>3258</v>
      </c>
      <c r="L3457" s="116">
        <v>-150</v>
      </c>
    </row>
    <row r="3458" spans="1:12" hidden="1" outlineLevel="1" collapsed="1" x14ac:dyDescent="0.35">
      <c r="A3458" s="112" t="s">
        <v>2479</v>
      </c>
      <c r="B3458" s="112" t="s">
        <v>908</v>
      </c>
      <c r="C3458" s="112" t="s">
        <v>695</v>
      </c>
      <c r="D3458" s="113">
        <v>10347981</v>
      </c>
      <c r="E3458" s="115">
        <v>43924</v>
      </c>
      <c r="F3458" s="114">
        <v>202101</v>
      </c>
      <c r="G3458" s="112" t="s">
        <v>1091</v>
      </c>
      <c r="H3458" s="112" t="s">
        <v>1015</v>
      </c>
      <c r="I3458" s="112" t="s">
        <v>1471</v>
      </c>
      <c r="J3458" s="112" t="s">
        <v>2501</v>
      </c>
      <c r="K3458" s="112" t="s">
        <v>3259</v>
      </c>
      <c r="L3458" s="116">
        <v>-200</v>
      </c>
    </row>
    <row r="3459" spans="1:12" hidden="1" outlineLevel="1" collapsed="1" x14ac:dyDescent="0.35">
      <c r="A3459" s="112" t="s">
        <v>2479</v>
      </c>
      <c r="B3459" s="112" t="s">
        <v>909</v>
      </c>
      <c r="C3459" s="112" t="s">
        <v>1095</v>
      </c>
      <c r="D3459" s="113">
        <v>10348451</v>
      </c>
      <c r="E3459" s="115">
        <v>43949</v>
      </c>
      <c r="F3459" s="114">
        <v>202101</v>
      </c>
      <c r="G3459" s="112" t="s">
        <v>1091</v>
      </c>
      <c r="H3459" s="112" t="s">
        <v>1015</v>
      </c>
      <c r="I3459" s="112" t="s">
        <v>1205</v>
      </c>
      <c r="J3459" s="112" t="s">
        <v>2652</v>
      </c>
      <c r="K3459" s="112" t="s">
        <v>1098</v>
      </c>
      <c r="L3459" s="116">
        <v>18</v>
      </c>
    </row>
    <row r="3460" spans="1:12" hidden="1" outlineLevel="1" collapsed="1" x14ac:dyDescent="0.35">
      <c r="A3460" s="112" t="s">
        <v>2479</v>
      </c>
      <c r="B3460" s="112" t="s">
        <v>908</v>
      </c>
      <c r="C3460" s="112" t="s">
        <v>1095</v>
      </c>
      <c r="D3460" s="113">
        <v>10348451</v>
      </c>
      <c r="E3460" s="115">
        <v>43949</v>
      </c>
      <c r="F3460" s="114">
        <v>202101</v>
      </c>
      <c r="G3460" s="112" t="s">
        <v>1091</v>
      </c>
      <c r="H3460" s="112" t="s">
        <v>1015</v>
      </c>
      <c r="I3460" s="112" t="s">
        <v>1205</v>
      </c>
      <c r="J3460" s="112" t="s">
        <v>2503</v>
      </c>
      <c r="K3460" s="112" t="s">
        <v>1098</v>
      </c>
      <c r="L3460" s="116">
        <v>293.10000000000002</v>
      </c>
    </row>
    <row r="3461" spans="1:12" hidden="1" outlineLevel="1" collapsed="1" x14ac:dyDescent="0.35">
      <c r="A3461" s="112" t="s">
        <v>2479</v>
      </c>
      <c r="B3461" s="112" t="s">
        <v>908</v>
      </c>
      <c r="C3461" s="112" t="s">
        <v>1095</v>
      </c>
      <c r="D3461" s="113">
        <v>10348451</v>
      </c>
      <c r="E3461" s="115">
        <v>43949</v>
      </c>
      <c r="F3461" s="114">
        <v>202101</v>
      </c>
      <c r="G3461" s="112" t="s">
        <v>1091</v>
      </c>
      <c r="H3461" s="112" t="s">
        <v>1015</v>
      </c>
      <c r="I3461" s="112" t="s">
        <v>1205</v>
      </c>
      <c r="J3461" s="112" t="s">
        <v>2584</v>
      </c>
      <c r="K3461" s="112" t="s">
        <v>1098</v>
      </c>
      <c r="L3461" s="116">
        <v>18</v>
      </c>
    </row>
    <row r="3462" spans="1:12" hidden="1" outlineLevel="1" collapsed="1" x14ac:dyDescent="0.35">
      <c r="A3462" s="112" t="s">
        <v>2479</v>
      </c>
      <c r="B3462" s="112" t="s">
        <v>909</v>
      </c>
      <c r="C3462" s="112" t="s">
        <v>1095</v>
      </c>
      <c r="D3462" s="113">
        <v>10348451</v>
      </c>
      <c r="E3462" s="115">
        <v>43949</v>
      </c>
      <c r="F3462" s="114">
        <v>202101</v>
      </c>
      <c r="G3462" s="112" t="s">
        <v>1091</v>
      </c>
      <c r="H3462" s="112" t="s">
        <v>1015</v>
      </c>
      <c r="I3462" s="112" t="s">
        <v>1205</v>
      </c>
      <c r="J3462" s="112" t="s">
        <v>2673</v>
      </c>
      <c r="K3462" s="112" t="s">
        <v>1098</v>
      </c>
      <c r="L3462" s="116">
        <v>13</v>
      </c>
    </row>
    <row r="3463" spans="1:12" hidden="1" outlineLevel="1" collapsed="1" x14ac:dyDescent="0.35">
      <c r="A3463" s="112" t="s">
        <v>2479</v>
      </c>
      <c r="B3463" s="112" t="s">
        <v>909</v>
      </c>
      <c r="C3463" s="112" t="s">
        <v>1095</v>
      </c>
      <c r="D3463" s="113">
        <v>10348451</v>
      </c>
      <c r="E3463" s="115">
        <v>43949</v>
      </c>
      <c r="F3463" s="114">
        <v>202101</v>
      </c>
      <c r="G3463" s="112" t="s">
        <v>1091</v>
      </c>
      <c r="H3463" s="112" t="s">
        <v>1015</v>
      </c>
      <c r="I3463" s="112" t="s">
        <v>1205</v>
      </c>
      <c r="J3463" s="112" t="s">
        <v>3217</v>
      </c>
      <c r="K3463" s="112" t="s">
        <v>1098</v>
      </c>
      <c r="L3463" s="116">
        <v>373.83</v>
      </c>
    </row>
    <row r="3464" spans="1:12" hidden="1" outlineLevel="1" collapsed="1" x14ac:dyDescent="0.35">
      <c r="A3464" s="112" t="s">
        <v>2479</v>
      </c>
      <c r="B3464" s="112" t="s">
        <v>908</v>
      </c>
      <c r="C3464" s="112" t="s">
        <v>695</v>
      </c>
      <c r="D3464" s="113">
        <v>10347981</v>
      </c>
      <c r="E3464" s="115">
        <v>43924</v>
      </c>
      <c r="F3464" s="114">
        <v>202101</v>
      </c>
      <c r="G3464" s="112" t="s">
        <v>1091</v>
      </c>
      <c r="H3464" s="112" t="s">
        <v>1015</v>
      </c>
      <c r="I3464" s="112" t="s">
        <v>3257</v>
      </c>
      <c r="J3464" s="112" t="s">
        <v>2584</v>
      </c>
      <c r="K3464" s="112" t="s">
        <v>3260</v>
      </c>
      <c r="L3464" s="116">
        <v>-15</v>
      </c>
    </row>
    <row r="3465" spans="1:12" hidden="1" outlineLevel="1" collapsed="1" x14ac:dyDescent="0.35">
      <c r="A3465" s="112" t="s">
        <v>2479</v>
      </c>
      <c r="B3465" s="112" t="s">
        <v>909</v>
      </c>
      <c r="C3465" s="112" t="s">
        <v>1095</v>
      </c>
      <c r="D3465" s="113">
        <v>10348451</v>
      </c>
      <c r="E3465" s="115">
        <v>43949</v>
      </c>
      <c r="F3465" s="114">
        <v>202101</v>
      </c>
      <c r="G3465" s="112" t="s">
        <v>1091</v>
      </c>
      <c r="H3465" s="112" t="s">
        <v>1015</v>
      </c>
      <c r="I3465" s="112" t="s">
        <v>1101</v>
      </c>
      <c r="J3465" s="112" t="s">
        <v>3217</v>
      </c>
      <c r="K3465" s="112" t="s">
        <v>1098</v>
      </c>
      <c r="L3465" s="116">
        <v>498.28</v>
      </c>
    </row>
    <row r="3466" spans="1:12" hidden="1" outlineLevel="1" collapsed="1" x14ac:dyDescent="0.35">
      <c r="A3466" s="112" t="s">
        <v>2479</v>
      </c>
      <c r="B3466" s="112" t="s">
        <v>908</v>
      </c>
      <c r="C3466" s="112" t="s">
        <v>1095</v>
      </c>
      <c r="D3466" s="113">
        <v>10348451</v>
      </c>
      <c r="E3466" s="115">
        <v>43949</v>
      </c>
      <c r="F3466" s="114">
        <v>202101</v>
      </c>
      <c r="G3466" s="112" t="s">
        <v>1091</v>
      </c>
      <c r="H3466" s="112" t="s">
        <v>1015</v>
      </c>
      <c r="I3466" s="112" t="s">
        <v>1096</v>
      </c>
      <c r="J3466" s="112" t="s">
        <v>2520</v>
      </c>
      <c r="K3466" s="112" t="s">
        <v>1098</v>
      </c>
      <c r="L3466" s="116">
        <v>333.45</v>
      </c>
    </row>
    <row r="3467" spans="1:12" hidden="1" outlineLevel="1" collapsed="1" x14ac:dyDescent="0.35">
      <c r="A3467" s="112" t="s">
        <v>2479</v>
      </c>
      <c r="B3467" s="112" t="s">
        <v>908</v>
      </c>
      <c r="C3467" s="112" t="s">
        <v>695</v>
      </c>
      <c r="D3467" s="113">
        <v>10348052</v>
      </c>
      <c r="E3467" s="115">
        <v>43928</v>
      </c>
      <c r="F3467" s="114">
        <v>202101</v>
      </c>
      <c r="G3467" s="112" t="s">
        <v>1091</v>
      </c>
      <c r="H3467" s="112" t="s">
        <v>1015</v>
      </c>
      <c r="I3467" s="112" t="s">
        <v>1459</v>
      </c>
      <c r="J3467" s="112" t="s">
        <v>2498</v>
      </c>
      <c r="K3467" s="112" t="s">
        <v>1475</v>
      </c>
      <c r="L3467" s="116">
        <v>-15860</v>
      </c>
    </row>
    <row r="3468" spans="1:12" hidden="1" outlineLevel="1" collapsed="1" x14ac:dyDescent="0.35">
      <c r="A3468" s="112" t="s">
        <v>2479</v>
      </c>
      <c r="B3468" s="112" t="s">
        <v>909</v>
      </c>
      <c r="C3468" s="112" t="s">
        <v>1095</v>
      </c>
      <c r="D3468" s="113">
        <v>10348451</v>
      </c>
      <c r="E3468" s="115">
        <v>43949</v>
      </c>
      <c r="F3468" s="114">
        <v>202101</v>
      </c>
      <c r="G3468" s="112" t="s">
        <v>1091</v>
      </c>
      <c r="H3468" s="112" t="s">
        <v>1015</v>
      </c>
      <c r="I3468" s="112" t="s">
        <v>1096</v>
      </c>
      <c r="J3468" s="112" t="s">
        <v>2673</v>
      </c>
      <c r="K3468" s="112" t="s">
        <v>1098</v>
      </c>
      <c r="L3468" s="116">
        <v>254.88</v>
      </c>
    </row>
    <row r="3469" spans="1:12" hidden="1" outlineLevel="1" collapsed="1" x14ac:dyDescent="0.35">
      <c r="A3469" s="112" t="s">
        <v>2479</v>
      </c>
      <c r="B3469" s="112" t="s">
        <v>909</v>
      </c>
      <c r="C3469" s="112" t="s">
        <v>1095</v>
      </c>
      <c r="D3469" s="113">
        <v>10348451</v>
      </c>
      <c r="E3469" s="115">
        <v>43949</v>
      </c>
      <c r="F3469" s="114">
        <v>202101</v>
      </c>
      <c r="G3469" s="112" t="s">
        <v>1091</v>
      </c>
      <c r="H3469" s="112" t="s">
        <v>1015</v>
      </c>
      <c r="I3469" s="112" t="s">
        <v>1190</v>
      </c>
      <c r="J3469" s="112" t="s">
        <v>2480</v>
      </c>
      <c r="K3469" s="112" t="s">
        <v>1098</v>
      </c>
      <c r="L3469" s="116">
        <v>91.44</v>
      </c>
    </row>
    <row r="3470" spans="1:12" hidden="1" outlineLevel="1" collapsed="1" x14ac:dyDescent="0.35">
      <c r="A3470" s="112" t="s">
        <v>2479</v>
      </c>
      <c r="B3470" s="112" t="s">
        <v>909</v>
      </c>
      <c r="C3470" s="112" t="s">
        <v>1095</v>
      </c>
      <c r="D3470" s="113">
        <v>10348451</v>
      </c>
      <c r="E3470" s="115">
        <v>43949</v>
      </c>
      <c r="F3470" s="114">
        <v>202101</v>
      </c>
      <c r="G3470" s="112" t="s">
        <v>1091</v>
      </c>
      <c r="H3470" s="112" t="s">
        <v>1015</v>
      </c>
      <c r="I3470" s="112" t="s">
        <v>1190</v>
      </c>
      <c r="J3470" s="112" t="s">
        <v>2480</v>
      </c>
      <c r="K3470" s="112" t="s">
        <v>1098</v>
      </c>
      <c r="L3470" s="116">
        <v>91.44</v>
      </c>
    </row>
    <row r="3471" spans="1:12" hidden="1" outlineLevel="1" collapsed="1" x14ac:dyDescent="0.35">
      <c r="A3471" s="112" t="s">
        <v>2479</v>
      </c>
      <c r="B3471" s="112" t="s">
        <v>908</v>
      </c>
      <c r="C3471" s="112" t="s">
        <v>1095</v>
      </c>
      <c r="D3471" s="113">
        <v>10348451</v>
      </c>
      <c r="E3471" s="115">
        <v>43949</v>
      </c>
      <c r="F3471" s="114">
        <v>202101</v>
      </c>
      <c r="G3471" s="112" t="s">
        <v>1091</v>
      </c>
      <c r="H3471" s="112" t="s">
        <v>1015</v>
      </c>
      <c r="I3471" s="112" t="s">
        <v>1096</v>
      </c>
      <c r="J3471" s="112" t="s">
        <v>2513</v>
      </c>
      <c r="K3471" s="112" t="s">
        <v>1098</v>
      </c>
      <c r="L3471" s="116">
        <v>880.86</v>
      </c>
    </row>
    <row r="3472" spans="1:12" hidden="1" outlineLevel="1" collapsed="1" x14ac:dyDescent="0.35">
      <c r="A3472" s="112" t="s">
        <v>2479</v>
      </c>
      <c r="B3472" s="112" t="s">
        <v>909</v>
      </c>
      <c r="C3472" s="112" t="s">
        <v>1095</v>
      </c>
      <c r="D3472" s="113">
        <v>10348451</v>
      </c>
      <c r="E3472" s="115">
        <v>43949</v>
      </c>
      <c r="F3472" s="114">
        <v>202101</v>
      </c>
      <c r="G3472" s="112" t="s">
        <v>1091</v>
      </c>
      <c r="H3472" s="112" t="s">
        <v>1015</v>
      </c>
      <c r="I3472" s="112" t="s">
        <v>3261</v>
      </c>
      <c r="J3472" s="112" t="s">
        <v>2480</v>
      </c>
      <c r="K3472" s="112" t="s">
        <v>1098</v>
      </c>
      <c r="L3472" s="116">
        <v>30.18</v>
      </c>
    </row>
    <row r="3473" spans="1:12" hidden="1" outlineLevel="1" collapsed="1" x14ac:dyDescent="0.35">
      <c r="A3473" s="112" t="s">
        <v>2479</v>
      </c>
      <c r="B3473" s="112" t="s">
        <v>909</v>
      </c>
      <c r="C3473" s="112" t="s">
        <v>1095</v>
      </c>
      <c r="D3473" s="113">
        <v>10348451</v>
      </c>
      <c r="E3473" s="115">
        <v>43949</v>
      </c>
      <c r="F3473" s="114">
        <v>202101</v>
      </c>
      <c r="G3473" s="112" t="s">
        <v>1091</v>
      </c>
      <c r="H3473" s="112" t="s">
        <v>1015</v>
      </c>
      <c r="I3473" s="112" t="s">
        <v>1096</v>
      </c>
      <c r="J3473" s="112" t="s">
        <v>2523</v>
      </c>
      <c r="K3473" s="112" t="s">
        <v>1098</v>
      </c>
      <c r="L3473" s="116">
        <v>210.79</v>
      </c>
    </row>
    <row r="3474" spans="1:12" hidden="1" outlineLevel="1" collapsed="1" x14ac:dyDescent="0.35">
      <c r="A3474" s="112" t="s">
        <v>2479</v>
      </c>
      <c r="B3474" s="112" t="s">
        <v>908</v>
      </c>
      <c r="C3474" s="112" t="s">
        <v>695</v>
      </c>
      <c r="D3474" s="113">
        <v>10348385</v>
      </c>
      <c r="E3474" s="115">
        <v>43943</v>
      </c>
      <c r="F3474" s="114">
        <v>202101</v>
      </c>
      <c r="G3474" s="112" t="s">
        <v>1091</v>
      </c>
      <c r="H3474" s="112" t="s">
        <v>1015</v>
      </c>
      <c r="I3474" s="112" t="s">
        <v>1459</v>
      </c>
      <c r="J3474" s="112" t="s">
        <v>2498</v>
      </c>
      <c r="K3474" s="112" t="s">
        <v>1460</v>
      </c>
      <c r="L3474" s="116">
        <v>15860</v>
      </c>
    </row>
    <row r="3475" spans="1:12" hidden="1" outlineLevel="1" collapsed="1" x14ac:dyDescent="0.35">
      <c r="A3475" s="112" t="s">
        <v>2479</v>
      </c>
      <c r="B3475" s="112" t="s">
        <v>908</v>
      </c>
      <c r="C3475" s="112" t="s">
        <v>1095</v>
      </c>
      <c r="D3475" s="113">
        <v>10348451</v>
      </c>
      <c r="E3475" s="115">
        <v>43949</v>
      </c>
      <c r="F3475" s="114">
        <v>202101</v>
      </c>
      <c r="G3475" s="112" t="s">
        <v>1091</v>
      </c>
      <c r="H3475" s="112" t="s">
        <v>1015</v>
      </c>
      <c r="I3475" s="112" t="s">
        <v>1101</v>
      </c>
      <c r="J3475" s="112" t="s">
        <v>2584</v>
      </c>
      <c r="K3475" s="112" t="s">
        <v>1098</v>
      </c>
      <c r="L3475" s="116">
        <v>454.67</v>
      </c>
    </row>
    <row r="3476" spans="1:12" hidden="1" outlineLevel="1" collapsed="1" x14ac:dyDescent="0.35">
      <c r="A3476" s="112" t="s">
        <v>2479</v>
      </c>
      <c r="B3476" s="112" t="s">
        <v>908</v>
      </c>
      <c r="C3476" s="112" t="s">
        <v>1095</v>
      </c>
      <c r="D3476" s="113">
        <v>10348451</v>
      </c>
      <c r="E3476" s="115">
        <v>43949</v>
      </c>
      <c r="F3476" s="114">
        <v>202101</v>
      </c>
      <c r="G3476" s="112" t="s">
        <v>1091</v>
      </c>
      <c r="H3476" s="112" t="s">
        <v>1015</v>
      </c>
      <c r="I3476" s="112" t="s">
        <v>1096</v>
      </c>
      <c r="J3476" s="112" t="s">
        <v>2584</v>
      </c>
      <c r="K3476" s="112" t="s">
        <v>1098</v>
      </c>
      <c r="L3476" s="116">
        <v>286.29000000000002</v>
      </c>
    </row>
    <row r="3477" spans="1:12" hidden="1" outlineLevel="1" collapsed="1" x14ac:dyDescent="0.35">
      <c r="A3477" s="112" t="s">
        <v>2479</v>
      </c>
      <c r="B3477" s="112" t="s">
        <v>908</v>
      </c>
      <c r="C3477" s="112" t="s">
        <v>1095</v>
      </c>
      <c r="D3477" s="113">
        <v>10348451</v>
      </c>
      <c r="E3477" s="115">
        <v>43949</v>
      </c>
      <c r="F3477" s="114">
        <v>202101</v>
      </c>
      <c r="G3477" s="112" t="s">
        <v>1091</v>
      </c>
      <c r="H3477" s="112" t="s">
        <v>1015</v>
      </c>
      <c r="I3477" s="112" t="s">
        <v>1101</v>
      </c>
      <c r="J3477" s="112" t="s">
        <v>2484</v>
      </c>
      <c r="K3477" s="112" t="s">
        <v>1098</v>
      </c>
      <c r="L3477" s="116">
        <v>483.07</v>
      </c>
    </row>
    <row r="3478" spans="1:12" hidden="1" outlineLevel="1" collapsed="1" x14ac:dyDescent="0.35">
      <c r="A3478" s="112" t="s">
        <v>2479</v>
      </c>
      <c r="B3478" s="112" t="s">
        <v>908</v>
      </c>
      <c r="C3478" s="112" t="s">
        <v>1095</v>
      </c>
      <c r="D3478" s="113">
        <v>10348451</v>
      </c>
      <c r="E3478" s="115">
        <v>43949</v>
      </c>
      <c r="F3478" s="114">
        <v>202101</v>
      </c>
      <c r="G3478" s="112" t="s">
        <v>1091</v>
      </c>
      <c r="H3478" s="112" t="s">
        <v>1015</v>
      </c>
      <c r="I3478" s="112" t="s">
        <v>1096</v>
      </c>
      <c r="J3478" s="112" t="s">
        <v>2584</v>
      </c>
      <c r="K3478" s="112" t="s">
        <v>1098</v>
      </c>
      <c r="L3478" s="116">
        <v>254.62</v>
      </c>
    </row>
    <row r="3479" spans="1:12" hidden="1" outlineLevel="1" collapsed="1" x14ac:dyDescent="0.35">
      <c r="A3479" s="112" t="s">
        <v>2479</v>
      </c>
      <c r="B3479" s="112" t="s">
        <v>909</v>
      </c>
      <c r="C3479" s="112" t="s">
        <v>1099</v>
      </c>
      <c r="D3479" s="113">
        <v>1069742</v>
      </c>
      <c r="E3479" s="115">
        <v>43949</v>
      </c>
      <c r="F3479" s="114">
        <v>202101</v>
      </c>
      <c r="G3479" s="112" t="s">
        <v>1091</v>
      </c>
      <c r="H3479" s="112" t="s">
        <v>1015</v>
      </c>
      <c r="I3479" s="112" t="s">
        <v>3262</v>
      </c>
      <c r="J3479" s="112" t="s">
        <v>2523</v>
      </c>
      <c r="K3479" s="112" t="s">
        <v>3263</v>
      </c>
      <c r="L3479" s="116">
        <v>160</v>
      </c>
    </row>
    <row r="3480" spans="1:12" hidden="1" outlineLevel="1" collapsed="1" x14ac:dyDescent="0.35">
      <c r="A3480" s="112" t="s">
        <v>2479</v>
      </c>
      <c r="B3480" s="112" t="s">
        <v>908</v>
      </c>
      <c r="C3480" s="112" t="s">
        <v>1095</v>
      </c>
      <c r="D3480" s="113">
        <v>10348451</v>
      </c>
      <c r="E3480" s="115">
        <v>43949</v>
      </c>
      <c r="F3480" s="114">
        <v>202101</v>
      </c>
      <c r="G3480" s="112" t="s">
        <v>1091</v>
      </c>
      <c r="H3480" s="112" t="s">
        <v>1015</v>
      </c>
      <c r="I3480" s="112" t="s">
        <v>1101</v>
      </c>
      <c r="J3480" s="112" t="s">
        <v>2584</v>
      </c>
      <c r="K3480" s="112" t="s">
        <v>1098</v>
      </c>
      <c r="L3480" s="116">
        <v>417.48</v>
      </c>
    </row>
    <row r="3481" spans="1:12" hidden="1" outlineLevel="1" collapsed="1" x14ac:dyDescent="0.35">
      <c r="A3481" s="112" t="s">
        <v>2479</v>
      </c>
      <c r="B3481" s="112" t="s">
        <v>908</v>
      </c>
      <c r="C3481" s="112" t="s">
        <v>1095</v>
      </c>
      <c r="D3481" s="113">
        <v>10348451</v>
      </c>
      <c r="E3481" s="115">
        <v>43949</v>
      </c>
      <c r="F3481" s="114">
        <v>202101</v>
      </c>
      <c r="G3481" s="112" t="s">
        <v>1091</v>
      </c>
      <c r="H3481" s="112" t="s">
        <v>1015</v>
      </c>
      <c r="I3481" s="112" t="s">
        <v>1128</v>
      </c>
      <c r="J3481" s="112" t="s">
        <v>2501</v>
      </c>
      <c r="K3481" s="112" t="s">
        <v>1098</v>
      </c>
      <c r="L3481" s="116">
        <v>243</v>
      </c>
    </row>
    <row r="3482" spans="1:12" hidden="1" outlineLevel="1" collapsed="1" x14ac:dyDescent="0.35">
      <c r="A3482" s="112" t="s">
        <v>2479</v>
      </c>
      <c r="B3482" s="112" t="s">
        <v>909</v>
      </c>
      <c r="C3482" s="112" t="s">
        <v>1095</v>
      </c>
      <c r="D3482" s="113">
        <v>10348451</v>
      </c>
      <c r="E3482" s="115">
        <v>43949</v>
      </c>
      <c r="F3482" s="114">
        <v>202101</v>
      </c>
      <c r="G3482" s="112" t="s">
        <v>1091</v>
      </c>
      <c r="H3482" s="112" t="s">
        <v>1015</v>
      </c>
      <c r="I3482" s="112" t="s">
        <v>1096</v>
      </c>
      <c r="J3482" s="112" t="s">
        <v>2480</v>
      </c>
      <c r="K3482" s="112" t="s">
        <v>1098</v>
      </c>
      <c r="L3482" s="116">
        <v>262.10000000000002</v>
      </c>
    </row>
    <row r="3483" spans="1:12" hidden="1" outlineLevel="1" collapsed="1" x14ac:dyDescent="0.35">
      <c r="A3483" s="112" t="s">
        <v>2479</v>
      </c>
      <c r="B3483" s="112" t="s">
        <v>908</v>
      </c>
      <c r="C3483" s="112" t="s">
        <v>1095</v>
      </c>
      <c r="D3483" s="113">
        <v>10348451</v>
      </c>
      <c r="E3483" s="115">
        <v>43949</v>
      </c>
      <c r="F3483" s="114">
        <v>202101</v>
      </c>
      <c r="G3483" s="112" t="s">
        <v>1091</v>
      </c>
      <c r="H3483" s="112" t="s">
        <v>1015</v>
      </c>
      <c r="I3483" s="112" t="s">
        <v>1096</v>
      </c>
      <c r="J3483" s="112" t="s">
        <v>2584</v>
      </c>
      <c r="K3483" s="112" t="s">
        <v>1098</v>
      </c>
      <c r="L3483" s="116">
        <v>153.66</v>
      </c>
    </row>
    <row r="3484" spans="1:12" hidden="1" outlineLevel="1" collapsed="1" x14ac:dyDescent="0.35">
      <c r="A3484" s="112" t="s">
        <v>2479</v>
      </c>
      <c r="B3484" s="112" t="s">
        <v>909</v>
      </c>
      <c r="C3484" s="112" t="s">
        <v>1095</v>
      </c>
      <c r="D3484" s="113">
        <v>10348451</v>
      </c>
      <c r="E3484" s="115">
        <v>43949</v>
      </c>
      <c r="F3484" s="114">
        <v>202101</v>
      </c>
      <c r="G3484" s="112" t="s">
        <v>1091</v>
      </c>
      <c r="H3484" s="112" t="s">
        <v>1015</v>
      </c>
      <c r="I3484" s="112" t="s">
        <v>1101</v>
      </c>
      <c r="J3484" s="112" t="s">
        <v>2480</v>
      </c>
      <c r="K3484" s="112" t="s">
        <v>1098</v>
      </c>
      <c r="L3484" s="116">
        <v>372.74</v>
      </c>
    </row>
    <row r="3485" spans="1:12" hidden="1" outlineLevel="1" collapsed="1" x14ac:dyDescent="0.35">
      <c r="A3485" s="112" t="s">
        <v>2479</v>
      </c>
      <c r="B3485" s="112" t="s">
        <v>909</v>
      </c>
      <c r="C3485" s="112" t="s">
        <v>1095</v>
      </c>
      <c r="D3485" s="113">
        <v>10348451</v>
      </c>
      <c r="E3485" s="115">
        <v>43949</v>
      </c>
      <c r="F3485" s="114">
        <v>202101</v>
      </c>
      <c r="G3485" s="112" t="s">
        <v>1091</v>
      </c>
      <c r="H3485" s="112" t="s">
        <v>1015</v>
      </c>
      <c r="I3485" s="112" t="s">
        <v>1096</v>
      </c>
      <c r="J3485" s="112" t="s">
        <v>2480</v>
      </c>
      <c r="K3485" s="112" t="s">
        <v>1098</v>
      </c>
      <c r="L3485" s="116">
        <v>276.95</v>
      </c>
    </row>
    <row r="3486" spans="1:12" hidden="1" outlineLevel="1" collapsed="1" x14ac:dyDescent="0.35">
      <c r="A3486" s="112" t="s">
        <v>2479</v>
      </c>
      <c r="B3486" s="112" t="s">
        <v>909</v>
      </c>
      <c r="C3486" s="112" t="s">
        <v>1095</v>
      </c>
      <c r="D3486" s="113">
        <v>10348451</v>
      </c>
      <c r="E3486" s="115">
        <v>43949</v>
      </c>
      <c r="F3486" s="114">
        <v>202101</v>
      </c>
      <c r="G3486" s="112" t="s">
        <v>1091</v>
      </c>
      <c r="H3486" s="112" t="s">
        <v>1015</v>
      </c>
      <c r="I3486" s="112" t="s">
        <v>1101</v>
      </c>
      <c r="J3486" s="112" t="s">
        <v>2480</v>
      </c>
      <c r="K3486" s="112" t="s">
        <v>1098</v>
      </c>
      <c r="L3486" s="116">
        <v>483.07</v>
      </c>
    </row>
    <row r="3487" spans="1:12" hidden="1" outlineLevel="1" collapsed="1" x14ac:dyDescent="0.35">
      <c r="A3487" s="112" t="s">
        <v>2479</v>
      </c>
      <c r="B3487" s="112" t="s">
        <v>909</v>
      </c>
      <c r="C3487" s="112" t="s">
        <v>1095</v>
      </c>
      <c r="D3487" s="113">
        <v>10348451</v>
      </c>
      <c r="E3487" s="115">
        <v>43949</v>
      </c>
      <c r="F3487" s="114">
        <v>202101</v>
      </c>
      <c r="G3487" s="112" t="s">
        <v>1091</v>
      </c>
      <c r="H3487" s="112" t="s">
        <v>1015</v>
      </c>
      <c r="I3487" s="112" t="s">
        <v>1096</v>
      </c>
      <c r="J3487" s="112" t="s">
        <v>2673</v>
      </c>
      <c r="K3487" s="112" t="s">
        <v>1098</v>
      </c>
      <c r="L3487" s="116">
        <v>312.27999999999997</v>
      </c>
    </row>
    <row r="3488" spans="1:12" hidden="1" outlineLevel="1" collapsed="1" x14ac:dyDescent="0.35">
      <c r="A3488" s="112" t="s">
        <v>2479</v>
      </c>
      <c r="B3488" s="112" t="s">
        <v>908</v>
      </c>
      <c r="C3488" s="112" t="s">
        <v>1095</v>
      </c>
      <c r="D3488" s="113">
        <v>10348451</v>
      </c>
      <c r="E3488" s="115">
        <v>43949</v>
      </c>
      <c r="F3488" s="114">
        <v>202101</v>
      </c>
      <c r="G3488" s="112" t="s">
        <v>1091</v>
      </c>
      <c r="H3488" s="112" t="s">
        <v>1015</v>
      </c>
      <c r="I3488" s="112" t="s">
        <v>1096</v>
      </c>
      <c r="J3488" s="112" t="s">
        <v>2503</v>
      </c>
      <c r="K3488" s="112" t="s">
        <v>1098</v>
      </c>
      <c r="L3488" s="116">
        <v>262.10000000000002</v>
      </c>
    </row>
    <row r="3489" spans="1:12" hidden="1" outlineLevel="1" collapsed="1" x14ac:dyDescent="0.35">
      <c r="A3489" s="112" t="s">
        <v>2479</v>
      </c>
      <c r="B3489" s="112" t="s">
        <v>909</v>
      </c>
      <c r="C3489" s="112" t="s">
        <v>1095</v>
      </c>
      <c r="D3489" s="113">
        <v>10348451</v>
      </c>
      <c r="E3489" s="115">
        <v>43949</v>
      </c>
      <c r="F3489" s="114">
        <v>202101</v>
      </c>
      <c r="G3489" s="112" t="s">
        <v>1091</v>
      </c>
      <c r="H3489" s="112" t="s">
        <v>1015</v>
      </c>
      <c r="I3489" s="112" t="s">
        <v>1101</v>
      </c>
      <c r="J3489" s="112" t="s">
        <v>2673</v>
      </c>
      <c r="K3489" s="112" t="s">
        <v>1098</v>
      </c>
      <c r="L3489" s="116">
        <v>485.18</v>
      </c>
    </row>
    <row r="3490" spans="1:12" hidden="1" outlineLevel="1" collapsed="1" x14ac:dyDescent="0.35">
      <c r="A3490" s="112" t="s">
        <v>2479</v>
      </c>
      <c r="B3490" s="112" t="s">
        <v>908</v>
      </c>
      <c r="C3490" s="112" t="s">
        <v>1095</v>
      </c>
      <c r="D3490" s="113">
        <v>10348451</v>
      </c>
      <c r="E3490" s="115">
        <v>43949</v>
      </c>
      <c r="F3490" s="114">
        <v>202101</v>
      </c>
      <c r="G3490" s="112" t="s">
        <v>1091</v>
      </c>
      <c r="H3490" s="112" t="s">
        <v>1015</v>
      </c>
      <c r="I3490" s="112" t="s">
        <v>1101</v>
      </c>
      <c r="J3490" s="112" t="s">
        <v>2501</v>
      </c>
      <c r="K3490" s="112" t="s">
        <v>1098</v>
      </c>
      <c r="L3490" s="116">
        <v>854.73</v>
      </c>
    </row>
    <row r="3491" spans="1:12" hidden="1" outlineLevel="1" collapsed="1" x14ac:dyDescent="0.35">
      <c r="A3491" s="112" t="s">
        <v>2479</v>
      </c>
      <c r="B3491" s="112" t="s">
        <v>909</v>
      </c>
      <c r="C3491" s="112" t="s">
        <v>1095</v>
      </c>
      <c r="D3491" s="113">
        <v>10348451</v>
      </c>
      <c r="E3491" s="115">
        <v>43949</v>
      </c>
      <c r="F3491" s="114">
        <v>202101</v>
      </c>
      <c r="G3491" s="112" t="s">
        <v>1091</v>
      </c>
      <c r="H3491" s="112" t="s">
        <v>1015</v>
      </c>
      <c r="I3491" s="112" t="s">
        <v>1116</v>
      </c>
      <c r="J3491" s="112" t="s">
        <v>2652</v>
      </c>
      <c r="K3491" s="112" t="s">
        <v>1098</v>
      </c>
      <c r="L3491" s="116">
        <v>2062.33</v>
      </c>
    </row>
    <row r="3492" spans="1:12" hidden="1" outlineLevel="1" collapsed="1" x14ac:dyDescent="0.35">
      <c r="A3492" s="112" t="s">
        <v>2479</v>
      </c>
      <c r="B3492" s="112" t="s">
        <v>909</v>
      </c>
      <c r="C3492" s="112" t="s">
        <v>1095</v>
      </c>
      <c r="D3492" s="113">
        <v>10348451</v>
      </c>
      <c r="E3492" s="115">
        <v>43949</v>
      </c>
      <c r="F3492" s="114">
        <v>202101</v>
      </c>
      <c r="G3492" s="112" t="s">
        <v>1091</v>
      </c>
      <c r="H3492" s="112" t="s">
        <v>1015</v>
      </c>
      <c r="I3492" s="112" t="s">
        <v>1116</v>
      </c>
      <c r="J3492" s="112" t="s">
        <v>2652</v>
      </c>
      <c r="K3492" s="112" t="s">
        <v>1098</v>
      </c>
      <c r="L3492" s="116">
        <v>2631.25</v>
      </c>
    </row>
    <row r="3493" spans="1:12" hidden="1" outlineLevel="1" collapsed="1" x14ac:dyDescent="0.35">
      <c r="A3493" s="112" t="s">
        <v>2479</v>
      </c>
      <c r="B3493" s="112" t="s">
        <v>908</v>
      </c>
      <c r="C3493" s="112" t="s">
        <v>1095</v>
      </c>
      <c r="D3493" s="113">
        <v>10348451</v>
      </c>
      <c r="E3493" s="115">
        <v>43949</v>
      </c>
      <c r="F3493" s="114">
        <v>202101</v>
      </c>
      <c r="G3493" s="112" t="s">
        <v>1091</v>
      </c>
      <c r="H3493" s="112" t="s">
        <v>1015</v>
      </c>
      <c r="I3493" s="112" t="s">
        <v>1116</v>
      </c>
      <c r="J3493" s="112" t="s">
        <v>2498</v>
      </c>
      <c r="K3493" s="112" t="s">
        <v>1098</v>
      </c>
      <c r="L3493" s="116">
        <v>2259.5</v>
      </c>
    </row>
    <row r="3494" spans="1:12" hidden="1" outlineLevel="1" collapsed="1" x14ac:dyDescent="0.35">
      <c r="A3494" s="112" t="s">
        <v>2479</v>
      </c>
      <c r="B3494" s="112" t="s">
        <v>909</v>
      </c>
      <c r="C3494" s="112" t="s">
        <v>1095</v>
      </c>
      <c r="D3494" s="113">
        <v>10348451</v>
      </c>
      <c r="E3494" s="115">
        <v>43949</v>
      </c>
      <c r="F3494" s="114">
        <v>202101</v>
      </c>
      <c r="G3494" s="112" t="s">
        <v>1091</v>
      </c>
      <c r="H3494" s="112" t="s">
        <v>1015</v>
      </c>
      <c r="I3494" s="112" t="s">
        <v>1116</v>
      </c>
      <c r="J3494" s="112" t="s">
        <v>2523</v>
      </c>
      <c r="K3494" s="112" t="s">
        <v>1098</v>
      </c>
      <c r="L3494" s="116">
        <v>3391.33</v>
      </c>
    </row>
    <row r="3495" spans="1:12" hidden="1" outlineLevel="1" collapsed="1" x14ac:dyDescent="0.35">
      <c r="A3495" s="112" t="s">
        <v>2479</v>
      </c>
      <c r="B3495" s="112" t="s">
        <v>909</v>
      </c>
      <c r="C3495" s="112" t="s">
        <v>1095</v>
      </c>
      <c r="D3495" s="113">
        <v>10348451</v>
      </c>
      <c r="E3495" s="115">
        <v>43949</v>
      </c>
      <c r="F3495" s="114">
        <v>202101</v>
      </c>
      <c r="G3495" s="112" t="s">
        <v>1091</v>
      </c>
      <c r="H3495" s="112" t="s">
        <v>1015</v>
      </c>
      <c r="I3495" s="112" t="s">
        <v>1116</v>
      </c>
      <c r="J3495" s="112" t="s">
        <v>2523</v>
      </c>
      <c r="K3495" s="112" t="s">
        <v>1098</v>
      </c>
      <c r="L3495" s="116">
        <v>2259.5</v>
      </c>
    </row>
    <row r="3496" spans="1:12" hidden="1" outlineLevel="1" collapsed="1" x14ac:dyDescent="0.35">
      <c r="A3496" s="112" t="s">
        <v>2479</v>
      </c>
      <c r="B3496" s="112" t="s">
        <v>909</v>
      </c>
      <c r="C3496" s="112" t="s">
        <v>1095</v>
      </c>
      <c r="D3496" s="113">
        <v>10348451</v>
      </c>
      <c r="E3496" s="115">
        <v>43949</v>
      </c>
      <c r="F3496" s="114">
        <v>202101</v>
      </c>
      <c r="G3496" s="112" t="s">
        <v>1091</v>
      </c>
      <c r="H3496" s="112" t="s">
        <v>1015</v>
      </c>
      <c r="I3496" s="112" t="s">
        <v>1116</v>
      </c>
      <c r="J3496" s="112" t="s">
        <v>2523</v>
      </c>
      <c r="K3496" s="112" t="s">
        <v>1098</v>
      </c>
      <c r="L3496" s="116">
        <v>2367.42</v>
      </c>
    </row>
    <row r="3497" spans="1:12" hidden="1" outlineLevel="1" collapsed="1" x14ac:dyDescent="0.35">
      <c r="A3497" s="112" t="s">
        <v>2479</v>
      </c>
      <c r="B3497" s="112" t="s">
        <v>909</v>
      </c>
      <c r="C3497" s="112" t="s">
        <v>1095</v>
      </c>
      <c r="D3497" s="113">
        <v>10348451</v>
      </c>
      <c r="E3497" s="115">
        <v>43949</v>
      </c>
      <c r="F3497" s="114">
        <v>202101</v>
      </c>
      <c r="G3497" s="112" t="s">
        <v>1091</v>
      </c>
      <c r="H3497" s="112" t="s">
        <v>1015</v>
      </c>
      <c r="I3497" s="112" t="s">
        <v>1116</v>
      </c>
      <c r="J3497" s="112" t="s">
        <v>2523</v>
      </c>
      <c r="K3497" s="112" t="s">
        <v>1098</v>
      </c>
      <c r="L3497" s="116">
        <v>301.27</v>
      </c>
    </row>
    <row r="3498" spans="1:12" hidden="1" outlineLevel="1" collapsed="1" x14ac:dyDescent="0.35">
      <c r="A3498" s="112" t="s">
        <v>2479</v>
      </c>
      <c r="B3498" s="112" t="s">
        <v>908</v>
      </c>
      <c r="C3498" s="112" t="s">
        <v>1095</v>
      </c>
      <c r="D3498" s="113">
        <v>10348451</v>
      </c>
      <c r="E3498" s="115">
        <v>43949</v>
      </c>
      <c r="F3498" s="114">
        <v>202101</v>
      </c>
      <c r="G3498" s="112" t="s">
        <v>1091</v>
      </c>
      <c r="H3498" s="112" t="s">
        <v>1015</v>
      </c>
      <c r="I3498" s="112" t="s">
        <v>1096</v>
      </c>
      <c r="J3498" s="112" t="s">
        <v>2484</v>
      </c>
      <c r="K3498" s="112" t="s">
        <v>1098</v>
      </c>
      <c r="L3498" s="116">
        <v>210.79</v>
      </c>
    </row>
    <row r="3499" spans="1:12" hidden="1" outlineLevel="1" collapsed="1" x14ac:dyDescent="0.35">
      <c r="A3499" s="112" t="s">
        <v>2479</v>
      </c>
      <c r="B3499" s="112" t="s">
        <v>909</v>
      </c>
      <c r="C3499" s="112" t="s">
        <v>1095</v>
      </c>
      <c r="D3499" s="113">
        <v>10348451</v>
      </c>
      <c r="E3499" s="115">
        <v>43949</v>
      </c>
      <c r="F3499" s="114">
        <v>202101</v>
      </c>
      <c r="G3499" s="112" t="s">
        <v>1091</v>
      </c>
      <c r="H3499" s="112" t="s">
        <v>1015</v>
      </c>
      <c r="I3499" s="112" t="s">
        <v>1116</v>
      </c>
      <c r="J3499" s="112" t="s">
        <v>2523</v>
      </c>
      <c r="K3499" s="112" t="s">
        <v>1098</v>
      </c>
      <c r="L3499" s="116">
        <v>1983.45</v>
      </c>
    </row>
    <row r="3500" spans="1:12" hidden="1" outlineLevel="1" collapsed="1" x14ac:dyDescent="0.35">
      <c r="A3500" s="112" t="s">
        <v>2479</v>
      </c>
      <c r="B3500" s="112" t="s">
        <v>908</v>
      </c>
      <c r="C3500" s="112" t="s">
        <v>1095</v>
      </c>
      <c r="D3500" s="113">
        <v>10348451</v>
      </c>
      <c r="E3500" s="115">
        <v>43949</v>
      </c>
      <c r="F3500" s="114">
        <v>202101</v>
      </c>
      <c r="G3500" s="112" t="s">
        <v>1091</v>
      </c>
      <c r="H3500" s="112" t="s">
        <v>1015</v>
      </c>
      <c r="I3500" s="112" t="s">
        <v>1116</v>
      </c>
      <c r="J3500" s="112" t="s">
        <v>3264</v>
      </c>
      <c r="K3500" s="112" t="s">
        <v>1098</v>
      </c>
      <c r="L3500" s="116">
        <v>2259.5</v>
      </c>
    </row>
    <row r="3501" spans="1:12" hidden="1" outlineLevel="1" collapsed="1" x14ac:dyDescent="0.35">
      <c r="A3501" s="112" t="s">
        <v>2479</v>
      </c>
      <c r="B3501" s="112" t="s">
        <v>909</v>
      </c>
      <c r="C3501" s="112" t="s">
        <v>1095</v>
      </c>
      <c r="D3501" s="113">
        <v>10348451</v>
      </c>
      <c r="E3501" s="115">
        <v>43949</v>
      </c>
      <c r="F3501" s="114">
        <v>202101</v>
      </c>
      <c r="G3501" s="112" t="s">
        <v>1091</v>
      </c>
      <c r="H3501" s="112" t="s">
        <v>1015</v>
      </c>
      <c r="I3501" s="112" t="s">
        <v>1096</v>
      </c>
      <c r="J3501" s="112" t="s">
        <v>2480</v>
      </c>
      <c r="K3501" s="112" t="s">
        <v>1098</v>
      </c>
      <c r="L3501" s="116">
        <v>279.99</v>
      </c>
    </row>
    <row r="3502" spans="1:12" hidden="1" outlineLevel="1" collapsed="1" x14ac:dyDescent="0.35">
      <c r="A3502" s="112" t="s">
        <v>2479</v>
      </c>
      <c r="B3502" s="112" t="s">
        <v>908</v>
      </c>
      <c r="C3502" s="112" t="s">
        <v>1095</v>
      </c>
      <c r="D3502" s="113">
        <v>10348451</v>
      </c>
      <c r="E3502" s="115">
        <v>43949</v>
      </c>
      <c r="F3502" s="114">
        <v>202101</v>
      </c>
      <c r="G3502" s="112" t="s">
        <v>1091</v>
      </c>
      <c r="H3502" s="112" t="s">
        <v>1015</v>
      </c>
      <c r="I3502" s="112" t="s">
        <v>1096</v>
      </c>
      <c r="J3502" s="112" t="s">
        <v>2501</v>
      </c>
      <c r="K3502" s="112" t="s">
        <v>1098</v>
      </c>
      <c r="L3502" s="116">
        <v>593.45000000000005</v>
      </c>
    </row>
    <row r="3503" spans="1:12" hidden="1" outlineLevel="1" collapsed="1" x14ac:dyDescent="0.35">
      <c r="A3503" s="112" t="s">
        <v>2479</v>
      </c>
      <c r="B3503" s="112" t="s">
        <v>908</v>
      </c>
      <c r="C3503" s="112" t="s">
        <v>1095</v>
      </c>
      <c r="D3503" s="113">
        <v>10348451</v>
      </c>
      <c r="E3503" s="115">
        <v>43949</v>
      </c>
      <c r="F3503" s="114">
        <v>202101</v>
      </c>
      <c r="G3503" s="112" t="s">
        <v>1091</v>
      </c>
      <c r="H3503" s="112" t="s">
        <v>1015</v>
      </c>
      <c r="I3503" s="112" t="s">
        <v>1096</v>
      </c>
      <c r="J3503" s="112" t="s">
        <v>2501</v>
      </c>
      <c r="K3503" s="112" t="s">
        <v>1098</v>
      </c>
      <c r="L3503" s="116">
        <v>627.09</v>
      </c>
    </row>
    <row r="3504" spans="1:12" hidden="1" outlineLevel="1" collapsed="1" x14ac:dyDescent="0.35">
      <c r="A3504" s="112" t="s">
        <v>2479</v>
      </c>
      <c r="B3504" s="112" t="s">
        <v>909</v>
      </c>
      <c r="C3504" s="112" t="s">
        <v>1095</v>
      </c>
      <c r="D3504" s="113">
        <v>10348451</v>
      </c>
      <c r="E3504" s="115">
        <v>43949</v>
      </c>
      <c r="F3504" s="114">
        <v>202101</v>
      </c>
      <c r="G3504" s="112" t="s">
        <v>1091</v>
      </c>
      <c r="H3504" s="112" t="s">
        <v>1015</v>
      </c>
      <c r="I3504" s="112" t="s">
        <v>1101</v>
      </c>
      <c r="J3504" s="112" t="s">
        <v>2673</v>
      </c>
      <c r="K3504" s="112" t="s">
        <v>1098</v>
      </c>
      <c r="L3504" s="116">
        <v>253.45</v>
      </c>
    </row>
    <row r="3505" spans="1:12" hidden="1" outlineLevel="1" collapsed="1" x14ac:dyDescent="0.35">
      <c r="A3505" s="112" t="s">
        <v>2479</v>
      </c>
      <c r="B3505" s="112" t="s">
        <v>908</v>
      </c>
      <c r="C3505" s="112" t="s">
        <v>1095</v>
      </c>
      <c r="D3505" s="113">
        <v>10348451</v>
      </c>
      <c r="E3505" s="115">
        <v>43949</v>
      </c>
      <c r="F3505" s="114">
        <v>202101</v>
      </c>
      <c r="G3505" s="112" t="s">
        <v>1091</v>
      </c>
      <c r="H3505" s="112" t="s">
        <v>1015</v>
      </c>
      <c r="I3505" s="112" t="s">
        <v>1096</v>
      </c>
      <c r="J3505" s="112" t="s">
        <v>2501</v>
      </c>
      <c r="K3505" s="112" t="s">
        <v>1098</v>
      </c>
      <c r="L3505" s="116">
        <v>297.63</v>
      </c>
    </row>
    <row r="3506" spans="1:12" hidden="1" outlineLevel="1" collapsed="1" x14ac:dyDescent="0.35">
      <c r="A3506" s="112" t="s">
        <v>2479</v>
      </c>
      <c r="B3506" s="112" t="s">
        <v>908</v>
      </c>
      <c r="C3506" s="112" t="s">
        <v>1095</v>
      </c>
      <c r="D3506" s="113">
        <v>10348451</v>
      </c>
      <c r="E3506" s="115">
        <v>43949</v>
      </c>
      <c r="F3506" s="114">
        <v>202101</v>
      </c>
      <c r="G3506" s="112" t="s">
        <v>1091</v>
      </c>
      <c r="H3506" s="112" t="s">
        <v>1015</v>
      </c>
      <c r="I3506" s="112" t="s">
        <v>1116</v>
      </c>
      <c r="J3506" s="112" t="s">
        <v>2520</v>
      </c>
      <c r="K3506" s="112" t="s">
        <v>1098</v>
      </c>
      <c r="L3506" s="116">
        <v>3075.83</v>
      </c>
    </row>
    <row r="3507" spans="1:12" hidden="1" outlineLevel="1" collapsed="1" x14ac:dyDescent="0.35">
      <c r="A3507" s="112" t="s">
        <v>2479</v>
      </c>
      <c r="B3507" s="112" t="s">
        <v>908</v>
      </c>
      <c r="C3507" s="112" t="s">
        <v>1095</v>
      </c>
      <c r="D3507" s="113">
        <v>10348451</v>
      </c>
      <c r="E3507" s="115">
        <v>43949</v>
      </c>
      <c r="F3507" s="114">
        <v>202101</v>
      </c>
      <c r="G3507" s="112" t="s">
        <v>1091</v>
      </c>
      <c r="H3507" s="112" t="s">
        <v>1015</v>
      </c>
      <c r="I3507" s="112" t="s">
        <v>1096</v>
      </c>
      <c r="J3507" s="112" t="s">
        <v>2501</v>
      </c>
      <c r="K3507" s="112" t="s">
        <v>1098</v>
      </c>
      <c r="L3507" s="116">
        <v>438.45</v>
      </c>
    </row>
    <row r="3508" spans="1:12" hidden="1" outlineLevel="1" collapsed="1" x14ac:dyDescent="0.35">
      <c r="A3508" s="112" t="s">
        <v>2479</v>
      </c>
      <c r="B3508" s="112" t="s">
        <v>908</v>
      </c>
      <c r="C3508" s="112" t="s">
        <v>1095</v>
      </c>
      <c r="D3508" s="113">
        <v>10348451</v>
      </c>
      <c r="E3508" s="115">
        <v>43949</v>
      </c>
      <c r="F3508" s="114">
        <v>202101</v>
      </c>
      <c r="G3508" s="112" t="s">
        <v>1091</v>
      </c>
      <c r="H3508" s="112" t="s">
        <v>1015</v>
      </c>
      <c r="I3508" s="112" t="s">
        <v>1128</v>
      </c>
      <c r="J3508" s="112" t="s">
        <v>2520</v>
      </c>
      <c r="K3508" s="112" t="s">
        <v>1098</v>
      </c>
      <c r="L3508" s="116">
        <v>243</v>
      </c>
    </row>
    <row r="3509" spans="1:12" hidden="1" outlineLevel="1" collapsed="1" x14ac:dyDescent="0.35">
      <c r="A3509" s="112" t="s">
        <v>2479</v>
      </c>
      <c r="B3509" s="112" t="s">
        <v>909</v>
      </c>
      <c r="C3509" s="112" t="s">
        <v>695</v>
      </c>
      <c r="D3509" s="113">
        <v>10347981</v>
      </c>
      <c r="E3509" s="115">
        <v>43924</v>
      </c>
      <c r="F3509" s="114">
        <v>202101</v>
      </c>
      <c r="G3509" s="112" t="s">
        <v>1091</v>
      </c>
      <c r="H3509" s="112" t="s">
        <v>1015</v>
      </c>
      <c r="I3509" s="112" t="s">
        <v>1471</v>
      </c>
      <c r="J3509" s="112" t="s">
        <v>2673</v>
      </c>
      <c r="K3509" s="112" t="s">
        <v>3265</v>
      </c>
      <c r="L3509" s="116">
        <v>-110</v>
      </c>
    </row>
    <row r="3510" spans="1:12" hidden="1" outlineLevel="1" collapsed="1" x14ac:dyDescent="0.35">
      <c r="A3510" s="112" t="s">
        <v>2479</v>
      </c>
      <c r="B3510" s="112" t="s">
        <v>908</v>
      </c>
      <c r="C3510" s="112" t="s">
        <v>695</v>
      </c>
      <c r="D3510" s="113">
        <v>10347981</v>
      </c>
      <c r="E3510" s="115">
        <v>43924</v>
      </c>
      <c r="F3510" s="114">
        <v>202101</v>
      </c>
      <c r="G3510" s="112" t="s">
        <v>1091</v>
      </c>
      <c r="H3510" s="112" t="s">
        <v>1015</v>
      </c>
      <c r="I3510" s="112" t="s">
        <v>3266</v>
      </c>
      <c r="J3510" s="112" t="s">
        <v>2501</v>
      </c>
      <c r="K3510" s="112" t="s">
        <v>3267</v>
      </c>
      <c r="L3510" s="116">
        <v>-845</v>
      </c>
    </row>
    <row r="3511" spans="1:12" hidden="1" outlineLevel="1" collapsed="1" x14ac:dyDescent="0.35">
      <c r="A3511" s="112" t="s">
        <v>2479</v>
      </c>
      <c r="B3511" s="112" t="s">
        <v>909</v>
      </c>
      <c r="C3511" s="112" t="s">
        <v>1095</v>
      </c>
      <c r="D3511" s="113">
        <v>10348451</v>
      </c>
      <c r="E3511" s="115">
        <v>43949</v>
      </c>
      <c r="F3511" s="114">
        <v>202101</v>
      </c>
      <c r="G3511" s="112" t="s">
        <v>1091</v>
      </c>
      <c r="H3511" s="112" t="s">
        <v>1015</v>
      </c>
      <c r="I3511" s="112" t="s">
        <v>1096</v>
      </c>
      <c r="J3511" s="112" t="s">
        <v>2480</v>
      </c>
      <c r="K3511" s="112" t="s">
        <v>1098</v>
      </c>
      <c r="L3511" s="116">
        <v>247.39</v>
      </c>
    </row>
    <row r="3512" spans="1:12" hidden="1" outlineLevel="1" collapsed="1" x14ac:dyDescent="0.35">
      <c r="A3512" s="112" t="s">
        <v>2479</v>
      </c>
      <c r="B3512" s="112" t="s">
        <v>908</v>
      </c>
      <c r="C3512" s="112" t="s">
        <v>1095</v>
      </c>
      <c r="D3512" s="113">
        <v>10348451</v>
      </c>
      <c r="E3512" s="115">
        <v>43949</v>
      </c>
      <c r="F3512" s="114">
        <v>202101</v>
      </c>
      <c r="G3512" s="112" t="s">
        <v>1091</v>
      </c>
      <c r="H3512" s="112" t="s">
        <v>1015</v>
      </c>
      <c r="I3512" s="112" t="s">
        <v>1101</v>
      </c>
      <c r="J3512" s="112" t="s">
        <v>2484</v>
      </c>
      <c r="K3512" s="112" t="s">
        <v>1098</v>
      </c>
      <c r="L3512" s="116">
        <v>366.04</v>
      </c>
    </row>
    <row r="3513" spans="1:12" hidden="1" outlineLevel="1" collapsed="1" x14ac:dyDescent="0.35">
      <c r="A3513" s="112" t="s">
        <v>2479</v>
      </c>
      <c r="B3513" s="112" t="s">
        <v>908</v>
      </c>
      <c r="C3513" s="112" t="s">
        <v>1095</v>
      </c>
      <c r="D3513" s="113">
        <v>10348451</v>
      </c>
      <c r="E3513" s="115">
        <v>43949</v>
      </c>
      <c r="F3513" s="114">
        <v>202101</v>
      </c>
      <c r="G3513" s="112" t="s">
        <v>1091</v>
      </c>
      <c r="H3513" s="112" t="s">
        <v>1015</v>
      </c>
      <c r="I3513" s="112" t="s">
        <v>1096</v>
      </c>
      <c r="J3513" s="112" t="s">
        <v>2484</v>
      </c>
      <c r="K3513" s="112" t="s">
        <v>1098</v>
      </c>
      <c r="L3513" s="116">
        <v>310.49</v>
      </c>
    </row>
    <row r="3514" spans="1:12" hidden="1" outlineLevel="1" collapsed="1" x14ac:dyDescent="0.35">
      <c r="A3514" s="112" t="s">
        <v>2479</v>
      </c>
      <c r="B3514" s="112" t="s">
        <v>909</v>
      </c>
      <c r="C3514" s="112" t="s">
        <v>1095</v>
      </c>
      <c r="D3514" s="113">
        <v>10348451</v>
      </c>
      <c r="E3514" s="115">
        <v>43949</v>
      </c>
      <c r="F3514" s="114">
        <v>202101</v>
      </c>
      <c r="G3514" s="112" t="s">
        <v>1091</v>
      </c>
      <c r="H3514" s="112" t="s">
        <v>1015</v>
      </c>
      <c r="I3514" s="112" t="s">
        <v>1096</v>
      </c>
      <c r="J3514" s="112" t="s">
        <v>2673</v>
      </c>
      <c r="K3514" s="112" t="s">
        <v>1098</v>
      </c>
      <c r="L3514" s="116">
        <v>228.19</v>
      </c>
    </row>
    <row r="3515" spans="1:12" hidden="1" outlineLevel="1" collapsed="1" x14ac:dyDescent="0.35">
      <c r="A3515" s="112" t="s">
        <v>2479</v>
      </c>
      <c r="B3515" s="112" t="s">
        <v>909</v>
      </c>
      <c r="C3515" s="112" t="s">
        <v>1095</v>
      </c>
      <c r="D3515" s="113">
        <v>10348451</v>
      </c>
      <c r="E3515" s="115">
        <v>43949</v>
      </c>
      <c r="F3515" s="114">
        <v>202101</v>
      </c>
      <c r="G3515" s="112" t="s">
        <v>1091</v>
      </c>
      <c r="H3515" s="112" t="s">
        <v>1015</v>
      </c>
      <c r="I3515" s="112" t="s">
        <v>1101</v>
      </c>
      <c r="J3515" s="112" t="s">
        <v>2673</v>
      </c>
      <c r="K3515" s="112" t="s">
        <v>1098</v>
      </c>
      <c r="L3515" s="116">
        <v>386.46</v>
      </c>
    </row>
    <row r="3516" spans="1:12" hidden="1" outlineLevel="1" collapsed="1" x14ac:dyDescent="0.35">
      <c r="A3516" s="112" t="s">
        <v>2479</v>
      </c>
      <c r="B3516" s="112" t="s">
        <v>908</v>
      </c>
      <c r="C3516" s="112" t="s">
        <v>1095</v>
      </c>
      <c r="D3516" s="113">
        <v>10348451</v>
      </c>
      <c r="E3516" s="115">
        <v>43949</v>
      </c>
      <c r="F3516" s="114">
        <v>202101</v>
      </c>
      <c r="G3516" s="112" t="s">
        <v>1091</v>
      </c>
      <c r="H3516" s="112" t="s">
        <v>1015</v>
      </c>
      <c r="I3516" s="112" t="s">
        <v>1101</v>
      </c>
      <c r="J3516" s="112" t="s">
        <v>2501</v>
      </c>
      <c r="K3516" s="112" t="s">
        <v>1098</v>
      </c>
      <c r="L3516" s="116">
        <v>507.34</v>
      </c>
    </row>
    <row r="3517" spans="1:12" hidden="1" outlineLevel="1" collapsed="1" x14ac:dyDescent="0.35">
      <c r="A3517" s="112" t="s">
        <v>2479</v>
      </c>
      <c r="B3517" s="112" t="s">
        <v>908</v>
      </c>
      <c r="C3517" s="112" t="s">
        <v>695</v>
      </c>
      <c r="D3517" s="113">
        <v>10348034</v>
      </c>
      <c r="E3517" s="115">
        <v>43928</v>
      </c>
      <c r="F3517" s="114">
        <v>202101</v>
      </c>
      <c r="G3517" s="112" t="s">
        <v>1091</v>
      </c>
      <c r="H3517" s="112" t="s">
        <v>1015</v>
      </c>
      <c r="I3517" s="112" t="s">
        <v>1211</v>
      </c>
      <c r="J3517" s="112" t="s">
        <v>2501</v>
      </c>
      <c r="K3517" s="112" t="s">
        <v>3268</v>
      </c>
      <c r="L3517" s="116">
        <v>-15179.9</v>
      </c>
    </row>
    <row r="3518" spans="1:12" hidden="1" outlineLevel="1" collapsed="1" x14ac:dyDescent="0.35">
      <c r="A3518" s="112" t="s">
        <v>2479</v>
      </c>
      <c r="B3518" s="112" t="s">
        <v>908</v>
      </c>
      <c r="C3518" s="112" t="s">
        <v>695</v>
      </c>
      <c r="D3518" s="113">
        <v>10348034</v>
      </c>
      <c r="E3518" s="115">
        <v>43928</v>
      </c>
      <c r="F3518" s="114">
        <v>202101</v>
      </c>
      <c r="G3518" s="112" t="s">
        <v>1091</v>
      </c>
      <c r="H3518" s="112" t="s">
        <v>1015</v>
      </c>
      <c r="I3518" s="112" t="s">
        <v>1211</v>
      </c>
      <c r="J3518" s="112" t="s">
        <v>2501</v>
      </c>
      <c r="K3518" s="112" t="s">
        <v>3269</v>
      </c>
      <c r="L3518" s="116">
        <v>-8414</v>
      </c>
    </row>
    <row r="3519" spans="1:12" hidden="1" outlineLevel="1" collapsed="1" x14ac:dyDescent="0.35">
      <c r="A3519" s="112" t="s">
        <v>2479</v>
      </c>
      <c r="B3519" s="112" t="s">
        <v>908</v>
      </c>
      <c r="C3519" s="112" t="s">
        <v>1219</v>
      </c>
      <c r="D3519" s="113">
        <v>46307134</v>
      </c>
      <c r="E3519" s="115">
        <v>43924</v>
      </c>
      <c r="F3519" s="114">
        <v>202101</v>
      </c>
      <c r="G3519" s="112" t="s">
        <v>1091</v>
      </c>
      <c r="H3519" s="112" t="s">
        <v>1015</v>
      </c>
      <c r="I3519" s="112" t="s">
        <v>1211</v>
      </c>
      <c r="J3519" s="112" t="s">
        <v>2501</v>
      </c>
      <c r="K3519" s="112" t="s">
        <v>1220</v>
      </c>
      <c r="L3519" s="116">
        <v>23593.9</v>
      </c>
    </row>
    <row r="3520" spans="1:12" hidden="1" outlineLevel="1" collapsed="1" x14ac:dyDescent="0.35">
      <c r="A3520" s="112" t="s">
        <v>2479</v>
      </c>
      <c r="B3520" s="112" t="s">
        <v>908</v>
      </c>
      <c r="C3520" s="112" t="s">
        <v>1150</v>
      </c>
      <c r="D3520" s="113">
        <v>10348688</v>
      </c>
      <c r="E3520" s="115">
        <v>43978</v>
      </c>
      <c r="F3520" s="114">
        <v>202101</v>
      </c>
      <c r="G3520" s="112" t="s">
        <v>1091</v>
      </c>
      <c r="H3520" s="112" t="s">
        <v>1015</v>
      </c>
      <c r="I3520" s="112" t="s">
        <v>1211</v>
      </c>
      <c r="J3520" s="112" t="s">
        <v>2501</v>
      </c>
      <c r="K3520" s="112" t="s">
        <v>3270</v>
      </c>
      <c r="L3520" s="116">
        <v>1779.72</v>
      </c>
    </row>
    <row r="3521" spans="1:12" hidden="1" outlineLevel="1" collapsed="1" x14ac:dyDescent="0.35">
      <c r="A3521" s="112" t="s">
        <v>2479</v>
      </c>
      <c r="B3521" s="112" t="s">
        <v>908</v>
      </c>
      <c r="C3521" s="112" t="s">
        <v>1150</v>
      </c>
      <c r="D3521" s="113">
        <v>10348688</v>
      </c>
      <c r="E3521" s="115">
        <v>43978</v>
      </c>
      <c r="F3521" s="114">
        <v>202101</v>
      </c>
      <c r="G3521" s="112" t="s">
        <v>1091</v>
      </c>
      <c r="H3521" s="112" t="s">
        <v>1015</v>
      </c>
      <c r="I3521" s="112" t="s">
        <v>1211</v>
      </c>
      <c r="J3521" s="112" t="s">
        <v>2501</v>
      </c>
      <c r="K3521" s="112" t="s">
        <v>3271</v>
      </c>
      <c r="L3521" s="116">
        <v>11066.08</v>
      </c>
    </row>
    <row r="3522" spans="1:12" hidden="1" outlineLevel="1" collapsed="1" x14ac:dyDescent="0.35">
      <c r="A3522" s="112" t="s">
        <v>2479</v>
      </c>
      <c r="B3522" s="112" t="s">
        <v>908</v>
      </c>
      <c r="C3522" s="112" t="s">
        <v>695</v>
      </c>
      <c r="D3522" s="113">
        <v>10347981</v>
      </c>
      <c r="E3522" s="115">
        <v>43924</v>
      </c>
      <c r="F3522" s="114">
        <v>202101</v>
      </c>
      <c r="G3522" s="112" t="s">
        <v>1091</v>
      </c>
      <c r="H3522" s="112" t="s">
        <v>1015</v>
      </c>
      <c r="I3522" s="112" t="s">
        <v>3266</v>
      </c>
      <c r="J3522" s="112" t="s">
        <v>2584</v>
      </c>
      <c r="K3522" s="112" t="s">
        <v>3272</v>
      </c>
      <c r="L3522" s="116">
        <v>-750</v>
      </c>
    </row>
    <row r="3523" spans="1:12" hidden="1" outlineLevel="1" collapsed="1" x14ac:dyDescent="0.35">
      <c r="A3523" s="112" t="s">
        <v>2479</v>
      </c>
      <c r="B3523" s="112" t="s">
        <v>909</v>
      </c>
      <c r="C3523" s="112" t="s">
        <v>1095</v>
      </c>
      <c r="D3523" s="113">
        <v>10348451</v>
      </c>
      <c r="E3523" s="115">
        <v>43949</v>
      </c>
      <c r="F3523" s="114">
        <v>202101</v>
      </c>
      <c r="G3523" s="112" t="s">
        <v>1091</v>
      </c>
      <c r="H3523" s="112" t="s">
        <v>1015</v>
      </c>
      <c r="I3523" s="112" t="s">
        <v>1101</v>
      </c>
      <c r="J3523" s="112" t="s">
        <v>2652</v>
      </c>
      <c r="K3523" s="112" t="s">
        <v>1098</v>
      </c>
      <c r="L3523" s="116">
        <v>426.26</v>
      </c>
    </row>
    <row r="3524" spans="1:12" hidden="1" outlineLevel="1" collapsed="1" x14ac:dyDescent="0.35">
      <c r="A3524" s="112" t="s">
        <v>2479</v>
      </c>
      <c r="B3524" s="112" t="s">
        <v>908</v>
      </c>
      <c r="C3524" s="112" t="s">
        <v>1095</v>
      </c>
      <c r="D3524" s="113">
        <v>10348451</v>
      </c>
      <c r="E3524" s="115">
        <v>43949</v>
      </c>
      <c r="F3524" s="114">
        <v>202101</v>
      </c>
      <c r="G3524" s="112" t="s">
        <v>1091</v>
      </c>
      <c r="H3524" s="112" t="s">
        <v>1015</v>
      </c>
      <c r="I3524" s="112" t="s">
        <v>1116</v>
      </c>
      <c r="J3524" s="112" t="s">
        <v>2520</v>
      </c>
      <c r="K3524" s="112" t="s">
        <v>1098</v>
      </c>
      <c r="L3524" s="116">
        <v>2981.92</v>
      </c>
    </row>
    <row r="3525" spans="1:12" hidden="1" outlineLevel="1" collapsed="1" x14ac:dyDescent="0.35">
      <c r="A3525" s="112" t="s">
        <v>2479</v>
      </c>
      <c r="B3525" s="112" t="s">
        <v>908</v>
      </c>
      <c r="C3525" s="112" t="s">
        <v>1095</v>
      </c>
      <c r="D3525" s="113">
        <v>10348451</v>
      </c>
      <c r="E3525" s="115">
        <v>43949</v>
      </c>
      <c r="F3525" s="114">
        <v>202101</v>
      </c>
      <c r="G3525" s="112" t="s">
        <v>1091</v>
      </c>
      <c r="H3525" s="112" t="s">
        <v>1015</v>
      </c>
      <c r="I3525" s="112" t="s">
        <v>1101</v>
      </c>
      <c r="J3525" s="112" t="s">
        <v>2498</v>
      </c>
      <c r="K3525" s="112" t="s">
        <v>1098</v>
      </c>
      <c r="L3525" s="116">
        <v>366.04</v>
      </c>
    </row>
    <row r="3526" spans="1:12" hidden="1" outlineLevel="1" collapsed="1" x14ac:dyDescent="0.35">
      <c r="A3526" s="112" t="s">
        <v>2479</v>
      </c>
      <c r="B3526" s="112" t="s">
        <v>909</v>
      </c>
      <c r="C3526" s="112" t="s">
        <v>1095</v>
      </c>
      <c r="D3526" s="113">
        <v>10348451</v>
      </c>
      <c r="E3526" s="115">
        <v>43949</v>
      </c>
      <c r="F3526" s="114">
        <v>202101</v>
      </c>
      <c r="G3526" s="112" t="s">
        <v>1091</v>
      </c>
      <c r="H3526" s="112" t="s">
        <v>1015</v>
      </c>
      <c r="I3526" s="112" t="s">
        <v>1096</v>
      </c>
      <c r="J3526" s="112" t="s">
        <v>2480</v>
      </c>
      <c r="K3526" s="112" t="s">
        <v>1098</v>
      </c>
      <c r="L3526" s="116">
        <v>216.5</v>
      </c>
    </row>
    <row r="3527" spans="1:12" hidden="1" outlineLevel="1" collapsed="1" x14ac:dyDescent="0.35">
      <c r="A3527" s="112" t="s">
        <v>2479</v>
      </c>
      <c r="B3527" s="112" t="s">
        <v>908</v>
      </c>
      <c r="C3527" s="112" t="s">
        <v>1150</v>
      </c>
      <c r="D3527" s="113">
        <v>10348688</v>
      </c>
      <c r="E3527" s="115">
        <v>43978</v>
      </c>
      <c r="F3527" s="114">
        <v>202101</v>
      </c>
      <c r="G3527" s="112" t="s">
        <v>1091</v>
      </c>
      <c r="H3527" s="112" t="s">
        <v>1015</v>
      </c>
      <c r="I3527" s="112" t="s">
        <v>1211</v>
      </c>
      <c r="J3527" s="112" t="s">
        <v>2584</v>
      </c>
      <c r="K3527" s="112" t="s">
        <v>3273</v>
      </c>
      <c r="L3527" s="116">
        <v>612.91999999999996</v>
      </c>
    </row>
    <row r="3528" spans="1:12" hidden="1" outlineLevel="1" collapsed="1" x14ac:dyDescent="0.35">
      <c r="A3528" s="112" t="s">
        <v>2479</v>
      </c>
      <c r="B3528" s="112" t="s">
        <v>908</v>
      </c>
      <c r="C3528" s="112" t="s">
        <v>1150</v>
      </c>
      <c r="D3528" s="113">
        <v>10348688</v>
      </c>
      <c r="E3528" s="115">
        <v>43978</v>
      </c>
      <c r="F3528" s="114">
        <v>202101</v>
      </c>
      <c r="G3528" s="112" t="s">
        <v>1091</v>
      </c>
      <c r="H3528" s="112" t="s">
        <v>1015</v>
      </c>
      <c r="I3528" s="112" t="s">
        <v>1211</v>
      </c>
      <c r="J3528" s="112" t="s">
        <v>2503</v>
      </c>
      <c r="K3528" s="112" t="s">
        <v>3274</v>
      </c>
      <c r="L3528" s="116">
        <v>2962.27</v>
      </c>
    </row>
    <row r="3529" spans="1:12" hidden="1" outlineLevel="1" collapsed="1" x14ac:dyDescent="0.35">
      <c r="A3529" s="112" t="s">
        <v>2479</v>
      </c>
      <c r="B3529" s="112" t="s">
        <v>908</v>
      </c>
      <c r="C3529" s="112" t="s">
        <v>1095</v>
      </c>
      <c r="D3529" s="113">
        <v>10348451</v>
      </c>
      <c r="E3529" s="115">
        <v>43949</v>
      </c>
      <c r="F3529" s="114">
        <v>202101</v>
      </c>
      <c r="G3529" s="112" t="s">
        <v>1091</v>
      </c>
      <c r="H3529" s="112" t="s">
        <v>1015</v>
      </c>
      <c r="I3529" s="112" t="s">
        <v>1096</v>
      </c>
      <c r="J3529" s="112" t="s">
        <v>2503</v>
      </c>
      <c r="K3529" s="112" t="s">
        <v>1098</v>
      </c>
      <c r="L3529" s="116">
        <v>361.34</v>
      </c>
    </row>
    <row r="3530" spans="1:12" hidden="1" outlineLevel="1" collapsed="1" x14ac:dyDescent="0.35">
      <c r="A3530" s="112" t="s">
        <v>2479</v>
      </c>
      <c r="B3530" s="112" t="s">
        <v>908</v>
      </c>
      <c r="C3530" s="112" t="s">
        <v>1095</v>
      </c>
      <c r="D3530" s="113">
        <v>10348451</v>
      </c>
      <c r="E3530" s="115">
        <v>43949</v>
      </c>
      <c r="F3530" s="114">
        <v>202101</v>
      </c>
      <c r="G3530" s="112" t="s">
        <v>1091</v>
      </c>
      <c r="H3530" s="112" t="s">
        <v>1015</v>
      </c>
      <c r="I3530" s="112" t="s">
        <v>1101</v>
      </c>
      <c r="J3530" s="112" t="s">
        <v>2584</v>
      </c>
      <c r="K3530" s="112" t="s">
        <v>1098</v>
      </c>
      <c r="L3530" s="116">
        <v>317.23</v>
      </c>
    </row>
    <row r="3531" spans="1:12" hidden="1" outlineLevel="1" collapsed="1" x14ac:dyDescent="0.35">
      <c r="A3531" s="112" t="s">
        <v>2479</v>
      </c>
      <c r="B3531" s="112" t="s">
        <v>908</v>
      </c>
      <c r="C3531" s="112" t="s">
        <v>1095</v>
      </c>
      <c r="D3531" s="113">
        <v>10348451</v>
      </c>
      <c r="E3531" s="115">
        <v>43949</v>
      </c>
      <c r="F3531" s="114">
        <v>202101</v>
      </c>
      <c r="G3531" s="112" t="s">
        <v>1091</v>
      </c>
      <c r="H3531" s="112" t="s">
        <v>1015</v>
      </c>
      <c r="I3531" s="112" t="s">
        <v>1101</v>
      </c>
      <c r="J3531" s="112" t="s">
        <v>3264</v>
      </c>
      <c r="K3531" s="112" t="s">
        <v>1098</v>
      </c>
      <c r="L3531" s="116">
        <v>370.46</v>
      </c>
    </row>
    <row r="3532" spans="1:12" hidden="1" outlineLevel="1" collapsed="1" x14ac:dyDescent="0.35">
      <c r="A3532" s="112" t="s">
        <v>2479</v>
      </c>
      <c r="B3532" s="112" t="s">
        <v>909</v>
      </c>
      <c r="C3532" s="112" t="s">
        <v>1095</v>
      </c>
      <c r="D3532" s="113">
        <v>10348451</v>
      </c>
      <c r="E3532" s="115">
        <v>43949</v>
      </c>
      <c r="F3532" s="114">
        <v>202101</v>
      </c>
      <c r="G3532" s="112" t="s">
        <v>1091</v>
      </c>
      <c r="H3532" s="112" t="s">
        <v>1015</v>
      </c>
      <c r="I3532" s="112" t="s">
        <v>2255</v>
      </c>
      <c r="J3532" s="112" t="s">
        <v>2480</v>
      </c>
      <c r="K3532" s="112" t="s">
        <v>1098</v>
      </c>
      <c r="L3532" s="116">
        <v>300</v>
      </c>
    </row>
    <row r="3533" spans="1:12" hidden="1" outlineLevel="1" collapsed="1" x14ac:dyDescent="0.35">
      <c r="A3533" s="112" t="s">
        <v>2479</v>
      </c>
      <c r="B3533" s="112" t="s">
        <v>909</v>
      </c>
      <c r="C3533" s="112" t="s">
        <v>1095</v>
      </c>
      <c r="D3533" s="113">
        <v>10348451</v>
      </c>
      <c r="E3533" s="115">
        <v>43949</v>
      </c>
      <c r="F3533" s="114">
        <v>202101</v>
      </c>
      <c r="G3533" s="112" t="s">
        <v>1091</v>
      </c>
      <c r="H3533" s="112" t="s">
        <v>1015</v>
      </c>
      <c r="I3533" s="112" t="s">
        <v>1096</v>
      </c>
      <c r="J3533" s="112" t="s">
        <v>2673</v>
      </c>
      <c r="K3533" s="112" t="s">
        <v>1098</v>
      </c>
      <c r="L3533" s="116">
        <v>310.49</v>
      </c>
    </row>
    <row r="3534" spans="1:12" hidden="1" outlineLevel="1" collapsed="1" x14ac:dyDescent="0.35">
      <c r="A3534" s="112" t="s">
        <v>2479</v>
      </c>
      <c r="B3534" s="112" t="s">
        <v>908</v>
      </c>
      <c r="C3534" s="112" t="s">
        <v>1095</v>
      </c>
      <c r="D3534" s="113">
        <v>10348451</v>
      </c>
      <c r="E3534" s="115">
        <v>43949</v>
      </c>
      <c r="F3534" s="114">
        <v>202101</v>
      </c>
      <c r="G3534" s="112" t="s">
        <v>1091</v>
      </c>
      <c r="H3534" s="112" t="s">
        <v>1015</v>
      </c>
      <c r="I3534" s="112" t="s">
        <v>1101</v>
      </c>
      <c r="J3534" s="112" t="s">
        <v>2501</v>
      </c>
      <c r="K3534" s="112" t="s">
        <v>1098</v>
      </c>
      <c r="L3534" s="116">
        <v>815.25</v>
      </c>
    </row>
    <row r="3535" spans="1:12" hidden="1" outlineLevel="1" collapsed="1" x14ac:dyDescent="0.35">
      <c r="A3535" s="112" t="s">
        <v>2479</v>
      </c>
      <c r="B3535" s="112" t="s">
        <v>909</v>
      </c>
      <c r="C3535" s="112" t="s">
        <v>1095</v>
      </c>
      <c r="D3535" s="113">
        <v>10348451</v>
      </c>
      <c r="E3535" s="115">
        <v>43949</v>
      </c>
      <c r="F3535" s="114">
        <v>202101</v>
      </c>
      <c r="G3535" s="112" t="s">
        <v>1091</v>
      </c>
      <c r="H3535" s="112" t="s">
        <v>1015</v>
      </c>
      <c r="I3535" s="112" t="s">
        <v>1101</v>
      </c>
      <c r="J3535" s="112" t="s">
        <v>2673</v>
      </c>
      <c r="K3535" s="112" t="s">
        <v>1098</v>
      </c>
      <c r="L3535" s="116">
        <v>483.07</v>
      </c>
    </row>
    <row r="3536" spans="1:12" hidden="1" outlineLevel="1" collapsed="1" x14ac:dyDescent="0.35">
      <c r="A3536" s="112" t="s">
        <v>2479</v>
      </c>
      <c r="B3536" s="112" t="s">
        <v>908</v>
      </c>
      <c r="C3536" s="112" t="s">
        <v>1095</v>
      </c>
      <c r="D3536" s="113">
        <v>10348451</v>
      </c>
      <c r="E3536" s="115">
        <v>43949</v>
      </c>
      <c r="F3536" s="114">
        <v>202101</v>
      </c>
      <c r="G3536" s="112" t="s">
        <v>1091</v>
      </c>
      <c r="H3536" s="112" t="s">
        <v>1015</v>
      </c>
      <c r="I3536" s="112" t="s">
        <v>1096</v>
      </c>
      <c r="J3536" s="112" t="s">
        <v>3264</v>
      </c>
      <c r="K3536" s="112" t="s">
        <v>1098</v>
      </c>
      <c r="L3536" s="116">
        <v>214.56</v>
      </c>
    </row>
    <row r="3537" spans="1:12" hidden="1" outlineLevel="1" collapsed="1" x14ac:dyDescent="0.35">
      <c r="A3537" s="112" t="s">
        <v>2479</v>
      </c>
      <c r="B3537" s="112" t="s">
        <v>908</v>
      </c>
      <c r="C3537" s="112" t="s">
        <v>695</v>
      </c>
      <c r="D3537" s="113">
        <v>10348034</v>
      </c>
      <c r="E3537" s="115">
        <v>43928</v>
      </c>
      <c r="F3537" s="114">
        <v>202101</v>
      </c>
      <c r="G3537" s="112" t="s">
        <v>1091</v>
      </c>
      <c r="H3537" s="112" t="s">
        <v>1015</v>
      </c>
      <c r="I3537" s="112" t="s">
        <v>1211</v>
      </c>
      <c r="J3537" s="112" t="s">
        <v>2584</v>
      </c>
      <c r="K3537" s="112" t="s">
        <v>3275</v>
      </c>
      <c r="L3537" s="116">
        <v>-3962.09</v>
      </c>
    </row>
    <row r="3538" spans="1:12" hidden="1" outlineLevel="1" collapsed="1" x14ac:dyDescent="0.35">
      <c r="A3538" s="112" t="s">
        <v>2479</v>
      </c>
      <c r="B3538" s="112" t="s">
        <v>908</v>
      </c>
      <c r="C3538" s="112" t="s">
        <v>1219</v>
      </c>
      <c r="D3538" s="113">
        <v>46307134</v>
      </c>
      <c r="E3538" s="115">
        <v>43924</v>
      </c>
      <c r="F3538" s="114">
        <v>202101</v>
      </c>
      <c r="G3538" s="112" t="s">
        <v>1091</v>
      </c>
      <c r="H3538" s="112" t="s">
        <v>1015</v>
      </c>
      <c r="I3538" s="112" t="s">
        <v>1211</v>
      </c>
      <c r="J3538" s="112" t="s">
        <v>2584</v>
      </c>
      <c r="K3538" s="112" t="s">
        <v>1220</v>
      </c>
      <c r="L3538" s="116">
        <v>3962.09</v>
      </c>
    </row>
    <row r="3539" spans="1:12" hidden="1" outlineLevel="1" collapsed="1" x14ac:dyDescent="0.35">
      <c r="A3539" s="112" t="s">
        <v>2479</v>
      </c>
      <c r="B3539" s="112" t="s">
        <v>908</v>
      </c>
      <c r="C3539" s="112" t="s">
        <v>1095</v>
      </c>
      <c r="D3539" s="113">
        <v>10348451</v>
      </c>
      <c r="E3539" s="115">
        <v>43949</v>
      </c>
      <c r="F3539" s="114">
        <v>202101</v>
      </c>
      <c r="G3539" s="112" t="s">
        <v>1091</v>
      </c>
      <c r="H3539" s="112" t="s">
        <v>1015</v>
      </c>
      <c r="I3539" s="112" t="s">
        <v>1101</v>
      </c>
      <c r="J3539" s="112" t="s">
        <v>2520</v>
      </c>
      <c r="K3539" s="112" t="s">
        <v>1098</v>
      </c>
      <c r="L3539" s="116">
        <v>498.28</v>
      </c>
    </row>
    <row r="3540" spans="1:12" hidden="1" outlineLevel="1" collapsed="1" x14ac:dyDescent="0.35">
      <c r="A3540" s="112" t="s">
        <v>2479</v>
      </c>
      <c r="B3540" s="112" t="s">
        <v>909</v>
      </c>
      <c r="C3540" s="112" t="s">
        <v>1095</v>
      </c>
      <c r="D3540" s="113">
        <v>10348451</v>
      </c>
      <c r="E3540" s="115">
        <v>43949</v>
      </c>
      <c r="F3540" s="114">
        <v>202101</v>
      </c>
      <c r="G3540" s="112" t="s">
        <v>1091</v>
      </c>
      <c r="H3540" s="112" t="s">
        <v>1015</v>
      </c>
      <c r="I3540" s="112" t="s">
        <v>1096</v>
      </c>
      <c r="J3540" s="112" t="s">
        <v>3217</v>
      </c>
      <c r="K3540" s="112" t="s">
        <v>1098</v>
      </c>
      <c r="L3540" s="116">
        <v>323.45</v>
      </c>
    </row>
    <row r="3541" spans="1:12" hidden="1" outlineLevel="1" collapsed="1" x14ac:dyDescent="0.35">
      <c r="A3541" s="112" t="s">
        <v>2479</v>
      </c>
      <c r="B3541" s="112" t="s">
        <v>909</v>
      </c>
      <c r="C3541" s="112" t="s">
        <v>1095</v>
      </c>
      <c r="D3541" s="113">
        <v>10348451</v>
      </c>
      <c r="E3541" s="115">
        <v>43949</v>
      </c>
      <c r="F3541" s="114">
        <v>202101</v>
      </c>
      <c r="G3541" s="112" t="s">
        <v>1091</v>
      </c>
      <c r="H3541" s="112" t="s">
        <v>1015</v>
      </c>
      <c r="I3541" s="112" t="s">
        <v>1101</v>
      </c>
      <c r="J3541" s="112" t="s">
        <v>2480</v>
      </c>
      <c r="K3541" s="112" t="s">
        <v>1098</v>
      </c>
      <c r="L3541" s="116">
        <v>426.26</v>
      </c>
    </row>
    <row r="3542" spans="1:12" hidden="1" outlineLevel="1" collapsed="1" x14ac:dyDescent="0.35">
      <c r="A3542" s="112" t="s">
        <v>2479</v>
      </c>
      <c r="B3542" s="112" t="s">
        <v>909</v>
      </c>
      <c r="C3542" s="112" t="s">
        <v>1095</v>
      </c>
      <c r="D3542" s="113">
        <v>10348451</v>
      </c>
      <c r="E3542" s="115">
        <v>43949</v>
      </c>
      <c r="F3542" s="114">
        <v>202101</v>
      </c>
      <c r="G3542" s="112" t="s">
        <v>1091</v>
      </c>
      <c r="H3542" s="112" t="s">
        <v>1015</v>
      </c>
      <c r="I3542" s="112" t="s">
        <v>1101</v>
      </c>
      <c r="J3542" s="112" t="s">
        <v>2673</v>
      </c>
      <c r="K3542" s="112" t="s">
        <v>1098</v>
      </c>
      <c r="L3542" s="116">
        <v>417.79</v>
      </c>
    </row>
    <row r="3543" spans="1:12" hidden="1" outlineLevel="1" collapsed="1" x14ac:dyDescent="0.35">
      <c r="A3543" s="112" t="s">
        <v>2479</v>
      </c>
      <c r="B3543" s="112" t="s">
        <v>909</v>
      </c>
      <c r="C3543" s="112" t="s">
        <v>1095</v>
      </c>
      <c r="D3543" s="113">
        <v>10348451</v>
      </c>
      <c r="E3543" s="115">
        <v>43949</v>
      </c>
      <c r="F3543" s="114">
        <v>202101</v>
      </c>
      <c r="G3543" s="112" t="s">
        <v>1091</v>
      </c>
      <c r="H3543" s="112" t="s">
        <v>1015</v>
      </c>
      <c r="I3543" s="112" t="s">
        <v>1263</v>
      </c>
      <c r="J3543" s="112" t="s">
        <v>2480</v>
      </c>
      <c r="K3543" s="112" t="s">
        <v>1098</v>
      </c>
      <c r="L3543" s="116">
        <v>422.06</v>
      </c>
    </row>
    <row r="3544" spans="1:12" hidden="1" outlineLevel="1" collapsed="1" x14ac:dyDescent="0.35">
      <c r="A3544" s="112" t="s">
        <v>2479</v>
      </c>
      <c r="B3544" s="112" t="s">
        <v>908</v>
      </c>
      <c r="C3544" s="112" t="s">
        <v>1095</v>
      </c>
      <c r="D3544" s="113">
        <v>10348451</v>
      </c>
      <c r="E3544" s="115">
        <v>43949</v>
      </c>
      <c r="F3544" s="114">
        <v>202101</v>
      </c>
      <c r="G3544" s="112" t="s">
        <v>1091</v>
      </c>
      <c r="H3544" s="112" t="s">
        <v>1015</v>
      </c>
      <c r="I3544" s="112" t="s">
        <v>1096</v>
      </c>
      <c r="J3544" s="112" t="s">
        <v>2520</v>
      </c>
      <c r="K3544" s="112" t="s">
        <v>1098</v>
      </c>
      <c r="L3544" s="116">
        <v>323.45</v>
      </c>
    </row>
    <row r="3545" spans="1:12" hidden="1" outlineLevel="1" collapsed="1" x14ac:dyDescent="0.35">
      <c r="A3545" s="112" t="s">
        <v>2479</v>
      </c>
      <c r="B3545" s="112" t="s">
        <v>908</v>
      </c>
      <c r="C3545" s="112" t="s">
        <v>1095</v>
      </c>
      <c r="D3545" s="113">
        <v>10348451</v>
      </c>
      <c r="E3545" s="115">
        <v>43949</v>
      </c>
      <c r="F3545" s="114">
        <v>202101</v>
      </c>
      <c r="G3545" s="112" t="s">
        <v>1091</v>
      </c>
      <c r="H3545" s="112" t="s">
        <v>1015</v>
      </c>
      <c r="I3545" s="112" t="s">
        <v>3261</v>
      </c>
      <c r="J3545" s="112" t="s">
        <v>3264</v>
      </c>
      <c r="K3545" s="112" t="s">
        <v>1098</v>
      </c>
      <c r="L3545" s="116">
        <v>27.31</v>
      </c>
    </row>
    <row r="3546" spans="1:12" hidden="1" outlineLevel="1" collapsed="1" x14ac:dyDescent="0.35">
      <c r="A3546" s="112" t="s">
        <v>2479</v>
      </c>
      <c r="B3546" s="112" t="s">
        <v>908</v>
      </c>
      <c r="C3546" s="112" t="s">
        <v>1095</v>
      </c>
      <c r="D3546" s="113">
        <v>10348451</v>
      </c>
      <c r="E3546" s="115">
        <v>43949</v>
      </c>
      <c r="F3546" s="114">
        <v>202101</v>
      </c>
      <c r="G3546" s="112" t="s">
        <v>1091</v>
      </c>
      <c r="H3546" s="112" t="s">
        <v>1015</v>
      </c>
      <c r="I3546" s="112" t="s">
        <v>1101</v>
      </c>
      <c r="J3546" s="112" t="s">
        <v>2484</v>
      </c>
      <c r="K3546" s="112" t="s">
        <v>1098</v>
      </c>
      <c r="L3546" s="116">
        <v>483.07</v>
      </c>
    </row>
    <row r="3547" spans="1:12" hidden="1" outlineLevel="1" collapsed="1" x14ac:dyDescent="0.35">
      <c r="A3547" s="112" t="s">
        <v>2479</v>
      </c>
      <c r="B3547" s="112" t="s">
        <v>908</v>
      </c>
      <c r="C3547" s="112" t="s">
        <v>1095</v>
      </c>
      <c r="D3547" s="113">
        <v>10348451</v>
      </c>
      <c r="E3547" s="115">
        <v>43949</v>
      </c>
      <c r="F3547" s="114">
        <v>202101</v>
      </c>
      <c r="G3547" s="112" t="s">
        <v>1091</v>
      </c>
      <c r="H3547" s="112" t="s">
        <v>1015</v>
      </c>
      <c r="I3547" s="112" t="s">
        <v>1096</v>
      </c>
      <c r="J3547" s="112" t="s">
        <v>2484</v>
      </c>
      <c r="K3547" s="112" t="s">
        <v>1098</v>
      </c>
      <c r="L3547" s="116">
        <v>302.82</v>
      </c>
    </row>
    <row r="3548" spans="1:12" hidden="1" outlineLevel="1" collapsed="1" x14ac:dyDescent="0.35">
      <c r="A3548" s="112" t="s">
        <v>2479</v>
      </c>
      <c r="B3548" s="112" t="s">
        <v>908</v>
      </c>
      <c r="C3548" s="112" t="s">
        <v>1095</v>
      </c>
      <c r="D3548" s="113">
        <v>10348451</v>
      </c>
      <c r="E3548" s="115">
        <v>43949</v>
      </c>
      <c r="F3548" s="114">
        <v>202101</v>
      </c>
      <c r="G3548" s="112" t="s">
        <v>1091</v>
      </c>
      <c r="H3548" s="112" t="s">
        <v>1015</v>
      </c>
      <c r="I3548" s="112" t="s">
        <v>1116</v>
      </c>
      <c r="J3548" s="112" t="s">
        <v>2501</v>
      </c>
      <c r="K3548" s="112" t="s">
        <v>1098</v>
      </c>
      <c r="L3548" s="116">
        <v>5032.38</v>
      </c>
    </row>
    <row r="3549" spans="1:12" hidden="1" outlineLevel="1" collapsed="1" x14ac:dyDescent="0.35">
      <c r="A3549" s="112" t="s">
        <v>2479</v>
      </c>
      <c r="B3549" s="112" t="s">
        <v>908</v>
      </c>
      <c r="C3549" s="112" t="s">
        <v>1095</v>
      </c>
      <c r="D3549" s="113">
        <v>10348451</v>
      </c>
      <c r="E3549" s="115">
        <v>43949</v>
      </c>
      <c r="F3549" s="114">
        <v>202101</v>
      </c>
      <c r="G3549" s="112" t="s">
        <v>1091</v>
      </c>
      <c r="H3549" s="112" t="s">
        <v>1015</v>
      </c>
      <c r="I3549" s="112" t="s">
        <v>1116</v>
      </c>
      <c r="J3549" s="112" t="s">
        <v>2501</v>
      </c>
      <c r="K3549" s="112" t="s">
        <v>1098</v>
      </c>
      <c r="L3549" s="116">
        <v>3909.16</v>
      </c>
    </row>
    <row r="3550" spans="1:12" hidden="1" outlineLevel="1" collapsed="1" x14ac:dyDescent="0.35">
      <c r="A3550" s="112" t="s">
        <v>2479</v>
      </c>
      <c r="B3550" s="112" t="s">
        <v>908</v>
      </c>
      <c r="C3550" s="112" t="s">
        <v>1095</v>
      </c>
      <c r="D3550" s="113">
        <v>10348451</v>
      </c>
      <c r="E3550" s="115">
        <v>43949</v>
      </c>
      <c r="F3550" s="114">
        <v>202101</v>
      </c>
      <c r="G3550" s="112" t="s">
        <v>1091</v>
      </c>
      <c r="H3550" s="112" t="s">
        <v>1015</v>
      </c>
      <c r="I3550" s="112" t="s">
        <v>1116</v>
      </c>
      <c r="J3550" s="112" t="s">
        <v>2501</v>
      </c>
      <c r="K3550" s="112" t="s">
        <v>1098</v>
      </c>
      <c r="L3550" s="116">
        <v>2888.74</v>
      </c>
    </row>
    <row r="3551" spans="1:12" hidden="1" outlineLevel="1" collapsed="1" x14ac:dyDescent="0.35">
      <c r="A3551" s="112" t="s">
        <v>2479</v>
      </c>
      <c r="B3551" s="112" t="s">
        <v>908</v>
      </c>
      <c r="C3551" s="112" t="s">
        <v>1095</v>
      </c>
      <c r="D3551" s="113">
        <v>10348451</v>
      </c>
      <c r="E3551" s="115">
        <v>43949</v>
      </c>
      <c r="F3551" s="114">
        <v>202101</v>
      </c>
      <c r="G3551" s="112" t="s">
        <v>1091</v>
      </c>
      <c r="H3551" s="112" t="s">
        <v>1015</v>
      </c>
      <c r="I3551" s="112" t="s">
        <v>1116</v>
      </c>
      <c r="J3551" s="112" t="s">
        <v>2501</v>
      </c>
      <c r="K3551" s="112" t="s">
        <v>1098</v>
      </c>
      <c r="L3551" s="116">
        <v>5276.13</v>
      </c>
    </row>
    <row r="3552" spans="1:12" hidden="1" outlineLevel="1" collapsed="1" x14ac:dyDescent="0.35">
      <c r="A3552" s="112" t="s">
        <v>2479</v>
      </c>
      <c r="B3552" s="112" t="s">
        <v>908</v>
      </c>
      <c r="C3552" s="112" t="s">
        <v>1095</v>
      </c>
      <c r="D3552" s="113">
        <v>10348451</v>
      </c>
      <c r="E3552" s="115">
        <v>43949</v>
      </c>
      <c r="F3552" s="114">
        <v>202101</v>
      </c>
      <c r="G3552" s="112" t="s">
        <v>1091</v>
      </c>
      <c r="H3552" s="112" t="s">
        <v>1015</v>
      </c>
      <c r="I3552" s="112" t="s">
        <v>1116</v>
      </c>
      <c r="J3552" s="112" t="s">
        <v>2501</v>
      </c>
      <c r="K3552" s="112" t="s">
        <v>1098</v>
      </c>
      <c r="L3552" s="116">
        <v>1944.42</v>
      </c>
    </row>
    <row r="3553" spans="1:12" hidden="1" outlineLevel="1" collapsed="1" x14ac:dyDescent="0.35">
      <c r="A3553" s="112" t="s">
        <v>2479</v>
      </c>
      <c r="B3553" s="112" t="s">
        <v>908</v>
      </c>
      <c r="C3553" s="112" t="s">
        <v>1095</v>
      </c>
      <c r="D3553" s="113">
        <v>10348451</v>
      </c>
      <c r="E3553" s="115">
        <v>43949</v>
      </c>
      <c r="F3553" s="114">
        <v>202101</v>
      </c>
      <c r="G3553" s="112" t="s">
        <v>1091</v>
      </c>
      <c r="H3553" s="112" t="s">
        <v>1015</v>
      </c>
      <c r="I3553" s="112" t="s">
        <v>1116</v>
      </c>
      <c r="J3553" s="112" t="s">
        <v>2501</v>
      </c>
      <c r="K3553" s="112" t="s">
        <v>1098</v>
      </c>
      <c r="L3553" s="116">
        <v>3909.16</v>
      </c>
    </row>
    <row r="3554" spans="1:12" hidden="1" outlineLevel="1" collapsed="1" x14ac:dyDescent="0.35">
      <c r="A3554" s="112" t="s">
        <v>2479</v>
      </c>
      <c r="B3554" s="112" t="s">
        <v>908</v>
      </c>
      <c r="C3554" s="112" t="s">
        <v>1095</v>
      </c>
      <c r="D3554" s="113">
        <v>10348451</v>
      </c>
      <c r="E3554" s="115">
        <v>43949</v>
      </c>
      <c r="F3554" s="114">
        <v>202101</v>
      </c>
      <c r="G3554" s="112" t="s">
        <v>1091</v>
      </c>
      <c r="H3554" s="112" t="s">
        <v>1015</v>
      </c>
      <c r="I3554" s="112" t="s">
        <v>1101</v>
      </c>
      <c r="J3554" s="112" t="s">
        <v>2501</v>
      </c>
      <c r="K3554" s="112" t="s">
        <v>1098</v>
      </c>
      <c r="L3554" s="116">
        <v>315</v>
      </c>
    </row>
    <row r="3555" spans="1:12" hidden="1" outlineLevel="1" collapsed="1" x14ac:dyDescent="0.35">
      <c r="A3555" s="112" t="s">
        <v>2479</v>
      </c>
      <c r="B3555" s="112" t="s">
        <v>908</v>
      </c>
      <c r="C3555" s="112" t="s">
        <v>1095</v>
      </c>
      <c r="D3555" s="113">
        <v>10348451</v>
      </c>
      <c r="E3555" s="115">
        <v>43949</v>
      </c>
      <c r="F3555" s="114">
        <v>202101</v>
      </c>
      <c r="G3555" s="112" t="s">
        <v>1091</v>
      </c>
      <c r="H3555" s="112" t="s">
        <v>1015</v>
      </c>
      <c r="I3555" s="112" t="s">
        <v>1101</v>
      </c>
      <c r="J3555" s="112" t="s">
        <v>2501</v>
      </c>
      <c r="K3555" s="112" t="s">
        <v>1098</v>
      </c>
      <c r="L3555" s="116">
        <v>633.28</v>
      </c>
    </row>
    <row r="3556" spans="1:12" hidden="1" outlineLevel="1" collapsed="1" x14ac:dyDescent="0.35">
      <c r="A3556" s="112" t="s">
        <v>2479</v>
      </c>
      <c r="B3556" s="112" t="s">
        <v>908</v>
      </c>
      <c r="C3556" s="112" t="s">
        <v>1095</v>
      </c>
      <c r="D3556" s="113">
        <v>10348451</v>
      </c>
      <c r="E3556" s="115">
        <v>43949</v>
      </c>
      <c r="F3556" s="114">
        <v>202101</v>
      </c>
      <c r="G3556" s="112" t="s">
        <v>1091</v>
      </c>
      <c r="H3556" s="112" t="s">
        <v>1015</v>
      </c>
      <c r="I3556" s="112" t="s">
        <v>1096</v>
      </c>
      <c r="J3556" s="112" t="s">
        <v>2503</v>
      </c>
      <c r="K3556" s="112" t="s">
        <v>1098</v>
      </c>
      <c r="L3556" s="116">
        <v>411.93</v>
      </c>
    </row>
    <row r="3557" spans="1:12" hidden="1" outlineLevel="1" collapsed="1" x14ac:dyDescent="0.35">
      <c r="A3557" s="112" t="s">
        <v>2479</v>
      </c>
      <c r="B3557" s="112" t="s">
        <v>909</v>
      </c>
      <c r="C3557" s="112" t="s">
        <v>1095</v>
      </c>
      <c r="D3557" s="113">
        <v>10348451</v>
      </c>
      <c r="E3557" s="115">
        <v>43949</v>
      </c>
      <c r="F3557" s="114">
        <v>202101</v>
      </c>
      <c r="G3557" s="112" t="s">
        <v>1091</v>
      </c>
      <c r="H3557" s="112" t="s">
        <v>1015</v>
      </c>
      <c r="I3557" s="112" t="s">
        <v>1101</v>
      </c>
      <c r="J3557" s="112" t="s">
        <v>2480</v>
      </c>
      <c r="K3557" s="112" t="s">
        <v>1098</v>
      </c>
      <c r="L3557" s="116">
        <v>370.46</v>
      </c>
    </row>
    <row r="3558" spans="1:12" hidden="1" outlineLevel="1" collapsed="1" x14ac:dyDescent="0.35">
      <c r="A3558" s="112" t="s">
        <v>2479</v>
      </c>
      <c r="B3558" s="112" t="s">
        <v>908</v>
      </c>
      <c r="C3558" s="112" t="s">
        <v>1095</v>
      </c>
      <c r="D3558" s="113">
        <v>10348451</v>
      </c>
      <c r="E3558" s="115">
        <v>43949</v>
      </c>
      <c r="F3558" s="114">
        <v>202101</v>
      </c>
      <c r="G3558" s="112" t="s">
        <v>1091</v>
      </c>
      <c r="H3558" s="112" t="s">
        <v>1015</v>
      </c>
      <c r="I3558" s="112" t="s">
        <v>1101</v>
      </c>
      <c r="J3558" s="112" t="s">
        <v>2503</v>
      </c>
      <c r="K3558" s="112" t="s">
        <v>1098</v>
      </c>
      <c r="L3558" s="116">
        <v>602.15</v>
      </c>
    </row>
    <row r="3559" spans="1:12" hidden="1" outlineLevel="1" collapsed="1" x14ac:dyDescent="0.35">
      <c r="A3559" s="112" t="s">
        <v>2479</v>
      </c>
      <c r="B3559" s="112" t="s">
        <v>908</v>
      </c>
      <c r="C3559" s="112" t="s">
        <v>1095</v>
      </c>
      <c r="D3559" s="113">
        <v>10348451</v>
      </c>
      <c r="E3559" s="115">
        <v>43949</v>
      </c>
      <c r="F3559" s="114">
        <v>202101</v>
      </c>
      <c r="G3559" s="112" t="s">
        <v>1091</v>
      </c>
      <c r="H3559" s="112" t="s">
        <v>1015</v>
      </c>
      <c r="I3559" s="112" t="s">
        <v>1101</v>
      </c>
      <c r="J3559" s="112" t="s">
        <v>2484</v>
      </c>
      <c r="K3559" s="112" t="s">
        <v>1098</v>
      </c>
      <c r="L3559" s="116">
        <v>316.57</v>
      </c>
    </row>
    <row r="3560" spans="1:12" hidden="1" outlineLevel="1" collapsed="1" x14ac:dyDescent="0.35">
      <c r="A3560" s="112" t="s">
        <v>2479</v>
      </c>
      <c r="B3560" s="112" t="s">
        <v>908</v>
      </c>
      <c r="C3560" s="112" t="s">
        <v>1095</v>
      </c>
      <c r="D3560" s="113">
        <v>10348451</v>
      </c>
      <c r="E3560" s="115">
        <v>43949</v>
      </c>
      <c r="F3560" s="114">
        <v>202101</v>
      </c>
      <c r="G3560" s="112" t="s">
        <v>1091</v>
      </c>
      <c r="H3560" s="112" t="s">
        <v>1015</v>
      </c>
      <c r="I3560" s="112" t="s">
        <v>1101</v>
      </c>
      <c r="J3560" s="112" t="s">
        <v>2520</v>
      </c>
      <c r="K3560" s="112" t="s">
        <v>1098</v>
      </c>
      <c r="L3560" s="116">
        <v>498.28</v>
      </c>
    </row>
    <row r="3561" spans="1:12" hidden="1" outlineLevel="1" collapsed="1" x14ac:dyDescent="0.35">
      <c r="A3561" s="112" t="s">
        <v>2479</v>
      </c>
      <c r="B3561" s="112" t="s">
        <v>908</v>
      </c>
      <c r="C3561" s="112" t="s">
        <v>1095</v>
      </c>
      <c r="D3561" s="113">
        <v>10348451</v>
      </c>
      <c r="E3561" s="115">
        <v>43949</v>
      </c>
      <c r="F3561" s="114">
        <v>202101</v>
      </c>
      <c r="G3561" s="112" t="s">
        <v>1091</v>
      </c>
      <c r="H3561" s="112" t="s">
        <v>1015</v>
      </c>
      <c r="I3561" s="112" t="s">
        <v>1096</v>
      </c>
      <c r="J3561" s="112" t="s">
        <v>2484</v>
      </c>
      <c r="K3561" s="112" t="s">
        <v>1098</v>
      </c>
      <c r="L3561" s="116">
        <v>168.66</v>
      </c>
    </row>
    <row r="3562" spans="1:12" hidden="1" outlineLevel="1" collapsed="1" x14ac:dyDescent="0.35">
      <c r="A3562" s="112" t="s">
        <v>2479</v>
      </c>
      <c r="B3562" s="112" t="s">
        <v>908</v>
      </c>
      <c r="C3562" s="112" t="s">
        <v>1095</v>
      </c>
      <c r="D3562" s="113">
        <v>10348451</v>
      </c>
      <c r="E3562" s="115">
        <v>43949</v>
      </c>
      <c r="F3562" s="114">
        <v>202101</v>
      </c>
      <c r="G3562" s="112" t="s">
        <v>1091</v>
      </c>
      <c r="H3562" s="112" t="s">
        <v>1015</v>
      </c>
      <c r="I3562" s="112" t="s">
        <v>1263</v>
      </c>
      <c r="J3562" s="112" t="s">
        <v>2584</v>
      </c>
      <c r="K3562" s="112" t="s">
        <v>1098</v>
      </c>
      <c r="L3562" s="116">
        <v>266.88</v>
      </c>
    </row>
    <row r="3563" spans="1:12" hidden="1" outlineLevel="1" collapsed="1" x14ac:dyDescent="0.35">
      <c r="A3563" s="112" t="s">
        <v>2479</v>
      </c>
      <c r="B3563" s="112" t="s">
        <v>908</v>
      </c>
      <c r="C3563" s="112" t="s">
        <v>1095</v>
      </c>
      <c r="D3563" s="113">
        <v>10348451</v>
      </c>
      <c r="E3563" s="115">
        <v>43949</v>
      </c>
      <c r="F3563" s="114">
        <v>202101</v>
      </c>
      <c r="G3563" s="112" t="s">
        <v>1091</v>
      </c>
      <c r="H3563" s="112" t="s">
        <v>1015</v>
      </c>
      <c r="I3563" s="112" t="s">
        <v>1096</v>
      </c>
      <c r="J3563" s="112" t="s">
        <v>2584</v>
      </c>
      <c r="K3563" s="112" t="s">
        <v>1098</v>
      </c>
      <c r="L3563" s="116">
        <v>378.29</v>
      </c>
    </row>
    <row r="3564" spans="1:12" hidden="1" outlineLevel="1" collapsed="1" x14ac:dyDescent="0.35">
      <c r="A3564" s="112" t="s">
        <v>2479</v>
      </c>
      <c r="B3564" s="112" t="s">
        <v>909</v>
      </c>
      <c r="C3564" s="112" t="s">
        <v>1095</v>
      </c>
      <c r="D3564" s="113">
        <v>10348451</v>
      </c>
      <c r="E3564" s="115">
        <v>43949</v>
      </c>
      <c r="F3564" s="114">
        <v>202101</v>
      </c>
      <c r="G3564" s="112" t="s">
        <v>1091</v>
      </c>
      <c r="H3564" s="112" t="s">
        <v>1015</v>
      </c>
      <c r="I3564" s="112" t="s">
        <v>1096</v>
      </c>
      <c r="J3564" s="112" t="s">
        <v>2673</v>
      </c>
      <c r="K3564" s="112" t="s">
        <v>1098</v>
      </c>
      <c r="L3564" s="116">
        <v>310.49</v>
      </c>
    </row>
    <row r="3565" spans="1:12" hidden="1" outlineLevel="1" collapsed="1" x14ac:dyDescent="0.35">
      <c r="A3565" s="112" t="s">
        <v>2479</v>
      </c>
      <c r="B3565" s="112" t="s">
        <v>908</v>
      </c>
      <c r="C3565" s="112" t="s">
        <v>695</v>
      </c>
      <c r="D3565" s="113">
        <v>10348034</v>
      </c>
      <c r="E3565" s="115">
        <v>43928</v>
      </c>
      <c r="F3565" s="114">
        <v>202101</v>
      </c>
      <c r="G3565" s="112" t="s">
        <v>1091</v>
      </c>
      <c r="H3565" s="112" t="s">
        <v>1015</v>
      </c>
      <c r="I3565" s="112" t="s">
        <v>1211</v>
      </c>
      <c r="J3565" s="112" t="s">
        <v>2625</v>
      </c>
      <c r="K3565" s="112" t="s">
        <v>3276</v>
      </c>
      <c r="L3565" s="116">
        <v>-2930.33</v>
      </c>
    </row>
    <row r="3566" spans="1:12" hidden="1" outlineLevel="1" collapsed="1" x14ac:dyDescent="0.35">
      <c r="A3566" s="112" t="s">
        <v>2479</v>
      </c>
      <c r="B3566" s="112" t="s">
        <v>909</v>
      </c>
      <c r="C3566" s="112" t="s">
        <v>1095</v>
      </c>
      <c r="D3566" s="113">
        <v>10348451</v>
      </c>
      <c r="E3566" s="115">
        <v>43949</v>
      </c>
      <c r="F3566" s="114">
        <v>202101</v>
      </c>
      <c r="G3566" s="112" t="s">
        <v>1091</v>
      </c>
      <c r="H3566" s="112" t="s">
        <v>1015</v>
      </c>
      <c r="I3566" s="112" t="s">
        <v>1101</v>
      </c>
      <c r="J3566" s="112" t="s">
        <v>2673</v>
      </c>
      <c r="K3566" s="112" t="s">
        <v>1098</v>
      </c>
      <c r="L3566" s="116">
        <v>483.07</v>
      </c>
    </row>
    <row r="3567" spans="1:12" hidden="1" outlineLevel="1" collapsed="1" x14ac:dyDescent="0.35">
      <c r="A3567" s="112" t="s">
        <v>2479</v>
      </c>
      <c r="B3567" s="112" t="s">
        <v>908</v>
      </c>
      <c r="C3567" s="112" t="s">
        <v>695</v>
      </c>
      <c r="D3567" s="113">
        <v>10348034</v>
      </c>
      <c r="E3567" s="115">
        <v>43928</v>
      </c>
      <c r="F3567" s="114">
        <v>202101</v>
      </c>
      <c r="G3567" s="112" t="s">
        <v>1091</v>
      </c>
      <c r="H3567" s="112" t="s">
        <v>1015</v>
      </c>
      <c r="I3567" s="112" t="s">
        <v>1211</v>
      </c>
      <c r="J3567" s="112" t="s">
        <v>2625</v>
      </c>
      <c r="K3567" s="112" t="s">
        <v>3277</v>
      </c>
      <c r="L3567" s="116">
        <v>-3268.25</v>
      </c>
    </row>
    <row r="3568" spans="1:12" hidden="1" outlineLevel="1" collapsed="1" x14ac:dyDescent="0.35">
      <c r="A3568" s="112" t="s">
        <v>2479</v>
      </c>
      <c r="B3568" s="112" t="s">
        <v>908</v>
      </c>
      <c r="C3568" s="112" t="s">
        <v>695</v>
      </c>
      <c r="D3568" s="113">
        <v>10348034</v>
      </c>
      <c r="E3568" s="115">
        <v>43928</v>
      </c>
      <c r="F3568" s="114">
        <v>202101</v>
      </c>
      <c r="G3568" s="112" t="s">
        <v>1091</v>
      </c>
      <c r="H3568" s="112" t="s">
        <v>1015</v>
      </c>
      <c r="I3568" s="112" t="s">
        <v>1211</v>
      </c>
      <c r="J3568" s="112" t="s">
        <v>2625</v>
      </c>
      <c r="K3568" s="112" t="s">
        <v>3278</v>
      </c>
      <c r="L3568" s="116">
        <v>-3309.11</v>
      </c>
    </row>
    <row r="3569" spans="1:12" hidden="1" outlineLevel="1" collapsed="1" x14ac:dyDescent="0.35">
      <c r="A3569" s="112" t="s">
        <v>2479</v>
      </c>
      <c r="B3569" s="112" t="s">
        <v>909</v>
      </c>
      <c r="C3569" s="112" t="s">
        <v>1095</v>
      </c>
      <c r="D3569" s="113">
        <v>10348451</v>
      </c>
      <c r="E3569" s="115">
        <v>43949</v>
      </c>
      <c r="F3569" s="114">
        <v>202101</v>
      </c>
      <c r="G3569" s="112" t="s">
        <v>1091</v>
      </c>
      <c r="H3569" s="112" t="s">
        <v>1015</v>
      </c>
      <c r="I3569" s="112" t="s">
        <v>3261</v>
      </c>
      <c r="J3569" s="112" t="s">
        <v>2480</v>
      </c>
      <c r="K3569" s="112" t="s">
        <v>1098</v>
      </c>
      <c r="L3569" s="116">
        <v>27.31</v>
      </c>
    </row>
    <row r="3570" spans="1:12" hidden="1" outlineLevel="1" collapsed="1" x14ac:dyDescent="0.35">
      <c r="A3570" s="112" t="s">
        <v>2479</v>
      </c>
      <c r="B3570" s="112" t="s">
        <v>908</v>
      </c>
      <c r="C3570" s="112" t="s">
        <v>1095</v>
      </c>
      <c r="D3570" s="113">
        <v>10348451</v>
      </c>
      <c r="E3570" s="115">
        <v>43949</v>
      </c>
      <c r="F3570" s="114">
        <v>202101</v>
      </c>
      <c r="G3570" s="112" t="s">
        <v>1091</v>
      </c>
      <c r="H3570" s="112" t="s">
        <v>1015</v>
      </c>
      <c r="I3570" s="112" t="s">
        <v>1113</v>
      </c>
      <c r="J3570" s="112" t="s">
        <v>2484</v>
      </c>
      <c r="K3570" s="112" t="s">
        <v>1098</v>
      </c>
      <c r="L3570" s="116">
        <v>55.56</v>
      </c>
    </row>
    <row r="3571" spans="1:12" hidden="1" outlineLevel="1" collapsed="1" x14ac:dyDescent="0.35">
      <c r="A3571" s="112" t="s">
        <v>2479</v>
      </c>
      <c r="B3571" s="112" t="s">
        <v>908</v>
      </c>
      <c r="C3571" s="112" t="s">
        <v>1219</v>
      </c>
      <c r="D3571" s="113">
        <v>46307134</v>
      </c>
      <c r="E3571" s="115">
        <v>43924</v>
      </c>
      <c r="F3571" s="114">
        <v>202101</v>
      </c>
      <c r="G3571" s="112" t="s">
        <v>1091</v>
      </c>
      <c r="H3571" s="112" t="s">
        <v>1015</v>
      </c>
      <c r="I3571" s="112" t="s">
        <v>1211</v>
      </c>
      <c r="J3571" s="112" t="s">
        <v>2625</v>
      </c>
      <c r="K3571" s="112" t="s">
        <v>1220</v>
      </c>
      <c r="L3571" s="116">
        <v>9507.69</v>
      </c>
    </row>
    <row r="3572" spans="1:12" hidden="1" outlineLevel="1" collapsed="1" x14ac:dyDescent="0.35">
      <c r="A3572" s="112" t="s">
        <v>2479</v>
      </c>
      <c r="B3572" s="112" t="s">
        <v>908</v>
      </c>
      <c r="C3572" s="112" t="s">
        <v>1150</v>
      </c>
      <c r="D3572" s="113">
        <v>10348688</v>
      </c>
      <c r="E3572" s="115">
        <v>43978</v>
      </c>
      <c r="F3572" s="114">
        <v>202101</v>
      </c>
      <c r="G3572" s="112" t="s">
        <v>1091</v>
      </c>
      <c r="H3572" s="112" t="s">
        <v>1015</v>
      </c>
      <c r="I3572" s="112" t="s">
        <v>1211</v>
      </c>
      <c r="J3572" s="112" t="s">
        <v>2625</v>
      </c>
      <c r="K3572" s="112" t="s">
        <v>3279</v>
      </c>
      <c r="L3572" s="116">
        <v>247.31</v>
      </c>
    </row>
    <row r="3573" spans="1:12" hidden="1" outlineLevel="1" collapsed="1" x14ac:dyDescent="0.35">
      <c r="A3573" s="112" t="s">
        <v>2479</v>
      </c>
      <c r="B3573" s="112" t="s">
        <v>909</v>
      </c>
      <c r="C3573" s="112" t="s">
        <v>1095</v>
      </c>
      <c r="D3573" s="113">
        <v>10348451</v>
      </c>
      <c r="E3573" s="115">
        <v>43949</v>
      </c>
      <c r="F3573" s="114">
        <v>202101</v>
      </c>
      <c r="G3573" s="112" t="s">
        <v>1091</v>
      </c>
      <c r="H3573" s="112" t="s">
        <v>1015</v>
      </c>
      <c r="I3573" s="112" t="s">
        <v>1096</v>
      </c>
      <c r="J3573" s="112" t="s">
        <v>2673</v>
      </c>
      <c r="K3573" s="112" t="s">
        <v>1098</v>
      </c>
      <c r="L3573" s="116">
        <v>262.10000000000002</v>
      </c>
    </row>
    <row r="3574" spans="1:12" hidden="1" outlineLevel="1" collapsed="1" x14ac:dyDescent="0.35">
      <c r="A3574" s="112" t="s">
        <v>2479</v>
      </c>
      <c r="B3574" s="112" t="s">
        <v>908</v>
      </c>
      <c r="C3574" s="112" t="s">
        <v>1095</v>
      </c>
      <c r="D3574" s="113">
        <v>10348451</v>
      </c>
      <c r="E3574" s="115">
        <v>43949</v>
      </c>
      <c r="F3574" s="114">
        <v>202101</v>
      </c>
      <c r="G3574" s="112" t="s">
        <v>1091</v>
      </c>
      <c r="H3574" s="112" t="s">
        <v>1015</v>
      </c>
      <c r="I3574" s="112" t="s">
        <v>1096</v>
      </c>
      <c r="J3574" s="112" t="s">
        <v>2520</v>
      </c>
      <c r="K3574" s="112" t="s">
        <v>1098</v>
      </c>
      <c r="L3574" s="116">
        <v>310.49</v>
      </c>
    </row>
    <row r="3575" spans="1:12" hidden="1" outlineLevel="1" collapsed="1" x14ac:dyDescent="0.35">
      <c r="A3575" s="112" t="s">
        <v>2479</v>
      </c>
      <c r="B3575" s="112" t="s">
        <v>908</v>
      </c>
      <c r="C3575" s="112" t="s">
        <v>1095</v>
      </c>
      <c r="D3575" s="113">
        <v>10348451</v>
      </c>
      <c r="E3575" s="115">
        <v>43949</v>
      </c>
      <c r="F3575" s="114">
        <v>202101</v>
      </c>
      <c r="G3575" s="112" t="s">
        <v>1091</v>
      </c>
      <c r="H3575" s="112" t="s">
        <v>1015</v>
      </c>
      <c r="I3575" s="112" t="s">
        <v>1096</v>
      </c>
      <c r="J3575" s="112" t="s">
        <v>2584</v>
      </c>
      <c r="K3575" s="112" t="s">
        <v>1098</v>
      </c>
      <c r="L3575" s="116">
        <v>273.66000000000003</v>
      </c>
    </row>
    <row r="3576" spans="1:12" hidden="1" outlineLevel="1" collapsed="1" x14ac:dyDescent="0.35">
      <c r="A3576" s="112" t="s">
        <v>2479</v>
      </c>
      <c r="B3576" s="112" t="s">
        <v>908</v>
      </c>
      <c r="C3576" s="112" t="s">
        <v>1095</v>
      </c>
      <c r="D3576" s="113">
        <v>10348451</v>
      </c>
      <c r="E3576" s="115">
        <v>43949</v>
      </c>
      <c r="F3576" s="114">
        <v>202101</v>
      </c>
      <c r="G3576" s="112" t="s">
        <v>1091</v>
      </c>
      <c r="H3576" s="112" t="s">
        <v>1015</v>
      </c>
      <c r="I3576" s="112" t="s">
        <v>1101</v>
      </c>
      <c r="J3576" s="112" t="s">
        <v>2520</v>
      </c>
      <c r="K3576" s="112" t="s">
        <v>1098</v>
      </c>
      <c r="L3576" s="116">
        <v>483.07</v>
      </c>
    </row>
    <row r="3577" spans="1:12" hidden="1" outlineLevel="1" collapsed="1" x14ac:dyDescent="0.35">
      <c r="A3577" s="112" t="s">
        <v>2479</v>
      </c>
      <c r="B3577" s="112" t="s">
        <v>908</v>
      </c>
      <c r="C3577" s="112" t="s">
        <v>1095</v>
      </c>
      <c r="D3577" s="113">
        <v>10348451</v>
      </c>
      <c r="E3577" s="115">
        <v>43949</v>
      </c>
      <c r="F3577" s="114">
        <v>202101</v>
      </c>
      <c r="G3577" s="112" t="s">
        <v>1091</v>
      </c>
      <c r="H3577" s="112" t="s">
        <v>1015</v>
      </c>
      <c r="I3577" s="112" t="s">
        <v>1101</v>
      </c>
      <c r="J3577" s="112" t="s">
        <v>2584</v>
      </c>
      <c r="K3577" s="112" t="s">
        <v>1098</v>
      </c>
      <c r="L3577" s="116">
        <v>483.07</v>
      </c>
    </row>
    <row r="3578" spans="1:12" hidden="1" outlineLevel="1" collapsed="1" x14ac:dyDescent="0.35">
      <c r="A3578" s="112" t="s">
        <v>2479</v>
      </c>
      <c r="B3578" s="112" t="s">
        <v>908</v>
      </c>
      <c r="C3578" s="112" t="s">
        <v>1095</v>
      </c>
      <c r="D3578" s="113">
        <v>10348451</v>
      </c>
      <c r="E3578" s="115">
        <v>43949</v>
      </c>
      <c r="F3578" s="114">
        <v>202101</v>
      </c>
      <c r="G3578" s="112" t="s">
        <v>1091</v>
      </c>
      <c r="H3578" s="112" t="s">
        <v>1015</v>
      </c>
      <c r="I3578" s="112" t="s">
        <v>1101</v>
      </c>
      <c r="J3578" s="112" t="s">
        <v>2584</v>
      </c>
      <c r="K3578" s="112" t="s">
        <v>1098</v>
      </c>
      <c r="L3578" s="116">
        <v>562.66999999999996</v>
      </c>
    </row>
    <row r="3579" spans="1:12" hidden="1" outlineLevel="1" collapsed="1" x14ac:dyDescent="0.35">
      <c r="A3579" s="112" t="s">
        <v>2479</v>
      </c>
      <c r="B3579" s="112" t="s">
        <v>908</v>
      </c>
      <c r="C3579" s="112" t="s">
        <v>695</v>
      </c>
      <c r="D3579" s="113">
        <v>10348034</v>
      </c>
      <c r="E3579" s="115">
        <v>43928</v>
      </c>
      <c r="F3579" s="114">
        <v>202101</v>
      </c>
      <c r="G3579" s="112" t="s">
        <v>1091</v>
      </c>
      <c r="H3579" s="112" t="s">
        <v>1015</v>
      </c>
      <c r="I3579" s="112" t="s">
        <v>1211</v>
      </c>
      <c r="J3579" s="112" t="s">
        <v>2516</v>
      </c>
      <c r="K3579" s="112" t="s">
        <v>3280</v>
      </c>
      <c r="L3579" s="116">
        <v>-5433.69</v>
      </c>
    </row>
    <row r="3580" spans="1:12" hidden="1" outlineLevel="1" collapsed="1" x14ac:dyDescent="0.35">
      <c r="A3580" s="112" t="s">
        <v>2479</v>
      </c>
      <c r="B3580" s="112" t="s">
        <v>908</v>
      </c>
      <c r="C3580" s="112" t="s">
        <v>1095</v>
      </c>
      <c r="D3580" s="113">
        <v>10348451</v>
      </c>
      <c r="E3580" s="115">
        <v>43949</v>
      </c>
      <c r="F3580" s="114">
        <v>202101</v>
      </c>
      <c r="G3580" s="112" t="s">
        <v>1091</v>
      </c>
      <c r="H3580" s="112" t="s">
        <v>1015</v>
      </c>
      <c r="I3580" s="112" t="s">
        <v>1096</v>
      </c>
      <c r="J3580" s="112" t="s">
        <v>2584</v>
      </c>
      <c r="K3580" s="112" t="s">
        <v>1098</v>
      </c>
      <c r="L3580" s="116">
        <v>275.61</v>
      </c>
    </row>
    <row r="3581" spans="1:12" hidden="1" outlineLevel="1" collapsed="1" x14ac:dyDescent="0.35">
      <c r="A3581" s="112" t="s">
        <v>2479</v>
      </c>
      <c r="B3581" s="112" t="s">
        <v>908</v>
      </c>
      <c r="C3581" s="112" t="s">
        <v>695</v>
      </c>
      <c r="D3581" s="113">
        <v>10348034</v>
      </c>
      <c r="E3581" s="115">
        <v>43928</v>
      </c>
      <c r="F3581" s="114">
        <v>202101</v>
      </c>
      <c r="G3581" s="112" t="s">
        <v>1091</v>
      </c>
      <c r="H3581" s="112" t="s">
        <v>1015</v>
      </c>
      <c r="I3581" s="112" t="s">
        <v>1211</v>
      </c>
      <c r="J3581" s="112" t="s">
        <v>2516</v>
      </c>
      <c r="K3581" s="112" t="s">
        <v>3281</v>
      </c>
      <c r="L3581" s="116">
        <v>-1611.07</v>
      </c>
    </row>
    <row r="3582" spans="1:12" hidden="1" outlineLevel="1" collapsed="1" x14ac:dyDescent="0.35">
      <c r="A3582" s="112" t="s">
        <v>2479</v>
      </c>
      <c r="B3582" s="112" t="s">
        <v>908</v>
      </c>
      <c r="C3582" s="112" t="s">
        <v>1095</v>
      </c>
      <c r="D3582" s="113">
        <v>10348451</v>
      </c>
      <c r="E3582" s="115">
        <v>43949</v>
      </c>
      <c r="F3582" s="114">
        <v>202101</v>
      </c>
      <c r="G3582" s="112" t="s">
        <v>1091</v>
      </c>
      <c r="H3582" s="112" t="s">
        <v>1015</v>
      </c>
      <c r="I3582" s="112" t="s">
        <v>1096</v>
      </c>
      <c r="J3582" s="112" t="s">
        <v>2484</v>
      </c>
      <c r="K3582" s="112" t="s">
        <v>1098</v>
      </c>
      <c r="L3582" s="116">
        <v>314.88</v>
      </c>
    </row>
    <row r="3583" spans="1:12" hidden="1" outlineLevel="1" collapsed="1" x14ac:dyDescent="0.35">
      <c r="A3583" s="112" t="s">
        <v>2479</v>
      </c>
      <c r="B3583" s="112" t="s">
        <v>908</v>
      </c>
      <c r="C3583" s="112" t="s">
        <v>695</v>
      </c>
      <c r="D3583" s="113">
        <v>10348034</v>
      </c>
      <c r="E3583" s="115">
        <v>43928</v>
      </c>
      <c r="F3583" s="114">
        <v>202101</v>
      </c>
      <c r="G3583" s="112" t="s">
        <v>1091</v>
      </c>
      <c r="H3583" s="112" t="s">
        <v>1015</v>
      </c>
      <c r="I3583" s="112" t="s">
        <v>1211</v>
      </c>
      <c r="J3583" s="112" t="s">
        <v>2516</v>
      </c>
      <c r="K3583" s="112" t="s">
        <v>3281</v>
      </c>
      <c r="L3583" s="116">
        <v>-2414</v>
      </c>
    </row>
    <row r="3584" spans="1:12" hidden="1" outlineLevel="1" collapsed="1" x14ac:dyDescent="0.35">
      <c r="A3584" s="112" t="s">
        <v>2479</v>
      </c>
      <c r="B3584" s="112" t="s">
        <v>909</v>
      </c>
      <c r="C3584" s="112" t="s">
        <v>1095</v>
      </c>
      <c r="D3584" s="113">
        <v>10348451</v>
      </c>
      <c r="E3584" s="115">
        <v>43949</v>
      </c>
      <c r="F3584" s="114">
        <v>202101</v>
      </c>
      <c r="G3584" s="112" t="s">
        <v>1091</v>
      </c>
      <c r="H3584" s="112" t="s">
        <v>1015</v>
      </c>
      <c r="I3584" s="112" t="s">
        <v>1113</v>
      </c>
      <c r="J3584" s="112" t="s">
        <v>2480</v>
      </c>
      <c r="K3584" s="112" t="s">
        <v>1098</v>
      </c>
      <c r="L3584" s="116">
        <v>34.78</v>
      </c>
    </row>
    <row r="3585" spans="1:12" hidden="1" outlineLevel="1" collapsed="1" x14ac:dyDescent="0.35">
      <c r="A3585" s="112" t="s">
        <v>2479</v>
      </c>
      <c r="B3585" s="112" t="s">
        <v>908</v>
      </c>
      <c r="C3585" s="112" t="s">
        <v>1095</v>
      </c>
      <c r="D3585" s="113">
        <v>10348451</v>
      </c>
      <c r="E3585" s="115">
        <v>43949</v>
      </c>
      <c r="F3585" s="114">
        <v>202101</v>
      </c>
      <c r="G3585" s="112" t="s">
        <v>1091</v>
      </c>
      <c r="H3585" s="112" t="s">
        <v>1015</v>
      </c>
      <c r="I3585" s="112" t="s">
        <v>1101</v>
      </c>
      <c r="J3585" s="112" t="s">
        <v>2484</v>
      </c>
      <c r="K3585" s="112" t="s">
        <v>1098</v>
      </c>
      <c r="L3585" s="116">
        <v>488.23</v>
      </c>
    </row>
    <row r="3586" spans="1:12" hidden="1" outlineLevel="1" collapsed="1" x14ac:dyDescent="0.35">
      <c r="A3586" s="112" t="s">
        <v>2479</v>
      </c>
      <c r="B3586" s="112" t="s">
        <v>908</v>
      </c>
      <c r="C3586" s="112" t="s">
        <v>1219</v>
      </c>
      <c r="D3586" s="113">
        <v>46307134</v>
      </c>
      <c r="E3586" s="115">
        <v>43924</v>
      </c>
      <c r="F3586" s="114">
        <v>202101</v>
      </c>
      <c r="G3586" s="112" t="s">
        <v>1091</v>
      </c>
      <c r="H3586" s="112" t="s">
        <v>1015</v>
      </c>
      <c r="I3586" s="112" t="s">
        <v>1211</v>
      </c>
      <c r="J3586" s="112" t="s">
        <v>2516</v>
      </c>
      <c r="K3586" s="112" t="s">
        <v>1220</v>
      </c>
      <c r="L3586" s="116">
        <v>7847.69</v>
      </c>
    </row>
    <row r="3587" spans="1:12" hidden="1" outlineLevel="1" collapsed="1" x14ac:dyDescent="0.35">
      <c r="A3587" s="112" t="s">
        <v>2479</v>
      </c>
      <c r="B3587" s="112" t="s">
        <v>908</v>
      </c>
      <c r="C3587" s="112" t="s">
        <v>1095</v>
      </c>
      <c r="D3587" s="113">
        <v>10348451</v>
      </c>
      <c r="E3587" s="115">
        <v>43949</v>
      </c>
      <c r="F3587" s="114">
        <v>202101</v>
      </c>
      <c r="G3587" s="112" t="s">
        <v>1091</v>
      </c>
      <c r="H3587" s="112" t="s">
        <v>1015</v>
      </c>
      <c r="I3587" s="112" t="s">
        <v>1096</v>
      </c>
      <c r="J3587" s="112" t="s">
        <v>2584</v>
      </c>
      <c r="K3587" s="112" t="s">
        <v>1098</v>
      </c>
      <c r="L3587" s="116">
        <v>404.26</v>
      </c>
    </row>
    <row r="3588" spans="1:12" hidden="1" outlineLevel="1" collapsed="1" x14ac:dyDescent="0.35">
      <c r="A3588" s="112" t="s">
        <v>2479</v>
      </c>
      <c r="B3588" s="112" t="s">
        <v>908</v>
      </c>
      <c r="C3588" s="112" t="s">
        <v>1150</v>
      </c>
      <c r="D3588" s="113">
        <v>10348688</v>
      </c>
      <c r="E3588" s="115">
        <v>43978</v>
      </c>
      <c r="F3588" s="114">
        <v>202101</v>
      </c>
      <c r="G3588" s="112" t="s">
        <v>1091</v>
      </c>
      <c r="H3588" s="112" t="s">
        <v>1015</v>
      </c>
      <c r="I3588" s="112" t="s">
        <v>1211</v>
      </c>
      <c r="J3588" s="112" t="s">
        <v>2516</v>
      </c>
      <c r="K3588" s="112" t="s">
        <v>3282</v>
      </c>
      <c r="L3588" s="116">
        <v>834.53</v>
      </c>
    </row>
    <row r="3589" spans="1:12" hidden="1" outlineLevel="1" collapsed="1" x14ac:dyDescent="0.35">
      <c r="A3589" s="112" t="s">
        <v>2479</v>
      </c>
      <c r="B3589" s="112" t="s">
        <v>909</v>
      </c>
      <c r="C3589" s="112" t="s">
        <v>1095</v>
      </c>
      <c r="D3589" s="113">
        <v>10348451</v>
      </c>
      <c r="E3589" s="115">
        <v>43949</v>
      </c>
      <c r="F3589" s="114">
        <v>202101</v>
      </c>
      <c r="G3589" s="112" t="s">
        <v>1091</v>
      </c>
      <c r="H3589" s="112" t="s">
        <v>1015</v>
      </c>
      <c r="I3589" s="112" t="s">
        <v>1101</v>
      </c>
      <c r="J3589" s="112" t="s">
        <v>2673</v>
      </c>
      <c r="K3589" s="112" t="s">
        <v>1098</v>
      </c>
      <c r="L3589" s="116">
        <v>426.26</v>
      </c>
    </row>
    <row r="3590" spans="1:12" hidden="1" outlineLevel="1" collapsed="1" x14ac:dyDescent="0.35">
      <c r="A3590" s="112" t="s">
        <v>2479</v>
      </c>
      <c r="B3590" s="112" t="s">
        <v>908</v>
      </c>
      <c r="C3590" s="112" t="s">
        <v>1095</v>
      </c>
      <c r="D3590" s="113">
        <v>10348451</v>
      </c>
      <c r="E3590" s="115">
        <v>43949</v>
      </c>
      <c r="F3590" s="114">
        <v>202101</v>
      </c>
      <c r="G3590" s="112" t="s">
        <v>1091</v>
      </c>
      <c r="H3590" s="112" t="s">
        <v>1015</v>
      </c>
      <c r="I3590" s="112" t="s">
        <v>1101</v>
      </c>
      <c r="J3590" s="112" t="s">
        <v>2584</v>
      </c>
      <c r="K3590" s="112" t="s">
        <v>1098</v>
      </c>
      <c r="L3590" s="116">
        <v>483.07</v>
      </c>
    </row>
    <row r="3591" spans="1:12" hidden="1" outlineLevel="1" collapsed="1" x14ac:dyDescent="0.35">
      <c r="A3591" s="112" t="s">
        <v>2479</v>
      </c>
      <c r="B3591" s="112" t="s">
        <v>908</v>
      </c>
      <c r="C3591" s="112" t="s">
        <v>1095</v>
      </c>
      <c r="D3591" s="113">
        <v>10348451</v>
      </c>
      <c r="E3591" s="115">
        <v>43949</v>
      </c>
      <c r="F3591" s="114">
        <v>202101</v>
      </c>
      <c r="G3591" s="112" t="s">
        <v>1091</v>
      </c>
      <c r="H3591" s="112" t="s">
        <v>1015</v>
      </c>
      <c r="I3591" s="112" t="s">
        <v>1096</v>
      </c>
      <c r="J3591" s="112" t="s">
        <v>2584</v>
      </c>
      <c r="K3591" s="112" t="s">
        <v>1098</v>
      </c>
      <c r="L3591" s="116">
        <v>310.49</v>
      </c>
    </row>
    <row r="3592" spans="1:12" hidden="1" outlineLevel="1" collapsed="1" x14ac:dyDescent="0.35">
      <c r="A3592" s="112" t="s">
        <v>2479</v>
      </c>
      <c r="B3592" s="112" t="s">
        <v>908</v>
      </c>
      <c r="C3592" s="112" t="s">
        <v>1219</v>
      </c>
      <c r="D3592" s="113">
        <v>46307134</v>
      </c>
      <c r="E3592" s="115">
        <v>43924</v>
      </c>
      <c r="F3592" s="114">
        <v>202101</v>
      </c>
      <c r="G3592" s="112" t="s">
        <v>1091</v>
      </c>
      <c r="H3592" s="112" t="s">
        <v>1015</v>
      </c>
      <c r="I3592" s="112" t="s">
        <v>1211</v>
      </c>
      <c r="J3592" s="112" t="s">
        <v>2503</v>
      </c>
      <c r="K3592" s="112" t="s">
        <v>1220</v>
      </c>
      <c r="L3592" s="116">
        <v>1611.07</v>
      </c>
    </row>
    <row r="3593" spans="1:12" hidden="1" outlineLevel="1" collapsed="1" x14ac:dyDescent="0.35">
      <c r="A3593" s="112" t="s">
        <v>2479</v>
      </c>
      <c r="B3593" s="112" t="s">
        <v>908</v>
      </c>
      <c r="C3593" s="112" t="s">
        <v>1095</v>
      </c>
      <c r="D3593" s="113">
        <v>10348451</v>
      </c>
      <c r="E3593" s="115">
        <v>43949</v>
      </c>
      <c r="F3593" s="114">
        <v>202101</v>
      </c>
      <c r="G3593" s="112" t="s">
        <v>1091</v>
      </c>
      <c r="H3593" s="112" t="s">
        <v>1015</v>
      </c>
      <c r="I3593" s="112" t="s">
        <v>1096</v>
      </c>
      <c r="J3593" s="112" t="s">
        <v>2503</v>
      </c>
      <c r="K3593" s="112" t="s">
        <v>1098</v>
      </c>
      <c r="L3593" s="116">
        <v>262.10000000000002</v>
      </c>
    </row>
    <row r="3594" spans="1:12" hidden="1" outlineLevel="1" collapsed="1" x14ac:dyDescent="0.35">
      <c r="A3594" s="112" t="s">
        <v>2479</v>
      </c>
      <c r="B3594" s="112" t="s">
        <v>908</v>
      </c>
      <c r="C3594" s="112" t="s">
        <v>1095</v>
      </c>
      <c r="D3594" s="113">
        <v>10348451</v>
      </c>
      <c r="E3594" s="115">
        <v>43949</v>
      </c>
      <c r="F3594" s="114">
        <v>202101</v>
      </c>
      <c r="G3594" s="112" t="s">
        <v>1091</v>
      </c>
      <c r="H3594" s="112" t="s">
        <v>1015</v>
      </c>
      <c r="I3594" s="112" t="s">
        <v>1101</v>
      </c>
      <c r="J3594" s="112" t="s">
        <v>2503</v>
      </c>
      <c r="K3594" s="112" t="s">
        <v>1098</v>
      </c>
      <c r="L3594" s="116">
        <v>426.26</v>
      </c>
    </row>
    <row r="3595" spans="1:12" hidden="1" outlineLevel="1" collapsed="1" x14ac:dyDescent="0.35">
      <c r="A3595" s="112" t="s">
        <v>2479</v>
      </c>
      <c r="B3595" s="112" t="s">
        <v>909</v>
      </c>
      <c r="C3595" s="112" t="s">
        <v>1095</v>
      </c>
      <c r="D3595" s="113">
        <v>10348451</v>
      </c>
      <c r="E3595" s="115">
        <v>43949</v>
      </c>
      <c r="F3595" s="114">
        <v>202101</v>
      </c>
      <c r="G3595" s="112" t="s">
        <v>1091</v>
      </c>
      <c r="H3595" s="112" t="s">
        <v>1015</v>
      </c>
      <c r="I3595" s="112" t="s">
        <v>1263</v>
      </c>
      <c r="J3595" s="112" t="s">
        <v>2480</v>
      </c>
      <c r="K3595" s="112" t="s">
        <v>1098</v>
      </c>
      <c r="L3595" s="116">
        <v>342.61</v>
      </c>
    </row>
    <row r="3596" spans="1:12" hidden="1" outlineLevel="1" collapsed="1" x14ac:dyDescent="0.35">
      <c r="A3596" s="112" t="s">
        <v>2479</v>
      </c>
      <c r="B3596" s="112" t="s">
        <v>908</v>
      </c>
      <c r="C3596" s="112" t="s">
        <v>1095</v>
      </c>
      <c r="D3596" s="113">
        <v>10348451</v>
      </c>
      <c r="E3596" s="115">
        <v>43949</v>
      </c>
      <c r="F3596" s="114">
        <v>202101</v>
      </c>
      <c r="G3596" s="112" t="s">
        <v>1091</v>
      </c>
      <c r="H3596" s="112" t="s">
        <v>1015</v>
      </c>
      <c r="I3596" s="112" t="s">
        <v>1096</v>
      </c>
      <c r="J3596" s="112" t="s">
        <v>2513</v>
      </c>
      <c r="K3596" s="112" t="s">
        <v>1098</v>
      </c>
      <c r="L3596" s="116">
        <v>155.25</v>
      </c>
    </row>
    <row r="3597" spans="1:12" hidden="1" outlineLevel="1" collapsed="1" x14ac:dyDescent="0.35">
      <c r="A3597" s="112" t="s">
        <v>2479</v>
      </c>
      <c r="B3597" s="112" t="s">
        <v>908</v>
      </c>
      <c r="C3597" s="112" t="s">
        <v>1095</v>
      </c>
      <c r="D3597" s="113">
        <v>10348451</v>
      </c>
      <c r="E3597" s="115">
        <v>43949</v>
      </c>
      <c r="F3597" s="114">
        <v>202101</v>
      </c>
      <c r="G3597" s="112" t="s">
        <v>1091</v>
      </c>
      <c r="H3597" s="112" t="s">
        <v>1015</v>
      </c>
      <c r="I3597" s="112" t="s">
        <v>1101</v>
      </c>
      <c r="J3597" s="112" t="s">
        <v>2584</v>
      </c>
      <c r="K3597" s="112" t="s">
        <v>1098</v>
      </c>
      <c r="L3597" s="116">
        <v>602.15</v>
      </c>
    </row>
    <row r="3598" spans="1:12" hidden="1" outlineLevel="1" collapsed="1" x14ac:dyDescent="0.35">
      <c r="A3598" s="112" t="s">
        <v>2479</v>
      </c>
      <c r="B3598" s="112" t="s">
        <v>909</v>
      </c>
      <c r="C3598" s="112" t="s">
        <v>1095</v>
      </c>
      <c r="D3598" s="113">
        <v>10348451</v>
      </c>
      <c r="E3598" s="115">
        <v>43949</v>
      </c>
      <c r="F3598" s="114">
        <v>202101</v>
      </c>
      <c r="G3598" s="112" t="s">
        <v>1091</v>
      </c>
      <c r="H3598" s="112" t="s">
        <v>1015</v>
      </c>
      <c r="I3598" s="112" t="s">
        <v>1116</v>
      </c>
      <c r="J3598" s="112" t="s">
        <v>2480</v>
      </c>
      <c r="K3598" s="112" t="s">
        <v>1098</v>
      </c>
      <c r="L3598" s="116">
        <v>2609.58</v>
      </c>
    </row>
    <row r="3599" spans="1:12" hidden="1" outlineLevel="1" collapsed="1" x14ac:dyDescent="0.35">
      <c r="A3599" s="112" t="s">
        <v>2479</v>
      </c>
      <c r="B3599" s="112" t="s">
        <v>908</v>
      </c>
      <c r="C3599" s="112" t="s">
        <v>1095</v>
      </c>
      <c r="D3599" s="113">
        <v>10348451</v>
      </c>
      <c r="E3599" s="115">
        <v>43949</v>
      </c>
      <c r="F3599" s="114">
        <v>202101</v>
      </c>
      <c r="G3599" s="112" t="s">
        <v>1091</v>
      </c>
      <c r="H3599" s="112" t="s">
        <v>1015</v>
      </c>
      <c r="I3599" s="112" t="s">
        <v>1096</v>
      </c>
      <c r="J3599" s="112" t="s">
        <v>2520</v>
      </c>
      <c r="K3599" s="112" t="s">
        <v>1098</v>
      </c>
      <c r="L3599" s="116">
        <v>242.47</v>
      </c>
    </row>
    <row r="3600" spans="1:12" hidden="1" outlineLevel="1" collapsed="1" x14ac:dyDescent="0.35">
      <c r="A3600" s="112" t="s">
        <v>2479</v>
      </c>
      <c r="B3600" s="112" t="s">
        <v>909</v>
      </c>
      <c r="C3600" s="112" t="s">
        <v>1095</v>
      </c>
      <c r="D3600" s="113">
        <v>10348451</v>
      </c>
      <c r="E3600" s="115">
        <v>43949</v>
      </c>
      <c r="F3600" s="114">
        <v>202101</v>
      </c>
      <c r="G3600" s="112" t="s">
        <v>1091</v>
      </c>
      <c r="H3600" s="112" t="s">
        <v>1015</v>
      </c>
      <c r="I3600" s="112" t="s">
        <v>1101</v>
      </c>
      <c r="J3600" s="112" t="s">
        <v>2480</v>
      </c>
      <c r="K3600" s="112" t="s">
        <v>1098</v>
      </c>
      <c r="L3600" s="116">
        <v>366.04</v>
      </c>
    </row>
    <row r="3601" spans="1:12" hidden="1" outlineLevel="1" collapsed="1" x14ac:dyDescent="0.35">
      <c r="A3601" s="112" t="s">
        <v>2479</v>
      </c>
      <c r="B3601" s="112" t="s">
        <v>909</v>
      </c>
      <c r="C3601" s="112" t="s">
        <v>1095</v>
      </c>
      <c r="D3601" s="113">
        <v>10348451</v>
      </c>
      <c r="E3601" s="115">
        <v>43949</v>
      </c>
      <c r="F3601" s="114">
        <v>202101</v>
      </c>
      <c r="G3601" s="112" t="s">
        <v>1091</v>
      </c>
      <c r="H3601" s="112" t="s">
        <v>1015</v>
      </c>
      <c r="I3601" s="112" t="s">
        <v>1096</v>
      </c>
      <c r="J3601" s="112" t="s">
        <v>3217</v>
      </c>
      <c r="K3601" s="112" t="s">
        <v>1098</v>
      </c>
      <c r="L3601" s="116">
        <v>571.19000000000005</v>
      </c>
    </row>
    <row r="3602" spans="1:12" hidden="1" outlineLevel="1" collapsed="1" x14ac:dyDescent="0.35">
      <c r="A3602" s="112" t="s">
        <v>2479</v>
      </c>
      <c r="B3602" s="112" t="s">
        <v>908</v>
      </c>
      <c r="C3602" s="112" t="s">
        <v>1095</v>
      </c>
      <c r="D3602" s="113">
        <v>10348451</v>
      </c>
      <c r="E3602" s="115">
        <v>43949</v>
      </c>
      <c r="F3602" s="114">
        <v>202101</v>
      </c>
      <c r="G3602" s="112" t="s">
        <v>1091</v>
      </c>
      <c r="H3602" s="112" t="s">
        <v>1015</v>
      </c>
      <c r="I3602" s="112" t="s">
        <v>1101</v>
      </c>
      <c r="J3602" s="112" t="s">
        <v>2520</v>
      </c>
      <c r="K3602" s="112" t="s">
        <v>1098</v>
      </c>
      <c r="L3602" s="116">
        <v>403.22</v>
      </c>
    </row>
    <row r="3603" spans="1:12" hidden="1" outlineLevel="1" collapsed="1" x14ac:dyDescent="0.35">
      <c r="A3603" s="112" t="s">
        <v>2479</v>
      </c>
      <c r="B3603" s="112" t="s">
        <v>909</v>
      </c>
      <c r="C3603" s="112" t="s">
        <v>203</v>
      </c>
      <c r="D3603" s="113">
        <v>10348453</v>
      </c>
      <c r="E3603" s="115">
        <v>43948</v>
      </c>
      <c r="F3603" s="114">
        <v>202101</v>
      </c>
      <c r="G3603" s="112" t="s">
        <v>1091</v>
      </c>
      <c r="H3603" s="112" t="s">
        <v>1015</v>
      </c>
      <c r="I3603" s="112" t="s">
        <v>1116</v>
      </c>
      <c r="J3603" s="112" t="s">
        <v>2480</v>
      </c>
      <c r="K3603" s="112" t="s">
        <v>1098</v>
      </c>
      <c r="L3603" s="116">
        <v>-278.20999999999998</v>
      </c>
    </row>
    <row r="3604" spans="1:12" hidden="1" outlineLevel="1" collapsed="1" x14ac:dyDescent="0.35">
      <c r="A3604" s="112" t="s">
        <v>2479</v>
      </c>
      <c r="B3604" s="112" t="s">
        <v>909</v>
      </c>
      <c r="C3604" s="112" t="s">
        <v>1095</v>
      </c>
      <c r="D3604" s="113">
        <v>10348451</v>
      </c>
      <c r="E3604" s="115">
        <v>43949</v>
      </c>
      <c r="F3604" s="114">
        <v>202101</v>
      </c>
      <c r="G3604" s="112" t="s">
        <v>1091</v>
      </c>
      <c r="H3604" s="112" t="s">
        <v>1015</v>
      </c>
      <c r="I3604" s="112" t="s">
        <v>1101</v>
      </c>
      <c r="J3604" s="112" t="s">
        <v>2480</v>
      </c>
      <c r="K3604" s="112" t="s">
        <v>1098</v>
      </c>
      <c r="L3604" s="116">
        <v>611.30999999999995</v>
      </c>
    </row>
    <row r="3605" spans="1:12" hidden="1" outlineLevel="1" collapsed="1" x14ac:dyDescent="0.35">
      <c r="A3605" s="112" t="s">
        <v>2479</v>
      </c>
      <c r="B3605" s="112" t="s">
        <v>909</v>
      </c>
      <c r="C3605" s="112" t="s">
        <v>1095</v>
      </c>
      <c r="D3605" s="113">
        <v>10348451</v>
      </c>
      <c r="E3605" s="115">
        <v>43949</v>
      </c>
      <c r="F3605" s="114">
        <v>202101</v>
      </c>
      <c r="G3605" s="112" t="s">
        <v>1091</v>
      </c>
      <c r="H3605" s="112" t="s">
        <v>1015</v>
      </c>
      <c r="I3605" s="112" t="s">
        <v>1116</v>
      </c>
      <c r="J3605" s="112" t="s">
        <v>2480</v>
      </c>
      <c r="K3605" s="112" t="s">
        <v>1098</v>
      </c>
      <c r="L3605" s="116">
        <v>2969.27</v>
      </c>
    </row>
    <row r="3606" spans="1:12" hidden="1" outlineLevel="1" collapsed="1" x14ac:dyDescent="0.35">
      <c r="A3606" s="112" t="s">
        <v>2479</v>
      </c>
      <c r="B3606" s="112" t="s">
        <v>909</v>
      </c>
      <c r="C3606" s="112" t="s">
        <v>1095</v>
      </c>
      <c r="D3606" s="113">
        <v>10348451</v>
      </c>
      <c r="E3606" s="115">
        <v>43949</v>
      </c>
      <c r="F3606" s="114">
        <v>202101</v>
      </c>
      <c r="G3606" s="112" t="s">
        <v>1091</v>
      </c>
      <c r="H3606" s="112" t="s">
        <v>1015</v>
      </c>
      <c r="I3606" s="112" t="s">
        <v>1096</v>
      </c>
      <c r="J3606" s="112" t="s">
        <v>2673</v>
      </c>
      <c r="K3606" s="112" t="s">
        <v>1098</v>
      </c>
      <c r="L3606" s="116">
        <v>366.99</v>
      </c>
    </row>
    <row r="3607" spans="1:12" hidden="1" outlineLevel="1" collapsed="1" x14ac:dyDescent="0.35">
      <c r="A3607" s="112" t="s">
        <v>2479</v>
      </c>
      <c r="B3607" s="112" t="s">
        <v>909</v>
      </c>
      <c r="C3607" s="112" t="s">
        <v>1095</v>
      </c>
      <c r="D3607" s="113">
        <v>10348451</v>
      </c>
      <c r="E3607" s="115">
        <v>43949</v>
      </c>
      <c r="F3607" s="114">
        <v>202101</v>
      </c>
      <c r="G3607" s="112" t="s">
        <v>1091</v>
      </c>
      <c r="H3607" s="112" t="s">
        <v>1015</v>
      </c>
      <c r="I3607" s="112" t="s">
        <v>1101</v>
      </c>
      <c r="J3607" s="112" t="s">
        <v>2673</v>
      </c>
      <c r="K3607" s="112" t="s">
        <v>1098</v>
      </c>
      <c r="L3607" s="116">
        <v>549.4</v>
      </c>
    </row>
    <row r="3608" spans="1:12" hidden="1" outlineLevel="1" collapsed="1" x14ac:dyDescent="0.35">
      <c r="A3608" s="112" t="s">
        <v>2479</v>
      </c>
      <c r="B3608" s="112" t="s">
        <v>909</v>
      </c>
      <c r="C3608" s="112" t="s">
        <v>1095</v>
      </c>
      <c r="D3608" s="113">
        <v>10348451</v>
      </c>
      <c r="E3608" s="115">
        <v>43949</v>
      </c>
      <c r="F3608" s="114">
        <v>202101</v>
      </c>
      <c r="G3608" s="112" t="s">
        <v>1091</v>
      </c>
      <c r="H3608" s="112" t="s">
        <v>1015</v>
      </c>
      <c r="I3608" s="112" t="s">
        <v>1101</v>
      </c>
      <c r="J3608" s="112" t="s">
        <v>3217</v>
      </c>
      <c r="K3608" s="112" t="s">
        <v>1098</v>
      </c>
      <c r="L3608" s="116">
        <v>789.11</v>
      </c>
    </row>
    <row r="3609" spans="1:12" hidden="1" outlineLevel="1" collapsed="1" x14ac:dyDescent="0.35">
      <c r="A3609" s="112" t="s">
        <v>2479</v>
      </c>
      <c r="B3609" s="112" t="s">
        <v>909</v>
      </c>
      <c r="C3609" s="112" t="s">
        <v>1095</v>
      </c>
      <c r="D3609" s="113">
        <v>10348451</v>
      </c>
      <c r="E3609" s="115">
        <v>43949</v>
      </c>
      <c r="F3609" s="114">
        <v>202101</v>
      </c>
      <c r="G3609" s="112" t="s">
        <v>1091</v>
      </c>
      <c r="H3609" s="112" t="s">
        <v>1015</v>
      </c>
      <c r="I3609" s="112" t="s">
        <v>1116</v>
      </c>
      <c r="J3609" s="112" t="s">
        <v>2480</v>
      </c>
      <c r="K3609" s="112" t="s">
        <v>1098</v>
      </c>
      <c r="L3609" s="116">
        <v>2639.31</v>
      </c>
    </row>
    <row r="3610" spans="1:12" hidden="1" outlineLevel="1" collapsed="1" x14ac:dyDescent="0.35">
      <c r="A3610" s="112" t="s">
        <v>2479</v>
      </c>
      <c r="B3610" s="112" t="s">
        <v>909</v>
      </c>
      <c r="C3610" s="112" t="s">
        <v>1095</v>
      </c>
      <c r="D3610" s="113">
        <v>10348451</v>
      </c>
      <c r="E3610" s="115">
        <v>43949</v>
      </c>
      <c r="F3610" s="114">
        <v>202101</v>
      </c>
      <c r="G3610" s="112" t="s">
        <v>1091</v>
      </c>
      <c r="H3610" s="112" t="s">
        <v>1015</v>
      </c>
      <c r="I3610" s="112" t="s">
        <v>1113</v>
      </c>
      <c r="J3610" s="112" t="s">
        <v>2480</v>
      </c>
      <c r="K3610" s="112" t="s">
        <v>1098</v>
      </c>
      <c r="L3610" s="116">
        <v>21.67</v>
      </c>
    </row>
    <row r="3611" spans="1:12" hidden="1" outlineLevel="1" collapsed="1" x14ac:dyDescent="0.35">
      <c r="A3611" s="112" t="s">
        <v>2479</v>
      </c>
      <c r="B3611" s="112" t="s">
        <v>909</v>
      </c>
      <c r="C3611" s="112" t="s">
        <v>1095</v>
      </c>
      <c r="D3611" s="113">
        <v>10348451</v>
      </c>
      <c r="E3611" s="115">
        <v>43949</v>
      </c>
      <c r="F3611" s="114">
        <v>202101</v>
      </c>
      <c r="G3611" s="112" t="s">
        <v>1091</v>
      </c>
      <c r="H3611" s="112" t="s">
        <v>1015</v>
      </c>
      <c r="I3611" s="112" t="s">
        <v>1116</v>
      </c>
      <c r="J3611" s="112" t="s">
        <v>2480</v>
      </c>
      <c r="K3611" s="112" t="s">
        <v>1098</v>
      </c>
      <c r="L3611" s="116">
        <v>2981.92</v>
      </c>
    </row>
    <row r="3612" spans="1:12" hidden="1" outlineLevel="1" collapsed="1" x14ac:dyDescent="0.35">
      <c r="A3612" s="112" t="s">
        <v>2479</v>
      </c>
      <c r="B3612" s="112" t="s">
        <v>909</v>
      </c>
      <c r="C3612" s="112" t="s">
        <v>1095</v>
      </c>
      <c r="D3612" s="113">
        <v>10348451</v>
      </c>
      <c r="E3612" s="115">
        <v>43949</v>
      </c>
      <c r="F3612" s="114">
        <v>202101</v>
      </c>
      <c r="G3612" s="112" t="s">
        <v>1091</v>
      </c>
      <c r="H3612" s="112" t="s">
        <v>1015</v>
      </c>
      <c r="I3612" s="112" t="s">
        <v>1116</v>
      </c>
      <c r="J3612" s="112" t="s">
        <v>2480</v>
      </c>
      <c r="K3612" s="112" t="s">
        <v>1098</v>
      </c>
      <c r="L3612" s="116">
        <v>2259.5</v>
      </c>
    </row>
    <row r="3613" spans="1:12" hidden="1" outlineLevel="1" collapsed="1" x14ac:dyDescent="0.35">
      <c r="A3613" s="112" t="s">
        <v>2479</v>
      </c>
      <c r="B3613" s="112" t="s">
        <v>909</v>
      </c>
      <c r="C3613" s="112" t="s">
        <v>1095</v>
      </c>
      <c r="D3613" s="113">
        <v>10348451</v>
      </c>
      <c r="E3613" s="115">
        <v>43949</v>
      </c>
      <c r="F3613" s="114">
        <v>202101</v>
      </c>
      <c r="G3613" s="112" t="s">
        <v>1091</v>
      </c>
      <c r="H3613" s="112" t="s">
        <v>1015</v>
      </c>
      <c r="I3613" s="112" t="s">
        <v>1096</v>
      </c>
      <c r="J3613" s="112" t="s">
        <v>2652</v>
      </c>
      <c r="K3613" s="112" t="s">
        <v>1098</v>
      </c>
      <c r="L3613" s="116">
        <v>183.58</v>
      </c>
    </row>
    <row r="3614" spans="1:12" hidden="1" outlineLevel="1" collapsed="1" x14ac:dyDescent="0.35">
      <c r="A3614" s="112" t="s">
        <v>2479</v>
      </c>
      <c r="B3614" s="112" t="s">
        <v>909</v>
      </c>
      <c r="C3614" s="112" t="s">
        <v>1095</v>
      </c>
      <c r="D3614" s="113">
        <v>10348451</v>
      </c>
      <c r="E3614" s="115">
        <v>43949</v>
      </c>
      <c r="F3614" s="114">
        <v>202101</v>
      </c>
      <c r="G3614" s="112" t="s">
        <v>1091</v>
      </c>
      <c r="H3614" s="112" t="s">
        <v>1015</v>
      </c>
      <c r="I3614" s="112" t="s">
        <v>3261</v>
      </c>
      <c r="J3614" s="112" t="s">
        <v>2480</v>
      </c>
      <c r="K3614" s="112" t="s">
        <v>1098</v>
      </c>
      <c r="L3614" s="116">
        <v>30.18</v>
      </c>
    </row>
    <row r="3615" spans="1:12" hidden="1" outlineLevel="1" collapsed="1" x14ac:dyDescent="0.35">
      <c r="A3615" s="112" t="s">
        <v>2479</v>
      </c>
      <c r="B3615" s="112" t="s">
        <v>909</v>
      </c>
      <c r="C3615" s="112" t="s">
        <v>1095</v>
      </c>
      <c r="D3615" s="113">
        <v>10348451</v>
      </c>
      <c r="E3615" s="115">
        <v>43949</v>
      </c>
      <c r="F3615" s="114">
        <v>202101</v>
      </c>
      <c r="G3615" s="112" t="s">
        <v>1091</v>
      </c>
      <c r="H3615" s="112" t="s">
        <v>1015</v>
      </c>
      <c r="I3615" s="112" t="s">
        <v>1116</v>
      </c>
      <c r="J3615" s="112" t="s">
        <v>2480</v>
      </c>
      <c r="K3615" s="112" t="s">
        <v>1098</v>
      </c>
      <c r="L3615" s="116">
        <v>2224.7199999999998</v>
      </c>
    </row>
    <row r="3616" spans="1:12" hidden="1" outlineLevel="1" collapsed="1" x14ac:dyDescent="0.35">
      <c r="A3616" s="112" t="s">
        <v>2479</v>
      </c>
      <c r="B3616" s="112" t="s">
        <v>909</v>
      </c>
      <c r="C3616" s="112" t="s">
        <v>1095</v>
      </c>
      <c r="D3616" s="113">
        <v>10348451</v>
      </c>
      <c r="E3616" s="115">
        <v>43949</v>
      </c>
      <c r="F3616" s="114">
        <v>202101</v>
      </c>
      <c r="G3616" s="112" t="s">
        <v>1091</v>
      </c>
      <c r="H3616" s="112" t="s">
        <v>1015</v>
      </c>
      <c r="I3616" s="112" t="s">
        <v>1096</v>
      </c>
      <c r="J3616" s="112" t="s">
        <v>2480</v>
      </c>
      <c r="K3616" s="112" t="s">
        <v>1098</v>
      </c>
      <c r="L3616" s="116">
        <v>259.11</v>
      </c>
    </row>
    <row r="3617" spans="1:12" hidden="1" outlineLevel="1" collapsed="1" x14ac:dyDescent="0.35">
      <c r="A3617" s="112" t="s">
        <v>2479</v>
      </c>
      <c r="B3617" s="112" t="s">
        <v>908</v>
      </c>
      <c r="C3617" s="112" t="s">
        <v>1095</v>
      </c>
      <c r="D3617" s="113">
        <v>10348451</v>
      </c>
      <c r="E3617" s="115">
        <v>43949</v>
      </c>
      <c r="F3617" s="114">
        <v>202101</v>
      </c>
      <c r="G3617" s="112" t="s">
        <v>1091</v>
      </c>
      <c r="H3617" s="112" t="s">
        <v>1015</v>
      </c>
      <c r="I3617" s="112" t="s">
        <v>1101</v>
      </c>
      <c r="J3617" s="112" t="s">
        <v>2584</v>
      </c>
      <c r="K3617" s="112" t="s">
        <v>1098</v>
      </c>
      <c r="L3617" s="116">
        <v>298.97000000000003</v>
      </c>
    </row>
    <row r="3618" spans="1:12" hidden="1" outlineLevel="1" collapsed="1" x14ac:dyDescent="0.35">
      <c r="A3618" s="112" t="s">
        <v>2479</v>
      </c>
      <c r="B3618" s="112" t="s">
        <v>908</v>
      </c>
      <c r="C3618" s="112" t="s">
        <v>1095</v>
      </c>
      <c r="D3618" s="113">
        <v>10348451</v>
      </c>
      <c r="E3618" s="115">
        <v>43949</v>
      </c>
      <c r="F3618" s="114">
        <v>202101</v>
      </c>
      <c r="G3618" s="112" t="s">
        <v>1091</v>
      </c>
      <c r="H3618" s="112" t="s">
        <v>1015</v>
      </c>
      <c r="I3618" s="112" t="s">
        <v>1096</v>
      </c>
      <c r="J3618" s="112" t="s">
        <v>2498</v>
      </c>
      <c r="K3618" s="112" t="s">
        <v>1098</v>
      </c>
      <c r="L3618" s="116">
        <v>210.79</v>
      </c>
    </row>
    <row r="3619" spans="1:12" hidden="1" outlineLevel="1" collapsed="1" x14ac:dyDescent="0.35">
      <c r="A3619" s="112" t="s">
        <v>2479</v>
      </c>
      <c r="B3619" s="112" t="s">
        <v>909</v>
      </c>
      <c r="C3619" s="112" t="s">
        <v>1095</v>
      </c>
      <c r="D3619" s="113">
        <v>10348451</v>
      </c>
      <c r="E3619" s="115">
        <v>43949</v>
      </c>
      <c r="F3619" s="114">
        <v>202101</v>
      </c>
      <c r="G3619" s="112" t="s">
        <v>1091</v>
      </c>
      <c r="H3619" s="112" t="s">
        <v>1015</v>
      </c>
      <c r="I3619" s="112" t="s">
        <v>1101</v>
      </c>
      <c r="J3619" s="112" t="s">
        <v>2480</v>
      </c>
      <c r="K3619" s="112" t="s">
        <v>1098</v>
      </c>
      <c r="L3619" s="116">
        <v>549.4</v>
      </c>
    </row>
    <row r="3620" spans="1:12" hidden="1" outlineLevel="1" collapsed="1" x14ac:dyDescent="0.35">
      <c r="A3620" s="112" t="s">
        <v>2479</v>
      </c>
      <c r="B3620" s="112" t="s">
        <v>909</v>
      </c>
      <c r="C3620" s="112" t="s">
        <v>1095</v>
      </c>
      <c r="D3620" s="113">
        <v>10348451</v>
      </c>
      <c r="E3620" s="115">
        <v>43949</v>
      </c>
      <c r="F3620" s="114">
        <v>202101</v>
      </c>
      <c r="G3620" s="112" t="s">
        <v>1091</v>
      </c>
      <c r="H3620" s="112" t="s">
        <v>1015</v>
      </c>
      <c r="I3620" s="112" t="s">
        <v>1096</v>
      </c>
      <c r="J3620" s="112" t="s">
        <v>2480</v>
      </c>
      <c r="K3620" s="112" t="s">
        <v>1098</v>
      </c>
      <c r="L3620" s="116">
        <v>308.74</v>
      </c>
    </row>
    <row r="3621" spans="1:12" hidden="1" outlineLevel="1" collapsed="1" x14ac:dyDescent="0.35">
      <c r="A3621" s="112" t="s">
        <v>2479</v>
      </c>
      <c r="B3621" s="112" t="s">
        <v>908</v>
      </c>
      <c r="C3621" s="112" t="s">
        <v>1095</v>
      </c>
      <c r="D3621" s="113">
        <v>10348451</v>
      </c>
      <c r="E3621" s="115">
        <v>43949</v>
      </c>
      <c r="F3621" s="114">
        <v>202101</v>
      </c>
      <c r="G3621" s="112" t="s">
        <v>1091</v>
      </c>
      <c r="H3621" s="112" t="s">
        <v>1015</v>
      </c>
      <c r="I3621" s="112" t="s">
        <v>1101</v>
      </c>
      <c r="J3621" s="112" t="s">
        <v>2513</v>
      </c>
      <c r="K3621" s="112" t="s">
        <v>1098</v>
      </c>
      <c r="L3621" s="116">
        <v>241.54</v>
      </c>
    </row>
    <row r="3622" spans="1:12" hidden="1" outlineLevel="1" collapsed="1" x14ac:dyDescent="0.35">
      <c r="A3622" s="112" t="s">
        <v>2479</v>
      </c>
      <c r="B3622" s="112" t="s">
        <v>908</v>
      </c>
      <c r="C3622" s="112" t="s">
        <v>1095</v>
      </c>
      <c r="D3622" s="113">
        <v>10348451</v>
      </c>
      <c r="E3622" s="115">
        <v>43949</v>
      </c>
      <c r="F3622" s="114">
        <v>202101</v>
      </c>
      <c r="G3622" s="112" t="s">
        <v>1091</v>
      </c>
      <c r="H3622" s="112" t="s">
        <v>1015</v>
      </c>
      <c r="I3622" s="112" t="s">
        <v>1116</v>
      </c>
      <c r="J3622" s="112" t="s">
        <v>2484</v>
      </c>
      <c r="K3622" s="112" t="s">
        <v>1098</v>
      </c>
      <c r="L3622" s="116">
        <v>3013.78</v>
      </c>
    </row>
    <row r="3623" spans="1:12" hidden="1" outlineLevel="1" collapsed="1" x14ac:dyDescent="0.35">
      <c r="A3623" s="112" t="s">
        <v>2479</v>
      </c>
      <c r="B3623" s="112" t="s">
        <v>908</v>
      </c>
      <c r="C3623" s="112" t="s">
        <v>1095</v>
      </c>
      <c r="D3623" s="113">
        <v>10348451</v>
      </c>
      <c r="E3623" s="115">
        <v>43949</v>
      </c>
      <c r="F3623" s="114">
        <v>202101</v>
      </c>
      <c r="G3623" s="112" t="s">
        <v>1091</v>
      </c>
      <c r="H3623" s="112" t="s">
        <v>1015</v>
      </c>
      <c r="I3623" s="112" t="s">
        <v>1116</v>
      </c>
      <c r="J3623" s="112" t="s">
        <v>2484</v>
      </c>
      <c r="K3623" s="112" t="s">
        <v>1098</v>
      </c>
      <c r="L3623" s="116">
        <v>2981.92</v>
      </c>
    </row>
    <row r="3624" spans="1:12" hidden="1" outlineLevel="1" collapsed="1" x14ac:dyDescent="0.35">
      <c r="A3624" s="112" t="s">
        <v>2479</v>
      </c>
      <c r="B3624" s="112" t="s">
        <v>909</v>
      </c>
      <c r="C3624" s="112" t="s">
        <v>1095</v>
      </c>
      <c r="D3624" s="113">
        <v>10348451</v>
      </c>
      <c r="E3624" s="115">
        <v>43949</v>
      </c>
      <c r="F3624" s="114">
        <v>202101</v>
      </c>
      <c r="G3624" s="112" t="s">
        <v>1091</v>
      </c>
      <c r="H3624" s="112" t="s">
        <v>1015</v>
      </c>
      <c r="I3624" s="112" t="s">
        <v>1096</v>
      </c>
      <c r="J3624" s="112" t="s">
        <v>2480</v>
      </c>
      <c r="K3624" s="112" t="s">
        <v>1098</v>
      </c>
      <c r="L3624" s="116">
        <v>210.79</v>
      </c>
    </row>
    <row r="3625" spans="1:12" hidden="1" outlineLevel="1" collapsed="1" x14ac:dyDescent="0.35">
      <c r="A3625" s="112" t="s">
        <v>2479</v>
      </c>
      <c r="B3625" s="112" t="s">
        <v>908</v>
      </c>
      <c r="C3625" s="112" t="s">
        <v>1095</v>
      </c>
      <c r="D3625" s="113">
        <v>10348451</v>
      </c>
      <c r="E3625" s="115">
        <v>43949</v>
      </c>
      <c r="F3625" s="114">
        <v>202101</v>
      </c>
      <c r="G3625" s="112" t="s">
        <v>1091</v>
      </c>
      <c r="H3625" s="112" t="s">
        <v>1015</v>
      </c>
      <c r="I3625" s="112" t="s">
        <v>1096</v>
      </c>
      <c r="J3625" s="112" t="s">
        <v>2503</v>
      </c>
      <c r="K3625" s="112" t="s">
        <v>1098</v>
      </c>
      <c r="L3625" s="116">
        <v>407.43</v>
      </c>
    </row>
    <row r="3626" spans="1:12" hidden="1" outlineLevel="1" collapsed="1" x14ac:dyDescent="0.35">
      <c r="A3626" s="112" t="s">
        <v>2479</v>
      </c>
      <c r="B3626" s="112" t="s">
        <v>908</v>
      </c>
      <c r="C3626" s="112" t="s">
        <v>1095</v>
      </c>
      <c r="D3626" s="113">
        <v>10348451</v>
      </c>
      <c r="E3626" s="115">
        <v>43949</v>
      </c>
      <c r="F3626" s="114">
        <v>202101</v>
      </c>
      <c r="G3626" s="112" t="s">
        <v>1091</v>
      </c>
      <c r="H3626" s="112" t="s">
        <v>1015</v>
      </c>
      <c r="I3626" s="112" t="s">
        <v>1101</v>
      </c>
      <c r="J3626" s="112" t="s">
        <v>2503</v>
      </c>
      <c r="K3626" s="112" t="s">
        <v>1098</v>
      </c>
      <c r="L3626" s="116">
        <v>542.77</v>
      </c>
    </row>
    <row r="3627" spans="1:12" hidden="1" outlineLevel="1" collapsed="1" x14ac:dyDescent="0.35">
      <c r="A3627" s="112" t="s">
        <v>2479</v>
      </c>
      <c r="B3627" s="112" t="s">
        <v>909</v>
      </c>
      <c r="C3627" s="112" t="s">
        <v>1095</v>
      </c>
      <c r="D3627" s="113">
        <v>10348451</v>
      </c>
      <c r="E3627" s="115">
        <v>43949</v>
      </c>
      <c r="F3627" s="114">
        <v>202101</v>
      </c>
      <c r="G3627" s="112" t="s">
        <v>1091</v>
      </c>
      <c r="H3627" s="112" t="s">
        <v>1015</v>
      </c>
      <c r="I3627" s="112" t="s">
        <v>1116</v>
      </c>
      <c r="J3627" s="112" t="s">
        <v>2480</v>
      </c>
      <c r="K3627" s="112" t="s">
        <v>1098</v>
      </c>
      <c r="L3627" s="116">
        <v>2631.25</v>
      </c>
    </row>
    <row r="3628" spans="1:12" hidden="1" outlineLevel="1" collapsed="1" x14ac:dyDescent="0.35">
      <c r="A3628" s="112" t="s">
        <v>2479</v>
      </c>
      <c r="B3628" s="112" t="s">
        <v>909</v>
      </c>
      <c r="C3628" s="112" t="s">
        <v>1095</v>
      </c>
      <c r="D3628" s="113">
        <v>10348451</v>
      </c>
      <c r="E3628" s="115">
        <v>43949</v>
      </c>
      <c r="F3628" s="114">
        <v>202101</v>
      </c>
      <c r="G3628" s="112" t="s">
        <v>1091</v>
      </c>
      <c r="H3628" s="112" t="s">
        <v>1015</v>
      </c>
      <c r="I3628" s="112" t="s">
        <v>1116</v>
      </c>
      <c r="J3628" s="112" t="s">
        <v>2480</v>
      </c>
      <c r="K3628" s="112" t="s">
        <v>1098</v>
      </c>
      <c r="L3628" s="116">
        <v>2631.25</v>
      </c>
    </row>
    <row r="3629" spans="1:12" hidden="1" outlineLevel="1" collapsed="1" x14ac:dyDescent="0.35">
      <c r="A3629" s="112" t="s">
        <v>2479</v>
      </c>
      <c r="B3629" s="112" t="s">
        <v>908</v>
      </c>
      <c r="C3629" s="112" t="s">
        <v>1095</v>
      </c>
      <c r="D3629" s="113">
        <v>10348451</v>
      </c>
      <c r="E3629" s="115">
        <v>43949</v>
      </c>
      <c r="F3629" s="114">
        <v>202101</v>
      </c>
      <c r="G3629" s="112" t="s">
        <v>1091</v>
      </c>
      <c r="H3629" s="112" t="s">
        <v>1015</v>
      </c>
      <c r="I3629" s="112" t="s">
        <v>1116</v>
      </c>
      <c r="J3629" s="112" t="s">
        <v>2484</v>
      </c>
      <c r="K3629" s="112" t="s">
        <v>1098</v>
      </c>
      <c r="L3629" s="116">
        <v>1892.67</v>
      </c>
    </row>
    <row r="3630" spans="1:12" hidden="1" outlineLevel="1" collapsed="1" x14ac:dyDescent="0.35">
      <c r="A3630" s="112" t="s">
        <v>2479</v>
      </c>
      <c r="B3630" s="112" t="s">
        <v>909</v>
      </c>
      <c r="C3630" s="112" t="s">
        <v>1095</v>
      </c>
      <c r="D3630" s="113">
        <v>10348451</v>
      </c>
      <c r="E3630" s="115">
        <v>43949</v>
      </c>
      <c r="F3630" s="114">
        <v>202101</v>
      </c>
      <c r="G3630" s="112" t="s">
        <v>1091</v>
      </c>
      <c r="H3630" s="112" t="s">
        <v>1015</v>
      </c>
      <c r="I3630" s="112" t="s">
        <v>1096</v>
      </c>
      <c r="J3630" s="112" t="s">
        <v>2652</v>
      </c>
      <c r="K3630" s="112" t="s">
        <v>1098</v>
      </c>
      <c r="L3630" s="116">
        <v>262.10000000000002</v>
      </c>
    </row>
    <row r="3631" spans="1:12" hidden="1" outlineLevel="1" collapsed="1" x14ac:dyDescent="0.35">
      <c r="A3631" s="112" t="s">
        <v>2479</v>
      </c>
      <c r="B3631" s="112" t="s">
        <v>908</v>
      </c>
      <c r="C3631" s="112" t="s">
        <v>1095</v>
      </c>
      <c r="D3631" s="113">
        <v>10348451</v>
      </c>
      <c r="E3631" s="115">
        <v>43949</v>
      </c>
      <c r="F3631" s="114">
        <v>202101</v>
      </c>
      <c r="G3631" s="112" t="s">
        <v>1091</v>
      </c>
      <c r="H3631" s="112" t="s">
        <v>1015</v>
      </c>
      <c r="I3631" s="112" t="s">
        <v>1101</v>
      </c>
      <c r="J3631" s="112" t="s">
        <v>2503</v>
      </c>
      <c r="K3631" s="112" t="s">
        <v>1098</v>
      </c>
      <c r="L3631" s="116">
        <v>596.88</v>
      </c>
    </row>
    <row r="3632" spans="1:12" hidden="1" outlineLevel="1" collapsed="1" x14ac:dyDescent="0.35">
      <c r="A3632" s="112" t="s">
        <v>2479</v>
      </c>
      <c r="B3632" s="112" t="s">
        <v>908</v>
      </c>
      <c r="C3632" s="112" t="s">
        <v>1095</v>
      </c>
      <c r="D3632" s="113">
        <v>10348451</v>
      </c>
      <c r="E3632" s="115">
        <v>43949</v>
      </c>
      <c r="F3632" s="114">
        <v>202101</v>
      </c>
      <c r="G3632" s="112" t="s">
        <v>1091</v>
      </c>
      <c r="H3632" s="112" t="s">
        <v>1015</v>
      </c>
      <c r="I3632" s="112" t="s">
        <v>1096</v>
      </c>
      <c r="J3632" s="112" t="s">
        <v>2484</v>
      </c>
      <c r="K3632" s="112" t="s">
        <v>1098</v>
      </c>
      <c r="L3632" s="116">
        <v>160.16999999999999</v>
      </c>
    </row>
    <row r="3633" spans="1:12" hidden="1" outlineLevel="1" collapsed="1" x14ac:dyDescent="0.35">
      <c r="A3633" s="112" t="s">
        <v>2479</v>
      </c>
      <c r="B3633" s="112" t="s">
        <v>909</v>
      </c>
      <c r="C3633" s="112" t="s">
        <v>1095</v>
      </c>
      <c r="D3633" s="113">
        <v>10348451</v>
      </c>
      <c r="E3633" s="115">
        <v>43949</v>
      </c>
      <c r="F3633" s="114">
        <v>202101</v>
      </c>
      <c r="G3633" s="112" t="s">
        <v>1091</v>
      </c>
      <c r="H3633" s="112" t="s">
        <v>1015</v>
      </c>
      <c r="I3633" s="112" t="s">
        <v>1116</v>
      </c>
      <c r="J3633" s="112" t="s">
        <v>2480</v>
      </c>
      <c r="K3633" s="112" t="s">
        <v>1098</v>
      </c>
      <c r="L3633" s="116">
        <v>2738.92</v>
      </c>
    </row>
    <row r="3634" spans="1:12" hidden="1" outlineLevel="1" collapsed="1" x14ac:dyDescent="0.35">
      <c r="A3634" s="112" t="s">
        <v>2479</v>
      </c>
      <c r="B3634" s="112" t="s">
        <v>909</v>
      </c>
      <c r="C3634" s="112" t="s">
        <v>1095</v>
      </c>
      <c r="D3634" s="113">
        <v>10348451</v>
      </c>
      <c r="E3634" s="115">
        <v>43949</v>
      </c>
      <c r="F3634" s="114">
        <v>202101</v>
      </c>
      <c r="G3634" s="112" t="s">
        <v>1091</v>
      </c>
      <c r="H3634" s="112" t="s">
        <v>1015</v>
      </c>
      <c r="I3634" s="112" t="s">
        <v>2255</v>
      </c>
      <c r="J3634" s="112" t="s">
        <v>2480</v>
      </c>
      <c r="K3634" s="112" t="s">
        <v>1098</v>
      </c>
      <c r="L3634" s="116">
        <v>670</v>
      </c>
    </row>
    <row r="3635" spans="1:12" hidden="1" outlineLevel="1" collapsed="1" x14ac:dyDescent="0.35">
      <c r="A3635" s="112" t="s">
        <v>2479</v>
      </c>
      <c r="B3635" s="112" t="s">
        <v>909</v>
      </c>
      <c r="C3635" s="112" t="s">
        <v>1095</v>
      </c>
      <c r="D3635" s="113">
        <v>10348451</v>
      </c>
      <c r="E3635" s="115">
        <v>43949</v>
      </c>
      <c r="F3635" s="114">
        <v>202101</v>
      </c>
      <c r="G3635" s="112" t="s">
        <v>1091</v>
      </c>
      <c r="H3635" s="112" t="s">
        <v>1015</v>
      </c>
      <c r="I3635" s="112" t="s">
        <v>1096</v>
      </c>
      <c r="J3635" s="112" t="s">
        <v>2480</v>
      </c>
      <c r="K3635" s="112" t="s">
        <v>1098</v>
      </c>
      <c r="L3635" s="116">
        <v>419.73</v>
      </c>
    </row>
    <row r="3636" spans="1:12" hidden="1" outlineLevel="1" collapsed="1" x14ac:dyDescent="0.35">
      <c r="A3636" s="112" t="s">
        <v>2479</v>
      </c>
      <c r="B3636" s="112" t="s">
        <v>909</v>
      </c>
      <c r="C3636" s="112" t="s">
        <v>1095</v>
      </c>
      <c r="D3636" s="113">
        <v>10348451</v>
      </c>
      <c r="E3636" s="115">
        <v>43949</v>
      </c>
      <c r="F3636" s="114">
        <v>202101</v>
      </c>
      <c r="G3636" s="112" t="s">
        <v>1091</v>
      </c>
      <c r="H3636" s="112" t="s">
        <v>1015</v>
      </c>
      <c r="I3636" s="112" t="s">
        <v>1116</v>
      </c>
      <c r="J3636" s="112" t="s">
        <v>2480</v>
      </c>
      <c r="K3636" s="112" t="s">
        <v>1098</v>
      </c>
      <c r="L3636" s="116">
        <v>2259.5</v>
      </c>
    </row>
    <row r="3637" spans="1:12" hidden="1" outlineLevel="1" collapsed="1" x14ac:dyDescent="0.35">
      <c r="A3637" s="112" t="s">
        <v>2479</v>
      </c>
      <c r="B3637" s="112" t="s">
        <v>908</v>
      </c>
      <c r="C3637" s="112" t="s">
        <v>1095</v>
      </c>
      <c r="D3637" s="113">
        <v>10348451</v>
      </c>
      <c r="E3637" s="115">
        <v>43949</v>
      </c>
      <c r="F3637" s="114">
        <v>202101</v>
      </c>
      <c r="G3637" s="112" t="s">
        <v>1091</v>
      </c>
      <c r="H3637" s="112" t="s">
        <v>1015</v>
      </c>
      <c r="I3637" s="112" t="s">
        <v>1116</v>
      </c>
      <c r="J3637" s="112" t="s">
        <v>2484</v>
      </c>
      <c r="K3637" s="112" t="s">
        <v>1098</v>
      </c>
      <c r="L3637" s="116">
        <v>2259.5</v>
      </c>
    </row>
    <row r="3638" spans="1:12" hidden="1" outlineLevel="1" collapsed="1" x14ac:dyDescent="0.35">
      <c r="A3638" s="112" t="s">
        <v>2479</v>
      </c>
      <c r="B3638" s="112" t="s">
        <v>909</v>
      </c>
      <c r="C3638" s="112" t="s">
        <v>1095</v>
      </c>
      <c r="D3638" s="113">
        <v>10348451</v>
      </c>
      <c r="E3638" s="115">
        <v>43949</v>
      </c>
      <c r="F3638" s="114">
        <v>202101</v>
      </c>
      <c r="G3638" s="112" t="s">
        <v>1091</v>
      </c>
      <c r="H3638" s="112" t="s">
        <v>1015</v>
      </c>
      <c r="I3638" s="112" t="s">
        <v>1116</v>
      </c>
      <c r="J3638" s="112" t="s">
        <v>2480</v>
      </c>
      <c r="K3638" s="112" t="s">
        <v>1098</v>
      </c>
      <c r="L3638" s="116">
        <v>2259.5</v>
      </c>
    </row>
    <row r="3639" spans="1:12" hidden="1" outlineLevel="1" collapsed="1" x14ac:dyDescent="0.35">
      <c r="A3639" s="112" t="s">
        <v>2479</v>
      </c>
      <c r="B3639" s="112" t="s">
        <v>909</v>
      </c>
      <c r="C3639" s="112" t="s">
        <v>1095</v>
      </c>
      <c r="D3639" s="113">
        <v>10348451</v>
      </c>
      <c r="E3639" s="115">
        <v>43949</v>
      </c>
      <c r="F3639" s="114">
        <v>202101</v>
      </c>
      <c r="G3639" s="112" t="s">
        <v>1091</v>
      </c>
      <c r="H3639" s="112" t="s">
        <v>1015</v>
      </c>
      <c r="I3639" s="112" t="s">
        <v>1113</v>
      </c>
      <c r="J3639" s="112" t="s">
        <v>2523</v>
      </c>
      <c r="K3639" s="112" t="s">
        <v>1098</v>
      </c>
      <c r="L3639" s="116">
        <v>20.83</v>
      </c>
    </row>
    <row r="3640" spans="1:12" hidden="1" outlineLevel="1" collapsed="1" x14ac:dyDescent="0.35">
      <c r="A3640" s="112" t="s">
        <v>2479</v>
      </c>
      <c r="B3640" s="112" t="s">
        <v>908</v>
      </c>
      <c r="C3640" s="112" t="s">
        <v>1095</v>
      </c>
      <c r="D3640" s="113">
        <v>10348451</v>
      </c>
      <c r="E3640" s="115">
        <v>43949</v>
      </c>
      <c r="F3640" s="114">
        <v>202101</v>
      </c>
      <c r="G3640" s="112" t="s">
        <v>1091</v>
      </c>
      <c r="H3640" s="112" t="s">
        <v>1015</v>
      </c>
      <c r="I3640" s="112" t="s">
        <v>1101</v>
      </c>
      <c r="J3640" s="112" t="s">
        <v>2513</v>
      </c>
      <c r="K3640" s="112" t="s">
        <v>1098</v>
      </c>
      <c r="L3640" s="116">
        <v>1152.6400000000001</v>
      </c>
    </row>
    <row r="3641" spans="1:12" hidden="1" outlineLevel="1" collapsed="1" x14ac:dyDescent="0.35">
      <c r="A3641" s="112" t="s">
        <v>2479</v>
      </c>
      <c r="B3641" s="112" t="s">
        <v>909</v>
      </c>
      <c r="C3641" s="112" t="s">
        <v>1095</v>
      </c>
      <c r="D3641" s="113">
        <v>10348451</v>
      </c>
      <c r="E3641" s="115">
        <v>43949</v>
      </c>
      <c r="F3641" s="114">
        <v>202101</v>
      </c>
      <c r="G3641" s="112" t="s">
        <v>1091</v>
      </c>
      <c r="H3641" s="112" t="s">
        <v>1015</v>
      </c>
      <c r="I3641" s="112" t="s">
        <v>1101</v>
      </c>
      <c r="J3641" s="112" t="s">
        <v>2523</v>
      </c>
      <c r="K3641" s="112" t="s">
        <v>1098</v>
      </c>
      <c r="L3641" s="116">
        <v>48.81</v>
      </c>
    </row>
    <row r="3642" spans="1:12" hidden="1" outlineLevel="1" collapsed="1" x14ac:dyDescent="0.35">
      <c r="A3642" s="112" t="s">
        <v>2479</v>
      </c>
      <c r="B3642" s="112" t="s">
        <v>909</v>
      </c>
      <c r="C3642" s="112" t="s">
        <v>1095</v>
      </c>
      <c r="D3642" s="113">
        <v>10348451</v>
      </c>
      <c r="E3642" s="115">
        <v>43949</v>
      </c>
      <c r="F3642" s="114">
        <v>202101</v>
      </c>
      <c r="G3642" s="112" t="s">
        <v>1091</v>
      </c>
      <c r="H3642" s="112" t="s">
        <v>1015</v>
      </c>
      <c r="I3642" s="112" t="s">
        <v>1101</v>
      </c>
      <c r="J3642" s="112" t="s">
        <v>2673</v>
      </c>
      <c r="K3642" s="112" t="s">
        <v>1098</v>
      </c>
      <c r="L3642" s="116">
        <v>483.07</v>
      </c>
    </row>
    <row r="3643" spans="1:12" hidden="1" outlineLevel="1" collapsed="1" x14ac:dyDescent="0.35">
      <c r="A3643" s="112" t="s">
        <v>2479</v>
      </c>
      <c r="B3643" s="112" t="s">
        <v>908</v>
      </c>
      <c r="C3643" s="112" t="s">
        <v>1095</v>
      </c>
      <c r="D3643" s="113">
        <v>10348451</v>
      </c>
      <c r="E3643" s="115">
        <v>43949</v>
      </c>
      <c r="F3643" s="114">
        <v>202101</v>
      </c>
      <c r="G3643" s="112" t="s">
        <v>1091</v>
      </c>
      <c r="H3643" s="112" t="s">
        <v>1015</v>
      </c>
      <c r="I3643" s="112" t="s">
        <v>1101</v>
      </c>
      <c r="J3643" s="112" t="s">
        <v>2520</v>
      </c>
      <c r="K3643" s="112" t="s">
        <v>1098</v>
      </c>
      <c r="L3643" s="116">
        <v>615.37</v>
      </c>
    </row>
    <row r="3644" spans="1:12" hidden="1" outlineLevel="1" collapsed="1" x14ac:dyDescent="0.35">
      <c r="A3644" s="112" t="s">
        <v>2479</v>
      </c>
      <c r="B3644" s="112" t="s">
        <v>908</v>
      </c>
      <c r="C3644" s="112" t="s">
        <v>1095</v>
      </c>
      <c r="D3644" s="113">
        <v>10348451</v>
      </c>
      <c r="E3644" s="115">
        <v>43949</v>
      </c>
      <c r="F3644" s="114">
        <v>202101</v>
      </c>
      <c r="G3644" s="112" t="s">
        <v>1091</v>
      </c>
      <c r="H3644" s="112" t="s">
        <v>1015</v>
      </c>
      <c r="I3644" s="112" t="s">
        <v>1101</v>
      </c>
      <c r="J3644" s="112" t="s">
        <v>2503</v>
      </c>
      <c r="K3644" s="112" t="s">
        <v>1098</v>
      </c>
      <c r="L3644" s="116">
        <v>426.26</v>
      </c>
    </row>
    <row r="3645" spans="1:12" outlineLevel="1" collapsed="1" x14ac:dyDescent="0.35">
      <c r="A3645" s="112" t="s">
        <v>3283</v>
      </c>
      <c r="B3645" s="112" t="s">
        <v>911</v>
      </c>
      <c r="C3645" s="112" t="s">
        <v>1099</v>
      </c>
      <c r="D3645" s="113">
        <v>1069691</v>
      </c>
      <c r="E3645" s="115">
        <v>43937</v>
      </c>
      <c r="F3645" s="114">
        <v>202101</v>
      </c>
      <c r="G3645" s="112" t="s">
        <v>1091</v>
      </c>
      <c r="H3645" s="112" t="s">
        <v>1015</v>
      </c>
      <c r="I3645" s="112" t="s">
        <v>763</v>
      </c>
      <c r="J3645" s="112" t="s">
        <v>3284</v>
      </c>
      <c r="K3645" s="112" t="s">
        <v>3285</v>
      </c>
      <c r="L3645" s="116">
        <v>4859.33</v>
      </c>
    </row>
    <row r="3646" spans="1:12" hidden="1" outlineLevel="1" collapsed="1" x14ac:dyDescent="0.35">
      <c r="A3646" s="112" t="s">
        <v>3283</v>
      </c>
      <c r="B3646" s="112" t="s">
        <v>910</v>
      </c>
      <c r="C3646" s="112" t="s">
        <v>1099</v>
      </c>
      <c r="D3646" s="113">
        <v>1069703</v>
      </c>
      <c r="E3646" s="115">
        <v>43944</v>
      </c>
      <c r="F3646" s="114">
        <v>202101</v>
      </c>
      <c r="G3646" s="112" t="s">
        <v>1091</v>
      </c>
      <c r="H3646" s="112" t="s">
        <v>1015</v>
      </c>
      <c r="I3646" s="112" t="s">
        <v>775</v>
      </c>
      <c r="J3646" s="112" t="s">
        <v>3286</v>
      </c>
      <c r="K3646" s="112" t="s">
        <v>3287</v>
      </c>
      <c r="L3646" s="116">
        <v>768</v>
      </c>
    </row>
    <row r="3647" spans="1:12" hidden="1" outlineLevel="1" collapsed="1" x14ac:dyDescent="0.35">
      <c r="A3647" s="112" t="s">
        <v>3283</v>
      </c>
      <c r="B3647" s="112" t="s">
        <v>912</v>
      </c>
      <c r="C3647" s="112" t="s">
        <v>1095</v>
      </c>
      <c r="D3647" s="113">
        <v>10348451</v>
      </c>
      <c r="E3647" s="115">
        <v>43949</v>
      </c>
      <c r="F3647" s="114">
        <v>202101</v>
      </c>
      <c r="G3647" s="112" t="s">
        <v>1091</v>
      </c>
      <c r="H3647" s="112" t="s">
        <v>1015</v>
      </c>
      <c r="I3647" s="112" t="s">
        <v>1399</v>
      </c>
      <c r="J3647" s="112" t="s">
        <v>3288</v>
      </c>
      <c r="K3647" s="112" t="s">
        <v>1098</v>
      </c>
      <c r="L3647" s="116">
        <v>3.5</v>
      </c>
    </row>
    <row r="3648" spans="1:12" hidden="1" outlineLevel="1" collapsed="1" x14ac:dyDescent="0.35">
      <c r="A3648" s="112" t="s">
        <v>3283</v>
      </c>
      <c r="B3648" s="112" t="s">
        <v>912</v>
      </c>
      <c r="C3648" s="112" t="s">
        <v>1095</v>
      </c>
      <c r="D3648" s="113">
        <v>10348451</v>
      </c>
      <c r="E3648" s="115">
        <v>43949</v>
      </c>
      <c r="F3648" s="114">
        <v>202101</v>
      </c>
      <c r="G3648" s="112" t="s">
        <v>1091</v>
      </c>
      <c r="H3648" s="112" t="s">
        <v>1015</v>
      </c>
      <c r="I3648" s="112" t="s">
        <v>1544</v>
      </c>
      <c r="J3648" s="112" t="s">
        <v>3288</v>
      </c>
      <c r="K3648" s="112" t="s">
        <v>1098</v>
      </c>
      <c r="L3648" s="116">
        <v>43.2</v>
      </c>
    </row>
    <row r="3649" spans="1:12" hidden="1" outlineLevel="1" collapsed="1" x14ac:dyDescent="0.35">
      <c r="A3649" s="112" t="s">
        <v>3283</v>
      </c>
      <c r="B3649" s="112" t="s">
        <v>910</v>
      </c>
      <c r="C3649" s="112" t="s">
        <v>1095</v>
      </c>
      <c r="D3649" s="113">
        <v>10348451</v>
      </c>
      <c r="E3649" s="115">
        <v>43949</v>
      </c>
      <c r="F3649" s="114">
        <v>202101</v>
      </c>
      <c r="G3649" s="112" t="s">
        <v>1091</v>
      </c>
      <c r="H3649" s="112" t="s">
        <v>1015</v>
      </c>
      <c r="I3649" s="112" t="s">
        <v>1544</v>
      </c>
      <c r="J3649" s="112" t="s">
        <v>3286</v>
      </c>
      <c r="K3649" s="112" t="s">
        <v>1098</v>
      </c>
      <c r="L3649" s="116">
        <v>1.8</v>
      </c>
    </row>
    <row r="3650" spans="1:12" hidden="1" outlineLevel="1" collapsed="1" x14ac:dyDescent="0.35">
      <c r="A3650" s="112" t="s">
        <v>3283</v>
      </c>
      <c r="B3650" s="112" t="s">
        <v>910</v>
      </c>
      <c r="C3650" s="112" t="s">
        <v>1099</v>
      </c>
      <c r="D3650" s="113">
        <v>1069598</v>
      </c>
      <c r="E3650" s="115">
        <v>43937</v>
      </c>
      <c r="F3650" s="114">
        <v>202101</v>
      </c>
      <c r="G3650" s="112" t="s">
        <v>1091</v>
      </c>
      <c r="H3650" s="112" t="s">
        <v>1015</v>
      </c>
      <c r="I3650" s="112" t="s">
        <v>775</v>
      </c>
      <c r="J3650" s="112" t="s">
        <v>3286</v>
      </c>
      <c r="K3650" s="112" t="s">
        <v>3289</v>
      </c>
      <c r="L3650" s="116">
        <v>456</v>
      </c>
    </row>
    <row r="3651" spans="1:12" hidden="1" outlineLevel="1" collapsed="1" x14ac:dyDescent="0.35">
      <c r="A3651" s="112" t="s">
        <v>3283</v>
      </c>
      <c r="B3651" s="112" t="s">
        <v>910</v>
      </c>
      <c r="C3651" s="112" t="s">
        <v>1099</v>
      </c>
      <c r="D3651" s="113">
        <v>1069573</v>
      </c>
      <c r="E3651" s="115">
        <v>43909</v>
      </c>
      <c r="F3651" s="114">
        <v>202101</v>
      </c>
      <c r="G3651" s="112" t="s">
        <v>1091</v>
      </c>
      <c r="H3651" s="112" t="s">
        <v>1015</v>
      </c>
      <c r="I3651" s="112" t="s">
        <v>775</v>
      </c>
      <c r="J3651" s="112" t="s">
        <v>3286</v>
      </c>
      <c r="K3651" s="112" t="s">
        <v>3290</v>
      </c>
      <c r="L3651" s="116">
        <v>468</v>
      </c>
    </row>
    <row r="3652" spans="1:12" outlineLevel="1" collapsed="1" x14ac:dyDescent="0.35">
      <c r="A3652" s="112" t="s">
        <v>3283</v>
      </c>
      <c r="B3652" s="112" t="s">
        <v>911</v>
      </c>
      <c r="C3652" s="112" t="s">
        <v>1095</v>
      </c>
      <c r="D3652" s="113">
        <v>10348451</v>
      </c>
      <c r="E3652" s="115">
        <v>43949</v>
      </c>
      <c r="F3652" s="114">
        <v>202101</v>
      </c>
      <c r="G3652" s="112" t="s">
        <v>1091</v>
      </c>
      <c r="H3652" s="112" t="s">
        <v>1015</v>
      </c>
      <c r="I3652" s="112" t="s">
        <v>1544</v>
      </c>
      <c r="J3652" s="112" t="s">
        <v>3291</v>
      </c>
      <c r="K3652" s="112" t="s">
        <v>1098</v>
      </c>
      <c r="L3652" s="116">
        <v>10.8</v>
      </c>
    </row>
    <row r="3653" spans="1:12" hidden="1" outlineLevel="1" collapsed="1" x14ac:dyDescent="0.35">
      <c r="A3653" s="112" t="s">
        <v>3283</v>
      </c>
      <c r="B3653" s="112" t="s">
        <v>912</v>
      </c>
      <c r="C3653" s="112" t="s">
        <v>1095</v>
      </c>
      <c r="D3653" s="113">
        <v>10348451</v>
      </c>
      <c r="E3653" s="115">
        <v>43949</v>
      </c>
      <c r="F3653" s="114">
        <v>202101</v>
      </c>
      <c r="G3653" s="112" t="s">
        <v>1091</v>
      </c>
      <c r="H3653" s="112" t="s">
        <v>1015</v>
      </c>
      <c r="I3653" s="112" t="s">
        <v>1399</v>
      </c>
      <c r="J3653" s="112" t="s">
        <v>3292</v>
      </c>
      <c r="K3653" s="112" t="s">
        <v>1098</v>
      </c>
      <c r="L3653" s="116">
        <v>51.8</v>
      </c>
    </row>
    <row r="3654" spans="1:12" hidden="1" outlineLevel="1" collapsed="1" x14ac:dyDescent="0.35">
      <c r="A3654" s="112" t="s">
        <v>3283</v>
      </c>
      <c r="B3654" s="112" t="s">
        <v>910</v>
      </c>
      <c r="C3654" s="112" t="s">
        <v>679</v>
      </c>
      <c r="D3654" s="113">
        <v>10348515</v>
      </c>
      <c r="E3654" s="115">
        <v>43949</v>
      </c>
      <c r="F3654" s="114">
        <v>202101</v>
      </c>
      <c r="G3654" s="112" t="s">
        <v>1091</v>
      </c>
      <c r="H3654" s="112" t="s">
        <v>1016</v>
      </c>
      <c r="I3654" s="112" t="s">
        <v>1293</v>
      </c>
      <c r="J3654" s="112" t="s">
        <v>3286</v>
      </c>
      <c r="K3654" s="112" t="s">
        <v>3293</v>
      </c>
      <c r="L3654" s="116">
        <v>-462</v>
      </c>
    </row>
    <row r="3655" spans="1:12" hidden="1" outlineLevel="1" collapsed="1" x14ac:dyDescent="0.35">
      <c r="A3655" s="112" t="s">
        <v>3283</v>
      </c>
      <c r="B3655" s="112" t="s">
        <v>912</v>
      </c>
      <c r="C3655" s="112" t="s">
        <v>695</v>
      </c>
      <c r="D3655" s="113">
        <v>10348148</v>
      </c>
      <c r="E3655" s="115">
        <v>43930</v>
      </c>
      <c r="F3655" s="114">
        <v>202101</v>
      </c>
      <c r="G3655" s="112" t="s">
        <v>1091</v>
      </c>
      <c r="H3655" s="112" t="s">
        <v>1016</v>
      </c>
      <c r="I3655" s="112" t="s">
        <v>680</v>
      </c>
      <c r="J3655" s="112" t="s">
        <v>3292</v>
      </c>
      <c r="K3655" s="112" t="s">
        <v>3294</v>
      </c>
      <c r="L3655" s="116">
        <v>-887</v>
      </c>
    </row>
    <row r="3656" spans="1:12" hidden="1" outlineLevel="1" collapsed="1" x14ac:dyDescent="0.35">
      <c r="A3656" s="112" t="s">
        <v>3283</v>
      </c>
      <c r="B3656" s="112" t="s">
        <v>910</v>
      </c>
      <c r="C3656" s="112" t="s">
        <v>679</v>
      </c>
      <c r="D3656" s="113">
        <v>10348411</v>
      </c>
      <c r="E3656" s="115">
        <v>43943</v>
      </c>
      <c r="F3656" s="114">
        <v>202101</v>
      </c>
      <c r="G3656" s="112" t="s">
        <v>1091</v>
      </c>
      <c r="H3656" s="112" t="s">
        <v>1016</v>
      </c>
      <c r="I3656" s="112" t="s">
        <v>1293</v>
      </c>
      <c r="J3656" s="112" t="s">
        <v>3286</v>
      </c>
      <c r="K3656" s="112" t="s">
        <v>3295</v>
      </c>
      <c r="L3656" s="116">
        <v>-234</v>
      </c>
    </row>
    <row r="3657" spans="1:12" hidden="1" outlineLevel="1" collapsed="1" x14ac:dyDescent="0.35">
      <c r="A3657" s="112" t="s">
        <v>3283</v>
      </c>
      <c r="B3657" s="112" t="s">
        <v>910</v>
      </c>
      <c r="C3657" s="112" t="s">
        <v>1095</v>
      </c>
      <c r="D3657" s="113">
        <v>10348451</v>
      </c>
      <c r="E3657" s="115">
        <v>43949</v>
      </c>
      <c r="F3657" s="114">
        <v>202101</v>
      </c>
      <c r="G3657" s="112" t="s">
        <v>1091</v>
      </c>
      <c r="H3657" s="112" t="s">
        <v>1015</v>
      </c>
      <c r="I3657" s="112" t="s">
        <v>1128</v>
      </c>
      <c r="J3657" s="112" t="s">
        <v>3286</v>
      </c>
      <c r="K3657" s="112" t="s">
        <v>1098</v>
      </c>
      <c r="L3657" s="116">
        <v>243</v>
      </c>
    </row>
    <row r="3658" spans="1:12" hidden="1" outlineLevel="1" collapsed="1" x14ac:dyDescent="0.35">
      <c r="A3658" s="112" t="s">
        <v>3283</v>
      </c>
      <c r="B3658" s="112" t="s">
        <v>912</v>
      </c>
      <c r="C3658" s="112" t="s">
        <v>1095</v>
      </c>
      <c r="D3658" s="113">
        <v>10348451</v>
      </c>
      <c r="E3658" s="115">
        <v>43949</v>
      </c>
      <c r="F3658" s="114">
        <v>202101</v>
      </c>
      <c r="G3658" s="112" t="s">
        <v>1091</v>
      </c>
      <c r="H3658" s="112" t="s">
        <v>1015</v>
      </c>
      <c r="I3658" s="112" t="s">
        <v>1101</v>
      </c>
      <c r="J3658" s="112" t="s">
        <v>3288</v>
      </c>
      <c r="K3658" s="112" t="s">
        <v>1098</v>
      </c>
      <c r="L3658" s="116">
        <v>398.63</v>
      </c>
    </row>
    <row r="3659" spans="1:12" hidden="1" outlineLevel="1" collapsed="1" x14ac:dyDescent="0.35">
      <c r="A3659" s="112" t="s">
        <v>3283</v>
      </c>
      <c r="B3659" s="112" t="s">
        <v>912</v>
      </c>
      <c r="C3659" s="112" t="s">
        <v>695</v>
      </c>
      <c r="D3659" s="113">
        <v>10348148</v>
      </c>
      <c r="E3659" s="115">
        <v>43930</v>
      </c>
      <c r="F3659" s="114">
        <v>202101</v>
      </c>
      <c r="G3659" s="112" t="s">
        <v>1091</v>
      </c>
      <c r="H3659" s="112" t="s">
        <v>1016</v>
      </c>
      <c r="I3659" s="112" t="s">
        <v>680</v>
      </c>
      <c r="J3659" s="112" t="s">
        <v>3292</v>
      </c>
      <c r="K3659" s="112" t="s">
        <v>3296</v>
      </c>
      <c r="L3659" s="116">
        <v>-15000</v>
      </c>
    </row>
    <row r="3660" spans="1:12" hidden="1" outlineLevel="1" collapsed="1" x14ac:dyDescent="0.35">
      <c r="A3660" s="112" t="s">
        <v>3283</v>
      </c>
      <c r="B3660" s="112" t="s">
        <v>910</v>
      </c>
      <c r="C3660" s="112" t="s">
        <v>1095</v>
      </c>
      <c r="D3660" s="113">
        <v>10348451</v>
      </c>
      <c r="E3660" s="115">
        <v>43949</v>
      </c>
      <c r="F3660" s="114">
        <v>202101</v>
      </c>
      <c r="G3660" s="112" t="s">
        <v>1091</v>
      </c>
      <c r="H3660" s="112" t="s">
        <v>1015</v>
      </c>
      <c r="I3660" s="112" t="s">
        <v>1101</v>
      </c>
      <c r="J3660" s="112" t="s">
        <v>3286</v>
      </c>
      <c r="K3660" s="112" t="s">
        <v>1098</v>
      </c>
      <c r="L3660" s="116">
        <v>366.04</v>
      </c>
    </row>
    <row r="3661" spans="1:12" outlineLevel="1" collapsed="1" x14ac:dyDescent="0.35">
      <c r="A3661" s="112" t="s">
        <v>3283</v>
      </c>
      <c r="B3661" s="112" t="s">
        <v>911</v>
      </c>
      <c r="C3661" s="112" t="s">
        <v>679</v>
      </c>
      <c r="D3661" s="113">
        <v>10348532</v>
      </c>
      <c r="E3661" s="115">
        <v>43950</v>
      </c>
      <c r="F3661" s="114">
        <v>202101</v>
      </c>
      <c r="G3661" s="112" t="s">
        <v>1091</v>
      </c>
      <c r="H3661" s="112" t="s">
        <v>1016</v>
      </c>
      <c r="I3661" s="112" t="s">
        <v>819</v>
      </c>
      <c r="J3661" s="112" t="s">
        <v>3291</v>
      </c>
      <c r="K3661" s="112" t="s">
        <v>3297</v>
      </c>
      <c r="L3661" s="116">
        <v>-41.67</v>
      </c>
    </row>
    <row r="3662" spans="1:12" hidden="1" outlineLevel="1" collapsed="1" x14ac:dyDescent="0.35">
      <c r="A3662" s="112" t="s">
        <v>3283</v>
      </c>
      <c r="B3662" s="112" t="s">
        <v>3298</v>
      </c>
      <c r="C3662" s="112" t="s">
        <v>679</v>
      </c>
      <c r="D3662" s="113">
        <v>10348241</v>
      </c>
      <c r="E3662" s="115">
        <v>43936</v>
      </c>
      <c r="F3662" s="114">
        <v>202101</v>
      </c>
      <c r="G3662" s="112" t="s">
        <v>1091</v>
      </c>
      <c r="H3662" s="112" t="s">
        <v>1016</v>
      </c>
      <c r="I3662" s="112" t="s">
        <v>2337</v>
      </c>
      <c r="J3662" s="112" t="s">
        <v>3299</v>
      </c>
      <c r="K3662" s="112" t="s">
        <v>3300</v>
      </c>
      <c r="L3662" s="116">
        <v>-30.82</v>
      </c>
    </row>
    <row r="3663" spans="1:12" outlineLevel="1" collapsed="1" x14ac:dyDescent="0.35">
      <c r="A3663" s="112" t="s">
        <v>3283</v>
      </c>
      <c r="B3663" s="112" t="s">
        <v>911</v>
      </c>
      <c r="C3663" s="112" t="s">
        <v>679</v>
      </c>
      <c r="D3663" s="113">
        <v>10348532</v>
      </c>
      <c r="E3663" s="115">
        <v>43950</v>
      </c>
      <c r="F3663" s="114">
        <v>202101</v>
      </c>
      <c r="G3663" s="112" t="s">
        <v>1091</v>
      </c>
      <c r="H3663" s="112" t="s">
        <v>1016</v>
      </c>
      <c r="I3663" s="112" t="s">
        <v>819</v>
      </c>
      <c r="J3663" s="112" t="s">
        <v>3291</v>
      </c>
      <c r="K3663" s="112" t="s">
        <v>3301</v>
      </c>
      <c r="L3663" s="116">
        <v>-50</v>
      </c>
    </row>
    <row r="3664" spans="1:12" hidden="1" outlineLevel="1" collapsed="1" x14ac:dyDescent="0.35">
      <c r="A3664" s="112" t="s">
        <v>3283</v>
      </c>
      <c r="B3664" s="112" t="s">
        <v>910</v>
      </c>
      <c r="C3664" s="112" t="s">
        <v>695</v>
      </c>
      <c r="D3664" s="113">
        <v>10348148</v>
      </c>
      <c r="E3664" s="115">
        <v>43930</v>
      </c>
      <c r="F3664" s="114">
        <v>202101</v>
      </c>
      <c r="G3664" s="112" t="s">
        <v>1091</v>
      </c>
      <c r="H3664" s="112" t="s">
        <v>1016</v>
      </c>
      <c r="I3664" s="112" t="s">
        <v>1293</v>
      </c>
      <c r="J3664" s="112" t="s">
        <v>3286</v>
      </c>
      <c r="K3664" s="112" t="s">
        <v>3302</v>
      </c>
      <c r="L3664" s="116">
        <v>-45345.5</v>
      </c>
    </row>
    <row r="3665" spans="1:12" outlineLevel="1" collapsed="1" x14ac:dyDescent="0.35">
      <c r="A3665" s="112" t="s">
        <v>3283</v>
      </c>
      <c r="B3665" s="112" t="s">
        <v>911</v>
      </c>
      <c r="C3665" s="112" t="s">
        <v>695</v>
      </c>
      <c r="D3665" s="113">
        <v>10348157</v>
      </c>
      <c r="E3665" s="115">
        <v>43930</v>
      </c>
      <c r="F3665" s="114">
        <v>202101</v>
      </c>
      <c r="G3665" s="112" t="s">
        <v>1091</v>
      </c>
      <c r="H3665" s="112" t="s">
        <v>1016</v>
      </c>
      <c r="I3665" s="112" t="s">
        <v>680</v>
      </c>
      <c r="J3665" s="112" t="s">
        <v>3284</v>
      </c>
      <c r="K3665" s="112" t="s">
        <v>3303</v>
      </c>
      <c r="L3665" s="116">
        <v>1219000</v>
      </c>
    </row>
    <row r="3666" spans="1:12" hidden="1" outlineLevel="1" collapsed="1" x14ac:dyDescent="0.35">
      <c r="A3666" s="112" t="s">
        <v>3283</v>
      </c>
      <c r="B3666" s="112" t="s">
        <v>3298</v>
      </c>
      <c r="C3666" s="112" t="s">
        <v>679</v>
      </c>
      <c r="D3666" s="113">
        <v>10348164</v>
      </c>
      <c r="E3666" s="115">
        <v>43930</v>
      </c>
      <c r="F3666" s="114">
        <v>202101</v>
      </c>
      <c r="G3666" s="112" t="s">
        <v>1091</v>
      </c>
      <c r="H3666" s="112" t="s">
        <v>1016</v>
      </c>
      <c r="I3666" s="112" t="s">
        <v>2337</v>
      </c>
      <c r="J3666" s="112" t="s">
        <v>3299</v>
      </c>
      <c r="K3666" s="112" t="s">
        <v>3304</v>
      </c>
      <c r="L3666" s="116">
        <v>-37</v>
      </c>
    </row>
    <row r="3667" spans="1:12" hidden="1" outlineLevel="1" collapsed="1" x14ac:dyDescent="0.35">
      <c r="A3667" s="112" t="s">
        <v>3283</v>
      </c>
      <c r="B3667" s="112" t="s">
        <v>3298</v>
      </c>
      <c r="C3667" s="112" t="s">
        <v>679</v>
      </c>
      <c r="D3667" s="113">
        <v>10348164</v>
      </c>
      <c r="E3667" s="115">
        <v>43930</v>
      </c>
      <c r="F3667" s="114">
        <v>202101</v>
      </c>
      <c r="G3667" s="112" t="s">
        <v>1091</v>
      </c>
      <c r="H3667" s="112" t="s">
        <v>1016</v>
      </c>
      <c r="I3667" s="112" t="s">
        <v>2337</v>
      </c>
      <c r="J3667" s="112" t="s">
        <v>3299</v>
      </c>
      <c r="K3667" s="112" t="s">
        <v>3305</v>
      </c>
      <c r="L3667" s="116">
        <v>-37</v>
      </c>
    </row>
    <row r="3668" spans="1:12" hidden="1" outlineLevel="1" collapsed="1" x14ac:dyDescent="0.35">
      <c r="A3668" s="112" t="s">
        <v>3283</v>
      </c>
      <c r="B3668" s="112" t="s">
        <v>912</v>
      </c>
      <c r="C3668" s="112" t="s">
        <v>1518</v>
      </c>
      <c r="D3668" s="113">
        <v>51366183</v>
      </c>
      <c r="E3668" s="115">
        <v>43943</v>
      </c>
      <c r="F3668" s="114">
        <v>202101</v>
      </c>
      <c r="G3668" s="112" t="s">
        <v>1091</v>
      </c>
      <c r="H3668" s="112" t="s">
        <v>1016</v>
      </c>
      <c r="I3668" s="112" t="s">
        <v>819</v>
      </c>
      <c r="J3668" s="112" t="s">
        <v>3306</v>
      </c>
      <c r="K3668" s="112" t="s">
        <v>3307</v>
      </c>
      <c r="L3668" s="116">
        <v>-6250</v>
      </c>
    </row>
    <row r="3669" spans="1:12" outlineLevel="1" collapsed="1" x14ac:dyDescent="0.35">
      <c r="A3669" s="112" t="s">
        <v>3283</v>
      </c>
      <c r="B3669" s="112" t="s">
        <v>911</v>
      </c>
      <c r="C3669" s="112" t="s">
        <v>695</v>
      </c>
      <c r="D3669" s="113">
        <v>10348150</v>
      </c>
      <c r="E3669" s="115">
        <v>43930</v>
      </c>
      <c r="F3669" s="114">
        <v>202101</v>
      </c>
      <c r="G3669" s="112" t="s">
        <v>1091</v>
      </c>
      <c r="H3669" s="112" t="s">
        <v>1015</v>
      </c>
      <c r="I3669" s="112" t="s">
        <v>761</v>
      </c>
      <c r="J3669" s="112" t="s">
        <v>3284</v>
      </c>
      <c r="K3669" s="112" t="s">
        <v>3308</v>
      </c>
      <c r="L3669" s="116">
        <v>-11965.38</v>
      </c>
    </row>
    <row r="3670" spans="1:12" hidden="1" outlineLevel="1" collapsed="1" x14ac:dyDescent="0.35">
      <c r="A3670" s="112" t="s">
        <v>3283</v>
      </c>
      <c r="B3670" s="112" t="s">
        <v>3298</v>
      </c>
      <c r="C3670" s="112" t="s">
        <v>679</v>
      </c>
      <c r="D3670" s="113">
        <v>10348115</v>
      </c>
      <c r="E3670" s="115">
        <v>43929</v>
      </c>
      <c r="F3670" s="114">
        <v>202101</v>
      </c>
      <c r="G3670" s="112" t="s">
        <v>1091</v>
      </c>
      <c r="H3670" s="112" t="s">
        <v>1016</v>
      </c>
      <c r="I3670" s="112" t="s">
        <v>2337</v>
      </c>
      <c r="J3670" s="112" t="s">
        <v>3299</v>
      </c>
      <c r="K3670" s="112" t="s">
        <v>3309</v>
      </c>
      <c r="L3670" s="116">
        <v>-247</v>
      </c>
    </row>
    <row r="3671" spans="1:12" hidden="1" outlineLevel="1" collapsed="1" x14ac:dyDescent="0.35">
      <c r="A3671" s="112" t="s">
        <v>3283</v>
      </c>
      <c r="B3671" s="112" t="s">
        <v>912</v>
      </c>
      <c r="C3671" s="112" t="s">
        <v>695</v>
      </c>
      <c r="D3671" s="113">
        <v>10348150</v>
      </c>
      <c r="E3671" s="115">
        <v>43930</v>
      </c>
      <c r="F3671" s="114">
        <v>202101</v>
      </c>
      <c r="G3671" s="112" t="s">
        <v>1091</v>
      </c>
      <c r="H3671" s="112" t="s">
        <v>1015</v>
      </c>
      <c r="I3671" s="112" t="s">
        <v>763</v>
      </c>
      <c r="J3671" s="112" t="s">
        <v>3306</v>
      </c>
      <c r="K3671" s="112" t="s">
        <v>3310</v>
      </c>
      <c r="L3671" s="116">
        <v>-10750</v>
      </c>
    </row>
    <row r="3672" spans="1:12" hidden="1" outlineLevel="1" collapsed="1" x14ac:dyDescent="0.35">
      <c r="A3672" s="112" t="s">
        <v>3283</v>
      </c>
      <c r="B3672" s="112" t="s">
        <v>910</v>
      </c>
      <c r="C3672" s="112" t="s">
        <v>679</v>
      </c>
      <c r="D3672" s="113">
        <v>10348241</v>
      </c>
      <c r="E3672" s="115">
        <v>43936</v>
      </c>
      <c r="F3672" s="114">
        <v>202101</v>
      </c>
      <c r="G3672" s="112" t="s">
        <v>1091</v>
      </c>
      <c r="H3672" s="112" t="s">
        <v>1016</v>
      </c>
      <c r="I3672" s="112" t="s">
        <v>1293</v>
      </c>
      <c r="J3672" s="112" t="s">
        <v>3286</v>
      </c>
      <c r="K3672" s="112" t="s">
        <v>3311</v>
      </c>
      <c r="L3672" s="116">
        <v>-206</v>
      </c>
    </row>
    <row r="3673" spans="1:12" hidden="1" outlineLevel="1" collapsed="1" x14ac:dyDescent="0.35">
      <c r="A3673" s="112" t="s">
        <v>3283</v>
      </c>
      <c r="B3673" s="112" t="s">
        <v>910</v>
      </c>
      <c r="C3673" s="112" t="s">
        <v>679</v>
      </c>
      <c r="D3673" s="113">
        <v>10348241</v>
      </c>
      <c r="E3673" s="115">
        <v>43936</v>
      </c>
      <c r="F3673" s="114">
        <v>202101</v>
      </c>
      <c r="G3673" s="112" t="s">
        <v>1091</v>
      </c>
      <c r="H3673" s="112" t="s">
        <v>1016</v>
      </c>
      <c r="I3673" s="112" t="s">
        <v>1293</v>
      </c>
      <c r="J3673" s="112" t="s">
        <v>3286</v>
      </c>
      <c r="K3673" s="112" t="s">
        <v>3312</v>
      </c>
      <c r="L3673" s="116">
        <v>-462</v>
      </c>
    </row>
    <row r="3674" spans="1:12" hidden="1" outlineLevel="1" collapsed="1" x14ac:dyDescent="0.35">
      <c r="A3674" s="112" t="s">
        <v>3283</v>
      </c>
      <c r="B3674" s="112" t="s">
        <v>912</v>
      </c>
      <c r="C3674" s="112" t="s">
        <v>1095</v>
      </c>
      <c r="D3674" s="113">
        <v>10348451</v>
      </c>
      <c r="E3674" s="115">
        <v>43949</v>
      </c>
      <c r="F3674" s="114">
        <v>202101</v>
      </c>
      <c r="G3674" s="112" t="s">
        <v>1091</v>
      </c>
      <c r="H3674" s="112" t="s">
        <v>1015</v>
      </c>
      <c r="I3674" s="112" t="s">
        <v>1096</v>
      </c>
      <c r="J3674" s="112" t="s">
        <v>3292</v>
      </c>
      <c r="K3674" s="112" t="s">
        <v>1098</v>
      </c>
      <c r="L3674" s="116">
        <v>341.58</v>
      </c>
    </row>
    <row r="3675" spans="1:12" hidden="1" outlineLevel="1" collapsed="1" x14ac:dyDescent="0.35">
      <c r="A3675" s="112" t="s">
        <v>3283</v>
      </c>
      <c r="B3675" s="112" t="s">
        <v>912</v>
      </c>
      <c r="C3675" s="112" t="s">
        <v>695</v>
      </c>
      <c r="D3675" s="113">
        <v>10348150</v>
      </c>
      <c r="E3675" s="115">
        <v>43930</v>
      </c>
      <c r="F3675" s="114">
        <v>202101</v>
      </c>
      <c r="G3675" s="112" t="s">
        <v>1091</v>
      </c>
      <c r="H3675" s="112" t="s">
        <v>1015</v>
      </c>
      <c r="I3675" s="112" t="s">
        <v>763</v>
      </c>
      <c r="J3675" s="112" t="s">
        <v>3292</v>
      </c>
      <c r="K3675" s="112" t="s">
        <v>3313</v>
      </c>
      <c r="L3675" s="116">
        <v>-8559.66</v>
      </c>
    </row>
    <row r="3676" spans="1:12" hidden="1" outlineLevel="1" collapsed="1" x14ac:dyDescent="0.35">
      <c r="A3676" s="112" t="s">
        <v>3283</v>
      </c>
      <c r="B3676" s="112" t="s">
        <v>912</v>
      </c>
      <c r="C3676" s="112" t="s">
        <v>695</v>
      </c>
      <c r="D3676" s="113">
        <v>10348150</v>
      </c>
      <c r="E3676" s="115">
        <v>43930</v>
      </c>
      <c r="F3676" s="114">
        <v>202101</v>
      </c>
      <c r="G3676" s="112" t="s">
        <v>1091</v>
      </c>
      <c r="H3676" s="112" t="s">
        <v>1015</v>
      </c>
      <c r="I3676" s="112" t="s">
        <v>763</v>
      </c>
      <c r="J3676" s="112" t="s">
        <v>3292</v>
      </c>
      <c r="K3676" s="112" t="s">
        <v>3314</v>
      </c>
      <c r="L3676" s="116">
        <v>-133000</v>
      </c>
    </row>
    <row r="3677" spans="1:12" hidden="1" outlineLevel="1" collapsed="1" x14ac:dyDescent="0.35">
      <c r="A3677" s="112" t="s">
        <v>3283</v>
      </c>
      <c r="B3677" s="112" t="s">
        <v>912</v>
      </c>
      <c r="C3677" s="112" t="s">
        <v>1095</v>
      </c>
      <c r="D3677" s="113">
        <v>10348451</v>
      </c>
      <c r="E3677" s="115">
        <v>43949</v>
      </c>
      <c r="F3677" s="114">
        <v>202101</v>
      </c>
      <c r="G3677" s="112" t="s">
        <v>1091</v>
      </c>
      <c r="H3677" s="112" t="s">
        <v>1015</v>
      </c>
      <c r="I3677" s="112" t="s">
        <v>1101</v>
      </c>
      <c r="J3677" s="112" t="s">
        <v>3292</v>
      </c>
      <c r="K3677" s="112" t="s">
        <v>1098</v>
      </c>
      <c r="L3677" s="116">
        <v>519.57000000000005</v>
      </c>
    </row>
    <row r="3678" spans="1:12" hidden="1" outlineLevel="1" collapsed="1" x14ac:dyDescent="0.35">
      <c r="A3678" s="112" t="s">
        <v>3283</v>
      </c>
      <c r="B3678" s="112" t="s">
        <v>3298</v>
      </c>
      <c r="C3678" s="112" t="s">
        <v>679</v>
      </c>
      <c r="D3678" s="113">
        <v>10348532</v>
      </c>
      <c r="E3678" s="115">
        <v>43950</v>
      </c>
      <c r="F3678" s="114">
        <v>202101</v>
      </c>
      <c r="G3678" s="112" t="s">
        <v>1091</v>
      </c>
      <c r="H3678" s="112" t="s">
        <v>1016</v>
      </c>
      <c r="I3678" s="112" t="s">
        <v>2337</v>
      </c>
      <c r="J3678" s="112" t="s">
        <v>3299</v>
      </c>
      <c r="K3678" s="112" t="s">
        <v>3315</v>
      </c>
      <c r="L3678" s="116">
        <v>-196.6</v>
      </c>
    </row>
    <row r="3679" spans="1:12" hidden="1" outlineLevel="1" collapsed="1" x14ac:dyDescent="0.35">
      <c r="A3679" s="112" t="s">
        <v>3283</v>
      </c>
      <c r="B3679" s="112" t="s">
        <v>3298</v>
      </c>
      <c r="C3679" s="112" t="s">
        <v>679</v>
      </c>
      <c r="D3679" s="113">
        <v>10348217</v>
      </c>
      <c r="E3679" s="115">
        <v>43935</v>
      </c>
      <c r="F3679" s="114">
        <v>202101</v>
      </c>
      <c r="G3679" s="112" t="s">
        <v>1091</v>
      </c>
      <c r="H3679" s="112" t="s">
        <v>1016</v>
      </c>
      <c r="I3679" s="112" t="s">
        <v>2337</v>
      </c>
      <c r="J3679" s="112" t="s">
        <v>3299</v>
      </c>
      <c r="K3679" s="112" t="s">
        <v>3316</v>
      </c>
      <c r="L3679" s="116">
        <v>-170</v>
      </c>
    </row>
    <row r="3680" spans="1:12" hidden="1" outlineLevel="1" collapsed="1" x14ac:dyDescent="0.35">
      <c r="A3680" s="112" t="s">
        <v>3283</v>
      </c>
      <c r="B3680" s="112" t="s">
        <v>912</v>
      </c>
      <c r="C3680" s="112" t="s">
        <v>1095</v>
      </c>
      <c r="D3680" s="113">
        <v>10348451</v>
      </c>
      <c r="E3680" s="115">
        <v>43949</v>
      </c>
      <c r="F3680" s="114">
        <v>202101</v>
      </c>
      <c r="G3680" s="112" t="s">
        <v>1091</v>
      </c>
      <c r="H3680" s="112" t="s">
        <v>1015</v>
      </c>
      <c r="I3680" s="112" t="s">
        <v>1101</v>
      </c>
      <c r="J3680" s="112" t="s">
        <v>3288</v>
      </c>
      <c r="K3680" s="112" t="s">
        <v>1098</v>
      </c>
      <c r="L3680" s="116">
        <v>551.73</v>
      </c>
    </row>
    <row r="3681" spans="1:12" hidden="1" outlineLevel="1" collapsed="1" x14ac:dyDescent="0.35">
      <c r="A3681" s="112" t="s">
        <v>3283</v>
      </c>
      <c r="B3681" s="112" t="s">
        <v>3298</v>
      </c>
      <c r="C3681" s="112" t="s">
        <v>679</v>
      </c>
      <c r="D3681" s="113">
        <v>10348411</v>
      </c>
      <c r="E3681" s="115">
        <v>43943</v>
      </c>
      <c r="F3681" s="114">
        <v>202101</v>
      </c>
      <c r="G3681" s="112" t="s">
        <v>1091</v>
      </c>
      <c r="H3681" s="112" t="s">
        <v>1016</v>
      </c>
      <c r="I3681" s="112" t="s">
        <v>2337</v>
      </c>
      <c r="J3681" s="112" t="s">
        <v>3299</v>
      </c>
      <c r="K3681" s="112" t="s">
        <v>3317</v>
      </c>
      <c r="L3681" s="116">
        <v>-196.6</v>
      </c>
    </row>
    <row r="3682" spans="1:12" hidden="1" outlineLevel="1" collapsed="1" x14ac:dyDescent="0.35">
      <c r="A3682" s="112" t="s">
        <v>3283</v>
      </c>
      <c r="B3682" s="112" t="s">
        <v>912</v>
      </c>
      <c r="C3682" s="112" t="s">
        <v>1095</v>
      </c>
      <c r="D3682" s="113">
        <v>10348451</v>
      </c>
      <c r="E3682" s="115">
        <v>43949</v>
      </c>
      <c r="F3682" s="114">
        <v>202101</v>
      </c>
      <c r="G3682" s="112" t="s">
        <v>1091</v>
      </c>
      <c r="H3682" s="112" t="s">
        <v>1015</v>
      </c>
      <c r="I3682" s="112" t="s">
        <v>1101</v>
      </c>
      <c r="J3682" s="112" t="s">
        <v>3292</v>
      </c>
      <c r="K3682" s="112" t="s">
        <v>1098</v>
      </c>
      <c r="L3682" s="116">
        <v>940.21</v>
      </c>
    </row>
    <row r="3683" spans="1:12" hidden="1" outlineLevel="1" collapsed="1" x14ac:dyDescent="0.35">
      <c r="A3683" s="112" t="s">
        <v>3283</v>
      </c>
      <c r="B3683" s="112" t="s">
        <v>912</v>
      </c>
      <c r="C3683" s="112" t="s">
        <v>1095</v>
      </c>
      <c r="D3683" s="113">
        <v>10348451</v>
      </c>
      <c r="E3683" s="115">
        <v>43949</v>
      </c>
      <c r="F3683" s="114">
        <v>202101</v>
      </c>
      <c r="G3683" s="112" t="s">
        <v>1091</v>
      </c>
      <c r="H3683" s="112" t="s">
        <v>1015</v>
      </c>
      <c r="I3683" s="112" t="s">
        <v>1101</v>
      </c>
      <c r="J3683" s="112" t="s">
        <v>3292</v>
      </c>
      <c r="K3683" s="112" t="s">
        <v>1098</v>
      </c>
      <c r="L3683" s="116">
        <v>562.66999999999996</v>
      </c>
    </row>
    <row r="3684" spans="1:12" hidden="1" outlineLevel="1" collapsed="1" x14ac:dyDescent="0.35">
      <c r="A3684" s="112" t="s">
        <v>3283</v>
      </c>
      <c r="B3684" s="112" t="s">
        <v>912</v>
      </c>
      <c r="C3684" s="112" t="s">
        <v>1095</v>
      </c>
      <c r="D3684" s="113">
        <v>10348451</v>
      </c>
      <c r="E3684" s="115">
        <v>43949</v>
      </c>
      <c r="F3684" s="114">
        <v>202101</v>
      </c>
      <c r="G3684" s="112" t="s">
        <v>1091</v>
      </c>
      <c r="H3684" s="112" t="s">
        <v>1015</v>
      </c>
      <c r="I3684" s="112" t="s">
        <v>1096</v>
      </c>
      <c r="J3684" s="112" t="s">
        <v>3292</v>
      </c>
      <c r="K3684" s="112" t="s">
        <v>1098</v>
      </c>
      <c r="L3684" s="116">
        <v>378.29</v>
      </c>
    </row>
    <row r="3685" spans="1:12" hidden="1" outlineLevel="1" collapsed="1" x14ac:dyDescent="0.35">
      <c r="A3685" s="112" t="s">
        <v>3283</v>
      </c>
      <c r="B3685" s="112" t="s">
        <v>912</v>
      </c>
      <c r="C3685" s="112" t="s">
        <v>1095</v>
      </c>
      <c r="D3685" s="113">
        <v>10348451</v>
      </c>
      <c r="E3685" s="115">
        <v>43949</v>
      </c>
      <c r="F3685" s="114">
        <v>202101</v>
      </c>
      <c r="G3685" s="112" t="s">
        <v>1091</v>
      </c>
      <c r="H3685" s="112" t="s">
        <v>1015</v>
      </c>
      <c r="I3685" s="112" t="s">
        <v>1096</v>
      </c>
      <c r="J3685" s="112" t="s">
        <v>3292</v>
      </c>
      <c r="K3685" s="112" t="s">
        <v>1098</v>
      </c>
      <c r="L3685" s="116">
        <v>699.9</v>
      </c>
    </row>
    <row r="3686" spans="1:12" outlineLevel="1" collapsed="1" x14ac:dyDescent="0.35">
      <c r="A3686" s="112" t="s">
        <v>3283</v>
      </c>
      <c r="B3686" s="112" t="s">
        <v>911</v>
      </c>
      <c r="C3686" s="112" t="s">
        <v>1095</v>
      </c>
      <c r="D3686" s="113">
        <v>10348451</v>
      </c>
      <c r="E3686" s="115">
        <v>43949</v>
      </c>
      <c r="F3686" s="114">
        <v>202101</v>
      </c>
      <c r="G3686" s="112" t="s">
        <v>1091</v>
      </c>
      <c r="H3686" s="112" t="s">
        <v>1015</v>
      </c>
      <c r="I3686" s="112" t="s">
        <v>1101</v>
      </c>
      <c r="J3686" s="112" t="s">
        <v>3291</v>
      </c>
      <c r="K3686" s="112" t="s">
        <v>1098</v>
      </c>
      <c r="L3686" s="116">
        <v>315</v>
      </c>
    </row>
    <row r="3687" spans="1:12" hidden="1" outlineLevel="1" collapsed="1" x14ac:dyDescent="0.35">
      <c r="A3687" s="112" t="s">
        <v>3283</v>
      </c>
      <c r="B3687" s="112" t="s">
        <v>910</v>
      </c>
      <c r="C3687" s="112" t="s">
        <v>679</v>
      </c>
      <c r="D3687" s="113">
        <v>10348532</v>
      </c>
      <c r="E3687" s="115">
        <v>43950</v>
      </c>
      <c r="F3687" s="114">
        <v>202101</v>
      </c>
      <c r="G3687" s="112" t="s">
        <v>1091</v>
      </c>
      <c r="H3687" s="112" t="s">
        <v>1016</v>
      </c>
      <c r="I3687" s="112" t="s">
        <v>1293</v>
      </c>
      <c r="J3687" s="112" t="s">
        <v>3286</v>
      </c>
      <c r="K3687" s="112" t="s">
        <v>3318</v>
      </c>
      <c r="L3687" s="116">
        <v>-462</v>
      </c>
    </row>
    <row r="3688" spans="1:12" hidden="1" outlineLevel="1" collapsed="1" x14ac:dyDescent="0.35">
      <c r="A3688" s="112" t="s">
        <v>3283</v>
      </c>
      <c r="B3688" s="112" t="s">
        <v>912</v>
      </c>
      <c r="C3688" s="112" t="s">
        <v>1095</v>
      </c>
      <c r="D3688" s="113">
        <v>10348451</v>
      </c>
      <c r="E3688" s="115">
        <v>43949</v>
      </c>
      <c r="F3688" s="114">
        <v>202101</v>
      </c>
      <c r="G3688" s="112" t="s">
        <v>1091</v>
      </c>
      <c r="H3688" s="112" t="s">
        <v>1015</v>
      </c>
      <c r="I3688" s="112" t="s">
        <v>1101</v>
      </c>
      <c r="J3688" s="112" t="s">
        <v>3288</v>
      </c>
      <c r="K3688" s="112" t="s">
        <v>1098</v>
      </c>
      <c r="L3688" s="116">
        <v>531.66999999999996</v>
      </c>
    </row>
    <row r="3689" spans="1:12" hidden="1" outlineLevel="1" collapsed="1" x14ac:dyDescent="0.35">
      <c r="A3689" s="112" t="s">
        <v>3283</v>
      </c>
      <c r="B3689" s="112" t="s">
        <v>910</v>
      </c>
      <c r="C3689" s="112" t="s">
        <v>1095</v>
      </c>
      <c r="D3689" s="113">
        <v>10348451</v>
      </c>
      <c r="E3689" s="115">
        <v>43949</v>
      </c>
      <c r="F3689" s="114">
        <v>202101</v>
      </c>
      <c r="G3689" s="112" t="s">
        <v>1091</v>
      </c>
      <c r="H3689" s="112" t="s">
        <v>1015</v>
      </c>
      <c r="I3689" s="112" t="s">
        <v>1101</v>
      </c>
      <c r="J3689" s="112" t="s">
        <v>3286</v>
      </c>
      <c r="K3689" s="112" t="s">
        <v>1098</v>
      </c>
      <c r="L3689" s="116">
        <v>299.54000000000002</v>
      </c>
    </row>
    <row r="3690" spans="1:12" hidden="1" outlineLevel="1" collapsed="1" x14ac:dyDescent="0.35">
      <c r="A3690" s="112" t="s">
        <v>3283</v>
      </c>
      <c r="B3690" s="112" t="s">
        <v>912</v>
      </c>
      <c r="C3690" s="112" t="s">
        <v>1095</v>
      </c>
      <c r="D3690" s="113">
        <v>10348451</v>
      </c>
      <c r="E3690" s="115">
        <v>43949</v>
      </c>
      <c r="F3690" s="114">
        <v>202101</v>
      </c>
      <c r="G3690" s="112" t="s">
        <v>1091</v>
      </c>
      <c r="H3690" s="112" t="s">
        <v>1015</v>
      </c>
      <c r="I3690" s="112" t="s">
        <v>1096</v>
      </c>
      <c r="J3690" s="112" t="s">
        <v>3288</v>
      </c>
      <c r="K3690" s="112" t="s">
        <v>1098</v>
      </c>
      <c r="L3690" s="116">
        <v>351.89</v>
      </c>
    </row>
    <row r="3691" spans="1:12" hidden="1" outlineLevel="1" collapsed="1" x14ac:dyDescent="0.35">
      <c r="A3691" s="112" t="s">
        <v>3283</v>
      </c>
      <c r="B3691" s="112" t="s">
        <v>3298</v>
      </c>
      <c r="C3691" s="112" t="s">
        <v>679</v>
      </c>
      <c r="D3691" s="113">
        <v>10348411</v>
      </c>
      <c r="E3691" s="115">
        <v>43943</v>
      </c>
      <c r="F3691" s="114">
        <v>202101</v>
      </c>
      <c r="G3691" s="112" t="s">
        <v>1091</v>
      </c>
      <c r="H3691" s="112" t="s">
        <v>1016</v>
      </c>
      <c r="I3691" s="112" t="s">
        <v>2337</v>
      </c>
      <c r="J3691" s="112" t="s">
        <v>3299</v>
      </c>
      <c r="K3691" s="112" t="s">
        <v>3319</v>
      </c>
      <c r="L3691" s="116">
        <v>-196.6</v>
      </c>
    </row>
    <row r="3692" spans="1:12" hidden="1" outlineLevel="1" collapsed="1" x14ac:dyDescent="0.35">
      <c r="A3692" s="112" t="s">
        <v>3283</v>
      </c>
      <c r="B3692" s="112" t="s">
        <v>910</v>
      </c>
      <c r="C3692" s="112" t="s">
        <v>679</v>
      </c>
      <c r="D3692" s="113">
        <v>10348411</v>
      </c>
      <c r="E3692" s="115">
        <v>43943</v>
      </c>
      <c r="F3692" s="114">
        <v>202101</v>
      </c>
      <c r="G3692" s="112" t="s">
        <v>1091</v>
      </c>
      <c r="H3692" s="112" t="s">
        <v>1016</v>
      </c>
      <c r="I3692" s="112" t="s">
        <v>1293</v>
      </c>
      <c r="J3692" s="112" t="s">
        <v>3286</v>
      </c>
      <c r="K3692" s="112" t="s">
        <v>3320</v>
      </c>
      <c r="L3692" s="116">
        <v>-206</v>
      </c>
    </row>
    <row r="3693" spans="1:12" hidden="1" outlineLevel="1" collapsed="1" x14ac:dyDescent="0.35">
      <c r="A3693" s="112" t="s">
        <v>3283</v>
      </c>
      <c r="B3693" s="112" t="s">
        <v>910</v>
      </c>
      <c r="C3693" s="112" t="s">
        <v>679</v>
      </c>
      <c r="D3693" s="113">
        <v>10348532</v>
      </c>
      <c r="E3693" s="115">
        <v>43950</v>
      </c>
      <c r="F3693" s="114">
        <v>202101</v>
      </c>
      <c r="G3693" s="112" t="s">
        <v>1091</v>
      </c>
      <c r="H3693" s="112" t="s">
        <v>1016</v>
      </c>
      <c r="I3693" s="112" t="s">
        <v>1293</v>
      </c>
      <c r="J3693" s="112" t="s">
        <v>3286</v>
      </c>
      <c r="K3693" s="112" t="s">
        <v>3321</v>
      </c>
      <c r="L3693" s="116">
        <v>-206</v>
      </c>
    </row>
    <row r="3694" spans="1:12" hidden="1" outlineLevel="1" collapsed="1" x14ac:dyDescent="0.35">
      <c r="A3694" s="112" t="s">
        <v>3283</v>
      </c>
      <c r="B3694" s="112" t="s">
        <v>910</v>
      </c>
      <c r="C3694" s="112" t="s">
        <v>679</v>
      </c>
      <c r="D3694" s="113">
        <v>10348411</v>
      </c>
      <c r="E3694" s="115">
        <v>43943</v>
      </c>
      <c r="F3694" s="114">
        <v>202101</v>
      </c>
      <c r="G3694" s="112" t="s">
        <v>1091</v>
      </c>
      <c r="H3694" s="112" t="s">
        <v>1016</v>
      </c>
      <c r="I3694" s="112" t="s">
        <v>1293</v>
      </c>
      <c r="J3694" s="112" t="s">
        <v>3286</v>
      </c>
      <c r="K3694" s="112" t="s">
        <v>3322</v>
      </c>
      <c r="L3694" s="116">
        <v>-206</v>
      </c>
    </row>
    <row r="3695" spans="1:12" hidden="1" outlineLevel="1" collapsed="1" x14ac:dyDescent="0.35">
      <c r="A3695" s="112" t="s">
        <v>3283</v>
      </c>
      <c r="B3695" s="112" t="s">
        <v>3298</v>
      </c>
      <c r="C3695" s="112" t="s">
        <v>679</v>
      </c>
      <c r="D3695" s="113">
        <v>10348217</v>
      </c>
      <c r="E3695" s="115">
        <v>43935</v>
      </c>
      <c r="F3695" s="114">
        <v>202101</v>
      </c>
      <c r="G3695" s="112" t="s">
        <v>1091</v>
      </c>
      <c r="H3695" s="112" t="s">
        <v>1016</v>
      </c>
      <c r="I3695" s="112" t="s">
        <v>2337</v>
      </c>
      <c r="J3695" s="112" t="s">
        <v>3299</v>
      </c>
      <c r="K3695" s="112" t="s">
        <v>3323</v>
      </c>
      <c r="L3695" s="116">
        <v>-7</v>
      </c>
    </row>
    <row r="3696" spans="1:12" hidden="1" outlineLevel="1" collapsed="1" x14ac:dyDescent="0.35">
      <c r="A3696" s="112" t="s">
        <v>3283</v>
      </c>
      <c r="B3696" s="112" t="s">
        <v>910</v>
      </c>
      <c r="C3696" s="112" t="s">
        <v>679</v>
      </c>
      <c r="D3696" s="113">
        <v>10348217</v>
      </c>
      <c r="E3696" s="115">
        <v>43935</v>
      </c>
      <c r="F3696" s="114">
        <v>202101</v>
      </c>
      <c r="G3696" s="112" t="s">
        <v>1091</v>
      </c>
      <c r="H3696" s="112" t="s">
        <v>1016</v>
      </c>
      <c r="I3696" s="112" t="s">
        <v>1293</v>
      </c>
      <c r="J3696" s="112" t="s">
        <v>3286</v>
      </c>
      <c r="K3696" s="112" t="s">
        <v>3324</v>
      </c>
      <c r="L3696" s="116">
        <v>-206</v>
      </c>
    </row>
    <row r="3697" spans="1:12" hidden="1" outlineLevel="1" collapsed="1" x14ac:dyDescent="0.35">
      <c r="A3697" s="112" t="s">
        <v>3283</v>
      </c>
      <c r="B3697" s="112" t="s">
        <v>910</v>
      </c>
      <c r="C3697" s="112" t="s">
        <v>679</v>
      </c>
      <c r="D3697" s="113">
        <v>10348217</v>
      </c>
      <c r="E3697" s="115">
        <v>43935</v>
      </c>
      <c r="F3697" s="114">
        <v>202101</v>
      </c>
      <c r="G3697" s="112" t="s">
        <v>1091</v>
      </c>
      <c r="H3697" s="112" t="s">
        <v>1016</v>
      </c>
      <c r="I3697" s="112" t="s">
        <v>1293</v>
      </c>
      <c r="J3697" s="112" t="s">
        <v>3286</v>
      </c>
      <c r="K3697" s="112" t="s">
        <v>3325</v>
      </c>
      <c r="L3697" s="116">
        <v>-924</v>
      </c>
    </row>
    <row r="3698" spans="1:12" hidden="1" outlineLevel="1" collapsed="1" x14ac:dyDescent="0.35">
      <c r="A3698" s="112" t="s">
        <v>3283</v>
      </c>
      <c r="B3698" s="112" t="s">
        <v>910</v>
      </c>
      <c r="C3698" s="112" t="s">
        <v>1095</v>
      </c>
      <c r="D3698" s="113">
        <v>10348451</v>
      </c>
      <c r="E3698" s="115">
        <v>43949</v>
      </c>
      <c r="F3698" s="114">
        <v>202101</v>
      </c>
      <c r="G3698" s="112" t="s">
        <v>1091</v>
      </c>
      <c r="H3698" s="112" t="s">
        <v>1015</v>
      </c>
      <c r="I3698" s="112" t="s">
        <v>1096</v>
      </c>
      <c r="J3698" s="112" t="s">
        <v>3286</v>
      </c>
      <c r="K3698" s="112" t="s">
        <v>1098</v>
      </c>
      <c r="L3698" s="116">
        <v>463.68</v>
      </c>
    </row>
    <row r="3699" spans="1:12" hidden="1" outlineLevel="1" collapsed="1" x14ac:dyDescent="0.35">
      <c r="A3699" s="112" t="s">
        <v>3283</v>
      </c>
      <c r="B3699" s="112" t="s">
        <v>3298</v>
      </c>
      <c r="C3699" s="112" t="s">
        <v>679</v>
      </c>
      <c r="D3699" s="113">
        <v>10348217</v>
      </c>
      <c r="E3699" s="115">
        <v>43935</v>
      </c>
      <c r="F3699" s="114">
        <v>202101</v>
      </c>
      <c r="G3699" s="112" t="s">
        <v>1091</v>
      </c>
      <c r="H3699" s="112" t="s">
        <v>1016</v>
      </c>
      <c r="I3699" s="112" t="s">
        <v>2337</v>
      </c>
      <c r="J3699" s="112" t="s">
        <v>3299</v>
      </c>
      <c r="K3699" s="112" t="s">
        <v>3326</v>
      </c>
      <c r="L3699" s="116">
        <v>-37</v>
      </c>
    </row>
    <row r="3700" spans="1:12" hidden="1" outlineLevel="1" collapsed="1" x14ac:dyDescent="0.35">
      <c r="A3700" s="112" t="s">
        <v>3283</v>
      </c>
      <c r="B3700" s="112" t="s">
        <v>3298</v>
      </c>
      <c r="C3700" s="112" t="s">
        <v>679</v>
      </c>
      <c r="D3700" s="113">
        <v>10348411</v>
      </c>
      <c r="E3700" s="115">
        <v>43943</v>
      </c>
      <c r="F3700" s="114">
        <v>202101</v>
      </c>
      <c r="G3700" s="112" t="s">
        <v>1091</v>
      </c>
      <c r="H3700" s="112" t="s">
        <v>1016</v>
      </c>
      <c r="I3700" s="112" t="s">
        <v>2337</v>
      </c>
      <c r="J3700" s="112" t="s">
        <v>3299</v>
      </c>
      <c r="K3700" s="112" t="s">
        <v>3327</v>
      </c>
      <c r="L3700" s="116">
        <v>-460.3</v>
      </c>
    </row>
    <row r="3701" spans="1:12" hidden="1" outlineLevel="1" collapsed="1" x14ac:dyDescent="0.35">
      <c r="A3701" s="112" t="s">
        <v>3283</v>
      </c>
      <c r="B3701" s="112" t="s">
        <v>912</v>
      </c>
      <c r="C3701" s="112" t="s">
        <v>1518</v>
      </c>
      <c r="D3701" s="113">
        <v>51366278</v>
      </c>
      <c r="E3701" s="115">
        <v>43949</v>
      </c>
      <c r="F3701" s="114">
        <v>202101</v>
      </c>
      <c r="G3701" s="112" t="s">
        <v>1091</v>
      </c>
      <c r="H3701" s="112" t="s">
        <v>1016</v>
      </c>
      <c r="I3701" s="112" t="s">
        <v>2337</v>
      </c>
      <c r="J3701" s="112" t="s">
        <v>3288</v>
      </c>
      <c r="K3701" s="112" t="s">
        <v>3328</v>
      </c>
      <c r="L3701" s="116">
        <v>-90</v>
      </c>
    </row>
    <row r="3702" spans="1:12" hidden="1" outlineLevel="1" collapsed="1" x14ac:dyDescent="0.35">
      <c r="A3702" s="112" t="s">
        <v>3283</v>
      </c>
      <c r="B3702" s="112" t="s">
        <v>910</v>
      </c>
      <c r="C3702" s="112" t="s">
        <v>679</v>
      </c>
      <c r="D3702" s="113">
        <v>10348515</v>
      </c>
      <c r="E3702" s="115">
        <v>43949</v>
      </c>
      <c r="F3702" s="114">
        <v>202101</v>
      </c>
      <c r="G3702" s="112" t="s">
        <v>1091</v>
      </c>
      <c r="H3702" s="112" t="s">
        <v>1016</v>
      </c>
      <c r="I3702" s="112" t="s">
        <v>1293</v>
      </c>
      <c r="J3702" s="112" t="s">
        <v>3286</v>
      </c>
      <c r="K3702" s="112" t="s">
        <v>3329</v>
      </c>
      <c r="L3702" s="116">
        <v>-206</v>
      </c>
    </row>
    <row r="3703" spans="1:12" hidden="1" outlineLevel="1" collapsed="1" x14ac:dyDescent="0.35">
      <c r="A3703" s="112" t="s">
        <v>3283</v>
      </c>
      <c r="B3703" s="112" t="s">
        <v>910</v>
      </c>
      <c r="C3703" s="112" t="s">
        <v>679</v>
      </c>
      <c r="D3703" s="113">
        <v>10348515</v>
      </c>
      <c r="E3703" s="115">
        <v>43949</v>
      </c>
      <c r="F3703" s="114">
        <v>202101</v>
      </c>
      <c r="G3703" s="112" t="s">
        <v>1091</v>
      </c>
      <c r="H3703" s="112" t="s">
        <v>1016</v>
      </c>
      <c r="I3703" s="112" t="s">
        <v>1293</v>
      </c>
      <c r="J3703" s="112" t="s">
        <v>3286</v>
      </c>
      <c r="K3703" s="112" t="s">
        <v>3330</v>
      </c>
      <c r="L3703" s="116">
        <v>-462</v>
      </c>
    </row>
    <row r="3704" spans="1:12" hidden="1" outlineLevel="1" collapsed="1" x14ac:dyDescent="0.35">
      <c r="A3704" s="112" t="s">
        <v>3283</v>
      </c>
      <c r="B3704" s="112" t="s">
        <v>910</v>
      </c>
      <c r="C3704" s="112" t="s">
        <v>679</v>
      </c>
      <c r="D3704" s="113">
        <v>10348515</v>
      </c>
      <c r="E3704" s="115">
        <v>43949</v>
      </c>
      <c r="F3704" s="114">
        <v>202101</v>
      </c>
      <c r="G3704" s="112" t="s">
        <v>1091</v>
      </c>
      <c r="H3704" s="112" t="s">
        <v>1016</v>
      </c>
      <c r="I3704" s="112" t="s">
        <v>1293</v>
      </c>
      <c r="J3704" s="112" t="s">
        <v>3286</v>
      </c>
      <c r="K3704" s="112" t="s">
        <v>3331</v>
      </c>
      <c r="L3704" s="116">
        <v>-462</v>
      </c>
    </row>
    <row r="3705" spans="1:12" outlineLevel="1" collapsed="1" x14ac:dyDescent="0.35">
      <c r="A3705" s="112" t="s">
        <v>3283</v>
      </c>
      <c r="B3705" s="112" t="s">
        <v>911</v>
      </c>
      <c r="C3705" s="112" t="s">
        <v>1095</v>
      </c>
      <c r="D3705" s="113">
        <v>10348451</v>
      </c>
      <c r="E3705" s="115">
        <v>43949</v>
      </c>
      <c r="F3705" s="114">
        <v>202101</v>
      </c>
      <c r="G3705" s="112" t="s">
        <v>1091</v>
      </c>
      <c r="H3705" s="112" t="s">
        <v>1015</v>
      </c>
      <c r="I3705" s="112" t="s">
        <v>1101</v>
      </c>
      <c r="J3705" s="112" t="s">
        <v>3291</v>
      </c>
      <c r="K3705" s="112" t="s">
        <v>1098</v>
      </c>
      <c r="L3705" s="116">
        <v>63.85</v>
      </c>
    </row>
    <row r="3706" spans="1:12" hidden="1" outlineLevel="1" collapsed="1" x14ac:dyDescent="0.35">
      <c r="A3706" s="112" t="s">
        <v>3283</v>
      </c>
      <c r="B3706" s="112" t="s">
        <v>910</v>
      </c>
      <c r="C3706" s="112" t="s">
        <v>679</v>
      </c>
      <c r="D3706" s="113">
        <v>10348532</v>
      </c>
      <c r="E3706" s="115">
        <v>43950</v>
      </c>
      <c r="F3706" s="114">
        <v>202101</v>
      </c>
      <c r="G3706" s="112" t="s">
        <v>1091</v>
      </c>
      <c r="H3706" s="112" t="s">
        <v>1016</v>
      </c>
      <c r="I3706" s="112" t="s">
        <v>1293</v>
      </c>
      <c r="J3706" s="112" t="s">
        <v>3286</v>
      </c>
      <c r="K3706" s="112" t="s">
        <v>3332</v>
      </c>
      <c r="L3706" s="116">
        <v>-206</v>
      </c>
    </row>
    <row r="3707" spans="1:12" hidden="1" outlineLevel="1" collapsed="1" x14ac:dyDescent="0.35">
      <c r="A3707" s="112" t="s">
        <v>3283</v>
      </c>
      <c r="B3707" s="112" t="s">
        <v>912</v>
      </c>
      <c r="C3707" s="112" t="s">
        <v>1095</v>
      </c>
      <c r="D3707" s="113">
        <v>10348451</v>
      </c>
      <c r="E3707" s="115">
        <v>43949</v>
      </c>
      <c r="F3707" s="114">
        <v>202101</v>
      </c>
      <c r="G3707" s="112" t="s">
        <v>1091</v>
      </c>
      <c r="H3707" s="112" t="s">
        <v>1015</v>
      </c>
      <c r="I3707" s="112" t="s">
        <v>1101</v>
      </c>
      <c r="J3707" s="112" t="s">
        <v>3288</v>
      </c>
      <c r="K3707" s="112" t="s">
        <v>1098</v>
      </c>
      <c r="L3707" s="116">
        <v>119.19</v>
      </c>
    </row>
    <row r="3708" spans="1:12" hidden="1" outlineLevel="1" collapsed="1" x14ac:dyDescent="0.35">
      <c r="A3708" s="112" t="s">
        <v>3283</v>
      </c>
      <c r="B3708" s="112" t="s">
        <v>910</v>
      </c>
      <c r="C3708" s="112" t="s">
        <v>679</v>
      </c>
      <c r="D3708" s="113">
        <v>10348515</v>
      </c>
      <c r="E3708" s="115">
        <v>43949</v>
      </c>
      <c r="F3708" s="114">
        <v>202101</v>
      </c>
      <c r="G3708" s="112" t="s">
        <v>1091</v>
      </c>
      <c r="H3708" s="112" t="s">
        <v>1016</v>
      </c>
      <c r="I3708" s="112" t="s">
        <v>1293</v>
      </c>
      <c r="J3708" s="112" t="s">
        <v>3286</v>
      </c>
      <c r="K3708" s="112" t="s">
        <v>3333</v>
      </c>
      <c r="L3708" s="116">
        <v>-234</v>
      </c>
    </row>
    <row r="3709" spans="1:12" hidden="1" outlineLevel="1" collapsed="1" x14ac:dyDescent="0.35">
      <c r="A3709" s="112" t="s">
        <v>3283</v>
      </c>
      <c r="B3709" s="112" t="s">
        <v>912</v>
      </c>
      <c r="C3709" s="112" t="s">
        <v>1095</v>
      </c>
      <c r="D3709" s="113">
        <v>10348451</v>
      </c>
      <c r="E3709" s="115">
        <v>43949</v>
      </c>
      <c r="F3709" s="114">
        <v>202101</v>
      </c>
      <c r="G3709" s="112" t="s">
        <v>1091</v>
      </c>
      <c r="H3709" s="112" t="s">
        <v>1015</v>
      </c>
      <c r="I3709" s="112" t="s">
        <v>1101</v>
      </c>
      <c r="J3709" s="112" t="s">
        <v>3288</v>
      </c>
      <c r="K3709" s="112" t="s">
        <v>1098</v>
      </c>
      <c r="L3709" s="116">
        <v>549.4</v>
      </c>
    </row>
    <row r="3710" spans="1:12" hidden="1" outlineLevel="1" collapsed="1" x14ac:dyDescent="0.35">
      <c r="A3710" s="112" t="s">
        <v>3283</v>
      </c>
      <c r="B3710" s="112" t="s">
        <v>910</v>
      </c>
      <c r="C3710" s="112" t="s">
        <v>679</v>
      </c>
      <c r="D3710" s="113">
        <v>10348515</v>
      </c>
      <c r="E3710" s="115">
        <v>43949</v>
      </c>
      <c r="F3710" s="114">
        <v>202101</v>
      </c>
      <c r="G3710" s="112" t="s">
        <v>1091</v>
      </c>
      <c r="H3710" s="112" t="s">
        <v>1016</v>
      </c>
      <c r="I3710" s="112" t="s">
        <v>1293</v>
      </c>
      <c r="J3710" s="112" t="s">
        <v>3286</v>
      </c>
      <c r="K3710" s="112" t="s">
        <v>3334</v>
      </c>
      <c r="L3710" s="116">
        <v>-116</v>
      </c>
    </row>
    <row r="3711" spans="1:12" hidden="1" outlineLevel="1" collapsed="1" x14ac:dyDescent="0.35">
      <c r="A3711" s="112" t="s">
        <v>3283</v>
      </c>
      <c r="B3711" s="112" t="s">
        <v>910</v>
      </c>
      <c r="C3711" s="112" t="s">
        <v>679</v>
      </c>
      <c r="D3711" s="113">
        <v>10348515</v>
      </c>
      <c r="E3711" s="115">
        <v>43949</v>
      </c>
      <c r="F3711" s="114">
        <v>202101</v>
      </c>
      <c r="G3711" s="112" t="s">
        <v>1091</v>
      </c>
      <c r="H3711" s="112" t="s">
        <v>1016</v>
      </c>
      <c r="I3711" s="112" t="s">
        <v>1293</v>
      </c>
      <c r="J3711" s="112" t="s">
        <v>3286</v>
      </c>
      <c r="K3711" s="112" t="s">
        <v>3335</v>
      </c>
      <c r="L3711" s="116">
        <v>-462</v>
      </c>
    </row>
    <row r="3712" spans="1:12" hidden="1" outlineLevel="1" collapsed="1" x14ac:dyDescent="0.35">
      <c r="A3712" s="112" t="s">
        <v>3283</v>
      </c>
      <c r="B3712" s="112" t="s">
        <v>910</v>
      </c>
      <c r="C3712" s="112" t="s">
        <v>679</v>
      </c>
      <c r="D3712" s="113">
        <v>10348515</v>
      </c>
      <c r="E3712" s="115">
        <v>43949</v>
      </c>
      <c r="F3712" s="114">
        <v>202101</v>
      </c>
      <c r="G3712" s="112" t="s">
        <v>1091</v>
      </c>
      <c r="H3712" s="112" t="s">
        <v>1016</v>
      </c>
      <c r="I3712" s="112" t="s">
        <v>1293</v>
      </c>
      <c r="J3712" s="112" t="s">
        <v>3286</v>
      </c>
      <c r="K3712" s="112" t="s">
        <v>3336</v>
      </c>
      <c r="L3712" s="116">
        <v>-234</v>
      </c>
    </row>
    <row r="3713" spans="1:12" hidden="1" outlineLevel="1" collapsed="1" x14ac:dyDescent="0.35">
      <c r="A3713" s="112" t="s">
        <v>3283</v>
      </c>
      <c r="B3713" s="112" t="s">
        <v>910</v>
      </c>
      <c r="C3713" s="112" t="s">
        <v>679</v>
      </c>
      <c r="D3713" s="113">
        <v>10348515</v>
      </c>
      <c r="E3713" s="115">
        <v>43949</v>
      </c>
      <c r="F3713" s="114">
        <v>202101</v>
      </c>
      <c r="G3713" s="112" t="s">
        <v>1091</v>
      </c>
      <c r="H3713" s="112" t="s">
        <v>1016</v>
      </c>
      <c r="I3713" s="112" t="s">
        <v>1293</v>
      </c>
      <c r="J3713" s="112" t="s">
        <v>3286</v>
      </c>
      <c r="K3713" s="112" t="s">
        <v>3337</v>
      </c>
      <c r="L3713" s="116">
        <v>-234</v>
      </c>
    </row>
    <row r="3714" spans="1:12" hidden="1" outlineLevel="1" collapsed="1" x14ac:dyDescent="0.35">
      <c r="A3714" s="112" t="s">
        <v>3283</v>
      </c>
      <c r="B3714" s="112" t="s">
        <v>910</v>
      </c>
      <c r="C3714" s="112" t="s">
        <v>679</v>
      </c>
      <c r="D3714" s="113">
        <v>10348532</v>
      </c>
      <c r="E3714" s="115">
        <v>43950</v>
      </c>
      <c r="F3714" s="114">
        <v>202101</v>
      </c>
      <c r="G3714" s="112" t="s">
        <v>1091</v>
      </c>
      <c r="H3714" s="112" t="s">
        <v>1016</v>
      </c>
      <c r="I3714" s="112" t="s">
        <v>1293</v>
      </c>
      <c r="J3714" s="112" t="s">
        <v>3286</v>
      </c>
      <c r="K3714" s="112" t="s">
        <v>3338</v>
      </c>
      <c r="L3714" s="116">
        <v>-116</v>
      </c>
    </row>
    <row r="3715" spans="1:12" hidden="1" outlineLevel="1" collapsed="1" x14ac:dyDescent="0.35">
      <c r="A3715" s="112" t="s">
        <v>3283</v>
      </c>
      <c r="B3715" s="112" t="s">
        <v>3298</v>
      </c>
      <c r="C3715" s="112" t="s">
        <v>679</v>
      </c>
      <c r="D3715" s="113">
        <v>10348217</v>
      </c>
      <c r="E3715" s="115">
        <v>43935</v>
      </c>
      <c r="F3715" s="114">
        <v>202101</v>
      </c>
      <c r="G3715" s="112" t="s">
        <v>1091</v>
      </c>
      <c r="H3715" s="112" t="s">
        <v>1016</v>
      </c>
      <c r="I3715" s="112" t="s">
        <v>2337</v>
      </c>
      <c r="J3715" s="112" t="s">
        <v>3299</v>
      </c>
      <c r="K3715" s="112" t="s">
        <v>3339</v>
      </c>
      <c r="L3715" s="116">
        <v>-7</v>
      </c>
    </row>
    <row r="3716" spans="1:12" hidden="1" outlineLevel="1" collapsed="1" x14ac:dyDescent="0.35">
      <c r="A3716" s="112" t="s">
        <v>3283</v>
      </c>
      <c r="B3716" s="112" t="s">
        <v>910</v>
      </c>
      <c r="C3716" s="112" t="s">
        <v>1095</v>
      </c>
      <c r="D3716" s="113">
        <v>10348451</v>
      </c>
      <c r="E3716" s="115">
        <v>43949</v>
      </c>
      <c r="F3716" s="114">
        <v>202101</v>
      </c>
      <c r="G3716" s="112" t="s">
        <v>1091</v>
      </c>
      <c r="H3716" s="112" t="s">
        <v>1015</v>
      </c>
      <c r="I3716" s="112" t="s">
        <v>1101</v>
      </c>
      <c r="J3716" s="112" t="s">
        <v>3286</v>
      </c>
      <c r="K3716" s="112" t="s">
        <v>1098</v>
      </c>
      <c r="L3716" s="116">
        <v>662.9</v>
      </c>
    </row>
    <row r="3717" spans="1:12" hidden="1" outlineLevel="1" collapsed="1" x14ac:dyDescent="0.35">
      <c r="A3717" s="112" t="s">
        <v>3283</v>
      </c>
      <c r="B3717" s="112" t="s">
        <v>910</v>
      </c>
      <c r="C3717" s="112" t="s">
        <v>1095</v>
      </c>
      <c r="D3717" s="113">
        <v>10348451</v>
      </c>
      <c r="E3717" s="115">
        <v>43949</v>
      </c>
      <c r="F3717" s="114">
        <v>202101</v>
      </c>
      <c r="G3717" s="112" t="s">
        <v>1091</v>
      </c>
      <c r="H3717" s="112" t="s">
        <v>1015</v>
      </c>
      <c r="I3717" s="112" t="s">
        <v>1101</v>
      </c>
      <c r="J3717" s="112" t="s">
        <v>3286</v>
      </c>
      <c r="K3717" s="112" t="s">
        <v>1098</v>
      </c>
      <c r="L3717" s="116">
        <v>315</v>
      </c>
    </row>
    <row r="3718" spans="1:12" hidden="1" outlineLevel="1" collapsed="1" x14ac:dyDescent="0.35">
      <c r="A3718" s="112" t="s">
        <v>3283</v>
      </c>
      <c r="B3718" s="112" t="s">
        <v>912</v>
      </c>
      <c r="C3718" s="112" t="s">
        <v>695</v>
      </c>
      <c r="D3718" s="113">
        <v>10348148</v>
      </c>
      <c r="E3718" s="115">
        <v>43930</v>
      </c>
      <c r="F3718" s="114">
        <v>202101</v>
      </c>
      <c r="G3718" s="112" t="s">
        <v>1091</v>
      </c>
      <c r="H3718" s="112" t="s">
        <v>1016</v>
      </c>
      <c r="I3718" s="112" t="s">
        <v>680</v>
      </c>
      <c r="J3718" s="112" t="s">
        <v>3292</v>
      </c>
      <c r="K3718" s="112" t="s">
        <v>3340</v>
      </c>
      <c r="L3718" s="116">
        <v>-15000</v>
      </c>
    </row>
    <row r="3719" spans="1:12" hidden="1" outlineLevel="1" collapsed="1" x14ac:dyDescent="0.35">
      <c r="A3719" s="112" t="s">
        <v>3283</v>
      </c>
      <c r="B3719" s="112" t="s">
        <v>910</v>
      </c>
      <c r="C3719" s="112" t="s">
        <v>679</v>
      </c>
      <c r="D3719" s="113">
        <v>10348241</v>
      </c>
      <c r="E3719" s="115">
        <v>43936</v>
      </c>
      <c r="F3719" s="114">
        <v>202101</v>
      </c>
      <c r="G3719" s="112" t="s">
        <v>1091</v>
      </c>
      <c r="H3719" s="112" t="s">
        <v>1016</v>
      </c>
      <c r="I3719" s="112" t="s">
        <v>1293</v>
      </c>
      <c r="J3719" s="112" t="s">
        <v>3286</v>
      </c>
      <c r="K3719" s="112" t="s">
        <v>3341</v>
      </c>
      <c r="L3719" s="116">
        <v>-462</v>
      </c>
    </row>
    <row r="3720" spans="1:12" hidden="1" outlineLevel="1" collapsed="1" x14ac:dyDescent="0.35">
      <c r="A3720" s="112" t="s">
        <v>3283</v>
      </c>
      <c r="B3720" s="112" t="s">
        <v>912</v>
      </c>
      <c r="C3720" s="112" t="s">
        <v>1095</v>
      </c>
      <c r="D3720" s="113">
        <v>10348451</v>
      </c>
      <c r="E3720" s="115">
        <v>43949</v>
      </c>
      <c r="F3720" s="114">
        <v>202101</v>
      </c>
      <c r="G3720" s="112" t="s">
        <v>1091</v>
      </c>
      <c r="H3720" s="112" t="s">
        <v>1015</v>
      </c>
      <c r="I3720" s="112" t="s">
        <v>1096</v>
      </c>
      <c r="J3720" s="112" t="s">
        <v>3292</v>
      </c>
      <c r="K3720" s="112" t="s">
        <v>1098</v>
      </c>
      <c r="L3720" s="116">
        <v>262.10000000000002</v>
      </c>
    </row>
    <row r="3721" spans="1:12" hidden="1" outlineLevel="1" collapsed="1" x14ac:dyDescent="0.35">
      <c r="A3721" s="112" t="s">
        <v>3283</v>
      </c>
      <c r="B3721" s="112" t="s">
        <v>910</v>
      </c>
      <c r="C3721" s="112" t="s">
        <v>679</v>
      </c>
      <c r="D3721" s="113">
        <v>10348375</v>
      </c>
      <c r="E3721" s="115">
        <v>43942</v>
      </c>
      <c r="F3721" s="114">
        <v>202101</v>
      </c>
      <c r="G3721" s="112" t="s">
        <v>1091</v>
      </c>
      <c r="H3721" s="112" t="s">
        <v>1016</v>
      </c>
      <c r="I3721" s="112" t="s">
        <v>1293</v>
      </c>
      <c r="J3721" s="112" t="s">
        <v>3286</v>
      </c>
      <c r="K3721" s="112" t="s">
        <v>3342</v>
      </c>
      <c r="L3721" s="116">
        <v>-96</v>
      </c>
    </row>
    <row r="3722" spans="1:12" hidden="1" outlineLevel="1" collapsed="1" x14ac:dyDescent="0.35">
      <c r="A3722" s="112" t="s">
        <v>3283</v>
      </c>
      <c r="B3722" s="112" t="s">
        <v>3298</v>
      </c>
      <c r="C3722" s="112" t="s">
        <v>679</v>
      </c>
      <c r="D3722" s="113">
        <v>10348115</v>
      </c>
      <c r="E3722" s="115">
        <v>43929</v>
      </c>
      <c r="F3722" s="114">
        <v>202101</v>
      </c>
      <c r="G3722" s="112" t="s">
        <v>1091</v>
      </c>
      <c r="H3722" s="112" t="s">
        <v>1016</v>
      </c>
      <c r="I3722" s="112" t="s">
        <v>2337</v>
      </c>
      <c r="J3722" s="112" t="s">
        <v>3299</v>
      </c>
      <c r="K3722" s="112" t="s">
        <v>3343</v>
      </c>
      <c r="L3722" s="116">
        <v>-247</v>
      </c>
    </row>
    <row r="3723" spans="1:12" hidden="1" outlineLevel="1" collapsed="1" x14ac:dyDescent="0.35">
      <c r="A3723" s="112" t="s">
        <v>3283</v>
      </c>
      <c r="B3723" s="112" t="s">
        <v>912</v>
      </c>
      <c r="C3723" s="112" t="s">
        <v>1095</v>
      </c>
      <c r="D3723" s="113">
        <v>10348451</v>
      </c>
      <c r="E3723" s="115">
        <v>43949</v>
      </c>
      <c r="F3723" s="114">
        <v>202101</v>
      </c>
      <c r="G3723" s="112" t="s">
        <v>1091</v>
      </c>
      <c r="H3723" s="112" t="s">
        <v>1015</v>
      </c>
      <c r="I3723" s="112" t="s">
        <v>1101</v>
      </c>
      <c r="J3723" s="112" t="s">
        <v>3288</v>
      </c>
      <c r="K3723" s="112" t="s">
        <v>1098</v>
      </c>
      <c r="L3723" s="116">
        <v>549.4</v>
      </c>
    </row>
    <row r="3724" spans="1:12" hidden="1" outlineLevel="1" collapsed="1" x14ac:dyDescent="0.35">
      <c r="A3724" s="112" t="s">
        <v>3283</v>
      </c>
      <c r="B3724" s="112" t="s">
        <v>3298</v>
      </c>
      <c r="C3724" s="112" t="s">
        <v>679</v>
      </c>
      <c r="D3724" s="113">
        <v>10348375</v>
      </c>
      <c r="E3724" s="115">
        <v>43942</v>
      </c>
      <c r="F3724" s="114">
        <v>202101</v>
      </c>
      <c r="G3724" s="112" t="s">
        <v>1091</v>
      </c>
      <c r="H3724" s="112" t="s">
        <v>1016</v>
      </c>
      <c r="I3724" s="112" t="s">
        <v>2337</v>
      </c>
      <c r="J3724" s="112" t="s">
        <v>3299</v>
      </c>
      <c r="K3724" s="112" t="s">
        <v>3344</v>
      </c>
      <c r="L3724" s="116">
        <v>-7</v>
      </c>
    </row>
    <row r="3725" spans="1:12" outlineLevel="1" collapsed="1" x14ac:dyDescent="0.35">
      <c r="A3725" s="112" t="s">
        <v>3283</v>
      </c>
      <c r="B3725" s="112" t="s">
        <v>911</v>
      </c>
      <c r="C3725" s="112" t="s">
        <v>1095</v>
      </c>
      <c r="D3725" s="113">
        <v>10348451</v>
      </c>
      <c r="E3725" s="115">
        <v>43949</v>
      </c>
      <c r="F3725" s="114">
        <v>202101</v>
      </c>
      <c r="G3725" s="112" t="s">
        <v>1091</v>
      </c>
      <c r="H3725" s="112" t="s">
        <v>1015</v>
      </c>
      <c r="I3725" s="112" t="s">
        <v>1101</v>
      </c>
      <c r="J3725" s="112" t="s">
        <v>3291</v>
      </c>
      <c r="K3725" s="112" t="s">
        <v>1098</v>
      </c>
      <c r="L3725" s="116">
        <v>1201.43</v>
      </c>
    </row>
    <row r="3726" spans="1:12" hidden="1" outlineLevel="1" collapsed="1" x14ac:dyDescent="0.35">
      <c r="A3726" s="112" t="s">
        <v>3283</v>
      </c>
      <c r="B3726" s="112" t="s">
        <v>912</v>
      </c>
      <c r="C3726" s="112" t="s">
        <v>695</v>
      </c>
      <c r="D3726" s="113">
        <v>10347981</v>
      </c>
      <c r="E3726" s="115">
        <v>43924</v>
      </c>
      <c r="F3726" s="114">
        <v>202101</v>
      </c>
      <c r="G3726" s="112" t="s">
        <v>1091</v>
      </c>
      <c r="H3726" s="112" t="s">
        <v>1015</v>
      </c>
      <c r="I3726" s="112" t="s">
        <v>1182</v>
      </c>
      <c r="J3726" s="112" t="s">
        <v>3288</v>
      </c>
      <c r="K3726" s="112" t="s">
        <v>3345</v>
      </c>
      <c r="L3726" s="116">
        <v>-95.13</v>
      </c>
    </row>
    <row r="3727" spans="1:12" hidden="1" outlineLevel="1" collapsed="1" x14ac:dyDescent="0.35">
      <c r="A3727" s="112" t="s">
        <v>3283</v>
      </c>
      <c r="B3727" s="112" t="s">
        <v>910</v>
      </c>
      <c r="C3727" s="112" t="s">
        <v>679</v>
      </c>
      <c r="D3727" s="113">
        <v>10348375</v>
      </c>
      <c r="E3727" s="115">
        <v>43942</v>
      </c>
      <c r="F3727" s="114">
        <v>202101</v>
      </c>
      <c r="G3727" s="112" t="s">
        <v>1091</v>
      </c>
      <c r="H3727" s="112" t="s">
        <v>1016</v>
      </c>
      <c r="I3727" s="112" t="s">
        <v>1293</v>
      </c>
      <c r="J3727" s="112" t="s">
        <v>3286</v>
      </c>
      <c r="K3727" s="112" t="s">
        <v>3346</v>
      </c>
      <c r="L3727" s="116">
        <v>-34</v>
      </c>
    </row>
    <row r="3728" spans="1:12" hidden="1" outlineLevel="1" collapsed="1" x14ac:dyDescent="0.35">
      <c r="A3728" s="112" t="s">
        <v>3283</v>
      </c>
      <c r="B3728" s="112" t="s">
        <v>910</v>
      </c>
      <c r="C3728" s="112" t="s">
        <v>679</v>
      </c>
      <c r="D3728" s="113">
        <v>10348375</v>
      </c>
      <c r="E3728" s="115">
        <v>43942</v>
      </c>
      <c r="F3728" s="114">
        <v>202101</v>
      </c>
      <c r="G3728" s="112" t="s">
        <v>1091</v>
      </c>
      <c r="H3728" s="112" t="s">
        <v>1016</v>
      </c>
      <c r="I3728" s="112" t="s">
        <v>1293</v>
      </c>
      <c r="J3728" s="112" t="s">
        <v>3286</v>
      </c>
      <c r="K3728" s="112" t="s">
        <v>3347</v>
      </c>
      <c r="L3728" s="116">
        <v>-234</v>
      </c>
    </row>
    <row r="3729" spans="1:12" hidden="1" outlineLevel="1" collapsed="1" x14ac:dyDescent="0.35">
      <c r="A3729" s="112" t="s">
        <v>3283</v>
      </c>
      <c r="B3729" s="112" t="s">
        <v>3298</v>
      </c>
      <c r="C3729" s="112" t="s">
        <v>679</v>
      </c>
      <c r="D3729" s="113">
        <v>10348375</v>
      </c>
      <c r="E3729" s="115">
        <v>43942</v>
      </c>
      <c r="F3729" s="114">
        <v>202101</v>
      </c>
      <c r="G3729" s="112" t="s">
        <v>1091</v>
      </c>
      <c r="H3729" s="112" t="s">
        <v>1016</v>
      </c>
      <c r="I3729" s="112" t="s">
        <v>2337</v>
      </c>
      <c r="J3729" s="112" t="s">
        <v>3299</v>
      </c>
      <c r="K3729" s="112" t="s">
        <v>3348</v>
      </c>
      <c r="L3729" s="116">
        <v>-7</v>
      </c>
    </row>
    <row r="3730" spans="1:12" hidden="1" outlineLevel="1" collapsed="1" x14ac:dyDescent="0.35">
      <c r="A3730" s="112" t="s">
        <v>3283</v>
      </c>
      <c r="B3730" s="112" t="s">
        <v>3298</v>
      </c>
      <c r="C3730" s="112" t="s">
        <v>679</v>
      </c>
      <c r="D3730" s="113">
        <v>10348375</v>
      </c>
      <c r="E3730" s="115">
        <v>43942</v>
      </c>
      <c r="F3730" s="114">
        <v>202101</v>
      </c>
      <c r="G3730" s="112" t="s">
        <v>1091</v>
      </c>
      <c r="H3730" s="112" t="s">
        <v>1016</v>
      </c>
      <c r="I3730" s="112" t="s">
        <v>2337</v>
      </c>
      <c r="J3730" s="112" t="s">
        <v>3299</v>
      </c>
      <c r="K3730" s="112" t="s">
        <v>3349</v>
      </c>
      <c r="L3730" s="116">
        <v>-7</v>
      </c>
    </row>
    <row r="3731" spans="1:12" hidden="1" outlineLevel="1" collapsed="1" x14ac:dyDescent="0.35">
      <c r="A3731" s="112" t="s">
        <v>3283</v>
      </c>
      <c r="B3731" s="112" t="s">
        <v>912</v>
      </c>
      <c r="C3731" s="112" t="s">
        <v>1095</v>
      </c>
      <c r="D3731" s="113">
        <v>10348451</v>
      </c>
      <c r="E3731" s="115">
        <v>43949</v>
      </c>
      <c r="F3731" s="114">
        <v>202101</v>
      </c>
      <c r="G3731" s="112" t="s">
        <v>1091</v>
      </c>
      <c r="H3731" s="112" t="s">
        <v>1015</v>
      </c>
      <c r="I3731" s="112" t="s">
        <v>1096</v>
      </c>
      <c r="J3731" s="112" t="s">
        <v>3288</v>
      </c>
      <c r="K3731" s="112" t="s">
        <v>1098</v>
      </c>
      <c r="L3731" s="116">
        <v>373.13</v>
      </c>
    </row>
    <row r="3732" spans="1:12" hidden="1" outlineLevel="1" collapsed="1" x14ac:dyDescent="0.35">
      <c r="A3732" s="112" t="s">
        <v>3283</v>
      </c>
      <c r="B3732" s="112" t="s">
        <v>910</v>
      </c>
      <c r="C3732" s="112" t="s">
        <v>1095</v>
      </c>
      <c r="D3732" s="113">
        <v>10348451</v>
      </c>
      <c r="E3732" s="115">
        <v>43949</v>
      </c>
      <c r="F3732" s="114">
        <v>202101</v>
      </c>
      <c r="G3732" s="112" t="s">
        <v>1091</v>
      </c>
      <c r="H3732" s="112" t="s">
        <v>1015</v>
      </c>
      <c r="I3732" s="112" t="s">
        <v>1101</v>
      </c>
      <c r="J3732" s="112" t="s">
        <v>3286</v>
      </c>
      <c r="K3732" s="112" t="s">
        <v>1098</v>
      </c>
      <c r="L3732" s="116">
        <v>940.21</v>
      </c>
    </row>
    <row r="3733" spans="1:12" hidden="1" outlineLevel="1" collapsed="1" x14ac:dyDescent="0.35">
      <c r="A3733" s="112" t="s">
        <v>3283</v>
      </c>
      <c r="B3733" s="112" t="s">
        <v>3298</v>
      </c>
      <c r="C3733" s="112" t="s">
        <v>679</v>
      </c>
      <c r="D3733" s="113">
        <v>10348115</v>
      </c>
      <c r="E3733" s="115">
        <v>43929</v>
      </c>
      <c r="F3733" s="114">
        <v>202101</v>
      </c>
      <c r="G3733" s="112" t="s">
        <v>1091</v>
      </c>
      <c r="H3733" s="112" t="s">
        <v>1016</v>
      </c>
      <c r="I3733" s="112" t="s">
        <v>2337</v>
      </c>
      <c r="J3733" s="112" t="s">
        <v>3299</v>
      </c>
      <c r="K3733" s="112" t="s">
        <v>3350</v>
      </c>
      <c r="L3733" s="116">
        <v>-247</v>
      </c>
    </row>
    <row r="3734" spans="1:12" hidden="1" outlineLevel="1" collapsed="1" x14ac:dyDescent="0.35">
      <c r="A3734" s="112" t="s">
        <v>3283</v>
      </c>
      <c r="B3734" s="112" t="s">
        <v>912</v>
      </c>
      <c r="C3734" s="112" t="s">
        <v>1099</v>
      </c>
      <c r="D3734" s="113">
        <v>1069688</v>
      </c>
      <c r="E3734" s="115">
        <v>43935</v>
      </c>
      <c r="F3734" s="114">
        <v>202101</v>
      </c>
      <c r="G3734" s="112" t="s">
        <v>1091</v>
      </c>
      <c r="H3734" s="112" t="s">
        <v>1015</v>
      </c>
      <c r="I3734" s="112" t="s">
        <v>761</v>
      </c>
      <c r="J3734" s="112" t="s">
        <v>3306</v>
      </c>
      <c r="K3734" s="112" t="s">
        <v>3351</v>
      </c>
      <c r="L3734" s="116">
        <v>169</v>
      </c>
    </row>
    <row r="3735" spans="1:12" hidden="1" outlineLevel="1" collapsed="1" x14ac:dyDescent="0.35">
      <c r="A3735" s="112" t="s">
        <v>3283</v>
      </c>
      <c r="B3735" s="112" t="s">
        <v>3298</v>
      </c>
      <c r="C3735" s="112" t="s">
        <v>679</v>
      </c>
      <c r="D3735" s="113">
        <v>10348115</v>
      </c>
      <c r="E3735" s="115">
        <v>43929</v>
      </c>
      <c r="F3735" s="114">
        <v>202101</v>
      </c>
      <c r="G3735" s="112" t="s">
        <v>1091</v>
      </c>
      <c r="H3735" s="112" t="s">
        <v>1016</v>
      </c>
      <c r="I3735" s="112" t="s">
        <v>2337</v>
      </c>
      <c r="J3735" s="112" t="s">
        <v>3299</v>
      </c>
      <c r="K3735" s="112" t="s">
        <v>3352</v>
      </c>
      <c r="L3735" s="116">
        <v>-247</v>
      </c>
    </row>
    <row r="3736" spans="1:12" hidden="1" outlineLevel="1" collapsed="1" x14ac:dyDescent="0.35">
      <c r="A3736" s="112" t="s">
        <v>3283</v>
      </c>
      <c r="B3736" s="112" t="s">
        <v>3298</v>
      </c>
      <c r="C3736" s="112" t="s">
        <v>679</v>
      </c>
      <c r="D3736" s="113">
        <v>10348115</v>
      </c>
      <c r="E3736" s="115">
        <v>43929</v>
      </c>
      <c r="F3736" s="114">
        <v>202101</v>
      </c>
      <c r="G3736" s="112" t="s">
        <v>1091</v>
      </c>
      <c r="H3736" s="112" t="s">
        <v>1016</v>
      </c>
      <c r="I3736" s="112" t="s">
        <v>2337</v>
      </c>
      <c r="J3736" s="112" t="s">
        <v>3299</v>
      </c>
      <c r="K3736" s="112" t="s">
        <v>3353</v>
      </c>
      <c r="L3736" s="116">
        <v>-247</v>
      </c>
    </row>
    <row r="3737" spans="1:12" hidden="1" outlineLevel="1" collapsed="1" x14ac:dyDescent="0.35">
      <c r="A3737" s="112" t="s">
        <v>3283</v>
      </c>
      <c r="B3737" s="112" t="s">
        <v>910</v>
      </c>
      <c r="C3737" s="112" t="s">
        <v>695</v>
      </c>
      <c r="D3737" s="113">
        <v>10347981</v>
      </c>
      <c r="E3737" s="115">
        <v>43924</v>
      </c>
      <c r="F3737" s="114">
        <v>202101</v>
      </c>
      <c r="G3737" s="112" t="s">
        <v>1091</v>
      </c>
      <c r="H3737" s="112" t="s">
        <v>1015</v>
      </c>
      <c r="I3737" s="112" t="s">
        <v>763</v>
      </c>
      <c r="J3737" s="112" t="s">
        <v>3286</v>
      </c>
      <c r="K3737" s="112" t="s">
        <v>3354</v>
      </c>
      <c r="L3737" s="116">
        <v>-1650</v>
      </c>
    </row>
    <row r="3738" spans="1:12" hidden="1" outlineLevel="1" collapsed="1" x14ac:dyDescent="0.35">
      <c r="A3738" s="112" t="s">
        <v>3283</v>
      </c>
      <c r="B3738" s="112" t="s">
        <v>910</v>
      </c>
      <c r="C3738" s="112" t="s">
        <v>1219</v>
      </c>
      <c r="D3738" s="113">
        <v>46306789</v>
      </c>
      <c r="E3738" s="115">
        <v>43920</v>
      </c>
      <c r="F3738" s="114">
        <v>202101</v>
      </c>
      <c r="G3738" s="112" t="s">
        <v>1091</v>
      </c>
      <c r="H3738" s="112" t="s">
        <v>1016</v>
      </c>
      <c r="I3738" s="112" t="s">
        <v>1293</v>
      </c>
      <c r="J3738" s="112" t="s">
        <v>3286</v>
      </c>
      <c r="K3738" s="112" t="s">
        <v>3355</v>
      </c>
      <c r="L3738" s="116">
        <v>57</v>
      </c>
    </row>
    <row r="3739" spans="1:12" hidden="1" outlineLevel="1" collapsed="1" x14ac:dyDescent="0.35">
      <c r="A3739" s="112" t="s">
        <v>3283</v>
      </c>
      <c r="B3739" s="112" t="s">
        <v>910</v>
      </c>
      <c r="C3739" s="112" t="s">
        <v>1219</v>
      </c>
      <c r="D3739" s="113">
        <v>46306790</v>
      </c>
      <c r="E3739" s="115">
        <v>43920</v>
      </c>
      <c r="F3739" s="114">
        <v>202101</v>
      </c>
      <c r="G3739" s="112" t="s">
        <v>1091</v>
      </c>
      <c r="H3739" s="112" t="s">
        <v>1016</v>
      </c>
      <c r="I3739" s="112" t="s">
        <v>1293</v>
      </c>
      <c r="J3739" s="112" t="s">
        <v>3286</v>
      </c>
      <c r="K3739" s="112" t="s">
        <v>3356</v>
      </c>
      <c r="L3739" s="116">
        <v>57</v>
      </c>
    </row>
    <row r="3740" spans="1:12" hidden="1" outlineLevel="1" collapsed="1" x14ac:dyDescent="0.35">
      <c r="A3740" s="112" t="s">
        <v>3283</v>
      </c>
      <c r="B3740" s="112" t="s">
        <v>910</v>
      </c>
      <c r="C3740" s="112" t="s">
        <v>1219</v>
      </c>
      <c r="D3740" s="113">
        <v>46306791</v>
      </c>
      <c r="E3740" s="115">
        <v>43920</v>
      </c>
      <c r="F3740" s="114">
        <v>202101</v>
      </c>
      <c r="G3740" s="112" t="s">
        <v>1091</v>
      </c>
      <c r="H3740" s="112" t="s">
        <v>1016</v>
      </c>
      <c r="I3740" s="112" t="s">
        <v>1293</v>
      </c>
      <c r="J3740" s="112" t="s">
        <v>3286</v>
      </c>
      <c r="K3740" s="112" t="s">
        <v>3357</v>
      </c>
      <c r="L3740" s="116">
        <v>156</v>
      </c>
    </row>
    <row r="3741" spans="1:12" hidden="1" outlineLevel="1" collapsed="1" x14ac:dyDescent="0.35">
      <c r="A3741" s="112" t="s">
        <v>3283</v>
      </c>
      <c r="B3741" s="112" t="s">
        <v>910</v>
      </c>
      <c r="C3741" s="112" t="s">
        <v>679</v>
      </c>
      <c r="D3741" s="113">
        <v>10348340</v>
      </c>
      <c r="E3741" s="115">
        <v>43941</v>
      </c>
      <c r="F3741" s="114">
        <v>202101</v>
      </c>
      <c r="G3741" s="112" t="s">
        <v>1091</v>
      </c>
      <c r="H3741" s="112" t="s">
        <v>1016</v>
      </c>
      <c r="I3741" s="112" t="s">
        <v>1293</v>
      </c>
      <c r="J3741" s="112" t="s">
        <v>3286</v>
      </c>
      <c r="K3741" s="112" t="s">
        <v>3358</v>
      </c>
      <c r="L3741" s="116">
        <v>-234</v>
      </c>
    </row>
    <row r="3742" spans="1:12" hidden="1" outlineLevel="1" collapsed="1" x14ac:dyDescent="0.35">
      <c r="A3742" s="112" t="s">
        <v>3283</v>
      </c>
      <c r="B3742" s="112" t="s">
        <v>910</v>
      </c>
      <c r="C3742" s="112" t="s">
        <v>679</v>
      </c>
      <c r="D3742" s="113">
        <v>10348340</v>
      </c>
      <c r="E3742" s="115">
        <v>43941</v>
      </c>
      <c r="F3742" s="114">
        <v>202101</v>
      </c>
      <c r="G3742" s="112" t="s">
        <v>1091</v>
      </c>
      <c r="H3742" s="112" t="s">
        <v>1016</v>
      </c>
      <c r="I3742" s="112" t="s">
        <v>1293</v>
      </c>
      <c r="J3742" s="112" t="s">
        <v>3286</v>
      </c>
      <c r="K3742" s="112" t="s">
        <v>3359</v>
      </c>
      <c r="L3742" s="116">
        <v>-234</v>
      </c>
    </row>
    <row r="3743" spans="1:12" hidden="1" outlineLevel="1" collapsed="1" x14ac:dyDescent="0.35">
      <c r="A3743" s="112" t="s">
        <v>3283</v>
      </c>
      <c r="B3743" s="112" t="s">
        <v>910</v>
      </c>
      <c r="C3743" s="112" t="s">
        <v>679</v>
      </c>
      <c r="D3743" s="113">
        <v>10348340</v>
      </c>
      <c r="E3743" s="115">
        <v>43941</v>
      </c>
      <c r="F3743" s="114">
        <v>202101</v>
      </c>
      <c r="G3743" s="112" t="s">
        <v>1091</v>
      </c>
      <c r="H3743" s="112" t="s">
        <v>1016</v>
      </c>
      <c r="I3743" s="112" t="s">
        <v>1293</v>
      </c>
      <c r="J3743" s="112" t="s">
        <v>3286</v>
      </c>
      <c r="K3743" s="112" t="s">
        <v>3360</v>
      </c>
      <c r="L3743" s="116">
        <v>-206</v>
      </c>
    </row>
    <row r="3744" spans="1:12" hidden="1" outlineLevel="1" collapsed="1" x14ac:dyDescent="0.35">
      <c r="A3744" s="112" t="s">
        <v>3283</v>
      </c>
      <c r="B3744" s="112" t="s">
        <v>910</v>
      </c>
      <c r="C3744" s="112" t="s">
        <v>679</v>
      </c>
      <c r="D3744" s="113">
        <v>10348340</v>
      </c>
      <c r="E3744" s="115">
        <v>43941</v>
      </c>
      <c r="F3744" s="114">
        <v>202101</v>
      </c>
      <c r="G3744" s="112" t="s">
        <v>1091</v>
      </c>
      <c r="H3744" s="112" t="s">
        <v>1016</v>
      </c>
      <c r="I3744" s="112" t="s">
        <v>1293</v>
      </c>
      <c r="J3744" s="112" t="s">
        <v>3286</v>
      </c>
      <c r="K3744" s="112" t="s">
        <v>3361</v>
      </c>
      <c r="L3744" s="116">
        <v>-1638</v>
      </c>
    </row>
    <row r="3745" spans="1:12" hidden="1" outlineLevel="1" collapsed="1" x14ac:dyDescent="0.35">
      <c r="A3745" s="112" t="s">
        <v>3283</v>
      </c>
      <c r="B3745" s="112" t="s">
        <v>910</v>
      </c>
      <c r="C3745" s="112" t="s">
        <v>679</v>
      </c>
      <c r="D3745" s="113">
        <v>10348340</v>
      </c>
      <c r="E3745" s="115">
        <v>43941</v>
      </c>
      <c r="F3745" s="114">
        <v>202101</v>
      </c>
      <c r="G3745" s="112" t="s">
        <v>1091</v>
      </c>
      <c r="H3745" s="112" t="s">
        <v>1016</v>
      </c>
      <c r="I3745" s="112" t="s">
        <v>1293</v>
      </c>
      <c r="J3745" s="112" t="s">
        <v>3286</v>
      </c>
      <c r="K3745" s="112" t="s">
        <v>3362</v>
      </c>
      <c r="L3745" s="116">
        <v>-206</v>
      </c>
    </row>
    <row r="3746" spans="1:12" hidden="1" outlineLevel="1" collapsed="1" x14ac:dyDescent="0.35">
      <c r="A3746" s="112" t="s">
        <v>3283</v>
      </c>
      <c r="B3746" s="112" t="s">
        <v>910</v>
      </c>
      <c r="C3746" s="112" t="s">
        <v>679</v>
      </c>
      <c r="D3746" s="113">
        <v>10348340</v>
      </c>
      <c r="E3746" s="115">
        <v>43941</v>
      </c>
      <c r="F3746" s="114">
        <v>202101</v>
      </c>
      <c r="G3746" s="112" t="s">
        <v>1091</v>
      </c>
      <c r="H3746" s="112" t="s">
        <v>1016</v>
      </c>
      <c r="I3746" s="112" t="s">
        <v>819</v>
      </c>
      <c r="J3746" s="112" t="s">
        <v>3286</v>
      </c>
      <c r="K3746" s="112" t="s">
        <v>3363</v>
      </c>
      <c r="L3746" s="116">
        <v>-1168</v>
      </c>
    </row>
    <row r="3747" spans="1:12" hidden="1" outlineLevel="1" collapsed="1" x14ac:dyDescent="0.35">
      <c r="A3747" s="112" t="s">
        <v>3283</v>
      </c>
      <c r="B3747" s="112" t="s">
        <v>3298</v>
      </c>
      <c r="C3747" s="112" t="s">
        <v>679</v>
      </c>
      <c r="D3747" s="113">
        <v>10348340</v>
      </c>
      <c r="E3747" s="115">
        <v>43941</v>
      </c>
      <c r="F3747" s="114">
        <v>202101</v>
      </c>
      <c r="G3747" s="112" t="s">
        <v>1091</v>
      </c>
      <c r="H3747" s="112" t="s">
        <v>1016</v>
      </c>
      <c r="I3747" s="112" t="s">
        <v>2337</v>
      </c>
      <c r="J3747" s="112" t="s">
        <v>3299</v>
      </c>
      <c r="K3747" s="112" t="s">
        <v>3364</v>
      </c>
      <c r="L3747" s="116">
        <v>-298</v>
      </c>
    </row>
    <row r="3748" spans="1:12" hidden="1" outlineLevel="1" collapsed="1" x14ac:dyDescent="0.35">
      <c r="A3748" s="112" t="s">
        <v>3283</v>
      </c>
      <c r="B3748" s="112" t="s">
        <v>910</v>
      </c>
      <c r="C3748" s="112" t="s">
        <v>679</v>
      </c>
      <c r="D3748" s="113">
        <v>10348340</v>
      </c>
      <c r="E3748" s="115">
        <v>43941</v>
      </c>
      <c r="F3748" s="114">
        <v>202101</v>
      </c>
      <c r="G3748" s="112" t="s">
        <v>1091</v>
      </c>
      <c r="H3748" s="112" t="s">
        <v>1016</v>
      </c>
      <c r="I3748" s="112" t="s">
        <v>1293</v>
      </c>
      <c r="J3748" s="112" t="s">
        <v>3286</v>
      </c>
      <c r="K3748" s="112" t="s">
        <v>3365</v>
      </c>
      <c r="L3748" s="116">
        <v>-462</v>
      </c>
    </row>
    <row r="3749" spans="1:12" hidden="1" outlineLevel="1" collapsed="1" x14ac:dyDescent="0.35">
      <c r="A3749" s="112" t="s">
        <v>3283</v>
      </c>
      <c r="B3749" s="112" t="s">
        <v>910</v>
      </c>
      <c r="C3749" s="112" t="s">
        <v>679</v>
      </c>
      <c r="D3749" s="113">
        <v>10348340</v>
      </c>
      <c r="E3749" s="115">
        <v>43941</v>
      </c>
      <c r="F3749" s="114">
        <v>202101</v>
      </c>
      <c r="G3749" s="112" t="s">
        <v>1091</v>
      </c>
      <c r="H3749" s="112" t="s">
        <v>1016</v>
      </c>
      <c r="I3749" s="112" t="s">
        <v>1293</v>
      </c>
      <c r="J3749" s="112" t="s">
        <v>3286</v>
      </c>
      <c r="K3749" s="112" t="s">
        <v>3366</v>
      </c>
      <c r="L3749" s="116">
        <v>-206</v>
      </c>
    </row>
    <row r="3750" spans="1:12" hidden="1" outlineLevel="1" collapsed="1" x14ac:dyDescent="0.35">
      <c r="A3750" s="112" t="s">
        <v>3283</v>
      </c>
      <c r="B3750" s="112" t="s">
        <v>912</v>
      </c>
      <c r="C3750" s="112" t="s">
        <v>1095</v>
      </c>
      <c r="D3750" s="113">
        <v>10348451</v>
      </c>
      <c r="E3750" s="115">
        <v>43949</v>
      </c>
      <c r="F3750" s="114">
        <v>202101</v>
      </c>
      <c r="G3750" s="112" t="s">
        <v>1091</v>
      </c>
      <c r="H3750" s="112" t="s">
        <v>1015</v>
      </c>
      <c r="I3750" s="112" t="s">
        <v>1101</v>
      </c>
      <c r="J3750" s="112" t="s">
        <v>3292</v>
      </c>
      <c r="K3750" s="112" t="s">
        <v>1098</v>
      </c>
      <c r="L3750" s="116">
        <v>374.21</v>
      </c>
    </row>
    <row r="3751" spans="1:12" hidden="1" outlineLevel="1" collapsed="1" x14ac:dyDescent="0.35">
      <c r="A3751" s="112" t="s">
        <v>3283</v>
      </c>
      <c r="B3751" s="112" t="s">
        <v>910</v>
      </c>
      <c r="C3751" s="112" t="s">
        <v>679</v>
      </c>
      <c r="D3751" s="113">
        <v>10348340</v>
      </c>
      <c r="E3751" s="115">
        <v>43941</v>
      </c>
      <c r="F3751" s="114">
        <v>202101</v>
      </c>
      <c r="G3751" s="112" t="s">
        <v>1091</v>
      </c>
      <c r="H3751" s="112" t="s">
        <v>1016</v>
      </c>
      <c r="I3751" s="112" t="s">
        <v>1293</v>
      </c>
      <c r="J3751" s="112" t="s">
        <v>3286</v>
      </c>
      <c r="K3751" s="112" t="s">
        <v>3367</v>
      </c>
      <c r="L3751" s="116">
        <v>-132</v>
      </c>
    </row>
    <row r="3752" spans="1:12" hidden="1" outlineLevel="1" collapsed="1" x14ac:dyDescent="0.35">
      <c r="A3752" s="112" t="s">
        <v>3283</v>
      </c>
      <c r="B3752" s="112" t="s">
        <v>910</v>
      </c>
      <c r="C3752" s="112" t="s">
        <v>679</v>
      </c>
      <c r="D3752" s="113">
        <v>10348418</v>
      </c>
      <c r="E3752" s="115">
        <v>43944</v>
      </c>
      <c r="F3752" s="114">
        <v>202101</v>
      </c>
      <c r="G3752" s="112" t="s">
        <v>1091</v>
      </c>
      <c r="H3752" s="112" t="s">
        <v>1016</v>
      </c>
      <c r="I3752" s="112" t="s">
        <v>1293</v>
      </c>
      <c r="J3752" s="112" t="s">
        <v>3286</v>
      </c>
      <c r="K3752" s="112" t="s">
        <v>3368</v>
      </c>
      <c r="L3752" s="116">
        <v>-116</v>
      </c>
    </row>
    <row r="3753" spans="1:12" hidden="1" outlineLevel="1" collapsed="1" x14ac:dyDescent="0.35">
      <c r="A3753" s="112" t="s">
        <v>3283</v>
      </c>
      <c r="B3753" s="112" t="s">
        <v>912</v>
      </c>
      <c r="C3753" s="112" t="s">
        <v>1095</v>
      </c>
      <c r="D3753" s="113">
        <v>10348451</v>
      </c>
      <c r="E3753" s="115">
        <v>43949</v>
      </c>
      <c r="F3753" s="114">
        <v>202101</v>
      </c>
      <c r="G3753" s="112" t="s">
        <v>1091</v>
      </c>
      <c r="H3753" s="112" t="s">
        <v>1015</v>
      </c>
      <c r="I3753" s="112" t="s">
        <v>1116</v>
      </c>
      <c r="J3753" s="112" t="s">
        <v>3292</v>
      </c>
      <c r="K3753" s="112" t="s">
        <v>1098</v>
      </c>
      <c r="L3753" s="116">
        <v>3473.25</v>
      </c>
    </row>
    <row r="3754" spans="1:12" hidden="1" outlineLevel="1" collapsed="1" x14ac:dyDescent="0.35">
      <c r="A3754" s="112" t="s">
        <v>3283</v>
      </c>
      <c r="B3754" s="112" t="s">
        <v>912</v>
      </c>
      <c r="C3754" s="112" t="s">
        <v>1095</v>
      </c>
      <c r="D3754" s="113">
        <v>10348451</v>
      </c>
      <c r="E3754" s="115">
        <v>43949</v>
      </c>
      <c r="F3754" s="114">
        <v>202101</v>
      </c>
      <c r="G3754" s="112" t="s">
        <v>1091</v>
      </c>
      <c r="H3754" s="112" t="s">
        <v>1015</v>
      </c>
      <c r="I3754" s="112" t="s">
        <v>1116</v>
      </c>
      <c r="J3754" s="112" t="s">
        <v>3292</v>
      </c>
      <c r="K3754" s="112" t="s">
        <v>1098</v>
      </c>
      <c r="L3754" s="116">
        <v>2627.83</v>
      </c>
    </row>
    <row r="3755" spans="1:12" hidden="1" outlineLevel="1" collapsed="1" x14ac:dyDescent="0.35">
      <c r="A3755" s="112" t="s">
        <v>3283</v>
      </c>
      <c r="B3755" s="112" t="s">
        <v>912</v>
      </c>
      <c r="C3755" s="112" t="s">
        <v>1095</v>
      </c>
      <c r="D3755" s="113">
        <v>10348451</v>
      </c>
      <c r="E3755" s="115">
        <v>43949</v>
      </c>
      <c r="F3755" s="114">
        <v>202101</v>
      </c>
      <c r="G3755" s="112" t="s">
        <v>1091</v>
      </c>
      <c r="H3755" s="112" t="s">
        <v>1015</v>
      </c>
      <c r="I3755" s="112" t="s">
        <v>1116</v>
      </c>
      <c r="J3755" s="112" t="s">
        <v>3292</v>
      </c>
      <c r="K3755" s="112" t="s">
        <v>1098</v>
      </c>
      <c r="L3755" s="116">
        <v>3927.35</v>
      </c>
    </row>
    <row r="3756" spans="1:12" hidden="1" outlineLevel="1" collapsed="1" x14ac:dyDescent="0.35">
      <c r="A3756" s="112" t="s">
        <v>3283</v>
      </c>
      <c r="B3756" s="112" t="s">
        <v>912</v>
      </c>
      <c r="C3756" s="112" t="s">
        <v>1095</v>
      </c>
      <c r="D3756" s="113">
        <v>10348451</v>
      </c>
      <c r="E3756" s="115">
        <v>43949</v>
      </c>
      <c r="F3756" s="114">
        <v>202101</v>
      </c>
      <c r="G3756" s="112" t="s">
        <v>1091</v>
      </c>
      <c r="H3756" s="112" t="s">
        <v>1015</v>
      </c>
      <c r="I3756" s="112" t="s">
        <v>1116</v>
      </c>
      <c r="J3756" s="112" t="s">
        <v>3292</v>
      </c>
      <c r="K3756" s="112" t="s">
        <v>1098</v>
      </c>
      <c r="L3756" s="116">
        <v>4173.58</v>
      </c>
    </row>
    <row r="3757" spans="1:12" hidden="1" outlineLevel="1" collapsed="1" x14ac:dyDescent="0.35">
      <c r="A3757" s="112" t="s">
        <v>3283</v>
      </c>
      <c r="B3757" s="112" t="s">
        <v>912</v>
      </c>
      <c r="C3757" s="112" t="s">
        <v>1095</v>
      </c>
      <c r="D3757" s="113">
        <v>10348451</v>
      </c>
      <c r="E3757" s="115">
        <v>43949</v>
      </c>
      <c r="F3757" s="114">
        <v>202101</v>
      </c>
      <c r="G3757" s="112" t="s">
        <v>1091</v>
      </c>
      <c r="H3757" s="112" t="s">
        <v>1015</v>
      </c>
      <c r="I3757" s="112" t="s">
        <v>1116</v>
      </c>
      <c r="J3757" s="112" t="s">
        <v>3292</v>
      </c>
      <c r="K3757" s="112" t="s">
        <v>1098</v>
      </c>
      <c r="L3757" s="116">
        <v>2631.25</v>
      </c>
    </row>
    <row r="3758" spans="1:12" hidden="1" outlineLevel="1" collapsed="1" x14ac:dyDescent="0.35">
      <c r="A3758" s="112" t="s">
        <v>3283</v>
      </c>
      <c r="B3758" s="112" t="s">
        <v>912</v>
      </c>
      <c r="C3758" s="112" t="s">
        <v>1095</v>
      </c>
      <c r="D3758" s="113">
        <v>10348451</v>
      </c>
      <c r="E3758" s="115">
        <v>43949</v>
      </c>
      <c r="F3758" s="114">
        <v>202101</v>
      </c>
      <c r="G3758" s="112" t="s">
        <v>1091</v>
      </c>
      <c r="H3758" s="112" t="s">
        <v>1015</v>
      </c>
      <c r="I3758" s="112" t="s">
        <v>1116</v>
      </c>
      <c r="J3758" s="112" t="s">
        <v>3292</v>
      </c>
      <c r="K3758" s="112" t="s">
        <v>1098</v>
      </c>
      <c r="L3758" s="116">
        <v>2702</v>
      </c>
    </row>
    <row r="3759" spans="1:12" hidden="1" outlineLevel="1" collapsed="1" x14ac:dyDescent="0.35">
      <c r="A3759" s="112" t="s">
        <v>3283</v>
      </c>
      <c r="B3759" s="112" t="s">
        <v>912</v>
      </c>
      <c r="C3759" s="112" t="s">
        <v>1095</v>
      </c>
      <c r="D3759" s="113">
        <v>10348451</v>
      </c>
      <c r="E3759" s="115">
        <v>43949</v>
      </c>
      <c r="F3759" s="114">
        <v>202101</v>
      </c>
      <c r="G3759" s="112" t="s">
        <v>1091</v>
      </c>
      <c r="H3759" s="112" t="s">
        <v>1015</v>
      </c>
      <c r="I3759" s="112" t="s">
        <v>1116</v>
      </c>
      <c r="J3759" s="112" t="s">
        <v>3292</v>
      </c>
      <c r="K3759" s="112" t="s">
        <v>1098</v>
      </c>
      <c r="L3759" s="116">
        <v>2083.9499999999998</v>
      </c>
    </row>
    <row r="3760" spans="1:12" outlineLevel="1" collapsed="1" x14ac:dyDescent="0.35">
      <c r="A3760" s="112" t="s">
        <v>3283</v>
      </c>
      <c r="B3760" s="112" t="s">
        <v>911</v>
      </c>
      <c r="C3760" s="112" t="s">
        <v>1758</v>
      </c>
      <c r="D3760" s="113">
        <v>51365639</v>
      </c>
      <c r="E3760" s="115">
        <v>43922</v>
      </c>
      <c r="F3760" s="114">
        <v>202101</v>
      </c>
      <c r="G3760" s="112" t="s">
        <v>1091</v>
      </c>
      <c r="H3760" s="112" t="s">
        <v>1016</v>
      </c>
      <c r="I3760" s="112" t="s">
        <v>1291</v>
      </c>
      <c r="J3760" s="112" t="s">
        <v>3369</v>
      </c>
      <c r="K3760" s="112" t="s">
        <v>3370</v>
      </c>
      <c r="L3760" s="116">
        <v>1800</v>
      </c>
    </row>
    <row r="3761" spans="1:12" hidden="1" outlineLevel="1" collapsed="1" x14ac:dyDescent="0.35">
      <c r="A3761" s="112" t="s">
        <v>3283</v>
      </c>
      <c r="B3761" s="112" t="s">
        <v>912</v>
      </c>
      <c r="C3761" s="112" t="s">
        <v>1095</v>
      </c>
      <c r="D3761" s="113">
        <v>10348451</v>
      </c>
      <c r="E3761" s="115">
        <v>43949</v>
      </c>
      <c r="F3761" s="114">
        <v>202101</v>
      </c>
      <c r="G3761" s="112" t="s">
        <v>1091</v>
      </c>
      <c r="H3761" s="112" t="s">
        <v>1015</v>
      </c>
      <c r="I3761" s="112" t="s">
        <v>1096</v>
      </c>
      <c r="J3761" s="112" t="s">
        <v>3288</v>
      </c>
      <c r="K3761" s="112" t="s">
        <v>1098</v>
      </c>
      <c r="L3761" s="116">
        <v>35.76</v>
      </c>
    </row>
    <row r="3762" spans="1:12" outlineLevel="1" collapsed="1" x14ac:dyDescent="0.35">
      <c r="A3762" s="112" t="s">
        <v>3283</v>
      </c>
      <c r="B3762" s="112" t="s">
        <v>911</v>
      </c>
      <c r="C3762" s="112" t="s">
        <v>1095</v>
      </c>
      <c r="D3762" s="113">
        <v>10348451</v>
      </c>
      <c r="E3762" s="115">
        <v>43949</v>
      </c>
      <c r="F3762" s="114">
        <v>202101</v>
      </c>
      <c r="G3762" s="112" t="s">
        <v>1091</v>
      </c>
      <c r="H3762" s="112" t="s">
        <v>1015</v>
      </c>
      <c r="I3762" s="112" t="s">
        <v>1116</v>
      </c>
      <c r="J3762" s="112" t="s">
        <v>3291</v>
      </c>
      <c r="K3762" s="112" t="s">
        <v>1098</v>
      </c>
      <c r="L3762" s="116">
        <v>394.14</v>
      </c>
    </row>
    <row r="3763" spans="1:12" outlineLevel="1" collapsed="1" x14ac:dyDescent="0.35">
      <c r="A3763" s="112" t="s">
        <v>3283</v>
      </c>
      <c r="B3763" s="112" t="s">
        <v>911</v>
      </c>
      <c r="C3763" s="112" t="s">
        <v>1095</v>
      </c>
      <c r="D3763" s="113">
        <v>10348451</v>
      </c>
      <c r="E3763" s="115">
        <v>43949</v>
      </c>
      <c r="F3763" s="114">
        <v>202101</v>
      </c>
      <c r="G3763" s="112" t="s">
        <v>1091</v>
      </c>
      <c r="H3763" s="112" t="s">
        <v>1015</v>
      </c>
      <c r="I3763" s="112" t="s">
        <v>1116</v>
      </c>
      <c r="J3763" s="112" t="s">
        <v>3291</v>
      </c>
      <c r="K3763" s="112" t="s">
        <v>1098</v>
      </c>
      <c r="L3763" s="116">
        <v>1944.42</v>
      </c>
    </row>
    <row r="3764" spans="1:12" outlineLevel="1" collapsed="1" x14ac:dyDescent="0.35">
      <c r="A3764" s="112" t="s">
        <v>3283</v>
      </c>
      <c r="B3764" s="112" t="s">
        <v>911</v>
      </c>
      <c r="C3764" s="112" t="s">
        <v>1095</v>
      </c>
      <c r="D3764" s="113">
        <v>10348451</v>
      </c>
      <c r="E3764" s="115">
        <v>43949</v>
      </c>
      <c r="F3764" s="114">
        <v>202101</v>
      </c>
      <c r="G3764" s="112" t="s">
        <v>1091</v>
      </c>
      <c r="H3764" s="112" t="s">
        <v>1015</v>
      </c>
      <c r="I3764" s="112" t="s">
        <v>1116</v>
      </c>
      <c r="J3764" s="112" t="s">
        <v>3291</v>
      </c>
      <c r="K3764" s="112" t="s">
        <v>1098</v>
      </c>
      <c r="L3764" s="116">
        <v>7416.25</v>
      </c>
    </row>
    <row r="3765" spans="1:12" hidden="1" outlineLevel="1" collapsed="1" x14ac:dyDescent="0.35">
      <c r="A3765" s="112" t="s">
        <v>3283</v>
      </c>
      <c r="B3765" s="112" t="s">
        <v>910</v>
      </c>
      <c r="C3765" s="112" t="s">
        <v>679</v>
      </c>
      <c r="D3765" s="113">
        <v>10348418</v>
      </c>
      <c r="E3765" s="115">
        <v>43944</v>
      </c>
      <c r="F3765" s="114">
        <v>202101</v>
      </c>
      <c r="G3765" s="112" t="s">
        <v>1091</v>
      </c>
      <c r="H3765" s="112" t="s">
        <v>1016</v>
      </c>
      <c r="I3765" s="112" t="s">
        <v>1293</v>
      </c>
      <c r="J3765" s="112" t="s">
        <v>3286</v>
      </c>
      <c r="K3765" s="112" t="s">
        <v>3371</v>
      </c>
      <c r="L3765" s="116">
        <v>-924</v>
      </c>
    </row>
    <row r="3766" spans="1:12" hidden="1" outlineLevel="1" collapsed="1" x14ac:dyDescent="0.35">
      <c r="A3766" s="112" t="s">
        <v>3283</v>
      </c>
      <c r="B3766" s="112" t="s">
        <v>910</v>
      </c>
      <c r="C3766" s="112" t="s">
        <v>679</v>
      </c>
      <c r="D3766" s="113">
        <v>10348418</v>
      </c>
      <c r="E3766" s="115">
        <v>43944</v>
      </c>
      <c r="F3766" s="114">
        <v>202101</v>
      </c>
      <c r="G3766" s="112" t="s">
        <v>1091</v>
      </c>
      <c r="H3766" s="112" t="s">
        <v>1016</v>
      </c>
      <c r="I3766" s="112" t="s">
        <v>1293</v>
      </c>
      <c r="J3766" s="112" t="s">
        <v>3286</v>
      </c>
      <c r="K3766" s="112" t="s">
        <v>3372</v>
      </c>
      <c r="L3766" s="116">
        <v>-206</v>
      </c>
    </row>
    <row r="3767" spans="1:12" hidden="1" outlineLevel="1" collapsed="1" x14ac:dyDescent="0.35">
      <c r="A3767" s="112" t="s">
        <v>3283</v>
      </c>
      <c r="B3767" s="112" t="s">
        <v>912</v>
      </c>
      <c r="C3767" s="112" t="s">
        <v>1518</v>
      </c>
      <c r="D3767" s="113">
        <v>51366164</v>
      </c>
      <c r="E3767" s="115">
        <v>43942</v>
      </c>
      <c r="F3767" s="114">
        <v>202101</v>
      </c>
      <c r="G3767" s="112" t="s">
        <v>1091</v>
      </c>
      <c r="H3767" s="112" t="s">
        <v>1016</v>
      </c>
      <c r="I3767" s="112" t="s">
        <v>819</v>
      </c>
      <c r="J3767" s="112" t="s">
        <v>3306</v>
      </c>
      <c r="K3767" s="112" t="s">
        <v>3373</v>
      </c>
      <c r="L3767" s="116">
        <v>-6250</v>
      </c>
    </row>
    <row r="3768" spans="1:12" hidden="1" outlineLevel="1" collapsed="1" x14ac:dyDescent="0.35">
      <c r="A3768" s="112" t="s">
        <v>3283</v>
      </c>
      <c r="B3768" s="112" t="s">
        <v>910</v>
      </c>
      <c r="C3768" s="112" t="s">
        <v>679</v>
      </c>
      <c r="D3768" s="113">
        <v>10348418</v>
      </c>
      <c r="E3768" s="115">
        <v>43944</v>
      </c>
      <c r="F3768" s="114">
        <v>202101</v>
      </c>
      <c r="G3768" s="112" t="s">
        <v>1091</v>
      </c>
      <c r="H3768" s="112" t="s">
        <v>1016</v>
      </c>
      <c r="I3768" s="112" t="s">
        <v>1293</v>
      </c>
      <c r="J3768" s="112" t="s">
        <v>3286</v>
      </c>
      <c r="K3768" s="112" t="s">
        <v>3374</v>
      </c>
      <c r="L3768" s="116">
        <v>-462</v>
      </c>
    </row>
    <row r="3769" spans="1:12" hidden="1" outlineLevel="1" collapsed="1" x14ac:dyDescent="0.35">
      <c r="A3769" s="112" t="s">
        <v>3283</v>
      </c>
      <c r="B3769" s="112" t="s">
        <v>910</v>
      </c>
      <c r="C3769" s="112" t="s">
        <v>679</v>
      </c>
      <c r="D3769" s="113">
        <v>10348418</v>
      </c>
      <c r="E3769" s="115">
        <v>43944</v>
      </c>
      <c r="F3769" s="114">
        <v>202101</v>
      </c>
      <c r="G3769" s="112" t="s">
        <v>1091</v>
      </c>
      <c r="H3769" s="112" t="s">
        <v>1016</v>
      </c>
      <c r="I3769" s="112" t="s">
        <v>1293</v>
      </c>
      <c r="J3769" s="112" t="s">
        <v>3286</v>
      </c>
      <c r="K3769" s="112" t="s">
        <v>3375</v>
      </c>
      <c r="L3769" s="116">
        <v>-103</v>
      </c>
    </row>
    <row r="3770" spans="1:12" hidden="1" outlineLevel="1" collapsed="1" x14ac:dyDescent="0.35">
      <c r="A3770" s="112" t="s">
        <v>3283</v>
      </c>
      <c r="B3770" s="112" t="s">
        <v>910</v>
      </c>
      <c r="C3770" s="112" t="s">
        <v>679</v>
      </c>
      <c r="D3770" s="113">
        <v>10348418</v>
      </c>
      <c r="E3770" s="115">
        <v>43944</v>
      </c>
      <c r="F3770" s="114">
        <v>202101</v>
      </c>
      <c r="G3770" s="112" t="s">
        <v>1091</v>
      </c>
      <c r="H3770" s="112" t="s">
        <v>1016</v>
      </c>
      <c r="I3770" s="112" t="s">
        <v>1293</v>
      </c>
      <c r="J3770" s="112" t="s">
        <v>3286</v>
      </c>
      <c r="K3770" s="112" t="s">
        <v>3376</v>
      </c>
      <c r="L3770" s="116">
        <v>-206</v>
      </c>
    </row>
    <row r="3771" spans="1:12" hidden="1" outlineLevel="1" collapsed="1" x14ac:dyDescent="0.35">
      <c r="A3771" s="112" t="s">
        <v>3283</v>
      </c>
      <c r="B3771" s="112" t="s">
        <v>910</v>
      </c>
      <c r="C3771" s="112" t="s">
        <v>679</v>
      </c>
      <c r="D3771" s="113">
        <v>10348418</v>
      </c>
      <c r="E3771" s="115">
        <v>43944</v>
      </c>
      <c r="F3771" s="114">
        <v>202101</v>
      </c>
      <c r="G3771" s="112" t="s">
        <v>1091</v>
      </c>
      <c r="H3771" s="112" t="s">
        <v>1016</v>
      </c>
      <c r="I3771" s="112" t="s">
        <v>1293</v>
      </c>
      <c r="J3771" s="112" t="s">
        <v>3286</v>
      </c>
      <c r="K3771" s="112" t="s">
        <v>3377</v>
      </c>
      <c r="L3771" s="116">
        <v>-206</v>
      </c>
    </row>
    <row r="3772" spans="1:12" hidden="1" outlineLevel="1" collapsed="1" x14ac:dyDescent="0.35">
      <c r="A3772" s="112" t="s">
        <v>3283</v>
      </c>
      <c r="B3772" s="112" t="s">
        <v>910</v>
      </c>
      <c r="C3772" s="112" t="s">
        <v>679</v>
      </c>
      <c r="D3772" s="113">
        <v>10348418</v>
      </c>
      <c r="E3772" s="115">
        <v>43944</v>
      </c>
      <c r="F3772" s="114">
        <v>202101</v>
      </c>
      <c r="G3772" s="112" t="s">
        <v>1091</v>
      </c>
      <c r="H3772" s="112" t="s">
        <v>1016</v>
      </c>
      <c r="I3772" s="112" t="s">
        <v>1293</v>
      </c>
      <c r="J3772" s="112" t="s">
        <v>3286</v>
      </c>
      <c r="K3772" s="112" t="s">
        <v>3378</v>
      </c>
      <c r="L3772" s="116">
        <v>-234</v>
      </c>
    </row>
    <row r="3773" spans="1:12" hidden="1" outlineLevel="1" collapsed="1" x14ac:dyDescent="0.35">
      <c r="A3773" s="112" t="s">
        <v>3283</v>
      </c>
      <c r="B3773" s="112" t="s">
        <v>910</v>
      </c>
      <c r="C3773" s="112" t="s">
        <v>679</v>
      </c>
      <c r="D3773" s="113">
        <v>10348418</v>
      </c>
      <c r="E3773" s="115">
        <v>43944</v>
      </c>
      <c r="F3773" s="114">
        <v>202101</v>
      </c>
      <c r="G3773" s="112" t="s">
        <v>1091</v>
      </c>
      <c r="H3773" s="112" t="s">
        <v>1016</v>
      </c>
      <c r="I3773" s="112" t="s">
        <v>1293</v>
      </c>
      <c r="J3773" s="112" t="s">
        <v>3286</v>
      </c>
      <c r="K3773" s="112" t="s">
        <v>3379</v>
      </c>
      <c r="L3773" s="116">
        <v>-462</v>
      </c>
    </row>
    <row r="3774" spans="1:12" hidden="1" outlineLevel="1" collapsed="1" x14ac:dyDescent="0.35">
      <c r="A3774" s="112" t="s">
        <v>3283</v>
      </c>
      <c r="B3774" s="112" t="s">
        <v>910</v>
      </c>
      <c r="C3774" s="112" t="s">
        <v>679</v>
      </c>
      <c r="D3774" s="113">
        <v>10348418</v>
      </c>
      <c r="E3774" s="115">
        <v>43944</v>
      </c>
      <c r="F3774" s="114">
        <v>202101</v>
      </c>
      <c r="G3774" s="112" t="s">
        <v>1091</v>
      </c>
      <c r="H3774" s="112" t="s">
        <v>1016</v>
      </c>
      <c r="I3774" s="112" t="s">
        <v>1293</v>
      </c>
      <c r="J3774" s="112" t="s">
        <v>3286</v>
      </c>
      <c r="K3774" s="112" t="s">
        <v>3380</v>
      </c>
      <c r="L3774" s="116">
        <v>-462</v>
      </c>
    </row>
    <row r="3775" spans="1:12" hidden="1" outlineLevel="1" collapsed="1" x14ac:dyDescent="0.35">
      <c r="A3775" s="112" t="s">
        <v>3283</v>
      </c>
      <c r="B3775" s="112" t="s">
        <v>910</v>
      </c>
      <c r="C3775" s="112" t="s">
        <v>679</v>
      </c>
      <c r="D3775" s="113">
        <v>10348418</v>
      </c>
      <c r="E3775" s="115">
        <v>43944</v>
      </c>
      <c r="F3775" s="114">
        <v>202101</v>
      </c>
      <c r="G3775" s="112" t="s">
        <v>1091</v>
      </c>
      <c r="H3775" s="112" t="s">
        <v>1016</v>
      </c>
      <c r="I3775" s="112" t="s">
        <v>1293</v>
      </c>
      <c r="J3775" s="112" t="s">
        <v>3286</v>
      </c>
      <c r="K3775" s="112" t="s">
        <v>3381</v>
      </c>
      <c r="L3775" s="116">
        <v>-96</v>
      </c>
    </row>
    <row r="3776" spans="1:12" hidden="1" outlineLevel="1" collapsed="1" x14ac:dyDescent="0.35">
      <c r="A3776" s="112" t="s">
        <v>3283</v>
      </c>
      <c r="B3776" s="112" t="s">
        <v>910</v>
      </c>
      <c r="C3776" s="112" t="s">
        <v>679</v>
      </c>
      <c r="D3776" s="113">
        <v>10348418</v>
      </c>
      <c r="E3776" s="115">
        <v>43944</v>
      </c>
      <c r="F3776" s="114">
        <v>202101</v>
      </c>
      <c r="G3776" s="112" t="s">
        <v>1091</v>
      </c>
      <c r="H3776" s="112" t="s">
        <v>1016</v>
      </c>
      <c r="I3776" s="112" t="s">
        <v>819</v>
      </c>
      <c r="J3776" s="112" t="s">
        <v>3286</v>
      </c>
      <c r="K3776" s="112" t="s">
        <v>3382</v>
      </c>
      <c r="L3776" s="116">
        <v>-18.329999999999998</v>
      </c>
    </row>
    <row r="3777" spans="1:12" hidden="1" outlineLevel="1" collapsed="1" x14ac:dyDescent="0.35">
      <c r="A3777" s="112" t="s">
        <v>3283</v>
      </c>
      <c r="B3777" s="112" t="s">
        <v>910</v>
      </c>
      <c r="C3777" s="112" t="s">
        <v>679</v>
      </c>
      <c r="D3777" s="113">
        <v>10348418</v>
      </c>
      <c r="E3777" s="115">
        <v>43944</v>
      </c>
      <c r="F3777" s="114">
        <v>202101</v>
      </c>
      <c r="G3777" s="112" t="s">
        <v>1091</v>
      </c>
      <c r="H3777" s="112" t="s">
        <v>1016</v>
      </c>
      <c r="I3777" s="112" t="s">
        <v>1293</v>
      </c>
      <c r="J3777" s="112" t="s">
        <v>3286</v>
      </c>
      <c r="K3777" s="112" t="s">
        <v>3383</v>
      </c>
      <c r="L3777" s="116">
        <v>-206</v>
      </c>
    </row>
    <row r="3778" spans="1:12" hidden="1" outlineLevel="1" collapsed="1" x14ac:dyDescent="0.35">
      <c r="A3778" s="112" t="s">
        <v>3283</v>
      </c>
      <c r="B3778" s="112" t="s">
        <v>3298</v>
      </c>
      <c r="C3778" s="112" t="s">
        <v>679</v>
      </c>
      <c r="D3778" s="113">
        <v>10348115</v>
      </c>
      <c r="E3778" s="115">
        <v>43929</v>
      </c>
      <c r="F3778" s="114">
        <v>202101</v>
      </c>
      <c r="G3778" s="112" t="s">
        <v>1091</v>
      </c>
      <c r="H3778" s="112" t="s">
        <v>1016</v>
      </c>
      <c r="I3778" s="112" t="s">
        <v>2337</v>
      </c>
      <c r="J3778" s="112" t="s">
        <v>3299</v>
      </c>
      <c r="K3778" s="112" t="s">
        <v>3384</v>
      </c>
      <c r="L3778" s="116">
        <v>-7</v>
      </c>
    </row>
    <row r="3779" spans="1:12" hidden="1" outlineLevel="1" collapsed="1" x14ac:dyDescent="0.35">
      <c r="A3779" s="112" t="s">
        <v>3283</v>
      </c>
      <c r="B3779" s="112" t="s">
        <v>910</v>
      </c>
      <c r="C3779" s="112" t="s">
        <v>1095</v>
      </c>
      <c r="D3779" s="113">
        <v>10348451</v>
      </c>
      <c r="E3779" s="115">
        <v>43949</v>
      </c>
      <c r="F3779" s="114">
        <v>202101</v>
      </c>
      <c r="G3779" s="112" t="s">
        <v>1091</v>
      </c>
      <c r="H3779" s="112" t="s">
        <v>1015</v>
      </c>
      <c r="I3779" s="112" t="s">
        <v>1101</v>
      </c>
      <c r="J3779" s="112" t="s">
        <v>3286</v>
      </c>
      <c r="K3779" s="112" t="s">
        <v>1098</v>
      </c>
      <c r="L3779" s="116">
        <v>426.26</v>
      </c>
    </row>
    <row r="3780" spans="1:12" hidden="1" outlineLevel="1" collapsed="1" x14ac:dyDescent="0.35">
      <c r="A3780" s="112" t="s">
        <v>3283</v>
      </c>
      <c r="B3780" s="112" t="s">
        <v>910</v>
      </c>
      <c r="C3780" s="112" t="s">
        <v>679</v>
      </c>
      <c r="D3780" s="113">
        <v>10348375</v>
      </c>
      <c r="E3780" s="115">
        <v>43942</v>
      </c>
      <c r="F3780" s="114">
        <v>202101</v>
      </c>
      <c r="G3780" s="112" t="s">
        <v>1091</v>
      </c>
      <c r="H3780" s="112" t="s">
        <v>1016</v>
      </c>
      <c r="I3780" s="112" t="s">
        <v>1293</v>
      </c>
      <c r="J3780" s="112" t="s">
        <v>3286</v>
      </c>
      <c r="K3780" s="112" t="s">
        <v>3385</v>
      </c>
      <c r="L3780" s="116">
        <v>-116</v>
      </c>
    </row>
    <row r="3781" spans="1:12" hidden="1" outlineLevel="1" collapsed="1" x14ac:dyDescent="0.35">
      <c r="A3781" s="112" t="s">
        <v>3283</v>
      </c>
      <c r="B3781" s="112" t="s">
        <v>910</v>
      </c>
      <c r="C3781" s="112" t="s">
        <v>679</v>
      </c>
      <c r="D3781" s="113">
        <v>10348375</v>
      </c>
      <c r="E3781" s="115">
        <v>43942</v>
      </c>
      <c r="F3781" s="114">
        <v>202101</v>
      </c>
      <c r="G3781" s="112" t="s">
        <v>1091</v>
      </c>
      <c r="H3781" s="112" t="s">
        <v>1016</v>
      </c>
      <c r="I3781" s="112" t="s">
        <v>1293</v>
      </c>
      <c r="J3781" s="112" t="s">
        <v>3286</v>
      </c>
      <c r="K3781" s="112" t="s">
        <v>3386</v>
      </c>
      <c r="L3781" s="116">
        <v>-206</v>
      </c>
    </row>
    <row r="3782" spans="1:12" hidden="1" outlineLevel="1" collapsed="1" x14ac:dyDescent="0.35">
      <c r="A3782" s="112" t="s">
        <v>3283</v>
      </c>
      <c r="B3782" s="112" t="s">
        <v>910</v>
      </c>
      <c r="C3782" s="112" t="s">
        <v>679</v>
      </c>
      <c r="D3782" s="113">
        <v>10348375</v>
      </c>
      <c r="E3782" s="115">
        <v>43942</v>
      </c>
      <c r="F3782" s="114">
        <v>202101</v>
      </c>
      <c r="G3782" s="112" t="s">
        <v>1091</v>
      </c>
      <c r="H3782" s="112" t="s">
        <v>1016</v>
      </c>
      <c r="I3782" s="112" t="s">
        <v>1293</v>
      </c>
      <c r="J3782" s="112" t="s">
        <v>3286</v>
      </c>
      <c r="K3782" s="112" t="s">
        <v>3387</v>
      </c>
      <c r="L3782" s="116">
        <v>-206</v>
      </c>
    </row>
    <row r="3783" spans="1:12" hidden="1" outlineLevel="1" collapsed="1" x14ac:dyDescent="0.35">
      <c r="A3783" s="112" t="s">
        <v>3283</v>
      </c>
      <c r="B3783" s="112" t="s">
        <v>3298</v>
      </c>
      <c r="C3783" s="112" t="s">
        <v>679</v>
      </c>
      <c r="D3783" s="113">
        <v>10348375</v>
      </c>
      <c r="E3783" s="115">
        <v>43942</v>
      </c>
      <c r="F3783" s="114">
        <v>202101</v>
      </c>
      <c r="G3783" s="112" t="s">
        <v>1091</v>
      </c>
      <c r="H3783" s="112" t="s">
        <v>1016</v>
      </c>
      <c r="I3783" s="112" t="s">
        <v>2337</v>
      </c>
      <c r="J3783" s="112" t="s">
        <v>3299</v>
      </c>
      <c r="K3783" s="112" t="s">
        <v>3388</v>
      </c>
      <c r="L3783" s="116">
        <v>-170</v>
      </c>
    </row>
    <row r="3784" spans="1:12" hidden="1" outlineLevel="1" collapsed="1" x14ac:dyDescent="0.35">
      <c r="A3784" s="112" t="s">
        <v>3283</v>
      </c>
      <c r="B3784" s="112" t="s">
        <v>912</v>
      </c>
      <c r="C3784" s="112" t="s">
        <v>1095</v>
      </c>
      <c r="D3784" s="113">
        <v>10348451</v>
      </c>
      <c r="E3784" s="115">
        <v>43949</v>
      </c>
      <c r="F3784" s="114">
        <v>202101</v>
      </c>
      <c r="G3784" s="112" t="s">
        <v>1091</v>
      </c>
      <c r="H3784" s="112" t="s">
        <v>1015</v>
      </c>
      <c r="I3784" s="112" t="s">
        <v>1116</v>
      </c>
      <c r="J3784" s="112" t="s">
        <v>3292</v>
      </c>
      <c r="K3784" s="112" t="s">
        <v>1098</v>
      </c>
      <c r="L3784" s="116">
        <v>3798.58</v>
      </c>
    </row>
    <row r="3785" spans="1:12" hidden="1" outlineLevel="1" collapsed="1" x14ac:dyDescent="0.35">
      <c r="A3785" s="112" t="s">
        <v>3283</v>
      </c>
      <c r="B3785" s="112" t="s">
        <v>910</v>
      </c>
      <c r="C3785" s="112" t="s">
        <v>679</v>
      </c>
      <c r="D3785" s="113">
        <v>10347984</v>
      </c>
      <c r="E3785" s="115">
        <v>43924</v>
      </c>
      <c r="F3785" s="114">
        <v>202101</v>
      </c>
      <c r="G3785" s="112" t="s">
        <v>1091</v>
      </c>
      <c r="H3785" s="112" t="s">
        <v>1015</v>
      </c>
      <c r="I3785" s="112" t="s">
        <v>761</v>
      </c>
      <c r="J3785" s="112" t="s">
        <v>3286</v>
      </c>
      <c r="K3785" s="112" t="s">
        <v>3389</v>
      </c>
      <c r="L3785" s="116">
        <v>4000</v>
      </c>
    </row>
    <row r="3786" spans="1:12" hidden="1" outlineLevel="1" collapsed="1" x14ac:dyDescent="0.35">
      <c r="A3786" s="112" t="s">
        <v>3283</v>
      </c>
      <c r="B3786" s="112" t="s">
        <v>912</v>
      </c>
      <c r="C3786" s="112" t="s">
        <v>1095</v>
      </c>
      <c r="D3786" s="113">
        <v>10348451</v>
      </c>
      <c r="E3786" s="115">
        <v>43949</v>
      </c>
      <c r="F3786" s="114">
        <v>202101</v>
      </c>
      <c r="G3786" s="112" t="s">
        <v>1091</v>
      </c>
      <c r="H3786" s="112" t="s">
        <v>1015</v>
      </c>
      <c r="I3786" s="112" t="s">
        <v>1101</v>
      </c>
      <c r="J3786" s="112" t="s">
        <v>3292</v>
      </c>
      <c r="K3786" s="112" t="s">
        <v>1098</v>
      </c>
      <c r="L3786" s="116">
        <v>437.72</v>
      </c>
    </row>
    <row r="3787" spans="1:12" hidden="1" outlineLevel="1" collapsed="1" x14ac:dyDescent="0.35">
      <c r="A3787" s="112" t="s">
        <v>3283</v>
      </c>
      <c r="B3787" s="112" t="s">
        <v>910</v>
      </c>
      <c r="C3787" s="112" t="s">
        <v>679</v>
      </c>
      <c r="D3787" s="113">
        <v>10348115</v>
      </c>
      <c r="E3787" s="115">
        <v>43929</v>
      </c>
      <c r="F3787" s="114">
        <v>202101</v>
      </c>
      <c r="G3787" s="112" t="s">
        <v>1091</v>
      </c>
      <c r="H3787" s="112" t="s">
        <v>1016</v>
      </c>
      <c r="I3787" s="112" t="s">
        <v>819</v>
      </c>
      <c r="J3787" s="112" t="s">
        <v>3286</v>
      </c>
      <c r="K3787" s="112" t="s">
        <v>3390</v>
      </c>
      <c r="L3787" s="116">
        <v>-171.67</v>
      </c>
    </row>
    <row r="3788" spans="1:12" outlineLevel="1" collapsed="1" x14ac:dyDescent="0.35">
      <c r="A3788" s="112" t="s">
        <v>3283</v>
      </c>
      <c r="B3788" s="112" t="s">
        <v>911</v>
      </c>
      <c r="C3788" s="112" t="s">
        <v>1758</v>
      </c>
      <c r="D3788" s="113">
        <v>51366158</v>
      </c>
      <c r="E3788" s="115">
        <v>43937</v>
      </c>
      <c r="F3788" s="114">
        <v>202101</v>
      </c>
      <c r="G3788" s="112" t="s">
        <v>1091</v>
      </c>
      <c r="H3788" s="112" t="s">
        <v>1016</v>
      </c>
      <c r="I3788" s="112" t="s">
        <v>1131</v>
      </c>
      <c r="J3788" s="112" t="s">
        <v>3284</v>
      </c>
      <c r="K3788" s="112" t="s">
        <v>3391</v>
      </c>
      <c r="L3788" s="116">
        <v>36113</v>
      </c>
    </row>
    <row r="3789" spans="1:12" hidden="1" outlineLevel="1" collapsed="1" x14ac:dyDescent="0.35">
      <c r="A3789" s="112" t="s">
        <v>3283</v>
      </c>
      <c r="B3789" s="112" t="s">
        <v>912</v>
      </c>
      <c r="C3789" s="112" t="s">
        <v>695</v>
      </c>
      <c r="D3789" s="113">
        <v>10347981</v>
      </c>
      <c r="E3789" s="115">
        <v>43924</v>
      </c>
      <c r="F3789" s="114">
        <v>202101</v>
      </c>
      <c r="G3789" s="112" t="s">
        <v>1091</v>
      </c>
      <c r="H3789" s="112" t="s">
        <v>1015</v>
      </c>
      <c r="I3789" s="112" t="s">
        <v>761</v>
      </c>
      <c r="J3789" s="112" t="s">
        <v>3292</v>
      </c>
      <c r="K3789" s="112" t="s">
        <v>3392</v>
      </c>
      <c r="L3789" s="116">
        <v>-4344.5</v>
      </c>
    </row>
    <row r="3790" spans="1:12" hidden="1" outlineLevel="1" collapsed="1" x14ac:dyDescent="0.35">
      <c r="A3790" s="112" t="s">
        <v>3283</v>
      </c>
      <c r="B3790" s="112" t="s">
        <v>910</v>
      </c>
      <c r="C3790" s="112" t="s">
        <v>1095</v>
      </c>
      <c r="D3790" s="113">
        <v>10348451</v>
      </c>
      <c r="E3790" s="115">
        <v>43949</v>
      </c>
      <c r="F3790" s="114">
        <v>202101</v>
      </c>
      <c r="G3790" s="112" t="s">
        <v>1091</v>
      </c>
      <c r="H3790" s="112" t="s">
        <v>1015</v>
      </c>
      <c r="I3790" s="112" t="s">
        <v>1101</v>
      </c>
      <c r="J3790" s="112" t="s">
        <v>3286</v>
      </c>
      <c r="K3790" s="112" t="s">
        <v>1098</v>
      </c>
      <c r="L3790" s="116">
        <v>483.07</v>
      </c>
    </row>
    <row r="3791" spans="1:12" hidden="1" outlineLevel="1" collapsed="1" x14ac:dyDescent="0.35">
      <c r="A3791" s="112" t="s">
        <v>3283</v>
      </c>
      <c r="B3791" s="112" t="s">
        <v>912</v>
      </c>
      <c r="C3791" s="112" t="s">
        <v>1095</v>
      </c>
      <c r="D3791" s="113">
        <v>10348451</v>
      </c>
      <c r="E3791" s="115">
        <v>43949</v>
      </c>
      <c r="F3791" s="114">
        <v>202101</v>
      </c>
      <c r="G3791" s="112" t="s">
        <v>1091</v>
      </c>
      <c r="H3791" s="112" t="s">
        <v>1015</v>
      </c>
      <c r="I3791" s="112" t="s">
        <v>1101</v>
      </c>
      <c r="J3791" s="112" t="s">
        <v>3292</v>
      </c>
      <c r="K3791" s="112" t="s">
        <v>1098</v>
      </c>
      <c r="L3791" s="116">
        <v>437.72</v>
      </c>
    </row>
    <row r="3792" spans="1:12" hidden="1" outlineLevel="1" collapsed="1" x14ac:dyDescent="0.35">
      <c r="A3792" s="112" t="s">
        <v>3283</v>
      </c>
      <c r="B3792" s="112" t="s">
        <v>910</v>
      </c>
      <c r="C3792" s="112" t="s">
        <v>1095</v>
      </c>
      <c r="D3792" s="113">
        <v>10348451</v>
      </c>
      <c r="E3792" s="115">
        <v>43949</v>
      </c>
      <c r="F3792" s="114">
        <v>202101</v>
      </c>
      <c r="G3792" s="112" t="s">
        <v>1091</v>
      </c>
      <c r="H3792" s="112" t="s">
        <v>1015</v>
      </c>
      <c r="I3792" s="112" t="s">
        <v>1101</v>
      </c>
      <c r="J3792" s="112" t="s">
        <v>3286</v>
      </c>
      <c r="K3792" s="112" t="s">
        <v>1098</v>
      </c>
      <c r="L3792" s="116">
        <v>384.58</v>
      </c>
    </row>
    <row r="3793" spans="1:12" hidden="1" outlineLevel="1" collapsed="1" x14ac:dyDescent="0.35">
      <c r="A3793" s="112" t="s">
        <v>3283</v>
      </c>
      <c r="B3793" s="112" t="s">
        <v>910</v>
      </c>
      <c r="C3793" s="112" t="s">
        <v>1095</v>
      </c>
      <c r="D3793" s="113">
        <v>10348451</v>
      </c>
      <c r="E3793" s="115">
        <v>43949</v>
      </c>
      <c r="F3793" s="114">
        <v>202101</v>
      </c>
      <c r="G3793" s="112" t="s">
        <v>1091</v>
      </c>
      <c r="H3793" s="112" t="s">
        <v>1015</v>
      </c>
      <c r="I3793" s="112" t="s">
        <v>1096</v>
      </c>
      <c r="J3793" s="112" t="s">
        <v>3286</v>
      </c>
      <c r="K3793" s="112" t="s">
        <v>1098</v>
      </c>
      <c r="L3793" s="116">
        <v>226.59</v>
      </c>
    </row>
    <row r="3794" spans="1:12" hidden="1" outlineLevel="1" collapsed="1" x14ac:dyDescent="0.35">
      <c r="A3794" s="112" t="s">
        <v>3283</v>
      </c>
      <c r="B3794" s="112" t="s">
        <v>910</v>
      </c>
      <c r="C3794" s="112" t="s">
        <v>679</v>
      </c>
      <c r="D3794" s="113">
        <v>10348115</v>
      </c>
      <c r="E3794" s="115">
        <v>43929</v>
      </c>
      <c r="F3794" s="114">
        <v>202101</v>
      </c>
      <c r="G3794" s="112" t="s">
        <v>1091</v>
      </c>
      <c r="H3794" s="112" t="s">
        <v>1016</v>
      </c>
      <c r="I3794" s="112" t="s">
        <v>1293</v>
      </c>
      <c r="J3794" s="112" t="s">
        <v>3286</v>
      </c>
      <c r="K3794" s="112" t="s">
        <v>3393</v>
      </c>
      <c r="L3794" s="116">
        <v>-96</v>
      </c>
    </row>
    <row r="3795" spans="1:12" hidden="1" outlineLevel="1" collapsed="1" x14ac:dyDescent="0.35">
      <c r="A3795" s="112" t="s">
        <v>3283</v>
      </c>
      <c r="B3795" s="112" t="s">
        <v>912</v>
      </c>
      <c r="C3795" s="112" t="s">
        <v>1095</v>
      </c>
      <c r="D3795" s="113">
        <v>10348451</v>
      </c>
      <c r="E3795" s="115">
        <v>43949</v>
      </c>
      <c r="F3795" s="114">
        <v>202101</v>
      </c>
      <c r="G3795" s="112" t="s">
        <v>1091</v>
      </c>
      <c r="H3795" s="112" t="s">
        <v>1015</v>
      </c>
      <c r="I3795" s="112" t="s">
        <v>1101</v>
      </c>
      <c r="J3795" s="112" t="s">
        <v>3292</v>
      </c>
      <c r="K3795" s="112" t="s">
        <v>1098</v>
      </c>
      <c r="L3795" s="116">
        <v>426.26</v>
      </c>
    </row>
    <row r="3796" spans="1:12" outlineLevel="1" collapsed="1" x14ac:dyDescent="0.35">
      <c r="A3796" s="112" t="s">
        <v>3283</v>
      </c>
      <c r="B3796" s="112" t="s">
        <v>911</v>
      </c>
      <c r="C3796" s="112" t="s">
        <v>1518</v>
      </c>
      <c r="D3796" s="113">
        <v>51366073</v>
      </c>
      <c r="E3796" s="115">
        <v>43929</v>
      </c>
      <c r="F3796" s="114">
        <v>202101</v>
      </c>
      <c r="G3796" s="112" t="s">
        <v>1091</v>
      </c>
      <c r="H3796" s="112" t="s">
        <v>1016</v>
      </c>
      <c r="I3796" s="112" t="s">
        <v>3394</v>
      </c>
      <c r="J3796" s="112" t="s">
        <v>3369</v>
      </c>
      <c r="K3796" s="112" t="s">
        <v>3395</v>
      </c>
      <c r="L3796" s="116">
        <v>-5900000</v>
      </c>
    </row>
    <row r="3797" spans="1:12" outlineLevel="1" collapsed="1" x14ac:dyDescent="0.35">
      <c r="A3797" s="112" t="s">
        <v>3283</v>
      </c>
      <c r="B3797" s="112" t="s">
        <v>911</v>
      </c>
      <c r="C3797" s="112" t="s">
        <v>1095</v>
      </c>
      <c r="D3797" s="113">
        <v>10348451</v>
      </c>
      <c r="E3797" s="115">
        <v>43949</v>
      </c>
      <c r="F3797" s="114">
        <v>202101</v>
      </c>
      <c r="G3797" s="112" t="s">
        <v>1091</v>
      </c>
      <c r="H3797" s="112" t="s">
        <v>1015</v>
      </c>
      <c r="I3797" s="112" t="s">
        <v>1096</v>
      </c>
      <c r="J3797" s="112" t="s">
        <v>3291</v>
      </c>
      <c r="K3797" s="112" t="s">
        <v>1098</v>
      </c>
      <c r="L3797" s="116">
        <v>922.43</v>
      </c>
    </row>
    <row r="3798" spans="1:12" hidden="1" outlineLevel="1" collapsed="1" x14ac:dyDescent="0.35">
      <c r="A3798" s="112" t="s">
        <v>3283</v>
      </c>
      <c r="B3798" s="112" t="s">
        <v>910</v>
      </c>
      <c r="C3798" s="112" t="s">
        <v>1095</v>
      </c>
      <c r="D3798" s="113">
        <v>10348451</v>
      </c>
      <c r="E3798" s="115">
        <v>43949</v>
      </c>
      <c r="F3798" s="114">
        <v>202101</v>
      </c>
      <c r="G3798" s="112" t="s">
        <v>1091</v>
      </c>
      <c r="H3798" s="112" t="s">
        <v>1015</v>
      </c>
      <c r="I3798" s="112" t="s">
        <v>1096</v>
      </c>
      <c r="J3798" s="112" t="s">
        <v>3286</v>
      </c>
      <c r="K3798" s="112" t="s">
        <v>1098</v>
      </c>
      <c r="L3798" s="116">
        <v>116.85</v>
      </c>
    </row>
    <row r="3799" spans="1:12" hidden="1" outlineLevel="1" collapsed="1" x14ac:dyDescent="0.35">
      <c r="A3799" s="112" t="s">
        <v>3283</v>
      </c>
      <c r="B3799" s="112" t="s">
        <v>912</v>
      </c>
      <c r="C3799" s="112" t="s">
        <v>695</v>
      </c>
      <c r="D3799" s="113">
        <v>10347981</v>
      </c>
      <c r="E3799" s="115">
        <v>43924</v>
      </c>
      <c r="F3799" s="114">
        <v>202101</v>
      </c>
      <c r="G3799" s="112" t="s">
        <v>1091</v>
      </c>
      <c r="H3799" s="112" t="s">
        <v>1015</v>
      </c>
      <c r="I3799" s="112" t="s">
        <v>761</v>
      </c>
      <c r="J3799" s="112" t="s">
        <v>3292</v>
      </c>
      <c r="K3799" s="112" t="s">
        <v>3396</v>
      </c>
      <c r="L3799" s="116">
        <v>-125</v>
      </c>
    </row>
    <row r="3800" spans="1:12" hidden="1" outlineLevel="1" collapsed="1" x14ac:dyDescent="0.35">
      <c r="A3800" s="112" t="s">
        <v>3283</v>
      </c>
      <c r="B3800" s="112" t="s">
        <v>910</v>
      </c>
      <c r="C3800" s="112" t="s">
        <v>679</v>
      </c>
      <c r="D3800" s="113">
        <v>10348543</v>
      </c>
      <c r="E3800" s="115">
        <v>43951</v>
      </c>
      <c r="F3800" s="114">
        <v>202101</v>
      </c>
      <c r="G3800" s="112" t="s">
        <v>1091</v>
      </c>
      <c r="H3800" s="112" t="s">
        <v>1016</v>
      </c>
      <c r="I3800" s="112" t="s">
        <v>819</v>
      </c>
      <c r="J3800" s="112" t="s">
        <v>3286</v>
      </c>
      <c r="K3800" s="112" t="s">
        <v>3397</v>
      </c>
      <c r="L3800" s="116">
        <v>-183.4</v>
      </c>
    </row>
    <row r="3801" spans="1:12" hidden="1" outlineLevel="1" collapsed="1" x14ac:dyDescent="0.35">
      <c r="A3801" s="112" t="s">
        <v>3283</v>
      </c>
      <c r="B3801" s="112" t="s">
        <v>910</v>
      </c>
      <c r="C3801" s="112" t="s">
        <v>695</v>
      </c>
      <c r="D3801" s="113">
        <v>10347981</v>
      </c>
      <c r="E3801" s="115">
        <v>43924</v>
      </c>
      <c r="F3801" s="114">
        <v>202101</v>
      </c>
      <c r="G3801" s="112" t="s">
        <v>1091</v>
      </c>
      <c r="H3801" s="112" t="s">
        <v>1015</v>
      </c>
      <c r="I3801" s="112" t="s">
        <v>763</v>
      </c>
      <c r="J3801" s="112" t="s">
        <v>3286</v>
      </c>
      <c r="K3801" s="112" t="s">
        <v>3398</v>
      </c>
      <c r="L3801" s="116">
        <v>-2833.4</v>
      </c>
    </row>
    <row r="3802" spans="1:12" outlineLevel="1" collapsed="1" x14ac:dyDescent="0.35">
      <c r="A3802" s="112" t="s">
        <v>3283</v>
      </c>
      <c r="B3802" s="112" t="s">
        <v>911</v>
      </c>
      <c r="C3802" s="112" t="s">
        <v>695</v>
      </c>
      <c r="D3802" s="113">
        <v>10347981</v>
      </c>
      <c r="E3802" s="115">
        <v>43924</v>
      </c>
      <c r="F3802" s="114">
        <v>202101</v>
      </c>
      <c r="G3802" s="112" t="s">
        <v>1091</v>
      </c>
      <c r="H3802" s="112" t="s">
        <v>1015</v>
      </c>
      <c r="I3802" s="112" t="s">
        <v>763</v>
      </c>
      <c r="J3802" s="112" t="s">
        <v>3284</v>
      </c>
      <c r="K3802" s="112" t="s">
        <v>3399</v>
      </c>
      <c r="L3802" s="116">
        <v>-36113</v>
      </c>
    </row>
    <row r="3803" spans="1:12" hidden="1" outlineLevel="1" collapsed="1" x14ac:dyDescent="0.35">
      <c r="A3803" s="112" t="s">
        <v>3283</v>
      </c>
      <c r="B3803" s="112" t="s">
        <v>910</v>
      </c>
      <c r="C3803" s="112" t="s">
        <v>695</v>
      </c>
      <c r="D3803" s="113">
        <v>10347981</v>
      </c>
      <c r="E3803" s="115">
        <v>43924</v>
      </c>
      <c r="F3803" s="114">
        <v>202101</v>
      </c>
      <c r="G3803" s="112" t="s">
        <v>1091</v>
      </c>
      <c r="H3803" s="112" t="s">
        <v>1015</v>
      </c>
      <c r="I3803" s="112" t="s">
        <v>1102</v>
      </c>
      <c r="J3803" s="112" t="s">
        <v>3286</v>
      </c>
      <c r="K3803" s="112" t="s">
        <v>3400</v>
      </c>
      <c r="L3803" s="116">
        <v>-500</v>
      </c>
    </row>
    <row r="3804" spans="1:12" hidden="1" outlineLevel="1" collapsed="1" x14ac:dyDescent="0.35">
      <c r="A3804" s="112" t="s">
        <v>3283</v>
      </c>
      <c r="B3804" s="112" t="s">
        <v>910</v>
      </c>
      <c r="C3804" s="112" t="s">
        <v>695</v>
      </c>
      <c r="D3804" s="113">
        <v>10347981</v>
      </c>
      <c r="E3804" s="115">
        <v>43924</v>
      </c>
      <c r="F3804" s="114">
        <v>202101</v>
      </c>
      <c r="G3804" s="112" t="s">
        <v>1091</v>
      </c>
      <c r="H3804" s="112" t="s">
        <v>1015</v>
      </c>
      <c r="I3804" s="112" t="s">
        <v>1277</v>
      </c>
      <c r="J3804" s="112" t="s">
        <v>3286</v>
      </c>
      <c r="K3804" s="112" t="s">
        <v>3235</v>
      </c>
      <c r="L3804" s="116">
        <v>-671.88</v>
      </c>
    </row>
    <row r="3805" spans="1:12" hidden="1" outlineLevel="1" collapsed="1" x14ac:dyDescent="0.35">
      <c r="A3805" s="112" t="s">
        <v>3283</v>
      </c>
      <c r="B3805" s="112" t="s">
        <v>910</v>
      </c>
      <c r="C3805" s="112" t="s">
        <v>1095</v>
      </c>
      <c r="D3805" s="113">
        <v>10348451</v>
      </c>
      <c r="E3805" s="115">
        <v>43949</v>
      </c>
      <c r="F3805" s="114">
        <v>202101</v>
      </c>
      <c r="G3805" s="112" t="s">
        <v>1091</v>
      </c>
      <c r="H3805" s="112" t="s">
        <v>1015</v>
      </c>
      <c r="I3805" s="112" t="s">
        <v>1096</v>
      </c>
      <c r="J3805" s="112" t="s">
        <v>3286</v>
      </c>
      <c r="K3805" s="112" t="s">
        <v>1098</v>
      </c>
      <c r="L3805" s="116">
        <v>312.18</v>
      </c>
    </row>
    <row r="3806" spans="1:12" outlineLevel="1" collapsed="1" x14ac:dyDescent="0.35">
      <c r="A3806" s="112" t="s">
        <v>3283</v>
      </c>
      <c r="B3806" s="112" t="s">
        <v>911</v>
      </c>
      <c r="C3806" s="112" t="s">
        <v>695</v>
      </c>
      <c r="D3806" s="113">
        <v>10347981</v>
      </c>
      <c r="E3806" s="115">
        <v>43924</v>
      </c>
      <c r="F3806" s="114">
        <v>202101</v>
      </c>
      <c r="G3806" s="112" t="s">
        <v>1091</v>
      </c>
      <c r="H3806" s="112" t="s">
        <v>1015</v>
      </c>
      <c r="I3806" s="112" t="s">
        <v>763</v>
      </c>
      <c r="J3806" s="112" t="s">
        <v>3284</v>
      </c>
      <c r="K3806" s="112" t="s">
        <v>3401</v>
      </c>
      <c r="L3806" s="116">
        <v>-2000</v>
      </c>
    </row>
    <row r="3807" spans="1:12" hidden="1" outlineLevel="1" collapsed="1" x14ac:dyDescent="0.35">
      <c r="A3807" s="112" t="s">
        <v>3283</v>
      </c>
      <c r="B3807" s="112" t="s">
        <v>910</v>
      </c>
      <c r="C3807" s="112" t="s">
        <v>695</v>
      </c>
      <c r="D3807" s="113">
        <v>10347981</v>
      </c>
      <c r="E3807" s="115">
        <v>43924</v>
      </c>
      <c r="F3807" s="114">
        <v>202101</v>
      </c>
      <c r="G3807" s="112" t="s">
        <v>1091</v>
      </c>
      <c r="H3807" s="112" t="s">
        <v>1015</v>
      </c>
      <c r="I3807" s="112" t="s">
        <v>2693</v>
      </c>
      <c r="J3807" s="112" t="s">
        <v>3286</v>
      </c>
      <c r="K3807" s="112" t="s">
        <v>3402</v>
      </c>
      <c r="L3807" s="116">
        <v>-1158</v>
      </c>
    </row>
    <row r="3808" spans="1:12" hidden="1" outlineLevel="1" collapsed="1" x14ac:dyDescent="0.35">
      <c r="A3808" s="112" t="s">
        <v>3283</v>
      </c>
      <c r="B3808" s="112" t="s">
        <v>912</v>
      </c>
      <c r="C3808" s="112" t="s">
        <v>1095</v>
      </c>
      <c r="D3808" s="113">
        <v>10348451</v>
      </c>
      <c r="E3808" s="115">
        <v>43949</v>
      </c>
      <c r="F3808" s="114">
        <v>202101</v>
      </c>
      <c r="G3808" s="112" t="s">
        <v>1091</v>
      </c>
      <c r="H3808" s="112" t="s">
        <v>1015</v>
      </c>
      <c r="I3808" s="112" t="s">
        <v>1101</v>
      </c>
      <c r="J3808" s="112" t="s">
        <v>3292</v>
      </c>
      <c r="K3808" s="112" t="s">
        <v>1098</v>
      </c>
      <c r="L3808" s="116">
        <v>337.6</v>
      </c>
    </row>
    <row r="3809" spans="1:12" hidden="1" outlineLevel="1" collapsed="1" x14ac:dyDescent="0.35">
      <c r="A3809" s="112" t="s">
        <v>3283</v>
      </c>
      <c r="B3809" s="112" t="s">
        <v>3298</v>
      </c>
      <c r="C3809" s="112" t="s">
        <v>695</v>
      </c>
      <c r="D3809" s="113">
        <v>10347981</v>
      </c>
      <c r="E3809" s="115">
        <v>43924</v>
      </c>
      <c r="F3809" s="114">
        <v>202101</v>
      </c>
      <c r="G3809" s="112" t="s">
        <v>1091</v>
      </c>
      <c r="H3809" s="112" t="s">
        <v>1015</v>
      </c>
      <c r="I3809" s="112" t="s">
        <v>1536</v>
      </c>
      <c r="J3809" s="112" t="s">
        <v>3299</v>
      </c>
      <c r="K3809" s="112" t="s">
        <v>3403</v>
      </c>
      <c r="L3809" s="116">
        <v>-1425.6</v>
      </c>
    </row>
    <row r="3810" spans="1:12" hidden="1" outlineLevel="1" collapsed="1" x14ac:dyDescent="0.35">
      <c r="A3810" s="112" t="s">
        <v>3283</v>
      </c>
      <c r="B3810" s="112" t="s">
        <v>912</v>
      </c>
      <c r="C3810" s="112" t="s">
        <v>1095</v>
      </c>
      <c r="D3810" s="113">
        <v>10348451</v>
      </c>
      <c r="E3810" s="115">
        <v>43949</v>
      </c>
      <c r="F3810" s="114">
        <v>202101</v>
      </c>
      <c r="G3810" s="112" t="s">
        <v>1091</v>
      </c>
      <c r="H3810" s="112" t="s">
        <v>1015</v>
      </c>
      <c r="I3810" s="112" t="s">
        <v>1101</v>
      </c>
      <c r="J3810" s="112" t="s">
        <v>3288</v>
      </c>
      <c r="K3810" s="112" t="s">
        <v>1098</v>
      </c>
      <c r="L3810" s="116">
        <v>501.66</v>
      </c>
    </row>
    <row r="3811" spans="1:12" hidden="1" outlineLevel="1" collapsed="1" x14ac:dyDescent="0.35">
      <c r="A3811" s="112" t="s">
        <v>3283</v>
      </c>
      <c r="B3811" s="112" t="s">
        <v>910</v>
      </c>
      <c r="C3811" s="112" t="s">
        <v>1095</v>
      </c>
      <c r="D3811" s="113">
        <v>10348451</v>
      </c>
      <c r="E3811" s="115">
        <v>43949</v>
      </c>
      <c r="F3811" s="114">
        <v>202101</v>
      </c>
      <c r="G3811" s="112" t="s">
        <v>1091</v>
      </c>
      <c r="H3811" s="112" t="s">
        <v>1015</v>
      </c>
      <c r="I3811" s="112" t="s">
        <v>1096</v>
      </c>
      <c r="J3811" s="112" t="s">
        <v>3286</v>
      </c>
      <c r="K3811" s="112" t="s">
        <v>1098</v>
      </c>
      <c r="L3811" s="116">
        <v>154.13999999999999</v>
      </c>
    </row>
    <row r="3812" spans="1:12" hidden="1" outlineLevel="1" collapsed="1" x14ac:dyDescent="0.35">
      <c r="A3812" s="112" t="s">
        <v>3283</v>
      </c>
      <c r="B3812" s="112" t="s">
        <v>912</v>
      </c>
      <c r="C3812" s="112" t="s">
        <v>695</v>
      </c>
      <c r="D3812" s="113">
        <v>10347981</v>
      </c>
      <c r="E3812" s="115">
        <v>43924</v>
      </c>
      <c r="F3812" s="114">
        <v>202101</v>
      </c>
      <c r="G3812" s="112" t="s">
        <v>1091</v>
      </c>
      <c r="H3812" s="112" t="s">
        <v>1015</v>
      </c>
      <c r="I3812" s="112" t="s">
        <v>763</v>
      </c>
      <c r="J3812" s="112" t="s">
        <v>3292</v>
      </c>
      <c r="K3812" s="112" t="s">
        <v>3404</v>
      </c>
      <c r="L3812" s="116">
        <v>-3700</v>
      </c>
    </row>
    <row r="3813" spans="1:12" hidden="1" outlineLevel="1" collapsed="1" x14ac:dyDescent="0.35">
      <c r="A3813" s="112" t="s">
        <v>3283</v>
      </c>
      <c r="B3813" s="112" t="s">
        <v>910</v>
      </c>
      <c r="C3813" s="112" t="s">
        <v>1095</v>
      </c>
      <c r="D3813" s="113">
        <v>10348451</v>
      </c>
      <c r="E3813" s="115">
        <v>43949</v>
      </c>
      <c r="F3813" s="114">
        <v>202101</v>
      </c>
      <c r="G3813" s="112" t="s">
        <v>1091</v>
      </c>
      <c r="H3813" s="112" t="s">
        <v>1015</v>
      </c>
      <c r="I3813" s="112" t="s">
        <v>1101</v>
      </c>
      <c r="J3813" s="112" t="s">
        <v>3286</v>
      </c>
      <c r="K3813" s="112" t="s">
        <v>1098</v>
      </c>
      <c r="L3813" s="116">
        <v>450.13</v>
      </c>
    </row>
    <row r="3814" spans="1:12" hidden="1" outlineLevel="1" collapsed="1" x14ac:dyDescent="0.35">
      <c r="A3814" s="112" t="s">
        <v>3283</v>
      </c>
      <c r="B3814" s="112" t="s">
        <v>910</v>
      </c>
      <c r="C3814" s="112" t="s">
        <v>1095</v>
      </c>
      <c r="D3814" s="113">
        <v>10348451</v>
      </c>
      <c r="E3814" s="115">
        <v>43949</v>
      </c>
      <c r="F3814" s="114">
        <v>202101</v>
      </c>
      <c r="G3814" s="112" t="s">
        <v>1091</v>
      </c>
      <c r="H3814" s="112" t="s">
        <v>1015</v>
      </c>
      <c r="I3814" s="112" t="s">
        <v>1096</v>
      </c>
      <c r="J3814" s="112" t="s">
        <v>3286</v>
      </c>
      <c r="K3814" s="112" t="s">
        <v>1098</v>
      </c>
      <c r="L3814" s="116">
        <v>275.52999999999997</v>
      </c>
    </row>
    <row r="3815" spans="1:12" hidden="1" outlineLevel="1" collapsed="1" x14ac:dyDescent="0.35">
      <c r="A3815" s="112" t="s">
        <v>3283</v>
      </c>
      <c r="B3815" s="112" t="s">
        <v>912</v>
      </c>
      <c r="C3815" s="112" t="s">
        <v>1095</v>
      </c>
      <c r="D3815" s="113">
        <v>10348451</v>
      </c>
      <c r="E3815" s="115">
        <v>43949</v>
      </c>
      <c r="F3815" s="114">
        <v>202101</v>
      </c>
      <c r="G3815" s="112" t="s">
        <v>1091</v>
      </c>
      <c r="H3815" s="112" t="s">
        <v>1015</v>
      </c>
      <c r="I3815" s="112" t="s">
        <v>1096</v>
      </c>
      <c r="J3815" s="112" t="s">
        <v>3288</v>
      </c>
      <c r="K3815" s="112" t="s">
        <v>1098</v>
      </c>
      <c r="L3815" s="116">
        <v>357.33</v>
      </c>
    </row>
    <row r="3816" spans="1:12" hidden="1" outlineLevel="1" collapsed="1" x14ac:dyDescent="0.35">
      <c r="A3816" s="112" t="s">
        <v>3283</v>
      </c>
      <c r="B3816" s="112" t="s">
        <v>910</v>
      </c>
      <c r="C3816" s="112" t="s">
        <v>679</v>
      </c>
      <c r="D3816" s="113">
        <v>10348543</v>
      </c>
      <c r="E3816" s="115">
        <v>43951</v>
      </c>
      <c r="F3816" s="114">
        <v>202101</v>
      </c>
      <c r="G3816" s="112" t="s">
        <v>1091</v>
      </c>
      <c r="H3816" s="112" t="s">
        <v>1016</v>
      </c>
      <c r="I3816" s="112" t="s">
        <v>1293</v>
      </c>
      <c r="J3816" s="112" t="s">
        <v>3286</v>
      </c>
      <c r="K3816" s="112" t="s">
        <v>3405</v>
      </c>
      <c r="L3816" s="116">
        <v>-96</v>
      </c>
    </row>
    <row r="3817" spans="1:12" hidden="1" outlineLevel="1" collapsed="1" x14ac:dyDescent="0.35">
      <c r="A3817" s="112" t="s">
        <v>3283</v>
      </c>
      <c r="B3817" s="112" t="s">
        <v>912</v>
      </c>
      <c r="C3817" s="112" t="s">
        <v>1095</v>
      </c>
      <c r="D3817" s="113">
        <v>10348451</v>
      </c>
      <c r="E3817" s="115">
        <v>43949</v>
      </c>
      <c r="F3817" s="114">
        <v>202101</v>
      </c>
      <c r="G3817" s="112" t="s">
        <v>1091</v>
      </c>
      <c r="H3817" s="112" t="s">
        <v>1015</v>
      </c>
      <c r="I3817" s="112" t="s">
        <v>1116</v>
      </c>
      <c r="J3817" s="112" t="s">
        <v>3292</v>
      </c>
      <c r="K3817" s="112" t="s">
        <v>1098</v>
      </c>
      <c r="L3817" s="116">
        <v>3207.24</v>
      </c>
    </row>
    <row r="3818" spans="1:12" hidden="1" outlineLevel="1" collapsed="1" x14ac:dyDescent="0.35">
      <c r="A3818" s="112" t="s">
        <v>3283</v>
      </c>
      <c r="B3818" s="112" t="s">
        <v>912</v>
      </c>
      <c r="C3818" s="112" t="s">
        <v>1095</v>
      </c>
      <c r="D3818" s="113">
        <v>10348451</v>
      </c>
      <c r="E3818" s="115">
        <v>43949</v>
      </c>
      <c r="F3818" s="114">
        <v>202101</v>
      </c>
      <c r="G3818" s="112" t="s">
        <v>1091</v>
      </c>
      <c r="H3818" s="112" t="s">
        <v>1015</v>
      </c>
      <c r="I3818" s="112" t="s">
        <v>1128</v>
      </c>
      <c r="J3818" s="112" t="s">
        <v>3288</v>
      </c>
      <c r="K3818" s="112" t="s">
        <v>1098</v>
      </c>
      <c r="L3818" s="116">
        <v>70</v>
      </c>
    </row>
    <row r="3819" spans="1:12" hidden="1" outlineLevel="1" collapsed="1" x14ac:dyDescent="0.35">
      <c r="A3819" s="112" t="s">
        <v>3283</v>
      </c>
      <c r="B3819" s="112" t="s">
        <v>910</v>
      </c>
      <c r="C3819" s="112" t="s">
        <v>1219</v>
      </c>
      <c r="D3819" s="113">
        <v>46307139</v>
      </c>
      <c r="E3819" s="115">
        <v>43937</v>
      </c>
      <c r="F3819" s="114">
        <v>202101</v>
      </c>
      <c r="G3819" s="112" t="s">
        <v>1091</v>
      </c>
      <c r="H3819" s="112" t="s">
        <v>1016</v>
      </c>
      <c r="I3819" s="112" t="s">
        <v>1293</v>
      </c>
      <c r="J3819" s="112" t="s">
        <v>3286</v>
      </c>
      <c r="K3819" s="112" t="s">
        <v>3406</v>
      </c>
      <c r="L3819" s="116">
        <v>462</v>
      </c>
    </row>
    <row r="3820" spans="1:12" hidden="1" outlineLevel="1" collapsed="1" x14ac:dyDescent="0.35">
      <c r="A3820" s="112" t="s">
        <v>3283</v>
      </c>
      <c r="B3820" s="112" t="s">
        <v>910</v>
      </c>
      <c r="C3820" s="112" t="s">
        <v>679</v>
      </c>
      <c r="D3820" s="113">
        <v>10348297</v>
      </c>
      <c r="E3820" s="115">
        <v>43938</v>
      </c>
      <c r="F3820" s="114">
        <v>202101</v>
      </c>
      <c r="G3820" s="112" t="s">
        <v>1091</v>
      </c>
      <c r="H3820" s="112" t="s">
        <v>1016</v>
      </c>
      <c r="I3820" s="112" t="s">
        <v>1293</v>
      </c>
      <c r="J3820" s="112" t="s">
        <v>3286</v>
      </c>
      <c r="K3820" s="112" t="s">
        <v>3407</v>
      </c>
      <c r="L3820" s="116">
        <v>-206</v>
      </c>
    </row>
    <row r="3821" spans="1:12" hidden="1" outlineLevel="1" collapsed="1" x14ac:dyDescent="0.35">
      <c r="A3821" s="112" t="s">
        <v>3283</v>
      </c>
      <c r="B3821" s="112" t="s">
        <v>910</v>
      </c>
      <c r="C3821" s="112" t="s">
        <v>679</v>
      </c>
      <c r="D3821" s="113">
        <v>10348297</v>
      </c>
      <c r="E3821" s="115">
        <v>43938</v>
      </c>
      <c r="F3821" s="114">
        <v>202101</v>
      </c>
      <c r="G3821" s="112" t="s">
        <v>1091</v>
      </c>
      <c r="H3821" s="112" t="s">
        <v>1016</v>
      </c>
      <c r="I3821" s="112" t="s">
        <v>1293</v>
      </c>
      <c r="J3821" s="112" t="s">
        <v>3286</v>
      </c>
      <c r="K3821" s="112" t="s">
        <v>3408</v>
      </c>
      <c r="L3821" s="116">
        <v>-234</v>
      </c>
    </row>
    <row r="3822" spans="1:12" hidden="1" outlineLevel="1" collapsed="1" x14ac:dyDescent="0.35">
      <c r="A3822" s="112" t="s">
        <v>3283</v>
      </c>
      <c r="B3822" s="112" t="s">
        <v>910</v>
      </c>
      <c r="C3822" s="112" t="s">
        <v>679</v>
      </c>
      <c r="D3822" s="113">
        <v>10348297</v>
      </c>
      <c r="E3822" s="115">
        <v>43938</v>
      </c>
      <c r="F3822" s="114">
        <v>202101</v>
      </c>
      <c r="G3822" s="112" t="s">
        <v>1091</v>
      </c>
      <c r="H3822" s="112" t="s">
        <v>1016</v>
      </c>
      <c r="I3822" s="112" t="s">
        <v>1293</v>
      </c>
      <c r="J3822" s="112" t="s">
        <v>3286</v>
      </c>
      <c r="K3822" s="112" t="s">
        <v>3409</v>
      </c>
      <c r="L3822" s="116">
        <v>-103</v>
      </c>
    </row>
    <row r="3823" spans="1:12" hidden="1" outlineLevel="1" collapsed="1" x14ac:dyDescent="0.35">
      <c r="A3823" s="112" t="s">
        <v>3283</v>
      </c>
      <c r="B3823" s="112" t="s">
        <v>910</v>
      </c>
      <c r="C3823" s="112" t="s">
        <v>679</v>
      </c>
      <c r="D3823" s="113">
        <v>10348297</v>
      </c>
      <c r="E3823" s="115">
        <v>43938</v>
      </c>
      <c r="F3823" s="114">
        <v>202101</v>
      </c>
      <c r="G3823" s="112" t="s">
        <v>1091</v>
      </c>
      <c r="H3823" s="112" t="s">
        <v>1016</v>
      </c>
      <c r="I3823" s="112" t="s">
        <v>1293</v>
      </c>
      <c r="J3823" s="112" t="s">
        <v>3286</v>
      </c>
      <c r="K3823" s="112" t="s">
        <v>3410</v>
      </c>
      <c r="L3823" s="116">
        <v>-206</v>
      </c>
    </row>
    <row r="3824" spans="1:12" hidden="1" outlineLevel="1" collapsed="1" x14ac:dyDescent="0.35">
      <c r="A3824" s="112" t="s">
        <v>3283</v>
      </c>
      <c r="B3824" s="112" t="s">
        <v>910</v>
      </c>
      <c r="C3824" s="112" t="s">
        <v>679</v>
      </c>
      <c r="D3824" s="113">
        <v>10348297</v>
      </c>
      <c r="E3824" s="115">
        <v>43938</v>
      </c>
      <c r="F3824" s="114">
        <v>202101</v>
      </c>
      <c r="G3824" s="112" t="s">
        <v>1091</v>
      </c>
      <c r="H3824" s="112" t="s">
        <v>1016</v>
      </c>
      <c r="I3824" s="112" t="s">
        <v>1293</v>
      </c>
      <c r="J3824" s="112" t="s">
        <v>3286</v>
      </c>
      <c r="K3824" s="112" t="s">
        <v>3411</v>
      </c>
      <c r="L3824" s="116">
        <v>-3696</v>
      </c>
    </row>
    <row r="3825" spans="1:12" hidden="1" outlineLevel="1" collapsed="1" x14ac:dyDescent="0.35">
      <c r="A3825" s="112" t="s">
        <v>3283</v>
      </c>
      <c r="B3825" s="112" t="s">
        <v>910</v>
      </c>
      <c r="C3825" s="112" t="s">
        <v>679</v>
      </c>
      <c r="D3825" s="113">
        <v>10348297</v>
      </c>
      <c r="E3825" s="115">
        <v>43938</v>
      </c>
      <c r="F3825" s="114">
        <v>202101</v>
      </c>
      <c r="G3825" s="112" t="s">
        <v>1091</v>
      </c>
      <c r="H3825" s="112" t="s">
        <v>1016</v>
      </c>
      <c r="I3825" s="112" t="s">
        <v>1293</v>
      </c>
      <c r="J3825" s="112" t="s">
        <v>3286</v>
      </c>
      <c r="K3825" s="112" t="s">
        <v>3412</v>
      </c>
      <c r="L3825" s="116">
        <v>-234</v>
      </c>
    </row>
    <row r="3826" spans="1:12" hidden="1" outlineLevel="1" collapsed="1" x14ac:dyDescent="0.35">
      <c r="A3826" s="112" t="s">
        <v>3283</v>
      </c>
      <c r="B3826" s="112" t="s">
        <v>910</v>
      </c>
      <c r="C3826" s="112" t="s">
        <v>679</v>
      </c>
      <c r="D3826" s="113">
        <v>10348297</v>
      </c>
      <c r="E3826" s="115">
        <v>43938</v>
      </c>
      <c r="F3826" s="114">
        <v>202101</v>
      </c>
      <c r="G3826" s="112" t="s">
        <v>1091</v>
      </c>
      <c r="H3826" s="112" t="s">
        <v>1016</v>
      </c>
      <c r="I3826" s="112" t="s">
        <v>1293</v>
      </c>
      <c r="J3826" s="112" t="s">
        <v>3286</v>
      </c>
      <c r="K3826" s="112" t="s">
        <v>3413</v>
      </c>
      <c r="L3826" s="116">
        <v>-206</v>
      </c>
    </row>
    <row r="3827" spans="1:12" hidden="1" outlineLevel="1" collapsed="1" x14ac:dyDescent="0.35">
      <c r="A3827" s="112" t="s">
        <v>3283</v>
      </c>
      <c r="B3827" s="112" t="s">
        <v>910</v>
      </c>
      <c r="C3827" s="112" t="s">
        <v>679</v>
      </c>
      <c r="D3827" s="113">
        <v>10348297</v>
      </c>
      <c r="E3827" s="115">
        <v>43938</v>
      </c>
      <c r="F3827" s="114">
        <v>202101</v>
      </c>
      <c r="G3827" s="112" t="s">
        <v>1091</v>
      </c>
      <c r="H3827" s="112" t="s">
        <v>1016</v>
      </c>
      <c r="I3827" s="112" t="s">
        <v>1293</v>
      </c>
      <c r="J3827" s="112" t="s">
        <v>3286</v>
      </c>
      <c r="K3827" s="112" t="s">
        <v>3414</v>
      </c>
      <c r="L3827" s="116">
        <v>-103</v>
      </c>
    </row>
    <row r="3828" spans="1:12" hidden="1" outlineLevel="1" collapsed="1" x14ac:dyDescent="0.35">
      <c r="A3828" s="112" t="s">
        <v>3283</v>
      </c>
      <c r="B3828" s="112" t="s">
        <v>3298</v>
      </c>
      <c r="C3828" s="112" t="s">
        <v>679</v>
      </c>
      <c r="D3828" s="113">
        <v>10348297</v>
      </c>
      <c r="E3828" s="115">
        <v>43938</v>
      </c>
      <c r="F3828" s="114">
        <v>202101</v>
      </c>
      <c r="G3828" s="112" t="s">
        <v>1091</v>
      </c>
      <c r="H3828" s="112" t="s">
        <v>1016</v>
      </c>
      <c r="I3828" s="112" t="s">
        <v>2337</v>
      </c>
      <c r="J3828" s="112" t="s">
        <v>3299</v>
      </c>
      <c r="K3828" s="112" t="s">
        <v>3415</v>
      </c>
      <c r="L3828" s="116">
        <v>-42.49</v>
      </c>
    </row>
    <row r="3829" spans="1:12" hidden="1" outlineLevel="1" collapsed="1" x14ac:dyDescent="0.35">
      <c r="A3829" s="112" t="s">
        <v>3283</v>
      </c>
      <c r="B3829" s="112" t="s">
        <v>3298</v>
      </c>
      <c r="C3829" s="112" t="s">
        <v>679</v>
      </c>
      <c r="D3829" s="113">
        <v>10348297</v>
      </c>
      <c r="E3829" s="115">
        <v>43938</v>
      </c>
      <c r="F3829" s="114">
        <v>202101</v>
      </c>
      <c r="G3829" s="112" t="s">
        <v>1091</v>
      </c>
      <c r="H3829" s="112" t="s">
        <v>1016</v>
      </c>
      <c r="I3829" s="112" t="s">
        <v>2337</v>
      </c>
      <c r="J3829" s="112" t="s">
        <v>3299</v>
      </c>
      <c r="K3829" s="112" t="s">
        <v>3416</v>
      </c>
      <c r="L3829" s="116">
        <v>-247</v>
      </c>
    </row>
    <row r="3830" spans="1:12" hidden="1" outlineLevel="1" collapsed="1" x14ac:dyDescent="0.35">
      <c r="A3830" s="112" t="s">
        <v>3283</v>
      </c>
      <c r="B3830" s="112" t="s">
        <v>910</v>
      </c>
      <c r="C3830" s="112" t="s">
        <v>679</v>
      </c>
      <c r="D3830" s="113">
        <v>10348297</v>
      </c>
      <c r="E3830" s="115">
        <v>43938</v>
      </c>
      <c r="F3830" s="114">
        <v>202101</v>
      </c>
      <c r="G3830" s="112" t="s">
        <v>1091</v>
      </c>
      <c r="H3830" s="112" t="s">
        <v>1016</v>
      </c>
      <c r="I3830" s="112" t="s">
        <v>1293</v>
      </c>
      <c r="J3830" s="112" t="s">
        <v>3286</v>
      </c>
      <c r="K3830" s="112" t="s">
        <v>3417</v>
      </c>
      <c r="L3830" s="116">
        <v>-462</v>
      </c>
    </row>
    <row r="3831" spans="1:12" hidden="1" outlineLevel="1" collapsed="1" x14ac:dyDescent="0.35">
      <c r="A3831" s="112" t="s">
        <v>3283</v>
      </c>
      <c r="B3831" s="112" t="s">
        <v>910</v>
      </c>
      <c r="C3831" s="112" t="s">
        <v>679</v>
      </c>
      <c r="D3831" s="113">
        <v>10348297</v>
      </c>
      <c r="E3831" s="115">
        <v>43938</v>
      </c>
      <c r="F3831" s="114">
        <v>202101</v>
      </c>
      <c r="G3831" s="112" t="s">
        <v>1091</v>
      </c>
      <c r="H3831" s="112" t="s">
        <v>1016</v>
      </c>
      <c r="I3831" s="112" t="s">
        <v>1293</v>
      </c>
      <c r="J3831" s="112" t="s">
        <v>3286</v>
      </c>
      <c r="K3831" s="112" t="s">
        <v>3418</v>
      </c>
      <c r="L3831" s="116">
        <v>-206</v>
      </c>
    </row>
    <row r="3832" spans="1:12" hidden="1" outlineLevel="1" collapsed="1" x14ac:dyDescent="0.35">
      <c r="A3832" s="112" t="s">
        <v>3283</v>
      </c>
      <c r="B3832" s="112" t="s">
        <v>3298</v>
      </c>
      <c r="C3832" s="112" t="s">
        <v>679</v>
      </c>
      <c r="D3832" s="113">
        <v>10348115</v>
      </c>
      <c r="E3832" s="115">
        <v>43929</v>
      </c>
      <c r="F3832" s="114">
        <v>202101</v>
      </c>
      <c r="G3832" s="112" t="s">
        <v>1091</v>
      </c>
      <c r="H3832" s="112" t="s">
        <v>1016</v>
      </c>
      <c r="I3832" s="112" t="s">
        <v>2337</v>
      </c>
      <c r="J3832" s="112" t="s">
        <v>3299</v>
      </c>
      <c r="K3832" s="112" t="s">
        <v>3419</v>
      </c>
      <c r="L3832" s="116">
        <v>-247</v>
      </c>
    </row>
    <row r="3833" spans="1:12" hidden="1" outlineLevel="1" collapsed="1" x14ac:dyDescent="0.35">
      <c r="A3833" s="112" t="s">
        <v>3283</v>
      </c>
      <c r="B3833" s="112" t="s">
        <v>910</v>
      </c>
      <c r="C3833" s="112" t="s">
        <v>1095</v>
      </c>
      <c r="D3833" s="113">
        <v>10348451</v>
      </c>
      <c r="E3833" s="115">
        <v>43949</v>
      </c>
      <c r="F3833" s="114">
        <v>202101</v>
      </c>
      <c r="G3833" s="112" t="s">
        <v>1091</v>
      </c>
      <c r="H3833" s="112" t="s">
        <v>1015</v>
      </c>
      <c r="I3833" s="112" t="s">
        <v>1096</v>
      </c>
      <c r="J3833" s="112" t="s">
        <v>3286</v>
      </c>
      <c r="K3833" s="112" t="s">
        <v>1098</v>
      </c>
      <c r="L3833" s="116">
        <v>262.10000000000002</v>
      </c>
    </row>
    <row r="3834" spans="1:12" hidden="1" outlineLevel="1" collapsed="1" x14ac:dyDescent="0.35">
      <c r="A3834" s="112" t="s">
        <v>3283</v>
      </c>
      <c r="B3834" s="112" t="s">
        <v>3298</v>
      </c>
      <c r="C3834" s="112" t="s">
        <v>679</v>
      </c>
      <c r="D3834" s="113">
        <v>10348271</v>
      </c>
      <c r="E3834" s="115">
        <v>43937</v>
      </c>
      <c r="F3834" s="114">
        <v>202101</v>
      </c>
      <c r="G3834" s="112" t="s">
        <v>1091</v>
      </c>
      <c r="H3834" s="112" t="s">
        <v>1016</v>
      </c>
      <c r="I3834" s="112" t="s">
        <v>2337</v>
      </c>
      <c r="J3834" s="112" t="s">
        <v>3299</v>
      </c>
      <c r="K3834" s="112" t="s">
        <v>3420</v>
      </c>
      <c r="L3834" s="116">
        <v>-7</v>
      </c>
    </row>
    <row r="3835" spans="1:12" hidden="1" outlineLevel="1" collapsed="1" x14ac:dyDescent="0.35">
      <c r="A3835" s="112" t="s">
        <v>3283</v>
      </c>
      <c r="B3835" s="112" t="s">
        <v>3298</v>
      </c>
      <c r="C3835" s="112" t="s">
        <v>679</v>
      </c>
      <c r="D3835" s="113">
        <v>10348271</v>
      </c>
      <c r="E3835" s="115">
        <v>43937</v>
      </c>
      <c r="F3835" s="114">
        <v>202101</v>
      </c>
      <c r="G3835" s="112" t="s">
        <v>1091</v>
      </c>
      <c r="H3835" s="112" t="s">
        <v>1016</v>
      </c>
      <c r="I3835" s="112" t="s">
        <v>2337</v>
      </c>
      <c r="J3835" s="112" t="s">
        <v>3299</v>
      </c>
      <c r="K3835" s="112" t="s">
        <v>3421</v>
      </c>
      <c r="L3835" s="116">
        <v>-196.6</v>
      </c>
    </row>
    <row r="3836" spans="1:12" hidden="1" outlineLevel="1" collapsed="1" x14ac:dyDescent="0.35">
      <c r="A3836" s="112" t="s">
        <v>3283</v>
      </c>
      <c r="B3836" s="112" t="s">
        <v>3298</v>
      </c>
      <c r="C3836" s="112" t="s">
        <v>679</v>
      </c>
      <c r="D3836" s="113">
        <v>10348271</v>
      </c>
      <c r="E3836" s="115">
        <v>43937</v>
      </c>
      <c r="F3836" s="114">
        <v>202101</v>
      </c>
      <c r="G3836" s="112" t="s">
        <v>1091</v>
      </c>
      <c r="H3836" s="112" t="s">
        <v>1016</v>
      </c>
      <c r="I3836" s="112" t="s">
        <v>1293</v>
      </c>
      <c r="J3836" s="112" t="s">
        <v>3299</v>
      </c>
      <c r="K3836" s="112" t="s">
        <v>3422</v>
      </c>
      <c r="L3836" s="116">
        <v>-3955</v>
      </c>
    </row>
    <row r="3837" spans="1:12" hidden="1" outlineLevel="1" collapsed="1" x14ac:dyDescent="0.35">
      <c r="A3837" s="112" t="s">
        <v>3283</v>
      </c>
      <c r="B3837" s="112" t="s">
        <v>3298</v>
      </c>
      <c r="C3837" s="112" t="s">
        <v>679</v>
      </c>
      <c r="D3837" s="113">
        <v>10348115</v>
      </c>
      <c r="E3837" s="115">
        <v>43929</v>
      </c>
      <c r="F3837" s="114">
        <v>202101</v>
      </c>
      <c r="G3837" s="112" t="s">
        <v>1091</v>
      </c>
      <c r="H3837" s="112" t="s">
        <v>1016</v>
      </c>
      <c r="I3837" s="112" t="s">
        <v>2337</v>
      </c>
      <c r="J3837" s="112" t="s">
        <v>3299</v>
      </c>
      <c r="K3837" s="112" t="s">
        <v>3423</v>
      </c>
      <c r="L3837" s="116">
        <v>-247</v>
      </c>
    </row>
    <row r="3838" spans="1:12" hidden="1" outlineLevel="1" collapsed="1" x14ac:dyDescent="0.35">
      <c r="A3838" s="112" t="s">
        <v>3283</v>
      </c>
      <c r="B3838" s="112" t="s">
        <v>3298</v>
      </c>
      <c r="C3838" s="112" t="s">
        <v>679</v>
      </c>
      <c r="D3838" s="113">
        <v>10348115</v>
      </c>
      <c r="E3838" s="115">
        <v>43929</v>
      </c>
      <c r="F3838" s="114">
        <v>202101</v>
      </c>
      <c r="G3838" s="112" t="s">
        <v>1091</v>
      </c>
      <c r="H3838" s="112" t="s">
        <v>1016</v>
      </c>
      <c r="I3838" s="112" t="s">
        <v>2337</v>
      </c>
      <c r="J3838" s="112" t="s">
        <v>3299</v>
      </c>
      <c r="K3838" s="112" t="s">
        <v>3424</v>
      </c>
      <c r="L3838" s="116">
        <v>-247</v>
      </c>
    </row>
    <row r="3839" spans="1:12" hidden="1" outlineLevel="1" collapsed="1" x14ac:dyDescent="0.35">
      <c r="A3839" s="112" t="s">
        <v>3283</v>
      </c>
      <c r="B3839" s="112" t="s">
        <v>910</v>
      </c>
      <c r="C3839" s="112" t="s">
        <v>679</v>
      </c>
      <c r="D3839" s="113">
        <v>10348271</v>
      </c>
      <c r="E3839" s="115">
        <v>43937</v>
      </c>
      <c r="F3839" s="114">
        <v>202101</v>
      </c>
      <c r="G3839" s="112" t="s">
        <v>1091</v>
      </c>
      <c r="H3839" s="112" t="s">
        <v>1016</v>
      </c>
      <c r="I3839" s="112" t="s">
        <v>1293</v>
      </c>
      <c r="J3839" s="112" t="s">
        <v>3286</v>
      </c>
      <c r="K3839" s="112" t="s">
        <v>3425</v>
      </c>
      <c r="L3839" s="116">
        <v>-462</v>
      </c>
    </row>
    <row r="3840" spans="1:12" hidden="1" outlineLevel="1" collapsed="1" x14ac:dyDescent="0.35">
      <c r="A3840" s="112" t="s">
        <v>3283</v>
      </c>
      <c r="B3840" s="112" t="s">
        <v>910</v>
      </c>
      <c r="C3840" s="112" t="s">
        <v>679</v>
      </c>
      <c r="D3840" s="113">
        <v>10348271</v>
      </c>
      <c r="E3840" s="115">
        <v>43937</v>
      </c>
      <c r="F3840" s="114">
        <v>202101</v>
      </c>
      <c r="G3840" s="112" t="s">
        <v>1091</v>
      </c>
      <c r="H3840" s="112" t="s">
        <v>1016</v>
      </c>
      <c r="I3840" s="112" t="s">
        <v>1293</v>
      </c>
      <c r="J3840" s="112" t="s">
        <v>3286</v>
      </c>
      <c r="K3840" s="112" t="s">
        <v>3426</v>
      </c>
      <c r="L3840" s="116">
        <v>-206</v>
      </c>
    </row>
    <row r="3841" spans="1:12" hidden="1" outlineLevel="1" collapsed="1" x14ac:dyDescent="0.35">
      <c r="A3841" s="112" t="s">
        <v>3283</v>
      </c>
      <c r="B3841" s="112" t="s">
        <v>910</v>
      </c>
      <c r="C3841" s="112" t="s">
        <v>679</v>
      </c>
      <c r="D3841" s="113">
        <v>10348271</v>
      </c>
      <c r="E3841" s="115">
        <v>43937</v>
      </c>
      <c r="F3841" s="114">
        <v>202101</v>
      </c>
      <c r="G3841" s="112" t="s">
        <v>1091</v>
      </c>
      <c r="H3841" s="112" t="s">
        <v>1016</v>
      </c>
      <c r="I3841" s="112" t="s">
        <v>1293</v>
      </c>
      <c r="J3841" s="112" t="s">
        <v>3286</v>
      </c>
      <c r="K3841" s="112" t="s">
        <v>3427</v>
      </c>
      <c r="L3841" s="116">
        <v>-462</v>
      </c>
    </row>
    <row r="3842" spans="1:12" hidden="1" outlineLevel="1" collapsed="1" x14ac:dyDescent="0.35">
      <c r="A3842" s="112" t="s">
        <v>3283</v>
      </c>
      <c r="B3842" s="112" t="s">
        <v>910</v>
      </c>
      <c r="C3842" s="112" t="s">
        <v>679</v>
      </c>
      <c r="D3842" s="113">
        <v>10348271</v>
      </c>
      <c r="E3842" s="115">
        <v>43937</v>
      </c>
      <c r="F3842" s="114">
        <v>202101</v>
      </c>
      <c r="G3842" s="112" t="s">
        <v>1091</v>
      </c>
      <c r="H3842" s="112" t="s">
        <v>1016</v>
      </c>
      <c r="I3842" s="112" t="s">
        <v>1293</v>
      </c>
      <c r="J3842" s="112" t="s">
        <v>3286</v>
      </c>
      <c r="K3842" s="112" t="s">
        <v>3428</v>
      </c>
      <c r="L3842" s="116">
        <v>-132</v>
      </c>
    </row>
    <row r="3843" spans="1:12" outlineLevel="1" collapsed="1" x14ac:dyDescent="0.35">
      <c r="A3843" s="112" t="s">
        <v>3283</v>
      </c>
      <c r="B3843" s="112" t="s">
        <v>911</v>
      </c>
      <c r="C3843" s="112" t="s">
        <v>1758</v>
      </c>
      <c r="D3843" s="113">
        <v>51366159</v>
      </c>
      <c r="E3843" s="115">
        <v>43938</v>
      </c>
      <c r="F3843" s="114">
        <v>202101</v>
      </c>
      <c r="G3843" s="112" t="s">
        <v>1091</v>
      </c>
      <c r="H3843" s="112" t="s">
        <v>1016</v>
      </c>
      <c r="I3843" s="112" t="s">
        <v>1131</v>
      </c>
      <c r="J3843" s="112" t="s">
        <v>3284</v>
      </c>
      <c r="K3843" s="112" t="s">
        <v>3429</v>
      </c>
      <c r="L3843" s="116">
        <v>-36113</v>
      </c>
    </row>
    <row r="3844" spans="1:12" hidden="1" outlineLevel="1" collapsed="1" x14ac:dyDescent="0.35">
      <c r="A3844" s="112" t="s">
        <v>3283</v>
      </c>
      <c r="B3844" s="112" t="s">
        <v>910</v>
      </c>
      <c r="C3844" s="112" t="s">
        <v>679</v>
      </c>
      <c r="D3844" s="113">
        <v>10348543</v>
      </c>
      <c r="E3844" s="115">
        <v>43951</v>
      </c>
      <c r="F3844" s="114">
        <v>202101</v>
      </c>
      <c r="G3844" s="112" t="s">
        <v>1091</v>
      </c>
      <c r="H3844" s="112" t="s">
        <v>1016</v>
      </c>
      <c r="I3844" s="112" t="s">
        <v>1293</v>
      </c>
      <c r="J3844" s="112" t="s">
        <v>3286</v>
      </c>
      <c r="K3844" s="112" t="s">
        <v>3430</v>
      </c>
      <c r="L3844" s="116">
        <v>-116</v>
      </c>
    </row>
    <row r="3845" spans="1:12" hidden="1" outlineLevel="1" collapsed="1" x14ac:dyDescent="0.35">
      <c r="A3845" s="112" t="s">
        <v>3283</v>
      </c>
      <c r="B3845" s="112" t="s">
        <v>910</v>
      </c>
      <c r="C3845" s="112" t="s">
        <v>679</v>
      </c>
      <c r="D3845" s="113">
        <v>10348543</v>
      </c>
      <c r="E3845" s="115">
        <v>43951</v>
      </c>
      <c r="F3845" s="114">
        <v>202101</v>
      </c>
      <c r="G3845" s="112" t="s">
        <v>1091</v>
      </c>
      <c r="H3845" s="112" t="s">
        <v>1016</v>
      </c>
      <c r="I3845" s="112" t="s">
        <v>1293</v>
      </c>
      <c r="J3845" s="112" t="s">
        <v>3286</v>
      </c>
      <c r="K3845" s="112" t="s">
        <v>3431</v>
      </c>
      <c r="L3845" s="116">
        <v>-407</v>
      </c>
    </row>
    <row r="3846" spans="1:12" hidden="1" outlineLevel="1" collapsed="1" x14ac:dyDescent="0.35">
      <c r="A3846" s="112" t="s">
        <v>3283</v>
      </c>
      <c r="B3846" s="112" t="s">
        <v>910</v>
      </c>
      <c r="C3846" s="112" t="s">
        <v>679</v>
      </c>
      <c r="D3846" s="113">
        <v>10348543</v>
      </c>
      <c r="E3846" s="115">
        <v>43951</v>
      </c>
      <c r="F3846" s="114">
        <v>202101</v>
      </c>
      <c r="G3846" s="112" t="s">
        <v>1091</v>
      </c>
      <c r="H3846" s="112" t="s">
        <v>1016</v>
      </c>
      <c r="I3846" s="112" t="s">
        <v>1293</v>
      </c>
      <c r="J3846" s="112" t="s">
        <v>3286</v>
      </c>
      <c r="K3846" s="112" t="s">
        <v>3432</v>
      </c>
      <c r="L3846" s="116">
        <v>-256</v>
      </c>
    </row>
    <row r="3847" spans="1:12" hidden="1" outlineLevel="1" collapsed="1" x14ac:dyDescent="0.35">
      <c r="A3847" s="112" t="s">
        <v>3283</v>
      </c>
      <c r="B3847" s="112" t="s">
        <v>910</v>
      </c>
      <c r="C3847" s="112" t="s">
        <v>679</v>
      </c>
      <c r="D3847" s="113">
        <v>10348543</v>
      </c>
      <c r="E3847" s="115">
        <v>43951</v>
      </c>
      <c r="F3847" s="114">
        <v>202101</v>
      </c>
      <c r="G3847" s="112" t="s">
        <v>1091</v>
      </c>
      <c r="H3847" s="112" t="s">
        <v>1016</v>
      </c>
      <c r="I3847" s="112" t="s">
        <v>1293</v>
      </c>
      <c r="J3847" s="112" t="s">
        <v>3286</v>
      </c>
      <c r="K3847" s="112" t="s">
        <v>3433</v>
      </c>
      <c r="L3847" s="116">
        <v>-462</v>
      </c>
    </row>
    <row r="3848" spans="1:12" hidden="1" outlineLevel="1" collapsed="1" x14ac:dyDescent="0.35">
      <c r="A3848" s="112" t="s">
        <v>3283</v>
      </c>
      <c r="B3848" s="112" t="s">
        <v>910</v>
      </c>
      <c r="C3848" s="112" t="s">
        <v>679</v>
      </c>
      <c r="D3848" s="113">
        <v>10348543</v>
      </c>
      <c r="E3848" s="115">
        <v>43951</v>
      </c>
      <c r="F3848" s="114">
        <v>202101</v>
      </c>
      <c r="G3848" s="112" t="s">
        <v>1091</v>
      </c>
      <c r="H3848" s="112" t="s">
        <v>1016</v>
      </c>
      <c r="I3848" s="112" t="s">
        <v>1293</v>
      </c>
      <c r="J3848" s="112" t="s">
        <v>3286</v>
      </c>
      <c r="K3848" s="112" t="s">
        <v>3434</v>
      </c>
      <c r="L3848" s="116">
        <v>-206</v>
      </c>
    </row>
    <row r="3849" spans="1:12" outlineLevel="1" collapsed="1" x14ac:dyDescent="0.35">
      <c r="A3849" s="112" t="s">
        <v>3283</v>
      </c>
      <c r="B3849" s="112" t="s">
        <v>911</v>
      </c>
      <c r="C3849" s="112" t="s">
        <v>1095</v>
      </c>
      <c r="D3849" s="113">
        <v>10348451</v>
      </c>
      <c r="E3849" s="115">
        <v>43949</v>
      </c>
      <c r="F3849" s="114">
        <v>202101</v>
      </c>
      <c r="G3849" s="112" t="s">
        <v>1091</v>
      </c>
      <c r="H3849" s="112" t="s">
        <v>1015</v>
      </c>
      <c r="I3849" s="112" t="s">
        <v>1096</v>
      </c>
      <c r="J3849" s="112" t="s">
        <v>3291</v>
      </c>
      <c r="K3849" s="112" t="s">
        <v>1098</v>
      </c>
      <c r="L3849" s="116">
        <v>170.68</v>
      </c>
    </row>
    <row r="3850" spans="1:12" hidden="1" outlineLevel="1" collapsed="1" x14ac:dyDescent="0.35">
      <c r="A3850" s="112" t="s">
        <v>3283</v>
      </c>
      <c r="B3850" s="112" t="s">
        <v>912</v>
      </c>
      <c r="C3850" s="112" t="s">
        <v>695</v>
      </c>
      <c r="D3850" s="113">
        <v>10347981</v>
      </c>
      <c r="E3850" s="115">
        <v>43924</v>
      </c>
      <c r="F3850" s="114">
        <v>202101</v>
      </c>
      <c r="G3850" s="112" t="s">
        <v>1091</v>
      </c>
      <c r="H3850" s="112" t="s">
        <v>1015</v>
      </c>
      <c r="I3850" s="112" t="s">
        <v>1211</v>
      </c>
      <c r="J3850" s="112" t="s">
        <v>3288</v>
      </c>
      <c r="K3850" s="112" t="s">
        <v>3435</v>
      </c>
      <c r="L3850" s="116">
        <v>-8400</v>
      </c>
    </row>
    <row r="3851" spans="1:12" outlineLevel="1" collapsed="1" x14ac:dyDescent="0.35">
      <c r="A3851" s="112" t="s">
        <v>3283</v>
      </c>
      <c r="B3851" s="112" t="s">
        <v>911</v>
      </c>
      <c r="C3851" s="112" t="s">
        <v>695</v>
      </c>
      <c r="D3851" s="113">
        <v>10347981</v>
      </c>
      <c r="E3851" s="115">
        <v>43924</v>
      </c>
      <c r="F3851" s="114">
        <v>202101</v>
      </c>
      <c r="G3851" s="112" t="s">
        <v>1091</v>
      </c>
      <c r="H3851" s="112" t="s">
        <v>1015</v>
      </c>
      <c r="I3851" s="112" t="s">
        <v>769</v>
      </c>
      <c r="J3851" s="112" t="s">
        <v>3291</v>
      </c>
      <c r="K3851" s="112" t="s">
        <v>3436</v>
      </c>
      <c r="L3851" s="116">
        <v>-117.03</v>
      </c>
    </row>
    <row r="3852" spans="1:12" hidden="1" outlineLevel="1" collapsed="1" x14ac:dyDescent="0.35">
      <c r="A3852" s="112" t="s">
        <v>3283</v>
      </c>
      <c r="B3852" s="112" t="s">
        <v>3298</v>
      </c>
      <c r="C3852" s="112" t="s">
        <v>679</v>
      </c>
      <c r="D3852" s="113">
        <v>10348115</v>
      </c>
      <c r="E3852" s="115">
        <v>43929</v>
      </c>
      <c r="F3852" s="114">
        <v>202101</v>
      </c>
      <c r="G3852" s="112" t="s">
        <v>1091</v>
      </c>
      <c r="H3852" s="112" t="s">
        <v>1016</v>
      </c>
      <c r="I3852" s="112" t="s">
        <v>2337</v>
      </c>
      <c r="J3852" s="112" t="s">
        <v>3299</v>
      </c>
      <c r="K3852" s="112" t="s">
        <v>3437</v>
      </c>
      <c r="L3852" s="116">
        <v>-257.2</v>
      </c>
    </row>
    <row r="3853" spans="1:12" hidden="1" outlineLevel="1" collapsed="1" x14ac:dyDescent="0.35">
      <c r="A3853" s="112" t="s">
        <v>3283</v>
      </c>
      <c r="B3853" s="112" t="s">
        <v>910</v>
      </c>
      <c r="C3853" s="112" t="s">
        <v>679</v>
      </c>
      <c r="D3853" s="113">
        <v>10347962</v>
      </c>
      <c r="E3853" s="115">
        <v>43923</v>
      </c>
      <c r="F3853" s="114">
        <v>202101</v>
      </c>
      <c r="G3853" s="112" t="s">
        <v>1091</v>
      </c>
      <c r="H3853" s="112" t="s">
        <v>1016</v>
      </c>
      <c r="I3853" s="112" t="s">
        <v>1293</v>
      </c>
      <c r="J3853" s="112" t="s">
        <v>3286</v>
      </c>
      <c r="K3853" s="112" t="s">
        <v>3438</v>
      </c>
      <c r="L3853" s="116">
        <v>-462</v>
      </c>
    </row>
    <row r="3854" spans="1:12" hidden="1" outlineLevel="1" collapsed="1" x14ac:dyDescent="0.35">
      <c r="A3854" s="112" t="s">
        <v>3283</v>
      </c>
      <c r="B3854" s="112" t="s">
        <v>3298</v>
      </c>
      <c r="C3854" s="112" t="s">
        <v>679</v>
      </c>
      <c r="D3854" s="113">
        <v>10347962</v>
      </c>
      <c r="E3854" s="115">
        <v>43923</v>
      </c>
      <c r="F3854" s="114">
        <v>202101</v>
      </c>
      <c r="G3854" s="112" t="s">
        <v>1091</v>
      </c>
      <c r="H3854" s="112" t="s">
        <v>1016</v>
      </c>
      <c r="I3854" s="112" t="s">
        <v>2337</v>
      </c>
      <c r="J3854" s="112" t="s">
        <v>3299</v>
      </c>
      <c r="K3854" s="112" t="s">
        <v>3439</v>
      </c>
      <c r="L3854" s="116">
        <v>-5.87</v>
      </c>
    </row>
    <row r="3855" spans="1:12" hidden="1" outlineLevel="1" collapsed="1" x14ac:dyDescent="0.35">
      <c r="A3855" s="112" t="s">
        <v>3283</v>
      </c>
      <c r="B3855" s="112" t="s">
        <v>3298</v>
      </c>
      <c r="C3855" s="112" t="s">
        <v>679</v>
      </c>
      <c r="D3855" s="113">
        <v>10348115</v>
      </c>
      <c r="E3855" s="115">
        <v>43929</v>
      </c>
      <c r="F3855" s="114">
        <v>202101</v>
      </c>
      <c r="G3855" s="112" t="s">
        <v>1091</v>
      </c>
      <c r="H3855" s="112" t="s">
        <v>1016</v>
      </c>
      <c r="I3855" s="112" t="s">
        <v>2337</v>
      </c>
      <c r="J3855" s="112" t="s">
        <v>3299</v>
      </c>
      <c r="K3855" s="112" t="s">
        <v>3440</v>
      </c>
      <c r="L3855" s="116">
        <v>-247</v>
      </c>
    </row>
    <row r="3856" spans="1:12" hidden="1" outlineLevel="1" collapsed="1" x14ac:dyDescent="0.35">
      <c r="A3856" s="112" t="s">
        <v>3283</v>
      </c>
      <c r="B3856" s="112" t="s">
        <v>3298</v>
      </c>
      <c r="C3856" s="112" t="s">
        <v>679</v>
      </c>
      <c r="D3856" s="113">
        <v>10348115</v>
      </c>
      <c r="E3856" s="115">
        <v>43929</v>
      </c>
      <c r="F3856" s="114">
        <v>202101</v>
      </c>
      <c r="G3856" s="112" t="s">
        <v>1091</v>
      </c>
      <c r="H3856" s="112" t="s">
        <v>1016</v>
      </c>
      <c r="I3856" s="112" t="s">
        <v>2337</v>
      </c>
      <c r="J3856" s="112" t="s">
        <v>3299</v>
      </c>
      <c r="K3856" s="112" t="s">
        <v>3441</v>
      </c>
      <c r="L3856" s="116">
        <v>-247</v>
      </c>
    </row>
    <row r="3857" spans="1:12" hidden="1" outlineLevel="1" collapsed="1" x14ac:dyDescent="0.35">
      <c r="A3857" s="112" t="s">
        <v>3283</v>
      </c>
      <c r="B3857" s="112" t="s">
        <v>910</v>
      </c>
      <c r="C3857" s="112" t="s">
        <v>679</v>
      </c>
      <c r="D3857" s="113">
        <v>10347962</v>
      </c>
      <c r="E3857" s="115">
        <v>43923</v>
      </c>
      <c r="F3857" s="114">
        <v>202101</v>
      </c>
      <c r="G3857" s="112" t="s">
        <v>1091</v>
      </c>
      <c r="H3857" s="112" t="s">
        <v>1016</v>
      </c>
      <c r="I3857" s="112" t="s">
        <v>1293</v>
      </c>
      <c r="J3857" s="112" t="s">
        <v>3286</v>
      </c>
      <c r="K3857" s="112" t="s">
        <v>3442</v>
      </c>
      <c r="L3857" s="116">
        <v>-1848</v>
      </c>
    </row>
    <row r="3858" spans="1:12" hidden="1" outlineLevel="1" collapsed="1" x14ac:dyDescent="0.35">
      <c r="A3858" s="112" t="s">
        <v>3283</v>
      </c>
      <c r="B3858" s="112" t="s">
        <v>910</v>
      </c>
      <c r="C3858" s="112" t="s">
        <v>679</v>
      </c>
      <c r="D3858" s="113">
        <v>10347962</v>
      </c>
      <c r="E3858" s="115">
        <v>43923</v>
      </c>
      <c r="F3858" s="114">
        <v>202101</v>
      </c>
      <c r="G3858" s="112" t="s">
        <v>1091</v>
      </c>
      <c r="H3858" s="112" t="s">
        <v>1016</v>
      </c>
      <c r="I3858" s="112" t="s">
        <v>1293</v>
      </c>
      <c r="J3858" s="112" t="s">
        <v>3286</v>
      </c>
      <c r="K3858" s="112" t="s">
        <v>3443</v>
      </c>
      <c r="L3858" s="116">
        <v>-103</v>
      </c>
    </row>
    <row r="3859" spans="1:12" hidden="1" outlineLevel="1" collapsed="1" x14ac:dyDescent="0.35">
      <c r="A3859" s="112" t="s">
        <v>3283</v>
      </c>
      <c r="B3859" s="112" t="s">
        <v>910</v>
      </c>
      <c r="C3859" s="112" t="s">
        <v>679</v>
      </c>
      <c r="D3859" s="113">
        <v>10347962</v>
      </c>
      <c r="E3859" s="115">
        <v>43923</v>
      </c>
      <c r="F3859" s="114">
        <v>202101</v>
      </c>
      <c r="G3859" s="112" t="s">
        <v>1091</v>
      </c>
      <c r="H3859" s="112" t="s">
        <v>1016</v>
      </c>
      <c r="I3859" s="112" t="s">
        <v>1293</v>
      </c>
      <c r="J3859" s="112" t="s">
        <v>3286</v>
      </c>
      <c r="K3859" s="112" t="s">
        <v>3444</v>
      </c>
      <c r="L3859" s="116">
        <v>-206</v>
      </c>
    </row>
    <row r="3860" spans="1:12" hidden="1" outlineLevel="1" collapsed="1" x14ac:dyDescent="0.35">
      <c r="A3860" s="112" t="s">
        <v>3283</v>
      </c>
      <c r="B3860" s="112" t="s">
        <v>910</v>
      </c>
      <c r="C3860" s="112" t="s">
        <v>679</v>
      </c>
      <c r="D3860" s="113">
        <v>10347962</v>
      </c>
      <c r="E3860" s="115">
        <v>43923</v>
      </c>
      <c r="F3860" s="114">
        <v>202101</v>
      </c>
      <c r="G3860" s="112" t="s">
        <v>1091</v>
      </c>
      <c r="H3860" s="112" t="s">
        <v>1016</v>
      </c>
      <c r="I3860" s="112" t="s">
        <v>1293</v>
      </c>
      <c r="J3860" s="112" t="s">
        <v>3286</v>
      </c>
      <c r="K3860" s="112" t="s">
        <v>3445</v>
      </c>
      <c r="L3860" s="116">
        <v>-462</v>
      </c>
    </row>
    <row r="3861" spans="1:12" hidden="1" outlineLevel="1" collapsed="1" x14ac:dyDescent="0.35">
      <c r="A3861" s="112" t="s">
        <v>3283</v>
      </c>
      <c r="B3861" s="112" t="s">
        <v>910</v>
      </c>
      <c r="C3861" s="112" t="s">
        <v>679</v>
      </c>
      <c r="D3861" s="113">
        <v>10347962</v>
      </c>
      <c r="E3861" s="115">
        <v>43923</v>
      </c>
      <c r="F3861" s="114">
        <v>202101</v>
      </c>
      <c r="G3861" s="112" t="s">
        <v>1091</v>
      </c>
      <c r="H3861" s="112" t="s">
        <v>1016</v>
      </c>
      <c r="I3861" s="112" t="s">
        <v>1293</v>
      </c>
      <c r="J3861" s="112" t="s">
        <v>3286</v>
      </c>
      <c r="K3861" s="112" t="s">
        <v>3446</v>
      </c>
      <c r="L3861" s="116">
        <v>-103</v>
      </c>
    </row>
    <row r="3862" spans="1:12" hidden="1" outlineLevel="1" collapsed="1" x14ac:dyDescent="0.35">
      <c r="A3862" s="112" t="s">
        <v>3283</v>
      </c>
      <c r="B3862" s="112" t="s">
        <v>3298</v>
      </c>
      <c r="C3862" s="112" t="s">
        <v>679</v>
      </c>
      <c r="D3862" s="113">
        <v>10348115</v>
      </c>
      <c r="E3862" s="115">
        <v>43929</v>
      </c>
      <c r="F3862" s="114">
        <v>202101</v>
      </c>
      <c r="G3862" s="112" t="s">
        <v>1091</v>
      </c>
      <c r="H3862" s="112" t="s">
        <v>1016</v>
      </c>
      <c r="I3862" s="112" t="s">
        <v>2337</v>
      </c>
      <c r="J3862" s="112" t="s">
        <v>3299</v>
      </c>
      <c r="K3862" s="112" t="s">
        <v>3447</v>
      </c>
      <c r="L3862" s="116">
        <v>-247</v>
      </c>
    </row>
    <row r="3863" spans="1:12" hidden="1" outlineLevel="1" collapsed="1" x14ac:dyDescent="0.35">
      <c r="A3863" s="112" t="s">
        <v>3283</v>
      </c>
      <c r="B3863" s="112" t="s">
        <v>910</v>
      </c>
      <c r="C3863" s="112" t="s">
        <v>1095</v>
      </c>
      <c r="D3863" s="113">
        <v>10348451</v>
      </c>
      <c r="E3863" s="115">
        <v>43949</v>
      </c>
      <c r="F3863" s="114">
        <v>202101</v>
      </c>
      <c r="G3863" s="112" t="s">
        <v>1091</v>
      </c>
      <c r="H3863" s="112" t="s">
        <v>1015</v>
      </c>
      <c r="I3863" s="112" t="s">
        <v>1096</v>
      </c>
      <c r="J3863" s="112" t="s">
        <v>3286</v>
      </c>
      <c r="K3863" s="112" t="s">
        <v>1098</v>
      </c>
      <c r="L3863" s="116">
        <v>271.86</v>
      </c>
    </row>
    <row r="3864" spans="1:12" hidden="1" outlineLevel="1" collapsed="1" x14ac:dyDescent="0.35">
      <c r="A3864" s="112" t="s">
        <v>3283</v>
      </c>
      <c r="B3864" s="112" t="s">
        <v>912</v>
      </c>
      <c r="C3864" s="112" t="s">
        <v>1095</v>
      </c>
      <c r="D3864" s="113">
        <v>10348451</v>
      </c>
      <c r="E3864" s="115">
        <v>43949</v>
      </c>
      <c r="F3864" s="114">
        <v>202101</v>
      </c>
      <c r="G3864" s="112" t="s">
        <v>1091</v>
      </c>
      <c r="H3864" s="112" t="s">
        <v>1015</v>
      </c>
      <c r="I3864" s="112" t="s">
        <v>1096</v>
      </c>
      <c r="J3864" s="112" t="s">
        <v>3292</v>
      </c>
      <c r="K3864" s="112" t="s">
        <v>1098</v>
      </c>
      <c r="L3864" s="116">
        <v>262.10000000000002</v>
      </c>
    </row>
    <row r="3865" spans="1:12" hidden="1" outlineLevel="1" collapsed="1" x14ac:dyDescent="0.35">
      <c r="A3865" s="112" t="s">
        <v>3283</v>
      </c>
      <c r="B3865" s="112" t="s">
        <v>3298</v>
      </c>
      <c r="C3865" s="112" t="s">
        <v>679</v>
      </c>
      <c r="D3865" s="113">
        <v>10348115</v>
      </c>
      <c r="E3865" s="115">
        <v>43929</v>
      </c>
      <c r="F3865" s="114">
        <v>202101</v>
      </c>
      <c r="G3865" s="112" t="s">
        <v>1091</v>
      </c>
      <c r="H3865" s="112" t="s">
        <v>1016</v>
      </c>
      <c r="I3865" s="112" t="s">
        <v>2337</v>
      </c>
      <c r="J3865" s="112" t="s">
        <v>3299</v>
      </c>
      <c r="K3865" s="112" t="s">
        <v>3448</v>
      </c>
      <c r="L3865" s="116">
        <v>-247</v>
      </c>
    </row>
    <row r="3866" spans="1:12" outlineLevel="1" collapsed="1" x14ac:dyDescent="0.35">
      <c r="A3866" s="112" t="s">
        <v>3283</v>
      </c>
      <c r="B3866" s="112" t="s">
        <v>911</v>
      </c>
      <c r="C3866" s="112" t="s">
        <v>695</v>
      </c>
      <c r="D3866" s="113">
        <v>10347981</v>
      </c>
      <c r="E3866" s="115">
        <v>43924</v>
      </c>
      <c r="F3866" s="114">
        <v>202101</v>
      </c>
      <c r="G3866" s="112" t="s">
        <v>1091</v>
      </c>
      <c r="H3866" s="112" t="s">
        <v>1015</v>
      </c>
      <c r="I3866" s="112" t="s">
        <v>763</v>
      </c>
      <c r="J3866" s="112" t="s">
        <v>3284</v>
      </c>
      <c r="K3866" s="112" t="s">
        <v>3449</v>
      </c>
      <c r="L3866" s="116">
        <v>-800</v>
      </c>
    </row>
    <row r="3867" spans="1:12" hidden="1" outlineLevel="1" collapsed="1" x14ac:dyDescent="0.35">
      <c r="A3867" s="112" t="s">
        <v>3283</v>
      </c>
      <c r="B3867" s="112" t="s">
        <v>910</v>
      </c>
      <c r="C3867" s="112" t="s">
        <v>679</v>
      </c>
      <c r="D3867" s="113">
        <v>10347984</v>
      </c>
      <c r="E3867" s="115">
        <v>43924</v>
      </c>
      <c r="F3867" s="114">
        <v>202101</v>
      </c>
      <c r="G3867" s="112" t="s">
        <v>1091</v>
      </c>
      <c r="H3867" s="112" t="s">
        <v>1016</v>
      </c>
      <c r="I3867" s="112" t="s">
        <v>1293</v>
      </c>
      <c r="J3867" s="112" t="s">
        <v>3286</v>
      </c>
      <c r="K3867" s="112" t="s">
        <v>3450</v>
      </c>
      <c r="L3867" s="116">
        <v>-234</v>
      </c>
    </row>
    <row r="3868" spans="1:12" hidden="1" outlineLevel="1" collapsed="1" x14ac:dyDescent="0.35">
      <c r="A3868" s="112" t="s">
        <v>3283</v>
      </c>
      <c r="B3868" s="112" t="s">
        <v>910</v>
      </c>
      <c r="C3868" s="112" t="s">
        <v>679</v>
      </c>
      <c r="D3868" s="113">
        <v>10347984</v>
      </c>
      <c r="E3868" s="115">
        <v>43924</v>
      </c>
      <c r="F3868" s="114">
        <v>202101</v>
      </c>
      <c r="G3868" s="112" t="s">
        <v>1091</v>
      </c>
      <c r="H3868" s="112" t="s">
        <v>1016</v>
      </c>
      <c r="I3868" s="112" t="s">
        <v>1293</v>
      </c>
      <c r="J3868" s="112" t="s">
        <v>3286</v>
      </c>
      <c r="K3868" s="112" t="s">
        <v>3451</v>
      </c>
      <c r="L3868" s="116">
        <v>-96</v>
      </c>
    </row>
    <row r="3869" spans="1:12" hidden="1" outlineLevel="1" collapsed="1" x14ac:dyDescent="0.35">
      <c r="A3869" s="112" t="s">
        <v>3283</v>
      </c>
      <c r="B3869" s="112" t="s">
        <v>910</v>
      </c>
      <c r="C3869" s="112" t="s">
        <v>679</v>
      </c>
      <c r="D3869" s="113">
        <v>10347984</v>
      </c>
      <c r="E3869" s="115">
        <v>43924</v>
      </c>
      <c r="F3869" s="114">
        <v>202101</v>
      </c>
      <c r="G3869" s="112" t="s">
        <v>1091</v>
      </c>
      <c r="H3869" s="112" t="s">
        <v>1016</v>
      </c>
      <c r="I3869" s="112" t="s">
        <v>1293</v>
      </c>
      <c r="J3869" s="112" t="s">
        <v>3286</v>
      </c>
      <c r="K3869" s="112" t="s">
        <v>3452</v>
      </c>
      <c r="L3869" s="116">
        <v>-116</v>
      </c>
    </row>
    <row r="3870" spans="1:12" hidden="1" outlineLevel="1" collapsed="1" x14ac:dyDescent="0.35">
      <c r="A3870" s="112" t="s">
        <v>3283</v>
      </c>
      <c r="B3870" s="112" t="s">
        <v>3298</v>
      </c>
      <c r="C3870" s="112" t="s">
        <v>679</v>
      </c>
      <c r="D3870" s="113">
        <v>10348115</v>
      </c>
      <c r="E3870" s="115">
        <v>43929</v>
      </c>
      <c r="F3870" s="114">
        <v>202101</v>
      </c>
      <c r="G3870" s="112" t="s">
        <v>1091</v>
      </c>
      <c r="H3870" s="112" t="s">
        <v>1016</v>
      </c>
      <c r="I3870" s="112" t="s">
        <v>2337</v>
      </c>
      <c r="J3870" s="112" t="s">
        <v>3299</v>
      </c>
      <c r="K3870" s="112" t="s">
        <v>3453</v>
      </c>
      <c r="L3870" s="116">
        <v>-247</v>
      </c>
    </row>
    <row r="3871" spans="1:12" hidden="1" outlineLevel="1" collapsed="1" x14ac:dyDescent="0.35">
      <c r="A3871" s="112" t="s">
        <v>3283</v>
      </c>
      <c r="B3871" s="112" t="s">
        <v>910</v>
      </c>
      <c r="C3871" s="112" t="s">
        <v>679</v>
      </c>
      <c r="D3871" s="113">
        <v>10348446</v>
      </c>
      <c r="E3871" s="115">
        <v>43945</v>
      </c>
      <c r="F3871" s="114">
        <v>202101</v>
      </c>
      <c r="G3871" s="112" t="s">
        <v>1091</v>
      </c>
      <c r="H3871" s="112" t="s">
        <v>1016</v>
      </c>
      <c r="I3871" s="112" t="s">
        <v>1293</v>
      </c>
      <c r="J3871" s="112" t="s">
        <v>3286</v>
      </c>
      <c r="K3871" s="112" t="s">
        <v>3454</v>
      </c>
      <c r="L3871" s="116">
        <v>-206</v>
      </c>
    </row>
    <row r="3872" spans="1:12" hidden="1" outlineLevel="1" collapsed="1" x14ac:dyDescent="0.35">
      <c r="A3872" s="112" t="s">
        <v>3283</v>
      </c>
      <c r="B3872" s="112" t="s">
        <v>910</v>
      </c>
      <c r="C3872" s="112" t="s">
        <v>1095</v>
      </c>
      <c r="D3872" s="113">
        <v>10348451</v>
      </c>
      <c r="E3872" s="115">
        <v>43949</v>
      </c>
      <c r="F3872" s="114">
        <v>202101</v>
      </c>
      <c r="G3872" s="112" t="s">
        <v>1091</v>
      </c>
      <c r="H3872" s="112" t="s">
        <v>1015</v>
      </c>
      <c r="I3872" s="112" t="s">
        <v>1101</v>
      </c>
      <c r="J3872" s="112" t="s">
        <v>3286</v>
      </c>
      <c r="K3872" s="112" t="s">
        <v>1098</v>
      </c>
      <c r="L3872" s="116">
        <v>380.18</v>
      </c>
    </row>
    <row r="3873" spans="1:12" hidden="1" outlineLevel="1" collapsed="1" x14ac:dyDescent="0.35">
      <c r="A3873" s="112" t="s">
        <v>3283</v>
      </c>
      <c r="B3873" s="112" t="s">
        <v>910</v>
      </c>
      <c r="C3873" s="112" t="s">
        <v>1095</v>
      </c>
      <c r="D3873" s="113">
        <v>10348451</v>
      </c>
      <c r="E3873" s="115">
        <v>43949</v>
      </c>
      <c r="F3873" s="114">
        <v>202101</v>
      </c>
      <c r="G3873" s="112" t="s">
        <v>1091</v>
      </c>
      <c r="H3873" s="112" t="s">
        <v>1015</v>
      </c>
      <c r="I3873" s="112" t="s">
        <v>1096</v>
      </c>
      <c r="J3873" s="112" t="s">
        <v>3286</v>
      </c>
      <c r="K3873" s="112" t="s">
        <v>1098</v>
      </c>
      <c r="L3873" s="116">
        <v>167.31</v>
      </c>
    </row>
    <row r="3874" spans="1:12" hidden="1" outlineLevel="1" collapsed="1" x14ac:dyDescent="0.35">
      <c r="A3874" s="112" t="s">
        <v>3283</v>
      </c>
      <c r="B3874" s="112" t="s">
        <v>3298</v>
      </c>
      <c r="C3874" s="112" t="s">
        <v>679</v>
      </c>
      <c r="D3874" s="113">
        <v>10347984</v>
      </c>
      <c r="E3874" s="115">
        <v>43924</v>
      </c>
      <c r="F3874" s="114">
        <v>202101</v>
      </c>
      <c r="G3874" s="112" t="s">
        <v>1091</v>
      </c>
      <c r="H3874" s="112" t="s">
        <v>1016</v>
      </c>
      <c r="I3874" s="112" t="s">
        <v>2337</v>
      </c>
      <c r="J3874" s="112" t="s">
        <v>3299</v>
      </c>
      <c r="K3874" s="112" t="s">
        <v>3455</v>
      </c>
      <c r="L3874" s="116">
        <v>-5.87</v>
      </c>
    </row>
    <row r="3875" spans="1:12" hidden="1" outlineLevel="1" collapsed="1" x14ac:dyDescent="0.35">
      <c r="A3875" s="112" t="s">
        <v>3283</v>
      </c>
      <c r="B3875" s="112" t="s">
        <v>910</v>
      </c>
      <c r="C3875" s="112" t="s">
        <v>679</v>
      </c>
      <c r="D3875" s="113">
        <v>10347984</v>
      </c>
      <c r="E3875" s="115">
        <v>43924</v>
      </c>
      <c r="F3875" s="114">
        <v>202101</v>
      </c>
      <c r="G3875" s="112" t="s">
        <v>1091</v>
      </c>
      <c r="H3875" s="112" t="s">
        <v>1016</v>
      </c>
      <c r="I3875" s="112" t="s">
        <v>819</v>
      </c>
      <c r="J3875" s="112" t="s">
        <v>3286</v>
      </c>
      <c r="K3875" s="112" t="s">
        <v>3456</v>
      </c>
      <c r="L3875" s="116">
        <v>-184</v>
      </c>
    </row>
    <row r="3876" spans="1:12" hidden="1" outlineLevel="1" collapsed="1" x14ac:dyDescent="0.35">
      <c r="A3876" s="112" t="s">
        <v>3283</v>
      </c>
      <c r="B3876" s="112" t="s">
        <v>910</v>
      </c>
      <c r="C3876" s="112" t="s">
        <v>679</v>
      </c>
      <c r="D3876" s="113">
        <v>10348446</v>
      </c>
      <c r="E3876" s="115">
        <v>43945</v>
      </c>
      <c r="F3876" s="114">
        <v>202101</v>
      </c>
      <c r="G3876" s="112" t="s">
        <v>1091</v>
      </c>
      <c r="H3876" s="112" t="s">
        <v>1016</v>
      </c>
      <c r="I3876" s="112" t="s">
        <v>1293</v>
      </c>
      <c r="J3876" s="112" t="s">
        <v>3286</v>
      </c>
      <c r="K3876" s="112" t="s">
        <v>3457</v>
      </c>
      <c r="L3876" s="116">
        <v>-462</v>
      </c>
    </row>
    <row r="3877" spans="1:12" hidden="1" outlineLevel="1" collapsed="1" x14ac:dyDescent="0.35">
      <c r="A3877" s="112" t="s">
        <v>3283</v>
      </c>
      <c r="B3877" s="112" t="s">
        <v>912</v>
      </c>
      <c r="C3877" s="112" t="s">
        <v>1095</v>
      </c>
      <c r="D3877" s="113">
        <v>10348451</v>
      </c>
      <c r="E3877" s="115">
        <v>43949</v>
      </c>
      <c r="F3877" s="114">
        <v>202101</v>
      </c>
      <c r="G3877" s="112" t="s">
        <v>1091</v>
      </c>
      <c r="H3877" s="112" t="s">
        <v>1015</v>
      </c>
      <c r="I3877" s="112" t="s">
        <v>1096</v>
      </c>
      <c r="J3877" s="112" t="s">
        <v>3292</v>
      </c>
      <c r="K3877" s="112" t="s">
        <v>1098</v>
      </c>
      <c r="L3877" s="116">
        <v>310.49</v>
      </c>
    </row>
    <row r="3878" spans="1:12" hidden="1" outlineLevel="1" collapsed="1" x14ac:dyDescent="0.35">
      <c r="A3878" s="112" t="s">
        <v>3283</v>
      </c>
      <c r="B3878" s="112" t="s">
        <v>910</v>
      </c>
      <c r="C3878" s="112" t="s">
        <v>679</v>
      </c>
      <c r="D3878" s="113">
        <v>10347984</v>
      </c>
      <c r="E3878" s="115">
        <v>43924</v>
      </c>
      <c r="F3878" s="114">
        <v>202101</v>
      </c>
      <c r="G3878" s="112" t="s">
        <v>1091</v>
      </c>
      <c r="H3878" s="112" t="s">
        <v>1016</v>
      </c>
      <c r="I3878" s="112" t="s">
        <v>819</v>
      </c>
      <c r="J3878" s="112" t="s">
        <v>3286</v>
      </c>
      <c r="K3878" s="112" t="s">
        <v>3458</v>
      </c>
      <c r="L3878" s="116">
        <v>-138</v>
      </c>
    </row>
    <row r="3879" spans="1:12" hidden="1" outlineLevel="1" collapsed="1" x14ac:dyDescent="0.35">
      <c r="A3879" s="112" t="s">
        <v>3283</v>
      </c>
      <c r="B3879" s="112" t="s">
        <v>3298</v>
      </c>
      <c r="C3879" s="112" t="s">
        <v>679</v>
      </c>
      <c r="D3879" s="113">
        <v>10348115</v>
      </c>
      <c r="E3879" s="115">
        <v>43929</v>
      </c>
      <c r="F3879" s="114">
        <v>202101</v>
      </c>
      <c r="G3879" s="112" t="s">
        <v>1091</v>
      </c>
      <c r="H3879" s="112" t="s">
        <v>1016</v>
      </c>
      <c r="I3879" s="112" t="s">
        <v>2337</v>
      </c>
      <c r="J3879" s="112" t="s">
        <v>3299</v>
      </c>
      <c r="K3879" s="112" t="s">
        <v>3459</v>
      </c>
      <c r="L3879" s="116">
        <v>-247</v>
      </c>
    </row>
    <row r="3880" spans="1:12" hidden="1" outlineLevel="1" collapsed="1" x14ac:dyDescent="0.35">
      <c r="A3880" s="112" t="s">
        <v>3283</v>
      </c>
      <c r="B3880" s="112" t="s">
        <v>3298</v>
      </c>
      <c r="C3880" s="112" t="s">
        <v>679</v>
      </c>
      <c r="D3880" s="113">
        <v>10348115</v>
      </c>
      <c r="E3880" s="115">
        <v>43929</v>
      </c>
      <c r="F3880" s="114">
        <v>202101</v>
      </c>
      <c r="G3880" s="112" t="s">
        <v>1091</v>
      </c>
      <c r="H3880" s="112" t="s">
        <v>1016</v>
      </c>
      <c r="I3880" s="112" t="s">
        <v>2337</v>
      </c>
      <c r="J3880" s="112" t="s">
        <v>3299</v>
      </c>
      <c r="K3880" s="112" t="s">
        <v>3460</v>
      </c>
      <c r="L3880" s="116">
        <v>-247</v>
      </c>
    </row>
    <row r="3881" spans="1:12" hidden="1" outlineLevel="1" collapsed="1" x14ac:dyDescent="0.35">
      <c r="A3881" s="112" t="s">
        <v>3283</v>
      </c>
      <c r="B3881" s="112" t="s">
        <v>910</v>
      </c>
      <c r="C3881" s="112" t="s">
        <v>679</v>
      </c>
      <c r="D3881" s="113">
        <v>10347962</v>
      </c>
      <c r="E3881" s="115">
        <v>43923</v>
      </c>
      <c r="F3881" s="114">
        <v>202101</v>
      </c>
      <c r="G3881" s="112" t="s">
        <v>1091</v>
      </c>
      <c r="H3881" s="112" t="s">
        <v>1016</v>
      </c>
      <c r="I3881" s="112" t="s">
        <v>1293</v>
      </c>
      <c r="J3881" s="112" t="s">
        <v>3286</v>
      </c>
      <c r="K3881" s="112" t="s">
        <v>3461</v>
      </c>
      <c r="L3881" s="116">
        <v>-220.8</v>
      </c>
    </row>
    <row r="3882" spans="1:12" hidden="1" outlineLevel="1" collapsed="1" x14ac:dyDescent="0.35">
      <c r="A3882" s="112" t="s">
        <v>3283</v>
      </c>
      <c r="B3882" s="112" t="s">
        <v>912</v>
      </c>
      <c r="C3882" s="112" t="s">
        <v>1095</v>
      </c>
      <c r="D3882" s="113">
        <v>10348451</v>
      </c>
      <c r="E3882" s="115">
        <v>43949</v>
      </c>
      <c r="F3882" s="114">
        <v>202101</v>
      </c>
      <c r="G3882" s="112" t="s">
        <v>1091</v>
      </c>
      <c r="H3882" s="112" t="s">
        <v>1015</v>
      </c>
      <c r="I3882" s="112" t="s">
        <v>1116</v>
      </c>
      <c r="J3882" s="112" t="s">
        <v>3288</v>
      </c>
      <c r="K3882" s="112" t="s">
        <v>1098</v>
      </c>
      <c r="L3882" s="116">
        <v>3435.88</v>
      </c>
    </row>
    <row r="3883" spans="1:12" hidden="1" outlineLevel="1" collapsed="1" x14ac:dyDescent="0.35">
      <c r="A3883" s="112" t="s">
        <v>3283</v>
      </c>
      <c r="B3883" s="112" t="s">
        <v>910</v>
      </c>
      <c r="C3883" s="112" t="s">
        <v>695</v>
      </c>
      <c r="D3883" s="113">
        <v>10347981</v>
      </c>
      <c r="E3883" s="115">
        <v>43924</v>
      </c>
      <c r="F3883" s="114">
        <v>202101</v>
      </c>
      <c r="G3883" s="112" t="s">
        <v>1091</v>
      </c>
      <c r="H3883" s="112" t="s">
        <v>1015</v>
      </c>
      <c r="I3883" s="112" t="s">
        <v>763</v>
      </c>
      <c r="J3883" s="112" t="s">
        <v>3462</v>
      </c>
      <c r="K3883" s="112" t="s">
        <v>3463</v>
      </c>
      <c r="L3883" s="116">
        <v>-1650</v>
      </c>
    </row>
    <row r="3884" spans="1:12" hidden="1" outlineLevel="1" collapsed="1" x14ac:dyDescent="0.35">
      <c r="A3884" s="112" t="s">
        <v>3283</v>
      </c>
      <c r="B3884" s="112" t="s">
        <v>912</v>
      </c>
      <c r="C3884" s="112" t="s">
        <v>1095</v>
      </c>
      <c r="D3884" s="113">
        <v>10348451</v>
      </c>
      <c r="E3884" s="115">
        <v>43949</v>
      </c>
      <c r="F3884" s="114">
        <v>202101</v>
      </c>
      <c r="G3884" s="112" t="s">
        <v>1091</v>
      </c>
      <c r="H3884" s="112" t="s">
        <v>1015</v>
      </c>
      <c r="I3884" s="112" t="s">
        <v>1096</v>
      </c>
      <c r="J3884" s="112" t="s">
        <v>3292</v>
      </c>
      <c r="K3884" s="112" t="s">
        <v>1098</v>
      </c>
      <c r="L3884" s="116">
        <v>207.88</v>
      </c>
    </row>
    <row r="3885" spans="1:12" hidden="1" outlineLevel="1" collapsed="1" x14ac:dyDescent="0.35">
      <c r="A3885" s="112" t="s">
        <v>3283</v>
      </c>
      <c r="B3885" s="112" t="s">
        <v>912</v>
      </c>
      <c r="C3885" s="112" t="s">
        <v>1095</v>
      </c>
      <c r="D3885" s="113">
        <v>10348451</v>
      </c>
      <c r="E3885" s="115">
        <v>43949</v>
      </c>
      <c r="F3885" s="114">
        <v>202101</v>
      </c>
      <c r="G3885" s="112" t="s">
        <v>1091</v>
      </c>
      <c r="H3885" s="112" t="s">
        <v>1015</v>
      </c>
      <c r="I3885" s="112" t="s">
        <v>1101</v>
      </c>
      <c r="J3885" s="112" t="s">
        <v>3288</v>
      </c>
      <c r="K3885" s="112" t="s">
        <v>1098</v>
      </c>
      <c r="L3885" s="116">
        <v>549.4</v>
      </c>
    </row>
    <row r="3886" spans="1:12" hidden="1" outlineLevel="1" collapsed="1" x14ac:dyDescent="0.35">
      <c r="A3886" s="112" t="s">
        <v>3283</v>
      </c>
      <c r="B3886" s="112" t="s">
        <v>912</v>
      </c>
      <c r="C3886" s="112" t="s">
        <v>1095</v>
      </c>
      <c r="D3886" s="113">
        <v>10348451</v>
      </c>
      <c r="E3886" s="115">
        <v>43949</v>
      </c>
      <c r="F3886" s="114">
        <v>202101</v>
      </c>
      <c r="G3886" s="112" t="s">
        <v>1091</v>
      </c>
      <c r="H3886" s="112" t="s">
        <v>1015</v>
      </c>
      <c r="I3886" s="112" t="s">
        <v>1096</v>
      </c>
      <c r="J3886" s="112" t="s">
        <v>3292</v>
      </c>
      <c r="K3886" s="112" t="s">
        <v>1098</v>
      </c>
      <c r="L3886" s="116">
        <v>184.22</v>
      </c>
    </row>
    <row r="3887" spans="1:12" hidden="1" outlineLevel="1" collapsed="1" x14ac:dyDescent="0.35">
      <c r="A3887" s="112" t="s">
        <v>3283</v>
      </c>
      <c r="B3887" s="112" t="s">
        <v>912</v>
      </c>
      <c r="C3887" s="112" t="s">
        <v>1095</v>
      </c>
      <c r="D3887" s="113">
        <v>10348451</v>
      </c>
      <c r="E3887" s="115">
        <v>43949</v>
      </c>
      <c r="F3887" s="114">
        <v>202101</v>
      </c>
      <c r="G3887" s="112" t="s">
        <v>1091</v>
      </c>
      <c r="H3887" s="112" t="s">
        <v>1015</v>
      </c>
      <c r="I3887" s="112" t="s">
        <v>1096</v>
      </c>
      <c r="J3887" s="112" t="s">
        <v>3292</v>
      </c>
      <c r="K3887" s="112" t="s">
        <v>1098</v>
      </c>
      <c r="L3887" s="116">
        <v>186.57</v>
      </c>
    </row>
    <row r="3888" spans="1:12" hidden="1" outlineLevel="1" collapsed="1" x14ac:dyDescent="0.35">
      <c r="A3888" s="112" t="s">
        <v>3283</v>
      </c>
      <c r="B3888" s="112" t="s">
        <v>912</v>
      </c>
      <c r="C3888" s="112" t="s">
        <v>1095</v>
      </c>
      <c r="D3888" s="113">
        <v>10348451</v>
      </c>
      <c r="E3888" s="115">
        <v>43949</v>
      </c>
      <c r="F3888" s="114">
        <v>202101</v>
      </c>
      <c r="G3888" s="112" t="s">
        <v>1091</v>
      </c>
      <c r="H3888" s="112" t="s">
        <v>1015</v>
      </c>
      <c r="I3888" s="112" t="s">
        <v>1101</v>
      </c>
      <c r="J3888" s="112" t="s">
        <v>3292</v>
      </c>
      <c r="K3888" s="112" t="s">
        <v>1098</v>
      </c>
      <c r="L3888" s="116">
        <v>362.62</v>
      </c>
    </row>
    <row r="3889" spans="1:12" hidden="1" outlineLevel="1" collapsed="1" x14ac:dyDescent="0.35">
      <c r="A3889" s="112" t="s">
        <v>3283</v>
      </c>
      <c r="B3889" s="112" t="s">
        <v>910</v>
      </c>
      <c r="C3889" s="112" t="s">
        <v>1095</v>
      </c>
      <c r="D3889" s="113">
        <v>10348451</v>
      </c>
      <c r="E3889" s="115">
        <v>43949</v>
      </c>
      <c r="F3889" s="114">
        <v>202101</v>
      </c>
      <c r="G3889" s="112" t="s">
        <v>1091</v>
      </c>
      <c r="H3889" s="112" t="s">
        <v>1015</v>
      </c>
      <c r="I3889" s="112" t="s">
        <v>1101</v>
      </c>
      <c r="J3889" s="112" t="s">
        <v>3286</v>
      </c>
      <c r="K3889" s="112" t="s">
        <v>1098</v>
      </c>
      <c r="L3889" s="116">
        <v>437.72</v>
      </c>
    </row>
    <row r="3890" spans="1:12" hidden="1" outlineLevel="1" collapsed="1" x14ac:dyDescent="0.35">
      <c r="A3890" s="112" t="s">
        <v>3283</v>
      </c>
      <c r="B3890" s="112" t="s">
        <v>910</v>
      </c>
      <c r="C3890" s="112" t="s">
        <v>1095</v>
      </c>
      <c r="D3890" s="113">
        <v>10348451</v>
      </c>
      <c r="E3890" s="115">
        <v>43949</v>
      </c>
      <c r="F3890" s="114">
        <v>202101</v>
      </c>
      <c r="G3890" s="112" t="s">
        <v>1091</v>
      </c>
      <c r="H3890" s="112" t="s">
        <v>1015</v>
      </c>
      <c r="I3890" s="112" t="s">
        <v>1096</v>
      </c>
      <c r="J3890" s="112" t="s">
        <v>3286</v>
      </c>
      <c r="K3890" s="112" t="s">
        <v>1098</v>
      </c>
      <c r="L3890" s="116">
        <v>210.79</v>
      </c>
    </row>
    <row r="3891" spans="1:12" hidden="1" outlineLevel="1" collapsed="1" x14ac:dyDescent="0.35">
      <c r="A3891" s="112" t="s">
        <v>3283</v>
      </c>
      <c r="B3891" s="112" t="s">
        <v>3298</v>
      </c>
      <c r="C3891" s="112" t="s">
        <v>679</v>
      </c>
      <c r="D3891" s="113">
        <v>10347962</v>
      </c>
      <c r="E3891" s="115">
        <v>43923</v>
      </c>
      <c r="F3891" s="114">
        <v>202101</v>
      </c>
      <c r="G3891" s="112" t="s">
        <v>1091</v>
      </c>
      <c r="H3891" s="112" t="s">
        <v>1016</v>
      </c>
      <c r="I3891" s="112" t="s">
        <v>2337</v>
      </c>
      <c r="J3891" s="112" t="s">
        <v>3299</v>
      </c>
      <c r="K3891" s="112" t="s">
        <v>3464</v>
      </c>
      <c r="L3891" s="116">
        <v>-5.87</v>
      </c>
    </row>
    <row r="3892" spans="1:12" hidden="1" outlineLevel="1" collapsed="1" x14ac:dyDescent="0.35">
      <c r="A3892" s="112" t="s">
        <v>3283</v>
      </c>
      <c r="B3892" s="112" t="s">
        <v>3298</v>
      </c>
      <c r="C3892" s="112" t="s">
        <v>679</v>
      </c>
      <c r="D3892" s="113">
        <v>10347962</v>
      </c>
      <c r="E3892" s="115">
        <v>43923</v>
      </c>
      <c r="F3892" s="114">
        <v>202101</v>
      </c>
      <c r="G3892" s="112" t="s">
        <v>1091</v>
      </c>
      <c r="H3892" s="112" t="s">
        <v>1016</v>
      </c>
      <c r="I3892" s="112" t="s">
        <v>2337</v>
      </c>
      <c r="J3892" s="112" t="s">
        <v>3299</v>
      </c>
      <c r="K3892" s="112" t="s">
        <v>3465</v>
      </c>
      <c r="L3892" s="116">
        <v>-141.91999999999999</v>
      </c>
    </row>
    <row r="3893" spans="1:12" hidden="1" outlineLevel="1" collapsed="1" x14ac:dyDescent="0.35">
      <c r="A3893" s="112" t="s">
        <v>3283</v>
      </c>
      <c r="B3893" s="112" t="s">
        <v>3298</v>
      </c>
      <c r="C3893" s="112" t="s">
        <v>679</v>
      </c>
      <c r="D3893" s="113">
        <v>10347962</v>
      </c>
      <c r="E3893" s="115">
        <v>43923</v>
      </c>
      <c r="F3893" s="114">
        <v>202101</v>
      </c>
      <c r="G3893" s="112" t="s">
        <v>1091</v>
      </c>
      <c r="H3893" s="112" t="s">
        <v>1016</v>
      </c>
      <c r="I3893" s="112" t="s">
        <v>2337</v>
      </c>
      <c r="J3893" s="112" t="s">
        <v>3299</v>
      </c>
      <c r="K3893" s="112" t="s">
        <v>3465</v>
      </c>
      <c r="L3893" s="116">
        <v>-32.89</v>
      </c>
    </row>
    <row r="3894" spans="1:12" hidden="1" outlineLevel="1" collapsed="1" x14ac:dyDescent="0.35">
      <c r="A3894" s="112" t="s">
        <v>3283</v>
      </c>
      <c r="B3894" s="112" t="s">
        <v>910</v>
      </c>
      <c r="C3894" s="112" t="s">
        <v>679</v>
      </c>
      <c r="D3894" s="113">
        <v>10347962</v>
      </c>
      <c r="E3894" s="115">
        <v>43923</v>
      </c>
      <c r="F3894" s="114">
        <v>202101</v>
      </c>
      <c r="G3894" s="112" t="s">
        <v>1091</v>
      </c>
      <c r="H3894" s="112" t="s">
        <v>1016</v>
      </c>
      <c r="I3894" s="112" t="s">
        <v>1293</v>
      </c>
      <c r="J3894" s="112" t="s">
        <v>3286</v>
      </c>
      <c r="K3894" s="112" t="s">
        <v>3466</v>
      </c>
      <c r="L3894" s="116">
        <v>-462</v>
      </c>
    </row>
    <row r="3895" spans="1:12" hidden="1" outlineLevel="1" collapsed="1" x14ac:dyDescent="0.35">
      <c r="A3895" s="112" t="s">
        <v>3283</v>
      </c>
      <c r="B3895" s="112" t="s">
        <v>912</v>
      </c>
      <c r="C3895" s="112" t="s">
        <v>1099</v>
      </c>
      <c r="D3895" s="113">
        <v>1069610</v>
      </c>
      <c r="E3895" s="115">
        <v>43938</v>
      </c>
      <c r="F3895" s="114">
        <v>202101</v>
      </c>
      <c r="G3895" s="112" t="s">
        <v>1091</v>
      </c>
      <c r="H3895" s="112" t="s">
        <v>1015</v>
      </c>
      <c r="I3895" s="112" t="s">
        <v>763</v>
      </c>
      <c r="J3895" s="112" t="s">
        <v>3306</v>
      </c>
      <c r="K3895" s="112" t="s">
        <v>3467</v>
      </c>
      <c r="L3895" s="116">
        <v>10750</v>
      </c>
    </row>
    <row r="3896" spans="1:12" hidden="1" outlineLevel="1" collapsed="1" x14ac:dyDescent="0.35">
      <c r="A3896" s="112" t="s">
        <v>3283</v>
      </c>
      <c r="B3896" s="112" t="s">
        <v>3298</v>
      </c>
      <c r="C3896" s="112" t="s">
        <v>679</v>
      </c>
      <c r="D3896" s="113">
        <v>10347962</v>
      </c>
      <c r="E3896" s="115">
        <v>43923</v>
      </c>
      <c r="F3896" s="114">
        <v>202101</v>
      </c>
      <c r="G3896" s="112" t="s">
        <v>1091</v>
      </c>
      <c r="H3896" s="112" t="s">
        <v>1016</v>
      </c>
      <c r="I3896" s="112" t="s">
        <v>2337</v>
      </c>
      <c r="J3896" s="112" t="s">
        <v>3299</v>
      </c>
      <c r="K3896" s="112" t="s">
        <v>3468</v>
      </c>
      <c r="L3896" s="116">
        <v>-5.87</v>
      </c>
    </row>
    <row r="3897" spans="1:12" hidden="1" outlineLevel="1" collapsed="1" x14ac:dyDescent="0.35">
      <c r="A3897" s="112" t="s">
        <v>3283</v>
      </c>
      <c r="B3897" s="112" t="s">
        <v>910</v>
      </c>
      <c r="C3897" s="112" t="s">
        <v>679</v>
      </c>
      <c r="D3897" s="113">
        <v>10348115</v>
      </c>
      <c r="E3897" s="115">
        <v>43929</v>
      </c>
      <c r="F3897" s="114">
        <v>202101</v>
      </c>
      <c r="G3897" s="112" t="s">
        <v>1091</v>
      </c>
      <c r="H3897" s="112" t="s">
        <v>1016</v>
      </c>
      <c r="I3897" s="112" t="s">
        <v>1293</v>
      </c>
      <c r="J3897" s="112" t="s">
        <v>3286</v>
      </c>
      <c r="K3897" s="112" t="s">
        <v>3469</v>
      </c>
      <c r="L3897" s="116">
        <v>-2028</v>
      </c>
    </row>
    <row r="3898" spans="1:12" hidden="1" outlineLevel="1" collapsed="1" x14ac:dyDescent="0.35">
      <c r="A3898" s="112" t="s">
        <v>3283</v>
      </c>
      <c r="B3898" s="112" t="s">
        <v>912</v>
      </c>
      <c r="C3898" s="112" t="s">
        <v>1095</v>
      </c>
      <c r="D3898" s="113">
        <v>10348451</v>
      </c>
      <c r="E3898" s="115">
        <v>43949</v>
      </c>
      <c r="F3898" s="114">
        <v>202101</v>
      </c>
      <c r="G3898" s="112" t="s">
        <v>1091</v>
      </c>
      <c r="H3898" s="112" t="s">
        <v>1015</v>
      </c>
      <c r="I3898" s="112" t="s">
        <v>1128</v>
      </c>
      <c r="J3898" s="112" t="s">
        <v>3292</v>
      </c>
      <c r="K3898" s="112" t="s">
        <v>1098</v>
      </c>
      <c r="L3898" s="116">
        <v>243</v>
      </c>
    </row>
    <row r="3899" spans="1:12" hidden="1" outlineLevel="1" collapsed="1" x14ac:dyDescent="0.35">
      <c r="A3899" s="112" t="s">
        <v>3283</v>
      </c>
      <c r="B3899" s="112" t="s">
        <v>912</v>
      </c>
      <c r="C3899" s="112" t="s">
        <v>679</v>
      </c>
      <c r="D3899" s="113">
        <v>10347962</v>
      </c>
      <c r="E3899" s="115">
        <v>43923</v>
      </c>
      <c r="F3899" s="114">
        <v>202101</v>
      </c>
      <c r="G3899" s="112" t="s">
        <v>1091</v>
      </c>
      <c r="H3899" s="112" t="s">
        <v>1016</v>
      </c>
      <c r="I3899" s="112" t="s">
        <v>819</v>
      </c>
      <c r="J3899" s="112" t="s">
        <v>3288</v>
      </c>
      <c r="K3899" s="112" t="s">
        <v>3470</v>
      </c>
      <c r="L3899" s="116">
        <v>-545</v>
      </c>
    </row>
    <row r="3900" spans="1:12" hidden="1" outlineLevel="1" collapsed="1" x14ac:dyDescent="0.35">
      <c r="A3900" s="112" t="s">
        <v>3283</v>
      </c>
      <c r="B3900" s="112" t="s">
        <v>910</v>
      </c>
      <c r="C3900" s="112" t="s">
        <v>679</v>
      </c>
      <c r="D3900" s="113">
        <v>10348446</v>
      </c>
      <c r="E3900" s="115">
        <v>43945</v>
      </c>
      <c r="F3900" s="114">
        <v>202101</v>
      </c>
      <c r="G3900" s="112" t="s">
        <v>1091</v>
      </c>
      <c r="H3900" s="112" t="s">
        <v>1016</v>
      </c>
      <c r="I3900" s="112" t="s">
        <v>1293</v>
      </c>
      <c r="J3900" s="112" t="s">
        <v>3286</v>
      </c>
      <c r="K3900" s="112" t="s">
        <v>3471</v>
      </c>
      <c r="L3900" s="116">
        <v>-96</v>
      </c>
    </row>
    <row r="3901" spans="1:12" hidden="1" outlineLevel="1" collapsed="1" x14ac:dyDescent="0.35">
      <c r="A3901" s="112" t="s">
        <v>3283</v>
      </c>
      <c r="B3901" s="112" t="s">
        <v>3298</v>
      </c>
      <c r="C3901" s="112" t="s">
        <v>679</v>
      </c>
      <c r="D3901" s="113">
        <v>10347962</v>
      </c>
      <c r="E3901" s="115">
        <v>43923</v>
      </c>
      <c r="F3901" s="114">
        <v>202101</v>
      </c>
      <c r="G3901" s="112" t="s">
        <v>1091</v>
      </c>
      <c r="H3901" s="112" t="s">
        <v>1016</v>
      </c>
      <c r="I3901" s="112" t="s">
        <v>2337</v>
      </c>
      <c r="J3901" s="112" t="s">
        <v>3299</v>
      </c>
      <c r="K3901" s="112" t="s">
        <v>3472</v>
      </c>
      <c r="L3901" s="116">
        <v>-434.16</v>
      </c>
    </row>
    <row r="3902" spans="1:12" hidden="1" outlineLevel="1" collapsed="1" x14ac:dyDescent="0.35">
      <c r="A3902" s="112" t="s">
        <v>3283</v>
      </c>
      <c r="B3902" s="112" t="s">
        <v>912</v>
      </c>
      <c r="C3902" s="112" t="s">
        <v>1095</v>
      </c>
      <c r="D3902" s="113">
        <v>10348451</v>
      </c>
      <c r="E3902" s="115">
        <v>43949</v>
      </c>
      <c r="F3902" s="114">
        <v>202101</v>
      </c>
      <c r="G3902" s="112" t="s">
        <v>1091</v>
      </c>
      <c r="H3902" s="112" t="s">
        <v>1015</v>
      </c>
      <c r="I3902" s="112" t="s">
        <v>1096</v>
      </c>
      <c r="J3902" s="112" t="s">
        <v>3292</v>
      </c>
      <c r="K3902" s="112" t="s">
        <v>1098</v>
      </c>
      <c r="L3902" s="116">
        <v>423.19</v>
      </c>
    </row>
    <row r="3903" spans="1:12" hidden="1" outlineLevel="1" collapsed="1" x14ac:dyDescent="0.35">
      <c r="A3903" s="112" t="s">
        <v>3283</v>
      </c>
      <c r="B3903" s="112" t="s">
        <v>3298</v>
      </c>
      <c r="C3903" s="112" t="s">
        <v>679</v>
      </c>
      <c r="D3903" s="113">
        <v>10348115</v>
      </c>
      <c r="E3903" s="115">
        <v>43929</v>
      </c>
      <c r="F3903" s="114">
        <v>202101</v>
      </c>
      <c r="G3903" s="112" t="s">
        <v>1091</v>
      </c>
      <c r="H3903" s="112" t="s">
        <v>1016</v>
      </c>
      <c r="I3903" s="112" t="s">
        <v>2337</v>
      </c>
      <c r="J3903" s="112" t="s">
        <v>3299</v>
      </c>
      <c r="K3903" s="112" t="s">
        <v>3473</v>
      </c>
      <c r="L3903" s="116">
        <v>-247</v>
      </c>
    </row>
    <row r="3904" spans="1:12" hidden="1" outlineLevel="1" collapsed="1" x14ac:dyDescent="0.35">
      <c r="A3904" s="112" t="s">
        <v>3283</v>
      </c>
      <c r="B3904" s="112" t="s">
        <v>3298</v>
      </c>
      <c r="C3904" s="112" t="s">
        <v>679</v>
      </c>
      <c r="D3904" s="113">
        <v>10348115</v>
      </c>
      <c r="E3904" s="115">
        <v>43929</v>
      </c>
      <c r="F3904" s="114">
        <v>202101</v>
      </c>
      <c r="G3904" s="112" t="s">
        <v>1091</v>
      </c>
      <c r="H3904" s="112" t="s">
        <v>1016</v>
      </c>
      <c r="I3904" s="112" t="s">
        <v>2337</v>
      </c>
      <c r="J3904" s="112" t="s">
        <v>3299</v>
      </c>
      <c r="K3904" s="112" t="s">
        <v>3474</v>
      </c>
      <c r="L3904" s="116">
        <v>-247</v>
      </c>
    </row>
    <row r="3905" spans="1:12" hidden="1" outlineLevel="1" collapsed="1" x14ac:dyDescent="0.35">
      <c r="A3905" s="112" t="s">
        <v>3283</v>
      </c>
      <c r="B3905" s="112" t="s">
        <v>910</v>
      </c>
      <c r="C3905" s="112" t="s">
        <v>679</v>
      </c>
      <c r="D3905" s="113">
        <v>10348446</v>
      </c>
      <c r="E3905" s="115">
        <v>43945</v>
      </c>
      <c r="F3905" s="114">
        <v>202101</v>
      </c>
      <c r="G3905" s="112" t="s">
        <v>1091</v>
      </c>
      <c r="H3905" s="112" t="s">
        <v>1016</v>
      </c>
      <c r="I3905" s="112" t="s">
        <v>1293</v>
      </c>
      <c r="J3905" s="112" t="s">
        <v>3286</v>
      </c>
      <c r="K3905" s="112" t="s">
        <v>3475</v>
      </c>
      <c r="L3905" s="116">
        <v>-96</v>
      </c>
    </row>
    <row r="3906" spans="1:12" hidden="1" outlineLevel="1" collapsed="1" x14ac:dyDescent="0.35">
      <c r="A3906" s="112" t="s">
        <v>3283</v>
      </c>
      <c r="B3906" s="112" t="s">
        <v>3298</v>
      </c>
      <c r="C3906" s="112" t="s">
        <v>679</v>
      </c>
      <c r="D3906" s="113">
        <v>10348115</v>
      </c>
      <c r="E3906" s="115">
        <v>43929</v>
      </c>
      <c r="F3906" s="114">
        <v>202101</v>
      </c>
      <c r="G3906" s="112" t="s">
        <v>1091</v>
      </c>
      <c r="H3906" s="112" t="s">
        <v>1016</v>
      </c>
      <c r="I3906" s="112" t="s">
        <v>2337</v>
      </c>
      <c r="J3906" s="112" t="s">
        <v>3299</v>
      </c>
      <c r="K3906" s="112" t="s">
        <v>3476</v>
      </c>
      <c r="L3906" s="116">
        <v>-247</v>
      </c>
    </row>
    <row r="3907" spans="1:12" hidden="1" outlineLevel="1" collapsed="1" x14ac:dyDescent="0.35">
      <c r="A3907" s="112" t="s">
        <v>3283</v>
      </c>
      <c r="B3907" s="112" t="s">
        <v>910</v>
      </c>
      <c r="C3907" s="112" t="s">
        <v>679</v>
      </c>
      <c r="D3907" s="113">
        <v>10348446</v>
      </c>
      <c r="E3907" s="115">
        <v>43945</v>
      </c>
      <c r="F3907" s="114">
        <v>202101</v>
      </c>
      <c r="G3907" s="112" t="s">
        <v>1091</v>
      </c>
      <c r="H3907" s="112" t="s">
        <v>1016</v>
      </c>
      <c r="I3907" s="112" t="s">
        <v>1293</v>
      </c>
      <c r="J3907" s="112" t="s">
        <v>3286</v>
      </c>
      <c r="K3907" s="112" t="s">
        <v>3477</v>
      </c>
      <c r="L3907" s="116">
        <v>110</v>
      </c>
    </row>
    <row r="3908" spans="1:12" outlineLevel="1" collapsed="1" x14ac:dyDescent="0.35">
      <c r="A3908" s="112" t="s">
        <v>3283</v>
      </c>
      <c r="B3908" s="112" t="s">
        <v>911</v>
      </c>
      <c r="C3908" s="112" t="s">
        <v>695</v>
      </c>
      <c r="D3908" s="113">
        <v>10347981</v>
      </c>
      <c r="E3908" s="115">
        <v>43924</v>
      </c>
      <c r="F3908" s="114">
        <v>202101</v>
      </c>
      <c r="G3908" s="112" t="s">
        <v>1091</v>
      </c>
      <c r="H3908" s="112" t="s">
        <v>1015</v>
      </c>
      <c r="I3908" s="112" t="s">
        <v>3478</v>
      </c>
      <c r="J3908" s="112" t="s">
        <v>3291</v>
      </c>
      <c r="K3908" s="112" t="s">
        <v>3479</v>
      </c>
      <c r="L3908" s="116">
        <v>-137.9</v>
      </c>
    </row>
    <row r="3909" spans="1:12" hidden="1" outlineLevel="1" collapsed="1" x14ac:dyDescent="0.35">
      <c r="A3909" s="112" t="s">
        <v>3283</v>
      </c>
      <c r="B3909" s="112" t="s">
        <v>912</v>
      </c>
      <c r="C3909" s="112" t="s">
        <v>1095</v>
      </c>
      <c r="D3909" s="113">
        <v>10348451</v>
      </c>
      <c r="E3909" s="115">
        <v>43949</v>
      </c>
      <c r="F3909" s="114">
        <v>202101</v>
      </c>
      <c r="G3909" s="112" t="s">
        <v>1091</v>
      </c>
      <c r="H3909" s="112" t="s">
        <v>1015</v>
      </c>
      <c r="I3909" s="112" t="s">
        <v>1096</v>
      </c>
      <c r="J3909" s="112" t="s">
        <v>3288</v>
      </c>
      <c r="K3909" s="112" t="s">
        <v>1098</v>
      </c>
      <c r="L3909" s="116">
        <v>326.32</v>
      </c>
    </row>
    <row r="3910" spans="1:12" hidden="1" outlineLevel="1" collapsed="1" x14ac:dyDescent="0.35">
      <c r="A3910" s="112" t="s">
        <v>3283</v>
      </c>
      <c r="B3910" s="112" t="s">
        <v>3298</v>
      </c>
      <c r="C3910" s="112" t="s">
        <v>679</v>
      </c>
      <c r="D3910" s="113">
        <v>10348115</v>
      </c>
      <c r="E3910" s="115">
        <v>43929</v>
      </c>
      <c r="F3910" s="114">
        <v>202101</v>
      </c>
      <c r="G3910" s="112" t="s">
        <v>1091</v>
      </c>
      <c r="H3910" s="112" t="s">
        <v>1016</v>
      </c>
      <c r="I3910" s="112" t="s">
        <v>2337</v>
      </c>
      <c r="J3910" s="112" t="s">
        <v>3299</v>
      </c>
      <c r="K3910" s="112" t="s">
        <v>3480</v>
      </c>
      <c r="L3910" s="116">
        <v>-247</v>
      </c>
    </row>
    <row r="3911" spans="1:12" hidden="1" outlineLevel="1" collapsed="1" x14ac:dyDescent="0.35">
      <c r="A3911" s="112" t="s">
        <v>3283</v>
      </c>
      <c r="B3911" s="112" t="s">
        <v>3298</v>
      </c>
      <c r="C3911" s="112" t="s">
        <v>679</v>
      </c>
      <c r="D3911" s="113">
        <v>10347962</v>
      </c>
      <c r="E3911" s="115">
        <v>43923</v>
      </c>
      <c r="F3911" s="114">
        <v>202101</v>
      </c>
      <c r="G3911" s="112" t="s">
        <v>1091</v>
      </c>
      <c r="H3911" s="112" t="s">
        <v>1016</v>
      </c>
      <c r="I3911" s="112" t="s">
        <v>2337</v>
      </c>
      <c r="J3911" s="112" t="s">
        <v>3299</v>
      </c>
      <c r="K3911" s="112" t="s">
        <v>3481</v>
      </c>
      <c r="L3911" s="116">
        <v>-5.87</v>
      </c>
    </row>
    <row r="3912" spans="1:12" hidden="1" outlineLevel="1" collapsed="1" x14ac:dyDescent="0.35">
      <c r="A3912" s="112" t="s">
        <v>3283</v>
      </c>
      <c r="B3912" s="112" t="s">
        <v>3298</v>
      </c>
      <c r="C3912" s="112" t="s">
        <v>679</v>
      </c>
      <c r="D3912" s="113">
        <v>10348115</v>
      </c>
      <c r="E3912" s="115">
        <v>43929</v>
      </c>
      <c r="F3912" s="114">
        <v>202101</v>
      </c>
      <c r="G3912" s="112" t="s">
        <v>1091</v>
      </c>
      <c r="H3912" s="112" t="s">
        <v>1016</v>
      </c>
      <c r="I3912" s="112" t="s">
        <v>1293</v>
      </c>
      <c r="J3912" s="112" t="s">
        <v>3299</v>
      </c>
      <c r="K3912" s="112" t="s">
        <v>3482</v>
      </c>
      <c r="L3912" s="116">
        <v>-1064.4000000000001</v>
      </c>
    </row>
    <row r="3913" spans="1:12" hidden="1" outlineLevel="1" collapsed="1" x14ac:dyDescent="0.35">
      <c r="A3913" s="112" t="s">
        <v>3283</v>
      </c>
      <c r="B3913" s="112" t="s">
        <v>910</v>
      </c>
      <c r="C3913" s="112" t="s">
        <v>1095</v>
      </c>
      <c r="D3913" s="113">
        <v>10348451</v>
      </c>
      <c r="E3913" s="115">
        <v>43949</v>
      </c>
      <c r="F3913" s="114">
        <v>202101</v>
      </c>
      <c r="G3913" s="112" t="s">
        <v>1091</v>
      </c>
      <c r="H3913" s="112" t="s">
        <v>1015</v>
      </c>
      <c r="I3913" s="112" t="s">
        <v>1096</v>
      </c>
      <c r="J3913" s="112" t="s">
        <v>3286</v>
      </c>
      <c r="K3913" s="112" t="s">
        <v>1098</v>
      </c>
      <c r="L3913" s="116">
        <v>310.49</v>
      </c>
    </row>
    <row r="3914" spans="1:12" hidden="1" outlineLevel="1" collapsed="1" x14ac:dyDescent="0.35">
      <c r="A3914" s="112" t="s">
        <v>3283</v>
      </c>
      <c r="B3914" s="112" t="s">
        <v>912</v>
      </c>
      <c r="C3914" s="112" t="s">
        <v>1095</v>
      </c>
      <c r="D3914" s="113">
        <v>10348451</v>
      </c>
      <c r="E3914" s="115">
        <v>43949</v>
      </c>
      <c r="F3914" s="114">
        <v>202101</v>
      </c>
      <c r="G3914" s="112" t="s">
        <v>1091</v>
      </c>
      <c r="H3914" s="112" t="s">
        <v>1015</v>
      </c>
      <c r="I3914" s="112" t="s">
        <v>1116</v>
      </c>
      <c r="J3914" s="112" t="s">
        <v>3288</v>
      </c>
      <c r="K3914" s="112" t="s">
        <v>1098</v>
      </c>
      <c r="L3914" s="116">
        <v>2460.67</v>
      </c>
    </row>
    <row r="3915" spans="1:12" hidden="1" outlineLevel="1" collapsed="1" x14ac:dyDescent="0.35">
      <c r="A3915" s="112" t="s">
        <v>3283</v>
      </c>
      <c r="B3915" s="112" t="s">
        <v>912</v>
      </c>
      <c r="C3915" s="112" t="s">
        <v>1095</v>
      </c>
      <c r="D3915" s="113">
        <v>10348451</v>
      </c>
      <c r="E3915" s="115">
        <v>43949</v>
      </c>
      <c r="F3915" s="114">
        <v>202101</v>
      </c>
      <c r="G3915" s="112" t="s">
        <v>1091</v>
      </c>
      <c r="H3915" s="112" t="s">
        <v>1015</v>
      </c>
      <c r="I3915" s="112" t="s">
        <v>1096</v>
      </c>
      <c r="J3915" s="112" t="s">
        <v>3292</v>
      </c>
      <c r="K3915" s="112" t="s">
        <v>1098</v>
      </c>
      <c r="L3915" s="116">
        <v>271.86</v>
      </c>
    </row>
    <row r="3916" spans="1:12" hidden="1" outlineLevel="1" collapsed="1" x14ac:dyDescent="0.35">
      <c r="A3916" s="112" t="s">
        <v>3283</v>
      </c>
      <c r="B3916" s="112" t="s">
        <v>910</v>
      </c>
      <c r="C3916" s="112" t="s">
        <v>1095</v>
      </c>
      <c r="D3916" s="113">
        <v>10348451</v>
      </c>
      <c r="E3916" s="115">
        <v>43949</v>
      </c>
      <c r="F3916" s="114">
        <v>202101</v>
      </c>
      <c r="G3916" s="112" t="s">
        <v>1091</v>
      </c>
      <c r="H3916" s="112" t="s">
        <v>1015</v>
      </c>
      <c r="I3916" s="112" t="s">
        <v>1116</v>
      </c>
      <c r="J3916" s="112" t="s">
        <v>3286</v>
      </c>
      <c r="K3916" s="112" t="s">
        <v>1098</v>
      </c>
      <c r="L3916" s="116">
        <v>4092</v>
      </c>
    </row>
    <row r="3917" spans="1:12" hidden="1" outlineLevel="1" collapsed="1" x14ac:dyDescent="0.35">
      <c r="A3917" s="112" t="s">
        <v>3283</v>
      </c>
      <c r="B3917" s="112" t="s">
        <v>910</v>
      </c>
      <c r="C3917" s="112" t="s">
        <v>1095</v>
      </c>
      <c r="D3917" s="113">
        <v>10348451</v>
      </c>
      <c r="E3917" s="115">
        <v>43949</v>
      </c>
      <c r="F3917" s="114">
        <v>202101</v>
      </c>
      <c r="G3917" s="112" t="s">
        <v>1091</v>
      </c>
      <c r="H3917" s="112" t="s">
        <v>1015</v>
      </c>
      <c r="I3917" s="112" t="s">
        <v>1116</v>
      </c>
      <c r="J3917" s="112" t="s">
        <v>3286</v>
      </c>
      <c r="K3917" s="112" t="s">
        <v>1098</v>
      </c>
      <c r="L3917" s="116">
        <v>3391.33</v>
      </c>
    </row>
    <row r="3918" spans="1:12" hidden="1" outlineLevel="1" collapsed="1" x14ac:dyDescent="0.35">
      <c r="A3918" s="112" t="s">
        <v>3283</v>
      </c>
      <c r="B3918" s="112" t="s">
        <v>910</v>
      </c>
      <c r="C3918" s="112" t="s">
        <v>679</v>
      </c>
      <c r="D3918" s="113">
        <v>10348164</v>
      </c>
      <c r="E3918" s="115">
        <v>43930</v>
      </c>
      <c r="F3918" s="114">
        <v>202101</v>
      </c>
      <c r="G3918" s="112" t="s">
        <v>1091</v>
      </c>
      <c r="H3918" s="112" t="s">
        <v>1016</v>
      </c>
      <c r="I3918" s="112" t="s">
        <v>1293</v>
      </c>
      <c r="J3918" s="112" t="s">
        <v>3286</v>
      </c>
      <c r="K3918" s="112" t="s">
        <v>3483</v>
      </c>
      <c r="L3918" s="116">
        <v>-34</v>
      </c>
    </row>
    <row r="3919" spans="1:12" hidden="1" outlineLevel="1" collapsed="1" x14ac:dyDescent="0.35">
      <c r="A3919" s="112" t="s">
        <v>3283</v>
      </c>
      <c r="B3919" s="112" t="s">
        <v>3298</v>
      </c>
      <c r="C3919" s="112" t="s">
        <v>679</v>
      </c>
      <c r="D3919" s="113">
        <v>10348164</v>
      </c>
      <c r="E3919" s="115">
        <v>43930</v>
      </c>
      <c r="F3919" s="114">
        <v>202101</v>
      </c>
      <c r="G3919" s="112" t="s">
        <v>1091</v>
      </c>
      <c r="H3919" s="112" t="s">
        <v>1016</v>
      </c>
      <c r="I3919" s="112" t="s">
        <v>2337</v>
      </c>
      <c r="J3919" s="112" t="s">
        <v>3299</v>
      </c>
      <c r="K3919" s="112" t="s">
        <v>3484</v>
      </c>
      <c r="L3919" s="116">
        <v>-37</v>
      </c>
    </row>
    <row r="3920" spans="1:12" hidden="1" outlineLevel="1" collapsed="1" x14ac:dyDescent="0.35">
      <c r="A3920" s="112" t="s">
        <v>3283</v>
      </c>
      <c r="B3920" s="112" t="s">
        <v>3298</v>
      </c>
      <c r="C3920" s="112" t="s">
        <v>679</v>
      </c>
      <c r="D3920" s="113">
        <v>10348164</v>
      </c>
      <c r="E3920" s="115">
        <v>43930</v>
      </c>
      <c r="F3920" s="114">
        <v>202101</v>
      </c>
      <c r="G3920" s="112" t="s">
        <v>1091</v>
      </c>
      <c r="H3920" s="112" t="s">
        <v>1016</v>
      </c>
      <c r="I3920" s="112" t="s">
        <v>2337</v>
      </c>
      <c r="J3920" s="112" t="s">
        <v>3299</v>
      </c>
      <c r="K3920" s="112" t="s">
        <v>3485</v>
      </c>
      <c r="L3920" s="116">
        <v>-37</v>
      </c>
    </row>
    <row r="3921" spans="1:12" hidden="1" outlineLevel="1" collapsed="1" x14ac:dyDescent="0.35">
      <c r="A3921" s="112" t="s">
        <v>3283</v>
      </c>
      <c r="B3921" s="112" t="s">
        <v>910</v>
      </c>
      <c r="C3921" s="112" t="s">
        <v>679</v>
      </c>
      <c r="D3921" s="113">
        <v>10348164</v>
      </c>
      <c r="E3921" s="115">
        <v>43930</v>
      </c>
      <c r="F3921" s="114">
        <v>202101</v>
      </c>
      <c r="G3921" s="112" t="s">
        <v>1091</v>
      </c>
      <c r="H3921" s="112" t="s">
        <v>1016</v>
      </c>
      <c r="I3921" s="112" t="s">
        <v>1293</v>
      </c>
      <c r="J3921" s="112" t="s">
        <v>3286</v>
      </c>
      <c r="K3921" s="112" t="s">
        <v>3486</v>
      </c>
      <c r="L3921" s="116">
        <v>-206</v>
      </c>
    </row>
    <row r="3922" spans="1:12" hidden="1" outlineLevel="1" collapsed="1" x14ac:dyDescent="0.35">
      <c r="A3922" s="112" t="s">
        <v>3283</v>
      </c>
      <c r="B3922" s="112" t="s">
        <v>3298</v>
      </c>
      <c r="C3922" s="112" t="s">
        <v>679</v>
      </c>
      <c r="D3922" s="113">
        <v>10348164</v>
      </c>
      <c r="E3922" s="115">
        <v>43930</v>
      </c>
      <c r="F3922" s="114">
        <v>202101</v>
      </c>
      <c r="G3922" s="112" t="s">
        <v>1091</v>
      </c>
      <c r="H3922" s="112" t="s">
        <v>1016</v>
      </c>
      <c r="I3922" s="112" t="s">
        <v>2337</v>
      </c>
      <c r="J3922" s="112" t="s">
        <v>3299</v>
      </c>
      <c r="K3922" s="112" t="s">
        <v>3487</v>
      </c>
      <c r="L3922" s="116">
        <v>-37</v>
      </c>
    </row>
    <row r="3923" spans="1:12" hidden="1" outlineLevel="1" collapsed="1" x14ac:dyDescent="0.35">
      <c r="A3923" s="112" t="s">
        <v>3283</v>
      </c>
      <c r="B3923" s="112" t="s">
        <v>910</v>
      </c>
      <c r="C3923" s="112" t="s">
        <v>1095</v>
      </c>
      <c r="D3923" s="113">
        <v>10348451</v>
      </c>
      <c r="E3923" s="115">
        <v>43949</v>
      </c>
      <c r="F3923" s="114">
        <v>202101</v>
      </c>
      <c r="G3923" s="112" t="s">
        <v>1091</v>
      </c>
      <c r="H3923" s="112" t="s">
        <v>1015</v>
      </c>
      <c r="I3923" s="112" t="s">
        <v>1116</v>
      </c>
      <c r="J3923" s="112" t="s">
        <v>3286</v>
      </c>
      <c r="K3923" s="112" t="s">
        <v>1098</v>
      </c>
      <c r="L3923" s="116">
        <v>3075.83</v>
      </c>
    </row>
    <row r="3924" spans="1:12" hidden="1" outlineLevel="1" collapsed="1" x14ac:dyDescent="0.35">
      <c r="A3924" s="112" t="s">
        <v>3283</v>
      </c>
      <c r="B3924" s="112" t="s">
        <v>910</v>
      </c>
      <c r="C3924" s="112" t="s">
        <v>1095</v>
      </c>
      <c r="D3924" s="113">
        <v>10348451</v>
      </c>
      <c r="E3924" s="115">
        <v>43949</v>
      </c>
      <c r="F3924" s="114">
        <v>202101</v>
      </c>
      <c r="G3924" s="112" t="s">
        <v>1091</v>
      </c>
      <c r="H3924" s="112" t="s">
        <v>1015</v>
      </c>
      <c r="I3924" s="112" t="s">
        <v>1116</v>
      </c>
      <c r="J3924" s="112" t="s">
        <v>3286</v>
      </c>
      <c r="K3924" s="112" t="s">
        <v>1098</v>
      </c>
      <c r="L3924" s="116">
        <v>2981.92</v>
      </c>
    </row>
    <row r="3925" spans="1:12" hidden="1" outlineLevel="1" collapsed="1" x14ac:dyDescent="0.35">
      <c r="A3925" s="112" t="s">
        <v>3283</v>
      </c>
      <c r="B3925" s="112" t="s">
        <v>910</v>
      </c>
      <c r="C3925" s="112" t="s">
        <v>1095</v>
      </c>
      <c r="D3925" s="113">
        <v>10348451</v>
      </c>
      <c r="E3925" s="115">
        <v>43949</v>
      </c>
      <c r="F3925" s="114">
        <v>202101</v>
      </c>
      <c r="G3925" s="112" t="s">
        <v>1091</v>
      </c>
      <c r="H3925" s="112" t="s">
        <v>1015</v>
      </c>
      <c r="I3925" s="112" t="s">
        <v>1116</v>
      </c>
      <c r="J3925" s="112" t="s">
        <v>3286</v>
      </c>
      <c r="K3925" s="112" t="s">
        <v>1098</v>
      </c>
      <c r="L3925" s="116">
        <v>3096.64</v>
      </c>
    </row>
    <row r="3926" spans="1:12" hidden="1" outlineLevel="1" collapsed="1" x14ac:dyDescent="0.35">
      <c r="A3926" s="112" t="s">
        <v>3283</v>
      </c>
      <c r="B3926" s="112" t="s">
        <v>910</v>
      </c>
      <c r="C3926" s="112" t="s">
        <v>1095</v>
      </c>
      <c r="D3926" s="113">
        <v>10348451</v>
      </c>
      <c r="E3926" s="115">
        <v>43949</v>
      </c>
      <c r="F3926" s="114">
        <v>202101</v>
      </c>
      <c r="G3926" s="112" t="s">
        <v>1091</v>
      </c>
      <c r="H3926" s="112" t="s">
        <v>1015</v>
      </c>
      <c r="I3926" s="112" t="s">
        <v>1116</v>
      </c>
      <c r="J3926" s="112" t="s">
        <v>3286</v>
      </c>
      <c r="K3926" s="112" t="s">
        <v>1098</v>
      </c>
      <c r="L3926" s="116">
        <v>1578.75</v>
      </c>
    </row>
    <row r="3927" spans="1:12" hidden="1" outlineLevel="1" collapsed="1" x14ac:dyDescent="0.35">
      <c r="A3927" s="112" t="s">
        <v>3283</v>
      </c>
      <c r="B3927" s="112" t="s">
        <v>910</v>
      </c>
      <c r="C3927" s="112" t="s">
        <v>1095</v>
      </c>
      <c r="D3927" s="113">
        <v>10348451</v>
      </c>
      <c r="E3927" s="115">
        <v>43949</v>
      </c>
      <c r="F3927" s="114">
        <v>202101</v>
      </c>
      <c r="G3927" s="112" t="s">
        <v>1091</v>
      </c>
      <c r="H3927" s="112" t="s">
        <v>1015</v>
      </c>
      <c r="I3927" s="112" t="s">
        <v>1116</v>
      </c>
      <c r="J3927" s="112" t="s">
        <v>3286</v>
      </c>
      <c r="K3927" s="112" t="s">
        <v>1098</v>
      </c>
      <c r="L3927" s="116">
        <v>2259.5</v>
      </c>
    </row>
    <row r="3928" spans="1:12" hidden="1" outlineLevel="1" collapsed="1" x14ac:dyDescent="0.35">
      <c r="A3928" s="112" t="s">
        <v>3283</v>
      </c>
      <c r="B3928" s="112" t="s">
        <v>910</v>
      </c>
      <c r="C3928" s="112" t="s">
        <v>1095</v>
      </c>
      <c r="D3928" s="113">
        <v>10348451</v>
      </c>
      <c r="E3928" s="115">
        <v>43949</v>
      </c>
      <c r="F3928" s="114">
        <v>202101</v>
      </c>
      <c r="G3928" s="112" t="s">
        <v>1091</v>
      </c>
      <c r="H3928" s="112" t="s">
        <v>1015</v>
      </c>
      <c r="I3928" s="112" t="s">
        <v>1116</v>
      </c>
      <c r="J3928" s="112" t="s">
        <v>3286</v>
      </c>
      <c r="K3928" s="112" t="s">
        <v>1098</v>
      </c>
      <c r="L3928" s="116">
        <v>2631.25</v>
      </c>
    </row>
    <row r="3929" spans="1:12" hidden="1" outlineLevel="1" collapsed="1" x14ac:dyDescent="0.35">
      <c r="A3929" s="112" t="s">
        <v>3283</v>
      </c>
      <c r="B3929" s="112" t="s">
        <v>910</v>
      </c>
      <c r="C3929" s="112" t="s">
        <v>1095</v>
      </c>
      <c r="D3929" s="113">
        <v>10348451</v>
      </c>
      <c r="E3929" s="115">
        <v>43949</v>
      </c>
      <c r="F3929" s="114">
        <v>202101</v>
      </c>
      <c r="G3929" s="112" t="s">
        <v>1091</v>
      </c>
      <c r="H3929" s="112" t="s">
        <v>1015</v>
      </c>
      <c r="I3929" s="112" t="s">
        <v>1116</v>
      </c>
      <c r="J3929" s="112" t="s">
        <v>3286</v>
      </c>
      <c r="K3929" s="112" t="s">
        <v>1098</v>
      </c>
      <c r="L3929" s="116">
        <v>1848.99</v>
      </c>
    </row>
    <row r="3930" spans="1:12" hidden="1" outlineLevel="1" collapsed="1" x14ac:dyDescent="0.35">
      <c r="A3930" s="112" t="s">
        <v>3283</v>
      </c>
      <c r="B3930" s="112" t="s">
        <v>910</v>
      </c>
      <c r="C3930" s="112" t="s">
        <v>1095</v>
      </c>
      <c r="D3930" s="113">
        <v>10348451</v>
      </c>
      <c r="E3930" s="115">
        <v>43949</v>
      </c>
      <c r="F3930" s="114">
        <v>202101</v>
      </c>
      <c r="G3930" s="112" t="s">
        <v>1091</v>
      </c>
      <c r="H3930" s="112" t="s">
        <v>1015</v>
      </c>
      <c r="I3930" s="112" t="s">
        <v>1116</v>
      </c>
      <c r="J3930" s="112" t="s">
        <v>3286</v>
      </c>
      <c r="K3930" s="112" t="s">
        <v>1098</v>
      </c>
      <c r="L3930" s="116">
        <v>2981.92</v>
      </c>
    </row>
    <row r="3931" spans="1:12" hidden="1" outlineLevel="1" collapsed="1" x14ac:dyDescent="0.35">
      <c r="A3931" s="112" t="s">
        <v>3283</v>
      </c>
      <c r="B3931" s="112" t="s">
        <v>910</v>
      </c>
      <c r="C3931" s="112" t="s">
        <v>679</v>
      </c>
      <c r="D3931" s="113">
        <v>10348164</v>
      </c>
      <c r="E3931" s="115">
        <v>43930</v>
      </c>
      <c r="F3931" s="114">
        <v>202101</v>
      </c>
      <c r="G3931" s="112" t="s">
        <v>1091</v>
      </c>
      <c r="H3931" s="112" t="s">
        <v>1016</v>
      </c>
      <c r="I3931" s="112" t="s">
        <v>1293</v>
      </c>
      <c r="J3931" s="112" t="s">
        <v>3286</v>
      </c>
      <c r="K3931" s="112" t="s">
        <v>3488</v>
      </c>
      <c r="L3931" s="116">
        <v>-206</v>
      </c>
    </row>
    <row r="3932" spans="1:12" hidden="1" outlineLevel="1" collapsed="1" x14ac:dyDescent="0.35">
      <c r="A3932" s="112" t="s">
        <v>3283</v>
      </c>
      <c r="B3932" s="112" t="s">
        <v>910</v>
      </c>
      <c r="C3932" s="112" t="s">
        <v>1095</v>
      </c>
      <c r="D3932" s="113">
        <v>10348451</v>
      </c>
      <c r="E3932" s="115">
        <v>43949</v>
      </c>
      <c r="F3932" s="114">
        <v>202101</v>
      </c>
      <c r="G3932" s="112" t="s">
        <v>1091</v>
      </c>
      <c r="H3932" s="112" t="s">
        <v>1015</v>
      </c>
      <c r="I3932" s="112" t="s">
        <v>1116</v>
      </c>
      <c r="J3932" s="112" t="s">
        <v>3286</v>
      </c>
      <c r="K3932" s="112" t="s">
        <v>1098</v>
      </c>
      <c r="L3932" s="116">
        <v>5560.75</v>
      </c>
    </row>
    <row r="3933" spans="1:12" hidden="1" outlineLevel="1" collapsed="1" x14ac:dyDescent="0.35">
      <c r="A3933" s="112" t="s">
        <v>3283</v>
      </c>
      <c r="B3933" s="112" t="s">
        <v>910</v>
      </c>
      <c r="C3933" s="112" t="s">
        <v>1095</v>
      </c>
      <c r="D3933" s="113">
        <v>10348451</v>
      </c>
      <c r="E3933" s="115">
        <v>43949</v>
      </c>
      <c r="F3933" s="114">
        <v>202101</v>
      </c>
      <c r="G3933" s="112" t="s">
        <v>1091</v>
      </c>
      <c r="H3933" s="112" t="s">
        <v>1015</v>
      </c>
      <c r="I3933" s="112" t="s">
        <v>1116</v>
      </c>
      <c r="J3933" s="112" t="s">
        <v>3286</v>
      </c>
      <c r="K3933" s="112" t="s">
        <v>1098</v>
      </c>
      <c r="L3933" s="116">
        <v>2702</v>
      </c>
    </row>
    <row r="3934" spans="1:12" hidden="1" outlineLevel="1" collapsed="1" x14ac:dyDescent="0.35">
      <c r="A3934" s="112" t="s">
        <v>3283</v>
      </c>
      <c r="B3934" s="112" t="s">
        <v>910</v>
      </c>
      <c r="C3934" s="112" t="s">
        <v>1095</v>
      </c>
      <c r="D3934" s="113">
        <v>10348451</v>
      </c>
      <c r="E3934" s="115">
        <v>43949</v>
      </c>
      <c r="F3934" s="114">
        <v>202101</v>
      </c>
      <c r="G3934" s="112" t="s">
        <v>1091</v>
      </c>
      <c r="H3934" s="112" t="s">
        <v>1015</v>
      </c>
      <c r="I3934" s="112" t="s">
        <v>1116</v>
      </c>
      <c r="J3934" s="112" t="s">
        <v>3286</v>
      </c>
      <c r="K3934" s="112" t="s">
        <v>1098</v>
      </c>
      <c r="L3934" s="116">
        <v>1944.42</v>
      </c>
    </row>
    <row r="3935" spans="1:12" hidden="1" outlineLevel="1" collapsed="1" x14ac:dyDescent="0.35">
      <c r="A3935" s="112" t="s">
        <v>3283</v>
      </c>
      <c r="B3935" s="112" t="s">
        <v>910</v>
      </c>
      <c r="C3935" s="112" t="s">
        <v>1095</v>
      </c>
      <c r="D3935" s="113">
        <v>10348451</v>
      </c>
      <c r="E3935" s="115">
        <v>43949</v>
      </c>
      <c r="F3935" s="114">
        <v>202101</v>
      </c>
      <c r="G3935" s="112" t="s">
        <v>1091</v>
      </c>
      <c r="H3935" s="112" t="s">
        <v>1015</v>
      </c>
      <c r="I3935" s="112" t="s">
        <v>1116</v>
      </c>
      <c r="J3935" s="112" t="s">
        <v>3286</v>
      </c>
      <c r="K3935" s="112" t="s">
        <v>1098</v>
      </c>
      <c r="L3935" s="116">
        <v>2326.79</v>
      </c>
    </row>
    <row r="3936" spans="1:12" hidden="1" outlineLevel="1" collapsed="1" x14ac:dyDescent="0.35">
      <c r="A3936" s="112" t="s">
        <v>3283</v>
      </c>
      <c r="B3936" s="112" t="s">
        <v>910</v>
      </c>
      <c r="C3936" s="112" t="s">
        <v>1095</v>
      </c>
      <c r="D3936" s="113">
        <v>10348451</v>
      </c>
      <c r="E3936" s="115">
        <v>43949</v>
      </c>
      <c r="F3936" s="114">
        <v>202101</v>
      </c>
      <c r="G3936" s="112" t="s">
        <v>1091</v>
      </c>
      <c r="H3936" s="112" t="s">
        <v>1015</v>
      </c>
      <c r="I3936" s="112" t="s">
        <v>1116</v>
      </c>
      <c r="J3936" s="112" t="s">
        <v>3286</v>
      </c>
      <c r="K3936" s="112" t="s">
        <v>1098</v>
      </c>
      <c r="L3936" s="116">
        <v>2631.25</v>
      </c>
    </row>
    <row r="3937" spans="1:12" hidden="1" outlineLevel="1" collapsed="1" x14ac:dyDescent="0.35">
      <c r="A3937" s="112" t="s">
        <v>3283</v>
      </c>
      <c r="B3937" s="112" t="s">
        <v>910</v>
      </c>
      <c r="C3937" s="112" t="s">
        <v>1095</v>
      </c>
      <c r="D3937" s="113">
        <v>10348451</v>
      </c>
      <c r="E3937" s="115">
        <v>43949</v>
      </c>
      <c r="F3937" s="114">
        <v>202101</v>
      </c>
      <c r="G3937" s="112" t="s">
        <v>1091</v>
      </c>
      <c r="H3937" s="112" t="s">
        <v>1015</v>
      </c>
      <c r="I3937" s="112" t="s">
        <v>1116</v>
      </c>
      <c r="J3937" s="112" t="s">
        <v>3286</v>
      </c>
      <c r="K3937" s="112" t="s">
        <v>1098</v>
      </c>
      <c r="L3937" s="116">
        <v>2728.6</v>
      </c>
    </row>
    <row r="3938" spans="1:12" hidden="1" outlineLevel="1" collapsed="1" x14ac:dyDescent="0.35">
      <c r="A3938" s="112" t="s">
        <v>3283</v>
      </c>
      <c r="B3938" s="112" t="s">
        <v>910</v>
      </c>
      <c r="C3938" s="112" t="s">
        <v>1095</v>
      </c>
      <c r="D3938" s="113">
        <v>10348451</v>
      </c>
      <c r="E3938" s="115">
        <v>43949</v>
      </c>
      <c r="F3938" s="114">
        <v>202101</v>
      </c>
      <c r="G3938" s="112" t="s">
        <v>1091</v>
      </c>
      <c r="H3938" s="112" t="s">
        <v>1015</v>
      </c>
      <c r="I3938" s="112" t="s">
        <v>1116</v>
      </c>
      <c r="J3938" s="112" t="s">
        <v>3286</v>
      </c>
      <c r="K3938" s="112" t="s">
        <v>1098</v>
      </c>
      <c r="L3938" s="116">
        <v>2153.08</v>
      </c>
    </row>
    <row r="3939" spans="1:12" hidden="1" outlineLevel="1" collapsed="1" x14ac:dyDescent="0.35">
      <c r="A3939" s="112" t="s">
        <v>3283</v>
      </c>
      <c r="B3939" s="112" t="s">
        <v>910</v>
      </c>
      <c r="C3939" s="112" t="s">
        <v>1095</v>
      </c>
      <c r="D3939" s="113">
        <v>10348451</v>
      </c>
      <c r="E3939" s="115">
        <v>43949</v>
      </c>
      <c r="F3939" s="114">
        <v>202101</v>
      </c>
      <c r="G3939" s="112" t="s">
        <v>1091</v>
      </c>
      <c r="H3939" s="112" t="s">
        <v>1015</v>
      </c>
      <c r="I3939" s="112" t="s">
        <v>1116</v>
      </c>
      <c r="J3939" s="112" t="s">
        <v>3286</v>
      </c>
      <c r="K3939" s="112" t="s">
        <v>1098</v>
      </c>
      <c r="L3939" s="116">
        <v>2373.9299999999998</v>
      </c>
    </row>
    <row r="3940" spans="1:12" hidden="1" outlineLevel="1" collapsed="1" x14ac:dyDescent="0.35">
      <c r="A3940" s="112" t="s">
        <v>3283</v>
      </c>
      <c r="B3940" s="112" t="s">
        <v>910</v>
      </c>
      <c r="C3940" s="112" t="s">
        <v>203</v>
      </c>
      <c r="D3940" s="113">
        <v>10348453</v>
      </c>
      <c r="E3940" s="115">
        <v>43948</v>
      </c>
      <c r="F3940" s="114">
        <v>202101</v>
      </c>
      <c r="G3940" s="112" t="s">
        <v>1091</v>
      </c>
      <c r="H3940" s="112" t="s">
        <v>1015</v>
      </c>
      <c r="I3940" s="112" t="s">
        <v>1116</v>
      </c>
      <c r="J3940" s="112" t="s">
        <v>3286</v>
      </c>
      <c r="K3940" s="112" t="s">
        <v>1098</v>
      </c>
      <c r="L3940" s="116">
        <v>60.08</v>
      </c>
    </row>
    <row r="3941" spans="1:12" hidden="1" outlineLevel="1" collapsed="1" x14ac:dyDescent="0.35">
      <c r="A3941" s="112" t="s">
        <v>3283</v>
      </c>
      <c r="B3941" s="112" t="s">
        <v>910</v>
      </c>
      <c r="C3941" s="112" t="s">
        <v>1095</v>
      </c>
      <c r="D3941" s="113">
        <v>10348451</v>
      </c>
      <c r="E3941" s="115">
        <v>43949</v>
      </c>
      <c r="F3941" s="114">
        <v>202101</v>
      </c>
      <c r="G3941" s="112" t="s">
        <v>1091</v>
      </c>
      <c r="H3941" s="112" t="s">
        <v>1015</v>
      </c>
      <c r="I3941" s="112" t="s">
        <v>1116</v>
      </c>
      <c r="J3941" s="112" t="s">
        <v>3286</v>
      </c>
      <c r="K3941" s="112" t="s">
        <v>1098</v>
      </c>
      <c r="L3941" s="116">
        <v>2981.92</v>
      </c>
    </row>
    <row r="3942" spans="1:12" hidden="1" outlineLevel="1" collapsed="1" x14ac:dyDescent="0.35">
      <c r="A3942" s="112" t="s">
        <v>3283</v>
      </c>
      <c r="B3942" s="112" t="s">
        <v>912</v>
      </c>
      <c r="C3942" s="112" t="s">
        <v>1095</v>
      </c>
      <c r="D3942" s="113">
        <v>10348451</v>
      </c>
      <c r="E3942" s="115">
        <v>43949</v>
      </c>
      <c r="F3942" s="114">
        <v>202101</v>
      </c>
      <c r="G3942" s="112" t="s">
        <v>1091</v>
      </c>
      <c r="H3942" s="112" t="s">
        <v>1015</v>
      </c>
      <c r="I3942" s="112" t="s">
        <v>1116</v>
      </c>
      <c r="J3942" s="112" t="s">
        <v>3292</v>
      </c>
      <c r="K3942" s="112" t="s">
        <v>1098</v>
      </c>
      <c r="L3942" s="116">
        <v>2981.92</v>
      </c>
    </row>
    <row r="3943" spans="1:12" hidden="1" outlineLevel="1" collapsed="1" x14ac:dyDescent="0.35">
      <c r="A3943" s="112" t="s">
        <v>3283</v>
      </c>
      <c r="B3943" s="112" t="s">
        <v>912</v>
      </c>
      <c r="C3943" s="112" t="s">
        <v>1095</v>
      </c>
      <c r="D3943" s="113">
        <v>10348451</v>
      </c>
      <c r="E3943" s="115">
        <v>43949</v>
      </c>
      <c r="F3943" s="114">
        <v>202101</v>
      </c>
      <c r="G3943" s="112" t="s">
        <v>1091</v>
      </c>
      <c r="H3943" s="112" t="s">
        <v>1015</v>
      </c>
      <c r="I3943" s="112" t="s">
        <v>1116</v>
      </c>
      <c r="J3943" s="112" t="s">
        <v>3292</v>
      </c>
      <c r="K3943" s="112" t="s">
        <v>1098</v>
      </c>
      <c r="L3943" s="116">
        <v>2066.9499999999998</v>
      </c>
    </row>
    <row r="3944" spans="1:12" hidden="1" outlineLevel="1" collapsed="1" x14ac:dyDescent="0.35">
      <c r="A3944" s="112" t="s">
        <v>3283</v>
      </c>
      <c r="B3944" s="112" t="s">
        <v>912</v>
      </c>
      <c r="C3944" s="112" t="s">
        <v>1095</v>
      </c>
      <c r="D3944" s="113">
        <v>10348451</v>
      </c>
      <c r="E3944" s="115">
        <v>43949</v>
      </c>
      <c r="F3944" s="114">
        <v>202101</v>
      </c>
      <c r="G3944" s="112" t="s">
        <v>1091</v>
      </c>
      <c r="H3944" s="112" t="s">
        <v>1015</v>
      </c>
      <c r="I3944" s="112" t="s">
        <v>1116</v>
      </c>
      <c r="J3944" s="112" t="s">
        <v>3292</v>
      </c>
      <c r="K3944" s="112" t="s">
        <v>1098</v>
      </c>
      <c r="L3944" s="116">
        <v>1995.14</v>
      </c>
    </row>
    <row r="3945" spans="1:12" hidden="1" outlineLevel="1" collapsed="1" x14ac:dyDescent="0.35">
      <c r="A3945" s="112" t="s">
        <v>3283</v>
      </c>
      <c r="B3945" s="112" t="s">
        <v>912</v>
      </c>
      <c r="C3945" s="112" t="s">
        <v>1095</v>
      </c>
      <c r="D3945" s="113">
        <v>10348451</v>
      </c>
      <c r="E3945" s="115">
        <v>43949</v>
      </c>
      <c r="F3945" s="114">
        <v>202101</v>
      </c>
      <c r="G3945" s="112" t="s">
        <v>1091</v>
      </c>
      <c r="H3945" s="112" t="s">
        <v>1015</v>
      </c>
      <c r="I3945" s="112" t="s">
        <v>1116</v>
      </c>
      <c r="J3945" s="112" t="s">
        <v>3292</v>
      </c>
      <c r="K3945" s="112" t="s">
        <v>1098</v>
      </c>
      <c r="L3945" s="116">
        <v>2631.25</v>
      </c>
    </row>
    <row r="3946" spans="1:12" hidden="1" outlineLevel="1" collapsed="1" x14ac:dyDescent="0.35">
      <c r="A3946" s="112" t="s">
        <v>3283</v>
      </c>
      <c r="B3946" s="112" t="s">
        <v>910</v>
      </c>
      <c r="C3946" s="112" t="s">
        <v>679</v>
      </c>
      <c r="D3946" s="113">
        <v>10348164</v>
      </c>
      <c r="E3946" s="115">
        <v>43930</v>
      </c>
      <c r="F3946" s="114">
        <v>202101</v>
      </c>
      <c r="G3946" s="112" t="s">
        <v>1091</v>
      </c>
      <c r="H3946" s="112" t="s">
        <v>1016</v>
      </c>
      <c r="I3946" s="112" t="s">
        <v>1293</v>
      </c>
      <c r="J3946" s="112" t="s">
        <v>3286</v>
      </c>
      <c r="K3946" s="112" t="s">
        <v>3489</v>
      </c>
      <c r="L3946" s="116">
        <v>-206</v>
      </c>
    </row>
    <row r="3947" spans="1:12" hidden="1" outlineLevel="1" collapsed="1" x14ac:dyDescent="0.35">
      <c r="A3947" s="112" t="s">
        <v>3283</v>
      </c>
      <c r="B3947" s="112" t="s">
        <v>912</v>
      </c>
      <c r="C3947" s="112" t="s">
        <v>1095</v>
      </c>
      <c r="D3947" s="113">
        <v>10348451</v>
      </c>
      <c r="E3947" s="115">
        <v>43949</v>
      </c>
      <c r="F3947" s="114">
        <v>202101</v>
      </c>
      <c r="G3947" s="112" t="s">
        <v>1091</v>
      </c>
      <c r="H3947" s="112" t="s">
        <v>1015</v>
      </c>
      <c r="I3947" s="112" t="s">
        <v>1116</v>
      </c>
      <c r="J3947" s="112" t="s">
        <v>3292</v>
      </c>
      <c r="K3947" s="112" t="s">
        <v>1098</v>
      </c>
      <c r="L3947" s="116">
        <v>3473.25</v>
      </c>
    </row>
    <row r="3948" spans="1:12" hidden="1" outlineLevel="1" collapsed="1" x14ac:dyDescent="0.35">
      <c r="A3948" s="112" t="s">
        <v>3283</v>
      </c>
      <c r="B3948" s="112" t="s">
        <v>912</v>
      </c>
      <c r="C3948" s="112" t="s">
        <v>1095</v>
      </c>
      <c r="D3948" s="113">
        <v>10348451</v>
      </c>
      <c r="E3948" s="115">
        <v>43949</v>
      </c>
      <c r="F3948" s="114">
        <v>202101</v>
      </c>
      <c r="G3948" s="112" t="s">
        <v>1091</v>
      </c>
      <c r="H3948" s="112" t="s">
        <v>1015</v>
      </c>
      <c r="I3948" s="112" t="s">
        <v>1116</v>
      </c>
      <c r="J3948" s="112" t="s">
        <v>3288</v>
      </c>
      <c r="K3948" s="112" t="s">
        <v>1098</v>
      </c>
      <c r="L3948" s="116">
        <v>735.73</v>
      </c>
    </row>
    <row r="3949" spans="1:12" hidden="1" outlineLevel="1" collapsed="1" x14ac:dyDescent="0.35">
      <c r="A3949" s="112" t="s">
        <v>3283</v>
      </c>
      <c r="B3949" s="112" t="s">
        <v>912</v>
      </c>
      <c r="C3949" s="112" t="s">
        <v>1095</v>
      </c>
      <c r="D3949" s="113">
        <v>10348451</v>
      </c>
      <c r="E3949" s="115">
        <v>43949</v>
      </c>
      <c r="F3949" s="114">
        <v>202101</v>
      </c>
      <c r="G3949" s="112" t="s">
        <v>1091</v>
      </c>
      <c r="H3949" s="112" t="s">
        <v>1015</v>
      </c>
      <c r="I3949" s="112" t="s">
        <v>1116</v>
      </c>
      <c r="J3949" s="112" t="s">
        <v>3288</v>
      </c>
      <c r="K3949" s="112" t="s">
        <v>1098</v>
      </c>
      <c r="L3949" s="116">
        <v>3096.64</v>
      </c>
    </row>
    <row r="3950" spans="1:12" hidden="1" outlineLevel="1" collapsed="1" x14ac:dyDescent="0.35">
      <c r="A3950" s="112" t="s">
        <v>3283</v>
      </c>
      <c r="B3950" s="112" t="s">
        <v>912</v>
      </c>
      <c r="C3950" s="112" t="s">
        <v>1099</v>
      </c>
      <c r="D3950" s="113">
        <v>1069596</v>
      </c>
      <c r="E3950" s="115">
        <v>43937</v>
      </c>
      <c r="F3950" s="114">
        <v>202101</v>
      </c>
      <c r="G3950" s="112" t="s">
        <v>1091</v>
      </c>
      <c r="H3950" s="112" t="s">
        <v>1015</v>
      </c>
      <c r="I3950" s="112" t="s">
        <v>1211</v>
      </c>
      <c r="J3950" s="112" t="s">
        <v>3288</v>
      </c>
      <c r="K3950" s="112" t="s">
        <v>3490</v>
      </c>
      <c r="L3950" s="116">
        <v>7000</v>
      </c>
    </row>
    <row r="3951" spans="1:12" hidden="1" outlineLevel="1" collapsed="1" x14ac:dyDescent="0.35">
      <c r="A3951" s="112" t="s">
        <v>3283</v>
      </c>
      <c r="B3951" s="112" t="s">
        <v>912</v>
      </c>
      <c r="C3951" s="112" t="s">
        <v>1095</v>
      </c>
      <c r="D3951" s="113">
        <v>10348451</v>
      </c>
      <c r="E3951" s="115">
        <v>43949</v>
      </c>
      <c r="F3951" s="114">
        <v>202101</v>
      </c>
      <c r="G3951" s="112" t="s">
        <v>1091</v>
      </c>
      <c r="H3951" s="112" t="s">
        <v>1015</v>
      </c>
      <c r="I3951" s="112" t="s">
        <v>1116</v>
      </c>
      <c r="J3951" s="112" t="s">
        <v>3288</v>
      </c>
      <c r="K3951" s="112" t="s">
        <v>1098</v>
      </c>
      <c r="L3951" s="116">
        <v>3321.33</v>
      </c>
    </row>
    <row r="3952" spans="1:12" hidden="1" outlineLevel="1" collapsed="1" x14ac:dyDescent="0.35">
      <c r="A3952" s="112" t="s">
        <v>3283</v>
      </c>
      <c r="B3952" s="112" t="s">
        <v>3298</v>
      </c>
      <c r="C3952" s="112" t="s">
        <v>679</v>
      </c>
      <c r="D3952" s="113">
        <v>10348164</v>
      </c>
      <c r="E3952" s="115">
        <v>43930</v>
      </c>
      <c r="F3952" s="114">
        <v>202101</v>
      </c>
      <c r="G3952" s="112" t="s">
        <v>1091</v>
      </c>
      <c r="H3952" s="112" t="s">
        <v>1016</v>
      </c>
      <c r="I3952" s="112" t="s">
        <v>2337</v>
      </c>
      <c r="J3952" s="112" t="s">
        <v>3299</v>
      </c>
      <c r="K3952" s="112" t="s">
        <v>3491</v>
      </c>
      <c r="L3952" s="116">
        <v>-267.39999999999998</v>
      </c>
    </row>
    <row r="3953" spans="1:12" hidden="1" outlineLevel="1" collapsed="1" x14ac:dyDescent="0.35">
      <c r="A3953" s="112" t="s">
        <v>3283</v>
      </c>
      <c r="B3953" s="112" t="s">
        <v>910</v>
      </c>
      <c r="C3953" s="112" t="s">
        <v>679</v>
      </c>
      <c r="D3953" s="113">
        <v>10348164</v>
      </c>
      <c r="E3953" s="115">
        <v>43930</v>
      </c>
      <c r="F3953" s="114">
        <v>202101</v>
      </c>
      <c r="G3953" s="112" t="s">
        <v>1091</v>
      </c>
      <c r="H3953" s="112" t="s">
        <v>1016</v>
      </c>
      <c r="I3953" s="112" t="s">
        <v>1293</v>
      </c>
      <c r="J3953" s="112" t="s">
        <v>3286</v>
      </c>
      <c r="K3953" s="112" t="s">
        <v>3492</v>
      </c>
      <c r="L3953" s="116">
        <v>-103</v>
      </c>
    </row>
    <row r="3954" spans="1:12" hidden="1" outlineLevel="1" collapsed="1" x14ac:dyDescent="0.35">
      <c r="A3954" s="112" t="s">
        <v>3283</v>
      </c>
      <c r="B3954" s="112" t="s">
        <v>912</v>
      </c>
      <c r="C3954" s="112" t="s">
        <v>1095</v>
      </c>
      <c r="D3954" s="113">
        <v>10348451</v>
      </c>
      <c r="E3954" s="115">
        <v>43949</v>
      </c>
      <c r="F3954" s="114">
        <v>202101</v>
      </c>
      <c r="G3954" s="112" t="s">
        <v>1091</v>
      </c>
      <c r="H3954" s="112" t="s">
        <v>1015</v>
      </c>
      <c r="I3954" s="112" t="s">
        <v>1116</v>
      </c>
      <c r="J3954" s="112" t="s">
        <v>3288</v>
      </c>
      <c r="K3954" s="112" t="s">
        <v>1098</v>
      </c>
      <c r="L3954" s="116">
        <v>3391.33</v>
      </c>
    </row>
    <row r="3955" spans="1:12" hidden="1" outlineLevel="1" collapsed="1" x14ac:dyDescent="0.35">
      <c r="A3955" s="112" t="s">
        <v>3283</v>
      </c>
      <c r="B3955" s="112" t="s">
        <v>912</v>
      </c>
      <c r="C3955" s="112" t="s">
        <v>1095</v>
      </c>
      <c r="D3955" s="113">
        <v>10348451</v>
      </c>
      <c r="E3955" s="115">
        <v>43949</v>
      </c>
      <c r="F3955" s="114">
        <v>202101</v>
      </c>
      <c r="G3955" s="112" t="s">
        <v>1091</v>
      </c>
      <c r="H3955" s="112" t="s">
        <v>1015</v>
      </c>
      <c r="I3955" s="112" t="s">
        <v>1116</v>
      </c>
      <c r="J3955" s="112" t="s">
        <v>3288</v>
      </c>
      <c r="K3955" s="112" t="s">
        <v>1098</v>
      </c>
      <c r="L3955" s="116">
        <v>3391.33</v>
      </c>
    </row>
    <row r="3956" spans="1:12" hidden="1" outlineLevel="1" collapsed="1" x14ac:dyDescent="0.35">
      <c r="A3956" s="112" t="s">
        <v>3283</v>
      </c>
      <c r="B3956" s="112" t="s">
        <v>910</v>
      </c>
      <c r="C3956" s="112" t="s">
        <v>679</v>
      </c>
      <c r="D3956" s="113">
        <v>10348164</v>
      </c>
      <c r="E3956" s="115">
        <v>43930</v>
      </c>
      <c r="F3956" s="114">
        <v>202101</v>
      </c>
      <c r="G3956" s="112" t="s">
        <v>1091</v>
      </c>
      <c r="H3956" s="112" t="s">
        <v>1016</v>
      </c>
      <c r="I3956" s="112" t="s">
        <v>1293</v>
      </c>
      <c r="J3956" s="112" t="s">
        <v>3286</v>
      </c>
      <c r="K3956" s="112" t="s">
        <v>3493</v>
      </c>
      <c r="L3956" s="116">
        <v>-103</v>
      </c>
    </row>
    <row r="3957" spans="1:12" hidden="1" outlineLevel="1" collapsed="1" x14ac:dyDescent="0.35">
      <c r="A3957" s="112" t="s">
        <v>3283</v>
      </c>
      <c r="B3957" s="112" t="s">
        <v>912</v>
      </c>
      <c r="C3957" s="112" t="s">
        <v>1095</v>
      </c>
      <c r="D3957" s="113">
        <v>10348451</v>
      </c>
      <c r="E3957" s="115">
        <v>43949</v>
      </c>
      <c r="F3957" s="114">
        <v>202101</v>
      </c>
      <c r="G3957" s="112" t="s">
        <v>1091</v>
      </c>
      <c r="H3957" s="112" t="s">
        <v>1015</v>
      </c>
      <c r="I3957" s="112" t="s">
        <v>1116</v>
      </c>
      <c r="J3957" s="112" t="s">
        <v>3288</v>
      </c>
      <c r="K3957" s="112" t="s">
        <v>1098</v>
      </c>
      <c r="L3957" s="116">
        <v>2981.92</v>
      </c>
    </row>
    <row r="3958" spans="1:12" hidden="1" outlineLevel="1" collapsed="1" x14ac:dyDescent="0.35">
      <c r="A3958" s="112" t="s">
        <v>3283</v>
      </c>
      <c r="B3958" s="112" t="s">
        <v>910</v>
      </c>
      <c r="C3958" s="112" t="s">
        <v>679</v>
      </c>
      <c r="D3958" s="113">
        <v>10348164</v>
      </c>
      <c r="E3958" s="115">
        <v>43930</v>
      </c>
      <c r="F3958" s="114">
        <v>202101</v>
      </c>
      <c r="G3958" s="112" t="s">
        <v>1091</v>
      </c>
      <c r="H3958" s="112" t="s">
        <v>1016</v>
      </c>
      <c r="I3958" s="112" t="s">
        <v>1293</v>
      </c>
      <c r="J3958" s="112" t="s">
        <v>3286</v>
      </c>
      <c r="K3958" s="112" t="s">
        <v>3494</v>
      </c>
      <c r="L3958" s="116">
        <v>-462</v>
      </c>
    </row>
    <row r="3959" spans="1:12" hidden="1" outlineLevel="1" collapsed="1" x14ac:dyDescent="0.35">
      <c r="A3959" s="112" t="s">
        <v>3283</v>
      </c>
      <c r="B3959" s="112" t="s">
        <v>3298</v>
      </c>
      <c r="C3959" s="112" t="s">
        <v>679</v>
      </c>
      <c r="D3959" s="113">
        <v>10348164</v>
      </c>
      <c r="E3959" s="115">
        <v>43930</v>
      </c>
      <c r="F3959" s="114">
        <v>202101</v>
      </c>
      <c r="G3959" s="112" t="s">
        <v>1091</v>
      </c>
      <c r="H3959" s="112" t="s">
        <v>1016</v>
      </c>
      <c r="I3959" s="112" t="s">
        <v>2337</v>
      </c>
      <c r="J3959" s="112" t="s">
        <v>3299</v>
      </c>
      <c r="K3959" s="112" t="s">
        <v>3495</v>
      </c>
      <c r="L3959" s="116">
        <v>-247</v>
      </c>
    </row>
    <row r="3960" spans="1:12" hidden="1" outlineLevel="1" collapsed="1" x14ac:dyDescent="0.35">
      <c r="A3960" s="112" t="s">
        <v>3283</v>
      </c>
      <c r="B3960" s="112" t="s">
        <v>3298</v>
      </c>
      <c r="C3960" s="112" t="s">
        <v>679</v>
      </c>
      <c r="D3960" s="113">
        <v>10348164</v>
      </c>
      <c r="E3960" s="115">
        <v>43930</v>
      </c>
      <c r="F3960" s="114">
        <v>202101</v>
      </c>
      <c r="G3960" s="112" t="s">
        <v>1091</v>
      </c>
      <c r="H3960" s="112" t="s">
        <v>1016</v>
      </c>
      <c r="I3960" s="112" t="s">
        <v>2337</v>
      </c>
      <c r="J3960" s="112" t="s">
        <v>3299</v>
      </c>
      <c r="K3960" s="112" t="s">
        <v>3496</v>
      </c>
      <c r="L3960" s="116">
        <v>-247</v>
      </c>
    </row>
    <row r="3961" spans="1:12" hidden="1" outlineLevel="1" collapsed="1" x14ac:dyDescent="0.35">
      <c r="A3961" s="112" t="s">
        <v>3283</v>
      </c>
      <c r="B3961" s="112" t="s">
        <v>3298</v>
      </c>
      <c r="C3961" s="112" t="s">
        <v>679</v>
      </c>
      <c r="D3961" s="113">
        <v>10348164</v>
      </c>
      <c r="E3961" s="115">
        <v>43930</v>
      </c>
      <c r="F3961" s="114">
        <v>202101</v>
      </c>
      <c r="G3961" s="112" t="s">
        <v>1091</v>
      </c>
      <c r="H3961" s="112" t="s">
        <v>1016</v>
      </c>
      <c r="I3961" s="112" t="s">
        <v>2337</v>
      </c>
      <c r="J3961" s="112" t="s">
        <v>3299</v>
      </c>
      <c r="K3961" s="112" t="s">
        <v>3497</v>
      </c>
      <c r="L3961" s="116">
        <v>-247</v>
      </c>
    </row>
    <row r="3962" spans="1:12" hidden="1" outlineLevel="1" collapsed="1" x14ac:dyDescent="0.35">
      <c r="A3962" s="112" t="s">
        <v>3283</v>
      </c>
      <c r="B3962" s="112" t="s">
        <v>3298</v>
      </c>
      <c r="C3962" s="112" t="s">
        <v>679</v>
      </c>
      <c r="D3962" s="113">
        <v>10348164</v>
      </c>
      <c r="E3962" s="115">
        <v>43930</v>
      </c>
      <c r="F3962" s="114">
        <v>202101</v>
      </c>
      <c r="G3962" s="112" t="s">
        <v>1091</v>
      </c>
      <c r="H3962" s="112" t="s">
        <v>1016</v>
      </c>
      <c r="I3962" s="112" t="s">
        <v>2337</v>
      </c>
      <c r="J3962" s="112" t="s">
        <v>3299</v>
      </c>
      <c r="K3962" s="112" t="s">
        <v>3498</v>
      </c>
      <c r="L3962" s="116">
        <v>-247</v>
      </c>
    </row>
    <row r="3963" spans="1:12" hidden="1" outlineLevel="1" collapsed="1" x14ac:dyDescent="0.35">
      <c r="A3963" s="112" t="s">
        <v>3283</v>
      </c>
      <c r="B3963" s="112" t="s">
        <v>3298</v>
      </c>
      <c r="C3963" s="112" t="s">
        <v>679</v>
      </c>
      <c r="D3963" s="113">
        <v>10348164</v>
      </c>
      <c r="E3963" s="115">
        <v>43930</v>
      </c>
      <c r="F3963" s="114">
        <v>202101</v>
      </c>
      <c r="G3963" s="112" t="s">
        <v>1091</v>
      </c>
      <c r="H3963" s="112" t="s">
        <v>1016</v>
      </c>
      <c r="I3963" s="112" t="s">
        <v>2337</v>
      </c>
      <c r="J3963" s="112" t="s">
        <v>3299</v>
      </c>
      <c r="K3963" s="112" t="s">
        <v>3499</v>
      </c>
      <c r="L3963" s="116">
        <v>-247</v>
      </c>
    </row>
    <row r="3964" spans="1:12" outlineLevel="1" collapsed="1" x14ac:dyDescent="0.35">
      <c r="A3964" s="112" t="s">
        <v>3283</v>
      </c>
      <c r="B3964" s="112" t="s">
        <v>911</v>
      </c>
      <c r="C3964" s="112" t="s">
        <v>1518</v>
      </c>
      <c r="D3964" s="113">
        <v>51366072</v>
      </c>
      <c r="E3964" s="115">
        <v>43929</v>
      </c>
      <c r="F3964" s="114">
        <v>202101</v>
      </c>
      <c r="G3964" s="112" t="s">
        <v>1091</v>
      </c>
      <c r="H3964" s="112" t="s">
        <v>1016</v>
      </c>
      <c r="I3964" s="112" t="s">
        <v>3394</v>
      </c>
      <c r="J3964" s="112" t="s">
        <v>3369</v>
      </c>
      <c r="K3964" s="112" t="s">
        <v>3500</v>
      </c>
      <c r="L3964" s="116">
        <v>-1047000</v>
      </c>
    </row>
    <row r="3965" spans="1:12" hidden="1" outlineLevel="1" collapsed="1" x14ac:dyDescent="0.35">
      <c r="A3965" s="112" t="s">
        <v>3283</v>
      </c>
      <c r="B3965" s="112" t="s">
        <v>3298</v>
      </c>
      <c r="C3965" s="112" t="s">
        <v>679</v>
      </c>
      <c r="D3965" s="113">
        <v>10348164</v>
      </c>
      <c r="E3965" s="115">
        <v>43930</v>
      </c>
      <c r="F3965" s="114">
        <v>202101</v>
      </c>
      <c r="G3965" s="112" t="s">
        <v>1091</v>
      </c>
      <c r="H3965" s="112" t="s">
        <v>1016</v>
      </c>
      <c r="I3965" s="112" t="s">
        <v>2337</v>
      </c>
      <c r="J3965" s="112" t="s">
        <v>3299</v>
      </c>
      <c r="K3965" s="112" t="s">
        <v>3501</v>
      </c>
      <c r="L3965" s="116">
        <v>-247</v>
      </c>
    </row>
    <row r="3966" spans="1:12" hidden="1" outlineLevel="1" collapsed="1" x14ac:dyDescent="0.35">
      <c r="A3966" s="112" t="s">
        <v>3283</v>
      </c>
      <c r="B3966" s="112" t="s">
        <v>910</v>
      </c>
      <c r="C3966" s="112" t="s">
        <v>679</v>
      </c>
      <c r="D3966" s="113">
        <v>10348164</v>
      </c>
      <c r="E3966" s="115">
        <v>43930</v>
      </c>
      <c r="F3966" s="114">
        <v>202101</v>
      </c>
      <c r="G3966" s="112" t="s">
        <v>1091</v>
      </c>
      <c r="H3966" s="112" t="s">
        <v>1016</v>
      </c>
      <c r="I3966" s="112" t="s">
        <v>1293</v>
      </c>
      <c r="J3966" s="112" t="s">
        <v>3286</v>
      </c>
      <c r="K3966" s="112" t="s">
        <v>3502</v>
      </c>
      <c r="L3966" s="116">
        <v>-234</v>
      </c>
    </row>
    <row r="3967" spans="1:12" hidden="1" outlineLevel="1" collapsed="1" x14ac:dyDescent="0.35">
      <c r="A3967" s="112" t="s">
        <v>3283</v>
      </c>
      <c r="B3967" s="112" t="s">
        <v>910</v>
      </c>
      <c r="C3967" s="112" t="s">
        <v>679</v>
      </c>
      <c r="D3967" s="113">
        <v>10348164</v>
      </c>
      <c r="E3967" s="115">
        <v>43930</v>
      </c>
      <c r="F3967" s="114">
        <v>202101</v>
      </c>
      <c r="G3967" s="112" t="s">
        <v>1091</v>
      </c>
      <c r="H3967" s="112" t="s">
        <v>1016</v>
      </c>
      <c r="I3967" s="112" t="s">
        <v>1293</v>
      </c>
      <c r="J3967" s="112" t="s">
        <v>3286</v>
      </c>
      <c r="K3967" s="112" t="s">
        <v>3503</v>
      </c>
      <c r="L3967" s="116">
        <v>-206</v>
      </c>
    </row>
    <row r="3968" spans="1:12" hidden="1" outlineLevel="1" collapsed="1" x14ac:dyDescent="0.35">
      <c r="A3968" s="112" t="s">
        <v>3283</v>
      </c>
      <c r="B3968" s="112" t="s">
        <v>910</v>
      </c>
      <c r="C3968" s="112" t="s">
        <v>679</v>
      </c>
      <c r="D3968" s="113">
        <v>10348164</v>
      </c>
      <c r="E3968" s="115">
        <v>43930</v>
      </c>
      <c r="F3968" s="114">
        <v>202101</v>
      </c>
      <c r="G3968" s="112" t="s">
        <v>1091</v>
      </c>
      <c r="H3968" s="112" t="s">
        <v>1016</v>
      </c>
      <c r="I3968" s="112" t="s">
        <v>1293</v>
      </c>
      <c r="J3968" s="112" t="s">
        <v>3286</v>
      </c>
      <c r="K3968" s="112" t="s">
        <v>3504</v>
      </c>
      <c r="L3968" s="116">
        <v>-462</v>
      </c>
    </row>
    <row r="3969" spans="1:12" hidden="1" outlineLevel="1" collapsed="1" x14ac:dyDescent="0.35">
      <c r="A3969" s="112" t="s">
        <v>3283</v>
      </c>
      <c r="B3969" s="112" t="s">
        <v>910</v>
      </c>
      <c r="C3969" s="112" t="s">
        <v>679</v>
      </c>
      <c r="D3969" s="113">
        <v>10348164</v>
      </c>
      <c r="E3969" s="115">
        <v>43930</v>
      </c>
      <c r="F3969" s="114">
        <v>202101</v>
      </c>
      <c r="G3969" s="112" t="s">
        <v>1091</v>
      </c>
      <c r="H3969" s="112" t="s">
        <v>1016</v>
      </c>
      <c r="I3969" s="112" t="s">
        <v>1293</v>
      </c>
      <c r="J3969" s="112" t="s">
        <v>3286</v>
      </c>
      <c r="K3969" s="112" t="s">
        <v>3505</v>
      </c>
      <c r="L3969" s="116">
        <v>-234</v>
      </c>
    </row>
    <row r="3970" spans="1:12" hidden="1" outlineLevel="1" collapsed="1" x14ac:dyDescent="0.35">
      <c r="A3970" s="112" t="s">
        <v>3283</v>
      </c>
      <c r="B3970" s="112" t="s">
        <v>910</v>
      </c>
      <c r="C3970" s="112" t="s">
        <v>679</v>
      </c>
      <c r="D3970" s="113">
        <v>10348164</v>
      </c>
      <c r="E3970" s="115">
        <v>43930</v>
      </c>
      <c r="F3970" s="114">
        <v>202101</v>
      </c>
      <c r="G3970" s="112" t="s">
        <v>1091</v>
      </c>
      <c r="H3970" s="112" t="s">
        <v>1016</v>
      </c>
      <c r="I3970" s="112" t="s">
        <v>1293</v>
      </c>
      <c r="J3970" s="112" t="s">
        <v>3286</v>
      </c>
      <c r="K3970" s="112" t="s">
        <v>3506</v>
      </c>
      <c r="L3970" s="116">
        <v>-234</v>
      </c>
    </row>
    <row r="3971" spans="1:12" hidden="1" outlineLevel="1" collapsed="1" x14ac:dyDescent="0.35">
      <c r="A3971" s="112" t="s">
        <v>3283</v>
      </c>
      <c r="B3971" s="112" t="s">
        <v>910</v>
      </c>
      <c r="C3971" s="112" t="s">
        <v>679</v>
      </c>
      <c r="D3971" s="113">
        <v>10348164</v>
      </c>
      <c r="E3971" s="115">
        <v>43930</v>
      </c>
      <c r="F3971" s="114">
        <v>202101</v>
      </c>
      <c r="G3971" s="112" t="s">
        <v>1091</v>
      </c>
      <c r="H3971" s="112" t="s">
        <v>1016</v>
      </c>
      <c r="I3971" s="112" t="s">
        <v>1293</v>
      </c>
      <c r="J3971" s="112" t="s">
        <v>3286</v>
      </c>
      <c r="K3971" s="112" t="s">
        <v>3507</v>
      </c>
      <c r="L3971" s="116">
        <v>-234</v>
      </c>
    </row>
    <row r="3972" spans="1:12" hidden="1" outlineLevel="1" collapsed="1" x14ac:dyDescent="0.35">
      <c r="A3972" s="112" t="s">
        <v>3283</v>
      </c>
      <c r="B3972" s="112" t="s">
        <v>910</v>
      </c>
      <c r="C3972" s="112" t="s">
        <v>679</v>
      </c>
      <c r="D3972" s="113">
        <v>10348164</v>
      </c>
      <c r="E3972" s="115">
        <v>43930</v>
      </c>
      <c r="F3972" s="114">
        <v>202101</v>
      </c>
      <c r="G3972" s="112" t="s">
        <v>1091</v>
      </c>
      <c r="H3972" s="112" t="s">
        <v>1016</v>
      </c>
      <c r="I3972" s="112" t="s">
        <v>1293</v>
      </c>
      <c r="J3972" s="112" t="s">
        <v>3286</v>
      </c>
      <c r="K3972" s="112" t="s">
        <v>3508</v>
      </c>
      <c r="L3972" s="116">
        <v>-462</v>
      </c>
    </row>
    <row r="3973" spans="1:12" hidden="1" outlineLevel="1" collapsed="1" x14ac:dyDescent="0.35">
      <c r="A3973" s="112" t="s">
        <v>3283</v>
      </c>
      <c r="B3973" s="112" t="s">
        <v>3298</v>
      </c>
      <c r="C3973" s="112" t="s">
        <v>679</v>
      </c>
      <c r="D3973" s="113">
        <v>10348164</v>
      </c>
      <c r="E3973" s="115">
        <v>43930</v>
      </c>
      <c r="F3973" s="114">
        <v>202101</v>
      </c>
      <c r="G3973" s="112" t="s">
        <v>1091</v>
      </c>
      <c r="H3973" s="112" t="s">
        <v>1016</v>
      </c>
      <c r="I3973" s="112" t="s">
        <v>2337</v>
      </c>
      <c r="J3973" s="112" t="s">
        <v>3299</v>
      </c>
      <c r="K3973" s="112" t="s">
        <v>3509</v>
      </c>
      <c r="L3973" s="116">
        <v>-381</v>
      </c>
    </row>
    <row r="3974" spans="1:12" hidden="1" outlineLevel="1" collapsed="1" x14ac:dyDescent="0.35">
      <c r="A3974" s="112" t="s">
        <v>3283</v>
      </c>
      <c r="B3974" s="112" t="s">
        <v>910</v>
      </c>
      <c r="C3974" s="112" t="s">
        <v>679</v>
      </c>
      <c r="D3974" s="113">
        <v>10348164</v>
      </c>
      <c r="E3974" s="115">
        <v>43930</v>
      </c>
      <c r="F3974" s="114">
        <v>202101</v>
      </c>
      <c r="G3974" s="112" t="s">
        <v>1091</v>
      </c>
      <c r="H3974" s="112" t="s">
        <v>1016</v>
      </c>
      <c r="I3974" s="112" t="s">
        <v>1293</v>
      </c>
      <c r="J3974" s="112" t="s">
        <v>3286</v>
      </c>
      <c r="K3974" s="112" t="s">
        <v>3510</v>
      </c>
      <c r="L3974" s="116">
        <v>-742</v>
      </c>
    </row>
    <row r="3975" spans="1:12" hidden="1" outlineLevel="1" collapsed="1" x14ac:dyDescent="0.35">
      <c r="A3975" s="112" t="s">
        <v>3283</v>
      </c>
      <c r="B3975" s="112" t="s">
        <v>3298</v>
      </c>
      <c r="C3975" s="112" t="s">
        <v>679</v>
      </c>
      <c r="D3975" s="113">
        <v>10348164</v>
      </c>
      <c r="E3975" s="115">
        <v>43930</v>
      </c>
      <c r="F3975" s="114">
        <v>202101</v>
      </c>
      <c r="G3975" s="112" t="s">
        <v>1091</v>
      </c>
      <c r="H3975" s="112" t="s">
        <v>1016</v>
      </c>
      <c r="I3975" s="112" t="s">
        <v>2337</v>
      </c>
      <c r="J3975" s="112" t="s">
        <v>3299</v>
      </c>
      <c r="K3975" s="112" t="s">
        <v>3511</v>
      </c>
      <c r="L3975" s="116">
        <v>-247</v>
      </c>
    </row>
    <row r="3976" spans="1:12" hidden="1" outlineLevel="1" collapsed="1" x14ac:dyDescent="0.35">
      <c r="A3976" s="112" t="s">
        <v>3283</v>
      </c>
      <c r="B3976" s="112" t="s">
        <v>910</v>
      </c>
      <c r="C3976" s="112" t="s">
        <v>679</v>
      </c>
      <c r="D3976" s="113">
        <v>10348164</v>
      </c>
      <c r="E3976" s="115">
        <v>43930</v>
      </c>
      <c r="F3976" s="114">
        <v>202101</v>
      </c>
      <c r="G3976" s="112" t="s">
        <v>1091</v>
      </c>
      <c r="H3976" s="112" t="s">
        <v>1016</v>
      </c>
      <c r="I3976" s="112" t="s">
        <v>1293</v>
      </c>
      <c r="J3976" s="112" t="s">
        <v>3286</v>
      </c>
      <c r="K3976" s="112" t="s">
        <v>3512</v>
      </c>
      <c r="L3976" s="116">
        <v>-4158</v>
      </c>
    </row>
    <row r="3977" spans="1:12" hidden="1" outlineLevel="1" collapsed="1" x14ac:dyDescent="0.35">
      <c r="A3977" s="112" t="s">
        <v>3283</v>
      </c>
      <c r="B3977" s="112" t="s">
        <v>912</v>
      </c>
      <c r="C3977" s="112" t="s">
        <v>1095</v>
      </c>
      <c r="D3977" s="113">
        <v>10348451</v>
      </c>
      <c r="E3977" s="115">
        <v>43949</v>
      </c>
      <c r="F3977" s="114">
        <v>202101</v>
      </c>
      <c r="G3977" s="112" t="s">
        <v>1091</v>
      </c>
      <c r="H3977" s="112" t="s">
        <v>1015</v>
      </c>
      <c r="I3977" s="112" t="s">
        <v>1116</v>
      </c>
      <c r="J3977" s="112" t="s">
        <v>3292</v>
      </c>
      <c r="K3977" s="112" t="s">
        <v>1098</v>
      </c>
      <c r="L3977" s="116">
        <v>5803.75</v>
      </c>
    </row>
    <row r="3978" spans="1:12" hidden="1" outlineLevel="1" collapsed="1" x14ac:dyDescent="0.35">
      <c r="A3978" s="112" t="s">
        <v>3283</v>
      </c>
      <c r="B3978" s="112" t="s">
        <v>910</v>
      </c>
      <c r="C3978" s="112" t="s">
        <v>679</v>
      </c>
      <c r="D3978" s="113">
        <v>10348115</v>
      </c>
      <c r="E3978" s="115">
        <v>43929</v>
      </c>
      <c r="F3978" s="114">
        <v>202101</v>
      </c>
      <c r="G3978" s="112" t="s">
        <v>1091</v>
      </c>
      <c r="H3978" s="112" t="s">
        <v>1016</v>
      </c>
      <c r="I3978" s="112" t="s">
        <v>1293</v>
      </c>
      <c r="J3978" s="112" t="s">
        <v>3286</v>
      </c>
      <c r="K3978" s="112" t="s">
        <v>3513</v>
      </c>
      <c r="L3978" s="116">
        <v>-234</v>
      </c>
    </row>
    <row r="3979" spans="1:12" outlineLevel="1" collapsed="1" x14ac:dyDescent="0.35">
      <c r="A3979" s="112" t="s">
        <v>3283</v>
      </c>
      <c r="B3979" s="112" t="s">
        <v>911</v>
      </c>
      <c r="C3979" s="112" t="s">
        <v>695</v>
      </c>
      <c r="D3979" s="113">
        <v>10348150</v>
      </c>
      <c r="E3979" s="115">
        <v>43930</v>
      </c>
      <c r="F3979" s="114">
        <v>202101</v>
      </c>
      <c r="G3979" s="112" t="s">
        <v>1091</v>
      </c>
      <c r="H3979" s="112" t="s">
        <v>1015</v>
      </c>
      <c r="I3979" s="112" t="s">
        <v>1459</v>
      </c>
      <c r="J3979" s="112" t="s">
        <v>3284</v>
      </c>
      <c r="K3979" s="112" t="s">
        <v>3514</v>
      </c>
      <c r="L3979" s="116">
        <v>-13232.75</v>
      </c>
    </row>
    <row r="3980" spans="1:12" hidden="1" outlineLevel="1" collapsed="1" x14ac:dyDescent="0.35">
      <c r="A3980" s="112" t="s">
        <v>3283</v>
      </c>
      <c r="B3980" s="112" t="s">
        <v>910</v>
      </c>
      <c r="C3980" s="112" t="s">
        <v>679</v>
      </c>
      <c r="D3980" s="113">
        <v>10347933</v>
      </c>
      <c r="E3980" s="115">
        <v>43922</v>
      </c>
      <c r="F3980" s="114">
        <v>202101</v>
      </c>
      <c r="G3980" s="112" t="s">
        <v>1091</v>
      </c>
      <c r="H3980" s="112" t="s">
        <v>1016</v>
      </c>
      <c r="I3980" s="112" t="s">
        <v>1293</v>
      </c>
      <c r="J3980" s="112" t="s">
        <v>3286</v>
      </c>
      <c r="K3980" s="112" t="s">
        <v>3515</v>
      </c>
      <c r="L3980" s="116">
        <v>-206</v>
      </c>
    </row>
    <row r="3981" spans="1:12" hidden="1" outlineLevel="1" collapsed="1" x14ac:dyDescent="0.35">
      <c r="A3981" s="112" t="s">
        <v>3283</v>
      </c>
      <c r="B3981" s="112" t="s">
        <v>910</v>
      </c>
      <c r="C3981" s="112" t="s">
        <v>679</v>
      </c>
      <c r="D3981" s="113">
        <v>10348027</v>
      </c>
      <c r="E3981" s="115">
        <v>43927</v>
      </c>
      <c r="F3981" s="114">
        <v>202101</v>
      </c>
      <c r="G3981" s="112" t="s">
        <v>1091</v>
      </c>
      <c r="H3981" s="112" t="s">
        <v>1016</v>
      </c>
      <c r="I3981" s="112" t="s">
        <v>1293</v>
      </c>
      <c r="J3981" s="112" t="s">
        <v>3286</v>
      </c>
      <c r="K3981" s="112" t="s">
        <v>3516</v>
      </c>
      <c r="L3981" s="116">
        <v>-462</v>
      </c>
    </row>
    <row r="3982" spans="1:12" hidden="1" outlineLevel="1" collapsed="1" x14ac:dyDescent="0.35">
      <c r="A3982" s="112" t="s">
        <v>3283</v>
      </c>
      <c r="B3982" s="112" t="s">
        <v>910</v>
      </c>
      <c r="C3982" s="112" t="s">
        <v>679</v>
      </c>
      <c r="D3982" s="113">
        <v>10348027</v>
      </c>
      <c r="E3982" s="115">
        <v>43927</v>
      </c>
      <c r="F3982" s="114">
        <v>202101</v>
      </c>
      <c r="G3982" s="112" t="s">
        <v>1091</v>
      </c>
      <c r="H3982" s="112" t="s">
        <v>1016</v>
      </c>
      <c r="I3982" s="112" t="s">
        <v>1293</v>
      </c>
      <c r="J3982" s="112" t="s">
        <v>3286</v>
      </c>
      <c r="K3982" s="112" t="s">
        <v>3517</v>
      </c>
      <c r="L3982" s="116">
        <v>-234</v>
      </c>
    </row>
    <row r="3983" spans="1:12" hidden="1" outlineLevel="1" collapsed="1" x14ac:dyDescent="0.35">
      <c r="A3983" s="112" t="s">
        <v>3283</v>
      </c>
      <c r="B3983" s="112" t="s">
        <v>910</v>
      </c>
      <c r="C3983" s="112" t="s">
        <v>679</v>
      </c>
      <c r="D3983" s="113">
        <v>10348027</v>
      </c>
      <c r="E3983" s="115">
        <v>43927</v>
      </c>
      <c r="F3983" s="114">
        <v>202101</v>
      </c>
      <c r="G3983" s="112" t="s">
        <v>1091</v>
      </c>
      <c r="H3983" s="112" t="s">
        <v>1016</v>
      </c>
      <c r="I3983" s="112" t="s">
        <v>1293</v>
      </c>
      <c r="J3983" s="112" t="s">
        <v>3286</v>
      </c>
      <c r="K3983" s="112" t="s">
        <v>3518</v>
      </c>
      <c r="L3983" s="116">
        <v>-234</v>
      </c>
    </row>
    <row r="3984" spans="1:12" hidden="1" outlineLevel="1" collapsed="1" x14ac:dyDescent="0.35">
      <c r="A3984" s="112" t="s">
        <v>3283</v>
      </c>
      <c r="B3984" s="112" t="s">
        <v>910</v>
      </c>
      <c r="C3984" s="112" t="s">
        <v>679</v>
      </c>
      <c r="D3984" s="113">
        <v>10348027</v>
      </c>
      <c r="E3984" s="115">
        <v>43927</v>
      </c>
      <c r="F3984" s="114">
        <v>202101</v>
      </c>
      <c r="G3984" s="112" t="s">
        <v>1091</v>
      </c>
      <c r="H3984" s="112" t="s">
        <v>1016</v>
      </c>
      <c r="I3984" s="112" t="s">
        <v>1293</v>
      </c>
      <c r="J3984" s="112" t="s">
        <v>3286</v>
      </c>
      <c r="K3984" s="112" t="s">
        <v>3519</v>
      </c>
      <c r="L3984" s="116">
        <v>-116</v>
      </c>
    </row>
    <row r="3985" spans="1:12" hidden="1" outlineLevel="1" collapsed="1" x14ac:dyDescent="0.35">
      <c r="A3985" s="112" t="s">
        <v>3283</v>
      </c>
      <c r="B3985" s="112" t="s">
        <v>3298</v>
      </c>
      <c r="C3985" s="112" t="s">
        <v>679</v>
      </c>
      <c r="D3985" s="113">
        <v>10348056</v>
      </c>
      <c r="E3985" s="115">
        <v>43928</v>
      </c>
      <c r="F3985" s="114">
        <v>202101</v>
      </c>
      <c r="G3985" s="112" t="s">
        <v>1091</v>
      </c>
      <c r="H3985" s="112" t="s">
        <v>1016</v>
      </c>
      <c r="I3985" s="112" t="s">
        <v>2337</v>
      </c>
      <c r="J3985" s="112" t="s">
        <v>3299</v>
      </c>
      <c r="K3985" s="112" t="s">
        <v>3520</v>
      </c>
      <c r="L3985" s="116">
        <v>-7</v>
      </c>
    </row>
    <row r="3986" spans="1:12" hidden="1" outlineLevel="1" collapsed="1" x14ac:dyDescent="0.35">
      <c r="A3986" s="112" t="s">
        <v>3283</v>
      </c>
      <c r="B3986" s="112" t="s">
        <v>910</v>
      </c>
      <c r="C3986" s="112" t="s">
        <v>679</v>
      </c>
      <c r="D3986" s="113">
        <v>10348027</v>
      </c>
      <c r="E3986" s="115">
        <v>43927</v>
      </c>
      <c r="F3986" s="114">
        <v>202101</v>
      </c>
      <c r="G3986" s="112" t="s">
        <v>1091</v>
      </c>
      <c r="H3986" s="112" t="s">
        <v>1016</v>
      </c>
      <c r="I3986" s="112" t="s">
        <v>1293</v>
      </c>
      <c r="J3986" s="112" t="s">
        <v>3286</v>
      </c>
      <c r="K3986" s="112" t="s">
        <v>3521</v>
      </c>
      <c r="L3986" s="116">
        <v>-116</v>
      </c>
    </row>
    <row r="3987" spans="1:12" outlineLevel="1" collapsed="1" x14ac:dyDescent="0.35">
      <c r="A3987" s="112" t="s">
        <v>3283</v>
      </c>
      <c r="B3987" s="112" t="s">
        <v>911</v>
      </c>
      <c r="C3987" s="112" t="s">
        <v>1099</v>
      </c>
      <c r="D3987" s="113">
        <v>1069400</v>
      </c>
      <c r="E3987" s="115">
        <v>43916</v>
      </c>
      <c r="F3987" s="114">
        <v>202101</v>
      </c>
      <c r="G3987" s="112" t="s">
        <v>1091</v>
      </c>
      <c r="H3987" s="112" t="s">
        <v>1015</v>
      </c>
      <c r="I3987" s="112" t="s">
        <v>763</v>
      </c>
      <c r="J3987" s="112" t="s">
        <v>3284</v>
      </c>
      <c r="K3987" s="112" t="s">
        <v>3522</v>
      </c>
      <c r="L3987" s="116">
        <v>30094.17</v>
      </c>
    </row>
    <row r="3988" spans="1:12" hidden="1" outlineLevel="1" collapsed="1" x14ac:dyDescent="0.35">
      <c r="A3988" s="112" t="s">
        <v>3283</v>
      </c>
      <c r="B3988" s="112" t="s">
        <v>910</v>
      </c>
      <c r="C3988" s="112" t="s">
        <v>1095</v>
      </c>
      <c r="D3988" s="113">
        <v>10348451</v>
      </c>
      <c r="E3988" s="115">
        <v>43949</v>
      </c>
      <c r="F3988" s="114">
        <v>202101</v>
      </c>
      <c r="G3988" s="112" t="s">
        <v>1091</v>
      </c>
      <c r="H3988" s="112" t="s">
        <v>1015</v>
      </c>
      <c r="I3988" s="112" t="s">
        <v>1096</v>
      </c>
      <c r="J3988" s="112" t="s">
        <v>3286</v>
      </c>
      <c r="K3988" s="112" t="s">
        <v>1098</v>
      </c>
      <c r="L3988" s="116">
        <v>220.08</v>
      </c>
    </row>
    <row r="3989" spans="1:12" hidden="1" outlineLevel="1" collapsed="1" x14ac:dyDescent="0.35">
      <c r="A3989" s="112" t="s">
        <v>3283</v>
      </c>
      <c r="B3989" s="112" t="s">
        <v>910</v>
      </c>
      <c r="C3989" s="112" t="s">
        <v>1095</v>
      </c>
      <c r="D3989" s="113">
        <v>10348451</v>
      </c>
      <c r="E3989" s="115">
        <v>43949</v>
      </c>
      <c r="F3989" s="114">
        <v>202101</v>
      </c>
      <c r="G3989" s="112" t="s">
        <v>1091</v>
      </c>
      <c r="H3989" s="112" t="s">
        <v>1015</v>
      </c>
      <c r="I3989" s="112" t="s">
        <v>1128</v>
      </c>
      <c r="J3989" s="112" t="s">
        <v>3286</v>
      </c>
      <c r="K3989" s="112" t="s">
        <v>1098</v>
      </c>
      <c r="L3989" s="116">
        <v>20</v>
      </c>
    </row>
    <row r="3990" spans="1:12" hidden="1" outlineLevel="1" collapsed="1" x14ac:dyDescent="0.35">
      <c r="A3990" s="112" t="s">
        <v>3283</v>
      </c>
      <c r="B3990" s="112" t="s">
        <v>910</v>
      </c>
      <c r="C3990" s="112" t="s">
        <v>1095</v>
      </c>
      <c r="D3990" s="113">
        <v>10348451</v>
      </c>
      <c r="E3990" s="115">
        <v>43949</v>
      </c>
      <c r="F3990" s="114">
        <v>202101</v>
      </c>
      <c r="G3990" s="112" t="s">
        <v>1091</v>
      </c>
      <c r="H3990" s="112" t="s">
        <v>1015</v>
      </c>
      <c r="I3990" s="112" t="s">
        <v>1096</v>
      </c>
      <c r="J3990" s="112" t="s">
        <v>3286</v>
      </c>
      <c r="K3990" s="112" t="s">
        <v>1098</v>
      </c>
      <c r="L3990" s="116">
        <v>196.11</v>
      </c>
    </row>
    <row r="3991" spans="1:12" hidden="1" outlineLevel="1" collapsed="1" x14ac:dyDescent="0.35">
      <c r="A3991" s="112" t="s">
        <v>3283</v>
      </c>
      <c r="B3991" s="112" t="s">
        <v>910</v>
      </c>
      <c r="C3991" s="112" t="s">
        <v>1095</v>
      </c>
      <c r="D3991" s="113">
        <v>10348451</v>
      </c>
      <c r="E3991" s="115">
        <v>43949</v>
      </c>
      <c r="F3991" s="114">
        <v>202101</v>
      </c>
      <c r="G3991" s="112" t="s">
        <v>1091</v>
      </c>
      <c r="H3991" s="112" t="s">
        <v>1015</v>
      </c>
      <c r="I3991" s="112" t="s">
        <v>1101</v>
      </c>
      <c r="J3991" s="112" t="s">
        <v>3286</v>
      </c>
      <c r="K3991" s="112" t="s">
        <v>1098</v>
      </c>
      <c r="L3991" s="116">
        <v>348.8</v>
      </c>
    </row>
    <row r="3992" spans="1:12" hidden="1" outlineLevel="1" collapsed="1" x14ac:dyDescent="0.35">
      <c r="A3992" s="112" t="s">
        <v>3283</v>
      </c>
      <c r="B3992" s="112" t="s">
        <v>910</v>
      </c>
      <c r="C3992" s="112" t="s">
        <v>1095</v>
      </c>
      <c r="D3992" s="113">
        <v>10348451</v>
      </c>
      <c r="E3992" s="115">
        <v>43949</v>
      </c>
      <c r="F3992" s="114">
        <v>202101</v>
      </c>
      <c r="G3992" s="112" t="s">
        <v>1091</v>
      </c>
      <c r="H3992" s="112" t="s">
        <v>1015</v>
      </c>
      <c r="I3992" s="112" t="s">
        <v>3523</v>
      </c>
      <c r="J3992" s="112" t="s">
        <v>3286</v>
      </c>
      <c r="K3992" s="112" t="s">
        <v>1098</v>
      </c>
      <c r="L3992" s="116">
        <v>315</v>
      </c>
    </row>
    <row r="3993" spans="1:12" hidden="1" outlineLevel="1" collapsed="1" x14ac:dyDescent="0.35">
      <c r="A3993" s="112" t="s">
        <v>3283</v>
      </c>
      <c r="B3993" s="112" t="s">
        <v>910</v>
      </c>
      <c r="C3993" s="112" t="s">
        <v>1095</v>
      </c>
      <c r="D3993" s="113">
        <v>10348451</v>
      </c>
      <c r="E3993" s="115">
        <v>43949</v>
      </c>
      <c r="F3993" s="114">
        <v>202101</v>
      </c>
      <c r="G3993" s="112" t="s">
        <v>1091</v>
      </c>
      <c r="H3993" s="112" t="s">
        <v>1015</v>
      </c>
      <c r="I3993" s="112" t="s">
        <v>1128</v>
      </c>
      <c r="J3993" s="112" t="s">
        <v>3286</v>
      </c>
      <c r="K3993" s="112" t="s">
        <v>1098</v>
      </c>
      <c r="L3993" s="116">
        <v>50</v>
      </c>
    </row>
    <row r="3994" spans="1:12" hidden="1" outlineLevel="1" collapsed="1" x14ac:dyDescent="0.35">
      <c r="A3994" s="112" t="s">
        <v>3283</v>
      </c>
      <c r="B3994" s="112" t="s">
        <v>3298</v>
      </c>
      <c r="C3994" s="112" t="s">
        <v>679</v>
      </c>
      <c r="D3994" s="113">
        <v>10347933</v>
      </c>
      <c r="E3994" s="115">
        <v>43922</v>
      </c>
      <c r="F3994" s="114">
        <v>202101</v>
      </c>
      <c r="G3994" s="112" t="s">
        <v>1091</v>
      </c>
      <c r="H3994" s="112" t="s">
        <v>1016</v>
      </c>
      <c r="I3994" s="112" t="s">
        <v>2337</v>
      </c>
      <c r="J3994" s="112" t="s">
        <v>3299</v>
      </c>
      <c r="K3994" s="112" t="s">
        <v>3524</v>
      </c>
      <c r="L3994" s="116">
        <v>-5.87</v>
      </c>
    </row>
    <row r="3995" spans="1:12" hidden="1" outlineLevel="1" collapsed="1" x14ac:dyDescent="0.35">
      <c r="A3995" s="112" t="s">
        <v>3283</v>
      </c>
      <c r="B3995" s="112" t="s">
        <v>910</v>
      </c>
      <c r="C3995" s="112" t="s">
        <v>679</v>
      </c>
      <c r="D3995" s="113">
        <v>10347933</v>
      </c>
      <c r="E3995" s="115">
        <v>43922</v>
      </c>
      <c r="F3995" s="114">
        <v>202101</v>
      </c>
      <c r="G3995" s="112" t="s">
        <v>1091</v>
      </c>
      <c r="H3995" s="112" t="s">
        <v>1016</v>
      </c>
      <c r="I3995" s="112" t="s">
        <v>1293</v>
      </c>
      <c r="J3995" s="112" t="s">
        <v>3286</v>
      </c>
      <c r="K3995" s="112" t="s">
        <v>3525</v>
      </c>
      <c r="L3995" s="116">
        <v>-165.5</v>
      </c>
    </row>
    <row r="3996" spans="1:12" hidden="1" outlineLevel="1" collapsed="1" x14ac:dyDescent="0.35">
      <c r="A3996" s="112" t="s">
        <v>3283</v>
      </c>
      <c r="B3996" s="112" t="s">
        <v>910</v>
      </c>
      <c r="C3996" s="112" t="s">
        <v>679</v>
      </c>
      <c r="D3996" s="113">
        <v>10347933</v>
      </c>
      <c r="E3996" s="115">
        <v>43922</v>
      </c>
      <c r="F3996" s="114">
        <v>202101</v>
      </c>
      <c r="G3996" s="112" t="s">
        <v>1091</v>
      </c>
      <c r="H3996" s="112" t="s">
        <v>1016</v>
      </c>
      <c r="I3996" s="112" t="s">
        <v>1293</v>
      </c>
      <c r="J3996" s="112" t="s">
        <v>3286</v>
      </c>
      <c r="K3996" s="112" t="s">
        <v>3526</v>
      </c>
      <c r="L3996" s="116">
        <v>-4158</v>
      </c>
    </row>
    <row r="3997" spans="1:12" hidden="1" outlineLevel="1" collapsed="1" x14ac:dyDescent="0.35">
      <c r="A3997" s="112" t="s">
        <v>3283</v>
      </c>
      <c r="B3997" s="112" t="s">
        <v>910</v>
      </c>
      <c r="C3997" s="112" t="s">
        <v>679</v>
      </c>
      <c r="D3997" s="113">
        <v>10347933</v>
      </c>
      <c r="E3997" s="115">
        <v>43922</v>
      </c>
      <c r="F3997" s="114">
        <v>202101</v>
      </c>
      <c r="G3997" s="112" t="s">
        <v>1091</v>
      </c>
      <c r="H3997" s="112" t="s">
        <v>1016</v>
      </c>
      <c r="I3997" s="112" t="s">
        <v>1293</v>
      </c>
      <c r="J3997" s="112" t="s">
        <v>3286</v>
      </c>
      <c r="K3997" s="112" t="s">
        <v>3527</v>
      </c>
      <c r="L3997" s="116">
        <v>-103</v>
      </c>
    </row>
    <row r="3998" spans="1:12" hidden="1" outlineLevel="1" collapsed="1" x14ac:dyDescent="0.35">
      <c r="A3998" s="112" t="s">
        <v>3283</v>
      </c>
      <c r="B3998" s="112" t="s">
        <v>3298</v>
      </c>
      <c r="C3998" s="112" t="s">
        <v>679</v>
      </c>
      <c r="D3998" s="113">
        <v>10347933</v>
      </c>
      <c r="E3998" s="115">
        <v>43922</v>
      </c>
      <c r="F3998" s="114">
        <v>202101</v>
      </c>
      <c r="G3998" s="112" t="s">
        <v>1091</v>
      </c>
      <c r="H3998" s="112" t="s">
        <v>1016</v>
      </c>
      <c r="I3998" s="112" t="s">
        <v>2337</v>
      </c>
      <c r="J3998" s="112" t="s">
        <v>3299</v>
      </c>
      <c r="K3998" s="112" t="s">
        <v>3528</v>
      </c>
      <c r="L3998" s="116">
        <v>-222.81</v>
      </c>
    </row>
    <row r="3999" spans="1:12" hidden="1" outlineLevel="1" collapsed="1" x14ac:dyDescent="0.35">
      <c r="A3999" s="112" t="s">
        <v>3283</v>
      </c>
      <c r="B3999" s="112" t="s">
        <v>912</v>
      </c>
      <c r="C3999" s="112" t="s">
        <v>1095</v>
      </c>
      <c r="D3999" s="113">
        <v>10348451</v>
      </c>
      <c r="E3999" s="115">
        <v>43949</v>
      </c>
      <c r="F3999" s="114">
        <v>202101</v>
      </c>
      <c r="G3999" s="112" t="s">
        <v>1091</v>
      </c>
      <c r="H3999" s="112" t="s">
        <v>1015</v>
      </c>
      <c r="I3999" s="112" t="s">
        <v>1113</v>
      </c>
      <c r="J3999" s="112" t="s">
        <v>3292</v>
      </c>
      <c r="K3999" s="112" t="s">
        <v>1098</v>
      </c>
      <c r="L3999" s="116">
        <v>74.17</v>
      </c>
    </row>
    <row r="4000" spans="1:12" hidden="1" outlineLevel="1" collapsed="1" x14ac:dyDescent="0.35">
      <c r="A4000" s="112" t="s">
        <v>3283</v>
      </c>
      <c r="B4000" s="112" t="s">
        <v>3298</v>
      </c>
      <c r="C4000" s="112" t="s">
        <v>679</v>
      </c>
      <c r="D4000" s="113">
        <v>10348027</v>
      </c>
      <c r="E4000" s="115">
        <v>43927</v>
      </c>
      <c r="F4000" s="114">
        <v>202101</v>
      </c>
      <c r="G4000" s="112" t="s">
        <v>1091</v>
      </c>
      <c r="H4000" s="112" t="s">
        <v>1016</v>
      </c>
      <c r="I4000" s="112" t="s">
        <v>2337</v>
      </c>
      <c r="J4000" s="112" t="s">
        <v>3299</v>
      </c>
      <c r="K4000" s="112" t="s">
        <v>706</v>
      </c>
      <c r="L4000" s="116">
        <v>-4329.18</v>
      </c>
    </row>
    <row r="4001" spans="1:12" hidden="1" outlineLevel="1" collapsed="1" x14ac:dyDescent="0.35">
      <c r="A4001" s="112" t="s">
        <v>3283</v>
      </c>
      <c r="B4001" s="112" t="s">
        <v>910</v>
      </c>
      <c r="C4001" s="112" t="s">
        <v>679</v>
      </c>
      <c r="D4001" s="113">
        <v>10347933</v>
      </c>
      <c r="E4001" s="115">
        <v>43922</v>
      </c>
      <c r="F4001" s="114">
        <v>202101</v>
      </c>
      <c r="G4001" s="112" t="s">
        <v>1091</v>
      </c>
      <c r="H4001" s="112" t="s">
        <v>1016</v>
      </c>
      <c r="I4001" s="112" t="s">
        <v>1293</v>
      </c>
      <c r="J4001" s="112" t="s">
        <v>3286</v>
      </c>
      <c r="K4001" s="112" t="s">
        <v>3529</v>
      </c>
      <c r="L4001" s="116">
        <v>-206</v>
      </c>
    </row>
    <row r="4002" spans="1:12" hidden="1" outlineLevel="1" collapsed="1" x14ac:dyDescent="0.35">
      <c r="A4002" s="112" t="s">
        <v>3283</v>
      </c>
      <c r="B4002" s="112" t="s">
        <v>912</v>
      </c>
      <c r="C4002" s="112" t="s">
        <v>1095</v>
      </c>
      <c r="D4002" s="113">
        <v>10348451</v>
      </c>
      <c r="E4002" s="115">
        <v>43949</v>
      </c>
      <c r="F4002" s="114">
        <v>202101</v>
      </c>
      <c r="G4002" s="112" t="s">
        <v>1091</v>
      </c>
      <c r="H4002" s="112" t="s">
        <v>1015</v>
      </c>
      <c r="I4002" s="112" t="s">
        <v>1096</v>
      </c>
      <c r="J4002" s="112" t="s">
        <v>3292</v>
      </c>
      <c r="K4002" s="112" t="s">
        <v>1098</v>
      </c>
      <c r="L4002" s="116">
        <v>261.62</v>
      </c>
    </row>
    <row r="4003" spans="1:12" hidden="1" outlineLevel="1" collapsed="1" x14ac:dyDescent="0.35">
      <c r="A4003" s="112" t="s">
        <v>3283</v>
      </c>
      <c r="B4003" s="112" t="s">
        <v>910</v>
      </c>
      <c r="C4003" s="112" t="s">
        <v>679</v>
      </c>
      <c r="D4003" s="113">
        <v>10347933</v>
      </c>
      <c r="E4003" s="115">
        <v>43922</v>
      </c>
      <c r="F4003" s="114">
        <v>202101</v>
      </c>
      <c r="G4003" s="112" t="s">
        <v>1091</v>
      </c>
      <c r="H4003" s="112" t="s">
        <v>1016</v>
      </c>
      <c r="I4003" s="112" t="s">
        <v>1293</v>
      </c>
      <c r="J4003" s="112" t="s">
        <v>3286</v>
      </c>
      <c r="K4003" s="112" t="s">
        <v>3530</v>
      </c>
      <c r="L4003" s="116">
        <v>-234</v>
      </c>
    </row>
    <row r="4004" spans="1:12" hidden="1" outlineLevel="1" collapsed="1" x14ac:dyDescent="0.35">
      <c r="A4004" s="112" t="s">
        <v>3283</v>
      </c>
      <c r="B4004" s="112" t="s">
        <v>3298</v>
      </c>
      <c r="C4004" s="112" t="s">
        <v>679</v>
      </c>
      <c r="D4004" s="113">
        <v>10348027</v>
      </c>
      <c r="E4004" s="115">
        <v>43927</v>
      </c>
      <c r="F4004" s="114">
        <v>202101</v>
      </c>
      <c r="G4004" s="112" t="s">
        <v>1091</v>
      </c>
      <c r="H4004" s="112" t="s">
        <v>1016</v>
      </c>
      <c r="I4004" s="112" t="s">
        <v>2337</v>
      </c>
      <c r="J4004" s="112" t="s">
        <v>3299</v>
      </c>
      <c r="K4004" s="112" t="s">
        <v>3531</v>
      </c>
      <c r="L4004" s="116">
        <v>-5.87</v>
      </c>
    </row>
    <row r="4005" spans="1:12" hidden="1" outlineLevel="1" collapsed="1" x14ac:dyDescent="0.35">
      <c r="A4005" s="112" t="s">
        <v>3283</v>
      </c>
      <c r="B4005" s="112" t="s">
        <v>910</v>
      </c>
      <c r="C4005" s="112" t="s">
        <v>679</v>
      </c>
      <c r="D4005" s="113">
        <v>10348027</v>
      </c>
      <c r="E4005" s="115">
        <v>43927</v>
      </c>
      <c r="F4005" s="114">
        <v>202101</v>
      </c>
      <c r="G4005" s="112" t="s">
        <v>1091</v>
      </c>
      <c r="H4005" s="112" t="s">
        <v>1016</v>
      </c>
      <c r="I4005" s="112" t="s">
        <v>1293</v>
      </c>
      <c r="J4005" s="112" t="s">
        <v>3286</v>
      </c>
      <c r="K4005" s="112" t="s">
        <v>3532</v>
      </c>
      <c r="L4005" s="116">
        <v>-206</v>
      </c>
    </row>
    <row r="4006" spans="1:12" hidden="1" outlineLevel="1" collapsed="1" x14ac:dyDescent="0.35">
      <c r="A4006" s="112" t="s">
        <v>3283</v>
      </c>
      <c r="B4006" s="112" t="s">
        <v>910</v>
      </c>
      <c r="C4006" s="112" t="s">
        <v>679</v>
      </c>
      <c r="D4006" s="113">
        <v>10348027</v>
      </c>
      <c r="E4006" s="115">
        <v>43927</v>
      </c>
      <c r="F4006" s="114">
        <v>202101</v>
      </c>
      <c r="G4006" s="112" t="s">
        <v>1091</v>
      </c>
      <c r="H4006" s="112" t="s">
        <v>1016</v>
      </c>
      <c r="I4006" s="112" t="s">
        <v>819</v>
      </c>
      <c r="J4006" s="112" t="s">
        <v>3286</v>
      </c>
      <c r="K4006" s="112" t="s">
        <v>3533</v>
      </c>
      <c r="L4006" s="116">
        <v>-46</v>
      </c>
    </row>
    <row r="4007" spans="1:12" hidden="1" outlineLevel="1" collapsed="1" x14ac:dyDescent="0.35">
      <c r="A4007" s="112" t="s">
        <v>3283</v>
      </c>
      <c r="B4007" s="112" t="s">
        <v>910</v>
      </c>
      <c r="C4007" s="112" t="s">
        <v>679</v>
      </c>
      <c r="D4007" s="113">
        <v>10348027</v>
      </c>
      <c r="E4007" s="115">
        <v>43927</v>
      </c>
      <c r="F4007" s="114">
        <v>202101</v>
      </c>
      <c r="G4007" s="112" t="s">
        <v>1091</v>
      </c>
      <c r="H4007" s="112" t="s">
        <v>1016</v>
      </c>
      <c r="I4007" s="112" t="s">
        <v>819</v>
      </c>
      <c r="J4007" s="112" t="s">
        <v>3286</v>
      </c>
      <c r="K4007" s="112" t="s">
        <v>3534</v>
      </c>
      <c r="L4007" s="116">
        <v>-1168</v>
      </c>
    </row>
    <row r="4008" spans="1:12" hidden="1" outlineLevel="1" collapsed="1" x14ac:dyDescent="0.35">
      <c r="A4008" s="112" t="s">
        <v>3283</v>
      </c>
      <c r="B4008" s="112" t="s">
        <v>910</v>
      </c>
      <c r="C4008" s="112" t="s">
        <v>679</v>
      </c>
      <c r="D4008" s="113">
        <v>10348027</v>
      </c>
      <c r="E4008" s="115">
        <v>43927</v>
      </c>
      <c r="F4008" s="114">
        <v>202101</v>
      </c>
      <c r="G4008" s="112" t="s">
        <v>1091</v>
      </c>
      <c r="H4008" s="112" t="s">
        <v>1016</v>
      </c>
      <c r="I4008" s="112" t="s">
        <v>1293</v>
      </c>
      <c r="J4008" s="112" t="s">
        <v>3286</v>
      </c>
      <c r="K4008" s="112" t="s">
        <v>3535</v>
      </c>
      <c r="L4008" s="116">
        <v>-206</v>
      </c>
    </row>
    <row r="4009" spans="1:12" hidden="1" outlineLevel="1" collapsed="1" x14ac:dyDescent="0.35">
      <c r="A4009" s="112" t="s">
        <v>3283</v>
      </c>
      <c r="B4009" s="112" t="s">
        <v>910</v>
      </c>
      <c r="C4009" s="112" t="s">
        <v>695</v>
      </c>
      <c r="D4009" s="113">
        <v>10347981</v>
      </c>
      <c r="E4009" s="115">
        <v>43924</v>
      </c>
      <c r="F4009" s="114">
        <v>202101</v>
      </c>
      <c r="G4009" s="112" t="s">
        <v>1091</v>
      </c>
      <c r="H4009" s="112" t="s">
        <v>1015</v>
      </c>
      <c r="I4009" s="112" t="s">
        <v>3262</v>
      </c>
      <c r="J4009" s="112" t="s">
        <v>3286</v>
      </c>
      <c r="K4009" s="112" t="s">
        <v>3536</v>
      </c>
      <c r="L4009" s="116">
        <v>-3339</v>
      </c>
    </row>
    <row r="4010" spans="1:12" hidden="1" outlineLevel="1" collapsed="1" x14ac:dyDescent="0.35">
      <c r="A4010" s="112" t="s">
        <v>3283</v>
      </c>
      <c r="B4010" s="112" t="s">
        <v>912</v>
      </c>
      <c r="C4010" s="112" t="s">
        <v>1099</v>
      </c>
      <c r="D4010" s="113">
        <v>1069489</v>
      </c>
      <c r="E4010" s="115">
        <v>43935</v>
      </c>
      <c r="F4010" s="114">
        <v>202101</v>
      </c>
      <c r="G4010" s="112" t="s">
        <v>1091</v>
      </c>
      <c r="H4010" s="112" t="s">
        <v>1015</v>
      </c>
      <c r="I4010" s="112" t="s">
        <v>767</v>
      </c>
      <c r="J4010" s="112" t="s">
        <v>3292</v>
      </c>
      <c r="K4010" s="112" t="s">
        <v>1318</v>
      </c>
      <c r="L4010" s="116">
        <v>25</v>
      </c>
    </row>
    <row r="4011" spans="1:12" outlineLevel="1" collapsed="1" x14ac:dyDescent="0.35">
      <c r="A4011" s="112" t="s">
        <v>3283</v>
      </c>
      <c r="B4011" s="112" t="s">
        <v>911</v>
      </c>
      <c r="C4011" s="112" t="s">
        <v>695</v>
      </c>
      <c r="D4011" s="113">
        <v>10347981</v>
      </c>
      <c r="E4011" s="115">
        <v>43924</v>
      </c>
      <c r="F4011" s="114">
        <v>202101</v>
      </c>
      <c r="G4011" s="112" t="s">
        <v>1091</v>
      </c>
      <c r="H4011" s="112" t="s">
        <v>1015</v>
      </c>
      <c r="I4011" s="112" t="s">
        <v>761</v>
      </c>
      <c r="J4011" s="112" t="s">
        <v>3369</v>
      </c>
      <c r="K4011" s="112" t="s">
        <v>3537</v>
      </c>
      <c r="L4011" s="116">
        <v>-1800</v>
      </c>
    </row>
    <row r="4012" spans="1:12" hidden="1" outlineLevel="1" collapsed="1" x14ac:dyDescent="0.35">
      <c r="A4012" s="112" t="s">
        <v>3283</v>
      </c>
      <c r="B4012" s="112" t="s">
        <v>3298</v>
      </c>
      <c r="C4012" s="112" t="s">
        <v>679</v>
      </c>
      <c r="D4012" s="113">
        <v>10348056</v>
      </c>
      <c r="E4012" s="115">
        <v>43928</v>
      </c>
      <c r="F4012" s="114">
        <v>202101</v>
      </c>
      <c r="G4012" s="112" t="s">
        <v>1091</v>
      </c>
      <c r="H4012" s="112" t="s">
        <v>1016</v>
      </c>
      <c r="I4012" s="112" t="s">
        <v>2337</v>
      </c>
      <c r="J4012" s="112" t="s">
        <v>3299</v>
      </c>
      <c r="K4012" s="112" t="s">
        <v>3538</v>
      </c>
      <c r="L4012" s="116">
        <v>-7</v>
      </c>
    </row>
    <row r="4013" spans="1:12" hidden="1" outlineLevel="1" collapsed="1" x14ac:dyDescent="0.35">
      <c r="A4013" s="112" t="s">
        <v>3283</v>
      </c>
      <c r="B4013" s="112" t="s">
        <v>912</v>
      </c>
      <c r="C4013" s="112" t="s">
        <v>1095</v>
      </c>
      <c r="D4013" s="113">
        <v>10348451</v>
      </c>
      <c r="E4013" s="115">
        <v>43949</v>
      </c>
      <c r="F4013" s="114">
        <v>202101</v>
      </c>
      <c r="G4013" s="112" t="s">
        <v>1091</v>
      </c>
      <c r="H4013" s="112" t="s">
        <v>1015</v>
      </c>
      <c r="I4013" s="112" t="s">
        <v>1205</v>
      </c>
      <c r="J4013" s="112" t="s">
        <v>3292</v>
      </c>
      <c r="K4013" s="112" t="s">
        <v>1098</v>
      </c>
      <c r="L4013" s="116">
        <v>243.24</v>
      </c>
    </row>
    <row r="4014" spans="1:12" hidden="1" outlineLevel="1" collapsed="1" x14ac:dyDescent="0.35">
      <c r="A4014" s="112" t="s">
        <v>3283</v>
      </c>
      <c r="B4014" s="112" t="s">
        <v>912</v>
      </c>
      <c r="C4014" s="112" t="s">
        <v>1095</v>
      </c>
      <c r="D4014" s="113">
        <v>10348451</v>
      </c>
      <c r="E4014" s="115">
        <v>43949</v>
      </c>
      <c r="F4014" s="114">
        <v>202101</v>
      </c>
      <c r="G4014" s="112" t="s">
        <v>1091</v>
      </c>
      <c r="H4014" s="112" t="s">
        <v>1015</v>
      </c>
      <c r="I4014" s="112" t="s">
        <v>1205</v>
      </c>
      <c r="J4014" s="112" t="s">
        <v>3288</v>
      </c>
      <c r="K4014" s="112" t="s">
        <v>1098</v>
      </c>
      <c r="L4014" s="116">
        <v>300</v>
      </c>
    </row>
    <row r="4015" spans="1:12" hidden="1" outlineLevel="1" collapsed="1" x14ac:dyDescent="0.35">
      <c r="A4015" s="112" t="s">
        <v>3283</v>
      </c>
      <c r="B4015" s="112" t="s">
        <v>910</v>
      </c>
      <c r="C4015" s="112" t="s">
        <v>695</v>
      </c>
      <c r="D4015" s="113">
        <v>10347981</v>
      </c>
      <c r="E4015" s="115">
        <v>43924</v>
      </c>
      <c r="F4015" s="114">
        <v>202101</v>
      </c>
      <c r="G4015" s="112" t="s">
        <v>1091</v>
      </c>
      <c r="H4015" s="112" t="s">
        <v>1015</v>
      </c>
      <c r="I4015" s="112" t="s">
        <v>1102</v>
      </c>
      <c r="J4015" s="112" t="s">
        <v>3286</v>
      </c>
      <c r="K4015" s="112" t="s">
        <v>3539</v>
      </c>
      <c r="L4015" s="116">
        <v>-468</v>
      </c>
    </row>
    <row r="4016" spans="1:12" hidden="1" outlineLevel="1" collapsed="1" x14ac:dyDescent="0.35">
      <c r="A4016" s="112" t="s">
        <v>3283</v>
      </c>
      <c r="B4016" s="112" t="s">
        <v>912</v>
      </c>
      <c r="C4016" s="112" t="s">
        <v>1095</v>
      </c>
      <c r="D4016" s="113">
        <v>10348451</v>
      </c>
      <c r="E4016" s="115">
        <v>43949</v>
      </c>
      <c r="F4016" s="114">
        <v>202101</v>
      </c>
      <c r="G4016" s="112" t="s">
        <v>1091</v>
      </c>
      <c r="H4016" s="112" t="s">
        <v>1015</v>
      </c>
      <c r="I4016" s="112" t="s">
        <v>1096</v>
      </c>
      <c r="J4016" s="112" t="s">
        <v>3288</v>
      </c>
      <c r="K4016" s="112" t="s">
        <v>1098</v>
      </c>
      <c r="L4016" s="116">
        <v>366.99</v>
      </c>
    </row>
    <row r="4017" spans="1:12" hidden="1" outlineLevel="1" collapsed="1" x14ac:dyDescent="0.35">
      <c r="A4017" s="112" t="s">
        <v>3283</v>
      </c>
      <c r="B4017" s="112" t="s">
        <v>910</v>
      </c>
      <c r="C4017" s="112" t="s">
        <v>1095</v>
      </c>
      <c r="D4017" s="113">
        <v>10348451</v>
      </c>
      <c r="E4017" s="115">
        <v>43949</v>
      </c>
      <c r="F4017" s="114">
        <v>202101</v>
      </c>
      <c r="G4017" s="112" t="s">
        <v>1091</v>
      </c>
      <c r="H4017" s="112" t="s">
        <v>1015</v>
      </c>
      <c r="I4017" s="112" t="s">
        <v>1101</v>
      </c>
      <c r="J4017" s="112" t="s">
        <v>3286</v>
      </c>
      <c r="K4017" s="112" t="s">
        <v>1098</v>
      </c>
      <c r="L4017" s="116">
        <v>255.76</v>
      </c>
    </row>
    <row r="4018" spans="1:12" outlineLevel="1" collapsed="1" x14ac:dyDescent="0.35">
      <c r="A4018" s="112" t="s">
        <v>3283</v>
      </c>
      <c r="B4018" s="112" t="s">
        <v>911</v>
      </c>
      <c r="C4018" s="112" t="s">
        <v>1219</v>
      </c>
      <c r="D4018" s="113">
        <v>46306866</v>
      </c>
      <c r="E4018" s="115">
        <v>43928</v>
      </c>
      <c r="F4018" s="114">
        <v>202101</v>
      </c>
      <c r="G4018" s="112" t="s">
        <v>1091</v>
      </c>
      <c r="H4018" s="112" t="s">
        <v>1016</v>
      </c>
      <c r="I4018" s="112" t="s">
        <v>1293</v>
      </c>
      <c r="J4018" s="112" t="s">
        <v>3540</v>
      </c>
      <c r="K4018" s="112" t="s">
        <v>3541</v>
      </c>
      <c r="L4018" s="116">
        <v>8</v>
      </c>
    </row>
    <row r="4019" spans="1:12" outlineLevel="1" collapsed="1" x14ac:dyDescent="0.35">
      <c r="A4019" s="112" t="s">
        <v>3283</v>
      </c>
      <c r="B4019" s="112" t="s">
        <v>911</v>
      </c>
      <c r="C4019" s="112" t="s">
        <v>1219</v>
      </c>
      <c r="D4019" s="113">
        <v>46306866</v>
      </c>
      <c r="E4019" s="115">
        <v>43928</v>
      </c>
      <c r="F4019" s="114">
        <v>202101</v>
      </c>
      <c r="G4019" s="112" t="s">
        <v>1091</v>
      </c>
      <c r="H4019" s="112" t="s">
        <v>1016</v>
      </c>
      <c r="I4019" s="112" t="s">
        <v>1293</v>
      </c>
      <c r="J4019" s="112" t="s">
        <v>3540</v>
      </c>
      <c r="K4019" s="112" t="s">
        <v>3542</v>
      </c>
      <c r="L4019" s="116">
        <v>300</v>
      </c>
    </row>
    <row r="4020" spans="1:12" hidden="1" outlineLevel="1" collapsed="1" x14ac:dyDescent="0.35">
      <c r="A4020" s="112" t="s">
        <v>3283</v>
      </c>
      <c r="B4020" s="112" t="s">
        <v>910</v>
      </c>
      <c r="C4020" s="112" t="s">
        <v>679</v>
      </c>
      <c r="D4020" s="113">
        <v>10348027</v>
      </c>
      <c r="E4020" s="115">
        <v>43927</v>
      </c>
      <c r="F4020" s="114">
        <v>202101</v>
      </c>
      <c r="G4020" s="112" t="s">
        <v>1091</v>
      </c>
      <c r="H4020" s="112" t="s">
        <v>1016</v>
      </c>
      <c r="I4020" s="112" t="s">
        <v>819</v>
      </c>
      <c r="J4020" s="112" t="s">
        <v>3286</v>
      </c>
      <c r="K4020" s="112" t="s">
        <v>3543</v>
      </c>
      <c r="L4020" s="116">
        <v>-556</v>
      </c>
    </row>
    <row r="4021" spans="1:12" outlineLevel="1" collapsed="1" x14ac:dyDescent="0.35">
      <c r="A4021" s="112" t="s">
        <v>3283</v>
      </c>
      <c r="B4021" s="112" t="s">
        <v>911</v>
      </c>
      <c r="C4021" s="112" t="s">
        <v>1219</v>
      </c>
      <c r="D4021" s="113">
        <v>46306865</v>
      </c>
      <c r="E4021" s="115">
        <v>43928</v>
      </c>
      <c r="F4021" s="114">
        <v>202101</v>
      </c>
      <c r="G4021" s="112" t="s">
        <v>1091</v>
      </c>
      <c r="H4021" s="112" t="s">
        <v>1016</v>
      </c>
      <c r="I4021" s="112" t="s">
        <v>1293</v>
      </c>
      <c r="J4021" s="112" t="s">
        <v>3540</v>
      </c>
      <c r="K4021" s="112" t="s">
        <v>3544</v>
      </c>
      <c r="L4021" s="116">
        <v>100</v>
      </c>
    </row>
    <row r="4022" spans="1:12" hidden="1" outlineLevel="1" collapsed="1" x14ac:dyDescent="0.35">
      <c r="A4022" s="112" t="s">
        <v>3283</v>
      </c>
      <c r="B4022" s="112" t="s">
        <v>912</v>
      </c>
      <c r="C4022" s="112" t="s">
        <v>1095</v>
      </c>
      <c r="D4022" s="113">
        <v>10348451</v>
      </c>
      <c r="E4022" s="115">
        <v>43949</v>
      </c>
      <c r="F4022" s="114">
        <v>202101</v>
      </c>
      <c r="G4022" s="112" t="s">
        <v>1091</v>
      </c>
      <c r="H4022" s="112" t="s">
        <v>1015</v>
      </c>
      <c r="I4022" s="112" t="s">
        <v>1101</v>
      </c>
      <c r="J4022" s="112" t="s">
        <v>3292</v>
      </c>
      <c r="K4022" s="112" t="s">
        <v>1098</v>
      </c>
      <c r="L4022" s="116">
        <v>636.23</v>
      </c>
    </row>
    <row r="4023" spans="1:12" outlineLevel="1" collapsed="1" x14ac:dyDescent="0.35">
      <c r="A4023" s="112" t="s">
        <v>3283</v>
      </c>
      <c r="B4023" s="112" t="s">
        <v>911</v>
      </c>
      <c r="C4023" s="112" t="s">
        <v>695</v>
      </c>
      <c r="D4023" s="113">
        <v>10348150</v>
      </c>
      <c r="E4023" s="115">
        <v>43930</v>
      </c>
      <c r="F4023" s="114">
        <v>202101</v>
      </c>
      <c r="G4023" s="112" t="s">
        <v>1091</v>
      </c>
      <c r="H4023" s="112" t="s">
        <v>1015</v>
      </c>
      <c r="I4023" s="112" t="s">
        <v>1459</v>
      </c>
      <c r="J4023" s="112" t="s">
        <v>3284</v>
      </c>
      <c r="K4023" s="112" t="s">
        <v>3545</v>
      </c>
      <c r="L4023" s="116">
        <v>-85118.77</v>
      </c>
    </row>
    <row r="4024" spans="1:12" hidden="1" outlineLevel="1" collapsed="1" x14ac:dyDescent="0.35">
      <c r="A4024" s="112" t="s">
        <v>3283</v>
      </c>
      <c r="B4024" s="112" t="s">
        <v>3298</v>
      </c>
      <c r="C4024" s="112" t="s">
        <v>679</v>
      </c>
      <c r="D4024" s="113">
        <v>10348241</v>
      </c>
      <c r="E4024" s="115">
        <v>43936</v>
      </c>
      <c r="F4024" s="114">
        <v>202101</v>
      </c>
      <c r="G4024" s="112" t="s">
        <v>1091</v>
      </c>
      <c r="H4024" s="112" t="s">
        <v>1016</v>
      </c>
      <c r="I4024" s="112" t="s">
        <v>2337</v>
      </c>
      <c r="J4024" s="112" t="s">
        <v>3299</v>
      </c>
      <c r="K4024" s="112" t="s">
        <v>3546</v>
      </c>
      <c r="L4024" s="116">
        <v>-22.24</v>
      </c>
    </row>
    <row r="4025" spans="1:12" hidden="1" outlineLevel="1" collapsed="1" x14ac:dyDescent="0.35">
      <c r="A4025" s="112" t="s">
        <v>3283</v>
      </c>
      <c r="B4025" s="112" t="s">
        <v>912</v>
      </c>
      <c r="C4025" s="112" t="s">
        <v>1095</v>
      </c>
      <c r="D4025" s="113">
        <v>10348451</v>
      </c>
      <c r="E4025" s="115">
        <v>43949</v>
      </c>
      <c r="F4025" s="114">
        <v>202101</v>
      </c>
      <c r="G4025" s="112" t="s">
        <v>1091</v>
      </c>
      <c r="H4025" s="112" t="s">
        <v>1015</v>
      </c>
      <c r="I4025" s="112" t="s">
        <v>1096</v>
      </c>
      <c r="J4025" s="112" t="s">
        <v>3288</v>
      </c>
      <c r="K4025" s="112" t="s">
        <v>1098</v>
      </c>
      <c r="L4025" s="116">
        <v>238.56</v>
      </c>
    </row>
    <row r="4026" spans="1:12" hidden="1" outlineLevel="1" collapsed="1" x14ac:dyDescent="0.35">
      <c r="A4026" s="112" t="s">
        <v>3283</v>
      </c>
      <c r="B4026" s="112" t="s">
        <v>910</v>
      </c>
      <c r="C4026" s="112" t="s">
        <v>679</v>
      </c>
      <c r="D4026" s="113">
        <v>10348241</v>
      </c>
      <c r="E4026" s="115">
        <v>43936</v>
      </c>
      <c r="F4026" s="114">
        <v>202101</v>
      </c>
      <c r="G4026" s="112" t="s">
        <v>1091</v>
      </c>
      <c r="H4026" s="112" t="s">
        <v>1016</v>
      </c>
      <c r="I4026" s="112" t="s">
        <v>1293</v>
      </c>
      <c r="J4026" s="112" t="s">
        <v>3286</v>
      </c>
      <c r="K4026" s="112" t="s">
        <v>3547</v>
      </c>
      <c r="L4026" s="116">
        <v>-462</v>
      </c>
    </row>
    <row r="4027" spans="1:12" hidden="1" outlineLevel="1" collapsed="1" x14ac:dyDescent="0.35">
      <c r="A4027" s="112" t="s">
        <v>3283</v>
      </c>
      <c r="B4027" s="112" t="s">
        <v>910</v>
      </c>
      <c r="C4027" s="112" t="s">
        <v>679</v>
      </c>
      <c r="D4027" s="113">
        <v>10348241</v>
      </c>
      <c r="E4027" s="115">
        <v>43936</v>
      </c>
      <c r="F4027" s="114">
        <v>202101</v>
      </c>
      <c r="G4027" s="112" t="s">
        <v>1091</v>
      </c>
      <c r="H4027" s="112" t="s">
        <v>1016</v>
      </c>
      <c r="I4027" s="112" t="s">
        <v>1293</v>
      </c>
      <c r="J4027" s="112" t="s">
        <v>3286</v>
      </c>
      <c r="K4027" s="112" t="s">
        <v>3548</v>
      </c>
      <c r="L4027" s="116">
        <v>-234</v>
      </c>
    </row>
    <row r="4028" spans="1:12" hidden="1" outlineLevel="1" collapsed="1" x14ac:dyDescent="0.35">
      <c r="A4028" s="112" t="s">
        <v>3283</v>
      </c>
      <c r="B4028" s="112" t="s">
        <v>910</v>
      </c>
      <c r="C4028" s="112" t="s">
        <v>679</v>
      </c>
      <c r="D4028" s="113">
        <v>10348241</v>
      </c>
      <c r="E4028" s="115">
        <v>43936</v>
      </c>
      <c r="F4028" s="114">
        <v>202101</v>
      </c>
      <c r="G4028" s="112" t="s">
        <v>1091</v>
      </c>
      <c r="H4028" s="112" t="s">
        <v>1016</v>
      </c>
      <c r="I4028" s="112" t="s">
        <v>1293</v>
      </c>
      <c r="J4028" s="112" t="s">
        <v>3286</v>
      </c>
      <c r="K4028" s="112" t="s">
        <v>3549</v>
      </c>
      <c r="L4028" s="116">
        <v>-366</v>
      </c>
    </row>
    <row r="4029" spans="1:12" hidden="1" outlineLevel="1" collapsed="1" x14ac:dyDescent="0.35">
      <c r="A4029" s="112" t="s">
        <v>3283</v>
      </c>
      <c r="B4029" s="112" t="s">
        <v>910</v>
      </c>
      <c r="C4029" s="112" t="s">
        <v>679</v>
      </c>
      <c r="D4029" s="113">
        <v>10348241</v>
      </c>
      <c r="E4029" s="115">
        <v>43936</v>
      </c>
      <c r="F4029" s="114">
        <v>202101</v>
      </c>
      <c r="G4029" s="112" t="s">
        <v>1091</v>
      </c>
      <c r="H4029" s="112" t="s">
        <v>1016</v>
      </c>
      <c r="I4029" s="112" t="s">
        <v>1293</v>
      </c>
      <c r="J4029" s="112" t="s">
        <v>3286</v>
      </c>
      <c r="K4029" s="112" t="s">
        <v>3550</v>
      </c>
      <c r="L4029" s="116">
        <v>-2028</v>
      </c>
    </row>
    <row r="4030" spans="1:12" hidden="1" outlineLevel="1" collapsed="1" x14ac:dyDescent="0.35">
      <c r="A4030" s="112" t="s">
        <v>3283</v>
      </c>
      <c r="B4030" s="112" t="s">
        <v>910</v>
      </c>
      <c r="C4030" s="112" t="s">
        <v>679</v>
      </c>
      <c r="D4030" s="113">
        <v>10348241</v>
      </c>
      <c r="E4030" s="115">
        <v>43936</v>
      </c>
      <c r="F4030" s="114">
        <v>202101</v>
      </c>
      <c r="G4030" s="112" t="s">
        <v>1091</v>
      </c>
      <c r="H4030" s="112" t="s">
        <v>1016</v>
      </c>
      <c r="I4030" s="112" t="s">
        <v>1293</v>
      </c>
      <c r="J4030" s="112" t="s">
        <v>3286</v>
      </c>
      <c r="K4030" s="112" t="s">
        <v>3551</v>
      </c>
      <c r="L4030" s="116">
        <v>-206</v>
      </c>
    </row>
    <row r="4031" spans="1:12" hidden="1" outlineLevel="1" collapsed="1" x14ac:dyDescent="0.35">
      <c r="A4031" s="112" t="s">
        <v>3283</v>
      </c>
      <c r="B4031" s="112" t="s">
        <v>910</v>
      </c>
      <c r="C4031" s="112" t="s">
        <v>1095</v>
      </c>
      <c r="D4031" s="113">
        <v>10348451</v>
      </c>
      <c r="E4031" s="115">
        <v>43949</v>
      </c>
      <c r="F4031" s="114">
        <v>202101</v>
      </c>
      <c r="G4031" s="112" t="s">
        <v>1091</v>
      </c>
      <c r="H4031" s="112" t="s">
        <v>1015</v>
      </c>
      <c r="I4031" s="112" t="s">
        <v>1101</v>
      </c>
      <c r="J4031" s="112" t="s">
        <v>3286</v>
      </c>
      <c r="K4031" s="112" t="s">
        <v>1098</v>
      </c>
      <c r="L4031" s="116">
        <v>498.28</v>
      </c>
    </row>
    <row r="4032" spans="1:12" hidden="1" outlineLevel="1" collapsed="1" x14ac:dyDescent="0.35">
      <c r="A4032" s="112" t="s">
        <v>3283</v>
      </c>
      <c r="B4032" s="112" t="s">
        <v>912</v>
      </c>
      <c r="C4032" s="112" t="s">
        <v>1099</v>
      </c>
      <c r="D4032" s="113">
        <v>1069551</v>
      </c>
      <c r="E4032" s="115">
        <v>43930</v>
      </c>
      <c r="F4032" s="114">
        <v>202101</v>
      </c>
      <c r="G4032" s="112" t="s">
        <v>1091</v>
      </c>
      <c r="H4032" s="112" t="s">
        <v>1015</v>
      </c>
      <c r="I4032" s="112" t="s">
        <v>763</v>
      </c>
      <c r="J4032" s="112" t="s">
        <v>3292</v>
      </c>
      <c r="K4032" s="112" t="s">
        <v>3552</v>
      </c>
      <c r="L4032" s="116">
        <v>8559.66</v>
      </c>
    </row>
    <row r="4033" spans="1:12" hidden="1" outlineLevel="1" collapsed="1" x14ac:dyDescent="0.35">
      <c r="A4033" s="112" t="s">
        <v>3283</v>
      </c>
      <c r="B4033" s="112" t="s">
        <v>910</v>
      </c>
      <c r="C4033" s="112" t="s">
        <v>695</v>
      </c>
      <c r="D4033" s="113">
        <v>10347979</v>
      </c>
      <c r="E4033" s="115">
        <v>43924</v>
      </c>
      <c r="F4033" s="114">
        <v>202101</v>
      </c>
      <c r="G4033" s="112" t="s">
        <v>1091</v>
      </c>
      <c r="H4033" s="112" t="s">
        <v>1016</v>
      </c>
      <c r="I4033" s="112" t="s">
        <v>1293</v>
      </c>
      <c r="J4033" s="112" t="s">
        <v>3286</v>
      </c>
      <c r="K4033" s="112" t="s">
        <v>1698</v>
      </c>
      <c r="L4033" s="116">
        <v>4907</v>
      </c>
    </row>
    <row r="4034" spans="1:12" hidden="1" outlineLevel="1" collapsed="1" x14ac:dyDescent="0.35">
      <c r="A4034" s="112" t="s">
        <v>3283</v>
      </c>
      <c r="B4034" s="112" t="s">
        <v>910</v>
      </c>
      <c r="C4034" s="112" t="s">
        <v>695</v>
      </c>
      <c r="D4034" s="113">
        <v>10347981</v>
      </c>
      <c r="E4034" s="115">
        <v>43924</v>
      </c>
      <c r="F4034" s="114">
        <v>202101</v>
      </c>
      <c r="G4034" s="112" t="s">
        <v>1091</v>
      </c>
      <c r="H4034" s="112" t="s">
        <v>1015</v>
      </c>
      <c r="I4034" s="112" t="s">
        <v>763</v>
      </c>
      <c r="J4034" s="112" t="s">
        <v>3286</v>
      </c>
      <c r="K4034" s="112" t="s">
        <v>3553</v>
      </c>
      <c r="L4034" s="116">
        <v>-1300</v>
      </c>
    </row>
    <row r="4035" spans="1:12" hidden="1" outlineLevel="1" collapsed="1" x14ac:dyDescent="0.35">
      <c r="A4035" s="112" t="s">
        <v>3283</v>
      </c>
      <c r="B4035" s="112" t="s">
        <v>910</v>
      </c>
      <c r="C4035" s="112" t="s">
        <v>1095</v>
      </c>
      <c r="D4035" s="113">
        <v>10348451</v>
      </c>
      <c r="E4035" s="115">
        <v>43949</v>
      </c>
      <c r="F4035" s="114">
        <v>202101</v>
      </c>
      <c r="G4035" s="112" t="s">
        <v>1091</v>
      </c>
      <c r="H4035" s="112" t="s">
        <v>1015</v>
      </c>
      <c r="I4035" s="112" t="s">
        <v>1101</v>
      </c>
      <c r="J4035" s="112" t="s">
        <v>3286</v>
      </c>
      <c r="K4035" s="112" t="s">
        <v>1098</v>
      </c>
      <c r="L4035" s="116">
        <v>426.26</v>
      </c>
    </row>
    <row r="4036" spans="1:12" hidden="1" outlineLevel="1" collapsed="1" x14ac:dyDescent="0.35">
      <c r="A4036" s="112" t="s">
        <v>3283</v>
      </c>
      <c r="B4036" s="112" t="s">
        <v>912</v>
      </c>
      <c r="C4036" s="112" t="s">
        <v>1095</v>
      </c>
      <c r="D4036" s="113">
        <v>10348451</v>
      </c>
      <c r="E4036" s="115">
        <v>43949</v>
      </c>
      <c r="F4036" s="114">
        <v>202101</v>
      </c>
      <c r="G4036" s="112" t="s">
        <v>1091</v>
      </c>
      <c r="H4036" s="112" t="s">
        <v>1015</v>
      </c>
      <c r="I4036" s="112" t="s">
        <v>1096</v>
      </c>
      <c r="J4036" s="112" t="s">
        <v>3292</v>
      </c>
      <c r="K4036" s="112" t="s">
        <v>1098</v>
      </c>
      <c r="L4036" s="116">
        <v>475.5</v>
      </c>
    </row>
    <row r="4037" spans="1:12" hidden="1" outlineLevel="1" collapsed="1" x14ac:dyDescent="0.35">
      <c r="A4037" s="112" t="s">
        <v>3283</v>
      </c>
      <c r="B4037" s="112" t="s">
        <v>910</v>
      </c>
      <c r="C4037" s="112" t="s">
        <v>679</v>
      </c>
      <c r="D4037" s="113">
        <v>10348241</v>
      </c>
      <c r="E4037" s="115">
        <v>43936</v>
      </c>
      <c r="F4037" s="114">
        <v>202101</v>
      </c>
      <c r="G4037" s="112" t="s">
        <v>1091</v>
      </c>
      <c r="H4037" s="112" t="s">
        <v>1016</v>
      </c>
      <c r="I4037" s="112" t="s">
        <v>819</v>
      </c>
      <c r="J4037" s="112" t="s">
        <v>3286</v>
      </c>
      <c r="K4037" s="112" t="s">
        <v>3554</v>
      </c>
      <c r="L4037" s="116">
        <v>-138</v>
      </c>
    </row>
    <row r="4038" spans="1:12" hidden="1" outlineLevel="1" collapsed="1" x14ac:dyDescent="0.35">
      <c r="A4038" s="112" t="s">
        <v>3283</v>
      </c>
      <c r="B4038" s="112" t="s">
        <v>912</v>
      </c>
      <c r="C4038" s="112" t="s">
        <v>1095</v>
      </c>
      <c r="D4038" s="113">
        <v>10348451</v>
      </c>
      <c r="E4038" s="115">
        <v>43949</v>
      </c>
      <c r="F4038" s="114">
        <v>202101</v>
      </c>
      <c r="G4038" s="112" t="s">
        <v>1091</v>
      </c>
      <c r="H4038" s="112" t="s">
        <v>1015</v>
      </c>
      <c r="I4038" s="112" t="s">
        <v>1096</v>
      </c>
      <c r="J4038" s="112" t="s">
        <v>3292</v>
      </c>
      <c r="K4038" s="112" t="s">
        <v>1098</v>
      </c>
      <c r="L4038" s="116">
        <v>446.33</v>
      </c>
    </row>
    <row r="4039" spans="1:12" hidden="1" outlineLevel="1" collapsed="1" x14ac:dyDescent="0.35">
      <c r="A4039" s="112" t="s">
        <v>3283</v>
      </c>
      <c r="B4039" s="112" t="s">
        <v>3298</v>
      </c>
      <c r="C4039" s="112" t="s">
        <v>679</v>
      </c>
      <c r="D4039" s="113">
        <v>10347984</v>
      </c>
      <c r="E4039" s="115">
        <v>43924</v>
      </c>
      <c r="F4039" s="114">
        <v>202101</v>
      </c>
      <c r="G4039" s="112" t="s">
        <v>1091</v>
      </c>
      <c r="H4039" s="112" t="s">
        <v>1016</v>
      </c>
      <c r="I4039" s="112" t="s">
        <v>2337</v>
      </c>
      <c r="J4039" s="112" t="s">
        <v>3299</v>
      </c>
      <c r="K4039" s="112" t="s">
        <v>3555</v>
      </c>
      <c r="L4039" s="116">
        <v>-5.87</v>
      </c>
    </row>
    <row r="4040" spans="1:12" hidden="1" outlineLevel="1" collapsed="1" x14ac:dyDescent="0.35">
      <c r="A4040" s="112" t="s">
        <v>3283</v>
      </c>
      <c r="B4040" s="112" t="s">
        <v>910</v>
      </c>
      <c r="C4040" s="112" t="s">
        <v>1095</v>
      </c>
      <c r="D4040" s="113">
        <v>10348451</v>
      </c>
      <c r="E4040" s="115">
        <v>43949</v>
      </c>
      <c r="F4040" s="114">
        <v>202101</v>
      </c>
      <c r="G4040" s="112" t="s">
        <v>1091</v>
      </c>
      <c r="H4040" s="112" t="s">
        <v>1015</v>
      </c>
      <c r="I4040" s="112" t="s">
        <v>1096</v>
      </c>
      <c r="J4040" s="112" t="s">
        <v>3286</v>
      </c>
      <c r="K4040" s="112" t="s">
        <v>1098</v>
      </c>
      <c r="L4040" s="116">
        <v>323.45</v>
      </c>
    </row>
    <row r="4041" spans="1:12" hidden="1" outlineLevel="1" collapsed="1" x14ac:dyDescent="0.35">
      <c r="A4041" s="112" t="s">
        <v>3283</v>
      </c>
      <c r="B4041" s="112" t="s">
        <v>910</v>
      </c>
      <c r="C4041" s="112" t="s">
        <v>1099</v>
      </c>
      <c r="D4041" s="113">
        <v>1069347</v>
      </c>
      <c r="E4041" s="115">
        <v>43921</v>
      </c>
      <c r="F4041" s="114">
        <v>202101</v>
      </c>
      <c r="G4041" s="112" t="s">
        <v>1091</v>
      </c>
      <c r="H4041" s="112" t="s">
        <v>1015</v>
      </c>
      <c r="I4041" s="112" t="s">
        <v>767</v>
      </c>
      <c r="J4041" s="112" t="s">
        <v>3286</v>
      </c>
      <c r="K4041" s="112" t="s">
        <v>3556</v>
      </c>
      <c r="L4041" s="116">
        <v>32.97</v>
      </c>
    </row>
    <row r="4042" spans="1:12" outlineLevel="1" collapsed="1" x14ac:dyDescent="0.35">
      <c r="A4042" s="112" t="s">
        <v>3283</v>
      </c>
      <c r="B4042" s="112" t="s">
        <v>911</v>
      </c>
      <c r="C4042" s="112" t="s">
        <v>695</v>
      </c>
      <c r="D4042" s="113">
        <v>10347981</v>
      </c>
      <c r="E4042" s="115">
        <v>43924</v>
      </c>
      <c r="F4042" s="114">
        <v>202101</v>
      </c>
      <c r="G4042" s="112" t="s">
        <v>1091</v>
      </c>
      <c r="H4042" s="112" t="s">
        <v>1015</v>
      </c>
      <c r="I4042" s="112" t="s">
        <v>1471</v>
      </c>
      <c r="J4042" s="112" t="s">
        <v>3291</v>
      </c>
      <c r="K4042" s="112" t="s">
        <v>3557</v>
      </c>
      <c r="L4042" s="116">
        <v>-535</v>
      </c>
    </row>
    <row r="4043" spans="1:12" hidden="1" outlineLevel="1" collapsed="1" x14ac:dyDescent="0.35">
      <c r="A4043" s="112" t="s">
        <v>3283</v>
      </c>
      <c r="B4043" s="112" t="s">
        <v>910</v>
      </c>
      <c r="C4043" s="112" t="s">
        <v>679</v>
      </c>
      <c r="D4043" s="113">
        <v>10348027</v>
      </c>
      <c r="E4043" s="115">
        <v>43927</v>
      </c>
      <c r="F4043" s="114">
        <v>202101</v>
      </c>
      <c r="G4043" s="112" t="s">
        <v>1091</v>
      </c>
      <c r="H4043" s="112" t="s">
        <v>1016</v>
      </c>
      <c r="I4043" s="112" t="s">
        <v>1293</v>
      </c>
      <c r="J4043" s="112" t="s">
        <v>3286</v>
      </c>
      <c r="K4043" s="112" t="s">
        <v>3558</v>
      </c>
      <c r="L4043" s="116">
        <v>-462</v>
      </c>
    </row>
    <row r="4044" spans="1:12" hidden="1" outlineLevel="1" collapsed="1" x14ac:dyDescent="0.35">
      <c r="A4044" s="112" t="s">
        <v>3283</v>
      </c>
      <c r="B4044" s="112" t="s">
        <v>910</v>
      </c>
      <c r="C4044" s="112" t="s">
        <v>1095</v>
      </c>
      <c r="D4044" s="113">
        <v>10348451</v>
      </c>
      <c r="E4044" s="115">
        <v>43949</v>
      </c>
      <c r="F4044" s="114">
        <v>202101</v>
      </c>
      <c r="G4044" s="112" t="s">
        <v>1091</v>
      </c>
      <c r="H4044" s="112" t="s">
        <v>1015</v>
      </c>
      <c r="I4044" s="112" t="s">
        <v>1101</v>
      </c>
      <c r="J4044" s="112" t="s">
        <v>3286</v>
      </c>
      <c r="K4044" s="112" t="s">
        <v>1098</v>
      </c>
      <c r="L4044" s="116">
        <v>483.07</v>
      </c>
    </row>
    <row r="4045" spans="1:12" hidden="1" outlineLevel="1" collapsed="1" x14ac:dyDescent="0.35">
      <c r="A4045" s="112" t="s">
        <v>3283</v>
      </c>
      <c r="B4045" s="112" t="s">
        <v>910</v>
      </c>
      <c r="C4045" s="112" t="s">
        <v>1095</v>
      </c>
      <c r="D4045" s="113">
        <v>10348451</v>
      </c>
      <c r="E4045" s="115">
        <v>43949</v>
      </c>
      <c r="F4045" s="114">
        <v>202101</v>
      </c>
      <c r="G4045" s="112" t="s">
        <v>1091</v>
      </c>
      <c r="H4045" s="112" t="s">
        <v>1015</v>
      </c>
      <c r="I4045" s="112" t="s">
        <v>1096</v>
      </c>
      <c r="J4045" s="112" t="s">
        <v>3286</v>
      </c>
      <c r="K4045" s="112" t="s">
        <v>1098</v>
      </c>
      <c r="L4045" s="116">
        <v>366.99</v>
      </c>
    </row>
    <row r="4046" spans="1:12" hidden="1" outlineLevel="1" collapsed="1" x14ac:dyDescent="0.35">
      <c r="A4046" s="112" t="s">
        <v>3283</v>
      </c>
      <c r="B4046" s="112" t="s">
        <v>910</v>
      </c>
      <c r="C4046" s="112" t="s">
        <v>1095</v>
      </c>
      <c r="D4046" s="113">
        <v>10348451</v>
      </c>
      <c r="E4046" s="115">
        <v>43949</v>
      </c>
      <c r="F4046" s="114">
        <v>202101</v>
      </c>
      <c r="G4046" s="112" t="s">
        <v>1091</v>
      </c>
      <c r="H4046" s="112" t="s">
        <v>1015</v>
      </c>
      <c r="I4046" s="112" t="s">
        <v>1101</v>
      </c>
      <c r="J4046" s="112" t="s">
        <v>3286</v>
      </c>
      <c r="K4046" s="112" t="s">
        <v>1098</v>
      </c>
      <c r="L4046" s="116">
        <v>549.4</v>
      </c>
    </row>
    <row r="4047" spans="1:12" hidden="1" outlineLevel="1" collapsed="1" x14ac:dyDescent="0.35">
      <c r="A4047" s="112" t="s">
        <v>3283</v>
      </c>
      <c r="B4047" s="112" t="s">
        <v>910</v>
      </c>
      <c r="C4047" s="112" t="s">
        <v>1095</v>
      </c>
      <c r="D4047" s="113">
        <v>10348451</v>
      </c>
      <c r="E4047" s="115">
        <v>43949</v>
      </c>
      <c r="F4047" s="114">
        <v>202101</v>
      </c>
      <c r="G4047" s="112" t="s">
        <v>1091</v>
      </c>
      <c r="H4047" s="112" t="s">
        <v>1015</v>
      </c>
      <c r="I4047" s="112" t="s">
        <v>1101</v>
      </c>
      <c r="J4047" s="112" t="s">
        <v>3286</v>
      </c>
      <c r="K4047" s="112" t="s">
        <v>1098</v>
      </c>
      <c r="L4047" s="116">
        <v>370.28</v>
      </c>
    </row>
    <row r="4048" spans="1:12" hidden="1" outlineLevel="1" collapsed="1" x14ac:dyDescent="0.35">
      <c r="A4048" s="112" t="s">
        <v>3283</v>
      </c>
      <c r="B4048" s="112" t="s">
        <v>910</v>
      </c>
      <c r="C4048" s="112" t="s">
        <v>679</v>
      </c>
      <c r="D4048" s="113">
        <v>10348476</v>
      </c>
      <c r="E4048" s="115">
        <v>43948</v>
      </c>
      <c r="F4048" s="114">
        <v>202101</v>
      </c>
      <c r="G4048" s="112" t="s">
        <v>1091</v>
      </c>
      <c r="H4048" s="112" t="s">
        <v>1016</v>
      </c>
      <c r="I4048" s="112" t="s">
        <v>819</v>
      </c>
      <c r="J4048" s="112" t="s">
        <v>3286</v>
      </c>
      <c r="K4048" s="112" t="s">
        <v>3559</v>
      </c>
      <c r="L4048" s="116">
        <v>-46</v>
      </c>
    </row>
    <row r="4049" spans="1:12" hidden="1" outlineLevel="1" collapsed="1" x14ac:dyDescent="0.35">
      <c r="A4049" s="112" t="s">
        <v>3283</v>
      </c>
      <c r="B4049" s="112" t="s">
        <v>910</v>
      </c>
      <c r="C4049" s="112" t="s">
        <v>1095</v>
      </c>
      <c r="D4049" s="113">
        <v>10348451</v>
      </c>
      <c r="E4049" s="115">
        <v>43949</v>
      </c>
      <c r="F4049" s="114">
        <v>202101</v>
      </c>
      <c r="G4049" s="112" t="s">
        <v>1091</v>
      </c>
      <c r="H4049" s="112" t="s">
        <v>1015</v>
      </c>
      <c r="I4049" s="112" t="s">
        <v>1096</v>
      </c>
      <c r="J4049" s="112" t="s">
        <v>3286</v>
      </c>
      <c r="K4049" s="112" t="s">
        <v>1098</v>
      </c>
      <c r="L4049" s="116">
        <v>2.62</v>
      </c>
    </row>
    <row r="4050" spans="1:12" outlineLevel="1" collapsed="1" x14ac:dyDescent="0.35">
      <c r="A4050" s="112" t="s">
        <v>3283</v>
      </c>
      <c r="B4050" s="112" t="s">
        <v>911</v>
      </c>
      <c r="C4050" s="112" t="s">
        <v>1095</v>
      </c>
      <c r="D4050" s="113">
        <v>10348451</v>
      </c>
      <c r="E4050" s="115">
        <v>43949</v>
      </c>
      <c r="F4050" s="114">
        <v>202101</v>
      </c>
      <c r="G4050" s="112" t="s">
        <v>1091</v>
      </c>
      <c r="H4050" s="112" t="s">
        <v>1015</v>
      </c>
      <c r="I4050" s="112" t="s">
        <v>1096</v>
      </c>
      <c r="J4050" s="112" t="s">
        <v>3291</v>
      </c>
      <c r="K4050" s="112" t="s">
        <v>1098</v>
      </c>
      <c r="L4050" s="116">
        <v>19.149999999999999</v>
      </c>
    </row>
    <row r="4051" spans="1:12" hidden="1" outlineLevel="1" collapsed="1" x14ac:dyDescent="0.35">
      <c r="A4051" s="112" t="s">
        <v>3283</v>
      </c>
      <c r="B4051" s="112" t="s">
        <v>912</v>
      </c>
      <c r="C4051" s="112" t="s">
        <v>1095</v>
      </c>
      <c r="D4051" s="113">
        <v>10348451</v>
      </c>
      <c r="E4051" s="115">
        <v>43949</v>
      </c>
      <c r="F4051" s="114">
        <v>202101</v>
      </c>
      <c r="G4051" s="112" t="s">
        <v>1091</v>
      </c>
      <c r="H4051" s="112" t="s">
        <v>1015</v>
      </c>
      <c r="I4051" s="112" t="s">
        <v>1096</v>
      </c>
      <c r="J4051" s="112" t="s">
        <v>3288</v>
      </c>
      <c r="K4051" s="112" t="s">
        <v>1098</v>
      </c>
      <c r="L4051" s="116">
        <v>366.99</v>
      </c>
    </row>
    <row r="4052" spans="1:12" hidden="1" outlineLevel="1" collapsed="1" x14ac:dyDescent="0.35">
      <c r="A4052" s="112" t="s">
        <v>3283</v>
      </c>
      <c r="B4052" s="112" t="s">
        <v>3298</v>
      </c>
      <c r="C4052" s="112" t="s">
        <v>679</v>
      </c>
      <c r="D4052" s="113">
        <v>10348027</v>
      </c>
      <c r="E4052" s="115">
        <v>43927</v>
      </c>
      <c r="F4052" s="114">
        <v>202101</v>
      </c>
      <c r="G4052" s="112" t="s">
        <v>1091</v>
      </c>
      <c r="H4052" s="112" t="s">
        <v>1016</v>
      </c>
      <c r="I4052" s="112" t="s">
        <v>2337</v>
      </c>
      <c r="J4052" s="112" t="s">
        <v>3299</v>
      </c>
      <c r="K4052" s="112" t="s">
        <v>3560</v>
      </c>
      <c r="L4052" s="116">
        <v>-35.69</v>
      </c>
    </row>
    <row r="4053" spans="1:12" hidden="1" outlineLevel="1" collapsed="1" x14ac:dyDescent="0.35">
      <c r="A4053" s="112" t="s">
        <v>3283</v>
      </c>
      <c r="B4053" s="112" t="s">
        <v>912</v>
      </c>
      <c r="C4053" s="112" t="s">
        <v>1099</v>
      </c>
      <c r="D4053" s="113">
        <v>1069452</v>
      </c>
      <c r="E4053" s="115">
        <v>43928</v>
      </c>
      <c r="F4053" s="114">
        <v>202101</v>
      </c>
      <c r="G4053" s="112" t="s">
        <v>1091</v>
      </c>
      <c r="H4053" s="112" t="s">
        <v>1015</v>
      </c>
      <c r="I4053" s="112" t="s">
        <v>767</v>
      </c>
      <c r="J4053" s="112" t="s">
        <v>3292</v>
      </c>
      <c r="K4053" s="112" t="s">
        <v>3561</v>
      </c>
      <c r="L4053" s="116">
        <v>25</v>
      </c>
    </row>
    <row r="4054" spans="1:12" hidden="1" outlineLevel="1" collapsed="1" x14ac:dyDescent="0.35">
      <c r="A4054" s="112" t="s">
        <v>3283</v>
      </c>
      <c r="B4054" s="112" t="s">
        <v>910</v>
      </c>
      <c r="C4054" s="112" t="s">
        <v>1095</v>
      </c>
      <c r="D4054" s="113">
        <v>10348451</v>
      </c>
      <c r="E4054" s="115">
        <v>43949</v>
      </c>
      <c r="F4054" s="114">
        <v>202101</v>
      </c>
      <c r="G4054" s="112" t="s">
        <v>1091</v>
      </c>
      <c r="H4054" s="112" t="s">
        <v>1015</v>
      </c>
      <c r="I4054" s="112" t="s">
        <v>1096</v>
      </c>
      <c r="J4054" s="112" t="s">
        <v>3286</v>
      </c>
      <c r="K4054" s="112" t="s">
        <v>1098</v>
      </c>
      <c r="L4054" s="116">
        <v>310.49</v>
      </c>
    </row>
    <row r="4055" spans="1:12" hidden="1" outlineLevel="1" collapsed="1" x14ac:dyDescent="0.35">
      <c r="A4055" s="112" t="s">
        <v>3283</v>
      </c>
      <c r="B4055" s="112" t="s">
        <v>910</v>
      </c>
      <c r="C4055" s="112" t="s">
        <v>1095</v>
      </c>
      <c r="D4055" s="113">
        <v>10348451</v>
      </c>
      <c r="E4055" s="115">
        <v>43949</v>
      </c>
      <c r="F4055" s="114">
        <v>202101</v>
      </c>
      <c r="G4055" s="112" t="s">
        <v>1091</v>
      </c>
      <c r="H4055" s="112" t="s">
        <v>1015</v>
      </c>
      <c r="I4055" s="112" t="s">
        <v>1101</v>
      </c>
      <c r="J4055" s="112" t="s">
        <v>3286</v>
      </c>
      <c r="K4055" s="112" t="s">
        <v>1098</v>
      </c>
      <c r="L4055" s="116">
        <v>483.07</v>
      </c>
    </row>
    <row r="4056" spans="1:12" hidden="1" outlineLevel="1" collapsed="1" x14ac:dyDescent="0.35">
      <c r="A4056" s="112" t="s">
        <v>3283</v>
      </c>
      <c r="B4056" s="112" t="s">
        <v>912</v>
      </c>
      <c r="C4056" s="112" t="s">
        <v>1095</v>
      </c>
      <c r="D4056" s="113">
        <v>10348451</v>
      </c>
      <c r="E4056" s="115">
        <v>43949</v>
      </c>
      <c r="F4056" s="114">
        <v>202101</v>
      </c>
      <c r="G4056" s="112" t="s">
        <v>1091</v>
      </c>
      <c r="H4056" s="112" t="s">
        <v>1015</v>
      </c>
      <c r="I4056" s="112" t="s">
        <v>1101</v>
      </c>
      <c r="J4056" s="112" t="s">
        <v>3292</v>
      </c>
      <c r="K4056" s="112" t="s">
        <v>1098</v>
      </c>
      <c r="L4056" s="116">
        <v>483.07</v>
      </c>
    </row>
    <row r="4057" spans="1:12" hidden="1" outlineLevel="1" collapsed="1" x14ac:dyDescent="0.35">
      <c r="A4057" s="112" t="s">
        <v>3283</v>
      </c>
      <c r="B4057" s="112" t="s">
        <v>910</v>
      </c>
      <c r="C4057" s="112" t="s">
        <v>679</v>
      </c>
      <c r="D4057" s="113">
        <v>10348027</v>
      </c>
      <c r="E4057" s="115">
        <v>43927</v>
      </c>
      <c r="F4057" s="114">
        <v>202101</v>
      </c>
      <c r="G4057" s="112" t="s">
        <v>1091</v>
      </c>
      <c r="H4057" s="112" t="s">
        <v>1016</v>
      </c>
      <c r="I4057" s="112" t="s">
        <v>819</v>
      </c>
      <c r="J4057" s="112" t="s">
        <v>3286</v>
      </c>
      <c r="K4057" s="112" t="s">
        <v>3562</v>
      </c>
      <c r="L4057" s="116">
        <v>-593</v>
      </c>
    </row>
    <row r="4058" spans="1:12" outlineLevel="1" collapsed="1" x14ac:dyDescent="0.35">
      <c r="A4058" s="112" t="s">
        <v>3283</v>
      </c>
      <c r="B4058" s="112" t="s">
        <v>911</v>
      </c>
      <c r="C4058" s="112" t="s">
        <v>1219</v>
      </c>
      <c r="D4058" s="113">
        <v>46306865</v>
      </c>
      <c r="E4058" s="115">
        <v>43928</v>
      </c>
      <c r="F4058" s="114">
        <v>202101</v>
      </c>
      <c r="G4058" s="112" t="s">
        <v>1091</v>
      </c>
      <c r="H4058" s="112" t="s">
        <v>1016</v>
      </c>
      <c r="I4058" s="112" t="s">
        <v>1293</v>
      </c>
      <c r="J4058" s="112" t="s">
        <v>3540</v>
      </c>
      <c r="K4058" s="112" t="s">
        <v>3563</v>
      </c>
      <c r="L4058" s="116">
        <v>400</v>
      </c>
    </row>
    <row r="4059" spans="1:12" hidden="1" outlineLevel="1" collapsed="1" x14ac:dyDescent="0.35">
      <c r="A4059" s="112" t="s">
        <v>3283</v>
      </c>
      <c r="B4059" s="112" t="s">
        <v>910</v>
      </c>
      <c r="C4059" s="112" t="s">
        <v>679</v>
      </c>
      <c r="D4059" s="113">
        <v>10348476</v>
      </c>
      <c r="E4059" s="115">
        <v>43948</v>
      </c>
      <c r="F4059" s="114">
        <v>202101</v>
      </c>
      <c r="G4059" s="112" t="s">
        <v>1091</v>
      </c>
      <c r="H4059" s="112" t="s">
        <v>1016</v>
      </c>
      <c r="I4059" s="112" t="s">
        <v>1293</v>
      </c>
      <c r="J4059" s="112" t="s">
        <v>3286</v>
      </c>
      <c r="K4059" s="112" t="s">
        <v>3564</v>
      </c>
      <c r="L4059" s="116">
        <v>-206</v>
      </c>
    </row>
    <row r="4060" spans="1:12" hidden="1" outlineLevel="1" collapsed="1" x14ac:dyDescent="0.35">
      <c r="A4060" s="112" t="s">
        <v>3283</v>
      </c>
      <c r="B4060" s="112" t="s">
        <v>912</v>
      </c>
      <c r="C4060" s="112" t="s">
        <v>1095</v>
      </c>
      <c r="D4060" s="113">
        <v>10348451</v>
      </c>
      <c r="E4060" s="115">
        <v>43949</v>
      </c>
      <c r="F4060" s="114">
        <v>202101</v>
      </c>
      <c r="G4060" s="112" t="s">
        <v>1091</v>
      </c>
      <c r="H4060" s="112" t="s">
        <v>1015</v>
      </c>
      <c r="I4060" s="112" t="s">
        <v>1096</v>
      </c>
      <c r="J4060" s="112" t="s">
        <v>3292</v>
      </c>
      <c r="K4060" s="112" t="s">
        <v>1098</v>
      </c>
      <c r="L4060" s="116">
        <v>378.29</v>
      </c>
    </row>
    <row r="4061" spans="1:12" hidden="1" outlineLevel="1" collapsed="1" x14ac:dyDescent="0.35">
      <c r="A4061" s="112" t="s">
        <v>3283</v>
      </c>
      <c r="B4061" s="112" t="s">
        <v>910</v>
      </c>
      <c r="C4061" s="112" t="s">
        <v>1095</v>
      </c>
      <c r="D4061" s="113">
        <v>10348451</v>
      </c>
      <c r="E4061" s="115">
        <v>43949</v>
      </c>
      <c r="F4061" s="114">
        <v>202101</v>
      </c>
      <c r="G4061" s="112" t="s">
        <v>1091</v>
      </c>
      <c r="H4061" s="112" t="s">
        <v>1015</v>
      </c>
      <c r="I4061" s="112" t="s">
        <v>1101</v>
      </c>
      <c r="J4061" s="112" t="s">
        <v>3286</v>
      </c>
      <c r="K4061" s="112" t="s">
        <v>1098</v>
      </c>
      <c r="L4061" s="116">
        <v>501.66</v>
      </c>
    </row>
    <row r="4062" spans="1:12" hidden="1" outlineLevel="1" collapsed="1" x14ac:dyDescent="0.35">
      <c r="A4062" s="112" t="s">
        <v>3283</v>
      </c>
      <c r="B4062" s="112" t="s">
        <v>910</v>
      </c>
      <c r="C4062" s="112" t="s">
        <v>1095</v>
      </c>
      <c r="D4062" s="113">
        <v>10348451</v>
      </c>
      <c r="E4062" s="115">
        <v>43949</v>
      </c>
      <c r="F4062" s="114">
        <v>202101</v>
      </c>
      <c r="G4062" s="112" t="s">
        <v>1091</v>
      </c>
      <c r="H4062" s="112" t="s">
        <v>1015</v>
      </c>
      <c r="I4062" s="112" t="s">
        <v>1096</v>
      </c>
      <c r="J4062" s="112" t="s">
        <v>3286</v>
      </c>
      <c r="K4062" s="112" t="s">
        <v>1098</v>
      </c>
      <c r="L4062" s="116">
        <v>326.32</v>
      </c>
    </row>
    <row r="4063" spans="1:12" hidden="1" outlineLevel="1" collapsed="1" x14ac:dyDescent="0.35">
      <c r="A4063" s="112" t="s">
        <v>3283</v>
      </c>
      <c r="B4063" s="112" t="s">
        <v>910</v>
      </c>
      <c r="C4063" s="112" t="s">
        <v>1095</v>
      </c>
      <c r="D4063" s="113">
        <v>10348451</v>
      </c>
      <c r="E4063" s="115">
        <v>43949</v>
      </c>
      <c r="F4063" s="114">
        <v>202101</v>
      </c>
      <c r="G4063" s="112" t="s">
        <v>1091</v>
      </c>
      <c r="H4063" s="112" t="s">
        <v>1015</v>
      </c>
      <c r="I4063" s="112" t="s">
        <v>1096</v>
      </c>
      <c r="J4063" s="112" t="s">
        <v>3286</v>
      </c>
      <c r="K4063" s="112" t="s">
        <v>1098</v>
      </c>
      <c r="L4063" s="116">
        <v>262.10000000000002</v>
      </c>
    </row>
    <row r="4064" spans="1:12" hidden="1" outlineLevel="1" collapsed="1" x14ac:dyDescent="0.35">
      <c r="A4064" s="112" t="s">
        <v>3283</v>
      </c>
      <c r="B4064" s="112" t="s">
        <v>912</v>
      </c>
      <c r="C4064" s="112" t="s">
        <v>1095</v>
      </c>
      <c r="D4064" s="113">
        <v>10348451</v>
      </c>
      <c r="E4064" s="115">
        <v>43949</v>
      </c>
      <c r="F4064" s="114">
        <v>202101</v>
      </c>
      <c r="G4064" s="112" t="s">
        <v>1091</v>
      </c>
      <c r="H4064" s="112" t="s">
        <v>1015</v>
      </c>
      <c r="I4064" s="112" t="s">
        <v>1101</v>
      </c>
      <c r="J4064" s="112" t="s">
        <v>3292</v>
      </c>
      <c r="K4064" s="112" t="s">
        <v>1098</v>
      </c>
      <c r="L4064" s="116">
        <v>426.26</v>
      </c>
    </row>
    <row r="4065" spans="1:12" hidden="1" outlineLevel="1" collapsed="1" x14ac:dyDescent="0.35">
      <c r="A4065" s="112" t="s">
        <v>3283</v>
      </c>
      <c r="B4065" s="112" t="s">
        <v>910</v>
      </c>
      <c r="C4065" s="112" t="s">
        <v>1099</v>
      </c>
      <c r="D4065" s="113">
        <v>1069529</v>
      </c>
      <c r="E4065" s="115">
        <v>43936</v>
      </c>
      <c r="F4065" s="114">
        <v>202101</v>
      </c>
      <c r="G4065" s="112" t="s">
        <v>1091</v>
      </c>
      <c r="H4065" s="112" t="s">
        <v>1015</v>
      </c>
      <c r="I4065" s="112" t="s">
        <v>1102</v>
      </c>
      <c r="J4065" s="112" t="s">
        <v>3286</v>
      </c>
      <c r="K4065" s="112" t="s">
        <v>3565</v>
      </c>
      <c r="L4065" s="116">
        <v>300</v>
      </c>
    </row>
    <row r="4066" spans="1:12" hidden="1" outlineLevel="1" collapsed="1" x14ac:dyDescent="0.35">
      <c r="A4066" s="112" t="s">
        <v>3283</v>
      </c>
      <c r="B4066" s="112" t="s">
        <v>3298</v>
      </c>
      <c r="C4066" s="112" t="s">
        <v>1099</v>
      </c>
      <c r="D4066" s="113">
        <v>1069764</v>
      </c>
      <c r="E4066" s="115">
        <v>43949</v>
      </c>
      <c r="F4066" s="114">
        <v>202101</v>
      </c>
      <c r="G4066" s="112" t="s">
        <v>1091</v>
      </c>
      <c r="H4066" s="112" t="s">
        <v>1015</v>
      </c>
      <c r="I4066" s="112" t="s">
        <v>1536</v>
      </c>
      <c r="J4066" s="112" t="s">
        <v>3299</v>
      </c>
      <c r="K4066" s="112" t="s">
        <v>3566</v>
      </c>
      <c r="L4066" s="116">
        <v>297</v>
      </c>
    </row>
    <row r="4067" spans="1:12" hidden="1" outlineLevel="1" collapsed="1" x14ac:dyDescent="0.35">
      <c r="A4067" s="112" t="s">
        <v>3283</v>
      </c>
      <c r="B4067" s="112" t="s">
        <v>910</v>
      </c>
      <c r="C4067" s="112" t="s">
        <v>203</v>
      </c>
      <c r="D4067" s="113">
        <v>10348453</v>
      </c>
      <c r="E4067" s="115">
        <v>43948</v>
      </c>
      <c r="F4067" s="114">
        <v>202101</v>
      </c>
      <c r="G4067" s="112" t="s">
        <v>1091</v>
      </c>
      <c r="H4067" s="112" t="s">
        <v>1015</v>
      </c>
      <c r="I4067" s="112" t="s">
        <v>1479</v>
      </c>
      <c r="J4067" s="112" t="s">
        <v>3286</v>
      </c>
      <c r="K4067" s="112" t="s">
        <v>1098</v>
      </c>
      <c r="L4067" s="116">
        <v>-750.96</v>
      </c>
    </row>
    <row r="4068" spans="1:12" hidden="1" outlineLevel="1" collapsed="1" x14ac:dyDescent="0.35">
      <c r="A4068" s="112" t="s">
        <v>3283</v>
      </c>
      <c r="B4068" s="112" t="s">
        <v>912</v>
      </c>
      <c r="C4068" s="112" t="s">
        <v>1095</v>
      </c>
      <c r="D4068" s="113">
        <v>10348451</v>
      </c>
      <c r="E4068" s="115">
        <v>43949</v>
      </c>
      <c r="F4068" s="114">
        <v>202101</v>
      </c>
      <c r="G4068" s="112" t="s">
        <v>1091</v>
      </c>
      <c r="H4068" s="112" t="s">
        <v>1015</v>
      </c>
      <c r="I4068" s="112" t="s">
        <v>1101</v>
      </c>
      <c r="J4068" s="112" t="s">
        <v>3292</v>
      </c>
      <c r="K4068" s="112" t="s">
        <v>1098</v>
      </c>
      <c r="L4068" s="116">
        <v>562.66999999999996</v>
      </c>
    </row>
    <row r="4069" spans="1:12" hidden="1" outlineLevel="1" collapsed="1" x14ac:dyDescent="0.35">
      <c r="A4069" s="112" t="s">
        <v>3283</v>
      </c>
      <c r="B4069" s="112" t="s">
        <v>912</v>
      </c>
      <c r="C4069" s="112" t="s">
        <v>1095</v>
      </c>
      <c r="D4069" s="113">
        <v>10348451</v>
      </c>
      <c r="E4069" s="115">
        <v>43949</v>
      </c>
      <c r="F4069" s="114">
        <v>202101</v>
      </c>
      <c r="G4069" s="112" t="s">
        <v>1091</v>
      </c>
      <c r="H4069" s="112" t="s">
        <v>1015</v>
      </c>
      <c r="I4069" s="112" t="s">
        <v>1101</v>
      </c>
      <c r="J4069" s="112" t="s">
        <v>3292</v>
      </c>
      <c r="K4069" s="112" t="s">
        <v>1098</v>
      </c>
      <c r="L4069" s="116">
        <v>615.37</v>
      </c>
    </row>
    <row r="4070" spans="1:12" hidden="1" outlineLevel="1" collapsed="1" x14ac:dyDescent="0.35">
      <c r="A4070" s="112" t="s">
        <v>3283</v>
      </c>
      <c r="B4070" s="112" t="s">
        <v>910</v>
      </c>
      <c r="C4070" s="112" t="s">
        <v>1095</v>
      </c>
      <c r="D4070" s="113">
        <v>10348451</v>
      </c>
      <c r="E4070" s="115">
        <v>43949</v>
      </c>
      <c r="F4070" s="114">
        <v>202101</v>
      </c>
      <c r="G4070" s="112" t="s">
        <v>1091</v>
      </c>
      <c r="H4070" s="112" t="s">
        <v>1015</v>
      </c>
      <c r="I4070" s="112" t="s">
        <v>1479</v>
      </c>
      <c r="J4070" s="112" t="s">
        <v>3286</v>
      </c>
      <c r="K4070" s="112" t="s">
        <v>1098</v>
      </c>
      <c r="L4070" s="116">
        <v>750.96</v>
      </c>
    </row>
    <row r="4071" spans="1:12" hidden="1" outlineLevel="1" collapsed="1" x14ac:dyDescent="0.35">
      <c r="A4071" s="112" t="s">
        <v>3283</v>
      </c>
      <c r="B4071" s="112" t="s">
        <v>912</v>
      </c>
      <c r="C4071" s="112" t="s">
        <v>1095</v>
      </c>
      <c r="D4071" s="113">
        <v>10348451</v>
      </c>
      <c r="E4071" s="115">
        <v>43949</v>
      </c>
      <c r="F4071" s="114">
        <v>202101</v>
      </c>
      <c r="G4071" s="112" t="s">
        <v>1091</v>
      </c>
      <c r="H4071" s="112" t="s">
        <v>1015</v>
      </c>
      <c r="I4071" s="112" t="s">
        <v>1101</v>
      </c>
      <c r="J4071" s="112" t="s">
        <v>3292</v>
      </c>
      <c r="K4071" s="112" t="s">
        <v>1098</v>
      </c>
      <c r="L4071" s="116">
        <v>676.12</v>
      </c>
    </row>
    <row r="4072" spans="1:12" hidden="1" outlineLevel="1" collapsed="1" x14ac:dyDescent="0.35">
      <c r="A4072" s="112" t="s">
        <v>3283</v>
      </c>
      <c r="B4072" s="112" t="s">
        <v>910</v>
      </c>
      <c r="C4072" s="112" t="s">
        <v>1095</v>
      </c>
      <c r="D4072" s="113">
        <v>10348451</v>
      </c>
      <c r="E4072" s="115">
        <v>43949</v>
      </c>
      <c r="F4072" s="114">
        <v>202101</v>
      </c>
      <c r="G4072" s="112" t="s">
        <v>1091</v>
      </c>
      <c r="H4072" s="112" t="s">
        <v>1015</v>
      </c>
      <c r="I4072" s="112" t="s">
        <v>1096</v>
      </c>
      <c r="J4072" s="112" t="s">
        <v>3286</v>
      </c>
      <c r="K4072" s="112" t="s">
        <v>1098</v>
      </c>
      <c r="L4072" s="116">
        <v>666.37</v>
      </c>
    </row>
    <row r="4073" spans="1:12" hidden="1" outlineLevel="1" collapsed="1" x14ac:dyDescent="0.35">
      <c r="A4073" s="112" t="s">
        <v>3567</v>
      </c>
      <c r="B4073" s="112" t="s">
        <v>914</v>
      </c>
      <c r="C4073" s="112" t="s">
        <v>1099</v>
      </c>
      <c r="D4073" s="113">
        <v>1069745</v>
      </c>
      <c r="E4073" s="115">
        <v>43950</v>
      </c>
      <c r="F4073" s="114">
        <v>202101</v>
      </c>
      <c r="G4073" s="112" t="s">
        <v>1091</v>
      </c>
      <c r="H4073" s="112" t="s">
        <v>1015</v>
      </c>
      <c r="I4073" s="112" t="s">
        <v>761</v>
      </c>
      <c r="J4073" s="112" t="s">
        <v>3568</v>
      </c>
      <c r="K4073" s="112" t="s">
        <v>3569</v>
      </c>
      <c r="L4073" s="116">
        <v>250</v>
      </c>
    </row>
    <row r="4074" spans="1:12" hidden="1" outlineLevel="1" collapsed="1" x14ac:dyDescent="0.35">
      <c r="A4074" s="112" t="s">
        <v>3567</v>
      </c>
      <c r="B4074" s="112" t="s">
        <v>914</v>
      </c>
      <c r="C4074" s="112" t="s">
        <v>1099</v>
      </c>
      <c r="D4074" s="113">
        <v>1069386</v>
      </c>
      <c r="E4074" s="115">
        <v>43920</v>
      </c>
      <c r="F4074" s="114">
        <v>202101</v>
      </c>
      <c r="G4074" s="112" t="s">
        <v>1091</v>
      </c>
      <c r="H4074" s="112" t="s">
        <v>1015</v>
      </c>
      <c r="I4074" s="112" t="s">
        <v>3570</v>
      </c>
      <c r="J4074" s="112" t="s">
        <v>3568</v>
      </c>
      <c r="K4074" s="112" t="s">
        <v>3571</v>
      </c>
      <c r="L4074" s="116">
        <v>1160</v>
      </c>
    </row>
    <row r="4075" spans="1:12" hidden="1" outlineLevel="1" collapsed="1" x14ac:dyDescent="0.35">
      <c r="A4075" s="112" t="s">
        <v>3567</v>
      </c>
      <c r="B4075" s="112" t="s">
        <v>914</v>
      </c>
      <c r="C4075" s="112" t="s">
        <v>695</v>
      </c>
      <c r="D4075" s="113">
        <v>10348539</v>
      </c>
      <c r="E4075" s="115">
        <v>43951</v>
      </c>
      <c r="F4075" s="114">
        <v>202101</v>
      </c>
      <c r="G4075" s="112" t="s">
        <v>1091</v>
      </c>
      <c r="H4075" s="112" t="s">
        <v>1015</v>
      </c>
      <c r="I4075" s="112" t="s">
        <v>3572</v>
      </c>
      <c r="J4075" s="112" t="s">
        <v>3568</v>
      </c>
      <c r="K4075" s="112" t="s">
        <v>3573</v>
      </c>
      <c r="L4075" s="116">
        <v>530</v>
      </c>
    </row>
    <row r="4076" spans="1:12" hidden="1" outlineLevel="1" collapsed="1" x14ac:dyDescent="0.35">
      <c r="A4076" s="112" t="s">
        <v>3567</v>
      </c>
      <c r="B4076" s="112" t="s">
        <v>913</v>
      </c>
      <c r="C4076" s="112" t="s">
        <v>1095</v>
      </c>
      <c r="D4076" s="113">
        <v>10348451</v>
      </c>
      <c r="E4076" s="115">
        <v>43949</v>
      </c>
      <c r="F4076" s="114">
        <v>202101</v>
      </c>
      <c r="G4076" s="112" t="s">
        <v>1091</v>
      </c>
      <c r="H4076" s="112" t="s">
        <v>1015</v>
      </c>
      <c r="I4076" s="112" t="s">
        <v>1544</v>
      </c>
      <c r="J4076" s="112" t="s">
        <v>3574</v>
      </c>
      <c r="K4076" s="112" t="s">
        <v>1098</v>
      </c>
      <c r="L4076" s="116">
        <v>27.45</v>
      </c>
    </row>
    <row r="4077" spans="1:12" hidden="1" outlineLevel="1" collapsed="1" x14ac:dyDescent="0.35">
      <c r="A4077" s="112" t="s">
        <v>3567</v>
      </c>
      <c r="B4077" s="112" t="s">
        <v>914</v>
      </c>
      <c r="C4077" s="112" t="s">
        <v>695</v>
      </c>
      <c r="D4077" s="113">
        <v>10347981</v>
      </c>
      <c r="E4077" s="115">
        <v>43924</v>
      </c>
      <c r="F4077" s="114">
        <v>202101</v>
      </c>
      <c r="G4077" s="112" t="s">
        <v>1091</v>
      </c>
      <c r="H4077" s="112" t="s">
        <v>1015</v>
      </c>
      <c r="I4077" s="112" t="s">
        <v>3572</v>
      </c>
      <c r="J4077" s="112" t="s">
        <v>3568</v>
      </c>
      <c r="K4077" s="112" t="s">
        <v>3575</v>
      </c>
      <c r="L4077" s="116">
        <v>-530</v>
      </c>
    </row>
    <row r="4078" spans="1:12" hidden="1" outlineLevel="1" collapsed="1" x14ac:dyDescent="0.35">
      <c r="A4078" s="112" t="s">
        <v>3567</v>
      </c>
      <c r="B4078" s="112" t="s">
        <v>913</v>
      </c>
      <c r="C4078" s="112" t="s">
        <v>1099</v>
      </c>
      <c r="D4078" s="113">
        <v>1069719</v>
      </c>
      <c r="E4078" s="115">
        <v>43945</v>
      </c>
      <c r="F4078" s="114">
        <v>202101</v>
      </c>
      <c r="G4078" s="112" t="s">
        <v>1091</v>
      </c>
      <c r="H4078" s="112" t="s">
        <v>1015</v>
      </c>
      <c r="I4078" s="112" t="s">
        <v>761</v>
      </c>
      <c r="J4078" s="112" t="s">
        <v>3574</v>
      </c>
      <c r="K4078" s="112" t="s">
        <v>3576</v>
      </c>
      <c r="L4078" s="116">
        <v>987.5</v>
      </c>
    </row>
    <row r="4079" spans="1:12" hidden="1" outlineLevel="1" collapsed="1" x14ac:dyDescent="0.35">
      <c r="A4079" s="112" t="s">
        <v>3567</v>
      </c>
      <c r="B4079" s="112" t="s">
        <v>913</v>
      </c>
      <c r="C4079" s="112" t="s">
        <v>1095</v>
      </c>
      <c r="D4079" s="113">
        <v>10348451</v>
      </c>
      <c r="E4079" s="115">
        <v>43949</v>
      </c>
      <c r="F4079" s="114">
        <v>202101</v>
      </c>
      <c r="G4079" s="112" t="s">
        <v>1091</v>
      </c>
      <c r="H4079" s="112" t="s">
        <v>1015</v>
      </c>
      <c r="I4079" s="112" t="s">
        <v>1137</v>
      </c>
      <c r="J4079" s="112" t="s">
        <v>3574</v>
      </c>
      <c r="K4079" s="112" t="s">
        <v>1098</v>
      </c>
      <c r="L4079" s="116">
        <v>3.1</v>
      </c>
    </row>
    <row r="4080" spans="1:12" hidden="1" outlineLevel="1" collapsed="1" x14ac:dyDescent="0.35">
      <c r="A4080" s="112" t="s">
        <v>3567</v>
      </c>
      <c r="B4080" s="112" t="s">
        <v>915</v>
      </c>
      <c r="C4080" s="112" t="s">
        <v>695</v>
      </c>
      <c r="D4080" s="113">
        <v>10348034</v>
      </c>
      <c r="E4080" s="115">
        <v>43928</v>
      </c>
      <c r="F4080" s="114">
        <v>202101</v>
      </c>
      <c r="G4080" s="112" t="s">
        <v>1091</v>
      </c>
      <c r="H4080" s="112" t="s">
        <v>1015</v>
      </c>
      <c r="I4080" s="112" t="s">
        <v>1211</v>
      </c>
      <c r="J4080" s="112" t="s">
        <v>3577</v>
      </c>
      <c r="K4080" s="112" t="s">
        <v>3578</v>
      </c>
      <c r="L4080" s="116">
        <v>-2156.52</v>
      </c>
    </row>
    <row r="4081" spans="1:12" hidden="1" outlineLevel="1" collapsed="1" x14ac:dyDescent="0.35">
      <c r="A4081" s="112" t="s">
        <v>3567</v>
      </c>
      <c r="B4081" s="112" t="s">
        <v>915</v>
      </c>
      <c r="C4081" s="112" t="s">
        <v>695</v>
      </c>
      <c r="D4081" s="113">
        <v>10348034</v>
      </c>
      <c r="E4081" s="115">
        <v>43928</v>
      </c>
      <c r="F4081" s="114">
        <v>202101</v>
      </c>
      <c r="G4081" s="112" t="s">
        <v>1091</v>
      </c>
      <c r="H4081" s="112" t="s">
        <v>1015</v>
      </c>
      <c r="I4081" s="112" t="s">
        <v>1211</v>
      </c>
      <c r="J4081" s="112" t="s">
        <v>3577</v>
      </c>
      <c r="K4081" s="112" t="s">
        <v>3579</v>
      </c>
      <c r="L4081" s="116">
        <v>-2165.46</v>
      </c>
    </row>
    <row r="4082" spans="1:12" hidden="1" outlineLevel="1" collapsed="1" x14ac:dyDescent="0.35">
      <c r="A4082" s="112" t="s">
        <v>3567</v>
      </c>
      <c r="B4082" s="112" t="s">
        <v>915</v>
      </c>
      <c r="C4082" s="112" t="s">
        <v>1219</v>
      </c>
      <c r="D4082" s="113">
        <v>46307134</v>
      </c>
      <c r="E4082" s="115">
        <v>43924</v>
      </c>
      <c r="F4082" s="114">
        <v>202101</v>
      </c>
      <c r="G4082" s="112" t="s">
        <v>1091</v>
      </c>
      <c r="H4082" s="112" t="s">
        <v>1015</v>
      </c>
      <c r="I4082" s="112" t="s">
        <v>1211</v>
      </c>
      <c r="J4082" s="112" t="s">
        <v>3577</v>
      </c>
      <c r="K4082" s="112" t="s">
        <v>1220</v>
      </c>
      <c r="L4082" s="116">
        <v>4321.9799999999996</v>
      </c>
    </row>
    <row r="4083" spans="1:12" hidden="1" outlineLevel="1" collapsed="1" x14ac:dyDescent="0.35">
      <c r="A4083" s="112" t="s">
        <v>3567</v>
      </c>
      <c r="B4083" s="112" t="s">
        <v>915</v>
      </c>
      <c r="C4083" s="112" t="s">
        <v>679</v>
      </c>
      <c r="D4083" s="113">
        <v>10348115</v>
      </c>
      <c r="E4083" s="115">
        <v>43929</v>
      </c>
      <c r="F4083" s="114">
        <v>202101</v>
      </c>
      <c r="G4083" s="112" t="s">
        <v>1091</v>
      </c>
      <c r="H4083" s="112" t="s">
        <v>1016</v>
      </c>
      <c r="I4083" s="112" t="s">
        <v>1131</v>
      </c>
      <c r="J4083" s="112" t="s">
        <v>3577</v>
      </c>
      <c r="K4083" s="112" t="s">
        <v>3580</v>
      </c>
      <c r="L4083" s="116">
        <v>-1779.03</v>
      </c>
    </row>
    <row r="4084" spans="1:12" hidden="1" outlineLevel="1" collapsed="1" x14ac:dyDescent="0.35">
      <c r="A4084" s="112" t="s">
        <v>3567</v>
      </c>
      <c r="B4084" s="112" t="s">
        <v>913</v>
      </c>
      <c r="C4084" s="112" t="s">
        <v>679</v>
      </c>
      <c r="D4084" s="113">
        <v>10348115</v>
      </c>
      <c r="E4084" s="115">
        <v>43929</v>
      </c>
      <c r="F4084" s="114">
        <v>202101</v>
      </c>
      <c r="G4084" s="112" t="s">
        <v>1091</v>
      </c>
      <c r="H4084" s="112" t="s">
        <v>1016</v>
      </c>
      <c r="I4084" s="112" t="s">
        <v>2337</v>
      </c>
      <c r="J4084" s="112" t="s">
        <v>3574</v>
      </c>
      <c r="K4084" s="112" t="s">
        <v>3581</v>
      </c>
      <c r="L4084" s="116">
        <v>-101.25</v>
      </c>
    </row>
    <row r="4085" spans="1:12" hidden="1" outlineLevel="1" collapsed="1" x14ac:dyDescent="0.35">
      <c r="A4085" s="112" t="s">
        <v>3567</v>
      </c>
      <c r="B4085" s="112" t="s">
        <v>915</v>
      </c>
      <c r="C4085" s="112" t="s">
        <v>1095</v>
      </c>
      <c r="D4085" s="113">
        <v>10348451</v>
      </c>
      <c r="E4085" s="115">
        <v>43949</v>
      </c>
      <c r="F4085" s="114">
        <v>202101</v>
      </c>
      <c r="G4085" s="112" t="s">
        <v>1091</v>
      </c>
      <c r="H4085" s="112" t="s">
        <v>1015</v>
      </c>
      <c r="I4085" s="112" t="s">
        <v>1096</v>
      </c>
      <c r="J4085" s="112" t="s">
        <v>3582</v>
      </c>
      <c r="K4085" s="112" t="s">
        <v>1098</v>
      </c>
      <c r="L4085" s="116">
        <v>323.45</v>
      </c>
    </row>
    <row r="4086" spans="1:12" hidden="1" outlineLevel="1" collapsed="1" x14ac:dyDescent="0.35">
      <c r="A4086" s="112" t="s">
        <v>3567</v>
      </c>
      <c r="B4086" s="112" t="s">
        <v>915</v>
      </c>
      <c r="C4086" s="112" t="s">
        <v>1119</v>
      </c>
      <c r="D4086" s="113">
        <v>10348592</v>
      </c>
      <c r="E4086" s="115">
        <v>43948</v>
      </c>
      <c r="F4086" s="114">
        <v>202101</v>
      </c>
      <c r="G4086" s="112" t="s">
        <v>1091</v>
      </c>
      <c r="H4086" s="112" t="s">
        <v>1015</v>
      </c>
      <c r="I4086" s="112" t="s">
        <v>1101</v>
      </c>
      <c r="J4086" s="112" t="s">
        <v>3577</v>
      </c>
      <c r="K4086" s="112" t="s">
        <v>1098</v>
      </c>
      <c r="L4086" s="116">
        <v>426.26</v>
      </c>
    </row>
    <row r="4087" spans="1:12" hidden="1" outlineLevel="1" collapsed="1" x14ac:dyDescent="0.35">
      <c r="A4087" s="112" t="s">
        <v>3567</v>
      </c>
      <c r="B4087" s="112" t="s">
        <v>915</v>
      </c>
      <c r="C4087" s="112" t="s">
        <v>1119</v>
      </c>
      <c r="D4087" s="113">
        <v>10348592</v>
      </c>
      <c r="E4087" s="115">
        <v>43948</v>
      </c>
      <c r="F4087" s="114">
        <v>202101</v>
      </c>
      <c r="G4087" s="112" t="s">
        <v>1091</v>
      </c>
      <c r="H4087" s="112" t="s">
        <v>1015</v>
      </c>
      <c r="I4087" s="112" t="s">
        <v>1101</v>
      </c>
      <c r="J4087" s="112" t="s">
        <v>3583</v>
      </c>
      <c r="K4087" s="112" t="s">
        <v>1098</v>
      </c>
      <c r="L4087" s="116">
        <v>-426.26</v>
      </c>
    </row>
    <row r="4088" spans="1:12" hidden="1" outlineLevel="1" collapsed="1" x14ac:dyDescent="0.35">
      <c r="A4088" s="112" t="s">
        <v>3567</v>
      </c>
      <c r="B4088" s="112" t="s">
        <v>915</v>
      </c>
      <c r="C4088" s="112" t="s">
        <v>1119</v>
      </c>
      <c r="D4088" s="113">
        <v>10348592</v>
      </c>
      <c r="E4088" s="115">
        <v>43948</v>
      </c>
      <c r="F4088" s="114">
        <v>202101</v>
      </c>
      <c r="G4088" s="112" t="s">
        <v>1091</v>
      </c>
      <c r="H4088" s="112" t="s">
        <v>1015</v>
      </c>
      <c r="I4088" s="112" t="s">
        <v>1096</v>
      </c>
      <c r="J4088" s="112" t="s">
        <v>3583</v>
      </c>
      <c r="K4088" s="112" t="s">
        <v>1098</v>
      </c>
      <c r="L4088" s="116">
        <v>-262.10000000000002</v>
      </c>
    </row>
    <row r="4089" spans="1:12" hidden="1" outlineLevel="1" collapsed="1" x14ac:dyDescent="0.35">
      <c r="A4089" s="112" t="s">
        <v>3567</v>
      </c>
      <c r="B4089" s="112" t="s">
        <v>915</v>
      </c>
      <c r="C4089" s="112" t="s">
        <v>1119</v>
      </c>
      <c r="D4089" s="113">
        <v>10348592</v>
      </c>
      <c r="E4089" s="115">
        <v>43948</v>
      </c>
      <c r="F4089" s="114">
        <v>202101</v>
      </c>
      <c r="G4089" s="112" t="s">
        <v>1091</v>
      </c>
      <c r="H4089" s="112" t="s">
        <v>1015</v>
      </c>
      <c r="I4089" s="112" t="s">
        <v>1096</v>
      </c>
      <c r="J4089" s="112" t="s">
        <v>3577</v>
      </c>
      <c r="K4089" s="112" t="s">
        <v>1098</v>
      </c>
      <c r="L4089" s="116">
        <v>262.10000000000002</v>
      </c>
    </row>
    <row r="4090" spans="1:12" hidden="1" outlineLevel="1" collapsed="1" x14ac:dyDescent="0.35">
      <c r="A4090" s="112" t="s">
        <v>3567</v>
      </c>
      <c r="B4090" s="112" t="s">
        <v>915</v>
      </c>
      <c r="C4090" s="112" t="s">
        <v>1095</v>
      </c>
      <c r="D4090" s="113">
        <v>10348451</v>
      </c>
      <c r="E4090" s="115">
        <v>43949</v>
      </c>
      <c r="F4090" s="114">
        <v>202101</v>
      </c>
      <c r="G4090" s="112" t="s">
        <v>1091</v>
      </c>
      <c r="H4090" s="112" t="s">
        <v>1015</v>
      </c>
      <c r="I4090" s="112" t="s">
        <v>1101</v>
      </c>
      <c r="J4090" s="112" t="s">
        <v>3582</v>
      </c>
      <c r="K4090" s="112" t="s">
        <v>1098</v>
      </c>
      <c r="L4090" s="116">
        <v>498.28</v>
      </c>
    </row>
    <row r="4091" spans="1:12" hidden="1" outlineLevel="1" collapsed="1" x14ac:dyDescent="0.35">
      <c r="A4091" s="112" t="s">
        <v>3567</v>
      </c>
      <c r="B4091" s="112" t="s">
        <v>914</v>
      </c>
      <c r="C4091" s="112" t="s">
        <v>695</v>
      </c>
      <c r="D4091" s="113">
        <v>10347954</v>
      </c>
      <c r="E4091" s="115">
        <v>43923</v>
      </c>
      <c r="F4091" s="114">
        <v>202101</v>
      </c>
      <c r="G4091" s="112" t="s">
        <v>1091</v>
      </c>
      <c r="H4091" s="112" t="s">
        <v>1015</v>
      </c>
      <c r="I4091" s="112" t="s">
        <v>813</v>
      </c>
      <c r="J4091" s="112" t="s">
        <v>3584</v>
      </c>
      <c r="K4091" s="112" t="s">
        <v>1833</v>
      </c>
      <c r="L4091" s="116">
        <v>-5824.46</v>
      </c>
    </row>
    <row r="4092" spans="1:12" hidden="1" outlineLevel="1" collapsed="1" x14ac:dyDescent="0.35">
      <c r="A4092" s="112" t="s">
        <v>3567</v>
      </c>
      <c r="B4092" s="112" t="s">
        <v>913</v>
      </c>
      <c r="C4092" s="112" t="s">
        <v>1095</v>
      </c>
      <c r="D4092" s="113">
        <v>10348451</v>
      </c>
      <c r="E4092" s="115">
        <v>43949</v>
      </c>
      <c r="F4092" s="114">
        <v>202101</v>
      </c>
      <c r="G4092" s="112" t="s">
        <v>1091</v>
      </c>
      <c r="H4092" s="112" t="s">
        <v>1015</v>
      </c>
      <c r="I4092" s="112" t="s">
        <v>1101</v>
      </c>
      <c r="J4092" s="112" t="s">
        <v>3574</v>
      </c>
      <c r="K4092" s="112" t="s">
        <v>1098</v>
      </c>
      <c r="L4092" s="116">
        <v>483.07</v>
      </c>
    </row>
    <row r="4093" spans="1:12" hidden="1" outlineLevel="1" collapsed="1" x14ac:dyDescent="0.35">
      <c r="A4093" s="112" t="s">
        <v>3567</v>
      </c>
      <c r="B4093" s="112" t="s">
        <v>915</v>
      </c>
      <c r="C4093" s="112" t="s">
        <v>1095</v>
      </c>
      <c r="D4093" s="113">
        <v>10348451</v>
      </c>
      <c r="E4093" s="115">
        <v>43949</v>
      </c>
      <c r="F4093" s="114">
        <v>202101</v>
      </c>
      <c r="G4093" s="112" t="s">
        <v>1091</v>
      </c>
      <c r="H4093" s="112" t="s">
        <v>1015</v>
      </c>
      <c r="I4093" s="112" t="s">
        <v>1101</v>
      </c>
      <c r="J4093" s="112" t="s">
        <v>3577</v>
      </c>
      <c r="K4093" s="112" t="s">
        <v>1098</v>
      </c>
      <c r="L4093" s="116">
        <v>426.26</v>
      </c>
    </row>
    <row r="4094" spans="1:12" hidden="1" outlineLevel="1" collapsed="1" x14ac:dyDescent="0.35">
      <c r="A4094" s="112" t="s">
        <v>3567</v>
      </c>
      <c r="B4094" s="112" t="s">
        <v>913</v>
      </c>
      <c r="C4094" s="112" t="s">
        <v>1095</v>
      </c>
      <c r="D4094" s="113">
        <v>10348451</v>
      </c>
      <c r="E4094" s="115">
        <v>43949</v>
      </c>
      <c r="F4094" s="114">
        <v>202101</v>
      </c>
      <c r="G4094" s="112" t="s">
        <v>1091</v>
      </c>
      <c r="H4094" s="112" t="s">
        <v>1015</v>
      </c>
      <c r="I4094" s="112" t="s">
        <v>1096</v>
      </c>
      <c r="J4094" s="112" t="s">
        <v>3574</v>
      </c>
      <c r="K4094" s="112" t="s">
        <v>1098</v>
      </c>
      <c r="L4094" s="116">
        <v>299.3</v>
      </c>
    </row>
    <row r="4095" spans="1:12" hidden="1" outlineLevel="1" collapsed="1" x14ac:dyDescent="0.35">
      <c r="A4095" s="112" t="s">
        <v>3567</v>
      </c>
      <c r="B4095" s="112" t="s">
        <v>913</v>
      </c>
      <c r="C4095" s="112" t="s">
        <v>1095</v>
      </c>
      <c r="D4095" s="113">
        <v>10348451</v>
      </c>
      <c r="E4095" s="115">
        <v>43949</v>
      </c>
      <c r="F4095" s="114">
        <v>202101</v>
      </c>
      <c r="G4095" s="112" t="s">
        <v>1091</v>
      </c>
      <c r="H4095" s="112" t="s">
        <v>1015</v>
      </c>
      <c r="I4095" s="112" t="s">
        <v>1101</v>
      </c>
      <c r="J4095" s="112" t="s">
        <v>3574</v>
      </c>
      <c r="K4095" s="112" t="s">
        <v>1098</v>
      </c>
      <c r="L4095" s="116">
        <v>469.93</v>
      </c>
    </row>
    <row r="4096" spans="1:12" hidden="1" outlineLevel="1" collapsed="1" x14ac:dyDescent="0.35">
      <c r="A4096" s="112" t="s">
        <v>3567</v>
      </c>
      <c r="B4096" s="112" t="s">
        <v>913</v>
      </c>
      <c r="C4096" s="112" t="s">
        <v>1095</v>
      </c>
      <c r="D4096" s="113">
        <v>10348451</v>
      </c>
      <c r="E4096" s="115">
        <v>43949</v>
      </c>
      <c r="F4096" s="114">
        <v>202101</v>
      </c>
      <c r="G4096" s="112" t="s">
        <v>1091</v>
      </c>
      <c r="H4096" s="112" t="s">
        <v>1015</v>
      </c>
      <c r="I4096" s="112" t="s">
        <v>1101</v>
      </c>
      <c r="J4096" s="112" t="s">
        <v>3574</v>
      </c>
      <c r="K4096" s="112" t="s">
        <v>1098</v>
      </c>
      <c r="L4096" s="116">
        <v>980.47</v>
      </c>
    </row>
    <row r="4097" spans="1:12" hidden="1" outlineLevel="1" collapsed="1" x14ac:dyDescent="0.35">
      <c r="A4097" s="112" t="s">
        <v>3567</v>
      </c>
      <c r="B4097" s="112" t="s">
        <v>914</v>
      </c>
      <c r="C4097" s="112" t="s">
        <v>1095</v>
      </c>
      <c r="D4097" s="113">
        <v>10348451</v>
      </c>
      <c r="E4097" s="115">
        <v>43949</v>
      </c>
      <c r="F4097" s="114">
        <v>202101</v>
      </c>
      <c r="G4097" s="112" t="s">
        <v>1091</v>
      </c>
      <c r="H4097" s="112" t="s">
        <v>1015</v>
      </c>
      <c r="I4097" s="112" t="s">
        <v>1101</v>
      </c>
      <c r="J4097" s="112" t="s">
        <v>3568</v>
      </c>
      <c r="K4097" s="112" t="s">
        <v>1098</v>
      </c>
      <c r="L4097" s="116">
        <v>602.15</v>
      </c>
    </row>
    <row r="4098" spans="1:12" hidden="1" outlineLevel="1" collapsed="1" x14ac:dyDescent="0.35">
      <c r="A4098" s="112" t="s">
        <v>3567</v>
      </c>
      <c r="B4098" s="112" t="s">
        <v>915</v>
      </c>
      <c r="C4098" s="112" t="s">
        <v>1095</v>
      </c>
      <c r="D4098" s="113">
        <v>10348451</v>
      </c>
      <c r="E4098" s="115">
        <v>43949</v>
      </c>
      <c r="F4098" s="114">
        <v>202101</v>
      </c>
      <c r="G4098" s="112" t="s">
        <v>1091</v>
      </c>
      <c r="H4098" s="112" t="s">
        <v>1015</v>
      </c>
      <c r="I4098" s="112" t="s">
        <v>1096</v>
      </c>
      <c r="J4098" s="112" t="s">
        <v>3577</v>
      </c>
      <c r="K4098" s="112" t="s">
        <v>1098</v>
      </c>
      <c r="L4098" s="116">
        <v>271.86</v>
      </c>
    </row>
    <row r="4099" spans="1:12" hidden="1" outlineLevel="1" collapsed="1" x14ac:dyDescent="0.35">
      <c r="A4099" s="112" t="s">
        <v>3567</v>
      </c>
      <c r="B4099" s="112" t="s">
        <v>914</v>
      </c>
      <c r="C4099" s="112" t="s">
        <v>695</v>
      </c>
      <c r="D4099" s="113">
        <v>10347948</v>
      </c>
      <c r="E4099" s="115">
        <v>43923</v>
      </c>
      <c r="F4099" s="114">
        <v>202101</v>
      </c>
      <c r="G4099" s="112" t="s">
        <v>1091</v>
      </c>
      <c r="H4099" s="112" t="s">
        <v>1015</v>
      </c>
      <c r="I4099" s="112" t="s">
        <v>813</v>
      </c>
      <c r="J4099" s="112" t="s">
        <v>3584</v>
      </c>
      <c r="K4099" s="112" t="s">
        <v>1928</v>
      </c>
      <c r="L4099" s="116">
        <v>-12144.72</v>
      </c>
    </row>
    <row r="4100" spans="1:12" hidden="1" outlineLevel="1" collapsed="1" x14ac:dyDescent="0.35">
      <c r="A4100" s="112" t="s">
        <v>3567</v>
      </c>
      <c r="B4100" s="112" t="s">
        <v>914</v>
      </c>
      <c r="C4100" s="112" t="s">
        <v>695</v>
      </c>
      <c r="D4100" s="113">
        <v>10347948</v>
      </c>
      <c r="E4100" s="115">
        <v>43923</v>
      </c>
      <c r="F4100" s="114">
        <v>202101</v>
      </c>
      <c r="G4100" s="112" t="s">
        <v>1091</v>
      </c>
      <c r="H4100" s="112" t="s">
        <v>1015</v>
      </c>
      <c r="I4100" s="112" t="s">
        <v>3585</v>
      </c>
      <c r="J4100" s="112" t="s">
        <v>3568</v>
      </c>
      <c r="K4100" s="112" t="s">
        <v>1833</v>
      </c>
      <c r="L4100" s="116">
        <v>-367.49</v>
      </c>
    </row>
    <row r="4101" spans="1:12" hidden="1" outlineLevel="1" collapsed="1" x14ac:dyDescent="0.35">
      <c r="A4101" s="112" t="s">
        <v>3567</v>
      </c>
      <c r="B4101" s="112" t="s">
        <v>915</v>
      </c>
      <c r="C4101" s="112" t="s">
        <v>1099</v>
      </c>
      <c r="D4101" s="113">
        <v>1069340</v>
      </c>
      <c r="E4101" s="115">
        <v>43921</v>
      </c>
      <c r="F4101" s="114">
        <v>202101</v>
      </c>
      <c r="G4101" s="112" t="s">
        <v>1091</v>
      </c>
      <c r="H4101" s="112" t="s">
        <v>1015</v>
      </c>
      <c r="I4101" s="112" t="s">
        <v>3586</v>
      </c>
      <c r="J4101" s="112" t="s">
        <v>3587</v>
      </c>
      <c r="K4101" s="112" t="s">
        <v>3588</v>
      </c>
      <c r="L4101" s="116">
        <v>5000</v>
      </c>
    </row>
    <row r="4102" spans="1:12" hidden="1" outlineLevel="1" collapsed="1" x14ac:dyDescent="0.35">
      <c r="A4102" s="112" t="s">
        <v>3567</v>
      </c>
      <c r="B4102" s="112" t="s">
        <v>914</v>
      </c>
      <c r="C4102" s="112" t="s">
        <v>695</v>
      </c>
      <c r="D4102" s="113">
        <v>10347954</v>
      </c>
      <c r="E4102" s="115">
        <v>43923</v>
      </c>
      <c r="F4102" s="114">
        <v>202101</v>
      </c>
      <c r="G4102" s="112" t="s">
        <v>1091</v>
      </c>
      <c r="H4102" s="112" t="s">
        <v>1015</v>
      </c>
      <c r="I4102" s="112" t="s">
        <v>813</v>
      </c>
      <c r="J4102" s="112" t="s">
        <v>3584</v>
      </c>
      <c r="K4102" s="112" t="s">
        <v>1833</v>
      </c>
      <c r="L4102" s="116">
        <v>-2551.0500000000002</v>
      </c>
    </row>
    <row r="4103" spans="1:12" hidden="1" outlineLevel="1" collapsed="1" x14ac:dyDescent="0.35">
      <c r="A4103" s="112" t="s">
        <v>3567</v>
      </c>
      <c r="B4103" s="112" t="s">
        <v>915</v>
      </c>
      <c r="C4103" s="112" t="s">
        <v>1095</v>
      </c>
      <c r="D4103" s="113">
        <v>10348451</v>
      </c>
      <c r="E4103" s="115">
        <v>43949</v>
      </c>
      <c r="F4103" s="114">
        <v>202101</v>
      </c>
      <c r="G4103" s="112" t="s">
        <v>1091</v>
      </c>
      <c r="H4103" s="112" t="s">
        <v>1015</v>
      </c>
      <c r="I4103" s="112" t="s">
        <v>1101</v>
      </c>
      <c r="J4103" s="112" t="s">
        <v>3577</v>
      </c>
      <c r="K4103" s="112" t="s">
        <v>1098</v>
      </c>
      <c r="L4103" s="116">
        <v>602.15</v>
      </c>
    </row>
    <row r="4104" spans="1:12" hidden="1" outlineLevel="1" collapsed="1" x14ac:dyDescent="0.35">
      <c r="A4104" s="112" t="s">
        <v>3567</v>
      </c>
      <c r="B4104" s="112" t="s">
        <v>913</v>
      </c>
      <c r="C4104" s="112" t="s">
        <v>695</v>
      </c>
      <c r="D4104" s="113">
        <v>10347981</v>
      </c>
      <c r="E4104" s="115">
        <v>43924</v>
      </c>
      <c r="F4104" s="114">
        <v>202101</v>
      </c>
      <c r="G4104" s="112" t="s">
        <v>1091</v>
      </c>
      <c r="H4104" s="112" t="s">
        <v>1015</v>
      </c>
      <c r="I4104" s="112" t="s">
        <v>761</v>
      </c>
      <c r="J4104" s="112" t="s">
        <v>3574</v>
      </c>
      <c r="K4104" s="112" t="s">
        <v>3589</v>
      </c>
      <c r="L4104" s="116">
        <v>-150</v>
      </c>
    </row>
    <row r="4105" spans="1:12" hidden="1" outlineLevel="1" collapsed="1" x14ac:dyDescent="0.35">
      <c r="A4105" s="112" t="s">
        <v>3567</v>
      </c>
      <c r="B4105" s="112" t="s">
        <v>915</v>
      </c>
      <c r="C4105" s="112" t="s">
        <v>695</v>
      </c>
      <c r="D4105" s="113">
        <v>10347981</v>
      </c>
      <c r="E4105" s="115">
        <v>43924</v>
      </c>
      <c r="F4105" s="114">
        <v>202101</v>
      </c>
      <c r="G4105" s="112" t="s">
        <v>1091</v>
      </c>
      <c r="H4105" s="112" t="s">
        <v>1015</v>
      </c>
      <c r="I4105" s="112" t="s">
        <v>775</v>
      </c>
      <c r="J4105" s="112" t="s">
        <v>3577</v>
      </c>
      <c r="K4105" s="112" t="s">
        <v>3590</v>
      </c>
      <c r="L4105" s="116">
        <v>-24</v>
      </c>
    </row>
    <row r="4106" spans="1:12" hidden="1" outlineLevel="1" collapsed="1" x14ac:dyDescent="0.35">
      <c r="A4106" s="112" t="s">
        <v>3567</v>
      </c>
      <c r="B4106" s="112" t="s">
        <v>913</v>
      </c>
      <c r="C4106" s="112" t="s">
        <v>1095</v>
      </c>
      <c r="D4106" s="113">
        <v>10348451</v>
      </c>
      <c r="E4106" s="115">
        <v>43949</v>
      </c>
      <c r="F4106" s="114">
        <v>202101</v>
      </c>
      <c r="G4106" s="112" t="s">
        <v>1091</v>
      </c>
      <c r="H4106" s="112" t="s">
        <v>1015</v>
      </c>
      <c r="I4106" s="112" t="s">
        <v>1128</v>
      </c>
      <c r="J4106" s="112" t="s">
        <v>3574</v>
      </c>
      <c r="K4106" s="112" t="s">
        <v>1098</v>
      </c>
      <c r="L4106" s="116">
        <v>40</v>
      </c>
    </row>
    <row r="4107" spans="1:12" hidden="1" outlineLevel="1" collapsed="1" x14ac:dyDescent="0.35">
      <c r="A4107" s="112" t="s">
        <v>3567</v>
      </c>
      <c r="B4107" s="112" t="s">
        <v>913</v>
      </c>
      <c r="C4107" s="112" t="s">
        <v>1095</v>
      </c>
      <c r="D4107" s="113">
        <v>10348451</v>
      </c>
      <c r="E4107" s="115">
        <v>43949</v>
      </c>
      <c r="F4107" s="114">
        <v>202101</v>
      </c>
      <c r="G4107" s="112" t="s">
        <v>1091</v>
      </c>
      <c r="H4107" s="112" t="s">
        <v>1015</v>
      </c>
      <c r="I4107" s="112" t="s">
        <v>1096</v>
      </c>
      <c r="J4107" s="112" t="s">
        <v>3574</v>
      </c>
      <c r="K4107" s="112" t="s">
        <v>1098</v>
      </c>
      <c r="L4107" s="116">
        <v>651.09</v>
      </c>
    </row>
    <row r="4108" spans="1:12" hidden="1" outlineLevel="1" collapsed="1" x14ac:dyDescent="0.35">
      <c r="A4108" s="112" t="s">
        <v>3567</v>
      </c>
      <c r="B4108" s="112" t="s">
        <v>914</v>
      </c>
      <c r="C4108" s="112" t="s">
        <v>1095</v>
      </c>
      <c r="D4108" s="113">
        <v>10348451</v>
      </c>
      <c r="E4108" s="115">
        <v>43949</v>
      </c>
      <c r="F4108" s="114">
        <v>202101</v>
      </c>
      <c r="G4108" s="112" t="s">
        <v>1091</v>
      </c>
      <c r="H4108" s="112" t="s">
        <v>1015</v>
      </c>
      <c r="I4108" s="112" t="s">
        <v>1101</v>
      </c>
      <c r="J4108" s="112" t="s">
        <v>3568</v>
      </c>
      <c r="K4108" s="112" t="s">
        <v>1098</v>
      </c>
      <c r="L4108" s="116">
        <v>549.4</v>
      </c>
    </row>
    <row r="4109" spans="1:12" hidden="1" outlineLevel="1" collapsed="1" x14ac:dyDescent="0.35">
      <c r="A4109" s="112" t="s">
        <v>3567</v>
      </c>
      <c r="B4109" s="112" t="s">
        <v>915</v>
      </c>
      <c r="C4109" s="112" t="s">
        <v>695</v>
      </c>
      <c r="D4109" s="113">
        <v>10347981</v>
      </c>
      <c r="E4109" s="115">
        <v>43924</v>
      </c>
      <c r="F4109" s="114">
        <v>202101</v>
      </c>
      <c r="G4109" s="112" t="s">
        <v>1091</v>
      </c>
      <c r="H4109" s="112" t="s">
        <v>1015</v>
      </c>
      <c r="I4109" s="112" t="s">
        <v>1124</v>
      </c>
      <c r="J4109" s="112" t="s">
        <v>3582</v>
      </c>
      <c r="K4109" s="112" t="s">
        <v>3591</v>
      </c>
      <c r="L4109" s="116">
        <v>-450</v>
      </c>
    </row>
    <row r="4110" spans="1:12" hidden="1" outlineLevel="1" collapsed="1" x14ac:dyDescent="0.35">
      <c r="A4110" s="112" t="s">
        <v>3567</v>
      </c>
      <c r="B4110" s="112" t="s">
        <v>914</v>
      </c>
      <c r="C4110" s="112" t="s">
        <v>1095</v>
      </c>
      <c r="D4110" s="113">
        <v>10348451</v>
      </c>
      <c r="E4110" s="115">
        <v>43949</v>
      </c>
      <c r="F4110" s="114">
        <v>202101</v>
      </c>
      <c r="G4110" s="112" t="s">
        <v>1091</v>
      </c>
      <c r="H4110" s="112" t="s">
        <v>1015</v>
      </c>
      <c r="I4110" s="112" t="s">
        <v>1096</v>
      </c>
      <c r="J4110" s="112" t="s">
        <v>3568</v>
      </c>
      <c r="K4110" s="112" t="s">
        <v>1098</v>
      </c>
      <c r="L4110" s="116">
        <v>366.99</v>
      </c>
    </row>
    <row r="4111" spans="1:12" hidden="1" outlineLevel="1" collapsed="1" x14ac:dyDescent="0.35">
      <c r="A4111" s="112" t="s">
        <v>3567</v>
      </c>
      <c r="B4111" s="112" t="s">
        <v>914</v>
      </c>
      <c r="C4111" s="112" t="s">
        <v>695</v>
      </c>
      <c r="D4111" s="113">
        <v>10347981</v>
      </c>
      <c r="E4111" s="115">
        <v>43924</v>
      </c>
      <c r="F4111" s="114">
        <v>202101</v>
      </c>
      <c r="G4111" s="112" t="s">
        <v>1091</v>
      </c>
      <c r="H4111" s="112" t="s">
        <v>1015</v>
      </c>
      <c r="I4111" s="112" t="s">
        <v>761</v>
      </c>
      <c r="J4111" s="112" t="s">
        <v>3568</v>
      </c>
      <c r="K4111" s="112" t="s">
        <v>3592</v>
      </c>
      <c r="L4111" s="116">
        <v>-250</v>
      </c>
    </row>
    <row r="4112" spans="1:12" hidden="1" outlineLevel="1" collapsed="1" x14ac:dyDescent="0.35">
      <c r="A4112" s="112" t="s">
        <v>3567</v>
      </c>
      <c r="B4112" s="112" t="s">
        <v>913</v>
      </c>
      <c r="C4112" s="112" t="s">
        <v>1095</v>
      </c>
      <c r="D4112" s="113">
        <v>10348451</v>
      </c>
      <c r="E4112" s="115">
        <v>43949</v>
      </c>
      <c r="F4112" s="114">
        <v>202101</v>
      </c>
      <c r="G4112" s="112" t="s">
        <v>1091</v>
      </c>
      <c r="H4112" s="112" t="s">
        <v>1015</v>
      </c>
      <c r="I4112" s="112" t="s">
        <v>1096</v>
      </c>
      <c r="J4112" s="112" t="s">
        <v>3574</v>
      </c>
      <c r="K4112" s="112" t="s">
        <v>1098</v>
      </c>
      <c r="L4112" s="116">
        <v>307.73</v>
      </c>
    </row>
    <row r="4113" spans="1:12" hidden="1" outlineLevel="1" collapsed="1" x14ac:dyDescent="0.35">
      <c r="A4113" s="112" t="s">
        <v>3567</v>
      </c>
      <c r="B4113" s="112" t="s">
        <v>915</v>
      </c>
      <c r="C4113" s="112" t="s">
        <v>695</v>
      </c>
      <c r="D4113" s="113">
        <v>10347981</v>
      </c>
      <c r="E4113" s="115">
        <v>43924</v>
      </c>
      <c r="F4113" s="114">
        <v>202101</v>
      </c>
      <c r="G4113" s="112" t="s">
        <v>1091</v>
      </c>
      <c r="H4113" s="112" t="s">
        <v>1015</v>
      </c>
      <c r="I4113" s="112" t="s">
        <v>3586</v>
      </c>
      <c r="J4113" s="112" t="s">
        <v>3587</v>
      </c>
      <c r="K4113" s="112" t="s">
        <v>3593</v>
      </c>
      <c r="L4113" s="116">
        <v>-5000</v>
      </c>
    </row>
    <row r="4114" spans="1:12" hidden="1" outlineLevel="1" collapsed="1" x14ac:dyDescent="0.35">
      <c r="A4114" s="112" t="s">
        <v>3567</v>
      </c>
      <c r="B4114" s="112" t="s">
        <v>915</v>
      </c>
      <c r="C4114" s="112" t="s">
        <v>1095</v>
      </c>
      <c r="D4114" s="113">
        <v>10348451</v>
      </c>
      <c r="E4114" s="115">
        <v>43949</v>
      </c>
      <c r="F4114" s="114">
        <v>202101</v>
      </c>
      <c r="G4114" s="112" t="s">
        <v>1091</v>
      </c>
      <c r="H4114" s="112" t="s">
        <v>1015</v>
      </c>
      <c r="I4114" s="112" t="s">
        <v>1101</v>
      </c>
      <c r="J4114" s="112" t="s">
        <v>3577</v>
      </c>
      <c r="K4114" s="112" t="s">
        <v>1098</v>
      </c>
      <c r="L4114" s="116">
        <v>679.08</v>
      </c>
    </row>
    <row r="4115" spans="1:12" hidden="1" outlineLevel="1" collapsed="1" x14ac:dyDescent="0.35">
      <c r="A4115" s="112" t="s">
        <v>3567</v>
      </c>
      <c r="B4115" s="112" t="s">
        <v>915</v>
      </c>
      <c r="C4115" s="112" t="s">
        <v>695</v>
      </c>
      <c r="D4115" s="113">
        <v>10348363</v>
      </c>
      <c r="E4115" s="115">
        <v>43942</v>
      </c>
      <c r="F4115" s="114">
        <v>202101</v>
      </c>
      <c r="G4115" s="112" t="s">
        <v>1091</v>
      </c>
      <c r="H4115" s="112" t="s">
        <v>1015</v>
      </c>
      <c r="I4115" s="112" t="s">
        <v>761</v>
      </c>
      <c r="J4115" s="112" t="s">
        <v>3577</v>
      </c>
      <c r="K4115" s="112" t="s">
        <v>3594</v>
      </c>
      <c r="L4115" s="116">
        <v>-1170</v>
      </c>
    </row>
    <row r="4116" spans="1:12" hidden="1" outlineLevel="1" collapsed="1" x14ac:dyDescent="0.35">
      <c r="A4116" s="112" t="s">
        <v>3567</v>
      </c>
      <c r="B4116" s="112" t="s">
        <v>915</v>
      </c>
      <c r="C4116" s="112" t="s">
        <v>1095</v>
      </c>
      <c r="D4116" s="113">
        <v>10348451</v>
      </c>
      <c r="E4116" s="115">
        <v>43949</v>
      </c>
      <c r="F4116" s="114">
        <v>202101</v>
      </c>
      <c r="G4116" s="112" t="s">
        <v>1091</v>
      </c>
      <c r="H4116" s="112" t="s">
        <v>1015</v>
      </c>
      <c r="I4116" s="112" t="s">
        <v>1101</v>
      </c>
      <c r="J4116" s="112" t="s">
        <v>3577</v>
      </c>
      <c r="K4116" s="112" t="s">
        <v>1098</v>
      </c>
      <c r="L4116" s="116">
        <v>437.72</v>
      </c>
    </row>
    <row r="4117" spans="1:12" hidden="1" outlineLevel="1" collapsed="1" x14ac:dyDescent="0.35">
      <c r="A4117" s="112" t="s">
        <v>3567</v>
      </c>
      <c r="B4117" s="112" t="s">
        <v>914</v>
      </c>
      <c r="C4117" s="112" t="s">
        <v>1095</v>
      </c>
      <c r="D4117" s="113">
        <v>10348451</v>
      </c>
      <c r="E4117" s="115">
        <v>43949</v>
      </c>
      <c r="F4117" s="114">
        <v>202101</v>
      </c>
      <c r="G4117" s="112" t="s">
        <v>1091</v>
      </c>
      <c r="H4117" s="112" t="s">
        <v>1015</v>
      </c>
      <c r="I4117" s="112" t="s">
        <v>1101</v>
      </c>
      <c r="J4117" s="112" t="s">
        <v>3568</v>
      </c>
      <c r="K4117" s="112" t="s">
        <v>1098</v>
      </c>
      <c r="L4117" s="116">
        <v>483.07</v>
      </c>
    </row>
    <row r="4118" spans="1:12" hidden="1" outlineLevel="1" collapsed="1" x14ac:dyDescent="0.35">
      <c r="A4118" s="112" t="s">
        <v>3567</v>
      </c>
      <c r="B4118" s="112" t="s">
        <v>913</v>
      </c>
      <c r="C4118" s="112" t="s">
        <v>1095</v>
      </c>
      <c r="D4118" s="113">
        <v>10348451</v>
      </c>
      <c r="E4118" s="115">
        <v>43949</v>
      </c>
      <c r="F4118" s="114">
        <v>202101</v>
      </c>
      <c r="G4118" s="112" t="s">
        <v>1091</v>
      </c>
      <c r="H4118" s="112" t="s">
        <v>1015</v>
      </c>
      <c r="I4118" s="112" t="s">
        <v>1101</v>
      </c>
      <c r="J4118" s="112" t="s">
        <v>3574</v>
      </c>
      <c r="K4118" s="112" t="s">
        <v>1098</v>
      </c>
      <c r="L4118" s="116">
        <v>341.01</v>
      </c>
    </row>
    <row r="4119" spans="1:12" hidden="1" outlineLevel="1" collapsed="1" x14ac:dyDescent="0.35">
      <c r="A4119" s="112" t="s">
        <v>3567</v>
      </c>
      <c r="B4119" s="112" t="s">
        <v>913</v>
      </c>
      <c r="C4119" s="112" t="s">
        <v>1095</v>
      </c>
      <c r="D4119" s="113">
        <v>10348451</v>
      </c>
      <c r="E4119" s="115">
        <v>43949</v>
      </c>
      <c r="F4119" s="114">
        <v>202101</v>
      </c>
      <c r="G4119" s="112" t="s">
        <v>1091</v>
      </c>
      <c r="H4119" s="112" t="s">
        <v>1015</v>
      </c>
      <c r="I4119" s="112" t="s">
        <v>1096</v>
      </c>
      <c r="J4119" s="112" t="s">
        <v>3574</v>
      </c>
      <c r="K4119" s="112" t="s">
        <v>1098</v>
      </c>
      <c r="L4119" s="116">
        <v>273.39</v>
      </c>
    </row>
    <row r="4120" spans="1:12" hidden="1" outlineLevel="1" collapsed="1" x14ac:dyDescent="0.35">
      <c r="A4120" s="112" t="s">
        <v>3567</v>
      </c>
      <c r="B4120" s="112" t="s">
        <v>913</v>
      </c>
      <c r="C4120" s="112" t="s">
        <v>1095</v>
      </c>
      <c r="D4120" s="113">
        <v>10348451</v>
      </c>
      <c r="E4120" s="115">
        <v>43949</v>
      </c>
      <c r="F4120" s="114">
        <v>202101</v>
      </c>
      <c r="G4120" s="112" t="s">
        <v>1091</v>
      </c>
      <c r="H4120" s="112" t="s">
        <v>1015</v>
      </c>
      <c r="I4120" s="112" t="s">
        <v>1101</v>
      </c>
      <c r="J4120" s="112" t="s">
        <v>3574</v>
      </c>
      <c r="K4120" s="112" t="s">
        <v>1098</v>
      </c>
      <c r="L4120" s="116">
        <v>386.46</v>
      </c>
    </row>
    <row r="4121" spans="1:12" hidden="1" outlineLevel="1" collapsed="1" x14ac:dyDescent="0.35">
      <c r="A4121" s="112" t="s">
        <v>3567</v>
      </c>
      <c r="B4121" s="112" t="s">
        <v>913</v>
      </c>
      <c r="C4121" s="112" t="s">
        <v>1095</v>
      </c>
      <c r="D4121" s="113">
        <v>10348451</v>
      </c>
      <c r="E4121" s="115">
        <v>43949</v>
      </c>
      <c r="F4121" s="114">
        <v>202101</v>
      </c>
      <c r="G4121" s="112" t="s">
        <v>1091</v>
      </c>
      <c r="H4121" s="112" t="s">
        <v>1015</v>
      </c>
      <c r="I4121" s="112" t="s">
        <v>1096</v>
      </c>
      <c r="J4121" s="112" t="s">
        <v>3574</v>
      </c>
      <c r="K4121" s="112" t="s">
        <v>1098</v>
      </c>
      <c r="L4121" s="116">
        <v>228.19</v>
      </c>
    </row>
    <row r="4122" spans="1:12" hidden="1" outlineLevel="1" collapsed="1" x14ac:dyDescent="0.35">
      <c r="A4122" s="112" t="s">
        <v>3567</v>
      </c>
      <c r="B4122" s="112" t="s">
        <v>915</v>
      </c>
      <c r="C4122" s="112" t="s">
        <v>1095</v>
      </c>
      <c r="D4122" s="113">
        <v>10348451</v>
      </c>
      <c r="E4122" s="115">
        <v>43949</v>
      </c>
      <c r="F4122" s="114">
        <v>202101</v>
      </c>
      <c r="G4122" s="112" t="s">
        <v>1091</v>
      </c>
      <c r="H4122" s="112" t="s">
        <v>1015</v>
      </c>
      <c r="I4122" s="112" t="s">
        <v>1096</v>
      </c>
      <c r="J4122" s="112" t="s">
        <v>3577</v>
      </c>
      <c r="K4122" s="112" t="s">
        <v>1098</v>
      </c>
      <c r="L4122" s="116">
        <v>262.08999999999997</v>
      </c>
    </row>
    <row r="4123" spans="1:12" hidden="1" outlineLevel="1" collapsed="1" x14ac:dyDescent="0.35">
      <c r="A4123" s="112" t="s">
        <v>3567</v>
      </c>
      <c r="B4123" s="112" t="s">
        <v>914</v>
      </c>
      <c r="C4123" s="112" t="s">
        <v>1095</v>
      </c>
      <c r="D4123" s="113">
        <v>10348451</v>
      </c>
      <c r="E4123" s="115">
        <v>43949</v>
      </c>
      <c r="F4123" s="114">
        <v>202101</v>
      </c>
      <c r="G4123" s="112" t="s">
        <v>1091</v>
      </c>
      <c r="H4123" s="112" t="s">
        <v>1015</v>
      </c>
      <c r="I4123" s="112" t="s">
        <v>1096</v>
      </c>
      <c r="J4123" s="112" t="s">
        <v>3568</v>
      </c>
      <c r="K4123" s="112" t="s">
        <v>1098</v>
      </c>
      <c r="L4123" s="116">
        <v>310.49</v>
      </c>
    </row>
    <row r="4124" spans="1:12" hidden="1" outlineLevel="1" collapsed="1" x14ac:dyDescent="0.35">
      <c r="A4124" s="112" t="s">
        <v>3567</v>
      </c>
      <c r="B4124" s="112" t="s">
        <v>915</v>
      </c>
      <c r="C4124" s="112" t="s">
        <v>695</v>
      </c>
      <c r="D4124" s="113">
        <v>10347981</v>
      </c>
      <c r="E4124" s="115">
        <v>43924</v>
      </c>
      <c r="F4124" s="114">
        <v>202101</v>
      </c>
      <c r="G4124" s="112" t="s">
        <v>1091</v>
      </c>
      <c r="H4124" s="112" t="s">
        <v>1015</v>
      </c>
      <c r="I4124" s="112" t="s">
        <v>3586</v>
      </c>
      <c r="J4124" s="112" t="s">
        <v>3577</v>
      </c>
      <c r="K4124" s="112" t="s">
        <v>3595</v>
      </c>
      <c r="L4124" s="116">
        <v>-6000</v>
      </c>
    </row>
    <row r="4125" spans="1:12" hidden="1" outlineLevel="1" collapsed="1" x14ac:dyDescent="0.35">
      <c r="A4125" s="112" t="s">
        <v>3567</v>
      </c>
      <c r="B4125" s="112" t="s">
        <v>913</v>
      </c>
      <c r="C4125" s="112" t="s">
        <v>1095</v>
      </c>
      <c r="D4125" s="113">
        <v>10348451</v>
      </c>
      <c r="E4125" s="115">
        <v>43949</v>
      </c>
      <c r="F4125" s="114">
        <v>202101</v>
      </c>
      <c r="G4125" s="112" t="s">
        <v>1091</v>
      </c>
      <c r="H4125" s="112" t="s">
        <v>1015</v>
      </c>
      <c r="I4125" s="112" t="s">
        <v>1096</v>
      </c>
      <c r="J4125" s="112" t="s">
        <v>3574</v>
      </c>
      <c r="K4125" s="112" t="s">
        <v>1098</v>
      </c>
      <c r="L4125" s="116">
        <v>273.39</v>
      </c>
    </row>
    <row r="4126" spans="1:12" hidden="1" outlineLevel="1" collapsed="1" x14ac:dyDescent="0.35">
      <c r="A4126" s="112" t="s">
        <v>3567</v>
      </c>
      <c r="B4126" s="112" t="s">
        <v>914</v>
      </c>
      <c r="C4126" s="112" t="s">
        <v>1150</v>
      </c>
      <c r="D4126" s="113">
        <v>10348573</v>
      </c>
      <c r="E4126" s="115">
        <v>43958</v>
      </c>
      <c r="F4126" s="114">
        <v>202101</v>
      </c>
      <c r="G4126" s="112" t="s">
        <v>1091</v>
      </c>
      <c r="H4126" s="112" t="s">
        <v>1015</v>
      </c>
      <c r="I4126" s="112" t="s">
        <v>3585</v>
      </c>
      <c r="J4126" s="112" t="s">
        <v>3568</v>
      </c>
      <c r="K4126" s="112" t="s">
        <v>1151</v>
      </c>
      <c r="L4126" s="116">
        <v>367.49</v>
      </c>
    </row>
    <row r="4127" spans="1:12" hidden="1" outlineLevel="1" collapsed="1" x14ac:dyDescent="0.35">
      <c r="A4127" s="112" t="s">
        <v>3567</v>
      </c>
      <c r="B4127" s="112" t="s">
        <v>915</v>
      </c>
      <c r="C4127" s="112" t="s">
        <v>1095</v>
      </c>
      <c r="D4127" s="113">
        <v>10348451</v>
      </c>
      <c r="E4127" s="115">
        <v>43949</v>
      </c>
      <c r="F4127" s="114">
        <v>202101</v>
      </c>
      <c r="G4127" s="112" t="s">
        <v>1091</v>
      </c>
      <c r="H4127" s="112" t="s">
        <v>1015</v>
      </c>
      <c r="I4127" s="112" t="s">
        <v>1096</v>
      </c>
      <c r="J4127" s="112" t="s">
        <v>3577</v>
      </c>
      <c r="K4127" s="112" t="s">
        <v>1098</v>
      </c>
      <c r="L4127" s="116">
        <v>477.46</v>
      </c>
    </row>
    <row r="4128" spans="1:12" hidden="1" outlineLevel="1" collapsed="1" x14ac:dyDescent="0.35">
      <c r="A4128" s="112" t="s">
        <v>3567</v>
      </c>
      <c r="B4128" s="112" t="s">
        <v>913</v>
      </c>
      <c r="C4128" s="112" t="s">
        <v>1095</v>
      </c>
      <c r="D4128" s="113">
        <v>10348451</v>
      </c>
      <c r="E4128" s="115">
        <v>43949</v>
      </c>
      <c r="F4128" s="114">
        <v>202101</v>
      </c>
      <c r="G4128" s="112" t="s">
        <v>1091</v>
      </c>
      <c r="H4128" s="112" t="s">
        <v>1015</v>
      </c>
      <c r="I4128" s="112" t="s">
        <v>1096</v>
      </c>
      <c r="J4128" s="112" t="s">
        <v>3574</v>
      </c>
      <c r="K4128" s="112" t="s">
        <v>1098</v>
      </c>
      <c r="L4128" s="116">
        <v>734.2</v>
      </c>
    </row>
    <row r="4129" spans="1:12" hidden="1" outlineLevel="1" collapsed="1" x14ac:dyDescent="0.35">
      <c r="A4129" s="112" t="s">
        <v>3567</v>
      </c>
      <c r="B4129" s="112" t="s">
        <v>915</v>
      </c>
      <c r="C4129" s="112" t="s">
        <v>1095</v>
      </c>
      <c r="D4129" s="113">
        <v>10348451</v>
      </c>
      <c r="E4129" s="115">
        <v>43949</v>
      </c>
      <c r="F4129" s="114">
        <v>202101</v>
      </c>
      <c r="G4129" s="112" t="s">
        <v>1091</v>
      </c>
      <c r="H4129" s="112" t="s">
        <v>1015</v>
      </c>
      <c r="I4129" s="112" t="s">
        <v>1096</v>
      </c>
      <c r="J4129" s="112" t="s">
        <v>3583</v>
      </c>
      <c r="K4129" s="112" t="s">
        <v>1098</v>
      </c>
      <c r="L4129" s="116">
        <v>262.10000000000002</v>
      </c>
    </row>
    <row r="4130" spans="1:12" hidden="1" outlineLevel="1" collapsed="1" x14ac:dyDescent="0.35">
      <c r="A4130" s="112" t="s">
        <v>3567</v>
      </c>
      <c r="B4130" s="112" t="s">
        <v>914</v>
      </c>
      <c r="C4130" s="112" t="s">
        <v>1150</v>
      </c>
      <c r="D4130" s="113">
        <v>10348573</v>
      </c>
      <c r="E4130" s="115">
        <v>43958</v>
      </c>
      <c r="F4130" s="114">
        <v>202101</v>
      </c>
      <c r="G4130" s="112" t="s">
        <v>1091</v>
      </c>
      <c r="H4130" s="112" t="s">
        <v>1015</v>
      </c>
      <c r="I4130" s="112" t="s">
        <v>813</v>
      </c>
      <c r="J4130" s="112" t="s">
        <v>3584</v>
      </c>
      <c r="K4130" s="112" t="s">
        <v>2179</v>
      </c>
      <c r="L4130" s="116">
        <v>8764.57</v>
      </c>
    </row>
    <row r="4131" spans="1:12" hidden="1" outlineLevel="1" collapsed="1" x14ac:dyDescent="0.35">
      <c r="A4131" s="112" t="s">
        <v>3567</v>
      </c>
      <c r="B4131" s="112" t="s">
        <v>915</v>
      </c>
      <c r="C4131" s="112" t="s">
        <v>1099</v>
      </c>
      <c r="D4131" s="113">
        <v>1069359</v>
      </c>
      <c r="E4131" s="115">
        <v>43922</v>
      </c>
      <c r="F4131" s="114">
        <v>202101</v>
      </c>
      <c r="G4131" s="112" t="s">
        <v>1091</v>
      </c>
      <c r="H4131" s="112" t="s">
        <v>1015</v>
      </c>
      <c r="I4131" s="112" t="s">
        <v>3586</v>
      </c>
      <c r="J4131" s="112" t="s">
        <v>3577</v>
      </c>
      <c r="K4131" s="112" t="s">
        <v>3596</v>
      </c>
      <c r="L4131" s="116">
        <v>6000</v>
      </c>
    </row>
    <row r="4132" spans="1:12" hidden="1" outlineLevel="1" collapsed="1" x14ac:dyDescent="0.35">
      <c r="A4132" s="112" t="s">
        <v>3567</v>
      </c>
      <c r="B4132" s="112" t="s">
        <v>913</v>
      </c>
      <c r="C4132" s="112" t="s">
        <v>1095</v>
      </c>
      <c r="D4132" s="113">
        <v>10348451</v>
      </c>
      <c r="E4132" s="115">
        <v>43949</v>
      </c>
      <c r="F4132" s="114">
        <v>202101</v>
      </c>
      <c r="G4132" s="112" t="s">
        <v>1091</v>
      </c>
      <c r="H4132" s="112" t="s">
        <v>1015</v>
      </c>
      <c r="I4132" s="112" t="s">
        <v>1101</v>
      </c>
      <c r="J4132" s="112" t="s">
        <v>3574</v>
      </c>
      <c r="K4132" s="112" t="s">
        <v>1098</v>
      </c>
      <c r="L4132" s="116">
        <v>889.38</v>
      </c>
    </row>
    <row r="4133" spans="1:12" hidden="1" outlineLevel="1" collapsed="1" x14ac:dyDescent="0.35">
      <c r="A4133" s="112" t="s">
        <v>3567</v>
      </c>
      <c r="B4133" s="112" t="s">
        <v>914</v>
      </c>
      <c r="C4133" s="112" t="s">
        <v>1095</v>
      </c>
      <c r="D4133" s="113">
        <v>10348451</v>
      </c>
      <c r="E4133" s="115">
        <v>43949</v>
      </c>
      <c r="F4133" s="114">
        <v>202101</v>
      </c>
      <c r="G4133" s="112" t="s">
        <v>1091</v>
      </c>
      <c r="H4133" s="112" t="s">
        <v>1015</v>
      </c>
      <c r="I4133" s="112" t="s">
        <v>1096</v>
      </c>
      <c r="J4133" s="112" t="s">
        <v>3568</v>
      </c>
      <c r="K4133" s="112" t="s">
        <v>1098</v>
      </c>
      <c r="L4133" s="116">
        <v>71.83</v>
      </c>
    </row>
    <row r="4134" spans="1:12" hidden="1" outlineLevel="1" collapsed="1" x14ac:dyDescent="0.35">
      <c r="A4134" s="112" t="s">
        <v>3567</v>
      </c>
      <c r="B4134" s="112" t="s">
        <v>913</v>
      </c>
      <c r="C4134" s="112" t="s">
        <v>1095</v>
      </c>
      <c r="D4134" s="113">
        <v>10348451</v>
      </c>
      <c r="E4134" s="115">
        <v>43949</v>
      </c>
      <c r="F4134" s="114">
        <v>202101</v>
      </c>
      <c r="G4134" s="112" t="s">
        <v>1091</v>
      </c>
      <c r="H4134" s="112" t="s">
        <v>1015</v>
      </c>
      <c r="I4134" s="112" t="s">
        <v>1128</v>
      </c>
      <c r="J4134" s="112" t="s">
        <v>3574</v>
      </c>
      <c r="K4134" s="112" t="s">
        <v>1098</v>
      </c>
      <c r="L4134" s="116">
        <v>20</v>
      </c>
    </row>
    <row r="4135" spans="1:12" hidden="1" outlineLevel="1" collapsed="1" x14ac:dyDescent="0.35">
      <c r="A4135" s="112" t="s">
        <v>3567</v>
      </c>
      <c r="B4135" s="112" t="s">
        <v>913</v>
      </c>
      <c r="C4135" s="112" t="s">
        <v>1219</v>
      </c>
      <c r="D4135" s="113">
        <v>46306972</v>
      </c>
      <c r="E4135" s="115">
        <v>43924</v>
      </c>
      <c r="F4135" s="114">
        <v>202101</v>
      </c>
      <c r="G4135" s="112" t="s">
        <v>1091</v>
      </c>
      <c r="H4135" s="112" t="s">
        <v>1015</v>
      </c>
      <c r="I4135" s="112" t="s">
        <v>761</v>
      </c>
      <c r="J4135" s="112" t="s">
        <v>3574</v>
      </c>
      <c r="K4135" s="112" t="s">
        <v>3597</v>
      </c>
      <c r="L4135" s="116">
        <v>17730</v>
      </c>
    </row>
    <row r="4136" spans="1:12" hidden="1" outlineLevel="1" collapsed="1" x14ac:dyDescent="0.35">
      <c r="A4136" s="112" t="s">
        <v>3567</v>
      </c>
      <c r="B4136" s="112" t="s">
        <v>913</v>
      </c>
      <c r="C4136" s="112" t="s">
        <v>1219</v>
      </c>
      <c r="D4136" s="113">
        <v>46306971</v>
      </c>
      <c r="E4136" s="115">
        <v>43924</v>
      </c>
      <c r="F4136" s="114">
        <v>202101</v>
      </c>
      <c r="G4136" s="112" t="s">
        <v>1091</v>
      </c>
      <c r="H4136" s="112" t="s">
        <v>1015</v>
      </c>
      <c r="I4136" s="112" t="s">
        <v>761</v>
      </c>
      <c r="J4136" s="112" t="s">
        <v>3574</v>
      </c>
      <c r="K4136" s="112" t="s">
        <v>3597</v>
      </c>
      <c r="L4136" s="116">
        <v>5910</v>
      </c>
    </row>
    <row r="4137" spans="1:12" hidden="1" outlineLevel="1" collapsed="1" x14ac:dyDescent="0.35">
      <c r="A4137" s="112" t="s">
        <v>3567</v>
      </c>
      <c r="B4137" s="112" t="s">
        <v>913</v>
      </c>
      <c r="C4137" s="112" t="s">
        <v>1219</v>
      </c>
      <c r="D4137" s="113">
        <v>46306970</v>
      </c>
      <c r="E4137" s="115">
        <v>43924</v>
      </c>
      <c r="F4137" s="114">
        <v>202101</v>
      </c>
      <c r="G4137" s="112" t="s">
        <v>1091</v>
      </c>
      <c r="H4137" s="112" t="s">
        <v>1015</v>
      </c>
      <c r="I4137" s="112" t="s">
        <v>761</v>
      </c>
      <c r="J4137" s="112" t="s">
        <v>3574</v>
      </c>
      <c r="K4137" s="112" t="s">
        <v>3598</v>
      </c>
      <c r="L4137" s="116">
        <v>18107.650000000001</v>
      </c>
    </row>
    <row r="4138" spans="1:12" hidden="1" outlineLevel="1" collapsed="1" x14ac:dyDescent="0.35">
      <c r="A4138" s="112" t="s">
        <v>3567</v>
      </c>
      <c r="B4138" s="112" t="s">
        <v>913</v>
      </c>
      <c r="C4138" s="112" t="s">
        <v>1095</v>
      </c>
      <c r="D4138" s="113">
        <v>10348451</v>
      </c>
      <c r="E4138" s="115">
        <v>43949</v>
      </c>
      <c r="F4138" s="114">
        <v>202101</v>
      </c>
      <c r="G4138" s="112" t="s">
        <v>1091</v>
      </c>
      <c r="H4138" s="112" t="s">
        <v>1015</v>
      </c>
      <c r="I4138" s="112" t="s">
        <v>1096</v>
      </c>
      <c r="J4138" s="112" t="s">
        <v>3574</v>
      </c>
      <c r="K4138" s="112" t="s">
        <v>1098</v>
      </c>
      <c r="L4138" s="116">
        <v>189.47</v>
      </c>
    </row>
    <row r="4139" spans="1:12" hidden="1" outlineLevel="1" collapsed="1" x14ac:dyDescent="0.35">
      <c r="A4139" s="112" t="s">
        <v>3567</v>
      </c>
      <c r="B4139" s="112" t="s">
        <v>915</v>
      </c>
      <c r="C4139" s="112" t="s">
        <v>1095</v>
      </c>
      <c r="D4139" s="113">
        <v>10348451</v>
      </c>
      <c r="E4139" s="115">
        <v>43949</v>
      </c>
      <c r="F4139" s="114">
        <v>202101</v>
      </c>
      <c r="G4139" s="112" t="s">
        <v>1091</v>
      </c>
      <c r="H4139" s="112" t="s">
        <v>1015</v>
      </c>
      <c r="I4139" s="112" t="s">
        <v>1101</v>
      </c>
      <c r="J4139" s="112" t="s">
        <v>3577</v>
      </c>
      <c r="K4139" s="112" t="s">
        <v>1098</v>
      </c>
      <c r="L4139" s="116">
        <v>426.26</v>
      </c>
    </row>
    <row r="4140" spans="1:12" hidden="1" outlineLevel="1" collapsed="1" x14ac:dyDescent="0.35">
      <c r="A4140" s="112" t="s">
        <v>3567</v>
      </c>
      <c r="B4140" s="112" t="s">
        <v>913</v>
      </c>
      <c r="C4140" s="112" t="s">
        <v>1095</v>
      </c>
      <c r="D4140" s="113">
        <v>10348451</v>
      </c>
      <c r="E4140" s="115">
        <v>43949</v>
      </c>
      <c r="F4140" s="114">
        <v>202101</v>
      </c>
      <c r="G4140" s="112" t="s">
        <v>1091</v>
      </c>
      <c r="H4140" s="112" t="s">
        <v>1015</v>
      </c>
      <c r="I4140" s="112" t="s">
        <v>1101</v>
      </c>
      <c r="J4140" s="112" t="s">
        <v>3574</v>
      </c>
      <c r="K4140" s="112" t="s">
        <v>1098</v>
      </c>
      <c r="L4140" s="116">
        <v>439.52</v>
      </c>
    </row>
    <row r="4141" spans="1:12" hidden="1" outlineLevel="1" collapsed="1" x14ac:dyDescent="0.35">
      <c r="A4141" s="112" t="s">
        <v>3567</v>
      </c>
      <c r="B4141" s="112" t="s">
        <v>913</v>
      </c>
      <c r="C4141" s="112" t="s">
        <v>1095</v>
      </c>
      <c r="D4141" s="113">
        <v>10348451</v>
      </c>
      <c r="E4141" s="115">
        <v>43949</v>
      </c>
      <c r="F4141" s="114">
        <v>202101</v>
      </c>
      <c r="G4141" s="112" t="s">
        <v>1091</v>
      </c>
      <c r="H4141" s="112" t="s">
        <v>1015</v>
      </c>
      <c r="I4141" s="112" t="s">
        <v>1101</v>
      </c>
      <c r="J4141" s="112" t="s">
        <v>3574</v>
      </c>
      <c r="K4141" s="112" t="s">
        <v>1098</v>
      </c>
      <c r="L4141" s="116">
        <v>439.52</v>
      </c>
    </row>
    <row r="4142" spans="1:12" hidden="1" outlineLevel="1" collapsed="1" x14ac:dyDescent="0.35">
      <c r="A4142" s="112" t="s">
        <v>3567</v>
      </c>
      <c r="B4142" s="112" t="s">
        <v>915</v>
      </c>
      <c r="C4142" s="112" t="s">
        <v>1095</v>
      </c>
      <c r="D4142" s="113">
        <v>10348451</v>
      </c>
      <c r="E4142" s="115">
        <v>43949</v>
      </c>
      <c r="F4142" s="114">
        <v>202101</v>
      </c>
      <c r="G4142" s="112" t="s">
        <v>1091</v>
      </c>
      <c r="H4142" s="112" t="s">
        <v>1015</v>
      </c>
      <c r="I4142" s="112" t="s">
        <v>1101</v>
      </c>
      <c r="J4142" s="112" t="s">
        <v>3583</v>
      </c>
      <c r="K4142" s="112" t="s">
        <v>1098</v>
      </c>
      <c r="L4142" s="116">
        <v>426.26</v>
      </c>
    </row>
    <row r="4143" spans="1:12" hidden="1" outlineLevel="1" collapsed="1" x14ac:dyDescent="0.35">
      <c r="A4143" s="112" t="s">
        <v>3567</v>
      </c>
      <c r="B4143" s="112" t="s">
        <v>914</v>
      </c>
      <c r="C4143" s="112" t="s">
        <v>695</v>
      </c>
      <c r="D4143" s="113">
        <v>10347971</v>
      </c>
      <c r="E4143" s="115">
        <v>43924</v>
      </c>
      <c r="F4143" s="114">
        <v>202101</v>
      </c>
      <c r="G4143" s="112" t="s">
        <v>1091</v>
      </c>
      <c r="H4143" s="112" t="s">
        <v>1015</v>
      </c>
      <c r="I4143" s="112" t="s">
        <v>777</v>
      </c>
      <c r="J4143" s="112" t="s">
        <v>3568</v>
      </c>
      <c r="K4143" s="112" t="s">
        <v>3599</v>
      </c>
      <c r="L4143" s="116">
        <v>-3000</v>
      </c>
    </row>
    <row r="4144" spans="1:12" hidden="1" outlineLevel="1" collapsed="1" x14ac:dyDescent="0.35">
      <c r="A4144" s="112" t="s">
        <v>3567</v>
      </c>
      <c r="B4144" s="112" t="s">
        <v>915</v>
      </c>
      <c r="C4144" s="112" t="s">
        <v>1095</v>
      </c>
      <c r="D4144" s="113">
        <v>10348451</v>
      </c>
      <c r="E4144" s="115">
        <v>43949</v>
      </c>
      <c r="F4144" s="114">
        <v>202101</v>
      </c>
      <c r="G4144" s="112" t="s">
        <v>1091</v>
      </c>
      <c r="H4144" s="112" t="s">
        <v>1015</v>
      </c>
      <c r="I4144" s="112" t="s">
        <v>1101</v>
      </c>
      <c r="J4144" s="112" t="s">
        <v>3577</v>
      </c>
      <c r="K4144" s="112" t="s">
        <v>1098</v>
      </c>
      <c r="L4144" s="116">
        <v>536.39</v>
      </c>
    </row>
    <row r="4145" spans="1:12" hidden="1" outlineLevel="1" collapsed="1" x14ac:dyDescent="0.35">
      <c r="A4145" s="112" t="s">
        <v>3567</v>
      </c>
      <c r="B4145" s="112" t="s">
        <v>913</v>
      </c>
      <c r="C4145" s="112" t="s">
        <v>1095</v>
      </c>
      <c r="D4145" s="113">
        <v>10348451</v>
      </c>
      <c r="E4145" s="115">
        <v>43949</v>
      </c>
      <c r="F4145" s="114">
        <v>202101</v>
      </c>
      <c r="G4145" s="112" t="s">
        <v>1091</v>
      </c>
      <c r="H4145" s="112" t="s">
        <v>1015</v>
      </c>
      <c r="I4145" s="112" t="s">
        <v>1096</v>
      </c>
      <c r="J4145" s="112" t="s">
        <v>3574</v>
      </c>
      <c r="K4145" s="112" t="s">
        <v>1098</v>
      </c>
      <c r="L4145" s="116">
        <v>310.49</v>
      </c>
    </row>
    <row r="4146" spans="1:12" hidden="1" outlineLevel="1" collapsed="1" x14ac:dyDescent="0.35">
      <c r="A4146" s="112" t="s">
        <v>3567</v>
      </c>
      <c r="B4146" s="112" t="s">
        <v>915</v>
      </c>
      <c r="C4146" s="112" t="s">
        <v>1095</v>
      </c>
      <c r="D4146" s="113">
        <v>10348451</v>
      </c>
      <c r="E4146" s="115">
        <v>43949</v>
      </c>
      <c r="F4146" s="114">
        <v>202101</v>
      </c>
      <c r="G4146" s="112" t="s">
        <v>1091</v>
      </c>
      <c r="H4146" s="112" t="s">
        <v>1015</v>
      </c>
      <c r="I4146" s="112" t="s">
        <v>1096</v>
      </c>
      <c r="J4146" s="112" t="s">
        <v>3577</v>
      </c>
      <c r="K4146" s="112" t="s">
        <v>1098</v>
      </c>
      <c r="L4146" s="116">
        <v>262.10000000000002</v>
      </c>
    </row>
    <row r="4147" spans="1:12" hidden="1" outlineLevel="1" collapsed="1" x14ac:dyDescent="0.35">
      <c r="A4147" s="112" t="s">
        <v>3567</v>
      </c>
      <c r="B4147" s="112" t="s">
        <v>914</v>
      </c>
      <c r="C4147" s="112" t="s">
        <v>1099</v>
      </c>
      <c r="D4147" s="113">
        <v>1069463</v>
      </c>
      <c r="E4147" s="115">
        <v>43922</v>
      </c>
      <c r="F4147" s="114">
        <v>202101</v>
      </c>
      <c r="G4147" s="112" t="s">
        <v>1091</v>
      </c>
      <c r="H4147" s="112" t="s">
        <v>1015</v>
      </c>
      <c r="I4147" s="112" t="s">
        <v>3570</v>
      </c>
      <c r="J4147" s="112" t="s">
        <v>3568</v>
      </c>
      <c r="K4147" s="112" t="s">
        <v>3600</v>
      </c>
      <c r="L4147" s="116">
        <v>501.66</v>
      </c>
    </row>
    <row r="4148" spans="1:12" hidden="1" outlineLevel="1" collapsed="1" x14ac:dyDescent="0.35">
      <c r="A4148" s="112" t="s">
        <v>3567</v>
      </c>
      <c r="B4148" s="112" t="s">
        <v>915</v>
      </c>
      <c r="C4148" s="112" t="s">
        <v>695</v>
      </c>
      <c r="D4148" s="113">
        <v>10347981</v>
      </c>
      <c r="E4148" s="115">
        <v>43924</v>
      </c>
      <c r="F4148" s="114">
        <v>202101</v>
      </c>
      <c r="G4148" s="112" t="s">
        <v>1091</v>
      </c>
      <c r="H4148" s="112" t="s">
        <v>1015</v>
      </c>
      <c r="I4148" s="112" t="s">
        <v>763</v>
      </c>
      <c r="J4148" s="112" t="s">
        <v>3577</v>
      </c>
      <c r="K4148" s="112" t="s">
        <v>3601</v>
      </c>
      <c r="L4148" s="116">
        <v>-12319</v>
      </c>
    </row>
    <row r="4149" spans="1:12" hidden="1" outlineLevel="1" collapsed="1" x14ac:dyDescent="0.35">
      <c r="A4149" s="112" t="s">
        <v>3567</v>
      </c>
      <c r="B4149" s="112" t="s">
        <v>915</v>
      </c>
      <c r="C4149" s="112" t="s">
        <v>1099</v>
      </c>
      <c r="D4149" s="113">
        <v>1069415</v>
      </c>
      <c r="E4149" s="115">
        <v>43924</v>
      </c>
      <c r="F4149" s="114">
        <v>202101</v>
      </c>
      <c r="G4149" s="112" t="s">
        <v>1091</v>
      </c>
      <c r="H4149" s="112" t="s">
        <v>1015</v>
      </c>
      <c r="I4149" s="112" t="s">
        <v>761</v>
      </c>
      <c r="J4149" s="112" t="s">
        <v>3577</v>
      </c>
      <c r="K4149" s="112" t="s">
        <v>3602</v>
      </c>
      <c r="L4149" s="116">
        <v>1170</v>
      </c>
    </row>
    <row r="4150" spans="1:12" hidden="1" outlineLevel="1" collapsed="1" x14ac:dyDescent="0.35">
      <c r="A4150" s="112" t="s">
        <v>3567</v>
      </c>
      <c r="B4150" s="112" t="s">
        <v>914</v>
      </c>
      <c r="C4150" s="112" t="s">
        <v>679</v>
      </c>
      <c r="D4150" s="113">
        <v>10348411</v>
      </c>
      <c r="E4150" s="115">
        <v>43943</v>
      </c>
      <c r="F4150" s="114">
        <v>202101</v>
      </c>
      <c r="G4150" s="112" t="s">
        <v>1091</v>
      </c>
      <c r="H4150" s="112" t="s">
        <v>1015</v>
      </c>
      <c r="I4150" s="112" t="s">
        <v>736</v>
      </c>
      <c r="J4150" s="112" t="s">
        <v>3568</v>
      </c>
      <c r="K4150" s="112" t="s">
        <v>3603</v>
      </c>
      <c r="L4150" s="116">
        <v>149.69999999999999</v>
      </c>
    </row>
    <row r="4151" spans="1:12" hidden="1" outlineLevel="1" collapsed="1" x14ac:dyDescent="0.35">
      <c r="A4151" s="112" t="s">
        <v>3567</v>
      </c>
      <c r="B4151" s="112" t="s">
        <v>914</v>
      </c>
      <c r="C4151" s="112" t="s">
        <v>1099</v>
      </c>
      <c r="D4151" s="113">
        <v>1069584</v>
      </c>
      <c r="E4151" s="115">
        <v>43845</v>
      </c>
      <c r="F4151" s="114">
        <v>202101</v>
      </c>
      <c r="G4151" s="112" t="s">
        <v>1091</v>
      </c>
      <c r="H4151" s="112" t="s">
        <v>1015</v>
      </c>
      <c r="I4151" s="112" t="s">
        <v>761</v>
      </c>
      <c r="J4151" s="112" t="s">
        <v>3568</v>
      </c>
      <c r="K4151" s="112" t="s">
        <v>3604</v>
      </c>
      <c r="L4151" s="116">
        <v>233.61</v>
      </c>
    </row>
    <row r="4152" spans="1:12" hidden="1" outlineLevel="1" collapsed="1" x14ac:dyDescent="0.35">
      <c r="A4152" s="112" t="s">
        <v>3567</v>
      </c>
      <c r="B4152" s="112" t="s">
        <v>915</v>
      </c>
      <c r="C4152" s="112" t="s">
        <v>695</v>
      </c>
      <c r="D4152" s="113">
        <v>10348179</v>
      </c>
      <c r="E4152" s="115">
        <v>43931</v>
      </c>
      <c r="F4152" s="114">
        <v>202101</v>
      </c>
      <c r="G4152" s="112" t="s">
        <v>1091</v>
      </c>
      <c r="H4152" s="112" t="s">
        <v>1016</v>
      </c>
      <c r="I4152" s="112" t="s">
        <v>680</v>
      </c>
      <c r="J4152" s="112" t="s">
        <v>3577</v>
      </c>
      <c r="K4152" s="112" t="s">
        <v>3605</v>
      </c>
      <c r="L4152" s="116">
        <v>14410</v>
      </c>
    </row>
    <row r="4153" spans="1:12" hidden="1" outlineLevel="1" collapsed="1" x14ac:dyDescent="0.35">
      <c r="A4153" s="112" t="s">
        <v>3567</v>
      </c>
      <c r="B4153" s="112" t="s">
        <v>915</v>
      </c>
      <c r="C4153" s="112" t="s">
        <v>695</v>
      </c>
      <c r="D4153" s="113">
        <v>10348179</v>
      </c>
      <c r="E4153" s="115">
        <v>43931</v>
      </c>
      <c r="F4153" s="114">
        <v>202101</v>
      </c>
      <c r="G4153" s="112" t="s">
        <v>1091</v>
      </c>
      <c r="H4153" s="112" t="s">
        <v>1016</v>
      </c>
      <c r="I4153" s="112" t="s">
        <v>680</v>
      </c>
      <c r="J4153" s="112" t="s">
        <v>3577</v>
      </c>
      <c r="K4153" s="112" t="s">
        <v>3606</v>
      </c>
      <c r="L4153" s="116">
        <v>1779</v>
      </c>
    </row>
    <row r="4154" spans="1:12" hidden="1" outlineLevel="1" collapsed="1" x14ac:dyDescent="0.35">
      <c r="A4154" s="112" t="s">
        <v>3567</v>
      </c>
      <c r="B4154" s="112" t="s">
        <v>915</v>
      </c>
      <c r="C4154" s="112" t="s">
        <v>695</v>
      </c>
      <c r="D4154" s="113">
        <v>10348179</v>
      </c>
      <c r="E4154" s="115">
        <v>43931</v>
      </c>
      <c r="F4154" s="114">
        <v>202101</v>
      </c>
      <c r="G4154" s="112" t="s">
        <v>1091</v>
      </c>
      <c r="H4154" s="112" t="s">
        <v>1016</v>
      </c>
      <c r="I4154" s="112" t="s">
        <v>680</v>
      </c>
      <c r="J4154" s="112" t="s">
        <v>3582</v>
      </c>
      <c r="K4154" s="112" t="s">
        <v>3607</v>
      </c>
      <c r="L4154" s="116">
        <v>-13418.34</v>
      </c>
    </row>
    <row r="4155" spans="1:12" hidden="1" outlineLevel="1" collapsed="1" x14ac:dyDescent="0.35">
      <c r="A4155" s="112" t="s">
        <v>3567</v>
      </c>
      <c r="B4155" s="112" t="s">
        <v>915</v>
      </c>
      <c r="C4155" s="112" t="s">
        <v>1106</v>
      </c>
      <c r="D4155" s="113">
        <v>3097168</v>
      </c>
      <c r="E4155" s="115">
        <v>43921</v>
      </c>
      <c r="F4155" s="114">
        <v>202101</v>
      </c>
      <c r="G4155" s="112" t="s">
        <v>1091</v>
      </c>
      <c r="H4155" s="112" t="s">
        <v>1015</v>
      </c>
      <c r="I4155" s="112" t="s">
        <v>1124</v>
      </c>
      <c r="J4155" s="112" t="s">
        <v>3582</v>
      </c>
      <c r="K4155" s="112" t="s">
        <v>3608</v>
      </c>
      <c r="L4155" s="116">
        <v>450</v>
      </c>
    </row>
    <row r="4156" spans="1:12" hidden="1" outlineLevel="1" collapsed="1" x14ac:dyDescent="0.35">
      <c r="A4156" s="112" t="s">
        <v>3567</v>
      </c>
      <c r="B4156" s="112" t="s">
        <v>915</v>
      </c>
      <c r="C4156" s="112" t="s">
        <v>695</v>
      </c>
      <c r="D4156" s="113">
        <v>10348179</v>
      </c>
      <c r="E4156" s="115">
        <v>43931</v>
      </c>
      <c r="F4156" s="114">
        <v>202101</v>
      </c>
      <c r="G4156" s="112" t="s">
        <v>1091</v>
      </c>
      <c r="H4156" s="112" t="s">
        <v>1016</v>
      </c>
      <c r="I4156" s="112" t="s">
        <v>680</v>
      </c>
      <c r="J4156" s="112" t="s">
        <v>3609</v>
      </c>
      <c r="K4156" s="112" t="s">
        <v>3610</v>
      </c>
      <c r="L4156" s="116">
        <v>52478.92</v>
      </c>
    </row>
    <row r="4157" spans="1:12" hidden="1" outlineLevel="1" collapsed="1" x14ac:dyDescent="0.35">
      <c r="A4157" s="112" t="s">
        <v>3567</v>
      </c>
      <c r="B4157" s="112" t="s">
        <v>913</v>
      </c>
      <c r="C4157" s="112" t="s">
        <v>3611</v>
      </c>
      <c r="D4157" s="113">
        <v>50003646</v>
      </c>
      <c r="E4157" s="115">
        <v>43941</v>
      </c>
      <c r="F4157" s="114">
        <v>202101</v>
      </c>
      <c r="G4157" s="112" t="s">
        <v>1091</v>
      </c>
      <c r="H4157" s="112" t="s">
        <v>1015</v>
      </c>
      <c r="I4157" s="112" t="s">
        <v>761</v>
      </c>
      <c r="J4157" s="112" t="s">
        <v>3574</v>
      </c>
      <c r="K4157" s="112" t="s">
        <v>3612</v>
      </c>
      <c r="L4157" s="116">
        <v>-18107.650000000001</v>
      </c>
    </row>
    <row r="4158" spans="1:12" hidden="1" outlineLevel="1" collapsed="1" x14ac:dyDescent="0.35">
      <c r="A4158" s="112" t="s">
        <v>3567</v>
      </c>
      <c r="B4158" s="112" t="s">
        <v>914</v>
      </c>
      <c r="C4158" s="112" t="s">
        <v>1095</v>
      </c>
      <c r="D4158" s="113">
        <v>10348451</v>
      </c>
      <c r="E4158" s="115">
        <v>43949</v>
      </c>
      <c r="F4158" s="114">
        <v>202101</v>
      </c>
      <c r="G4158" s="112" t="s">
        <v>1091</v>
      </c>
      <c r="H4158" s="112" t="s">
        <v>1015</v>
      </c>
      <c r="I4158" s="112" t="s">
        <v>1096</v>
      </c>
      <c r="J4158" s="112" t="s">
        <v>3568</v>
      </c>
      <c r="K4158" s="112" t="s">
        <v>1098</v>
      </c>
      <c r="L4158" s="116">
        <v>411.93</v>
      </c>
    </row>
    <row r="4159" spans="1:12" hidden="1" outlineLevel="1" collapsed="1" x14ac:dyDescent="0.35">
      <c r="A4159" s="112" t="s">
        <v>3567</v>
      </c>
      <c r="B4159" s="112" t="s">
        <v>915</v>
      </c>
      <c r="C4159" s="112" t="s">
        <v>1095</v>
      </c>
      <c r="D4159" s="113">
        <v>10348451</v>
      </c>
      <c r="E4159" s="115">
        <v>43949</v>
      </c>
      <c r="F4159" s="114">
        <v>202101</v>
      </c>
      <c r="G4159" s="112" t="s">
        <v>1091</v>
      </c>
      <c r="H4159" s="112" t="s">
        <v>1015</v>
      </c>
      <c r="I4159" s="112" t="s">
        <v>1096</v>
      </c>
      <c r="J4159" s="112" t="s">
        <v>3577</v>
      </c>
      <c r="K4159" s="112" t="s">
        <v>1098</v>
      </c>
      <c r="L4159" s="116">
        <v>411.93</v>
      </c>
    </row>
    <row r="4160" spans="1:12" hidden="1" outlineLevel="1" collapsed="1" x14ac:dyDescent="0.35">
      <c r="A4160" s="112" t="s">
        <v>3567</v>
      </c>
      <c r="B4160" s="112" t="s">
        <v>915</v>
      </c>
      <c r="C4160" s="112" t="s">
        <v>1095</v>
      </c>
      <c r="D4160" s="113">
        <v>10348451</v>
      </c>
      <c r="E4160" s="115">
        <v>43949</v>
      </c>
      <c r="F4160" s="114">
        <v>202101</v>
      </c>
      <c r="G4160" s="112" t="s">
        <v>1091</v>
      </c>
      <c r="H4160" s="112" t="s">
        <v>1015</v>
      </c>
      <c r="I4160" s="112" t="s">
        <v>1096</v>
      </c>
      <c r="J4160" s="112" t="s">
        <v>3577</v>
      </c>
      <c r="K4160" s="112" t="s">
        <v>1098</v>
      </c>
      <c r="L4160" s="116">
        <v>355.91</v>
      </c>
    </row>
    <row r="4161" spans="1:12" hidden="1" outlineLevel="1" collapsed="1" x14ac:dyDescent="0.35">
      <c r="A4161" s="112" t="s">
        <v>3567</v>
      </c>
      <c r="B4161" s="112" t="s">
        <v>914</v>
      </c>
      <c r="C4161" s="112" t="s">
        <v>1150</v>
      </c>
      <c r="D4161" s="113">
        <v>10348573</v>
      </c>
      <c r="E4161" s="115">
        <v>43958</v>
      </c>
      <c r="F4161" s="114">
        <v>202101</v>
      </c>
      <c r="G4161" s="112" t="s">
        <v>1091</v>
      </c>
      <c r="H4161" s="112" t="s">
        <v>1015</v>
      </c>
      <c r="I4161" s="112" t="s">
        <v>813</v>
      </c>
      <c r="J4161" s="112" t="s">
        <v>3584</v>
      </c>
      <c r="K4161" s="112" t="s">
        <v>1151</v>
      </c>
      <c r="L4161" s="116">
        <v>19115.95</v>
      </c>
    </row>
    <row r="4162" spans="1:12" hidden="1" outlineLevel="1" collapsed="1" x14ac:dyDescent="0.35">
      <c r="A4162" s="112" t="s">
        <v>3567</v>
      </c>
      <c r="B4162" s="112" t="s">
        <v>914</v>
      </c>
      <c r="C4162" s="112" t="s">
        <v>1095</v>
      </c>
      <c r="D4162" s="113">
        <v>10348451</v>
      </c>
      <c r="E4162" s="115">
        <v>43949</v>
      </c>
      <c r="F4162" s="114">
        <v>202101</v>
      </c>
      <c r="G4162" s="112" t="s">
        <v>1091</v>
      </c>
      <c r="H4162" s="112" t="s">
        <v>1015</v>
      </c>
      <c r="I4162" s="112" t="s">
        <v>3523</v>
      </c>
      <c r="J4162" s="112" t="s">
        <v>3568</v>
      </c>
      <c r="K4162" s="112" t="s">
        <v>1098</v>
      </c>
      <c r="L4162" s="116">
        <v>170</v>
      </c>
    </row>
    <row r="4163" spans="1:12" hidden="1" outlineLevel="1" collapsed="1" x14ac:dyDescent="0.35">
      <c r="A4163" s="112" t="s">
        <v>3567</v>
      </c>
      <c r="B4163" s="112" t="s">
        <v>913</v>
      </c>
      <c r="C4163" s="112" t="s">
        <v>1095</v>
      </c>
      <c r="D4163" s="113">
        <v>10348451</v>
      </c>
      <c r="E4163" s="115">
        <v>43949</v>
      </c>
      <c r="F4163" s="114">
        <v>202101</v>
      </c>
      <c r="G4163" s="112" t="s">
        <v>1091</v>
      </c>
      <c r="H4163" s="112" t="s">
        <v>1015</v>
      </c>
      <c r="I4163" s="112" t="s">
        <v>1101</v>
      </c>
      <c r="J4163" s="112" t="s">
        <v>3574</v>
      </c>
      <c r="K4163" s="112" t="s">
        <v>1098</v>
      </c>
      <c r="L4163" s="116">
        <v>483.07</v>
      </c>
    </row>
    <row r="4164" spans="1:12" hidden="1" outlineLevel="1" collapsed="1" x14ac:dyDescent="0.35">
      <c r="A4164" s="112" t="s">
        <v>3567</v>
      </c>
      <c r="B4164" s="112" t="s">
        <v>914</v>
      </c>
      <c r="C4164" s="112" t="s">
        <v>1095</v>
      </c>
      <c r="D4164" s="113">
        <v>10348451</v>
      </c>
      <c r="E4164" s="115">
        <v>43949</v>
      </c>
      <c r="F4164" s="114">
        <v>202101</v>
      </c>
      <c r="G4164" s="112" t="s">
        <v>1091</v>
      </c>
      <c r="H4164" s="112" t="s">
        <v>1015</v>
      </c>
      <c r="I4164" s="112" t="s">
        <v>1101</v>
      </c>
      <c r="J4164" s="112" t="s">
        <v>3568</v>
      </c>
      <c r="K4164" s="112" t="s">
        <v>1098</v>
      </c>
      <c r="L4164" s="116">
        <v>143.61000000000001</v>
      </c>
    </row>
    <row r="4165" spans="1:12" hidden="1" outlineLevel="1" collapsed="1" x14ac:dyDescent="0.35">
      <c r="A4165" s="112" t="s">
        <v>3567</v>
      </c>
      <c r="B4165" s="112" t="s">
        <v>914</v>
      </c>
      <c r="C4165" s="112" t="s">
        <v>679</v>
      </c>
      <c r="D4165" s="113">
        <v>10348411</v>
      </c>
      <c r="E4165" s="115">
        <v>43943</v>
      </c>
      <c r="F4165" s="114">
        <v>202101</v>
      </c>
      <c r="G4165" s="112" t="s">
        <v>1091</v>
      </c>
      <c r="H4165" s="112" t="s">
        <v>1015</v>
      </c>
      <c r="I4165" s="112" t="s">
        <v>736</v>
      </c>
      <c r="J4165" s="112" t="s">
        <v>3568</v>
      </c>
      <c r="K4165" s="112" t="s">
        <v>3613</v>
      </c>
      <c r="L4165" s="116">
        <v>334.33</v>
      </c>
    </row>
    <row r="4166" spans="1:12" hidden="1" outlineLevel="1" collapsed="1" x14ac:dyDescent="0.35">
      <c r="A4166" s="112" t="s">
        <v>3567</v>
      </c>
      <c r="B4166" s="112" t="s">
        <v>914</v>
      </c>
      <c r="C4166" s="112" t="s">
        <v>679</v>
      </c>
      <c r="D4166" s="113">
        <v>10348411</v>
      </c>
      <c r="E4166" s="115">
        <v>43943</v>
      </c>
      <c r="F4166" s="114">
        <v>202101</v>
      </c>
      <c r="G4166" s="112" t="s">
        <v>1091</v>
      </c>
      <c r="H4166" s="112" t="s">
        <v>1015</v>
      </c>
      <c r="I4166" s="112" t="s">
        <v>736</v>
      </c>
      <c r="J4166" s="112" t="s">
        <v>3568</v>
      </c>
      <c r="K4166" s="112" t="s">
        <v>3614</v>
      </c>
      <c r="L4166" s="116">
        <v>304.39</v>
      </c>
    </row>
    <row r="4167" spans="1:12" hidden="1" outlineLevel="1" collapsed="1" x14ac:dyDescent="0.35">
      <c r="A4167" s="112" t="s">
        <v>3567</v>
      </c>
      <c r="B4167" s="112" t="s">
        <v>914</v>
      </c>
      <c r="C4167" s="112" t="s">
        <v>679</v>
      </c>
      <c r="D4167" s="113">
        <v>10348411</v>
      </c>
      <c r="E4167" s="115">
        <v>43943</v>
      </c>
      <c r="F4167" s="114">
        <v>202101</v>
      </c>
      <c r="G4167" s="112" t="s">
        <v>1091</v>
      </c>
      <c r="H4167" s="112" t="s">
        <v>1015</v>
      </c>
      <c r="I4167" s="112" t="s">
        <v>736</v>
      </c>
      <c r="J4167" s="112" t="s">
        <v>3568</v>
      </c>
      <c r="K4167" s="112" t="s">
        <v>3615</v>
      </c>
      <c r="L4167" s="116">
        <v>172.16</v>
      </c>
    </row>
    <row r="4168" spans="1:12" hidden="1" outlineLevel="1" collapsed="1" x14ac:dyDescent="0.35">
      <c r="A4168" s="112" t="s">
        <v>3567</v>
      </c>
      <c r="B4168" s="112" t="s">
        <v>915</v>
      </c>
      <c r="C4168" s="112" t="s">
        <v>1095</v>
      </c>
      <c r="D4168" s="113">
        <v>10348451</v>
      </c>
      <c r="E4168" s="115">
        <v>43949</v>
      </c>
      <c r="F4168" s="114">
        <v>202101</v>
      </c>
      <c r="G4168" s="112" t="s">
        <v>1091</v>
      </c>
      <c r="H4168" s="112" t="s">
        <v>1015</v>
      </c>
      <c r="I4168" s="112" t="s">
        <v>1116</v>
      </c>
      <c r="J4168" s="112" t="s">
        <v>3583</v>
      </c>
      <c r="K4168" s="112" t="s">
        <v>1098</v>
      </c>
      <c r="L4168" s="116">
        <v>2631.25</v>
      </c>
    </row>
    <row r="4169" spans="1:12" hidden="1" outlineLevel="1" collapsed="1" x14ac:dyDescent="0.35">
      <c r="A4169" s="112" t="s">
        <v>3567</v>
      </c>
      <c r="B4169" s="112" t="s">
        <v>915</v>
      </c>
      <c r="C4169" s="112" t="s">
        <v>1095</v>
      </c>
      <c r="D4169" s="113">
        <v>10348451</v>
      </c>
      <c r="E4169" s="115">
        <v>43949</v>
      </c>
      <c r="F4169" s="114">
        <v>202101</v>
      </c>
      <c r="G4169" s="112" t="s">
        <v>1091</v>
      </c>
      <c r="H4169" s="112" t="s">
        <v>1015</v>
      </c>
      <c r="I4169" s="112" t="s">
        <v>1116</v>
      </c>
      <c r="J4169" s="112" t="s">
        <v>3577</v>
      </c>
      <c r="K4169" s="112" t="s">
        <v>1098</v>
      </c>
      <c r="L4169" s="116">
        <v>3717</v>
      </c>
    </row>
    <row r="4170" spans="1:12" hidden="1" outlineLevel="1" collapsed="1" x14ac:dyDescent="0.35">
      <c r="A4170" s="112" t="s">
        <v>3567</v>
      </c>
      <c r="B4170" s="112" t="s">
        <v>915</v>
      </c>
      <c r="C4170" s="112" t="s">
        <v>1119</v>
      </c>
      <c r="D4170" s="113">
        <v>10348592</v>
      </c>
      <c r="E4170" s="115">
        <v>43948</v>
      </c>
      <c r="F4170" s="114">
        <v>202101</v>
      </c>
      <c r="G4170" s="112" t="s">
        <v>1091</v>
      </c>
      <c r="H4170" s="112" t="s">
        <v>1015</v>
      </c>
      <c r="I4170" s="112" t="s">
        <v>1116</v>
      </c>
      <c r="J4170" s="112" t="s">
        <v>3577</v>
      </c>
      <c r="K4170" s="112" t="s">
        <v>1098</v>
      </c>
      <c r="L4170" s="116">
        <v>2631.25</v>
      </c>
    </row>
    <row r="4171" spans="1:12" hidden="1" outlineLevel="1" collapsed="1" x14ac:dyDescent="0.35">
      <c r="A4171" s="112" t="s">
        <v>3567</v>
      </c>
      <c r="B4171" s="112" t="s">
        <v>915</v>
      </c>
      <c r="C4171" s="112" t="s">
        <v>1095</v>
      </c>
      <c r="D4171" s="113">
        <v>10348451</v>
      </c>
      <c r="E4171" s="115">
        <v>43949</v>
      </c>
      <c r="F4171" s="114">
        <v>202101</v>
      </c>
      <c r="G4171" s="112" t="s">
        <v>1091</v>
      </c>
      <c r="H4171" s="112" t="s">
        <v>1015</v>
      </c>
      <c r="I4171" s="112" t="s">
        <v>1116</v>
      </c>
      <c r="J4171" s="112" t="s">
        <v>3577</v>
      </c>
      <c r="K4171" s="112" t="s">
        <v>1098</v>
      </c>
      <c r="L4171" s="116">
        <v>2702</v>
      </c>
    </row>
    <row r="4172" spans="1:12" hidden="1" outlineLevel="1" collapsed="1" x14ac:dyDescent="0.35">
      <c r="A4172" s="112" t="s">
        <v>3567</v>
      </c>
      <c r="B4172" s="112" t="s">
        <v>915</v>
      </c>
      <c r="C4172" s="112" t="s">
        <v>1095</v>
      </c>
      <c r="D4172" s="113">
        <v>10348451</v>
      </c>
      <c r="E4172" s="115">
        <v>43949</v>
      </c>
      <c r="F4172" s="114">
        <v>202101</v>
      </c>
      <c r="G4172" s="112" t="s">
        <v>1091</v>
      </c>
      <c r="H4172" s="112" t="s">
        <v>1015</v>
      </c>
      <c r="I4172" s="112" t="s">
        <v>1205</v>
      </c>
      <c r="J4172" s="112" t="s">
        <v>3577</v>
      </c>
      <c r="K4172" s="112" t="s">
        <v>1098</v>
      </c>
      <c r="L4172" s="116">
        <v>679.83</v>
      </c>
    </row>
    <row r="4173" spans="1:12" hidden="1" outlineLevel="1" collapsed="1" x14ac:dyDescent="0.35">
      <c r="A4173" s="112" t="s">
        <v>3567</v>
      </c>
      <c r="B4173" s="112" t="s">
        <v>915</v>
      </c>
      <c r="C4173" s="112" t="s">
        <v>1095</v>
      </c>
      <c r="D4173" s="113">
        <v>10348451</v>
      </c>
      <c r="E4173" s="115">
        <v>43949</v>
      </c>
      <c r="F4173" s="114">
        <v>202101</v>
      </c>
      <c r="G4173" s="112" t="s">
        <v>1091</v>
      </c>
      <c r="H4173" s="112" t="s">
        <v>1015</v>
      </c>
      <c r="I4173" s="112" t="s">
        <v>1116</v>
      </c>
      <c r="J4173" s="112" t="s">
        <v>3577</v>
      </c>
      <c r="K4173" s="112" t="s">
        <v>1098</v>
      </c>
      <c r="L4173" s="116">
        <v>2631.25</v>
      </c>
    </row>
    <row r="4174" spans="1:12" hidden="1" outlineLevel="1" collapsed="1" x14ac:dyDescent="0.35">
      <c r="A4174" s="112" t="s">
        <v>3567</v>
      </c>
      <c r="B4174" s="112" t="s">
        <v>914</v>
      </c>
      <c r="C4174" s="112" t="s">
        <v>1095</v>
      </c>
      <c r="D4174" s="113">
        <v>10348451</v>
      </c>
      <c r="E4174" s="115">
        <v>43949</v>
      </c>
      <c r="F4174" s="114">
        <v>202101</v>
      </c>
      <c r="G4174" s="112" t="s">
        <v>1091</v>
      </c>
      <c r="H4174" s="112" t="s">
        <v>1015</v>
      </c>
      <c r="I4174" s="112" t="s">
        <v>1116</v>
      </c>
      <c r="J4174" s="112" t="s">
        <v>3568</v>
      </c>
      <c r="K4174" s="112" t="s">
        <v>1098</v>
      </c>
      <c r="L4174" s="116">
        <v>3391.33</v>
      </c>
    </row>
    <row r="4175" spans="1:12" hidden="1" outlineLevel="1" collapsed="1" x14ac:dyDescent="0.35">
      <c r="A4175" s="112" t="s">
        <v>3567</v>
      </c>
      <c r="B4175" s="112" t="s">
        <v>915</v>
      </c>
      <c r="C4175" s="112" t="s">
        <v>1095</v>
      </c>
      <c r="D4175" s="113">
        <v>10348451</v>
      </c>
      <c r="E4175" s="115">
        <v>43949</v>
      </c>
      <c r="F4175" s="114">
        <v>202101</v>
      </c>
      <c r="G4175" s="112" t="s">
        <v>1091</v>
      </c>
      <c r="H4175" s="112" t="s">
        <v>1015</v>
      </c>
      <c r="I4175" s="112" t="s">
        <v>1116</v>
      </c>
      <c r="J4175" s="112" t="s">
        <v>3582</v>
      </c>
      <c r="K4175" s="112" t="s">
        <v>1098</v>
      </c>
      <c r="L4175" s="116">
        <v>3075.83</v>
      </c>
    </row>
    <row r="4176" spans="1:12" hidden="1" outlineLevel="1" collapsed="1" x14ac:dyDescent="0.35">
      <c r="A4176" s="112" t="s">
        <v>3567</v>
      </c>
      <c r="B4176" s="112" t="s">
        <v>914</v>
      </c>
      <c r="C4176" s="112" t="s">
        <v>1095</v>
      </c>
      <c r="D4176" s="113">
        <v>10348451</v>
      </c>
      <c r="E4176" s="115">
        <v>43949</v>
      </c>
      <c r="F4176" s="114">
        <v>202101</v>
      </c>
      <c r="G4176" s="112" t="s">
        <v>1091</v>
      </c>
      <c r="H4176" s="112" t="s">
        <v>1015</v>
      </c>
      <c r="I4176" s="112" t="s">
        <v>1116</v>
      </c>
      <c r="J4176" s="112" t="s">
        <v>3568</v>
      </c>
      <c r="K4176" s="112" t="s">
        <v>1098</v>
      </c>
      <c r="L4176" s="116">
        <v>886.51</v>
      </c>
    </row>
    <row r="4177" spans="1:12" hidden="1" outlineLevel="1" collapsed="1" x14ac:dyDescent="0.35">
      <c r="A4177" s="112" t="s">
        <v>3567</v>
      </c>
      <c r="B4177" s="112" t="s">
        <v>913</v>
      </c>
      <c r="C4177" s="112" t="s">
        <v>1095</v>
      </c>
      <c r="D4177" s="113">
        <v>10348451</v>
      </c>
      <c r="E4177" s="115">
        <v>43949</v>
      </c>
      <c r="F4177" s="114">
        <v>202101</v>
      </c>
      <c r="G4177" s="112" t="s">
        <v>1091</v>
      </c>
      <c r="H4177" s="112" t="s">
        <v>1015</v>
      </c>
      <c r="I4177" s="112" t="s">
        <v>1116</v>
      </c>
      <c r="J4177" s="112" t="s">
        <v>3574</v>
      </c>
      <c r="K4177" s="112" t="s">
        <v>1098</v>
      </c>
      <c r="L4177" s="116">
        <v>2713.07</v>
      </c>
    </row>
    <row r="4178" spans="1:12" hidden="1" outlineLevel="1" collapsed="1" x14ac:dyDescent="0.35">
      <c r="A4178" s="112" t="s">
        <v>3567</v>
      </c>
      <c r="B4178" s="112" t="s">
        <v>914</v>
      </c>
      <c r="C4178" s="112" t="s">
        <v>1095</v>
      </c>
      <c r="D4178" s="113">
        <v>10348451</v>
      </c>
      <c r="E4178" s="115">
        <v>43949</v>
      </c>
      <c r="F4178" s="114">
        <v>202101</v>
      </c>
      <c r="G4178" s="112" t="s">
        <v>1091</v>
      </c>
      <c r="H4178" s="112" t="s">
        <v>1015</v>
      </c>
      <c r="I4178" s="112" t="s">
        <v>1116</v>
      </c>
      <c r="J4178" s="112" t="s">
        <v>3568</v>
      </c>
      <c r="K4178" s="112" t="s">
        <v>1098</v>
      </c>
      <c r="L4178" s="116">
        <v>3717</v>
      </c>
    </row>
    <row r="4179" spans="1:12" hidden="1" outlineLevel="1" collapsed="1" x14ac:dyDescent="0.35">
      <c r="A4179" s="112" t="s">
        <v>3567</v>
      </c>
      <c r="B4179" s="112" t="s">
        <v>914</v>
      </c>
      <c r="C4179" s="112" t="s">
        <v>1095</v>
      </c>
      <c r="D4179" s="113">
        <v>10348451</v>
      </c>
      <c r="E4179" s="115">
        <v>43949</v>
      </c>
      <c r="F4179" s="114">
        <v>202101</v>
      </c>
      <c r="G4179" s="112" t="s">
        <v>1091</v>
      </c>
      <c r="H4179" s="112" t="s">
        <v>1015</v>
      </c>
      <c r="I4179" s="112" t="s">
        <v>1116</v>
      </c>
      <c r="J4179" s="112" t="s">
        <v>3568</v>
      </c>
      <c r="K4179" s="112" t="s">
        <v>1098</v>
      </c>
      <c r="L4179" s="116">
        <v>2981.92</v>
      </c>
    </row>
    <row r="4180" spans="1:12" hidden="1" outlineLevel="1" collapsed="1" x14ac:dyDescent="0.35">
      <c r="A4180" s="112" t="s">
        <v>3567</v>
      </c>
      <c r="B4180" s="112" t="s">
        <v>915</v>
      </c>
      <c r="C4180" s="112" t="s">
        <v>1095</v>
      </c>
      <c r="D4180" s="113">
        <v>10348451</v>
      </c>
      <c r="E4180" s="115">
        <v>43949</v>
      </c>
      <c r="F4180" s="114">
        <v>202101</v>
      </c>
      <c r="G4180" s="112" t="s">
        <v>1091</v>
      </c>
      <c r="H4180" s="112" t="s">
        <v>1015</v>
      </c>
      <c r="I4180" s="112" t="s">
        <v>1116</v>
      </c>
      <c r="J4180" s="112" t="s">
        <v>3577</v>
      </c>
      <c r="K4180" s="112" t="s">
        <v>1098</v>
      </c>
      <c r="L4180" s="116">
        <v>2631.25</v>
      </c>
    </row>
    <row r="4181" spans="1:12" hidden="1" outlineLevel="1" collapsed="1" x14ac:dyDescent="0.35">
      <c r="A4181" s="112" t="s">
        <v>3567</v>
      </c>
      <c r="B4181" s="112" t="s">
        <v>915</v>
      </c>
      <c r="C4181" s="112" t="s">
        <v>1119</v>
      </c>
      <c r="D4181" s="113">
        <v>10348592</v>
      </c>
      <c r="E4181" s="115">
        <v>43948</v>
      </c>
      <c r="F4181" s="114">
        <v>202101</v>
      </c>
      <c r="G4181" s="112" t="s">
        <v>1091</v>
      </c>
      <c r="H4181" s="112" t="s">
        <v>1015</v>
      </c>
      <c r="I4181" s="112" t="s">
        <v>1116</v>
      </c>
      <c r="J4181" s="112" t="s">
        <v>3583</v>
      </c>
      <c r="K4181" s="112" t="s">
        <v>1098</v>
      </c>
      <c r="L4181" s="116">
        <v>-2631.25</v>
      </c>
    </row>
    <row r="4182" spans="1:12" hidden="1" outlineLevel="1" collapsed="1" x14ac:dyDescent="0.35">
      <c r="A4182" s="112" t="s">
        <v>3567</v>
      </c>
      <c r="B4182" s="112" t="s">
        <v>913</v>
      </c>
      <c r="C4182" s="112" t="s">
        <v>1095</v>
      </c>
      <c r="D4182" s="113">
        <v>10348451</v>
      </c>
      <c r="E4182" s="115">
        <v>43949</v>
      </c>
      <c r="F4182" s="114">
        <v>202101</v>
      </c>
      <c r="G4182" s="112" t="s">
        <v>1091</v>
      </c>
      <c r="H4182" s="112" t="s">
        <v>1015</v>
      </c>
      <c r="I4182" s="112" t="s">
        <v>1116</v>
      </c>
      <c r="J4182" s="112" t="s">
        <v>3574</v>
      </c>
      <c r="K4182" s="112" t="s">
        <v>1098</v>
      </c>
      <c r="L4182" s="116">
        <v>2961.92</v>
      </c>
    </row>
    <row r="4183" spans="1:12" hidden="1" outlineLevel="1" collapsed="1" x14ac:dyDescent="0.35">
      <c r="A4183" s="112" t="s">
        <v>3567</v>
      </c>
      <c r="B4183" s="112" t="s">
        <v>913</v>
      </c>
      <c r="C4183" s="112" t="s">
        <v>1095</v>
      </c>
      <c r="D4183" s="113">
        <v>10348451</v>
      </c>
      <c r="E4183" s="115">
        <v>43949</v>
      </c>
      <c r="F4183" s="114">
        <v>202101</v>
      </c>
      <c r="G4183" s="112" t="s">
        <v>1091</v>
      </c>
      <c r="H4183" s="112" t="s">
        <v>1015</v>
      </c>
      <c r="I4183" s="112" t="s">
        <v>1116</v>
      </c>
      <c r="J4183" s="112" t="s">
        <v>3574</v>
      </c>
      <c r="K4183" s="112" t="s">
        <v>1098</v>
      </c>
      <c r="L4183" s="116">
        <v>4191.83</v>
      </c>
    </row>
    <row r="4184" spans="1:12" hidden="1" outlineLevel="1" collapsed="1" x14ac:dyDescent="0.35">
      <c r="A4184" s="112" t="s">
        <v>3567</v>
      </c>
      <c r="B4184" s="112" t="s">
        <v>913</v>
      </c>
      <c r="C4184" s="112" t="s">
        <v>1095</v>
      </c>
      <c r="D4184" s="113">
        <v>10348451</v>
      </c>
      <c r="E4184" s="115">
        <v>43949</v>
      </c>
      <c r="F4184" s="114">
        <v>202101</v>
      </c>
      <c r="G4184" s="112" t="s">
        <v>1091</v>
      </c>
      <c r="H4184" s="112" t="s">
        <v>1015</v>
      </c>
      <c r="I4184" s="112" t="s">
        <v>1116</v>
      </c>
      <c r="J4184" s="112" t="s">
        <v>3574</v>
      </c>
      <c r="K4184" s="112" t="s">
        <v>1098</v>
      </c>
      <c r="L4184" s="116">
        <v>5450.03</v>
      </c>
    </row>
    <row r="4185" spans="1:12" hidden="1" outlineLevel="1" collapsed="1" x14ac:dyDescent="0.35">
      <c r="A4185" s="112" t="s">
        <v>3567</v>
      </c>
      <c r="B4185" s="112" t="s">
        <v>913</v>
      </c>
      <c r="C4185" s="112" t="s">
        <v>1095</v>
      </c>
      <c r="D4185" s="113">
        <v>10348451</v>
      </c>
      <c r="E4185" s="115">
        <v>43949</v>
      </c>
      <c r="F4185" s="114">
        <v>202101</v>
      </c>
      <c r="G4185" s="112" t="s">
        <v>1091</v>
      </c>
      <c r="H4185" s="112" t="s">
        <v>1015</v>
      </c>
      <c r="I4185" s="112" t="s">
        <v>1116</v>
      </c>
      <c r="J4185" s="112" t="s">
        <v>3574</v>
      </c>
      <c r="K4185" s="112" t="s">
        <v>1098</v>
      </c>
      <c r="L4185" s="116">
        <v>2900.83</v>
      </c>
    </row>
    <row r="4186" spans="1:12" hidden="1" outlineLevel="1" collapsed="1" x14ac:dyDescent="0.35">
      <c r="A4186" s="112" t="s">
        <v>3567</v>
      </c>
      <c r="B4186" s="112" t="s">
        <v>913</v>
      </c>
      <c r="C4186" s="112" t="s">
        <v>1095</v>
      </c>
      <c r="D4186" s="113">
        <v>10348451</v>
      </c>
      <c r="E4186" s="115">
        <v>43949</v>
      </c>
      <c r="F4186" s="114">
        <v>202101</v>
      </c>
      <c r="G4186" s="112" t="s">
        <v>1091</v>
      </c>
      <c r="H4186" s="112" t="s">
        <v>1015</v>
      </c>
      <c r="I4186" s="112" t="s">
        <v>1116</v>
      </c>
      <c r="J4186" s="112" t="s">
        <v>3574</v>
      </c>
      <c r="K4186" s="112" t="s">
        <v>1098</v>
      </c>
      <c r="L4186" s="116">
        <v>2981.92</v>
      </c>
    </row>
    <row r="4187" spans="1:12" hidden="1" outlineLevel="1" collapsed="1" x14ac:dyDescent="0.35">
      <c r="A4187" s="112" t="s">
        <v>3567</v>
      </c>
      <c r="B4187" s="112" t="s">
        <v>913</v>
      </c>
      <c r="C4187" s="112" t="s">
        <v>1095</v>
      </c>
      <c r="D4187" s="113">
        <v>10348451</v>
      </c>
      <c r="E4187" s="115">
        <v>43949</v>
      </c>
      <c r="F4187" s="114">
        <v>202101</v>
      </c>
      <c r="G4187" s="112" t="s">
        <v>1091</v>
      </c>
      <c r="H4187" s="112" t="s">
        <v>1015</v>
      </c>
      <c r="I4187" s="112" t="s">
        <v>1116</v>
      </c>
      <c r="J4187" s="112" t="s">
        <v>3574</v>
      </c>
      <c r="K4187" s="112" t="s">
        <v>1098</v>
      </c>
      <c r="L4187" s="116">
        <v>2105</v>
      </c>
    </row>
    <row r="4188" spans="1:12" hidden="1" outlineLevel="1" collapsed="1" x14ac:dyDescent="0.35">
      <c r="A4188" s="112" t="s">
        <v>3567</v>
      </c>
      <c r="B4188" s="112" t="s">
        <v>915</v>
      </c>
      <c r="C4188" s="112" t="s">
        <v>1095</v>
      </c>
      <c r="D4188" s="113">
        <v>10348451</v>
      </c>
      <c r="E4188" s="115">
        <v>43949</v>
      </c>
      <c r="F4188" s="114">
        <v>202101</v>
      </c>
      <c r="G4188" s="112" t="s">
        <v>1091</v>
      </c>
      <c r="H4188" s="112" t="s">
        <v>1015</v>
      </c>
      <c r="I4188" s="112" t="s">
        <v>1116</v>
      </c>
      <c r="J4188" s="112" t="s">
        <v>3577</v>
      </c>
      <c r="K4188" s="112" t="s">
        <v>1098</v>
      </c>
      <c r="L4188" s="116">
        <v>2631.24</v>
      </c>
    </row>
    <row r="4189" spans="1:12" hidden="1" outlineLevel="1" collapsed="1" x14ac:dyDescent="0.35">
      <c r="A4189" s="112" t="s">
        <v>3567</v>
      </c>
      <c r="B4189" s="112" t="s">
        <v>913</v>
      </c>
      <c r="C4189" s="112" t="s">
        <v>1095</v>
      </c>
      <c r="D4189" s="113">
        <v>10348451</v>
      </c>
      <c r="E4189" s="115">
        <v>43949</v>
      </c>
      <c r="F4189" s="114">
        <v>202101</v>
      </c>
      <c r="G4189" s="112" t="s">
        <v>1091</v>
      </c>
      <c r="H4189" s="112" t="s">
        <v>1015</v>
      </c>
      <c r="I4189" s="112" t="s">
        <v>1116</v>
      </c>
      <c r="J4189" s="112" t="s">
        <v>3574</v>
      </c>
      <c r="K4189" s="112" t="s">
        <v>1098</v>
      </c>
      <c r="L4189" s="116">
        <v>2385.5300000000002</v>
      </c>
    </row>
    <row r="4190" spans="1:12" hidden="1" outlineLevel="1" collapsed="1" x14ac:dyDescent="0.35">
      <c r="A4190" s="112" t="s">
        <v>3567</v>
      </c>
      <c r="B4190" s="112" t="s">
        <v>913</v>
      </c>
      <c r="C4190" s="112" t="s">
        <v>1095</v>
      </c>
      <c r="D4190" s="113">
        <v>10348451</v>
      </c>
      <c r="E4190" s="115">
        <v>43949</v>
      </c>
      <c r="F4190" s="114">
        <v>202101</v>
      </c>
      <c r="G4190" s="112" t="s">
        <v>1091</v>
      </c>
      <c r="H4190" s="112" t="s">
        <v>1015</v>
      </c>
      <c r="I4190" s="112" t="s">
        <v>1205</v>
      </c>
      <c r="J4190" s="112" t="s">
        <v>3574</v>
      </c>
      <c r="K4190" s="112" t="s">
        <v>1098</v>
      </c>
      <c r="L4190" s="116">
        <v>1860.48</v>
      </c>
    </row>
    <row r="4191" spans="1:12" hidden="1" outlineLevel="1" collapsed="1" x14ac:dyDescent="0.35">
      <c r="A4191" s="112" t="s">
        <v>3567</v>
      </c>
      <c r="B4191" s="112" t="s">
        <v>915</v>
      </c>
      <c r="C4191" s="112" t="s">
        <v>1095</v>
      </c>
      <c r="D4191" s="113">
        <v>10348451</v>
      </c>
      <c r="E4191" s="115">
        <v>43949</v>
      </c>
      <c r="F4191" s="114">
        <v>202101</v>
      </c>
      <c r="G4191" s="112" t="s">
        <v>1091</v>
      </c>
      <c r="H4191" s="112" t="s">
        <v>1015</v>
      </c>
      <c r="I4191" s="112" t="s">
        <v>1116</v>
      </c>
      <c r="J4191" s="112" t="s">
        <v>3577</v>
      </c>
      <c r="K4191" s="112" t="s">
        <v>1098</v>
      </c>
      <c r="L4191" s="116">
        <v>4191.83</v>
      </c>
    </row>
    <row r="4192" spans="1:12" hidden="1" outlineLevel="1" collapsed="1" x14ac:dyDescent="0.35">
      <c r="A4192" s="112" t="s">
        <v>3567</v>
      </c>
      <c r="B4192" s="112" t="s">
        <v>913</v>
      </c>
      <c r="C4192" s="112" t="s">
        <v>1095</v>
      </c>
      <c r="D4192" s="113">
        <v>10348451</v>
      </c>
      <c r="E4192" s="115">
        <v>43949</v>
      </c>
      <c r="F4192" s="114">
        <v>202101</v>
      </c>
      <c r="G4192" s="112" t="s">
        <v>1091</v>
      </c>
      <c r="H4192" s="112" t="s">
        <v>1015</v>
      </c>
      <c r="I4192" s="112" t="s">
        <v>1116</v>
      </c>
      <c r="J4192" s="112" t="s">
        <v>3574</v>
      </c>
      <c r="K4192" s="112" t="s">
        <v>1098</v>
      </c>
      <c r="L4192" s="116">
        <v>2713.07</v>
      </c>
    </row>
    <row r="4193" spans="1:12" hidden="1" outlineLevel="1" collapsed="1" x14ac:dyDescent="0.35">
      <c r="A4193" s="112" t="s">
        <v>3616</v>
      </c>
      <c r="B4193" s="112" t="s">
        <v>919</v>
      </c>
      <c r="C4193" s="112" t="s">
        <v>695</v>
      </c>
      <c r="D4193" s="113">
        <v>10348420</v>
      </c>
      <c r="E4193" s="115">
        <v>43945</v>
      </c>
      <c r="F4193" s="114">
        <v>202101</v>
      </c>
      <c r="G4193" s="112" t="s">
        <v>1091</v>
      </c>
      <c r="H4193" s="112" t="s">
        <v>1015</v>
      </c>
      <c r="I4193" s="112" t="s">
        <v>2454</v>
      </c>
      <c r="J4193" s="112" t="s">
        <v>3617</v>
      </c>
      <c r="K4193" s="112" t="s">
        <v>3618</v>
      </c>
      <c r="L4193" s="116">
        <v>942.45</v>
      </c>
    </row>
    <row r="4194" spans="1:12" hidden="1" outlineLevel="1" collapsed="1" x14ac:dyDescent="0.35">
      <c r="A4194" s="112" t="s">
        <v>3616</v>
      </c>
      <c r="B4194" s="112" t="s">
        <v>921</v>
      </c>
      <c r="C4194" s="112" t="s">
        <v>1099</v>
      </c>
      <c r="D4194" s="113">
        <v>1069583</v>
      </c>
      <c r="E4194" s="115">
        <v>43875</v>
      </c>
      <c r="F4194" s="114">
        <v>202101</v>
      </c>
      <c r="G4194" s="112" t="s">
        <v>1091</v>
      </c>
      <c r="H4194" s="112" t="s">
        <v>1015</v>
      </c>
      <c r="I4194" s="112" t="s">
        <v>3619</v>
      </c>
      <c r="J4194" s="112" t="s">
        <v>3620</v>
      </c>
      <c r="K4194" s="112" t="s">
        <v>3621</v>
      </c>
      <c r="L4194" s="116">
        <v>112.74</v>
      </c>
    </row>
    <row r="4195" spans="1:12" hidden="1" outlineLevel="1" collapsed="1" x14ac:dyDescent="0.35">
      <c r="A4195" s="112" t="s">
        <v>3616</v>
      </c>
      <c r="B4195" s="112" t="s">
        <v>921</v>
      </c>
      <c r="C4195" s="112" t="s">
        <v>1511</v>
      </c>
      <c r="D4195" s="113">
        <v>47037006</v>
      </c>
      <c r="E4195" s="115">
        <v>43944</v>
      </c>
      <c r="F4195" s="114">
        <v>202101</v>
      </c>
      <c r="G4195" s="112" t="s">
        <v>1091</v>
      </c>
      <c r="H4195" s="112" t="s">
        <v>1015</v>
      </c>
      <c r="I4195" s="112" t="s">
        <v>749</v>
      </c>
      <c r="J4195" s="112" t="s">
        <v>3622</v>
      </c>
      <c r="K4195" s="112" t="s">
        <v>3623</v>
      </c>
      <c r="L4195" s="116">
        <v>3758.65</v>
      </c>
    </row>
    <row r="4196" spans="1:12" hidden="1" outlineLevel="1" collapsed="1" x14ac:dyDescent="0.35">
      <c r="A4196" s="112" t="s">
        <v>3616</v>
      </c>
      <c r="B4196" s="112" t="s">
        <v>919</v>
      </c>
      <c r="C4196" s="112" t="s">
        <v>695</v>
      </c>
      <c r="D4196" s="113">
        <v>10348420</v>
      </c>
      <c r="E4196" s="115">
        <v>43945</v>
      </c>
      <c r="F4196" s="114">
        <v>202101</v>
      </c>
      <c r="G4196" s="112" t="s">
        <v>1091</v>
      </c>
      <c r="H4196" s="112" t="s">
        <v>1015</v>
      </c>
      <c r="I4196" s="112" t="s">
        <v>1532</v>
      </c>
      <c r="J4196" s="112" t="s">
        <v>3624</v>
      </c>
      <c r="K4196" s="112" t="s">
        <v>3625</v>
      </c>
      <c r="L4196" s="116">
        <v>-160.18</v>
      </c>
    </row>
    <row r="4197" spans="1:12" hidden="1" outlineLevel="1" collapsed="1" x14ac:dyDescent="0.35">
      <c r="A4197" s="112" t="s">
        <v>3616</v>
      </c>
      <c r="B4197" s="112" t="s">
        <v>916</v>
      </c>
      <c r="C4197" s="112" t="s">
        <v>695</v>
      </c>
      <c r="D4197" s="113">
        <v>10348429</v>
      </c>
      <c r="E4197" s="115">
        <v>43945</v>
      </c>
      <c r="F4197" s="114">
        <v>202101</v>
      </c>
      <c r="G4197" s="112" t="s">
        <v>1091</v>
      </c>
      <c r="H4197" s="112" t="s">
        <v>1015</v>
      </c>
      <c r="I4197" s="112" t="s">
        <v>751</v>
      </c>
      <c r="J4197" s="112" t="s">
        <v>3626</v>
      </c>
      <c r="K4197" s="112" t="s">
        <v>3627</v>
      </c>
      <c r="L4197" s="116">
        <v>-6760.62</v>
      </c>
    </row>
    <row r="4198" spans="1:12" hidden="1" outlineLevel="1" collapsed="1" x14ac:dyDescent="0.35">
      <c r="A4198" s="112" t="s">
        <v>3616</v>
      </c>
      <c r="B4198" s="112" t="s">
        <v>919</v>
      </c>
      <c r="C4198" s="112" t="s">
        <v>1099</v>
      </c>
      <c r="D4198" s="113">
        <v>1068578</v>
      </c>
      <c r="E4198" s="115">
        <v>43887</v>
      </c>
      <c r="F4198" s="114">
        <v>202101</v>
      </c>
      <c r="G4198" s="112" t="s">
        <v>1091</v>
      </c>
      <c r="H4198" s="112" t="s">
        <v>1015</v>
      </c>
      <c r="I4198" s="112" t="s">
        <v>3619</v>
      </c>
      <c r="J4198" s="112" t="s">
        <v>3628</v>
      </c>
      <c r="K4198" s="112" t="s">
        <v>3629</v>
      </c>
      <c r="L4198" s="116">
        <v>79.31</v>
      </c>
    </row>
    <row r="4199" spans="1:12" hidden="1" outlineLevel="1" collapsed="1" x14ac:dyDescent="0.35">
      <c r="A4199" s="112" t="s">
        <v>3616</v>
      </c>
      <c r="B4199" s="112" t="s">
        <v>919</v>
      </c>
      <c r="C4199" s="112" t="s">
        <v>695</v>
      </c>
      <c r="D4199" s="113">
        <v>10348420</v>
      </c>
      <c r="E4199" s="115">
        <v>43945</v>
      </c>
      <c r="F4199" s="114">
        <v>202101</v>
      </c>
      <c r="G4199" s="112" t="s">
        <v>1091</v>
      </c>
      <c r="H4199" s="112" t="s">
        <v>1015</v>
      </c>
      <c r="I4199" s="112" t="s">
        <v>1532</v>
      </c>
      <c r="J4199" s="112" t="s">
        <v>3628</v>
      </c>
      <c r="K4199" s="112" t="s">
        <v>3630</v>
      </c>
      <c r="L4199" s="116">
        <v>-151.80000000000001</v>
      </c>
    </row>
    <row r="4200" spans="1:12" hidden="1" outlineLevel="1" collapsed="1" x14ac:dyDescent="0.35">
      <c r="A4200" s="112" t="s">
        <v>3616</v>
      </c>
      <c r="B4200" s="112" t="s">
        <v>919</v>
      </c>
      <c r="C4200" s="112" t="s">
        <v>695</v>
      </c>
      <c r="D4200" s="113">
        <v>10348420</v>
      </c>
      <c r="E4200" s="115">
        <v>43945</v>
      </c>
      <c r="F4200" s="114">
        <v>202101</v>
      </c>
      <c r="G4200" s="112" t="s">
        <v>1091</v>
      </c>
      <c r="H4200" s="112" t="s">
        <v>1015</v>
      </c>
      <c r="I4200" s="112" t="s">
        <v>1532</v>
      </c>
      <c r="J4200" s="112" t="s">
        <v>3628</v>
      </c>
      <c r="K4200" s="112" t="s">
        <v>3631</v>
      </c>
      <c r="L4200" s="116">
        <v>-45.58</v>
      </c>
    </row>
    <row r="4201" spans="1:12" hidden="1" outlineLevel="1" collapsed="1" x14ac:dyDescent="0.35">
      <c r="A4201" s="112" t="s">
        <v>3616</v>
      </c>
      <c r="B4201" s="112" t="s">
        <v>919</v>
      </c>
      <c r="C4201" s="112" t="s">
        <v>1099</v>
      </c>
      <c r="D4201" s="113">
        <v>1068803</v>
      </c>
      <c r="E4201" s="115">
        <v>43900</v>
      </c>
      <c r="F4201" s="114">
        <v>202101</v>
      </c>
      <c r="G4201" s="112" t="s">
        <v>1091</v>
      </c>
      <c r="H4201" s="112" t="s">
        <v>1015</v>
      </c>
      <c r="I4201" s="112" t="s">
        <v>3619</v>
      </c>
      <c r="J4201" s="112" t="s">
        <v>3632</v>
      </c>
      <c r="K4201" s="112" t="s">
        <v>3633</v>
      </c>
      <c r="L4201" s="116">
        <v>17.68</v>
      </c>
    </row>
    <row r="4202" spans="1:12" hidden="1" outlineLevel="1" collapsed="1" x14ac:dyDescent="0.35">
      <c r="A4202" s="112" t="s">
        <v>3616</v>
      </c>
      <c r="B4202" s="112" t="s">
        <v>919</v>
      </c>
      <c r="C4202" s="112" t="s">
        <v>695</v>
      </c>
      <c r="D4202" s="113">
        <v>10348420</v>
      </c>
      <c r="E4202" s="115">
        <v>43945</v>
      </c>
      <c r="F4202" s="114">
        <v>202101</v>
      </c>
      <c r="G4202" s="112" t="s">
        <v>1091</v>
      </c>
      <c r="H4202" s="112" t="s">
        <v>1015</v>
      </c>
      <c r="I4202" s="112" t="s">
        <v>2454</v>
      </c>
      <c r="J4202" s="112" t="s">
        <v>3634</v>
      </c>
      <c r="K4202" s="112" t="s">
        <v>3635</v>
      </c>
      <c r="L4202" s="116">
        <v>581.95000000000005</v>
      </c>
    </row>
    <row r="4203" spans="1:12" hidden="1" outlineLevel="1" collapsed="1" x14ac:dyDescent="0.35">
      <c r="A4203" s="112" t="s">
        <v>3616</v>
      </c>
      <c r="B4203" s="112" t="s">
        <v>921</v>
      </c>
      <c r="C4203" s="112" t="s">
        <v>695</v>
      </c>
      <c r="D4203" s="113">
        <v>10348420</v>
      </c>
      <c r="E4203" s="115">
        <v>43945</v>
      </c>
      <c r="F4203" s="114">
        <v>202101</v>
      </c>
      <c r="G4203" s="112" t="s">
        <v>1091</v>
      </c>
      <c r="H4203" s="112" t="s">
        <v>1015</v>
      </c>
      <c r="I4203" s="112" t="s">
        <v>3636</v>
      </c>
      <c r="J4203" s="112" t="s">
        <v>3620</v>
      </c>
      <c r="K4203" s="112" t="s">
        <v>3637</v>
      </c>
      <c r="L4203" s="116">
        <v>480</v>
      </c>
    </row>
    <row r="4204" spans="1:12" hidden="1" outlineLevel="1" collapsed="1" x14ac:dyDescent="0.35">
      <c r="A4204" s="112" t="s">
        <v>3616</v>
      </c>
      <c r="B4204" s="112" t="s">
        <v>919</v>
      </c>
      <c r="C4204" s="112" t="s">
        <v>695</v>
      </c>
      <c r="D4204" s="113">
        <v>10348420</v>
      </c>
      <c r="E4204" s="115">
        <v>43945</v>
      </c>
      <c r="F4204" s="114">
        <v>202101</v>
      </c>
      <c r="G4204" s="112" t="s">
        <v>1091</v>
      </c>
      <c r="H4204" s="112" t="s">
        <v>1015</v>
      </c>
      <c r="I4204" s="112" t="s">
        <v>1532</v>
      </c>
      <c r="J4204" s="112" t="s">
        <v>3628</v>
      </c>
      <c r="K4204" s="112" t="s">
        <v>3638</v>
      </c>
      <c r="L4204" s="116">
        <v>-45.58</v>
      </c>
    </row>
    <row r="4205" spans="1:12" hidden="1" outlineLevel="1" collapsed="1" x14ac:dyDescent="0.35">
      <c r="A4205" s="112" t="s">
        <v>3616</v>
      </c>
      <c r="B4205" s="112" t="s">
        <v>919</v>
      </c>
      <c r="C4205" s="112" t="s">
        <v>695</v>
      </c>
      <c r="D4205" s="113">
        <v>10348431</v>
      </c>
      <c r="E4205" s="115">
        <v>43945</v>
      </c>
      <c r="F4205" s="114">
        <v>202101</v>
      </c>
      <c r="G4205" s="112" t="s">
        <v>1091</v>
      </c>
      <c r="H4205" s="112" t="s">
        <v>1015</v>
      </c>
      <c r="I4205" s="112" t="s">
        <v>2454</v>
      </c>
      <c r="J4205" s="112" t="s">
        <v>3624</v>
      </c>
      <c r="K4205" s="112" t="s">
        <v>3639</v>
      </c>
      <c r="L4205" s="116">
        <v>1067.9000000000001</v>
      </c>
    </row>
    <row r="4206" spans="1:12" hidden="1" outlineLevel="1" collapsed="1" x14ac:dyDescent="0.35">
      <c r="A4206" s="112" t="s">
        <v>3616</v>
      </c>
      <c r="B4206" s="112" t="s">
        <v>919</v>
      </c>
      <c r="C4206" s="112" t="s">
        <v>695</v>
      </c>
      <c r="D4206" s="113">
        <v>10348431</v>
      </c>
      <c r="E4206" s="115">
        <v>43945</v>
      </c>
      <c r="F4206" s="114">
        <v>202101</v>
      </c>
      <c r="G4206" s="112" t="s">
        <v>1091</v>
      </c>
      <c r="H4206" s="112" t="s">
        <v>1015</v>
      </c>
      <c r="I4206" s="112" t="s">
        <v>745</v>
      </c>
      <c r="J4206" s="112" t="s">
        <v>3628</v>
      </c>
      <c r="K4206" s="112" t="s">
        <v>3640</v>
      </c>
      <c r="L4206" s="116">
        <v>1775.8</v>
      </c>
    </row>
    <row r="4207" spans="1:12" hidden="1" outlineLevel="1" collapsed="1" x14ac:dyDescent="0.35">
      <c r="A4207" s="112" t="s">
        <v>3616</v>
      </c>
      <c r="B4207" s="112" t="s">
        <v>919</v>
      </c>
      <c r="C4207" s="112" t="s">
        <v>695</v>
      </c>
      <c r="D4207" s="113">
        <v>10348420</v>
      </c>
      <c r="E4207" s="115">
        <v>43945</v>
      </c>
      <c r="F4207" s="114">
        <v>202101</v>
      </c>
      <c r="G4207" s="112" t="s">
        <v>1091</v>
      </c>
      <c r="H4207" s="112" t="s">
        <v>1015</v>
      </c>
      <c r="I4207" s="112" t="s">
        <v>1532</v>
      </c>
      <c r="J4207" s="112" t="s">
        <v>3628</v>
      </c>
      <c r="K4207" s="112" t="s">
        <v>3641</v>
      </c>
      <c r="L4207" s="116">
        <v>-44.46</v>
      </c>
    </row>
    <row r="4208" spans="1:12" hidden="1" outlineLevel="1" collapsed="1" x14ac:dyDescent="0.35">
      <c r="A4208" s="112" t="s">
        <v>3616</v>
      </c>
      <c r="B4208" s="112" t="s">
        <v>919</v>
      </c>
      <c r="C4208" s="112" t="s">
        <v>1099</v>
      </c>
      <c r="D4208" s="113">
        <v>1069492</v>
      </c>
      <c r="E4208" s="115">
        <v>43924</v>
      </c>
      <c r="F4208" s="114">
        <v>202101</v>
      </c>
      <c r="G4208" s="112" t="s">
        <v>1091</v>
      </c>
      <c r="H4208" s="112" t="s">
        <v>1015</v>
      </c>
      <c r="I4208" s="112" t="s">
        <v>745</v>
      </c>
      <c r="J4208" s="112" t="s">
        <v>3628</v>
      </c>
      <c r="K4208" s="112" t="s">
        <v>3642</v>
      </c>
      <c r="L4208" s="116">
        <v>128</v>
      </c>
    </row>
    <row r="4209" spans="1:12" hidden="1" outlineLevel="1" collapsed="1" x14ac:dyDescent="0.35">
      <c r="A4209" s="112" t="s">
        <v>3616</v>
      </c>
      <c r="B4209" s="112" t="s">
        <v>919</v>
      </c>
      <c r="C4209" s="112" t="s">
        <v>1099</v>
      </c>
      <c r="D4209" s="113">
        <v>1069686</v>
      </c>
      <c r="E4209" s="115">
        <v>43903</v>
      </c>
      <c r="F4209" s="114">
        <v>202101</v>
      </c>
      <c r="G4209" s="112" t="s">
        <v>1091</v>
      </c>
      <c r="H4209" s="112" t="s">
        <v>1015</v>
      </c>
      <c r="I4209" s="112" t="s">
        <v>3619</v>
      </c>
      <c r="J4209" s="112" t="s">
        <v>3634</v>
      </c>
      <c r="K4209" s="112" t="s">
        <v>3643</v>
      </c>
      <c r="L4209" s="116">
        <v>349.52</v>
      </c>
    </row>
    <row r="4210" spans="1:12" hidden="1" outlineLevel="1" collapsed="1" x14ac:dyDescent="0.35">
      <c r="A4210" s="112" t="s">
        <v>3616</v>
      </c>
      <c r="B4210" s="112" t="s">
        <v>919</v>
      </c>
      <c r="C4210" s="112" t="s">
        <v>695</v>
      </c>
      <c r="D4210" s="113">
        <v>10348420</v>
      </c>
      <c r="E4210" s="115">
        <v>43945</v>
      </c>
      <c r="F4210" s="114">
        <v>202101</v>
      </c>
      <c r="G4210" s="112" t="s">
        <v>1091</v>
      </c>
      <c r="H4210" s="112" t="s">
        <v>1015</v>
      </c>
      <c r="I4210" s="112" t="s">
        <v>2454</v>
      </c>
      <c r="J4210" s="112" t="s">
        <v>3632</v>
      </c>
      <c r="K4210" s="112" t="s">
        <v>3644</v>
      </c>
      <c r="L4210" s="116">
        <v>185.4</v>
      </c>
    </row>
    <row r="4211" spans="1:12" hidden="1" outlineLevel="1" collapsed="1" x14ac:dyDescent="0.35">
      <c r="A4211" s="112" t="s">
        <v>3616</v>
      </c>
      <c r="B4211" s="112" t="s">
        <v>919</v>
      </c>
      <c r="C4211" s="112" t="s">
        <v>1099</v>
      </c>
      <c r="D4211" s="113">
        <v>1069687</v>
      </c>
      <c r="E4211" s="115">
        <v>43913</v>
      </c>
      <c r="F4211" s="114">
        <v>202101</v>
      </c>
      <c r="G4211" s="112" t="s">
        <v>1091</v>
      </c>
      <c r="H4211" s="112" t="s">
        <v>1015</v>
      </c>
      <c r="I4211" s="112" t="s">
        <v>3619</v>
      </c>
      <c r="J4211" s="112" t="s">
        <v>3634</v>
      </c>
      <c r="K4211" s="112" t="s">
        <v>3643</v>
      </c>
      <c r="L4211" s="116">
        <v>13.16</v>
      </c>
    </row>
    <row r="4212" spans="1:12" hidden="1" outlineLevel="1" collapsed="1" x14ac:dyDescent="0.35">
      <c r="A4212" s="112" t="s">
        <v>3616</v>
      </c>
      <c r="B4212" s="112" t="s">
        <v>921</v>
      </c>
      <c r="C4212" s="112" t="s">
        <v>1150</v>
      </c>
      <c r="D4212" s="113">
        <v>10348573</v>
      </c>
      <c r="E4212" s="115">
        <v>43958</v>
      </c>
      <c r="F4212" s="114">
        <v>202101</v>
      </c>
      <c r="G4212" s="112" t="s">
        <v>1091</v>
      </c>
      <c r="H4212" s="112" t="s">
        <v>1015</v>
      </c>
      <c r="I4212" s="112" t="s">
        <v>813</v>
      </c>
      <c r="J4212" s="112" t="s">
        <v>3620</v>
      </c>
      <c r="K4212" s="112" t="s">
        <v>2179</v>
      </c>
      <c r="L4212" s="116">
        <v>376.11</v>
      </c>
    </row>
    <row r="4213" spans="1:12" hidden="1" outlineLevel="1" collapsed="1" x14ac:dyDescent="0.35">
      <c r="A4213" s="112" t="s">
        <v>3616</v>
      </c>
      <c r="B4213" s="112" t="s">
        <v>916</v>
      </c>
      <c r="C4213" s="112" t="s">
        <v>1150</v>
      </c>
      <c r="D4213" s="113">
        <v>10348573</v>
      </c>
      <c r="E4213" s="115">
        <v>43958</v>
      </c>
      <c r="F4213" s="114">
        <v>202101</v>
      </c>
      <c r="G4213" s="112" t="s">
        <v>1091</v>
      </c>
      <c r="H4213" s="112" t="s">
        <v>1015</v>
      </c>
      <c r="I4213" s="112" t="s">
        <v>813</v>
      </c>
      <c r="J4213" s="112" t="s">
        <v>3645</v>
      </c>
      <c r="K4213" s="112" t="s">
        <v>2179</v>
      </c>
      <c r="L4213" s="116">
        <v>13036.94</v>
      </c>
    </row>
    <row r="4214" spans="1:12" hidden="1" outlineLevel="1" collapsed="1" x14ac:dyDescent="0.35">
      <c r="A4214" s="112" t="s">
        <v>3616</v>
      </c>
      <c r="B4214" s="112" t="s">
        <v>916</v>
      </c>
      <c r="C4214" s="112" t="s">
        <v>695</v>
      </c>
      <c r="D4214" s="113">
        <v>10347954</v>
      </c>
      <c r="E4214" s="115">
        <v>43923</v>
      </c>
      <c r="F4214" s="114">
        <v>202101</v>
      </c>
      <c r="G4214" s="112" t="s">
        <v>1091</v>
      </c>
      <c r="H4214" s="112" t="s">
        <v>1015</v>
      </c>
      <c r="I4214" s="112" t="s">
        <v>813</v>
      </c>
      <c r="J4214" s="112" t="s">
        <v>3645</v>
      </c>
      <c r="K4214" s="112" t="s">
        <v>3646</v>
      </c>
      <c r="L4214" s="116">
        <v>-13173.74</v>
      </c>
    </row>
    <row r="4215" spans="1:12" hidden="1" outlineLevel="1" collapsed="1" x14ac:dyDescent="0.35">
      <c r="A4215" s="112" t="s">
        <v>3616</v>
      </c>
      <c r="B4215" s="112" t="s">
        <v>919</v>
      </c>
      <c r="C4215" s="112" t="s">
        <v>1099</v>
      </c>
      <c r="D4215" s="113">
        <v>1069684</v>
      </c>
      <c r="E4215" s="115">
        <v>43887</v>
      </c>
      <c r="F4215" s="114">
        <v>202101</v>
      </c>
      <c r="G4215" s="112" t="s">
        <v>1091</v>
      </c>
      <c r="H4215" s="112" t="s">
        <v>1015</v>
      </c>
      <c r="I4215" s="112" t="s">
        <v>3619</v>
      </c>
      <c r="J4215" s="112" t="s">
        <v>3624</v>
      </c>
      <c r="K4215" s="112" t="s">
        <v>3647</v>
      </c>
      <c r="L4215" s="116">
        <v>10.84</v>
      </c>
    </row>
    <row r="4216" spans="1:12" hidden="1" outlineLevel="1" collapsed="1" x14ac:dyDescent="0.35">
      <c r="A4216" s="112" t="s">
        <v>3616</v>
      </c>
      <c r="B4216" s="112" t="s">
        <v>918</v>
      </c>
      <c r="C4216" s="112" t="s">
        <v>695</v>
      </c>
      <c r="D4216" s="113">
        <v>10348539</v>
      </c>
      <c r="E4216" s="115">
        <v>43951</v>
      </c>
      <c r="F4216" s="114">
        <v>202101</v>
      </c>
      <c r="G4216" s="112" t="s">
        <v>1091</v>
      </c>
      <c r="H4216" s="112" t="s">
        <v>1015</v>
      </c>
      <c r="I4216" s="112" t="s">
        <v>3648</v>
      </c>
      <c r="J4216" s="112" t="s">
        <v>3649</v>
      </c>
      <c r="K4216" s="112" t="s">
        <v>3650</v>
      </c>
      <c r="L4216" s="116">
        <v>1720</v>
      </c>
    </row>
    <row r="4217" spans="1:12" hidden="1" outlineLevel="1" collapsed="1" x14ac:dyDescent="0.35">
      <c r="A4217" s="112" t="s">
        <v>3616</v>
      </c>
      <c r="B4217" s="112" t="s">
        <v>921</v>
      </c>
      <c r="C4217" s="112" t="s">
        <v>1511</v>
      </c>
      <c r="D4217" s="113">
        <v>47037004</v>
      </c>
      <c r="E4217" s="115">
        <v>43944</v>
      </c>
      <c r="F4217" s="114">
        <v>202101</v>
      </c>
      <c r="G4217" s="112" t="s">
        <v>1091</v>
      </c>
      <c r="H4217" s="112" t="s">
        <v>1015</v>
      </c>
      <c r="I4217" s="112" t="s">
        <v>749</v>
      </c>
      <c r="J4217" s="112" t="s">
        <v>3651</v>
      </c>
      <c r="K4217" s="112" t="s">
        <v>3652</v>
      </c>
      <c r="L4217" s="116">
        <v>4276.24</v>
      </c>
    </row>
    <row r="4218" spans="1:12" hidden="1" outlineLevel="1" collapsed="1" x14ac:dyDescent="0.35">
      <c r="A4218" s="112" t="s">
        <v>3616</v>
      </c>
      <c r="B4218" s="112" t="s">
        <v>919</v>
      </c>
      <c r="C4218" s="112" t="s">
        <v>1511</v>
      </c>
      <c r="D4218" s="113">
        <v>47036991</v>
      </c>
      <c r="E4218" s="115">
        <v>43944</v>
      </c>
      <c r="F4218" s="114">
        <v>202101</v>
      </c>
      <c r="G4218" s="112" t="s">
        <v>1091</v>
      </c>
      <c r="H4218" s="112" t="s">
        <v>1015</v>
      </c>
      <c r="I4218" s="112" t="s">
        <v>749</v>
      </c>
      <c r="J4218" s="112" t="s">
        <v>3634</v>
      </c>
      <c r="K4218" s="112" t="s">
        <v>3653</v>
      </c>
      <c r="L4218" s="116">
        <v>911.99</v>
      </c>
    </row>
    <row r="4219" spans="1:12" hidden="1" outlineLevel="1" collapsed="1" x14ac:dyDescent="0.35">
      <c r="A4219" s="112" t="s">
        <v>3616</v>
      </c>
      <c r="B4219" s="112" t="s">
        <v>922</v>
      </c>
      <c r="C4219" s="112" t="s">
        <v>695</v>
      </c>
      <c r="D4219" s="113">
        <v>10348431</v>
      </c>
      <c r="E4219" s="115">
        <v>43945</v>
      </c>
      <c r="F4219" s="114">
        <v>202101</v>
      </c>
      <c r="G4219" s="112" t="s">
        <v>1091</v>
      </c>
      <c r="H4219" s="112" t="s">
        <v>1015</v>
      </c>
      <c r="I4219" s="112" t="s">
        <v>3654</v>
      </c>
      <c r="J4219" s="112" t="s">
        <v>3655</v>
      </c>
      <c r="K4219" s="112" t="s">
        <v>3656</v>
      </c>
      <c r="L4219" s="116">
        <v>1721</v>
      </c>
    </row>
    <row r="4220" spans="1:12" hidden="1" outlineLevel="1" collapsed="1" x14ac:dyDescent="0.35">
      <c r="A4220" s="112" t="s">
        <v>3616</v>
      </c>
      <c r="B4220" s="112" t="s">
        <v>916</v>
      </c>
      <c r="C4220" s="112" t="s">
        <v>1511</v>
      </c>
      <c r="D4220" s="113">
        <v>47037005</v>
      </c>
      <c r="E4220" s="115">
        <v>43944</v>
      </c>
      <c r="F4220" s="114">
        <v>202101</v>
      </c>
      <c r="G4220" s="112" t="s">
        <v>1091</v>
      </c>
      <c r="H4220" s="112" t="s">
        <v>1015</v>
      </c>
      <c r="I4220" s="112" t="s">
        <v>749</v>
      </c>
      <c r="J4220" s="112" t="s">
        <v>3626</v>
      </c>
      <c r="K4220" s="112" t="s">
        <v>3657</v>
      </c>
      <c r="L4220" s="116">
        <v>6805.1</v>
      </c>
    </row>
    <row r="4221" spans="1:12" hidden="1" outlineLevel="1" collapsed="1" x14ac:dyDescent="0.35">
      <c r="A4221" s="112" t="s">
        <v>3616</v>
      </c>
      <c r="B4221" s="112" t="s">
        <v>916</v>
      </c>
      <c r="C4221" s="112" t="s">
        <v>1511</v>
      </c>
      <c r="D4221" s="113">
        <v>47037002</v>
      </c>
      <c r="E4221" s="115">
        <v>43944</v>
      </c>
      <c r="F4221" s="114">
        <v>202101</v>
      </c>
      <c r="G4221" s="112" t="s">
        <v>1091</v>
      </c>
      <c r="H4221" s="112" t="s">
        <v>1015</v>
      </c>
      <c r="I4221" s="112" t="s">
        <v>749</v>
      </c>
      <c r="J4221" s="112" t="s">
        <v>3626</v>
      </c>
      <c r="K4221" s="112" t="s">
        <v>3658</v>
      </c>
      <c r="L4221" s="116">
        <v>2330.3000000000002</v>
      </c>
    </row>
    <row r="4222" spans="1:12" hidden="1" outlineLevel="1" collapsed="1" x14ac:dyDescent="0.35">
      <c r="A4222" s="112" t="s">
        <v>3616</v>
      </c>
      <c r="B4222" s="112" t="s">
        <v>916</v>
      </c>
      <c r="C4222" s="112" t="s">
        <v>1511</v>
      </c>
      <c r="D4222" s="113">
        <v>47037001</v>
      </c>
      <c r="E4222" s="115">
        <v>43944</v>
      </c>
      <c r="F4222" s="114">
        <v>202101</v>
      </c>
      <c r="G4222" s="112" t="s">
        <v>1091</v>
      </c>
      <c r="H4222" s="112" t="s">
        <v>1015</v>
      </c>
      <c r="I4222" s="112" t="s">
        <v>749</v>
      </c>
      <c r="J4222" s="112" t="s">
        <v>3626</v>
      </c>
      <c r="K4222" s="112" t="s">
        <v>3659</v>
      </c>
      <c r="L4222" s="116">
        <v>3936.88</v>
      </c>
    </row>
    <row r="4223" spans="1:12" hidden="1" outlineLevel="1" collapsed="1" x14ac:dyDescent="0.35">
      <c r="A4223" s="112" t="s">
        <v>3616</v>
      </c>
      <c r="B4223" s="112" t="s">
        <v>916</v>
      </c>
      <c r="C4223" s="112" t="s">
        <v>1511</v>
      </c>
      <c r="D4223" s="113">
        <v>47036997</v>
      </c>
      <c r="E4223" s="115">
        <v>43944</v>
      </c>
      <c r="F4223" s="114">
        <v>202101</v>
      </c>
      <c r="G4223" s="112" t="s">
        <v>1091</v>
      </c>
      <c r="H4223" s="112" t="s">
        <v>1015</v>
      </c>
      <c r="I4223" s="112" t="s">
        <v>749</v>
      </c>
      <c r="J4223" s="112" t="s">
        <v>3626</v>
      </c>
      <c r="K4223" s="112" t="s">
        <v>3660</v>
      </c>
      <c r="L4223" s="116">
        <v>10434.31</v>
      </c>
    </row>
    <row r="4224" spans="1:12" hidden="1" outlineLevel="1" collapsed="1" x14ac:dyDescent="0.35">
      <c r="A4224" s="112" t="s">
        <v>3616</v>
      </c>
      <c r="B4224" s="112" t="s">
        <v>916</v>
      </c>
      <c r="C4224" s="112" t="s">
        <v>1511</v>
      </c>
      <c r="D4224" s="113">
        <v>47036995</v>
      </c>
      <c r="E4224" s="115">
        <v>43944</v>
      </c>
      <c r="F4224" s="114">
        <v>202101</v>
      </c>
      <c r="G4224" s="112" t="s">
        <v>1091</v>
      </c>
      <c r="H4224" s="112" t="s">
        <v>1015</v>
      </c>
      <c r="I4224" s="112" t="s">
        <v>749</v>
      </c>
      <c r="J4224" s="112" t="s">
        <v>3626</v>
      </c>
      <c r="K4224" s="112" t="s">
        <v>3661</v>
      </c>
      <c r="L4224" s="116">
        <v>621.85</v>
      </c>
    </row>
    <row r="4225" spans="1:12" hidden="1" outlineLevel="1" collapsed="1" x14ac:dyDescent="0.35">
      <c r="A4225" s="112" t="s">
        <v>3616</v>
      </c>
      <c r="B4225" s="112" t="s">
        <v>919</v>
      </c>
      <c r="C4225" s="112" t="s">
        <v>1511</v>
      </c>
      <c r="D4225" s="113">
        <v>47036998</v>
      </c>
      <c r="E4225" s="115">
        <v>43944</v>
      </c>
      <c r="F4225" s="114">
        <v>202101</v>
      </c>
      <c r="G4225" s="112" t="s">
        <v>1091</v>
      </c>
      <c r="H4225" s="112" t="s">
        <v>1015</v>
      </c>
      <c r="I4225" s="112" t="s">
        <v>749</v>
      </c>
      <c r="J4225" s="112" t="s">
        <v>3624</v>
      </c>
      <c r="K4225" s="112" t="s">
        <v>3662</v>
      </c>
      <c r="L4225" s="116">
        <v>1387.97</v>
      </c>
    </row>
    <row r="4226" spans="1:12" hidden="1" outlineLevel="1" collapsed="1" x14ac:dyDescent="0.35">
      <c r="A4226" s="112" t="s">
        <v>3616</v>
      </c>
      <c r="B4226" s="112" t="s">
        <v>919</v>
      </c>
      <c r="C4226" s="112" t="s">
        <v>695</v>
      </c>
      <c r="D4226" s="113">
        <v>10348420</v>
      </c>
      <c r="E4226" s="115">
        <v>43945</v>
      </c>
      <c r="F4226" s="114">
        <v>202101</v>
      </c>
      <c r="G4226" s="112" t="s">
        <v>1091</v>
      </c>
      <c r="H4226" s="112" t="s">
        <v>1015</v>
      </c>
      <c r="I4226" s="112" t="s">
        <v>2454</v>
      </c>
      <c r="J4226" s="112" t="s">
        <v>3632</v>
      </c>
      <c r="K4226" s="112" t="s">
        <v>3663</v>
      </c>
      <c r="L4226" s="116">
        <v>705.55</v>
      </c>
    </row>
    <row r="4227" spans="1:12" hidden="1" outlineLevel="1" collapsed="1" x14ac:dyDescent="0.35">
      <c r="A4227" s="112" t="s">
        <v>3616</v>
      </c>
      <c r="B4227" s="112" t="s">
        <v>921</v>
      </c>
      <c r="C4227" s="112" t="s">
        <v>1099</v>
      </c>
      <c r="D4227" s="113">
        <v>1069054</v>
      </c>
      <c r="E4227" s="115">
        <v>43908</v>
      </c>
      <c r="F4227" s="114">
        <v>202101</v>
      </c>
      <c r="G4227" s="112" t="s">
        <v>1091</v>
      </c>
      <c r="H4227" s="112" t="s">
        <v>1015</v>
      </c>
      <c r="I4227" s="112" t="s">
        <v>745</v>
      </c>
      <c r="J4227" s="112" t="s">
        <v>3620</v>
      </c>
      <c r="K4227" s="112" t="s">
        <v>3664</v>
      </c>
      <c r="L4227" s="116">
        <v>88</v>
      </c>
    </row>
    <row r="4228" spans="1:12" hidden="1" outlineLevel="1" collapsed="1" x14ac:dyDescent="0.35">
      <c r="A4228" s="112" t="s">
        <v>3616</v>
      </c>
      <c r="B4228" s="112" t="s">
        <v>919</v>
      </c>
      <c r="C4228" s="112" t="s">
        <v>695</v>
      </c>
      <c r="D4228" s="113">
        <v>10347981</v>
      </c>
      <c r="E4228" s="115">
        <v>43924</v>
      </c>
      <c r="F4228" s="114">
        <v>202101</v>
      </c>
      <c r="G4228" s="112" t="s">
        <v>1091</v>
      </c>
      <c r="H4228" s="112" t="s">
        <v>1015</v>
      </c>
      <c r="I4228" s="112" t="s">
        <v>2454</v>
      </c>
      <c r="J4228" s="112" t="s">
        <v>3628</v>
      </c>
      <c r="K4228" s="112" t="s">
        <v>3665</v>
      </c>
      <c r="L4228" s="116">
        <v>-1170</v>
      </c>
    </row>
    <row r="4229" spans="1:12" hidden="1" outlineLevel="1" collapsed="1" x14ac:dyDescent="0.35">
      <c r="A4229" s="112" t="s">
        <v>3616</v>
      </c>
      <c r="B4229" s="112" t="s">
        <v>921</v>
      </c>
      <c r="C4229" s="112" t="s">
        <v>695</v>
      </c>
      <c r="D4229" s="113">
        <v>10347981</v>
      </c>
      <c r="E4229" s="115">
        <v>43924</v>
      </c>
      <c r="F4229" s="114">
        <v>202101</v>
      </c>
      <c r="G4229" s="112" t="s">
        <v>1091</v>
      </c>
      <c r="H4229" s="112" t="s">
        <v>1015</v>
      </c>
      <c r="I4229" s="112" t="s">
        <v>3619</v>
      </c>
      <c r="J4229" s="112" t="s">
        <v>3620</v>
      </c>
      <c r="K4229" s="112" t="s">
        <v>3666</v>
      </c>
      <c r="L4229" s="116">
        <v>-39</v>
      </c>
    </row>
    <row r="4230" spans="1:12" hidden="1" outlineLevel="1" collapsed="1" x14ac:dyDescent="0.35">
      <c r="A4230" s="112" t="s">
        <v>3616</v>
      </c>
      <c r="B4230" s="112" t="s">
        <v>921</v>
      </c>
      <c r="C4230" s="112" t="s">
        <v>695</v>
      </c>
      <c r="D4230" s="113">
        <v>10347981</v>
      </c>
      <c r="E4230" s="115">
        <v>43924</v>
      </c>
      <c r="F4230" s="114">
        <v>202101</v>
      </c>
      <c r="G4230" s="112" t="s">
        <v>1091</v>
      </c>
      <c r="H4230" s="112" t="s">
        <v>1015</v>
      </c>
      <c r="I4230" s="112" t="s">
        <v>3619</v>
      </c>
      <c r="J4230" s="112" t="s">
        <v>3620</v>
      </c>
      <c r="K4230" s="112" t="s">
        <v>3667</v>
      </c>
      <c r="L4230" s="116">
        <v>-57</v>
      </c>
    </row>
    <row r="4231" spans="1:12" hidden="1" outlineLevel="1" collapsed="1" x14ac:dyDescent="0.35">
      <c r="A4231" s="112" t="s">
        <v>3616</v>
      </c>
      <c r="B4231" s="112" t="s">
        <v>921</v>
      </c>
      <c r="C4231" s="112" t="s">
        <v>695</v>
      </c>
      <c r="D4231" s="113">
        <v>10347981</v>
      </c>
      <c r="E4231" s="115">
        <v>43924</v>
      </c>
      <c r="F4231" s="114">
        <v>202101</v>
      </c>
      <c r="G4231" s="112" t="s">
        <v>1091</v>
      </c>
      <c r="H4231" s="112" t="s">
        <v>1015</v>
      </c>
      <c r="I4231" s="112" t="s">
        <v>3619</v>
      </c>
      <c r="J4231" s="112" t="s">
        <v>3620</v>
      </c>
      <c r="K4231" s="112" t="s">
        <v>3668</v>
      </c>
      <c r="L4231" s="116">
        <v>-35.700000000000003</v>
      </c>
    </row>
    <row r="4232" spans="1:12" hidden="1" outlineLevel="1" collapsed="1" x14ac:dyDescent="0.35">
      <c r="A4232" s="112" t="s">
        <v>3616</v>
      </c>
      <c r="B4232" s="112" t="s">
        <v>921</v>
      </c>
      <c r="C4232" s="112" t="s">
        <v>695</v>
      </c>
      <c r="D4232" s="113">
        <v>10347981</v>
      </c>
      <c r="E4232" s="115">
        <v>43924</v>
      </c>
      <c r="F4232" s="114">
        <v>202101</v>
      </c>
      <c r="G4232" s="112" t="s">
        <v>1091</v>
      </c>
      <c r="H4232" s="112" t="s">
        <v>1015</v>
      </c>
      <c r="I4232" s="112" t="s">
        <v>3619</v>
      </c>
      <c r="J4232" s="112" t="s">
        <v>3620</v>
      </c>
      <c r="K4232" s="112" t="s">
        <v>3666</v>
      </c>
      <c r="L4232" s="116">
        <v>-2.46</v>
      </c>
    </row>
    <row r="4233" spans="1:12" hidden="1" outlineLevel="1" collapsed="1" x14ac:dyDescent="0.35">
      <c r="A4233" s="112" t="s">
        <v>3616</v>
      </c>
      <c r="B4233" s="112" t="s">
        <v>921</v>
      </c>
      <c r="C4233" s="112" t="s">
        <v>695</v>
      </c>
      <c r="D4233" s="113">
        <v>10347981</v>
      </c>
      <c r="E4233" s="115">
        <v>43924</v>
      </c>
      <c r="F4233" s="114">
        <v>202101</v>
      </c>
      <c r="G4233" s="112" t="s">
        <v>1091</v>
      </c>
      <c r="H4233" s="112" t="s">
        <v>1015</v>
      </c>
      <c r="I4233" s="112" t="s">
        <v>3619</v>
      </c>
      <c r="J4233" s="112" t="s">
        <v>3620</v>
      </c>
      <c r="K4233" s="112" t="s">
        <v>3669</v>
      </c>
      <c r="L4233" s="116">
        <v>-59.15</v>
      </c>
    </row>
    <row r="4234" spans="1:12" hidden="1" outlineLevel="1" collapsed="1" x14ac:dyDescent="0.35">
      <c r="A4234" s="112" t="s">
        <v>3616</v>
      </c>
      <c r="B4234" s="112" t="s">
        <v>918</v>
      </c>
      <c r="C4234" s="112" t="s">
        <v>695</v>
      </c>
      <c r="D4234" s="113">
        <v>10348504</v>
      </c>
      <c r="E4234" s="115">
        <v>43949</v>
      </c>
      <c r="F4234" s="114">
        <v>202101</v>
      </c>
      <c r="G4234" s="112" t="s">
        <v>1091</v>
      </c>
      <c r="H4234" s="112" t="s">
        <v>1015</v>
      </c>
      <c r="I4234" s="112" t="s">
        <v>3670</v>
      </c>
      <c r="J4234" s="112" t="s">
        <v>3649</v>
      </c>
      <c r="K4234" s="112" t="s">
        <v>3671</v>
      </c>
      <c r="L4234" s="116">
        <v>-1500</v>
      </c>
    </row>
    <row r="4235" spans="1:12" hidden="1" outlineLevel="1" collapsed="1" x14ac:dyDescent="0.35">
      <c r="A4235" s="112" t="s">
        <v>3616</v>
      </c>
      <c r="B4235" s="112" t="s">
        <v>921</v>
      </c>
      <c r="C4235" s="112" t="s">
        <v>695</v>
      </c>
      <c r="D4235" s="113">
        <v>10347981</v>
      </c>
      <c r="E4235" s="115">
        <v>43924</v>
      </c>
      <c r="F4235" s="114">
        <v>202101</v>
      </c>
      <c r="G4235" s="112" t="s">
        <v>1091</v>
      </c>
      <c r="H4235" s="112" t="s">
        <v>1015</v>
      </c>
      <c r="I4235" s="112" t="s">
        <v>3619</v>
      </c>
      <c r="J4235" s="112" t="s">
        <v>3620</v>
      </c>
      <c r="K4235" s="112" t="s">
        <v>3666</v>
      </c>
      <c r="L4235" s="116">
        <v>-82.8</v>
      </c>
    </row>
    <row r="4236" spans="1:12" hidden="1" outlineLevel="1" collapsed="1" x14ac:dyDescent="0.35">
      <c r="A4236" s="112" t="s">
        <v>3616</v>
      </c>
      <c r="B4236" s="112" t="s">
        <v>923</v>
      </c>
      <c r="C4236" s="112" t="s">
        <v>695</v>
      </c>
      <c r="D4236" s="113">
        <v>10348504</v>
      </c>
      <c r="E4236" s="115">
        <v>43949</v>
      </c>
      <c r="F4236" s="114">
        <v>202101</v>
      </c>
      <c r="G4236" s="112" t="s">
        <v>1091</v>
      </c>
      <c r="H4236" s="112" t="s">
        <v>1015</v>
      </c>
      <c r="I4236" s="112" t="s">
        <v>3672</v>
      </c>
      <c r="J4236" s="112" t="s">
        <v>3673</v>
      </c>
      <c r="K4236" s="112" t="s">
        <v>3671</v>
      </c>
      <c r="L4236" s="116">
        <v>1500</v>
      </c>
    </row>
    <row r="4237" spans="1:12" hidden="1" outlineLevel="1" collapsed="1" x14ac:dyDescent="0.35">
      <c r="A4237" s="112" t="s">
        <v>3616</v>
      </c>
      <c r="B4237" s="112" t="s">
        <v>919</v>
      </c>
      <c r="C4237" s="112" t="s">
        <v>695</v>
      </c>
      <c r="D4237" s="113">
        <v>10347981</v>
      </c>
      <c r="E4237" s="115">
        <v>43924</v>
      </c>
      <c r="F4237" s="114">
        <v>202101</v>
      </c>
      <c r="G4237" s="112" t="s">
        <v>1091</v>
      </c>
      <c r="H4237" s="112" t="s">
        <v>1015</v>
      </c>
      <c r="I4237" s="112" t="s">
        <v>3619</v>
      </c>
      <c r="J4237" s="112" t="s">
        <v>3634</v>
      </c>
      <c r="K4237" s="112" t="s">
        <v>3674</v>
      </c>
      <c r="L4237" s="116">
        <v>-23.28</v>
      </c>
    </row>
    <row r="4238" spans="1:12" hidden="1" outlineLevel="1" collapsed="1" x14ac:dyDescent="0.35">
      <c r="A4238" s="112" t="s">
        <v>3616</v>
      </c>
      <c r="B4238" s="112" t="s">
        <v>923</v>
      </c>
      <c r="C4238" s="112" t="s">
        <v>695</v>
      </c>
      <c r="D4238" s="113">
        <v>10348478</v>
      </c>
      <c r="E4238" s="115">
        <v>43949</v>
      </c>
      <c r="F4238" s="114">
        <v>202101</v>
      </c>
      <c r="G4238" s="112" t="s">
        <v>1091</v>
      </c>
      <c r="H4238" s="112" t="s">
        <v>1015</v>
      </c>
      <c r="I4238" s="112" t="s">
        <v>2129</v>
      </c>
      <c r="J4238" s="112" t="s">
        <v>3673</v>
      </c>
      <c r="K4238" s="112" t="s">
        <v>3675</v>
      </c>
      <c r="L4238" s="116">
        <v>4166.67</v>
      </c>
    </row>
    <row r="4239" spans="1:12" hidden="1" outlineLevel="1" collapsed="1" x14ac:dyDescent="0.35">
      <c r="A4239" s="112" t="s">
        <v>3616</v>
      </c>
      <c r="B4239" s="112" t="s">
        <v>919</v>
      </c>
      <c r="C4239" s="112" t="s">
        <v>695</v>
      </c>
      <c r="D4239" s="113">
        <v>10347981</v>
      </c>
      <c r="E4239" s="115">
        <v>43924</v>
      </c>
      <c r="F4239" s="114">
        <v>202101</v>
      </c>
      <c r="G4239" s="112" t="s">
        <v>1091</v>
      </c>
      <c r="H4239" s="112" t="s">
        <v>1015</v>
      </c>
      <c r="I4239" s="112" t="s">
        <v>3619</v>
      </c>
      <c r="J4239" s="112" t="s">
        <v>3624</v>
      </c>
      <c r="K4239" s="112" t="s">
        <v>3676</v>
      </c>
      <c r="L4239" s="116">
        <v>-1.56</v>
      </c>
    </row>
    <row r="4240" spans="1:12" hidden="1" outlineLevel="1" collapsed="1" x14ac:dyDescent="0.35">
      <c r="A4240" s="112" t="s">
        <v>3616</v>
      </c>
      <c r="B4240" s="112" t="s">
        <v>921</v>
      </c>
      <c r="C4240" s="112" t="s">
        <v>695</v>
      </c>
      <c r="D4240" s="113">
        <v>10348090</v>
      </c>
      <c r="E4240" s="115">
        <v>43929</v>
      </c>
      <c r="F4240" s="114">
        <v>202101</v>
      </c>
      <c r="G4240" s="112" t="s">
        <v>1091</v>
      </c>
      <c r="H4240" s="112" t="s">
        <v>1015</v>
      </c>
      <c r="I4240" s="112" t="s">
        <v>3677</v>
      </c>
      <c r="J4240" s="112" t="s">
        <v>3620</v>
      </c>
      <c r="K4240" s="112" t="s">
        <v>3678</v>
      </c>
      <c r="L4240" s="116">
        <v>-700</v>
      </c>
    </row>
    <row r="4241" spans="1:12" hidden="1" outlineLevel="1" collapsed="1" x14ac:dyDescent="0.35">
      <c r="A4241" s="112" t="s">
        <v>3616</v>
      </c>
      <c r="B4241" s="112" t="s">
        <v>921</v>
      </c>
      <c r="C4241" s="112" t="s">
        <v>695</v>
      </c>
      <c r="D4241" s="113">
        <v>10348090</v>
      </c>
      <c r="E4241" s="115">
        <v>43929</v>
      </c>
      <c r="F4241" s="114">
        <v>202101</v>
      </c>
      <c r="G4241" s="112" t="s">
        <v>1091</v>
      </c>
      <c r="H4241" s="112" t="s">
        <v>1015</v>
      </c>
      <c r="I4241" s="112" t="s">
        <v>757</v>
      </c>
      <c r="J4241" s="112" t="s">
        <v>3622</v>
      </c>
      <c r="K4241" s="112" t="s">
        <v>3679</v>
      </c>
      <c r="L4241" s="116">
        <v>-2200</v>
      </c>
    </row>
    <row r="4242" spans="1:12" hidden="1" outlineLevel="1" collapsed="1" x14ac:dyDescent="0.35">
      <c r="A4242" s="112" t="s">
        <v>3616</v>
      </c>
      <c r="B4242" s="112" t="s">
        <v>921</v>
      </c>
      <c r="C4242" s="112" t="s">
        <v>695</v>
      </c>
      <c r="D4242" s="113">
        <v>10348090</v>
      </c>
      <c r="E4242" s="115">
        <v>43929</v>
      </c>
      <c r="F4242" s="114">
        <v>202101</v>
      </c>
      <c r="G4242" s="112" t="s">
        <v>1091</v>
      </c>
      <c r="H4242" s="112" t="s">
        <v>1015</v>
      </c>
      <c r="I4242" s="112" t="s">
        <v>751</v>
      </c>
      <c r="J4242" s="112" t="s">
        <v>3622</v>
      </c>
      <c r="K4242" s="112" t="s">
        <v>3680</v>
      </c>
      <c r="L4242" s="116">
        <v>-1000</v>
      </c>
    </row>
    <row r="4243" spans="1:12" hidden="1" outlineLevel="1" collapsed="1" x14ac:dyDescent="0.35">
      <c r="A4243" s="112" t="s">
        <v>3616</v>
      </c>
      <c r="B4243" s="112" t="s">
        <v>921</v>
      </c>
      <c r="C4243" s="112" t="s">
        <v>695</v>
      </c>
      <c r="D4243" s="113">
        <v>10348090</v>
      </c>
      <c r="E4243" s="115">
        <v>43929</v>
      </c>
      <c r="F4243" s="114">
        <v>202101</v>
      </c>
      <c r="G4243" s="112" t="s">
        <v>1091</v>
      </c>
      <c r="H4243" s="112" t="s">
        <v>1015</v>
      </c>
      <c r="I4243" s="112" t="s">
        <v>751</v>
      </c>
      <c r="J4243" s="112" t="s">
        <v>3651</v>
      </c>
      <c r="K4243" s="112" t="s">
        <v>3681</v>
      </c>
      <c r="L4243" s="116">
        <v>-3800</v>
      </c>
    </row>
    <row r="4244" spans="1:12" hidden="1" outlineLevel="1" collapsed="1" x14ac:dyDescent="0.35">
      <c r="A4244" s="112" t="s">
        <v>3616</v>
      </c>
      <c r="B4244" s="112" t="s">
        <v>921</v>
      </c>
      <c r="C4244" s="112" t="s">
        <v>695</v>
      </c>
      <c r="D4244" s="113">
        <v>10347981</v>
      </c>
      <c r="E4244" s="115">
        <v>43924</v>
      </c>
      <c r="F4244" s="114">
        <v>202101</v>
      </c>
      <c r="G4244" s="112" t="s">
        <v>1091</v>
      </c>
      <c r="H4244" s="112" t="s">
        <v>1015</v>
      </c>
      <c r="I4244" s="112" t="s">
        <v>3619</v>
      </c>
      <c r="J4244" s="112" t="s">
        <v>3620</v>
      </c>
      <c r="K4244" s="112" t="s">
        <v>3682</v>
      </c>
      <c r="L4244" s="116">
        <v>-48.89</v>
      </c>
    </row>
    <row r="4245" spans="1:12" hidden="1" outlineLevel="1" collapsed="1" x14ac:dyDescent="0.35">
      <c r="A4245" s="112" t="s">
        <v>3616</v>
      </c>
      <c r="B4245" s="112" t="s">
        <v>921</v>
      </c>
      <c r="C4245" s="112" t="s">
        <v>695</v>
      </c>
      <c r="D4245" s="113">
        <v>10348090</v>
      </c>
      <c r="E4245" s="115">
        <v>43929</v>
      </c>
      <c r="F4245" s="114">
        <v>202101</v>
      </c>
      <c r="G4245" s="112" t="s">
        <v>1091</v>
      </c>
      <c r="H4245" s="112" t="s">
        <v>1015</v>
      </c>
      <c r="I4245" s="112" t="s">
        <v>757</v>
      </c>
      <c r="J4245" s="112" t="s">
        <v>3651</v>
      </c>
      <c r="K4245" s="112" t="s">
        <v>3683</v>
      </c>
      <c r="L4245" s="116">
        <v>-2800</v>
      </c>
    </row>
    <row r="4246" spans="1:12" hidden="1" outlineLevel="1" collapsed="1" x14ac:dyDescent="0.35">
      <c r="A4246" s="112" t="s">
        <v>3616</v>
      </c>
      <c r="B4246" s="112" t="s">
        <v>921</v>
      </c>
      <c r="C4246" s="112" t="s">
        <v>695</v>
      </c>
      <c r="D4246" s="113">
        <v>10348090</v>
      </c>
      <c r="E4246" s="115">
        <v>43929</v>
      </c>
      <c r="F4246" s="114">
        <v>202101</v>
      </c>
      <c r="G4246" s="112" t="s">
        <v>1091</v>
      </c>
      <c r="H4246" s="112" t="s">
        <v>1015</v>
      </c>
      <c r="I4246" s="112" t="s">
        <v>749</v>
      </c>
      <c r="J4246" s="112" t="s">
        <v>3622</v>
      </c>
      <c r="K4246" s="112" t="s">
        <v>3684</v>
      </c>
      <c r="L4246" s="116">
        <v>-4200</v>
      </c>
    </row>
    <row r="4247" spans="1:12" hidden="1" outlineLevel="1" collapsed="1" x14ac:dyDescent="0.35">
      <c r="A4247" s="112" t="s">
        <v>3616</v>
      </c>
      <c r="B4247" s="112" t="s">
        <v>921</v>
      </c>
      <c r="C4247" s="112" t="s">
        <v>695</v>
      </c>
      <c r="D4247" s="113">
        <v>10348090</v>
      </c>
      <c r="E4247" s="115">
        <v>43929</v>
      </c>
      <c r="F4247" s="114">
        <v>202101</v>
      </c>
      <c r="G4247" s="112" t="s">
        <v>1091</v>
      </c>
      <c r="H4247" s="112" t="s">
        <v>1015</v>
      </c>
      <c r="I4247" s="112" t="s">
        <v>749</v>
      </c>
      <c r="J4247" s="112" t="s">
        <v>3651</v>
      </c>
      <c r="K4247" s="112" t="s">
        <v>3685</v>
      </c>
      <c r="L4247" s="116">
        <v>-5100</v>
      </c>
    </row>
    <row r="4248" spans="1:12" hidden="1" outlineLevel="1" collapsed="1" x14ac:dyDescent="0.35">
      <c r="A4248" s="112" t="s">
        <v>3616</v>
      </c>
      <c r="B4248" s="112" t="s">
        <v>921</v>
      </c>
      <c r="C4248" s="112" t="s">
        <v>695</v>
      </c>
      <c r="D4248" s="113">
        <v>10347981</v>
      </c>
      <c r="E4248" s="115">
        <v>43924</v>
      </c>
      <c r="F4248" s="114">
        <v>202101</v>
      </c>
      <c r="G4248" s="112" t="s">
        <v>1091</v>
      </c>
      <c r="H4248" s="112" t="s">
        <v>1015</v>
      </c>
      <c r="I4248" s="112" t="s">
        <v>3686</v>
      </c>
      <c r="J4248" s="112" t="s">
        <v>3620</v>
      </c>
      <c r="K4248" s="112" t="s">
        <v>3687</v>
      </c>
      <c r="L4248" s="116">
        <v>-43.5</v>
      </c>
    </row>
    <row r="4249" spans="1:12" hidden="1" outlineLevel="1" collapsed="1" x14ac:dyDescent="0.35">
      <c r="A4249" s="112" t="s">
        <v>3616</v>
      </c>
      <c r="B4249" s="112" t="s">
        <v>916</v>
      </c>
      <c r="C4249" s="112" t="s">
        <v>1099</v>
      </c>
      <c r="D4249" s="113">
        <v>1069712</v>
      </c>
      <c r="E4249" s="115">
        <v>43830</v>
      </c>
      <c r="F4249" s="114">
        <v>202101</v>
      </c>
      <c r="G4249" s="112" t="s">
        <v>1091</v>
      </c>
      <c r="H4249" s="112" t="s">
        <v>1015</v>
      </c>
      <c r="I4249" s="112" t="s">
        <v>761</v>
      </c>
      <c r="J4249" s="112" t="s">
        <v>3645</v>
      </c>
      <c r="K4249" s="112" t="s">
        <v>3688</v>
      </c>
      <c r="L4249" s="116">
        <v>445</v>
      </c>
    </row>
    <row r="4250" spans="1:12" hidden="1" outlineLevel="1" collapsed="1" x14ac:dyDescent="0.35">
      <c r="A4250" s="112" t="s">
        <v>3616</v>
      </c>
      <c r="B4250" s="112" t="s">
        <v>923</v>
      </c>
      <c r="C4250" s="112" t="s">
        <v>695</v>
      </c>
      <c r="D4250" s="113">
        <v>10348478</v>
      </c>
      <c r="E4250" s="115">
        <v>43949</v>
      </c>
      <c r="F4250" s="114">
        <v>202101</v>
      </c>
      <c r="G4250" s="112" t="s">
        <v>1091</v>
      </c>
      <c r="H4250" s="112" t="s">
        <v>1015</v>
      </c>
      <c r="I4250" s="112" t="s">
        <v>761</v>
      </c>
      <c r="J4250" s="112" t="s">
        <v>3673</v>
      </c>
      <c r="K4250" s="112" t="s">
        <v>3689</v>
      </c>
      <c r="L4250" s="116">
        <v>-5000</v>
      </c>
    </row>
    <row r="4251" spans="1:12" hidden="1" outlineLevel="1" collapsed="1" x14ac:dyDescent="0.35">
      <c r="A4251" s="112" t="s">
        <v>3616</v>
      </c>
      <c r="B4251" s="112" t="s">
        <v>923</v>
      </c>
      <c r="C4251" s="112" t="s">
        <v>695</v>
      </c>
      <c r="D4251" s="113">
        <v>10348478</v>
      </c>
      <c r="E4251" s="115">
        <v>43949</v>
      </c>
      <c r="F4251" s="114">
        <v>202101</v>
      </c>
      <c r="G4251" s="112" t="s">
        <v>1091</v>
      </c>
      <c r="H4251" s="112" t="s">
        <v>1015</v>
      </c>
      <c r="I4251" s="112" t="s">
        <v>761</v>
      </c>
      <c r="J4251" s="112" t="s">
        <v>3673</v>
      </c>
      <c r="K4251" s="112" t="s">
        <v>3675</v>
      </c>
      <c r="L4251" s="116">
        <v>5000</v>
      </c>
    </row>
    <row r="4252" spans="1:12" hidden="1" outlineLevel="1" collapsed="1" x14ac:dyDescent="0.35">
      <c r="A4252" s="112" t="s">
        <v>3616</v>
      </c>
      <c r="B4252" s="112" t="s">
        <v>923</v>
      </c>
      <c r="C4252" s="112" t="s">
        <v>695</v>
      </c>
      <c r="D4252" s="113">
        <v>10348478</v>
      </c>
      <c r="E4252" s="115">
        <v>43949</v>
      </c>
      <c r="F4252" s="114">
        <v>202101</v>
      </c>
      <c r="G4252" s="112" t="s">
        <v>1091</v>
      </c>
      <c r="H4252" s="112" t="s">
        <v>1015</v>
      </c>
      <c r="I4252" s="112" t="s">
        <v>2129</v>
      </c>
      <c r="J4252" s="112" t="s">
        <v>3673</v>
      </c>
      <c r="K4252" s="112" t="s">
        <v>3689</v>
      </c>
      <c r="L4252" s="116">
        <v>-8400</v>
      </c>
    </row>
    <row r="4253" spans="1:12" hidden="1" outlineLevel="1" collapsed="1" x14ac:dyDescent="0.35">
      <c r="A4253" s="112" t="s">
        <v>3616</v>
      </c>
      <c r="B4253" s="112" t="s">
        <v>923</v>
      </c>
      <c r="C4253" s="112" t="s">
        <v>695</v>
      </c>
      <c r="D4253" s="113">
        <v>10348478</v>
      </c>
      <c r="E4253" s="115">
        <v>43949</v>
      </c>
      <c r="F4253" s="114">
        <v>202101</v>
      </c>
      <c r="G4253" s="112" t="s">
        <v>1091</v>
      </c>
      <c r="H4253" s="112" t="s">
        <v>1015</v>
      </c>
      <c r="I4253" s="112" t="s">
        <v>2129</v>
      </c>
      <c r="J4253" s="112" t="s">
        <v>3673</v>
      </c>
      <c r="K4253" s="112" t="s">
        <v>3689</v>
      </c>
      <c r="L4253" s="116">
        <v>-4166.67</v>
      </c>
    </row>
    <row r="4254" spans="1:12" hidden="1" outlineLevel="1" collapsed="1" x14ac:dyDescent="0.35">
      <c r="A4254" s="112" t="s">
        <v>3616</v>
      </c>
      <c r="B4254" s="112" t="s">
        <v>923</v>
      </c>
      <c r="C4254" s="112" t="s">
        <v>695</v>
      </c>
      <c r="D4254" s="113">
        <v>10348478</v>
      </c>
      <c r="E4254" s="115">
        <v>43949</v>
      </c>
      <c r="F4254" s="114">
        <v>202101</v>
      </c>
      <c r="G4254" s="112" t="s">
        <v>1091</v>
      </c>
      <c r="H4254" s="112" t="s">
        <v>1015</v>
      </c>
      <c r="I4254" s="112" t="s">
        <v>2129</v>
      </c>
      <c r="J4254" s="112" t="s">
        <v>3673</v>
      </c>
      <c r="K4254" s="112" t="s">
        <v>3690</v>
      </c>
      <c r="L4254" s="116">
        <v>8400</v>
      </c>
    </row>
    <row r="4255" spans="1:12" hidden="1" outlineLevel="1" collapsed="1" x14ac:dyDescent="0.35">
      <c r="A4255" s="112" t="s">
        <v>3616</v>
      </c>
      <c r="B4255" s="112" t="s">
        <v>922</v>
      </c>
      <c r="C4255" s="112" t="s">
        <v>1219</v>
      </c>
      <c r="D4255" s="113">
        <v>46307970</v>
      </c>
      <c r="E4255" s="115">
        <v>43948</v>
      </c>
      <c r="F4255" s="114">
        <v>202101</v>
      </c>
      <c r="G4255" s="112" t="s">
        <v>1091</v>
      </c>
      <c r="H4255" s="112" t="s">
        <v>1015</v>
      </c>
      <c r="I4255" s="112" t="s">
        <v>1605</v>
      </c>
      <c r="J4255" s="112" t="s">
        <v>3691</v>
      </c>
      <c r="K4255" s="112" t="s">
        <v>3692</v>
      </c>
      <c r="L4255" s="116">
        <v>750</v>
      </c>
    </row>
    <row r="4256" spans="1:12" hidden="1" outlineLevel="1" collapsed="1" x14ac:dyDescent="0.35">
      <c r="A4256" s="112" t="s">
        <v>3616</v>
      </c>
      <c r="B4256" s="112" t="s">
        <v>921</v>
      </c>
      <c r="C4256" s="112" t="s">
        <v>695</v>
      </c>
      <c r="D4256" s="113">
        <v>10347981</v>
      </c>
      <c r="E4256" s="115">
        <v>43924</v>
      </c>
      <c r="F4256" s="114">
        <v>202101</v>
      </c>
      <c r="G4256" s="112" t="s">
        <v>1091</v>
      </c>
      <c r="H4256" s="112" t="s">
        <v>1015</v>
      </c>
      <c r="I4256" s="112" t="s">
        <v>3636</v>
      </c>
      <c r="J4256" s="112" t="s">
        <v>3620</v>
      </c>
      <c r="K4256" s="112" t="s">
        <v>3693</v>
      </c>
      <c r="L4256" s="116">
        <v>-480</v>
      </c>
    </row>
    <row r="4257" spans="1:12" hidden="1" outlineLevel="1" collapsed="1" x14ac:dyDescent="0.35">
      <c r="A4257" s="112" t="s">
        <v>3616</v>
      </c>
      <c r="B4257" s="112" t="s">
        <v>918</v>
      </c>
      <c r="C4257" s="112" t="s">
        <v>695</v>
      </c>
      <c r="D4257" s="113">
        <v>10348494</v>
      </c>
      <c r="E4257" s="115">
        <v>43949</v>
      </c>
      <c r="F4257" s="114">
        <v>202101</v>
      </c>
      <c r="G4257" s="112" t="s">
        <v>1091</v>
      </c>
      <c r="H4257" s="112" t="s">
        <v>1015</v>
      </c>
      <c r="I4257" s="112" t="s">
        <v>1868</v>
      </c>
      <c r="J4257" s="112" t="s">
        <v>3649</v>
      </c>
      <c r="K4257" s="112" t="s">
        <v>3694</v>
      </c>
      <c r="L4257" s="116">
        <v>1825.52</v>
      </c>
    </row>
    <row r="4258" spans="1:12" hidden="1" outlineLevel="1" collapsed="1" x14ac:dyDescent="0.35">
      <c r="A4258" s="112" t="s">
        <v>3616</v>
      </c>
      <c r="B4258" s="112" t="s">
        <v>918</v>
      </c>
      <c r="C4258" s="112" t="s">
        <v>695</v>
      </c>
      <c r="D4258" s="113">
        <v>10348494</v>
      </c>
      <c r="E4258" s="115">
        <v>43949</v>
      </c>
      <c r="F4258" s="114">
        <v>202101</v>
      </c>
      <c r="G4258" s="112" t="s">
        <v>1091</v>
      </c>
      <c r="H4258" s="112" t="s">
        <v>1015</v>
      </c>
      <c r="I4258" s="112" t="s">
        <v>1868</v>
      </c>
      <c r="J4258" s="112" t="s">
        <v>3695</v>
      </c>
      <c r="K4258" s="112" t="s">
        <v>3696</v>
      </c>
      <c r="L4258" s="116">
        <v>7362.74</v>
      </c>
    </row>
    <row r="4259" spans="1:12" hidden="1" outlineLevel="1" collapsed="1" x14ac:dyDescent="0.35">
      <c r="A4259" s="112" t="s">
        <v>3616</v>
      </c>
      <c r="B4259" s="112" t="s">
        <v>918</v>
      </c>
      <c r="C4259" s="112" t="s">
        <v>695</v>
      </c>
      <c r="D4259" s="113">
        <v>10348494</v>
      </c>
      <c r="E4259" s="115">
        <v>43949</v>
      </c>
      <c r="F4259" s="114">
        <v>202101</v>
      </c>
      <c r="G4259" s="112" t="s">
        <v>1091</v>
      </c>
      <c r="H4259" s="112" t="s">
        <v>1015</v>
      </c>
      <c r="I4259" s="112" t="s">
        <v>1868</v>
      </c>
      <c r="J4259" s="112" t="s">
        <v>3695</v>
      </c>
      <c r="K4259" s="112" t="s">
        <v>3697</v>
      </c>
      <c r="L4259" s="116">
        <v>850</v>
      </c>
    </row>
    <row r="4260" spans="1:12" hidden="1" outlineLevel="1" collapsed="1" x14ac:dyDescent="0.35">
      <c r="A4260" s="112" t="s">
        <v>3616</v>
      </c>
      <c r="B4260" s="112" t="s">
        <v>919</v>
      </c>
      <c r="C4260" s="112" t="s">
        <v>695</v>
      </c>
      <c r="D4260" s="113">
        <v>10347981</v>
      </c>
      <c r="E4260" s="115">
        <v>43924</v>
      </c>
      <c r="F4260" s="114">
        <v>202101</v>
      </c>
      <c r="G4260" s="112" t="s">
        <v>1091</v>
      </c>
      <c r="H4260" s="112" t="s">
        <v>1015</v>
      </c>
      <c r="I4260" s="112" t="s">
        <v>3619</v>
      </c>
      <c r="J4260" s="112" t="s">
        <v>3617</v>
      </c>
      <c r="K4260" s="112" t="s">
        <v>3698</v>
      </c>
      <c r="L4260" s="116">
        <v>-14.61</v>
      </c>
    </row>
    <row r="4261" spans="1:12" hidden="1" outlineLevel="1" collapsed="1" x14ac:dyDescent="0.35">
      <c r="A4261" s="112" t="s">
        <v>3616</v>
      </c>
      <c r="B4261" s="112" t="s">
        <v>919</v>
      </c>
      <c r="C4261" s="112" t="s">
        <v>695</v>
      </c>
      <c r="D4261" s="113">
        <v>10347981</v>
      </c>
      <c r="E4261" s="115">
        <v>43924</v>
      </c>
      <c r="F4261" s="114">
        <v>202101</v>
      </c>
      <c r="G4261" s="112" t="s">
        <v>1091</v>
      </c>
      <c r="H4261" s="112" t="s">
        <v>1015</v>
      </c>
      <c r="I4261" s="112" t="s">
        <v>2454</v>
      </c>
      <c r="J4261" s="112" t="s">
        <v>3628</v>
      </c>
      <c r="K4261" s="112" t="s">
        <v>3699</v>
      </c>
      <c r="L4261" s="116">
        <v>-1240</v>
      </c>
    </row>
    <row r="4262" spans="1:12" hidden="1" outlineLevel="1" collapsed="1" x14ac:dyDescent="0.35">
      <c r="A4262" s="112" t="s">
        <v>3616</v>
      </c>
      <c r="B4262" s="112" t="s">
        <v>918</v>
      </c>
      <c r="C4262" s="112" t="s">
        <v>695</v>
      </c>
      <c r="D4262" s="113">
        <v>10348494</v>
      </c>
      <c r="E4262" s="115">
        <v>43949</v>
      </c>
      <c r="F4262" s="114">
        <v>202101</v>
      </c>
      <c r="G4262" s="112" t="s">
        <v>1091</v>
      </c>
      <c r="H4262" s="112" t="s">
        <v>1015</v>
      </c>
      <c r="I4262" s="112" t="s">
        <v>761</v>
      </c>
      <c r="J4262" s="112" t="s">
        <v>3695</v>
      </c>
      <c r="K4262" s="112" t="s">
        <v>3700</v>
      </c>
      <c r="L4262" s="116">
        <v>500</v>
      </c>
    </row>
    <row r="4263" spans="1:12" hidden="1" outlineLevel="1" collapsed="1" x14ac:dyDescent="0.35">
      <c r="A4263" s="112" t="s">
        <v>3616</v>
      </c>
      <c r="B4263" s="112" t="s">
        <v>919</v>
      </c>
      <c r="C4263" s="112" t="s">
        <v>695</v>
      </c>
      <c r="D4263" s="113">
        <v>10347981</v>
      </c>
      <c r="E4263" s="115">
        <v>43924</v>
      </c>
      <c r="F4263" s="114">
        <v>202101</v>
      </c>
      <c r="G4263" s="112" t="s">
        <v>1091</v>
      </c>
      <c r="H4263" s="112" t="s">
        <v>1015</v>
      </c>
      <c r="I4263" s="112" t="s">
        <v>3619</v>
      </c>
      <c r="J4263" s="112" t="s">
        <v>3632</v>
      </c>
      <c r="K4263" s="112" t="s">
        <v>3701</v>
      </c>
      <c r="L4263" s="116">
        <v>-36.51</v>
      </c>
    </row>
    <row r="4264" spans="1:12" hidden="1" outlineLevel="1" collapsed="1" x14ac:dyDescent="0.35">
      <c r="A4264" s="112" t="s">
        <v>3616</v>
      </c>
      <c r="B4264" s="112" t="s">
        <v>921</v>
      </c>
      <c r="C4264" s="112" t="s">
        <v>695</v>
      </c>
      <c r="D4264" s="113">
        <v>10347981</v>
      </c>
      <c r="E4264" s="115">
        <v>43924</v>
      </c>
      <c r="F4264" s="114">
        <v>202101</v>
      </c>
      <c r="G4264" s="112" t="s">
        <v>1091</v>
      </c>
      <c r="H4264" s="112" t="s">
        <v>1015</v>
      </c>
      <c r="I4264" s="112" t="s">
        <v>3619</v>
      </c>
      <c r="J4264" s="112" t="s">
        <v>3620</v>
      </c>
      <c r="K4264" s="112" t="s">
        <v>3702</v>
      </c>
      <c r="L4264" s="116">
        <v>-3.28</v>
      </c>
    </row>
    <row r="4265" spans="1:12" hidden="1" outlineLevel="1" collapsed="1" x14ac:dyDescent="0.35">
      <c r="A4265" s="112" t="s">
        <v>3616</v>
      </c>
      <c r="B4265" s="112" t="s">
        <v>919</v>
      </c>
      <c r="C4265" s="112" t="s">
        <v>695</v>
      </c>
      <c r="D4265" s="113">
        <v>10347981</v>
      </c>
      <c r="E4265" s="115">
        <v>43924</v>
      </c>
      <c r="F4265" s="114">
        <v>202101</v>
      </c>
      <c r="G4265" s="112" t="s">
        <v>1091</v>
      </c>
      <c r="H4265" s="112" t="s">
        <v>1015</v>
      </c>
      <c r="I4265" s="112" t="s">
        <v>3619</v>
      </c>
      <c r="J4265" s="112" t="s">
        <v>3624</v>
      </c>
      <c r="K4265" s="112" t="s">
        <v>3703</v>
      </c>
      <c r="L4265" s="116">
        <v>-10.84</v>
      </c>
    </row>
    <row r="4266" spans="1:12" hidden="1" outlineLevel="1" collapsed="1" x14ac:dyDescent="0.35">
      <c r="A4266" s="112" t="s">
        <v>3616</v>
      </c>
      <c r="B4266" s="112" t="s">
        <v>921</v>
      </c>
      <c r="C4266" s="112" t="s">
        <v>695</v>
      </c>
      <c r="D4266" s="113">
        <v>10347981</v>
      </c>
      <c r="E4266" s="115">
        <v>43924</v>
      </c>
      <c r="F4266" s="114">
        <v>202101</v>
      </c>
      <c r="G4266" s="112" t="s">
        <v>1091</v>
      </c>
      <c r="H4266" s="112" t="s">
        <v>1015</v>
      </c>
      <c r="I4266" s="112" t="s">
        <v>3619</v>
      </c>
      <c r="J4266" s="112" t="s">
        <v>3620</v>
      </c>
      <c r="K4266" s="112" t="s">
        <v>3704</v>
      </c>
      <c r="L4266" s="116">
        <v>-55</v>
      </c>
    </row>
    <row r="4267" spans="1:12" hidden="1" outlineLevel="1" collapsed="1" x14ac:dyDescent="0.35">
      <c r="A4267" s="112" t="s">
        <v>3616</v>
      </c>
      <c r="B4267" s="112" t="s">
        <v>918</v>
      </c>
      <c r="C4267" s="112" t="s">
        <v>695</v>
      </c>
      <c r="D4267" s="113">
        <v>10348519</v>
      </c>
      <c r="E4267" s="115">
        <v>43950</v>
      </c>
      <c r="F4267" s="114">
        <v>202101</v>
      </c>
      <c r="G4267" s="112" t="s">
        <v>1091</v>
      </c>
      <c r="H4267" s="112" t="s">
        <v>1015</v>
      </c>
      <c r="I4267" s="112" t="s">
        <v>1868</v>
      </c>
      <c r="J4267" s="112" t="s">
        <v>3649</v>
      </c>
      <c r="K4267" s="112" t="s">
        <v>3705</v>
      </c>
      <c r="L4267" s="116">
        <v>-1825.52</v>
      </c>
    </row>
    <row r="4268" spans="1:12" hidden="1" outlineLevel="1" collapsed="1" x14ac:dyDescent="0.35">
      <c r="A4268" s="112" t="s">
        <v>3616</v>
      </c>
      <c r="B4268" s="112" t="s">
        <v>921</v>
      </c>
      <c r="C4268" s="112" t="s">
        <v>695</v>
      </c>
      <c r="D4268" s="113">
        <v>10347981</v>
      </c>
      <c r="E4268" s="115">
        <v>43924</v>
      </c>
      <c r="F4268" s="114">
        <v>202101</v>
      </c>
      <c r="G4268" s="112" t="s">
        <v>1091</v>
      </c>
      <c r="H4268" s="112" t="s">
        <v>1015</v>
      </c>
      <c r="I4268" s="112" t="s">
        <v>745</v>
      </c>
      <c r="J4268" s="112" t="s">
        <v>3620</v>
      </c>
      <c r="K4268" s="112" t="s">
        <v>3706</v>
      </c>
      <c r="L4268" s="116">
        <v>-1040</v>
      </c>
    </row>
    <row r="4269" spans="1:12" hidden="1" outlineLevel="1" collapsed="1" x14ac:dyDescent="0.35">
      <c r="A4269" s="112" t="s">
        <v>3616</v>
      </c>
      <c r="B4269" s="112" t="s">
        <v>921</v>
      </c>
      <c r="C4269" s="112" t="s">
        <v>695</v>
      </c>
      <c r="D4269" s="113">
        <v>10347981</v>
      </c>
      <c r="E4269" s="115">
        <v>43924</v>
      </c>
      <c r="F4269" s="114">
        <v>202101</v>
      </c>
      <c r="G4269" s="112" t="s">
        <v>1091</v>
      </c>
      <c r="H4269" s="112" t="s">
        <v>1015</v>
      </c>
      <c r="I4269" s="112" t="s">
        <v>3619</v>
      </c>
      <c r="J4269" s="112" t="s">
        <v>3620</v>
      </c>
      <c r="K4269" s="112" t="s">
        <v>3707</v>
      </c>
      <c r="L4269" s="116">
        <v>-16</v>
      </c>
    </row>
    <row r="4270" spans="1:12" hidden="1" outlineLevel="1" collapsed="1" x14ac:dyDescent="0.35">
      <c r="A4270" s="112" t="s">
        <v>3616</v>
      </c>
      <c r="B4270" s="112" t="s">
        <v>919</v>
      </c>
      <c r="C4270" s="112" t="s">
        <v>695</v>
      </c>
      <c r="D4270" s="113">
        <v>10347981</v>
      </c>
      <c r="E4270" s="115">
        <v>43924</v>
      </c>
      <c r="F4270" s="114">
        <v>202101</v>
      </c>
      <c r="G4270" s="112" t="s">
        <v>1091</v>
      </c>
      <c r="H4270" s="112" t="s">
        <v>1015</v>
      </c>
      <c r="I4270" s="112" t="s">
        <v>3686</v>
      </c>
      <c r="J4270" s="112" t="s">
        <v>3634</v>
      </c>
      <c r="K4270" s="112" t="s">
        <v>3708</v>
      </c>
      <c r="L4270" s="116">
        <v>-147</v>
      </c>
    </row>
    <row r="4271" spans="1:12" hidden="1" outlineLevel="1" collapsed="1" x14ac:dyDescent="0.35">
      <c r="A4271" s="112" t="s">
        <v>3616</v>
      </c>
      <c r="B4271" s="112" t="s">
        <v>921</v>
      </c>
      <c r="C4271" s="112" t="s">
        <v>1099</v>
      </c>
      <c r="D4271" s="113">
        <v>1069693</v>
      </c>
      <c r="E4271" s="115">
        <v>43921</v>
      </c>
      <c r="F4271" s="114">
        <v>202101</v>
      </c>
      <c r="G4271" s="112" t="s">
        <v>1091</v>
      </c>
      <c r="H4271" s="112" t="s">
        <v>1015</v>
      </c>
      <c r="I4271" s="112" t="s">
        <v>3478</v>
      </c>
      <c r="J4271" s="112" t="s">
        <v>3709</v>
      </c>
      <c r="K4271" s="112" t="s">
        <v>3710</v>
      </c>
      <c r="L4271" s="116">
        <v>2059.5</v>
      </c>
    </row>
    <row r="4272" spans="1:12" hidden="1" outlineLevel="1" collapsed="1" x14ac:dyDescent="0.35">
      <c r="A4272" s="112" t="s">
        <v>3616</v>
      </c>
      <c r="B4272" s="112" t="s">
        <v>919</v>
      </c>
      <c r="C4272" s="112" t="s">
        <v>695</v>
      </c>
      <c r="D4272" s="113">
        <v>10347981</v>
      </c>
      <c r="E4272" s="115">
        <v>43924</v>
      </c>
      <c r="F4272" s="114">
        <v>202101</v>
      </c>
      <c r="G4272" s="112" t="s">
        <v>1091</v>
      </c>
      <c r="H4272" s="112" t="s">
        <v>1015</v>
      </c>
      <c r="I4272" s="112" t="s">
        <v>3686</v>
      </c>
      <c r="J4272" s="112" t="s">
        <v>3632</v>
      </c>
      <c r="K4272" s="112" t="s">
        <v>3711</v>
      </c>
      <c r="L4272" s="116">
        <v>-22.5</v>
      </c>
    </row>
    <row r="4273" spans="1:12" hidden="1" outlineLevel="1" collapsed="1" x14ac:dyDescent="0.35">
      <c r="A4273" s="112" t="s">
        <v>3616</v>
      </c>
      <c r="B4273" s="112" t="s">
        <v>919</v>
      </c>
      <c r="C4273" s="112" t="s">
        <v>695</v>
      </c>
      <c r="D4273" s="113">
        <v>10347981</v>
      </c>
      <c r="E4273" s="115">
        <v>43924</v>
      </c>
      <c r="F4273" s="114">
        <v>202101</v>
      </c>
      <c r="G4273" s="112" t="s">
        <v>1091</v>
      </c>
      <c r="H4273" s="112" t="s">
        <v>1015</v>
      </c>
      <c r="I4273" s="112" t="s">
        <v>2454</v>
      </c>
      <c r="J4273" s="112" t="s">
        <v>3628</v>
      </c>
      <c r="K4273" s="112" t="s">
        <v>3712</v>
      </c>
      <c r="L4273" s="116">
        <v>-2095</v>
      </c>
    </row>
    <row r="4274" spans="1:12" hidden="1" outlineLevel="1" collapsed="1" x14ac:dyDescent="0.35">
      <c r="A4274" s="112" t="s">
        <v>3616</v>
      </c>
      <c r="B4274" s="112" t="s">
        <v>918</v>
      </c>
      <c r="C4274" s="112" t="s">
        <v>695</v>
      </c>
      <c r="D4274" s="113">
        <v>10347971</v>
      </c>
      <c r="E4274" s="115">
        <v>43924</v>
      </c>
      <c r="F4274" s="114">
        <v>202101</v>
      </c>
      <c r="G4274" s="112" t="s">
        <v>1091</v>
      </c>
      <c r="H4274" s="112" t="s">
        <v>1015</v>
      </c>
      <c r="I4274" s="112" t="s">
        <v>3648</v>
      </c>
      <c r="J4274" s="112" t="s">
        <v>3649</v>
      </c>
      <c r="K4274" s="112" t="s">
        <v>3713</v>
      </c>
      <c r="L4274" s="116">
        <v>-1720</v>
      </c>
    </row>
    <row r="4275" spans="1:12" hidden="1" outlineLevel="1" collapsed="1" x14ac:dyDescent="0.35">
      <c r="A4275" s="112" t="s">
        <v>3616</v>
      </c>
      <c r="B4275" s="112" t="s">
        <v>923</v>
      </c>
      <c r="C4275" s="112" t="s">
        <v>695</v>
      </c>
      <c r="D4275" s="113">
        <v>10348172</v>
      </c>
      <c r="E4275" s="115">
        <v>43929</v>
      </c>
      <c r="F4275" s="114">
        <v>202101</v>
      </c>
      <c r="G4275" s="112" t="s">
        <v>1091</v>
      </c>
      <c r="H4275" s="112" t="s">
        <v>1015</v>
      </c>
      <c r="I4275" s="112" t="s">
        <v>3672</v>
      </c>
      <c r="J4275" s="112" t="s">
        <v>3714</v>
      </c>
      <c r="K4275" s="112" t="s">
        <v>3715</v>
      </c>
      <c r="L4275" s="116">
        <v>250</v>
      </c>
    </row>
    <row r="4276" spans="1:12" hidden="1" outlineLevel="1" collapsed="1" x14ac:dyDescent="0.35">
      <c r="A4276" s="112" t="s">
        <v>3616</v>
      </c>
      <c r="B4276" s="112" t="s">
        <v>923</v>
      </c>
      <c r="C4276" s="112" t="s">
        <v>695</v>
      </c>
      <c r="D4276" s="113">
        <v>10348172</v>
      </c>
      <c r="E4276" s="115">
        <v>43929</v>
      </c>
      <c r="F4276" s="114">
        <v>202101</v>
      </c>
      <c r="G4276" s="112" t="s">
        <v>1091</v>
      </c>
      <c r="H4276" s="112" t="s">
        <v>1015</v>
      </c>
      <c r="I4276" s="112" t="s">
        <v>3672</v>
      </c>
      <c r="J4276" s="112" t="s">
        <v>3714</v>
      </c>
      <c r="K4276" s="112" t="s">
        <v>3716</v>
      </c>
      <c r="L4276" s="116">
        <v>300</v>
      </c>
    </row>
    <row r="4277" spans="1:12" hidden="1" outlineLevel="1" collapsed="1" x14ac:dyDescent="0.35">
      <c r="A4277" s="112" t="s">
        <v>3616</v>
      </c>
      <c r="B4277" s="112" t="s">
        <v>923</v>
      </c>
      <c r="C4277" s="112" t="s">
        <v>695</v>
      </c>
      <c r="D4277" s="113">
        <v>10348172</v>
      </c>
      <c r="E4277" s="115">
        <v>43929</v>
      </c>
      <c r="F4277" s="114">
        <v>202101</v>
      </c>
      <c r="G4277" s="112" t="s">
        <v>1091</v>
      </c>
      <c r="H4277" s="112" t="s">
        <v>1015</v>
      </c>
      <c r="I4277" s="112" t="s">
        <v>3672</v>
      </c>
      <c r="J4277" s="112" t="s">
        <v>3714</v>
      </c>
      <c r="K4277" s="112" t="s">
        <v>3717</v>
      </c>
      <c r="L4277" s="116">
        <v>250</v>
      </c>
    </row>
    <row r="4278" spans="1:12" hidden="1" outlineLevel="1" collapsed="1" x14ac:dyDescent="0.35">
      <c r="A4278" s="112" t="s">
        <v>3616</v>
      </c>
      <c r="B4278" s="112" t="s">
        <v>923</v>
      </c>
      <c r="C4278" s="112" t="s">
        <v>695</v>
      </c>
      <c r="D4278" s="113">
        <v>10348172</v>
      </c>
      <c r="E4278" s="115">
        <v>43929</v>
      </c>
      <c r="F4278" s="114">
        <v>202101</v>
      </c>
      <c r="G4278" s="112" t="s">
        <v>1091</v>
      </c>
      <c r="H4278" s="112" t="s">
        <v>1015</v>
      </c>
      <c r="I4278" s="112" t="s">
        <v>3672</v>
      </c>
      <c r="J4278" s="112" t="s">
        <v>3714</v>
      </c>
      <c r="K4278" s="112" t="s">
        <v>3718</v>
      </c>
      <c r="L4278" s="116">
        <v>350</v>
      </c>
    </row>
    <row r="4279" spans="1:12" hidden="1" outlineLevel="1" collapsed="1" x14ac:dyDescent="0.35">
      <c r="A4279" s="112" t="s">
        <v>3616</v>
      </c>
      <c r="B4279" s="112" t="s">
        <v>918</v>
      </c>
      <c r="C4279" s="112" t="s">
        <v>695</v>
      </c>
      <c r="D4279" s="113">
        <v>10348469</v>
      </c>
      <c r="E4279" s="115">
        <v>43948</v>
      </c>
      <c r="F4279" s="114">
        <v>202101</v>
      </c>
      <c r="G4279" s="112" t="s">
        <v>1091</v>
      </c>
      <c r="H4279" s="112" t="s">
        <v>1015</v>
      </c>
      <c r="I4279" s="112" t="s">
        <v>761</v>
      </c>
      <c r="J4279" s="112" t="s">
        <v>3695</v>
      </c>
      <c r="K4279" s="112" t="s">
        <v>3719</v>
      </c>
      <c r="L4279" s="116">
        <v>500</v>
      </c>
    </row>
    <row r="4280" spans="1:12" hidden="1" outlineLevel="1" collapsed="1" x14ac:dyDescent="0.35">
      <c r="A4280" s="112" t="s">
        <v>3616</v>
      </c>
      <c r="B4280" s="112" t="s">
        <v>919</v>
      </c>
      <c r="C4280" s="112" t="s">
        <v>1511</v>
      </c>
      <c r="D4280" s="113">
        <v>47036567</v>
      </c>
      <c r="E4280" s="115">
        <v>43928</v>
      </c>
      <c r="F4280" s="114">
        <v>202101</v>
      </c>
      <c r="G4280" s="112" t="s">
        <v>1091</v>
      </c>
      <c r="H4280" s="112" t="s">
        <v>1015</v>
      </c>
      <c r="I4280" s="112" t="s">
        <v>749</v>
      </c>
      <c r="J4280" s="112" t="s">
        <v>3617</v>
      </c>
      <c r="K4280" s="112" t="s">
        <v>3720</v>
      </c>
      <c r="L4280" s="116">
        <v>1971.04</v>
      </c>
    </row>
    <row r="4281" spans="1:12" hidden="1" outlineLevel="1" collapsed="1" x14ac:dyDescent="0.35">
      <c r="A4281" s="112" t="s">
        <v>3616</v>
      </c>
      <c r="B4281" s="112" t="s">
        <v>918</v>
      </c>
      <c r="C4281" s="112" t="s">
        <v>695</v>
      </c>
      <c r="D4281" s="113">
        <v>10348469</v>
      </c>
      <c r="E4281" s="115">
        <v>43948</v>
      </c>
      <c r="F4281" s="114">
        <v>202101</v>
      </c>
      <c r="G4281" s="112" t="s">
        <v>1091</v>
      </c>
      <c r="H4281" s="112" t="s">
        <v>1015</v>
      </c>
      <c r="I4281" s="112" t="s">
        <v>1868</v>
      </c>
      <c r="J4281" s="112" t="s">
        <v>3695</v>
      </c>
      <c r="K4281" s="112" t="s">
        <v>3721</v>
      </c>
      <c r="L4281" s="116">
        <v>850</v>
      </c>
    </row>
    <row r="4282" spans="1:12" hidden="1" outlineLevel="1" collapsed="1" x14ac:dyDescent="0.35">
      <c r="A4282" s="112" t="s">
        <v>3616</v>
      </c>
      <c r="B4282" s="112" t="s">
        <v>918</v>
      </c>
      <c r="C4282" s="112" t="s">
        <v>695</v>
      </c>
      <c r="D4282" s="113">
        <v>10348469</v>
      </c>
      <c r="E4282" s="115">
        <v>43948</v>
      </c>
      <c r="F4282" s="114">
        <v>202101</v>
      </c>
      <c r="G4282" s="112" t="s">
        <v>1091</v>
      </c>
      <c r="H4282" s="112" t="s">
        <v>1015</v>
      </c>
      <c r="I4282" s="112" t="s">
        <v>1868</v>
      </c>
      <c r="J4282" s="112" t="s">
        <v>3695</v>
      </c>
      <c r="K4282" s="112" t="s">
        <v>3722</v>
      </c>
      <c r="L4282" s="116">
        <v>7362.74</v>
      </c>
    </row>
    <row r="4283" spans="1:12" hidden="1" outlineLevel="1" collapsed="1" x14ac:dyDescent="0.35">
      <c r="A4283" s="112" t="s">
        <v>3616</v>
      </c>
      <c r="B4283" s="112" t="s">
        <v>918</v>
      </c>
      <c r="C4283" s="112" t="s">
        <v>695</v>
      </c>
      <c r="D4283" s="113">
        <v>10348469</v>
      </c>
      <c r="E4283" s="115">
        <v>43948</v>
      </c>
      <c r="F4283" s="114">
        <v>202101</v>
      </c>
      <c r="G4283" s="112" t="s">
        <v>1091</v>
      </c>
      <c r="H4283" s="112" t="s">
        <v>1015</v>
      </c>
      <c r="I4283" s="112" t="s">
        <v>1868</v>
      </c>
      <c r="J4283" s="112" t="s">
        <v>3649</v>
      </c>
      <c r="K4283" s="112" t="s">
        <v>3723</v>
      </c>
      <c r="L4283" s="116">
        <v>1825.52</v>
      </c>
    </row>
    <row r="4284" spans="1:12" hidden="1" outlineLevel="1" collapsed="1" x14ac:dyDescent="0.35">
      <c r="A4284" s="112" t="s">
        <v>3616</v>
      </c>
      <c r="B4284" s="112" t="s">
        <v>921</v>
      </c>
      <c r="C4284" s="112" t="s">
        <v>1099</v>
      </c>
      <c r="D4284" s="113">
        <v>1069682</v>
      </c>
      <c r="E4284" s="115">
        <v>43921</v>
      </c>
      <c r="F4284" s="114">
        <v>202101</v>
      </c>
      <c r="G4284" s="112" t="s">
        <v>1091</v>
      </c>
      <c r="H4284" s="112" t="s">
        <v>1015</v>
      </c>
      <c r="I4284" s="112" t="s">
        <v>1643</v>
      </c>
      <c r="J4284" s="112" t="s">
        <v>3620</v>
      </c>
      <c r="K4284" s="112" t="s">
        <v>3724</v>
      </c>
      <c r="L4284" s="116">
        <v>354.9</v>
      </c>
    </row>
    <row r="4285" spans="1:12" hidden="1" outlineLevel="1" collapsed="1" x14ac:dyDescent="0.35">
      <c r="A4285" s="112" t="s">
        <v>3616</v>
      </c>
      <c r="B4285" s="112" t="s">
        <v>921</v>
      </c>
      <c r="C4285" s="112" t="s">
        <v>1099</v>
      </c>
      <c r="D4285" s="113">
        <v>1069693</v>
      </c>
      <c r="E4285" s="115">
        <v>43921</v>
      </c>
      <c r="F4285" s="114">
        <v>202101</v>
      </c>
      <c r="G4285" s="112" t="s">
        <v>1091</v>
      </c>
      <c r="H4285" s="112" t="s">
        <v>1015</v>
      </c>
      <c r="I4285" s="112" t="s">
        <v>3725</v>
      </c>
      <c r="J4285" s="112" t="s">
        <v>3709</v>
      </c>
      <c r="K4285" s="112" t="s">
        <v>3710</v>
      </c>
      <c r="L4285" s="116">
        <v>816.15</v>
      </c>
    </row>
    <row r="4286" spans="1:12" hidden="1" outlineLevel="1" collapsed="1" x14ac:dyDescent="0.35">
      <c r="A4286" s="112" t="s">
        <v>3616</v>
      </c>
      <c r="B4286" s="112" t="s">
        <v>921</v>
      </c>
      <c r="C4286" s="112" t="s">
        <v>1099</v>
      </c>
      <c r="D4286" s="113">
        <v>1069694</v>
      </c>
      <c r="E4286" s="115">
        <v>43921</v>
      </c>
      <c r="F4286" s="114">
        <v>202101</v>
      </c>
      <c r="G4286" s="112" t="s">
        <v>1091</v>
      </c>
      <c r="H4286" s="112" t="s">
        <v>1015</v>
      </c>
      <c r="I4286" s="112" t="s">
        <v>3478</v>
      </c>
      <c r="J4286" s="112" t="s">
        <v>3709</v>
      </c>
      <c r="K4286" s="112" t="s">
        <v>3726</v>
      </c>
      <c r="L4286" s="116">
        <v>93.64</v>
      </c>
    </row>
    <row r="4287" spans="1:12" hidden="1" outlineLevel="1" collapsed="1" x14ac:dyDescent="0.35">
      <c r="A4287" s="112" t="s">
        <v>3616</v>
      </c>
      <c r="B4287" s="112" t="s">
        <v>916</v>
      </c>
      <c r="C4287" s="112" t="s">
        <v>695</v>
      </c>
      <c r="D4287" s="113">
        <v>10348043</v>
      </c>
      <c r="E4287" s="115">
        <v>43928</v>
      </c>
      <c r="F4287" s="114">
        <v>202101</v>
      </c>
      <c r="G4287" s="112" t="s">
        <v>1091</v>
      </c>
      <c r="H4287" s="112" t="s">
        <v>1015</v>
      </c>
      <c r="I4287" s="112" t="s">
        <v>749</v>
      </c>
      <c r="J4287" s="112" t="s">
        <v>3626</v>
      </c>
      <c r="K4287" s="112" t="s">
        <v>3727</v>
      </c>
      <c r="L4287" s="116">
        <v>-2800</v>
      </c>
    </row>
    <row r="4288" spans="1:12" hidden="1" outlineLevel="1" collapsed="1" x14ac:dyDescent="0.35">
      <c r="A4288" s="112" t="s">
        <v>3616</v>
      </c>
      <c r="B4288" s="112" t="s">
        <v>916</v>
      </c>
      <c r="C4288" s="112" t="s">
        <v>695</v>
      </c>
      <c r="D4288" s="113">
        <v>10348043</v>
      </c>
      <c r="E4288" s="115">
        <v>43928</v>
      </c>
      <c r="F4288" s="114">
        <v>202101</v>
      </c>
      <c r="G4288" s="112" t="s">
        <v>1091</v>
      </c>
      <c r="H4288" s="112" t="s">
        <v>1015</v>
      </c>
      <c r="I4288" s="112" t="s">
        <v>749</v>
      </c>
      <c r="J4288" s="112" t="s">
        <v>3626</v>
      </c>
      <c r="K4288" s="112" t="s">
        <v>3728</v>
      </c>
      <c r="L4288" s="116">
        <v>-12600</v>
      </c>
    </row>
    <row r="4289" spans="1:12" hidden="1" outlineLevel="1" collapsed="1" x14ac:dyDescent="0.35">
      <c r="A4289" s="112" t="s">
        <v>3616</v>
      </c>
      <c r="B4289" s="112" t="s">
        <v>916</v>
      </c>
      <c r="C4289" s="112" t="s">
        <v>695</v>
      </c>
      <c r="D4289" s="113">
        <v>10348043</v>
      </c>
      <c r="E4289" s="115">
        <v>43928</v>
      </c>
      <c r="F4289" s="114">
        <v>202101</v>
      </c>
      <c r="G4289" s="112" t="s">
        <v>1091</v>
      </c>
      <c r="H4289" s="112" t="s">
        <v>1015</v>
      </c>
      <c r="I4289" s="112" t="s">
        <v>751</v>
      </c>
      <c r="J4289" s="112" t="s">
        <v>3626</v>
      </c>
      <c r="K4289" s="112" t="s">
        <v>3729</v>
      </c>
      <c r="L4289" s="116">
        <v>-1400</v>
      </c>
    </row>
    <row r="4290" spans="1:12" hidden="1" outlineLevel="1" collapsed="1" x14ac:dyDescent="0.35">
      <c r="A4290" s="112" t="s">
        <v>3616</v>
      </c>
      <c r="B4290" s="112" t="s">
        <v>916</v>
      </c>
      <c r="C4290" s="112" t="s">
        <v>695</v>
      </c>
      <c r="D4290" s="113">
        <v>10348043</v>
      </c>
      <c r="E4290" s="115">
        <v>43928</v>
      </c>
      <c r="F4290" s="114">
        <v>202101</v>
      </c>
      <c r="G4290" s="112" t="s">
        <v>1091</v>
      </c>
      <c r="H4290" s="112" t="s">
        <v>1015</v>
      </c>
      <c r="I4290" s="112" t="s">
        <v>751</v>
      </c>
      <c r="J4290" s="112" t="s">
        <v>3626</v>
      </c>
      <c r="K4290" s="112" t="s">
        <v>3730</v>
      </c>
      <c r="L4290" s="116">
        <v>-6000</v>
      </c>
    </row>
    <row r="4291" spans="1:12" hidden="1" outlineLevel="1" collapsed="1" x14ac:dyDescent="0.35">
      <c r="A4291" s="112" t="s">
        <v>3616</v>
      </c>
      <c r="B4291" s="112" t="s">
        <v>916</v>
      </c>
      <c r="C4291" s="112" t="s">
        <v>695</v>
      </c>
      <c r="D4291" s="113">
        <v>10348043</v>
      </c>
      <c r="E4291" s="115">
        <v>43928</v>
      </c>
      <c r="F4291" s="114">
        <v>202101</v>
      </c>
      <c r="G4291" s="112" t="s">
        <v>1091</v>
      </c>
      <c r="H4291" s="112" t="s">
        <v>1015</v>
      </c>
      <c r="I4291" s="112" t="s">
        <v>751</v>
      </c>
      <c r="J4291" s="112" t="s">
        <v>3626</v>
      </c>
      <c r="K4291" s="112" t="s">
        <v>3731</v>
      </c>
      <c r="L4291" s="116">
        <v>-2500</v>
      </c>
    </row>
    <row r="4292" spans="1:12" hidden="1" outlineLevel="1" collapsed="1" x14ac:dyDescent="0.35">
      <c r="A4292" s="112" t="s">
        <v>3616</v>
      </c>
      <c r="B4292" s="112" t="s">
        <v>916</v>
      </c>
      <c r="C4292" s="112" t="s">
        <v>695</v>
      </c>
      <c r="D4292" s="113">
        <v>10348043</v>
      </c>
      <c r="E4292" s="115">
        <v>43928</v>
      </c>
      <c r="F4292" s="114">
        <v>202101</v>
      </c>
      <c r="G4292" s="112" t="s">
        <v>1091</v>
      </c>
      <c r="H4292" s="112" t="s">
        <v>1015</v>
      </c>
      <c r="I4292" s="112" t="s">
        <v>751</v>
      </c>
      <c r="J4292" s="112" t="s">
        <v>3626</v>
      </c>
      <c r="K4292" s="112" t="s">
        <v>3732</v>
      </c>
      <c r="L4292" s="116">
        <v>-6300</v>
      </c>
    </row>
    <row r="4293" spans="1:12" hidden="1" outlineLevel="1" collapsed="1" x14ac:dyDescent="0.35">
      <c r="A4293" s="112" t="s">
        <v>3616</v>
      </c>
      <c r="B4293" s="112" t="s">
        <v>916</v>
      </c>
      <c r="C4293" s="112" t="s">
        <v>695</v>
      </c>
      <c r="D4293" s="113">
        <v>10348043</v>
      </c>
      <c r="E4293" s="115">
        <v>43928</v>
      </c>
      <c r="F4293" s="114">
        <v>202101</v>
      </c>
      <c r="G4293" s="112" t="s">
        <v>1091</v>
      </c>
      <c r="H4293" s="112" t="s">
        <v>1015</v>
      </c>
      <c r="I4293" s="112" t="s">
        <v>751</v>
      </c>
      <c r="J4293" s="112" t="s">
        <v>3626</v>
      </c>
      <c r="K4293" s="112" t="s">
        <v>3733</v>
      </c>
      <c r="L4293" s="116">
        <v>-3000</v>
      </c>
    </row>
    <row r="4294" spans="1:12" hidden="1" outlineLevel="1" collapsed="1" x14ac:dyDescent="0.35">
      <c r="A4294" s="112" t="s">
        <v>3616</v>
      </c>
      <c r="B4294" s="112" t="s">
        <v>916</v>
      </c>
      <c r="C4294" s="112" t="s">
        <v>695</v>
      </c>
      <c r="D4294" s="113">
        <v>10348043</v>
      </c>
      <c r="E4294" s="115">
        <v>43928</v>
      </c>
      <c r="F4294" s="114">
        <v>202101</v>
      </c>
      <c r="G4294" s="112" t="s">
        <v>1091</v>
      </c>
      <c r="H4294" s="112" t="s">
        <v>1015</v>
      </c>
      <c r="I4294" s="112" t="s">
        <v>751</v>
      </c>
      <c r="J4294" s="112" t="s">
        <v>3626</v>
      </c>
      <c r="K4294" s="112" t="s">
        <v>3734</v>
      </c>
      <c r="L4294" s="116">
        <v>-4200</v>
      </c>
    </row>
    <row r="4295" spans="1:12" hidden="1" outlineLevel="1" collapsed="1" x14ac:dyDescent="0.35">
      <c r="A4295" s="112" t="s">
        <v>3616</v>
      </c>
      <c r="B4295" s="112" t="s">
        <v>916</v>
      </c>
      <c r="C4295" s="112" t="s">
        <v>695</v>
      </c>
      <c r="D4295" s="113">
        <v>10348043</v>
      </c>
      <c r="E4295" s="115">
        <v>43928</v>
      </c>
      <c r="F4295" s="114">
        <v>202101</v>
      </c>
      <c r="G4295" s="112" t="s">
        <v>1091</v>
      </c>
      <c r="H4295" s="112" t="s">
        <v>1015</v>
      </c>
      <c r="I4295" s="112" t="s">
        <v>749</v>
      </c>
      <c r="J4295" s="112" t="s">
        <v>3626</v>
      </c>
      <c r="K4295" s="112" t="s">
        <v>3735</v>
      </c>
      <c r="L4295" s="116">
        <v>-10000</v>
      </c>
    </row>
    <row r="4296" spans="1:12" hidden="1" outlineLevel="1" collapsed="1" x14ac:dyDescent="0.35">
      <c r="A4296" s="112" t="s">
        <v>3616</v>
      </c>
      <c r="B4296" s="112" t="s">
        <v>916</v>
      </c>
      <c r="C4296" s="112" t="s">
        <v>695</v>
      </c>
      <c r="D4296" s="113">
        <v>10348043</v>
      </c>
      <c r="E4296" s="115">
        <v>43928</v>
      </c>
      <c r="F4296" s="114">
        <v>202101</v>
      </c>
      <c r="G4296" s="112" t="s">
        <v>1091</v>
      </c>
      <c r="H4296" s="112" t="s">
        <v>1015</v>
      </c>
      <c r="I4296" s="112" t="s">
        <v>749</v>
      </c>
      <c r="J4296" s="112" t="s">
        <v>3626</v>
      </c>
      <c r="K4296" s="112" t="s">
        <v>3736</v>
      </c>
      <c r="L4296" s="116">
        <v>-2000</v>
      </c>
    </row>
    <row r="4297" spans="1:12" hidden="1" outlineLevel="1" collapsed="1" x14ac:dyDescent="0.35">
      <c r="A4297" s="112" t="s">
        <v>3616</v>
      </c>
      <c r="B4297" s="112" t="s">
        <v>916</v>
      </c>
      <c r="C4297" s="112" t="s">
        <v>695</v>
      </c>
      <c r="D4297" s="113">
        <v>10348043</v>
      </c>
      <c r="E4297" s="115">
        <v>43928</v>
      </c>
      <c r="F4297" s="114">
        <v>202101</v>
      </c>
      <c r="G4297" s="112" t="s">
        <v>1091</v>
      </c>
      <c r="H4297" s="112" t="s">
        <v>1015</v>
      </c>
      <c r="I4297" s="112" t="s">
        <v>749</v>
      </c>
      <c r="J4297" s="112" t="s">
        <v>3626</v>
      </c>
      <c r="K4297" s="112" t="s">
        <v>3737</v>
      </c>
      <c r="L4297" s="116">
        <v>-5700</v>
      </c>
    </row>
    <row r="4298" spans="1:12" hidden="1" outlineLevel="1" collapsed="1" x14ac:dyDescent="0.35">
      <c r="A4298" s="112" t="s">
        <v>3616</v>
      </c>
      <c r="B4298" s="112" t="s">
        <v>921</v>
      </c>
      <c r="C4298" s="112" t="s">
        <v>1099</v>
      </c>
      <c r="D4298" s="113">
        <v>1069069</v>
      </c>
      <c r="E4298" s="115">
        <v>43893</v>
      </c>
      <c r="F4298" s="114">
        <v>202101</v>
      </c>
      <c r="G4298" s="112" t="s">
        <v>1091</v>
      </c>
      <c r="H4298" s="112" t="s">
        <v>1015</v>
      </c>
      <c r="I4298" s="112" t="s">
        <v>3686</v>
      </c>
      <c r="J4298" s="112" t="s">
        <v>3620</v>
      </c>
      <c r="K4298" s="112" t="s">
        <v>3738</v>
      </c>
      <c r="L4298" s="116">
        <v>68.5</v>
      </c>
    </row>
    <row r="4299" spans="1:12" hidden="1" outlineLevel="1" collapsed="1" x14ac:dyDescent="0.35">
      <c r="A4299" s="112" t="s">
        <v>3616</v>
      </c>
      <c r="B4299" s="112" t="s">
        <v>921</v>
      </c>
      <c r="C4299" s="112" t="s">
        <v>1099</v>
      </c>
      <c r="D4299" s="113">
        <v>1069332</v>
      </c>
      <c r="E4299" s="115">
        <v>43923</v>
      </c>
      <c r="F4299" s="114">
        <v>202101</v>
      </c>
      <c r="G4299" s="112" t="s">
        <v>1091</v>
      </c>
      <c r="H4299" s="112" t="s">
        <v>1015</v>
      </c>
      <c r="I4299" s="112" t="s">
        <v>3619</v>
      </c>
      <c r="J4299" s="112" t="s">
        <v>3620</v>
      </c>
      <c r="K4299" s="112" t="s">
        <v>3739</v>
      </c>
      <c r="L4299" s="116">
        <v>187.48</v>
      </c>
    </row>
    <row r="4300" spans="1:12" hidden="1" outlineLevel="1" collapsed="1" x14ac:dyDescent="0.35">
      <c r="A4300" s="112" t="s">
        <v>3616</v>
      </c>
      <c r="B4300" s="112" t="s">
        <v>919</v>
      </c>
      <c r="C4300" s="112" t="s">
        <v>695</v>
      </c>
      <c r="D4300" s="113">
        <v>10348018</v>
      </c>
      <c r="E4300" s="115">
        <v>43927</v>
      </c>
      <c r="F4300" s="114">
        <v>202101</v>
      </c>
      <c r="G4300" s="112" t="s">
        <v>1091</v>
      </c>
      <c r="H4300" s="112" t="s">
        <v>1015</v>
      </c>
      <c r="I4300" s="112" t="s">
        <v>1532</v>
      </c>
      <c r="J4300" s="112" t="s">
        <v>3634</v>
      </c>
      <c r="K4300" s="112" t="s">
        <v>1689</v>
      </c>
      <c r="L4300" s="116">
        <v>-190.9</v>
      </c>
    </row>
    <row r="4301" spans="1:12" hidden="1" outlineLevel="1" collapsed="1" x14ac:dyDescent="0.35">
      <c r="A4301" s="112" t="s">
        <v>3616</v>
      </c>
      <c r="B4301" s="112" t="s">
        <v>923</v>
      </c>
      <c r="C4301" s="112" t="s">
        <v>695</v>
      </c>
      <c r="D4301" s="113">
        <v>10348172</v>
      </c>
      <c r="E4301" s="115">
        <v>43929</v>
      </c>
      <c r="F4301" s="114">
        <v>202101</v>
      </c>
      <c r="G4301" s="112" t="s">
        <v>1091</v>
      </c>
      <c r="H4301" s="112" t="s">
        <v>1015</v>
      </c>
      <c r="I4301" s="112" t="s">
        <v>3672</v>
      </c>
      <c r="J4301" s="112" t="s">
        <v>3714</v>
      </c>
      <c r="K4301" s="112" t="s">
        <v>3740</v>
      </c>
      <c r="L4301" s="116">
        <v>250</v>
      </c>
    </row>
    <row r="4302" spans="1:12" hidden="1" outlineLevel="1" collapsed="1" x14ac:dyDescent="0.35">
      <c r="A4302" s="112" t="s">
        <v>3616</v>
      </c>
      <c r="B4302" s="112" t="s">
        <v>918</v>
      </c>
      <c r="C4302" s="112" t="s">
        <v>695</v>
      </c>
      <c r="D4302" s="113">
        <v>10348393</v>
      </c>
      <c r="E4302" s="115">
        <v>43943</v>
      </c>
      <c r="F4302" s="114">
        <v>202101</v>
      </c>
      <c r="G4302" s="112" t="s">
        <v>1091</v>
      </c>
      <c r="H4302" s="112" t="s">
        <v>1015</v>
      </c>
      <c r="I4302" s="112" t="s">
        <v>2591</v>
      </c>
      <c r="J4302" s="112" t="s">
        <v>3649</v>
      </c>
      <c r="K4302" s="112" t="s">
        <v>3741</v>
      </c>
      <c r="L4302" s="116">
        <v>50.39</v>
      </c>
    </row>
    <row r="4303" spans="1:12" hidden="1" outlineLevel="1" collapsed="1" x14ac:dyDescent="0.35">
      <c r="A4303" s="112" t="s">
        <v>3616</v>
      </c>
      <c r="B4303" s="112" t="s">
        <v>922</v>
      </c>
      <c r="C4303" s="112" t="s">
        <v>1219</v>
      </c>
      <c r="D4303" s="113">
        <v>46307587</v>
      </c>
      <c r="E4303" s="115">
        <v>43940</v>
      </c>
      <c r="F4303" s="114">
        <v>202101</v>
      </c>
      <c r="G4303" s="112" t="s">
        <v>1091</v>
      </c>
      <c r="H4303" s="112" t="s">
        <v>1015</v>
      </c>
      <c r="I4303" s="112" t="s">
        <v>3742</v>
      </c>
      <c r="J4303" s="112" t="s">
        <v>3743</v>
      </c>
      <c r="K4303" s="112" t="s">
        <v>3744</v>
      </c>
      <c r="L4303" s="116">
        <v>1.4</v>
      </c>
    </row>
    <row r="4304" spans="1:12" hidden="1" outlineLevel="1" collapsed="1" x14ac:dyDescent="0.35">
      <c r="A4304" s="112" t="s">
        <v>3616</v>
      </c>
      <c r="B4304" s="112" t="s">
        <v>922</v>
      </c>
      <c r="C4304" s="112" t="s">
        <v>1219</v>
      </c>
      <c r="D4304" s="113">
        <v>46307587</v>
      </c>
      <c r="E4304" s="115">
        <v>43940</v>
      </c>
      <c r="F4304" s="114">
        <v>202101</v>
      </c>
      <c r="G4304" s="112" t="s">
        <v>1091</v>
      </c>
      <c r="H4304" s="112" t="s">
        <v>1015</v>
      </c>
      <c r="I4304" s="112" t="s">
        <v>3742</v>
      </c>
      <c r="J4304" s="112" t="s">
        <v>3743</v>
      </c>
      <c r="K4304" s="112" t="s">
        <v>3745</v>
      </c>
      <c r="L4304" s="116">
        <v>3.49</v>
      </c>
    </row>
    <row r="4305" spans="1:12" hidden="1" outlineLevel="1" collapsed="1" x14ac:dyDescent="0.35">
      <c r="A4305" s="112" t="s">
        <v>3616</v>
      </c>
      <c r="B4305" s="112" t="s">
        <v>922</v>
      </c>
      <c r="C4305" s="112" t="s">
        <v>1219</v>
      </c>
      <c r="D4305" s="113">
        <v>46307587</v>
      </c>
      <c r="E4305" s="115">
        <v>43940</v>
      </c>
      <c r="F4305" s="114">
        <v>202101</v>
      </c>
      <c r="G4305" s="112" t="s">
        <v>1091</v>
      </c>
      <c r="H4305" s="112" t="s">
        <v>1015</v>
      </c>
      <c r="I4305" s="112" t="s">
        <v>3742</v>
      </c>
      <c r="J4305" s="112" t="s">
        <v>3743</v>
      </c>
      <c r="K4305" s="112" t="s">
        <v>3746</v>
      </c>
      <c r="L4305" s="116">
        <v>17.149999999999999</v>
      </c>
    </row>
    <row r="4306" spans="1:12" hidden="1" outlineLevel="1" collapsed="1" x14ac:dyDescent="0.35">
      <c r="A4306" s="112" t="s">
        <v>3616</v>
      </c>
      <c r="B4306" s="112" t="s">
        <v>922</v>
      </c>
      <c r="C4306" s="112" t="s">
        <v>1219</v>
      </c>
      <c r="D4306" s="113">
        <v>46307587</v>
      </c>
      <c r="E4306" s="115">
        <v>43940</v>
      </c>
      <c r="F4306" s="114">
        <v>202101</v>
      </c>
      <c r="G4306" s="112" t="s">
        <v>1091</v>
      </c>
      <c r="H4306" s="112" t="s">
        <v>1015</v>
      </c>
      <c r="I4306" s="112" t="s">
        <v>3742</v>
      </c>
      <c r="J4306" s="112" t="s">
        <v>3743</v>
      </c>
      <c r="K4306" s="112" t="s">
        <v>3747</v>
      </c>
      <c r="L4306" s="116">
        <v>8.4</v>
      </c>
    </row>
    <row r="4307" spans="1:12" hidden="1" outlineLevel="1" collapsed="1" x14ac:dyDescent="0.35">
      <c r="A4307" s="112" t="s">
        <v>3616</v>
      </c>
      <c r="B4307" s="112" t="s">
        <v>919</v>
      </c>
      <c r="C4307" s="112" t="s">
        <v>1099</v>
      </c>
      <c r="D4307" s="113">
        <v>1069624</v>
      </c>
      <c r="E4307" s="115">
        <v>43848</v>
      </c>
      <c r="F4307" s="114">
        <v>202101</v>
      </c>
      <c r="G4307" s="112" t="s">
        <v>1091</v>
      </c>
      <c r="H4307" s="112" t="s">
        <v>1015</v>
      </c>
      <c r="I4307" s="112" t="s">
        <v>2495</v>
      </c>
      <c r="J4307" s="112" t="s">
        <v>3632</v>
      </c>
      <c r="K4307" s="112" t="s">
        <v>1919</v>
      </c>
      <c r="L4307" s="116">
        <v>157.5</v>
      </c>
    </row>
    <row r="4308" spans="1:12" hidden="1" outlineLevel="1" collapsed="1" x14ac:dyDescent="0.35">
      <c r="A4308" s="112" t="s">
        <v>3616</v>
      </c>
      <c r="B4308" s="112" t="s">
        <v>922</v>
      </c>
      <c r="C4308" s="112" t="s">
        <v>1219</v>
      </c>
      <c r="D4308" s="113">
        <v>46307580</v>
      </c>
      <c r="E4308" s="115">
        <v>43935</v>
      </c>
      <c r="F4308" s="114">
        <v>202101</v>
      </c>
      <c r="G4308" s="112" t="s">
        <v>1091</v>
      </c>
      <c r="H4308" s="112" t="s">
        <v>1015</v>
      </c>
      <c r="I4308" s="112" t="s">
        <v>3742</v>
      </c>
      <c r="J4308" s="112" t="s">
        <v>3743</v>
      </c>
      <c r="K4308" s="112" t="s">
        <v>3748</v>
      </c>
      <c r="L4308" s="116">
        <v>13.99</v>
      </c>
    </row>
    <row r="4309" spans="1:12" hidden="1" outlineLevel="1" collapsed="1" x14ac:dyDescent="0.35">
      <c r="A4309" s="112" t="s">
        <v>3616</v>
      </c>
      <c r="B4309" s="112" t="s">
        <v>918</v>
      </c>
      <c r="C4309" s="112" t="s">
        <v>695</v>
      </c>
      <c r="D4309" s="113">
        <v>10348393</v>
      </c>
      <c r="E4309" s="115">
        <v>43943</v>
      </c>
      <c r="F4309" s="114">
        <v>202101</v>
      </c>
      <c r="G4309" s="112" t="s">
        <v>1091</v>
      </c>
      <c r="H4309" s="112" t="s">
        <v>1015</v>
      </c>
      <c r="I4309" s="112" t="s">
        <v>2591</v>
      </c>
      <c r="J4309" s="112" t="s">
        <v>3695</v>
      </c>
      <c r="K4309" s="112" t="s">
        <v>3741</v>
      </c>
      <c r="L4309" s="116">
        <v>-50.39</v>
      </c>
    </row>
    <row r="4310" spans="1:12" hidden="1" outlineLevel="1" collapsed="1" x14ac:dyDescent="0.35">
      <c r="A4310" s="112" t="s">
        <v>3616</v>
      </c>
      <c r="B4310" s="112" t="s">
        <v>918</v>
      </c>
      <c r="C4310" s="112" t="s">
        <v>695</v>
      </c>
      <c r="D4310" s="113">
        <v>10348393</v>
      </c>
      <c r="E4310" s="115">
        <v>43943</v>
      </c>
      <c r="F4310" s="114">
        <v>202101</v>
      </c>
      <c r="G4310" s="112" t="s">
        <v>1091</v>
      </c>
      <c r="H4310" s="112" t="s">
        <v>1015</v>
      </c>
      <c r="I4310" s="112" t="s">
        <v>1092</v>
      </c>
      <c r="J4310" s="112" t="s">
        <v>3695</v>
      </c>
      <c r="K4310" s="112" t="s">
        <v>3749</v>
      </c>
      <c r="L4310" s="116">
        <v>51</v>
      </c>
    </row>
    <row r="4311" spans="1:12" hidden="1" outlineLevel="1" collapsed="1" x14ac:dyDescent="0.35">
      <c r="A4311" s="112" t="s">
        <v>3616</v>
      </c>
      <c r="B4311" s="112" t="s">
        <v>918</v>
      </c>
      <c r="C4311" s="112" t="s">
        <v>695</v>
      </c>
      <c r="D4311" s="113">
        <v>10348393</v>
      </c>
      <c r="E4311" s="115">
        <v>43943</v>
      </c>
      <c r="F4311" s="114">
        <v>202101</v>
      </c>
      <c r="G4311" s="112" t="s">
        <v>1091</v>
      </c>
      <c r="H4311" s="112" t="s">
        <v>1015</v>
      </c>
      <c r="I4311" s="112" t="s">
        <v>1092</v>
      </c>
      <c r="J4311" s="112" t="s">
        <v>3695</v>
      </c>
      <c r="K4311" s="112" t="s">
        <v>3749</v>
      </c>
      <c r="L4311" s="116">
        <v>-51</v>
      </c>
    </row>
    <row r="4312" spans="1:12" hidden="1" outlineLevel="1" collapsed="1" x14ac:dyDescent="0.35">
      <c r="A4312" s="112" t="s">
        <v>3616</v>
      </c>
      <c r="B4312" s="112" t="s">
        <v>923</v>
      </c>
      <c r="C4312" s="112" t="s">
        <v>1099</v>
      </c>
      <c r="D4312" s="113">
        <v>1068982</v>
      </c>
      <c r="E4312" s="115">
        <v>43886</v>
      </c>
      <c r="F4312" s="114">
        <v>202101</v>
      </c>
      <c r="G4312" s="112" t="s">
        <v>1091</v>
      </c>
      <c r="H4312" s="112" t="s">
        <v>1015</v>
      </c>
      <c r="I4312" s="112" t="s">
        <v>761</v>
      </c>
      <c r="J4312" s="112" t="s">
        <v>3750</v>
      </c>
      <c r="K4312" s="112" t="s">
        <v>3751</v>
      </c>
      <c r="L4312" s="116">
        <v>229.5</v>
      </c>
    </row>
    <row r="4313" spans="1:12" hidden="1" outlineLevel="1" collapsed="1" x14ac:dyDescent="0.35">
      <c r="A4313" s="112" t="s">
        <v>3616</v>
      </c>
      <c r="B4313" s="112" t="s">
        <v>923</v>
      </c>
      <c r="C4313" s="112" t="s">
        <v>1099</v>
      </c>
      <c r="D4313" s="113">
        <v>1068612</v>
      </c>
      <c r="E4313" s="115">
        <v>43855</v>
      </c>
      <c r="F4313" s="114">
        <v>202101</v>
      </c>
      <c r="G4313" s="112" t="s">
        <v>1091</v>
      </c>
      <c r="H4313" s="112" t="s">
        <v>1015</v>
      </c>
      <c r="I4313" s="112" t="s">
        <v>1271</v>
      </c>
      <c r="J4313" s="112" t="s">
        <v>3750</v>
      </c>
      <c r="K4313" s="112" t="s">
        <v>3752</v>
      </c>
      <c r="L4313" s="116">
        <v>26</v>
      </c>
    </row>
    <row r="4314" spans="1:12" hidden="1" outlineLevel="1" collapsed="1" x14ac:dyDescent="0.35">
      <c r="A4314" s="112" t="s">
        <v>3616</v>
      </c>
      <c r="B4314" s="112" t="s">
        <v>923</v>
      </c>
      <c r="C4314" s="112" t="s">
        <v>1099</v>
      </c>
      <c r="D4314" s="113">
        <v>1069058</v>
      </c>
      <c r="E4314" s="115">
        <v>43908</v>
      </c>
      <c r="F4314" s="114">
        <v>202101</v>
      </c>
      <c r="G4314" s="112" t="s">
        <v>1091</v>
      </c>
      <c r="H4314" s="112" t="s">
        <v>1015</v>
      </c>
      <c r="I4314" s="112" t="s">
        <v>775</v>
      </c>
      <c r="J4314" s="112" t="s">
        <v>3750</v>
      </c>
      <c r="K4314" s="112" t="s">
        <v>3753</v>
      </c>
      <c r="L4314" s="116">
        <v>360</v>
      </c>
    </row>
    <row r="4315" spans="1:12" hidden="1" outlineLevel="1" collapsed="1" x14ac:dyDescent="0.35">
      <c r="A4315" s="112" t="s">
        <v>3616</v>
      </c>
      <c r="B4315" s="112" t="s">
        <v>921</v>
      </c>
      <c r="C4315" s="112" t="s">
        <v>695</v>
      </c>
      <c r="D4315" s="113">
        <v>10348090</v>
      </c>
      <c r="E4315" s="115">
        <v>43929</v>
      </c>
      <c r="F4315" s="114">
        <v>202101</v>
      </c>
      <c r="G4315" s="112" t="s">
        <v>1091</v>
      </c>
      <c r="H4315" s="112" t="s">
        <v>1015</v>
      </c>
      <c r="I4315" s="112" t="s">
        <v>745</v>
      </c>
      <c r="J4315" s="112" t="s">
        <v>3620</v>
      </c>
      <c r="K4315" s="112" t="s">
        <v>3754</v>
      </c>
      <c r="L4315" s="116">
        <v>-4800</v>
      </c>
    </row>
    <row r="4316" spans="1:12" hidden="1" outlineLevel="1" collapsed="1" x14ac:dyDescent="0.35">
      <c r="A4316" s="112" t="s">
        <v>3616</v>
      </c>
      <c r="B4316" s="112" t="s">
        <v>920</v>
      </c>
      <c r="C4316" s="112" t="s">
        <v>1219</v>
      </c>
      <c r="D4316" s="113">
        <v>46307573</v>
      </c>
      <c r="E4316" s="115">
        <v>43941</v>
      </c>
      <c r="F4316" s="114">
        <v>202101</v>
      </c>
      <c r="G4316" s="112" t="s">
        <v>1091</v>
      </c>
      <c r="H4316" s="112" t="s">
        <v>1015</v>
      </c>
      <c r="I4316" s="112" t="s">
        <v>1605</v>
      </c>
      <c r="J4316" s="112" t="s">
        <v>3755</v>
      </c>
      <c r="K4316" s="112" t="s">
        <v>3756</v>
      </c>
      <c r="L4316" s="116">
        <v>7000</v>
      </c>
    </row>
    <row r="4317" spans="1:12" hidden="1" outlineLevel="1" collapsed="1" x14ac:dyDescent="0.35">
      <c r="A4317" s="112" t="s">
        <v>3616</v>
      </c>
      <c r="B4317" s="112" t="s">
        <v>920</v>
      </c>
      <c r="C4317" s="112" t="s">
        <v>1219</v>
      </c>
      <c r="D4317" s="113">
        <v>46307573</v>
      </c>
      <c r="E4317" s="115">
        <v>43941</v>
      </c>
      <c r="F4317" s="114">
        <v>202101</v>
      </c>
      <c r="G4317" s="112" t="s">
        <v>1091</v>
      </c>
      <c r="H4317" s="112" t="s">
        <v>1015</v>
      </c>
      <c r="I4317" s="112" t="s">
        <v>1605</v>
      </c>
      <c r="J4317" s="112" t="s">
        <v>3757</v>
      </c>
      <c r="K4317" s="112" t="s">
        <v>3756</v>
      </c>
      <c r="L4317" s="116">
        <v>23644</v>
      </c>
    </row>
    <row r="4318" spans="1:12" hidden="1" outlineLevel="1" collapsed="1" x14ac:dyDescent="0.35">
      <c r="A4318" s="112" t="s">
        <v>3616</v>
      </c>
      <c r="B4318" s="112" t="s">
        <v>921</v>
      </c>
      <c r="C4318" s="112" t="s">
        <v>1099</v>
      </c>
      <c r="D4318" s="113">
        <v>1069747</v>
      </c>
      <c r="E4318" s="115">
        <v>43915</v>
      </c>
      <c r="F4318" s="114">
        <v>202101</v>
      </c>
      <c r="G4318" s="112" t="s">
        <v>1091</v>
      </c>
      <c r="H4318" s="112" t="s">
        <v>1015</v>
      </c>
      <c r="I4318" s="112" t="s">
        <v>1182</v>
      </c>
      <c r="J4318" s="112" t="s">
        <v>3620</v>
      </c>
      <c r="K4318" s="112" t="s">
        <v>3758</v>
      </c>
      <c r="L4318" s="116">
        <v>4692</v>
      </c>
    </row>
    <row r="4319" spans="1:12" hidden="1" outlineLevel="1" collapsed="1" x14ac:dyDescent="0.35">
      <c r="A4319" s="112" t="s">
        <v>3616</v>
      </c>
      <c r="B4319" s="112" t="s">
        <v>921</v>
      </c>
      <c r="C4319" s="112" t="s">
        <v>1099</v>
      </c>
      <c r="D4319" s="113">
        <v>1069746</v>
      </c>
      <c r="E4319" s="115">
        <v>43889</v>
      </c>
      <c r="F4319" s="114">
        <v>202101</v>
      </c>
      <c r="G4319" s="112" t="s">
        <v>1091</v>
      </c>
      <c r="H4319" s="112" t="s">
        <v>1015</v>
      </c>
      <c r="I4319" s="112" t="s">
        <v>1182</v>
      </c>
      <c r="J4319" s="112" t="s">
        <v>3620</v>
      </c>
      <c r="K4319" s="112" t="s">
        <v>3759</v>
      </c>
      <c r="L4319" s="116">
        <v>525</v>
      </c>
    </row>
    <row r="4320" spans="1:12" hidden="1" outlineLevel="1" collapsed="1" x14ac:dyDescent="0.35">
      <c r="A4320" s="112" t="s">
        <v>3616</v>
      </c>
      <c r="B4320" s="112" t="s">
        <v>922</v>
      </c>
      <c r="C4320" s="112" t="s">
        <v>1219</v>
      </c>
      <c r="D4320" s="113">
        <v>46308047</v>
      </c>
      <c r="E4320" s="115">
        <v>43949</v>
      </c>
      <c r="F4320" s="114">
        <v>202101</v>
      </c>
      <c r="G4320" s="112" t="s">
        <v>1091</v>
      </c>
      <c r="H4320" s="112" t="s">
        <v>1015</v>
      </c>
      <c r="I4320" s="112" t="s">
        <v>1605</v>
      </c>
      <c r="J4320" s="112" t="s">
        <v>3691</v>
      </c>
      <c r="K4320" s="112" t="s">
        <v>3760</v>
      </c>
      <c r="L4320" s="116">
        <v>1000</v>
      </c>
    </row>
    <row r="4321" spans="1:12" hidden="1" outlineLevel="1" collapsed="1" x14ac:dyDescent="0.35">
      <c r="A4321" s="112" t="s">
        <v>3616</v>
      </c>
      <c r="B4321" s="112" t="s">
        <v>922</v>
      </c>
      <c r="C4321" s="112" t="s">
        <v>1219</v>
      </c>
      <c r="D4321" s="113">
        <v>46308046</v>
      </c>
      <c r="E4321" s="115">
        <v>43949</v>
      </c>
      <c r="F4321" s="114">
        <v>202101</v>
      </c>
      <c r="G4321" s="112" t="s">
        <v>1091</v>
      </c>
      <c r="H4321" s="112" t="s">
        <v>1015</v>
      </c>
      <c r="I4321" s="112" t="s">
        <v>1605</v>
      </c>
      <c r="J4321" s="112" t="s">
        <v>3691</v>
      </c>
      <c r="K4321" s="112" t="s">
        <v>3761</v>
      </c>
      <c r="L4321" s="116">
        <v>1000</v>
      </c>
    </row>
    <row r="4322" spans="1:12" hidden="1" outlineLevel="1" collapsed="1" x14ac:dyDescent="0.35">
      <c r="A4322" s="112" t="s">
        <v>3616</v>
      </c>
      <c r="B4322" s="112" t="s">
        <v>922</v>
      </c>
      <c r="C4322" s="112" t="s">
        <v>1219</v>
      </c>
      <c r="D4322" s="113">
        <v>46308045</v>
      </c>
      <c r="E4322" s="115">
        <v>43949</v>
      </c>
      <c r="F4322" s="114">
        <v>202101</v>
      </c>
      <c r="G4322" s="112" t="s">
        <v>1091</v>
      </c>
      <c r="H4322" s="112" t="s">
        <v>1015</v>
      </c>
      <c r="I4322" s="112" t="s">
        <v>1605</v>
      </c>
      <c r="J4322" s="112" t="s">
        <v>3691</v>
      </c>
      <c r="K4322" s="112" t="s">
        <v>3761</v>
      </c>
      <c r="L4322" s="116">
        <v>967.5</v>
      </c>
    </row>
    <row r="4323" spans="1:12" hidden="1" outlineLevel="1" collapsed="1" x14ac:dyDescent="0.35">
      <c r="A4323" s="112" t="s">
        <v>3616</v>
      </c>
      <c r="B4323" s="112" t="s">
        <v>922</v>
      </c>
      <c r="C4323" s="112" t="s">
        <v>1219</v>
      </c>
      <c r="D4323" s="113">
        <v>46308044</v>
      </c>
      <c r="E4323" s="115">
        <v>43949</v>
      </c>
      <c r="F4323" s="114">
        <v>202101</v>
      </c>
      <c r="G4323" s="112" t="s">
        <v>1091</v>
      </c>
      <c r="H4323" s="112" t="s">
        <v>1015</v>
      </c>
      <c r="I4323" s="112" t="s">
        <v>1605</v>
      </c>
      <c r="J4323" s="112" t="s">
        <v>3691</v>
      </c>
      <c r="K4323" s="112" t="s">
        <v>3762</v>
      </c>
      <c r="L4323" s="116">
        <v>1000</v>
      </c>
    </row>
    <row r="4324" spans="1:12" hidden="1" outlineLevel="1" collapsed="1" x14ac:dyDescent="0.35">
      <c r="A4324" s="112" t="s">
        <v>3616</v>
      </c>
      <c r="B4324" s="112" t="s">
        <v>923</v>
      </c>
      <c r="C4324" s="112" t="s">
        <v>1219</v>
      </c>
      <c r="D4324" s="113">
        <v>46308043</v>
      </c>
      <c r="E4324" s="115">
        <v>43949</v>
      </c>
      <c r="F4324" s="114">
        <v>202101</v>
      </c>
      <c r="G4324" s="112" t="s">
        <v>1091</v>
      </c>
      <c r="H4324" s="112" t="s">
        <v>1015</v>
      </c>
      <c r="I4324" s="112" t="s">
        <v>1605</v>
      </c>
      <c r="J4324" s="112" t="s">
        <v>3763</v>
      </c>
      <c r="K4324" s="112" t="s">
        <v>3764</v>
      </c>
      <c r="L4324" s="116">
        <v>14500</v>
      </c>
    </row>
    <row r="4325" spans="1:12" hidden="1" outlineLevel="1" collapsed="1" x14ac:dyDescent="0.35">
      <c r="A4325" s="112" t="s">
        <v>3616</v>
      </c>
      <c r="B4325" s="112" t="s">
        <v>920</v>
      </c>
      <c r="C4325" s="112" t="s">
        <v>1099</v>
      </c>
      <c r="D4325" s="113">
        <v>1069476</v>
      </c>
      <c r="E4325" s="115">
        <v>43861</v>
      </c>
      <c r="F4325" s="114">
        <v>202101</v>
      </c>
      <c r="G4325" s="112" t="s">
        <v>1091</v>
      </c>
      <c r="H4325" s="112" t="s">
        <v>1015</v>
      </c>
      <c r="I4325" s="112" t="s">
        <v>1182</v>
      </c>
      <c r="J4325" s="112" t="s">
        <v>3755</v>
      </c>
      <c r="K4325" s="112" t="s">
        <v>3765</v>
      </c>
      <c r="L4325" s="116">
        <v>59.06</v>
      </c>
    </row>
    <row r="4326" spans="1:12" hidden="1" outlineLevel="1" collapsed="1" x14ac:dyDescent="0.35">
      <c r="A4326" s="112" t="s">
        <v>3616</v>
      </c>
      <c r="B4326" s="112" t="s">
        <v>922</v>
      </c>
      <c r="C4326" s="112" t="s">
        <v>1219</v>
      </c>
      <c r="D4326" s="113">
        <v>46307058</v>
      </c>
      <c r="E4326" s="115">
        <v>43936</v>
      </c>
      <c r="F4326" s="114">
        <v>202101</v>
      </c>
      <c r="G4326" s="112" t="s">
        <v>1091</v>
      </c>
      <c r="H4326" s="112" t="s">
        <v>1015</v>
      </c>
      <c r="I4326" s="112" t="s">
        <v>761</v>
      </c>
      <c r="J4326" s="112" t="s">
        <v>3766</v>
      </c>
      <c r="K4326" s="112" t="s">
        <v>3767</v>
      </c>
      <c r="L4326" s="116">
        <v>1200</v>
      </c>
    </row>
    <row r="4327" spans="1:12" hidden="1" outlineLevel="1" collapsed="1" x14ac:dyDescent="0.35">
      <c r="A4327" s="112" t="s">
        <v>3616</v>
      </c>
      <c r="B4327" s="112" t="s">
        <v>918</v>
      </c>
      <c r="C4327" s="112" t="s">
        <v>695</v>
      </c>
      <c r="D4327" s="113">
        <v>10347971</v>
      </c>
      <c r="E4327" s="115">
        <v>43924</v>
      </c>
      <c r="F4327" s="114">
        <v>202101</v>
      </c>
      <c r="G4327" s="112" t="s">
        <v>1091</v>
      </c>
      <c r="H4327" s="112" t="s">
        <v>1015</v>
      </c>
      <c r="I4327" s="112" t="s">
        <v>3768</v>
      </c>
      <c r="J4327" s="112" t="s">
        <v>3649</v>
      </c>
      <c r="K4327" s="112" t="s">
        <v>3769</v>
      </c>
      <c r="L4327" s="116">
        <v>-6745</v>
      </c>
    </row>
    <row r="4328" spans="1:12" hidden="1" outlineLevel="1" collapsed="1" x14ac:dyDescent="0.35">
      <c r="A4328" s="112" t="s">
        <v>3616</v>
      </c>
      <c r="B4328" s="112" t="s">
        <v>918</v>
      </c>
      <c r="C4328" s="112" t="s">
        <v>695</v>
      </c>
      <c r="D4328" s="113">
        <v>10347971</v>
      </c>
      <c r="E4328" s="115">
        <v>43924</v>
      </c>
      <c r="F4328" s="114">
        <v>202101</v>
      </c>
      <c r="G4328" s="112" t="s">
        <v>1091</v>
      </c>
      <c r="H4328" s="112" t="s">
        <v>1015</v>
      </c>
      <c r="I4328" s="112" t="s">
        <v>745</v>
      </c>
      <c r="J4328" s="112" t="s">
        <v>3649</v>
      </c>
      <c r="K4328" s="112" t="s">
        <v>3770</v>
      </c>
      <c r="L4328" s="116">
        <v>-4000</v>
      </c>
    </row>
    <row r="4329" spans="1:12" hidden="1" outlineLevel="1" collapsed="1" x14ac:dyDescent="0.35">
      <c r="A4329" s="112" t="s">
        <v>3616</v>
      </c>
      <c r="B4329" s="112" t="s">
        <v>916</v>
      </c>
      <c r="C4329" s="112" t="s">
        <v>1099</v>
      </c>
      <c r="D4329" s="113">
        <v>1069664</v>
      </c>
      <c r="E4329" s="115">
        <v>43890</v>
      </c>
      <c r="F4329" s="114">
        <v>202101</v>
      </c>
      <c r="G4329" s="112" t="s">
        <v>1091</v>
      </c>
      <c r="H4329" s="112" t="s">
        <v>1015</v>
      </c>
      <c r="I4329" s="112" t="s">
        <v>1182</v>
      </c>
      <c r="J4329" s="112" t="s">
        <v>3771</v>
      </c>
      <c r="K4329" s="112" t="s">
        <v>3772</v>
      </c>
      <c r="L4329" s="116">
        <v>66.55</v>
      </c>
    </row>
    <row r="4330" spans="1:12" hidden="1" outlineLevel="1" collapsed="1" x14ac:dyDescent="0.35">
      <c r="A4330" s="112" t="s">
        <v>3616</v>
      </c>
      <c r="B4330" s="112" t="s">
        <v>921</v>
      </c>
      <c r="C4330" s="112" t="s">
        <v>695</v>
      </c>
      <c r="D4330" s="113">
        <v>10347981</v>
      </c>
      <c r="E4330" s="115">
        <v>43924</v>
      </c>
      <c r="F4330" s="114">
        <v>202101</v>
      </c>
      <c r="G4330" s="112" t="s">
        <v>1091</v>
      </c>
      <c r="H4330" s="112" t="s">
        <v>1015</v>
      </c>
      <c r="I4330" s="112" t="s">
        <v>3619</v>
      </c>
      <c r="J4330" s="112" t="s">
        <v>3620</v>
      </c>
      <c r="K4330" s="112" t="s">
        <v>3773</v>
      </c>
      <c r="L4330" s="116">
        <v>-8.84</v>
      </c>
    </row>
    <row r="4331" spans="1:12" hidden="1" outlineLevel="1" collapsed="1" x14ac:dyDescent="0.35">
      <c r="A4331" s="112" t="s">
        <v>3616</v>
      </c>
      <c r="B4331" s="112" t="s">
        <v>923</v>
      </c>
      <c r="C4331" s="112" t="s">
        <v>695</v>
      </c>
      <c r="D4331" s="113">
        <v>10348172</v>
      </c>
      <c r="E4331" s="115">
        <v>43929</v>
      </c>
      <c r="F4331" s="114">
        <v>202101</v>
      </c>
      <c r="G4331" s="112" t="s">
        <v>1091</v>
      </c>
      <c r="H4331" s="112" t="s">
        <v>1015</v>
      </c>
      <c r="I4331" s="112" t="s">
        <v>3672</v>
      </c>
      <c r="J4331" s="112" t="s">
        <v>3714</v>
      </c>
      <c r="K4331" s="112" t="s">
        <v>3774</v>
      </c>
      <c r="L4331" s="116">
        <v>300</v>
      </c>
    </row>
    <row r="4332" spans="1:12" hidden="1" outlineLevel="1" collapsed="1" x14ac:dyDescent="0.35">
      <c r="A4332" s="112" t="s">
        <v>3616</v>
      </c>
      <c r="B4332" s="112" t="s">
        <v>921</v>
      </c>
      <c r="C4332" s="112" t="s">
        <v>695</v>
      </c>
      <c r="D4332" s="113">
        <v>10347981</v>
      </c>
      <c r="E4332" s="115">
        <v>43924</v>
      </c>
      <c r="F4332" s="114">
        <v>202101</v>
      </c>
      <c r="G4332" s="112" t="s">
        <v>1091</v>
      </c>
      <c r="H4332" s="112" t="s">
        <v>1015</v>
      </c>
      <c r="I4332" s="112" t="s">
        <v>3686</v>
      </c>
      <c r="J4332" s="112" t="s">
        <v>3620</v>
      </c>
      <c r="K4332" s="112" t="s">
        <v>3687</v>
      </c>
      <c r="L4332" s="116">
        <v>-43.5</v>
      </c>
    </row>
    <row r="4333" spans="1:12" hidden="1" outlineLevel="1" collapsed="1" x14ac:dyDescent="0.35">
      <c r="A4333" s="112" t="s">
        <v>3616</v>
      </c>
      <c r="B4333" s="112" t="s">
        <v>921</v>
      </c>
      <c r="C4333" s="112" t="s">
        <v>695</v>
      </c>
      <c r="D4333" s="113">
        <v>10347981</v>
      </c>
      <c r="E4333" s="115">
        <v>43924</v>
      </c>
      <c r="F4333" s="114">
        <v>202101</v>
      </c>
      <c r="G4333" s="112" t="s">
        <v>1091</v>
      </c>
      <c r="H4333" s="112" t="s">
        <v>1015</v>
      </c>
      <c r="I4333" s="112" t="s">
        <v>3619</v>
      </c>
      <c r="J4333" s="112" t="s">
        <v>3620</v>
      </c>
      <c r="K4333" s="112" t="s">
        <v>3666</v>
      </c>
      <c r="L4333" s="116">
        <v>-109.7</v>
      </c>
    </row>
    <row r="4334" spans="1:12" hidden="1" outlineLevel="1" collapsed="1" x14ac:dyDescent="0.35">
      <c r="A4334" s="112" t="s">
        <v>3616</v>
      </c>
      <c r="B4334" s="112" t="s">
        <v>922</v>
      </c>
      <c r="C4334" s="112" t="s">
        <v>1099</v>
      </c>
      <c r="D4334" s="113">
        <v>1069453</v>
      </c>
      <c r="E4334" s="115">
        <v>43928</v>
      </c>
      <c r="F4334" s="114">
        <v>202101</v>
      </c>
      <c r="G4334" s="112" t="s">
        <v>1091</v>
      </c>
      <c r="H4334" s="112" t="s">
        <v>1015</v>
      </c>
      <c r="I4334" s="112" t="s">
        <v>761</v>
      </c>
      <c r="J4334" s="112" t="s">
        <v>3691</v>
      </c>
      <c r="K4334" s="112" t="s">
        <v>3775</v>
      </c>
      <c r="L4334" s="116">
        <v>142.85</v>
      </c>
    </row>
    <row r="4335" spans="1:12" hidden="1" outlineLevel="1" collapsed="1" x14ac:dyDescent="0.35">
      <c r="A4335" s="112" t="s">
        <v>3616</v>
      </c>
      <c r="B4335" s="112" t="s">
        <v>921</v>
      </c>
      <c r="C4335" s="112" t="s">
        <v>695</v>
      </c>
      <c r="D4335" s="113">
        <v>10347981</v>
      </c>
      <c r="E4335" s="115">
        <v>43924</v>
      </c>
      <c r="F4335" s="114">
        <v>202101</v>
      </c>
      <c r="G4335" s="112" t="s">
        <v>1091</v>
      </c>
      <c r="H4335" s="112" t="s">
        <v>1015</v>
      </c>
      <c r="I4335" s="112" t="s">
        <v>3619</v>
      </c>
      <c r="J4335" s="112" t="s">
        <v>3620</v>
      </c>
      <c r="K4335" s="112" t="s">
        <v>3776</v>
      </c>
      <c r="L4335" s="116">
        <v>-137.44</v>
      </c>
    </row>
    <row r="4336" spans="1:12" hidden="1" outlineLevel="1" collapsed="1" x14ac:dyDescent="0.35">
      <c r="A4336" s="112" t="s">
        <v>3616</v>
      </c>
      <c r="B4336" s="112" t="s">
        <v>919</v>
      </c>
      <c r="C4336" s="112" t="s">
        <v>1095</v>
      </c>
      <c r="D4336" s="113">
        <v>10348451</v>
      </c>
      <c r="E4336" s="115">
        <v>43949</v>
      </c>
      <c r="F4336" s="114">
        <v>202101</v>
      </c>
      <c r="G4336" s="112" t="s">
        <v>1091</v>
      </c>
      <c r="H4336" s="112" t="s">
        <v>1015</v>
      </c>
      <c r="I4336" s="112" t="s">
        <v>1182</v>
      </c>
      <c r="J4336" s="112" t="s">
        <v>3628</v>
      </c>
      <c r="K4336" s="112" t="s">
        <v>1098</v>
      </c>
      <c r="L4336" s="116">
        <v>6.05</v>
      </c>
    </row>
    <row r="4337" spans="1:12" hidden="1" outlineLevel="1" collapsed="1" x14ac:dyDescent="0.35">
      <c r="A4337" s="112" t="s">
        <v>3616</v>
      </c>
      <c r="B4337" s="112" t="s">
        <v>921</v>
      </c>
      <c r="C4337" s="112" t="s">
        <v>695</v>
      </c>
      <c r="D4337" s="113">
        <v>10347981</v>
      </c>
      <c r="E4337" s="115">
        <v>43924</v>
      </c>
      <c r="F4337" s="114">
        <v>202101</v>
      </c>
      <c r="G4337" s="112" t="s">
        <v>1091</v>
      </c>
      <c r="H4337" s="112" t="s">
        <v>1015</v>
      </c>
      <c r="I4337" s="112" t="s">
        <v>3686</v>
      </c>
      <c r="J4337" s="112" t="s">
        <v>3620</v>
      </c>
      <c r="K4337" s="112" t="s">
        <v>3687</v>
      </c>
      <c r="L4337" s="116">
        <v>-486.6</v>
      </c>
    </row>
    <row r="4338" spans="1:12" hidden="1" outlineLevel="1" collapsed="1" x14ac:dyDescent="0.35">
      <c r="A4338" s="112" t="s">
        <v>3616</v>
      </c>
      <c r="B4338" s="112" t="s">
        <v>922</v>
      </c>
      <c r="C4338" s="112" t="s">
        <v>1099</v>
      </c>
      <c r="D4338" s="113">
        <v>1069695</v>
      </c>
      <c r="E4338" s="115">
        <v>43896</v>
      </c>
      <c r="F4338" s="114">
        <v>202101</v>
      </c>
      <c r="G4338" s="112" t="s">
        <v>1091</v>
      </c>
      <c r="H4338" s="112" t="s">
        <v>1015</v>
      </c>
      <c r="I4338" s="112" t="s">
        <v>761</v>
      </c>
      <c r="J4338" s="112" t="s">
        <v>3766</v>
      </c>
      <c r="K4338" s="112" t="s">
        <v>3777</v>
      </c>
      <c r="L4338" s="116">
        <v>459.75</v>
      </c>
    </row>
    <row r="4339" spans="1:12" hidden="1" outlineLevel="1" collapsed="1" x14ac:dyDescent="0.35">
      <c r="A4339" s="112" t="s">
        <v>3616</v>
      </c>
      <c r="B4339" s="112" t="s">
        <v>921</v>
      </c>
      <c r="C4339" s="112" t="s">
        <v>695</v>
      </c>
      <c r="D4339" s="113">
        <v>10347981</v>
      </c>
      <c r="E4339" s="115">
        <v>43924</v>
      </c>
      <c r="F4339" s="114">
        <v>202101</v>
      </c>
      <c r="G4339" s="112" t="s">
        <v>1091</v>
      </c>
      <c r="H4339" s="112" t="s">
        <v>1015</v>
      </c>
      <c r="I4339" s="112" t="s">
        <v>3619</v>
      </c>
      <c r="J4339" s="112" t="s">
        <v>3620</v>
      </c>
      <c r="K4339" s="112" t="s">
        <v>3704</v>
      </c>
      <c r="L4339" s="116">
        <v>-87.76</v>
      </c>
    </row>
    <row r="4340" spans="1:12" hidden="1" outlineLevel="1" collapsed="1" x14ac:dyDescent="0.35">
      <c r="A4340" s="112" t="s">
        <v>3616</v>
      </c>
      <c r="B4340" s="112" t="s">
        <v>919</v>
      </c>
      <c r="C4340" s="112" t="s">
        <v>695</v>
      </c>
      <c r="D4340" s="113">
        <v>10347981</v>
      </c>
      <c r="E4340" s="115">
        <v>43924</v>
      </c>
      <c r="F4340" s="114">
        <v>202101</v>
      </c>
      <c r="G4340" s="112" t="s">
        <v>1091</v>
      </c>
      <c r="H4340" s="112" t="s">
        <v>1015</v>
      </c>
      <c r="I4340" s="112" t="s">
        <v>3686</v>
      </c>
      <c r="J4340" s="112" t="s">
        <v>3617</v>
      </c>
      <c r="K4340" s="112" t="s">
        <v>3778</v>
      </c>
      <c r="L4340" s="116">
        <v>-52.2</v>
      </c>
    </row>
    <row r="4341" spans="1:12" hidden="1" outlineLevel="1" collapsed="1" x14ac:dyDescent="0.35">
      <c r="A4341" s="112" t="s">
        <v>3616</v>
      </c>
      <c r="B4341" s="112" t="s">
        <v>921</v>
      </c>
      <c r="C4341" s="112" t="s">
        <v>695</v>
      </c>
      <c r="D4341" s="113">
        <v>10347981</v>
      </c>
      <c r="E4341" s="115">
        <v>43924</v>
      </c>
      <c r="F4341" s="114">
        <v>202101</v>
      </c>
      <c r="G4341" s="112" t="s">
        <v>1091</v>
      </c>
      <c r="H4341" s="112" t="s">
        <v>1015</v>
      </c>
      <c r="I4341" s="112" t="s">
        <v>3619</v>
      </c>
      <c r="J4341" s="112" t="s">
        <v>3620</v>
      </c>
      <c r="K4341" s="112" t="s">
        <v>3666</v>
      </c>
      <c r="L4341" s="116">
        <v>-21.8</v>
      </c>
    </row>
    <row r="4342" spans="1:12" hidden="1" outlineLevel="1" collapsed="1" x14ac:dyDescent="0.35">
      <c r="A4342" s="112" t="s">
        <v>3616</v>
      </c>
      <c r="B4342" s="112" t="s">
        <v>919</v>
      </c>
      <c r="C4342" s="112" t="s">
        <v>695</v>
      </c>
      <c r="D4342" s="113">
        <v>10347981</v>
      </c>
      <c r="E4342" s="115">
        <v>43924</v>
      </c>
      <c r="F4342" s="114">
        <v>202101</v>
      </c>
      <c r="G4342" s="112" t="s">
        <v>1091</v>
      </c>
      <c r="H4342" s="112" t="s">
        <v>1015</v>
      </c>
      <c r="I4342" s="112" t="s">
        <v>3619</v>
      </c>
      <c r="J4342" s="112" t="s">
        <v>3624</v>
      </c>
      <c r="K4342" s="112" t="s">
        <v>3779</v>
      </c>
      <c r="L4342" s="116">
        <v>-40.72</v>
      </c>
    </row>
    <row r="4343" spans="1:12" hidden="1" outlineLevel="1" collapsed="1" x14ac:dyDescent="0.35">
      <c r="A4343" s="112" t="s">
        <v>3616</v>
      </c>
      <c r="B4343" s="112" t="s">
        <v>921</v>
      </c>
      <c r="C4343" s="112" t="s">
        <v>695</v>
      </c>
      <c r="D4343" s="113">
        <v>10347981</v>
      </c>
      <c r="E4343" s="115">
        <v>43924</v>
      </c>
      <c r="F4343" s="114">
        <v>202101</v>
      </c>
      <c r="G4343" s="112" t="s">
        <v>1091</v>
      </c>
      <c r="H4343" s="112" t="s">
        <v>1015</v>
      </c>
      <c r="I4343" s="112" t="s">
        <v>3619</v>
      </c>
      <c r="J4343" s="112" t="s">
        <v>3620</v>
      </c>
      <c r="K4343" s="112" t="s">
        <v>3666</v>
      </c>
      <c r="L4343" s="116">
        <v>-33</v>
      </c>
    </row>
    <row r="4344" spans="1:12" hidden="1" outlineLevel="1" collapsed="1" x14ac:dyDescent="0.35">
      <c r="A4344" s="112" t="s">
        <v>3616</v>
      </c>
      <c r="B4344" s="112" t="s">
        <v>922</v>
      </c>
      <c r="C4344" s="112" t="s">
        <v>695</v>
      </c>
      <c r="D4344" s="113">
        <v>10347981</v>
      </c>
      <c r="E4344" s="115">
        <v>43924</v>
      </c>
      <c r="F4344" s="114">
        <v>202101</v>
      </c>
      <c r="G4344" s="112" t="s">
        <v>1091</v>
      </c>
      <c r="H4344" s="112" t="s">
        <v>1015</v>
      </c>
      <c r="I4344" s="112" t="s">
        <v>3654</v>
      </c>
      <c r="J4344" s="112" t="s">
        <v>3655</v>
      </c>
      <c r="K4344" s="112" t="s">
        <v>3780</v>
      </c>
      <c r="L4344" s="116">
        <v>-1721</v>
      </c>
    </row>
    <row r="4345" spans="1:12" hidden="1" outlineLevel="1" collapsed="1" x14ac:dyDescent="0.35">
      <c r="A4345" s="112" t="s">
        <v>3616</v>
      </c>
      <c r="B4345" s="112" t="s">
        <v>916</v>
      </c>
      <c r="C4345" s="112" t="s">
        <v>1095</v>
      </c>
      <c r="D4345" s="113">
        <v>10348451</v>
      </c>
      <c r="E4345" s="115">
        <v>43949</v>
      </c>
      <c r="F4345" s="114">
        <v>202101</v>
      </c>
      <c r="G4345" s="112" t="s">
        <v>1091</v>
      </c>
      <c r="H4345" s="112" t="s">
        <v>1015</v>
      </c>
      <c r="I4345" s="112" t="s">
        <v>1182</v>
      </c>
      <c r="J4345" s="112" t="s">
        <v>3771</v>
      </c>
      <c r="K4345" s="112" t="s">
        <v>1098</v>
      </c>
      <c r="L4345" s="116">
        <v>11.99</v>
      </c>
    </row>
    <row r="4346" spans="1:12" hidden="1" outlineLevel="1" collapsed="1" x14ac:dyDescent="0.35">
      <c r="A4346" s="112" t="s">
        <v>3616</v>
      </c>
      <c r="B4346" s="112" t="s">
        <v>916</v>
      </c>
      <c r="C4346" s="112" t="s">
        <v>1095</v>
      </c>
      <c r="D4346" s="113">
        <v>10348451</v>
      </c>
      <c r="E4346" s="115">
        <v>43949</v>
      </c>
      <c r="F4346" s="114">
        <v>202101</v>
      </c>
      <c r="G4346" s="112" t="s">
        <v>1091</v>
      </c>
      <c r="H4346" s="112" t="s">
        <v>1015</v>
      </c>
      <c r="I4346" s="112" t="s">
        <v>1201</v>
      </c>
      <c r="J4346" s="112" t="s">
        <v>3771</v>
      </c>
      <c r="K4346" s="112" t="s">
        <v>1098</v>
      </c>
      <c r="L4346" s="116">
        <v>4.8</v>
      </c>
    </row>
    <row r="4347" spans="1:12" hidden="1" outlineLevel="1" collapsed="1" x14ac:dyDescent="0.35">
      <c r="A4347" s="112" t="s">
        <v>3616</v>
      </c>
      <c r="B4347" s="112" t="s">
        <v>921</v>
      </c>
      <c r="C4347" s="112" t="s">
        <v>695</v>
      </c>
      <c r="D4347" s="113">
        <v>10347981</v>
      </c>
      <c r="E4347" s="115">
        <v>43924</v>
      </c>
      <c r="F4347" s="114">
        <v>202101</v>
      </c>
      <c r="G4347" s="112" t="s">
        <v>1091</v>
      </c>
      <c r="H4347" s="112" t="s">
        <v>1015</v>
      </c>
      <c r="I4347" s="112" t="s">
        <v>3619</v>
      </c>
      <c r="J4347" s="112" t="s">
        <v>3620</v>
      </c>
      <c r="K4347" s="112" t="s">
        <v>3666</v>
      </c>
      <c r="L4347" s="116">
        <v>-17.850000000000001</v>
      </c>
    </row>
    <row r="4348" spans="1:12" hidden="1" outlineLevel="1" collapsed="1" x14ac:dyDescent="0.35">
      <c r="A4348" s="112" t="s">
        <v>3616</v>
      </c>
      <c r="B4348" s="112" t="s">
        <v>921</v>
      </c>
      <c r="C4348" s="112" t="s">
        <v>1095</v>
      </c>
      <c r="D4348" s="113">
        <v>10348451</v>
      </c>
      <c r="E4348" s="115">
        <v>43949</v>
      </c>
      <c r="F4348" s="114">
        <v>202101</v>
      </c>
      <c r="G4348" s="112" t="s">
        <v>1091</v>
      </c>
      <c r="H4348" s="112" t="s">
        <v>1015</v>
      </c>
      <c r="I4348" s="112" t="s">
        <v>1399</v>
      </c>
      <c r="J4348" s="112" t="s">
        <v>3620</v>
      </c>
      <c r="K4348" s="112" t="s">
        <v>1098</v>
      </c>
      <c r="L4348" s="116">
        <v>57.7</v>
      </c>
    </row>
    <row r="4349" spans="1:12" hidden="1" outlineLevel="1" collapsed="1" x14ac:dyDescent="0.35">
      <c r="A4349" s="112" t="s">
        <v>3616</v>
      </c>
      <c r="B4349" s="112" t="s">
        <v>917</v>
      </c>
      <c r="C4349" s="112" t="s">
        <v>1095</v>
      </c>
      <c r="D4349" s="113">
        <v>10348451</v>
      </c>
      <c r="E4349" s="115">
        <v>43949</v>
      </c>
      <c r="F4349" s="114">
        <v>202101</v>
      </c>
      <c r="G4349" s="112" t="s">
        <v>1091</v>
      </c>
      <c r="H4349" s="112" t="s">
        <v>1015</v>
      </c>
      <c r="I4349" s="112" t="s">
        <v>1399</v>
      </c>
      <c r="J4349" s="112" t="s">
        <v>3781</v>
      </c>
      <c r="K4349" s="112" t="s">
        <v>1098</v>
      </c>
      <c r="L4349" s="116">
        <v>2</v>
      </c>
    </row>
    <row r="4350" spans="1:12" hidden="1" outlineLevel="1" collapsed="1" x14ac:dyDescent="0.35">
      <c r="A4350" s="112" t="s">
        <v>3616</v>
      </c>
      <c r="B4350" s="112" t="s">
        <v>923</v>
      </c>
      <c r="C4350" s="112" t="s">
        <v>1219</v>
      </c>
      <c r="D4350" s="113">
        <v>46308037</v>
      </c>
      <c r="E4350" s="115">
        <v>43949</v>
      </c>
      <c r="F4350" s="114">
        <v>202101</v>
      </c>
      <c r="G4350" s="112" t="s">
        <v>1091</v>
      </c>
      <c r="H4350" s="112" t="s">
        <v>1015</v>
      </c>
      <c r="I4350" s="112" t="s">
        <v>1605</v>
      </c>
      <c r="J4350" s="112" t="s">
        <v>3763</v>
      </c>
      <c r="K4350" s="112" t="s">
        <v>3782</v>
      </c>
      <c r="L4350" s="116">
        <v>3000</v>
      </c>
    </row>
    <row r="4351" spans="1:12" hidden="1" outlineLevel="1" collapsed="1" x14ac:dyDescent="0.35">
      <c r="A4351" s="112" t="s">
        <v>3616</v>
      </c>
      <c r="B4351" s="112" t="s">
        <v>919</v>
      </c>
      <c r="C4351" s="112" t="s">
        <v>695</v>
      </c>
      <c r="D4351" s="113">
        <v>10347981</v>
      </c>
      <c r="E4351" s="115">
        <v>43924</v>
      </c>
      <c r="F4351" s="114">
        <v>202101</v>
      </c>
      <c r="G4351" s="112" t="s">
        <v>1091</v>
      </c>
      <c r="H4351" s="112" t="s">
        <v>1015</v>
      </c>
      <c r="I4351" s="112" t="s">
        <v>3619</v>
      </c>
      <c r="J4351" s="112" t="s">
        <v>3634</v>
      </c>
      <c r="K4351" s="112" t="s">
        <v>3783</v>
      </c>
      <c r="L4351" s="116">
        <v>-296.86</v>
      </c>
    </row>
    <row r="4352" spans="1:12" hidden="1" outlineLevel="1" collapsed="1" x14ac:dyDescent="0.35">
      <c r="A4352" s="112" t="s">
        <v>3616</v>
      </c>
      <c r="B4352" s="112" t="s">
        <v>921</v>
      </c>
      <c r="C4352" s="112" t="s">
        <v>695</v>
      </c>
      <c r="D4352" s="113">
        <v>10347981</v>
      </c>
      <c r="E4352" s="115">
        <v>43924</v>
      </c>
      <c r="F4352" s="114">
        <v>202101</v>
      </c>
      <c r="G4352" s="112" t="s">
        <v>1091</v>
      </c>
      <c r="H4352" s="112" t="s">
        <v>1015</v>
      </c>
      <c r="I4352" s="112" t="s">
        <v>3686</v>
      </c>
      <c r="J4352" s="112" t="s">
        <v>3620</v>
      </c>
      <c r="K4352" s="112" t="s">
        <v>3687</v>
      </c>
      <c r="L4352" s="116">
        <v>-22.5</v>
      </c>
    </row>
    <row r="4353" spans="1:12" hidden="1" outlineLevel="1" collapsed="1" x14ac:dyDescent="0.35">
      <c r="A4353" s="112" t="s">
        <v>3616</v>
      </c>
      <c r="B4353" s="112" t="s">
        <v>922</v>
      </c>
      <c r="C4353" s="112" t="s">
        <v>695</v>
      </c>
      <c r="D4353" s="113">
        <v>10348119</v>
      </c>
      <c r="E4353" s="115">
        <v>43930</v>
      </c>
      <c r="F4353" s="114">
        <v>202101</v>
      </c>
      <c r="G4353" s="112" t="s">
        <v>1091</v>
      </c>
      <c r="H4353" s="112" t="s">
        <v>1015</v>
      </c>
      <c r="I4353" s="112" t="s">
        <v>3742</v>
      </c>
      <c r="J4353" s="112" t="s">
        <v>3784</v>
      </c>
      <c r="K4353" s="112" t="s">
        <v>3785</v>
      </c>
      <c r="L4353" s="116">
        <v>4593.17</v>
      </c>
    </row>
    <row r="4354" spans="1:12" hidden="1" outlineLevel="1" collapsed="1" x14ac:dyDescent="0.35">
      <c r="A4354" s="112" t="s">
        <v>3616</v>
      </c>
      <c r="B4354" s="112" t="s">
        <v>921</v>
      </c>
      <c r="C4354" s="112" t="s">
        <v>695</v>
      </c>
      <c r="D4354" s="113">
        <v>10347981</v>
      </c>
      <c r="E4354" s="115">
        <v>43924</v>
      </c>
      <c r="F4354" s="114">
        <v>202101</v>
      </c>
      <c r="G4354" s="112" t="s">
        <v>1091</v>
      </c>
      <c r="H4354" s="112" t="s">
        <v>1015</v>
      </c>
      <c r="I4354" s="112" t="s">
        <v>3619</v>
      </c>
      <c r="J4354" s="112" t="s">
        <v>3620</v>
      </c>
      <c r="K4354" s="112" t="s">
        <v>3786</v>
      </c>
      <c r="L4354" s="116">
        <v>-148.41</v>
      </c>
    </row>
    <row r="4355" spans="1:12" hidden="1" outlineLevel="1" collapsed="1" x14ac:dyDescent="0.35">
      <c r="A4355" s="112" t="s">
        <v>3616</v>
      </c>
      <c r="B4355" s="112" t="s">
        <v>919</v>
      </c>
      <c r="C4355" s="112" t="s">
        <v>695</v>
      </c>
      <c r="D4355" s="113">
        <v>10347981</v>
      </c>
      <c r="E4355" s="115">
        <v>43924</v>
      </c>
      <c r="F4355" s="114">
        <v>202101</v>
      </c>
      <c r="G4355" s="112" t="s">
        <v>1091</v>
      </c>
      <c r="H4355" s="112" t="s">
        <v>1015</v>
      </c>
      <c r="I4355" s="112" t="s">
        <v>3686</v>
      </c>
      <c r="J4355" s="112" t="s">
        <v>3624</v>
      </c>
      <c r="K4355" s="112" t="s">
        <v>3787</v>
      </c>
      <c r="L4355" s="116">
        <v>-486.6</v>
      </c>
    </row>
    <row r="4356" spans="1:12" hidden="1" outlineLevel="1" collapsed="1" x14ac:dyDescent="0.35">
      <c r="A4356" s="112" t="s">
        <v>3616</v>
      </c>
      <c r="B4356" s="112" t="s">
        <v>919</v>
      </c>
      <c r="C4356" s="112" t="s">
        <v>695</v>
      </c>
      <c r="D4356" s="113">
        <v>10347981</v>
      </c>
      <c r="E4356" s="115">
        <v>43924</v>
      </c>
      <c r="F4356" s="114">
        <v>202101</v>
      </c>
      <c r="G4356" s="112" t="s">
        <v>1091</v>
      </c>
      <c r="H4356" s="112" t="s">
        <v>1015</v>
      </c>
      <c r="I4356" s="112" t="s">
        <v>3619</v>
      </c>
      <c r="J4356" s="112" t="s">
        <v>3632</v>
      </c>
      <c r="K4356" s="112" t="s">
        <v>3788</v>
      </c>
      <c r="L4356" s="116">
        <v>-26.06</v>
      </c>
    </row>
    <row r="4357" spans="1:12" hidden="1" outlineLevel="1" collapsed="1" x14ac:dyDescent="0.35">
      <c r="A4357" s="112" t="s">
        <v>3616</v>
      </c>
      <c r="B4357" s="112" t="s">
        <v>919</v>
      </c>
      <c r="C4357" s="112" t="s">
        <v>695</v>
      </c>
      <c r="D4357" s="113">
        <v>10347981</v>
      </c>
      <c r="E4357" s="115">
        <v>43924</v>
      </c>
      <c r="F4357" s="114">
        <v>202101</v>
      </c>
      <c r="G4357" s="112" t="s">
        <v>1091</v>
      </c>
      <c r="H4357" s="112" t="s">
        <v>1015</v>
      </c>
      <c r="I4357" s="112" t="s">
        <v>3686</v>
      </c>
      <c r="J4357" s="112" t="s">
        <v>3632</v>
      </c>
      <c r="K4357" s="112" t="s">
        <v>3789</v>
      </c>
      <c r="L4357" s="116">
        <v>-43.5</v>
      </c>
    </row>
    <row r="4358" spans="1:12" hidden="1" outlineLevel="1" collapsed="1" x14ac:dyDescent="0.35">
      <c r="A4358" s="112" t="s">
        <v>3616</v>
      </c>
      <c r="B4358" s="112" t="s">
        <v>922</v>
      </c>
      <c r="C4358" s="112" t="s">
        <v>695</v>
      </c>
      <c r="D4358" s="113">
        <v>10348128</v>
      </c>
      <c r="E4358" s="115">
        <v>43929</v>
      </c>
      <c r="F4358" s="114">
        <v>202101</v>
      </c>
      <c r="G4358" s="112" t="s">
        <v>1091</v>
      </c>
      <c r="H4358" s="112" t="s">
        <v>1015</v>
      </c>
      <c r="I4358" s="112" t="s">
        <v>3790</v>
      </c>
      <c r="J4358" s="112" t="s">
        <v>3791</v>
      </c>
      <c r="K4358" s="112" t="s">
        <v>3792</v>
      </c>
      <c r="L4358" s="116">
        <v>1140</v>
      </c>
    </row>
    <row r="4359" spans="1:12" hidden="1" outlineLevel="1" collapsed="1" x14ac:dyDescent="0.35">
      <c r="A4359" s="112" t="s">
        <v>3616</v>
      </c>
      <c r="B4359" s="112" t="s">
        <v>922</v>
      </c>
      <c r="C4359" s="112" t="s">
        <v>695</v>
      </c>
      <c r="D4359" s="113">
        <v>10348128</v>
      </c>
      <c r="E4359" s="115">
        <v>43929</v>
      </c>
      <c r="F4359" s="114">
        <v>202101</v>
      </c>
      <c r="G4359" s="112" t="s">
        <v>1091</v>
      </c>
      <c r="H4359" s="112" t="s">
        <v>1015</v>
      </c>
      <c r="I4359" s="112" t="s">
        <v>761</v>
      </c>
      <c r="J4359" s="112" t="s">
        <v>3784</v>
      </c>
      <c r="K4359" s="112" t="s">
        <v>3793</v>
      </c>
      <c r="L4359" s="116">
        <v>3202.72</v>
      </c>
    </row>
    <row r="4360" spans="1:12" hidden="1" outlineLevel="1" collapsed="1" x14ac:dyDescent="0.35">
      <c r="A4360" s="112" t="s">
        <v>3616</v>
      </c>
      <c r="B4360" s="112" t="s">
        <v>922</v>
      </c>
      <c r="C4360" s="112" t="s">
        <v>695</v>
      </c>
      <c r="D4360" s="113">
        <v>10348128</v>
      </c>
      <c r="E4360" s="115">
        <v>43929</v>
      </c>
      <c r="F4360" s="114">
        <v>202101</v>
      </c>
      <c r="G4360" s="112" t="s">
        <v>1091</v>
      </c>
      <c r="H4360" s="112" t="s">
        <v>1015</v>
      </c>
      <c r="I4360" s="112" t="s">
        <v>761</v>
      </c>
      <c r="J4360" s="112" t="s">
        <v>3794</v>
      </c>
      <c r="K4360" s="112" t="s">
        <v>3795</v>
      </c>
      <c r="L4360" s="116">
        <v>-4500</v>
      </c>
    </row>
    <row r="4361" spans="1:12" hidden="1" outlineLevel="1" collapsed="1" x14ac:dyDescent="0.35">
      <c r="A4361" s="112" t="s">
        <v>3616</v>
      </c>
      <c r="B4361" s="112" t="s">
        <v>921</v>
      </c>
      <c r="C4361" s="112" t="s">
        <v>1099</v>
      </c>
      <c r="D4361" s="113">
        <v>1069334</v>
      </c>
      <c r="E4361" s="115">
        <v>43951</v>
      </c>
      <c r="F4361" s="114">
        <v>202101</v>
      </c>
      <c r="G4361" s="112" t="s">
        <v>1091</v>
      </c>
      <c r="H4361" s="112" t="s">
        <v>1015</v>
      </c>
      <c r="I4361" s="112" t="s">
        <v>3619</v>
      </c>
      <c r="J4361" s="112" t="s">
        <v>3620</v>
      </c>
      <c r="K4361" s="112" t="s">
        <v>3796</v>
      </c>
      <c r="L4361" s="116">
        <v>144.1</v>
      </c>
    </row>
    <row r="4362" spans="1:12" hidden="1" outlineLevel="1" collapsed="1" x14ac:dyDescent="0.35">
      <c r="A4362" s="112" t="s">
        <v>3616</v>
      </c>
      <c r="B4362" s="112" t="s">
        <v>919</v>
      </c>
      <c r="C4362" s="112" t="s">
        <v>1099</v>
      </c>
      <c r="D4362" s="113">
        <v>1069333</v>
      </c>
      <c r="E4362" s="115">
        <v>43920</v>
      </c>
      <c r="F4362" s="114">
        <v>202101</v>
      </c>
      <c r="G4362" s="112" t="s">
        <v>1091</v>
      </c>
      <c r="H4362" s="112" t="s">
        <v>1015</v>
      </c>
      <c r="I4362" s="112" t="s">
        <v>3619</v>
      </c>
      <c r="J4362" s="112" t="s">
        <v>3624</v>
      </c>
      <c r="K4362" s="112" t="s">
        <v>3797</v>
      </c>
      <c r="L4362" s="116">
        <v>10.98</v>
      </c>
    </row>
    <row r="4363" spans="1:12" hidden="1" outlineLevel="1" collapsed="1" x14ac:dyDescent="0.35">
      <c r="A4363" s="112" t="s">
        <v>3616</v>
      </c>
      <c r="B4363" s="112" t="s">
        <v>919</v>
      </c>
      <c r="C4363" s="112" t="s">
        <v>1099</v>
      </c>
      <c r="D4363" s="113">
        <v>1069343</v>
      </c>
      <c r="E4363" s="115">
        <v>43921</v>
      </c>
      <c r="F4363" s="114">
        <v>202101</v>
      </c>
      <c r="G4363" s="112" t="s">
        <v>1091</v>
      </c>
      <c r="H4363" s="112" t="s">
        <v>1015</v>
      </c>
      <c r="I4363" s="112" t="s">
        <v>3619</v>
      </c>
      <c r="J4363" s="112" t="s">
        <v>3624</v>
      </c>
      <c r="K4363" s="112" t="s">
        <v>3798</v>
      </c>
      <c r="L4363" s="116">
        <v>40.72</v>
      </c>
    </row>
    <row r="4364" spans="1:12" hidden="1" outlineLevel="1" collapsed="1" x14ac:dyDescent="0.35">
      <c r="A4364" s="112" t="s">
        <v>3616</v>
      </c>
      <c r="B4364" s="112" t="s">
        <v>919</v>
      </c>
      <c r="C4364" s="112" t="s">
        <v>1099</v>
      </c>
      <c r="D4364" s="113">
        <v>1069344</v>
      </c>
      <c r="E4364" s="115">
        <v>43921</v>
      </c>
      <c r="F4364" s="114">
        <v>202101</v>
      </c>
      <c r="G4364" s="112" t="s">
        <v>1091</v>
      </c>
      <c r="H4364" s="112" t="s">
        <v>1015</v>
      </c>
      <c r="I4364" s="112" t="s">
        <v>3619</v>
      </c>
      <c r="J4364" s="112" t="s">
        <v>3624</v>
      </c>
      <c r="K4364" s="112" t="s">
        <v>3798</v>
      </c>
      <c r="L4364" s="116">
        <v>1.56</v>
      </c>
    </row>
    <row r="4365" spans="1:12" hidden="1" outlineLevel="1" collapsed="1" x14ac:dyDescent="0.35">
      <c r="A4365" s="112" t="s">
        <v>3616</v>
      </c>
      <c r="B4365" s="112" t="s">
        <v>922</v>
      </c>
      <c r="C4365" s="112" t="s">
        <v>695</v>
      </c>
      <c r="D4365" s="113">
        <v>10348128</v>
      </c>
      <c r="E4365" s="115">
        <v>43929</v>
      </c>
      <c r="F4365" s="114">
        <v>202101</v>
      </c>
      <c r="G4365" s="112" t="s">
        <v>1091</v>
      </c>
      <c r="H4365" s="112" t="s">
        <v>1015</v>
      </c>
      <c r="I4365" s="112" t="s">
        <v>3672</v>
      </c>
      <c r="J4365" s="112" t="s">
        <v>3794</v>
      </c>
      <c r="K4365" s="112" t="s">
        <v>3799</v>
      </c>
      <c r="L4365" s="116">
        <v>-2563.75</v>
      </c>
    </row>
    <row r="4366" spans="1:12" hidden="1" outlineLevel="1" collapsed="1" x14ac:dyDescent="0.35">
      <c r="A4366" s="112" t="s">
        <v>3616</v>
      </c>
      <c r="B4366" s="112" t="s">
        <v>922</v>
      </c>
      <c r="C4366" s="112" t="s">
        <v>695</v>
      </c>
      <c r="D4366" s="113">
        <v>10348128</v>
      </c>
      <c r="E4366" s="115">
        <v>43929</v>
      </c>
      <c r="F4366" s="114">
        <v>202101</v>
      </c>
      <c r="G4366" s="112" t="s">
        <v>1091</v>
      </c>
      <c r="H4366" s="112" t="s">
        <v>1015</v>
      </c>
      <c r="I4366" s="112" t="s">
        <v>3672</v>
      </c>
      <c r="J4366" s="112" t="s">
        <v>3794</v>
      </c>
      <c r="K4366" s="112" t="s">
        <v>3800</v>
      </c>
      <c r="L4366" s="116">
        <v>-2563.75</v>
      </c>
    </row>
    <row r="4367" spans="1:12" hidden="1" outlineLevel="1" collapsed="1" x14ac:dyDescent="0.35">
      <c r="A4367" s="112" t="s">
        <v>3616</v>
      </c>
      <c r="B4367" s="112" t="s">
        <v>918</v>
      </c>
      <c r="C4367" s="112" t="s">
        <v>695</v>
      </c>
      <c r="D4367" s="113">
        <v>10348519</v>
      </c>
      <c r="E4367" s="115">
        <v>43950</v>
      </c>
      <c r="F4367" s="114">
        <v>202101</v>
      </c>
      <c r="G4367" s="112" t="s">
        <v>1091</v>
      </c>
      <c r="H4367" s="112" t="s">
        <v>1015</v>
      </c>
      <c r="I4367" s="112" t="s">
        <v>761</v>
      </c>
      <c r="J4367" s="112" t="s">
        <v>3695</v>
      </c>
      <c r="K4367" s="112" t="s">
        <v>3705</v>
      </c>
      <c r="L4367" s="116">
        <v>-500</v>
      </c>
    </row>
    <row r="4368" spans="1:12" hidden="1" outlineLevel="1" collapsed="1" x14ac:dyDescent="0.35">
      <c r="A4368" s="112" t="s">
        <v>3616</v>
      </c>
      <c r="B4368" s="112" t="s">
        <v>921</v>
      </c>
      <c r="C4368" s="112" t="s">
        <v>695</v>
      </c>
      <c r="D4368" s="113">
        <v>10347981</v>
      </c>
      <c r="E4368" s="115">
        <v>43924</v>
      </c>
      <c r="F4368" s="114">
        <v>202101</v>
      </c>
      <c r="G4368" s="112" t="s">
        <v>1091</v>
      </c>
      <c r="H4368" s="112" t="s">
        <v>1015</v>
      </c>
      <c r="I4368" s="112" t="s">
        <v>3619</v>
      </c>
      <c r="J4368" s="112" t="s">
        <v>3620</v>
      </c>
      <c r="K4368" s="112" t="s">
        <v>3704</v>
      </c>
      <c r="L4368" s="116">
        <v>-7.3</v>
      </c>
    </row>
    <row r="4369" spans="1:12" hidden="1" outlineLevel="1" collapsed="1" x14ac:dyDescent="0.35">
      <c r="A4369" s="112" t="s">
        <v>3616</v>
      </c>
      <c r="B4369" s="112" t="s">
        <v>921</v>
      </c>
      <c r="C4369" s="112" t="s">
        <v>695</v>
      </c>
      <c r="D4369" s="113">
        <v>10347981</v>
      </c>
      <c r="E4369" s="115">
        <v>43924</v>
      </c>
      <c r="F4369" s="114">
        <v>202101</v>
      </c>
      <c r="G4369" s="112" t="s">
        <v>1091</v>
      </c>
      <c r="H4369" s="112" t="s">
        <v>1015</v>
      </c>
      <c r="I4369" s="112" t="s">
        <v>3619</v>
      </c>
      <c r="J4369" s="112" t="s">
        <v>3620</v>
      </c>
      <c r="K4369" s="112" t="s">
        <v>3666</v>
      </c>
      <c r="L4369" s="116">
        <v>-5.89</v>
      </c>
    </row>
    <row r="4370" spans="1:12" hidden="1" outlineLevel="1" collapsed="1" x14ac:dyDescent="0.35">
      <c r="A4370" s="112" t="s">
        <v>3616</v>
      </c>
      <c r="B4370" s="112" t="s">
        <v>919</v>
      </c>
      <c r="C4370" s="112" t="s">
        <v>1095</v>
      </c>
      <c r="D4370" s="113">
        <v>10348451</v>
      </c>
      <c r="E4370" s="115">
        <v>43949</v>
      </c>
      <c r="F4370" s="114">
        <v>202101</v>
      </c>
      <c r="G4370" s="112" t="s">
        <v>1091</v>
      </c>
      <c r="H4370" s="112" t="s">
        <v>1015</v>
      </c>
      <c r="I4370" s="112" t="s">
        <v>1201</v>
      </c>
      <c r="J4370" s="112" t="s">
        <v>3632</v>
      </c>
      <c r="K4370" s="112" t="s">
        <v>1098</v>
      </c>
      <c r="L4370" s="116">
        <v>220.11</v>
      </c>
    </row>
    <row r="4371" spans="1:12" hidden="1" outlineLevel="1" collapsed="1" x14ac:dyDescent="0.35">
      <c r="A4371" s="112" t="s">
        <v>3616</v>
      </c>
      <c r="B4371" s="112" t="s">
        <v>921</v>
      </c>
      <c r="C4371" s="112" t="s">
        <v>1150</v>
      </c>
      <c r="D4371" s="113">
        <v>10348594</v>
      </c>
      <c r="E4371" s="115">
        <v>43963</v>
      </c>
      <c r="F4371" s="114">
        <v>202101</v>
      </c>
      <c r="G4371" s="112" t="s">
        <v>1091</v>
      </c>
      <c r="H4371" s="112" t="s">
        <v>1015</v>
      </c>
      <c r="I4371" s="112" t="s">
        <v>1643</v>
      </c>
      <c r="J4371" s="112" t="s">
        <v>3620</v>
      </c>
      <c r="K4371" s="112" t="s">
        <v>1644</v>
      </c>
      <c r="L4371" s="116">
        <v>1385.8</v>
      </c>
    </row>
    <row r="4372" spans="1:12" hidden="1" outlineLevel="1" collapsed="1" x14ac:dyDescent="0.35">
      <c r="A4372" s="112" t="s">
        <v>3616</v>
      </c>
      <c r="B4372" s="112" t="s">
        <v>919</v>
      </c>
      <c r="C4372" s="112" t="s">
        <v>1095</v>
      </c>
      <c r="D4372" s="113">
        <v>10348451</v>
      </c>
      <c r="E4372" s="115">
        <v>43949</v>
      </c>
      <c r="F4372" s="114">
        <v>202101</v>
      </c>
      <c r="G4372" s="112" t="s">
        <v>1091</v>
      </c>
      <c r="H4372" s="112" t="s">
        <v>1015</v>
      </c>
      <c r="I4372" s="112" t="s">
        <v>1399</v>
      </c>
      <c r="J4372" s="112" t="s">
        <v>3632</v>
      </c>
      <c r="K4372" s="112" t="s">
        <v>1098</v>
      </c>
      <c r="L4372" s="116">
        <v>4.3</v>
      </c>
    </row>
    <row r="4373" spans="1:12" hidden="1" outlineLevel="1" collapsed="1" x14ac:dyDescent="0.35">
      <c r="A4373" s="112" t="s">
        <v>3616</v>
      </c>
      <c r="B4373" s="112" t="s">
        <v>921</v>
      </c>
      <c r="C4373" s="112" t="s">
        <v>695</v>
      </c>
      <c r="D4373" s="113">
        <v>10347981</v>
      </c>
      <c r="E4373" s="115">
        <v>43924</v>
      </c>
      <c r="F4373" s="114">
        <v>202101</v>
      </c>
      <c r="G4373" s="112" t="s">
        <v>1091</v>
      </c>
      <c r="H4373" s="112" t="s">
        <v>1015</v>
      </c>
      <c r="I4373" s="112" t="s">
        <v>3619</v>
      </c>
      <c r="J4373" s="112" t="s">
        <v>3620</v>
      </c>
      <c r="K4373" s="112" t="s">
        <v>3801</v>
      </c>
      <c r="L4373" s="116">
        <v>-186.84</v>
      </c>
    </row>
    <row r="4374" spans="1:12" hidden="1" outlineLevel="1" collapsed="1" x14ac:dyDescent="0.35">
      <c r="A4374" s="112" t="s">
        <v>3616</v>
      </c>
      <c r="B4374" s="112" t="s">
        <v>921</v>
      </c>
      <c r="C4374" s="112" t="s">
        <v>695</v>
      </c>
      <c r="D4374" s="113">
        <v>10347981</v>
      </c>
      <c r="E4374" s="115">
        <v>43924</v>
      </c>
      <c r="F4374" s="114">
        <v>202101</v>
      </c>
      <c r="G4374" s="112" t="s">
        <v>1091</v>
      </c>
      <c r="H4374" s="112" t="s">
        <v>1015</v>
      </c>
      <c r="I4374" s="112" t="s">
        <v>3686</v>
      </c>
      <c r="J4374" s="112" t="s">
        <v>3620</v>
      </c>
      <c r="K4374" s="112" t="s">
        <v>3687</v>
      </c>
      <c r="L4374" s="116">
        <v>-495.6</v>
      </c>
    </row>
    <row r="4375" spans="1:12" hidden="1" outlineLevel="1" collapsed="1" x14ac:dyDescent="0.35">
      <c r="A4375" s="112" t="s">
        <v>3616</v>
      </c>
      <c r="B4375" s="112" t="s">
        <v>921</v>
      </c>
      <c r="C4375" s="112" t="s">
        <v>695</v>
      </c>
      <c r="D4375" s="113">
        <v>10347981</v>
      </c>
      <c r="E4375" s="115">
        <v>43924</v>
      </c>
      <c r="F4375" s="114">
        <v>202101</v>
      </c>
      <c r="G4375" s="112" t="s">
        <v>1091</v>
      </c>
      <c r="H4375" s="112" t="s">
        <v>1015</v>
      </c>
      <c r="I4375" s="112" t="s">
        <v>3619</v>
      </c>
      <c r="J4375" s="112" t="s">
        <v>3620</v>
      </c>
      <c r="K4375" s="112" t="s">
        <v>3666</v>
      </c>
      <c r="L4375" s="116">
        <v>-59.9</v>
      </c>
    </row>
    <row r="4376" spans="1:12" hidden="1" outlineLevel="1" collapsed="1" x14ac:dyDescent="0.35">
      <c r="A4376" s="112" t="s">
        <v>3616</v>
      </c>
      <c r="B4376" s="112" t="s">
        <v>921</v>
      </c>
      <c r="C4376" s="112" t="s">
        <v>695</v>
      </c>
      <c r="D4376" s="113">
        <v>10347981</v>
      </c>
      <c r="E4376" s="115">
        <v>43924</v>
      </c>
      <c r="F4376" s="114">
        <v>202101</v>
      </c>
      <c r="G4376" s="112" t="s">
        <v>1091</v>
      </c>
      <c r="H4376" s="112" t="s">
        <v>1015</v>
      </c>
      <c r="I4376" s="112" t="s">
        <v>3619</v>
      </c>
      <c r="J4376" s="112" t="s">
        <v>3620</v>
      </c>
      <c r="K4376" s="112" t="s">
        <v>3802</v>
      </c>
      <c r="L4376" s="116">
        <v>-16</v>
      </c>
    </row>
    <row r="4377" spans="1:12" hidden="1" outlineLevel="1" collapsed="1" x14ac:dyDescent="0.35">
      <c r="A4377" s="112" t="s">
        <v>3616</v>
      </c>
      <c r="B4377" s="112" t="s">
        <v>919</v>
      </c>
      <c r="C4377" s="112" t="s">
        <v>695</v>
      </c>
      <c r="D4377" s="113">
        <v>10347981</v>
      </c>
      <c r="E4377" s="115">
        <v>43924</v>
      </c>
      <c r="F4377" s="114">
        <v>202101</v>
      </c>
      <c r="G4377" s="112" t="s">
        <v>1091</v>
      </c>
      <c r="H4377" s="112" t="s">
        <v>1015</v>
      </c>
      <c r="I4377" s="112" t="s">
        <v>3619</v>
      </c>
      <c r="J4377" s="112" t="s">
        <v>3624</v>
      </c>
      <c r="K4377" s="112" t="s">
        <v>3803</v>
      </c>
      <c r="L4377" s="116">
        <v>-10.98</v>
      </c>
    </row>
    <row r="4378" spans="1:12" hidden="1" outlineLevel="1" collapsed="1" x14ac:dyDescent="0.35">
      <c r="A4378" s="112" t="s">
        <v>3616</v>
      </c>
      <c r="B4378" s="112" t="s">
        <v>919</v>
      </c>
      <c r="C4378" s="112" t="s">
        <v>695</v>
      </c>
      <c r="D4378" s="113">
        <v>10347981</v>
      </c>
      <c r="E4378" s="115">
        <v>43924</v>
      </c>
      <c r="F4378" s="114">
        <v>202101</v>
      </c>
      <c r="G4378" s="112" t="s">
        <v>1091</v>
      </c>
      <c r="H4378" s="112" t="s">
        <v>1015</v>
      </c>
      <c r="I4378" s="112" t="s">
        <v>2454</v>
      </c>
      <c r="J4378" s="112" t="s">
        <v>3628</v>
      </c>
      <c r="K4378" s="112" t="s">
        <v>3804</v>
      </c>
      <c r="L4378" s="116">
        <v>-820</v>
      </c>
    </row>
    <row r="4379" spans="1:12" hidden="1" outlineLevel="1" collapsed="1" x14ac:dyDescent="0.35">
      <c r="A4379" s="112" t="s">
        <v>3616</v>
      </c>
      <c r="B4379" s="112" t="s">
        <v>921</v>
      </c>
      <c r="C4379" s="112" t="s">
        <v>695</v>
      </c>
      <c r="D4379" s="113">
        <v>10347981</v>
      </c>
      <c r="E4379" s="115">
        <v>43924</v>
      </c>
      <c r="F4379" s="114">
        <v>202101</v>
      </c>
      <c r="G4379" s="112" t="s">
        <v>1091</v>
      </c>
      <c r="H4379" s="112" t="s">
        <v>1015</v>
      </c>
      <c r="I4379" s="112" t="s">
        <v>3686</v>
      </c>
      <c r="J4379" s="112" t="s">
        <v>3620</v>
      </c>
      <c r="K4379" s="112" t="s">
        <v>3687</v>
      </c>
      <c r="L4379" s="116">
        <v>-244.5</v>
      </c>
    </row>
    <row r="4380" spans="1:12" hidden="1" outlineLevel="1" collapsed="1" x14ac:dyDescent="0.35">
      <c r="A4380" s="112" t="s">
        <v>3616</v>
      </c>
      <c r="B4380" s="112" t="s">
        <v>922</v>
      </c>
      <c r="C4380" s="112" t="s">
        <v>695</v>
      </c>
      <c r="D4380" s="113">
        <v>10348521</v>
      </c>
      <c r="E4380" s="115">
        <v>43949</v>
      </c>
      <c r="F4380" s="114">
        <v>202101</v>
      </c>
      <c r="G4380" s="112" t="s">
        <v>1091</v>
      </c>
      <c r="H4380" s="112" t="s">
        <v>1015</v>
      </c>
      <c r="I4380" s="112" t="s">
        <v>2495</v>
      </c>
      <c r="J4380" s="112" t="s">
        <v>3805</v>
      </c>
      <c r="K4380" s="112" t="s">
        <v>3806</v>
      </c>
      <c r="L4380" s="116">
        <v>-12218</v>
      </c>
    </row>
    <row r="4381" spans="1:12" hidden="1" outlineLevel="1" collapsed="1" x14ac:dyDescent="0.35">
      <c r="A4381" s="112" t="s">
        <v>3616</v>
      </c>
      <c r="B4381" s="112" t="s">
        <v>919</v>
      </c>
      <c r="C4381" s="112" t="s">
        <v>695</v>
      </c>
      <c r="D4381" s="113">
        <v>10348539</v>
      </c>
      <c r="E4381" s="115">
        <v>43951</v>
      </c>
      <c r="F4381" s="114">
        <v>202101</v>
      </c>
      <c r="G4381" s="112" t="s">
        <v>1091</v>
      </c>
      <c r="H4381" s="112" t="s">
        <v>1015</v>
      </c>
      <c r="I4381" s="112" t="s">
        <v>2454</v>
      </c>
      <c r="J4381" s="112" t="s">
        <v>3628</v>
      </c>
      <c r="K4381" s="112" t="s">
        <v>3807</v>
      </c>
      <c r="L4381" s="116">
        <v>820</v>
      </c>
    </row>
    <row r="4382" spans="1:12" hidden="1" outlineLevel="1" collapsed="1" x14ac:dyDescent="0.35">
      <c r="A4382" s="112" t="s">
        <v>3616</v>
      </c>
      <c r="B4382" s="112" t="s">
        <v>919</v>
      </c>
      <c r="C4382" s="112" t="s">
        <v>695</v>
      </c>
      <c r="D4382" s="113">
        <v>10348539</v>
      </c>
      <c r="E4382" s="115">
        <v>43951</v>
      </c>
      <c r="F4382" s="114">
        <v>202101</v>
      </c>
      <c r="G4382" s="112" t="s">
        <v>1091</v>
      </c>
      <c r="H4382" s="112" t="s">
        <v>1015</v>
      </c>
      <c r="I4382" s="112" t="s">
        <v>2454</v>
      </c>
      <c r="J4382" s="112" t="s">
        <v>3628</v>
      </c>
      <c r="K4382" s="112" t="s">
        <v>3808</v>
      </c>
      <c r="L4382" s="116">
        <v>1170</v>
      </c>
    </row>
    <row r="4383" spans="1:12" hidden="1" outlineLevel="1" collapsed="1" x14ac:dyDescent="0.35">
      <c r="A4383" s="112" t="s">
        <v>3616</v>
      </c>
      <c r="B4383" s="112" t="s">
        <v>919</v>
      </c>
      <c r="C4383" s="112" t="s">
        <v>695</v>
      </c>
      <c r="D4383" s="113">
        <v>10348539</v>
      </c>
      <c r="E4383" s="115">
        <v>43951</v>
      </c>
      <c r="F4383" s="114">
        <v>202101</v>
      </c>
      <c r="G4383" s="112" t="s">
        <v>1091</v>
      </c>
      <c r="H4383" s="112" t="s">
        <v>1015</v>
      </c>
      <c r="I4383" s="112" t="s">
        <v>2454</v>
      </c>
      <c r="J4383" s="112" t="s">
        <v>3628</v>
      </c>
      <c r="K4383" s="112" t="s">
        <v>3809</v>
      </c>
      <c r="L4383" s="116">
        <v>1240</v>
      </c>
    </row>
    <row r="4384" spans="1:12" hidden="1" outlineLevel="1" collapsed="1" x14ac:dyDescent="0.35">
      <c r="A4384" s="112" t="s">
        <v>3616</v>
      </c>
      <c r="B4384" s="112" t="s">
        <v>919</v>
      </c>
      <c r="C4384" s="112" t="s">
        <v>695</v>
      </c>
      <c r="D4384" s="113">
        <v>10348539</v>
      </c>
      <c r="E4384" s="115">
        <v>43951</v>
      </c>
      <c r="F4384" s="114">
        <v>202101</v>
      </c>
      <c r="G4384" s="112" t="s">
        <v>1091</v>
      </c>
      <c r="H4384" s="112" t="s">
        <v>1015</v>
      </c>
      <c r="I4384" s="112" t="s">
        <v>2454</v>
      </c>
      <c r="J4384" s="112" t="s">
        <v>3628</v>
      </c>
      <c r="K4384" s="112" t="s">
        <v>3810</v>
      </c>
      <c r="L4384" s="116">
        <v>1240</v>
      </c>
    </row>
    <row r="4385" spans="1:12" hidden="1" outlineLevel="1" collapsed="1" x14ac:dyDescent="0.35">
      <c r="A4385" s="112" t="s">
        <v>3616</v>
      </c>
      <c r="B4385" s="112" t="s">
        <v>919</v>
      </c>
      <c r="C4385" s="112" t="s">
        <v>695</v>
      </c>
      <c r="D4385" s="113">
        <v>10348539</v>
      </c>
      <c r="E4385" s="115">
        <v>43951</v>
      </c>
      <c r="F4385" s="114">
        <v>202101</v>
      </c>
      <c r="G4385" s="112" t="s">
        <v>1091</v>
      </c>
      <c r="H4385" s="112" t="s">
        <v>1015</v>
      </c>
      <c r="I4385" s="112" t="s">
        <v>2454</v>
      </c>
      <c r="J4385" s="112" t="s">
        <v>3628</v>
      </c>
      <c r="K4385" s="112" t="s">
        <v>3811</v>
      </c>
      <c r="L4385" s="116">
        <v>1520</v>
      </c>
    </row>
    <row r="4386" spans="1:12" hidden="1" outlineLevel="1" collapsed="1" x14ac:dyDescent="0.35">
      <c r="A4386" s="112" t="s">
        <v>3616</v>
      </c>
      <c r="B4386" s="112" t="s">
        <v>919</v>
      </c>
      <c r="C4386" s="112" t="s">
        <v>695</v>
      </c>
      <c r="D4386" s="113">
        <v>10348539</v>
      </c>
      <c r="E4386" s="115">
        <v>43951</v>
      </c>
      <c r="F4386" s="114">
        <v>202101</v>
      </c>
      <c r="G4386" s="112" t="s">
        <v>1091</v>
      </c>
      <c r="H4386" s="112" t="s">
        <v>1015</v>
      </c>
      <c r="I4386" s="112" t="s">
        <v>2454</v>
      </c>
      <c r="J4386" s="112" t="s">
        <v>3628</v>
      </c>
      <c r="K4386" s="112" t="s">
        <v>3812</v>
      </c>
      <c r="L4386" s="116">
        <v>2095</v>
      </c>
    </row>
    <row r="4387" spans="1:12" hidden="1" outlineLevel="1" collapsed="1" x14ac:dyDescent="0.35">
      <c r="A4387" s="112" t="s">
        <v>3616</v>
      </c>
      <c r="B4387" s="112" t="s">
        <v>919</v>
      </c>
      <c r="C4387" s="112" t="s">
        <v>695</v>
      </c>
      <c r="D4387" s="113">
        <v>10347981</v>
      </c>
      <c r="E4387" s="115">
        <v>43924</v>
      </c>
      <c r="F4387" s="114">
        <v>202101</v>
      </c>
      <c r="G4387" s="112" t="s">
        <v>1091</v>
      </c>
      <c r="H4387" s="112" t="s">
        <v>1015</v>
      </c>
      <c r="I4387" s="112" t="s">
        <v>745</v>
      </c>
      <c r="J4387" s="112" t="s">
        <v>3628</v>
      </c>
      <c r="K4387" s="112" t="s">
        <v>3813</v>
      </c>
      <c r="L4387" s="116">
        <v>-1775.8</v>
      </c>
    </row>
    <row r="4388" spans="1:12" hidden="1" outlineLevel="1" collapsed="1" x14ac:dyDescent="0.35">
      <c r="A4388" s="112" t="s">
        <v>3616</v>
      </c>
      <c r="B4388" s="112" t="s">
        <v>921</v>
      </c>
      <c r="C4388" s="112" t="s">
        <v>1099</v>
      </c>
      <c r="D4388" s="113">
        <v>1069508</v>
      </c>
      <c r="E4388" s="115">
        <v>43931</v>
      </c>
      <c r="F4388" s="114">
        <v>202101</v>
      </c>
      <c r="G4388" s="112" t="s">
        <v>1091</v>
      </c>
      <c r="H4388" s="112" t="s">
        <v>1015</v>
      </c>
      <c r="I4388" s="112" t="s">
        <v>3619</v>
      </c>
      <c r="J4388" s="112" t="s">
        <v>3620</v>
      </c>
      <c r="K4388" s="112" t="s">
        <v>3814</v>
      </c>
      <c r="L4388" s="116">
        <v>192</v>
      </c>
    </row>
    <row r="4389" spans="1:12" hidden="1" outlineLevel="1" collapsed="1" x14ac:dyDescent="0.35">
      <c r="A4389" s="112" t="s">
        <v>3616</v>
      </c>
      <c r="B4389" s="112" t="s">
        <v>919</v>
      </c>
      <c r="C4389" s="112" t="s">
        <v>695</v>
      </c>
      <c r="D4389" s="113">
        <v>10347981</v>
      </c>
      <c r="E4389" s="115">
        <v>43924</v>
      </c>
      <c r="F4389" s="114">
        <v>202101</v>
      </c>
      <c r="G4389" s="112" t="s">
        <v>1091</v>
      </c>
      <c r="H4389" s="112" t="s">
        <v>1015</v>
      </c>
      <c r="I4389" s="112" t="s">
        <v>2454</v>
      </c>
      <c r="J4389" s="112" t="s">
        <v>3634</v>
      </c>
      <c r="K4389" s="112" t="s">
        <v>3815</v>
      </c>
      <c r="L4389" s="116">
        <v>-581.95000000000005</v>
      </c>
    </row>
    <row r="4390" spans="1:12" hidden="1" outlineLevel="1" collapsed="1" x14ac:dyDescent="0.35">
      <c r="A4390" s="112" t="s">
        <v>3616</v>
      </c>
      <c r="B4390" s="112" t="s">
        <v>921</v>
      </c>
      <c r="C4390" s="112" t="s">
        <v>695</v>
      </c>
      <c r="D4390" s="113">
        <v>10347981</v>
      </c>
      <c r="E4390" s="115">
        <v>43924</v>
      </c>
      <c r="F4390" s="114">
        <v>202101</v>
      </c>
      <c r="G4390" s="112" t="s">
        <v>1091</v>
      </c>
      <c r="H4390" s="112" t="s">
        <v>1015</v>
      </c>
      <c r="I4390" s="112" t="s">
        <v>3619</v>
      </c>
      <c r="J4390" s="112" t="s">
        <v>3620</v>
      </c>
      <c r="K4390" s="112" t="s">
        <v>3668</v>
      </c>
      <c r="L4390" s="116">
        <v>-71.400000000000006</v>
      </c>
    </row>
    <row r="4391" spans="1:12" hidden="1" outlineLevel="1" collapsed="1" x14ac:dyDescent="0.35">
      <c r="A4391" s="112" t="s">
        <v>3616</v>
      </c>
      <c r="B4391" s="112" t="s">
        <v>919</v>
      </c>
      <c r="C4391" s="112" t="s">
        <v>695</v>
      </c>
      <c r="D4391" s="113">
        <v>10347981</v>
      </c>
      <c r="E4391" s="115">
        <v>43924</v>
      </c>
      <c r="F4391" s="114">
        <v>202101</v>
      </c>
      <c r="G4391" s="112" t="s">
        <v>1091</v>
      </c>
      <c r="H4391" s="112" t="s">
        <v>1015</v>
      </c>
      <c r="I4391" s="112" t="s">
        <v>3619</v>
      </c>
      <c r="J4391" s="112" t="s">
        <v>3634</v>
      </c>
      <c r="K4391" s="112" t="s">
        <v>3816</v>
      </c>
      <c r="L4391" s="116">
        <v>-21.08</v>
      </c>
    </row>
    <row r="4392" spans="1:12" hidden="1" outlineLevel="1" collapsed="1" x14ac:dyDescent="0.35">
      <c r="A4392" s="112" t="s">
        <v>3616</v>
      </c>
      <c r="B4392" s="112" t="s">
        <v>921</v>
      </c>
      <c r="C4392" s="112" t="s">
        <v>695</v>
      </c>
      <c r="D4392" s="113">
        <v>10347981</v>
      </c>
      <c r="E4392" s="115">
        <v>43924</v>
      </c>
      <c r="F4392" s="114">
        <v>202101</v>
      </c>
      <c r="G4392" s="112" t="s">
        <v>1091</v>
      </c>
      <c r="H4392" s="112" t="s">
        <v>1015</v>
      </c>
      <c r="I4392" s="112" t="s">
        <v>3619</v>
      </c>
      <c r="J4392" s="112" t="s">
        <v>3620</v>
      </c>
      <c r="K4392" s="112" t="s">
        <v>3704</v>
      </c>
      <c r="L4392" s="116">
        <v>-16.260000000000002</v>
      </c>
    </row>
    <row r="4393" spans="1:12" hidden="1" outlineLevel="1" collapsed="1" x14ac:dyDescent="0.35">
      <c r="A4393" s="112" t="s">
        <v>3616</v>
      </c>
      <c r="B4393" s="112" t="s">
        <v>919</v>
      </c>
      <c r="C4393" s="112" t="s">
        <v>695</v>
      </c>
      <c r="D4393" s="113">
        <v>10347981</v>
      </c>
      <c r="E4393" s="115">
        <v>43924</v>
      </c>
      <c r="F4393" s="114">
        <v>202101</v>
      </c>
      <c r="G4393" s="112" t="s">
        <v>1091</v>
      </c>
      <c r="H4393" s="112" t="s">
        <v>1015</v>
      </c>
      <c r="I4393" s="112" t="s">
        <v>3686</v>
      </c>
      <c r="J4393" s="112" t="s">
        <v>3624</v>
      </c>
      <c r="K4393" s="112" t="s">
        <v>3817</v>
      </c>
      <c r="L4393" s="116">
        <v>-30</v>
      </c>
    </row>
    <row r="4394" spans="1:12" hidden="1" outlineLevel="1" collapsed="1" x14ac:dyDescent="0.35">
      <c r="A4394" s="112" t="s">
        <v>3616</v>
      </c>
      <c r="B4394" s="112" t="s">
        <v>921</v>
      </c>
      <c r="C4394" s="112" t="s">
        <v>695</v>
      </c>
      <c r="D4394" s="113">
        <v>10347981</v>
      </c>
      <c r="E4394" s="115">
        <v>43924</v>
      </c>
      <c r="F4394" s="114">
        <v>202101</v>
      </c>
      <c r="G4394" s="112" t="s">
        <v>1091</v>
      </c>
      <c r="H4394" s="112" t="s">
        <v>1015</v>
      </c>
      <c r="I4394" s="112" t="s">
        <v>3619</v>
      </c>
      <c r="J4394" s="112" t="s">
        <v>3620</v>
      </c>
      <c r="K4394" s="112" t="s">
        <v>3818</v>
      </c>
      <c r="L4394" s="116">
        <v>-18.14</v>
      </c>
    </row>
    <row r="4395" spans="1:12" hidden="1" outlineLevel="1" collapsed="1" x14ac:dyDescent="0.35">
      <c r="A4395" s="112" t="s">
        <v>3616</v>
      </c>
      <c r="B4395" s="112" t="s">
        <v>923</v>
      </c>
      <c r="C4395" s="112" t="s">
        <v>695</v>
      </c>
      <c r="D4395" s="113">
        <v>10348172</v>
      </c>
      <c r="E4395" s="115">
        <v>43929</v>
      </c>
      <c r="F4395" s="114">
        <v>202101</v>
      </c>
      <c r="G4395" s="112" t="s">
        <v>1091</v>
      </c>
      <c r="H4395" s="112" t="s">
        <v>1015</v>
      </c>
      <c r="I4395" s="112" t="s">
        <v>3672</v>
      </c>
      <c r="J4395" s="112" t="s">
        <v>3714</v>
      </c>
      <c r="K4395" s="112" t="s">
        <v>3819</v>
      </c>
      <c r="L4395" s="116">
        <v>1000</v>
      </c>
    </row>
    <row r="4396" spans="1:12" hidden="1" outlineLevel="1" collapsed="1" x14ac:dyDescent="0.35">
      <c r="A4396" s="112" t="s">
        <v>3616</v>
      </c>
      <c r="B4396" s="112" t="s">
        <v>919</v>
      </c>
      <c r="C4396" s="112" t="s">
        <v>1099</v>
      </c>
      <c r="D4396" s="113">
        <v>1069625</v>
      </c>
      <c r="E4396" s="115">
        <v>43898</v>
      </c>
      <c r="F4396" s="114">
        <v>202101</v>
      </c>
      <c r="G4396" s="112" t="s">
        <v>1091</v>
      </c>
      <c r="H4396" s="112" t="s">
        <v>1015</v>
      </c>
      <c r="I4396" s="112" t="s">
        <v>2495</v>
      </c>
      <c r="J4396" s="112" t="s">
        <v>3617</v>
      </c>
      <c r="K4396" s="112" t="s">
        <v>3820</v>
      </c>
      <c r="L4396" s="116">
        <v>25</v>
      </c>
    </row>
    <row r="4397" spans="1:12" hidden="1" outlineLevel="1" collapsed="1" x14ac:dyDescent="0.35">
      <c r="A4397" s="112" t="s">
        <v>3616</v>
      </c>
      <c r="B4397" s="112" t="s">
        <v>919</v>
      </c>
      <c r="C4397" s="112" t="s">
        <v>695</v>
      </c>
      <c r="D4397" s="113">
        <v>10347981</v>
      </c>
      <c r="E4397" s="115">
        <v>43924</v>
      </c>
      <c r="F4397" s="114">
        <v>202101</v>
      </c>
      <c r="G4397" s="112" t="s">
        <v>1091</v>
      </c>
      <c r="H4397" s="112" t="s">
        <v>1015</v>
      </c>
      <c r="I4397" s="112" t="s">
        <v>3619</v>
      </c>
      <c r="J4397" s="112" t="s">
        <v>3617</v>
      </c>
      <c r="K4397" s="112" t="s">
        <v>3821</v>
      </c>
      <c r="L4397" s="116">
        <v>-28.68</v>
      </c>
    </row>
    <row r="4398" spans="1:12" hidden="1" outlineLevel="1" collapsed="1" x14ac:dyDescent="0.35">
      <c r="A4398" s="112" t="s">
        <v>3616</v>
      </c>
      <c r="B4398" s="112" t="s">
        <v>920</v>
      </c>
      <c r="C4398" s="112" t="s">
        <v>1095</v>
      </c>
      <c r="D4398" s="113">
        <v>10348451</v>
      </c>
      <c r="E4398" s="115">
        <v>43949</v>
      </c>
      <c r="F4398" s="114">
        <v>202101</v>
      </c>
      <c r="G4398" s="112" t="s">
        <v>1091</v>
      </c>
      <c r="H4398" s="112" t="s">
        <v>1015</v>
      </c>
      <c r="I4398" s="112" t="s">
        <v>1399</v>
      </c>
      <c r="J4398" s="112" t="s">
        <v>3755</v>
      </c>
      <c r="K4398" s="112" t="s">
        <v>1098</v>
      </c>
      <c r="L4398" s="116">
        <v>25.44</v>
      </c>
    </row>
    <row r="4399" spans="1:12" hidden="1" outlineLevel="1" collapsed="1" x14ac:dyDescent="0.35">
      <c r="A4399" s="112" t="s">
        <v>3616</v>
      </c>
      <c r="B4399" s="112" t="s">
        <v>919</v>
      </c>
      <c r="C4399" s="112" t="s">
        <v>695</v>
      </c>
      <c r="D4399" s="113">
        <v>10347981</v>
      </c>
      <c r="E4399" s="115">
        <v>43924</v>
      </c>
      <c r="F4399" s="114">
        <v>202101</v>
      </c>
      <c r="G4399" s="112" t="s">
        <v>1091</v>
      </c>
      <c r="H4399" s="112" t="s">
        <v>1015</v>
      </c>
      <c r="I4399" s="112" t="s">
        <v>2454</v>
      </c>
      <c r="J4399" s="112" t="s">
        <v>3628</v>
      </c>
      <c r="K4399" s="112" t="s">
        <v>3822</v>
      </c>
      <c r="L4399" s="116">
        <v>-1520</v>
      </c>
    </row>
    <row r="4400" spans="1:12" hidden="1" outlineLevel="1" collapsed="1" x14ac:dyDescent="0.35">
      <c r="A4400" s="112" t="s">
        <v>3616</v>
      </c>
      <c r="B4400" s="112" t="s">
        <v>919</v>
      </c>
      <c r="C4400" s="112" t="s">
        <v>695</v>
      </c>
      <c r="D4400" s="113">
        <v>10347981</v>
      </c>
      <c r="E4400" s="115">
        <v>43924</v>
      </c>
      <c r="F4400" s="114">
        <v>202101</v>
      </c>
      <c r="G4400" s="112" t="s">
        <v>1091</v>
      </c>
      <c r="H4400" s="112" t="s">
        <v>1015</v>
      </c>
      <c r="I4400" s="112" t="s">
        <v>3619</v>
      </c>
      <c r="J4400" s="112" t="s">
        <v>3624</v>
      </c>
      <c r="K4400" s="112" t="s">
        <v>3823</v>
      </c>
      <c r="L4400" s="116">
        <v>-14.95</v>
      </c>
    </row>
    <row r="4401" spans="1:12" hidden="1" outlineLevel="1" collapsed="1" x14ac:dyDescent="0.35">
      <c r="A4401" s="112" t="s">
        <v>3616</v>
      </c>
      <c r="B4401" s="112" t="s">
        <v>919</v>
      </c>
      <c r="C4401" s="112" t="s">
        <v>695</v>
      </c>
      <c r="D4401" s="113">
        <v>10347981</v>
      </c>
      <c r="E4401" s="115">
        <v>43924</v>
      </c>
      <c r="F4401" s="114">
        <v>202101</v>
      </c>
      <c r="G4401" s="112" t="s">
        <v>1091</v>
      </c>
      <c r="H4401" s="112" t="s">
        <v>1015</v>
      </c>
      <c r="I4401" s="112" t="s">
        <v>2454</v>
      </c>
      <c r="J4401" s="112" t="s">
        <v>3632</v>
      </c>
      <c r="K4401" s="112" t="s">
        <v>3824</v>
      </c>
      <c r="L4401" s="116">
        <v>-705.55</v>
      </c>
    </row>
    <row r="4402" spans="1:12" hidden="1" outlineLevel="1" collapsed="1" x14ac:dyDescent="0.35">
      <c r="A4402" s="112" t="s">
        <v>3616</v>
      </c>
      <c r="B4402" s="112" t="s">
        <v>921</v>
      </c>
      <c r="C4402" s="112" t="s">
        <v>695</v>
      </c>
      <c r="D4402" s="113">
        <v>10347981</v>
      </c>
      <c r="E4402" s="115">
        <v>43924</v>
      </c>
      <c r="F4402" s="114">
        <v>202101</v>
      </c>
      <c r="G4402" s="112" t="s">
        <v>1091</v>
      </c>
      <c r="H4402" s="112" t="s">
        <v>1015</v>
      </c>
      <c r="I4402" s="112" t="s">
        <v>745</v>
      </c>
      <c r="J4402" s="112" t="s">
        <v>3620</v>
      </c>
      <c r="K4402" s="112" t="s">
        <v>3825</v>
      </c>
      <c r="L4402" s="116">
        <v>-42</v>
      </c>
    </row>
    <row r="4403" spans="1:12" hidden="1" outlineLevel="1" collapsed="1" x14ac:dyDescent="0.35">
      <c r="A4403" s="112" t="s">
        <v>3616</v>
      </c>
      <c r="B4403" s="112" t="s">
        <v>923</v>
      </c>
      <c r="C4403" s="112" t="s">
        <v>1095</v>
      </c>
      <c r="D4403" s="113">
        <v>10348451</v>
      </c>
      <c r="E4403" s="115">
        <v>43949</v>
      </c>
      <c r="F4403" s="114">
        <v>202101</v>
      </c>
      <c r="G4403" s="112" t="s">
        <v>1091</v>
      </c>
      <c r="H4403" s="112" t="s">
        <v>1015</v>
      </c>
      <c r="I4403" s="112" t="s">
        <v>1182</v>
      </c>
      <c r="J4403" s="112" t="s">
        <v>3750</v>
      </c>
      <c r="K4403" s="112" t="s">
        <v>1098</v>
      </c>
      <c r="L4403" s="116">
        <v>54.39</v>
      </c>
    </row>
    <row r="4404" spans="1:12" hidden="1" outlineLevel="1" collapsed="1" x14ac:dyDescent="0.35">
      <c r="A4404" s="112" t="s">
        <v>3616</v>
      </c>
      <c r="B4404" s="112" t="s">
        <v>919</v>
      </c>
      <c r="C4404" s="112" t="s">
        <v>695</v>
      </c>
      <c r="D4404" s="113">
        <v>10347981</v>
      </c>
      <c r="E4404" s="115">
        <v>43924</v>
      </c>
      <c r="F4404" s="114">
        <v>202101</v>
      </c>
      <c r="G4404" s="112" t="s">
        <v>1091</v>
      </c>
      <c r="H4404" s="112" t="s">
        <v>1015</v>
      </c>
      <c r="I4404" s="112" t="s">
        <v>3619</v>
      </c>
      <c r="J4404" s="112" t="s">
        <v>3617</v>
      </c>
      <c r="K4404" s="112" t="s">
        <v>3826</v>
      </c>
      <c r="L4404" s="116">
        <v>-57.24</v>
      </c>
    </row>
    <row r="4405" spans="1:12" hidden="1" outlineLevel="1" collapsed="1" x14ac:dyDescent="0.35">
      <c r="A4405" s="112" t="s">
        <v>3616</v>
      </c>
      <c r="B4405" s="112" t="s">
        <v>919</v>
      </c>
      <c r="C4405" s="112" t="s">
        <v>695</v>
      </c>
      <c r="D4405" s="113">
        <v>10347981</v>
      </c>
      <c r="E4405" s="115">
        <v>43924</v>
      </c>
      <c r="F4405" s="114">
        <v>202101</v>
      </c>
      <c r="G4405" s="112" t="s">
        <v>1091</v>
      </c>
      <c r="H4405" s="112" t="s">
        <v>1015</v>
      </c>
      <c r="I4405" s="112" t="s">
        <v>2454</v>
      </c>
      <c r="J4405" s="112" t="s">
        <v>3617</v>
      </c>
      <c r="K4405" s="112" t="s">
        <v>3827</v>
      </c>
      <c r="L4405" s="116">
        <v>-942.45</v>
      </c>
    </row>
    <row r="4406" spans="1:12" hidden="1" outlineLevel="1" collapsed="1" x14ac:dyDescent="0.35">
      <c r="A4406" s="112" t="s">
        <v>3616</v>
      </c>
      <c r="B4406" s="112" t="s">
        <v>919</v>
      </c>
      <c r="C4406" s="112" t="s">
        <v>695</v>
      </c>
      <c r="D4406" s="113">
        <v>10347981</v>
      </c>
      <c r="E4406" s="115">
        <v>43924</v>
      </c>
      <c r="F4406" s="114">
        <v>202101</v>
      </c>
      <c r="G4406" s="112" t="s">
        <v>1091</v>
      </c>
      <c r="H4406" s="112" t="s">
        <v>1015</v>
      </c>
      <c r="I4406" s="112" t="s">
        <v>3686</v>
      </c>
      <c r="J4406" s="112" t="s">
        <v>3617</v>
      </c>
      <c r="K4406" s="112" t="s">
        <v>3828</v>
      </c>
      <c r="L4406" s="116">
        <v>-20</v>
      </c>
    </row>
    <row r="4407" spans="1:12" hidden="1" outlineLevel="1" collapsed="1" x14ac:dyDescent="0.35">
      <c r="A4407" s="112" t="s">
        <v>3616</v>
      </c>
      <c r="B4407" s="112" t="s">
        <v>919</v>
      </c>
      <c r="C4407" s="112" t="s">
        <v>695</v>
      </c>
      <c r="D4407" s="113">
        <v>10347981</v>
      </c>
      <c r="E4407" s="115">
        <v>43924</v>
      </c>
      <c r="F4407" s="114">
        <v>202101</v>
      </c>
      <c r="G4407" s="112" t="s">
        <v>1091</v>
      </c>
      <c r="H4407" s="112" t="s">
        <v>1015</v>
      </c>
      <c r="I4407" s="112" t="s">
        <v>2454</v>
      </c>
      <c r="J4407" s="112" t="s">
        <v>3632</v>
      </c>
      <c r="K4407" s="112" t="s">
        <v>3829</v>
      </c>
      <c r="L4407" s="116">
        <v>-185.4</v>
      </c>
    </row>
    <row r="4408" spans="1:12" hidden="1" outlineLevel="1" collapsed="1" x14ac:dyDescent="0.35">
      <c r="A4408" s="112" t="s">
        <v>3616</v>
      </c>
      <c r="B4408" s="112" t="s">
        <v>921</v>
      </c>
      <c r="C4408" s="112" t="s">
        <v>695</v>
      </c>
      <c r="D4408" s="113">
        <v>10347981</v>
      </c>
      <c r="E4408" s="115">
        <v>43924</v>
      </c>
      <c r="F4408" s="114">
        <v>202101</v>
      </c>
      <c r="G4408" s="112" t="s">
        <v>1091</v>
      </c>
      <c r="H4408" s="112" t="s">
        <v>1015</v>
      </c>
      <c r="I4408" s="112" t="s">
        <v>745</v>
      </c>
      <c r="J4408" s="112" t="s">
        <v>3620</v>
      </c>
      <c r="K4408" s="112" t="s">
        <v>3830</v>
      </c>
      <c r="L4408" s="116">
        <v>-174</v>
      </c>
    </row>
    <row r="4409" spans="1:12" hidden="1" outlineLevel="1" collapsed="1" x14ac:dyDescent="0.35">
      <c r="A4409" s="112" t="s">
        <v>3616</v>
      </c>
      <c r="B4409" s="112" t="s">
        <v>921</v>
      </c>
      <c r="C4409" s="112" t="s">
        <v>695</v>
      </c>
      <c r="D4409" s="113">
        <v>10347981</v>
      </c>
      <c r="E4409" s="115">
        <v>43924</v>
      </c>
      <c r="F4409" s="114">
        <v>202101</v>
      </c>
      <c r="G4409" s="112" t="s">
        <v>1091</v>
      </c>
      <c r="H4409" s="112" t="s">
        <v>1015</v>
      </c>
      <c r="I4409" s="112" t="s">
        <v>3686</v>
      </c>
      <c r="J4409" s="112" t="s">
        <v>3620</v>
      </c>
      <c r="K4409" s="112" t="s">
        <v>3687</v>
      </c>
      <c r="L4409" s="116">
        <v>-28.5</v>
      </c>
    </row>
    <row r="4410" spans="1:12" hidden="1" outlineLevel="1" collapsed="1" x14ac:dyDescent="0.35">
      <c r="A4410" s="112" t="s">
        <v>3616</v>
      </c>
      <c r="B4410" s="112" t="s">
        <v>919</v>
      </c>
      <c r="C4410" s="112" t="s">
        <v>1095</v>
      </c>
      <c r="D4410" s="113">
        <v>10348451</v>
      </c>
      <c r="E4410" s="115">
        <v>43949</v>
      </c>
      <c r="F4410" s="114">
        <v>202101</v>
      </c>
      <c r="G4410" s="112" t="s">
        <v>1091</v>
      </c>
      <c r="H4410" s="112" t="s">
        <v>1015</v>
      </c>
      <c r="I4410" s="112" t="s">
        <v>1182</v>
      </c>
      <c r="J4410" s="112" t="s">
        <v>3624</v>
      </c>
      <c r="K4410" s="112" t="s">
        <v>1098</v>
      </c>
      <c r="L4410" s="116">
        <v>9.49</v>
      </c>
    </row>
    <row r="4411" spans="1:12" hidden="1" outlineLevel="1" collapsed="1" x14ac:dyDescent="0.35">
      <c r="A4411" s="112" t="s">
        <v>3616</v>
      </c>
      <c r="B4411" s="112" t="s">
        <v>922</v>
      </c>
      <c r="C4411" s="112" t="s">
        <v>695</v>
      </c>
      <c r="D4411" s="113">
        <v>10348128</v>
      </c>
      <c r="E4411" s="115">
        <v>43929</v>
      </c>
      <c r="F4411" s="114">
        <v>202101</v>
      </c>
      <c r="G4411" s="112" t="s">
        <v>1091</v>
      </c>
      <c r="H4411" s="112" t="s">
        <v>1015</v>
      </c>
      <c r="I4411" s="112" t="s">
        <v>1164</v>
      </c>
      <c r="J4411" s="112" t="s">
        <v>3791</v>
      </c>
      <c r="K4411" s="112" t="s">
        <v>3831</v>
      </c>
      <c r="L4411" s="116">
        <v>120</v>
      </c>
    </row>
    <row r="4412" spans="1:12" hidden="1" outlineLevel="1" collapsed="1" x14ac:dyDescent="0.35">
      <c r="A4412" s="112" t="s">
        <v>3616</v>
      </c>
      <c r="B4412" s="112" t="s">
        <v>919</v>
      </c>
      <c r="C4412" s="112" t="s">
        <v>695</v>
      </c>
      <c r="D4412" s="113">
        <v>10347981</v>
      </c>
      <c r="E4412" s="115">
        <v>43924</v>
      </c>
      <c r="F4412" s="114">
        <v>202101</v>
      </c>
      <c r="G4412" s="112" t="s">
        <v>1091</v>
      </c>
      <c r="H4412" s="112" t="s">
        <v>1015</v>
      </c>
      <c r="I4412" s="112" t="s">
        <v>2454</v>
      </c>
      <c r="J4412" s="112" t="s">
        <v>3624</v>
      </c>
      <c r="K4412" s="112" t="s">
        <v>3832</v>
      </c>
      <c r="L4412" s="116">
        <v>-1067.9000000000001</v>
      </c>
    </row>
    <row r="4413" spans="1:12" hidden="1" outlineLevel="1" collapsed="1" x14ac:dyDescent="0.35">
      <c r="A4413" s="112" t="s">
        <v>3616</v>
      </c>
      <c r="B4413" s="112" t="s">
        <v>919</v>
      </c>
      <c r="C4413" s="112" t="s">
        <v>695</v>
      </c>
      <c r="D4413" s="113">
        <v>10347981</v>
      </c>
      <c r="E4413" s="115">
        <v>43924</v>
      </c>
      <c r="F4413" s="114">
        <v>202101</v>
      </c>
      <c r="G4413" s="112" t="s">
        <v>1091</v>
      </c>
      <c r="H4413" s="112" t="s">
        <v>1015</v>
      </c>
      <c r="I4413" s="112" t="s">
        <v>2454</v>
      </c>
      <c r="J4413" s="112" t="s">
        <v>3628</v>
      </c>
      <c r="K4413" s="112" t="s">
        <v>3833</v>
      </c>
      <c r="L4413" s="116">
        <v>-1240</v>
      </c>
    </row>
    <row r="4414" spans="1:12" hidden="1" outlineLevel="1" collapsed="1" x14ac:dyDescent="0.35">
      <c r="A4414" s="112" t="s">
        <v>3616</v>
      </c>
      <c r="B4414" s="112" t="s">
        <v>921</v>
      </c>
      <c r="C4414" s="112" t="s">
        <v>695</v>
      </c>
      <c r="D4414" s="113">
        <v>10347981</v>
      </c>
      <c r="E4414" s="115">
        <v>43924</v>
      </c>
      <c r="F4414" s="114">
        <v>202101</v>
      </c>
      <c r="G4414" s="112" t="s">
        <v>1091</v>
      </c>
      <c r="H4414" s="112" t="s">
        <v>1015</v>
      </c>
      <c r="I4414" s="112" t="s">
        <v>3619</v>
      </c>
      <c r="J4414" s="112" t="s">
        <v>3620</v>
      </c>
      <c r="K4414" s="112" t="s">
        <v>3834</v>
      </c>
      <c r="L4414" s="116">
        <v>-112.44</v>
      </c>
    </row>
    <row r="4415" spans="1:12" hidden="1" outlineLevel="1" collapsed="1" x14ac:dyDescent="0.35">
      <c r="A4415" s="112" t="s">
        <v>3616</v>
      </c>
      <c r="B4415" s="112" t="s">
        <v>917</v>
      </c>
      <c r="C4415" s="112" t="s">
        <v>1095</v>
      </c>
      <c r="D4415" s="113">
        <v>10348451</v>
      </c>
      <c r="E4415" s="115">
        <v>43949</v>
      </c>
      <c r="F4415" s="114">
        <v>202101</v>
      </c>
      <c r="G4415" s="112" t="s">
        <v>1091</v>
      </c>
      <c r="H4415" s="112" t="s">
        <v>1015</v>
      </c>
      <c r="I4415" s="112" t="s">
        <v>1516</v>
      </c>
      <c r="J4415" s="112" t="s">
        <v>3781</v>
      </c>
      <c r="K4415" s="112" t="s">
        <v>1098</v>
      </c>
      <c r="L4415" s="116">
        <v>14.44</v>
      </c>
    </row>
    <row r="4416" spans="1:12" hidden="1" outlineLevel="1" collapsed="1" x14ac:dyDescent="0.35">
      <c r="A4416" s="112" t="s">
        <v>3616</v>
      </c>
      <c r="B4416" s="112" t="s">
        <v>917</v>
      </c>
      <c r="C4416" s="112" t="s">
        <v>1095</v>
      </c>
      <c r="D4416" s="113">
        <v>10348451</v>
      </c>
      <c r="E4416" s="115">
        <v>43949</v>
      </c>
      <c r="F4416" s="114">
        <v>202101</v>
      </c>
      <c r="G4416" s="112" t="s">
        <v>1091</v>
      </c>
      <c r="H4416" s="112" t="s">
        <v>1015</v>
      </c>
      <c r="I4416" s="112" t="s">
        <v>1544</v>
      </c>
      <c r="J4416" s="112" t="s">
        <v>3781</v>
      </c>
      <c r="K4416" s="112" t="s">
        <v>1098</v>
      </c>
      <c r="L4416" s="116">
        <v>121.5</v>
      </c>
    </row>
    <row r="4417" spans="1:12" hidden="1" outlineLevel="1" collapsed="1" x14ac:dyDescent="0.35">
      <c r="A4417" s="112" t="s">
        <v>3616</v>
      </c>
      <c r="B4417" s="112" t="s">
        <v>921</v>
      </c>
      <c r="C4417" s="112" t="s">
        <v>695</v>
      </c>
      <c r="D4417" s="113">
        <v>10347981</v>
      </c>
      <c r="E4417" s="115">
        <v>43924</v>
      </c>
      <c r="F4417" s="114">
        <v>202101</v>
      </c>
      <c r="G4417" s="112" t="s">
        <v>1091</v>
      </c>
      <c r="H4417" s="112" t="s">
        <v>1015</v>
      </c>
      <c r="I4417" s="112" t="s">
        <v>3619</v>
      </c>
      <c r="J4417" s="112" t="s">
        <v>3620</v>
      </c>
      <c r="K4417" s="112" t="s">
        <v>3668</v>
      </c>
      <c r="L4417" s="116">
        <v>-71.400000000000006</v>
      </c>
    </row>
    <row r="4418" spans="1:12" hidden="1" outlineLevel="1" collapsed="1" x14ac:dyDescent="0.35">
      <c r="A4418" s="112" t="s">
        <v>3616</v>
      </c>
      <c r="B4418" s="112" t="s">
        <v>923</v>
      </c>
      <c r="C4418" s="112" t="s">
        <v>1095</v>
      </c>
      <c r="D4418" s="113">
        <v>10348451</v>
      </c>
      <c r="E4418" s="115">
        <v>43949</v>
      </c>
      <c r="F4418" s="114">
        <v>202101</v>
      </c>
      <c r="G4418" s="112" t="s">
        <v>1091</v>
      </c>
      <c r="H4418" s="112" t="s">
        <v>1015</v>
      </c>
      <c r="I4418" s="112" t="s">
        <v>1544</v>
      </c>
      <c r="J4418" s="112" t="s">
        <v>3750</v>
      </c>
      <c r="K4418" s="112" t="s">
        <v>1098</v>
      </c>
      <c r="L4418" s="116">
        <v>52.2</v>
      </c>
    </row>
    <row r="4419" spans="1:12" hidden="1" outlineLevel="1" collapsed="1" x14ac:dyDescent="0.35">
      <c r="A4419" s="112" t="s">
        <v>3616</v>
      </c>
      <c r="B4419" s="112" t="s">
        <v>919</v>
      </c>
      <c r="C4419" s="112" t="s">
        <v>695</v>
      </c>
      <c r="D4419" s="113">
        <v>10347981</v>
      </c>
      <c r="E4419" s="115">
        <v>43924</v>
      </c>
      <c r="F4419" s="114">
        <v>202101</v>
      </c>
      <c r="G4419" s="112" t="s">
        <v>1091</v>
      </c>
      <c r="H4419" s="112" t="s">
        <v>1015</v>
      </c>
      <c r="I4419" s="112" t="s">
        <v>3619</v>
      </c>
      <c r="J4419" s="112" t="s">
        <v>3617</v>
      </c>
      <c r="K4419" s="112" t="s">
        <v>3835</v>
      </c>
      <c r="L4419" s="116">
        <v>-91.14</v>
      </c>
    </row>
    <row r="4420" spans="1:12" hidden="1" outlineLevel="1" collapsed="1" x14ac:dyDescent="0.35">
      <c r="A4420" s="112" t="s">
        <v>3616</v>
      </c>
      <c r="B4420" s="112" t="s">
        <v>921</v>
      </c>
      <c r="C4420" s="112" t="s">
        <v>695</v>
      </c>
      <c r="D4420" s="113">
        <v>10347981</v>
      </c>
      <c r="E4420" s="115">
        <v>43924</v>
      </c>
      <c r="F4420" s="114">
        <v>202101</v>
      </c>
      <c r="G4420" s="112" t="s">
        <v>1091</v>
      </c>
      <c r="H4420" s="112" t="s">
        <v>1015</v>
      </c>
      <c r="I4420" s="112" t="s">
        <v>745</v>
      </c>
      <c r="J4420" s="112" t="s">
        <v>3620</v>
      </c>
      <c r="K4420" s="112" t="s">
        <v>3836</v>
      </c>
      <c r="L4420" s="116">
        <v>-73.3</v>
      </c>
    </row>
    <row r="4421" spans="1:12" hidden="1" outlineLevel="1" collapsed="1" x14ac:dyDescent="0.35">
      <c r="A4421" s="112" t="s">
        <v>3616</v>
      </c>
      <c r="B4421" s="112" t="s">
        <v>921</v>
      </c>
      <c r="C4421" s="112" t="s">
        <v>695</v>
      </c>
      <c r="D4421" s="113">
        <v>10347981</v>
      </c>
      <c r="E4421" s="115">
        <v>43924</v>
      </c>
      <c r="F4421" s="114">
        <v>202101</v>
      </c>
      <c r="G4421" s="112" t="s">
        <v>1091</v>
      </c>
      <c r="H4421" s="112" t="s">
        <v>1015</v>
      </c>
      <c r="I4421" s="112" t="s">
        <v>3619</v>
      </c>
      <c r="J4421" s="112" t="s">
        <v>3620</v>
      </c>
      <c r="K4421" s="112" t="s">
        <v>3704</v>
      </c>
      <c r="L4421" s="116">
        <v>-16.260000000000002</v>
      </c>
    </row>
    <row r="4422" spans="1:12" hidden="1" outlineLevel="1" collapsed="1" x14ac:dyDescent="0.35">
      <c r="A4422" s="112" t="s">
        <v>3616</v>
      </c>
      <c r="B4422" s="112" t="s">
        <v>918</v>
      </c>
      <c r="C4422" s="112" t="s">
        <v>695</v>
      </c>
      <c r="D4422" s="113">
        <v>10348519</v>
      </c>
      <c r="E4422" s="115">
        <v>43950</v>
      </c>
      <c r="F4422" s="114">
        <v>202101</v>
      </c>
      <c r="G4422" s="112" t="s">
        <v>1091</v>
      </c>
      <c r="H4422" s="112" t="s">
        <v>1015</v>
      </c>
      <c r="I4422" s="112" t="s">
        <v>1868</v>
      </c>
      <c r="J4422" s="112" t="s">
        <v>3695</v>
      </c>
      <c r="K4422" s="112" t="s">
        <v>3705</v>
      </c>
      <c r="L4422" s="116">
        <v>-7362.74</v>
      </c>
    </row>
    <row r="4423" spans="1:12" hidden="1" outlineLevel="1" collapsed="1" x14ac:dyDescent="0.35">
      <c r="A4423" s="112" t="s">
        <v>3616</v>
      </c>
      <c r="B4423" s="112" t="s">
        <v>919</v>
      </c>
      <c r="C4423" s="112" t="s">
        <v>695</v>
      </c>
      <c r="D4423" s="113">
        <v>10347981</v>
      </c>
      <c r="E4423" s="115">
        <v>43924</v>
      </c>
      <c r="F4423" s="114">
        <v>202101</v>
      </c>
      <c r="G4423" s="112" t="s">
        <v>1091</v>
      </c>
      <c r="H4423" s="112" t="s">
        <v>1015</v>
      </c>
      <c r="I4423" s="112" t="s">
        <v>3619</v>
      </c>
      <c r="J4423" s="112" t="s">
        <v>3617</v>
      </c>
      <c r="K4423" s="112" t="s">
        <v>3837</v>
      </c>
      <c r="L4423" s="116">
        <v>-43.75</v>
      </c>
    </row>
    <row r="4424" spans="1:12" hidden="1" outlineLevel="1" collapsed="1" x14ac:dyDescent="0.35">
      <c r="A4424" s="112" t="s">
        <v>3616</v>
      </c>
      <c r="B4424" s="112" t="s">
        <v>919</v>
      </c>
      <c r="C4424" s="112" t="s">
        <v>695</v>
      </c>
      <c r="D4424" s="113">
        <v>10347981</v>
      </c>
      <c r="E4424" s="115">
        <v>43924</v>
      </c>
      <c r="F4424" s="114">
        <v>202101</v>
      </c>
      <c r="G4424" s="112" t="s">
        <v>1091</v>
      </c>
      <c r="H4424" s="112" t="s">
        <v>1015</v>
      </c>
      <c r="I4424" s="112" t="s">
        <v>3686</v>
      </c>
      <c r="J4424" s="112" t="s">
        <v>3624</v>
      </c>
      <c r="K4424" s="112" t="s">
        <v>3838</v>
      </c>
      <c r="L4424" s="116">
        <v>-14.08</v>
      </c>
    </row>
    <row r="4425" spans="1:12" hidden="1" outlineLevel="1" collapsed="1" x14ac:dyDescent="0.35">
      <c r="A4425" s="112" t="s">
        <v>3616</v>
      </c>
      <c r="B4425" s="112" t="s">
        <v>916</v>
      </c>
      <c r="C4425" s="112" t="s">
        <v>695</v>
      </c>
      <c r="D4425" s="113">
        <v>10347981</v>
      </c>
      <c r="E4425" s="115">
        <v>43924</v>
      </c>
      <c r="F4425" s="114">
        <v>202101</v>
      </c>
      <c r="G4425" s="112" t="s">
        <v>1091</v>
      </c>
      <c r="H4425" s="112" t="s">
        <v>1015</v>
      </c>
      <c r="I4425" s="112" t="s">
        <v>745</v>
      </c>
      <c r="J4425" s="112" t="s">
        <v>3645</v>
      </c>
      <c r="K4425" s="112" t="s">
        <v>3839</v>
      </c>
      <c r="L4425" s="116">
        <v>-680</v>
      </c>
    </row>
    <row r="4426" spans="1:12" hidden="1" outlineLevel="1" collapsed="1" x14ac:dyDescent="0.35">
      <c r="A4426" s="112" t="s">
        <v>3616</v>
      </c>
      <c r="B4426" s="112" t="s">
        <v>921</v>
      </c>
      <c r="C4426" s="112" t="s">
        <v>695</v>
      </c>
      <c r="D4426" s="113">
        <v>10347981</v>
      </c>
      <c r="E4426" s="115">
        <v>43924</v>
      </c>
      <c r="F4426" s="114">
        <v>202101</v>
      </c>
      <c r="G4426" s="112" t="s">
        <v>1091</v>
      </c>
      <c r="H4426" s="112" t="s">
        <v>1015</v>
      </c>
      <c r="I4426" s="112" t="s">
        <v>3619</v>
      </c>
      <c r="J4426" s="112" t="s">
        <v>3620</v>
      </c>
      <c r="K4426" s="112" t="s">
        <v>3666</v>
      </c>
      <c r="L4426" s="116">
        <v>-10.71</v>
      </c>
    </row>
    <row r="4427" spans="1:12" hidden="1" outlineLevel="1" collapsed="1" x14ac:dyDescent="0.35">
      <c r="A4427" s="112" t="s">
        <v>3616</v>
      </c>
      <c r="B4427" s="112" t="s">
        <v>921</v>
      </c>
      <c r="C4427" s="112" t="s">
        <v>695</v>
      </c>
      <c r="D4427" s="113">
        <v>10347981</v>
      </c>
      <c r="E4427" s="115">
        <v>43924</v>
      </c>
      <c r="F4427" s="114">
        <v>202101</v>
      </c>
      <c r="G4427" s="112" t="s">
        <v>1091</v>
      </c>
      <c r="H4427" s="112" t="s">
        <v>1015</v>
      </c>
      <c r="I4427" s="112" t="s">
        <v>3619</v>
      </c>
      <c r="J4427" s="112" t="s">
        <v>3620</v>
      </c>
      <c r="K4427" s="112" t="s">
        <v>3840</v>
      </c>
      <c r="L4427" s="116">
        <v>-20.52</v>
      </c>
    </row>
    <row r="4428" spans="1:12" hidden="1" outlineLevel="1" collapsed="1" x14ac:dyDescent="0.35">
      <c r="A4428" s="112" t="s">
        <v>3616</v>
      </c>
      <c r="B4428" s="112" t="s">
        <v>916</v>
      </c>
      <c r="C4428" s="112" t="s">
        <v>695</v>
      </c>
      <c r="D4428" s="113">
        <v>10347981</v>
      </c>
      <c r="E4428" s="115">
        <v>43924</v>
      </c>
      <c r="F4428" s="114">
        <v>202101</v>
      </c>
      <c r="G4428" s="112" t="s">
        <v>1091</v>
      </c>
      <c r="H4428" s="112" t="s">
        <v>1015</v>
      </c>
      <c r="I4428" s="112" t="s">
        <v>753</v>
      </c>
      <c r="J4428" s="112" t="s">
        <v>3626</v>
      </c>
      <c r="K4428" s="112" t="s">
        <v>3841</v>
      </c>
      <c r="L4428" s="116">
        <v>-22509.1</v>
      </c>
    </row>
    <row r="4429" spans="1:12" hidden="1" outlineLevel="1" collapsed="1" x14ac:dyDescent="0.35">
      <c r="A4429" s="112" t="s">
        <v>3616</v>
      </c>
      <c r="B4429" s="112" t="s">
        <v>918</v>
      </c>
      <c r="C4429" s="112" t="s">
        <v>695</v>
      </c>
      <c r="D4429" s="113">
        <v>10348519</v>
      </c>
      <c r="E4429" s="115">
        <v>43950</v>
      </c>
      <c r="F4429" s="114">
        <v>202101</v>
      </c>
      <c r="G4429" s="112" t="s">
        <v>1091</v>
      </c>
      <c r="H4429" s="112" t="s">
        <v>1015</v>
      </c>
      <c r="I4429" s="112" t="s">
        <v>1868</v>
      </c>
      <c r="J4429" s="112" t="s">
        <v>3695</v>
      </c>
      <c r="K4429" s="112" t="s">
        <v>3705</v>
      </c>
      <c r="L4429" s="116">
        <v>-850</v>
      </c>
    </row>
    <row r="4430" spans="1:12" hidden="1" outlineLevel="1" collapsed="1" x14ac:dyDescent="0.35">
      <c r="A4430" s="112" t="s">
        <v>3616</v>
      </c>
      <c r="B4430" s="112" t="s">
        <v>921</v>
      </c>
      <c r="C4430" s="112" t="s">
        <v>1095</v>
      </c>
      <c r="D4430" s="113">
        <v>10348451</v>
      </c>
      <c r="E4430" s="115">
        <v>43949</v>
      </c>
      <c r="F4430" s="114">
        <v>202101</v>
      </c>
      <c r="G4430" s="112" t="s">
        <v>1091</v>
      </c>
      <c r="H4430" s="112" t="s">
        <v>1015</v>
      </c>
      <c r="I4430" s="112" t="s">
        <v>1182</v>
      </c>
      <c r="J4430" s="112" t="s">
        <v>3709</v>
      </c>
      <c r="K4430" s="112" t="s">
        <v>1098</v>
      </c>
      <c r="L4430" s="116">
        <v>89.96</v>
      </c>
    </row>
    <row r="4431" spans="1:12" hidden="1" outlineLevel="1" collapsed="1" x14ac:dyDescent="0.35">
      <c r="A4431" s="112" t="s">
        <v>3616</v>
      </c>
      <c r="B4431" s="112" t="s">
        <v>921</v>
      </c>
      <c r="C4431" s="112" t="s">
        <v>695</v>
      </c>
      <c r="D4431" s="113">
        <v>10347981</v>
      </c>
      <c r="E4431" s="115">
        <v>43924</v>
      </c>
      <c r="F4431" s="114">
        <v>202101</v>
      </c>
      <c r="G4431" s="112" t="s">
        <v>1091</v>
      </c>
      <c r="H4431" s="112" t="s">
        <v>1015</v>
      </c>
      <c r="I4431" s="112" t="s">
        <v>3619</v>
      </c>
      <c r="J4431" s="112" t="s">
        <v>3620</v>
      </c>
      <c r="K4431" s="112" t="s">
        <v>3776</v>
      </c>
      <c r="L4431" s="116">
        <v>-35.1</v>
      </c>
    </row>
    <row r="4432" spans="1:12" hidden="1" outlineLevel="1" collapsed="1" x14ac:dyDescent="0.35">
      <c r="A4432" s="112" t="s">
        <v>3616</v>
      </c>
      <c r="B4432" s="112" t="s">
        <v>921</v>
      </c>
      <c r="C4432" s="112" t="s">
        <v>695</v>
      </c>
      <c r="D4432" s="113">
        <v>10347981</v>
      </c>
      <c r="E4432" s="115">
        <v>43924</v>
      </c>
      <c r="F4432" s="114">
        <v>202101</v>
      </c>
      <c r="G4432" s="112" t="s">
        <v>1091</v>
      </c>
      <c r="H4432" s="112" t="s">
        <v>1015</v>
      </c>
      <c r="I4432" s="112" t="s">
        <v>3686</v>
      </c>
      <c r="J4432" s="112" t="s">
        <v>3620</v>
      </c>
      <c r="K4432" s="112" t="s">
        <v>3842</v>
      </c>
      <c r="L4432" s="116">
        <v>-68.5</v>
      </c>
    </row>
    <row r="4433" spans="1:12" hidden="1" outlineLevel="1" collapsed="1" x14ac:dyDescent="0.35">
      <c r="A4433" s="112" t="s">
        <v>3616</v>
      </c>
      <c r="B4433" s="112" t="s">
        <v>919</v>
      </c>
      <c r="C4433" s="112" t="s">
        <v>695</v>
      </c>
      <c r="D4433" s="113">
        <v>10348077</v>
      </c>
      <c r="E4433" s="115">
        <v>43929</v>
      </c>
      <c r="F4433" s="114">
        <v>202101</v>
      </c>
      <c r="G4433" s="112" t="s">
        <v>1091</v>
      </c>
      <c r="H4433" s="112" t="s">
        <v>1016</v>
      </c>
      <c r="I4433" s="112" t="s">
        <v>1752</v>
      </c>
      <c r="J4433" s="112" t="s">
        <v>3634</v>
      </c>
      <c r="K4433" s="112" t="s">
        <v>3843</v>
      </c>
      <c r="L4433" s="116">
        <v>-1500</v>
      </c>
    </row>
    <row r="4434" spans="1:12" hidden="1" outlineLevel="1" collapsed="1" x14ac:dyDescent="0.35">
      <c r="A4434" s="112" t="s">
        <v>3616</v>
      </c>
      <c r="B4434" s="112" t="s">
        <v>919</v>
      </c>
      <c r="C4434" s="112" t="s">
        <v>695</v>
      </c>
      <c r="D4434" s="113">
        <v>10348077</v>
      </c>
      <c r="E4434" s="115">
        <v>43929</v>
      </c>
      <c r="F4434" s="114">
        <v>202101</v>
      </c>
      <c r="G4434" s="112" t="s">
        <v>1091</v>
      </c>
      <c r="H4434" s="112" t="s">
        <v>1016</v>
      </c>
      <c r="I4434" s="112" t="s">
        <v>823</v>
      </c>
      <c r="J4434" s="112" t="s">
        <v>3634</v>
      </c>
      <c r="K4434" s="112" t="s">
        <v>3844</v>
      </c>
      <c r="L4434" s="116">
        <v>15808</v>
      </c>
    </row>
    <row r="4435" spans="1:12" hidden="1" outlineLevel="1" collapsed="1" x14ac:dyDescent="0.35">
      <c r="A4435" s="112" t="s">
        <v>3616</v>
      </c>
      <c r="B4435" s="112" t="s">
        <v>919</v>
      </c>
      <c r="C4435" s="112" t="s">
        <v>695</v>
      </c>
      <c r="D4435" s="113">
        <v>10348077</v>
      </c>
      <c r="E4435" s="115">
        <v>43929</v>
      </c>
      <c r="F4435" s="114">
        <v>202101</v>
      </c>
      <c r="G4435" s="112" t="s">
        <v>1091</v>
      </c>
      <c r="H4435" s="112" t="s">
        <v>1016</v>
      </c>
      <c r="I4435" s="112" t="s">
        <v>823</v>
      </c>
      <c r="J4435" s="112" t="s">
        <v>3634</v>
      </c>
      <c r="K4435" s="112" t="s">
        <v>3845</v>
      </c>
      <c r="L4435" s="116">
        <v>-2025</v>
      </c>
    </row>
    <row r="4436" spans="1:12" hidden="1" outlineLevel="1" collapsed="1" x14ac:dyDescent="0.35">
      <c r="A4436" s="112" t="s">
        <v>3616</v>
      </c>
      <c r="B4436" s="112" t="s">
        <v>919</v>
      </c>
      <c r="C4436" s="112" t="s">
        <v>1518</v>
      </c>
      <c r="D4436" s="113">
        <v>51366071</v>
      </c>
      <c r="E4436" s="115">
        <v>43929</v>
      </c>
      <c r="F4436" s="114">
        <v>202101</v>
      </c>
      <c r="G4436" s="112" t="s">
        <v>1091</v>
      </c>
      <c r="H4436" s="112" t="s">
        <v>1016</v>
      </c>
      <c r="I4436" s="112" t="s">
        <v>3846</v>
      </c>
      <c r="J4436" s="112" t="s">
        <v>3624</v>
      </c>
      <c r="K4436" s="112" t="s">
        <v>3847</v>
      </c>
      <c r="L4436" s="116">
        <v>-598.4</v>
      </c>
    </row>
    <row r="4437" spans="1:12" hidden="1" outlineLevel="1" collapsed="1" x14ac:dyDescent="0.35">
      <c r="A4437" s="112" t="s">
        <v>3616</v>
      </c>
      <c r="B4437" s="112" t="s">
        <v>919</v>
      </c>
      <c r="C4437" s="112" t="s">
        <v>695</v>
      </c>
      <c r="D4437" s="113">
        <v>10348077</v>
      </c>
      <c r="E4437" s="115">
        <v>43929</v>
      </c>
      <c r="F4437" s="114">
        <v>202101</v>
      </c>
      <c r="G4437" s="112" t="s">
        <v>1091</v>
      </c>
      <c r="H4437" s="112" t="s">
        <v>1016</v>
      </c>
      <c r="I4437" s="112" t="s">
        <v>823</v>
      </c>
      <c r="J4437" s="112" t="s">
        <v>3624</v>
      </c>
      <c r="K4437" s="112" t="s">
        <v>3848</v>
      </c>
      <c r="L4437" s="116">
        <v>-12000</v>
      </c>
    </row>
    <row r="4438" spans="1:12" hidden="1" outlineLevel="1" collapsed="1" x14ac:dyDescent="0.35">
      <c r="A4438" s="112" t="s">
        <v>3616</v>
      </c>
      <c r="B4438" s="112" t="s">
        <v>919</v>
      </c>
      <c r="C4438" s="112" t="s">
        <v>695</v>
      </c>
      <c r="D4438" s="113">
        <v>10348077</v>
      </c>
      <c r="E4438" s="115">
        <v>43929</v>
      </c>
      <c r="F4438" s="114">
        <v>202101</v>
      </c>
      <c r="G4438" s="112" t="s">
        <v>1091</v>
      </c>
      <c r="H4438" s="112" t="s">
        <v>1016</v>
      </c>
      <c r="I4438" s="112" t="s">
        <v>823</v>
      </c>
      <c r="J4438" s="112" t="s">
        <v>3624</v>
      </c>
      <c r="K4438" s="112" t="s">
        <v>3849</v>
      </c>
      <c r="L4438" s="116">
        <v>-3116.5</v>
      </c>
    </row>
    <row r="4439" spans="1:12" hidden="1" outlineLevel="1" collapsed="1" x14ac:dyDescent="0.35">
      <c r="A4439" s="112" t="s">
        <v>3616</v>
      </c>
      <c r="B4439" s="112" t="s">
        <v>919</v>
      </c>
      <c r="C4439" s="112" t="s">
        <v>695</v>
      </c>
      <c r="D4439" s="113">
        <v>10348077</v>
      </c>
      <c r="E4439" s="115">
        <v>43929</v>
      </c>
      <c r="F4439" s="114">
        <v>202101</v>
      </c>
      <c r="G4439" s="112" t="s">
        <v>1091</v>
      </c>
      <c r="H4439" s="112" t="s">
        <v>1016</v>
      </c>
      <c r="I4439" s="112" t="s">
        <v>1752</v>
      </c>
      <c r="J4439" s="112" t="s">
        <v>3624</v>
      </c>
      <c r="K4439" s="112" t="s">
        <v>3848</v>
      </c>
      <c r="L4439" s="116">
        <v>-3512.5</v>
      </c>
    </row>
    <row r="4440" spans="1:12" hidden="1" outlineLevel="1" collapsed="1" x14ac:dyDescent="0.35">
      <c r="A4440" s="112" t="s">
        <v>3616</v>
      </c>
      <c r="B4440" s="112" t="s">
        <v>919</v>
      </c>
      <c r="C4440" s="112" t="s">
        <v>1095</v>
      </c>
      <c r="D4440" s="113">
        <v>10348451</v>
      </c>
      <c r="E4440" s="115">
        <v>43949</v>
      </c>
      <c r="F4440" s="114">
        <v>202101</v>
      </c>
      <c r="G4440" s="112" t="s">
        <v>1091</v>
      </c>
      <c r="H4440" s="112" t="s">
        <v>1015</v>
      </c>
      <c r="I4440" s="112" t="s">
        <v>1096</v>
      </c>
      <c r="J4440" s="112" t="s">
        <v>3632</v>
      </c>
      <c r="K4440" s="112" t="s">
        <v>1098</v>
      </c>
      <c r="L4440" s="116">
        <v>189.15</v>
      </c>
    </row>
    <row r="4441" spans="1:12" hidden="1" outlineLevel="1" collapsed="1" x14ac:dyDescent="0.35">
      <c r="A4441" s="112" t="s">
        <v>3616</v>
      </c>
      <c r="B4441" s="112" t="s">
        <v>919</v>
      </c>
      <c r="C4441" s="112" t="s">
        <v>1095</v>
      </c>
      <c r="D4441" s="113">
        <v>10348451</v>
      </c>
      <c r="E4441" s="115">
        <v>43949</v>
      </c>
      <c r="F4441" s="114">
        <v>202101</v>
      </c>
      <c r="G4441" s="112" t="s">
        <v>1091</v>
      </c>
      <c r="H4441" s="112" t="s">
        <v>1015</v>
      </c>
      <c r="I4441" s="112" t="s">
        <v>1096</v>
      </c>
      <c r="J4441" s="112" t="s">
        <v>3632</v>
      </c>
      <c r="K4441" s="112" t="s">
        <v>1098</v>
      </c>
      <c r="L4441" s="116">
        <v>312.47000000000003</v>
      </c>
    </row>
    <row r="4442" spans="1:12" hidden="1" outlineLevel="1" collapsed="1" x14ac:dyDescent="0.35">
      <c r="A4442" s="112" t="s">
        <v>3616</v>
      </c>
      <c r="B4442" s="112" t="s">
        <v>919</v>
      </c>
      <c r="C4442" s="112" t="s">
        <v>1095</v>
      </c>
      <c r="D4442" s="113">
        <v>10348451</v>
      </c>
      <c r="E4442" s="115">
        <v>43949</v>
      </c>
      <c r="F4442" s="114">
        <v>202101</v>
      </c>
      <c r="G4442" s="112" t="s">
        <v>1091</v>
      </c>
      <c r="H4442" s="112" t="s">
        <v>1015</v>
      </c>
      <c r="I4442" s="112" t="s">
        <v>1096</v>
      </c>
      <c r="J4442" s="112" t="s">
        <v>3617</v>
      </c>
      <c r="K4442" s="112" t="s">
        <v>1098</v>
      </c>
      <c r="L4442" s="116">
        <v>23.69</v>
      </c>
    </row>
    <row r="4443" spans="1:12" hidden="1" outlineLevel="1" collapsed="1" x14ac:dyDescent="0.35">
      <c r="A4443" s="112" t="s">
        <v>3616</v>
      </c>
      <c r="B4443" s="112" t="s">
        <v>919</v>
      </c>
      <c r="C4443" s="112" t="s">
        <v>1095</v>
      </c>
      <c r="D4443" s="113">
        <v>10348451</v>
      </c>
      <c r="E4443" s="115">
        <v>43949</v>
      </c>
      <c r="F4443" s="114">
        <v>202101</v>
      </c>
      <c r="G4443" s="112" t="s">
        <v>1091</v>
      </c>
      <c r="H4443" s="112" t="s">
        <v>1015</v>
      </c>
      <c r="I4443" s="112" t="s">
        <v>1096</v>
      </c>
      <c r="J4443" s="112" t="s">
        <v>3617</v>
      </c>
      <c r="K4443" s="112" t="s">
        <v>1098</v>
      </c>
      <c r="L4443" s="116">
        <v>336.53</v>
      </c>
    </row>
    <row r="4444" spans="1:12" hidden="1" outlineLevel="1" collapsed="1" x14ac:dyDescent="0.35">
      <c r="A4444" s="112" t="s">
        <v>3616</v>
      </c>
      <c r="B4444" s="112" t="s">
        <v>916</v>
      </c>
      <c r="C4444" s="112" t="s">
        <v>1095</v>
      </c>
      <c r="D4444" s="113">
        <v>10348451</v>
      </c>
      <c r="E4444" s="115">
        <v>43949</v>
      </c>
      <c r="F4444" s="114">
        <v>202101</v>
      </c>
      <c r="G4444" s="112" t="s">
        <v>1091</v>
      </c>
      <c r="H4444" s="112" t="s">
        <v>1015</v>
      </c>
      <c r="I4444" s="112" t="s">
        <v>1096</v>
      </c>
      <c r="J4444" s="112" t="s">
        <v>3771</v>
      </c>
      <c r="K4444" s="112" t="s">
        <v>1098</v>
      </c>
      <c r="L4444" s="116">
        <v>366.99</v>
      </c>
    </row>
    <row r="4445" spans="1:12" hidden="1" outlineLevel="1" collapsed="1" x14ac:dyDescent="0.35">
      <c r="A4445" s="112" t="s">
        <v>3616</v>
      </c>
      <c r="B4445" s="112" t="s">
        <v>916</v>
      </c>
      <c r="C4445" s="112" t="s">
        <v>1095</v>
      </c>
      <c r="D4445" s="113">
        <v>10348451</v>
      </c>
      <c r="E4445" s="115">
        <v>43949</v>
      </c>
      <c r="F4445" s="114">
        <v>202101</v>
      </c>
      <c r="G4445" s="112" t="s">
        <v>1091</v>
      </c>
      <c r="H4445" s="112" t="s">
        <v>1015</v>
      </c>
      <c r="I4445" s="112" t="s">
        <v>1096</v>
      </c>
      <c r="J4445" s="112" t="s">
        <v>3771</v>
      </c>
      <c r="K4445" s="112" t="s">
        <v>1098</v>
      </c>
      <c r="L4445" s="116">
        <v>310.49</v>
      </c>
    </row>
    <row r="4446" spans="1:12" hidden="1" outlineLevel="1" collapsed="1" x14ac:dyDescent="0.35">
      <c r="A4446" s="112" t="s">
        <v>3616</v>
      </c>
      <c r="B4446" s="112" t="s">
        <v>916</v>
      </c>
      <c r="C4446" s="112" t="s">
        <v>1095</v>
      </c>
      <c r="D4446" s="113">
        <v>10348451</v>
      </c>
      <c r="E4446" s="115">
        <v>43949</v>
      </c>
      <c r="F4446" s="114">
        <v>202101</v>
      </c>
      <c r="G4446" s="112" t="s">
        <v>1091</v>
      </c>
      <c r="H4446" s="112" t="s">
        <v>1015</v>
      </c>
      <c r="I4446" s="112" t="s">
        <v>1096</v>
      </c>
      <c r="J4446" s="112" t="s">
        <v>3771</v>
      </c>
      <c r="K4446" s="112" t="s">
        <v>1098</v>
      </c>
      <c r="L4446" s="116">
        <v>922.43</v>
      </c>
    </row>
    <row r="4447" spans="1:12" hidden="1" outlineLevel="1" collapsed="1" x14ac:dyDescent="0.35">
      <c r="A4447" s="112" t="s">
        <v>3616</v>
      </c>
      <c r="B4447" s="112" t="s">
        <v>916</v>
      </c>
      <c r="C4447" s="112" t="s">
        <v>1095</v>
      </c>
      <c r="D4447" s="113">
        <v>10348451</v>
      </c>
      <c r="E4447" s="115">
        <v>43949</v>
      </c>
      <c r="F4447" s="114">
        <v>202101</v>
      </c>
      <c r="G4447" s="112" t="s">
        <v>1091</v>
      </c>
      <c r="H4447" s="112" t="s">
        <v>1015</v>
      </c>
      <c r="I4447" s="112" t="s">
        <v>1096</v>
      </c>
      <c r="J4447" s="112" t="s">
        <v>3771</v>
      </c>
      <c r="K4447" s="112" t="s">
        <v>1098</v>
      </c>
      <c r="L4447" s="116">
        <v>231.01</v>
      </c>
    </row>
    <row r="4448" spans="1:12" hidden="1" outlineLevel="1" collapsed="1" x14ac:dyDescent="0.35">
      <c r="A4448" s="112" t="s">
        <v>3616</v>
      </c>
      <c r="B4448" s="112" t="s">
        <v>916</v>
      </c>
      <c r="C4448" s="112" t="s">
        <v>1095</v>
      </c>
      <c r="D4448" s="113">
        <v>10348451</v>
      </c>
      <c r="E4448" s="115">
        <v>43949</v>
      </c>
      <c r="F4448" s="114">
        <v>202101</v>
      </c>
      <c r="G4448" s="112" t="s">
        <v>1091</v>
      </c>
      <c r="H4448" s="112" t="s">
        <v>1015</v>
      </c>
      <c r="I4448" s="112" t="s">
        <v>1096</v>
      </c>
      <c r="J4448" s="112" t="s">
        <v>3771</v>
      </c>
      <c r="K4448" s="112" t="s">
        <v>1098</v>
      </c>
      <c r="L4448" s="116">
        <v>477.46</v>
      </c>
    </row>
    <row r="4449" spans="1:12" hidden="1" outlineLevel="1" collapsed="1" x14ac:dyDescent="0.35">
      <c r="A4449" s="112" t="s">
        <v>3616</v>
      </c>
      <c r="B4449" s="112" t="s">
        <v>923</v>
      </c>
      <c r="C4449" s="112" t="s">
        <v>695</v>
      </c>
      <c r="D4449" s="113">
        <v>10348034</v>
      </c>
      <c r="E4449" s="115">
        <v>43928</v>
      </c>
      <c r="F4449" s="114">
        <v>202101</v>
      </c>
      <c r="G4449" s="112" t="s">
        <v>1091</v>
      </c>
      <c r="H4449" s="112" t="s">
        <v>1015</v>
      </c>
      <c r="I4449" s="112" t="s">
        <v>1211</v>
      </c>
      <c r="J4449" s="112" t="s">
        <v>3750</v>
      </c>
      <c r="K4449" s="112" t="s">
        <v>3850</v>
      </c>
      <c r="L4449" s="116">
        <v>-6499</v>
      </c>
    </row>
    <row r="4450" spans="1:12" hidden="1" outlineLevel="1" collapsed="1" x14ac:dyDescent="0.35">
      <c r="A4450" s="112" t="s">
        <v>3616</v>
      </c>
      <c r="B4450" s="112" t="s">
        <v>921</v>
      </c>
      <c r="C4450" s="112" t="s">
        <v>1518</v>
      </c>
      <c r="D4450" s="113">
        <v>51365673</v>
      </c>
      <c r="E4450" s="115">
        <v>43924</v>
      </c>
      <c r="F4450" s="114">
        <v>202101</v>
      </c>
      <c r="G4450" s="112" t="s">
        <v>1091</v>
      </c>
      <c r="H4450" s="112" t="s">
        <v>1016</v>
      </c>
      <c r="I4450" s="112" t="s">
        <v>3851</v>
      </c>
      <c r="J4450" s="112" t="s">
        <v>3709</v>
      </c>
      <c r="K4450" s="112" t="s">
        <v>3852</v>
      </c>
      <c r="L4450" s="116">
        <v>-13.2</v>
      </c>
    </row>
    <row r="4451" spans="1:12" hidden="1" outlineLevel="1" collapsed="1" x14ac:dyDescent="0.35">
      <c r="A4451" s="112" t="s">
        <v>3616</v>
      </c>
      <c r="B4451" s="112" t="s">
        <v>921</v>
      </c>
      <c r="C4451" s="112" t="s">
        <v>1518</v>
      </c>
      <c r="D4451" s="113">
        <v>51365673</v>
      </c>
      <c r="E4451" s="115">
        <v>43924</v>
      </c>
      <c r="F4451" s="114">
        <v>202101</v>
      </c>
      <c r="G4451" s="112" t="s">
        <v>1091</v>
      </c>
      <c r="H4451" s="112" t="s">
        <v>1016</v>
      </c>
      <c r="I4451" s="112" t="s">
        <v>3846</v>
      </c>
      <c r="J4451" s="112" t="s">
        <v>3709</v>
      </c>
      <c r="K4451" s="112" t="s">
        <v>3852</v>
      </c>
      <c r="L4451" s="116">
        <v>-187.5</v>
      </c>
    </row>
    <row r="4452" spans="1:12" hidden="1" outlineLevel="1" collapsed="1" x14ac:dyDescent="0.35">
      <c r="A4452" s="112" t="s">
        <v>3616</v>
      </c>
      <c r="B4452" s="112" t="s">
        <v>921</v>
      </c>
      <c r="C4452" s="112" t="s">
        <v>1518</v>
      </c>
      <c r="D4452" s="113">
        <v>51365675</v>
      </c>
      <c r="E4452" s="115">
        <v>43924</v>
      </c>
      <c r="F4452" s="114">
        <v>202101</v>
      </c>
      <c r="G4452" s="112" t="s">
        <v>1091</v>
      </c>
      <c r="H4452" s="112" t="s">
        <v>1016</v>
      </c>
      <c r="I4452" s="112" t="s">
        <v>3846</v>
      </c>
      <c r="J4452" s="112" t="s">
        <v>3709</v>
      </c>
      <c r="K4452" s="112" t="s">
        <v>3853</v>
      </c>
      <c r="L4452" s="116">
        <v>-1045</v>
      </c>
    </row>
    <row r="4453" spans="1:12" hidden="1" outlineLevel="1" collapsed="1" x14ac:dyDescent="0.35">
      <c r="A4453" s="112" t="s">
        <v>3616</v>
      </c>
      <c r="B4453" s="112" t="s">
        <v>921</v>
      </c>
      <c r="C4453" s="112" t="s">
        <v>1518</v>
      </c>
      <c r="D4453" s="113">
        <v>51365674</v>
      </c>
      <c r="E4453" s="115">
        <v>43924</v>
      </c>
      <c r="F4453" s="114">
        <v>202101</v>
      </c>
      <c r="G4453" s="112" t="s">
        <v>1091</v>
      </c>
      <c r="H4453" s="112" t="s">
        <v>1016</v>
      </c>
      <c r="I4453" s="112" t="s">
        <v>3854</v>
      </c>
      <c r="J4453" s="112" t="s">
        <v>3709</v>
      </c>
      <c r="K4453" s="112" t="s">
        <v>3855</v>
      </c>
      <c r="L4453" s="116">
        <v>-150.76</v>
      </c>
    </row>
    <row r="4454" spans="1:12" hidden="1" outlineLevel="1" collapsed="1" x14ac:dyDescent="0.35">
      <c r="A4454" s="112" t="s">
        <v>3616</v>
      </c>
      <c r="B4454" s="112" t="s">
        <v>920</v>
      </c>
      <c r="C4454" s="112" t="s">
        <v>1095</v>
      </c>
      <c r="D4454" s="113">
        <v>10348451</v>
      </c>
      <c r="E4454" s="115">
        <v>43949</v>
      </c>
      <c r="F4454" s="114">
        <v>202101</v>
      </c>
      <c r="G4454" s="112" t="s">
        <v>1091</v>
      </c>
      <c r="H4454" s="112" t="s">
        <v>1015</v>
      </c>
      <c r="I4454" s="112" t="s">
        <v>1116</v>
      </c>
      <c r="J4454" s="112" t="s">
        <v>3755</v>
      </c>
      <c r="K4454" s="112" t="s">
        <v>1098</v>
      </c>
      <c r="L4454" s="116">
        <v>2631.25</v>
      </c>
    </row>
    <row r="4455" spans="1:12" hidden="1" outlineLevel="1" collapsed="1" x14ac:dyDescent="0.35">
      <c r="A4455" s="112" t="s">
        <v>3616</v>
      </c>
      <c r="B4455" s="112" t="s">
        <v>920</v>
      </c>
      <c r="C4455" s="112" t="s">
        <v>1095</v>
      </c>
      <c r="D4455" s="113">
        <v>10348451</v>
      </c>
      <c r="E4455" s="115">
        <v>43949</v>
      </c>
      <c r="F4455" s="114">
        <v>202101</v>
      </c>
      <c r="G4455" s="112" t="s">
        <v>1091</v>
      </c>
      <c r="H4455" s="112" t="s">
        <v>1015</v>
      </c>
      <c r="I4455" s="112" t="s">
        <v>1116</v>
      </c>
      <c r="J4455" s="112" t="s">
        <v>3755</v>
      </c>
      <c r="K4455" s="112" t="s">
        <v>1098</v>
      </c>
      <c r="L4455" s="116">
        <v>3391.33</v>
      </c>
    </row>
    <row r="4456" spans="1:12" hidden="1" outlineLevel="1" collapsed="1" x14ac:dyDescent="0.35">
      <c r="A4456" s="112" t="s">
        <v>3616</v>
      </c>
      <c r="B4456" s="112" t="s">
        <v>921</v>
      </c>
      <c r="C4456" s="112" t="s">
        <v>1518</v>
      </c>
      <c r="D4456" s="113">
        <v>51365676</v>
      </c>
      <c r="E4456" s="115">
        <v>43924</v>
      </c>
      <c r="F4456" s="114">
        <v>202101</v>
      </c>
      <c r="G4456" s="112" t="s">
        <v>1091</v>
      </c>
      <c r="H4456" s="112" t="s">
        <v>1016</v>
      </c>
      <c r="I4456" s="112" t="s">
        <v>3846</v>
      </c>
      <c r="J4456" s="112" t="s">
        <v>3709</v>
      </c>
      <c r="K4456" s="112" t="s">
        <v>3856</v>
      </c>
      <c r="L4456" s="116">
        <v>-1372.4</v>
      </c>
    </row>
    <row r="4457" spans="1:12" hidden="1" outlineLevel="1" collapsed="1" x14ac:dyDescent="0.35">
      <c r="A4457" s="112" t="s">
        <v>3616</v>
      </c>
      <c r="B4457" s="112" t="s">
        <v>920</v>
      </c>
      <c r="C4457" s="112" t="s">
        <v>1095</v>
      </c>
      <c r="D4457" s="113">
        <v>10348451</v>
      </c>
      <c r="E4457" s="115">
        <v>43949</v>
      </c>
      <c r="F4457" s="114">
        <v>202101</v>
      </c>
      <c r="G4457" s="112" t="s">
        <v>1091</v>
      </c>
      <c r="H4457" s="112" t="s">
        <v>1015</v>
      </c>
      <c r="I4457" s="112" t="s">
        <v>1116</v>
      </c>
      <c r="J4457" s="112" t="s">
        <v>3755</v>
      </c>
      <c r="K4457" s="112" t="s">
        <v>1098</v>
      </c>
      <c r="L4457" s="116">
        <v>2259.5</v>
      </c>
    </row>
    <row r="4458" spans="1:12" hidden="1" outlineLevel="1" collapsed="1" x14ac:dyDescent="0.35">
      <c r="A4458" s="112" t="s">
        <v>3616</v>
      </c>
      <c r="B4458" s="112" t="s">
        <v>920</v>
      </c>
      <c r="C4458" s="112" t="s">
        <v>1095</v>
      </c>
      <c r="D4458" s="113">
        <v>10348451</v>
      </c>
      <c r="E4458" s="115">
        <v>43949</v>
      </c>
      <c r="F4458" s="114">
        <v>202101</v>
      </c>
      <c r="G4458" s="112" t="s">
        <v>1091</v>
      </c>
      <c r="H4458" s="112" t="s">
        <v>1015</v>
      </c>
      <c r="I4458" s="112" t="s">
        <v>1116</v>
      </c>
      <c r="J4458" s="112" t="s">
        <v>3755</v>
      </c>
      <c r="K4458" s="112" t="s">
        <v>1098</v>
      </c>
      <c r="L4458" s="116">
        <v>216.63</v>
      </c>
    </row>
    <row r="4459" spans="1:12" hidden="1" outlineLevel="1" collapsed="1" x14ac:dyDescent="0.35">
      <c r="A4459" s="112" t="s">
        <v>3616</v>
      </c>
      <c r="B4459" s="112" t="s">
        <v>920</v>
      </c>
      <c r="C4459" s="112" t="s">
        <v>1095</v>
      </c>
      <c r="D4459" s="113">
        <v>10348451</v>
      </c>
      <c r="E4459" s="115">
        <v>43949</v>
      </c>
      <c r="F4459" s="114">
        <v>202101</v>
      </c>
      <c r="G4459" s="112" t="s">
        <v>1091</v>
      </c>
      <c r="H4459" s="112" t="s">
        <v>1015</v>
      </c>
      <c r="I4459" s="112" t="s">
        <v>1116</v>
      </c>
      <c r="J4459" s="112" t="s">
        <v>3755</v>
      </c>
      <c r="K4459" s="112" t="s">
        <v>1098</v>
      </c>
      <c r="L4459" s="116">
        <v>152.91999999999999</v>
      </c>
    </row>
    <row r="4460" spans="1:12" hidden="1" outlineLevel="1" collapsed="1" x14ac:dyDescent="0.35">
      <c r="A4460" s="112" t="s">
        <v>3616</v>
      </c>
      <c r="B4460" s="112" t="s">
        <v>922</v>
      </c>
      <c r="C4460" s="112" t="s">
        <v>1095</v>
      </c>
      <c r="D4460" s="113">
        <v>10348451</v>
      </c>
      <c r="E4460" s="115">
        <v>43949</v>
      </c>
      <c r="F4460" s="114">
        <v>202101</v>
      </c>
      <c r="G4460" s="112" t="s">
        <v>1091</v>
      </c>
      <c r="H4460" s="112" t="s">
        <v>1015</v>
      </c>
      <c r="I4460" s="112" t="s">
        <v>1190</v>
      </c>
      <c r="J4460" s="112" t="s">
        <v>3766</v>
      </c>
      <c r="K4460" s="112" t="s">
        <v>1098</v>
      </c>
      <c r="L4460" s="116">
        <v>619.78</v>
      </c>
    </row>
    <row r="4461" spans="1:12" hidden="1" outlineLevel="1" collapsed="1" x14ac:dyDescent="0.35">
      <c r="A4461" s="112" t="s">
        <v>3616</v>
      </c>
      <c r="B4461" s="112" t="s">
        <v>920</v>
      </c>
      <c r="C4461" s="112" t="s">
        <v>1095</v>
      </c>
      <c r="D4461" s="113">
        <v>10348451</v>
      </c>
      <c r="E4461" s="115">
        <v>43949</v>
      </c>
      <c r="F4461" s="114">
        <v>202101</v>
      </c>
      <c r="G4461" s="112" t="s">
        <v>1091</v>
      </c>
      <c r="H4461" s="112" t="s">
        <v>1015</v>
      </c>
      <c r="I4461" s="112" t="s">
        <v>1116</v>
      </c>
      <c r="J4461" s="112" t="s">
        <v>3755</v>
      </c>
      <c r="K4461" s="112" t="s">
        <v>1098</v>
      </c>
      <c r="L4461" s="116">
        <v>76.459999999999994</v>
      </c>
    </row>
    <row r="4462" spans="1:12" hidden="1" outlineLevel="1" collapsed="1" x14ac:dyDescent="0.35">
      <c r="A4462" s="112" t="s">
        <v>3616</v>
      </c>
      <c r="B4462" s="112" t="s">
        <v>920</v>
      </c>
      <c r="C4462" s="112" t="s">
        <v>1095</v>
      </c>
      <c r="D4462" s="113">
        <v>10348451</v>
      </c>
      <c r="E4462" s="115">
        <v>43949</v>
      </c>
      <c r="F4462" s="114">
        <v>202101</v>
      </c>
      <c r="G4462" s="112" t="s">
        <v>1091</v>
      </c>
      <c r="H4462" s="112" t="s">
        <v>1015</v>
      </c>
      <c r="I4462" s="112" t="s">
        <v>1116</v>
      </c>
      <c r="J4462" s="112" t="s">
        <v>3755</v>
      </c>
      <c r="K4462" s="112" t="s">
        <v>1098</v>
      </c>
      <c r="L4462" s="116">
        <v>197.52</v>
      </c>
    </row>
    <row r="4463" spans="1:12" hidden="1" outlineLevel="1" collapsed="1" x14ac:dyDescent="0.35">
      <c r="A4463" s="112" t="s">
        <v>3616</v>
      </c>
      <c r="B4463" s="112" t="s">
        <v>916</v>
      </c>
      <c r="C4463" s="112" t="s">
        <v>1095</v>
      </c>
      <c r="D4463" s="113">
        <v>10348451</v>
      </c>
      <c r="E4463" s="115">
        <v>43949</v>
      </c>
      <c r="F4463" s="114">
        <v>202101</v>
      </c>
      <c r="G4463" s="112" t="s">
        <v>1091</v>
      </c>
      <c r="H4463" s="112" t="s">
        <v>1015</v>
      </c>
      <c r="I4463" s="112" t="s">
        <v>1101</v>
      </c>
      <c r="J4463" s="112" t="s">
        <v>3771</v>
      </c>
      <c r="K4463" s="112" t="s">
        <v>1098</v>
      </c>
      <c r="L4463" s="116">
        <v>483.07</v>
      </c>
    </row>
    <row r="4464" spans="1:12" hidden="1" outlineLevel="1" collapsed="1" x14ac:dyDescent="0.35">
      <c r="A4464" s="112" t="s">
        <v>3616</v>
      </c>
      <c r="B4464" s="112" t="s">
        <v>921</v>
      </c>
      <c r="C4464" s="112" t="s">
        <v>1095</v>
      </c>
      <c r="D4464" s="113">
        <v>10348451</v>
      </c>
      <c r="E4464" s="115">
        <v>43949</v>
      </c>
      <c r="F4464" s="114">
        <v>202101</v>
      </c>
      <c r="G4464" s="112" t="s">
        <v>1091</v>
      </c>
      <c r="H4464" s="112" t="s">
        <v>1015</v>
      </c>
      <c r="I4464" s="112" t="s">
        <v>1190</v>
      </c>
      <c r="J4464" s="112" t="s">
        <v>3620</v>
      </c>
      <c r="K4464" s="112" t="s">
        <v>1098</v>
      </c>
      <c r="L4464" s="116">
        <v>280.60000000000002</v>
      </c>
    </row>
    <row r="4465" spans="1:12" hidden="1" outlineLevel="1" collapsed="1" x14ac:dyDescent="0.35">
      <c r="A4465" s="112" t="s">
        <v>3616</v>
      </c>
      <c r="B4465" s="112" t="s">
        <v>921</v>
      </c>
      <c r="C4465" s="112" t="s">
        <v>1095</v>
      </c>
      <c r="D4465" s="113">
        <v>10348451</v>
      </c>
      <c r="E4465" s="115">
        <v>43949</v>
      </c>
      <c r="F4465" s="114">
        <v>202101</v>
      </c>
      <c r="G4465" s="112" t="s">
        <v>1091</v>
      </c>
      <c r="H4465" s="112" t="s">
        <v>1015</v>
      </c>
      <c r="I4465" s="112" t="s">
        <v>1190</v>
      </c>
      <c r="J4465" s="112" t="s">
        <v>3620</v>
      </c>
      <c r="K4465" s="112" t="s">
        <v>1098</v>
      </c>
      <c r="L4465" s="116">
        <v>1150.77</v>
      </c>
    </row>
    <row r="4466" spans="1:12" hidden="1" outlineLevel="1" collapsed="1" x14ac:dyDescent="0.35">
      <c r="A4466" s="112" t="s">
        <v>3616</v>
      </c>
      <c r="B4466" s="112" t="s">
        <v>921</v>
      </c>
      <c r="C4466" s="112" t="s">
        <v>1095</v>
      </c>
      <c r="D4466" s="113">
        <v>10348451</v>
      </c>
      <c r="E4466" s="115">
        <v>43949</v>
      </c>
      <c r="F4466" s="114">
        <v>202101</v>
      </c>
      <c r="G4466" s="112" t="s">
        <v>1091</v>
      </c>
      <c r="H4466" s="112" t="s">
        <v>1015</v>
      </c>
      <c r="I4466" s="112" t="s">
        <v>1190</v>
      </c>
      <c r="J4466" s="112" t="s">
        <v>3620</v>
      </c>
      <c r="K4466" s="112" t="s">
        <v>1098</v>
      </c>
      <c r="L4466" s="116">
        <v>331.08</v>
      </c>
    </row>
    <row r="4467" spans="1:12" hidden="1" outlineLevel="1" collapsed="1" x14ac:dyDescent="0.35">
      <c r="A4467" s="112" t="s">
        <v>3616</v>
      </c>
      <c r="B4467" s="112" t="s">
        <v>922</v>
      </c>
      <c r="C4467" s="112" t="s">
        <v>695</v>
      </c>
      <c r="D4467" s="113">
        <v>10348191</v>
      </c>
      <c r="E4467" s="115">
        <v>43929</v>
      </c>
      <c r="F4467" s="114">
        <v>202101</v>
      </c>
      <c r="G4467" s="112" t="s">
        <v>1091</v>
      </c>
      <c r="H4467" s="112" t="s">
        <v>1015</v>
      </c>
      <c r="I4467" s="112" t="s">
        <v>761</v>
      </c>
      <c r="J4467" s="112" t="s">
        <v>3691</v>
      </c>
      <c r="K4467" s="112" t="s">
        <v>3857</v>
      </c>
      <c r="L4467" s="116">
        <v>-170.9</v>
      </c>
    </row>
    <row r="4468" spans="1:12" hidden="1" outlineLevel="1" collapsed="1" x14ac:dyDescent="0.35">
      <c r="A4468" s="112" t="s">
        <v>3616</v>
      </c>
      <c r="B4468" s="112" t="s">
        <v>921</v>
      </c>
      <c r="C4468" s="112" t="s">
        <v>1095</v>
      </c>
      <c r="D4468" s="113">
        <v>10348451</v>
      </c>
      <c r="E4468" s="115">
        <v>43949</v>
      </c>
      <c r="F4468" s="114">
        <v>202101</v>
      </c>
      <c r="G4468" s="112" t="s">
        <v>1091</v>
      </c>
      <c r="H4468" s="112" t="s">
        <v>1015</v>
      </c>
      <c r="I4468" s="112" t="s">
        <v>1190</v>
      </c>
      <c r="J4468" s="112" t="s">
        <v>3620</v>
      </c>
      <c r="K4468" s="112" t="s">
        <v>1098</v>
      </c>
      <c r="L4468" s="116">
        <v>104.71</v>
      </c>
    </row>
    <row r="4469" spans="1:12" hidden="1" outlineLevel="1" collapsed="1" x14ac:dyDescent="0.35">
      <c r="A4469" s="112" t="s">
        <v>3616</v>
      </c>
      <c r="B4469" s="112" t="s">
        <v>921</v>
      </c>
      <c r="C4469" s="112" t="s">
        <v>1095</v>
      </c>
      <c r="D4469" s="113">
        <v>10348451</v>
      </c>
      <c r="E4469" s="115">
        <v>43949</v>
      </c>
      <c r="F4469" s="114">
        <v>202101</v>
      </c>
      <c r="G4469" s="112" t="s">
        <v>1091</v>
      </c>
      <c r="H4469" s="112" t="s">
        <v>1015</v>
      </c>
      <c r="I4469" s="112" t="s">
        <v>1190</v>
      </c>
      <c r="J4469" s="112" t="s">
        <v>3620</v>
      </c>
      <c r="K4469" s="112" t="s">
        <v>1098</v>
      </c>
      <c r="L4469" s="116">
        <v>311.45</v>
      </c>
    </row>
    <row r="4470" spans="1:12" hidden="1" outlineLevel="1" collapsed="1" x14ac:dyDescent="0.35">
      <c r="A4470" s="112" t="s">
        <v>3616</v>
      </c>
      <c r="B4470" s="112" t="s">
        <v>921</v>
      </c>
      <c r="C4470" s="112" t="s">
        <v>1095</v>
      </c>
      <c r="D4470" s="113">
        <v>10348451</v>
      </c>
      <c r="E4470" s="115">
        <v>43949</v>
      </c>
      <c r="F4470" s="114">
        <v>202101</v>
      </c>
      <c r="G4470" s="112" t="s">
        <v>1091</v>
      </c>
      <c r="H4470" s="112" t="s">
        <v>1015</v>
      </c>
      <c r="I4470" s="112" t="s">
        <v>1190</v>
      </c>
      <c r="J4470" s="112" t="s">
        <v>3620</v>
      </c>
      <c r="K4470" s="112" t="s">
        <v>1098</v>
      </c>
      <c r="L4470" s="116">
        <v>396.21</v>
      </c>
    </row>
    <row r="4471" spans="1:12" hidden="1" outlineLevel="1" collapsed="1" x14ac:dyDescent="0.35">
      <c r="A4471" s="112" t="s">
        <v>3616</v>
      </c>
      <c r="B4471" s="112" t="s">
        <v>922</v>
      </c>
      <c r="C4471" s="112" t="s">
        <v>1518</v>
      </c>
      <c r="D4471" s="113">
        <v>51365642</v>
      </c>
      <c r="E4471" s="115">
        <v>43923</v>
      </c>
      <c r="F4471" s="114">
        <v>202101</v>
      </c>
      <c r="G4471" s="112" t="s">
        <v>1091</v>
      </c>
      <c r="H4471" s="112" t="s">
        <v>1016</v>
      </c>
      <c r="I4471" s="112" t="s">
        <v>3858</v>
      </c>
      <c r="J4471" s="112" t="s">
        <v>3859</v>
      </c>
      <c r="K4471" s="112" t="s">
        <v>3860</v>
      </c>
      <c r="L4471" s="116">
        <v>-4585.9399999999996</v>
      </c>
    </row>
    <row r="4472" spans="1:12" hidden="1" outlineLevel="1" collapsed="1" x14ac:dyDescent="0.35">
      <c r="A4472" s="112" t="s">
        <v>3616</v>
      </c>
      <c r="B4472" s="112" t="s">
        <v>922</v>
      </c>
      <c r="C4472" s="112" t="s">
        <v>1518</v>
      </c>
      <c r="D4472" s="113">
        <v>51365641</v>
      </c>
      <c r="E4472" s="115">
        <v>43923</v>
      </c>
      <c r="F4472" s="114">
        <v>202101</v>
      </c>
      <c r="G4472" s="112" t="s">
        <v>1091</v>
      </c>
      <c r="H4472" s="112" t="s">
        <v>1016</v>
      </c>
      <c r="I4472" s="112" t="s">
        <v>1131</v>
      </c>
      <c r="J4472" s="112" t="s">
        <v>3861</v>
      </c>
      <c r="K4472" s="112" t="s">
        <v>3862</v>
      </c>
      <c r="L4472" s="116">
        <v>-9795.27</v>
      </c>
    </row>
    <row r="4473" spans="1:12" hidden="1" outlineLevel="1" collapsed="1" x14ac:dyDescent="0.35">
      <c r="A4473" s="112" t="s">
        <v>3616</v>
      </c>
      <c r="B4473" s="112" t="s">
        <v>921</v>
      </c>
      <c r="C4473" s="112" t="s">
        <v>1095</v>
      </c>
      <c r="D4473" s="113">
        <v>10348451</v>
      </c>
      <c r="E4473" s="115">
        <v>43949</v>
      </c>
      <c r="F4473" s="114">
        <v>202101</v>
      </c>
      <c r="G4473" s="112" t="s">
        <v>1091</v>
      </c>
      <c r="H4473" s="112" t="s">
        <v>1015</v>
      </c>
      <c r="I4473" s="112" t="s">
        <v>1190</v>
      </c>
      <c r="J4473" s="112" t="s">
        <v>3709</v>
      </c>
      <c r="K4473" s="112" t="s">
        <v>1098</v>
      </c>
      <c r="L4473" s="116">
        <v>100.01</v>
      </c>
    </row>
    <row r="4474" spans="1:12" hidden="1" outlineLevel="1" collapsed="1" x14ac:dyDescent="0.35">
      <c r="A4474" s="112" t="s">
        <v>3616</v>
      </c>
      <c r="B4474" s="112" t="s">
        <v>922</v>
      </c>
      <c r="C4474" s="112" t="s">
        <v>1095</v>
      </c>
      <c r="D4474" s="113">
        <v>10348451</v>
      </c>
      <c r="E4474" s="115">
        <v>43949</v>
      </c>
      <c r="F4474" s="114">
        <v>202101</v>
      </c>
      <c r="G4474" s="112" t="s">
        <v>1091</v>
      </c>
      <c r="H4474" s="112" t="s">
        <v>1015</v>
      </c>
      <c r="I4474" s="112" t="s">
        <v>1190</v>
      </c>
      <c r="J4474" s="112" t="s">
        <v>3863</v>
      </c>
      <c r="K4474" s="112" t="s">
        <v>1098</v>
      </c>
      <c r="L4474" s="116">
        <v>103.46</v>
      </c>
    </row>
    <row r="4475" spans="1:12" hidden="1" outlineLevel="1" collapsed="1" x14ac:dyDescent="0.35">
      <c r="A4475" s="112" t="s">
        <v>3616</v>
      </c>
      <c r="B4475" s="112" t="s">
        <v>922</v>
      </c>
      <c r="C4475" s="112" t="s">
        <v>1095</v>
      </c>
      <c r="D4475" s="113">
        <v>10348451</v>
      </c>
      <c r="E4475" s="115">
        <v>43949</v>
      </c>
      <c r="F4475" s="114">
        <v>202101</v>
      </c>
      <c r="G4475" s="112" t="s">
        <v>1091</v>
      </c>
      <c r="H4475" s="112" t="s">
        <v>1015</v>
      </c>
      <c r="I4475" s="112" t="s">
        <v>1190</v>
      </c>
      <c r="J4475" s="112" t="s">
        <v>3784</v>
      </c>
      <c r="K4475" s="112" t="s">
        <v>1098</v>
      </c>
      <c r="L4475" s="116">
        <v>77.72</v>
      </c>
    </row>
    <row r="4476" spans="1:12" hidden="1" outlineLevel="1" collapsed="1" x14ac:dyDescent="0.35">
      <c r="A4476" s="112" t="s">
        <v>3616</v>
      </c>
      <c r="B4476" s="112" t="s">
        <v>922</v>
      </c>
      <c r="C4476" s="112" t="s">
        <v>1095</v>
      </c>
      <c r="D4476" s="113">
        <v>10348451</v>
      </c>
      <c r="E4476" s="115">
        <v>43949</v>
      </c>
      <c r="F4476" s="114">
        <v>202101</v>
      </c>
      <c r="G4476" s="112" t="s">
        <v>1091</v>
      </c>
      <c r="H4476" s="112" t="s">
        <v>1015</v>
      </c>
      <c r="I4476" s="112" t="s">
        <v>1190</v>
      </c>
      <c r="J4476" s="112" t="s">
        <v>3784</v>
      </c>
      <c r="K4476" s="112" t="s">
        <v>1098</v>
      </c>
      <c r="L4476" s="116">
        <v>411.15</v>
      </c>
    </row>
    <row r="4477" spans="1:12" hidden="1" outlineLevel="1" collapsed="1" x14ac:dyDescent="0.35">
      <c r="A4477" s="112" t="s">
        <v>3616</v>
      </c>
      <c r="B4477" s="112" t="s">
        <v>918</v>
      </c>
      <c r="C4477" s="112" t="s">
        <v>1095</v>
      </c>
      <c r="D4477" s="113">
        <v>10348451</v>
      </c>
      <c r="E4477" s="115">
        <v>43949</v>
      </c>
      <c r="F4477" s="114">
        <v>202101</v>
      </c>
      <c r="G4477" s="112" t="s">
        <v>1091</v>
      </c>
      <c r="H4477" s="112" t="s">
        <v>1015</v>
      </c>
      <c r="I4477" s="112" t="s">
        <v>1190</v>
      </c>
      <c r="J4477" s="112" t="s">
        <v>3695</v>
      </c>
      <c r="K4477" s="112" t="s">
        <v>1098</v>
      </c>
      <c r="L4477" s="116">
        <v>139.13</v>
      </c>
    </row>
    <row r="4478" spans="1:12" hidden="1" outlineLevel="1" collapsed="1" x14ac:dyDescent="0.35">
      <c r="A4478" s="112" t="s">
        <v>3616</v>
      </c>
      <c r="B4478" s="112" t="s">
        <v>919</v>
      </c>
      <c r="C4478" s="112" t="s">
        <v>1095</v>
      </c>
      <c r="D4478" s="113">
        <v>10348451</v>
      </c>
      <c r="E4478" s="115">
        <v>43949</v>
      </c>
      <c r="F4478" s="114">
        <v>202101</v>
      </c>
      <c r="G4478" s="112" t="s">
        <v>1091</v>
      </c>
      <c r="H4478" s="112" t="s">
        <v>1015</v>
      </c>
      <c r="I4478" s="112" t="s">
        <v>1190</v>
      </c>
      <c r="J4478" s="112" t="s">
        <v>3624</v>
      </c>
      <c r="K4478" s="112" t="s">
        <v>1098</v>
      </c>
      <c r="L4478" s="116">
        <v>268.44</v>
      </c>
    </row>
    <row r="4479" spans="1:12" hidden="1" outlineLevel="1" collapsed="1" x14ac:dyDescent="0.35">
      <c r="A4479" s="112" t="s">
        <v>3616</v>
      </c>
      <c r="B4479" s="112" t="s">
        <v>919</v>
      </c>
      <c r="C4479" s="112" t="s">
        <v>1095</v>
      </c>
      <c r="D4479" s="113">
        <v>10348451</v>
      </c>
      <c r="E4479" s="115">
        <v>43949</v>
      </c>
      <c r="F4479" s="114">
        <v>202101</v>
      </c>
      <c r="G4479" s="112" t="s">
        <v>1091</v>
      </c>
      <c r="H4479" s="112" t="s">
        <v>1015</v>
      </c>
      <c r="I4479" s="112" t="s">
        <v>1190</v>
      </c>
      <c r="J4479" s="112" t="s">
        <v>3624</v>
      </c>
      <c r="K4479" s="112" t="s">
        <v>1098</v>
      </c>
      <c r="L4479" s="116">
        <v>781.09</v>
      </c>
    </row>
    <row r="4480" spans="1:12" hidden="1" outlineLevel="1" collapsed="1" x14ac:dyDescent="0.35">
      <c r="A4480" s="112" t="s">
        <v>3616</v>
      </c>
      <c r="B4480" s="112" t="s">
        <v>919</v>
      </c>
      <c r="C4480" s="112" t="s">
        <v>1095</v>
      </c>
      <c r="D4480" s="113">
        <v>10348451</v>
      </c>
      <c r="E4480" s="115">
        <v>43949</v>
      </c>
      <c r="F4480" s="114">
        <v>202101</v>
      </c>
      <c r="G4480" s="112" t="s">
        <v>1091</v>
      </c>
      <c r="H4480" s="112" t="s">
        <v>1015</v>
      </c>
      <c r="I4480" s="112" t="s">
        <v>1190</v>
      </c>
      <c r="J4480" s="112" t="s">
        <v>3624</v>
      </c>
      <c r="K4480" s="112" t="s">
        <v>1098</v>
      </c>
      <c r="L4480" s="116">
        <v>82.84</v>
      </c>
    </row>
    <row r="4481" spans="1:12" hidden="1" outlineLevel="1" collapsed="1" x14ac:dyDescent="0.35">
      <c r="A4481" s="112" t="s">
        <v>3616</v>
      </c>
      <c r="B4481" s="112" t="s">
        <v>920</v>
      </c>
      <c r="C4481" s="112" t="s">
        <v>1095</v>
      </c>
      <c r="D4481" s="113">
        <v>10348451</v>
      </c>
      <c r="E4481" s="115">
        <v>43949</v>
      </c>
      <c r="F4481" s="114">
        <v>202101</v>
      </c>
      <c r="G4481" s="112" t="s">
        <v>1091</v>
      </c>
      <c r="H4481" s="112" t="s">
        <v>1015</v>
      </c>
      <c r="I4481" s="112" t="s">
        <v>1101</v>
      </c>
      <c r="J4481" s="112" t="s">
        <v>3755</v>
      </c>
      <c r="K4481" s="112" t="s">
        <v>1098</v>
      </c>
      <c r="L4481" s="116">
        <v>509.56</v>
      </c>
    </row>
    <row r="4482" spans="1:12" hidden="1" outlineLevel="1" collapsed="1" x14ac:dyDescent="0.35">
      <c r="A4482" s="112" t="s">
        <v>3616</v>
      </c>
      <c r="B4482" s="112" t="s">
        <v>919</v>
      </c>
      <c r="C4482" s="112" t="s">
        <v>1095</v>
      </c>
      <c r="D4482" s="113">
        <v>10348451</v>
      </c>
      <c r="E4482" s="115">
        <v>43949</v>
      </c>
      <c r="F4482" s="114">
        <v>202101</v>
      </c>
      <c r="G4482" s="112" t="s">
        <v>1091</v>
      </c>
      <c r="H4482" s="112" t="s">
        <v>1015</v>
      </c>
      <c r="I4482" s="112" t="s">
        <v>1190</v>
      </c>
      <c r="J4482" s="112" t="s">
        <v>3624</v>
      </c>
      <c r="K4482" s="112" t="s">
        <v>1098</v>
      </c>
      <c r="L4482" s="116">
        <v>449.72</v>
      </c>
    </row>
    <row r="4483" spans="1:12" hidden="1" outlineLevel="1" collapsed="1" x14ac:dyDescent="0.35">
      <c r="A4483" s="112" t="s">
        <v>3616</v>
      </c>
      <c r="B4483" s="112" t="s">
        <v>919</v>
      </c>
      <c r="C4483" s="112" t="s">
        <v>1095</v>
      </c>
      <c r="D4483" s="113">
        <v>10348451</v>
      </c>
      <c r="E4483" s="115">
        <v>43949</v>
      </c>
      <c r="F4483" s="114">
        <v>202101</v>
      </c>
      <c r="G4483" s="112" t="s">
        <v>1091</v>
      </c>
      <c r="H4483" s="112" t="s">
        <v>1015</v>
      </c>
      <c r="I4483" s="112" t="s">
        <v>1190</v>
      </c>
      <c r="J4483" s="112" t="s">
        <v>3624</v>
      </c>
      <c r="K4483" s="112" t="s">
        <v>1098</v>
      </c>
      <c r="L4483" s="116">
        <v>124.26</v>
      </c>
    </row>
    <row r="4484" spans="1:12" hidden="1" outlineLevel="1" collapsed="1" x14ac:dyDescent="0.35">
      <c r="A4484" s="112" t="s">
        <v>3616</v>
      </c>
      <c r="B4484" s="112" t="s">
        <v>919</v>
      </c>
      <c r="C4484" s="112" t="s">
        <v>1095</v>
      </c>
      <c r="D4484" s="113">
        <v>10348451</v>
      </c>
      <c r="E4484" s="115">
        <v>43949</v>
      </c>
      <c r="F4484" s="114">
        <v>202101</v>
      </c>
      <c r="G4484" s="112" t="s">
        <v>1091</v>
      </c>
      <c r="H4484" s="112" t="s">
        <v>1015</v>
      </c>
      <c r="I4484" s="112" t="s">
        <v>1190</v>
      </c>
      <c r="J4484" s="112" t="s">
        <v>3624</v>
      </c>
      <c r="K4484" s="112" t="s">
        <v>1098</v>
      </c>
      <c r="L4484" s="116">
        <v>120.8</v>
      </c>
    </row>
    <row r="4485" spans="1:12" hidden="1" outlineLevel="1" collapsed="1" x14ac:dyDescent="0.35">
      <c r="A4485" s="112" t="s">
        <v>3616</v>
      </c>
      <c r="B4485" s="112" t="s">
        <v>919</v>
      </c>
      <c r="C4485" s="112" t="s">
        <v>1095</v>
      </c>
      <c r="D4485" s="113">
        <v>10348451</v>
      </c>
      <c r="E4485" s="115">
        <v>43949</v>
      </c>
      <c r="F4485" s="114">
        <v>202101</v>
      </c>
      <c r="G4485" s="112" t="s">
        <v>1091</v>
      </c>
      <c r="H4485" s="112" t="s">
        <v>1015</v>
      </c>
      <c r="I4485" s="112" t="s">
        <v>1190</v>
      </c>
      <c r="J4485" s="112" t="s">
        <v>3632</v>
      </c>
      <c r="K4485" s="112" t="s">
        <v>1098</v>
      </c>
      <c r="L4485" s="116">
        <v>30.15</v>
      </c>
    </row>
    <row r="4486" spans="1:12" hidden="1" outlineLevel="1" collapsed="1" x14ac:dyDescent="0.35">
      <c r="A4486" s="112" t="s">
        <v>3616</v>
      </c>
      <c r="B4486" s="112" t="s">
        <v>919</v>
      </c>
      <c r="C4486" s="112" t="s">
        <v>1095</v>
      </c>
      <c r="D4486" s="113">
        <v>10348451</v>
      </c>
      <c r="E4486" s="115">
        <v>43949</v>
      </c>
      <c r="F4486" s="114">
        <v>202101</v>
      </c>
      <c r="G4486" s="112" t="s">
        <v>1091</v>
      </c>
      <c r="H4486" s="112" t="s">
        <v>1015</v>
      </c>
      <c r="I4486" s="112" t="s">
        <v>1190</v>
      </c>
      <c r="J4486" s="112" t="s">
        <v>3632</v>
      </c>
      <c r="K4486" s="112" t="s">
        <v>1098</v>
      </c>
      <c r="L4486" s="116">
        <v>365.06</v>
      </c>
    </row>
    <row r="4487" spans="1:12" hidden="1" outlineLevel="1" collapsed="1" x14ac:dyDescent="0.35">
      <c r="A4487" s="112" t="s">
        <v>3616</v>
      </c>
      <c r="B4487" s="112" t="s">
        <v>919</v>
      </c>
      <c r="C4487" s="112" t="s">
        <v>1095</v>
      </c>
      <c r="D4487" s="113">
        <v>10348451</v>
      </c>
      <c r="E4487" s="115">
        <v>43949</v>
      </c>
      <c r="F4487" s="114">
        <v>202101</v>
      </c>
      <c r="G4487" s="112" t="s">
        <v>1091</v>
      </c>
      <c r="H4487" s="112" t="s">
        <v>1015</v>
      </c>
      <c r="I4487" s="112" t="s">
        <v>1101</v>
      </c>
      <c r="J4487" s="112" t="s">
        <v>3617</v>
      </c>
      <c r="K4487" s="112" t="s">
        <v>1098</v>
      </c>
      <c r="L4487" s="116">
        <v>513.64</v>
      </c>
    </row>
    <row r="4488" spans="1:12" hidden="1" outlineLevel="1" collapsed="1" x14ac:dyDescent="0.35">
      <c r="A4488" s="112" t="s">
        <v>3616</v>
      </c>
      <c r="B4488" s="112" t="s">
        <v>920</v>
      </c>
      <c r="C4488" s="112" t="s">
        <v>1095</v>
      </c>
      <c r="D4488" s="113">
        <v>10348451</v>
      </c>
      <c r="E4488" s="115">
        <v>43949</v>
      </c>
      <c r="F4488" s="114">
        <v>202101</v>
      </c>
      <c r="G4488" s="112" t="s">
        <v>1091</v>
      </c>
      <c r="H4488" s="112" t="s">
        <v>1015</v>
      </c>
      <c r="I4488" s="112" t="s">
        <v>1101</v>
      </c>
      <c r="J4488" s="112" t="s">
        <v>3755</v>
      </c>
      <c r="K4488" s="112" t="s">
        <v>1098</v>
      </c>
      <c r="L4488" s="116">
        <v>32</v>
      </c>
    </row>
    <row r="4489" spans="1:12" hidden="1" outlineLevel="1" collapsed="1" x14ac:dyDescent="0.35">
      <c r="A4489" s="112" t="s">
        <v>3616</v>
      </c>
      <c r="B4489" s="112" t="s">
        <v>919</v>
      </c>
      <c r="C4489" s="112" t="s">
        <v>1095</v>
      </c>
      <c r="D4489" s="113">
        <v>10348451</v>
      </c>
      <c r="E4489" s="115">
        <v>43949</v>
      </c>
      <c r="F4489" s="114">
        <v>202101</v>
      </c>
      <c r="G4489" s="112" t="s">
        <v>1091</v>
      </c>
      <c r="H4489" s="112" t="s">
        <v>1015</v>
      </c>
      <c r="I4489" s="112" t="s">
        <v>1190</v>
      </c>
      <c r="J4489" s="112" t="s">
        <v>3617</v>
      </c>
      <c r="K4489" s="112" t="s">
        <v>1098</v>
      </c>
      <c r="L4489" s="116">
        <v>539.38</v>
      </c>
    </row>
    <row r="4490" spans="1:12" hidden="1" outlineLevel="1" collapsed="1" x14ac:dyDescent="0.35">
      <c r="A4490" s="112" t="s">
        <v>3616</v>
      </c>
      <c r="B4490" s="112" t="s">
        <v>920</v>
      </c>
      <c r="C4490" s="112" t="s">
        <v>1095</v>
      </c>
      <c r="D4490" s="113">
        <v>10348451</v>
      </c>
      <c r="E4490" s="115">
        <v>43949</v>
      </c>
      <c r="F4490" s="114">
        <v>202101</v>
      </c>
      <c r="G4490" s="112" t="s">
        <v>1091</v>
      </c>
      <c r="H4490" s="112" t="s">
        <v>1015</v>
      </c>
      <c r="I4490" s="112" t="s">
        <v>1116</v>
      </c>
      <c r="J4490" s="112" t="s">
        <v>3755</v>
      </c>
      <c r="K4490" s="112" t="s">
        <v>1098</v>
      </c>
      <c r="L4490" s="116">
        <v>2259.5</v>
      </c>
    </row>
    <row r="4491" spans="1:12" hidden="1" outlineLevel="1" collapsed="1" x14ac:dyDescent="0.35">
      <c r="A4491" s="112" t="s">
        <v>3616</v>
      </c>
      <c r="B4491" s="112" t="s">
        <v>920</v>
      </c>
      <c r="C4491" s="112" t="s">
        <v>1095</v>
      </c>
      <c r="D4491" s="113">
        <v>10348451</v>
      </c>
      <c r="E4491" s="115">
        <v>43949</v>
      </c>
      <c r="F4491" s="114">
        <v>202101</v>
      </c>
      <c r="G4491" s="112" t="s">
        <v>1091</v>
      </c>
      <c r="H4491" s="112" t="s">
        <v>1015</v>
      </c>
      <c r="I4491" s="112" t="s">
        <v>1116</v>
      </c>
      <c r="J4491" s="112" t="s">
        <v>3755</v>
      </c>
      <c r="K4491" s="112" t="s">
        <v>1098</v>
      </c>
      <c r="L4491" s="116">
        <v>259.17</v>
      </c>
    </row>
    <row r="4492" spans="1:12" hidden="1" outlineLevel="1" collapsed="1" x14ac:dyDescent="0.35">
      <c r="A4492" s="112" t="s">
        <v>3616</v>
      </c>
      <c r="B4492" s="112" t="s">
        <v>921</v>
      </c>
      <c r="C4492" s="112" t="s">
        <v>1095</v>
      </c>
      <c r="D4492" s="113">
        <v>10348451</v>
      </c>
      <c r="E4492" s="115">
        <v>43949</v>
      </c>
      <c r="F4492" s="114">
        <v>202101</v>
      </c>
      <c r="G4492" s="112" t="s">
        <v>1091</v>
      </c>
      <c r="H4492" s="112" t="s">
        <v>1015</v>
      </c>
      <c r="I4492" s="112" t="s">
        <v>1101</v>
      </c>
      <c r="J4492" s="112" t="s">
        <v>3620</v>
      </c>
      <c r="K4492" s="112" t="s">
        <v>1098</v>
      </c>
      <c r="L4492" s="116">
        <v>409.17</v>
      </c>
    </row>
    <row r="4493" spans="1:12" hidden="1" outlineLevel="1" collapsed="1" x14ac:dyDescent="0.35">
      <c r="A4493" s="112" t="s">
        <v>3616</v>
      </c>
      <c r="B4493" s="112" t="s">
        <v>919</v>
      </c>
      <c r="C4493" s="112" t="s">
        <v>1099</v>
      </c>
      <c r="D4493" s="113">
        <v>1069626</v>
      </c>
      <c r="E4493" s="115">
        <v>43900</v>
      </c>
      <c r="F4493" s="114">
        <v>202101</v>
      </c>
      <c r="G4493" s="112" t="s">
        <v>1091</v>
      </c>
      <c r="H4493" s="112" t="s">
        <v>1015</v>
      </c>
      <c r="I4493" s="112" t="s">
        <v>2495</v>
      </c>
      <c r="J4493" s="112" t="s">
        <v>3632</v>
      </c>
      <c r="K4493" s="112" t="s">
        <v>1919</v>
      </c>
      <c r="L4493" s="116">
        <v>140</v>
      </c>
    </row>
    <row r="4494" spans="1:12" hidden="1" outlineLevel="1" collapsed="1" x14ac:dyDescent="0.35">
      <c r="A4494" s="112" t="s">
        <v>3616</v>
      </c>
      <c r="B4494" s="112" t="s">
        <v>923</v>
      </c>
      <c r="C4494" s="112" t="s">
        <v>1219</v>
      </c>
      <c r="D4494" s="113">
        <v>46306765</v>
      </c>
      <c r="E4494" s="115">
        <v>43922</v>
      </c>
      <c r="F4494" s="114">
        <v>202101</v>
      </c>
      <c r="G4494" s="112" t="s">
        <v>1091</v>
      </c>
      <c r="H4494" s="112" t="s">
        <v>1015</v>
      </c>
      <c r="I4494" s="112" t="s">
        <v>1605</v>
      </c>
      <c r="J4494" s="112" t="s">
        <v>3763</v>
      </c>
      <c r="K4494" s="112" t="s">
        <v>3864</v>
      </c>
      <c r="L4494" s="116">
        <v>5000</v>
      </c>
    </row>
    <row r="4495" spans="1:12" hidden="1" outlineLevel="1" collapsed="1" x14ac:dyDescent="0.35">
      <c r="A4495" s="112" t="s">
        <v>3616</v>
      </c>
      <c r="B4495" s="112" t="s">
        <v>923</v>
      </c>
      <c r="C4495" s="112" t="s">
        <v>1219</v>
      </c>
      <c r="D4495" s="113">
        <v>46306743</v>
      </c>
      <c r="E4495" s="115">
        <v>43922</v>
      </c>
      <c r="F4495" s="114">
        <v>202101</v>
      </c>
      <c r="G4495" s="112" t="s">
        <v>1091</v>
      </c>
      <c r="H4495" s="112" t="s">
        <v>1015</v>
      </c>
      <c r="I4495" s="112" t="s">
        <v>1605</v>
      </c>
      <c r="J4495" s="112" t="s">
        <v>3763</v>
      </c>
      <c r="K4495" s="112" t="s">
        <v>3865</v>
      </c>
      <c r="L4495" s="116">
        <v>8000</v>
      </c>
    </row>
    <row r="4496" spans="1:12" hidden="1" outlineLevel="1" collapsed="1" x14ac:dyDescent="0.35">
      <c r="A4496" s="112" t="s">
        <v>3616</v>
      </c>
      <c r="B4496" s="112" t="s">
        <v>923</v>
      </c>
      <c r="C4496" s="112" t="s">
        <v>1219</v>
      </c>
      <c r="D4496" s="113">
        <v>46306738</v>
      </c>
      <c r="E4496" s="115">
        <v>43922</v>
      </c>
      <c r="F4496" s="114">
        <v>202101</v>
      </c>
      <c r="G4496" s="112" t="s">
        <v>1091</v>
      </c>
      <c r="H4496" s="112" t="s">
        <v>1015</v>
      </c>
      <c r="I4496" s="112" t="s">
        <v>1605</v>
      </c>
      <c r="J4496" s="112" t="s">
        <v>3763</v>
      </c>
      <c r="K4496" s="112" t="s">
        <v>3866</v>
      </c>
      <c r="L4496" s="116">
        <v>2500</v>
      </c>
    </row>
    <row r="4497" spans="1:12" hidden="1" outlineLevel="1" collapsed="1" x14ac:dyDescent="0.35">
      <c r="A4497" s="112" t="s">
        <v>3616</v>
      </c>
      <c r="B4497" s="112" t="s">
        <v>923</v>
      </c>
      <c r="C4497" s="112" t="s">
        <v>1219</v>
      </c>
      <c r="D4497" s="113">
        <v>46306739</v>
      </c>
      <c r="E4497" s="115">
        <v>43922</v>
      </c>
      <c r="F4497" s="114">
        <v>202101</v>
      </c>
      <c r="G4497" s="112" t="s">
        <v>1091</v>
      </c>
      <c r="H4497" s="112" t="s">
        <v>1015</v>
      </c>
      <c r="I4497" s="112" t="s">
        <v>1605</v>
      </c>
      <c r="J4497" s="112" t="s">
        <v>3763</v>
      </c>
      <c r="K4497" s="112" t="s">
        <v>3867</v>
      </c>
      <c r="L4497" s="116">
        <v>3000</v>
      </c>
    </row>
    <row r="4498" spans="1:12" hidden="1" outlineLevel="1" collapsed="1" x14ac:dyDescent="0.35">
      <c r="A4498" s="112" t="s">
        <v>3616</v>
      </c>
      <c r="B4498" s="112" t="s">
        <v>923</v>
      </c>
      <c r="C4498" s="112" t="s">
        <v>1219</v>
      </c>
      <c r="D4498" s="113">
        <v>46306741</v>
      </c>
      <c r="E4498" s="115">
        <v>43922</v>
      </c>
      <c r="F4498" s="114">
        <v>202101</v>
      </c>
      <c r="G4498" s="112" t="s">
        <v>1091</v>
      </c>
      <c r="H4498" s="112" t="s">
        <v>1015</v>
      </c>
      <c r="I4498" s="112" t="s">
        <v>1605</v>
      </c>
      <c r="J4498" s="112" t="s">
        <v>3763</v>
      </c>
      <c r="K4498" s="112" t="s">
        <v>3868</v>
      </c>
      <c r="L4498" s="116">
        <v>7000</v>
      </c>
    </row>
    <row r="4499" spans="1:12" hidden="1" outlineLevel="1" collapsed="1" x14ac:dyDescent="0.35">
      <c r="A4499" s="112" t="s">
        <v>3616</v>
      </c>
      <c r="B4499" s="112" t="s">
        <v>923</v>
      </c>
      <c r="C4499" s="112" t="s">
        <v>1219</v>
      </c>
      <c r="D4499" s="113">
        <v>46306746</v>
      </c>
      <c r="E4499" s="115">
        <v>43922</v>
      </c>
      <c r="F4499" s="114">
        <v>202101</v>
      </c>
      <c r="G4499" s="112" t="s">
        <v>1091</v>
      </c>
      <c r="H4499" s="112" t="s">
        <v>1015</v>
      </c>
      <c r="I4499" s="112" t="s">
        <v>1605</v>
      </c>
      <c r="J4499" s="112" t="s">
        <v>3763</v>
      </c>
      <c r="K4499" s="112" t="s">
        <v>3869</v>
      </c>
      <c r="L4499" s="116">
        <v>2500</v>
      </c>
    </row>
    <row r="4500" spans="1:12" hidden="1" outlineLevel="1" collapsed="1" x14ac:dyDescent="0.35">
      <c r="A4500" s="112" t="s">
        <v>3616</v>
      </c>
      <c r="B4500" s="112" t="s">
        <v>923</v>
      </c>
      <c r="C4500" s="112" t="s">
        <v>1219</v>
      </c>
      <c r="D4500" s="113">
        <v>46306747</v>
      </c>
      <c r="E4500" s="115">
        <v>43922</v>
      </c>
      <c r="F4500" s="114">
        <v>202101</v>
      </c>
      <c r="G4500" s="112" t="s">
        <v>1091</v>
      </c>
      <c r="H4500" s="112" t="s">
        <v>1015</v>
      </c>
      <c r="I4500" s="112" t="s">
        <v>1605</v>
      </c>
      <c r="J4500" s="112" t="s">
        <v>3763</v>
      </c>
      <c r="K4500" s="112" t="s">
        <v>3870</v>
      </c>
      <c r="L4500" s="116">
        <v>7000</v>
      </c>
    </row>
    <row r="4501" spans="1:12" hidden="1" outlineLevel="1" collapsed="1" x14ac:dyDescent="0.35">
      <c r="A4501" s="112" t="s">
        <v>3616</v>
      </c>
      <c r="B4501" s="112" t="s">
        <v>923</v>
      </c>
      <c r="C4501" s="112" t="s">
        <v>1219</v>
      </c>
      <c r="D4501" s="113">
        <v>46306750</v>
      </c>
      <c r="E4501" s="115">
        <v>43922</v>
      </c>
      <c r="F4501" s="114">
        <v>202101</v>
      </c>
      <c r="G4501" s="112" t="s">
        <v>1091</v>
      </c>
      <c r="H4501" s="112" t="s">
        <v>1015</v>
      </c>
      <c r="I4501" s="112" t="s">
        <v>1605</v>
      </c>
      <c r="J4501" s="112" t="s">
        <v>3763</v>
      </c>
      <c r="K4501" s="112" t="s">
        <v>3871</v>
      </c>
      <c r="L4501" s="116">
        <v>6000</v>
      </c>
    </row>
    <row r="4502" spans="1:12" hidden="1" outlineLevel="1" collapsed="1" x14ac:dyDescent="0.35">
      <c r="A4502" s="112" t="s">
        <v>3616</v>
      </c>
      <c r="B4502" s="112" t="s">
        <v>923</v>
      </c>
      <c r="C4502" s="112" t="s">
        <v>1219</v>
      </c>
      <c r="D4502" s="113">
        <v>46306751</v>
      </c>
      <c r="E4502" s="115">
        <v>43922</v>
      </c>
      <c r="F4502" s="114">
        <v>202101</v>
      </c>
      <c r="G4502" s="112" t="s">
        <v>1091</v>
      </c>
      <c r="H4502" s="112" t="s">
        <v>1015</v>
      </c>
      <c r="I4502" s="112" t="s">
        <v>1605</v>
      </c>
      <c r="J4502" s="112" t="s">
        <v>3763</v>
      </c>
      <c r="K4502" s="112" t="s">
        <v>3872</v>
      </c>
      <c r="L4502" s="116">
        <v>21000</v>
      </c>
    </row>
    <row r="4503" spans="1:12" hidden="1" outlineLevel="1" collapsed="1" x14ac:dyDescent="0.35">
      <c r="A4503" s="112" t="s">
        <v>3616</v>
      </c>
      <c r="B4503" s="112" t="s">
        <v>923</v>
      </c>
      <c r="C4503" s="112" t="s">
        <v>1219</v>
      </c>
      <c r="D4503" s="113">
        <v>46306752</v>
      </c>
      <c r="E4503" s="115">
        <v>43922</v>
      </c>
      <c r="F4503" s="114">
        <v>202101</v>
      </c>
      <c r="G4503" s="112" t="s">
        <v>1091</v>
      </c>
      <c r="H4503" s="112" t="s">
        <v>1015</v>
      </c>
      <c r="I4503" s="112" t="s">
        <v>1605</v>
      </c>
      <c r="J4503" s="112" t="s">
        <v>3763</v>
      </c>
      <c r="K4503" s="112" t="s">
        <v>3873</v>
      </c>
      <c r="L4503" s="116">
        <v>6000</v>
      </c>
    </row>
    <row r="4504" spans="1:12" hidden="1" outlineLevel="1" collapsed="1" x14ac:dyDescent="0.35">
      <c r="A4504" s="112" t="s">
        <v>3616</v>
      </c>
      <c r="B4504" s="112" t="s">
        <v>923</v>
      </c>
      <c r="C4504" s="112" t="s">
        <v>1219</v>
      </c>
      <c r="D4504" s="113">
        <v>46306753</v>
      </c>
      <c r="E4504" s="115">
        <v>43922</v>
      </c>
      <c r="F4504" s="114">
        <v>202101</v>
      </c>
      <c r="G4504" s="112" t="s">
        <v>1091</v>
      </c>
      <c r="H4504" s="112" t="s">
        <v>1015</v>
      </c>
      <c r="I4504" s="112" t="s">
        <v>1605</v>
      </c>
      <c r="J4504" s="112" t="s">
        <v>3763</v>
      </c>
      <c r="K4504" s="112" t="s">
        <v>3874</v>
      </c>
      <c r="L4504" s="116">
        <v>1500</v>
      </c>
    </row>
    <row r="4505" spans="1:12" hidden="1" outlineLevel="1" collapsed="1" x14ac:dyDescent="0.35">
      <c r="A4505" s="112" t="s">
        <v>3616</v>
      </c>
      <c r="B4505" s="112" t="s">
        <v>923</v>
      </c>
      <c r="C4505" s="112" t="s">
        <v>1219</v>
      </c>
      <c r="D4505" s="113">
        <v>46306754</v>
      </c>
      <c r="E4505" s="115">
        <v>43922</v>
      </c>
      <c r="F4505" s="114">
        <v>202101</v>
      </c>
      <c r="G4505" s="112" t="s">
        <v>1091</v>
      </c>
      <c r="H4505" s="112" t="s">
        <v>1015</v>
      </c>
      <c r="I4505" s="112" t="s">
        <v>1605</v>
      </c>
      <c r="J4505" s="112" t="s">
        <v>3763</v>
      </c>
      <c r="K4505" s="112" t="s">
        <v>3875</v>
      </c>
      <c r="L4505" s="116">
        <v>16000</v>
      </c>
    </row>
    <row r="4506" spans="1:12" hidden="1" outlineLevel="1" collapsed="1" x14ac:dyDescent="0.35">
      <c r="A4506" s="112" t="s">
        <v>3616</v>
      </c>
      <c r="B4506" s="112" t="s">
        <v>923</v>
      </c>
      <c r="C4506" s="112" t="s">
        <v>1219</v>
      </c>
      <c r="D4506" s="113">
        <v>46306756</v>
      </c>
      <c r="E4506" s="115">
        <v>43922</v>
      </c>
      <c r="F4506" s="114">
        <v>202101</v>
      </c>
      <c r="G4506" s="112" t="s">
        <v>1091</v>
      </c>
      <c r="H4506" s="112" t="s">
        <v>1015</v>
      </c>
      <c r="I4506" s="112" t="s">
        <v>1605</v>
      </c>
      <c r="J4506" s="112" t="s">
        <v>3763</v>
      </c>
      <c r="K4506" s="112" t="s">
        <v>3876</v>
      </c>
      <c r="L4506" s="116">
        <v>6000</v>
      </c>
    </row>
    <row r="4507" spans="1:12" hidden="1" outlineLevel="1" collapsed="1" x14ac:dyDescent="0.35">
      <c r="A4507" s="112" t="s">
        <v>3616</v>
      </c>
      <c r="B4507" s="112" t="s">
        <v>923</v>
      </c>
      <c r="C4507" s="112" t="s">
        <v>1219</v>
      </c>
      <c r="D4507" s="113">
        <v>46306757</v>
      </c>
      <c r="E4507" s="115">
        <v>43922</v>
      </c>
      <c r="F4507" s="114">
        <v>202101</v>
      </c>
      <c r="G4507" s="112" t="s">
        <v>1091</v>
      </c>
      <c r="H4507" s="112" t="s">
        <v>1015</v>
      </c>
      <c r="I4507" s="112" t="s">
        <v>1605</v>
      </c>
      <c r="J4507" s="112" t="s">
        <v>3763</v>
      </c>
      <c r="K4507" s="112" t="s">
        <v>3877</v>
      </c>
      <c r="L4507" s="116">
        <v>4500</v>
      </c>
    </row>
    <row r="4508" spans="1:12" hidden="1" outlineLevel="1" collapsed="1" x14ac:dyDescent="0.35">
      <c r="A4508" s="112" t="s">
        <v>3616</v>
      </c>
      <c r="B4508" s="112" t="s">
        <v>923</v>
      </c>
      <c r="C4508" s="112" t="s">
        <v>1219</v>
      </c>
      <c r="D4508" s="113">
        <v>46306755</v>
      </c>
      <c r="E4508" s="115">
        <v>43922</v>
      </c>
      <c r="F4508" s="114">
        <v>202101</v>
      </c>
      <c r="G4508" s="112" t="s">
        <v>1091</v>
      </c>
      <c r="H4508" s="112" t="s">
        <v>1015</v>
      </c>
      <c r="I4508" s="112" t="s">
        <v>1605</v>
      </c>
      <c r="J4508" s="112" t="s">
        <v>3763</v>
      </c>
      <c r="K4508" s="112" t="s">
        <v>3878</v>
      </c>
      <c r="L4508" s="116">
        <v>24128</v>
      </c>
    </row>
    <row r="4509" spans="1:12" hidden="1" outlineLevel="1" collapsed="1" x14ac:dyDescent="0.35">
      <c r="A4509" s="112" t="s">
        <v>3616</v>
      </c>
      <c r="B4509" s="112" t="s">
        <v>923</v>
      </c>
      <c r="C4509" s="112" t="s">
        <v>1219</v>
      </c>
      <c r="D4509" s="113">
        <v>46306758</v>
      </c>
      <c r="E4509" s="115">
        <v>43922</v>
      </c>
      <c r="F4509" s="114">
        <v>202101</v>
      </c>
      <c r="G4509" s="112" t="s">
        <v>1091</v>
      </c>
      <c r="H4509" s="112" t="s">
        <v>1015</v>
      </c>
      <c r="I4509" s="112" t="s">
        <v>1605</v>
      </c>
      <c r="J4509" s="112" t="s">
        <v>3763</v>
      </c>
      <c r="K4509" s="112" t="s">
        <v>3879</v>
      </c>
      <c r="L4509" s="116">
        <v>5000</v>
      </c>
    </row>
    <row r="4510" spans="1:12" hidden="1" outlineLevel="1" collapsed="1" x14ac:dyDescent="0.35">
      <c r="A4510" s="112" t="s">
        <v>3616</v>
      </c>
      <c r="B4510" s="112" t="s">
        <v>923</v>
      </c>
      <c r="C4510" s="112" t="s">
        <v>1219</v>
      </c>
      <c r="D4510" s="113">
        <v>46306759</v>
      </c>
      <c r="E4510" s="115">
        <v>43922</v>
      </c>
      <c r="F4510" s="114">
        <v>202101</v>
      </c>
      <c r="G4510" s="112" t="s">
        <v>1091</v>
      </c>
      <c r="H4510" s="112" t="s">
        <v>1015</v>
      </c>
      <c r="I4510" s="112" t="s">
        <v>1605</v>
      </c>
      <c r="J4510" s="112" t="s">
        <v>3763</v>
      </c>
      <c r="K4510" s="112" t="s">
        <v>3880</v>
      </c>
      <c r="L4510" s="116">
        <v>7000</v>
      </c>
    </row>
    <row r="4511" spans="1:12" hidden="1" outlineLevel="1" collapsed="1" x14ac:dyDescent="0.35">
      <c r="A4511" s="112" t="s">
        <v>3616</v>
      </c>
      <c r="B4511" s="112" t="s">
        <v>923</v>
      </c>
      <c r="C4511" s="112" t="s">
        <v>1219</v>
      </c>
      <c r="D4511" s="113">
        <v>46306761</v>
      </c>
      <c r="E4511" s="115">
        <v>43922</v>
      </c>
      <c r="F4511" s="114">
        <v>202101</v>
      </c>
      <c r="G4511" s="112" t="s">
        <v>1091</v>
      </c>
      <c r="H4511" s="112" t="s">
        <v>1015</v>
      </c>
      <c r="I4511" s="112" t="s">
        <v>1605</v>
      </c>
      <c r="J4511" s="112" t="s">
        <v>3763</v>
      </c>
      <c r="K4511" s="112" t="s">
        <v>3881</v>
      </c>
      <c r="L4511" s="116">
        <v>60000</v>
      </c>
    </row>
    <row r="4512" spans="1:12" hidden="1" outlineLevel="1" collapsed="1" x14ac:dyDescent="0.35">
      <c r="A4512" s="112" t="s">
        <v>3616</v>
      </c>
      <c r="B4512" s="112" t="s">
        <v>923</v>
      </c>
      <c r="C4512" s="112" t="s">
        <v>1219</v>
      </c>
      <c r="D4512" s="113">
        <v>46306760</v>
      </c>
      <c r="E4512" s="115">
        <v>43922</v>
      </c>
      <c r="F4512" s="114">
        <v>202101</v>
      </c>
      <c r="G4512" s="112" t="s">
        <v>1091</v>
      </c>
      <c r="H4512" s="112" t="s">
        <v>1015</v>
      </c>
      <c r="I4512" s="112" t="s">
        <v>1605</v>
      </c>
      <c r="J4512" s="112" t="s">
        <v>3763</v>
      </c>
      <c r="K4512" s="112" t="s">
        <v>3882</v>
      </c>
      <c r="L4512" s="116">
        <v>4500</v>
      </c>
    </row>
    <row r="4513" spans="1:12" hidden="1" outlineLevel="1" collapsed="1" x14ac:dyDescent="0.35">
      <c r="A4513" s="112" t="s">
        <v>3616</v>
      </c>
      <c r="B4513" s="112" t="s">
        <v>923</v>
      </c>
      <c r="C4513" s="112" t="s">
        <v>1219</v>
      </c>
      <c r="D4513" s="113">
        <v>46306762</v>
      </c>
      <c r="E4513" s="115">
        <v>43922</v>
      </c>
      <c r="F4513" s="114">
        <v>202101</v>
      </c>
      <c r="G4513" s="112" t="s">
        <v>1091</v>
      </c>
      <c r="H4513" s="112" t="s">
        <v>1015</v>
      </c>
      <c r="I4513" s="112" t="s">
        <v>1605</v>
      </c>
      <c r="J4513" s="112" t="s">
        <v>3763</v>
      </c>
      <c r="K4513" s="112" t="s">
        <v>3883</v>
      </c>
      <c r="L4513" s="116">
        <v>4000</v>
      </c>
    </row>
    <row r="4514" spans="1:12" hidden="1" outlineLevel="1" collapsed="1" x14ac:dyDescent="0.35">
      <c r="A4514" s="112" t="s">
        <v>3616</v>
      </c>
      <c r="B4514" s="112" t="s">
        <v>923</v>
      </c>
      <c r="C4514" s="112" t="s">
        <v>1095</v>
      </c>
      <c r="D4514" s="113">
        <v>10348451</v>
      </c>
      <c r="E4514" s="115">
        <v>43949</v>
      </c>
      <c r="F4514" s="114">
        <v>202101</v>
      </c>
      <c r="G4514" s="112" t="s">
        <v>1091</v>
      </c>
      <c r="H4514" s="112" t="s">
        <v>1015</v>
      </c>
      <c r="I4514" s="112" t="s">
        <v>1116</v>
      </c>
      <c r="J4514" s="112" t="s">
        <v>3750</v>
      </c>
      <c r="K4514" s="112" t="s">
        <v>1098</v>
      </c>
      <c r="L4514" s="116">
        <v>2259.5</v>
      </c>
    </row>
    <row r="4515" spans="1:12" hidden="1" outlineLevel="1" collapsed="1" x14ac:dyDescent="0.35">
      <c r="A4515" s="112" t="s">
        <v>3616</v>
      </c>
      <c r="B4515" s="112" t="s">
        <v>923</v>
      </c>
      <c r="C4515" s="112" t="s">
        <v>1219</v>
      </c>
      <c r="D4515" s="113">
        <v>46306763</v>
      </c>
      <c r="E4515" s="115">
        <v>43922</v>
      </c>
      <c r="F4515" s="114">
        <v>202101</v>
      </c>
      <c r="G4515" s="112" t="s">
        <v>1091</v>
      </c>
      <c r="H4515" s="112" t="s">
        <v>1015</v>
      </c>
      <c r="I4515" s="112" t="s">
        <v>1605</v>
      </c>
      <c r="J4515" s="112" t="s">
        <v>3763</v>
      </c>
      <c r="K4515" s="112" t="s">
        <v>3884</v>
      </c>
      <c r="L4515" s="116">
        <v>1000</v>
      </c>
    </row>
    <row r="4516" spans="1:12" hidden="1" outlineLevel="1" collapsed="1" x14ac:dyDescent="0.35">
      <c r="A4516" s="112" t="s">
        <v>3616</v>
      </c>
      <c r="B4516" s="112" t="s">
        <v>923</v>
      </c>
      <c r="C4516" s="112" t="s">
        <v>1219</v>
      </c>
      <c r="D4516" s="113">
        <v>46306764</v>
      </c>
      <c r="E4516" s="115">
        <v>43922</v>
      </c>
      <c r="F4516" s="114">
        <v>202101</v>
      </c>
      <c r="G4516" s="112" t="s">
        <v>1091</v>
      </c>
      <c r="H4516" s="112" t="s">
        <v>1015</v>
      </c>
      <c r="I4516" s="112" t="s">
        <v>1605</v>
      </c>
      <c r="J4516" s="112" t="s">
        <v>3763</v>
      </c>
      <c r="K4516" s="112" t="s">
        <v>3885</v>
      </c>
      <c r="L4516" s="116">
        <v>10000</v>
      </c>
    </row>
    <row r="4517" spans="1:12" hidden="1" outlineLevel="1" collapsed="1" x14ac:dyDescent="0.35">
      <c r="A4517" s="112" t="s">
        <v>3616</v>
      </c>
      <c r="B4517" s="112" t="s">
        <v>919</v>
      </c>
      <c r="C4517" s="112" t="s">
        <v>1099</v>
      </c>
      <c r="D4517" s="113">
        <v>1069628</v>
      </c>
      <c r="E4517" s="115">
        <v>43926</v>
      </c>
      <c r="F4517" s="114">
        <v>202101</v>
      </c>
      <c r="G4517" s="112" t="s">
        <v>1091</v>
      </c>
      <c r="H4517" s="112" t="s">
        <v>1015</v>
      </c>
      <c r="I4517" s="112" t="s">
        <v>2495</v>
      </c>
      <c r="J4517" s="112" t="s">
        <v>3617</v>
      </c>
      <c r="K4517" s="112" t="s">
        <v>3886</v>
      </c>
      <c r="L4517" s="116">
        <v>30</v>
      </c>
    </row>
    <row r="4518" spans="1:12" hidden="1" outlineLevel="1" collapsed="1" x14ac:dyDescent="0.35">
      <c r="A4518" s="112" t="s">
        <v>3616</v>
      </c>
      <c r="B4518" s="112" t="s">
        <v>923</v>
      </c>
      <c r="C4518" s="112" t="s">
        <v>1219</v>
      </c>
      <c r="D4518" s="113">
        <v>46306766</v>
      </c>
      <c r="E4518" s="115">
        <v>43922</v>
      </c>
      <c r="F4518" s="114">
        <v>202101</v>
      </c>
      <c r="G4518" s="112" t="s">
        <v>1091</v>
      </c>
      <c r="H4518" s="112" t="s">
        <v>1015</v>
      </c>
      <c r="I4518" s="112" t="s">
        <v>1605</v>
      </c>
      <c r="J4518" s="112" t="s">
        <v>3763</v>
      </c>
      <c r="K4518" s="112" t="s">
        <v>3887</v>
      </c>
      <c r="L4518" s="116">
        <v>2000</v>
      </c>
    </row>
    <row r="4519" spans="1:12" hidden="1" outlineLevel="1" collapsed="1" x14ac:dyDescent="0.35">
      <c r="A4519" s="112" t="s">
        <v>3616</v>
      </c>
      <c r="B4519" s="112" t="s">
        <v>923</v>
      </c>
      <c r="C4519" s="112" t="s">
        <v>1219</v>
      </c>
      <c r="D4519" s="113">
        <v>46306769</v>
      </c>
      <c r="E4519" s="115">
        <v>43922</v>
      </c>
      <c r="F4519" s="114">
        <v>202101</v>
      </c>
      <c r="G4519" s="112" t="s">
        <v>1091</v>
      </c>
      <c r="H4519" s="112" t="s">
        <v>1015</v>
      </c>
      <c r="I4519" s="112" t="s">
        <v>1605</v>
      </c>
      <c r="J4519" s="112" t="s">
        <v>3763</v>
      </c>
      <c r="K4519" s="112" t="s">
        <v>3888</v>
      </c>
      <c r="L4519" s="116">
        <v>20000</v>
      </c>
    </row>
    <row r="4520" spans="1:12" hidden="1" outlineLevel="1" collapsed="1" x14ac:dyDescent="0.35">
      <c r="A4520" s="112" t="s">
        <v>3616</v>
      </c>
      <c r="B4520" s="112" t="s">
        <v>923</v>
      </c>
      <c r="C4520" s="112" t="s">
        <v>1219</v>
      </c>
      <c r="D4520" s="113">
        <v>46306770</v>
      </c>
      <c r="E4520" s="115">
        <v>43922</v>
      </c>
      <c r="F4520" s="114">
        <v>202101</v>
      </c>
      <c r="G4520" s="112" t="s">
        <v>1091</v>
      </c>
      <c r="H4520" s="112" t="s">
        <v>1015</v>
      </c>
      <c r="I4520" s="112" t="s">
        <v>1605</v>
      </c>
      <c r="J4520" s="112" t="s">
        <v>3763</v>
      </c>
      <c r="K4520" s="112" t="s">
        <v>3889</v>
      </c>
      <c r="L4520" s="116">
        <v>20000</v>
      </c>
    </row>
    <row r="4521" spans="1:12" hidden="1" outlineLevel="1" collapsed="1" x14ac:dyDescent="0.35">
      <c r="A4521" s="112" t="s">
        <v>3616</v>
      </c>
      <c r="B4521" s="112" t="s">
        <v>923</v>
      </c>
      <c r="C4521" s="112" t="s">
        <v>1219</v>
      </c>
      <c r="D4521" s="113">
        <v>46306771</v>
      </c>
      <c r="E4521" s="115">
        <v>43922</v>
      </c>
      <c r="F4521" s="114">
        <v>202101</v>
      </c>
      <c r="G4521" s="112" t="s">
        <v>1091</v>
      </c>
      <c r="H4521" s="112" t="s">
        <v>1015</v>
      </c>
      <c r="I4521" s="112" t="s">
        <v>1605</v>
      </c>
      <c r="J4521" s="112" t="s">
        <v>3763</v>
      </c>
      <c r="K4521" s="112" t="s">
        <v>3890</v>
      </c>
      <c r="L4521" s="116">
        <v>8000</v>
      </c>
    </row>
    <row r="4522" spans="1:12" hidden="1" outlineLevel="1" collapsed="1" x14ac:dyDescent="0.35">
      <c r="A4522" s="112" t="s">
        <v>3616</v>
      </c>
      <c r="B4522" s="112" t="s">
        <v>923</v>
      </c>
      <c r="C4522" s="112" t="s">
        <v>1219</v>
      </c>
      <c r="D4522" s="113">
        <v>46306767</v>
      </c>
      <c r="E4522" s="115">
        <v>43922</v>
      </c>
      <c r="F4522" s="114">
        <v>202101</v>
      </c>
      <c r="G4522" s="112" t="s">
        <v>1091</v>
      </c>
      <c r="H4522" s="112" t="s">
        <v>1015</v>
      </c>
      <c r="I4522" s="112" t="s">
        <v>1605</v>
      </c>
      <c r="J4522" s="112" t="s">
        <v>3763</v>
      </c>
      <c r="K4522" s="112" t="s">
        <v>3891</v>
      </c>
      <c r="L4522" s="116">
        <v>2500</v>
      </c>
    </row>
    <row r="4523" spans="1:12" hidden="1" outlineLevel="1" collapsed="1" x14ac:dyDescent="0.35">
      <c r="A4523" s="112" t="s">
        <v>3616</v>
      </c>
      <c r="B4523" s="112" t="s">
        <v>923</v>
      </c>
      <c r="C4523" s="112" t="s">
        <v>1219</v>
      </c>
      <c r="D4523" s="113">
        <v>46306768</v>
      </c>
      <c r="E4523" s="115">
        <v>43922</v>
      </c>
      <c r="F4523" s="114">
        <v>202101</v>
      </c>
      <c r="G4523" s="112" t="s">
        <v>1091</v>
      </c>
      <c r="H4523" s="112" t="s">
        <v>1015</v>
      </c>
      <c r="I4523" s="112" t="s">
        <v>1605</v>
      </c>
      <c r="J4523" s="112" t="s">
        <v>3763</v>
      </c>
      <c r="K4523" s="112" t="s">
        <v>3892</v>
      </c>
      <c r="L4523" s="116">
        <v>8000</v>
      </c>
    </row>
    <row r="4524" spans="1:12" hidden="1" outlineLevel="1" collapsed="1" x14ac:dyDescent="0.35">
      <c r="A4524" s="112" t="s">
        <v>3616</v>
      </c>
      <c r="B4524" s="112" t="s">
        <v>923</v>
      </c>
      <c r="C4524" s="112" t="s">
        <v>1219</v>
      </c>
      <c r="D4524" s="113">
        <v>46306774</v>
      </c>
      <c r="E4524" s="115">
        <v>43922</v>
      </c>
      <c r="F4524" s="114">
        <v>202101</v>
      </c>
      <c r="G4524" s="112" t="s">
        <v>1091</v>
      </c>
      <c r="H4524" s="112" t="s">
        <v>1015</v>
      </c>
      <c r="I4524" s="112" t="s">
        <v>1605</v>
      </c>
      <c r="J4524" s="112" t="s">
        <v>3763</v>
      </c>
      <c r="K4524" s="112" t="s">
        <v>3893</v>
      </c>
      <c r="L4524" s="116">
        <v>6000</v>
      </c>
    </row>
    <row r="4525" spans="1:12" hidden="1" outlineLevel="1" collapsed="1" x14ac:dyDescent="0.35">
      <c r="A4525" s="112" t="s">
        <v>3616</v>
      </c>
      <c r="B4525" s="112" t="s">
        <v>923</v>
      </c>
      <c r="C4525" s="112" t="s">
        <v>1095</v>
      </c>
      <c r="D4525" s="113">
        <v>10348451</v>
      </c>
      <c r="E4525" s="115">
        <v>43949</v>
      </c>
      <c r="F4525" s="114">
        <v>202101</v>
      </c>
      <c r="G4525" s="112" t="s">
        <v>1091</v>
      </c>
      <c r="H4525" s="112" t="s">
        <v>1015</v>
      </c>
      <c r="I4525" s="112" t="s">
        <v>1116</v>
      </c>
      <c r="J4525" s="112" t="s">
        <v>3750</v>
      </c>
      <c r="K4525" s="112" t="s">
        <v>1098</v>
      </c>
      <c r="L4525" s="116">
        <v>2981.92</v>
      </c>
    </row>
    <row r="4526" spans="1:12" hidden="1" outlineLevel="1" collapsed="1" x14ac:dyDescent="0.35">
      <c r="A4526" s="112" t="s">
        <v>3616</v>
      </c>
      <c r="B4526" s="112" t="s">
        <v>919</v>
      </c>
      <c r="C4526" s="112" t="s">
        <v>1095</v>
      </c>
      <c r="D4526" s="113">
        <v>10348451</v>
      </c>
      <c r="E4526" s="115">
        <v>43949</v>
      </c>
      <c r="F4526" s="114">
        <v>202101</v>
      </c>
      <c r="G4526" s="112" t="s">
        <v>1091</v>
      </c>
      <c r="H4526" s="112" t="s">
        <v>1015</v>
      </c>
      <c r="I4526" s="112" t="s">
        <v>3261</v>
      </c>
      <c r="J4526" s="112" t="s">
        <v>3624</v>
      </c>
      <c r="K4526" s="112" t="s">
        <v>1098</v>
      </c>
      <c r="L4526" s="116">
        <v>199.18</v>
      </c>
    </row>
    <row r="4527" spans="1:12" hidden="1" outlineLevel="1" collapsed="1" x14ac:dyDescent="0.35">
      <c r="A4527" s="112" t="s">
        <v>3616</v>
      </c>
      <c r="B4527" s="112" t="s">
        <v>923</v>
      </c>
      <c r="C4527" s="112" t="s">
        <v>1219</v>
      </c>
      <c r="D4527" s="113">
        <v>46306772</v>
      </c>
      <c r="E4527" s="115">
        <v>43922</v>
      </c>
      <c r="F4527" s="114">
        <v>202101</v>
      </c>
      <c r="G4527" s="112" t="s">
        <v>1091</v>
      </c>
      <c r="H4527" s="112" t="s">
        <v>1015</v>
      </c>
      <c r="I4527" s="112" t="s">
        <v>1605</v>
      </c>
      <c r="J4527" s="112" t="s">
        <v>3763</v>
      </c>
      <c r="K4527" s="112" t="s">
        <v>3894</v>
      </c>
      <c r="L4527" s="116">
        <v>3500</v>
      </c>
    </row>
    <row r="4528" spans="1:12" hidden="1" outlineLevel="1" collapsed="1" x14ac:dyDescent="0.35">
      <c r="A4528" s="112" t="s">
        <v>3616</v>
      </c>
      <c r="B4528" s="112" t="s">
        <v>919</v>
      </c>
      <c r="C4528" s="112" t="s">
        <v>695</v>
      </c>
      <c r="D4528" s="113">
        <v>10348429</v>
      </c>
      <c r="E4528" s="115">
        <v>43945</v>
      </c>
      <c r="F4528" s="114">
        <v>202101</v>
      </c>
      <c r="G4528" s="112" t="s">
        <v>1091</v>
      </c>
      <c r="H4528" s="112" t="s">
        <v>1016</v>
      </c>
      <c r="I4528" s="112" t="s">
        <v>1293</v>
      </c>
      <c r="J4528" s="112" t="s">
        <v>3632</v>
      </c>
      <c r="K4528" s="112" t="s">
        <v>3895</v>
      </c>
      <c r="L4528" s="116">
        <v>13243.99</v>
      </c>
    </row>
    <row r="4529" spans="1:12" hidden="1" outlineLevel="1" collapsed="1" x14ac:dyDescent="0.35">
      <c r="A4529" s="112" t="s">
        <v>3616</v>
      </c>
      <c r="B4529" s="112" t="s">
        <v>919</v>
      </c>
      <c r="C4529" s="112" t="s">
        <v>695</v>
      </c>
      <c r="D4529" s="113">
        <v>10348429</v>
      </c>
      <c r="E4529" s="115">
        <v>43945</v>
      </c>
      <c r="F4529" s="114">
        <v>202101</v>
      </c>
      <c r="G4529" s="112" t="s">
        <v>1091</v>
      </c>
      <c r="H4529" s="112" t="s">
        <v>1016</v>
      </c>
      <c r="I4529" s="112" t="s">
        <v>823</v>
      </c>
      <c r="J4529" s="112" t="s">
        <v>3634</v>
      </c>
      <c r="K4529" s="112" t="s">
        <v>3896</v>
      </c>
      <c r="L4529" s="116">
        <v>22500</v>
      </c>
    </row>
    <row r="4530" spans="1:12" hidden="1" outlineLevel="1" collapsed="1" x14ac:dyDescent="0.35">
      <c r="A4530" s="112" t="s">
        <v>3616</v>
      </c>
      <c r="B4530" s="112" t="s">
        <v>917</v>
      </c>
      <c r="C4530" s="112" t="s">
        <v>1518</v>
      </c>
      <c r="D4530" s="113">
        <v>51365683</v>
      </c>
      <c r="E4530" s="115">
        <v>43924</v>
      </c>
      <c r="F4530" s="114">
        <v>202101</v>
      </c>
      <c r="G4530" s="112" t="s">
        <v>1091</v>
      </c>
      <c r="H4530" s="112" t="s">
        <v>1016</v>
      </c>
      <c r="I4530" s="112" t="s">
        <v>1131</v>
      </c>
      <c r="J4530" s="112" t="s">
        <v>3897</v>
      </c>
      <c r="K4530" s="112" t="s">
        <v>3898</v>
      </c>
      <c r="L4530" s="116">
        <v>-9397</v>
      </c>
    </row>
    <row r="4531" spans="1:12" hidden="1" outlineLevel="1" collapsed="1" x14ac:dyDescent="0.35">
      <c r="A4531" s="112" t="s">
        <v>3616</v>
      </c>
      <c r="B4531" s="112" t="s">
        <v>921</v>
      </c>
      <c r="C4531" s="112" t="s">
        <v>1518</v>
      </c>
      <c r="D4531" s="113">
        <v>51365685</v>
      </c>
      <c r="E4531" s="115">
        <v>43924</v>
      </c>
      <c r="F4531" s="114">
        <v>202101</v>
      </c>
      <c r="G4531" s="112" t="s">
        <v>1091</v>
      </c>
      <c r="H4531" s="112" t="s">
        <v>1016</v>
      </c>
      <c r="I4531" s="112" t="s">
        <v>3899</v>
      </c>
      <c r="J4531" s="112" t="s">
        <v>3709</v>
      </c>
      <c r="K4531" s="112" t="s">
        <v>3900</v>
      </c>
      <c r="L4531" s="116">
        <v>-262.5</v>
      </c>
    </row>
    <row r="4532" spans="1:12" hidden="1" outlineLevel="1" collapsed="1" x14ac:dyDescent="0.35">
      <c r="A4532" s="112" t="s">
        <v>3616</v>
      </c>
      <c r="B4532" s="112" t="s">
        <v>921</v>
      </c>
      <c r="C4532" s="112" t="s">
        <v>1518</v>
      </c>
      <c r="D4532" s="113">
        <v>51365684</v>
      </c>
      <c r="E4532" s="115">
        <v>43924</v>
      </c>
      <c r="F4532" s="114">
        <v>202101</v>
      </c>
      <c r="G4532" s="112" t="s">
        <v>1091</v>
      </c>
      <c r="H4532" s="112" t="s">
        <v>1016</v>
      </c>
      <c r="I4532" s="112" t="s">
        <v>3899</v>
      </c>
      <c r="J4532" s="112" t="s">
        <v>3709</v>
      </c>
      <c r="K4532" s="112" t="s">
        <v>3901</v>
      </c>
      <c r="L4532" s="116">
        <v>-137.5</v>
      </c>
    </row>
    <row r="4533" spans="1:12" hidden="1" outlineLevel="1" collapsed="1" x14ac:dyDescent="0.35">
      <c r="A4533" s="112" t="s">
        <v>3616</v>
      </c>
      <c r="B4533" s="112" t="s">
        <v>921</v>
      </c>
      <c r="C4533" s="112" t="s">
        <v>1518</v>
      </c>
      <c r="D4533" s="113">
        <v>51365682</v>
      </c>
      <c r="E4533" s="115">
        <v>43924</v>
      </c>
      <c r="F4533" s="114">
        <v>202101</v>
      </c>
      <c r="G4533" s="112" t="s">
        <v>1091</v>
      </c>
      <c r="H4533" s="112" t="s">
        <v>1016</v>
      </c>
      <c r="I4533" s="112" t="s">
        <v>3899</v>
      </c>
      <c r="J4533" s="112" t="s">
        <v>3709</v>
      </c>
      <c r="K4533" s="112" t="s">
        <v>3902</v>
      </c>
      <c r="L4533" s="116">
        <v>-1495</v>
      </c>
    </row>
    <row r="4534" spans="1:12" hidden="1" outlineLevel="1" collapsed="1" x14ac:dyDescent="0.35">
      <c r="A4534" s="112" t="s">
        <v>3616</v>
      </c>
      <c r="B4534" s="112" t="s">
        <v>921</v>
      </c>
      <c r="C4534" s="112" t="s">
        <v>1518</v>
      </c>
      <c r="D4534" s="113">
        <v>51365680</v>
      </c>
      <c r="E4534" s="115">
        <v>43924</v>
      </c>
      <c r="F4534" s="114">
        <v>202101</v>
      </c>
      <c r="G4534" s="112" t="s">
        <v>1091</v>
      </c>
      <c r="H4534" s="112" t="s">
        <v>1016</v>
      </c>
      <c r="I4534" s="112" t="s">
        <v>3899</v>
      </c>
      <c r="J4534" s="112" t="s">
        <v>3709</v>
      </c>
      <c r="K4534" s="112" t="s">
        <v>3903</v>
      </c>
      <c r="L4534" s="116">
        <v>-965</v>
      </c>
    </row>
    <row r="4535" spans="1:12" hidden="1" outlineLevel="1" collapsed="1" x14ac:dyDescent="0.35">
      <c r="A4535" s="112" t="s">
        <v>3616</v>
      </c>
      <c r="B4535" s="112" t="s">
        <v>921</v>
      </c>
      <c r="C4535" s="112" t="s">
        <v>1518</v>
      </c>
      <c r="D4535" s="113">
        <v>51365678</v>
      </c>
      <c r="E4535" s="115">
        <v>43924</v>
      </c>
      <c r="F4535" s="114">
        <v>202101</v>
      </c>
      <c r="G4535" s="112" t="s">
        <v>1091</v>
      </c>
      <c r="H4535" s="112" t="s">
        <v>1016</v>
      </c>
      <c r="I4535" s="112" t="s">
        <v>3851</v>
      </c>
      <c r="J4535" s="112" t="s">
        <v>3709</v>
      </c>
      <c r="K4535" s="112" t="s">
        <v>3904</v>
      </c>
      <c r="L4535" s="116">
        <v>-50</v>
      </c>
    </row>
    <row r="4536" spans="1:12" hidden="1" outlineLevel="1" collapsed="1" x14ac:dyDescent="0.35">
      <c r="A4536" s="112" t="s">
        <v>3616</v>
      </c>
      <c r="B4536" s="112" t="s">
        <v>921</v>
      </c>
      <c r="C4536" s="112" t="s">
        <v>1518</v>
      </c>
      <c r="D4536" s="113">
        <v>51365681</v>
      </c>
      <c r="E4536" s="115">
        <v>43924</v>
      </c>
      <c r="F4536" s="114">
        <v>202101</v>
      </c>
      <c r="G4536" s="112" t="s">
        <v>1091</v>
      </c>
      <c r="H4536" s="112" t="s">
        <v>1016</v>
      </c>
      <c r="I4536" s="112" t="s">
        <v>3846</v>
      </c>
      <c r="J4536" s="112" t="s">
        <v>3709</v>
      </c>
      <c r="K4536" s="112" t="s">
        <v>3905</v>
      </c>
      <c r="L4536" s="116">
        <v>-4550</v>
      </c>
    </row>
    <row r="4537" spans="1:12" hidden="1" outlineLevel="1" collapsed="1" x14ac:dyDescent="0.35">
      <c r="A4537" s="112" t="s">
        <v>3616</v>
      </c>
      <c r="B4537" s="112" t="s">
        <v>921</v>
      </c>
      <c r="C4537" s="112" t="s">
        <v>1518</v>
      </c>
      <c r="D4537" s="113">
        <v>51365679</v>
      </c>
      <c r="E4537" s="115">
        <v>43924</v>
      </c>
      <c r="F4537" s="114">
        <v>202101</v>
      </c>
      <c r="G4537" s="112" t="s">
        <v>1091</v>
      </c>
      <c r="H4537" s="112" t="s">
        <v>1016</v>
      </c>
      <c r="I4537" s="112" t="s">
        <v>3846</v>
      </c>
      <c r="J4537" s="112" t="s">
        <v>3709</v>
      </c>
      <c r="K4537" s="112" t="s">
        <v>3906</v>
      </c>
      <c r="L4537" s="116">
        <v>-450</v>
      </c>
    </row>
    <row r="4538" spans="1:12" hidden="1" outlineLevel="1" collapsed="1" x14ac:dyDescent="0.35">
      <c r="A4538" s="112" t="s">
        <v>3616</v>
      </c>
      <c r="B4538" s="112" t="s">
        <v>919</v>
      </c>
      <c r="C4538" s="112" t="s">
        <v>1095</v>
      </c>
      <c r="D4538" s="113">
        <v>10348451</v>
      </c>
      <c r="E4538" s="115">
        <v>43949</v>
      </c>
      <c r="F4538" s="114">
        <v>202101</v>
      </c>
      <c r="G4538" s="112" t="s">
        <v>1091</v>
      </c>
      <c r="H4538" s="112" t="s">
        <v>1015</v>
      </c>
      <c r="I4538" s="112" t="s">
        <v>1101</v>
      </c>
      <c r="J4538" s="112" t="s">
        <v>3632</v>
      </c>
      <c r="K4538" s="112" t="s">
        <v>1098</v>
      </c>
      <c r="L4538" s="116">
        <v>485.4</v>
      </c>
    </row>
    <row r="4539" spans="1:12" hidden="1" outlineLevel="1" collapsed="1" x14ac:dyDescent="0.35">
      <c r="A4539" s="112" t="s">
        <v>3616</v>
      </c>
      <c r="B4539" s="112" t="s">
        <v>923</v>
      </c>
      <c r="C4539" s="112" t="s">
        <v>1219</v>
      </c>
      <c r="D4539" s="113">
        <v>46306740</v>
      </c>
      <c r="E4539" s="115">
        <v>43922</v>
      </c>
      <c r="F4539" s="114">
        <v>202101</v>
      </c>
      <c r="G4539" s="112" t="s">
        <v>1091</v>
      </c>
      <c r="H4539" s="112" t="s">
        <v>1015</v>
      </c>
      <c r="I4539" s="112" t="s">
        <v>1605</v>
      </c>
      <c r="J4539" s="112" t="s">
        <v>3763</v>
      </c>
      <c r="K4539" s="112" t="s">
        <v>3907</v>
      </c>
      <c r="L4539" s="116">
        <v>28134</v>
      </c>
    </row>
    <row r="4540" spans="1:12" hidden="1" outlineLevel="1" collapsed="1" x14ac:dyDescent="0.35">
      <c r="A4540" s="112" t="s">
        <v>3616</v>
      </c>
      <c r="B4540" s="112" t="s">
        <v>923</v>
      </c>
      <c r="C4540" s="112" t="s">
        <v>1095</v>
      </c>
      <c r="D4540" s="113">
        <v>10348451</v>
      </c>
      <c r="E4540" s="115">
        <v>43949</v>
      </c>
      <c r="F4540" s="114">
        <v>202101</v>
      </c>
      <c r="G4540" s="112" t="s">
        <v>1091</v>
      </c>
      <c r="H4540" s="112" t="s">
        <v>1015</v>
      </c>
      <c r="I4540" s="112" t="s">
        <v>1101</v>
      </c>
      <c r="J4540" s="112" t="s">
        <v>3750</v>
      </c>
      <c r="K4540" s="112" t="s">
        <v>1098</v>
      </c>
      <c r="L4540" s="116">
        <v>297.89</v>
      </c>
    </row>
    <row r="4541" spans="1:12" hidden="1" outlineLevel="1" collapsed="1" x14ac:dyDescent="0.35">
      <c r="A4541" s="112" t="s">
        <v>3616</v>
      </c>
      <c r="B4541" s="112" t="s">
        <v>921</v>
      </c>
      <c r="C4541" s="112" t="s">
        <v>1518</v>
      </c>
      <c r="D4541" s="113">
        <v>51365677</v>
      </c>
      <c r="E4541" s="115">
        <v>43924</v>
      </c>
      <c r="F4541" s="114">
        <v>202101</v>
      </c>
      <c r="G4541" s="112" t="s">
        <v>1091</v>
      </c>
      <c r="H4541" s="112" t="s">
        <v>1016</v>
      </c>
      <c r="I4541" s="112" t="s">
        <v>3846</v>
      </c>
      <c r="J4541" s="112" t="s">
        <v>3709</v>
      </c>
      <c r="K4541" s="112" t="s">
        <v>3908</v>
      </c>
      <c r="L4541" s="116">
        <v>-1223.5</v>
      </c>
    </row>
    <row r="4542" spans="1:12" hidden="1" outlineLevel="1" collapsed="1" x14ac:dyDescent="0.35">
      <c r="A4542" s="112" t="s">
        <v>3616</v>
      </c>
      <c r="B4542" s="112" t="s">
        <v>919</v>
      </c>
      <c r="C4542" s="112" t="s">
        <v>1095</v>
      </c>
      <c r="D4542" s="113">
        <v>10348451</v>
      </c>
      <c r="E4542" s="115">
        <v>43949</v>
      </c>
      <c r="F4542" s="114">
        <v>202101</v>
      </c>
      <c r="G4542" s="112" t="s">
        <v>1091</v>
      </c>
      <c r="H4542" s="112" t="s">
        <v>1015</v>
      </c>
      <c r="I4542" s="112" t="s">
        <v>1101</v>
      </c>
      <c r="J4542" s="112" t="s">
        <v>3624</v>
      </c>
      <c r="K4542" s="112" t="s">
        <v>1098</v>
      </c>
      <c r="L4542" s="116">
        <v>163.53</v>
      </c>
    </row>
    <row r="4543" spans="1:12" hidden="1" outlineLevel="1" collapsed="1" x14ac:dyDescent="0.35">
      <c r="A4543" s="112" t="s">
        <v>3616</v>
      </c>
      <c r="B4543" s="112" t="s">
        <v>916</v>
      </c>
      <c r="C4543" s="112" t="s">
        <v>695</v>
      </c>
      <c r="D4543" s="113">
        <v>10348043</v>
      </c>
      <c r="E4543" s="115">
        <v>43928</v>
      </c>
      <c r="F4543" s="114">
        <v>202101</v>
      </c>
      <c r="G4543" s="112" t="s">
        <v>1091</v>
      </c>
      <c r="H4543" s="112" t="s">
        <v>1016</v>
      </c>
      <c r="I4543" s="112" t="s">
        <v>1291</v>
      </c>
      <c r="J4543" s="112" t="s">
        <v>3626</v>
      </c>
      <c r="K4543" s="112" t="s">
        <v>3909</v>
      </c>
      <c r="L4543" s="116">
        <v>160000</v>
      </c>
    </row>
    <row r="4544" spans="1:12" hidden="1" outlineLevel="1" collapsed="1" x14ac:dyDescent="0.35">
      <c r="A4544" s="112" t="s">
        <v>3616</v>
      </c>
      <c r="B4544" s="112" t="s">
        <v>916</v>
      </c>
      <c r="C4544" s="112" t="s">
        <v>695</v>
      </c>
      <c r="D4544" s="113">
        <v>10348043</v>
      </c>
      <c r="E4544" s="115">
        <v>43928</v>
      </c>
      <c r="F4544" s="114">
        <v>202101</v>
      </c>
      <c r="G4544" s="112" t="s">
        <v>1091</v>
      </c>
      <c r="H4544" s="112" t="s">
        <v>1016</v>
      </c>
      <c r="I4544" s="112" t="s">
        <v>1291</v>
      </c>
      <c r="J4544" s="112" t="s">
        <v>3626</v>
      </c>
      <c r="K4544" s="112" t="s">
        <v>3910</v>
      </c>
      <c r="L4544" s="116">
        <v>2200</v>
      </c>
    </row>
    <row r="4545" spans="1:12" hidden="1" outlineLevel="1" collapsed="1" x14ac:dyDescent="0.35">
      <c r="A4545" s="112" t="s">
        <v>3616</v>
      </c>
      <c r="B4545" s="112" t="s">
        <v>916</v>
      </c>
      <c r="C4545" s="112" t="s">
        <v>695</v>
      </c>
      <c r="D4545" s="113">
        <v>10348043</v>
      </c>
      <c r="E4545" s="115">
        <v>43928</v>
      </c>
      <c r="F4545" s="114">
        <v>202101</v>
      </c>
      <c r="G4545" s="112" t="s">
        <v>1091</v>
      </c>
      <c r="H4545" s="112" t="s">
        <v>1016</v>
      </c>
      <c r="I4545" s="112" t="s">
        <v>1291</v>
      </c>
      <c r="J4545" s="112" t="s">
        <v>3626</v>
      </c>
      <c r="K4545" s="112" t="s">
        <v>3911</v>
      </c>
      <c r="L4545" s="116">
        <v>42580</v>
      </c>
    </row>
    <row r="4546" spans="1:12" hidden="1" outlineLevel="1" collapsed="1" x14ac:dyDescent="0.35">
      <c r="A4546" s="112" t="s">
        <v>3616</v>
      </c>
      <c r="B4546" s="112" t="s">
        <v>916</v>
      </c>
      <c r="C4546" s="112" t="s">
        <v>695</v>
      </c>
      <c r="D4546" s="113">
        <v>10348043</v>
      </c>
      <c r="E4546" s="115">
        <v>43928</v>
      </c>
      <c r="F4546" s="114">
        <v>202101</v>
      </c>
      <c r="G4546" s="112" t="s">
        <v>1091</v>
      </c>
      <c r="H4546" s="112" t="s">
        <v>1016</v>
      </c>
      <c r="I4546" s="112" t="s">
        <v>1291</v>
      </c>
      <c r="J4546" s="112" t="s">
        <v>3626</v>
      </c>
      <c r="K4546" s="112" t="s">
        <v>3912</v>
      </c>
      <c r="L4546" s="116">
        <v>5600</v>
      </c>
    </row>
    <row r="4547" spans="1:12" hidden="1" outlineLevel="1" collapsed="1" x14ac:dyDescent="0.35">
      <c r="A4547" s="112" t="s">
        <v>3616</v>
      </c>
      <c r="B4547" s="112" t="s">
        <v>917</v>
      </c>
      <c r="C4547" s="112" t="s">
        <v>1095</v>
      </c>
      <c r="D4547" s="113">
        <v>10348451</v>
      </c>
      <c r="E4547" s="115">
        <v>43949</v>
      </c>
      <c r="F4547" s="114">
        <v>202101</v>
      </c>
      <c r="G4547" s="112" t="s">
        <v>1091</v>
      </c>
      <c r="H4547" s="112" t="s">
        <v>1015</v>
      </c>
      <c r="I4547" s="112" t="s">
        <v>1101</v>
      </c>
      <c r="J4547" s="112" t="s">
        <v>3897</v>
      </c>
      <c r="K4547" s="112" t="s">
        <v>1098</v>
      </c>
      <c r="L4547" s="116">
        <v>143.09</v>
      </c>
    </row>
    <row r="4548" spans="1:12" hidden="1" outlineLevel="1" collapsed="1" x14ac:dyDescent="0.35">
      <c r="A4548" s="112" t="s">
        <v>3616</v>
      </c>
      <c r="B4548" s="112" t="s">
        <v>916</v>
      </c>
      <c r="C4548" s="112" t="s">
        <v>695</v>
      </c>
      <c r="D4548" s="113">
        <v>10348043</v>
      </c>
      <c r="E4548" s="115">
        <v>43928</v>
      </c>
      <c r="F4548" s="114">
        <v>202101</v>
      </c>
      <c r="G4548" s="112" t="s">
        <v>1091</v>
      </c>
      <c r="H4548" s="112" t="s">
        <v>1016</v>
      </c>
      <c r="I4548" s="112" t="s">
        <v>1291</v>
      </c>
      <c r="J4548" s="112" t="s">
        <v>3626</v>
      </c>
      <c r="K4548" s="112" t="s">
        <v>3913</v>
      </c>
      <c r="L4548" s="116">
        <v>560</v>
      </c>
    </row>
    <row r="4549" spans="1:12" hidden="1" outlineLevel="1" collapsed="1" x14ac:dyDescent="0.35">
      <c r="A4549" s="112" t="s">
        <v>3616</v>
      </c>
      <c r="B4549" s="112" t="s">
        <v>916</v>
      </c>
      <c r="C4549" s="112" t="s">
        <v>695</v>
      </c>
      <c r="D4549" s="113">
        <v>10348043</v>
      </c>
      <c r="E4549" s="115">
        <v>43928</v>
      </c>
      <c r="F4549" s="114">
        <v>202101</v>
      </c>
      <c r="G4549" s="112" t="s">
        <v>1091</v>
      </c>
      <c r="H4549" s="112" t="s">
        <v>1016</v>
      </c>
      <c r="I4549" s="112" t="s">
        <v>1291</v>
      </c>
      <c r="J4549" s="112" t="s">
        <v>3626</v>
      </c>
      <c r="K4549" s="112" t="s">
        <v>3914</v>
      </c>
      <c r="L4549" s="116">
        <v>22509.1</v>
      </c>
    </row>
    <row r="4550" spans="1:12" hidden="1" outlineLevel="1" collapsed="1" x14ac:dyDescent="0.35">
      <c r="A4550" s="112" t="s">
        <v>3616</v>
      </c>
      <c r="B4550" s="112" t="s">
        <v>921</v>
      </c>
      <c r="C4550" s="112" t="s">
        <v>1758</v>
      </c>
      <c r="D4550" s="113">
        <v>51365985</v>
      </c>
      <c r="E4550" s="115">
        <v>43928</v>
      </c>
      <c r="F4550" s="114">
        <v>202101</v>
      </c>
      <c r="G4550" s="112" t="s">
        <v>1091</v>
      </c>
      <c r="H4550" s="112" t="s">
        <v>1016</v>
      </c>
      <c r="I4550" s="112" t="s">
        <v>3846</v>
      </c>
      <c r="J4550" s="112" t="s">
        <v>3709</v>
      </c>
      <c r="K4550" s="112" t="s">
        <v>3915</v>
      </c>
      <c r="L4550" s="116">
        <v>1900</v>
      </c>
    </row>
    <row r="4551" spans="1:12" hidden="1" outlineLevel="1" collapsed="1" x14ac:dyDescent="0.35">
      <c r="A4551" s="112" t="s">
        <v>3616</v>
      </c>
      <c r="B4551" s="112" t="s">
        <v>917</v>
      </c>
      <c r="C4551" s="112" t="s">
        <v>1095</v>
      </c>
      <c r="D4551" s="113">
        <v>10348451</v>
      </c>
      <c r="E4551" s="115">
        <v>43949</v>
      </c>
      <c r="F4551" s="114">
        <v>202101</v>
      </c>
      <c r="G4551" s="112" t="s">
        <v>1091</v>
      </c>
      <c r="H4551" s="112" t="s">
        <v>1015</v>
      </c>
      <c r="I4551" s="112" t="s">
        <v>1101</v>
      </c>
      <c r="J4551" s="112" t="s">
        <v>3897</v>
      </c>
      <c r="K4551" s="112" t="s">
        <v>1098</v>
      </c>
      <c r="L4551" s="116">
        <v>426.26</v>
      </c>
    </row>
    <row r="4552" spans="1:12" hidden="1" outlineLevel="1" collapsed="1" x14ac:dyDescent="0.35">
      <c r="A4552" s="112" t="s">
        <v>3616</v>
      </c>
      <c r="B4552" s="112" t="s">
        <v>918</v>
      </c>
      <c r="C4552" s="112" t="s">
        <v>1095</v>
      </c>
      <c r="D4552" s="113">
        <v>10348451</v>
      </c>
      <c r="E4552" s="115">
        <v>43949</v>
      </c>
      <c r="F4552" s="114">
        <v>202101</v>
      </c>
      <c r="G4552" s="112" t="s">
        <v>1091</v>
      </c>
      <c r="H4552" s="112" t="s">
        <v>1015</v>
      </c>
      <c r="I4552" s="112" t="s">
        <v>1101</v>
      </c>
      <c r="J4552" s="112" t="s">
        <v>3695</v>
      </c>
      <c r="K4552" s="112" t="s">
        <v>1098</v>
      </c>
      <c r="L4552" s="116">
        <v>402.28</v>
      </c>
    </row>
    <row r="4553" spans="1:12" hidden="1" outlineLevel="1" collapsed="1" x14ac:dyDescent="0.35">
      <c r="A4553" s="112" t="s">
        <v>3616</v>
      </c>
      <c r="B4553" s="112" t="s">
        <v>921</v>
      </c>
      <c r="C4553" s="112" t="s">
        <v>695</v>
      </c>
      <c r="D4553" s="113">
        <v>10348038</v>
      </c>
      <c r="E4553" s="115">
        <v>43928</v>
      </c>
      <c r="F4553" s="114">
        <v>202101</v>
      </c>
      <c r="G4553" s="112" t="s">
        <v>1091</v>
      </c>
      <c r="H4553" s="112" t="s">
        <v>1016</v>
      </c>
      <c r="I4553" s="112" t="s">
        <v>3899</v>
      </c>
      <c r="J4553" s="112" t="s">
        <v>3709</v>
      </c>
      <c r="K4553" s="112" t="s">
        <v>3916</v>
      </c>
      <c r="L4553" s="116">
        <v>-227.08</v>
      </c>
    </row>
    <row r="4554" spans="1:12" hidden="1" outlineLevel="1" collapsed="1" x14ac:dyDescent="0.35">
      <c r="A4554" s="112" t="s">
        <v>3616</v>
      </c>
      <c r="B4554" s="112" t="s">
        <v>916</v>
      </c>
      <c r="C4554" s="112" t="s">
        <v>1095</v>
      </c>
      <c r="D4554" s="113">
        <v>10348451</v>
      </c>
      <c r="E4554" s="115">
        <v>43949</v>
      </c>
      <c r="F4554" s="114">
        <v>202101</v>
      </c>
      <c r="G4554" s="112" t="s">
        <v>1091</v>
      </c>
      <c r="H4554" s="112" t="s">
        <v>1015</v>
      </c>
      <c r="I4554" s="112" t="s">
        <v>1116</v>
      </c>
      <c r="J4554" s="112" t="s">
        <v>3771</v>
      </c>
      <c r="K4554" s="112" t="s">
        <v>1098</v>
      </c>
      <c r="L4554" s="116">
        <v>7416.25</v>
      </c>
    </row>
    <row r="4555" spans="1:12" hidden="1" outlineLevel="1" collapsed="1" x14ac:dyDescent="0.35">
      <c r="A4555" s="112" t="s">
        <v>3616</v>
      </c>
      <c r="B4555" s="112" t="s">
        <v>921</v>
      </c>
      <c r="C4555" s="112" t="s">
        <v>695</v>
      </c>
      <c r="D4555" s="113">
        <v>10348038</v>
      </c>
      <c r="E4555" s="115">
        <v>43928</v>
      </c>
      <c r="F4555" s="114">
        <v>202101</v>
      </c>
      <c r="G4555" s="112" t="s">
        <v>1091</v>
      </c>
      <c r="H4555" s="112" t="s">
        <v>1016</v>
      </c>
      <c r="I4555" s="112" t="s">
        <v>3899</v>
      </c>
      <c r="J4555" s="112" t="s">
        <v>3709</v>
      </c>
      <c r="K4555" s="112" t="s">
        <v>3917</v>
      </c>
      <c r="L4555" s="116">
        <v>-625</v>
      </c>
    </row>
    <row r="4556" spans="1:12" hidden="1" outlineLevel="1" collapsed="1" x14ac:dyDescent="0.35">
      <c r="A4556" s="112" t="s">
        <v>3616</v>
      </c>
      <c r="B4556" s="112" t="s">
        <v>921</v>
      </c>
      <c r="C4556" s="112" t="s">
        <v>695</v>
      </c>
      <c r="D4556" s="113">
        <v>10348038</v>
      </c>
      <c r="E4556" s="115">
        <v>43928</v>
      </c>
      <c r="F4556" s="114">
        <v>202101</v>
      </c>
      <c r="G4556" s="112" t="s">
        <v>1091</v>
      </c>
      <c r="H4556" s="112" t="s">
        <v>1016</v>
      </c>
      <c r="I4556" s="112" t="s">
        <v>3846</v>
      </c>
      <c r="J4556" s="112" t="s">
        <v>3709</v>
      </c>
      <c r="K4556" s="112" t="s">
        <v>3918</v>
      </c>
      <c r="L4556" s="116">
        <v>-375</v>
      </c>
    </row>
    <row r="4557" spans="1:12" hidden="1" outlineLevel="1" collapsed="1" x14ac:dyDescent="0.35">
      <c r="A4557" s="112" t="s">
        <v>3616</v>
      </c>
      <c r="B4557" s="112" t="s">
        <v>921</v>
      </c>
      <c r="C4557" s="112" t="s">
        <v>1095</v>
      </c>
      <c r="D4557" s="113">
        <v>10348451</v>
      </c>
      <c r="E4557" s="115">
        <v>43949</v>
      </c>
      <c r="F4557" s="114">
        <v>202101</v>
      </c>
      <c r="G4557" s="112" t="s">
        <v>1091</v>
      </c>
      <c r="H4557" s="112" t="s">
        <v>1015</v>
      </c>
      <c r="I4557" s="112" t="s">
        <v>1101</v>
      </c>
      <c r="J4557" s="112" t="s">
        <v>3709</v>
      </c>
      <c r="K4557" s="112" t="s">
        <v>1098</v>
      </c>
      <c r="L4557" s="116">
        <v>366.04</v>
      </c>
    </row>
    <row r="4558" spans="1:12" hidden="1" outlineLevel="1" collapsed="1" x14ac:dyDescent="0.35">
      <c r="A4558" s="112" t="s">
        <v>3616</v>
      </c>
      <c r="B4558" s="112" t="s">
        <v>921</v>
      </c>
      <c r="C4558" s="112" t="s">
        <v>695</v>
      </c>
      <c r="D4558" s="113">
        <v>10348038</v>
      </c>
      <c r="E4558" s="115">
        <v>43928</v>
      </c>
      <c r="F4558" s="114">
        <v>202101</v>
      </c>
      <c r="G4558" s="112" t="s">
        <v>1091</v>
      </c>
      <c r="H4558" s="112" t="s">
        <v>1016</v>
      </c>
      <c r="I4558" s="112" t="s">
        <v>3846</v>
      </c>
      <c r="J4558" s="112" t="s">
        <v>3709</v>
      </c>
      <c r="K4558" s="112" t="s">
        <v>3919</v>
      </c>
      <c r="L4558" s="116">
        <v>1089</v>
      </c>
    </row>
    <row r="4559" spans="1:12" hidden="1" outlineLevel="1" collapsed="1" x14ac:dyDescent="0.35">
      <c r="A4559" s="112" t="s">
        <v>3616</v>
      </c>
      <c r="B4559" s="112" t="s">
        <v>919</v>
      </c>
      <c r="C4559" s="112" t="s">
        <v>1095</v>
      </c>
      <c r="D4559" s="113">
        <v>10348451</v>
      </c>
      <c r="E4559" s="115">
        <v>43949</v>
      </c>
      <c r="F4559" s="114">
        <v>202101</v>
      </c>
      <c r="G4559" s="112" t="s">
        <v>1091</v>
      </c>
      <c r="H4559" s="112" t="s">
        <v>1015</v>
      </c>
      <c r="I4559" s="112" t="s">
        <v>1101</v>
      </c>
      <c r="J4559" s="112" t="s">
        <v>3624</v>
      </c>
      <c r="K4559" s="112" t="s">
        <v>1098</v>
      </c>
      <c r="L4559" s="116">
        <v>445.83</v>
      </c>
    </row>
    <row r="4560" spans="1:12" hidden="1" outlineLevel="1" collapsed="1" x14ac:dyDescent="0.35">
      <c r="A4560" s="112" t="s">
        <v>3616</v>
      </c>
      <c r="B4560" s="112" t="s">
        <v>921</v>
      </c>
      <c r="C4560" s="112" t="s">
        <v>695</v>
      </c>
      <c r="D4560" s="113">
        <v>10348038</v>
      </c>
      <c r="E4560" s="115">
        <v>43928</v>
      </c>
      <c r="F4560" s="114">
        <v>202101</v>
      </c>
      <c r="G4560" s="112" t="s">
        <v>1091</v>
      </c>
      <c r="H4560" s="112" t="s">
        <v>1016</v>
      </c>
      <c r="I4560" s="112" t="s">
        <v>3846</v>
      </c>
      <c r="J4560" s="112" t="s">
        <v>3709</v>
      </c>
      <c r="K4560" s="112" t="s">
        <v>3920</v>
      </c>
      <c r="L4560" s="116">
        <v>-112.5</v>
      </c>
    </row>
    <row r="4561" spans="1:12" hidden="1" outlineLevel="1" collapsed="1" x14ac:dyDescent="0.35">
      <c r="A4561" s="112" t="s">
        <v>3616</v>
      </c>
      <c r="B4561" s="112" t="s">
        <v>921</v>
      </c>
      <c r="C4561" s="112" t="s">
        <v>695</v>
      </c>
      <c r="D4561" s="113">
        <v>10348038</v>
      </c>
      <c r="E4561" s="115">
        <v>43928</v>
      </c>
      <c r="F4561" s="114">
        <v>202101</v>
      </c>
      <c r="G4561" s="112" t="s">
        <v>1091</v>
      </c>
      <c r="H4561" s="112" t="s">
        <v>1016</v>
      </c>
      <c r="I4561" s="112" t="s">
        <v>3899</v>
      </c>
      <c r="J4561" s="112" t="s">
        <v>3709</v>
      </c>
      <c r="K4561" s="112" t="s">
        <v>3921</v>
      </c>
      <c r="L4561" s="116">
        <v>-262.5</v>
      </c>
    </row>
    <row r="4562" spans="1:12" hidden="1" outlineLevel="1" collapsed="1" x14ac:dyDescent="0.35">
      <c r="A4562" s="112" t="s">
        <v>3616</v>
      </c>
      <c r="B4562" s="112" t="s">
        <v>917</v>
      </c>
      <c r="C4562" s="112" t="s">
        <v>1095</v>
      </c>
      <c r="D4562" s="113">
        <v>10348451</v>
      </c>
      <c r="E4562" s="115">
        <v>43949</v>
      </c>
      <c r="F4562" s="114">
        <v>202101</v>
      </c>
      <c r="G4562" s="112" t="s">
        <v>1091</v>
      </c>
      <c r="H4562" s="112" t="s">
        <v>1015</v>
      </c>
      <c r="I4562" s="112" t="s">
        <v>1113</v>
      </c>
      <c r="J4562" s="112" t="s">
        <v>3781</v>
      </c>
      <c r="K4562" s="112" t="s">
        <v>1098</v>
      </c>
      <c r="L4562" s="116">
        <v>74.94</v>
      </c>
    </row>
    <row r="4563" spans="1:12" hidden="1" outlineLevel="1" collapsed="1" x14ac:dyDescent="0.35">
      <c r="A4563" s="112" t="s">
        <v>3616</v>
      </c>
      <c r="B4563" s="112" t="s">
        <v>919</v>
      </c>
      <c r="C4563" s="112" t="s">
        <v>1095</v>
      </c>
      <c r="D4563" s="113">
        <v>10348451</v>
      </c>
      <c r="E4563" s="115">
        <v>43949</v>
      </c>
      <c r="F4563" s="114">
        <v>202101</v>
      </c>
      <c r="G4563" s="112" t="s">
        <v>1091</v>
      </c>
      <c r="H4563" s="112" t="s">
        <v>1015</v>
      </c>
      <c r="I4563" s="112" t="s">
        <v>1101</v>
      </c>
      <c r="J4563" s="112" t="s">
        <v>3624</v>
      </c>
      <c r="K4563" s="112" t="s">
        <v>1098</v>
      </c>
      <c r="L4563" s="116">
        <v>283.56</v>
      </c>
    </row>
    <row r="4564" spans="1:12" hidden="1" outlineLevel="1" collapsed="1" x14ac:dyDescent="0.35">
      <c r="A4564" s="112" t="s">
        <v>3616</v>
      </c>
      <c r="B4564" s="112" t="s">
        <v>921</v>
      </c>
      <c r="C4564" s="112" t="s">
        <v>695</v>
      </c>
      <c r="D4564" s="113">
        <v>10348038</v>
      </c>
      <c r="E4564" s="115">
        <v>43928</v>
      </c>
      <c r="F4564" s="114">
        <v>202101</v>
      </c>
      <c r="G4564" s="112" t="s">
        <v>1091</v>
      </c>
      <c r="H4564" s="112" t="s">
        <v>1016</v>
      </c>
      <c r="I4564" s="112" t="s">
        <v>3899</v>
      </c>
      <c r="J4564" s="112" t="s">
        <v>3709</v>
      </c>
      <c r="K4564" s="112" t="s">
        <v>3922</v>
      </c>
      <c r="L4564" s="116">
        <v>-262.5</v>
      </c>
    </row>
    <row r="4565" spans="1:12" hidden="1" outlineLevel="1" collapsed="1" x14ac:dyDescent="0.35">
      <c r="A4565" s="112" t="s">
        <v>3616</v>
      </c>
      <c r="B4565" s="112" t="s">
        <v>921</v>
      </c>
      <c r="C4565" s="112" t="s">
        <v>695</v>
      </c>
      <c r="D4565" s="113">
        <v>10348038</v>
      </c>
      <c r="E4565" s="115">
        <v>43928</v>
      </c>
      <c r="F4565" s="114">
        <v>202101</v>
      </c>
      <c r="G4565" s="112" t="s">
        <v>1091</v>
      </c>
      <c r="H4565" s="112" t="s">
        <v>1016</v>
      </c>
      <c r="I4565" s="112" t="s">
        <v>3899</v>
      </c>
      <c r="J4565" s="112" t="s">
        <v>3709</v>
      </c>
      <c r="K4565" s="112" t="s">
        <v>3923</v>
      </c>
      <c r="L4565" s="116">
        <v>-262.5</v>
      </c>
    </row>
    <row r="4566" spans="1:12" hidden="1" outlineLevel="1" collapsed="1" x14ac:dyDescent="0.35">
      <c r="A4566" s="112" t="s">
        <v>3616</v>
      </c>
      <c r="B4566" s="112" t="s">
        <v>921</v>
      </c>
      <c r="C4566" s="112" t="s">
        <v>695</v>
      </c>
      <c r="D4566" s="113">
        <v>10348038</v>
      </c>
      <c r="E4566" s="115">
        <v>43928</v>
      </c>
      <c r="F4566" s="114">
        <v>202101</v>
      </c>
      <c r="G4566" s="112" t="s">
        <v>1091</v>
      </c>
      <c r="H4566" s="112" t="s">
        <v>1016</v>
      </c>
      <c r="I4566" s="112" t="s">
        <v>3899</v>
      </c>
      <c r="J4566" s="112" t="s">
        <v>3709</v>
      </c>
      <c r="K4566" s="112" t="s">
        <v>3924</v>
      </c>
      <c r="L4566" s="116">
        <v>-1353.75</v>
      </c>
    </row>
    <row r="4567" spans="1:12" hidden="1" outlineLevel="1" collapsed="1" x14ac:dyDescent="0.35">
      <c r="A4567" s="112" t="s">
        <v>3616</v>
      </c>
      <c r="B4567" s="112" t="s">
        <v>921</v>
      </c>
      <c r="C4567" s="112" t="s">
        <v>695</v>
      </c>
      <c r="D4567" s="113">
        <v>10348038</v>
      </c>
      <c r="E4567" s="115">
        <v>43928</v>
      </c>
      <c r="F4567" s="114">
        <v>202101</v>
      </c>
      <c r="G4567" s="112" t="s">
        <v>1091</v>
      </c>
      <c r="H4567" s="112" t="s">
        <v>1016</v>
      </c>
      <c r="I4567" s="112" t="s">
        <v>3899</v>
      </c>
      <c r="J4567" s="112" t="s">
        <v>3709</v>
      </c>
      <c r="K4567" s="112" t="s">
        <v>3925</v>
      </c>
      <c r="L4567" s="116">
        <v>-262.5</v>
      </c>
    </row>
    <row r="4568" spans="1:12" hidden="1" outlineLevel="1" collapsed="1" x14ac:dyDescent="0.35">
      <c r="A4568" s="112" t="s">
        <v>3616</v>
      </c>
      <c r="B4568" s="112" t="s">
        <v>921</v>
      </c>
      <c r="C4568" s="112" t="s">
        <v>695</v>
      </c>
      <c r="D4568" s="113">
        <v>10348038</v>
      </c>
      <c r="E4568" s="115">
        <v>43928</v>
      </c>
      <c r="F4568" s="114">
        <v>202101</v>
      </c>
      <c r="G4568" s="112" t="s">
        <v>1091</v>
      </c>
      <c r="H4568" s="112" t="s">
        <v>1016</v>
      </c>
      <c r="I4568" s="112" t="s">
        <v>3846</v>
      </c>
      <c r="J4568" s="112" t="s">
        <v>3709</v>
      </c>
      <c r="K4568" s="112" t="s">
        <v>3926</v>
      </c>
      <c r="L4568" s="116">
        <v>-187.5</v>
      </c>
    </row>
    <row r="4569" spans="1:12" hidden="1" outlineLevel="1" collapsed="1" x14ac:dyDescent="0.35">
      <c r="A4569" s="112" t="s">
        <v>3616</v>
      </c>
      <c r="B4569" s="112" t="s">
        <v>921</v>
      </c>
      <c r="C4569" s="112" t="s">
        <v>695</v>
      </c>
      <c r="D4569" s="113">
        <v>10348034</v>
      </c>
      <c r="E4569" s="115">
        <v>43928</v>
      </c>
      <c r="F4569" s="114">
        <v>202101</v>
      </c>
      <c r="G4569" s="112" t="s">
        <v>1091</v>
      </c>
      <c r="H4569" s="112" t="s">
        <v>1015</v>
      </c>
      <c r="I4569" s="112" t="s">
        <v>1211</v>
      </c>
      <c r="J4569" s="112" t="s">
        <v>3620</v>
      </c>
      <c r="K4569" s="112" t="s">
        <v>3927</v>
      </c>
      <c r="L4569" s="116">
        <v>-445.45</v>
      </c>
    </row>
    <row r="4570" spans="1:12" hidden="1" outlineLevel="1" collapsed="1" x14ac:dyDescent="0.35">
      <c r="A4570" s="112" t="s">
        <v>3616</v>
      </c>
      <c r="B4570" s="112" t="s">
        <v>922</v>
      </c>
      <c r="C4570" s="112" t="s">
        <v>1099</v>
      </c>
      <c r="D4570" s="113">
        <v>1069578</v>
      </c>
      <c r="E4570" s="115">
        <v>43937</v>
      </c>
      <c r="F4570" s="114">
        <v>202101</v>
      </c>
      <c r="G4570" s="112" t="s">
        <v>1091</v>
      </c>
      <c r="H4570" s="112" t="s">
        <v>1015</v>
      </c>
      <c r="I4570" s="112" t="s">
        <v>761</v>
      </c>
      <c r="J4570" s="112" t="s">
        <v>3766</v>
      </c>
      <c r="K4570" s="112" t="s">
        <v>3928</v>
      </c>
      <c r="L4570" s="116">
        <v>20</v>
      </c>
    </row>
    <row r="4571" spans="1:12" hidden="1" outlineLevel="1" collapsed="1" x14ac:dyDescent="0.35">
      <c r="A4571" s="112" t="s">
        <v>3616</v>
      </c>
      <c r="B4571" s="112" t="s">
        <v>918</v>
      </c>
      <c r="C4571" s="112" t="s">
        <v>695</v>
      </c>
      <c r="D4571" s="113">
        <v>10348539</v>
      </c>
      <c r="E4571" s="115">
        <v>43951</v>
      </c>
      <c r="F4571" s="114">
        <v>202101</v>
      </c>
      <c r="G4571" s="112" t="s">
        <v>1091</v>
      </c>
      <c r="H4571" s="112" t="s">
        <v>1015</v>
      </c>
      <c r="I4571" s="112" t="s">
        <v>1868</v>
      </c>
      <c r="J4571" s="112" t="s">
        <v>3695</v>
      </c>
      <c r="K4571" s="112" t="s">
        <v>3929</v>
      </c>
      <c r="L4571" s="116">
        <v>850</v>
      </c>
    </row>
    <row r="4572" spans="1:12" hidden="1" outlineLevel="1" collapsed="1" x14ac:dyDescent="0.35">
      <c r="A4572" s="112" t="s">
        <v>3616</v>
      </c>
      <c r="B4572" s="112" t="s">
        <v>921</v>
      </c>
      <c r="C4572" s="112" t="s">
        <v>695</v>
      </c>
      <c r="D4572" s="113">
        <v>10348038</v>
      </c>
      <c r="E4572" s="115">
        <v>43928</v>
      </c>
      <c r="F4572" s="114">
        <v>202101</v>
      </c>
      <c r="G4572" s="112" t="s">
        <v>1091</v>
      </c>
      <c r="H4572" s="112" t="s">
        <v>1016</v>
      </c>
      <c r="I4572" s="112" t="s">
        <v>819</v>
      </c>
      <c r="J4572" s="112" t="s">
        <v>3709</v>
      </c>
      <c r="K4572" s="112" t="s">
        <v>3930</v>
      </c>
      <c r="L4572" s="116">
        <v>337.5</v>
      </c>
    </row>
    <row r="4573" spans="1:12" hidden="1" outlineLevel="1" collapsed="1" x14ac:dyDescent="0.35">
      <c r="A4573" s="112" t="s">
        <v>3616</v>
      </c>
      <c r="B4573" s="112" t="s">
        <v>918</v>
      </c>
      <c r="C4573" s="112" t="s">
        <v>695</v>
      </c>
      <c r="D4573" s="113">
        <v>10348539</v>
      </c>
      <c r="E4573" s="115">
        <v>43951</v>
      </c>
      <c r="F4573" s="114">
        <v>202101</v>
      </c>
      <c r="G4573" s="112" t="s">
        <v>1091</v>
      </c>
      <c r="H4573" s="112" t="s">
        <v>1015</v>
      </c>
      <c r="I4573" s="112" t="s">
        <v>1868</v>
      </c>
      <c r="J4573" s="112" t="s">
        <v>3695</v>
      </c>
      <c r="K4573" s="112" t="s">
        <v>3929</v>
      </c>
      <c r="L4573" s="116">
        <v>200</v>
      </c>
    </row>
    <row r="4574" spans="1:12" hidden="1" outlineLevel="1" collapsed="1" x14ac:dyDescent="0.35">
      <c r="A4574" s="112" t="s">
        <v>3616</v>
      </c>
      <c r="B4574" s="112" t="s">
        <v>918</v>
      </c>
      <c r="C4574" s="112" t="s">
        <v>695</v>
      </c>
      <c r="D4574" s="113">
        <v>10348539</v>
      </c>
      <c r="E4574" s="115">
        <v>43951</v>
      </c>
      <c r="F4574" s="114">
        <v>202101</v>
      </c>
      <c r="G4574" s="112" t="s">
        <v>1091</v>
      </c>
      <c r="H4574" s="112" t="s">
        <v>1015</v>
      </c>
      <c r="I4574" s="112" t="s">
        <v>1868</v>
      </c>
      <c r="J4574" s="112" t="s">
        <v>3695</v>
      </c>
      <c r="K4574" s="112" t="s">
        <v>3931</v>
      </c>
      <c r="L4574" s="116">
        <v>2049.75</v>
      </c>
    </row>
    <row r="4575" spans="1:12" hidden="1" outlineLevel="1" collapsed="1" x14ac:dyDescent="0.35">
      <c r="A4575" s="112" t="s">
        <v>3616</v>
      </c>
      <c r="B4575" s="112" t="s">
        <v>921</v>
      </c>
      <c r="C4575" s="112" t="s">
        <v>695</v>
      </c>
      <c r="D4575" s="113">
        <v>10348038</v>
      </c>
      <c r="E4575" s="115">
        <v>43928</v>
      </c>
      <c r="F4575" s="114">
        <v>202101</v>
      </c>
      <c r="G4575" s="112" t="s">
        <v>1091</v>
      </c>
      <c r="H4575" s="112" t="s">
        <v>1016</v>
      </c>
      <c r="I4575" s="112" t="s">
        <v>819</v>
      </c>
      <c r="J4575" s="112" t="s">
        <v>3709</v>
      </c>
      <c r="K4575" s="112" t="s">
        <v>3932</v>
      </c>
      <c r="L4575" s="116">
        <v>-150</v>
      </c>
    </row>
    <row r="4576" spans="1:12" hidden="1" outlineLevel="1" collapsed="1" x14ac:dyDescent="0.35">
      <c r="A4576" s="112" t="s">
        <v>3616</v>
      </c>
      <c r="B4576" s="112" t="s">
        <v>918</v>
      </c>
      <c r="C4576" s="112" t="s">
        <v>695</v>
      </c>
      <c r="D4576" s="113">
        <v>10348539</v>
      </c>
      <c r="E4576" s="115">
        <v>43951</v>
      </c>
      <c r="F4576" s="114">
        <v>202101</v>
      </c>
      <c r="G4576" s="112" t="s">
        <v>1091</v>
      </c>
      <c r="H4576" s="112" t="s">
        <v>1015</v>
      </c>
      <c r="I4576" s="112" t="s">
        <v>761</v>
      </c>
      <c r="J4576" s="112" t="s">
        <v>3649</v>
      </c>
      <c r="K4576" s="112" t="s">
        <v>3933</v>
      </c>
      <c r="L4576" s="116">
        <v>1705</v>
      </c>
    </row>
    <row r="4577" spans="1:12" hidden="1" outlineLevel="1" collapsed="1" x14ac:dyDescent="0.35">
      <c r="A4577" s="112" t="s">
        <v>3616</v>
      </c>
      <c r="B4577" s="112" t="s">
        <v>918</v>
      </c>
      <c r="C4577" s="112" t="s">
        <v>695</v>
      </c>
      <c r="D4577" s="113">
        <v>10348539</v>
      </c>
      <c r="E4577" s="115">
        <v>43951</v>
      </c>
      <c r="F4577" s="114">
        <v>202101</v>
      </c>
      <c r="G4577" s="112" t="s">
        <v>1091</v>
      </c>
      <c r="H4577" s="112" t="s">
        <v>1015</v>
      </c>
      <c r="I4577" s="112" t="s">
        <v>761</v>
      </c>
      <c r="J4577" s="112" t="s">
        <v>3649</v>
      </c>
      <c r="K4577" s="112" t="s">
        <v>3933</v>
      </c>
      <c r="L4577" s="116">
        <v>2480</v>
      </c>
    </row>
    <row r="4578" spans="1:12" hidden="1" outlineLevel="1" collapsed="1" x14ac:dyDescent="0.35">
      <c r="A4578" s="112" t="s">
        <v>3616</v>
      </c>
      <c r="B4578" s="112" t="s">
        <v>921</v>
      </c>
      <c r="C4578" s="112" t="s">
        <v>695</v>
      </c>
      <c r="D4578" s="113">
        <v>10348038</v>
      </c>
      <c r="E4578" s="115">
        <v>43928</v>
      </c>
      <c r="F4578" s="114">
        <v>202101</v>
      </c>
      <c r="G4578" s="112" t="s">
        <v>1091</v>
      </c>
      <c r="H4578" s="112" t="s">
        <v>1016</v>
      </c>
      <c r="I4578" s="112" t="s">
        <v>819</v>
      </c>
      <c r="J4578" s="112" t="s">
        <v>3709</v>
      </c>
      <c r="K4578" s="112" t="s">
        <v>3934</v>
      </c>
      <c r="L4578" s="116">
        <v>-420</v>
      </c>
    </row>
    <row r="4579" spans="1:12" hidden="1" outlineLevel="1" collapsed="1" x14ac:dyDescent="0.35">
      <c r="A4579" s="112" t="s">
        <v>3616</v>
      </c>
      <c r="B4579" s="112" t="s">
        <v>921</v>
      </c>
      <c r="C4579" s="112" t="s">
        <v>695</v>
      </c>
      <c r="D4579" s="113">
        <v>10348038</v>
      </c>
      <c r="E4579" s="115">
        <v>43928</v>
      </c>
      <c r="F4579" s="114">
        <v>202101</v>
      </c>
      <c r="G4579" s="112" t="s">
        <v>1091</v>
      </c>
      <c r="H4579" s="112" t="s">
        <v>1016</v>
      </c>
      <c r="I4579" s="112" t="s">
        <v>819</v>
      </c>
      <c r="J4579" s="112" t="s">
        <v>3709</v>
      </c>
      <c r="K4579" s="112" t="s">
        <v>3935</v>
      </c>
      <c r="L4579" s="116">
        <v>262.5</v>
      </c>
    </row>
    <row r="4580" spans="1:12" hidden="1" outlineLevel="1" collapsed="1" x14ac:dyDescent="0.35">
      <c r="A4580" s="112" t="s">
        <v>3616</v>
      </c>
      <c r="B4580" s="112" t="s">
        <v>921</v>
      </c>
      <c r="C4580" s="112" t="s">
        <v>695</v>
      </c>
      <c r="D4580" s="113">
        <v>10348038</v>
      </c>
      <c r="E4580" s="115">
        <v>43928</v>
      </c>
      <c r="F4580" s="114">
        <v>202101</v>
      </c>
      <c r="G4580" s="112" t="s">
        <v>1091</v>
      </c>
      <c r="H4580" s="112" t="s">
        <v>1016</v>
      </c>
      <c r="I4580" s="112" t="s">
        <v>3846</v>
      </c>
      <c r="J4580" s="112" t="s">
        <v>3709</v>
      </c>
      <c r="K4580" s="112" t="s">
        <v>3936</v>
      </c>
      <c r="L4580" s="116">
        <v>-1551.25</v>
      </c>
    </row>
    <row r="4581" spans="1:12" hidden="1" outlineLevel="1" collapsed="1" x14ac:dyDescent="0.35">
      <c r="A4581" s="112" t="s">
        <v>3616</v>
      </c>
      <c r="B4581" s="112" t="s">
        <v>921</v>
      </c>
      <c r="C4581" s="112" t="s">
        <v>695</v>
      </c>
      <c r="D4581" s="113">
        <v>10348038</v>
      </c>
      <c r="E4581" s="115">
        <v>43928</v>
      </c>
      <c r="F4581" s="114">
        <v>202101</v>
      </c>
      <c r="G4581" s="112" t="s">
        <v>1091</v>
      </c>
      <c r="H4581" s="112" t="s">
        <v>1016</v>
      </c>
      <c r="I4581" s="112" t="s">
        <v>3846</v>
      </c>
      <c r="J4581" s="112" t="s">
        <v>3709</v>
      </c>
      <c r="K4581" s="112" t="s">
        <v>3937</v>
      </c>
      <c r="L4581" s="116">
        <v>-257.5</v>
      </c>
    </row>
    <row r="4582" spans="1:12" hidden="1" outlineLevel="1" collapsed="1" x14ac:dyDescent="0.35">
      <c r="A4582" s="112" t="s">
        <v>3616</v>
      </c>
      <c r="B4582" s="112" t="s">
        <v>922</v>
      </c>
      <c r="C4582" s="112" t="s">
        <v>1099</v>
      </c>
      <c r="D4582" s="113">
        <v>1069579</v>
      </c>
      <c r="E4582" s="115">
        <v>43937</v>
      </c>
      <c r="F4582" s="114">
        <v>202101</v>
      </c>
      <c r="G4582" s="112" t="s">
        <v>1091</v>
      </c>
      <c r="H4582" s="112" t="s">
        <v>1015</v>
      </c>
      <c r="I4582" s="112" t="s">
        <v>761</v>
      </c>
      <c r="J4582" s="112" t="s">
        <v>3766</v>
      </c>
      <c r="K4582" s="112" t="s">
        <v>3938</v>
      </c>
      <c r="L4582" s="116">
        <v>1125</v>
      </c>
    </row>
    <row r="4583" spans="1:12" hidden="1" outlineLevel="1" collapsed="1" x14ac:dyDescent="0.35">
      <c r="A4583" s="112" t="s">
        <v>3616</v>
      </c>
      <c r="B4583" s="112" t="s">
        <v>923</v>
      </c>
      <c r="C4583" s="112" t="s">
        <v>695</v>
      </c>
      <c r="D4583" s="113">
        <v>10348539</v>
      </c>
      <c r="E4583" s="115">
        <v>43951</v>
      </c>
      <c r="F4583" s="114">
        <v>202101</v>
      </c>
      <c r="G4583" s="112" t="s">
        <v>1091</v>
      </c>
      <c r="H4583" s="112" t="s">
        <v>1015</v>
      </c>
      <c r="I4583" s="112" t="s">
        <v>1182</v>
      </c>
      <c r="J4583" s="112" t="s">
        <v>3714</v>
      </c>
      <c r="K4583" s="112" t="s">
        <v>3939</v>
      </c>
      <c r="L4583" s="116">
        <v>60</v>
      </c>
    </row>
    <row r="4584" spans="1:12" hidden="1" outlineLevel="1" collapsed="1" x14ac:dyDescent="0.35">
      <c r="A4584" s="112" t="s">
        <v>3616</v>
      </c>
      <c r="B4584" s="112" t="s">
        <v>923</v>
      </c>
      <c r="C4584" s="112" t="s">
        <v>1099</v>
      </c>
      <c r="D4584" s="113">
        <v>1069576</v>
      </c>
      <c r="E4584" s="115">
        <v>43937</v>
      </c>
      <c r="F4584" s="114">
        <v>202101</v>
      </c>
      <c r="G4584" s="112" t="s">
        <v>1091</v>
      </c>
      <c r="H4584" s="112" t="s">
        <v>1015</v>
      </c>
      <c r="I4584" s="112" t="s">
        <v>1164</v>
      </c>
      <c r="J4584" s="112" t="s">
        <v>3750</v>
      </c>
      <c r="K4584" s="112" t="s">
        <v>3940</v>
      </c>
      <c r="L4584" s="116">
        <v>19</v>
      </c>
    </row>
    <row r="4585" spans="1:12" hidden="1" outlineLevel="1" collapsed="1" x14ac:dyDescent="0.35">
      <c r="A4585" s="112" t="s">
        <v>3616</v>
      </c>
      <c r="B4585" s="112" t="s">
        <v>923</v>
      </c>
      <c r="C4585" s="112" t="s">
        <v>1099</v>
      </c>
      <c r="D4585" s="113">
        <v>1069575</v>
      </c>
      <c r="E4585" s="115">
        <v>43854</v>
      </c>
      <c r="F4585" s="114">
        <v>202101</v>
      </c>
      <c r="G4585" s="112" t="s">
        <v>1091</v>
      </c>
      <c r="H4585" s="112" t="s">
        <v>1015</v>
      </c>
      <c r="I4585" s="112" t="s">
        <v>1164</v>
      </c>
      <c r="J4585" s="112" t="s">
        <v>3750</v>
      </c>
      <c r="K4585" s="112" t="s">
        <v>3941</v>
      </c>
      <c r="L4585" s="116">
        <v>54</v>
      </c>
    </row>
    <row r="4586" spans="1:12" hidden="1" outlineLevel="1" collapsed="1" x14ac:dyDescent="0.35">
      <c r="A4586" s="112" t="s">
        <v>3616</v>
      </c>
      <c r="B4586" s="112" t="s">
        <v>923</v>
      </c>
      <c r="C4586" s="112" t="s">
        <v>1099</v>
      </c>
      <c r="D4586" s="113">
        <v>1069574</v>
      </c>
      <c r="E4586" s="115">
        <v>43854</v>
      </c>
      <c r="F4586" s="114">
        <v>202101</v>
      </c>
      <c r="G4586" s="112" t="s">
        <v>1091</v>
      </c>
      <c r="H4586" s="112" t="s">
        <v>1015</v>
      </c>
      <c r="I4586" s="112" t="s">
        <v>1164</v>
      </c>
      <c r="J4586" s="112" t="s">
        <v>3750</v>
      </c>
      <c r="K4586" s="112" t="s">
        <v>3942</v>
      </c>
      <c r="L4586" s="116">
        <v>54</v>
      </c>
    </row>
    <row r="4587" spans="1:12" hidden="1" outlineLevel="1" collapsed="1" x14ac:dyDescent="0.35">
      <c r="A4587" s="112" t="s">
        <v>3616</v>
      </c>
      <c r="B4587" s="112" t="s">
        <v>919</v>
      </c>
      <c r="C4587" s="112" t="s">
        <v>1095</v>
      </c>
      <c r="D4587" s="113">
        <v>10348451</v>
      </c>
      <c r="E4587" s="115">
        <v>43949</v>
      </c>
      <c r="F4587" s="114">
        <v>202101</v>
      </c>
      <c r="G4587" s="112" t="s">
        <v>1091</v>
      </c>
      <c r="H4587" s="112" t="s">
        <v>1015</v>
      </c>
      <c r="I4587" s="112" t="s">
        <v>1096</v>
      </c>
      <c r="J4587" s="112" t="s">
        <v>3628</v>
      </c>
      <c r="K4587" s="112" t="s">
        <v>1098</v>
      </c>
      <c r="L4587" s="116">
        <v>310.49</v>
      </c>
    </row>
    <row r="4588" spans="1:12" hidden="1" outlineLevel="1" collapsed="1" x14ac:dyDescent="0.35">
      <c r="A4588" s="112" t="s">
        <v>3616</v>
      </c>
      <c r="B4588" s="112" t="s">
        <v>922</v>
      </c>
      <c r="C4588" s="112" t="s">
        <v>1095</v>
      </c>
      <c r="D4588" s="113">
        <v>10348451</v>
      </c>
      <c r="E4588" s="115">
        <v>43949</v>
      </c>
      <c r="F4588" s="114">
        <v>202101</v>
      </c>
      <c r="G4588" s="112" t="s">
        <v>1091</v>
      </c>
      <c r="H4588" s="112" t="s">
        <v>1015</v>
      </c>
      <c r="I4588" s="112" t="s">
        <v>1101</v>
      </c>
      <c r="J4588" s="112" t="s">
        <v>3784</v>
      </c>
      <c r="K4588" s="112" t="s">
        <v>1098</v>
      </c>
      <c r="L4588" s="116">
        <v>102.16</v>
      </c>
    </row>
    <row r="4589" spans="1:12" hidden="1" outlineLevel="1" collapsed="1" x14ac:dyDescent="0.35">
      <c r="A4589" s="112" t="s">
        <v>3616</v>
      </c>
      <c r="B4589" s="112" t="s">
        <v>921</v>
      </c>
      <c r="C4589" s="112" t="s">
        <v>1095</v>
      </c>
      <c r="D4589" s="113">
        <v>10348451</v>
      </c>
      <c r="E4589" s="115">
        <v>43949</v>
      </c>
      <c r="F4589" s="114">
        <v>202101</v>
      </c>
      <c r="G4589" s="112" t="s">
        <v>1091</v>
      </c>
      <c r="H4589" s="112" t="s">
        <v>1015</v>
      </c>
      <c r="I4589" s="112" t="s">
        <v>1101</v>
      </c>
      <c r="J4589" s="112" t="s">
        <v>3709</v>
      </c>
      <c r="K4589" s="112" t="s">
        <v>1098</v>
      </c>
      <c r="L4589" s="116">
        <v>789.11</v>
      </c>
    </row>
    <row r="4590" spans="1:12" hidden="1" outlineLevel="1" collapsed="1" x14ac:dyDescent="0.35">
      <c r="A4590" s="112" t="s">
        <v>3616</v>
      </c>
      <c r="B4590" s="112" t="s">
        <v>3943</v>
      </c>
      <c r="C4590" s="112" t="s">
        <v>679</v>
      </c>
      <c r="D4590" s="113">
        <v>10348271</v>
      </c>
      <c r="E4590" s="115">
        <v>43937</v>
      </c>
      <c r="F4590" s="114">
        <v>202101</v>
      </c>
      <c r="G4590" s="112" t="s">
        <v>1091</v>
      </c>
      <c r="H4590" s="112" t="s">
        <v>1015</v>
      </c>
      <c r="I4590" s="112" t="s">
        <v>1605</v>
      </c>
      <c r="J4590" s="112" t="s">
        <v>3944</v>
      </c>
      <c r="K4590" s="112" t="s">
        <v>3945</v>
      </c>
      <c r="L4590" s="116">
        <v>3000</v>
      </c>
    </row>
    <row r="4591" spans="1:12" hidden="1" outlineLevel="1" collapsed="1" x14ac:dyDescent="0.35">
      <c r="A4591" s="112" t="s">
        <v>3616</v>
      </c>
      <c r="B4591" s="112" t="s">
        <v>919</v>
      </c>
      <c r="C4591" s="112" t="s">
        <v>1095</v>
      </c>
      <c r="D4591" s="113">
        <v>10348451</v>
      </c>
      <c r="E4591" s="115">
        <v>43949</v>
      </c>
      <c r="F4591" s="114">
        <v>202101</v>
      </c>
      <c r="G4591" s="112" t="s">
        <v>1091</v>
      </c>
      <c r="H4591" s="112" t="s">
        <v>1015</v>
      </c>
      <c r="I4591" s="112" t="s">
        <v>1096</v>
      </c>
      <c r="J4591" s="112" t="s">
        <v>3632</v>
      </c>
      <c r="K4591" s="112" t="s">
        <v>1098</v>
      </c>
      <c r="L4591" s="116">
        <v>7.51</v>
      </c>
    </row>
    <row r="4592" spans="1:12" hidden="1" outlineLevel="1" collapsed="1" x14ac:dyDescent="0.35">
      <c r="A4592" s="112" t="s">
        <v>3616</v>
      </c>
      <c r="B4592" s="112" t="s">
        <v>920</v>
      </c>
      <c r="C4592" s="112" t="s">
        <v>1095</v>
      </c>
      <c r="D4592" s="113">
        <v>10348451</v>
      </c>
      <c r="E4592" s="115">
        <v>43949</v>
      </c>
      <c r="F4592" s="114">
        <v>202101</v>
      </c>
      <c r="G4592" s="112" t="s">
        <v>1091</v>
      </c>
      <c r="H4592" s="112" t="s">
        <v>1015</v>
      </c>
      <c r="I4592" s="112" t="s">
        <v>1101</v>
      </c>
      <c r="J4592" s="112" t="s">
        <v>3755</v>
      </c>
      <c r="K4592" s="112" t="s">
        <v>1098</v>
      </c>
      <c r="L4592" s="116">
        <v>366.04</v>
      </c>
    </row>
    <row r="4593" spans="1:12" hidden="1" outlineLevel="1" collapsed="1" x14ac:dyDescent="0.35">
      <c r="A4593" s="112" t="s">
        <v>3616</v>
      </c>
      <c r="B4593" s="112" t="s">
        <v>921</v>
      </c>
      <c r="C4593" s="112" t="s">
        <v>695</v>
      </c>
      <c r="D4593" s="113">
        <v>10348038</v>
      </c>
      <c r="E4593" s="115">
        <v>43928</v>
      </c>
      <c r="F4593" s="114">
        <v>202101</v>
      </c>
      <c r="G4593" s="112" t="s">
        <v>1091</v>
      </c>
      <c r="H4593" s="112" t="s">
        <v>1016</v>
      </c>
      <c r="I4593" s="112" t="s">
        <v>3846</v>
      </c>
      <c r="J4593" s="112" t="s">
        <v>3709</v>
      </c>
      <c r="K4593" s="112" t="s">
        <v>3946</v>
      </c>
      <c r="L4593" s="116">
        <v>-3045</v>
      </c>
    </row>
    <row r="4594" spans="1:12" hidden="1" outlineLevel="1" collapsed="1" x14ac:dyDescent="0.35">
      <c r="A4594" s="112" t="s">
        <v>3616</v>
      </c>
      <c r="B4594" s="112" t="s">
        <v>921</v>
      </c>
      <c r="C4594" s="112" t="s">
        <v>695</v>
      </c>
      <c r="D4594" s="113">
        <v>10348038</v>
      </c>
      <c r="E4594" s="115">
        <v>43928</v>
      </c>
      <c r="F4594" s="114">
        <v>202101</v>
      </c>
      <c r="G4594" s="112" t="s">
        <v>1091</v>
      </c>
      <c r="H4594" s="112" t="s">
        <v>1016</v>
      </c>
      <c r="I4594" s="112" t="s">
        <v>3846</v>
      </c>
      <c r="J4594" s="112" t="s">
        <v>3709</v>
      </c>
      <c r="K4594" s="112" t="s">
        <v>3947</v>
      </c>
      <c r="L4594" s="116">
        <v>-320</v>
      </c>
    </row>
    <row r="4595" spans="1:12" hidden="1" outlineLevel="1" collapsed="1" x14ac:dyDescent="0.35">
      <c r="A4595" s="112" t="s">
        <v>3616</v>
      </c>
      <c r="B4595" s="112" t="s">
        <v>921</v>
      </c>
      <c r="C4595" s="112" t="s">
        <v>695</v>
      </c>
      <c r="D4595" s="113">
        <v>10348038</v>
      </c>
      <c r="E4595" s="115">
        <v>43928</v>
      </c>
      <c r="F4595" s="114">
        <v>202101</v>
      </c>
      <c r="G4595" s="112" t="s">
        <v>1091</v>
      </c>
      <c r="H4595" s="112" t="s">
        <v>1016</v>
      </c>
      <c r="I4595" s="112" t="s">
        <v>3846</v>
      </c>
      <c r="J4595" s="112" t="s">
        <v>3709</v>
      </c>
      <c r="K4595" s="112" t="s">
        <v>3948</v>
      </c>
      <c r="L4595" s="116">
        <v>2040</v>
      </c>
    </row>
    <row r="4596" spans="1:12" hidden="1" outlineLevel="1" collapsed="1" x14ac:dyDescent="0.35">
      <c r="A4596" s="112" t="s">
        <v>3616</v>
      </c>
      <c r="B4596" s="112" t="s">
        <v>921</v>
      </c>
      <c r="C4596" s="112" t="s">
        <v>695</v>
      </c>
      <c r="D4596" s="113">
        <v>10348038</v>
      </c>
      <c r="E4596" s="115">
        <v>43928</v>
      </c>
      <c r="F4596" s="114">
        <v>202101</v>
      </c>
      <c r="G4596" s="112" t="s">
        <v>1091</v>
      </c>
      <c r="H4596" s="112" t="s">
        <v>1016</v>
      </c>
      <c r="I4596" s="112" t="s">
        <v>3846</v>
      </c>
      <c r="J4596" s="112" t="s">
        <v>3709</v>
      </c>
      <c r="K4596" s="112" t="s">
        <v>3932</v>
      </c>
      <c r="L4596" s="116">
        <v>-1085</v>
      </c>
    </row>
    <row r="4597" spans="1:12" hidden="1" outlineLevel="1" collapsed="1" x14ac:dyDescent="0.35">
      <c r="A4597" s="112" t="s">
        <v>3616</v>
      </c>
      <c r="B4597" s="112" t="s">
        <v>918</v>
      </c>
      <c r="C4597" s="112" t="s">
        <v>1095</v>
      </c>
      <c r="D4597" s="113">
        <v>10348451</v>
      </c>
      <c r="E4597" s="115">
        <v>43949</v>
      </c>
      <c r="F4597" s="114">
        <v>202101</v>
      </c>
      <c r="G4597" s="112" t="s">
        <v>1091</v>
      </c>
      <c r="H4597" s="112" t="s">
        <v>1015</v>
      </c>
      <c r="I4597" s="112" t="s">
        <v>1101</v>
      </c>
      <c r="J4597" s="112" t="s">
        <v>3695</v>
      </c>
      <c r="K4597" s="112" t="s">
        <v>1098</v>
      </c>
      <c r="L4597" s="116">
        <v>490.86</v>
      </c>
    </row>
    <row r="4598" spans="1:12" hidden="1" outlineLevel="1" collapsed="1" x14ac:dyDescent="0.35">
      <c r="A4598" s="112" t="s">
        <v>3616</v>
      </c>
      <c r="B4598" s="112" t="s">
        <v>922</v>
      </c>
      <c r="C4598" s="112" t="s">
        <v>695</v>
      </c>
      <c r="D4598" s="113">
        <v>10348539</v>
      </c>
      <c r="E4598" s="115">
        <v>43951</v>
      </c>
      <c r="F4598" s="114">
        <v>202101</v>
      </c>
      <c r="G4598" s="112" t="s">
        <v>1091</v>
      </c>
      <c r="H4598" s="112" t="s">
        <v>1015</v>
      </c>
      <c r="I4598" s="112" t="s">
        <v>761</v>
      </c>
      <c r="J4598" s="112" t="s">
        <v>3794</v>
      </c>
      <c r="K4598" s="112" t="s">
        <v>3949</v>
      </c>
      <c r="L4598" s="116">
        <v>45</v>
      </c>
    </row>
    <row r="4599" spans="1:12" hidden="1" outlineLevel="1" collapsed="1" x14ac:dyDescent="0.35">
      <c r="A4599" s="112" t="s">
        <v>3616</v>
      </c>
      <c r="B4599" s="112" t="s">
        <v>918</v>
      </c>
      <c r="C4599" s="112" t="s">
        <v>1095</v>
      </c>
      <c r="D4599" s="113">
        <v>10348451</v>
      </c>
      <c r="E4599" s="115">
        <v>43949</v>
      </c>
      <c r="F4599" s="114">
        <v>202101</v>
      </c>
      <c r="G4599" s="112" t="s">
        <v>1091</v>
      </c>
      <c r="H4599" s="112" t="s">
        <v>1015</v>
      </c>
      <c r="I4599" s="112" t="s">
        <v>1205</v>
      </c>
      <c r="J4599" s="112" t="s">
        <v>3695</v>
      </c>
      <c r="K4599" s="112" t="s">
        <v>1098</v>
      </c>
      <c r="L4599" s="116">
        <v>13</v>
      </c>
    </row>
    <row r="4600" spans="1:12" hidden="1" outlineLevel="1" collapsed="1" x14ac:dyDescent="0.35">
      <c r="A4600" s="112" t="s">
        <v>3616</v>
      </c>
      <c r="B4600" s="112" t="s">
        <v>921</v>
      </c>
      <c r="C4600" s="112" t="s">
        <v>1099</v>
      </c>
      <c r="D4600" s="113">
        <v>1069622</v>
      </c>
      <c r="E4600" s="115">
        <v>43941</v>
      </c>
      <c r="F4600" s="114">
        <v>202101</v>
      </c>
      <c r="G4600" s="112" t="s">
        <v>1091</v>
      </c>
      <c r="H4600" s="112" t="s">
        <v>1015</v>
      </c>
      <c r="I4600" s="112" t="s">
        <v>1264</v>
      </c>
      <c r="J4600" s="112" t="s">
        <v>3620</v>
      </c>
      <c r="K4600" s="112" t="s">
        <v>3950</v>
      </c>
      <c r="L4600" s="116">
        <v>425</v>
      </c>
    </row>
    <row r="4601" spans="1:12" hidden="1" outlineLevel="1" collapsed="1" x14ac:dyDescent="0.35">
      <c r="A4601" s="112" t="s">
        <v>3616</v>
      </c>
      <c r="B4601" s="112" t="s">
        <v>921</v>
      </c>
      <c r="C4601" s="112" t="s">
        <v>1095</v>
      </c>
      <c r="D4601" s="113">
        <v>10348451</v>
      </c>
      <c r="E4601" s="115">
        <v>43949</v>
      </c>
      <c r="F4601" s="114">
        <v>202101</v>
      </c>
      <c r="G4601" s="112" t="s">
        <v>1091</v>
      </c>
      <c r="H4601" s="112" t="s">
        <v>1015</v>
      </c>
      <c r="I4601" s="112" t="s">
        <v>1190</v>
      </c>
      <c r="J4601" s="112" t="s">
        <v>3620</v>
      </c>
      <c r="K4601" s="112" t="s">
        <v>1098</v>
      </c>
      <c r="L4601" s="116">
        <v>93.93</v>
      </c>
    </row>
    <row r="4602" spans="1:12" hidden="1" outlineLevel="1" collapsed="1" x14ac:dyDescent="0.35">
      <c r="A4602" s="112" t="s">
        <v>3616</v>
      </c>
      <c r="B4602" s="112" t="s">
        <v>921</v>
      </c>
      <c r="C4602" s="112" t="s">
        <v>1095</v>
      </c>
      <c r="D4602" s="113">
        <v>10348451</v>
      </c>
      <c r="E4602" s="115">
        <v>43949</v>
      </c>
      <c r="F4602" s="114">
        <v>202101</v>
      </c>
      <c r="G4602" s="112" t="s">
        <v>1091</v>
      </c>
      <c r="H4602" s="112" t="s">
        <v>1015</v>
      </c>
      <c r="I4602" s="112" t="s">
        <v>1190</v>
      </c>
      <c r="J4602" s="112" t="s">
        <v>3620</v>
      </c>
      <c r="K4602" s="112" t="s">
        <v>1098</v>
      </c>
      <c r="L4602" s="116">
        <v>765.49</v>
      </c>
    </row>
    <row r="4603" spans="1:12" hidden="1" outlineLevel="1" collapsed="1" x14ac:dyDescent="0.35">
      <c r="A4603" s="112" t="s">
        <v>3616</v>
      </c>
      <c r="B4603" s="112" t="s">
        <v>922</v>
      </c>
      <c r="C4603" s="112" t="s">
        <v>1099</v>
      </c>
      <c r="D4603" s="113">
        <v>1069635</v>
      </c>
      <c r="E4603" s="115">
        <v>43938</v>
      </c>
      <c r="F4603" s="114">
        <v>202101</v>
      </c>
      <c r="G4603" s="112" t="s">
        <v>1091</v>
      </c>
      <c r="H4603" s="112" t="s">
        <v>1015</v>
      </c>
      <c r="I4603" s="112" t="s">
        <v>761</v>
      </c>
      <c r="J4603" s="112" t="s">
        <v>3791</v>
      </c>
      <c r="K4603" s="112" t="s">
        <v>3951</v>
      </c>
      <c r="L4603" s="116">
        <v>60</v>
      </c>
    </row>
    <row r="4604" spans="1:12" hidden="1" outlineLevel="1" collapsed="1" x14ac:dyDescent="0.35">
      <c r="A4604" s="112" t="s">
        <v>3616</v>
      </c>
      <c r="B4604" s="112" t="s">
        <v>922</v>
      </c>
      <c r="C4604" s="112" t="s">
        <v>1099</v>
      </c>
      <c r="D4604" s="113">
        <v>1069636</v>
      </c>
      <c r="E4604" s="115">
        <v>43938</v>
      </c>
      <c r="F4604" s="114">
        <v>202101</v>
      </c>
      <c r="G4604" s="112" t="s">
        <v>1091</v>
      </c>
      <c r="H4604" s="112" t="s">
        <v>1015</v>
      </c>
      <c r="I4604" s="112" t="s">
        <v>761</v>
      </c>
      <c r="J4604" s="112" t="s">
        <v>3791</v>
      </c>
      <c r="K4604" s="112" t="s">
        <v>3952</v>
      </c>
      <c r="L4604" s="116">
        <v>150</v>
      </c>
    </row>
    <row r="4605" spans="1:12" hidden="1" outlineLevel="1" collapsed="1" x14ac:dyDescent="0.35">
      <c r="A4605" s="112" t="s">
        <v>3616</v>
      </c>
      <c r="B4605" s="112" t="s">
        <v>922</v>
      </c>
      <c r="C4605" s="112" t="s">
        <v>1099</v>
      </c>
      <c r="D4605" s="113">
        <v>1069637</v>
      </c>
      <c r="E4605" s="115">
        <v>43938</v>
      </c>
      <c r="F4605" s="114">
        <v>202101</v>
      </c>
      <c r="G4605" s="112" t="s">
        <v>1091</v>
      </c>
      <c r="H4605" s="112" t="s">
        <v>1015</v>
      </c>
      <c r="I4605" s="112" t="s">
        <v>761</v>
      </c>
      <c r="J4605" s="112" t="s">
        <v>3791</v>
      </c>
      <c r="K4605" s="112" t="s">
        <v>3953</v>
      </c>
      <c r="L4605" s="116">
        <v>60</v>
      </c>
    </row>
    <row r="4606" spans="1:12" hidden="1" outlineLevel="1" collapsed="1" x14ac:dyDescent="0.35">
      <c r="A4606" s="112" t="s">
        <v>3616</v>
      </c>
      <c r="B4606" s="112" t="s">
        <v>922</v>
      </c>
      <c r="C4606" s="112" t="s">
        <v>695</v>
      </c>
      <c r="D4606" s="113">
        <v>10348128</v>
      </c>
      <c r="E4606" s="115">
        <v>43929</v>
      </c>
      <c r="F4606" s="114">
        <v>202101</v>
      </c>
      <c r="G4606" s="112" t="s">
        <v>1091</v>
      </c>
      <c r="H4606" s="112" t="s">
        <v>1015</v>
      </c>
      <c r="I4606" s="112" t="s">
        <v>761</v>
      </c>
      <c r="J4606" s="112" t="s">
        <v>3954</v>
      </c>
      <c r="K4606" s="112" t="s">
        <v>3955</v>
      </c>
      <c r="L4606" s="116">
        <v>-5000</v>
      </c>
    </row>
    <row r="4607" spans="1:12" hidden="1" outlineLevel="1" collapsed="1" x14ac:dyDescent="0.35">
      <c r="A4607" s="112" t="s">
        <v>3616</v>
      </c>
      <c r="B4607" s="112" t="s">
        <v>922</v>
      </c>
      <c r="C4607" s="112" t="s">
        <v>679</v>
      </c>
      <c r="D4607" s="113">
        <v>10348375</v>
      </c>
      <c r="E4607" s="115">
        <v>43942</v>
      </c>
      <c r="F4607" s="114">
        <v>202101</v>
      </c>
      <c r="G4607" s="112" t="s">
        <v>1091</v>
      </c>
      <c r="H4607" s="112" t="s">
        <v>1015</v>
      </c>
      <c r="I4607" s="112" t="s">
        <v>738</v>
      </c>
      <c r="J4607" s="112" t="s">
        <v>3784</v>
      </c>
      <c r="K4607" s="112" t="s">
        <v>706</v>
      </c>
      <c r="L4607" s="116">
        <v>82.66</v>
      </c>
    </row>
    <row r="4608" spans="1:12" hidden="1" outlineLevel="1" collapsed="1" x14ac:dyDescent="0.35">
      <c r="A4608" s="112" t="s">
        <v>3616</v>
      </c>
      <c r="B4608" s="112" t="s">
        <v>923</v>
      </c>
      <c r="C4608" s="112" t="s">
        <v>1095</v>
      </c>
      <c r="D4608" s="113">
        <v>10348451</v>
      </c>
      <c r="E4608" s="115">
        <v>43949</v>
      </c>
      <c r="F4608" s="114">
        <v>202101</v>
      </c>
      <c r="G4608" s="112" t="s">
        <v>1091</v>
      </c>
      <c r="H4608" s="112" t="s">
        <v>1015</v>
      </c>
      <c r="I4608" s="112" t="s">
        <v>1190</v>
      </c>
      <c r="J4608" s="112" t="s">
        <v>3750</v>
      </c>
      <c r="K4608" s="112" t="s">
        <v>1098</v>
      </c>
      <c r="L4608" s="116">
        <v>97.93</v>
      </c>
    </row>
    <row r="4609" spans="1:12" hidden="1" outlineLevel="1" collapsed="1" x14ac:dyDescent="0.35">
      <c r="A4609" s="112" t="s">
        <v>3616</v>
      </c>
      <c r="B4609" s="112" t="s">
        <v>923</v>
      </c>
      <c r="C4609" s="112" t="s">
        <v>1219</v>
      </c>
      <c r="D4609" s="113">
        <v>46306773</v>
      </c>
      <c r="E4609" s="115">
        <v>43922</v>
      </c>
      <c r="F4609" s="114">
        <v>202101</v>
      </c>
      <c r="G4609" s="112" t="s">
        <v>1091</v>
      </c>
      <c r="H4609" s="112" t="s">
        <v>1015</v>
      </c>
      <c r="I4609" s="112" t="s">
        <v>1605</v>
      </c>
      <c r="J4609" s="112" t="s">
        <v>3763</v>
      </c>
      <c r="K4609" s="112" t="s">
        <v>3956</v>
      </c>
      <c r="L4609" s="116">
        <v>15000</v>
      </c>
    </row>
    <row r="4610" spans="1:12" hidden="1" outlineLevel="1" collapsed="1" x14ac:dyDescent="0.35">
      <c r="A4610" s="112" t="s">
        <v>3616</v>
      </c>
      <c r="B4610" s="112" t="s">
        <v>923</v>
      </c>
      <c r="C4610" s="112" t="s">
        <v>1266</v>
      </c>
      <c r="D4610" s="113">
        <v>1069310</v>
      </c>
      <c r="E4610" s="115">
        <v>43921</v>
      </c>
      <c r="F4610" s="114">
        <v>202101</v>
      </c>
      <c r="G4610" s="112" t="s">
        <v>1091</v>
      </c>
      <c r="H4610" s="112" t="s">
        <v>1015</v>
      </c>
      <c r="I4610" s="112" t="s">
        <v>1605</v>
      </c>
      <c r="J4610" s="112" t="s">
        <v>3763</v>
      </c>
      <c r="K4610" s="112" t="s">
        <v>3957</v>
      </c>
      <c r="L4610" s="116">
        <v>1300</v>
      </c>
    </row>
    <row r="4611" spans="1:12" hidden="1" outlineLevel="1" collapsed="1" x14ac:dyDescent="0.35">
      <c r="A4611" s="112" t="s">
        <v>3616</v>
      </c>
      <c r="B4611" s="112" t="s">
        <v>923</v>
      </c>
      <c r="C4611" s="112" t="s">
        <v>1219</v>
      </c>
      <c r="D4611" s="113">
        <v>46306788</v>
      </c>
      <c r="E4611" s="115">
        <v>43922</v>
      </c>
      <c r="F4611" s="114">
        <v>202101</v>
      </c>
      <c r="G4611" s="112" t="s">
        <v>1091</v>
      </c>
      <c r="H4611" s="112" t="s">
        <v>1015</v>
      </c>
      <c r="I4611" s="112" t="s">
        <v>1605</v>
      </c>
      <c r="J4611" s="112" t="s">
        <v>3763</v>
      </c>
      <c r="K4611" s="112" t="s">
        <v>3958</v>
      </c>
      <c r="L4611" s="116">
        <v>4500</v>
      </c>
    </row>
    <row r="4612" spans="1:12" hidden="1" outlineLevel="1" collapsed="1" x14ac:dyDescent="0.35">
      <c r="A4612" s="112" t="s">
        <v>3616</v>
      </c>
      <c r="B4612" s="112" t="s">
        <v>920</v>
      </c>
      <c r="C4612" s="112" t="s">
        <v>1095</v>
      </c>
      <c r="D4612" s="113">
        <v>10348451</v>
      </c>
      <c r="E4612" s="115">
        <v>43949</v>
      </c>
      <c r="F4612" s="114">
        <v>202101</v>
      </c>
      <c r="G4612" s="112" t="s">
        <v>1091</v>
      </c>
      <c r="H4612" s="112" t="s">
        <v>1015</v>
      </c>
      <c r="I4612" s="112" t="s">
        <v>1190</v>
      </c>
      <c r="J4612" s="112" t="s">
        <v>3755</v>
      </c>
      <c r="K4612" s="112" t="s">
        <v>1098</v>
      </c>
      <c r="L4612" s="116">
        <v>514.16</v>
      </c>
    </row>
    <row r="4613" spans="1:12" hidden="1" outlineLevel="1" collapsed="1" x14ac:dyDescent="0.35">
      <c r="A4613" s="112" t="s">
        <v>3616</v>
      </c>
      <c r="B4613" s="112" t="s">
        <v>920</v>
      </c>
      <c r="C4613" s="112" t="s">
        <v>1095</v>
      </c>
      <c r="D4613" s="113">
        <v>10348451</v>
      </c>
      <c r="E4613" s="115">
        <v>43949</v>
      </c>
      <c r="F4613" s="114">
        <v>202101</v>
      </c>
      <c r="G4613" s="112" t="s">
        <v>1091</v>
      </c>
      <c r="H4613" s="112" t="s">
        <v>1015</v>
      </c>
      <c r="I4613" s="112" t="s">
        <v>1190</v>
      </c>
      <c r="J4613" s="112" t="s">
        <v>3755</v>
      </c>
      <c r="K4613" s="112" t="s">
        <v>1098</v>
      </c>
      <c r="L4613" s="116">
        <v>153.47</v>
      </c>
    </row>
    <row r="4614" spans="1:12" hidden="1" outlineLevel="1" collapsed="1" x14ac:dyDescent="0.35">
      <c r="A4614" s="112" t="s">
        <v>3616</v>
      </c>
      <c r="B4614" s="112" t="s">
        <v>916</v>
      </c>
      <c r="C4614" s="112" t="s">
        <v>1095</v>
      </c>
      <c r="D4614" s="113">
        <v>10348451</v>
      </c>
      <c r="E4614" s="115">
        <v>43949</v>
      </c>
      <c r="F4614" s="114">
        <v>202101</v>
      </c>
      <c r="G4614" s="112" t="s">
        <v>1091</v>
      </c>
      <c r="H4614" s="112" t="s">
        <v>1015</v>
      </c>
      <c r="I4614" s="112" t="s">
        <v>1205</v>
      </c>
      <c r="J4614" s="112" t="s">
        <v>3771</v>
      </c>
      <c r="K4614" s="112" t="s">
        <v>1098</v>
      </c>
      <c r="L4614" s="116">
        <v>279.92</v>
      </c>
    </row>
    <row r="4615" spans="1:12" hidden="1" outlineLevel="1" collapsed="1" x14ac:dyDescent="0.35">
      <c r="A4615" s="112" t="s">
        <v>3616</v>
      </c>
      <c r="B4615" s="112" t="s">
        <v>923</v>
      </c>
      <c r="C4615" s="112" t="s">
        <v>1095</v>
      </c>
      <c r="D4615" s="113">
        <v>10348451</v>
      </c>
      <c r="E4615" s="115">
        <v>43949</v>
      </c>
      <c r="F4615" s="114">
        <v>202101</v>
      </c>
      <c r="G4615" s="112" t="s">
        <v>1091</v>
      </c>
      <c r="H4615" s="112" t="s">
        <v>1015</v>
      </c>
      <c r="I4615" s="112" t="s">
        <v>1101</v>
      </c>
      <c r="J4615" s="112" t="s">
        <v>3750</v>
      </c>
      <c r="K4615" s="112" t="s">
        <v>1098</v>
      </c>
      <c r="L4615" s="116">
        <v>255.76</v>
      </c>
    </row>
    <row r="4616" spans="1:12" hidden="1" outlineLevel="1" collapsed="1" x14ac:dyDescent="0.35">
      <c r="A4616" s="112" t="s">
        <v>3616</v>
      </c>
      <c r="B4616" s="112" t="s">
        <v>923</v>
      </c>
      <c r="C4616" s="112" t="s">
        <v>1095</v>
      </c>
      <c r="D4616" s="113">
        <v>10348451</v>
      </c>
      <c r="E4616" s="115">
        <v>43949</v>
      </c>
      <c r="F4616" s="114">
        <v>202101</v>
      </c>
      <c r="G4616" s="112" t="s">
        <v>1091</v>
      </c>
      <c r="H4616" s="112" t="s">
        <v>1015</v>
      </c>
      <c r="I4616" s="112" t="s">
        <v>1096</v>
      </c>
      <c r="J4616" s="112" t="s">
        <v>3750</v>
      </c>
      <c r="K4616" s="112" t="s">
        <v>1098</v>
      </c>
      <c r="L4616" s="116">
        <v>116.85</v>
      </c>
    </row>
    <row r="4617" spans="1:12" hidden="1" outlineLevel="1" collapsed="1" x14ac:dyDescent="0.35">
      <c r="A4617" s="112" t="s">
        <v>3616</v>
      </c>
      <c r="B4617" s="112" t="s">
        <v>921</v>
      </c>
      <c r="C4617" s="112" t="s">
        <v>1095</v>
      </c>
      <c r="D4617" s="113">
        <v>10348451</v>
      </c>
      <c r="E4617" s="115">
        <v>43949</v>
      </c>
      <c r="F4617" s="114">
        <v>202101</v>
      </c>
      <c r="G4617" s="112" t="s">
        <v>1091</v>
      </c>
      <c r="H4617" s="112" t="s">
        <v>1015</v>
      </c>
      <c r="I4617" s="112" t="s">
        <v>3261</v>
      </c>
      <c r="J4617" s="112" t="s">
        <v>3620</v>
      </c>
      <c r="K4617" s="112" t="s">
        <v>1098</v>
      </c>
      <c r="L4617" s="116">
        <v>120.64</v>
      </c>
    </row>
    <row r="4618" spans="1:12" hidden="1" outlineLevel="1" collapsed="1" x14ac:dyDescent="0.35">
      <c r="A4618" s="112" t="s">
        <v>3616</v>
      </c>
      <c r="B4618" s="112" t="s">
        <v>921</v>
      </c>
      <c r="C4618" s="112" t="s">
        <v>1518</v>
      </c>
      <c r="D4618" s="113">
        <v>51365725</v>
      </c>
      <c r="E4618" s="115">
        <v>43924</v>
      </c>
      <c r="F4618" s="114">
        <v>202101</v>
      </c>
      <c r="G4618" s="112" t="s">
        <v>1091</v>
      </c>
      <c r="H4618" s="112" t="s">
        <v>1016</v>
      </c>
      <c r="I4618" s="112" t="s">
        <v>3846</v>
      </c>
      <c r="J4618" s="112" t="s">
        <v>3709</v>
      </c>
      <c r="K4618" s="112" t="s">
        <v>3959</v>
      </c>
      <c r="L4618" s="116">
        <v>-112.5</v>
      </c>
    </row>
    <row r="4619" spans="1:12" hidden="1" outlineLevel="1" collapsed="1" x14ac:dyDescent="0.35">
      <c r="A4619" s="112" t="s">
        <v>3616</v>
      </c>
      <c r="B4619" s="112" t="s">
        <v>921</v>
      </c>
      <c r="C4619" s="112" t="s">
        <v>1518</v>
      </c>
      <c r="D4619" s="113">
        <v>51365724</v>
      </c>
      <c r="E4619" s="115">
        <v>43924</v>
      </c>
      <c r="F4619" s="114">
        <v>202101</v>
      </c>
      <c r="G4619" s="112" t="s">
        <v>1091</v>
      </c>
      <c r="H4619" s="112" t="s">
        <v>1016</v>
      </c>
      <c r="I4619" s="112" t="s">
        <v>3960</v>
      </c>
      <c r="J4619" s="112" t="s">
        <v>3709</v>
      </c>
      <c r="K4619" s="112" t="s">
        <v>865</v>
      </c>
      <c r="L4619" s="116">
        <v>-50</v>
      </c>
    </row>
    <row r="4620" spans="1:12" hidden="1" outlineLevel="1" collapsed="1" x14ac:dyDescent="0.35">
      <c r="A4620" s="112" t="s">
        <v>3616</v>
      </c>
      <c r="B4620" s="112" t="s">
        <v>919</v>
      </c>
      <c r="C4620" s="112" t="s">
        <v>1266</v>
      </c>
      <c r="D4620" s="113">
        <v>1069565</v>
      </c>
      <c r="E4620" s="115">
        <v>43594</v>
      </c>
      <c r="F4620" s="114">
        <v>202101</v>
      </c>
      <c r="G4620" s="112" t="s">
        <v>1091</v>
      </c>
      <c r="H4620" s="112" t="s">
        <v>1015</v>
      </c>
      <c r="I4620" s="112" t="s">
        <v>1643</v>
      </c>
      <c r="J4620" s="112" t="s">
        <v>3624</v>
      </c>
      <c r="K4620" s="112" t="s">
        <v>3961</v>
      </c>
      <c r="L4620" s="116">
        <v>160.18</v>
      </c>
    </row>
    <row r="4621" spans="1:12" hidden="1" outlineLevel="1" collapsed="1" x14ac:dyDescent="0.35">
      <c r="A4621" s="112" t="s">
        <v>3616</v>
      </c>
      <c r="B4621" s="112" t="s">
        <v>921</v>
      </c>
      <c r="C4621" s="112" t="s">
        <v>1518</v>
      </c>
      <c r="D4621" s="113">
        <v>51365723</v>
      </c>
      <c r="E4621" s="115">
        <v>43924</v>
      </c>
      <c r="F4621" s="114">
        <v>202101</v>
      </c>
      <c r="G4621" s="112" t="s">
        <v>1091</v>
      </c>
      <c r="H4621" s="112" t="s">
        <v>1016</v>
      </c>
      <c r="I4621" s="112" t="s">
        <v>3960</v>
      </c>
      <c r="J4621" s="112" t="s">
        <v>3709</v>
      </c>
      <c r="K4621" s="112" t="s">
        <v>865</v>
      </c>
      <c r="L4621" s="116">
        <v>-297</v>
      </c>
    </row>
    <row r="4622" spans="1:12" hidden="1" outlineLevel="1" collapsed="1" x14ac:dyDescent="0.35">
      <c r="A4622" s="112" t="s">
        <v>3616</v>
      </c>
      <c r="B4622" s="112" t="s">
        <v>922</v>
      </c>
      <c r="C4622" s="112" t="s">
        <v>1758</v>
      </c>
      <c r="D4622" s="113">
        <v>51365722</v>
      </c>
      <c r="E4622" s="115">
        <v>43924</v>
      </c>
      <c r="F4622" s="114">
        <v>202101</v>
      </c>
      <c r="G4622" s="112" t="s">
        <v>1091</v>
      </c>
      <c r="H4622" s="112" t="s">
        <v>1016</v>
      </c>
      <c r="I4622" s="112" t="s">
        <v>1293</v>
      </c>
      <c r="J4622" s="112" t="s">
        <v>3954</v>
      </c>
      <c r="K4622" s="112" t="s">
        <v>3962</v>
      </c>
      <c r="L4622" s="116">
        <v>270.83</v>
      </c>
    </row>
    <row r="4623" spans="1:12" hidden="1" outlineLevel="1" collapsed="1" x14ac:dyDescent="0.35">
      <c r="A4623" s="112" t="s">
        <v>3616</v>
      </c>
      <c r="B4623" s="112" t="s">
        <v>922</v>
      </c>
      <c r="C4623" s="112" t="s">
        <v>3611</v>
      </c>
      <c r="D4623" s="113">
        <v>50003647</v>
      </c>
      <c r="E4623" s="115">
        <v>43941</v>
      </c>
      <c r="F4623" s="114">
        <v>202101</v>
      </c>
      <c r="G4623" s="112" t="s">
        <v>1091</v>
      </c>
      <c r="H4623" s="112" t="s">
        <v>1015</v>
      </c>
      <c r="I4623" s="112" t="s">
        <v>761</v>
      </c>
      <c r="J4623" s="112" t="s">
        <v>3766</v>
      </c>
      <c r="K4623" s="112" t="s">
        <v>3963</v>
      </c>
      <c r="L4623" s="116">
        <v>-300</v>
      </c>
    </row>
    <row r="4624" spans="1:12" hidden="1" outlineLevel="1" collapsed="1" x14ac:dyDescent="0.35">
      <c r="A4624" s="112" t="s">
        <v>3616</v>
      </c>
      <c r="B4624" s="112" t="s">
        <v>922</v>
      </c>
      <c r="C4624" s="112" t="s">
        <v>1095</v>
      </c>
      <c r="D4624" s="113">
        <v>10348451</v>
      </c>
      <c r="E4624" s="115">
        <v>43949</v>
      </c>
      <c r="F4624" s="114">
        <v>202101</v>
      </c>
      <c r="G4624" s="112" t="s">
        <v>1091</v>
      </c>
      <c r="H4624" s="112" t="s">
        <v>1015</v>
      </c>
      <c r="I4624" s="112" t="s">
        <v>1205</v>
      </c>
      <c r="J4624" s="112" t="s">
        <v>3766</v>
      </c>
      <c r="K4624" s="112" t="s">
        <v>1098</v>
      </c>
      <c r="L4624" s="116">
        <v>13</v>
      </c>
    </row>
    <row r="4625" spans="1:12" hidden="1" outlineLevel="1" collapsed="1" x14ac:dyDescent="0.35">
      <c r="A4625" s="112" t="s">
        <v>3616</v>
      </c>
      <c r="B4625" s="112" t="s">
        <v>922</v>
      </c>
      <c r="C4625" s="112" t="s">
        <v>1099</v>
      </c>
      <c r="D4625" s="113">
        <v>1069592</v>
      </c>
      <c r="E4625" s="115">
        <v>43938</v>
      </c>
      <c r="F4625" s="114">
        <v>202101</v>
      </c>
      <c r="G4625" s="112" t="s">
        <v>1091</v>
      </c>
      <c r="H4625" s="112" t="s">
        <v>1015</v>
      </c>
      <c r="I4625" s="112" t="s">
        <v>761</v>
      </c>
      <c r="J4625" s="112" t="s">
        <v>3691</v>
      </c>
      <c r="K4625" s="112" t="s">
        <v>3964</v>
      </c>
      <c r="L4625" s="116">
        <v>28.05</v>
      </c>
    </row>
    <row r="4626" spans="1:12" hidden="1" outlineLevel="1" collapsed="1" x14ac:dyDescent="0.35">
      <c r="A4626" s="112" t="s">
        <v>3616</v>
      </c>
      <c r="B4626" s="112" t="s">
        <v>919</v>
      </c>
      <c r="C4626" s="112" t="s">
        <v>1099</v>
      </c>
      <c r="D4626" s="113">
        <v>1069627</v>
      </c>
      <c r="E4626" s="115">
        <v>43926</v>
      </c>
      <c r="F4626" s="114">
        <v>202101</v>
      </c>
      <c r="G4626" s="112" t="s">
        <v>1091</v>
      </c>
      <c r="H4626" s="112" t="s">
        <v>1015</v>
      </c>
      <c r="I4626" s="112" t="s">
        <v>2495</v>
      </c>
      <c r="J4626" s="112" t="s">
        <v>3624</v>
      </c>
      <c r="K4626" s="112" t="s">
        <v>3965</v>
      </c>
      <c r="L4626" s="116">
        <v>60</v>
      </c>
    </row>
    <row r="4627" spans="1:12" hidden="1" outlineLevel="1" collapsed="1" x14ac:dyDescent="0.35">
      <c r="A4627" s="112" t="s">
        <v>3616</v>
      </c>
      <c r="B4627" s="112" t="s">
        <v>921</v>
      </c>
      <c r="C4627" s="112" t="s">
        <v>695</v>
      </c>
      <c r="D4627" s="113">
        <v>10347981</v>
      </c>
      <c r="E4627" s="115">
        <v>43924</v>
      </c>
      <c r="F4627" s="114">
        <v>202101</v>
      </c>
      <c r="G4627" s="112" t="s">
        <v>1091</v>
      </c>
      <c r="H4627" s="112" t="s">
        <v>1015</v>
      </c>
      <c r="I4627" s="112" t="s">
        <v>1211</v>
      </c>
      <c r="J4627" s="112" t="s">
        <v>3620</v>
      </c>
      <c r="K4627" s="112" t="s">
        <v>3966</v>
      </c>
      <c r="L4627" s="116">
        <v>-179.63</v>
      </c>
    </row>
    <row r="4628" spans="1:12" hidden="1" outlineLevel="1" collapsed="1" x14ac:dyDescent="0.35">
      <c r="A4628" s="112" t="s">
        <v>3616</v>
      </c>
      <c r="B4628" s="112" t="s">
        <v>923</v>
      </c>
      <c r="C4628" s="112" t="s">
        <v>695</v>
      </c>
      <c r="D4628" s="113">
        <v>10348277</v>
      </c>
      <c r="E4628" s="115">
        <v>43929</v>
      </c>
      <c r="F4628" s="114">
        <v>202101</v>
      </c>
      <c r="G4628" s="112" t="s">
        <v>1091</v>
      </c>
      <c r="H4628" s="112" t="s">
        <v>1015</v>
      </c>
      <c r="I4628" s="112" t="s">
        <v>761</v>
      </c>
      <c r="J4628" s="112" t="s">
        <v>3673</v>
      </c>
      <c r="K4628" s="112" t="s">
        <v>3967</v>
      </c>
      <c r="L4628" s="116">
        <v>5000</v>
      </c>
    </row>
    <row r="4629" spans="1:12" hidden="1" outlineLevel="1" collapsed="1" x14ac:dyDescent="0.35">
      <c r="A4629" s="112" t="s">
        <v>3616</v>
      </c>
      <c r="B4629" s="112" t="s">
        <v>923</v>
      </c>
      <c r="C4629" s="112" t="s">
        <v>695</v>
      </c>
      <c r="D4629" s="113">
        <v>10348275</v>
      </c>
      <c r="E4629" s="115">
        <v>43929</v>
      </c>
      <c r="F4629" s="114">
        <v>202101</v>
      </c>
      <c r="G4629" s="112" t="s">
        <v>1091</v>
      </c>
      <c r="H4629" s="112" t="s">
        <v>1015</v>
      </c>
      <c r="I4629" s="112" t="s">
        <v>3672</v>
      </c>
      <c r="J4629" s="112" t="s">
        <v>3673</v>
      </c>
      <c r="K4629" s="112" t="s">
        <v>3968</v>
      </c>
      <c r="L4629" s="116">
        <v>1000</v>
      </c>
    </row>
    <row r="4630" spans="1:12" hidden="1" outlineLevel="1" collapsed="1" x14ac:dyDescent="0.35">
      <c r="A4630" s="112" t="s">
        <v>3616</v>
      </c>
      <c r="B4630" s="112" t="s">
        <v>923</v>
      </c>
      <c r="C4630" s="112" t="s">
        <v>695</v>
      </c>
      <c r="D4630" s="113">
        <v>10348275</v>
      </c>
      <c r="E4630" s="115">
        <v>43929</v>
      </c>
      <c r="F4630" s="114">
        <v>202101</v>
      </c>
      <c r="G4630" s="112" t="s">
        <v>1091</v>
      </c>
      <c r="H4630" s="112" t="s">
        <v>1015</v>
      </c>
      <c r="I4630" s="112" t="s">
        <v>2129</v>
      </c>
      <c r="J4630" s="112" t="s">
        <v>3673</v>
      </c>
      <c r="K4630" s="112" t="s">
        <v>3969</v>
      </c>
      <c r="L4630" s="116">
        <v>4166.67</v>
      </c>
    </row>
    <row r="4631" spans="1:12" hidden="1" outlineLevel="1" collapsed="1" x14ac:dyDescent="0.35">
      <c r="A4631" s="112" t="s">
        <v>3616</v>
      </c>
      <c r="B4631" s="112" t="s">
        <v>923</v>
      </c>
      <c r="C4631" s="112" t="s">
        <v>695</v>
      </c>
      <c r="D4631" s="113">
        <v>10348275</v>
      </c>
      <c r="E4631" s="115">
        <v>43929</v>
      </c>
      <c r="F4631" s="114">
        <v>202101</v>
      </c>
      <c r="G4631" s="112" t="s">
        <v>1091</v>
      </c>
      <c r="H4631" s="112" t="s">
        <v>1015</v>
      </c>
      <c r="I4631" s="112" t="s">
        <v>2129</v>
      </c>
      <c r="J4631" s="112" t="s">
        <v>3673</v>
      </c>
      <c r="K4631" s="112" t="s">
        <v>3970</v>
      </c>
      <c r="L4631" s="116">
        <v>8400</v>
      </c>
    </row>
    <row r="4632" spans="1:12" hidden="1" outlineLevel="1" collapsed="1" x14ac:dyDescent="0.35">
      <c r="A4632" s="112" t="s">
        <v>3616</v>
      </c>
      <c r="B4632" s="112" t="s">
        <v>921</v>
      </c>
      <c r="C4632" s="112" t="s">
        <v>695</v>
      </c>
      <c r="D4632" s="113">
        <v>10347981</v>
      </c>
      <c r="E4632" s="115">
        <v>43924</v>
      </c>
      <c r="F4632" s="114">
        <v>202101</v>
      </c>
      <c r="G4632" s="112" t="s">
        <v>1091</v>
      </c>
      <c r="H4632" s="112" t="s">
        <v>1015</v>
      </c>
      <c r="I4632" s="112" t="s">
        <v>1211</v>
      </c>
      <c r="J4632" s="112" t="s">
        <v>3620</v>
      </c>
      <c r="K4632" s="112" t="s">
        <v>3966</v>
      </c>
      <c r="L4632" s="116">
        <v>-179.63</v>
      </c>
    </row>
    <row r="4633" spans="1:12" hidden="1" outlineLevel="1" collapsed="1" x14ac:dyDescent="0.35">
      <c r="A4633" s="112" t="s">
        <v>3616</v>
      </c>
      <c r="B4633" s="112" t="s">
        <v>923</v>
      </c>
      <c r="C4633" s="112" t="s">
        <v>695</v>
      </c>
      <c r="D4633" s="113">
        <v>10348275</v>
      </c>
      <c r="E4633" s="115">
        <v>43929</v>
      </c>
      <c r="F4633" s="114">
        <v>202101</v>
      </c>
      <c r="G4633" s="112" t="s">
        <v>1091</v>
      </c>
      <c r="H4633" s="112" t="s">
        <v>1015</v>
      </c>
      <c r="I4633" s="112" t="s">
        <v>761</v>
      </c>
      <c r="J4633" s="112" t="s">
        <v>3673</v>
      </c>
      <c r="K4633" s="112" t="s">
        <v>3971</v>
      </c>
      <c r="L4633" s="116">
        <v>5000</v>
      </c>
    </row>
    <row r="4634" spans="1:12" hidden="1" outlineLevel="1" collapsed="1" x14ac:dyDescent="0.35">
      <c r="A4634" s="112" t="s">
        <v>3616</v>
      </c>
      <c r="B4634" s="112" t="s">
        <v>923</v>
      </c>
      <c r="C4634" s="112" t="s">
        <v>695</v>
      </c>
      <c r="D4634" s="113">
        <v>10348275</v>
      </c>
      <c r="E4634" s="115">
        <v>43929</v>
      </c>
      <c r="F4634" s="114">
        <v>202101</v>
      </c>
      <c r="G4634" s="112" t="s">
        <v>1091</v>
      </c>
      <c r="H4634" s="112" t="s">
        <v>1015</v>
      </c>
      <c r="I4634" s="112" t="s">
        <v>761</v>
      </c>
      <c r="J4634" s="112" t="s">
        <v>3673</v>
      </c>
      <c r="K4634" s="112" t="s">
        <v>3972</v>
      </c>
      <c r="L4634" s="116">
        <v>5000</v>
      </c>
    </row>
    <row r="4635" spans="1:12" hidden="1" outlineLevel="1" collapsed="1" x14ac:dyDescent="0.35">
      <c r="A4635" s="112" t="s">
        <v>3616</v>
      </c>
      <c r="B4635" s="112" t="s">
        <v>921</v>
      </c>
      <c r="C4635" s="112" t="s">
        <v>1219</v>
      </c>
      <c r="D4635" s="113">
        <v>46307134</v>
      </c>
      <c r="E4635" s="115">
        <v>43924</v>
      </c>
      <c r="F4635" s="114">
        <v>202101</v>
      </c>
      <c r="G4635" s="112" t="s">
        <v>1091</v>
      </c>
      <c r="H4635" s="112" t="s">
        <v>1015</v>
      </c>
      <c r="I4635" s="112" t="s">
        <v>1211</v>
      </c>
      <c r="J4635" s="112" t="s">
        <v>3620</v>
      </c>
      <c r="K4635" s="112" t="s">
        <v>1220</v>
      </c>
      <c r="L4635" s="116">
        <v>445.45</v>
      </c>
    </row>
    <row r="4636" spans="1:12" hidden="1" outlineLevel="1" collapsed="1" x14ac:dyDescent="0.35">
      <c r="A4636" s="112" t="s">
        <v>3616</v>
      </c>
      <c r="B4636" s="112" t="s">
        <v>921</v>
      </c>
      <c r="C4636" s="112" t="s">
        <v>1099</v>
      </c>
      <c r="D4636" s="113">
        <v>1069562</v>
      </c>
      <c r="E4636" s="115">
        <v>43929</v>
      </c>
      <c r="F4636" s="114">
        <v>202101</v>
      </c>
      <c r="G4636" s="112" t="s">
        <v>1091</v>
      </c>
      <c r="H4636" s="112" t="s">
        <v>1015</v>
      </c>
      <c r="I4636" s="112" t="s">
        <v>1643</v>
      </c>
      <c r="J4636" s="112" t="s">
        <v>3620</v>
      </c>
      <c r="K4636" s="112" t="s">
        <v>3973</v>
      </c>
      <c r="L4636" s="116">
        <v>749.13</v>
      </c>
    </row>
    <row r="4637" spans="1:12" hidden="1" outlineLevel="1" collapsed="1" x14ac:dyDescent="0.35">
      <c r="A4637" s="112" t="s">
        <v>3616</v>
      </c>
      <c r="B4637" s="112" t="s">
        <v>919</v>
      </c>
      <c r="C4637" s="112" t="s">
        <v>1099</v>
      </c>
      <c r="D4637" s="113">
        <v>1069561</v>
      </c>
      <c r="E4637" s="115">
        <v>43929</v>
      </c>
      <c r="F4637" s="114">
        <v>202101</v>
      </c>
      <c r="G4637" s="112" t="s">
        <v>1091</v>
      </c>
      <c r="H4637" s="112" t="s">
        <v>1015</v>
      </c>
      <c r="I4637" s="112" t="s">
        <v>1643</v>
      </c>
      <c r="J4637" s="112" t="s">
        <v>3632</v>
      </c>
      <c r="K4637" s="112" t="s">
        <v>3974</v>
      </c>
      <c r="L4637" s="116">
        <v>196.75</v>
      </c>
    </row>
    <row r="4638" spans="1:12" hidden="1" outlineLevel="1" collapsed="1" x14ac:dyDescent="0.35">
      <c r="A4638" s="112" t="s">
        <v>3616</v>
      </c>
      <c r="B4638" s="112" t="s">
        <v>919</v>
      </c>
      <c r="C4638" s="112" t="s">
        <v>1099</v>
      </c>
      <c r="D4638" s="113">
        <v>1069560</v>
      </c>
      <c r="E4638" s="115">
        <v>43929</v>
      </c>
      <c r="F4638" s="114">
        <v>202101</v>
      </c>
      <c r="G4638" s="112" t="s">
        <v>1091</v>
      </c>
      <c r="H4638" s="112" t="s">
        <v>1015</v>
      </c>
      <c r="I4638" s="112" t="s">
        <v>1643</v>
      </c>
      <c r="J4638" s="112" t="s">
        <v>3617</v>
      </c>
      <c r="K4638" s="112" t="s">
        <v>3975</v>
      </c>
      <c r="L4638" s="116">
        <v>269.02</v>
      </c>
    </row>
    <row r="4639" spans="1:12" hidden="1" outlineLevel="1" collapsed="1" x14ac:dyDescent="0.35">
      <c r="A4639" s="112" t="s">
        <v>3616</v>
      </c>
      <c r="B4639" s="112" t="s">
        <v>921</v>
      </c>
      <c r="C4639" s="112" t="s">
        <v>695</v>
      </c>
      <c r="D4639" s="113">
        <v>10347981</v>
      </c>
      <c r="E4639" s="115">
        <v>43924</v>
      </c>
      <c r="F4639" s="114">
        <v>202101</v>
      </c>
      <c r="G4639" s="112" t="s">
        <v>1091</v>
      </c>
      <c r="H4639" s="112" t="s">
        <v>1015</v>
      </c>
      <c r="I4639" s="112" t="s">
        <v>1211</v>
      </c>
      <c r="J4639" s="112" t="s">
        <v>3620</v>
      </c>
      <c r="K4639" s="112" t="s">
        <v>3966</v>
      </c>
      <c r="L4639" s="116">
        <v>-179.63</v>
      </c>
    </row>
    <row r="4640" spans="1:12" hidden="1" outlineLevel="1" collapsed="1" x14ac:dyDescent="0.35">
      <c r="A4640" s="112" t="s">
        <v>3616</v>
      </c>
      <c r="B4640" s="112" t="s">
        <v>921</v>
      </c>
      <c r="C4640" s="112" t="s">
        <v>1095</v>
      </c>
      <c r="D4640" s="113">
        <v>10348451</v>
      </c>
      <c r="E4640" s="115">
        <v>43949</v>
      </c>
      <c r="F4640" s="114">
        <v>202101</v>
      </c>
      <c r="G4640" s="112" t="s">
        <v>1091</v>
      </c>
      <c r="H4640" s="112" t="s">
        <v>1015</v>
      </c>
      <c r="I4640" s="112" t="s">
        <v>3261</v>
      </c>
      <c r="J4640" s="112" t="s">
        <v>3620</v>
      </c>
      <c r="K4640" s="112" t="s">
        <v>1098</v>
      </c>
      <c r="L4640" s="116">
        <v>36.42</v>
      </c>
    </row>
    <row r="4641" spans="1:12" hidden="1" outlineLevel="1" collapsed="1" x14ac:dyDescent="0.35">
      <c r="A4641" s="112" t="s">
        <v>3616</v>
      </c>
      <c r="B4641" s="112" t="s">
        <v>916</v>
      </c>
      <c r="C4641" s="112" t="s">
        <v>1219</v>
      </c>
      <c r="D4641" s="113">
        <v>46307134</v>
      </c>
      <c r="E4641" s="115">
        <v>43924</v>
      </c>
      <c r="F4641" s="114">
        <v>202101</v>
      </c>
      <c r="G4641" s="112" t="s">
        <v>1091</v>
      </c>
      <c r="H4641" s="112" t="s">
        <v>1015</v>
      </c>
      <c r="I4641" s="112" t="s">
        <v>1211</v>
      </c>
      <c r="J4641" s="112" t="s">
        <v>3771</v>
      </c>
      <c r="K4641" s="112" t="s">
        <v>1220</v>
      </c>
      <c r="L4641" s="116">
        <v>6499</v>
      </c>
    </row>
    <row r="4642" spans="1:12" hidden="1" outlineLevel="1" collapsed="1" x14ac:dyDescent="0.35">
      <c r="A4642" s="112" t="s">
        <v>3616</v>
      </c>
      <c r="B4642" s="112" t="s">
        <v>921</v>
      </c>
      <c r="C4642" s="112" t="s">
        <v>1095</v>
      </c>
      <c r="D4642" s="113">
        <v>10348451</v>
      </c>
      <c r="E4642" s="115">
        <v>43949</v>
      </c>
      <c r="F4642" s="114">
        <v>202101</v>
      </c>
      <c r="G4642" s="112" t="s">
        <v>1091</v>
      </c>
      <c r="H4642" s="112" t="s">
        <v>1015</v>
      </c>
      <c r="I4642" s="112" t="s">
        <v>1101</v>
      </c>
      <c r="J4642" s="112" t="s">
        <v>3709</v>
      </c>
      <c r="K4642" s="112" t="s">
        <v>1098</v>
      </c>
      <c r="L4642" s="116">
        <v>374.89</v>
      </c>
    </row>
    <row r="4643" spans="1:12" hidden="1" outlineLevel="1" collapsed="1" x14ac:dyDescent="0.35">
      <c r="A4643" s="112" t="s">
        <v>3616</v>
      </c>
      <c r="B4643" s="112" t="s">
        <v>916</v>
      </c>
      <c r="C4643" s="112" t="s">
        <v>1150</v>
      </c>
      <c r="D4643" s="113">
        <v>10348688</v>
      </c>
      <c r="E4643" s="115">
        <v>43978</v>
      </c>
      <c r="F4643" s="114">
        <v>202101</v>
      </c>
      <c r="G4643" s="112" t="s">
        <v>1091</v>
      </c>
      <c r="H4643" s="112" t="s">
        <v>1015</v>
      </c>
      <c r="I4643" s="112" t="s">
        <v>1211</v>
      </c>
      <c r="J4643" s="112" t="s">
        <v>3771</v>
      </c>
      <c r="K4643" s="112" t="s">
        <v>3976</v>
      </c>
      <c r="L4643" s="116">
        <v>4270.6499999999996</v>
      </c>
    </row>
    <row r="4644" spans="1:12" hidden="1" outlineLevel="1" collapsed="1" x14ac:dyDescent="0.35">
      <c r="A4644" s="112" t="s">
        <v>3616</v>
      </c>
      <c r="B4644" s="112" t="s">
        <v>921</v>
      </c>
      <c r="C4644" s="112" t="s">
        <v>1095</v>
      </c>
      <c r="D4644" s="113">
        <v>10348451</v>
      </c>
      <c r="E4644" s="115">
        <v>43949</v>
      </c>
      <c r="F4644" s="114">
        <v>202101</v>
      </c>
      <c r="G4644" s="112" t="s">
        <v>1091</v>
      </c>
      <c r="H4644" s="112" t="s">
        <v>1015</v>
      </c>
      <c r="I4644" s="112" t="s">
        <v>1929</v>
      </c>
      <c r="J4644" s="112" t="s">
        <v>3620</v>
      </c>
      <c r="K4644" s="112" t="s">
        <v>1098</v>
      </c>
      <c r="L4644" s="116">
        <v>205.57</v>
      </c>
    </row>
    <row r="4645" spans="1:12" hidden="1" outlineLevel="1" collapsed="1" x14ac:dyDescent="0.35">
      <c r="A4645" s="112" t="s">
        <v>3616</v>
      </c>
      <c r="B4645" s="112" t="s">
        <v>921</v>
      </c>
      <c r="C4645" s="112" t="s">
        <v>1095</v>
      </c>
      <c r="D4645" s="113">
        <v>10348451</v>
      </c>
      <c r="E4645" s="115">
        <v>43949</v>
      </c>
      <c r="F4645" s="114">
        <v>202101</v>
      </c>
      <c r="G4645" s="112" t="s">
        <v>1091</v>
      </c>
      <c r="H4645" s="112" t="s">
        <v>1015</v>
      </c>
      <c r="I4645" s="112" t="s">
        <v>1929</v>
      </c>
      <c r="J4645" s="112" t="s">
        <v>3620</v>
      </c>
      <c r="K4645" s="112" t="s">
        <v>1098</v>
      </c>
      <c r="L4645" s="116">
        <v>598.6</v>
      </c>
    </row>
    <row r="4646" spans="1:12" hidden="1" outlineLevel="1" collapsed="1" x14ac:dyDescent="0.35">
      <c r="A4646" s="112" t="s">
        <v>3616</v>
      </c>
      <c r="B4646" s="112" t="s">
        <v>923</v>
      </c>
      <c r="C4646" s="112" t="s">
        <v>1095</v>
      </c>
      <c r="D4646" s="113">
        <v>10348451</v>
      </c>
      <c r="E4646" s="115">
        <v>43949</v>
      </c>
      <c r="F4646" s="114">
        <v>202101</v>
      </c>
      <c r="G4646" s="112" t="s">
        <v>1091</v>
      </c>
      <c r="H4646" s="112" t="s">
        <v>1015</v>
      </c>
      <c r="I4646" s="112" t="s">
        <v>1205</v>
      </c>
      <c r="J4646" s="112" t="s">
        <v>3750</v>
      </c>
      <c r="K4646" s="112" t="s">
        <v>1098</v>
      </c>
      <c r="L4646" s="116">
        <v>371.75</v>
      </c>
    </row>
    <row r="4647" spans="1:12" hidden="1" outlineLevel="1" collapsed="1" x14ac:dyDescent="0.35">
      <c r="A4647" s="112" t="s">
        <v>3616</v>
      </c>
      <c r="B4647" s="112" t="s">
        <v>923</v>
      </c>
      <c r="C4647" s="112" t="s">
        <v>1095</v>
      </c>
      <c r="D4647" s="113">
        <v>10348451</v>
      </c>
      <c r="E4647" s="115">
        <v>43949</v>
      </c>
      <c r="F4647" s="114">
        <v>202101</v>
      </c>
      <c r="G4647" s="112" t="s">
        <v>1091</v>
      </c>
      <c r="H4647" s="112" t="s">
        <v>1015</v>
      </c>
      <c r="I4647" s="112" t="s">
        <v>1205</v>
      </c>
      <c r="J4647" s="112" t="s">
        <v>3750</v>
      </c>
      <c r="K4647" s="112" t="s">
        <v>1098</v>
      </c>
      <c r="L4647" s="116">
        <v>93.92</v>
      </c>
    </row>
    <row r="4648" spans="1:12" hidden="1" outlineLevel="1" collapsed="1" x14ac:dyDescent="0.35">
      <c r="A4648" s="112" t="s">
        <v>3616</v>
      </c>
      <c r="B4648" s="112" t="s">
        <v>921</v>
      </c>
      <c r="C4648" s="112" t="s">
        <v>1758</v>
      </c>
      <c r="D4648" s="113">
        <v>51365982</v>
      </c>
      <c r="E4648" s="115">
        <v>43927</v>
      </c>
      <c r="F4648" s="114">
        <v>202101</v>
      </c>
      <c r="G4648" s="112" t="s">
        <v>1091</v>
      </c>
      <c r="H4648" s="112" t="s">
        <v>1016</v>
      </c>
      <c r="I4648" s="112" t="s">
        <v>3899</v>
      </c>
      <c r="J4648" s="112" t="s">
        <v>3709</v>
      </c>
      <c r="K4648" s="112" t="s">
        <v>3977</v>
      </c>
      <c r="L4648" s="116">
        <v>262.5</v>
      </c>
    </row>
    <row r="4649" spans="1:12" hidden="1" outlineLevel="1" collapsed="1" x14ac:dyDescent="0.35">
      <c r="A4649" s="112" t="s">
        <v>3616</v>
      </c>
      <c r="B4649" s="112" t="s">
        <v>919</v>
      </c>
      <c r="C4649" s="112" t="s">
        <v>1518</v>
      </c>
      <c r="D4649" s="113">
        <v>51365983</v>
      </c>
      <c r="E4649" s="115">
        <v>43927</v>
      </c>
      <c r="F4649" s="114">
        <v>202101</v>
      </c>
      <c r="G4649" s="112" t="s">
        <v>1091</v>
      </c>
      <c r="H4649" s="112" t="s">
        <v>1016</v>
      </c>
      <c r="I4649" s="112" t="s">
        <v>823</v>
      </c>
      <c r="J4649" s="112" t="s">
        <v>3634</v>
      </c>
      <c r="K4649" s="112" t="s">
        <v>3978</v>
      </c>
      <c r="L4649" s="116">
        <v>-22500</v>
      </c>
    </row>
    <row r="4650" spans="1:12" hidden="1" outlineLevel="1" collapsed="1" x14ac:dyDescent="0.35">
      <c r="A4650" s="112" t="s">
        <v>3616</v>
      </c>
      <c r="B4650" s="112" t="s">
        <v>919</v>
      </c>
      <c r="C4650" s="112" t="s">
        <v>1219</v>
      </c>
      <c r="D4650" s="113">
        <v>46306864</v>
      </c>
      <c r="E4650" s="115">
        <v>43927</v>
      </c>
      <c r="F4650" s="114">
        <v>202101</v>
      </c>
      <c r="G4650" s="112" t="s">
        <v>1091</v>
      </c>
      <c r="H4650" s="112" t="s">
        <v>1016</v>
      </c>
      <c r="I4650" s="112" t="s">
        <v>3846</v>
      </c>
      <c r="J4650" s="112" t="s">
        <v>3624</v>
      </c>
      <c r="K4650" s="112" t="s">
        <v>3979</v>
      </c>
      <c r="L4650" s="116">
        <v>189</v>
      </c>
    </row>
    <row r="4651" spans="1:12" hidden="1" outlineLevel="1" collapsed="1" x14ac:dyDescent="0.35">
      <c r="A4651" s="112" t="s">
        <v>3616</v>
      </c>
      <c r="B4651" s="112" t="s">
        <v>921</v>
      </c>
      <c r="C4651" s="112" t="s">
        <v>1095</v>
      </c>
      <c r="D4651" s="113">
        <v>10348451</v>
      </c>
      <c r="E4651" s="115">
        <v>43949</v>
      </c>
      <c r="F4651" s="114">
        <v>202101</v>
      </c>
      <c r="G4651" s="112" t="s">
        <v>1091</v>
      </c>
      <c r="H4651" s="112" t="s">
        <v>1015</v>
      </c>
      <c r="I4651" s="112" t="s">
        <v>1205</v>
      </c>
      <c r="J4651" s="112" t="s">
        <v>3620</v>
      </c>
      <c r="K4651" s="112" t="s">
        <v>1098</v>
      </c>
      <c r="L4651" s="116">
        <v>13</v>
      </c>
    </row>
    <row r="4652" spans="1:12" hidden="1" outlineLevel="1" collapsed="1" x14ac:dyDescent="0.35">
      <c r="A4652" s="112" t="s">
        <v>3616</v>
      </c>
      <c r="B4652" s="112" t="s">
        <v>921</v>
      </c>
      <c r="C4652" s="112" t="s">
        <v>1095</v>
      </c>
      <c r="D4652" s="113">
        <v>10348451</v>
      </c>
      <c r="E4652" s="115">
        <v>43949</v>
      </c>
      <c r="F4652" s="114">
        <v>202101</v>
      </c>
      <c r="G4652" s="112" t="s">
        <v>1091</v>
      </c>
      <c r="H4652" s="112" t="s">
        <v>1015</v>
      </c>
      <c r="I4652" s="112" t="s">
        <v>1205</v>
      </c>
      <c r="J4652" s="112" t="s">
        <v>3620</v>
      </c>
      <c r="K4652" s="112" t="s">
        <v>1098</v>
      </c>
      <c r="L4652" s="116">
        <v>13</v>
      </c>
    </row>
    <row r="4653" spans="1:12" hidden="1" outlineLevel="1" collapsed="1" x14ac:dyDescent="0.35">
      <c r="A4653" s="112" t="s">
        <v>3616</v>
      </c>
      <c r="B4653" s="112" t="s">
        <v>921</v>
      </c>
      <c r="C4653" s="112" t="s">
        <v>1095</v>
      </c>
      <c r="D4653" s="113">
        <v>10348451</v>
      </c>
      <c r="E4653" s="115">
        <v>43949</v>
      </c>
      <c r="F4653" s="114">
        <v>202101</v>
      </c>
      <c r="G4653" s="112" t="s">
        <v>1091</v>
      </c>
      <c r="H4653" s="112" t="s">
        <v>1015</v>
      </c>
      <c r="I4653" s="112" t="s">
        <v>1205</v>
      </c>
      <c r="J4653" s="112" t="s">
        <v>3620</v>
      </c>
      <c r="K4653" s="112" t="s">
        <v>1098</v>
      </c>
      <c r="L4653" s="116">
        <v>13</v>
      </c>
    </row>
    <row r="4654" spans="1:12" hidden="1" outlineLevel="1" collapsed="1" x14ac:dyDescent="0.35">
      <c r="A4654" s="112" t="s">
        <v>3616</v>
      </c>
      <c r="B4654" s="112" t="s">
        <v>919</v>
      </c>
      <c r="C4654" s="112" t="s">
        <v>1095</v>
      </c>
      <c r="D4654" s="113">
        <v>10348451</v>
      </c>
      <c r="E4654" s="115">
        <v>43949</v>
      </c>
      <c r="F4654" s="114">
        <v>202101</v>
      </c>
      <c r="G4654" s="112" t="s">
        <v>1091</v>
      </c>
      <c r="H4654" s="112" t="s">
        <v>1015</v>
      </c>
      <c r="I4654" s="112" t="s">
        <v>1263</v>
      </c>
      <c r="J4654" s="112" t="s">
        <v>3624</v>
      </c>
      <c r="K4654" s="112" t="s">
        <v>1098</v>
      </c>
      <c r="L4654" s="116">
        <v>258.10000000000002</v>
      </c>
    </row>
    <row r="4655" spans="1:12" hidden="1" outlineLevel="1" collapsed="1" x14ac:dyDescent="0.35">
      <c r="A4655" s="112" t="s">
        <v>3616</v>
      </c>
      <c r="B4655" s="112" t="s">
        <v>919</v>
      </c>
      <c r="C4655" s="112" t="s">
        <v>1099</v>
      </c>
      <c r="D4655" s="113">
        <v>1069623</v>
      </c>
      <c r="E4655" s="115">
        <v>43831</v>
      </c>
      <c r="F4655" s="114">
        <v>202101</v>
      </c>
      <c r="G4655" s="112" t="s">
        <v>1091</v>
      </c>
      <c r="H4655" s="112" t="s">
        <v>1015</v>
      </c>
      <c r="I4655" s="112" t="s">
        <v>2495</v>
      </c>
      <c r="J4655" s="112" t="s">
        <v>3624</v>
      </c>
      <c r="K4655" s="112" t="s">
        <v>3980</v>
      </c>
      <c r="L4655" s="116">
        <v>50</v>
      </c>
    </row>
    <row r="4656" spans="1:12" hidden="1" outlineLevel="1" collapsed="1" x14ac:dyDescent="0.35">
      <c r="A4656" s="112" t="s">
        <v>3616</v>
      </c>
      <c r="B4656" s="112" t="s">
        <v>916</v>
      </c>
      <c r="C4656" s="112" t="s">
        <v>695</v>
      </c>
      <c r="D4656" s="113">
        <v>10348539</v>
      </c>
      <c r="E4656" s="115">
        <v>43951</v>
      </c>
      <c r="F4656" s="114">
        <v>202101</v>
      </c>
      <c r="G4656" s="112" t="s">
        <v>1091</v>
      </c>
      <c r="H4656" s="112" t="s">
        <v>1015</v>
      </c>
      <c r="I4656" s="112" t="s">
        <v>2591</v>
      </c>
      <c r="J4656" s="112" t="s">
        <v>3771</v>
      </c>
      <c r="K4656" s="112" t="s">
        <v>3981</v>
      </c>
      <c r="L4656" s="116">
        <v>782</v>
      </c>
    </row>
    <row r="4657" spans="1:12" hidden="1" outlineLevel="1" collapsed="1" x14ac:dyDescent="0.35">
      <c r="A4657" s="112" t="s">
        <v>3616</v>
      </c>
      <c r="B4657" s="112" t="s">
        <v>922</v>
      </c>
      <c r="C4657" s="112" t="s">
        <v>1095</v>
      </c>
      <c r="D4657" s="113">
        <v>10348451</v>
      </c>
      <c r="E4657" s="115">
        <v>43949</v>
      </c>
      <c r="F4657" s="114">
        <v>202101</v>
      </c>
      <c r="G4657" s="112" t="s">
        <v>1091</v>
      </c>
      <c r="H4657" s="112" t="s">
        <v>1015</v>
      </c>
      <c r="I4657" s="112" t="s">
        <v>1116</v>
      </c>
      <c r="J4657" s="112" t="s">
        <v>3784</v>
      </c>
      <c r="K4657" s="112" t="s">
        <v>1098</v>
      </c>
      <c r="L4657" s="116">
        <v>1137.22</v>
      </c>
    </row>
    <row r="4658" spans="1:12" hidden="1" outlineLevel="1" collapsed="1" x14ac:dyDescent="0.35">
      <c r="A4658" s="112" t="s">
        <v>3616</v>
      </c>
      <c r="B4658" s="112" t="s">
        <v>923</v>
      </c>
      <c r="C4658" s="112" t="s">
        <v>695</v>
      </c>
      <c r="D4658" s="113">
        <v>10347981</v>
      </c>
      <c r="E4658" s="115">
        <v>43924</v>
      </c>
      <c r="F4658" s="114">
        <v>202101</v>
      </c>
      <c r="G4658" s="112" t="s">
        <v>1091</v>
      </c>
      <c r="H4658" s="112" t="s">
        <v>1015</v>
      </c>
      <c r="I4658" s="112" t="s">
        <v>761</v>
      </c>
      <c r="J4658" s="112" t="s">
        <v>3673</v>
      </c>
      <c r="K4658" s="112" t="s">
        <v>3982</v>
      </c>
      <c r="L4658" s="116">
        <v>-5000</v>
      </c>
    </row>
    <row r="4659" spans="1:12" hidden="1" outlineLevel="1" collapsed="1" x14ac:dyDescent="0.35">
      <c r="A4659" s="112" t="s">
        <v>3616</v>
      </c>
      <c r="B4659" s="112" t="s">
        <v>921</v>
      </c>
      <c r="C4659" s="112" t="s">
        <v>695</v>
      </c>
      <c r="D4659" s="113">
        <v>10347981</v>
      </c>
      <c r="E4659" s="115">
        <v>43924</v>
      </c>
      <c r="F4659" s="114">
        <v>202101</v>
      </c>
      <c r="G4659" s="112" t="s">
        <v>1091</v>
      </c>
      <c r="H4659" s="112" t="s">
        <v>1015</v>
      </c>
      <c r="I4659" s="112" t="s">
        <v>2495</v>
      </c>
      <c r="J4659" s="112" t="s">
        <v>3620</v>
      </c>
      <c r="K4659" s="112" t="s">
        <v>3983</v>
      </c>
      <c r="L4659" s="116">
        <v>-480</v>
      </c>
    </row>
    <row r="4660" spans="1:12" hidden="1" outlineLevel="1" collapsed="1" x14ac:dyDescent="0.35">
      <c r="A4660" s="112" t="s">
        <v>3616</v>
      </c>
      <c r="B4660" s="112" t="s">
        <v>921</v>
      </c>
      <c r="C4660" s="112" t="s">
        <v>695</v>
      </c>
      <c r="D4660" s="113">
        <v>10347981</v>
      </c>
      <c r="E4660" s="115">
        <v>43924</v>
      </c>
      <c r="F4660" s="114">
        <v>202101</v>
      </c>
      <c r="G4660" s="112" t="s">
        <v>1091</v>
      </c>
      <c r="H4660" s="112" t="s">
        <v>1015</v>
      </c>
      <c r="I4660" s="112" t="s">
        <v>2495</v>
      </c>
      <c r="J4660" s="112" t="s">
        <v>3620</v>
      </c>
      <c r="K4660" s="112" t="s">
        <v>3984</v>
      </c>
      <c r="L4660" s="116">
        <v>-600</v>
      </c>
    </row>
    <row r="4661" spans="1:12" hidden="1" outlineLevel="1" collapsed="1" x14ac:dyDescent="0.35">
      <c r="A4661" s="112" t="s">
        <v>3616</v>
      </c>
      <c r="B4661" s="112" t="s">
        <v>916</v>
      </c>
      <c r="C4661" s="112" t="s">
        <v>695</v>
      </c>
      <c r="D4661" s="113">
        <v>10347981</v>
      </c>
      <c r="E4661" s="115">
        <v>43924</v>
      </c>
      <c r="F4661" s="114">
        <v>202101</v>
      </c>
      <c r="G4661" s="112" t="s">
        <v>1091</v>
      </c>
      <c r="H4661" s="112" t="s">
        <v>1015</v>
      </c>
      <c r="I4661" s="112" t="s">
        <v>1201</v>
      </c>
      <c r="J4661" s="112" t="s">
        <v>3771</v>
      </c>
      <c r="K4661" s="112" t="s">
        <v>3985</v>
      </c>
      <c r="L4661" s="116">
        <v>-45.44</v>
      </c>
    </row>
    <row r="4662" spans="1:12" hidden="1" outlineLevel="1" collapsed="1" x14ac:dyDescent="0.35">
      <c r="A4662" s="112" t="s">
        <v>3616</v>
      </c>
      <c r="B4662" s="112" t="s">
        <v>919</v>
      </c>
      <c r="C4662" s="112" t="s">
        <v>695</v>
      </c>
      <c r="D4662" s="113">
        <v>10347981</v>
      </c>
      <c r="E4662" s="115">
        <v>43924</v>
      </c>
      <c r="F4662" s="114">
        <v>202101</v>
      </c>
      <c r="G4662" s="112" t="s">
        <v>1091</v>
      </c>
      <c r="H4662" s="112" t="s">
        <v>1015</v>
      </c>
      <c r="I4662" s="112" t="s">
        <v>761</v>
      </c>
      <c r="J4662" s="112" t="s">
        <v>3624</v>
      </c>
      <c r="K4662" s="112" t="s">
        <v>3986</v>
      </c>
      <c r="L4662" s="116">
        <v>-309</v>
      </c>
    </row>
    <row r="4663" spans="1:12" hidden="1" outlineLevel="1" collapsed="1" x14ac:dyDescent="0.35">
      <c r="A4663" s="112" t="s">
        <v>3616</v>
      </c>
      <c r="B4663" s="112" t="s">
        <v>920</v>
      </c>
      <c r="C4663" s="112" t="s">
        <v>695</v>
      </c>
      <c r="D4663" s="113">
        <v>10347981</v>
      </c>
      <c r="E4663" s="115">
        <v>43924</v>
      </c>
      <c r="F4663" s="114">
        <v>202101</v>
      </c>
      <c r="G4663" s="112" t="s">
        <v>1091</v>
      </c>
      <c r="H4663" s="112" t="s">
        <v>1015</v>
      </c>
      <c r="I4663" s="112" t="s">
        <v>1182</v>
      </c>
      <c r="J4663" s="112" t="s">
        <v>3755</v>
      </c>
      <c r="K4663" s="112" t="s">
        <v>3987</v>
      </c>
      <c r="L4663" s="116">
        <v>-59.06</v>
      </c>
    </row>
    <row r="4664" spans="1:12" hidden="1" outlineLevel="1" collapsed="1" x14ac:dyDescent="0.35">
      <c r="A4664" s="112" t="s">
        <v>3616</v>
      </c>
      <c r="B4664" s="112" t="s">
        <v>922</v>
      </c>
      <c r="C4664" s="112" t="s">
        <v>1095</v>
      </c>
      <c r="D4664" s="113">
        <v>10348451</v>
      </c>
      <c r="E4664" s="115">
        <v>43949</v>
      </c>
      <c r="F4664" s="114">
        <v>202101</v>
      </c>
      <c r="G4664" s="112" t="s">
        <v>1091</v>
      </c>
      <c r="H4664" s="112" t="s">
        <v>1015</v>
      </c>
      <c r="I4664" s="112" t="s">
        <v>1116</v>
      </c>
      <c r="J4664" s="112" t="s">
        <v>3805</v>
      </c>
      <c r="K4664" s="112" t="s">
        <v>1098</v>
      </c>
      <c r="L4664" s="116">
        <v>932.41</v>
      </c>
    </row>
    <row r="4665" spans="1:12" hidden="1" outlineLevel="1" collapsed="1" x14ac:dyDescent="0.35">
      <c r="A4665" s="112" t="s">
        <v>3616</v>
      </c>
      <c r="B4665" s="112" t="s">
        <v>918</v>
      </c>
      <c r="C4665" s="112" t="s">
        <v>1095</v>
      </c>
      <c r="D4665" s="113">
        <v>10348451</v>
      </c>
      <c r="E4665" s="115">
        <v>43949</v>
      </c>
      <c r="F4665" s="114">
        <v>202101</v>
      </c>
      <c r="G4665" s="112" t="s">
        <v>1091</v>
      </c>
      <c r="H4665" s="112" t="s">
        <v>1015</v>
      </c>
      <c r="I4665" s="112" t="s">
        <v>1116</v>
      </c>
      <c r="J4665" s="112" t="s">
        <v>3695</v>
      </c>
      <c r="K4665" s="112" t="s">
        <v>1098</v>
      </c>
      <c r="L4665" s="116">
        <v>2259.5</v>
      </c>
    </row>
    <row r="4666" spans="1:12" hidden="1" outlineLevel="1" collapsed="1" x14ac:dyDescent="0.35">
      <c r="A4666" s="112" t="s">
        <v>3616</v>
      </c>
      <c r="B4666" s="112" t="s">
        <v>923</v>
      </c>
      <c r="C4666" s="112" t="s">
        <v>695</v>
      </c>
      <c r="D4666" s="113">
        <v>10347981</v>
      </c>
      <c r="E4666" s="115">
        <v>43924</v>
      </c>
      <c r="F4666" s="114">
        <v>202101</v>
      </c>
      <c r="G4666" s="112" t="s">
        <v>1091</v>
      </c>
      <c r="H4666" s="112" t="s">
        <v>1015</v>
      </c>
      <c r="I4666" s="112" t="s">
        <v>761</v>
      </c>
      <c r="J4666" s="112" t="s">
        <v>3988</v>
      </c>
      <c r="K4666" s="112" t="s">
        <v>3989</v>
      </c>
      <c r="L4666" s="116">
        <v>-900</v>
      </c>
    </row>
    <row r="4667" spans="1:12" hidden="1" outlineLevel="1" collapsed="1" x14ac:dyDescent="0.35">
      <c r="A4667" s="112" t="s">
        <v>3616</v>
      </c>
      <c r="B4667" s="112" t="s">
        <v>922</v>
      </c>
      <c r="C4667" s="112" t="s">
        <v>695</v>
      </c>
      <c r="D4667" s="113">
        <v>10347981</v>
      </c>
      <c r="E4667" s="115">
        <v>43924</v>
      </c>
      <c r="F4667" s="114">
        <v>202101</v>
      </c>
      <c r="G4667" s="112" t="s">
        <v>1091</v>
      </c>
      <c r="H4667" s="112" t="s">
        <v>1015</v>
      </c>
      <c r="I4667" s="112" t="s">
        <v>761</v>
      </c>
      <c r="J4667" s="112" t="s">
        <v>3861</v>
      </c>
      <c r="K4667" s="112" t="s">
        <v>3990</v>
      </c>
      <c r="L4667" s="116">
        <v>-50</v>
      </c>
    </row>
    <row r="4668" spans="1:12" hidden="1" outlineLevel="1" collapsed="1" x14ac:dyDescent="0.35">
      <c r="A4668" s="112" t="s">
        <v>3616</v>
      </c>
      <c r="B4668" s="112" t="s">
        <v>918</v>
      </c>
      <c r="C4668" s="112" t="s">
        <v>1095</v>
      </c>
      <c r="D4668" s="113">
        <v>10348451</v>
      </c>
      <c r="E4668" s="115">
        <v>43949</v>
      </c>
      <c r="F4668" s="114">
        <v>202101</v>
      </c>
      <c r="G4668" s="112" t="s">
        <v>1091</v>
      </c>
      <c r="H4668" s="112" t="s">
        <v>1015</v>
      </c>
      <c r="I4668" s="112" t="s">
        <v>1116</v>
      </c>
      <c r="J4668" s="112" t="s">
        <v>3695</v>
      </c>
      <c r="K4668" s="112" t="s">
        <v>1098</v>
      </c>
      <c r="L4668" s="116">
        <v>2259.5</v>
      </c>
    </row>
    <row r="4669" spans="1:12" hidden="1" outlineLevel="1" collapsed="1" x14ac:dyDescent="0.35">
      <c r="A4669" s="112" t="s">
        <v>3616</v>
      </c>
      <c r="B4669" s="112" t="s">
        <v>919</v>
      </c>
      <c r="C4669" s="112" t="s">
        <v>695</v>
      </c>
      <c r="D4669" s="113">
        <v>10347981</v>
      </c>
      <c r="E4669" s="115">
        <v>43924</v>
      </c>
      <c r="F4669" s="114">
        <v>202101</v>
      </c>
      <c r="G4669" s="112" t="s">
        <v>1091</v>
      </c>
      <c r="H4669" s="112" t="s">
        <v>1015</v>
      </c>
      <c r="I4669" s="112" t="s">
        <v>1182</v>
      </c>
      <c r="J4669" s="112" t="s">
        <v>3624</v>
      </c>
      <c r="K4669" s="112" t="s">
        <v>3991</v>
      </c>
      <c r="L4669" s="116">
        <v>-7540.27</v>
      </c>
    </row>
    <row r="4670" spans="1:12" hidden="1" outlineLevel="1" collapsed="1" x14ac:dyDescent="0.35">
      <c r="A4670" s="112" t="s">
        <v>3616</v>
      </c>
      <c r="B4670" s="112" t="s">
        <v>918</v>
      </c>
      <c r="C4670" s="112" t="s">
        <v>1095</v>
      </c>
      <c r="D4670" s="113">
        <v>10348451</v>
      </c>
      <c r="E4670" s="115">
        <v>43949</v>
      </c>
      <c r="F4670" s="114">
        <v>202101</v>
      </c>
      <c r="G4670" s="112" t="s">
        <v>1091</v>
      </c>
      <c r="H4670" s="112" t="s">
        <v>1015</v>
      </c>
      <c r="I4670" s="112" t="s">
        <v>1116</v>
      </c>
      <c r="J4670" s="112" t="s">
        <v>3695</v>
      </c>
      <c r="K4670" s="112" t="s">
        <v>1098</v>
      </c>
      <c r="L4670" s="116">
        <v>2176.17</v>
      </c>
    </row>
    <row r="4671" spans="1:12" hidden="1" outlineLevel="1" collapsed="1" x14ac:dyDescent="0.35">
      <c r="A4671" s="112" t="s">
        <v>3616</v>
      </c>
      <c r="B4671" s="112" t="s">
        <v>918</v>
      </c>
      <c r="C4671" s="112" t="s">
        <v>1095</v>
      </c>
      <c r="D4671" s="113">
        <v>10348451</v>
      </c>
      <c r="E4671" s="115">
        <v>43949</v>
      </c>
      <c r="F4671" s="114">
        <v>202101</v>
      </c>
      <c r="G4671" s="112" t="s">
        <v>1091</v>
      </c>
      <c r="H4671" s="112" t="s">
        <v>1015</v>
      </c>
      <c r="I4671" s="112" t="s">
        <v>1116</v>
      </c>
      <c r="J4671" s="112" t="s">
        <v>3695</v>
      </c>
      <c r="K4671" s="112" t="s">
        <v>1098</v>
      </c>
      <c r="L4671" s="116">
        <v>903.8</v>
      </c>
    </row>
    <row r="4672" spans="1:12" hidden="1" outlineLevel="1" collapsed="1" x14ac:dyDescent="0.35">
      <c r="A4672" s="112" t="s">
        <v>3616</v>
      </c>
      <c r="B4672" s="112" t="s">
        <v>918</v>
      </c>
      <c r="C4672" s="112" t="s">
        <v>1095</v>
      </c>
      <c r="D4672" s="113">
        <v>10348451</v>
      </c>
      <c r="E4672" s="115">
        <v>43949</v>
      </c>
      <c r="F4672" s="114">
        <v>202101</v>
      </c>
      <c r="G4672" s="112" t="s">
        <v>1091</v>
      </c>
      <c r="H4672" s="112" t="s">
        <v>1015</v>
      </c>
      <c r="I4672" s="112" t="s">
        <v>1116</v>
      </c>
      <c r="J4672" s="112" t="s">
        <v>3695</v>
      </c>
      <c r="K4672" s="112" t="s">
        <v>1098</v>
      </c>
      <c r="L4672" s="116">
        <v>940.03</v>
      </c>
    </row>
    <row r="4673" spans="1:12" hidden="1" outlineLevel="1" collapsed="1" x14ac:dyDescent="0.35">
      <c r="A4673" s="112" t="s">
        <v>3616</v>
      </c>
      <c r="B4673" s="112" t="s">
        <v>918</v>
      </c>
      <c r="C4673" s="112" t="s">
        <v>1095</v>
      </c>
      <c r="D4673" s="113">
        <v>10348451</v>
      </c>
      <c r="E4673" s="115">
        <v>43949</v>
      </c>
      <c r="F4673" s="114">
        <v>202101</v>
      </c>
      <c r="G4673" s="112" t="s">
        <v>1091</v>
      </c>
      <c r="H4673" s="112" t="s">
        <v>1015</v>
      </c>
      <c r="I4673" s="112" t="s">
        <v>1116</v>
      </c>
      <c r="J4673" s="112" t="s">
        <v>3695</v>
      </c>
      <c r="K4673" s="112" t="s">
        <v>1098</v>
      </c>
      <c r="L4673" s="116">
        <v>2981.92</v>
      </c>
    </row>
    <row r="4674" spans="1:12" hidden="1" outlineLevel="1" collapsed="1" x14ac:dyDescent="0.35">
      <c r="A4674" s="112" t="s">
        <v>3616</v>
      </c>
      <c r="B4674" s="112" t="s">
        <v>922</v>
      </c>
      <c r="C4674" s="112" t="s">
        <v>1095</v>
      </c>
      <c r="D4674" s="113">
        <v>10348451</v>
      </c>
      <c r="E4674" s="115">
        <v>43949</v>
      </c>
      <c r="F4674" s="114">
        <v>202101</v>
      </c>
      <c r="G4674" s="112" t="s">
        <v>1091</v>
      </c>
      <c r="H4674" s="112" t="s">
        <v>1015</v>
      </c>
      <c r="I4674" s="112" t="s">
        <v>1116</v>
      </c>
      <c r="J4674" s="112" t="s">
        <v>3784</v>
      </c>
      <c r="K4674" s="112" t="s">
        <v>1098</v>
      </c>
      <c r="L4674" s="116">
        <v>2011.31</v>
      </c>
    </row>
    <row r="4675" spans="1:12" hidden="1" outlineLevel="1" collapsed="1" x14ac:dyDescent="0.35">
      <c r="A4675" s="112" t="s">
        <v>3616</v>
      </c>
      <c r="B4675" s="112" t="s">
        <v>922</v>
      </c>
      <c r="C4675" s="112" t="s">
        <v>1095</v>
      </c>
      <c r="D4675" s="113">
        <v>10348451</v>
      </c>
      <c r="E4675" s="115">
        <v>43949</v>
      </c>
      <c r="F4675" s="114">
        <v>202101</v>
      </c>
      <c r="G4675" s="112" t="s">
        <v>1091</v>
      </c>
      <c r="H4675" s="112" t="s">
        <v>1015</v>
      </c>
      <c r="I4675" s="112" t="s">
        <v>1116</v>
      </c>
      <c r="J4675" s="112" t="s">
        <v>3784</v>
      </c>
      <c r="K4675" s="112" t="s">
        <v>1098</v>
      </c>
      <c r="L4675" s="116">
        <v>2981.92</v>
      </c>
    </row>
    <row r="4676" spans="1:12" hidden="1" outlineLevel="1" collapsed="1" x14ac:dyDescent="0.35">
      <c r="A4676" s="112" t="s">
        <v>3616</v>
      </c>
      <c r="B4676" s="112" t="s">
        <v>921</v>
      </c>
      <c r="C4676" s="112" t="s">
        <v>1095</v>
      </c>
      <c r="D4676" s="113">
        <v>10348451</v>
      </c>
      <c r="E4676" s="115">
        <v>43949</v>
      </c>
      <c r="F4676" s="114">
        <v>202101</v>
      </c>
      <c r="G4676" s="112" t="s">
        <v>1091</v>
      </c>
      <c r="H4676" s="112" t="s">
        <v>1015</v>
      </c>
      <c r="I4676" s="112" t="s">
        <v>3261</v>
      </c>
      <c r="J4676" s="112" t="s">
        <v>3709</v>
      </c>
      <c r="K4676" s="112" t="s">
        <v>1098</v>
      </c>
      <c r="L4676" s="116">
        <v>54.63</v>
      </c>
    </row>
    <row r="4677" spans="1:12" hidden="1" outlineLevel="1" collapsed="1" x14ac:dyDescent="0.35">
      <c r="A4677" s="112" t="s">
        <v>3616</v>
      </c>
      <c r="B4677" s="112" t="s">
        <v>922</v>
      </c>
      <c r="C4677" s="112" t="s">
        <v>1095</v>
      </c>
      <c r="D4677" s="113">
        <v>10348451</v>
      </c>
      <c r="E4677" s="115">
        <v>43949</v>
      </c>
      <c r="F4677" s="114">
        <v>202101</v>
      </c>
      <c r="G4677" s="112" t="s">
        <v>1091</v>
      </c>
      <c r="H4677" s="112" t="s">
        <v>1015</v>
      </c>
      <c r="I4677" s="112" t="s">
        <v>1116</v>
      </c>
      <c r="J4677" s="112" t="s">
        <v>3784</v>
      </c>
      <c r="K4677" s="112" t="s">
        <v>1098</v>
      </c>
      <c r="L4677" s="116">
        <v>86.23</v>
      </c>
    </row>
    <row r="4678" spans="1:12" hidden="1" outlineLevel="1" collapsed="1" x14ac:dyDescent="0.35">
      <c r="A4678" s="112" t="s">
        <v>3616</v>
      </c>
      <c r="B4678" s="112" t="s">
        <v>922</v>
      </c>
      <c r="C4678" s="112" t="s">
        <v>1095</v>
      </c>
      <c r="D4678" s="113">
        <v>10348451</v>
      </c>
      <c r="E4678" s="115">
        <v>43949</v>
      </c>
      <c r="F4678" s="114">
        <v>202101</v>
      </c>
      <c r="G4678" s="112" t="s">
        <v>1091</v>
      </c>
      <c r="H4678" s="112" t="s">
        <v>1015</v>
      </c>
      <c r="I4678" s="112" t="s">
        <v>1116</v>
      </c>
      <c r="J4678" s="112" t="s">
        <v>3784</v>
      </c>
      <c r="K4678" s="112" t="s">
        <v>1098</v>
      </c>
      <c r="L4678" s="116">
        <v>1149.1400000000001</v>
      </c>
    </row>
    <row r="4679" spans="1:12" hidden="1" outlineLevel="1" collapsed="1" x14ac:dyDescent="0.35">
      <c r="A4679" s="112" t="s">
        <v>3616</v>
      </c>
      <c r="B4679" s="112" t="s">
        <v>919</v>
      </c>
      <c r="C4679" s="112" t="s">
        <v>1099</v>
      </c>
      <c r="D4679" s="113">
        <v>1069330</v>
      </c>
      <c r="E4679" s="115">
        <v>43805</v>
      </c>
      <c r="F4679" s="114">
        <v>202101</v>
      </c>
      <c r="G4679" s="112" t="s">
        <v>1091</v>
      </c>
      <c r="H4679" s="112" t="s">
        <v>1015</v>
      </c>
      <c r="I4679" s="112" t="s">
        <v>761</v>
      </c>
      <c r="J4679" s="112" t="s">
        <v>3628</v>
      </c>
      <c r="K4679" s="112" t="s">
        <v>3992</v>
      </c>
      <c r="L4679" s="116">
        <v>595</v>
      </c>
    </row>
    <row r="4680" spans="1:12" hidden="1" outlineLevel="1" collapsed="1" x14ac:dyDescent="0.35">
      <c r="A4680" s="112" t="s">
        <v>3616</v>
      </c>
      <c r="B4680" s="112" t="s">
        <v>919</v>
      </c>
      <c r="C4680" s="112" t="s">
        <v>1099</v>
      </c>
      <c r="D4680" s="113">
        <v>1069331</v>
      </c>
      <c r="E4680" s="115">
        <v>44171</v>
      </c>
      <c r="F4680" s="114">
        <v>202101</v>
      </c>
      <c r="G4680" s="112" t="s">
        <v>1091</v>
      </c>
      <c r="H4680" s="112" t="s">
        <v>1015</v>
      </c>
      <c r="I4680" s="112" t="s">
        <v>761</v>
      </c>
      <c r="J4680" s="112" t="s">
        <v>3628</v>
      </c>
      <c r="K4680" s="112" t="s">
        <v>3993</v>
      </c>
      <c r="L4680" s="116">
        <v>595</v>
      </c>
    </row>
    <row r="4681" spans="1:12" hidden="1" outlineLevel="1" collapsed="1" x14ac:dyDescent="0.35">
      <c r="A4681" s="112" t="s">
        <v>3616</v>
      </c>
      <c r="B4681" s="112" t="s">
        <v>919</v>
      </c>
      <c r="C4681" s="112" t="s">
        <v>1099</v>
      </c>
      <c r="D4681" s="113">
        <v>1069346</v>
      </c>
      <c r="E4681" s="115">
        <v>43795</v>
      </c>
      <c r="F4681" s="114">
        <v>202101</v>
      </c>
      <c r="G4681" s="112" t="s">
        <v>1091</v>
      </c>
      <c r="H4681" s="112" t="s">
        <v>1015</v>
      </c>
      <c r="I4681" s="112" t="s">
        <v>761</v>
      </c>
      <c r="J4681" s="112" t="s">
        <v>3628</v>
      </c>
      <c r="K4681" s="112" t="s">
        <v>3994</v>
      </c>
      <c r="L4681" s="116">
        <v>595</v>
      </c>
    </row>
    <row r="4682" spans="1:12" hidden="1" outlineLevel="1" collapsed="1" x14ac:dyDescent="0.35">
      <c r="A4682" s="112" t="s">
        <v>3616</v>
      </c>
      <c r="B4682" s="112" t="s">
        <v>922</v>
      </c>
      <c r="C4682" s="112" t="s">
        <v>1095</v>
      </c>
      <c r="D4682" s="113">
        <v>10348451</v>
      </c>
      <c r="E4682" s="115">
        <v>43949</v>
      </c>
      <c r="F4682" s="114">
        <v>202101</v>
      </c>
      <c r="G4682" s="112" t="s">
        <v>1091</v>
      </c>
      <c r="H4682" s="112" t="s">
        <v>1015</v>
      </c>
      <c r="I4682" s="112" t="s">
        <v>1116</v>
      </c>
      <c r="J4682" s="112" t="s">
        <v>3766</v>
      </c>
      <c r="K4682" s="112" t="s">
        <v>1098</v>
      </c>
      <c r="L4682" s="116">
        <v>2174.77</v>
      </c>
    </row>
    <row r="4683" spans="1:12" hidden="1" outlineLevel="1" collapsed="1" x14ac:dyDescent="0.35">
      <c r="A4683" s="112" t="s">
        <v>3616</v>
      </c>
      <c r="B4683" s="112" t="s">
        <v>916</v>
      </c>
      <c r="C4683" s="112" t="s">
        <v>1099</v>
      </c>
      <c r="D4683" s="113">
        <v>1069337</v>
      </c>
      <c r="E4683" s="115">
        <v>43921</v>
      </c>
      <c r="F4683" s="114">
        <v>202101</v>
      </c>
      <c r="G4683" s="112" t="s">
        <v>1091</v>
      </c>
      <c r="H4683" s="112" t="s">
        <v>1015</v>
      </c>
      <c r="I4683" s="112" t="s">
        <v>763</v>
      </c>
      <c r="J4683" s="112" t="s">
        <v>3771</v>
      </c>
      <c r="K4683" s="112" t="s">
        <v>3995</v>
      </c>
      <c r="L4683" s="116">
        <v>8000</v>
      </c>
    </row>
    <row r="4684" spans="1:12" hidden="1" outlineLevel="1" collapsed="1" x14ac:dyDescent="0.35">
      <c r="A4684" s="112" t="s">
        <v>3616</v>
      </c>
      <c r="B4684" s="112" t="s">
        <v>919</v>
      </c>
      <c r="C4684" s="112" t="s">
        <v>1099</v>
      </c>
      <c r="D4684" s="113">
        <v>1069342</v>
      </c>
      <c r="E4684" s="115">
        <v>43921</v>
      </c>
      <c r="F4684" s="114">
        <v>202101</v>
      </c>
      <c r="G4684" s="112" t="s">
        <v>1091</v>
      </c>
      <c r="H4684" s="112" t="s">
        <v>1015</v>
      </c>
      <c r="I4684" s="112" t="s">
        <v>1182</v>
      </c>
      <c r="J4684" s="112" t="s">
        <v>3624</v>
      </c>
      <c r="K4684" s="112" t="s">
        <v>3996</v>
      </c>
      <c r="L4684" s="116">
        <v>103.07</v>
      </c>
    </row>
    <row r="4685" spans="1:12" hidden="1" outlineLevel="1" collapsed="1" x14ac:dyDescent="0.35">
      <c r="A4685" s="112" t="s">
        <v>3616</v>
      </c>
      <c r="B4685" s="112" t="s">
        <v>922</v>
      </c>
      <c r="C4685" s="112" t="s">
        <v>1095</v>
      </c>
      <c r="D4685" s="113">
        <v>10348451</v>
      </c>
      <c r="E4685" s="115">
        <v>43949</v>
      </c>
      <c r="F4685" s="114">
        <v>202101</v>
      </c>
      <c r="G4685" s="112" t="s">
        <v>1091</v>
      </c>
      <c r="H4685" s="112" t="s">
        <v>1015</v>
      </c>
      <c r="I4685" s="112" t="s">
        <v>1116</v>
      </c>
      <c r="J4685" s="112" t="s">
        <v>3784</v>
      </c>
      <c r="K4685" s="112" t="s">
        <v>1098</v>
      </c>
      <c r="L4685" s="116">
        <v>630.62</v>
      </c>
    </row>
    <row r="4686" spans="1:12" hidden="1" outlineLevel="1" collapsed="1" x14ac:dyDescent="0.35">
      <c r="A4686" s="112" t="s">
        <v>3616</v>
      </c>
      <c r="B4686" s="112" t="s">
        <v>922</v>
      </c>
      <c r="C4686" s="112" t="s">
        <v>1095</v>
      </c>
      <c r="D4686" s="113">
        <v>10348451</v>
      </c>
      <c r="E4686" s="115">
        <v>43949</v>
      </c>
      <c r="F4686" s="114">
        <v>202101</v>
      </c>
      <c r="G4686" s="112" t="s">
        <v>1091</v>
      </c>
      <c r="H4686" s="112" t="s">
        <v>1015</v>
      </c>
      <c r="I4686" s="112" t="s">
        <v>1116</v>
      </c>
      <c r="J4686" s="112" t="s">
        <v>3784</v>
      </c>
      <c r="K4686" s="112" t="s">
        <v>1098</v>
      </c>
      <c r="L4686" s="116">
        <v>2631.25</v>
      </c>
    </row>
    <row r="4687" spans="1:12" hidden="1" outlineLevel="1" collapsed="1" x14ac:dyDescent="0.35">
      <c r="A4687" s="112" t="s">
        <v>3616</v>
      </c>
      <c r="B4687" s="112" t="s">
        <v>922</v>
      </c>
      <c r="C4687" s="112" t="s">
        <v>1095</v>
      </c>
      <c r="D4687" s="113">
        <v>10348451</v>
      </c>
      <c r="E4687" s="115">
        <v>43949</v>
      </c>
      <c r="F4687" s="114">
        <v>202101</v>
      </c>
      <c r="G4687" s="112" t="s">
        <v>1091</v>
      </c>
      <c r="H4687" s="112" t="s">
        <v>1015</v>
      </c>
      <c r="I4687" s="112" t="s">
        <v>1116</v>
      </c>
      <c r="J4687" s="112" t="s">
        <v>3861</v>
      </c>
      <c r="K4687" s="112" t="s">
        <v>1098</v>
      </c>
      <c r="L4687" s="116">
        <v>1330.24</v>
      </c>
    </row>
    <row r="4688" spans="1:12" hidden="1" outlineLevel="1" collapsed="1" x14ac:dyDescent="0.35">
      <c r="A4688" s="112" t="s">
        <v>3616</v>
      </c>
      <c r="B4688" s="112" t="s">
        <v>919</v>
      </c>
      <c r="C4688" s="112" t="s">
        <v>1099</v>
      </c>
      <c r="D4688" s="113">
        <v>1069349</v>
      </c>
      <c r="E4688" s="115">
        <v>44171</v>
      </c>
      <c r="F4688" s="114">
        <v>202101</v>
      </c>
      <c r="G4688" s="112" t="s">
        <v>1091</v>
      </c>
      <c r="H4688" s="112" t="s">
        <v>1015</v>
      </c>
      <c r="I4688" s="112" t="s">
        <v>761</v>
      </c>
      <c r="J4688" s="112" t="s">
        <v>3628</v>
      </c>
      <c r="K4688" s="112" t="s">
        <v>3997</v>
      </c>
      <c r="L4688" s="116">
        <v>595</v>
      </c>
    </row>
    <row r="4689" spans="1:12" hidden="1" outlineLevel="1" collapsed="1" x14ac:dyDescent="0.35">
      <c r="A4689" s="112" t="s">
        <v>3616</v>
      </c>
      <c r="B4689" s="112" t="s">
        <v>919</v>
      </c>
      <c r="C4689" s="112" t="s">
        <v>1099</v>
      </c>
      <c r="D4689" s="113">
        <v>1069354</v>
      </c>
      <c r="E4689" s="115">
        <v>43846</v>
      </c>
      <c r="F4689" s="114">
        <v>202101</v>
      </c>
      <c r="G4689" s="112" t="s">
        <v>1091</v>
      </c>
      <c r="H4689" s="112" t="s">
        <v>1015</v>
      </c>
      <c r="I4689" s="112" t="s">
        <v>1246</v>
      </c>
      <c r="J4689" s="112" t="s">
        <v>3617</v>
      </c>
      <c r="K4689" s="112" t="s">
        <v>3998</v>
      </c>
      <c r="L4689" s="116">
        <v>450</v>
      </c>
    </row>
    <row r="4690" spans="1:12" hidden="1" outlineLevel="1" collapsed="1" x14ac:dyDescent="0.35">
      <c r="A4690" s="112" t="s">
        <v>3616</v>
      </c>
      <c r="B4690" s="112" t="s">
        <v>921</v>
      </c>
      <c r="C4690" s="112" t="s">
        <v>1095</v>
      </c>
      <c r="D4690" s="113">
        <v>10348451</v>
      </c>
      <c r="E4690" s="115">
        <v>43949</v>
      </c>
      <c r="F4690" s="114">
        <v>202101</v>
      </c>
      <c r="G4690" s="112" t="s">
        <v>1091</v>
      </c>
      <c r="H4690" s="112" t="s">
        <v>1015</v>
      </c>
      <c r="I4690" s="112" t="s">
        <v>1101</v>
      </c>
      <c r="J4690" s="112" t="s">
        <v>3709</v>
      </c>
      <c r="K4690" s="112" t="s">
        <v>1098</v>
      </c>
      <c r="L4690" s="116">
        <v>312.99</v>
      </c>
    </row>
    <row r="4691" spans="1:12" hidden="1" outlineLevel="1" collapsed="1" x14ac:dyDescent="0.35">
      <c r="A4691" s="112" t="s">
        <v>3616</v>
      </c>
      <c r="B4691" s="112" t="s">
        <v>922</v>
      </c>
      <c r="C4691" s="112" t="s">
        <v>1095</v>
      </c>
      <c r="D4691" s="113">
        <v>10348451</v>
      </c>
      <c r="E4691" s="115">
        <v>43949</v>
      </c>
      <c r="F4691" s="114">
        <v>202101</v>
      </c>
      <c r="G4691" s="112" t="s">
        <v>1091</v>
      </c>
      <c r="H4691" s="112" t="s">
        <v>1015</v>
      </c>
      <c r="I4691" s="112" t="s">
        <v>1116</v>
      </c>
      <c r="J4691" s="112" t="s">
        <v>3863</v>
      </c>
      <c r="K4691" s="112" t="s">
        <v>1098</v>
      </c>
      <c r="L4691" s="116">
        <v>1129.75</v>
      </c>
    </row>
    <row r="4692" spans="1:12" hidden="1" outlineLevel="1" collapsed="1" x14ac:dyDescent="0.35">
      <c r="A4692" s="112" t="s">
        <v>3616</v>
      </c>
      <c r="B4692" s="112" t="s">
        <v>922</v>
      </c>
      <c r="C4692" s="112" t="s">
        <v>1095</v>
      </c>
      <c r="D4692" s="113">
        <v>10348451</v>
      </c>
      <c r="E4692" s="115">
        <v>43949</v>
      </c>
      <c r="F4692" s="114">
        <v>202101</v>
      </c>
      <c r="G4692" s="112" t="s">
        <v>1091</v>
      </c>
      <c r="H4692" s="112" t="s">
        <v>1015</v>
      </c>
      <c r="I4692" s="112" t="s">
        <v>1116</v>
      </c>
      <c r="J4692" s="112" t="s">
        <v>3863</v>
      </c>
      <c r="K4692" s="112" t="s">
        <v>1098</v>
      </c>
      <c r="L4692" s="116">
        <v>762</v>
      </c>
    </row>
    <row r="4693" spans="1:12" hidden="1" outlineLevel="1" collapsed="1" x14ac:dyDescent="0.35">
      <c r="A4693" s="112" t="s">
        <v>3616</v>
      </c>
      <c r="B4693" s="112" t="s">
        <v>919</v>
      </c>
      <c r="C4693" s="112" t="s">
        <v>1099</v>
      </c>
      <c r="D4693" s="113">
        <v>1069353</v>
      </c>
      <c r="E4693" s="115">
        <v>43846</v>
      </c>
      <c r="F4693" s="114">
        <v>202101</v>
      </c>
      <c r="G4693" s="112" t="s">
        <v>1091</v>
      </c>
      <c r="H4693" s="112" t="s">
        <v>1015</v>
      </c>
      <c r="I4693" s="112" t="s">
        <v>1246</v>
      </c>
      <c r="J4693" s="112" t="s">
        <v>3624</v>
      </c>
      <c r="K4693" s="112" t="s">
        <v>3999</v>
      </c>
      <c r="L4693" s="116">
        <v>310</v>
      </c>
    </row>
    <row r="4694" spans="1:12" hidden="1" outlineLevel="1" collapsed="1" x14ac:dyDescent="0.35">
      <c r="A4694" s="112" t="s">
        <v>3616</v>
      </c>
      <c r="B4694" s="112" t="s">
        <v>923</v>
      </c>
      <c r="C4694" s="112" t="s">
        <v>1095</v>
      </c>
      <c r="D4694" s="113">
        <v>10348451</v>
      </c>
      <c r="E4694" s="115">
        <v>43949</v>
      </c>
      <c r="F4694" s="114">
        <v>202101</v>
      </c>
      <c r="G4694" s="112" t="s">
        <v>1091</v>
      </c>
      <c r="H4694" s="112" t="s">
        <v>1015</v>
      </c>
      <c r="I4694" s="112" t="s">
        <v>1101</v>
      </c>
      <c r="J4694" s="112" t="s">
        <v>3750</v>
      </c>
      <c r="K4694" s="112" t="s">
        <v>1098</v>
      </c>
      <c r="L4694" s="116">
        <v>483.07</v>
      </c>
    </row>
    <row r="4695" spans="1:12" hidden="1" outlineLevel="1" collapsed="1" x14ac:dyDescent="0.35">
      <c r="A4695" s="112" t="s">
        <v>3616</v>
      </c>
      <c r="B4695" s="112" t="s">
        <v>923</v>
      </c>
      <c r="C4695" s="112" t="s">
        <v>1095</v>
      </c>
      <c r="D4695" s="113">
        <v>10348451</v>
      </c>
      <c r="E4695" s="115">
        <v>43949</v>
      </c>
      <c r="F4695" s="114">
        <v>202101</v>
      </c>
      <c r="G4695" s="112" t="s">
        <v>1091</v>
      </c>
      <c r="H4695" s="112" t="s">
        <v>1015</v>
      </c>
      <c r="I4695" s="112" t="s">
        <v>1096</v>
      </c>
      <c r="J4695" s="112" t="s">
        <v>3750</v>
      </c>
      <c r="K4695" s="112" t="s">
        <v>1098</v>
      </c>
      <c r="L4695" s="116">
        <v>310.49</v>
      </c>
    </row>
    <row r="4696" spans="1:12" hidden="1" outlineLevel="1" collapsed="1" x14ac:dyDescent="0.35">
      <c r="A4696" s="112" t="s">
        <v>3616</v>
      </c>
      <c r="B4696" s="112" t="s">
        <v>922</v>
      </c>
      <c r="C4696" s="112" t="s">
        <v>1095</v>
      </c>
      <c r="D4696" s="113">
        <v>10348451</v>
      </c>
      <c r="E4696" s="115">
        <v>43949</v>
      </c>
      <c r="F4696" s="114">
        <v>202101</v>
      </c>
      <c r="G4696" s="112" t="s">
        <v>1091</v>
      </c>
      <c r="H4696" s="112" t="s">
        <v>1015</v>
      </c>
      <c r="I4696" s="112" t="s">
        <v>1116</v>
      </c>
      <c r="J4696" s="112" t="s">
        <v>3863</v>
      </c>
      <c r="K4696" s="112" t="s">
        <v>1098</v>
      </c>
      <c r="L4696" s="116">
        <v>2085.21</v>
      </c>
    </row>
    <row r="4697" spans="1:12" hidden="1" outlineLevel="1" collapsed="1" x14ac:dyDescent="0.35">
      <c r="A4697" s="112" t="s">
        <v>3616</v>
      </c>
      <c r="B4697" s="112" t="s">
        <v>919</v>
      </c>
      <c r="C4697" s="112" t="s">
        <v>1095</v>
      </c>
      <c r="D4697" s="113">
        <v>10348451</v>
      </c>
      <c r="E4697" s="115">
        <v>43949</v>
      </c>
      <c r="F4697" s="114">
        <v>202101</v>
      </c>
      <c r="G4697" s="112" t="s">
        <v>1091</v>
      </c>
      <c r="H4697" s="112" t="s">
        <v>1015</v>
      </c>
      <c r="I4697" s="112" t="s">
        <v>3261</v>
      </c>
      <c r="J4697" s="112" t="s">
        <v>3624</v>
      </c>
      <c r="K4697" s="112" t="s">
        <v>1098</v>
      </c>
      <c r="L4697" s="116">
        <v>33.200000000000003</v>
      </c>
    </row>
    <row r="4698" spans="1:12" hidden="1" outlineLevel="1" collapsed="1" x14ac:dyDescent="0.35">
      <c r="A4698" s="112" t="s">
        <v>3616</v>
      </c>
      <c r="B4698" s="112" t="s">
        <v>917</v>
      </c>
      <c r="C4698" s="112" t="s">
        <v>1095</v>
      </c>
      <c r="D4698" s="113">
        <v>10348451</v>
      </c>
      <c r="E4698" s="115">
        <v>43949</v>
      </c>
      <c r="F4698" s="114">
        <v>202101</v>
      </c>
      <c r="G4698" s="112" t="s">
        <v>1091</v>
      </c>
      <c r="H4698" s="112" t="s">
        <v>1015</v>
      </c>
      <c r="I4698" s="112" t="s">
        <v>1116</v>
      </c>
      <c r="J4698" s="112" t="s">
        <v>3897</v>
      </c>
      <c r="K4698" s="112" t="s">
        <v>1098</v>
      </c>
      <c r="L4698" s="116">
        <v>2631.25</v>
      </c>
    </row>
    <row r="4699" spans="1:12" hidden="1" outlineLevel="1" collapsed="1" x14ac:dyDescent="0.35">
      <c r="A4699" s="112" t="s">
        <v>3616</v>
      </c>
      <c r="B4699" s="112" t="s">
        <v>917</v>
      </c>
      <c r="C4699" s="112" t="s">
        <v>1095</v>
      </c>
      <c r="D4699" s="113">
        <v>10348451</v>
      </c>
      <c r="E4699" s="115">
        <v>43949</v>
      </c>
      <c r="F4699" s="114">
        <v>202101</v>
      </c>
      <c r="G4699" s="112" t="s">
        <v>1091</v>
      </c>
      <c r="H4699" s="112" t="s">
        <v>1015</v>
      </c>
      <c r="I4699" s="112" t="s">
        <v>1116</v>
      </c>
      <c r="J4699" s="112" t="s">
        <v>3897</v>
      </c>
      <c r="K4699" s="112" t="s">
        <v>1098</v>
      </c>
      <c r="L4699" s="116">
        <v>889.96</v>
      </c>
    </row>
    <row r="4700" spans="1:12" hidden="1" outlineLevel="1" collapsed="1" x14ac:dyDescent="0.35">
      <c r="A4700" s="112" t="s">
        <v>3616</v>
      </c>
      <c r="B4700" s="112" t="s">
        <v>918</v>
      </c>
      <c r="C4700" s="112" t="s">
        <v>695</v>
      </c>
      <c r="D4700" s="113">
        <v>10347948</v>
      </c>
      <c r="E4700" s="115">
        <v>43923</v>
      </c>
      <c r="F4700" s="114">
        <v>202101</v>
      </c>
      <c r="G4700" s="112" t="s">
        <v>1091</v>
      </c>
      <c r="H4700" s="112" t="s">
        <v>1015</v>
      </c>
      <c r="I4700" s="112" t="s">
        <v>777</v>
      </c>
      <c r="J4700" s="112" t="s">
        <v>3695</v>
      </c>
      <c r="K4700" s="112" t="s">
        <v>4000</v>
      </c>
      <c r="L4700" s="116">
        <v>-188.45</v>
      </c>
    </row>
    <row r="4701" spans="1:12" hidden="1" outlineLevel="1" collapsed="1" x14ac:dyDescent="0.35">
      <c r="A4701" s="112" t="s">
        <v>3616</v>
      </c>
      <c r="B4701" s="112" t="s">
        <v>918</v>
      </c>
      <c r="C4701" s="112" t="s">
        <v>1095</v>
      </c>
      <c r="D4701" s="113">
        <v>10348451</v>
      </c>
      <c r="E4701" s="115">
        <v>43949</v>
      </c>
      <c r="F4701" s="114">
        <v>202101</v>
      </c>
      <c r="G4701" s="112" t="s">
        <v>1091</v>
      </c>
      <c r="H4701" s="112" t="s">
        <v>1015</v>
      </c>
      <c r="I4701" s="112" t="s">
        <v>1101</v>
      </c>
      <c r="J4701" s="112" t="s">
        <v>3695</v>
      </c>
      <c r="K4701" s="112" t="s">
        <v>1098</v>
      </c>
      <c r="L4701" s="116">
        <v>152.28</v>
      </c>
    </row>
    <row r="4702" spans="1:12" hidden="1" outlineLevel="1" collapsed="1" x14ac:dyDescent="0.35">
      <c r="A4702" s="112" t="s">
        <v>3616</v>
      </c>
      <c r="B4702" s="112" t="s">
        <v>917</v>
      </c>
      <c r="C4702" s="112" t="s">
        <v>1095</v>
      </c>
      <c r="D4702" s="113">
        <v>10348451</v>
      </c>
      <c r="E4702" s="115">
        <v>43949</v>
      </c>
      <c r="F4702" s="114">
        <v>202101</v>
      </c>
      <c r="G4702" s="112" t="s">
        <v>1091</v>
      </c>
      <c r="H4702" s="112" t="s">
        <v>1015</v>
      </c>
      <c r="I4702" s="112" t="s">
        <v>1116</v>
      </c>
      <c r="J4702" s="112" t="s">
        <v>3781</v>
      </c>
      <c r="K4702" s="112" t="s">
        <v>1098</v>
      </c>
      <c r="L4702" s="116">
        <v>2906.98</v>
      </c>
    </row>
    <row r="4703" spans="1:12" hidden="1" outlineLevel="1" collapsed="1" x14ac:dyDescent="0.35">
      <c r="A4703" s="112" t="s">
        <v>3616</v>
      </c>
      <c r="B4703" s="112" t="s">
        <v>918</v>
      </c>
      <c r="C4703" s="112" t="s">
        <v>1266</v>
      </c>
      <c r="D4703" s="113">
        <v>1069329</v>
      </c>
      <c r="E4703" s="115">
        <v>43891</v>
      </c>
      <c r="F4703" s="114">
        <v>202101</v>
      </c>
      <c r="G4703" s="112" t="s">
        <v>1091</v>
      </c>
      <c r="H4703" s="112" t="s">
        <v>1015</v>
      </c>
      <c r="I4703" s="112" t="s">
        <v>765</v>
      </c>
      <c r="J4703" s="112" t="s">
        <v>3649</v>
      </c>
      <c r="K4703" s="112" t="s">
        <v>4001</v>
      </c>
      <c r="L4703" s="116">
        <v>15.5</v>
      </c>
    </row>
    <row r="4704" spans="1:12" hidden="1" outlineLevel="1" collapsed="1" x14ac:dyDescent="0.35">
      <c r="A4704" s="112" t="s">
        <v>3616</v>
      </c>
      <c r="B4704" s="112" t="s">
        <v>919</v>
      </c>
      <c r="C4704" s="112" t="s">
        <v>1095</v>
      </c>
      <c r="D4704" s="113">
        <v>10348451</v>
      </c>
      <c r="E4704" s="115">
        <v>43949</v>
      </c>
      <c r="F4704" s="114">
        <v>202101</v>
      </c>
      <c r="G4704" s="112" t="s">
        <v>1091</v>
      </c>
      <c r="H4704" s="112" t="s">
        <v>1015</v>
      </c>
      <c r="I4704" s="112" t="s">
        <v>1101</v>
      </c>
      <c r="J4704" s="112" t="s">
        <v>3624</v>
      </c>
      <c r="K4704" s="112" t="s">
        <v>1098</v>
      </c>
      <c r="L4704" s="116">
        <v>281.23</v>
      </c>
    </row>
    <row r="4705" spans="1:12" hidden="1" outlineLevel="1" collapsed="1" x14ac:dyDescent="0.35">
      <c r="A4705" s="112" t="s">
        <v>3616</v>
      </c>
      <c r="B4705" s="112" t="s">
        <v>917</v>
      </c>
      <c r="C4705" s="112" t="s">
        <v>1095</v>
      </c>
      <c r="D4705" s="113">
        <v>10348451</v>
      </c>
      <c r="E4705" s="115">
        <v>43949</v>
      </c>
      <c r="F4705" s="114">
        <v>202101</v>
      </c>
      <c r="G4705" s="112" t="s">
        <v>1091</v>
      </c>
      <c r="H4705" s="112" t="s">
        <v>1015</v>
      </c>
      <c r="I4705" s="112" t="s">
        <v>1116</v>
      </c>
      <c r="J4705" s="112" t="s">
        <v>3781</v>
      </c>
      <c r="K4705" s="112" t="s">
        <v>1098</v>
      </c>
      <c r="L4705" s="116">
        <v>1600.08</v>
      </c>
    </row>
    <row r="4706" spans="1:12" hidden="1" outlineLevel="1" collapsed="1" x14ac:dyDescent="0.35">
      <c r="A4706" s="112" t="s">
        <v>3616</v>
      </c>
      <c r="B4706" s="112" t="s">
        <v>923</v>
      </c>
      <c r="C4706" s="112" t="s">
        <v>1095</v>
      </c>
      <c r="D4706" s="113">
        <v>10348451</v>
      </c>
      <c r="E4706" s="115">
        <v>43949</v>
      </c>
      <c r="F4706" s="114">
        <v>202101</v>
      </c>
      <c r="G4706" s="112" t="s">
        <v>1091</v>
      </c>
      <c r="H4706" s="112" t="s">
        <v>1015</v>
      </c>
      <c r="I4706" s="112" t="s">
        <v>1096</v>
      </c>
      <c r="J4706" s="112" t="s">
        <v>3750</v>
      </c>
      <c r="K4706" s="112" t="s">
        <v>1098</v>
      </c>
      <c r="L4706" s="116">
        <v>1505.91</v>
      </c>
    </row>
    <row r="4707" spans="1:12" hidden="1" outlineLevel="1" collapsed="1" x14ac:dyDescent="0.35">
      <c r="A4707" s="112" t="s">
        <v>3616</v>
      </c>
      <c r="B4707" s="112" t="s">
        <v>922</v>
      </c>
      <c r="C4707" s="112" t="s">
        <v>1095</v>
      </c>
      <c r="D4707" s="113">
        <v>10348451</v>
      </c>
      <c r="E4707" s="115">
        <v>43949</v>
      </c>
      <c r="F4707" s="114">
        <v>202101</v>
      </c>
      <c r="G4707" s="112" t="s">
        <v>1091</v>
      </c>
      <c r="H4707" s="112" t="s">
        <v>1015</v>
      </c>
      <c r="I4707" s="112" t="s">
        <v>1101</v>
      </c>
      <c r="J4707" s="112" t="s">
        <v>3863</v>
      </c>
      <c r="K4707" s="112" t="s">
        <v>1098</v>
      </c>
      <c r="L4707" s="116">
        <v>199.78</v>
      </c>
    </row>
    <row r="4708" spans="1:12" hidden="1" outlineLevel="1" collapsed="1" x14ac:dyDescent="0.35">
      <c r="A4708" s="112" t="s">
        <v>3616</v>
      </c>
      <c r="B4708" s="112" t="s">
        <v>917</v>
      </c>
      <c r="C4708" s="112" t="s">
        <v>1095</v>
      </c>
      <c r="D4708" s="113">
        <v>10348451</v>
      </c>
      <c r="E4708" s="115">
        <v>43949</v>
      </c>
      <c r="F4708" s="114">
        <v>202101</v>
      </c>
      <c r="G4708" s="112" t="s">
        <v>1091</v>
      </c>
      <c r="H4708" s="112" t="s">
        <v>1015</v>
      </c>
      <c r="I4708" s="112" t="s">
        <v>1116</v>
      </c>
      <c r="J4708" s="112" t="s">
        <v>3781</v>
      </c>
      <c r="K4708" s="112" t="s">
        <v>1098</v>
      </c>
      <c r="L4708" s="116">
        <v>3391.33</v>
      </c>
    </row>
    <row r="4709" spans="1:12" hidden="1" outlineLevel="1" collapsed="1" x14ac:dyDescent="0.35">
      <c r="A4709" s="112" t="s">
        <v>3616</v>
      </c>
      <c r="B4709" s="112" t="s">
        <v>919</v>
      </c>
      <c r="C4709" s="112" t="s">
        <v>695</v>
      </c>
      <c r="D4709" s="113">
        <v>10347981</v>
      </c>
      <c r="E4709" s="115">
        <v>43924</v>
      </c>
      <c r="F4709" s="114">
        <v>202101</v>
      </c>
      <c r="G4709" s="112" t="s">
        <v>1091</v>
      </c>
      <c r="H4709" s="112" t="s">
        <v>1015</v>
      </c>
      <c r="I4709" s="112" t="s">
        <v>2495</v>
      </c>
      <c r="J4709" s="112" t="s">
        <v>3632</v>
      </c>
      <c r="K4709" s="112" t="s">
        <v>4002</v>
      </c>
      <c r="L4709" s="116">
        <v>-157.5</v>
      </c>
    </row>
    <row r="4710" spans="1:12" hidden="1" outlineLevel="1" collapsed="1" x14ac:dyDescent="0.35">
      <c r="A4710" s="112" t="s">
        <v>3616</v>
      </c>
      <c r="B4710" s="112" t="s">
        <v>919</v>
      </c>
      <c r="C4710" s="112" t="s">
        <v>695</v>
      </c>
      <c r="D4710" s="113">
        <v>10347981</v>
      </c>
      <c r="E4710" s="115">
        <v>43924</v>
      </c>
      <c r="F4710" s="114">
        <v>202101</v>
      </c>
      <c r="G4710" s="112" t="s">
        <v>1091</v>
      </c>
      <c r="H4710" s="112" t="s">
        <v>1015</v>
      </c>
      <c r="I4710" s="112" t="s">
        <v>1643</v>
      </c>
      <c r="J4710" s="112" t="s">
        <v>3628</v>
      </c>
      <c r="K4710" s="112" t="s">
        <v>4003</v>
      </c>
      <c r="L4710" s="116">
        <v>-42.13</v>
      </c>
    </row>
    <row r="4711" spans="1:12" hidden="1" outlineLevel="1" collapsed="1" x14ac:dyDescent="0.35">
      <c r="A4711" s="112" t="s">
        <v>3616</v>
      </c>
      <c r="B4711" s="112" t="s">
        <v>921</v>
      </c>
      <c r="C4711" s="112" t="s">
        <v>695</v>
      </c>
      <c r="D4711" s="113">
        <v>10347981</v>
      </c>
      <c r="E4711" s="115">
        <v>43924</v>
      </c>
      <c r="F4711" s="114">
        <v>202101</v>
      </c>
      <c r="G4711" s="112" t="s">
        <v>1091</v>
      </c>
      <c r="H4711" s="112" t="s">
        <v>1015</v>
      </c>
      <c r="I4711" s="112" t="s">
        <v>2693</v>
      </c>
      <c r="J4711" s="112" t="s">
        <v>3620</v>
      </c>
      <c r="K4711" s="112" t="s">
        <v>4004</v>
      </c>
      <c r="L4711" s="116">
        <v>-100</v>
      </c>
    </row>
    <row r="4712" spans="1:12" hidden="1" outlineLevel="1" collapsed="1" x14ac:dyDescent="0.35">
      <c r="A4712" s="112" t="s">
        <v>3616</v>
      </c>
      <c r="B4712" s="112" t="s">
        <v>918</v>
      </c>
      <c r="C4712" s="112" t="s">
        <v>695</v>
      </c>
      <c r="D4712" s="113">
        <v>10347981</v>
      </c>
      <c r="E4712" s="115">
        <v>43924</v>
      </c>
      <c r="F4712" s="114">
        <v>202101</v>
      </c>
      <c r="G4712" s="112" t="s">
        <v>1091</v>
      </c>
      <c r="H4712" s="112" t="s">
        <v>1015</v>
      </c>
      <c r="I4712" s="112" t="s">
        <v>2591</v>
      </c>
      <c r="J4712" s="112" t="s">
        <v>3695</v>
      </c>
      <c r="K4712" s="112" t="s">
        <v>4005</v>
      </c>
      <c r="L4712" s="116">
        <v>-50.39</v>
      </c>
    </row>
    <row r="4713" spans="1:12" hidden="1" outlineLevel="1" collapsed="1" x14ac:dyDescent="0.35">
      <c r="A4713" s="112" t="s">
        <v>3616</v>
      </c>
      <c r="B4713" s="112" t="s">
        <v>920</v>
      </c>
      <c r="C4713" s="112" t="s">
        <v>695</v>
      </c>
      <c r="D4713" s="113">
        <v>10347981</v>
      </c>
      <c r="E4713" s="115">
        <v>43924</v>
      </c>
      <c r="F4713" s="114">
        <v>202101</v>
      </c>
      <c r="G4713" s="112" t="s">
        <v>1091</v>
      </c>
      <c r="H4713" s="112" t="s">
        <v>1015</v>
      </c>
      <c r="I4713" s="112" t="s">
        <v>761</v>
      </c>
      <c r="J4713" s="112" t="s">
        <v>3755</v>
      </c>
      <c r="K4713" s="112" t="s">
        <v>4006</v>
      </c>
      <c r="L4713" s="116">
        <v>-56</v>
      </c>
    </row>
    <row r="4714" spans="1:12" hidden="1" outlineLevel="1" collapsed="1" x14ac:dyDescent="0.35">
      <c r="A4714" s="112" t="s">
        <v>3616</v>
      </c>
      <c r="B4714" s="112" t="s">
        <v>920</v>
      </c>
      <c r="C4714" s="112" t="s">
        <v>695</v>
      </c>
      <c r="D4714" s="113">
        <v>10347981</v>
      </c>
      <c r="E4714" s="115">
        <v>43924</v>
      </c>
      <c r="F4714" s="114">
        <v>202101</v>
      </c>
      <c r="G4714" s="112" t="s">
        <v>1091</v>
      </c>
      <c r="H4714" s="112" t="s">
        <v>1015</v>
      </c>
      <c r="I4714" s="112" t="s">
        <v>1182</v>
      </c>
      <c r="J4714" s="112" t="s">
        <v>3755</v>
      </c>
      <c r="K4714" s="112" t="s">
        <v>4007</v>
      </c>
      <c r="L4714" s="116">
        <v>-229.8</v>
      </c>
    </row>
    <row r="4715" spans="1:12" hidden="1" outlineLevel="1" collapsed="1" x14ac:dyDescent="0.35">
      <c r="A4715" s="112" t="s">
        <v>3616</v>
      </c>
      <c r="B4715" s="112" t="s">
        <v>921</v>
      </c>
      <c r="C4715" s="112" t="s">
        <v>695</v>
      </c>
      <c r="D4715" s="113">
        <v>10347981</v>
      </c>
      <c r="E4715" s="115">
        <v>43924</v>
      </c>
      <c r="F4715" s="114">
        <v>202101</v>
      </c>
      <c r="G4715" s="112" t="s">
        <v>1091</v>
      </c>
      <c r="H4715" s="112" t="s">
        <v>1015</v>
      </c>
      <c r="I4715" s="112" t="s">
        <v>2591</v>
      </c>
      <c r="J4715" s="112" t="s">
        <v>3620</v>
      </c>
      <c r="K4715" s="112" t="s">
        <v>4008</v>
      </c>
      <c r="L4715" s="116">
        <v>-11.59</v>
      </c>
    </row>
    <row r="4716" spans="1:12" hidden="1" outlineLevel="1" collapsed="1" x14ac:dyDescent="0.35">
      <c r="A4716" s="112" t="s">
        <v>3616</v>
      </c>
      <c r="B4716" s="112" t="s">
        <v>920</v>
      </c>
      <c r="C4716" s="112" t="s">
        <v>695</v>
      </c>
      <c r="D4716" s="113">
        <v>10347981</v>
      </c>
      <c r="E4716" s="115">
        <v>43924</v>
      </c>
      <c r="F4716" s="114">
        <v>202101</v>
      </c>
      <c r="G4716" s="112" t="s">
        <v>1091</v>
      </c>
      <c r="H4716" s="112" t="s">
        <v>1015</v>
      </c>
      <c r="I4716" s="112" t="s">
        <v>761</v>
      </c>
      <c r="J4716" s="112" t="s">
        <v>3755</v>
      </c>
      <c r="K4716" s="112" t="s">
        <v>4009</v>
      </c>
      <c r="L4716" s="116">
        <v>-140</v>
      </c>
    </row>
    <row r="4717" spans="1:12" hidden="1" outlineLevel="1" collapsed="1" x14ac:dyDescent="0.35">
      <c r="A4717" s="112" t="s">
        <v>3616</v>
      </c>
      <c r="B4717" s="112" t="s">
        <v>919</v>
      </c>
      <c r="C4717" s="112" t="s">
        <v>695</v>
      </c>
      <c r="D4717" s="113">
        <v>10347981</v>
      </c>
      <c r="E4717" s="115">
        <v>43924</v>
      </c>
      <c r="F4717" s="114">
        <v>202101</v>
      </c>
      <c r="G4717" s="112" t="s">
        <v>1091</v>
      </c>
      <c r="H4717" s="112" t="s">
        <v>1015</v>
      </c>
      <c r="I4717" s="112" t="s">
        <v>1124</v>
      </c>
      <c r="J4717" s="112" t="s">
        <v>3617</v>
      </c>
      <c r="K4717" s="112" t="s">
        <v>4010</v>
      </c>
      <c r="L4717" s="116">
        <v>-228.17</v>
      </c>
    </row>
    <row r="4718" spans="1:12" hidden="1" outlineLevel="1" collapsed="1" x14ac:dyDescent="0.35">
      <c r="A4718" s="112" t="s">
        <v>3616</v>
      </c>
      <c r="B4718" s="112" t="s">
        <v>919</v>
      </c>
      <c r="C4718" s="112" t="s">
        <v>1095</v>
      </c>
      <c r="D4718" s="113">
        <v>10348451</v>
      </c>
      <c r="E4718" s="115">
        <v>43949</v>
      </c>
      <c r="F4718" s="114">
        <v>202101</v>
      </c>
      <c r="G4718" s="112" t="s">
        <v>1091</v>
      </c>
      <c r="H4718" s="112" t="s">
        <v>1015</v>
      </c>
      <c r="I4718" s="112" t="s">
        <v>1116</v>
      </c>
      <c r="J4718" s="112" t="s">
        <v>3617</v>
      </c>
      <c r="K4718" s="112" t="s">
        <v>1098</v>
      </c>
      <c r="L4718" s="116">
        <v>903.65</v>
      </c>
    </row>
    <row r="4719" spans="1:12" hidden="1" outlineLevel="1" collapsed="1" x14ac:dyDescent="0.35">
      <c r="A4719" s="112" t="s">
        <v>3616</v>
      </c>
      <c r="B4719" s="112" t="s">
        <v>922</v>
      </c>
      <c r="C4719" s="112" t="s">
        <v>695</v>
      </c>
      <c r="D4719" s="113">
        <v>10347981</v>
      </c>
      <c r="E4719" s="115">
        <v>43924</v>
      </c>
      <c r="F4719" s="114">
        <v>202101</v>
      </c>
      <c r="G4719" s="112" t="s">
        <v>1091</v>
      </c>
      <c r="H4719" s="112" t="s">
        <v>1015</v>
      </c>
      <c r="I4719" s="112" t="s">
        <v>3742</v>
      </c>
      <c r="J4719" s="112" t="s">
        <v>3784</v>
      </c>
      <c r="K4719" s="112" t="s">
        <v>4011</v>
      </c>
      <c r="L4719" s="116">
        <v>-13.83</v>
      </c>
    </row>
    <row r="4720" spans="1:12" hidden="1" outlineLevel="1" collapsed="1" x14ac:dyDescent="0.35">
      <c r="A4720" s="112" t="s">
        <v>3616</v>
      </c>
      <c r="B4720" s="112" t="s">
        <v>919</v>
      </c>
      <c r="C4720" s="112" t="s">
        <v>695</v>
      </c>
      <c r="D4720" s="113">
        <v>10347981</v>
      </c>
      <c r="E4720" s="115">
        <v>43924</v>
      </c>
      <c r="F4720" s="114">
        <v>202101</v>
      </c>
      <c r="G4720" s="112" t="s">
        <v>1091</v>
      </c>
      <c r="H4720" s="112" t="s">
        <v>1015</v>
      </c>
      <c r="I4720" s="112" t="s">
        <v>1182</v>
      </c>
      <c r="J4720" s="112" t="s">
        <v>3624</v>
      </c>
      <c r="K4720" s="112" t="s">
        <v>4012</v>
      </c>
      <c r="L4720" s="116">
        <v>-103.07</v>
      </c>
    </row>
    <row r="4721" spans="1:12" hidden="1" outlineLevel="1" collapsed="1" x14ac:dyDescent="0.35">
      <c r="A4721" s="112" t="s">
        <v>3616</v>
      </c>
      <c r="B4721" s="112" t="s">
        <v>919</v>
      </c>
      <c r="C4721" s="112" t="s">
        <v>1095</v>
      </c>
      <c r="D4721" s="113">
        <v>10348451</v>
      </c>
      <c r="E4721" s="115">
        <v>43949</v>
      </c>
      <c r="F4721" s="114">
        <v>202101</v>
      </c>
      <c r="G4721" s="112" t="s">
        <v>1091</v>
      </c>
      <c r="H4721" s="112" t="s">
        <v>1015</v>
      </c>
      <c r="I4721" s="112" t="s">
        <v>1116</v>
      </c>
      <c r="J4721" s="112" t="s">
        <v>3617</v>
      </c>
      <c r="K4721" s="112" t="s">
        <v>1098</v>
      </c>
      <c r="L4721" s="116">
        <v>2631.25</v>
      </c>
    </row>
    <row r="4722" spans="1:12" hidden="1" outlineLevel="1" collapsed="1" x14ac:dyDescent="0.35">
      <c r="A4722" s="112" t="s">
        <v>3616</v>
      </c>
      <c r="B4722" s="112" t="s">
        <v>919</v>
      </c>
      <c r="C4722" s="112" t="s">
        <v>1095</v>
      </c>
      <c r="D4722" s="113">
        <v>10348451</v>
      </c>
      <c r="E4722" s="115">
        <v>43949</v>
      </c>
      <c r="F4722" s="114">
        <v>202101</v>
      </c>
      <c r="G4722" s="112" t="s">
        <v>1091</v>
      </c>
      <c r="H4722" s="112" t="s">
        <v>1015</v>
      </c>
      <c r="I4722" s="112" t="s">
        <v>1116</v>
      </c>
      <c r="J4722" s="112" t="s">
        <v>3632</v>
      </c>
      <c r="K4722" s="112" t="s">
        <v>1098</v>
      </c>
      <c r="L4722" s="116">
        <v>2631.25</v>
      </c>
    </row>
    <row r="4723" spans="1:12" hidden="1" outlineLevel="1" collapsed="1" x14ac:dyDescent="0.35">
      <c r="A4723" s="112" t="s">
        <v>3616</v>
      </c>
      <c r="B4723" s="112" t="s">
        <v>922</v>
      </c>
      <c r="C4723" s="112" t="s">
        <v>695</v>
      </c>
      <c r="D4723" s="113">
        <v>10347981</v>
      </c>
      <c r="E4723" s="115">
        <v>43924</v>
      </c>
      <c r="F4723" s="114">
        <v>202101</v>
      </c>
      <c r="G4723" s="112" t="s">
        <v>1091</v>
      </c>
      <c r="H4723" s="112" t="s">
        <v>1015</v>
      </c>
      <c r="I4723" s="112" t="s">
        <v>761</v>
      </c>
      <c r="J4723" s="112" t="s">
        <v>3791</v>
      </c>
      <c r="K4723" s="112" t="s">
        <v>4013</v>
      </c>
      <c r="L4723" s="116">
        <v>-320</v>
      </c>
    </row>
    <row r="4724" spans="1:12" hidden="1" outlineLevel="1" collapsed="1" x14ac:dyDescent="0.35">
      <c r="A4724" s="112" t="s">
        <v>3616</v>
      </c>
      <c r="B4724" s="112" t="s">
        <v>921</v>
      </c>
      <c r="C4724" s="112" t="s">
        <v>695</v>
      </c>
      <c r="D4724" s="113">
        <v>10347981</v>
      </c>
      <c r="E4724" s="115">
        <v>43924</v>
      </c>
      <c r="F4724" s="114">
        <v>202101</v>
      </c>
      <c r="G4724" s="112" t="s">
        <v>1091</v>
      </c>
      <c r="H4724" s="112" t="s">
        <v>1015</v>
      </c>
      <c r="I4724" s="112" t="s">
        <v>1182</v>
      </c>
      <c r="J4724" s="112" t="s">
        <v>3620</v>
      </c>
      <c r="K4724" s="112" t="s">
        <v>4014</v>
      </c>
      <c r="L4724" s="116">
        <v>-525</v>
      </c>
    </row>
    <row r="4725" spans="1:12" hidden="1" outlineLevel="1" collapsed="1" x14ac:dyDescent="0.35">
      <c r="A4725" s="112" t="s">
        <v>3616</v>
      </c>
      <c r="B4725" s="112" t="s">
        <v>919</v>
      </c>
      <c r="C4725" s="112" t="s">
        <v>1095</v>
      </c>
      <c r="D4725" s="113">
        <v>10348451</v>
      </c>
      <c r="E4725" s="115">
        <v>43949</v>
      </c>
      <c r="F4725" s="114">
        <v>202101</v>
      </c>
      <c r="G4725" s="112" t="s">
        <v>1091</v>
      </c>
      <c r="H4725" s="112" t="s">
        <v>1015</v>
      </c>
      <c r="I4725" s="112" t="s">
        <v>1116</v>
      </c>
      <c r="J4725" s="112" t="s">
        <v>3632</v>
      </c>
      <c r="K4725" s="112" t="s">
        <v>1098</v>
      </c>
      <c r="L4725" s="116">
        <v>1736.63</v>
      </c>
    </row>
    <row r="4726" spans="1:12" hidden="1" outlineLevel="1" collapsed="1" x14ac:dyDescent="0.35">
      <c r="A4726" s="112" t="s">
        <v>3616</v>
      </c>
      <c r="B4726" s="112" t="s">
        <v>919</v>
      </c>
      <c r="C4726" s="112" t="s">
        <v>1095</v>
      </c>
      <c r="D4726" s="113">
        <v>10348451</v>
      </c>
      <c r="E4726" s="115">
        <v>43949</v>
      </c>
      <c r="F4726" s="114">
        <v>202101</v>
      </c>
      <c r="G4726" s="112" t="s">
        <v>1091</v>
      </c>
      <c r="H4726" s="112" t="s">
        <v>1015</v>
      </c>
      <c r="I4726" s="112" t="s">
        <v>1116</v>
      </c>
      <c r="J4726" s="112" t="s">
        <v>3632</v>
      </c>
      <c r="K4726" s="112" t="s">
        <v>1098</v>
      </c>
      <c r="L4726" s="116">
        <v>1083.06</v>
      </c>
    </row>
    <row r="4727" spans="1:12" hidden="1" outlineLevel="1" collapsed="1" x14ac:dyDescent="0.35">
      <c r="A4727" s="112" t="s">
        <v>3616</v>
      </c>
      <c r="B4727" s="112" t="s">
        <v>919</v>
      </c>
      <c r="C4727" s="112" t="s">
        <v>1095</v>
      </c>
      <c r="D4727" s="113">
        <v>10348451</v>
      </c>
      <c r="E4727" s="115">
        <v>43949</v>
      </c>
      <c r="F4727" s="114">
        <v>202101</v>
      </c>
      <c r="G4727" s="112" t="s">
        <v>1091</v>
      </c>
      <c r="H4727" s="112" t="s">
        <v>1015</v>
      </c>
      <c r="I4727" s="112" t="s">
        <v>1116</v>
      </c>
      <c r="J4727" s="112" t="s">
        <v>3632</v>
      </c>
      <c r="K4727" s="112" t="s">
        <v>1098</v>
      </c>
      <c r="L4727" s="116">
        <v>716.5</v>
      </c>
    </row>
    <row r="4728" spans="1:12" hidden="1" outlineLevel="1" collapsed="1" x14ac:dyDescent="0.35">
      <c r="A4728" s="112" t="s">
        <v>3616</v>
      </c>
      <c r="B4728" s="112" t="s">
        <v>919</v>
      </c>
      <c r="C4728" s="112" t="s">
        <v>1095</v>
      </c>
      <c r="D4728" s="113">
        <v>10348451</v>
      </c>
      <c r="E4728" s="115">
        <v>43949</v>
      </c>
      <c r="F4728" s="114">
        <v>202101</v>
      </c>
      <c r="G4728" s="112" t="s">
        <v>1091</v>
      </c>
      <c r="H4728" s="112" t="s">
        <v>1015</v>
      </c>
      <c r="I4728" s="112" t="s">
        <v>1116</v>
      </c>
      <c r="J4728" s="112" t="s">
        <v>3624</v>
      </c>
      <c r="K4728" s="112" t="s">
        <v>1098</v>
      </c>
      <c r="L4728" s="116">
        <v>1051.04</v>
      </c>
    </row>
    <row r="4729" spans="1:12" hidden="1" outlineLevel="1" collapsed="1" x14ac:dyDescent="0.35">
      <c r="A4729" s="112" t="s">
        <v>3616</v>
      </c>
      <c r="B4729" s="112" t="s">
        <v>921</v>
      </c>
      <c r="C4729" s="112" t="s">
        <v>695</v>
      </c>
      <c r="D4729" s="113">
        <v>10347981</v>
      </c>
      <c r="E4729" s="115">
        <v>43924</v>
      </c>
      <c r="F4729" s="114">
        <v>202101</v>
      </c>
      <c r="G4729" s="112" t="s">
        <v>1091</v>
      </c>
      <c r="H4729" s="112" t="s">
        <v>1015</v>
      </c>
      <c r="I4729" s="112" t="s">
        <v>2693</v>
      </c>
      <c r="J4729" s="112" t="s">
        <v>3620</v>
      </c>
      <c r="K4729" s="112" t="s">
        <v>4004</v>
      </c>
      <c r="L4729" s="116">
        <v>-100</v>
      </c>
    </row>
    <row r="4730" spans="1:12" hidden="1" outlineLevel="1" collapsed="1" x14ac:dyDescent="0.35">
      <c r="A4730" s="112" t="s">
        <v>3616</v>
      </c>
      <c r="B4730" s="112" t="s">
        <v>922</v>
      </c>
      <c r="C4730" s="112" t="s">
        <v>1095</v>
      </c>
      <c r="D4730" s="113">
        <v>10348451</v>
      </c>
      <c r="E4730" s="115">
        <v>43949</v>
      </c>
      <c r="F4730" s="114">
        <v>202101</v>
      </c>
      <c r="G4730" s="112" t="s">
        <v>1091</v>
      </c>
      <c r="H4730" s="112" t="s">
        <v>1015</v>
      </c>
      <c r="I4730" s="112" t="s">
        <v>1101</v>
      </c>
      <c r="J4730" s="112" t="s">
        <v>3691</v>
      </c>
      <c r="K4730" s="112" t="s">
        <v>1098</v>
      </c>
      <c r="L4730" s="116">
        <v>602.15</v>
      </c>
    </row>
    <row r="4731" spans="1:12" hidden="1" outlineLevel="1" collapsed="1" x14ac:dyDescent="0.35">
      <c r="A4731" s="112" t="s">
        <v>3616</v>
      </c>
      <c r="B4731" s="112" t="s">
        <v>919</v>
      </c>
      <c r="C4731" s="112" t="s">
        <v>1095</v>
      </c>
      <c r="D4731" s="113">
        <v>10348451</v>
      </c>
      <c r="E4731" s="115">
        <v>43949</v>
      </c>
      <c r="F4731" s="114">
        <v>202101</v>
      </c>
      <c r="G4731" s="112" t="s">
        <v>1091</v>
      </c>
      <c r="H4731" s="112" t="s">
        <v>1015</v>
      </c>
      <c r="I4731" s="112" t="s">
        <v>1116</v>
      </c>
      <c r="J4731" s="112" t="s">
        <v>3624</v>
      </c>
      <c r="K4731" s="112" t="s">
        <v>1098</v>
      </c>
      <c r="L4731" s="116">
        <v>1101.49</v>
      </c>
    </row>
    <row r="4732" spans="1:12" hidden="1" outlineLevel="1" collapsed="1" x14ac:dyDescent="0.35">
      <c r="A4732" s="112" t="s">
        <v>3616</v>
      </c>
      <c r="B4732" s="112" t="s">
        <v>921</v>
      </c>
      <c r="C4732" s="112" t="s">
        <v>695</v>
      </c>
      <c r="D4732" s="113">
        <v>10347981</v>
      </c>
      <c r="E4732" s="115">
        <v>43924</v>
      </c>
      <c r="F4732" s="114">
        <v>202101</v>
      </c>
      <c r="G4732" s="112" t="s">
        <v>1091</v>
      </c>
      <c r="H4732" s="112" t="s">
        <v>1015</v>
      </c>
      <c r="I4732" s="112" t="s">
        <v>2495</v>
      </c>
      <c r="J4732" s="112" t="s">
        <v>3620</v>
      </c>
      <c r="K4732" s="112" t="s">
        <v>4015</v>
      </c>
      <c r="L4732" s="116">
        <v>-240</v>
      </c>
    </row>
    <row r="4733" spans="1:12" hidden="1" outlineLevel="1" collapsed="1" x14ac:dyDescent="0.35">
      <c r="A4733" s="112" t="s">
        <v>3616</v>
      </c>
      <c r="B4733" s="112" t="s">
        <v>918</v>
      </c>
      <c r="C4733" s="112" t="s">
        <v>695</v>
      </c>
      <c r="D4733" s="113">
        <v>10347981</v>
      </c>
      <c r="E4733" s="115">
        <v>43924</v>
      </c>
      <c r="F4733" s="114">
        <v>202101</v>
      </c>
      <c r="G4733" s="112" t="s">
        <v>1091</v>
      </c>
      <c r="H4733" s="112" t="s">
        <v>1015</v>
      </c>
      <c r="I4733" s="112" t="s">
        <v>1092</v>
      </c>
      <c r="J4733" s="112" t="s">
        <v>3695</v>
      </c>
      <c r="K4733" s="112" t="s">
        <v>1451</v>
      </c>
      <c r="L4733" s="116">
        <v>-51</v>
      </c>
    </row>
    <row r="4734" spans="1:12" hidden="1" outlineLevel="1" collapsed="1" x14ac:dyDescent="0.35">
      <c r="A4734" s="112" t="s">
        <v>3616</v>
      </c>
      <c r="B4734" s="112" t="s">
        <v>919</v>
      </c>
      <c r="C4734" s="112" t="s">
        <v>1095</v>
      </c>
      <c r="D4734" s="113">
        <v>10348451</v>
      </c>
      <c r="E4734" s="115">
        <v>43949</v>
      </c>
      <c r="F4734" s="114">
        <v>202101</v>
      </c>
      <c r="G4734" s="112" t="s">
        <v>1091</v>
      </c>
      <c r="H4734" s="112" t="s">
        <v>1015</v>
      </c>
      <c r="I4734" s="112" t="s">
        <v>1116</v>
      </c>
      <c r="J4734" s="112" t="s">
        <v>3624</v>
      </c>
      <c r="K4734" s="112" t="s">
        <v>1098</v>
      </c>
      <c r="L4734" s="116">
        <v>451.82</v>
      </c>
    </row>
    <row r="4735" spans="1:12" hidden="1" outlineLevel="1" collapsed="1" x14ac:dyDescent="0.35">
      <c r="A4735" s="112" t="s">
        <v>3616</v>
      </c>
      <c r="B4735" s="112" t="s">
        <v>919</v>
      </c>
      <c r="C4735" s="112" t="s">
        <v>1095</v>
      </c>
      <c r="D4735" s="113">
        <v>10348451</v>
      </c>
      <c r="E4735" s="115">
        <v>43949</v>
      </c>
      <c r="F4735" s="114">
        <v>202101</v>
      </c>
      <c r="G4735" s="112" t="s">
        <v>1091</v>
      </c>
      <c r="H4735" s="112" t="s">
        <v>1015</v>
      </c>
      <c r="I4735" s="112" t="s">
        <v>1116</v>
      </c>
      <c r="J4735" s="112" t="s">
        <v>3624</v>
      </c>
      <c r="K4735" s="112" t="s">
        <v>1098</v>
      </c>
      <c r="L4735" s="116">
        <v>893.38</v>
      </c>
    </row>
    <row r="4736" spans="1:12" hidden="1" outlineLevel="1" collapsed="1" x14ac:dyDescent="0.35">
      <c r="A4736" s="112" t="s">
        <v>3616</v>
      </c>
      <c r="B4736" s="112" t="s">
        <v>921</v>
      </c>
      <c r="C4736" s="112" t="s">
        <v>695</v>
      </c>
      <c r="D4736" s="113">
        <v>10347981</v>
      </c>
      <c r="E4736" s="115">
        <v>43924</v>
      </c>
      <c r="F4736" s="114">
        <v>202101</v>
      </c>
      <c r="G4736" s="112" t="s">
        <v>1091</v>
      </c>
      <c r="H4736" s="112" t="s">
        <v>1015</v>
      </c>
      <c r="I4736" s="112" t="s">
        <v>2591</v>
      </c>
      <c r="J4736" s="112" t="s">
        <v>3620</v>
      </c>
      <c r="K4736" s="112" t="s">
        <v>4008</v>
      </c>
      <c r="L4736" s="116">
        <v>-11.59</v>
      </c>
    </row>
    <row r="4737" spans="1:12" hidden="1" outlineLevel="1" collapsed="1" x14ac:dyDescent="0.35">
      <c r="A4737" s="112" t="s">
        <v>3616</v>
      </c>
      <c r="B4737" s="112" t="s">
        <v>919</v>
      </c>
      <c r="C4737" s="112" t="s">
        <v>1095</v>
      </c>
      <c r="D4737" s="113">
        <v>10348451</v>
      </c>
      <c r="E4737" s="115">
        <v>43949</v>
      </c>
      <c r="F4737" s="114">
        <v>202101</v>
      </c>
      <c r="G4737" s="112" t="s">
        <v>1091</v>
      </c>
      <c r="H4737" s="112" t="s">
        <v>1015</v>
      </c>
      <c r="I4737" s="112" t="s">
        <v>1116</v>
      </c>
      <c r="J4737" s="112" t="s">
        <v>3624</v>
      </c>
      <c r="K4737" s="112" t="s">
        <v>1098</v>
      </c>
      <c r="L4737" s="116">
        <v>2631.25</v>
      </c>
    </row>
    <row r="4738" spans="1:12" hidden="1" outlineLevel="1" collapsed="1" x14ac:dyDescent="0.35">
      <c r="A4738" s="112" t="s">
        <v>3616</v>
      </c>
      <c r="B4738" s="112" t="s">
        <v>919</v>
      </c>
      <c r="C4738" s="112" t="s">
        <v>1095</v>
      </c>
      <c r="D4738" s="113">
        <v>10348451</v>
      </c>
      <c r="E4738" s="115">
        <v>43949</v>
      </c>
      <c r="F4738" s="114">
        <v>202101</v>
      </c>
      <c r="G4738" s="112" t="s">
        <v>1091</v>
      </c>
      <c r="H4738" s="112" t="s">
        <v>1015</v>
      </c>
      <c r="I4738" s="112" t="s">
        <v>1101</v>
      </c>
      <c r="J4738" s="112" t="s">
        <v>3624</v>
      </c>
      <c r="K4738" s="112" t="s">
        <v>1098</v>
      </c>
      <c r="L4738" s="116">
        <v>73.19</v>
      </c>
    </row>
    <row r="4739" spans="1:12" hidden="1" outlineLevel="1" collapsed="1" x14ac:dyDescent="0.35">
      <c r="A4739" s="112" t="s">
        <v>3616</v>
      </c>
      <c r="B4739" s="112" t="s">
        <v>921</v>
      </c>
      <c r="C4739" s="112" t="s">
        <v>695</v>
      </c>
      <c r="D4739" s="113">
        <v>10347981</v>
      </c>
      <c r="E4739" s="115">
        <v>43924</v>
      </c>
      <c r="F4739" s="114">
        <v>202101</v>
      </c>
      <c r="G4739" s="112" t="s">
        <v>1091</v>
      </c>
      <c r="H4739" s="112" t="s">
        <v>1015</v>
      </c>
      <c r="I4739" s="112" t="s">
        <v>1643</v>
      </c>
      <c r="J4739" s="112" t="s">
        <v>3620</v>
      </c>
      <c r="K4739" s="112" t="s">
        <v>4016</v>
      </c>
      <c r="L4739" s="116">
        <v>-54</v>
      </c>
    </row>
    <row r="4740" spans="1:12" hidden="1" outlineLevel="1" collapsed="1" x14ac:dyDescent="0.35">
      <c r="A4740" s="112" t="s">
        <v>3616</v>
      </c>
      <c r="B4740" s="112" t="s">
        <v>922</v>
      </c>
      <c r="C4740" s="112" t="s">
        <v>695</v>
      </c>
      <c r="D4740" s="113">
        <v>10347981</v>
      </c>
      <c r="E4740" s="115">
        <v>43924</v>
      </c>
      <c r="F4740" s="114">
        <v>202101</v>
      </c>
      <c r="G4740" s="112" t="s">
        <v>1091</v>
      </c>
      <c r="H4740" s="112" t="s">
        <v>1015</v>
      </c>
      <c r="I4740" s="112" t="s">
        <v>761</v>
      </c>
      <c r="J4740" s="112" t="s">
        <v>3766</v>
      </c>
      <c r="K4740" s="112" t="s">
        <v>4017</v>
      </c>
      <c r="L4740" s="116">
        <v>-480</v>
      </c>
    </row>
    <row r="4741" spans="1:12" hidden="1" outlineLevel="1" collapsed="1" x14ac:dyDescent="0.35">
      <c r="A4741" s="112" t="s">
        <v>3616</v>
      </c>
      <c r="B4741" s="112" t="s">
        <v>919</v>
      </c>
      <c r="C4741" s="112" t="s">
        <v>1095</v>
      </c>
      <c r="D4741" s="113">
        <v>10348451</v>
      </c>
      <c r="E4741" s="115">
        <v>43949</v>
      </c>
      <c r="F4741" s="114">
        <v>202101</v>
      </c>
      <c r="G4741" s="112" t="s">
        <v>1091</v>
      </c>
      <c r="H4741" s="112" t="s">
        <v>1015</v>
      </c>
      <c r="I4741" s="112" t="s">
        <v>1116</v>
      </c>
      <c r="J4741" s="112" t="s">
        <v>3624</v>
      </c>
      <c r="K4741" s="112" t="s">
        <v>1098</v>
      </c>
      <c r="L4741" s="116">
        <v>2631.25</v>
      </c>
    </row>
    <row r="4742" spans="1:12" hidden="1" outlineLevel="1" collapsed="1" x14ac:dyDescent="0.35">
      <c r="A4742" s="112" t="s">
        <v>3616</v>
      </c>
      <c r="B4742" s="112" t="s">
        <v>919</v>
      </c>
      <c r="C4742" s="112" t="s">
        <v>1095</v>
      </c>
      <c r="D4742" s="113">
        <v>10348451</v>
      </c>
      <c r="E4742" s="115">
        <v>43949</v>
      </c>
      <c r="F4742" s="114">
        <v>202101</v>
      </c>
      <c r="G4742" s="112" t="s">
        <v>1091</v>
      </c>
      <c r="H4742" s="112" t="s">
        <v>1015</v>
      </c>
      <c r="I4742" s="112" t="s">
        <v>1116</v>
      </c>
      <c r="J4742" s="112" t="s">
        <v>3624</v>
      </c>
      <c r="K4742" s="112" t="s">
        <v>1098</v>
      </c>
      <c r="L4742" s="116">
        <v>809.82</v>
      </c>
    </row>
    <row r="4743" spans="1:12" hidden="1" outlineLevel="1" collapsed="1" x14ac:dyDescent="0.35">
      <c r="A4743" s="112" t="s">
        <v>3616</v>
      </c>
      <c r="B4743" s="112" t="s">
        <v>919</v>
      </c>
      <c r="C4743" s="112" t="s">
        <v>1095</v>
      </c>
      <c r="D4743" s="113">
        <v>10348451</v>
      </c>
      <c r="E4743" s="115">
        <v>43949</v>
      </c>
      <c r="F4743" s="114">
        <v>202101</v>
      </c>
      <c r="G4743" s="112" t="s">
        <v>1091</v>
      </c>
      <c r="H4743" s="112" t="s">
        <v>1015</v>
      </c>
      <c r="I4743" s="112" t="s">
        <v>1116</v>
      </c>
      <c r="J4743" s="112" t="s">
        <v>3624</v>
      </c>
      <c r="K4743" s="112" t="s">
        <v>1098</v>
      </c>
      <c r="L4743" s="116">
        <v>2259.5</v>
      </c>
    </row>
    <row r="4744" spans="1:12" hidden="1" outlineLevel="1" collapsed="1" x14ac:dyDescent="0.35">
      <c r="A4744" s="112" t="s">
        <v>3616</v>
      </c>
      <c r="B4744" s="112" t="s">
        <v>919</v>
      </c>
      <c r="C4744" s="112" t="s">
        <v>1095</v>
      </c>
      <c r="D4744" s="113">
        <v>10348451</v>
      </c>
      <c r="E4744" s="115">
        <v>43949</v>
      </c>
      <c r="F4744" s="114">
        <v>202101</v>
      </c>
      <c r="G4744" s="112" t="s">
        <v>1091</v>
      </c>
      <c r="H4744" s="112" t="s">
        <v>1015</v>
      </c>
      <c r="I4744" s="112" t="s">
        <v>1116</v>
      </c>
      <c r="J4744" s="112" t="s">
        <v>3624</v>
      </c>
      <c r="K4744" s="112" t="s">
        <v>1098</v>
      </c>
      <c r="L4744" s="116">
        <v>387.9</v>
      </c>
    </row>
    <row r="4745" spans="1:12" hidden="1" outlineLevel="1" collapsed="1" x14ac:dyDescent="0.35">
      <c r="A4745" s="112" t="s">
        <v>3616</v>
      </c>
      <c r="B4745" s="112" t="s">
        <v>919</v>
      </c>
      <c r="C4745" s="112" t="s">
        <v>1095</v>
      </c>
      <c r="D4745" s="113">
        <v>10348451</v>
      </c>
      <c r="E4745" s="115">
        <v>43949</v>
      </c>
      <c r="F4745" s="114">
        <v>202101</v>
      </c>
      <c r="G4745" s="112" t="s">
        <v>1091</v>
      </c>
      <c r="H4745" s="112" t="s">
        <v>1015</v>
      </c>
      <c r="I4745" s="112" t="s">
        <v>1101</v>
      </c>
      <c r="J4745" s="112" t="s">
        <v>3632</v>
      </c>
      <c r="K4745" s="112" t="s">
        <v>1098</v>
      </c>
      <c r="L4745" s="116">
        <v>127.4</v>
      </c>
    </row>
    <row r="4746" spans="1:12" hidden="1" outlineLevel="1" collapsed="1" x14ac:dyDescent="0.35">
      <c r="A4746" s="112" t="s">
        <v>3616</v>
      </c>
      <c r="B4746" s="112" t="s">
        <v>919</v>
      </c>
      <c r="C4746" s="112" t="s">
        <v>1095</v>
      </c>
      <c r="D4746" s="113">
        <v>10348451</v>
      </c>
      <c r="E4746" s="115">
        <v>43949</v>
      </c>
      <c r="F4746" s="114">
        <v>202101</v>
      </c>
      <c r="G4746" s="112" t="s">
        <v>1091</v>
      </c>
      <c r="H4746" s="112" t="s">
        <v>1015</v>
      </c>
      <c r="I4746" s="112" t="s">
        <v>1116</v>
      </c>
      <c r="J4746" s="112" t="s">
        <v>3624</v>
      </c>
      <c r="K4746" s="112" t="s">
        <v>1098</v>
      </c>
      <c r="L4746" s="116">
        <v>1576.55</v>
      </c>
    </row>
    <row r="4747" spans="1:12" hidden="1" outlineLevel="1" collapsed="1" x14ac:dyDescent="0.35">
      <c r="A4747" s="112" t="s">
        <v>3616</v>
      </c>
      <c r="B4747" s="112" t="s">
        <v>919</v>
      </c>
      <c r="C4747" s="112" t="s">
        <v>1095</v>
      </c>
      <c r="D4747" s="113">
        <v>10348451</v>
      </c>
      <c r="E4747" s="115">
        <v>43949</v>
      </c>
      <c r="F4747" s="114">
        <v>202101</v>
      </c>
      <c r="G4747" s="112" t="s">
        <v>1091</v>
      </c>
      <c r="H4747" s="112" t="s">
        <v>1015</v>
      </c>
      <c r="I4747" s="112" t="s">
        <v>1116</v>
      </c>
      <c r="J4747" s="112" t="s">
        <v>3624</v>
      </c>
      <c r="K4747" s="112" t="s">
        <v>1098</v>
      </c>
      <c r="L4747" s="116">
        <v>2373.15</v>
      </c>
    </row>
    <row r="4748" spans="1:12" hidden="1" outlineLevel="1" collapsed="1" x14ac:dyDescent="0.35">
      <c r="A4748" s="112" t="s">
        <v>3616</v>
      </c>
      <c r="B4748" s="112" t="s">
        <v>919</v>
      </c>
      <c r="C4748" s="112" t="s">
        <v>1095</v>
      </c>
      <c r="D4748" s="113">
        <v>10348451</v>
      </c>
      <c r="E4748" s="115">
        <v>43949</v>
      </c>
      <c r="F4748" s="114">
        <v>202101</v>
      </c>
      <c r="G4748" s="112" t="s">
        <v>1091</v>
      </c>
      <c r="H4748" s="112" t="s">
        <v>1015</v>
      </c>
      <c r="I4748" s="112" t="s">
        <v>1116</v>
      </c>
      <c r="J4748" s="112" t="s">
        <v>3624</v>
      </c>
      <c r="K4748" s="112" t="s">
        <v>1098</v>
      </c>
      <c r="L4748" s="116">
        <v>1736.62</v>
      </c>
    </row>
    <row r="4749" spans="1:12" hidden="1" outlineLevel="1" collapsed="1" x14ac:dyDescent="0.35">
      <c r="A4749" s="112" t="s">
        <v>3616</v>
      </c>
      <c r="B4749" s="112" t="s">
        <v>922</v>
      </c>
      <c r="C4749" s="112" t="s">
        <v>1095</v>
      </c>
      <c r="D4749" s="113">
        <v>10348451</v>
      </c>
      <c r="E4749" s="115">
        <v>43949</v>
      </c>
      <c r="F4749" s="114">
        <v>202101</v>
      </c>
      <c r="G4749" s="112" t="s">
        <v>1091</v>
      </c>
      <c r="H4749" s="112" t="s">
        <v>1015</v>
      </c>
      <c r="I4749" s="112" t="s">
        <v>1116</v>
      </c>
      <c r="J4749" s="112" t="s">
        <v>3794</v>
      </c>
      <c r="K4749" s="112" t="s">
        <v>1098</v>
      </c>
      <c r="L4749" s="116">
        <v>2981.92</v>
      </c>
    </row>
    <row r="4750" spans="1:12" hidden="1" outlineLevel="1" collapsed="1" x14ac:dyDescent="0.35">
      <c r="A4750" s="112" t="s">
        <v>3616</v>
      </c>
      <c r="B4750" s="112" t="s">
        <v>922</v>
      </c>
      <c r="C4750" s="112" t="s">
        <v>695</v>
      </c>
      <c r="D4750" s="113">
        <v>10347981</v>
      </c>
      <c r="E4750" s="115">
        <v>43924</v>
      </c>
      <c r="F4750" s="114">
        <v>202101</v>
      </c>
      <c r="G4750" s="112" t="s">
        <v>1091</v>
      </c>
      <c r="H4750" s="112" t="s">
        <v>1015</v>
      </c>
      <c r="I4750" s="112" t="s">
        <v>1104</v>
      </c>
      <c r="J4750" s="112" t="s">
        <v>3784</v>
      </c>
      <c r="K4750" s="112" t="s">
        <v>4018</v>
      </c>
      <c r="L4750" s="116">
        <v>-115.6</v>
      </c>
    </row>
    <row r="4751" spans="1:12" hidden="1" outlineLevel="1" collapsed="1" x14ac:dyDescent="0.35">
      <c r="A4751" s="112" t="s">
        <v>3616</v>
      </c>
      <c r="B4751" s="112" t="s">
        <v>921</v>
      </c>
      <c r="C4751" s="112" t="s">
        <v>1095</v>
      </c>
      <c r="D4751" s="113">
        <v>10348451</v>
      </c>
      <c r="E4751" s="115">
        <v>43949</v>
      </c>
      <c r="F4751" s="114">
        <v>202101</v>
      </c>
      <c r="G4751" s="112" t="s">
        <v>1091</v>
      </c>
      <c r="H4751" s="112" t="s">
        <v>1015</v>
      </c>
      <c r="I4751" s="112" t="s">
        <v>1101</v>
      </c>
      <c r="J4751" s="112" t="s">
        <v>3620</v>
      </c>
      <c r="K4751" s="112" t="s">
        <v>1098</v>
      </c>
      <c r="L4751" s="116">
        <v>270.82</v>
      </c>
    </row>
    <row r="4752" spans="1:12" hidden="1" outlineLevel="1" collapsed="1" x14ac:dyDescent="0.35">
      <c r="A4752" s="112" t="s">
        <v>3616</v>
      </c>
      <c r="B4752" s="112" t="s">
        <v>922</v>
      </c>
      <c r="C4752" s="112" t="s">
        <v>1095</v>
      </c>
      <c r="D4752" s="113">
        <v>10348451</v>
      </c>
      <c r="E4752" s="115">
        <v>43949</v>
      </c>
      <c r="F4752" s="114">
        <v>202101</v>
      </c>
      <c r="G4752" s="112" t="s">
        <v>1091</v>
      </c>
      <c r="H4752" s="112" t="s">
        <v>1015</v>
      </c>
      <c r="I4752" s="112" t="s">
        <v>1116</v>
      </c>
      <c r="J4752" s="112" t="s">
        <v>3954</v>
      </c>
      <c r="K4752" s="112" t="s">
        <v>1098</v>
      </c>
      <c r="L4752" s="116">
        <v>932.4</v>
      </c>
    </row>
    <row r="4753" spans="1:12" hidden="1" outlineLevel="1" collapsed="1" x14ac:dyDescent="0.35">
      <c r="A4753" s="112" t="s">
        <v>3616</v>
      </c>
      <c r="B4753" s="112" t="s">
        <v>919</v>
      </c>
      <c r="C4753" s="112" t="s">
        <v>695</v>
      </c>
      <c r="D4753" s="113">
        <v>10347981</v>
      </c>
      <c r="E4753" s="115">
        <v>43924</v>
      </c>
      <c r="F4753" s="114">
        <v>202101</v>
      </c>
      <c r="G4753" s="112" t="s">
        <v>1091</v>
      </c>
      <c r="H4753" s="112" t="s">
        <v>1015</v>
      </c>
      <c r="I4753" s="112" t="s">
        <v>761</v>
      </c>
      <c r="J4753" s="112" t="s">
        <v>3628</v>
      </c>
      <c r="K4753" s="112" t="s">
        <v>4019</v>
      </c>
      <c r="L4753" s="116">
        <v>-595</v>
      </c>
    </row>
    <row r="4754" spans="1:12" hidden="1" outlineLevel="1" collapsed="1" x14ac:dyDescent="0.35">
      <c r="A4754" s="112" t="s">
        <v>3616</v>
      </c>
      <c r="B4754" s="112" t="s">
        <v>919</v>
      </c>
      <c r="C4754" s="112" t="s">
        <v>695</v>
      </c>
      <c r="D4754" s="113">
        <v>10347981</v>
      </c>
      <c r="E4754" s="115">
        <v>43924</v>
      </c>
      <c r="F4754" s="114">
        <v>202101</v>
      </c>
      <c r="G4754" s="112" t="s">
        <v>1091</v>
      </c>
      <c r="H4754" s="112" t="s">
        <v>1015</v>
      </c>
      <c r="I4754" s="112" t="s">
        <v>2495</v>
      </c>
      <c r="J4754" s="112" t="s">
        <v>3617</v>
      </c>
      <c r="K4754" s="112" t="s">
        <v>4020</v>
      </c>
      <c r="L4754" s="116">
        <v>-25</v>
      </c>
    </row>
    <row r="4755" spans="1:12" hidden="1" outlineLevel="1" collapsed="1" x14ac:dyDescent="0.35">
      <c r="A4755" s="112" t="s">
        <v>3616</v>
      </c>
      <c r="B4755" s="112" t="s">
        <v>919</v>
      </c>
      <c r="C4755" s="112" t="s">
        <v>695</v>
      </c>
      <c r="D4755" s="113">
        <v>10347981</v>
      </c>
      <c r="E4755" s="115">
        <v>43924</v>
      </c>
      <c r="F4755" s="114">
        <v>202101</v>
      </c>
      <c r="G4755" s="112" t="s">
        <v>1091</v>
      </c>
      <c r="H4755" s="112" t="s">
        <v>1015</v>
      </c>
      <c r="I4755" s="112" t="s">
        <v>761</v>
      </c>
      <c r="J4755" s="112" t="s">
        <v>3634</v>
      </c>
      <c r="K4755" s="112" t="s">
        <v>4021</v>
      </c>
      <c r="L4755" s="116">
        <v>-402.85</v>
      </c>
    </row>
    <row r="4756" spans="1:12" hidden="1" outlineLevel="1" collapsed="1" x14ac:dyDescent="0.35">
      <c r="A4756" s="112" t="s">
        <v>3616</v>
      </c>
      <c r="B4756" s="112" t="s">
        <v>922</v>
      </c>
      <c r="C4756" s="112" t="s">
        <v>1095</v>
      </c>
      <c r="D4756" s="113">
        <v>10348451</v>
      </c>
      <c r="E4756" s="115">
        <v>43949</v>
      </c>
      <c r="F4756" s="114">
        <v>202101</v>
      </c>
      <c r="G4756" s="112" t="s">
        <v>1091</v>
      </c>
      <c r="H4756" s="112" t="s">
        <v>1015</v>
      </c>
      <c r="I4756" s="112" t="s">
        <v>1116</v>
      </c>
      <c r="J4756" s="112" t="s">
        <v>3691</v>
      </c>
      <c r="K4756" s="112" t="s">
        <v>1098</v>
      </c>
      <c r="L4756" s="116">
        <v>3717</v>
      </c>
    </row>
    <row r="4757" spans="1:12" hidden="1" outlineLevel="1" collapsed="1" x14ac:dyDescent="0.35">
      <c r="A4757" s="112" t="s">
        <v>3616</v>
      </c>
      <c r="B4757" s="112" t="s">
        <v>922</v>
      </c>
      <c r="C4757" s="112" t="s">
        <v>695</v>
      </c>
      <c r="D4757" s="113">
        <v>10347981</v>
      </c>
      <c r="E4757" s="115">
        <v>43924</v>
      </c>
      <c r="F4757" s="114">
        <v>202101</v>
      </c>
      <c r="G4757" s="112" t="s">
        <v>1091</v>
      </c>
      <c r="H4757" s="112" t="s">
        <v>1015</v>
      </c>
      <c r="I4757" s="112" t="s">
        <v>761</v>
      </c>
      <c r="J4757" s="112" t="s">
        <v>3794</v>
      </c>
      <c r="K4757" s="112" t="s">
        <v>4022</v>
      </c>
      <c r="L4757" s="116">
        <v>-45</v>
      </c>
    </row>
    <row r="4758" spans="1:12" hidden="1" outlineLevel="1" collapsed="1" x14ac:dyDescent="0.35">
      <c r="A4758" s="112" t="s">
        <v>3616</v>
      </c>
      <c r="B4758" s="112" t="s">
        <v>923</v>
      </c>
      <c r="C4758" s="112" t="s">
        <v>695</v>
      </c>
      <c r="D4758" s="113">
        <v>10347981</v>
      </c>
      <c r="E4758" s="115">
        <v>43924</v>
      </c>
      <c r="F4758" s="114">
        <v>202101</v>
      </c>
      <c r="G4758" s="112" t="s">
        <v>1091</v>
      </c>
      <c r="H4758" s="112" t="s">
        <v>1015</v>
      </c>
      <c r="I4758" s="112" t="s">
        <v>1164</v>
      </c>
      <c r="J4758" s="112" t="s">
        <v>3750</v>
      </c>
      <c r="K4758" s="112" t="s">
        <v>4023</v>
      </c>
      <c r="L4758" s="116">
        <v>-54</v>
      </c>
    </row>
    <row r="4759" spans="1:12" hidden="1" outlineLevel="1" collapsed="1" x14ac:dyDescent="0.35">
      <c r="A4759" s="112" t="s">
        <v>3616</v>
      </c>
      <c r="B4759" s="112" t="s">
        <v>921</v>
      </c>
      <c r="C4759" s="112" t="s">
        <v>1095</v>
      </c>
      <c r="D4759" s="113">
        <v>10348451</v>
      </c>
      <c r="E4759" s="115">
        <v>43949</v>
      </c>
      <c r="F4759" s="114">
        <v>202101</v>
      </c>
      <c r="G4759" s="112" t="s">
        <v>1091</v>
      </c>
      <c r="H4759" s="112" t="s">
        <v>1015</v>
      </c>
      <c r="I4759" s="112" t="s">
        <v>1116</v>
      </c>
      <c r="J4759" s="112" t="s">
        <v>3709</v>
      </c>
      <c r="K4759" s="112" t="s">
        <v>1098</v>
      </c>
      <c r="L4759" s="116">
        <v>2259.5</v>
      </c>
    </row>
    <row r="4760" spans="1:12" hidden="1" outlineLevel="1" collapsed="1" x14ac:dyDescent="0.35">
      <c r="A4760" s="112" t="s">
        <v>3616</v>
      </c>
      <c r="B4760" s="112" t="s">
        <v>923</v>
      </c>
      <c r="C4760" s="112" t="s">
        <v>695</v>
      </c>
      <c r="D4760" s="113">
        <v>10348539</v>
      </c>
      <c r="E4760" s="115">
        <v>43951</v>
      </c>
      <c r="F4760" s="114">
        <v>202101</v>
      </c>
      <c r="G4760" s="112" t="s">
        <v>1091</v>
      </c>
      <c r="H4760" s="112" t="s">
        <v>1015</v>
      </c>
      <c r="I4760" s="112" t="s">
        <v>761</v>
      </c>
      <c r="J4760" s="112" t="s">
        <v>3714</v>
      </c>
      <c r="K4760" s="112" t="s">
        <v>4024</v>
      </c>
      <c r="L4760" s="116">
        <v>750</v>
      </c>
    </row>
    <row r="4761" spans="1:12" hidden="1" outlineLevel="1" collapsed="1" x14ac:dyDescent="0.35">
      <c r="A4761" s="112" t="s">
        <v>3616</v>
      </c>
      <c r="B4761" s="112" t="s">
        <v>919</v>
      </c>
      <c r="C4761" s="112" t="s">
        <v>695</v>
      </c>
      <c r="D4761" s="113">
        <v>10348420</v>
      </c>
      <c r="E4761" s="115">
        <v>43945</v>
      </c>
      <c r="F4761" s="114">
        <v>202101</v>
      </c>
      <c r="G4761" s="112" t="s">
        <v>1091</v>
      </c>
      <c r="H4761" s="112" t="s">
        <v>1015</v>
      </c>
      <c r="I4761" s="112" t="s">
        <v>1643</v>
      </c>
      <c r="J4761" s="112" t="s">
        <v>3628</v>
      </c>
      <c r="K4761" s="112" t="s">
        <v>4025</v>
      </c>
      <c r="L4761" s="116">
        <v>42.13</v>
      </c>
    </row>
    <row r="4762" spans="1:12" hidden="1" outlineLevel="1" collapsed="1" x14ac:dyDescent="0.35">
      <c r="A4762" s="112" t="s">
        <v>3616</v>
      </c>
      <c r="B4762" s="112" t="s">
        <v>921</v>
      </c>
      <c r="C4762" s="112" t="s">
        <v>1518</v>
      </c>
      <c r="D4762" s="113">
        <v>51366175</v>
      </c>
      <c r="E4762" s="115">
        <v>43943</v>
      </c>
      <c r="F4762" s="114">
        <v>202101</v>
      </c>
      <c r="G4762" s="112" t="s">
        <v>1091</v>
      </c>
      <c r="H4762" s="112" t="s">
        <v>1016</v>
      </c>
      <c r="I4762" s="112" t="s">
        <v>3854</v>
      </c>
      <c r="J4762" s="112" t="s">
        <v>3709</v>
      </c>
      <c r="K4762" s="112" t="s">
        <v>4026</v>
      </c>
      <c r="L4762" s="116">
        <v>-9</v>
      </c>
    </row>
    <row r="4763" spans="1:12" hidden="1" outlineLevel="1" collapsed="1" x14ac:dyDescent="0.35">
      <c r="A4763" s="112" t="s">
        <v>3616</v>
      </c>
      <c r="B4763" s="112" t="s">
        <v>921</v>
      </c>
      <c r="C4763" s="112" t="s">
        <v>1518</v>
      </c>
      <c r="D4763" s="113">
        <v>51366174</v>
      </c>
      <c r="E4763" s="115">
        <v>43943</v>
      </c>
      <c r="F4763" s="114">
        <v>202101</v>
      </c>
      <c r="G4763" s="112" t="s">
        <v>1091</v>
      </c>
      <c r="H4763" s="112" t="s">
        <v>1016</v>
      </c>
      <c r="I4763" s="112" t="s">
        <v>3854</v>
      </c>
      <c r="J4763" s="112" t="s">
        <v>3709</v>
      </c>
      <c r="K4763" s="112" t="s">
        <v>4027</v>
      </c>
      <c r="L4763" s="116">
        <v>-9</v>
      </c>
    </row>
    <row r="4764" spans="1:12" hidden="1" outlineLevel="1" collapsed="1" x14ac:dyDescent="0.35">
      <c r="A4764" s="112" t="s">
        <v>3616</v>
      </c>
      <c r="B4764" s="112" t="s">
        <v>921</v>
      </c>
      <c r="C4764" s="112" t="s">
        <v>1095</v>
      </c>
      <c r="D4764" s="113">
        <v>10348451</v>
      </c>
      <c r="E4764" s="115">
        <v>43949</v>
      </c>
      <c r="F4764" s="114">
        <v>202101</v>
      </c>
      <c r="G4764" s="112" t="s">
        <v>1091</v>
      </c>
      <c r="H4764" s="112" t="s">
        <v>1015</v>
      </c>
      <c r="I4764" s="112" t="s">
        <v>1101</v>
      </c>
      <c r="J4764" s="112" t="s">
        <v>3620</v>
      </c>
      <c r="K4764" s="112" t="s">
        <v>1098</v>
      </c>
      <c r="L4764" s="116">
        <v>326.7</v>
      </c>
    </row>
    <row r="4765" spans="1:12" hidden="1" outlineLevel="1" collapsed="1" x14ac:dyDescent="0.35">
      <c r="A4765" s="112" t="s">
        <v>3616</v>
      </c>
      <c r="B4765" s="112" t="s">
        <v>921</v>
      </c>
      <c r="C4765" s="112" t="s">
        <v>1518</v>
      </c>
      <c r="D4765" s="113">
        <v>51366173</v>
      </c>
      <c r="E4765" s="115">
        <v>43943</v>
      </c>
      <c r="F4765" s="114">
        <v>202101</v>
      </c>
      <c r="G4765" s="112" t="s">
        <v>1091</v>
      </c>
      <c r="H4765" s="112" t="s">
        <v>1016</v>
      </c>
      <c r="I4765" s="112" t="s">
        <v>3854</v>
      </c>
      <c r="J4765" s="112" t="s">
        <v>3709</v>
      </c>
      <c r="K4765" s="112" t="s">
        <v>4028</v>
      </c>
      <c r="L4765" s="116">
        <v>-9</v>
      </c>
    </row>
    <row r="4766" spans="1:12" hidden="1" outlineLevel="1" collapsed="1" x14ac:dyDescent="0.35">
      <c r="A4766" s="112" t="s">
        <v>3616</v>
      </c>
      <c r="B4766" s="112" t="s">
        <v>922</v>
      </c>
      <c r="C4766" s="112" t="s">
        <v>1095</v>
      </c>
      <c r="D4766" s="113">
        <v>10348451</v>
      </c>
      <c r="E4766" s="115">
        <v>43949</v>
      </c>
      <c r="F4766" s="114">
        <v>202101</v>
      </c>
      <c r="G4766" s="112" t="s">
        <v>1091</v>
      </c>
      <c r="H4766" s="112" t="s">
        <v>1015</v>
      </c>
      <c r="I4766" s="112" t="s">
        <v>1128</v>
      </c>
      <c r="J4766" s="112" t="s">
        <v>3954</v>
      </c>
      <c r="K4766" s="112" t="s">
        <v>1098</v>
      </c>
      <c r="L4766" s="116">
        <v>75</v>
      </c>
    </row>
    <row r="4767" spans="1:12" hidden="1" outlineLevel="1" collapsed="1" x14ac:dyDescent="0.35">
      <c r="A4767" s="112" t="s">
        <v>3616</v>
      </c>
      <c r="B4767" s="112" t="s">
        <v>921</v>
      </c>
      <c r="C4767" s="112" t="s">
        <v>1095</v>
      </c>
      <c r="D4767" s="113">
        <v>10348451</v>
      </c>
      <c r="E4767" s="115">
        <v>43949</v>
      </c>
      <c r="F4767" s="114">
        <v>202101</v>
      </c>
      <c r="G4767" s="112" t="s">
        <v>1091</v>
      </c>
      <c r="H4767" s="112" t="s">
        <v>1015</v>
      </c>
      <c r="I4767" s="112" t="s">
        <v>1101</v>
      </c>
      <c r="J4767" s="112" t="s">
        <v>3620</v>
      </c>
      <c r="K4767" s="112" t="s">
        <v>1098</v>
      </c>
      <c r="L4767" s="116">
        <v>404.87</v>
      </c>
    </row>
    <row r="4768" spans="1:12" hidden="1" outlineLevel="1" collapsed="1" x14ac:dyDescent="0.35">
      <c r="A4768" s="112" t="s">
        <v>3616</v>
      </c>
      <c r="B4768" s="112" t="s">
        <v>922</v>
      </c>
      <c r="C4768" s="112" t="s">
        <v>1099</v>
      </c>
      <c r="D4768" s="113">
        <v>1069358</v>
      </c>
      <c r="E4768" s="115">
        <v>43921</v>
      </c>
      <c r="F4768" s="114">
        <v>202101</v>
      </c>
      <c r="G4768" s="112" t="s">
        <v>1091</v>
      </c>
      <c r="H4768" s="112" t="s">
        <v>1015</v>
      </c>
      <c r="I4768" s="112" t="s">
        <v>761</v>
      </c>
      <c r="J4768" s="112" t="s">
        <v>3766</v>
      </c>
      <c r="K4768" s="112" t="s">
        <v>4029</v>
      </c>
      <c r="L4768" s="116">
        <v>84</v>
      </c>
    </row>
    <row r="4769" spans="1:12" hidden="1" outlineLevel="1" collapsed="1" x14ac:dyDescent="0.35">
      <c r="A4769" s="112" t="s">
        <v>3616</v>
      </c>
      <c r="B4769" s="112" t="s">
        <v>921</v>
      </c>
      <c r="C4769" s="112" t="s">
        <v>1099</v>
      </c>
      <c r="D4769" s="113">
        <v>1069368</v>
      </c>
      <c r="E4769" s="115">
        <v>43915</v>
      </c>
      <c r="F4769" s="114">
        <v>202101</v>
      </c>
      <c r="G4769" s="112" t="s">
        <v>1091</v>
      </c>
      <c r="H4769" s="112" t="s">
        <v>1015</v>
      </c>
      <c r="I4769" s="112" t="s">
        <v>2495</v>
      </c>
      <c r="J4769" s="112" t="s">
        <v>3620</v>
      </c>
      <c r="K4769" s="112" t="s">
        <v>4030</v>
      </c>
      <c r="L4769" s="116">
        <v>600</v>
      </c>
    </row>
    <row r="4770" spans="1:12" hidden="1" outlineLevel="1" collapsed="1" x14ac:dyDescent="0.35">
      <c r="A4770" s="112" t="s">
        <v>3616</v>
      </c>
      <c r="B4770" s="112" t="s">
        <v>921</v>
      </c>
      <c r="C4770" s="112" t="s">
        <v>1099</v>
      </c>
      <c r="D4770" s="113">
        <v>1069369</v>
      </c>
      <c r="E4770" s="115">
        <v>43915</v>
      </c>
      <c r="F4770" s="114">
        <v>202101</v>
      </c>
      <c r="G4770" s="112" t="s">
        <v>1091</v>
      </c>
      <c r="H4770" s="112" t="s">
        <v>1015</v>
      </c>
      <c r="I4770" s="112" t="s">
        <v>2495</v>
      </c>
      <c r="J4770" s="112" t="s">
        <v>3620</v>
      </c>
      <c r="K4770" s="112" t="s">
        <v>4031</v>
      </c>
      <c r="L4770" s="116">
        <v>600</v>
      </c>
    </row>
    <row r="4771" spans="1:12" hidden="1" outlineLevel="1" collapsed="1" x14ac:dyDescent="0.35">
      <c r="A4771" s="112" t="s">
        <v>3616</v>
      </c>
      <c r="B4771" s="112" t="s">
        <v>921</v>
      </c>
      <c r="C4771" s="112" t="s">
        <v>1099</v>
      </c>
      <c r="D4771" s="113">
        <v>1069367</v>
      </c>
      <c r="E4771" s="115">
        <v>43912</v>
      </c>
      <c r="F4771" s="114">
        <v>202101</v>
      </c>
      <c r="G4771" s="112" t="s">
        <v>1091</v>
      </c>
      <c r="H4771" s="112" t="s">
        <v>1015</v>
      </c>
      <c r="I4771" s="112" t="s">
        <v>2495</v>
      </c>
      <c r="J4771" s="112" t="s">
        <v>3709</v>
      </c>
      <c r="K4771" s="112" t="s">
        <v>4032</v>
      </c>
      <c r="L4771" s="116">
        <v>180</v>
      </c>
    </row>
    <row r="4772" spans="1:12" hidden="1" outlineLevel="1" collapsed="1" x14ac:dyDescent="0.35">
      <c r="A4772" s="112" t="s">
        <v>3616</v>
      </c>
      <c r="B4772" s="112" t="s">
        <v>922</v>
      </c>
      <c r="C4772" s="112" t="s">
        <v>1095</v>
      </c>
      <c r="D4772" s="113">
        <v>10348451</v>
      </c>
      <c r="E4772" s="115">
        <v>43949</v>
      </c>
      <c r="F4772" s="114">
        <v>202101</v>
      </c>
      <c r="G4772" s="112" t="s">
        <v>1091</v>
      </c>
      <c r="H4772" s="112" t="s">
        <v>1015</v>
      </c>
      <c r="I4772" s="112" t="s">
        <v>1101</v>
      </c>
      <c r="J4772" s="112" t="s">
        <v>3863</v>
      </c>
      <c r="K4772" s="112" t="s">
        <v>1098</v>
      </c>
      <c r="L4772" s="116">
        <v>123.44</v>
      </c>
    </row>
    <row r="4773" spans="1:12" hidden="1" outlineLevel="1" collapsed="1" x14ac:dyDescent="0.35">
      <c r="A4773" s="112" t="s">
        <v>3616</v>
      </c>
      <c r="B4773" s="112" t="s">
        <v>922</v>
      </c>
      <c r="C4773" s="112" t="s">
        <v>1099</v>
      </c>
      <c r="D4773" s="113">
        <v>1069379</v>
      </c>
      <c r="E4773" s="115">
        <v>43922</v>
      </c>
      <c r="F4773" s="114">
        <v>202101</v>
      </c>
      <c r="G4773" s="112" t="s">
        <v>1091</v>
      </c>
      <c r="H4773" s="112" t="s">
        <v>1015</v>
      </c>
      <c r="I4773" s="112" t="s">
        <v>761</v>
      </c>
      <c r="J4773" s="112" t="s">
        <v>3766</v>
      </c>
      <c r="K4773" s="112" t="s">
        <v>4033</v>
      </c>
      <c r="L4773" s="116">
        <v>240</v>
      </c>
    </row>
    <row r="4774" spans="1:12" hidden="1" outlineLevel="1" collapsed="1" x14ac:dyDescent="0.35">
      <c r="A4774" s="112" t="s">
        <v>3616</v>
      </c>
      <c r="B4774" s="112" t="s">
        <v>919</v>
      </c>
      <c r="C4774" s="112" t="s">
        <v>1099</v>
      </c>
      <c r="D4774" s="113">
        <v>1069376</v>
      </c>
      <c r="E4774" s="115">
        <v>43922</v>
      </c>
      <c r="F4774" s="114">
        <v>202101</v>
      </c>
      <c r="G4774" s="112" t="s">
        <v>1091</v>
      </c>
      <c r="H4774" s="112" t="s">
        <v>1015</v>
      </c>
      <c r="I4774" s="112" t="s">
        <v>761</v>
      </c>
      <c r="J4774" s="112" t="s">
        <v>3624</v>
      </c>
      <c r="K4774" s="112" t="s">
        <v>4034</v>
      </c>
      <c r="L4774" s="116">
        <v>875</v>
      </c>
    </row>
    <row r="4775" spans="1:12" hidden="1" outlineLevel="1" collapsed="1" x14ac:dyDescent="0.35">
      <c r="A4775" s="112" t="s">
        <v>3616</v>
      </c>
      <c r="B4775" s="112" t="s">
        <v>920</v>
      </c>
      <c r="C4775" s="112" t="s">
        <v>1095</v>
      </c>
      <c r="D4775" s="113">
        <v>10348451</v>
      </c>
      <c r="E4775" s="115">
        <v>43949</v>
      </c>
      <c r="F4775" s="114">
        <v>202101</v>
      </c>
      <c r="G4775" s="112" t="s">
        <v>1091</v>
      </c>
      <c r="H4775" s="112" t="s">
        <v>1015</v>
      </c>
      <c r="I4775" s="112" t="s">
        <v>1096</v>
      </c>
      <c r="J4775" s="112" t="s">
        <v>3755</v>
      </c>
      <c r="K4775" s="112" t="s">
        <v>1098</v>
      </c>
      <c r="L4775" s="116">
        <v>231.97</v>
      </c>
    </row>
    <row r="4776" spans="1:12" hidden="1" outlineLevel="1" collapsed="1" x14ac:dyDescent="0.35">
      <c r="A4776" s="112" t="s">
        <v>3616</v>
      </c>
      <c r="B4776" s="112" t="s">
        <v>922</v>
      </c>
      <c r="C4776" s="112" t="s">
        <v>1219</v>
      </c>
      <c r="D4776" s="113">
        <v>46307737</v>
      </c>
      <c r="E4776" s="115">
        <v>43941</v>
      </c>
      <c r="F4776" s="114">
        <v>202101</v>
      </c>
      <c r="G4776" s="112" t="s">
        <v>1091</v>
      </c>
      <c r="H4776" s="112" t="s">
        <v>1015</v>
      </c>
      <c r="I4776" s="112" t="s">
        <v>761</v>
      </c>
      <c r="J4776" s="112" t="s">
        <v>3766</v>
      </c>
      <c r="K4776" s="112" t="s">
        <v>4035</v>
      </c>
      <c r="L4776" s="116">
        <v>250</v>
      </c>
    </row>
    <row r="4777" spans="1:12" hidden="1" outlineLevel="1" collapsed="1" x14ac:dyDescent="0.35">
      <c r="A4777" s="112" t="s">
        <v>3616</v>
      </c>
      <c r="B4777" s="112" t="s">
        <v>922</v>
      </c>
      <c r="C4777" s="112" t="s">
        <v>1266</v>
      </c>
      <c r="D4777" s="113">
        <v>1069671</v>
      </c>
      <c r="E4777" s="115">
        <v>43936</v>
      </c>
      <c r="F4777" s="114">
        <v>202101</v>
      </c>
      <c r="G4777" s="112" t="s">
        <v>1091</v>
      </c>
      <c r="H4777" s="112" t="s">
        <v>1015</v>
      </c>
      <c r="I4777" s="112" t="s">
        <v>765</v>
      </c>
      <c r="J4777" s="112" t="s">
        <v>3784</v>
      </c>
      <c r="K4777" s="112" t="s">
        <v>4036</v>
      </c>
      <c r="L4777" s="116">
        <v>18</v>
      </c>
    </row>
    <row r="4778" spans="1:12" hidden="1" outlineLevel="1" collapsed="1" x14ac:dyDescent="0.35">
      <c r="A4778" s="112" t="s">
        <v>3616</v>
      </c>
      <c r="B4778" s="112" t="s">
        <v>920</v>
      </c>
      <c r="C4778" s="112" t="s">
        <v>1095</v>
      </c>
      <c r="D4778" s="113">
        <v>10348451</v>
      </c>
      <c r="E4778" s="115">
        <v>43949</v>
      </c>
      <c r="F4778" s="114">
        <v>202101</v>
      </c>
      <c r="G4778" s="112" t="s">
        <v>1091</v>
      </c>
      <c r="H4778" s="112" t="s">
        <v>1015</v>
      </c>
      <c r="I4778" s="112" t="s">
        <v>1101</v>
      </c>
      <c r="J4778" s="112" t="s">
        <v>3755</v>
      </c>
      <c r="K4778" s="112" t="s">
        <v>1098</v>
      </c>
      <c r="L4778" s="116">
        <v>390.9</v>
      </c>
    </row>
    <row r="4779" spans="1:12" hidden="1" outlineLevel="1" collapsed="1" x14ac:dyDescent="0.35">
      <c r="A4779" s="112" t="s">
        <v>3616</v>
      </c>
      <c r="B4779" s="112" t="s">
        <v>918</v>
      </c>
      <c r="C4779" s="112" t="s">
        <v>1150</v>
      </c>
      <c r="D4779" s="113">
        <v>10348573</v>
      </c>
      <c r="E4779" s="115">
        <v>43958</v>
      </c>
      <c r="F4779" s="114">
        <v>202101</v>
      </c>
      <c r="G4779" s="112" t="s">
        <v>1091</v>
      </c>
      <c r="H4779" s="112" t="s">
        <v>1015</v>
      </c>
      <c r="I4779" s="112" t="s">
        <v>4037</v>
      </c>
      <c r="J4779" s="112" t="s">
        <v>3695</v>
      </c>
      <c r="K4779" s="112" t="s">
        <v>1151</v>
      </c>
      <c r="L4779" s="116">
        <v>76.319999999999993</v>
      </c>
    </row>
    <row r="4780" spans="1:12" hidden="1" outlineLevel="1" collapsed="1" x14ac:dyDescent="0.35">
      <c r="A4780" s="112" t="s">
        <v>3616</v>
      </c>
      <c r="B4780" s="112" t="s">
        <v>918</v>
      </c>
      <c r="C4780" s="112" t="s">
        <v>1150</v>
      </c>
      <c r="D4780" s="113">
        <v>10348573</v>
      </c>
      <c r="E4780" s="115">
        <v>43958</v>
      </c>
      <c r="F4780" s="114">
        <v>202101</v>
      </c>
      <c r="G4780" s="112" t="s">
        <v>1091</v>
      </c>
      <c r="H4780" s="112" t="s">
        <v>1015</v>
      </c>
      <c r="I4780" s="112" t="s">
        <v>777</v>
      </c>
      <c r="J4780" s="112" t="s">
        <v>3695</v>
      </c>
      <c r="K4780" s="112" t="s">
        <v>1151</v>
      </c>
      <c r="L4780" s="116">
        <v>180.26</v>
      </c>
    </row>
    <row r="4781" spans="1:12" hidden="1" outlineLevel="1" collapsed="1" x14ac:dyDescent="0.35">
      <c r="A4781" s="112" t="s">
        <v>3616</v>
      </c>
      <c r="B4781" s="112" t="s">
        <v>917</v>
      </c>
      <c r="C4781" s="112" t="s">
        <v>1758</v>
      </c>
      <c r="D4781" s="113">
        <v>51366186</v>
      </c>
      <c r="E4781" s="115">
        <v>43944</v>
      </c>
      <c r="F4781" s="114">
        <v>202101</v>
      </c>
      <c r="G4781" s="112" t="s">
        <v>1091</v>
      </c>
      <c r="H4781" s="112" t="s">
        <v>1016</v>
      </c>
      <c r="I4781" s="112" t="s">
        <v>823</v>
      </c>
      <c r="J4781" s="112" t="s">
        <v>3781</v>
      </c>
      <c r="K4781" s="112" t="s">
        <v>4038</v>
      </c>
      <c r="L4781" s="116">
        <v>6000</v>
      </c>
    </row>
    <row r="4782" spans="1:12" hidden="1" outlineLevel="1" collapsed="1" x14ac:dyDescent="0.35">
      <c r="A4782" s="112" t="s">
        <v>3616</v>
      </c>
      <c r="B4782" s="112" t="s">
        <v>921</v>
      </c>
      <c r="C4782" s="112" t="s">
        <v>695</v>
      </c>
      <c r="D4782" s="113">
        <v>10348420</v>
      </c>
      <c r="E4782" s="115">
        <v>43945</v>
      </c>
      <c r="F4782" s="114">
        <v>202101</v>
      </c>
      <c r="G4782" s="112" t="s">
        <v>1091</v>
      </c>
      <c r="H4782" s="112" t="s">
        <v>1015</v>
      </c>
      <c r="I4782" s="112" t="s">
        <v>761</v>
      </c>
      <c r="J4782" s="112" t="s">
        <v>3620</v>
      </c>
      <c r="K4782" s="112" t="s">
        <v>4039</v>
      </c>
      <c r="L4782" s="116">
        <v>310.13</v>
      </c>
    </row>
    <row r="4783" spans="1:12" hidden="1" outlineLevel="1" collapsed="1" x14ac:dyDescent="0.35">
      <c r="A4783" s="112" t="s">
        <v>3616</v>
      </c>
      <c r="B4783" s="112" t="s">
        <v>919</v>
      </c>
      <c r="C4783" s="112" t="s">
        <v>695</v>
      </c>
      <c r="D4783" s="113">
        <v>10348420</v>
      </c>
      <c r="E4783" s="115">
        <v>43945</v>
      </c>
      <c r="F4783" s="114">
        <v>202101</v>
      </c>
      <c r="G4783" s="112" t="s">
        <v>1091</v>
      </c>
      <c r="H4783" s="112" t="s">
        <v>1015</v>
      </c>
      <c r="I4783" s="112" t="s">
        <v>1643</v>
      </c>
      <c r="J4783" s="112" t="s">
        <v>3628</v>
      </c>
      <c r="K4783" s="112" t="s">
        <v>4040</v>
      </c>
      <c r="L4783" s="116">
        <v>38.17</v>
      </c>
    </row>
    <row r="4784" spans="1:12" hidden="1" outlineLevel="1" collapsed="1" x14ac:dyDescent="0.35">
      <c r="A4784" s="112" t="s">
        <v>3616</v>
      </c>
      <c r="B4784" s="112" t="s">
        <v>919</v>
      </c>
      <c r="C4784" s="112" t="s">
        <v>695</v>
      </c>
      <c r="D4784" s="113">
        <v>10348420</v>
      </c>
      <c r="E4784" s="115">
        <v>43945</v>
      </c>
      <c r="F4784" s="114">
        <v>202101</v>
      </c>
      <c r="G4784" s="112" t="s">
        <v>1091</v>
      </c>
      <c r="H4784" s="112" t="s">
        <v>1015</v>
      </c>
      <c r="I4784" s="112" t="s">
        <v>1643</v>
      </c>
      <c r="J4784" s="112" t="s">
        <v>3628</v>
      </c>
      <c r="K4784" s="112" t="s">
        <v>4041</v>
      </c>
      <c r="L4784" s="116">
        <v>200</v>
      </c>
    </row>
    <row r="4785" spans="1:12" hidden="1" outlineLevel="1" collapsed="1" x14ac:dyDescent="0.35">
      <c r="A4785" s="112" t="s">
        <v>3616</v>
      </c>
      <c r="B4785" s="112" t="s">
        <v>919</v>
      </c>
      <c r="C4785" s="112" t="s">
        <v>695</v>
      </c>
      <c r="D4785" s="113">
        <v>10348420</v>
      </c>
      <c r="E4785" s="115">
        <v>43945</v>
      </c>
      <c r="F4785" s="114">
        <v>202101</v>
      </c>
      <c r="G4785" s="112" t="s">
        <v>1091</v>
      </c>
      <c r="H4785" s="112" t="s">
        <v>1015</v>
      </c>
      <c r="I4785" s="112" t="s">
        <v>1643</v>
      </c>
      <c r="J4785" s="112" t="s">
        <v>3628</v>
      </c>
      <c r="K4785" s="112" t="s">
        <v>4042</v>
      </c>
      <c r="L4785" s="116">
        <v>211.06</v>
      </c>
    </row>
    <row r="4786" spans="1:12" hidden="1" outlineLevel="1" collapsed="1" x14ac:dyDescent="0.35">
      <c r="A4786" s="112" t="s">
        <v>3616</v>
      </c>
      <c r="B4786" s="112" t="s">
        <v>921</v>
      </c>
      <c r="C4786" s="112" t="s">
        <v>1518</v>
      </c>
      <c r="D4786" s="113">
        <v>51366176</v>
      </c>
      <c r="E4786" s="115">
        <v>43943</v>
      </c>
      <c r="F4786" s="114">
        <v>202101</v>
      </c>
      <c r="G4786" s="112" t="s">
        <v>1091</v>
      </c>
      <c r="H4786" s="112" t="s">
        <v>1016</v>
      </c>
      <c r="I4786" s="112" t="s">
        <v>3854</v>
      </c>
      <c r="J4786" s="112" t="s">
        <v>3709</v>
      </c>
      <c r="K4786" s="112" t="s">
        <v>4043</v>
      </c>
      <c r="L4786" s="116">
        <v>-9</v>
      </c>
    </row>
    <row r="4787" spans="1:12" hidden="1" outlineLevel="1" collapsed="1" x14ac:dyDescent="0.35">
      <c r="A4787" s="112" t="s">
        <v>3616</v>
      </c>
      <c r="B4787" s="112" t="s">
        <v>919</v>
      </c>
      <c r="C4787" s="112" t="s">
        <v>695</v>
      </c>
      <c r="D4787" s="113">
        <v>10348420</v>
      </c>
      <c r="E4787" s="115">
        <v>43945</v>
      </c>
      <c r="F4787" s="114">
        <v>202101</v>
      </c>
      <c r="G4787" s="112" t="s">
        <v>1091</v>
      </c>
      <c r="H4787" s="112" t="s">
        <v>1015</v>
      </c>
      <c r="I4787" s="112" t="s">
        <v>1643</v>
      </c>
      <c r="J4787" s="112" t="s">
        <v>3628</v>
      </c>
      <c r="K4787" s="112" t="s">
        <v>4044</v>
      </c>
      <c r="L4787" s="116">
        <v>90.16</v>
      </c>
    </row>
    <row r="4788" spans="1:12" hidden="1" outlineLevel="1" collapsed="1" x14ac:dyDescent="0.35">
      <c r="A4788" s="112" t="s">
        <v>3616</v>
      </c>
      <c r="B4788" s="112" t="s">
        <v>919</v>
      </c>
      <c r="C4788" s="112" t="s">
        <v>695</v>
      </c>
      <c r="D4788" s="113">
        <v>10348420</v>
      </c>
      <c r="E4788" s="115">
        <v>43945</v>
      </c>
      <c r="F4788" s="114">
        <v>202101</v>
      </c>
      <c r="G4788" s="112" t="s">
        <v>1091</v>
      </c>
      <c r="H4788" s="112" t="s">
        <v>1015</v>
      </c>
      <c r="I4788" s="112" t="s">
        <v>1643</v>
      </c>
      <c r="J4788" s="112" t="s">
        <v>3632</v>
      </c>
      <c r="K4788" s="112" t="s">
        <v>4045</v>
      </c>
      <c r="L4788" s="116">
        <v>1387.27</v>
      </c>
    </row>
    <row r="4789" spans="1:12" hidden="1" outlineLevel="1" collapsed="1" x14ac:dyDescent="0.35">
      <c r="A4789" s="112" t="s">
        <v>3616</v>
      </c>
      <c r="B4789" s="112" t="s">
        <v>919</v>
      </c>
      <c r="C4789" s="112" t="s">
        <v>695</v>
      </c>
      <c r="D4789" s="113">
        <v>10348420</v>
      </c>
      <c r="E4789" s="115">
        <v>43945</v>
      </c>
      <c r="F4789" s="114">
        <v>202101</v>
      </c>
      <c r="G4789" s="112" t="s">
        <v>1091</v>
      </c>
      <c r="H4789" s="112" t="s">
        <v>1015</v>
      </c>
      <c r="I4789" s="112" t="s">
        <v>1643</v>
      </c>
      <c r="J4789" s="112" t="s">
        <v>3634</v>
      </c>
      <c r="K4789" s="112" t="s">
        <v>4046</v>
      </c>
      <c r="L4789" s="116">
        <v>165.88</v>
      </c>
    </row>
    <row r="4790" spans="1:12" hidden="1" outlineLevel="1" collapsed="1" x14ac:dyDescent="0.35">
      <c r="A4790" s="112" t="s">
        <v>3616</v>
      </c>
      <c r="B4790" s="112" t="s">
        <v>919</v>
      </c>
      <c r="C4790" s="112" t="s">
        <v>695</v>
      </c>
      <c r="D4790" s="113">
        <v>10348420</v>
      </c>
      <c r="E4790" s="115">
        <v>43945</v>
      </c>
      <c r="F4790" s="114">
        <v>202101</v>
      </c>
      <c r="G4790" s="112" t="s">
        <v>1091</v>
      </c>
      <c r="H4790" s="112" t="s">
        <v>1015</v>
      </c>
      <c r="I4790" s="112" t="s">
        <v>1643</v>
      </c>
      <c r="J4790" s="112" t="s">
        <v>3617</v>
      </c>
      <c r="K4790" s="112" t="s">
        <v>4047</v>
      </c>
      <c r="L4790" s="116">
        <v>1092.8800000000001</v>
      </c>
    </row>
    <row r="4791" spans="1:12" hidden="1" outlineLevel="1" collapsed="1" x14ac:dyDescent="0.35">
      <c r="A4791" s="112" t="s">
        <v>3616</v>
      </c>
      <c r="B4791" s="112" t="s">
        <v>921</v>
      </c>
      <c r="C4791" s="112" t="s">
        <v>695</v>
      </c>
      <c r="D4791" s="113">
        <v>10348420</v>
      </c>
      <c r="E4791" s="115">
        <v>43945</v>
      </c>
      <c r="F4791" s="114">
        <v>202101</v>
      </c>
      <c r="G4791" s="112" t="s">
        <v>1091</v>
      </c>
      <c r="H4791" s="112" t="s">
        <v>1015</v>
      </c>
      <c r="I4791" s="112" t="s">
        <v>1643</v>
      </c>
      <c r="J4791" s="112" t="s">
        <v>3620</v>
      </c>
      <c r="K4791" s="112" t="s">
        <v>4048</v>
      </c>
      <c r="L4791" s="116">
        <v>-2302.7600000000002</v>
      </c>
    </row>
    <row r="4792" spans="1:12" hidden="1" outlineLevel="1" collapsed="1" x14ac:dyDescent="0.35">
      <c r="A4792" s="112" t="s">
        <v>3616</v>
      </c>
      <c r="B4792" s="112" t="s">
        <v>921</v>
      </c>
      <c r="C4792" s="112" t="s">
        <v>695</v>
      </c>
      <c r="D4792" s="113">
        <v>10348420</v>
      </c>
      <c r="E4792" s="115">
        <v>43945</v>
      </c>
      <c r="F4792" s="114">
        <v>202101</v>
      </c>
      <c r="G4792" s="112" t="s">
        <v>1091</v>
      </c>
      <c r="H4792" s="112" t="s">
        <v>1015</v>
      </c>
      <c r="I4792" s="112" t="s">
        <v>1264</v>
      </c>
      <c r="J4792" s="112" t="s">
        <v>3620</v>
      </c>
      <c r="K4792" s="112" t="s">
        <v>4049</v>
      </c>
      <c r="L4792" s="116">
        <v>75</v>
      </c>
    </row>
    <row r="4793" spans="1:12" hidden="1" outlineLevel="1" collapsed="1" x14ac:dyDescent="0.35">
      <c r="A4793" s="112" t="s">
        <v>3616</v>
      </c>
      <c r="B4793" s="112" t="s">
        <v>922</v>
      </c>
      <c r="C4793" s="112" t="s">
        <v>695</v>
      </c>
      <c r="D4793" s="113">
        <v>10348429</v>
      </c>
      <c r="E4793" s="115">
        <v>43945</v>
      </c>
      <c r="F4793" s="114">
        <v>202101</v>
      </c>
      <c r="G4793" s="112" t="s">
        <v>1091</v>
      </c>
      <c r="H4793" s="112" t="s">
        <v>1015</v>
      </c>
      <c r="I4793" s="112" t="s">
        <v>2495</v>
      </c>
      <c r="J4793" s="112" t="s">
        <v>3805</v>
      </c>
      <c r="K4793" s="112" t="s">
        <v>4050</v>
      </c>
      <c r="L4793" s="116">
        <v>12218</v>
      </c>
    </row>
    <row r="4794" spans="1:12" hidden="1" outlineLevel="1" collapsed="1" x14ac:dyDescent="0.35">
      <c r="A4794" s="112" t="s">
        <v>3616</v>
      </c>
      <c r="B4794" s="112" t="s">
        <v>921</v>
      </c>
      <c r="C4794" s="112" t="s">
        <v>1758</v>
      </c>
      <c r="D4794" s="113">
        <v>51365640</v>
      </c>
      <c r="E4794" s="115">
        <v>43922</v>
      </c>
      <c r="F4794" s="114">
        <v>202101</v>
      </c>
      <c r="G4794" s="112" t="s">
        <v>1091</v>
      </c>
      <c r="H4794" s="112" t="s">
        <v>1016</v>
      </c>
      <c r="I4794" s="112" t="s">
        <v>3899</v>
      </c>
      <c r="J4794" s="112" t="s">
        <v>3709</v>
      </c>
      <c r="K4794" s="112" t="s">
        <v>4051</v>
      </c>
      <c r="L4794" s="116">
        <v>137.5</v>
      </c>
    </row>
    <row r="4795" spans="1:12" hidden="1" outlineLevel="1" collapsed="1" x14ac:dyDescent="0.35">
      <c r="A4795" s="112" t="s">
        <v>3616</v>
      </c>
      <c r="B4795" s="112" t="s">
        <v>919</v>
      </c>
      <c r="C4795" s="112" t="s">
        <v>1095</v>
      </c>
      <c r="D4795" s="113">
        <v>10348451</v>
      </c>
      <c r="E4795" s="115">
        <v>43949</v>
      </c>
      <c r="F4795" s="114">
        <v>202101</v>
      </c>
      <c r="G4795" s="112" t="s">
        <v>1091</v>
      </c>
      <c r="H4795" s="112" t="s">
        <v>1015</v>
      </c>
      <c r="I4795" s="112" t="s">
        <v>1116</v>
      </c>
      <c r="J4795" s="112" t="s">
        <v>3628</v>
      </c>
      <c r="K4795" s="112" t="s">
        <v>1098</v>
      </c>
      <c r="L4795" s="116">
        <v>1892.67</v>
      </c>
    </row>
    <row r="4796" spans="1:12" hidden="1" outlineLevel="1" collapsed="1" x14ac:dyDescent="0.35">
      <c r="A4796" s="112" t="s">
        <v>3616</v>
      </c>
      <c r="B4796" s="112" t="s">
        <v>922</v>
      </c>
      <c r="C4796" s="112" t="s">
        <v>1095</v>
      </c>
      <c r="D4796" s="113">
        <v>10348451</v>
      </c>
      <c r="E4796" s="115">
        <v>43949</v>
      </c>
      <c r="F4796" s="114">
        <v>202101</v>
      </c>
      <c r="G4796" s="112" t="s">
        <v>1091</v>
      </c>
      <c r="H4796" s="112" t="s">
        <v>1015</v>
      </c>
      <c r="I4796" s="112" t="s">
        <v>1101</v>
      </c>
      <c r="J4796" s="112" t="s">
        <v>3805</v>
      </c>
      <c r="K4796" s="112" t="s">
        <v>1098</v>
      </c>
      <c r="L4796" s="116">
        <v>163.19999999999999</v>
      </c>
    </row>
    <row r="4797" spans="1:12" hidden="1" outlineLevel="1" collapsed="1" x14ac:dyDescent="0.35">
      <c r="A4797" s="112" t="s">
        <v>3616</v>
      </c>
      <c r="B4797" s="112" t="s">
        <v>919</v>
      </c>
      <c r="C4797" s="112" t="s">
        <v>695</v>
      </c>
      <c r="D4797" s="113">
        <v>10348431</v>
      </c>
      <c r="E4797" s="115">
        <v>43945</v>
      </c>
      <c r="F4797" s="114">
        <v>202101</v>
      </c>
      <c r="G4797" s="112" t="s">
        <v>1091</v>
      </c>
      <c r="H4797" s="112" t="s">
        <v>1015</v>
      </c>
      <c r="I4797" s="112" t="s">
        <v>1643</v>
      </c>
      <c r="J4797" s="112" t="s">
        <v>3624</v>
      </c>
      <c r="K4797" s="112" t="s">
        <v>4052</v>
      </c>
      <c r="L4797" s="116">
        <v>191.27</v>
      </c>
    </row>
    <row r="4798" spans="1:12" hidden="1" outlineLevel="1" collapsed="1" x14ac:dyDescent="0.35">
      <c r="A4798" s="112" t="s">
        <v>3616</v>
      </c>
      <c r="B4798" s="112" t="s">
        <v>919</v>
      </c>
      <c r="C4798" s="112" t="s">
        <v>695</v>
      </c>
      <c r="D4798" s="113">
        <v>10348431</v>
      </c>
      <c r="E4798" s="115">
        <v>43945</v>
      </c>
      <c r="F4798" s="114">
        <v>202101</v>
      </c>
      <c r="G4798" s="112" t="s">
        <v>1091</v>
      </c>
      <c r="H4798" s="112" t="s">
        <v>1015</v>
      </c>
      <c r="I4798" s="112" t="s">
        <v>1643</v>
      </c>
      <c r="J4798" s="112" t="s">
        <v>3624</v>
      </c>
      <c r="K4798" s="112" t="s">
        <v>4053</v>
      </c>
      <c r="L4798" s="116">
        <v>160.18</v>
      </c>
    </row>
    <row r="4799" spans="1:12" hidden="1" outlineLevel="1" collapsed="1" x14ac:dyDescent="0.35">
      <c r="A4799" s="112" t="s">
        <v>3616</v>
      </c>
      <c r="B4799" s="112" t="s">
        <v>919</v>
      </c>
      <c r="C4799" s="112" t="s">
        <v>695</v>
      </c>
      <c r="D4799" s="113">
        <v>10348431</v>
      </c>
      <c r="E4799" s="115">
        <v>43945</v>
      </c>
      <c r="F4799" s="114">
        <v>202101</v>
      </c>
      <c r="G4799" s="112" t="s">
        <v>1091</v>
      </c>
      <c r="H4799" s="112" t="s">
        <v>1015</v>
      </c>
      <c r="I4799" s="112" t="s">
        <v>1643</v>
      </c>
      <c r="J4799" s="112" t="s">
        <v>3624</v>
      </c>
      <c r="K4799" s="112" t="s">
        <v>4054</v>
      </c>
      <c r="L4799" s="116">
        <v>1854</v>
      </c>
    </row>
    <row r="4800" spans="1:12" hidden="1" outlineLevel="1" collapsed="1" x14ac:dyDescent="0.35">
      <c r="A4800" s="112" t="s">
        <v>3616</v>
      </c>
      <c r="B4800" s="112" t="s">
        <v>919</v>
      </c>
      <c r="C4800" s="112" t="s">
        <v>1095</v>
      </c>
      <c r="D4800" s="113">
        <v>10348451</v>
      </c>
      <c r="E4800" s="115">
        <v>43949</v>
      </c>
      <c r="F4800" s="114">
        <v>202101</v>
      </c>
      <c r="G4800" s="112" t="s">
        <v>1091</v>
      </c>
      <c r="H4800" s="112" t="s">
        <v>1015</v>
      </c>
      <c r="I4800" s="112" t="s">
        <v>1116</v>
      </c>
      <c r="J4800" s="112" t="s">
        <v>3628</v>
      </c>
      <c r="K4800" s="112" t="s">
        <v>1098</v>
      </c>
      <c r="L4800" s="116">
        <v>2981.92</v>
      </c>
    </row>
    <row r="4801" spans="1:12" hidden="1" outlineLevel="1" collapsed="1" x14ac:dyDescent="0.35">
      <c r="A4801" s="112" t="s">
        <v>3616</v>
      </c>
      <c r="B4801" s="112" t="s">
        <v>922</v>
      </c>
      <c r="C4801" s="112" t="s">
        <v>1095</v>
      </c>
      <c r="D4801" s="113">
        <v>10348451</v>
      </c>
      <c r="E4801" s="115">
        <v>43949</v>
      </c>
      <c r="F4801" s="114">
        <v>202101</v>
      </c>
      <c r="G4801" s="112" t="s">
        <v>1091</v>
      </c>
      <c r="H4801" s="112" t="s">
        <v>1015</v>
      </c>
      <c r="I4801" s="112" t="s">
        <v>1101</v>
      </c>
      <c r="J4801" s="112" t="s">
        <v>3954</v>
      </c>
      <c r="K4801" s="112" t="s">
        <v>1098</v>
      </c>
      <c r="L4801" s="116">
        <v>163.19999999999999</v>
      </c>
    </row>
    <row r="4802" spans="1:12" hidden="1" outlineLevel="1" collapsed="1" x14ac:dyDescent="0.35">
      <c r="A4802" s="112" t="s">
        <v>3616</v>
      </c>
      <c r="B4802" s="112" t="s">
        <v>922</v>
      </c>
      <c r="C4802" s="112" t="s">
        <v>1095</v>
      </c>
      <c r="D4802" s="113">
        <v>10348451</v>
      </c>
      <c r="E4802" s="115">
        <v>43949</v>
      </c>
      <c r="F4802" s="114">
        <v>202101</v>
      </c>
      <c r="G4802" s="112" t="s">
        <v>1091</v>
      </c>
      <c r="H4802" s="112" t="s">
        <v>1015</v>
      </c>
      <c r="I4802" s="112" t="s">
        <v>1116</v>
      </c>
      <c r="J4802" s="112" t="s">
        <v>3791</v>
      </c>
      <c r="K4802" s="112" t="s">
        <v>1098</v>
      </c>
      <c r="L4802" s="116">
        <v>2631.25</v>
      </c>
    </row>
    <row r="4803" spans="1:12" hidden="1" outlineLevel="1" collapsed="1" x14ac:dyDescent="0.35">
      <c r="A4803" s="112" t="s">
        <v>3616</v>
      </c>
      <c r="B4803" s="112" t="s">
        <v>922</v>
      </c>
      <c r="C4803" s="112" t="s">
        <v>695</v>
      </c>
      <c r="D4803" s="113">
        <v>10348431</v>
      </c>
      <c r="E4803" s="115">
        <v>43945</v>
      </c>
      <c r="F4803" s="114">
        <v>202101</v>
      </c>
      <c r="G4803" s="112" t="s">
        <v>1091</v>
      </c>
      <c r="H4803" s="112" t="s">
        <v>1015</v>
      </c>
      <c r="I4803" s="112" t="s">
        <v>761</v>
      </c>
      <c r="J4803" s="112" t="s">
        <v>3954</v>
      </c>
      <c r="K4803" s="112" t="s">
        <v>4055</v>
      </c>
      <c r="L4803" s="116">
        <v>446</v>
      </c>
    </row>
    <row r="4804" spans="1:12" hidden="1" outlineLevel="1" collapsed="1" x14ac:dyDescent="0.35">
      <c r="A4804" s="112" t="s">
        <v>3616</v>
      </c>
      <c r="B4804" s="112" t="s">
        <v>923</v>
      </c>
      <c r="C4804" s="112" t="s">
        <v>1095</v>
      </c>
      <c r="D4804" s="113">
        <v>10348451</v>
      </c>
      <c r="E4804" s="115">
        <v>43949</v>
      </c>
      <c r="F4804" s="114">
        <v>202101</v>
      </c>
      <c r="G4804" s="112" t="s">
        <v>1091</v>
      </c>
      <c r="H4804" s="112" t="s">
        <v>1015</v>
      </c>
      <c r="I4804" s="112" t="s">
        <v>1116</v>
      </c>
      <c r="J4804" s="112" t="s">
        <v>3750</v>
      </c>
      <c r="K4804" s="112" t="s">
        <v>1098</v>
      </c>
      <c r="L4804" s="116">
        <v>1838.85</v>
      </c>
    </row>
    <row r="4805" spans="1:12" hidden="1" outlineLevel="1" collapsed="1" x14ac:dyDescent="0.35">
      <c r="A4805" s="112" t="s">
        <v>3616</v>
      </c>
      <c r="B4805" s="112" t="s">
        <v>922</v>
      </c>
      <c r="C4805" s="112" t="s">
        <v>1099</v>
      </c>
      <c r="D4805" s="113">
        <v>1069288</v>
      </c>
      <c r="E4805" s="115">
        <v>43915</v>
      </c>
      <c r="F4805" s="114">
        <v>202101</v>
      </c>
      <c r="G4805" s="112" t="s">
        <v>1091</v>
      </c>
      <c r="H4805" s="112" t="s">
        <v>1015</v>
      </c>
      <c r="I4805" s="112" t="s">
        <v>3672</v>
      </c>
      <c r="J4805" s="112" t="s">
        <v>3794</v>
      </c>
      <c r="K4805" s="112" t="s">
        <v>4056</v>
      </c>
      <c r="L4805" s="116">
        <v>2563.75</v>
      </c>
    </row>
    <row r="4806" spans="1:12" hidden="1" outlineLevel="1" collapsed="1" x14ac:dyDescent="0.35">
      <c r="A4806" s="112" t="s">
        <v>3616</v>
      </c>
      <c r="B4806" s="112" t="s">
        <v>923</v>
      </c>
      <c r="C4806" s="112" t="s">
        <v>1095</v>
      </c>
      <c r="D4806" s="113">
        <v>10348451</v>
      </c>
      <c r="E4806" s="115">
        <v>43949</v>
      </c>
      <c r="F4806" s="114">
        <v>202101</v>
      </c>
      <c r="G4806" s="112" t="s">
        <v>1091</v>
      </c>
      <c r="H4806" s="112" t="s">
        <v>1015</v>
      </c>
      <c r="I4806" s="112" t="s">
        <v>1116</v>
      </c>
      <c r="J4806" s="112" t="s">
        <v>3750</v>
      </c>
      <c r="K4806" s="112" t="s">
        <v>1098</v>
      </c>
      <c r="L4806" s="116">
        <v>5799.08</v>
      </c>
    </row>
    <row r="4807" spans="1:12" hidden="1" outlineLevel="1" collapsed="1" x14ac:dyDescent="0.35">
      <c r="A4807" s="112" t="s">
        <v>3616</v>
      </c>
      <c r="B4807" s="112" t="s">
        <v>923</v>
      </c>
      <c r="C4807" s="112" t="s">
        <v>1095</v>
      </c>
      <c r="D4807" s="113">
        <v>10348451</v>
      </c>
      <c r="E4807" s="115">
        <v>43949</v>
      </c>
      <c r="F4807" s="114">
        <v>202101</v>
      </c>
      <c r="G4807" s="112" t="s">
        <v>1091</v>
      </c>
      <c r="H4807" s="112" t="s">
        <v>1015</v>
      </c>
      <c r="I4807" s="112" t="s">
        <v>1116</v>
      </c>
      <c r="J4807" s="112" t="s">
        <v>3750</v>
      </c>
      <c r="K4807" s="112" t="s">
        <v>1098</v>
      </c>
      <c r="L4807" s="116">
        <v>2981.92</v>
      </c>
    </row>
    <row r="4808" spans="1:12" hidden="1" outlineLevel="1" collapsed="1" x14ac:dyDescent="0.35">
      <c r="A4808" s="112" t="s">
        <v>3616</v>
      </c>
      <c r="B4808" s="112" t="s">
        <v>923</v>
      </c>
      <c r="C4808" s="112" t="s">
        <v>1095</v>
      </c>
      <c r="D4808" s="113">
        <v>10348451</v>
      </c>
      <c r="E4808" s="115">
        <v>43949</v>
      </c>
      <c r="F4808" s="114">
        <v>202101</v>
      </c>
      <c r="G4808" s="112" t="s">
        <v>1091</v>
      </c>
      <c r="H4808" s="112" t="s">
        <v>1015</v>
      </c>
      <c r="I4808" s="112" t="s">
        <v>1116</v>
      </c>
      <c r="J4808" s="112" t="s">
        <v>3750</v>
      </c>
      <c r="K4808" s="112" t="s">
        <v>1098</v>
      </c>
      <c r="L4808" s="116">
        <v>1578.75</v>
      </c>
    </row>
    <row r="4809" spans="1:12" hidden="1" outlineLevel="1" collapsed="1" x14ac:dyDescent="0.35">
      <c r="A4809" s="112" t="s">
        <v>3616</v>
      </c>
      <c r="B4809" s="112" t="s">
        <v>921</v>
      </c>
      <c r="C4809" s="112" t="s">
        <v>1095</v>
      </c>
      <c r="D4809" s="113">
        <v>10348451</v>
      </c>
      <c r="E4809" s="115">
        <v>43949</v>
      </c>
      <c r="F4809" s="114">
        <v>202101</v>
      </c>
      <c r="G4809" s="112" t="s">
        <v>1091</v>
      </c>
      <c r="H4809" s="112" t="s">
        <v>1015</v>
      </c>
      <c r="I4809" s="112" t="s">
        <v>3261</v>
      </c>
      <c r="J4809" s="112" t="s">
        <v>3620</v>
      </c>
      <c r="K4809" s="112" t="s">
        <v>1098</v>
      </c>
      <c r="L4809" s="116">
        <v>382.69</v>
      </c>
    </row>
    <row r="4810" spans="1:12" hidden="1" outlineLevel="1" collapsed="1" x14ac:dyDescent="0.35">
      <c r="A4810" s="112" t="s">
        <v>3616</v>
      </c>
      <c r="B4810" s="112" t="s">
        <v>923</v>
      </c>
      <c r="C4810" s="112" t="s">
        <v>1095</v>
      </c>
      <c r="D4810" s="113">
        <v>10348451</v>
      </c>
      <c r="E4810" s="115">
        <v>43949</v>
      </c>
      <c r="F4810" s="114">
        <v>202101</v>
      </c>
      <c r="G4810" s="112" t="s">
        <v>1091</v>
      </c>
      <c r="H4810" s="112" t="s">
        <v>1015</v>
      </c>
      <c r="I4810" s="112" t="s">
        <v>1116</v>
      </c>
      <c r="J4810" s="112" t="s">
        <v>3750</v>
      </c>
      <c r="K4810" s="112" t="s">
        <v>1098</v>
      </c>
      <c r="L4810" s="116">
        <v>1490.96</v>
      </c>
    </row>
    <row r="4811" spans="1:12" hidden="1" outlineLevel="1" collapsed="1" x14ac:dyDescent="0.35">
      <c r="A4811" s="112" t="s">
        <v>3616</v>
      </c>
      <c r="B4811" s="112" t="s">
        <v>921</v>
      </c>
      <c r="C4811" s="112" t="s">
        <v>1518</v>
      </c>
      <c r="D4811" s="113">
        <v>51366173</v>
      </c>
      <c r="E4811" s="115">
        <v>43943</v>
      </c>
      <c r="F4811" s="114">
        <v>202101</v>
      </c>
      <c r="G4811" s="112" t="s">
        <v>1091</v>
      </c>
      <c r="H4811" s="112" t="s">
        <v>1016</v>
      </c>
      <c r="I4811" s="112" t="s">
        <v>3846</v>
      </c>
      <c r="J4811" s="112" t="s">
        <v>3709</v>
      </c>
      <c r="K4811" s="112" t="s">
        <v>4028</v>
      </c>
      <c r="L4811" s="116">
        <v>-360</v>
      </c>
    </row>
    <row r="4812" spans="1:12" hidden="1" outlineLevel="1" collapsed="1" x14ac:dyDescent="0.35">
      <c r="A4812" s="112" t="s">
        <v>3616</v>
      </c>
      <c r="B4812" s="112" t="s">
        <v>923</v>
      </c>
      <c r="C4812" s="112" t="s">
        <v>1095</v>
      </c>
      <c r="D4812" s="113">
        <v>10348451</v>
      </c>
      <c r="E4812" s="115">
        <v>43949</v>
      </c>
      <c r="F4812" s="114">
        <v>202101</v>
      </c>
      <c r="G4812" s="112" t="s">
        <v>1091</v>
      </c>
      <c r="H4812" s="112" t="s">
        <v>1015</v>
      </c>
      <c r="I4812" s="112" t="s">
        <v>1116</v>
      </c>
      <c r="J4812" s="112" t="s">
        <v>3750</v>
      </c>
      <c r="K4812" s="112" t="s">
        <v>1098</v>
      </c>
      <c r="L4812" s="116">
        <v>3747.92</v>
      </c>
    </row>
    <row r="4813" spans="1:12" hidden="1" outlineLevel="1" collapsed="1" x14ac:dyDescent="0.35">
      <c r="A4813" s="112" t="s">
        <v>3616</v>
      </c>
      <c r="B4813" s="112" t="s">
        <v>921</v>
      </c>
      <c r="C4813" s="112" t="s">
        <v>1095</v>
      </c>
      <c r="D4813" s="113">
        <v>10348451</v>
      </c>
      <c r="E4813" s="115">
        <v>43949</v>
      </c>
      <c r="F4813" s="114">
        <v>202101</v>
      </c>
      <c r="G4813" s="112" t="s">
        <v>1091</v>
      </c>
      <c r="H4813" s="112" t="s">
        <v>1015</v>
      </c>
      <c r="I4813" s="112" t="s">
        <v>1116</v>
      </c>
      <c r="J4813" s="112" t="s">
        <v>3620</v>
      </c>
      <c r="K4813" s="112" t="s">
        <v>1098</v>
      </c>
      <c r="L4813" s="116">
        <v>1656.92</v>
      </c>
    </row>
    <row r="4814" spans="1:12" hidden="1" outlineLevel="1" collapsed="1" x14ac:dyDescent="0.35">
      <c r="A4814" s="112" t="s">
        <v>3616</v>
      </c>
      <c r="B4814" s="112" t="s">
        <v>921</v>
      </c>
      <c r="C4814" s="112" t="s">
        <v>1095</v>
      </c>
      <c r="D4814" s="113">
        <v>10348451</v>
      </c>
      <c r="E4814" s="115">
        <v>43949</v>
      </c>
      <c r="F4814" s="114">
        <v>202101</v>
      </c>
      <c r="G4814" s="112" t="s">
        <v>1091</v>
      </c>
      <c r="H4814" s="112" t="s">
        <v>1015</v>
      </c>
      <c r="I4814" s="112" t="s">
        <v>1116</v>
      </c>
      <c r="J4814" s="112" t="s">
        <v>3709</v>
      </c>
      <c r="K4814" s="112" t="s">
        <v>1098</v>
      </c>
      <c r="L4814" s="116">
        <v>2259.5</v>
      </c>
    </row>
    <row r="4815" spans="1:12" hidden="1" outlineLevel="1" collapsed="1" x14ac:dyDescent="0.35">
      <c r="A4815" s="112" t="s">
        <v>3616</v>
      </c>
      <c r="B4815" s="112" t="s">
        <v>921</v>
      </c>
      <c r="C4815" s="112" t="s">
        <v>1095</v>
      </c>
      <c r="D4815" s="113">
        <v>10348451</v>
      </c>
      <c r="E4815" s="115">
        <v>43949</v>
      </c>
      <c r="F4815" s="114">
        <v>202101</v>
      </c>
      <c r="G4815" s="112" t="s">
        <v>1091</v>
      </c>
      <c r="H4815" s="112" t="s">
        <v>1015</v>
      </c>
      <c r="I4815" s="112" t="s">
        <v>1116</v>
      </c>
      <c r="J4815" s="112" t="s">
        <v>3709</v>
      </c>
      <c r="K4815" s="112" t="s">
        <v>1098</v>
      </c>
      <c r="L4815" s="116">
        <v>1832.03</v>
      </c>
    </row>
    <row r="4816" spans="1:12" hidden="1" outlineLevel="1" collapsed="1" x14ac:dyDescent="0.35">
      <c r="A4816" s="112" t="s">
        <v>3616</v>
      </c>
      <c r="B4816" s="112" t="s">
        <v>921</v>
      </c>
      <c r="C4816" s="112" t="s">
        <v>1095</v>
      </c>
      <c r="D4816" s="113">
        <v>10348451</v>
      </c>
      <c r="E4816" s="115">
        <v>43949</v>
      </c>
      <c r="F4816" s="114">
        <v>202101</v>
      </c>
      <c r="G4816" s="112" t="s">
        <v>1091</v>
      </c>
      <c r="H4816" s="112" t="s">
        <v>1015</v>
      </c>
      <c r="I4816" s="112" t="s">
        <v>1116</v>
      </c>
      <c r="J4816" s="112" t="s">
        <v>3709</v>
      </c>
      <c r="K4816" s="112" t="s">
        <v>1098</v>
      </c>
      <c r="L4816" s="116">
        <v>4871.08</v>
      </c>
    </row>
    <row r="4817" spans="1:12" hidden="1" outlineLevel="1" collapsed="1" x14ac:dyDescent="0.35">
      <c r="A4817" s="112" t="s">
        <v>3616</v>
      </c>
      <c r="B4817" s="112" t="s">
        <v>920</v>
      </c>
      <c r="C4817" s="112" t="s">
        <v>1095</v>
      </c>
      <c r="D4817" s="113">
        <v>10348451</v>
      </c>
      <c r="E4817" s="115">
        <v>43949</v>
      </c>
      <c r="F4817" s="114">
        <v>202101</v>
      </c>
      <c r="G4817" s="112" t="s">
        <v>1091</v>
      </c>
      <c r="H4817" s="112" t="s">
        <v>1015</v>
      </c>
      <c r="I4817" s="112" t="s">
        <v>1101</v>
      </c>
      <c r="J4817" s="112" t="s">
        <v>3755</v>
      </c>
      <c r="K4817" s="112" t="s">
        <v>1098</v>
      </c>
      <c r="L4817" s="116">
        <v>549.4</v>
      </c>
    </row>
    <row r="4818" spans="1:12" hidden="1" outlineLevel="1" collapsed="1" x14ac:dyDescent="0.35">
      <c r="A4818" s="112" t="s">
        <v>3616</v>
      </c>
      <c r="B4818" s="112" t="s">
        <v>921</v>
      </c>
      <c r="C4818" s="112" t="s">
        <v>1095</v>
      </c>
      <c r="D4818" s="113">
        <v>10348451</v>
      </c>
      <c r="E4818" s="115">
        <v>43949</v>
      </c>
      <c r="F4818" s="114">
        <v>202101</v>
      </c>
      <c r="G4818" s="112" t="s">
        <v>1091</v>
      </c>
      <c r="H4818" s="112" t="s">
        <v>1015</v>
      </c>
      <c r="I4818" s="112" t="s">
        <v>1116</v>
      </c>
      <c r="J4818" s="112" t="s">
        <v>3620</v>
      </c>
      <c r="K4818" s="112" t="s">
        <v>1098</v>
      </c>
      <c r="L4818" s="116">
        <v>2663.14</v>
      </c>
    </row>
    <row r="4819" spans="1:12" hidden="1" outlineLevel="1" collapsed="1" x14ac:dyDescent="0.35">
      <c r="A4819" s="112" t="s">
        <v>3616</v>
      </c>
      <c r="B4819" s="112" t="s">
        <v>921</v>
      </c>
      <c r="C4819" s="112" t="s">
        <v>1095</v>
      </c>
      <c r="D4819" s="113">
        <v>10348451</v>
      </c>
      <c r="E4819" s="115">
        <v>43949</v>
      </c>
      <c r="F4819" s="114">
        <v>202101</v>
      </c>
      <c r="G4819" s="112" t="s">
        <v>1091</v>
      </c>
      <c r="H4819" s="112" t="s">
        <v>1015</v>
      </c>
      <c r="I4819" s="112" t="s">
        <v>1116</v>
      </c>
      <c r="J4819" s="112" t="s">
        <v>3620</v>
      </c>
      <c r="K4819" s="112" t="s">
        <v>1098</v>
      </c>
      <c r="L4819" s="116">
        <v>1729.42</v>
      </c>
    </row>
    <row r="4820" spans="1:12" hidden="1" outlineLevel="1" collapsed="1" x14ac:dyDescent="0.35">
      <c r="A4820" s="112" t="s">
        <v>3616</v>
      </c>
      <c r="B4820" s="112" t="s">
        <v>921</v>
      </c>
      <c r="C4820" s="112" t="s">
        <v>1095</v>
      </c>
      <c r="D4820" s="113">
        <v>10348451</v>
      </c>
      <c r="E4820" s="115">
        <v>43949</v>
      </c>
      <c r="F4820" s="114">
        <v>202101</v>
      </c>
      <c r="G4820" s="112" t="s">
        <v>1091</v>
      </c>
      <c r="H4820" s="112" t="s">
        <v>1015</v>
      </c>
      <c r="I4820" s="112" t="s">
        <v>1116</v>
      </c>
      <c r="J4820" s="112" t="s">
        <v>3620</v>
      </c>
      <c r="K4820" s="112" t="s">
        <v>1098</v>
      </c>
      <c r="L4820" s="116">
        <v>1729.42</v>
      </c>
    </row>
    <row r="4821" spans="1:12" hidden="1" outlineLevel="1" collapsed="1" x14ac:dyDescent="0.35">
      <c r="A4821" s="112" t="s">
        <v>3616</v>
      </c>
      <c r="B4821" s="112" t="s">
        <v>921</v>
      </c>
      <c r="C4821" s="112" t="s">
        <v>1095</v>
      </c>
      <c r="D4821" s="113">
        <v>10348451</v>
      </c>
      <c r="E4821" s="115">
        <v>43949</v>
      </c>
      <c r="F4821" s="114">
        <v>202101</v>
      </c>
      <c r="G4821" s="112" t="s">
        <v>1091</v>
      </c>
      <c r="H4821" s="112" t="s">
        <v>1015</v>
      </c>
      <c r="I4821" s="112" t="s">
        <v>1116</v>
      </c>
      <c r="J4821" s="112" t="s">
        <v>3620</v>
      </c>
      <c r="K4821" s="112" t="s">
        <v>1098</v>
      </c>
      <c r="L4821" s="116">
        <v>677.74</v>
      </c>
    </row>
    <row r="4822" spans="1:12" hidden="1" outlineLevel="1" collapsed="1" x14ac:dyDescent="0.35">
      <c r="A4822" s="112" t="s">
        <v>3616</v>
      </c>
      <c r="B4822" s="112" t="s">
        <v>921</v>
      </c>
      <c r="C4822" s="112" t="s">
        <v>1095</v>
      </c>
      <c r="D4822" s="113">
        <v>10348451</v>
      </c>
      <c r="E4822" s="115">
        <v>43949</v>
      </c>
      <c r="F4822" s="114">
        <v>202101</v>
      </c>
      <c r="G4822" s="112" t="s">
        <v>1091</v>
      </c>
      <c r="H4822" s="112" t="s">
        <v>1015</v>
      </c>
      <c r="I4822" s="112" t="s">
        <v>1116</v>
      </c>
      <c r="J4822" s="112" t="s">
        <v>3620</v>
      </c>
      <c r="K4822" s="112" t="s">
        <v>1098</v>
      </c>
      <c r="L4822" s="116">
        <v>1671.75</v>
      </c>
    </row>
    <row r="4823" spans="1:12" hidden="1" outlineLevel="1" collapsed="1" x14ac:dyDescent="0.35">
      <c r="A4823" s="112" t="s">
        <v>3616</v>
      </c>
      <c r="B4823" s="112" t="s">
        <v>921</v>
      </c>
      <c r="C4823" s="112" t="s">
        <v>1095</v>
      </c>
      <c r="D4823" s="113">
        <v>10348451</v>
      </c>
      <c r="E4823" s="115">
        <v>43949</v>
      </c>
      <c r="F4823" s="114">
        <v>202101</v>
      </c>
      <c r="G4823" s="112" t="s">
        <v>1091</v>
      </c>
      <c r="H4823" s="112" t="s">
        <v>1015</v>
      </c>
      <c r="I4823" s="112" t="s">
        <v>1116</v>
      </c>
      <c r="J4823" s="112" t="s">
        <v>3620</v>
      </c>
      <c r="K4823" s="112" t="s">
        <v>1098</v>
      </c>
      <c r="L4823" s="116">
        <v>1656.92</v>
      </c>
    </row>
    <row r="4824" spans="1:12" hidden="1" outlineLevel="1" collapsed="1" x14ac:dyDescent="0.35">
      <c r="A4824" s="112" t="s">
        <v>3616</v>
      </c>
      <c r="B4824" s="112" t="s">
        <v>921</v>
      </c>
      <c r="C4824" s="112" t="s">
        <v>1095</v>
      </c>
      <c r="D4824" s="113">
        <v>10348451</v>
      </c>
      <c r="E4824" s="115">
        <v>43949</v>
      </c>
      <c r="F4824" s="114">
        <v>202101</v>
      </c>
      <c r="G4824" s="112" t="s">
        <v>1091</v>
      </c>
      <c r="H4824" s="112" t="s">
        <v>1015</v>
      </c>
      <c r="I4824" s="112" t="s">
        <v>1116</v>
      </c>
      <c r="J4824" s="112" t="s">
        <v>3620</v>
      </c>
      <c r="K4824" s="112" t="s">
        <v>1098</v>
      </c>
      <c r="L4824" s="116">
        <v>2259.5</v>
      </c>
    </row>
    <row r="4825" spans="1:12" hidden="1" outlineLevel="1" collapsed="1" x14ac:dyDescent="0.35">
      <c r="A4825" s="112" t="s">
        <v>3616</v>
      </c>
      <c r="B4825" s="112" t="s">
        <v>921</v>
      </c>
      <c r="C4825" s="112" t="s">
        <v>1095</v>
      </c>
      <c r="D4825" s="113">
        <v>10348451</v>
      </c>
      <c r="E4825" s="115">
        <v>43949</v>
      </c>
      <c r="F4825" s="114">
        <v>202101</v>
      </c>
      <c r="G4825" s="112" t="s">
        <v>1091</v>
      </c>
      <c r="H4825" s="112" t="s">
        <v>1015</v>
      </c>
      <c r="I4825" s="112" t="s">
        <v>1116</v>
      </c>
      <c r="J4825" s="112" t="s">
        <v>3620</v>
      </c>
      <c r="K4825" s="112" t="s">
        <v>1098</v>
      </c>
      <c r="L4825" s="116">
        <v>2259.5</v>
      </c>
    </row>
    <row r="4826" spans="1:12" hidden="1" outlineLevel="1" collapsed="1" x14ac:dyDescent="0.35">
      <c r="A4826" s="112" t="s">
        <v>3616</v>
      </c>
      <c r="B4826" s="112" t="s">
        <v>921</v>
      </c>
      <c r="C4826" s="112" t="s">
        <v>1095</v>
      </c>
      <c r="D4826" s="113">
        <v>10348451</v>
      </c>
      <c r="E4826" s="115">
        <v>43949</v>
      </c>
      <c r="F4826" s="114">
        <v>202101</v>
      </c>
      <c r="G4826" s="112" t="s">
        <v>1091</v>
      </c>
      <c r="H4826" s="112" t="s">
        <v>1015</v>
      </c>
      <c r="I4826" s="112" t="s">
        <v>1116</v>
      </c>
      <c r="J4826" s="112" t="s">
        <v>3620</v>
      </c>
      <c r="K4826" s="112" t="s">
        <v>1098</v>
      </c>
      <c r="L4826" s="116">
        <v>1944.42</v>
      </c>
    </row>
    <row r="4827" spans="1:12" hidden="1" outlineLevel="1" collapsed="1" x14ac:dyDescent="0.35">
      <c r="A4827" s="112" t="s">
        <v>3616</v>
      </c>
      <c r="B4827" s="112" t="s">
        <v>921</v>
      </c>
      <c r="C4827" s="112" t="s">
        <v>1095</v>
      </c>
      <c r="D4827" s="113">
        <v>10348451</v>
      </c>
      <c r="E4827" s="115">
        <v>43949</v>
      </c>
      <c r="F4827" s="114">
        <v>202101</v>
      </c>
      <c r="G4827" s="112" t="s">
        <v>1091</v>
      </c>
      <c r="H4827" s="112" t="s">
        <v>1015</v>
      </c>
      <c r="I4827" s="112" t="s">
        <v>1116</v>
      </c>
      <c r="J4827" s="112" t="s">
        <v>3620</v>
      </c>
      <c r="K4827" s="112" t="s">
        <v>1098</v>
      </c>
      <c r="L4827" s="116">
        <v>2259.5</v>
      </c>
    </row>
    <row r="4828" spans="1:12" hidden="1" outlineLevel="1" collapsed="1" x14ac:dyDescent="0.35">
      <c r="A4828" s="112" t="s">
        <v>3616</v>
      </c>
      <c r="B4828" s="112" t="s">
        <v>921</v>
      </c>
      <c r="C4828" s="112" t="s">
        <v>1095</v>
      </c>
      <c r="D4828" s="113">
        <v>10348451</v>
      </c>
      <c r="E4828" s="115">
        <v>43949</v>
      </c>
      <c r="F4828" s="114">
        <v>202101</v>
      </c>
      <c r="G4828" s="112" t="s">
        <v>1091</v>
      </c>
      <c r="H4828" s="112" t="s">
        <v>1015</v>
      </c>
      <c r="I4828" s="112" t="s">
        <v>1116</v>
      </c>
      <c r="J4828" s="112" t="s">
        <v>3620</v>
      </c>
      <c r="K4828" s="112" t="s">
        <v>1098</v>
      </c>
      <c r="L4828" s="116">
        <v>2003.67</v>
      </c>
    </row>
    <row r="4829" spans="1:12" hidden="1" outlineLevel="1" collapsed="1" x14ac:dyDescent="0.35">
      <c r="A4829" s="112" t="s">
        <v>3616</v>
      </c>
      <c r="B4829" s="112" t="s">
        <v>921</v>
      </c>
      <c r="C4829" s="112" t="s">
        <v>1095</v>
      </c>
      <c r="D4829" s="113">
        <v>10348451</v>
      </c>
      <c r="E4829" s="115">
        <v>43949</v>
      </c>
      <c r="F4829" s="114">
        <v>202101</v>
      </c>
      <c r="G4829" s="112" t="s">
        <v>1091</v>
      </c>
      <c r="H4829" s="112" t="s">
        <v>1015</v>
      </c>
      <c r="I4829" s="112" t="s">
        <v>1101</v>
      </c>
      <c r="J4829" s="112" t="s">
        <v>3620</v>
      </c>
      <c r="K4829" s="112" t="s">
        <v>1098</v>
      </c>
      <c r="L4829" s="116">
        <v>483.07</v>
      </c>
    </row>
    <row r="4830" spans="1:12" hidden="1" outlineLevel="1" collapsed="1" x14ac:dyDescent="0.35">
      <c r="A4830" s="112" t="s">
        <v>3616</v>
      </c>
      <c r="B4830" s="112" t="s">
        <v>921</v>
      </c>
      <c r="C4830" s="112" t="s">
        <v>1095</v>
      </c>
      <c r="D4830" s="113">
        <v>10348451</v>
      </c>
      <c r="E4830" s="115">
        <v>43949</v>
      </c>
      <c r="F4830" s="114">
        <v>202101</v>
      </c>
      <c r="G4830" s="112" t="s">
        <v>1091</v>
      </c>
      <c r="H4830" s="112" t="s">
        <v>1015</v>
      </c>
      <c r="I4830" s="112" t="s">
        <v>1116</v>
      </c>
      <c r="J4830" s="112" t="s">
        <v>3620</v>
      </c>
      <c r="K4830" s="112" t="s">
        <v>1098</v>
      </c>
      <c r="L4830" s="116">
        <v>2631.25</v>
      </c>
    </row>
    <row r="4831" spans="1:12" hidden="1" outlineLevel="1" collapsed="1" x14ac:dyDescent="0.35">
      <c r="A4831" s="112" t="s">
        <v>3616</v>
      </c>
      <c r="B4831" s="112" t="s">
        <v>923</v>
      </c>
      <c r="C4831" s="112" t="s">
        <v>1095</v>
      </c>
      <c r="D4831" s="113">
        <v>10348451</v>
      </c>
      <c r="E4831" s="115">
        <v>43949</v>
      </c>
      <c r="F4831" s="114">
        <v>202101</v>
      </c>
      <c r="G4831" s="112" t="s">
        <v>1091</v>
      </c>
      <c r="H4831" s="112" t="s">
        <v>1015</v>
      </c>
      <c r="I4831" s="112" t="s">
        <v>1096</v>
      </c>
      <c r="J4831" s="112" t="s">
        <v>3750</v>
      </c>
      <c r="K4831" s="112" t="s">
        <v>1098</v>
      </c>
      <c r="L4831" s="116">
        <v>336.96</v>
      </c>
    </row>
    <row r="4832" spans="1:12" hidden="1" outlineLevel="1" collapsed="1" x14ac:dyDescent="0.35">
      <c r="A4832" s="112" t="s">
        <v>3616</v>
      </c>
      <c r="B4832" s="112" t="s">
        <v>923</v>
      </c>
      <c r="C4832" s="112" t="s">
        <v>1095</v>
      </c>
      <c r="D4832" s="113">
        <v>10348451</v>
      </c>
      <c r="E4832" s="115">
        <v>43949</v>
      </c>
      <c r="F4832" s="114">
        <v>202101</v>
      </c>
      <c r="G4832" s="112" t="s">
        <v>1091</v>
      </c>
      <c r="H4832" s="112" t="s">
        <v>1015</v>
      </c>
      <c r="I4832" s="112" t="s">
        <v>1101</v>
      </c>
      <c r="J4832" s="112" t="s">
        <v>3750</v>
      </c>
      <c r="K4832" s="112" t="s">
        <v>1098</v>
      </c>
      <c r="L4832" s="116">
        <v>514.15</v>
      </c>
    </row>
    <row r="4833" spans="1:12" hidden="1" outlineLevel="1" collapsed="1" x14ac:dyDescent="0.35">
      <c r="A4833" s="112" t="s">
        <v>3616</v>
      </c>
      <c r="B4833" s="112" t="s">
        <v>921</v>
      </c>
      <c r="C4833" s="112" t="s">
        <v>1095</v>
      </c>
      <c r="D4833" s="113">
        <v>10348451</v>
      </c>
      <c r="E4833" s="115">
        <v>43949</v>
      </c>
      <c r="F4833" s="114">
        <v>202101</v>
      </c>
      <c r="G4833" s="112" t="s">
        <v>1091</v>
      </c>
      <c r="H4833" s="112" t="s">
        <v>1015</v>
      </c>
      <c r="I4833" s="112" t="s">
        <v>1116</v>
      </c>
      <c r="J4833" s="112" t="s">
        <v>3620</v>
      </c>
      <c r="K4833" s="112" t="s">
        <v>1098</v>
      </c>
      <c r="L4833" s="116">
        <v>406.64</v>
      </c>
    </row>
    <row r="4834" spans="1:12" hidden="1" outlineLevel="1" collapsed="1" x14ac:dyDescent="0.35">
      <c r="A4834" s="112" t="s">
        <v>3616</v>
      </c>
      <c r="B4834" s="112" t="s">
        <v>921</v>
      </c>
      <c r="C4834" s="112" t="s">
        <v>1095</v>
      </c>
      <c r="D4834" s="113">
        <v>10348451</v>
      </c>
      <c r="E4834" s="115">
        <v>43949</v>
      </c>
      <c r="F4834" s="114">
        <v>202101</v>
      </c>
      <c r="G4834" s="112" t="s">
        <v>1091</v>
      </c>
      <c r="H4834" s="112" t="s">
        <v>1015</v>
      </c>
      <c r="I4834" s="112" t="s">
        <v>1116</v>
      </c>
      <c r="J4834" s="112" t="s">
        <v>3620</v>
      </c>
      <c r="K4834" s="112" t="s">
        <v>1098</v>
      </c>
      <c r="L4834" s="116">
        <v>2259.5</v>
      </c>
    </row>
    <row r="4835" spans="1:12" hidden="1" outlineLevel="1" collapsed="1" x14ac:dyDescent="0.35">
      <c r="A4835" s="112" t="s">
        <v>3616</v>
      </c>
      <c r="B4835" s="112" t="s">
        <v>921</v>
      </c>
      <c r="C4835" s="112" t="s">
        <v>1095</v>
      </c>
      <c r="D4835" s="113">
        <v>10348451</v>
      </c>
      <c r="E4835" s="115">
        <v>43949</v>
      </c>
      <c r="F4835" s="114">
        <v>202101</v>
      </c>
      <c r="G4835" s="112" t="s">
        <v>1091</v>
      </c>
      <c r="H4835" s="112" t="s">
        <v>1015</v>
      </c>
      <c r="I4835" s="112" t="s">
        <v>1116</v>
      </c>
      <c r="J4835" s="112" t="s">
        <v>3620</v>
      </c>
      <c r="K4835" s="112" t="s">
        <v>1098</v>
      </c>
      <c r="L4835" s="116">
        <v>1671.75</v>
      </c>
    </row>
    <row r="4836" spans="1:12" hidden="1" outlineLevel="1" collapsed="1" x14ac:dyDescent="0.35">
      <c r="A4836" s="112" t="s">
        <v>3616</v>
      </c>
      <c r="B4836" s="112" t="s">
        <v>921</v>
      </c>
      <c r="C4836" s="112" t="s">
        <v>1095</v>
      </c>
      <c r="D4836" s="113">
        <v>10348451</v>
      </c>
      <c r="E4836" s="115">
        <v>43949</v>
      </c>
      <c r="F4836" s="114">
        <v>202101</v>
      </c>
      <c r="G4836" s="112" t="s">
        <v>1091</v>
      </c>
      <c r="H4836" s="112" t="s">
        <v>1015</v>
      </c>
      <c r="I4836" s="112" t="s">
        <v>1116</v>
      </c>
      <c r="J4836" s="112" t="s">
        <v>3620</v>
      </c>
      <c r="K4836" s="112" t="s">
        <v>1098</v>
      </c>
      <c r="L4836" s="116">
        <v>2981.92</v>
      </c>
    </row>
    <row r="4837" spans="1:12" hidden="1" outlineLevel="1" collapsed="1" x14ac:dyDescent="0.35">
      <c r="A4837" s="112" t="s">
        <v>3616</v>
      </c>
      <c r="B4837" s="112" t="s">
        <v>921</v>
      </c>
      <c r="C4837" s="112" t="s">
        <v>1095</v>
      </c>
      <c r="D4837" s="113">
        <v>10348451</v>
      </c>
      <c r="E4837" s="115">
        <v>43949</v>
      </c>
      <c r="F4837" s="114">
        <v>202101</v>
      </c>
      <c r="G4837" s="112" t="s">
        <v>1091</v>
      </c>
      <c r="H4837" s="112" t="s">
        <v>1015</v>
      </c>
      <c r="I4837" s="112" t="s">
        <v>1116</v>
      </c>
      <c r="J4837" s="112" t="s">
        <v>3709</v>
      </c>
      <c r="K4837" s="112" t="s">
        <v>1098</v>
      </c>
      <c r="L4837" s="116">
        <v>2702</v>
      </c>
    </row>
    <row r="4838" spans="1:12" hidden="1" outlineLevel="1" collapsed="1" x14ac:dyDescent="0.35">
      <c r="A4838" s="112" t="s">
        <v>3616</v>
      </c>
      <c r="B4838" s="112" t="s">
        <v>921</v>
      </c>
      <c r="C4838" s="112" t="s">
        <v>1095</v>
      </c>
      <c r="D4838" s="113">
        <v>10348451</v>
      </c>
      <c r="E4838" s="115">
        <v>43949</v>
      </c>
      <c r="F4838" s="114">
        <v>202101</v>
      </c>
      <c r="G4838" s="112" t="s">
        <v>1091</v>
      </c>
      <c r="H4838" s="112" t="s">
        <v>1015</v>
      </c>
      <c r="I4838" s="112" t="s">
        <v>1116</v>
      </c>
      <c r="J4838" s="112" t="s">
        <v>3620</v>
      </c>
      <c r="K4838" s="112" t="s">
        <v>1098</v>
      </c>
      <c r="L4838" s="116">
        <v>3391.33</v>
      </c>
    </row>
    <row r="4839" spans="1:12" hidden="1" outlineLevel="1" collapsed="1" x14ac:dyDescent="0.35">
      <c r="A4839" s="112" t="s">
        <v>3616</v>
      </c>
      <c r="B4839" s="112" t="s">
        <v>921</v>
      </c>
      <c r="C4839" s="112" t="s">
        <v>1095</v>
      </c>
      <c r="D4839" s="113">
        <v>10348451</v>
      </c>
      <c r="E4839" s="115">
        <v>43949</v>
      </c>
      <c r="F4839" s="114">
        <v>202101</v>
      </c>
      <c r="G4839" s="112" t="s">
        <v>1091</v>
      </c>
      <c r="H4839" s="112" t="s">
        <v>1015</v>
      </c>
      <c r="I4839" s="112" t="s">
        <v>1116</v>
      </c>
      <c r="J4839" s="112" t="s">
        <v>3620</v>
      </c>
      <c r="K4839" s="112" t="s">
        <v>1098</v>
      </c>
      <c r="L4839" s="116">
        <v>1671.75</v>
      </c>
    </row>
    <row r="4840" spans="1:12" hidden="1" outlineLevel="1" collapsed="1" x14ac:dyDescent="0.35">
      <c r="A4840" s="112" t="s">
        <v>3616</v>
      </c>
      <c r="B4840" s="112" t="s">
        <v>916</v>
      </c>
      <c r="C4840" s="112" t="s">
        <v>1095</v>
      </c>
      <c r="D4840" s="113">
        <v>10348451</v>
      </c>
      <c r="E4840" s="115">
        <v>43949</v>
      </c>
      <c r="F4840" s="114">
        <v>202101</v>
      </c>
      <c r="G4840" s="112" t="s">
        <v>1091</v>
      </c>
      <c r="H4840" s="112" t="s">
        <v>1015</v>
      </c>
      <c r="I4840" s="112" t="s">
        <v>1263</v>
      </c>
      <c r="J4840" s="112" t="s">
        <v>3771</v>
      </c>
      <c r="K4840" s="112" t="s">
        <v>1098</v>
      </c>
      <c r="L4840" s="116">
        <v>295.99</v>
      </c>
    </row>
    <row r="4841" spans="1:12" hidden="1" outlineLevel="1" collapsed="1" x14ac:dyDescent="0.35">
      <c r="A4841" s="112" t="s">
        <v>3616</v>
      </c>
      <c r="B4841" s="112" t="s">
        <v>923</v>
      </c>
      <c r="C4841" s="112" t="s">
        <v>1095</v>
      </c>
      <c r="D4841" s="113">
        <v>10348451</v>
      </c>
      <c r="E4841" s="115">
        <v>43949</v>
      </c>
      <c r="F4841" s="114">
        <v>202101</v>
      </c>
      <c r="G4841" s="112" t="s">
        <v>1091</v>
      </c>
      <c r="H4841" s="112" t="s">
        <v>1015</v>
      </c>
      <c r="I4841" s="112" t="s">
        <v>4057</v>
      </c>
      <c r="J4841" s="112" t="s">
        <v>3750</v>
      </c>
      <c r="K4841" s="112" t="s">
        <v>1098</v>
      </c>
      <c r="L4841" s="116">
        <v>7896.48</v>
      </c>
    </row>
    <row r="4842" spans="1:12" hidden="1" outlineLevel="1" collapsed="1" x14ac:dyDescent="0.35">
      <c r="A4842" s="112" t="s">
        <v>3616</v>
      </c>
      <c r="B4842" s="112" t="s">
        <v>919</v>
      </c>
      <c r="C4842" s="112" t="s">
        <v>1095</v>
      </c>
      <c r="D4842" s="113">
        <v>10348451</v>
      </c>
      <c r="E4842" s="115">
        <v>43949</v>
      </c>
      <c r="F4842" s="114">
        <v>202101</v>
      </c>
      <c r="G4842" s="112" t="s">
        <v>1091</v>
      </c>
      <c r="H4842" s="112" t="s">
        <v>1015</v>
      </c>
      <c r="I4842" s="112" t="s">
        <v>1101</v>
      </c>
      <c r="J4842" s="112" t="s">
        <v>3624</v>
      </c>
      <c r="K4842" s="112" t="s">
        <v>1098</v>
      </c>
      <c r="L4842" s="116">
        <v>444.17</v>
      </c>
    </row>
    <row r="4843" spans="1:12" hidden="1" outlineLevel="1" collapsed="1" x14ac:dyDescent="0.35">
      <c r="A4843" s="112" t="s">
        <v>3616</v>
      </c>
      <c r="B4843" s="112" t="s">
        <v>923</v>
      </c>
      <c r="C4843" s="112" t="s">
        <v>679</v>
      </c>
      <c r="D4843" s="113">
        <v>10348271</v>
      </c>
      <c r="E4843" s="115">
        <v>43937</v>
      </c>
      <c r="F4843" s="114">
        <v>202101</v>
      </c>
      <c r="G4843" s="112" t="s">
        <v>1091</v>
      </c>
      <c r="H4843" s="112" t="s">
        <v>1016</v>
      </c>
      <c r="I4843" s="112" t="s">
        <v>1131</v>
      </c>
      <c r="J4843" s="112" t="s">
        <v>4058</v>
      </c>
      <c r="K4843" s="112" t="s">
        <v>4059</v>
      </c>
      <c r="L4843" s="116">
        <v>-190</v>
      </c>
    </row>
    <row r="4844" spans="1:12" hidden="1" outlineLevel="1" collapsed="1" x14ac:dyDescent="0.35">
      <c r="A4844" s="112" t="s">
        <v>3616</v>
      </c>
      <c r="B4844" s="112" t="s">
        <v>923</v>
      </c>
      <c r="C4844" s="112" t="s">
        <v>679</v>
      </c>
      <c r="D4844" s="113">
        <v>10348271</v>
      </c>
      <c r="E4844" s="115">
        <v>43937</v>
      </c>
      <c r="F4844" s="114">
        <v>202101</v>
      </c>
      <c r="G4844" s="112" t="s">
        <v>1091</v>
      </c>
      <c r="H4844" s="112" t="s">
        <v>1016</v>
      </c>
      <c r="I4844" s="112" t="s">
        <v>1131</v>
      </c>
      <c r="J4844" s="112" t="s">
        <v>4058</v>
      </c>
      <c r="K4844" s="112" t="s">
        <v>4059</v>
      </c>
      <c r="L4844" s="116">
        <v>-189.5</v>
      </c>
    </row>
    <row r="4845" spans="1:12" hidden="1" outlineLevel="1" collapsed="1" x14ac:dyDescent="0.35">
      <c r="A4845" s="112" t="s">
        <v>3616</v>
      </c>
      <c r="B4845" s="112" t="s">
        <v>922</v>
      </c>
      <c r="C4845" s="112" t="s">
        <v>1518</v>
      </c>
      <c r="D4845" s="113">
        <v>51366161</v>
      </c>
      <c r="E4845" s="115">
        <v>43941</v>
      </c>
      <c r="F4845" s="114">
        <v>202101</v>
      </c>
      <c r="G4845" s="112" t="s">
        <v>1091</v>
      </c>
      <c r="H4845" s="112" t="s">
        <v>1016</v>
      </c>
      <c r="I4845" s="112" t="s">
        <v>3858</v>
      </c>
      <c r="J4845" s="112" t="s">
        <v>3859</v>
      </c>
      <c r="K4845" s="112" t="s">
        <v>4060</v>
      </c>
      <c r="L4845" s="116">
        <v>-4554.66</v>
      </c>
    </row>
    <row r="4846" spans="1:12" hidden="1" outlineLevel="1" collapsed="1" x14ac:dyDescent="0.35">
      <c r="A4846" s="112" t="s">
        <v>3616</v>
      </c>
      <c r="B4846" s="112" t="s">
        <v>916</v>
      </c>
      <c r="C4846" s="112" t="s">
        <v>1095</v>
      </c>
      <c r="D4846" s="113">
        <v>10348451</v>
      </c>
      <c r="E4846" s="115">
        <v>43949</v>
      </c>
      <c r="F4846" s="114">
        <v>202101</v>
      </c>
      <c r="G4846" s="112" t="s">
        <v>1091</v>
      </c>
      <c r="H4846" s="112" t="s">
        <v>1015</v>
      </c>
      <c r="I4846" s="112" t="s">
        <v>1101</v>
      </c>
      <c r="J4846" s="112" t="s">
        <v>3771</v>
      </c>
      <c r="K4846" s="112" t="s">
        <v>1098</v>
      </c>
      <c r="L4846" s="116">
        <v>679.08</v>
      </c>
    </row>
    <row r="4847" spans="1:12" hidden="1" outlineLevel="1" collapsed="1" x14ac:dyDescent="0.35">
      <c r="A4847" s="112" t="s">
        <v>3616</v>
      </c>
      <c r="B4847" s="112" t="s">
        <v>917</v>
      </c>
      <c r="C4847" s="112" t="s">
        <v>1518</v>
      </c>
      <c r="D4847" s="113">
        <v>51366162</v>
      </c>
      <c r="E4847" s="115">
        <v>43941</v>
      </c>
      <c r="F4847" s="114">
        <v>202101</v>
      </c>
      <c r="G4847" s="112" t="s">
        <v>1091</v>
      </c>
      <c r="H4847" s="112" t="s">
        <v>1016</v>
      </c>
      <c r="I4847" s="112" t="s">
        <v>823</v>
      </c>
      <c r="J4847" s="112" t="s">
        <v>3781</v>
      </c>
      <c r="K4847" s="112" t="s">
        <v>4061</v>
      </c>
      <c r="L4847" s="116">
        <v>-6000</v>
      </c>
    </row>
    <row r="4848" spans="1:12" hidden="1" outlineLevel="1" collapsed="1" x14ac:dyDescent="0.35">
      <c r="A4848" s="112" t="s">
        <v>3616</v>
      </c>
      <c r="B4848" s="112" t="s">
        <v>921</v>
      </c>
      <c r="C4848" s="112" t="s">
        <v>695</v>
      </c>
      <c r="D4848" s="113">
        <v>10348273</v>
      </c>
      <c r="E4848" s="115">
        <v>43929</v>
      </c>
      <c r="F4848" s="114">
        <v>202101</v>
      </c>
      <c r="G4848" s="112" t="s">
        <v>1091</v>
      </c>
      <c r="H4848" s="112" t="s">
        <v>1016</v>
      </c>
      <c r="I4848" s="112" t="s">
        <v>823</v>
      </c>
      <c r="J4848" s="112" t="s">
        <v>3709</v>
      </c>
      <c r="K4848" s="112" t="s">
        <v>4062</v>
      </c>
      <c r="L4848" s="116">
        <v>20687</v>
      </c>
    </row>
    <row r="4849" spans="1:12" hidden="1" outlineLevel="1" collapsed="1" x14ac:dyDescent="0.35">
      <c r="A4849" s="112" t="s">
        <v>3616</v>
      </c>
      <c r="B4849" s="112" t="s">
        <v>921</v>
      </c>
      <c r="C4849" s="112" t="s">
        <v>695</v>
      </c>
      <c r="D4849" s="113">
        <v>10348273</v>
      </c>
      <c r="E4849" s="115">
        <v>43929</v>
      </c>
      <c r="F4849" s="114">
        <v>202101</v>
      </c>
      <c r="G4849" s="112" t="s">
        <v>1091</v>
      </c>
      <c r="H4849" s="112" t="s">
        <v>1016</v>
      </c>
      <c r="I4849" s="112" t="s">
        <v>823</v>
      </c>
      <c r="J4849" s="112" t="s">
        <v>3709</v>
      </c>
      <c r="K4849" s="112" t="s">
        <v>4062</v>
      </c>
      <c r="L4849" s="116">
        <v>-12500</v>
      </c>
    </row>
    <row r="4850" spans="1:12" hidden="1" outlineLevel="1" collapsed="1" x14ac:dyDescent="0.35">
      <c r="A4850" s="112" t="s">
        <v>3616</v>
      </c>
      <c r="B4850" s="112" t="s">
        <v>919</v>
      </c>
      <c r="C4850" s="112" t="s">
        <v>1518</v>
      </c>
      <c r="D4850" s="113">
        <v>51366166</v>
      </c>
      <c r="E4850" s="115">
        <v>43942</v>
      </c>
      <c r="F4850" s="114">
        <v>202101</v>
      </c>
      <c r="G4850" s="112" t="s">
        <v>1091</v>
      </c>
      <c r="H4850" s="112" t="s">
        <v>1016</v>
      </c>
      <c r="I4850" s="112" t="s">
        <v>823</v>
      </c>
      <c r="J4850" s="112" t="s">
        <v>3617</v>
      </c>
      <c r="K4850" s="112" t="s">
        <v>4063</v>
      </c>
      <c r="L4850" s="116">
        <v>-237.17</v>
      </c>
    </row>
    <row r="4851" spans="1:12" hidden="1" outlineLevel="1" collapsed="1" x14ac:dyDescent="0.35">
      <c r="A4851" s="112" t="s">
        <v>3616</v>
      </c>
      <c r="B4851" s="112" t="s">
        <v>920</v>
      </c>
      <c r="C4851" s="112" t="s">
        <v>1095</v>
      </c>
      <c r="D4851" s="113">
        <v>10348451</v>
      </c>
      <c r="E4851" s="115">
        <v>43949</v>
      </c>
      <c r="F4851" s="114">
        <v>202101</v>
      </c>
      <c r="G4851" s="112" t="s">
        <v>1091</v>
      </c>
      <c r="H4851" s="112" t="s">
        <v>1015</v>
      </c>
      <c r="I4851" s="112" t="s">
        <v>1096</v>
      </c>
      <c r="J4851" s="112" t="s">
        <v>3755</v>
      </c>
      <c r="K4851" s="112" t="s">
        <v>1098</v>
      </c>
      <c r="L4851" s="116">
        <v>333.05</v>
      </c>
    </row>
    <row r="4852" spans="1:12" hidden="1" outlineLevel="1" collapsed="1" x14ac:dyDescent="0.35">
      <c r="A4852" s="112" t="s">
        <v>3616</v>
      </c>
      <c r="B4852" s="112" t="s">
        <v>917</v>
      </c>
      <c r="C4852" s="112" t="s">
        <v>1518</v>
      </c>
      <c r="D4852" s="113">
        <v>51366167</v>
      </c>
      <c r="E4852" s="115">
        <v>43942</v>
      </c>
      <c r="F4852" s="114">
        <v>202101</v>
      </c>
      <c r="G4852" s="112" t="s">
        <v>1091</v>
      </c>
      <c r="H4852" s="112" t="s">
        <v>1016</v>
      </c>
      <c r="I4852" s="112" t="s">
        <v>823</v>
      </c>
      <c r="J4852" s="112" t="s">
        <v>3781</v>
      </c>
      <c r="K4852" s="112" t="s">
        <v>4061</v>
      </c>
      <c r="L4852" s="116">
        <v>-6000</v>
      </c>
    </row>
    <row r="4853" spans="1:12" hidden="1" outlineLevel="1" collapsed="1" x14ac:dyDescent="0.35">
      <c r="A4853" s="112" t="s">
        <v>3616</v>
      </c>
      <c r="B4853" s="112" t="s">
        <v>919</v>
      </c>
      <c r="C4853" s="112" t="s">
        <v>1518</v>
      </c>
      <c r="D4853" s="113">
        <v>51366165</v>
      </c>
      <c r="E4853" s="115">
        <v>43942</v>
      </c>
      <c r="F4853" s="114">
        <v>202101</v>
      </c>
      <c r="G4853" s="112" t="s">
        <v>1091</v>
      </c>
      <c r="H4853" s="112" t="s">
        <v>1016</v>
      </c>
      <c r="I4853" s="112" t="s">
        <v>1293</v>
      </c>
      <c r="J4853" s="112" t="s">
        <v>3617</v>
      </c>
      <c r="K4853" s="112" t="s">
        <v>4064</v>
      </c>
      <c r="L4853" s="116">
        <v>-305</v>
      </c>
    </row>
    <row r="4854" spans="1:12" hidden="1" outlineLevel="1" collapsed="1" x14ac:dyDescent="0.35">
      <c r="A4854" s="112" t="s">
        <v>3616</v>
      </c>
      <c r="B4854" s="112" t="s">
        <v>921</v>
      </c>
      <c r="C4854" s="112" t="s">
        <v>1518</v>
      </c>
      <c r="D4854" s="113">
        <v>51366180</v>
      </c>
      <c r="E4854" s="115">
        <v>43943</v>
      </c>
      <c r="F4854" s="114">
        <v>202101</v>
      </c>
      <c r="G4854" s="112" t="s">
        <v>1091</v>
      </c>
      <c r="H4854" s="112" t="s">
        <v>1016</v>
      </c>
      <c r="I4854" s="112" t="s">
        <v>3851</v>
      </c>
      <c r="J4854" s="112" t="s">
        <v>3709</v>
      </c>
      <c r="K4854" s="112" t="s">
        <v>4065</v>
      </c>
      <c r="L4854" s="116">
        <v>-183.35</v>
      </c>
    </row>
    <row r="4855" spans="1:12" hidden="1" outlineLevel="1" collapsed="1" x14ac:dyDescent="0.35">
      <c r="A4855" s="112" t="s">
        <v>3616</v>
      </c>
      <c r="B4855" s="112" t="s">
        <v>921</v>
      </c>
      <c r="C4855" s="112" t="s">
        <v>1518</v>
      </c>
      <c r="D4855" s="113">
        <v>51366179</v>
      </c>
      <c r="E4855" s="115">
        <v>43943</v>
      </c>
      <c r="F4855" s="114">
        <v>202101</v>
      </c>
      <c r="G4855" s="112" t="s">
        <v>1091</v>
      </c>
      <c r="H4855" s="112" t="s">
        <v>1016</v>
      </c>
      <c r="I4855" s="112" t="s">
        <v>3851</v>
      </c>
      <c r="J4855" s="112" t="s">
        <v>3709</v>
      </c>
      <c r="K4855" s="112" t="s">
        <v>4066</v>
      </c>
      <c r="L4855" s="116">
        <v>-1188.3</v>
      </c>
    </row>
    <row r="4856" spans="1:12" hidden="1" outlineLevel="1" collapsed="1" x14ac:dyDescent="0.35">
      <c r="A4856" s="112" t="s">
        <v>3616</v>
      </c>
      <c r="B4856" s="112" t="s">
        <v>921</v>
      </c>
      <c r="C4856" s="112" t="s">
        <v>1518</v>
      </c>
      <c r="D4856" s="113">
        <v>51366178</v>
      </c>
      <c r="E4856" s="115">
        <v>43943</v>
      </c>
      <c r="F4856" s="114">
        <v>202101</v>
      </c>
      <c r="G4856" s="112" t="s">
        <v>1091</v>
      </c>
      <c r="H4856" s="112" t="s">
        <v>1016</v>
      </c>
      <c r="I4856" s="112" t="s">
        <v>3851</v>
      </c>
      <c r="J4856" s="112" t="s">
        <v>3709</v>
      </c>
      <c r="K4856" s="112" t="s">
        <v>4067</v>
      </c>
      <c r="L4856" s="116">
        <v>-837.19</v>
      </c>
    </row>
    <row r="4857" spans="1:12" hidden="1" outlineLevel="1" collapsed="1" x14ac:dyDescent="0.35">
      <c r="A4857" s="112" t="s">
        <v>3616</v>
      </c>
      <c r="B4857" s="112" t="s">
        <v>921</v>
      </c>
      <c r="C4857" s="112" t="s">
        <v>1518</v>
      </c>
      <c r="D4857" s="113">
        <v>51366177</v>
      </c>
      <c r="E4857" s="115">
        <v>43943</v>
      </c>
      <c r="F4857" s="114">
        <v>202101</v>
      </c>
      <c r="G4857" s="112" t="s">
        <v>1091</v>
      </c>
      <c r="H4857" s="112" t="s">
        <v>1016</v>
      </c>
      <c r="I4857" s="112" t="s">
        <v>3854</v>
      </c>
      <c r="J4857" s="112" t="s">
        <v>3709</v>
      </c>
      <c r="K4857" s="112" t="s">
        <v>4068</v>
      </c>
      <c r="L4857" s="116">
        <v>-9</v>
      </c>
    </row>
    <row r="4858" spans="1:12" hidden="1" outlineLevel="1" collapsed="1" x14ac:dyDescent="0.35">
      <c r="A4858" s="112" t="s">
        <v>3616</v>
      </c>
      <c r="B4858" s="112" t="s">
        <v>921</v>
      </c>
      <c r="C4858" s="112" t="s">
        <v>1518</v>
      </c>
      <c r="D4858" s="113">
        <v>51366177</v>
      </c>
      <c r="E4858" s="115">
        <v>43943</v>
      </c>
      <c r="F4858" s="114">
        <v>202101</v>
      </c>
      <c r="G4858" s="112" t="s">
        <v>1091</v>
      </c>
      <c r="H4858" s="112" t="s">
        <v>1016</v>
      </c>
      <c r="I4858" s="112" t="s">
        <v>3846</v>
      </c>
      <c r="J4858" s="112" t="s">
        <v>3709</v>
      </c>
      <c r="K4858" s="112" t="s">
        <v>4068</v>
      </c>
      <c r="L4858" s="116">
        <v>-360</v>
      </c>
    </row>
    <row r="4859" spans="1:12" hidden="1" outlineLevel="1" collapsed="1" x14ac:dyDescent="0.35">
      <c r="A4859" s="112" t="s">
        <v>3616</v>
      </c>
      <c r="B4859" s="112" t="s">
        <v>921</v>
      </c>
      <c r="C4859" s="112" t="s">
        <v>1518</v>
      </c>
      <c r="D4859" s="113">
        <v>51366172</v>
      </c>
      <c r="E4859" s="115">
        <v>43943</v>
      </c>
      <c r="F4859" s="114">
        <v>202101</v>
      </c>
      <c r="G4859" s="112" t="s">
        <v>1091</v>
      </c>
      <c r="H4859" s="112" t="s">
        <v>1016</v>
      </c>
      <c r="I4859" s="112" t="s">
        <v>823</v>
      </c>
      <c r="J4859" s="112" t="s">
        <v>3709</v>
      </c>
      <c r="K4859" s="112" t="s">
        <v>4069</v>
      </c>
      <c r="L4859" s="116">
        <v>-20687</v>
      </c>
    </row>
    <row r="4860" spans="1:12" hidden="1" outlineLevel="1" collapsed="1" x14ac:dyDescent="0.35">
      <c r="A4860" s="112" t="s">
        <v>3616</v>
      </c>
      <c r="B4860" s="112" t="s">
        <v>921</v>
      </c>
      <c r="C4860" s="112" t="s">
        <v>1518</v>
      </c>
      <c r="D4860" s="113">
        <v>51366176</v>
      </c>
      <c r="E4860" s="115">
        <v>43943</v>
      </c>
      <c r="F4860" s="114">
        <v>202101</v>
      </c>
      <c r="G4860" s="112" t="s">
        <v>1091</v>
      </c>
      <c r="H4860" s="112" t="s">
        <v>1016</v>
      </c>
      <c r="I4860" s="112" t="s">
        <v>3846</v>
      </c>
      <c r="J4860" s="112" t="s">
        <v>3709</v>
      </c>
      <c r="K4860" s="112" t="s">
        <v>4043</v>
      </c>
      <c r="L4860" s="116">
        <v>-360</v>
      </c>
    </row>
    <row r="4861" spans="1:12" hidden="1" outlineLevel="1" collapsed="1" x14ac:dyDescent="0.35">
      <c r="A4861" s="112" t="s">
        <v>3616</v>
      </c>
      <c r="B4861" s="112" t="s">
        <v>921</v>
      </c>
      <c r="C4861" s="112" t="s">
        <v>1518</v>
      </c>
      <c r="D4861" s="113">
        <v>51366175</v>
      </c>
      <c r="E4861" s="115">
        <v>43943</v>
      </c>
      <c r="F4861" s="114">
        <v>202101</v>
      </c>
      <c r="G4861" s="112" t="s">
        <v>1091</v>
      </c>
      <c r="H4861" s="112" t="s">
        <v>1016</v>
      </c>
      <c r="I4861" s="112" t="s">
        <v>3846</v>
      </c>
      <c r="J4861" s="112" t="s">
        <v>3709</v>
      </c>
      <c r="K4861" s="112" t="s">
        <v>4026</v>
      </c>
      <c r="L4861" s="116">
        <v>-360</v>
      </c>
    </row>
    <row r="4862" spans="1:12" hidden="1" outlineLevel="1" collapsed="1" x14ac:dyDescent="0.35">
      <c r="A4862" s="112" t="s">
        <v>3616</v>
      </c>
      <c r="B4862" s="112" t="s">
        <v>921</v>
      </c>
      <c r="C4862" s="112" t="s">
        <v>1518</v>
      </c>
      <c r="D4862" s="113">
        <v>51366174</v>
      </c>
      <c r="E4862" s="115">
        <v>43943</v>
      </c>
      <c r="F4862" s="114">
        <v>202101</v>
      </c>
      <c r="G4862" s="112" t="s">
        <v>1091</v>
      </c>
      <c r="H4862" s="112" t="s">
        <v>1016</v>
      </c>
      <c r="I4862" s="112" t="s">
        <v>3846</v>
      </c>
      <c r="J4862" s="112" t="s">
        <v>3709</v>
      </c>
      <c r="K4862" s="112" t="s">
        <v>4027</v>
      </c>
      <c r="L4862" s="116">
        <v>-360</v>
      </c>
    </row>
    <row r="4863" spans="1:12" hidden="1" outlineLevel="1" collapsed="1" x14ac:dyDescent="0.35">
      <c r="A4863" s="112" t="s">
        <v>3616</v>
      </c>
      <c r="B4863" s="112" t="s">
        <v>921</v>
      </c>
      <c r="C4863" s="112" t="s">
        <v>1095</v>
      </c>
      <c r="D4863" s="113">
        <v>10348451</v>
      </c>
      <c r="E4863" s="115">
        <v>43949</v>
      </c>
      <c r="F4863" s="114">
        <v>202101</v>
      </c>
      <c r="G4863" s="112" t="s">
        <v>1091</v>
      </c>
      <c r="H4863" s="112" t="s">
        <v>1015</v>
      </c>
      <c r="I4863" s="112" t="s">
        <v>1116</v>
      </c>
      <c r="J4863" s="112" t="s">
        <v>3709</v>
      </c>
      <c r="K4863" s="112" t="s">
        <v>1098</v>
      </c>
      <c r="L4863" s="116">
        <v>2259.5</v>
      </c>
    </row>
    <row r="4864" spans="1:12" hidden="1" outlineLevel="1" collapsed="1" x14ac:dyDescent="0.35">
      <c r="A4864" s="112" t="s">
        <v>3616</v>
      </c>
      <c r="B4864" s="112" t="s">
        <v>923</v>
      </c>
      <c r="C4864" s="112" t="s">
        <v>1219</v>
      </c>
      <c r="D4864" s="113">
        <v>46306737</v>
      </c>
      <c r="E4864" s="115">
        <v>43922</v>
      </c>
      <c r="F4864" s="114">
        <v>202101</v>
      </c>
      <c r="G4864" s="112" t="s">
        <v>1091</v>
      </c>
      <c r="H4864" s="112" t="s">
        <v>1015</v>
      </c>
      <c r="I4864" s="112" t="s">
        <v>1605</v>
      </c>
      <c r="J4864" s="112" t="s">
        <v>3763</v>
      </c>
      <c r="K4864" s="112" t="s">
        <v>4070</v>
      </c>
      <c r="L4864" s="116">
        <v>4500</v>
      </c>
    </row>
    <row r="4865" spans="1:12" hidden="1" outlineLevel="1" collapsed="1" x14ac:dyDescent="0.35">
      <c r="A4865" s="112" t="s">
        <v>3616</v>
      </c>
      <c r="B4865" s="112" t="s">
        <v>916</v>
      </c>
      <c r="C4865" s="112" t="s">
        <v>1095</v>
      </c>
      <c r="D4865" s="113">
        <v>10348451</v>
      </c>
      <c r="E4865" s="115">
        <v>43949</v>
      </c>
      <c r="F4865" s="114">
        <v>202101</v>
      </c>
      <c r="G4865" s="112" t="s">
        <v>1091</v>
      </c>
      <c r="H4865" s="112" t="s">
        <v>1015</v>
      </c>
      <c r="I4865" s="112" t="s">
        <v>1116</v>
      </c>
      <c r="J4865" s="112" t="s">
        <v>3771</v>
      </c>
      <c r="K4865" s="112" t="s">
        <v>1098</v>
      </c>
      <c r="L4865" s="116">
        <v>2702</v>
      </c>
    </row>
    <row r="4866" spans="1:12" hidden="1" outlineLevel="1" collapsed="1" x14ac:dyDescent="0.35">
      <c r="A4866" s="112" t="s">
        <v>3616</v>
      </c>
      <c r="B4866" s="112" t="s">
        <v>921</v>
      </c>
      <c r="C4866" s="112" t="s">
        <v>1095</v>
      </c>
      <c r="D4866" s="113">
        <v>10348451</v>
      </c>
      <c r="E4866" s="115">
        <v>43949</v>
      </c>
      <c r="F4866" s="114">
        <v>202101</v>
      </c>
      <c r="G4866" s="112" t="s">
        <v>1091</v>
      </c>
      <c r="H4866" s="112" t="s">
        <v>1015</v>
      </c>
      <c r="I4866" s="112" t="s">
        <v>1096</v>
      </c>
      <c r="J4866" s="112" t="s">
        <v>3620</v>
      </c>
      <c r="K4866" s="112" t="s">
        <v>1098</v>
      </c>
      <c r="L4866" s="116">
        <v>129.68</v>
      </c>
    </row>
    <row r="4867" spans="1:12" hidden="1" outlineLevel="1" collapsed="1" x14ac:dyDescent="0.35">
      <c r="A4867" s="112" t="s">
        <v>3616</v>
      </c>
      <c r="B4867" s="112" t="s">
        <v>919</v>
      </c>
      <c r="C4867" s="112" t="s">
        <v>1758</v>
      </c>
      <c r="D4867" s="113">
        <v>51366148</v>
      </c>
      <c r="E4867" s="115">
        <v>43936</v>
      </c>
      <c r="F4867" s="114">
        <v>202101</v>
      </c>
      <c r="G4867" s="112" t="s">
        <v>1091</v>
      </c>
      <c r="H4867" s="112" t="s">
        <v>1016</v>
      </c>
      <c r="I4867" s="112" t="s">
        <v>823</v>
      </c>
      <c r="J4867" s="112" t="s">
        <v>3617</v>
      </c>
      <c r="K4867" s="112" t="s">
        <v>4071</v>
      </c>
      <c r="L4867" s="116">
        <v>209.59</v>
      </c>
    </row>
    <row r="4868" spans="1:12" hidden="1" outlineLevel="1" collapsed="1" x14ac:dyDescent="0.35">
      <c r="A4868" s="112" t="s">
        <v>3616</v>
      </c>
      <c r="B4868" s="112" t="s">
        <v>919</v>
      </c>
      <c r="C4868" s="112" t="s">
        <v>1758</v>
      </c>
      <c r="D4868" s="113">
        <v>51366149</v>
      </c>
      <c r="E4868" s="115">
        <v>43936</v>
      </c>
      <c r="F4868" s="114">
        <v>202101</v>
      </c>
      <c r="G4868" s="112" t="s">
        <v>1091</v>
      </c>
      <c r="H4868" s="112" t="s">
        <v>1016</v>
      </c>
      <c r="I4868" s="112" t="s">
        <v>823</v>
      </c>
      <c r="J4868" s="112" t="s">
        <v>3617</v>
      </c>
      <c r="K4868" s="112" t="s">
        <v>4072</v>
      </c>
      <c r="L4868" s="116">
        <v>87.14</v>
      </c>
    </row>
    <row r="4869" spans="1:12" hidden="1" outlineLevel="1" collapsed="1" x14ac:dyDescent="0.35">
      <c r="A4869" s="112" t="s">
        <v>3616</v>
      </c>
      <c r="B4869" s="112" t="s">
        <v>921</v>
      </c>
      <c r="C4869" s="112" t="s">
        <v>695</v>
      </c>
      <c r="D4869" s="113">
        <v>10348038</v>
      </c>
      <c r="E4869" s="115">
        <v>43928</v>
      </c>
      <c r="F4869" s="114">
        <v>202101</v>
      </c>
      <c r="G4869" s="112" t="s">
        <v>1091</v>
      </c>
      <c r="H4869" s="112" t="s">
        <v>1016</v>
      </c>
      <c r="I4869" s="112" t="s">
        <v>3899</v>
      </c>
      <c r="J4869" s="112" t="s">
        <v>3709</v>
      </c>
      <c r="K4869" s="112" t="s">
        <v>4073</v>
      </c>
      <c r="L4869" s="116">
        <v>-137.5</v>
      </c>
    </row>
    <row r="4870" spans="1:12" hidden="1" outlineLevel="1" collapsed="1" x14ac:dyDescent="0.35">
      <c r="A4870" s="112" t="s">
        <v>3616</v>
      </c>
      <c r="B4870" s="112" t="s">
        <v>921</v>
      </c>
      <c r="C4870" s="112" t="s">
        <v>695</v>
      </c>
      <c r="D4870" s="113">
        <v>10348038</v>
      </c>
      <c r="E4870" s="115">
        <v>43928</v>
      </c>
      <c r="F4870" s="114">
        <v>202101</v>
      </c>
      <c r="G4870" s="112" t="s">
        <v>1091</v>
      </c>
      <c r="H4870" s="112" t="s">
        <v>1016</v>
      </c>
      <c r="I4870" s="112" t="s">
        <v>3899</v>
      </c>
      <c r="J4870" s="112" t="s">
        <v>3709</v>
      </c>
      <c r="K4870" s="112" t="s">
        <v>4074</v>
      </c>
      <c r="L4870" s="116">
        <v>-262.5</v>
      </c>
    </row>
    <row r="4871" spans="1:12" hidden="1" outlineLevel="1" collapsed="1" x14ac:dyDescent="0.35">
      <c r="A4871" s="112" t="s">
        <v>3616</v>
      </c>
      <c r="B4871" s="112" t="s">
        <v>921</v>
      </c>
      <c r="C4871" s="112" t="s">
        <v>695</v>
      </c>
      <c r="D4871" s="113">
        <v>10348038</v>
      </c>
      <c r="E4871" s="115">
        <v>43928</v>
      </c>
      <c r="F4871" s="114">
        <v>202101</v>
      </c>
      <c r="G4871" s="112" t="s">
        <v>1091</v>
      </c>
      <c r="H4871" s="112" t="s">
        <v>1016</v>
      </c>
      <c r="I4871" s="112" t="s">
        <v>819</v>
      </c>
      <c r="J4871" s="112" t="s">
        <v>3709</v>
      </c>
      <c r="K4871" s="112" t="s">
        <v>4075</v>
      </c>
      <c r="L4871" s="116">
        <v>-180</v>
      </c>
    </row>
    <row r="4872" spans="1:12" hidden="1" outlineLevel="1" collapsed="1" x14ac:dyDescent="0.35">
      <c r="A4872" s="112" t="s">
        <v>3616</v>
      </c>
      <c r="B4872" s="112" t="s">
        <v>921</v>
      </c>
      <c r="C4872" s="112" t="s">
        <v>695</v>
      </c>
      <c r="D4872" s="113">
        <v>10348038</v>
      </c>
      <c r="E4872" s="115">
        <v>43928</v>
      </c>
      <c r="F4872" s="114">
        <v>202101</v>
      </c>
      <c r="G4872" s="112" t="s">
        <v>1091</v>
      </c>
      <c r="H4872" s="112" t="s">
        <v>1016</v>
      </c>
      <c r="I4872" s="112" t="s">
        <v>3851</v>
      </c>
      <c r="J4872" s="112" t="s">
        <v>3709</v>
      </c>
      <c r="K4872" s="112" t="s">
        <v>4076</v>
      </c>
      <c r="L4872" s="116">
        <v>-81</v>
      </c>
    </row>
    <row r="4873" spans="1:12" hidden="1" outlineLevel="1" collapsed="1" x14ac:dyDescent="0.35">
      <c r="A4873" s="112" t="s">
        <v>3616</v>
      </c>
      <c r="B4873" s="112" t="s">
        <v>921</v>
      </c>
      <c r="C4873" s="112" t="s">
        <v>695</v>
      </c>
      <c r="D4873" s="113">
        <v>10348038</v>
      </c>
      <c r="E4873" s="115">
        <v>43928</v>
      </c>
      <c r="F4873" s="114">
        <v>202101</v>
      </c>
      <c r="G4873" s="112" t="s">
        <v>1091</v>
      </c>
      <c r="H4873" s="112" t="s">
        <v>1016</v>
      </c>
      <c r="I4873" s="112" t="s">
        <v>819</v>
      </c>
      <c r="J4873" s="112" t="s">
        <v>3709</v>
      </c>
      <c r="K4873" s="112" t="s">
        <v>4077</v>
      </c>
      <c r="L4873" s="116">
        <v>-315</v>
      </c>
    </row>
    <row r="4874" spans="1:12" hidden="1" outlineLevel="1" collapsed="1" x14ac:dyDescent="0.35">
      <c r="A4874" s="112" t="s">
        <v>3616</v>
      </c>
      <c r="B4874" s="112" t="s">
        <v>921</v>
      </c>
      <c r="C4874" s="112" t="s">
        <v>695</v>
      </c>
      <c r="D4874" s="113">
        <v>10348038</v>
      </c>
      <c r="E4874" s="115">
        <v>43928</v>
      </c>
      <c r="F4874" s="114">
        <v>202101</v>
      </c>
      <c r="G4874" s="112" t="s">
        <v>1091</v>
      </c>
      <c r="H4874" s="112" t="s">
        <v>1016</v>
      </c>
      <c r="I4874" s="112" t="s">
        <v>819</v>
      </c>
      <c r="J4874" s="112" t="s">
        <v>3709</v>
      </c>
      <c r="K4874" s="112" t="s">
        <v>4078</v>
      </c>
      <c r="L4874" s="116">
        <v>420</v>
      </c>
    </row>
    <row r="4875" spans="1:12" hidden="1" outlineLevel="1" collapsed="1" x14ac:dyDescent="0.35">
      <c r="A4875" s="112" t="s">
        <v>3616</v>
      </c>
      <c r="B4875" s="112" t="s">
        <v>921</v>
      </c>
      <c r="C4875" s="112" t="s">
        <v>695</v>
      </c>
      <c r="D4875" s="113">
        <v>10348038</v>
      </c>
      <c r="E4875" s="115">
        <v>43928</v>
      </c>
      <c r="F4875" s="114">
        <v>202101</v>
      </c>
      <c r="G4875" s="112" t="s">
        <v>1091</v>
      </c>
      <c r="H4875" s="112" t="s">
        <v>1016</v>
      </c>
      <c r="I4875" s="112" t="s">
        <v>3960</v>
      </c>
      <c r="J4875" s="112" t="s">
        <v>3709</v>
      </c>
      <c r="K4875" s="112" t="s">
        <v>4079</v>
      </c>
      <c r="L4875" s="116">
        <v>-247.5</v>
      </c>
    </row>
    <row r="4876" spans="1:12" hidden="1" outlineLevel="1" collapsed="1" x14ac:dyDescent="0.35">
      <c r="A4876" s="112" t="s">
        <v>3616</v>
      </c>
      <c r="B4876" s="112" t="s">
        <v>921</v>
      </c>
      <c r="C4876" s="112" t="s">
        <v>695</v>
      </c>
      <c r="D4876" s="113">
        <v>10348038</v>
      </c>
      <c r="E4876" s="115">
        <v>43928</v>
      </c>
      <c r="F4876" s="114">
        <v>202101</v>
      </c>
      <c r="G4876" s="112" t="s">
        <v>1091</v>
      </c>
      <c r="H4876" s="112" t="s">
        <v>1016</v>
      </c>
      <c r="I4876" s="112" t="s">
        <v>3960</v>
      </c>
      <c r="J4876" s="112" t="s">
        <v>3709</v>
      </c>
      <c r="K4876" s="112" t="s">
        <v>4080</v>
      </c>
      <c r="L4876" s="116">
        <v>-3000</v>
      </c>
    </row>
    <row r="4877" spans="1:12" hidden="1" outlineLevel="1" collapsed="1" x14ac:dyDescent="0.35">
      <c r="A4877" s="112" t="s">
        <v>3616</v>
      </c>
      <c r="B4877" s="112" t="s">
        <v>921</v>
      </c>
      <c r="C4877" s="112" t="s">
        <v>695</v>
      </c>
      <c r="D4877" s="113">
        <v>10348038</v>
      </c>
      <c r="E4877" s="115">
        <v>43928</v>
      </c>
      <c r="F4877" s="114">
        <v>202101</v>
      </c>
      <c r="G4877" s="112" t="s">
        <v>1091</v>
      </c>
      <c r="H4877" s="112" t="s">
        <v>1016</v>
      </c>
      <c r="I4877" s="112" t="s">
        <v>3846</v>
      </c>
      <c r="J4877" s="112" t="s">
        <v>3709</v>
      </c>
      <c r="K4877" s="112" t="s">
        <v>4081</v>
      </c>
      <c r="L4877" s="116">
        <v>-1800</v>
      </c>
    </row>
    <row r="4878" spans="1:12" hidden="1" outlineLevel="1" collapsed="1" x14ac:dyDescent="0.35">
      <c r="A4878" s="112" t="s">
        <v>3616</v>
      </c>
      <c r="B4878" s="112" t="s">
        <v>921</v>
      </c>
      <c r="C4878" s="112" t="s">
        <v>695</v>
      </c>
      <c r="D4878" s="113">
        <v>10348038</v>
      </c>
      <c r="E4878" s="115">
        <v>43928</v>
      </c>
      <c r="F4878" s="114">
        <v>202101</v>
      </c>
      <c r="G4878" s="112" t="s">
        <v>1091</v>
      </c>
      <c r="H4878" s="112" t="s">
        <v>1016</v>
      </c>
      <c r="I4878" s="112" t="s">
        <v>3846</v>
      </c>
      <c r="J4878" s="112" t="s">
        <v>3709</v>
      </c>
      <c r="K4878" s="112" t="s">
        <v>4082</v>
      </c>
      <c r="L4878" s="116">
        <v>-1000</v>
      </c>
    </row>
    <row r="4879" spans="1:12" hidden="1" outlineLevel="1" collapsed="1" x14ac:dyDescent="0.35">
      <c r="A4879" s="112" t="s">
        <v>3616</v>
      </c>
      <c r="B4879" s="112" t="s">
        <v>921</v>
      </c>
      <c r="C4879" s="112" t="s">
        <v>1095</v>
      </c>
      <c r="D4879" s="113">
        <v>10348451</v>
      </c>
      <c r="E4879" s="115">
        <v>43949</v>
      </c>
      <c r="F4879" s="114">
        <v>202101</v>
      </c>
      <c r="G4879" s="112" t="s">
        <v>1091</v>
      </c>
      <c r="H4879" s="112" t="s">
        <v>1015</v>
      </c>
      <c r="I4879" s="112" t="s">
        <v>1096</v>
      </c>
      <c r="J4879" s="112" t="s">
        <v>3620</v>
      </c>
      <c r="K4879" s="112" t="s">
        <v>1098</v>
      </c>
      <c r="L4879" s="116">
        <v>366.99</v>
      </c>
    </row>
    <row r="4880" spans="1:12" hidden="1" outlineLevel="1" collapsed="1" x14ac:dyDescent="0.35">
      <c r="A4880" s="112" t="s">
        <v>3616</v>
      </c>
      <c r="B4880" s="112" t="s">
        <v>921</v>
      </c>
      <c r="C4880" s="112" t="s">
        <v>1095</v>
      </c>
      <c r="D4880" s="113">
        <v>10348451</v>
      </c>
      <c r="E4880" s="115">
        <v>43949</v>
      </c>
      <c r="F4880" s="114">
        <v>202101</v>
      </c>
      <c r="G4880" s="112" t="s">
        <v>1091</v>
      </c>
      <c r="H4880" s="112" t="s">
        <v>1015</v>
      </c>
      <c r="I4880" s="112" t="s">
        <v>1096</v>
      </c>
      <c r="J4880" s="112" t="s">
        <v>3620</v>
      </c>
      <c r="K4880" s="112" t="s">
        <v>1098</v>
      </c>
      <c r="L4880" s="116">
        <v>456.59</v>
      </c>
    </row>
    <row r="4881" spans="1:12" hidden="1" outlineLevel="1" collapsed="1" x14ac:dyDescent="0.35">
      <c r="A4881" s="112" t="s">
        <v>3616</v>
      </c>
      <c r="B4881" s="112" t="s">
        <v>921</v>
      </c>
      <c r="C4881" s="112" t="s">
        <v>695</v>
      </c>
      <c r="D4881" s="113">
        <v>10348038</v>
      </c>
      <c r="E4881" s="115">
        <v>43928</v>
      </c>
      <c r="F4881" s="114">
        <v>202101</v>
      </c>
      <c r="G4881" s="112" t="s">
        <v>1091</v>
      </c>
      <c r="H4881" s="112" t="s">
        <v>1016</v>
      </c>
      <c r="I4881" s="112" t="s">
        <v>3846</v>
      </c>
      <c r="J4881" s="112" t="s">
        <v>3709</v>
      </c>
      <c r="K4881" s="112" t="s">
        <v>4083</v>
      </c>
      <c r="L4881" s="116">
        <v>-787.75</v>
      </c>
    </row>
    <row r="4882" spans="1:12" hidden="1" outlineLevel="1" collapsed="1" x14ac:dyDescent="0.35">
      <c r="A4882" s="112" t="s">
        <v>3616</v>
      </c>
      <c r="B4882" s="112" t="s">
        <v>921</v>
      </c>
      <c r="C4882" s="112" t="s">
        <v>1095</v>
      </c>
      <c r="D4882" s="113">
        <v>10348451</v>
      </c>
      <c r="E4882" s="115">
        <v>43949</v>
      </c>
      <c r="F4882" s="114">
        <v>202101</v>
      </c>
      <c r="G4882" s="112" t="s">
        <v>1091</v>
      </c>
      <c r="H4882" s="112" t="s">
        <v>1015</v>
      </c>
      <c r="I4882" s="112" t="s">
        <v>1096</v>
      </c>
      <c r="J4882" s="112" t="s">
        <v>3620</v>
      </c>
      <c r="K4882" s="112" t="s">
        <v>1098</v>
      </c>
      <c r="L4882" s="116">
        <v>170.62</v>
      </c>
    </row>
    <row r="4883" spans="1:12" hidden="1" outlineLevel="1" collapsed="1" x14ac:dyDescent="0.35">
      <c r="A4883" s="112" t="s">
        <v>3616</v>
      </c>
      <c r="B4883" s="112" t="s">
        <v>921</v>
      </c>
      <c r="C4883" s="112" t="s">
        <v>1095</v>
      </c>
      <c r="D4883" s="113">
        <v>10348451</v>
      </c>
      <c r="E4883" s="115">
        <v>43949</v>
      </c>
      <c r="F4883" s="114">
        <v>202101</v>
      </c>
      <c r="G4883" s="112" t="s">
        <v>1091</v>
      </c>
      <c r="H4883" s="112" t="s">
        <v>1015</v>
      </c>
      <c r="I4883" s="112" t="s">
        <v>1096</v>
      </c>
      <c r="J4883" s="112" t="s">
        <v>3620</v>
      </c>
      <c r="K4883" s="112" t="s">
        <v>1098</v>
      </c>
      <c r="L4883" s="116">
        <v>174.6</v>
      </c>
    </row>
    <row r="4884" spans="1:12" hidden="1" outlineLevel="1" collapsed="1" x14ac:dyDescent="0.35">
      <c r="A4884" s="112" t="s">
        <v>3616</v>
      </c>
      <c r="B4884" s="112" t="s">
        <v>921</v>
      </c>
      <c r="C4884" s="112" t="s">
        <v>1095</v>
      </c>
      <c r="D4884" s="113">
        <v>10348451</v>
      </c>
      <c r="E4884" s="115">
        <v>43949</v>
      </c>
      <c r="F4884" s="114">
        <v>202101</v>
      </c>
      <c r="G4884" s="112" t="s">
        <v>1091</v>
      </c>
      <c r="H4884" s="112" t="s">
        <v>1015</v>
      </c>
      <c r="I4884" s="112" t="s">
        <v>1096</v>
      </c>
      <c r="J4884" s="112" t="s">
        <v>3620</v>
      </c>
      <c r="K4884" s="112" t="s">
        <v>1098</v>
      </c>
      <c r="L4884" s="116">
        <v>262.10000000000002</v>
      </c>
    </row>
    <row r="4885" spans="1:12" hidden="1" outlineLevel="1" collapsed="1" x14ac:dyDescent="0.35">
      <c r="A4885" s="112" t="s">
        <v>3616</v>
      </c>
      <c r="B4885" s="112" t="s">
        <v>921</v>
      </c>
      <c r="C4885" s="112" t="s">
        <v>1095</v>
      </c>
      <c r="D4885" s="113">
        <v>10348451</v>
      </c>
      <c r="E4885" s="115">
        <v>43949</v>
      </c>
      <c r="F4885" s="114">
        <v>202101</v>
      </c>
      <c r="G4885" s="112" t="s">
        <v>1091</v>
      </c>
      <c r="H4885" s="112" t="s">
        <v>1015</v>
      </c>
      <c r="I4885" s="112" t="s">
        <v>1096</v>
      </c>
      <c r="J4885" s="112" t="s">
        <v>3620</v>
      </c>
      <c r="K4885" s="112" t="s">
        <v>1098</v>
      </c>
      <c r="L4885" s="116">
        <v>167.31</v>
      </c>
    </row>
    <row r="4886" spans="1:12" hidden="1" outlineLevel="1" collapsed="1" x14ac:dyDescent="0.35">
      <c r="A4886" s="112" t="s">
        <v>3616</v>
      </c>
      <c r="B4886" s="112" t="s">
        <v>921</v>
      </c>
      <c r="C4886" s="112" t="s">
        <v>1095</v>
      </c>
      <c r="D4886" s="113">
        <v>10348451</v>
      </c>
      <c r="E4886" s="115">
        <v>43949</v>
      </c>
      <c r="F4886" s="114">
        <v>202101</v>
      </c>
      <c r="G4886" s="112" t="s">
        <v>1091</v>
      </c>
      <c r="H4886" s="112" t="s">
        <v>1015</v>
      </c>
      <c r="I4886" s="112" t="s">
        <v>1096</v>
      </c>
      <c r="J4886" s="112" t="s">
        <v>3620</v>
      </c>
      <c r="K4886" s="112" t="s">
        <v>1098</v>
      </c>
      <c r="L4886" s="116">
        <v>310.49</v>
      </c>
    </row>
    <row r="4887" spans="1:12" hidden="1" outlineLevel="1" collapsed="1" x14ac:dyDescent="0.35">
      <c r="A4887" s="112" t="s">
        <v>3616</v>
      </c>
      <c r="B4887" s="112" t="s">
        <v>921</v>
      </c>
      <c r="C4887" s="112" t="s">
        <v>1095</v>
      </c>
      <c r="D4887" s="113">
        <v>10348451</v>
      </c>
      <c r="E4887" s="115">
        <v>43949</v>
      </c>
      <c r="F4887" s="114">
        <v>202101</v>
      </c>
      <c r="G4887" s="112" t="s">
        <v>1091</v>
      </c>
      <c r="H4887" s="112" t="s">
        <v>1015</v>
      </c>
      <c r="I4887" s="112" t="s">
        <v>1096</v>
      </c>
      <c r="J4887" s="112" t="s">
        <v>3620</v>
      </c>
      <c r="K4887" s="112" t="s">
        <v>1098</v>
      </c>
      <c r="L4887" s="116">
        <v>247.54</v>
      </c>
    </row>
    <row r="4888" spans="1:12" hidden="1" outlineLevel="1" collapsed="1" x14ac:dyDescent="0.35">
      <c r="A4888" s="112" t="s">
        <v>3616</v>
      </c>
      <c r="B4888" s="112" t="s">
        <v>919</v>
      </c>
      <c r="C4888" s="112" t="s">
        <v>1518</v>
      </c>
      <c r="D4888" s="113">
        <v>51366185</v>
      </c>
      <c r="E4888" s="115">
        <v>43944</v>
      </c>
      <c r="F4888" s="114">
        <v>202101</v>
      </c>
      <c r="G4888" s="112" t="s">
        <v>1091</v>
      </c>
      <c r="H4888" s="112" t="s">
        <v>1016</v>
      </c>
      <c r="I4888" s="112" t="s">
        <v>1293</v>
      </c>
      <c r="J4888" s="112" t="s">
        <v>3617</v>
      </c>
      <c r="K4888" s="112" t="s">
        <v>4084</v>
      </c>
      <c r="L4888" s="116">
        <v>-138</v>
      </c>
    </row>
    <row r="4889" spans="1:12" hidden="1" outlineLevel="1" collapsed="1" x14ac:dyDescent="0.35">
      <c r="A4889" s="112" t="s">
        <v>3616</v>
      </c>
      <c r="B4889" s="112" t="s">
        <v>921</v>
      </c>
      <c r="C4889" s="112" t="s">
        <v>1518</v>
      </c>
      <c r="D4889" s="113">
        <v>51366184</v>
      </c>
      <c r="E4889" s="115">
        <v>43944</v>
      </c>
      <c r="F4889" s="114">
        <v>202101</v>
      </c>
      <c r="G4889" s="112" t="s">
        <v>1091</v>
      </c>
      <c r="H4889" s="112" t="s">
        <v>1016</v>
      </c>
      <c r="I4889" s="112" t="s">
        <v>3899</v>
      </c>
      <c r="J4889" s="112" t="s">
        <v>3709</v>
      </c>
      <c r="K4889" s="112" t="s">
        <v>4085</v>
      </c>
      <c r="L4889" s="116">
        <v>-2095</v>
      </c>
    </row>
    <row r="4890" spans="1:12" hidden="1" outlineLevel="1" collapsed="1" x14ac:dyDescent="0.35">
      <c r="A4890" s="112" t="s">
        <v>3616</v>
      </c>
      <c r="B4890" s="112" t="s">
        <v>921</v>
      </c>
      <c r="C4890" s="112" t="s">
        <v>1095</v>
      </c>
      <c r="D4890" s="113">
        <v>10348451</v>
      </c>
      <c r="E4890" s="115">
        <v>43949</v>
      </c>
      <c r="F4890" s="114">
        <v>202101</v>
      </c>
      <c r="G4890" s="112" t="s">
        <v>1091</v>
      </c>
      <c r="H4890" s="112" t="s">
        <v>1015</v>
      </c>
      <c r="I4890" s="112" t="s">
        <v>1096</v>
      </c>
      <c r="J4890" s="112" t="s">
        <v>3620</v>
      </c>
      <c r="K4890" s="112" t="s">
        <v>1098</v>
      </c>
      <c r="L4890" s="116">
        <v>129.68</v>
      </c>
    </row>
    <row r="4891" spans="1:12" hidden="1" outlineLevel="1" collapsed="1" x14ac:dyDescent="0.35">
      <c r="A4891" s="112" t="s">
        <v>3616</v>
      </c>
      <c r="B4891" s="112" t="s">
        <v>921</v>
      </c>
      <c r="C4891" s="112" t="s">
        <v>1095</v>
      </c>
      <c r="D4891" s="113">
        <v>10348451</v>
      </c>
      <c r="E4891" s="115">
        <v>43949</v>
      </c>
      <c r="F4891" s="114">
        <v>202101</v>
      </c>
      <c r="G4891" s="112" t="s">
        <v>1091</v>
      </c>
      <c r="H4891" s="112" t="s">
        <v>1015</v>
      </c>
      <c r="I4891" s="112" t="s">
        <v>1096</v>
      </c>
      <c r="J4891" s="112" t="s">
        <v>3620</v>
      </c>
      <c r="K4891" s="112" t="s">
        <v>1098</v>
      </c>
      <c r="L4891" s="116">
        <v>215.82</v>
      </c>
    </row>
    <row r="4892" spans="1:12" hidden="1" outlineLevel="1" collapsed="1" x14ac:dyDescent="0.35">
      <c r="A4892" s="112" t="s">
        <v>3616</v>
      </c>
      <c r="B4892" s="112" t="s">
        <v>919</v>
      </c>
      <c r="C4892" s="112" t="s">
        <v>679</v>
      </c>
      <c r="D4892" s="113">
        <v>10348217</v>
      </c>
      <c r="E4892" s="115">
        <v>43935</v>
      </c>
      <c r="F4892" s="114">
        <v>202101</v>
      </c>
      <c r="G4892" s="112" t="s">
        <v>1091</v>
      </c>
      <c r="H4892" s="112" t="s">
        <v>1016</v>
      </c>
      <c r="I4892" s="112" t="s">
        <v>3846</v>
      </c>
      <c r="J4892" s="112" t="s">
        <v>3624</v>
      </c>
      <c r="K4892" s="112" t="s">
        <v>4086</v>
      </c>
      <c r="L4892" s="116">
        <v>-17.399999999999999</v>
      </c>
    </row>
    <row r="4893" spans="1:12" hidden="1" outlineLevel="1" collapsed="1" x14ac:dyDescent="0.35">
      <c r="A4893" s="112" t="s">
        <v>3616</v>
      </c>
      <c r="B4893" s="112" t="s">
        <v>921</v>
      </c>
      <c r="C4893" s="112" t="s">
        <v>1095</v>
      </c>
      <c r="D4893" s="113">
        <v>10348451</v>
      </c>
      <c r="E4893" s="115">
        <v>43949</v>
      </c>
      <c r="F4893" s="114">
        <v>202101</v>
      </c>
      <c r="G4893" s="112" t="s">
        <v>1091</v>
      </c>
      <c r="H4893" s="112" t="s">
        <v>1015</v>
      </c>
      <c r="I4893" s="112" t="s">
        <v>1096</v>
      </c>
      <c r="J4893" s="112" t="s">
        <v>3620</v>
      </c>
      <c r="K4893" s="112" t="s">
        <v>1098</v>
      </c>
      <c r="L4893" s="116">
        <v>301.88</v>
      </c>
    </row>
    <row r="4894" spans="1:12" hidden="1" outlineLevel="1" collapsed="1" x14ac:dyDescent="0.35">
      <c r="A4894" s="112" t="s">
        <v>3616</v>
      </c>
      <c r="B4894" s="112" t="s">
        <v>921</v>
      </c>
      <c r="C4894" s="112" t="s">
        <v>695</v>
      </c>
      <c r="D4894" s="113">
        <v>10348038</v>
      </c>
      <c r="E4894" s="115">
        <v>43928</v>
      </c>
      <c r="F4894" s="114">
        <v>202101</v>
      </c>
      <c r="G4894" s="112" t="s">
        <v>1091</v>
      </c>
      <c r="H4894" s="112" t="s">
        <v>1016</v>
      </c>
      <c r="I4894" s="112" t="s">
        <v>3846</v>
      </c>
      <c r="J4894" s="112" t="s">
        <v>3709</v>
      </c>
      <c r="K4894" s="112" t="s">
        <v>4087</v>
      </c>
      <c r="L4894" s="116">
        <v>-393.88</v>
      </c>
    </row>
    <row r="4895" spans="1:12" hidden="1" outlineLevel="1" collapsed="1" x14ac:dyDescent="0.35">
      <c r="A4895" s="112" t="s">
        <v>3616</v>
      </c>
      <c r="B4895" s="112" t="s">
        <v>921</v>
      </c>
      <c r="C4895" s="112" t="s">
        <v>1758</v>
      </c>
      <c r="D4895" s="113">
        <v>51366279</v>
      </c>
      <c r="E4895" s="115">
        <v>43949</v>
      </c>
      <c r="F4895" s="114">
        <v>202101</v>
      </c>
      <c r="G4895" s="112" t="s">
        <v>1091</v>
      </c>
      <c r="H4895" s="112" t="s">
        <v>1016</v>
      </c>
      <c r="I4895" s="112" t="s">
        <v>3851</v>
      </c>
      <c r="J4895" s="112" t="s">
        <v>3709</v>
      </c>
      <c r="K4895" s="112" t="s">
        <v>4088</v>
      </c>
      <c r="L4895" s="116">
        <v>216</v>
      </c>
    </row>
    <row r="4896" spans="1:12" hidden="1" outlineLevel="1" collapsed="1" x14ac:dyDescent="0.35">
      <c r="A4896" s="112" t="s">
        <v>3616</v>
      </c>
      <c r="B4896" s="112" t="s">
        <v>921</v>
      </c>
      <c r="C4896" s="112" t="s">
        <v>1758</v>
      </c>
      <c r="D4896" s="113">
        <v>51366279</v>
      </c>
      <c r="E4896" s="115">
        <v>43949</v>
      </c>
      <c r="F4896" s="114">
        <v>202101</v>
      </c>
      <c r="G4896" s="112" t="s">
        <v>1091</v>
      </c>
      <c r="H4896" s="112" t="s">
        <v>1016</v>
      </c>
      <c r="I4896" s="112" t="s">
        <v>3846</v>
      </c>
      <c r="J4896" s="112" t="s">
        <v>3709</v>
      </c>
      <c r="K4896" s="112" t="s">
        <v>4088</v>
      </c>
      <c r="L4896" s="116">
        <v>576</v>
      </c>
    </row>
    <row r="4897" spans="1:12" hidden="1" outlineLevel="1" collapsed="1" x14ac:dyDescent="0.35">
      <c r="A4897" s="112" t="s">
        <v>3616</v>
      </c>
      <c r="B4897" s="112" t="s">
        <v>921</v>
      </c>
      <c r="C4897" s="112" t="s">
        <v>1095</v>
      </c>
      <c r="D4897" s="113">
        <v>10348451</v>
      </c>
      <c r="E4897" s="115">
        <v>43949</v>
      </c>
      <c r="F4897" s="114">
        <v>202101</v>
      </c>
      <c r="G4897" s="112" t="s">
        <v>1091</v>
      </c>
      <c r="H4897" s="112" t="s">
        <v>1015</v>
      </c>
      <c r="I4897" s="112" t="s">
        <v>1096</v>
      </c>
      <c r="J4897" s="112" t="s">
        <v>3620</v>
      </c>
      <c r="K4897" s="112" t="s">
        <v>1098</v>
      </c>
      <c r="L4897" s="116">
        <v>243.87</v>
      </c>
    </row>
    <row r="4898" spans="1:12" hidden="1" outlineLevel="1" collapsed="1" x14ac:dyDescent="0.35">
      <c r="A4898" s="112" t="s">
        <v>3616</v>
      </c>
      <c r="B4898" s="112" t="s">
        <v>921</v>
      </c>
      <c r="C4898" s="112" t="s">
        <v>695</v>
      </c>
      <c r="D4898" s="113">
        <v>10348038</v>
      </c>
      <c r="E4898" s="115">
        <v>43928</v>
      </c>
      <c r="F4898" s="114">
        <v>202101</v>
      </c>
      <c r="G4898" s="112" t="s">
        <v>1091</v>
      </c>
      <c r="H4898" s="112" t="s">
        <v>1016</v>
      </c>
      <c r="I4898" s="112" t="s">
        <v>3846</v>
      </c>
      <c r="J4898" s="112" t="s">
        <v>3709</v>
      </c>
      <c r="K4898" s="112" t="s">
        <v>4089</v>
      </c>
      <c r="L4898" s="116">
        <v>-560</v>
      </c>
    </row>
    <row r="4899" spans="1:12" hidden="1" outlineLevel="1" collapsed="1" x14ac:dyDescent="0.35">
      <c r="A4899" s="112" t="s">
        <v>3616</v>
      </c>
      <c r="B4899" s="112" t="s">
        <v>921</v>
      </c>
      <c r="C4899" s="112" t="s">
        <v>695</v>
      </c>
      <c r="D4899" s="113">
        <v>10348038</v>
      </c>
      <c r="E4899" s="115">
        <v>43928</v>
      </c>
      <c r="F4899" s="114">
        <v>202101</v>
      </c>
      <c r="G4899" s="112" t="s">
        <v>1091</v>
      </c>
      <c r="H4899" s="112" t="s">
        <v>1016</v>
      </c>
      <c r="I4899" s="112" t="s">
        <v>3846</v>
      </c>
      <c r="J4899" s="112" t="s">
        <v>3709</v>
      </c>
      <c r="K4899" s="112" t="s">
        <v>4090</v>
      </c>
      <c r="L4899" s="116">
        <v>-560</v>
      </c>
    </row>
    <row r="4900" spans="1:12" hidden="1" outlineLevel="1" collapsed="1" x14ac:dyDescent="0.35">
      <c r="A4900" s="112" t="s">
        <v>3616</v>
      </c>
      <c r="B4900" s="112" t="s">
        <v>921</v>
      </c>
      <c r="C4900" s="112" t="s">
        <v>695</v>
      </c>
      <c r="D4900" s="113">
        <v>10348038</v>
      </c>
      <c r="E4900" s="115">
        <v>43928</v>
      </c>
      <c r="F4900" s="114">
        <v>202101</v>
      </c>
      <c r="G4900" s="112" t="s">
        <v>1091</v>
      </c>
      <c r="H4900" s="112" t="s">
        <v>1016</v>
      </c>
      <c r="I4900" s="112" t="s">
        <v>3846</v>
      </c>
      <c r="J4900" s="112" t="s">
        <v>3709</v>
      </c>
      <c r="K4900" s="112" t="s">
        <v>4091</v>
      </c>
      <c r="L4900" s="116">
        <v>-379</v>
      </c>
    </row>
    <row r="4901" spans="1:12" hidden="1" outlineLevel="1" collapsed="1" x14ac:dyDescent="0.35">
      <c r="A4901" s="112" t="s">
        <v>3616</v>
      </c>
      <c r="B4901" s="112" t="s">
        <v>921</v>
      </c>
      <c r="C4901" s="112" t="s">
        <v>695</v>
      </c>
      <c r="D4901" s="113">
        <v>10348038</v>
      </c>
      <c r="E4901" s="115">
        <v>43928</v>
      </c>
      <c r="F4901" s="114">
        <v>202101</v>
      </c>
      <c r="G4901" s="112" t="s">
        <v>1091</v>
      </c>
      <c r="H4901" s="112" t="s">
        <v>1016</v>
      </c>
      <c r="I4901" s="112" t="s">
        <v>3899</v>
      </c>
      <c r="J4901" s="112" t="s">
        <v>3709</v>
      </c>
      <c r="K4901" s="112" t="s">
        <v>4092</v>
      </c>
      <c r="L4901" s="116">
        <v>-945</v>
      </c>
    </row>
    <row r="4902" spans="1:12" hidden="1" outlineLevel="1" collapsed="1" x14ac:dyDescent="0.35">
      <c r="A4902" s="112" t="s">
        <v>3616</v>
      </c>
      <c r="B4902" s="112" t="s">
        <v>921</v>
      </c>
      <c r="C4902" s="112" t="s">
        <v>695</v>
      </c>
      <c r="D4902" s="113">
        <v>10348038</v>
      </c>
      <c r="E4902" s="115">
        <v>43928</v>
      </c>
      <c r="F4902" s="114">
        <v>202101</v>
      </c>
      <c r="G4902" s="112" t="s">
        <v>1091</v>
      </c>
      <c r="H4902" s="112" t="s">
        <v>1016</v>
      </c>
      <c r="I4902" s="112" t="s">
        <v>3899</v>
      </c>
      <c r="J4902" s="112" t="s">
        <v>3709</v>
      </c>
      <c r="K4902" s="112" t="s">
        <v>4093</v>
      </c>
      <c r="L4902" s="116">
        <v>-137.5</v>
      </c>
    </row>
    <row r="4903" spans="1:12" hidden="1" outlineLevel="1" collapsed="1" x14ac:dyDescent="0.35">
      <c r="A4903" s="112" t="s">
        <v>3616</v>
      </c>
      <c r="B4903" s="112" t="s">
        <v>921</v>
      </c>
      <c r="C4903" s="112" t="s">
        <v>1095</v>
      </c>
      <c r="D4903" s="113">
        <v>10348451</v>
      </c>
      <c r="E4903" s="115">
        <v>43949</v>
      </c>
      <c r="F4903" s="114">
        <v>202101</v>
      </c>
      <c r="G4903" s="112" t="s">
        <v>1091</v>
      </c>
      <c r="H4903" s="112" t="s">
        <v>1015</v>
      </c>
      <c r="I4903" s="112" t="s">
        <v>1096</v>
      </c>
      <c r="J4903" s="112" t="s">
        <v>3620</v>
      </c>
      <c r="K4903" s="112" t="s">
        <v>1098</v>
      </c>
      <c r="L4903" s="116">
        <v>103.23</v>
      </c>
    </row>
    <row r="4904" spans="1:12" hidden="1" outlineLevel="1" collapsed="1" x14ac:dyDescent="0.35">
      <c r="A4904" s="112" t="s">
        <v>3616</v>
      </c>
      <c r="B4904" s="112" t="s">
        <v>921</v>
      </c>
      <c r="C4904" s="112" t="s">
        <v>1095</v>
      </c>
      <c r="D4904" s="113">
        <v>10348451</v>
      </c>
      <c r="E4904" s="115">
        <v>43949</v>
      </c>
      <c r="F4904" s="114">
        <v>202101</v>
      </c>
      <c r="G4904" s="112" t="s">
        <v>1091</v>
      </c>
      <c r="H4904" s="112" t="s">
        <v>1015</v>
      </c>
      <c r="I4904" s="112" t="s">
        <v>1096</v>
      </c>
      <c r="J4904" s="112" t="s">
        <v>3620</v>
      </c>
      <c r="K4904" s="112" t="s">
        <v>1098</v>
      </c>
      <c r="L4904" s="116">
        <v>137.63999999999999</v>
      </c>
    </row>
    <row r="4905" spans="1:12" hidden="1" outlineLevel="1" collapsed="1" x14ac:dyDescent="0.35">
      <c r="A4905" s="112" t="s">
        <v>3616</v>
      </c>
      <c r="B4905" s="112" t="s">
        <v>921</v>
      </c>
      <c r="C4905" s="112" t="s">
        <v>695</v>
      </c>
      <c r="D4905" s="113">
        <v>10348038</v>
      </c>
      <c r="E4905" s="115">
        <v>43928</v>
      </c>
      <c r="F4905" s="114">
        <v>202101</v>
      </c>
      <c r="G4905" s="112" t="s">
        <v>1091</v>
      </c>
      <c r="H4905" s="112" t="s">
        <v>1016</v>
      </c>
      <c r="I4905" s="112" t="s">
        <v>3899</v>
      </c>
      <c r="J4905" s="112" t="s">
        <v>3709</v>
      </c>
      <c r="K4905" s="112" t="s">
        <v>4094</v>
      </c>
      <c r="L4905" s="116">
        <v>-262.5</v>
      </c>
    </row>
    <row r="4906" spans="1:12" hidden="1" outlineLevel="1" collapsed="1" x14ac:dyDescent="0.35">
      <c r="A4906" s="112" t="s">
        <v>3616</v>
      </c>
      <c r="B4906" s="112" t="s">
        <v>921</v>
      </c>
      <c r="C4906" s="112" t="s">
        <v>695</v>
      </c>
      <c r="D4906" s="113">
        <v>10348038</v>
      </c>
      <c r="E4906" s="115">
        <v>43928</v>
      </c>
      <c r="F4906" s="114">
        <v>202101</v>
      </c>
      <c r="G4906" s="112" t="s">
        <v>1091</v>
      </c>
      <c r="H4906" s="112" t="s">
        <v>1016</v>
      </c>
      <c r="I4906" s="112" t="s">
        <v>3899</v>
      </c>
      <c r="J4906" s="112" t="s">
        <v>3709</v>
      </c>
      <c r="K4906" s="112" t="s">
        <v>4095</v>
      </c>
      <c r="L4906" s="116">
        <v>137.5</v>
      </c>
    </row>
    <row r="4907" spans="1:12" hidden="1" outlineLevel="1" collapsed="1" x14ac:dyDescent="0.35">
      <c r="A4907" s="112" t="s">
        <v>3616</v>
      </c>
      <c r="B4907" s="112" t="s">
        <v>921</v>
      </c>
      <c r="C4907" s="112" t="s">
        <v>695</v>
      </c>
      <c r="D4907" s="113">
        <v>10348038</v>
      </c>
      <c r="E4907" s="115">
        <v>43928</v>
      </c>
      <c r="F4907" s="114">
        <v>202101</v>
      </c>
      <c r="G4907" s="112" t="s">
        <v>1091</v>
      </c>
      <c r="H4907" s="112" t="s">
        <v>1016</v>
      </c>
      <c r="I4907" s="112" t="s">
        <v>3899</v>
      </c>
      <c r="J4907" s="112" t="s">
        <v>3709</v>
      </c>
      <c r="K4907" s="112" t="s">
        <v>4096</v>
      </c>
      <c r="L4907" s="116">
        <v>-262.5</v>
      </c>
    </row>
    <row r="4908" spans="1:12" hidden="1" outlineLevel="1" collapsed="1" x14ac:dyDescent="0.35">
      <c r="A4908" s="112" t="s">
        <v>3616</v>
      </c>
      <c r="B4908" s="112" t="s">
        <v>921</v>
      </c>
      <c r="C4908" s="112" t="s">
        <v>695</v>
      </c>
      <c r="D4908" s="113">
        <v>10348038</v>
      </c>
      <c r="E4908" s="115">
        <v>43928</v>
      </c>
      <c r="F4908" s="114">
        <v>202101</v>
      </c>
      <c r="G4908" s="112" t="s">
        <v>1091</v>
      </c>
      <c r="H4908" s="112" t="s">
        <v>1016</v>
      </c>
      <c r="I4908" s="112" t="s">
        <v>3899</v>
      </c>
      <c r="J4908" s="112" t="s">
        <v>3709</v>
      </c>
      <c r="K4908" s="112" t="s">
        <v>4097</v>
      </c>
      <c r="L4908" s="116">
        <v>-262.5</v>
      </c>
    </row>
    <row r="4909" spans="1:12" hidden="1" outlineLevel="1" collapsed="1" x14ac:dyDescent="0.35">
      <c r="A4909" s="112" t="s">
        <v>3616</v>
      </c>
      <c r="B4909" s="112" t="s">
        <v>921</v>
      </c>
      <c r="C4909" s="112" t="s">
        <v>1095</v>
      </c>
      <c r="D4909" s="113">
        <v>10348451</v>
      </c>
      <c r="E4909" s="115">
        <v>43949</v>
      </c>
      <c r="F4909" s="114">
        <v>202101</v>
      </c>
      <c r="G4909" s="112" t="s">
        <v>1091</v>
      </c>
      <c r="H4909" s="112" t="s">
        <v>1015</v>
      </c>
      <c r="I4909" s="112" t="s">
        <v>1096</v>
      </c>
      <c r="J4909" s="112" t="s">
        <v>3620</v>
      </c>
      <c r="K4909" s="112" t="s">
        <v>1098</v>
      </c>
      <c r="L4909" s="116">
        <v>274.93</v>
      </c>
    </row>
    <row r="4910" spans="1:12" hidden="1" outlineLevel="1" collapsed="1" x14ac:dyDescent="0.35">
      <c r="A4910" s="112" t="s">
        <v>3616</v>
      </c>
      <c r="B4910" s="112" t="s">
        <v>921</v>
      </c>
      <c r="C4910" s="112" t="s">
        <v>1095</v>
      </c>
      <c r="D4910" s="113">
        <v>10348451</v>
      </c>
      <c r="E4910" s="115">
        <v>43949</v>
      </c>
      <c r="F4910" s="114">
        <v>202101</v>
      </c>
      <c r="G4910" s="112" t="s">
        <v>1091</v>
      </c>
      <c r="H4910" s="112" t="s">
        <v>1015</v>
      </c>
      <c r="I4910" s="112" t="s">
        <v>1096</v>
      </c>
      <c r="J4910" s="112" t="s">
        <v>3620</v>
      </c>
      <c r="K4910" s="112" t="s">
        <v>1098</v>
      </c>
      <c r="L4910" s="116">
        <v>152.09</v>
      </c>
    </row>
    <row r="4911" spans="1:12" hidden="1" outlineLevel="1" collapsed="1" x14ac:dyDescent="0.35">
      <c r="A4911" s="112" t="s">
        <v>3616</v>
      </c>
      <c r="B4911" s="112" t="s">
        <v>921</v>
      </c>
      <c r="C4911" s="112" t="s">
        <v>1095</v>
      </c>
      <c r="D4911" s="113">
        <v>10348451</v>
      </c>
      <c r="E4911" s="115">
        <v>43949</v>
      </c>
      <c r="F4911" s="114">
        <v>202101</v>
      </c>
      <c r="G4911" s="112" t="s">
        <v>1091</v>
      </c>
      <c r="H4911" s="112" t="s">
        <v>1015</v>
      </c>
      <c r="I4911" s="112" t="s">
        <v>1096</v>
      </c>
      <c r="J4911" s="112" t="s">
        <v>3620</v>
      </c>
      <c r="K4911" s="112" t="s">
        <v>1098</v>
      </c>
      <c r="L4911" s="116">
        <v>177.28</v>
      </c>
    </row>
    <row r="4912" spans="1:12" hidden="1" outlineLevel="1" collapsed="1" x14ac:dyDescent="0.35">
      <c r="A4912" s="112" t="s">
        <v>3616</v>
      </c>
      <c r="B4912" s="112" t="s">
        <v>921</v>
      </c>
      <c r="C4912" s="112" t="s">
        <v>1095</v>
      </c>
      <c r="D4912" s="113">
        <v>10348451</v>
      </c>
      <c r="E4912" s="115">
        <v>43949</v>
      </c>
      <c r="F4912" s="114">
        <v>202101</v>
      </c>
      <c r="G4912" s="112" t="s">
        <v>1091</v>
      </c>
      <c r="H4912" s="112" t="s">
        <v>1015</v>
      </c>
      <c r="I4912" s="112" t="s">
        <v>1096</v>
      </c>
      <c r="J4912" s="112" t="s">
        <v>3709</v>
      </c>
      <c r="K4912" s="112" t="s">
        <v>1098</v>
      </c>
      <c r="L4912" s="116">
        <v>571.19000000000005</v>
      </c>
    </row>
    <row r="4913" spans="1:12" hidden="1" outlineLevel="1" collapsed="1" x14ac:dyDescent="0.35">
      <c r="A4913" s="112" t="s">
        <v>3616</v>
      </c>
      <c r="B4913" s="112" t="s">
        <v>921</v>
      </c>
      <c r="C4913" s="112" t="s">
        <v>1095</v>
      </c>
      <c r="D4913" s="113">
        <v>10348451</v>
      </c>
      <c r="E4913" s="115">
        <v>43949</v>
      </c>
      <c r="F4913" s="114">
        <v>202101</v>
      </c>
      <c r="G4913" s="112" t="s">
        <v>1091</v>
      </c>
      <c r="H4913" s="112" t="s">
        <v>1015</v>
      </c>
      <c r="I4913" s="112" t="s">
        <v>1096</v>
      </c>
      <c r="J4913" s="112" t="s">
        <v>3709</v>
      </c>
      <c r="K4913" s="112" t="s">
        <v>1098</v>
      </c>
      <c r="L4913" s="116">
        <v>210.79</v>
      </c>
    </row>
    <row r="4914" spans="1:12" hidden="1" outlineLevel="1" collapsed="1" x14ac:dyDescent="0.35">
      <c r="A4914" s="112" t="s">
        <v>3616</v>
      </c>
      <c r="B4914" s="112" t="s">
        <v>921</v>
      </c>
      <c r="C4914" s="112" t="s">
        <v>1095</v>
      </c>
      <c r="D4914" s="113">
        <v>10348451</v>
      </c>
      <c r="E4914" s="115">
        <v>43949</v>
      </c>
      <c r="F4914" s="114">
        <v>202101</v>
      </c>
      <c r="G4914" s="112" t="s">
        <v>1091</v>
      </c>
      <c r="H4914" s="112" t="s">
        <v>1015</v>
      </c>
      <c r="I4914" s="112" t="s">
        <v>1096</v>
      </c>
      <c r="J4914" s="112" t="s">
        <v>3709</v>
      </c>
      <c r="K4914" s="112" t="s">
        <v>1098</v>
      </c>
      <c r="L4914" s="116">
        <v>218.33</v>
      </c>
    </row>
    <row r="4915" spans="1:12" hidden="1" outlineLevel="1" collapsed="1" x14ac:dyDescent="0.35">
      <c r="A4915" s="112" t="s">
        <v>3616</v>
      </c>
      <c r="B4915" s="112" t="s">
        <v>921</v>
      </c>
      <c r="C4915" s="112" t="s">
        <v>1095</v>
      </c>
      <c r="D4915" s="113">
        <v>10348451</v>
      </c>
      <c r="E4915" s="115">
        <v>43949</v>
      </c>
      <c r="F4915" s="114">
        <v>202101</v>
      </c>
      <c r="G4915" s="112" t="s">
        <v>1091</v>
      </c>
      <c r="H4915" s="112" t="s">
        <v>1015</v>
      </c>
      <c r="I4915" s="112" t="s">
        <v>1096</v>
      </c>
      <c r="J4915" s="112" t="s">
        <v>3709</v>
      </c>
      <c r="K4915" s="112" t="s">
        <v>1098</v>
      </c>
      <c r="L4915" s="116">
        <v>210.79</v>
      </c>
    </row>
    <row r="4916" spans="1:12" hidden="1" outlineLevel="1" collapsed="1" x14ac:dyDescent="0.35">
      <c r="A4916" s="112" t="s">
        <v>3616</v>
      </c>
      <c r="B4916" s="112" t="s">
        <v>921</v>
      </c>
      <c r="C4916" s="112" t="s">
        <v>1095</v>
      </c>
      <c r="D4916" s="113">
        <v>10348451</v>
      </c>
      <c r="E4916" s="115">
        <v>43949</v>
      </c>
      <c r="F4916" s="114">
        <v>202101</v>
      </c>
      <c r="G4916" s="112" t="s">
        <v>1091</v>
      </c>
      <c r="H4916" s="112" t="s">
        <v>1015</v>
      </c>
      <c r="I4916" s="112" t="s">
        <v>1096</v>
      </c>
      <c r="J4916" s="112" t="s">
        <v>3709</v>
      </c>
      <c r="K4916" s="112" t="s">
        <v>1098</v>
      </c>
      <c r="L4916" s="116">
        <v>165.6</v>
      </c>
    </row>
    <row r="4917" spans="1:12" hidden="1" outlineLevel="1" collapsed="1" x14ac:dyDescent="0.35">
      <c r="A4917" s="112" t="s">
        <v>3616</v>
      </c>
      <c r="B4917" s="112" t="s">
        <v>921</v>
      </c>
      <c r="C4917" s="112" t="s">
        <v>1095</v>
      </c>
      <c r="D4917" s="113">
        <v>10348451</v>
      </c>
      <c r="E4917" s="115">
        <v>43949</v>
      </c>
      <c r="F4917" s="114">
        <v>202101</v>
      </c>
      <c r="G4917" s="112" t="s">
        <v>1091</v>
      </c>
      <c r="H4917" s="112" t="s">
        <v>1015</v>
      </c>
      <c r="I4917" s="112" t="s">
        <v>1096</v>
      </c>
      <c r="J4917" s="112" t="s">
        <v>3709</v>
      </c>
      <c r="K4917" s="112" t="s">
        <v>1098</v>
      </c>
      <c r="L4917" s="116">
        <v>271.86</v>
      </c>
    </row>
    <row r="4918" spans="1:12" hidden="1" outlineLevel="1" collapsed="1" x14ac:dyDescent="0.35">
      <c r="A4918" s="112" t="s">
        <v>3616</v>
      </c>
      <c r="B4918" s="112" t="s">
        <v>917</v>
      </c>
      <c r="C4918" s="112" t="s">
        <v>1095</v>
      </c>
      <c r="D4918" s="113">
        <v>10348451</v>
      </c>
      <c r="E4918" s="115">
        <v>43949</v>
      </c>
      <c r="F4918" s="114">
        <v>202101</v>
      </c>
      <c r="G4918" s="112" t="s">
        <v>1091</v>
      </c>
      <c r="H4918" s="112" t="s">
        <v>1015</v>
      </c>
      <c r="I4918" s="112" t="s">
        <v>1096</v>
      </c>
      <c r="J4918" s="112" t="s">
        <v>3781</v>
      </c>
      <c r="K4918" s="112" t="s">
        <v>1098</v>
      </c>
      <c r="L4918" s="116">
        <v>119.79</v>
      </c>
    </row>
    <row r="4919" spans="1:12" hidden="1" outlineLevel="1" collapsed="1" x14ac:dyDescent="0.35">
      <c r="A4919" s="112" t="s">
        <v>3616</v>
      </c>
      <c r="B4919" s="112" t="s">
        <v>921</v>
      </c>
      <c r="C4919" s="112" t="s">
        <v>695</v>
      </c>
      <c r="D4919" s="113">
        <v>10348038</v>
      </c>
      <c r="E4919" s="115">
        <v>43928</v>
      </c>
      <c r="F4919" s="114">
        <v>202101</v>
      </c>
      <c r="G4919" s="112" t="s">
        <v>1091</v>
      </c>
      <c r="H4919" s="112" t="s">
        <v>1016</v>
      </c>
      <c r="I4919" s="112" t="s">
        <v>3846</v>
      </c>
      <c r="J4919" s="112" t="s">
        <v>3709</v>
      </c>
      <c r="K4919" s="112" t="s">
        <v>4098</v>
      </c>
      <c r="L4919" s="116">
        <v>-1064</v>
      </c>
    </row>
    <row r="4920" spans="1:12" hidden="1" outlineLevel="1" collapsed="1" x14ac:dyDescent="0.35">
      <c r="A4920" s="112" t="s">
        <v>3616</v>
      </c>
      <c r="B4920" s="112" t="s">
        <v>917</v>
      </c>
      <c r="C4920" s="112" t="s">
        <v>1095</v>
      </c>
      <c r="D4920" s="113">
        <v>10348451</v>
      </c>
      <c r="E4920" s="115">
        <v>43949</v>
      </c>
      <c r="F4920" s="114">
        <v>202101</v>
      </c>
      <c r="G4920" s="112" t="s">
        <v>1091</v>
      </c>
      <c r="H4920" s="112" t="s">
        <v>1015</v>
      </c>
      <c r="I4920" s="112" t="s">
        <v>1096</v>
      </c>
      <c r="J4920" s="112" t="s">
        <v>3781</v>
      </c>
      <c r="K4920" s="112" t="s">
        <v>1098</v>
      </c>
      <c r="L4920" s="116">
        <v>366.99</v>
      </c>
    </row>
    <row r="4921" spans="1:12" hidden="1" outlineLevel="1" collapsed="1" x14ac:dyDescent="0.35">
      <c r="A4921" s="112" t="s">
        <v>3616</v>
      </c>
      <c r="B4921" s="112" t="s">
        <v>921</v>
      </c>
      <c r="C4921" s="112" t="s">
        <v>695</v>
      </c>
      <c r="D4921" s="113">
        <v>10348038</v>
      </c>
      <c r="E4921" s="115">
        <v>43928</v>
      </c>
      <c r="F4921" s="114">
        <v>202101</v>
      </c>
      <c r="G4921" s="112" t="s">
        <v>1091</v>
      </c>
      <c r="H4921" s="112" t="s">
        <v>1016</v>
      </c>
      <c r="I4921" s="112" t="s">
        <v>3846</v>
      </c>
      <c r="J4921" s="112" t="s">
        <v>3709</v>
      </c>
      <c r="K4921" s="112" t="s">
        <v>4099</v>
      </c>
      <c r="L4921" s="116">
        <v>-896.5</v>
      </c>
    </row>
    <row r="4922" spans="1:12" hidden="1" outlineLevel="1" collapsed="1" x14ac:dyDescent="0.35">
      <c r="A4922" s="112" t="s">
        <v>3616</v>
      </c>
      <c r="B4922" s="112" t="s">
        <v>921</v>
      </c>
      <c r="C4922" s="112" t="s">
        <v>695</v>
      </c>
      <c r="D4922" s="113">
        <v>10348038</v>
      </c>
      <c r="E4922" s="115">
        <v>43928</v>
      </c>
      <c r="F4922" s="114">
        <v>202101</v>
      </c>
      <c r="G4922" s="112" t="s">
        <v>1091</v>
      </c>
      <c r="H4922" s="112" t="s">
        <v>1016</v>
      </c>
      <c r="I4922" s="112" t="s">
        <v>3846</v>
      </c>
      <c r="J4922" s="112" t="s">
        <v>3709</v>
      </c>
      <c r="K4922" s="112" t="s">
        <v>4100</v>
      </c>
      <c r="L4922" s="116">
        <v>-715</v>
      </c>
    </row>
    <row r="4923" spans="1:12" hidden="1" outlineLevel="1" collapsed="1" x14ac:dyDescent="0.35">
      <c r="A4923" s="112" t="s">
        <v>3616</v>
      </c>
      <c r="B4923" s="112" t="s">
        <v>921</v>
      </c>
      <c r="C4923" s="112" t="s">
        <v>1095</v>
      </c>
      <c r="D4923" s="113">
        <v>10348451</v>
      </c>
      <c r="E4923" s="115">
        <v>43949</v>
      </c>
      <c r="F4923" s="114">
        <v>202101</v>
      </c>
      <c r="G4923" s="112" t="s">
        <v>1091</v>
      </c>
      <c r="H4923" s="112" t="s">
        <v>1015</v>
      </c>
      <c r="I4923" s="112" t="s">
        <v>1101</v>
      </c>
      <c r="J4923" s="112" t="s">
        <v>3620</v>
      </c>
      <c r="K4923" s="112" t="s">
        <v>1098</v>
      </c>
      <c r="L4923" s="116">
        <v>65.88</v>
      </c>
    </row>
    <row r="4924" spans="1:12" hidden="1" outlineLevel="1" collapsed="1" x14ac:dyDescent="0.35">
      <c r="A4924" s="112" t="s">
        <v>3616</v>
      </c>
      <c r="B4924" s="112" t="s">
        <v>921</v>
      </c>
      <c r="C4924" s="112" t="s">
        <v>695</v>
      </c>
      <c r="D4924" s="113">
        <v>10348038</v>
      </c>
      <c r="E4924" s="115">
        <v>43928</v>
      </c>
      <c r="F4924" s="114">
        <v>202101</v>
      </c>
      <c r="G4924" s="112" t="s">
        <v>1091</v>
      </c>
      <c r="H4924" s="112" t="s">
        <v>1016</v>
      </c>
      <c r="I4924" s="112" t="s">
        <v>3846</v>
      </c>
      <c r="J4924" s="112" t="s">
        <v>3709</v>
      </c>
      <c r="K4924" s="112" t="s">
        <v>4101</v>
      </c>
      <c r="L4924" s="116">
        <v>560</v>
      </c>
    </row>
    <row r="4925" spans="1:12" hidden="1" outlineLevel="1" collapsed="1" x14ac:dyDescent="0.35">
      <c r="A4925" s="112" t="s">
        <v>3616</v>
      </c>
      <c r="B4925" s="112" t="s">
        <v>921</v>
      </c>
      <c r="C4925" s="112" t="s">
        <v>695</v>
      </c>
      <c r="D4925" s="113">
        <v>10348038</v>
      </c>
      <c r="E4925" s="115">
        <v>43928</v>
      </c>
      <c r="F4925" s="114">
        <v>202101</v>
      </c>
      <c r="G4925" s="112" t="s">
        <v>1091</v>
      </c>
      <c r="H4925" s="112" t="s">
        <v>1016</v>
      </c>
      <c r="I4925" s="112" t="s">
        <v>3846</v>
      </c>
      <c r="J4925" s="112" t="s">
        <v>3709</v>
      </c>
      <c r="K4925" s="112" t="s">
        <v>4102</v>
      </c>
      <c r="L4925" s="116">
        <v>-450</v>
      </c>
    </row>
    <row r="4926" spans="1:12" hidden="1" outlineLevel="1" collapsed="1" x14ac:dyDescent="0.35">
      <c r="A4926" s="112" t="s">
        <v>3616</v>
      </c>
      <c r="B4926" s="112" t="s">
        <v>921</v>
      </c>
      <c r="C4926" s="112" t="s">
        <v>695</v>
      </c>
      <c r="D4926" s="113">
        <v>10348038</v>
      </c>
      <c r="E4926" s="115">
        <v>43928</v>
      </c>
      <c r="F4926" s="114">
        <v>202101</v>
      </c>
      <c r="G4926" s="112" t="s">
        <v>1091</v>
      </c>
      <c r="H4926" s="112" t="s">
        <v>1016</v>
      </c>
      <c r="I4926" s="112" t="s">
        <v>4103</v>
      </c>
      <c r="J4926" s="112" t="s">
        <v>3709</v>
      </c>
      <c r="K4926" s="112" t="s">
        <v>3947</v>
      </c>
      <c r="L4926" s="116">
        <v>-196</v>
      </c>
    </row>
    <row r="4927" spans="1:12" hidden="1" outlineLevel="1" collapsed="1" x14ac:dyDescent="0.35">
      <c r="A4927" s="112" t="s">
        <v>3616</v>
      </c>
      <c r="B4927" s="112" t="s">
        <v>921</v>
      </c>
      <c r="C4927" s="112" t="s">
        <v>695</v>
      </c>
      <c r="D4927" s="113">
        <v>10348038</v>
      </c>
      <c r="E4927" s="115">
        <v>43928</v>
      </c>
      <c r="F4927" s="114">
        <v>202101</v>
      </c>
      <c r="G4927" s="112" t="s">
        <v>1091</v>
      </c>
      <c r="H4927" s="112" t="s">
        <v>1016</v>
      </c>
      <c r="I4927" s="112" t="s">
        <v>4103</v>
      </c>
      <c r="J4927" s="112" t="s">
        <v>3709</v>
      </c>
      <c r="K4927" s="112" t="s">
        <v>4104</v>
      </c>
      <c r="L4927" s="116">
        <v>-196</v>
      </c>
    </row>
    <row r="4928" spans="1:12" hidden="1" outlineLevel="1" collapsed="1" x14ac:dyDescent="0.35">
      <c r="A4928" s="112" t="s">
        <v>3616</v>
      </c>
      <c r="B4928" s="112" t="s">
        <v>923</v>
      </c>
      <c r="C4928" s="112" t="s">
        <v>1095</v>
      </c>
      <c r="D4928" s="113">
        <v>10348451</v>
      </c>
      <c r="E4928" s="115">
        <v>43949</v>
      </c>
      <c r="F4928" s="114">
        <v>202101</v>
      </c>
      <c r="G4928" s="112" t="s">
        <v>1091</v>
      </c>
      <c r="H4928" s="112" t="s">
        <v>1015</v>
      </c>
      <c r="I4928" s="112" t="s">
        <v>1096</v>
      </c>
      <c r="J4928" s="112" t="s">
        <v>3750</v>
      </c>
      <c r="K4928" s="112" t="s">
        <v>1098</v>
      </c>
      <c r="L4928" s="116">
        <v>152.74</v>
      </c>
    </row>
    <row r="4929" spans="1:12" hidden="1" outlineLevel="1" collapsed="1" x14ac:dyDescent="0.35">
      <c r="A4929" s="112" t="s">
        <v>3616</v>
      </c>
      <c r="B4929" s="112" t="s">
        <v>921</v>
      </c>
      <c r="C4929" s="112" t="s">
        <v>695</v>
      </c>
      <c r="D4929" s="113">
        <v>10348038</v>
      </c>
      <c r="E4929" s="115">
        <v>43928</v>
      </c>
      <c r="F4929" s="114">
        <v>202101</v>
      </c>
      <c r="G4929" s="112" t="s">
        <v>1091</v>
      </c>
      <c r="H4929" s="112" t="s">
        <v>1016</v>
      </c>
      <c r="I4929" s="112" t="s">
        <v>3899</v>
      </c>
      <c r="J4929" s="112" t="s">
        <v>3709</v>
      </c>
      <c r="K4929" s="112" t="s">
        <v>4105</v>
      </c>
      <c r="L4929" s="116">
        <v>-212.5</v>
      </c>
    </row>
    <row r="4930" spans="1:12" hidden="1" outlineLevel="1" collapsed="1" x14ac:dyDescent="0.35">
      <c r="A4930" s="112" t="s">
        <v>3616</v>
      </c>
      <c r="B4930" s="112" t="s">
        <v>921</v>
      </c>
      <c r="C4930" s="112" t="s">
        <v>695</v>
      </c>
      <c r="D4930" s="113">
        <v>10348038</v>
      </c>
      <c r="E4930" s="115">
        <v>43928</v>
      </c>
      <c r="F4930" s="114">
        <v>202101</v>
      </c>
      <c r="G4930" s="112" t="s">
        <v>1091</v>
      </c>
      <c r="H4930" s="112" t="s">
        <v>1016</v>
      </c>
      <c r="I4930" s="112" t="s">
        <v>3899</v>
      </c>
      <c r="J4930" s="112" t="s">
        <v>3709</v>
      </c>
      <c r="K4930" s="112" t="s">
        <v>4106</v>
      </c>
      <c r="L4930" s="116">
        <v>-212.5</v>
      </c>
    </row>
    <row r="4931" spans="1:12" hidden="1" outlineLevel="1" collapsed="1" x14ac:dyDescent="0.35">
      <c r="A4931" s="112" t="s">
        <v>3616</v>
      </c>
      <c r="B4931" s="112" t="s">
        <v>923</v>
      </c>
      <c r="C4931" s="112" t="s">
        <v>1095</v>
      </c>
      <c r="D4931" s="113">
        <v>10348451</v>
      </c>
      <c r="E4931" s="115">
        <v>43949</v>
      </c>
      <c r="F4931" s="114">
        <v>202101</v>
      </c>
      <c r="G4931" s="112" t="s">
        <v>1091</v>
      </c>
      <c r="H4931" s="112" t="s">
        <v>1015</v>
      </c>
      <c r="I4931" s="112" t="s">
        <v>1101</v>
      </c>
      <c r="J4931" s="112" t="s">
        <v>3750</v>
      </c>
      <c r="K4931" s="112" t="s">
        <v>1098</v>
      </c>
      <c r="L4931" s="116">
        <v>241.54</v>
      </c>
    </row>
    <row r="4932" spans="1:12" hidden="1" outlineLevel="1" collapsed="1" x14ac:dyDescent="0.35">
      <c r="A4932" s="112" t="s">
        <v>3616</v>
      </c>
      <c r="B4932" s="112" t="s">
        <v>921</v>
      </c>
      <c r="C4932" s="112" t="s">
        <v>695</v>
      </c>
      <c r="D4932" s="113">
        <v>10348038</v>
      </c>
      <c r="E4932" s="115">
        <v>43928</v>
      </c>
      <c r="F4932" s="114">
        <v>202101</v>
      </c>
      <c r="G4932" s="112" t="s">
        <v>1091</v>
      </c>
      <c r="H4932" s="112" t="s">
        <v>1016</v>
      </c>
      <c r="I4932" s="112" t="s">
        <v>3899</v>
      </c>
      <c r="J4932" s="112" t="s">
        <v>3709</v>
      </c>
      <c r="K4932" s="112" t="s">
        <v>4107</v>
      </c>
      <c r="L4932" s="116">
        <v>-137.5</v>
      </c>
    </row>
    <row r="4933" spans="1:12" hidden="1" outlineLevel="1" collapsed="1" x14ac:dyDescent="0.35">
      <c r="A4933" s="112" t="s">
        <v>3616</v>
      </c>
      <c r="B4933" s="112" t="s">
        <v>921</v>
      </c>
      <c r="C4933" s="112" t="s">
        <v>695</v>
      </c>
      <c r="D4933" s="113">
        <v>10348038</v>
      </c>
      <c r="E4933" s="115">
        <v>43928</v>
      </c>
      <c r="F4933" s="114">
        <v>202101</v>
      </c>
      <c r="G4933" s="112" t="s">
        <v>1091</v>
      </c>
      <c r="H4933" s="112" t="s">
        <v>1016</v>
      </c>
      <c r="I4933" s="112" t="s">
        <v>3899</v>
      </c>
      <c r="J4933" s="112" t="s">
        <v>3709</v>
      </c>
      <c r="K4933" s="112" t="s">
        <v>4108</v>
      </c>
      <c r="L4933" s="116">
        <v>-137.5</v>
      </c>
    </row>
    <row r="4934" spans="1:12" hidden="1" outlineLevel="1" collapsed="1" x14ac:dyDescent="0.35">
      <c r="A4934" s="112" t="s">
        <v>3616</v>
      </c>
      <c r="B4934" s="112" t="s">
        <v>921</v>
      </c>
      <c r="C4934" s="112" t="s">
        <v>695</v>
      </c>
      <c r="D4934" s="113">
        <v>10348038</v>
      </c>
      <c r="E4934" s="115">
        <v>43928</v>
      </c>
      <c r="F4934" s="114">
        <v>202101</v>
      </c>
      <c r="G4934" s="112" t="s">
        <v>1091</v>
      </c>
      <c r="H4934" s="112" t="s">
        <v>1016</v>
      </c>
      <c r="I4934" s="112" t="s">
        <v>3899</v>
      </c>
      <c r="J4934" s="112" t="s">
        <v>3709</v>
      </c>
      <c r="K4934" s="112" t="s">
        <v>4109</v>
      </c>
      <c r="L4934" s="116">
        <v>-131.25</v>
      </c>
    </row>
    <row r="4935" spans="1:12" hidden="1" outlineLevel="1" collapsed="1" x14ac:dyDescent="0.35">
      <c r="A4935" s="112" t="s">
        <v>3616</v>
      </c>
      <c r="B4935" s="112" t="s">
        <v>921</v>
      </c>
      <c r="C4935" s="112" t="s">
        <v>695</v>
      </c>
      <c r="D4935" s="113">
        <v>10348038</v>
      </c>
      <c r="E4935" s="115">
        <v>43928</v>
      </c>
      <c r="F4935" s="114">
        <v>202101</v>
      </c>
      <c r="G4935" s="112" t="s">
        <v>1091</v>
      </c>
      <c r="H4935" s="112" t="s">
        <v>1016</v>
      </c>
      <c r="I4935" s="112" t="s">
        <v>3899</v>
      </c>
      <c r="J4935" s="112" t="s">
        <v>3709</v>
      </c>
      <c r="K4935" s="112" t="s">
        <v>4110</v>
      </c>
      <c r="L4935" s="116">
        <v>-131.25</v>
      </c>
    </row>
    <row r="4936" spans="1:12" hidden="1" outlineLevel="1" collapsed="1" x14ac:dyDescent="0.35">
      <c r="A4936" s="112" t="s">
        <v>3616</v>
      </c>
      <c r="B4936" s="112" t="s">
        <v>918</v>
      </c>
      <c r="C4936" s="112" t="s">
        <v>1095</v>
      </c>
      <c r="D4936" s="113">
        <v>10348451</v>
      </c>
      <c r="E4936" s="115">
        <v>43949</v>
      </c>
      <c r="F4936" s="114">
        <v>202101</v>
      </c>
      <c r="G4936" s="112" t="s">
        <v>1091</v>
      </c>
      <c r="H4936" s="112" t="s">
        <v>1015</v>
      </c>
      <c r="I4936" s="112" t="s">
        <v>1113</v>
      </c>
      <c r="J4936" s="112" t="s">
        <v>3695</v>
      </c>
      <c r="K4936" s="112" t="s">
        <v>1098</v>
      </c>
      <c r="L4936" s="116">
        <v>83.33</v>
      </c>
    </row>
    <row r="4937" spans="1:12" hidden="1" outlineLevel="1" collapsed="1" x14ac:dyDescent="0.35">
      <c r="A4937" s="112" t="s">
        <v>3616</v>
      </c>
      <c r="B4937" s="112" t="s">
        <v>921</v>
      </c>
      <c r="C4937" s="112" t="s">
        <v>1095</v>
      </c>
      <c r="D4937" s="113">
        <v>10348451</v>
      </c>
      <c r="E4937" s="115">
        <v>43949</v>
      </c>
      <c r="F4937" s="114">
        <v>202101</v>
      </c>
      <c r="G4937" s="112" t="s">
        <v>1091</v>
      </c>
      <c r="H4937" s="112" t="s">
        <v>1015</v>
      </c>
      <c r="I4937" s="112" t="s">
        <v>1101</v>
      </c>
      <c r="J4937" s="112" t="s">
        <v>3620</v>
      </c>
      <c r="K4937" s="112" t="s">
        <v>1098</v>
      </c>
      <c r="L4937" s="116">
        <v>297.13</v>
      </c>
    </row>
    <row r="4938" spans="1:12" hidden="1" outlineLevel="1" collapsed="1" x14ac:dyDescent="0.35">
      <c r="A4938" s="112" t="s">
        <v>3616</v>
      </c>
      <c r="B4938" s="112" t="s">
        <v>921</v>
      </c>
      <c r="C4938" s="112" t="s">
        <v>695</v>
      </c>
      <c r="D4938" s="113">
        <v>10348038</v>
      </c>
      <c r="E4938" s="115">
        <v>43928</v>
      </c>
      <c r="F4938" s="114">
        <v>202101</v>
      </c>
      <c r="G4938" s="112" t="s">
        <v>1091</v>
      </c>
      <c r="H4938" s="112" t="s">
        <v>1016</v>
      </c>
      <c r="I4938" s="112" t="s">
        <v>3899</v>
      </c>
      <c r="J4938" s="112" t="s">
        <v>3709</v>
      </c>
      <c r="K4938" s="112" t="s">
        <v>4111</v>
      </c>
      <c r="L4938" s="116">
        <v>-262.5</v>
      </c>
    </row>
    <row r="4939" spans="1:12" hidden="1" outlineLevel="1" collapsed="1" x14ac:dyDescent="0.35">
      <c r="A4939" s="112" t="s">
        <v>3616</v>
      </c>
      <c r="B4939" s="112" t="s">
        <v>921</v>
      </c>
      <c r="C4939" s="112" t="s">
        <v>695</v>
      </c>
      <c r="D4939" s="113">
        <v>10348038</v>
      </c>
      <c r="E4939" s="115">
        <v>43928</v>
      </c>
      <c r="F4939" s="114">
        <v>202101</v>
      </c>
      <c r="G4939" s="112" t="s">
        <v>1091</v>
      </c>
      <c r="H4939" s="112" t="s">
        <v>1016</v>
      </c>
      <c r="I4939" s="112" t="s">
        <v>3846</v>
      </c>
      <c r="J4939" s="112" t="s">
        <v>3709</v>
      </c>
      <c r="K4939" s="112" t="s">
        <v>4112</v>
      </c>
      <c r="L4939" s="116">
        <v>-1930</v>
      </c>
    </row>
    <row r="4940" spans="1:12" hidden="1" outlineLevel="1" collapsed="1" x14ac:dyDescent="0.35">
      <c r="A4940" s="112" t="s">
        <v>3616</v>
      </c>
      <c r="B4940" s="112" t="s">
        <v>921</v>
      </c>
      <c r="C4940" s="112" t="s">
        <v>695</v>
      </c>
      <c r="D4940" s="113">
        <v>10348038</v>
      </c>
      <c r="E4940" s="115">
        <v>43928</v>
      </c>
      <c r="F4940" s="114">
        <v>202101</v>
      </c>
      <c r="G4940" s="112" t="s">
        <v>1091</v>
      </c>
      <c r="H4940" s="112" t="s">
        <v>1016</v>
      </c>
      <c r="I4940" s="112" t="s">
        <v>3846</v>
      </c>
      <c r="J4940" s="112" t="s">
        <v>3709</v>
      </c>
      <c r="K4940" s="112" t="s">
        <v>4113</v>
      </c>
      <c r="L4940" s="116">
        <v>-875</v>
      </c>
    </row>
    <row r="4941" spans="1:12" hidden="1" outlineLevel="1" collapsed="1" x14ac:dyDescent="0.35">
      <c r="A4941" s="112" t="s">
        <v>3616</v>
      </c>
      <c r="B4941" s="112" t="s">
        <v>921</v>
      </c>
      <c r="C4941" s="112" t="s">
        <v>695</v>
      </c>
      <c r="D4941" s="113">
        <v>10348038</v>
      </c>
      <c r="E4941" s="115">
        <v>43928</v>
      </c>
      <c r="F4941" s="114">
        <v>202101</v>
      </c>
      <c r="G4941" s="112" t="s">
        <v>1091</v>
      </c>
      <c r="H4941" s="112" t="s">
        <v>1016</v>
      </c>
      <c r="I4941" s="112" t="s">
        <v>3846</v>
      </c>
      <c r="J4941" s="112" t="s">
        <v>3709</v>
      </c>
      <c r="K4941" s="112" t="s">
        <v>4114</v>
      </c>
      <c r="L4941" s="116">
        <v>-870</v>
      </c>
    </row>
    <row r="4942" spans="1:12" hidden="1" outlineLevel="1" collapsed="1" x14ac:dyDescent="0.35">
      <c r="A4942" s="112" t="s">
        <v>3616</v>
      </c>
      <c r="B4942" s="112" t="s">
        <v>921</v>
      </c>
      <c r="C4942" s="112" t="s">
        <v>695</v>
      </c>
      <c r="D4942" s="113">
        <v>10348038</v>
      </c>
      <c r="E4942" s="115">
        <v>43928</v>
      </c>
      <c r="F4942" s="114">
        <v>202101</v>
      </c>
      <c r="G4942" s="112" t="s">
        <v>1091</v>
      </c>
      <c r="H4942" s="112" t="s">
        <v>1016</v>
      </c>
      <c r="I4942" s="112" t="s">
        <v>3846</v>
      </c>
      <c r="J4942" s="112" t="s">
        <v>3709</v>
      </c>
      <c r="K4942" s="112" t="s">
        <v>4115</v>
      </c>
      <c r="L4942" s="116">
        <v>720</v>
      </c>
    </row>
    <row r="4943" spans="1:12" hidden="1" outlineLevel="1" collapsed="1" x14ac:dyDescent="0.35">
      <c r="A4943" s="112" t="s">
        <v>3616</v>
      </c>
      <c r="B4943" s="112" t="s">
        <v>917</v>
      </c>
      <c r="C4943" s="112" t="s">
        <v>1095</v>
      </c>
      <c r="D4943" s="113">
        <v>10348451</v>
      </c>
      <c r="E4943" s="115">
        <v>43949</v>
      </c>
      <c r="F4943" s="114">
        <v>202101</v>
      </c>
      <c r="G4943" s="112" t="s">
        <v>1091</v>
      </c>
      <c r="H4943" s="112" t="s">
        <v>1015</v>
      </c>
      <c r="I4943" s="112" t="s">
        <v>1101</v>
      </c>
      <c r="J4943" s="112" t="s">
        <v>3781</v>
      </c>
      <c r="K4943" s="112" t="s">
        <v>1098</v>
      </c>
      <c r="L4943" s="116">
        <v>259.20999999999998</v>
      </c>
    </row>
    <row r="4944" spans="1:12" hidden="1" outlineLevel="1" collapsed="1" x14ac:dyDescent="0.35">
      <c r="A4944" s="112" t="s">
        <v>3616</v>
      </c>
      <c r="B4944" s="112" t="s">
        <v>921</v>
      </c>
      <c r="C4944" s="112" t="s">
        <v>695</v>
      </c>
      <c r="D4944" s="113">
        <v>10348038</v>
      </c>
      <c r="E4944" s="115">
        <v>43928</v>
      </c>
      <c r="F4944" s="114">
        <v>202101</v>
      </c>
      <c r="G4944" s="112" t="s">
        <v>1091</v>
      </c>
      <c r="H4944" s="112" t="s">
        <v>1016</v>
      </c>
      <c r="I4944" s="112" t="s">
        <v>3846</v>
      </c>
      <c r="J4944" s="112" t="s">
        <v>3709</v>
      </c>
      <c r="K4944" s="112" t="s">
        <v>4116</v>
      </c>
      <c r="L4944" s="116">
        <v>1064</v>
      </c>
    </row>
    <row r="4945" spans="1:12" hidden="1" outlineLevel="1" collapsed="1" x14ac:dyDescent="0.35">
      <c r="A4945" s="112" t="s">
        <v>3616</v>
      </c>
      <c r="B4945" s="112" t="s">
        <v>921</v>
      </c>
      <c r="C4945" s="112" t="s">
        <v>695</v>
      </c>
      <c r="D4945" s="113">
        <v>10348038</v>
      </c>
      <c r="E4945" s="115">
        <v>43928</v>
      </c>
      <c r="F4945" s="114">
        <v>202101</v>
      </c>
      <c r="G4945" s="112" t="s">
        <v>1091</v>
      </c>
      <c r="H4945" s="112" t="s">
        <v>1016</v>
      </c>
      <c r="I4945" s="112" t="s">
        <v>3846</v>
      </c>
      <c r="J4945" s="112" t="s">
        <v>3709</v>
      </c>
      <c r="K4945" s="112" t="s">
        <v>4117</v>
      </c>
      <c r="L4945" s="116">
        <v>-1332</v>
      </c>
    </row>
    <row r="4946" spans="1:12" hidden="1" outlineLevel="1" collapsed="1" x14ac:dyDescent="0.35">
      <c r="A4946" s="112" t="s">
        <v>3616</v>
      </c>
      <c r="B4946" s="112" t="s">
        <v>921</v>
      </c>
      <c r="C4946" s="112" t="s">
        <v>1095</v>
      </c>
      <c r="D4946" s="113">
        <v>10348451</v>
      </c>
      <c r="E4946" s="115">
        <v>43949</v>
      </c>
      <c r="F4946" s="114">
        <v>202101</v>
      </c>
      <c r="G4946" s="112" t="s">
        <v>1091</v>
      </c>
      <c r="H4946" s="112" t="s">
        <v>1015</v>
      </c>
      <c r="I4946" s="112" t="s">
        <v>1101</v>
      </c>
      <c r="J4946" s="112" t="s">
        <v>3620</v>
      </c>
      <c r="K4946" s="112" t="s">
        <v>1098</v>
      </c>
      <c r="L4946" s="116">
        <v>323.55</v>
      </c>
    </row>
    <row r="4947" spans="1:12" hidden="1" outlineLevel="1" collapsed="1" x14ac:dyDescent="0.35">
      <c r="A4947" s="112" t="s">
        <v>3616</v>
      </c>
      <c r="B4947" s="112" t="s">
        <v>921</v>
      </c>
      <c r="C4947" s="112" t="s">
        <v>695</v>
      </c>
      <c r="D4947" s="113">
        <v>10348038</v>
      </c>
      <c r="E4947" s="115">
        <v>43928</v>
      </c>
      <c r="F4947" s="114">
        <v>202101</v>
      </c>
      <c r="G4947" s="112" t="s">
        <v>1091</v>
      </c>
      <c r="H4947" s="112" t="s">
        <v>1016</v>
      </c>
      <c r="I4947" s="112" t="s">
        <v>3846</v>
      </c>
      <c r="J4947" s="112" t="s">
        <v>3709</v>
      </c>
      <c r="K4947" s="112" t="s">
        <v>4118</v>
      </c>
      <c r="L4947" s="116">
        <v>-379</v>
      </c>
    </row>
    <row r="4948" spans="1:12" hidden="1" outlineLevel="1" collapsed="1" x14ac:dyDescent="0.35">
      <c r="A4948" s="112" t="s">
        <v>3616</v>
      </c>
      <c r="B4948" s="112" t="s">
        <v>919</v>
      </c>
      <c r="C4948" s="112" t="s">
        <v>1095</v>
      </c>
      <c r="D4948" s="113">
        <v>10348451</v>
      </c>
      <c r="E4948" s="115">
        <v>43949</v>
      </c>
      <c r="F4948" s="114">
        <v>202101</v>
      </c>
      <c r="G4948" s="112" t="s">
        <v>1091</v>
      </c>
      <c r="H4948" s="112" t="s">
        <v>1015</v>
      </c>
      <c r="I4948" s="112" t="s">
        <v>1101</v>
      </c>
      <c r="J4948" s="112" t="s">
        <v>3624</v>
      </c>
      <c r="K4948" s="112" t="s">
        <v>1098</v>
      </c>
      <c r="L4948" s="116">
        <v>131.19</v>
      </c>
    </row>
    <row r="4949" spans="1:12" hidden="1" outlineLevel="1" collapsed="1" x14ac:dyDescent="0.35">
      <c r="A4949" s="112" t="s">
        <v>3616</v>
      </c>
      <c r="B4949" s="112" t="s">
        <v>921</v>
      </c>
      <c r="C4949" s="112" t="s">
        <v>695</v>
      </c>
      <c r="D4949" s="113">
        <v>10348038</v>
      </c>
      <c r="E4949" s="115">
        <v>43928</v>
      </c>
      <c r="F4949" s="114">
        <v>202101</v>
      </c>
      <c r="G4949" s="112" t="s">
        <v>1091</v>
      </c>
      <c r="H4949" s="112" t="s">
        <v>1016</v>
      </c>
      <c r="I4949" s="112" t="s">
        <v>3846</v>
      </c>
      <c r="J4949" s="112" t="s">
        <v>3709</v>
      </c>
      <c r="K4949" s="112" t="s">
        <v>4119</v>
      </c>
      <c r="L4949" s="116">
        <v>-18225</v>
      </c>
    </row>
    <row r="4950" spans="1:12" hidden="1" outlineLevel="1" collapsed="1" x14ac:dyDescent="0.35">
      <c r="A4950" s="112" t="s">
        <v>3616</v>
      </c>
      <c r="B4950" s="112" t="s">
        <v>921</v>
      </c>
      <c r="C4950" s="112" t="s">
        <v>695</v>
      </c>
      <c r="D4950" s="113">
        <v>10348038</v>
      </c>
      <c r="E4950" s="115">
        <v>43928</v>
      </c>
      <c r="F4950" s="114">
        <v>202101</v>
      </c>
      <c r="G4950" s="112" t="s">
        <v>1091</v>
      </c>
      <c r="H4950" s="112" t="s">
        <v>1016</v>
      </c>
      <c r="I4950" s="112" t="s">
        <v>3846</v>
      </c>
      <c r="J4950" s="112" t="s">
        <v>3709</v>
      </c>
      <c r="K4950" s="112" t="s">
        <v>4120</v>
      </c>
      <c r="L4950" s="116">
        <v>-400</v>
      </c>
    </row>
    <row r="4951" spans="1:12" hidden="1" outlineLevel="1" collapsed="1" x14ac:dyDescent="0.35">
      <c r="A4951" s="112" t="s">
        <v>3616</v>
      </c>
      <c r="B4951" s="112" t="s">
        <v>921</v>
      </c>
      <c r="C4951" s="112" t="s">
        <v>695</v>
      </c>
      <c r="D4951" s="113">
        <v>10348038</v>
      </c>
      <c r="E4951" s="115">
        <v>43928</v>
      </c>
      <c r="F4951" s="114">
        <v>202101</v>
      </c>
      <c r="G4951" s="112" t="s">
        <v>1091</v>
      </c>
      <c r="H4951" s="112" t="s">
        <v>1016</v>
      </c>
      <c r="I4951" s="112" t="s">
        <v>4103</v>
      </c>
      <c r="J4951" s="112" t="s">
        <v>3709</v>
      </c>
      <c r="K4951" s="112" t="s">
        <v>3926</v>
      </c>
      <c r="L4951" s="116">
        <v>-100</v>
      </c>
    </row>
    <row r="4952" spans="1:12" hidden="1" outlineLevel="1" collapsed="1" x14ac:dyDescent="0.35">
      <c r="A4952" s="112" t="s">
        <v>3616</v>
      </c>
      <c r="B4952" s="112" t="s">
        <v>918</v>
      </c>
      <c r="C4952" s="112" t="s">
        <v>1095</v>
      </c>
      <c r="D4952" s="113">
        <v>10348451</v>
      </c>
      <c r="E4952" s="115">
        <v>43949</v>
      </c>
      <c r="F4952" s="114">
        <v>202101</v>
      </c>
      <c r="G4952" s="112" t="s">
        <v>1091</v>
      </c>
      <c r="H4952" s="112" t="s">
        <v>1015</v>
      </c>
      <c r="I4952" s="112" t="s">
        <v>1101</v>
      </c>
      <c r="J4952" s="112" t="s">
        <v>3695</v>
      </c>
      <c r="K4952" s="112" t="s">
        <v>1098</v>
      </c>
      <c r="L4952" s="116">
        <v>585.51</v>
      </c>
    </row>
    <row r="4953" spans="1:12" hidden="1" outlineLevel="1" collapsed="1" x14ac:dyDescent="0.35">
      <c r="A4953" s="112" t="s">
        <v>3616</v>
      </c>
      <c r="B4953" s="112" t="s">
        <v>921</v>
      </c>
      <c r="C4953" s="112" t="s">
        <v>695</v>
      </c>
      <c r="D4953" s="113">
        <v>10348038</v>
      </c>
      <c r="E4953" s="115">
        <v>43928</v>
      </c>
      <c r="F4953" s="114">
        <v>202101</v>
      </c>
      <c r="G4953" s="112" t="s">
        <v>1091</v>
      </c>
      <c r="H4953" s="112" t="s">
        <v>1016</v>
      </c>
      <c r="I4953" s="112" t="s">
        <v>4103</v>
      </c>
      <c r="J4953" s="112" t="s">
        <v>3709</v>
      </c>
      <c r="K4953" s="112" t="s">
        <v>4121</v>
      </c>
      <c r="L4953" s="116">
        <v>-350</v>
      </c>
    </row>
    <row r="4954" spans="1:12" hidden="1" outlineLevel="1" collapsed="1" x14ac:dyDescent="0.35">
      <c r="A4954" s="112" t="s">
        <v>3616</v>
      </c>
      <c r="B4954" s="112" t="s">
        <v>921</v>
      </c>
      <c r="C4954" s="112" t="s">
        <v>695</v>
      </c>
      <c r="D4954" s="113">
        <v>10348038</v>
      </c>
      <c r="E4954" s="115">
        <v>43928</v>
      </c>
      <c r="F4954" s="114">
        <v>202101</v>
      </c>
      <c r="G4954" s="112" t="s">
        <v>1091</v>
      </c>
      <c r="H4954" s="112" t="s">
        <v>1016</v>
      </c>
      <c r="I4954" s="112" t="s">
        <v>4103</v>
      </c>
      <c r="J4954" s="112" t="s">
        <v>3709</v>
      </c>
      <c r="K4954" s="112" t="s">
        <v>4122</v>
      </c>
      <c r="L4954" s="116">
        <v>100</v>
      </c>
    </row>
    <row r="4955" spans="1:12" hidden="1" outlineLevel="1" collapsed="1" x14ac:dyDescent="0.35">
      <c r="A4955" s="112" t="s">
        <v>3616</v>
      </c>
      <c r="B4955" s="112" t="s">
        <v>921</v>
      </c>
      <c r="C4955" s="112" t="s">
        <v>695</v>
      </c>
      <c r="D4955" s="113">
        <v>10348038</v>
      </c>
      <c r="E4955" s="115">
        <v>43928</v>
      </c>
      <c r="F4955" s="114">
        <v>202101</v>
      </c>
      <c r="G4955" s="112" t="s">
        <v>1091</v>
      </c>
      <c r="H4955" s="112" t="s">
        <v>1016</v>
      </c>
      <c r="I4955" s="112" t="s">
        <v>3851</v>
      </c>
      <c r="J4955" s="112" t="s">
        <v>3709</v>
      </c>
      <c r="K4955" s="112" t="s">
        <v>4102</v>
      </c>
      <c r="L4955" s="116">
        <v>-57</v>
      </c>
    </row>
    <row r="4956" spans="1:12" hidden="1" outlineLevel="1" collapsed="1" x14ac:dyDescent="0.35">
      <c r="A4956" s="112" t="s">
        <v>3616</v>
      </c>
      <c r="B4956" s="112" t="s">
        <v>921</v>
      </c>
      <c r="C4956" s="112" t="s">
        <v>695</v>
      </c>
      <c r="D4956" s="113">
        <v>10348038</v>
      </c>
      <c r="E4956" s="115">
        <v>43928</v>
      </c>
      <c r="F4956" s="114">
        <v>202101</v>
      </c>
      <c r="G4956" s="112" t="s">
        <v>1091</v>
      </c>
      <c r="H4956" s="112" t="s">
        <v>1016</v>
      </c>
      <c r="I4956" s="112" t="s">
        <v>3851</v>
      </c>
      <c r="J4956" s="112" t="s">
        <v>3709</v>
      </c>
      <c r="K4956" s="112" t="s">
        <v>4123</v>
      </c>
      <c r="L4956" s="116">
        <v>-189.75</v>
      </c>
    </row>
    <row r="4957" spans="1:12" hidden="1" outlineLevel="1" collapsed="1" x14ac:dyDescent="0.35">
      <c r="A4957" s="112" t="s">
        <v>3616</v>
      </c>
      <c r="B4957" s="112" t="s">
        <v>921</v>
      </c>
      <c r="C4957" s="112" t="s">
        <v>695</v>
      </c>
      <c r="D4957" s="113">
        <v>10348038</v>
      </c>
      <c r="E4957" s="115">
        <v>43928</v>
      </c>
      <c r="F4957" s="114">
        <v>202101</v>
      </c>
      <c r="G4957" s="112" t="s">
        <v>1091</v>
      </c>
      <c r="H4957" s="112" t="s">
        <v>1016</v>
      </c>
      <c r="I4957" s="112" t="s">
        <v>3851</v>
      </c>
      <c r="J4957" s="112" t="s">
        <v>3709</v>
      </c>
      <c r="K4957" s="112" t="s">
        <v>4124</v>
      </c>
      <c r="L4957" s="116">
        <v>-54.6</v>
      </c>
    </row>
    <row r="4958" spans="1:12" hidden="1" outlineLevel="1" collapsed="1" x14ac:dyDescent="0.35">
      <c r="A4958" s="112" t="s">
        <v>3616</v>
      </c>
      <c r="B4958" s="112" t="s">
        <v>921</v>
      </c>
      <c r="C4958" s="112" t="s">
        <v>695</v>
      </c>
      <c r="D4958" s="113">
        <v>10348038</v>
      </c>
      <c r="E4958" s="115">
        <v>43928</v>
      </c>
      <c r="F4958" s="114">
        <v>202101</v>
      </c>
      <c r="G4958" s="112" t="s">
        <v>1091</v>
      </c>
      <c r="H4958" s="112" t="s">
        <v>1016</v>
      </c>
      <c r="I4958" s="112" t="s">
        <v>819</v>
      </c>
      <c r="J4958" s="112" t="s">
        <v>3709</v>
      </c>
      <c r="K4958" s="112" t="s">
        <v>4125</v>
      </c>
      <c r="L4958" s="116">
        <v>625</v>
      </c>
    </row>
    <row r="4959" spans="1:12" hidden="1" outlineLevel="1" collapsed="1" x14ac:dyDescent="0.35">
      <c r="A4959" s="112" t="s">
        <v>3616</v>
      </c>
      <c r="B4959" s="112" t="s">
        <v>921</v>
      </c>
      <c r="C4959" s="112" t="s">
        <v>695</v>
      </c>
      <c r="D4959" s="113">
        <v>10348038</v>
      </c>
      <c r="E4959" s="115">
        <v>43928</v>
      </c>
      <c r="F4959" s="114">
        <v>202101</v>
      </c>
      <c r="G4959" s="112" t="s">
        <v>1091</v>
      </c>
      <c r="H4959" s="112" t="s">
        <v>1016</v>
      </c>
      <c r="I4959" s="112" t="s">
        <v>819</v>
      </c>
      <c r="J4959" s="112" t="s">
        <v>3709</v>
      </c>
      <c r="K4959" s="112" t="s">
        <v>4126</v>
      </c>
      <c r="L4959" s="116">
        <v>262.5</v>
      </c>
    </row>
    <row r="4960" spans="1:12" hidden="1" outlineLevel="1" collapsed="1" x14ac:dyDescent="0.35">
      <c r="A4960" s="112" t="s">
        <v>3616</v>
      </c>
      <c r="B4960" s="112" t="s">
        <v>921</v>
      </c>
      <c r="C4960" s="112" t="s">
        <v>695</v>
      </c>
      <c r="D4960" s="113">
        <v>10348038</v>
      </c>
      <c r="E4960" s="115">
        <v>43928</v>
      </c>
      <c r="F4960" s="114">
        <v>202101</v>
      </c>
      <c r="G4960" s="112" t="s">
        <v>1091</v>
      </c>
      <c r="H4960" s="112" t="s">
        <v>1016</v>
      </c>
      <c r="I4960" s="112" t="s">
        <v>3899</v>
      </c>
      <c r="J4960" s="112" t="s">
        <v>3709</v>
      </c>
      <c r="K4960" s="112" t="s">
        <v>4127</v>
      </c>
      <c r="L4960" s="116">
        <v>-114.59</v>
      </c>
    </row>
    <row r="4961" spans="1:12" hidden="1" outlineLevel="1" collapsed="1" x14ac:dyDescent="0.35">
      <c r="A4961" s="112" t="s">
        <v>3616</v>
      </c>
      <c r="B4961" s="112" t="s">
        <v>921</v>
      </c>
      <c r="C4961" s="112" t="s">
        <v>695</v>
      </c>
      <c r="D4961" s="113">
        <v>10348038</v>
      </c>
      <c r="E4961" s="115">
        <v>43928</v>
      </c>
      <c r="F4961" s="114">
        <v>202101</v>
      </c>
      <c r="G4961" s="112" t="s">
        <v>1091</v>
      </c>
      <c r="H4961" s="112" t="s">
        <v>1016</v>
      </c>
      <c r="I4961" s="112" t="s">
        <v>3899</v>
      </c>
      <c r="J4961" s="112" t="s">
        <v>3709</v>
      </c>
      <c r="K4961" s="112" t="s">
        <v>4128</v>
      </c>
      <c r="L4961" s="116">
        <v>-1073.75</v>
      </c>
    </row>
    <row r="4962" spans="1:12" hidden="1" outlineLevel="1" collapsed="1" x14ac:dyDescent="0.35">
      <c r="A4962" s="112" t="s">
        <v>3616</v>
      </c>
      <c r="B4962" s="112" t="s">
        <v>921</v>
      </c>
      <c r="C4962" s="112" t="s">
        <v>695</v>
      </c>
      <c r="D4962" s="113">
        <v>10348038</v>
      </c>
      <c r="E4962" s="115">
        <v>43928</v>
      </c>
      <c r="F4962" s="114">
        <v>202101</v>
      </c>
      <c r="G4962" s="112" t="s">
        <v>1091</v>
      </c>
      <c r="H4962" s="112" t="s">
        <v>1016</v>
      </c>
      <c r="I4962" s="112" t="s">
        <v>3846</v>
      </c>
      <c r="J4962" s="112" t="s">
        <v>3709</v>
      </c>
      <c r="K4962" s="112" t="s">
        <v>4129</v>
      </c>
      <c r="L4962" s="116">
        <v>-720</v>
      </c>
    </row>
    <row r="4963" spans="1:12" hidden="1" outlineLevel="1" collapsed="1" x14ac:dyDescent="0.35">
      <c r="A4963" s="112" t="s">
        <v>3616</v>
      </c>
      <c r="B4963" s="112" t="s">
        <v>919</v>
      </c>
      <c r="C4963" s="112" t="s">
        <v>1095</v>
      </c>
      <c r="D4963" s="113">
        <v>10348451</v>
      </c>
      <c r="E4963" s="115">
        <v>43949</v>
      </c>
      <c r="F4963" s="114">
        <v>202101</v>
      </c>
      <c r="G4963" s="112" t="s">
        <v>1091</v>
      </c>
      <c r="H4963" s="112" t="s">
        <v>1015</v>
      </c>
      <c r="I4963" s="112" t="s">
        <v>1101</v>
      </c>
      <c r="J4963" s="112" t="s">
        <v>3624</v>
      </c>
      <c r="K4963" s="112" t="s">
        <v>1098</v>
      </c>
      <c r="L4963" s="116">
        <v>302.5</v>
      </c>
    </row>
    <row r="4964" spans="1:12" hidden="1" outlineLevel="1" collapsed="1" x14ac:dyDescent="0.35">
      <c r="A4964" s="112" t="s">
        <v>3616</v>
      </c>
      <c r="B4964" s="112" t="s">
        <v>921</v>
      </c>
      <c r="C4964" s="112" t="s">
        <v>695</v>
      </c>
      <c r="D4964" s="113">
        <v>10348038</v>
      </c>
      <c r="E4964" s="115">
        <v>43928</v>
      </c>
      <c r="F4964" s="114">
        <v>202101</v>
      </c>
      <c r="G4964" s="112" t="s">
        <v>1091</v>
      </c>
      <c r="H4964" s="112" t="s">
        <v>1016</v>
      </c>
      <c r="I4964" s="112" t="s">
        <v>3846</v>
      </c>
      <c r="J4964" s="112" t="s">
        <v>3709</v>
      </c>
      <c r="K4964" s="112" t="s">
        <v>4130</v>
      </c>
      <c r="L4964" s="116">
        <v>-379</v>
      </c>
    </row>
    <row r="4965" spans="1:12" hidden="1" outlineLevel="1" collapsed="1" x14ac:dyDescent="0.35">
      <c r="A4965" s="112" t="s">
        <v>3616</v>
      </c>
      <c r="B4965" s="112" t="s">
        <v>921</v>
      </c>
      <c r="C4965" s="112" t="s">
        <v>695</v>
      </c>
      <c r="D4965" s="113">
        <v>10348038</v>
      </c>
      <c r="E4965" s="115">
        <v>43928</v>
      </c>
      <c r="F4965" s="114">
        <v>202101</v>
      </c>
      <c r="G4965" s="112" t="s">
        <v>1091</v>
      </c>
      <c r="H4965" s="112" t="s">
        <v>1016</v>
      </c>
      <c r="I4965" s="112" t="s">
        <v>3846</v>
      </c>
      <c r="J4965" s="112" t="s">
        <v>3709</v>
      </c>
      <c r="K4965" s="112" t="s">
        <v>4131</v>
      </c>
      <c r="L4965" s="116">
        <v>-500</v>
      </c>
    </row>
    <row r="4966" spans="1:12" hidden="1" outlineLevel="1" collapsed="1" x14ac:dyDescent="0.35">
      <c r="A4966" s="112" t="s">
        <v>3616</v>
      </c>
      <c r="B4966" s="112" t="s">
        <v>921</v>
      </c>
      <c r="C4966" s="112" t="s">
        <v>695</v>
      </c>
      <c r="D4966" s="113">
        <v>10348038</v>
      </c>
      <c r="E4966" s="115">
        <v>43928</v>
      </c>
      <c r="F4966" s="114">
        <v>202101</v>
      </c>
      <c r="G4966" s="112" t="s">
        <v>1091</v>
      </c>
      <c r="H4966" s="112" t="s">
        <v>1016</v>
      </c>
      <c r="I4966" s="112" t="s">
        <v>3846</v>
      </c>
      <c r="J4966" s="112" t="s">
        <v>3709</v>
      </c>
      <c r="K4966" s="112" t="s">
        <v>4078</v>
      </c>
      <c r="L4966" s="116">
        <v>2500</v>
      </c>
    </row>
    <row r="4967" spans="1:12" hidden="1" outlineLevel="1" collapsed="1" x14ac:dyDescent="0.35">
      <c r="A4967" s="112" t="s">
        <v>3616</v>
      </c>
      <c r="B4967" s="112" t="s">
        <v>921</v>
      </c>
      <c r="C4967" s="112" t="s">
        <v>695</v>
      </c>
      <c r="D4967" s="113">
        <v>10348038</v>
      </c>
      <c r="E4967" s="115">
        <v>43928</v>
      </c>
      <c r="F4967" s="114">
        <v>202101</v>
      </c>
      <c r="G4967" s="112" t="s">
        <v>1091</v>
      </c>
      <c r="H4967" s="112" t="s">
        <v>1016</v>
      </c>
      <c r="I4967" s="112" t="s">
        <v>3846</v>
      </c>
      <c r="J4967" s="112" t="s">
        <v>3709</v>
      </c>
      <c r="K4967" s="112" t="s">
        <v>4132</v>
      </c>
      <c r="L4967" s="116">
        <v>307.5</v>
      </c>
    </row>
    <row r="4968" spans="1:12" hidden="1" outlineLevel="1" collapsed="1" x14ac:dyDescent="0.35">
      <c r="A4968" s="112" t="s">
        <v>3616</v>
      </c>
      <c r="B4968" s="112" t="s">
        <v>921</v>
      </c>
      <c r="C4968" s="112" t="s">
        <v>1095</v>
      </c>
      <c r="D4968" s="113">
        <v>10348451</v>
      </c>
      <c r="E4968" s="115">
        <v>43949</v>
      </c>
      <c r="F4968" s="114">
        <v>202101</v>
      </c>
      <c r="G4968" s="112" t="s">
        <v>1091</v>
      </c>
      <c r="H4968" s="112" t="s">
        <v>1015</v>
      </c>
      <c r="I4968" s="112" t="s">
        <v>1101</v>
      </c>
      <c r="J4968" s="112" t="s">
        <v>3620</v>
      </c>
      <c r="K4968" s="112" t="s">
        <v>1098</v>
      </c>
      <c r="L4968" s="116">
        <v>318.88</v>
      </c>
    </row>
    <row r="4969" spans="1:12" hidden="1" outlineLevel="1" collapsed="1" x14ac:dyDescent="0.35">
      <c r="A4969" s="112" t="s">
        <v>3616</v>
      </c>
      <c r="B4969" s="112" t="s">
        <v>921</v>
      </c>
      <c r="C4969" s="112" t="s">
        <v>695</v>
      </c>
      <c r="D4969" s="113">
        <v>10348038</v>
      </c>
      <c r="E4969" s="115">
        <v>43928</v>
      </c>
      <c r="F4969" s="114">
        <v>202101</v>
      </c>
      <c r="G4969" s="112" t="s">
        <v>1091</v>
      </c>
      <c r="H4969" s="112" t="s">
        <v>1016</v>
      </c>
      <c r="I4969" s="112" t="s">
        <v>3846</v>
      </c>
      <c r="J4969" s="112" t="s">
        <v>3709</v>
      </c>
      <c r="K4969" s="112" t="s">
        <v>4133</v>
      </c>
      <c r="L4969" s="116">
        <v>187.5</v>
      </c>
    </row>
    <row r="4970" spans="1:12" hidden="1" outlineLevel="1" collapsed="1" x14ac:dyDescent="0.35">
      <c r="A4970" s="112" t="s">
        <v>3616</v>
      </c>
      <c r="B4970" s="112" t="s">
        <v>919</v>
      </c>
      <c r="C4970" s="112" t="s">
        <v>679</v>
      </c>
      <c r="D4970" s="113">
        <v>10348217</v>
      </c>
      <c r="E4970" s="115">
        <v>43935</v>
      </c>
      <c r="F4970" s="114">
        <v>202101</v>
      </c>
      <c r="G4970" s="112" t="s">
        <v>1091</v>
      </c>
      <c r="H4970" s="112" t="s">
        <v>1016</v>
      </c>
      <c r="I4970" s="112" t="s">
        <v>4134</v>
      </c>
      <c r="J4970" s="112" t="s">
        <v>3624</v>
      </c>
      <c r="K4970" s="112" t="s">
        <v>4135</v>
      </c>
      <c r="L4970" s="116">
        <v>-9</v>
      </c>
    </row>
    <row r="4971" spans="1:12" hidden="1" outlineLevel="1" collapsed="1" x14ac:dyDescent="0.35">
      <c r="A4971" s="112" t="s">
        <v>3616</v>
      </c>
      <c r="B4971" s="112" t="s">
        <v>919</v>
      </c>
      <c r="C4971" s="112" t="s">
        <v>679</v>
      </c>
      <c r="D4971" s="113">
        <v>10348217</v>
      </c>
      <c r="E4971" s="115">
        <v>43935</v>
      </c>
      <c r="F4971" s="114">
        <v>202101</v>
      </c>
      <c r="G4971" s="112" t="s">
        <v>1091</v>
      </c>
      <c r="H4971" s="112" t="s">
        <v>1016</v>
      </c>
      <c r="I4971" s="112" t="s">
        <v>4134</v>
      </c>
      <c r="J4971" s="112" t="s">
        <v>3624</v>
      </c>
      <c r="K4971" s="112" t="s">
        <v>4136</v>
      </c>
      <c r="L4971" s="116">
        <v>-3</v>
      </c>
    </row>
    <row r="4972" spans="1:12" hidden="1" outlineLevel="1" collapsed="1" x14ac:dyDescent="0.35">
      <c r="A4972" s="112" t="s">
        <v>3616</v>
      </c>
      <c r="B4972" s="112" t="s">
        <v>921</v>
      </c>
      <c r="C4972" s="112" t="s">
        <v>695</v>
      </c>
      <c r="D4972" s="113">
        <v>10348038</v>
      </c>
      <c r="E4972" s="115">
        <v>43928</v>
      </c>
      <c r="F4972" s="114">
        <v>202101</v>
      </c>
      <c r="G4972" s="112" t="s">
        <v>1091</v>
      </c>
      <c r="H4972" s="112" t="s">
        <v>1016</v>
      </c>
      <c r="I4972" s="112" t="s">
        <v>3846</v>
      </c>
      <c r="J4972" s="112" t="s">
        <v>3709</v>
      </c>
      <c r="K4972" s="112" t="s">
        <v>4137</v>
      </c>
      <c r="L4972" s="116">
        <v>-797</v>
      </c>
    </row>
    <row r="4973" spans="1:12" hidden="1" outlineLevel="1" collapsed="1" x14ac:dyDescent="0.35">
      <c r="A4973" s="112" t="s">
        <v>3616</v>
      </c>
      <c r="B4973" s="112" t="s">
        <v>921</v>
      </c>
      <c r="C4973" s="112" t="s">
        <v>695</v>
      </c>
      <c r="D4973" s="113">
        <v>10348038</v>
      </c>
      <c r="E4973" s="115">
        <v>43928</v>
      </c>
      <c r="F4973" s="114">
        <v>202101</v>
      </c>
      <c r="G4973" s="112" t="s">
        <v>1091</v>
      </c>
      <c r="H4973" s="112" t="s">
        <v>1016</v>
      </c>
      <c r="I4973" s="112" t="s">
        <v>3846</v>
      </c>
      <c r="J4973" s="112" t="s">
        <v>3709</v>
      </c>
      <c r="K4973" s="112" t="s">
        <v>4138</v>
      </c>
      <c r="L4973" s="116">
        <v>-975</v>
      </c>
    </row>
    <row r="4974" spans="1:12" hidden="1" outlineLevel="1" collapsed="1" x14ac:dyDescent="0.35">
      <c r="A4974" s="112" t="s">
        <v>3616</v>
      </c>
      <c r="B4974" s="112" t="s">
        <v>917</v>
      </c>
      <c r="C4974" s="112" t="s">
        <v>1095</v>
      </c>
      <c r="D4974" s="113">
        <v>10348451</v>
      </c>
      <c r="E4974" s="115">
        <v>43949</v>
      </c>
      <c r="F4974" s="114">
        <v>202101</v>
      </c>
      <c r="G4974" s="112" t="s">
        <v>1091</v>
      </c>
      <c r="H4974" s="112" t="s">
        <v>1015</v>
      </c>
      <c r="I4974" s="112" t="s">
        <v>1096</v>
      </c>
      <c r="J4974" s="112" t="s">
        <v>3781</v>
      </c>
      <c r="K4974" s="112" t="s">
        <v>1098</v>
      </c>
      <c r="L4974" s="116">
        <v>300.14999999999998</v>
      </c>
    </row>
    <row r="4975" spans="1:12" hidden="1" outlineLevel="1" collapsed="1" x14ac:dyDescent="0.35">
      <c r="A4975" s="112" t="s">
        <v>3616</v>
      </c>
      <c r="B4975" s="112" t="s">
        <v>919</v>
      </c>
      <c r="C4975" s="112" t="s">
        <v>1518</v>
      </c>
      <c r="D4975" s="113">
        <v>51366297</v>
      </c>
      <c r="E4975" s="115">
        <v>43951</v>
      </c>
      <c r="F4975" s="114">
        <v>202101</v>
      </c>
      <c r="G4975" s="112" t="s">
        <v>1091</v>
      </c>
      <c r="H4975" s="112" t="s">
        <v>1016</v>
      </c>
      <c r="I4975" s="112" t="s">
        <v>1293</v>
      </c>
      <c r="J4975" s="112" t="s">
        <v>3617</v>
      </c>
      <c r="K4975" s="112" t="s">
        <v>4139</v>
      </c>
      <c r="L4975" s="116">
        <v>-1441.66</v>
      </c>
    </row>
    <row r="4976" spans="1:12" hidden="1" outlineLevel="1" collapsed="1" x14ac:dyDescent="0.35">
      <c r="A4976" s="112" t="s">
        <v>3616</v>
      </c>
      <c r="B4976" s="112" t="s">
        <v>921</v>
      </c>
      <c r="C4976" s="112" t="s">
        <v>695</v>
      </c>
      <c r="D4976" s="113">
        <v>10348038</v>
      </c>
      <c r="E4976" s="115">
        <v>43928</v>
      </c>
      <c r="F4976" s="114">
        <v>202101</v>
      </c>
      <c r="G4976" s="112" t="s">
        <v>1091</v>
      </c>
      <c r="H4976" s="112" t="s">
        <v>1016</v>
      </c>
      <c r="I4976" s="112" t="s">
        <v>3846</v>
      </c>
      <c r="J4976" s="112" t="s">
        <v>3709</v>
      </c>
      <c r="K4976" s="112" t="s">
        <v>4140</v>
      </c>
      <c r="L4976" s="116">
        <v>-1560</v>
      </c>
    </row>
    <row r="4977" spans="1:12" hidden="1" outlineLevel="1" collapsed="1" x14ac:dyDescent="0.35">
      <c r="A4977" s="112" t="s">
        <v>3616</v>
      </c>
      <c r="B4977" s="112" t="s">
        <v>919</v>
      </c>
      <c r="C4977" s="112" t="s">
        <v>1095</v>
      </c>
      <c r="D4977" s="113">
        <v>10348451</v>
      </c>
      <c r="E4977" s="115">
        <v>43949</v>
      </c>
      <c r="F4977" s="114">
        <v>202101</v>
      </c>
      <c r="G4977" s="112" t="s">
        <v>1091</v>
      </c>
      <c r="H4977" s="112" t="s">
        <v>1015</v>
      </c>
      <c r="I4977" s="112" t="s">
        <v>1096</v>
      </c>
      <c r="J4977" s="112" t="s">
        <v>3624</v>
      </c>
      <c r="K4977" s="112" t="s">
        <v>1098</v>
      </c>
      <c r="L4977" s="116">
        <v>243.15</v>
      </c>
    </row>
    <row r="4978" spans="1:12" hidden="1" outlineLevel="1" collapsed="1" x14ac:dyDescent="0.35">
      <c r="A4978" s="112" t="s">
        <v>3616</v>
      </c>
      <c r="B4978" s="112" t="s">
        <v>919</v>
      </c>
      <c r="C4978" s="112" t="s">
        <v>1095</v>
      </c>
      <c r="D4978" s="113">
        <v>10348451</v>
      </c>
      <c r="E4978" s="115">
        <v>43949</v>
      </c>
      <c r="F4978" s="114">
        <v>202101</v>
      </c>
      <c r="G4978" s="112" t="s">
        <v>1091</v>
      </c>
      <c r="H4978" s="112" t="s">
        <v>1015</v>
      </c>
      <c r="I4978" s="112" t="s">
        <v>1096</v>
      </c>
      <c r="J4978" s="112" t="s">
        <v>3632</v>
      </c>
      <c r="K4978" s="112" t="s">
        <v>1098</v>
      </c>
      <c r="L4978" s="116">
        <v>48.45</v>
      </c>
    </row>
    <row r="4979" spans="1:12" hidden="1" outlineLevel="1" collapsed="1" x14ac:dyDescent="0.35">
      <c r="A4979" s="112" t="s">
        <v>3616</v>
      </c>
      <c r="B4979" s="112" t="s">
        <v>921</v>
      </c>
      <c r="C4979" s="112" t="s">
        <v>695</v>
      </c>
      <c r="D4979" s="113">
        <v>10348038</v>
      </c>
      <c r="E4979" s="115">
        <v>43928</v>
      </c>
      <c r="F4979" s="114">
        <v>202101</v>
      </c>
      <c r="G4979" s="112" t="s">
        <v>1091</v>
      </c>
      <c r="H4979" s="112" t="s">
        <v>1016</v>
      </c>
      <c r="I4979" s="112" t="s">
        <v>3858</v>
      </c>
      <c r="J4979" s="112" t="s">
        <v>3709</v>
      </c>
      <c r="K4979" s="112" t="s">
        <v>4141</v>
      </c>
      <c r="L4979" s="116">
        <v>131.25</v>
      </c>
    </row>
    <row r="4980" spans="1:12" hidden="1" outlineLevel="1" collapsed="1" x14ac:dyDescent="0.35">
      <c r="A4980" s="112" t="s">
        <v>3616</v>
      </c>
      <c r="B4980" s="112" t="s">
        <v>921</v>
      </c>
      <c r="C4980" s="112" t="s">
        <v>695</v>
      </c>
      <c r="D4980" s="113">
        <v>10348038</v>
      </c>
      <c r="E4980" s="115">
        <v>43928</v>
      </c>
      <c r="F4980" s="114">
        <v>202101</v>
      </c>
      <c r="G4980" s="112" t="s">
        <v>1091</v>
      </c>
      <c r="H4980" s="112" t="s">
        <v>1016</v>
      </c>
      <c r="I4980" s="112" t="s">
        <v>3858</v>
      </c>
      <c r="J4980" s="112" t="s">
        <v>3709</v>
      </c>
      <c r="K4980" s="112" t="s">
        <v>4142</v>
      </c>
      <c r="L4980" s="116">
        <v>131.25</v>
      </c>
    </row>
    <row r="4981" spans="1:12" hidden="1" outlineLevel="1" collapsed="1" x14ac:dyDescent="0.35">
      <c r="A4981" s="112" t="s">
        <v>3616</v>
      </c>
      <c r="B4981" s="112" t="s">
        <v>921</v>
      </c>
      <c r="C4981" s="112" t="s">
        <v>695</v>
      </c>
      <c r="D4981" s="113">
        <v>10348038</v>
      </c>
      <c r="E4981" s="115">
        <v>43928</v>
      </c>
      <c r="F4981" s="114">
        <v>202101</v>
      </c>
      <c r="G4981" s="112" t="s">
        <v>1091</v>
      </c>
      <c r="H4981" s="112" t="s">
        <v>1016</v>
      </c>
      <c r="I4981" s="112" t="s">
        <v>4103</v>
      </c>
      <c r="J4981" s="112" t="s">
        <v>3709</v>
      </c>
      <c r="K4981" s="112" t="s">
        <v>4102</v>
      </c>
      <c r="L4981" s="116">
        <v>-100</v>
      </c>
    </row>
    <row r="4982" spans="1:12" hidden="1" outlineLevel="1" collapsed="1" x14ac:dyDescent="0.35">
      <c r="A4982" s="112" t="s">
        <v>3616</v>
      </c>
      <c r="B4982" s="112" t="s">
        <v>921</v>
      </c>
      <c r="C4982" s="112" t="s">
        <v>695</v>
      </c>
      <c r="D4982" s="113">
        <v>10348038</v>
      </c>
      <c r="E4982" s="115">
        <v>43928</v>
      </c>
      <c r="F4982" s="114">
        <v>202101</v>
      </c>
      <c r="G4982" s="112" t="s">
        <v>1091</v>
      </c>
      <c r="H4982" s="112" t="s">
        <v>1016</v>
      </c>
      <c r="I4982" s="112" t="s">
        <v>4103</v>
      </c>
      <c r="J4982" s="112" t="s">
        <v>3709</v>
      </c>
      <c r="K4982" s="112" t="s">
        <v>4143</v>
      </c>
      <c r="L4982" s="116">
        <v>-50</v>
      </c>
    </row>
    <row r="4983" spans="1:12" hidden="1" outlineLevel="1" collapsed="1" x14ac:dyDescent="0.35">
      <c r="A4983" s="112" t="s">
        <v>3616</v>
      </c>
      <c r="B4983" s="112" t="s">
        <v>921</v>
      </c>
      <c r="C4983" s="112" t="s">
        <v>695</v>
      </c>
      <c r="D4983" s="113">
        <v>10348038</v>
      </c>
      <c r="E4983" s="115">
        <v>43928</v>
      </c>
      <c r="F4983" s="114">
        <v>202101</v>
      </c>
      <c r="G4983" s="112" t="s">
        <v>1091</v>
      </c>
      <c r="H4983" s="112" t="s">
        <v>1016</v>
      </c>
      <c r="I4983" s="112" t="s">
        <v>4103</v>
      </c>
      <c r="J4983" s="112" t="s">
        <v>3709</v>
      </c>
      <c r="K4983" s="112" t="s">
        <v>4144</v>
      </c>
      <c r="L4983" s="116">
        <v>-50</v>
      </c>
    </row>
    <row r="4984" spans="1:12" hidden="1" outlineLevel="1" collapsed="1" x14ac:dyDescent="0.35">
      <c r="A4984" s="112" t="s">
        <v>3616</v>
      </c>
      <c r="B4984" s="112" t="s">
        <v>921</v>
      </c>
      <c r="C4984" s="112" t="s">
        <v>695</v>
      </c>
      <c r="D4984" s="113">
        <v>10348038</v>
      </c>
      <c r="E4984" s="115">
        <v>43928</v>
      </c>
      <c r="F4984" s="114">
        <v>202101</v>
      </c>
      <c r="G4984" s="112" t="s">
        <v>1091</v>
      </c>
      <c r="H4984" s="112" t="s">
        <v>1016</v>
      </c>
      <c r="I4984" s="112" t="s">
        <v>4103</v>
      </c>
      <c r="J4984" s="112" t="s">
        <v>3709</v>
      </c>
      <c r="K4984" s="112" t="s">
        <v>4120</v>
      </c>
      <c r="L4984" s="116">
        <v>-100</v>
      </c>
    </row>
    <row r="4985" spans="1:12" hidden="1" outlineLevel="1" collapsed="1" x14ac:dyDescent="0.35">
      <c r="A4985" s="112" t="s">
        <v>3616</v>
      </c>
      <c r="B4985" s="112" t="s">
        <v>921</v>
      </c>
      <c r="C4985" s="112" t="s">
        <v>695</v>
      </c>
      <c r="D4985" s="113">
        <v>10348038</v>
      </c>
      <c r="E4985" s="115">
        <v>43928</v>
      </c>
      <c r="F4985" s="114">
        <v>202101</v>
      </c>
      <c r="G4985" s="112" t="s">
        <v>1091</v>
      </c>
      <c r="H4985" s="112" t="s">
        <v>1016</v>
      </c>
      <c r="I4985" s="112" t="s">
        <v>4103</v>
      </c>
      <c r="J4985" s="112" t="s">
        <v>3709</v>
      </c>
      <c r="K4985" s="112" t="s">
        <v>4145</v>
      </c>
      <c r="L4985" s="116">
        <v>-196</v>
      </c>
    </row>
    <row r="4986" spans="1:12" hidden="1" outlineLevel="1" collapsed="1" x14ac:dyDescent="0.35">
      <c r="A4986" s="112" t="s">
        <v>3616</v>
      </c>
      <c r="B4986" s="112" t="s">
        <v>921</v>
      </c>
      <c r="C4986" s="112" t="s">
        <v>695</v>
      </c>
      <c r="D4986" s="113">
        <v>10348038</v>
      </c>
      <c r="E4986" s="115">
        <v>43928</v>
      </c>
      <c r="F4986" s="114">
        <v>202101</v>
      </c>
      <c r="G4986" s="112" t="s">
        <v>1091</v>
      </c>
      <c r="H4986" s="112" t="s">
        <v>1016</v>
      </c>
      <c r="I4986" s="112" t="s">
        <v>4103</v>
      </c>
      <c r="J4986" s="112" t="s">
        <v>3709</v>
      </c>
      <c r="K4986" s="112" t="s">
        <v>4146</v>
      </c>
      <c r="L4986" s="116">
        <v>196</v>
      </c>
    </row>
    <row r="4987" spans="1:12" hidden="1" outlineLevel="1" collapsed="1" x14ac:dyDescent="0.35">
      <c r="A4987" s="112" t="s">
        <v>3616</v>
      </c>
      <c r="B4987" s="112" t="s">
        <v>921</v>
      </c>
      <c r="C4987" s="112" t="s">
        <v>695</v>
      </c>
      <c r="D4987" s="113">
        <v>10348038</v>
      </c>
      <c r="E4987" s="115">
        <v>43928</v>
      </c>
      <c r="F4987" s="114">
        <v>202101</v>
      </c>
      <c r="G4987" s="112" t="s">
        <v>1091</v>
      </c>
      <c r="H4987" s="112" t="s">
        <v>1016</v>
      </c>
      <c r="I4987" s="112" t="s">
        <v>3899</v>
      </c>
      <c r="J4987" s="112" t="s">
        <v>3709</v>
      </c>
      <c r="K4987" s="112" t="s">
        <v>4147</v>
      </c>
      <c r="L4987" s="116">
        <v>-262.5</v>
      </c>
    </row>
    <row r="4988" spans="1:12" hidden="1" outlineLevel="1" collapsed="1" x14ac:dyDescent="0.35">
      <c r="A4988" s="112" t="s">
        <v>3616</v>
      </c>
      <c r="B4988" s="112" t="s">
        <v>921</v>
      </c>
      <c r="C4988" s="112" t="s">
        <v>695</v>
      </c>
      <c r="D4988" s="113">
        <v>10348038</v>
      </c>
      <c r="E4988" s="115">
        <v>43928</v>
      </c>
      <c r="F4988" s="114">
        <v>202101</v>
      </c>
      <c r="G4988" s="112" t="s">
        <v>1091</v>
      </c>
      <c r="H4988" s="112" t="s">
        <v>1016</v>
      </c>
      <c r="I4988" s="112" t="s">
        <v>3846</v>
      </c>
      <c r="J4988" s="112" t="s">
        <v>3709</v>
      </c>
      <c r="K4988" s="112" t="s">
        <v>4148</v>
      </c>
      <c r="L4988" s="116">
        <v>18225</v>
      </c>
    </row>
    <row r="4989" spans="1:12" hidden="1" outlineLevel="1" collapsed="1" x14ac:dyDescent="0.35">
      <c r="A4989" s="112" t="s">
        <v>3616</v>
      </c>
      <c r="B4989" s="112" t="s">
        <v>921</v>
      </c>
      <c r="C4989" s="112" t="s">
        <v>695</v>
      </c>
      <c r="D4989" s="113">
        <v>10348038</v>
      </c>
      <c r="E4989" s="115">
        <v>43928</v>
      </c>
      <c r="F4989" s="114">
        <v>202101</v>
      </c>
      <c r="G4989" s="112" t="s">
        <v>1091</v>
      </c>
      <c r="H4989" s="112" t="s">
        <v>1016</v>
      </c>
      <c r="I4989" s="112" t="s">
        <v>3846</v>
      </c>
      <c r="J4989" s="112" t="s">
        <v>3709</v>
      </c>
      <c r="K4989" s="112" t="s">
        <v>4149</v>
      </c>
      <c r="L4989" s="116">
        <v>365</v>
      </c>
    </row>
    <row r="4990" spans="1:12" hidden="1" outlineLevel="1" collapsed="1" x14ac:dyDescent="0.35">
      <c r="A4990" s="112" t="s">
        <v>3616</v>
      </c>
      <c r="B4990" s="112" t="s">
        <v>921</v>
      </c>
      <c r="C4990" s="112" t="s">
        <v>695</v>
      </c>
      <c r="D4990" s="113">
        <v>10348038</v>
      </c>
      <c r="E4990" s="115">
        <v>43928</v>
      </c>
      <c r="F4990" s="114">
        <v>202101</v>
      </c>
      <c r="G4990" s="112" t="s">
        <v>1091</v>
      </c>
      <c r="H4990" s="112" t="s">
        <v>1016</v>
      </c>
      <c r="I4990" s="112" t="s">
        <v>3846</v>
      </c>
      <c r="J4990" s="112" t="s">
        <v>3709</v>
      </c>
      <c r="K4990" s="112" t="s">
        <v>4150</v>
      </c>
      <c r="L4990" s="116">
        <v>379</v>
      </c>
    </row>
    <row r="4991" spans="1:12" hidden="1" outlineLevel="1" collapsed="1" x14ac:dyDescent="0.35">
      <c r="A4991" s="112" t="s">
        <v>3616</v>
      </c>
      <c r="B4991" s="112" t="s">
        <v>921</v>
      </c>
      <c r="C4991" s="112" t="s">
        <v>695</v>
      </c>
      <c r="D4991" s="113">
        <v>10348038</v>
      </c>
      <c r="E4991" s="115">
        <v>43928</v>
      </c>
      <c r="F4991" s="114">
        <v>202101</v>
      </c>
      <c r="G4991" s="112" t="s">
        <v>1091</v>
      </c>
      <c r="H4991" s="112" t="s">
        <v>1016</v>
      </c>
      <c r="I4991" s="112" t="s">
        <v>3899</v>
      </c>
      <c r="J4991" s="112" t="s">
        <v>3709</v>
      </c>
      <c r="K4991" s="112" t="s">
        <v>4151</v>
      </c>
      <c r="L4991" s="116">
        <v>-325</v>
      </c>
    </row>
    <row r="4992" spans="1:12" hidden="1" outlineLevel="1" collapsed="1" x14ac:dyDescent="0.35">
      <c r="A4992" s="112" t="s">
        <v>3616</v>
      </c>
      <c r="B4992" s="112" t="s">
        <v>921</v>
      </c>
      <c r="C4992" s="112" t="s">
        <v>695</v>
      </c>
      <c r="D4992" s="113">
        <v>10348038</v>
      </c>
      <c r="E4992" s="115">
        <v>43928</v>
      </c>
      <c r="F4992" s="114">
        <v>202101</v>
      </c>
      <c r="G4992" s="112" t="s">
        <v>1091</v>
      </c>
      <c r="H4992" s="112" t="s">
        <v>1016</v>
      </c>
      <c r="I4992" s="112" t="s">
        <v>3899</v>
      </c>
      <c r="J4992" s="112" t="s">
        <v>3709</v>
      </c>
      <c r="K4992" s="112" t="s">
        <v>4152</v>
      </c>
      <c r="L4992" s="116">
        <v>-293.75</v>
      </c>
    </row>
    <row r="4993" spans="1:12" hidden="1" outlineLevel="1" collapsed="1" x14ac:dyDescent="0.35">
      <c r="A4993" s="112" t="s">
        <v>3616</v>
      </c>
      <c r="B4993" s="112" t="s">
        <v>921</v>
      </c>
      <c r="C4993" s="112" t="s">
        <v>695</v>
      </c>
      <c r="D4993" s="113">
        <v>10348038</v>
      </c>
      <c r="E4993" s="115">
        <v>43928</v>
      </c>
      <c r="F4993" s="114">
        <v>202101</v>
      </c>
      <c r="G4993" s="112" t="s">
        <v>1091</v>
      </c>
      <c r="H4993" s="112" t="s">
        <v>1016</v>
      </c>
      <c r="I4993" s="112" t="s">
        <v>3960</v>
      </c>
      <c r="J4993" s="112" t="s">
        <v>3709</v>
      </c>
      <c r="K4993" s="112" t="s">
        <v>4080</v>
      </c>
      <c r="L4993" s="116">
        <v>-3000</v>
      </c>
    </row>
    <row r="4994" spans="1:12" hidden="1" outlineLevel="1" collapsed="1" x14ac:dyDescent="0.35">
      <c r="A4994" s="112" t="s">
        <v>3616</v>
      </c>
      <c r="B4994" s="112" t="s">
        <v>921</v>
      </c>
      <c r="C4994" s="112" t="s">
        <v>695</v>
      </c>
      <c r="D4994" s="113">
        <v>10348038</v>
      </c>
      <c r="E4994" s="115">
        <v>43928</v>
      </c>
      <c r="F4994" s="114">
        <v>202101</v>
      </c>
      <c r="G4994" s="112" t="s">
        <v>1091</v>
      </c>
      <c r="H4994" s="112" t="s">
        <v>1016</v>
      </c>
      <c r="I4994" s="112" t="s">
        <v>3899</v>
      </c>
      <c r="J4994" s="112" t="s">
        <v>3709</v>
      </c>
      <c r="K4994" s="112" t="s">
        <v>4153</v>
      </c>
      <c r="L4994" s="116">
        <v>-262.5</v>
      </c>
    </row>
    <row r="4995" spans="1:12" hidden="1" outlineLevel="1" collapsed="1" x14ac:dyDescent="0.35">
      <c r="A4995" s="112" t="s">
        <v>3616</v>
      </c>
      <c r="B4995" s="112" t="s">
        <v>921</v>
      </c>
      <c r="C4995" s="112" t="s">
        <v>695</v>
      </c>
      <c r="D4995" s="113">
        <v>10348038</v>
      </c>
      <c r="E4995" s="115">
        <v>43928</v>
      </c>
      <c r="F4995" s="114">
        <v>202101</v>
      </c>
      <c r="G4995" s="112" t="s">
        <v>1091</v>
      </c>
      <c r="H4995" s="112" t="s">
        <v>1016</v>
      </c>
      <c r="I4995" s="112" t="s">
        <v>3899</v>
      </c>
      <c r="J4995" s="112" t="s">
        <v>3709</v>
      </c>
      <c r="K4995" s="112" t="s">
        <v>4154</v>
      </c>
      <c r="L4995" s="116">
        <v>-262.5</v>
      </c>
    </row>
    <row r="4996" spans="1:12" hidden="1" outlineLevel="1" collapsed="1" x14ac:dyDescent="0.35">
      <c r="A4996" s="112" t="s">
        <v>3616</v>
      </c>
      <c r="B4996" s="112" t="s">
        <v>921</v>
      </c>
      <c r="C4996" s="112" t="s">
        <v>695</v>
      </c>
      <c r="D4996" s="113">
        <v>10348038</v>
      </c>
      <c r="E4996" s="115">
        <v>43928</v>
      </c>
      <c r="F4996" s="114">
        <v>202101</v>
      </c>
      <c r="G4996" s="112" t="s">
        <v>1091</v>
      </c>
      <c r="H4996" s="112" t="s">
        <v>1016</v>
      </c>
      <c r="I4996" s="112" t="s">
        <v>3899</v>
      </c>
      <c r="J4996" s="112" t="s">
        <v>3709</v>
      </c>
      <c r="K4996" s="112" t="s">
        <v>4155</v>
      </c>
      <c r="L4996" s="116">
        <v>-262.5</v>
      </c>
    </row>
    <row r="4997" spans="1:12" hidden="1" outlineLevel="1" collapsed="1" x14ac:dyDescent="0.35">
      <c r="A4997" s="112" t="s">
        <v>3616</v>
      </c>
      <c r="B4997" s="112" t="s">
        <v>921</v>
      </c>
      <c r="C4997" s="112" t="s">
        <v>695</v>
      </c>
      <c r="D4997" s="113">
        <v>10348038</v>
      </c>
      <c r="E4997" s="115">
        <v>43928</v>
      </c>
      <c r="F4997" s="114">
        <v>202101</v>
      </c>
      <c r="G4997" s="112" t="s">
        <v>1091</v>
      </c>
      <c r="H4997" s="112" t="s">
        <v>1016</v>
      </c>
      <c r="I4997" s="112" t="s">
        <v>3899</v>
      </c>
      <c r="J4997" s="112" t="s">
        <v>3709</v>
      </c>
      <c r="K4997" s="112" t="s">
        <v>4156</v>
      </c>
      <c r="L4997" s="116">
        <v>-625</v>
      </c>
    </row>
    <row r="4998" spans="1:12" hidden="1" outlineLevel="1" collapsed="1" x14ac:dyDescent="0.35">
      <c r="A4998" s="112" t="s">
        <v>3616</v>
      </c>
      <c r="B4998" s="112" t="s">
        <v>921</v>
      </c>
      <c r="C4998" s="112" t="s">
        <v>695</v>
      </c>
      <c r="D4998" s="113">
        <v>10348038</v>
      </c>
      <c r="E4998" s="115">
        <v>43928</v>
      </c>
      <c r="F4998" s="114">
        <v>202101</v>
      </c>
      <c r="G4998" s="112" t="s">
        <v>1091</v>
      </c>
      <c r="H4998" s="112" t="s">
        <v>1016</v>
      </c>
      <c r="I4998" s="112" t="s">
        <v>3846</v>
      </c>
      <c r="J4998" s="112" t="s">
        <v>3709</v>
      </c>
      <c r="K4998" s="112" t="s">
        <v>4157</v>
      </c>
      <c r="L4998" s="116">
        <v>-320</v>
      </c>
    </row>
    <row r="4999" spans="1:12" hidden="1" outlineLevel="1" collapsed="1" x14ac:dyDescent="0.35">
      <c r="A4999" s="112" t="s">
        <v>3616</v>
      </c>
      <c r="B4999" s="112" t="s">
        <v>921</v>
      </c>
      <c r="C4999" s="112" t="s">
        <v>695</v>
      </c>
      <c r="D4999" s="113">
        <v>10348038</v>
      </c>
      <c r="E4999" s="115">
        <v>43928</v>
      </c>
      <c r="F4999" s="114">
        <v>202101</v>
      </c>
      <c r="G4999" s="112" t="s">
        <v>1091</v>
      </c>
      <c r="H4999" s="112" t="s">
        <v>1016</v>
      </c>
      <c r="I4999" s="112" t="s">
        <v>3846</v>
      </c>
      <c r="J4999" s="112" t="s">
        <v>3709</v>
      </c>
      <c r="K4999" s="112" t="s">
        <v>4121</v>
      </c>
      <c r="L4999" s="116">
        <v>-1872.5</v>
      </c>
    </row>
    <row r="5000" spans="1:12" hidden="1" outlineLevel="1" collapsed="1" x14ac:dyDescent="0.35">
      <c r="A5000" s="112" t="s">
        <v>3616</v>
      </c>
      <c r="B5000" s="112" t="s">
        <v>921</v>
      </c>
      <c r="C5000" s="112" t="s">
        <v>695</v>
      </c>
      <c r="D5000" s="113">
        <v>10348038</v>
      </c>
      <c r="E5000" s="115">
        <v>43928</v>
      </c>
      <c r="F5000" s="114">
        <v>202101</v>
      </c>
      <c r="G5000" s="112" t="s">
        <v>1091</v>
      </c>
      <c r="H5000" s="112" t="s">
        <v>1016</v>
      </c>
      <c r="I5000" s="112" t="s">
        <v>3846</v>
      </c>
      <c r="J5000" s="112" t="s">
        <v>3709</v>
      </c>
      <c r="K5000" s="112" t="s">
        <v>4158</v>
      </c>
      <c r="L5000" s="116">
        <v>-1416</v>
      </c>
    </row>
    <row r="5001" spans="1:12" hidden="1" outlineLevel="1" collapsed="1" x14ac:dyDescent="0.35">
      <c r="A5001" s="112" t="s">
        <v>3616</v>
      </c>
      <c r="B5001" s="112" t="s">
        <v>921</v>
      </c>
      <c r="C5001" s="112" t="s">
        <v>695</v>
      </c>
      <c r="D5001" s="113">
        <v>10348038</v>
      </c>
      <c r="E5001" s="115">
        <v>43928</v>
      </c>
      <c r="F5001" s="114">
        <v>202101</v>
      </c>
      <c r="G5001" s="112" t="s">
        <v>1091</v>
      </c>
      <c r="H5001" s="112" t="s">
        <v>1016</v>
      </c>
      <c r="I5001" s="112" t="s">
        <v>3846</v>
      </c>
      <c r="J5001" s="112" t="s">
        <v>3709</v>
      </c>
      <c r="K5001" s="112" t="s">
        <v>4159</v>
      </c>
      <c r="L5001" s="116">
        <v>365</v>
      </c>
    </row>
    <row r="5002" spans="1:12" hidden="1" outlineLevel="1" collapsed="1" x14ac:dyDescent="0.35">
      <c r="A5002" s="112" t="s">
        <v>3616</v>
      </c>
      <c r="B5002" s="112" t="s">
        <v>919</v>
      </c>
      <c r="C5002" s="112" t="s">
        <v>1095</v>
      </c>
      <c r="D5002" s="113">
        <v>10348451</v>
      </c>
      <c r="E5002" s="115">
        <v>43949</v>
      </c>
      <c r="F5002" s="114">
        <v>202101</v>
      </c>
      <c r="G5002" s="112" t="s">
        <v>1091</v>
      </c>
      <c r="H5002" s="112" t="s">
        <v>1015</v>
      </c>
      <c r="I5002" s="112" t="s">
        <v>1096</v>
      </c>
      <c r="J5002" s="112" t="s">
        <v>3624</v>
      </c>
      <c r="K5002" s="112" t="s">
        <v>1098</v>
      </c>
      <c r="L5002" s="116">
        <v>156.66999999999999</v>
      </c>
    </row>
    <row r="5003" spans="1:12" hidden="1" outlineLevel="1" collapsed="1" x14ac:dyDescent="0.35">
      <c r="A5003" s="112" t="s">
        <v>3616</v>
      </c>
      <c r="B5003" s="112" t="s">
        <v>921</v>
      </c>
      <c r="C5003" s="112" t="s">
        <v>695</v>
      </c>
      <c r="D5003" s="113">
        <v>10348038</v>
      </c>
      <c r="E5003" s="115">
        <v>43928</v>
      </c>
      <c r="F5003" s="114">
        <v>202101</v>
      </c>
      <c r="G5003" s="112" t="s">
        <v>1091</v>
      </c>
      <c r="H5003" s="112" t="s">
        <v>1016</v>
      </c>
      <c r="I5003" s="112" t="s">
        <v>3846</v>
      </c>
      <c r="J5003" s="112" t="s">
        <v>3709</v>
      </c>
      <c r="K5003" s="112" t="s">
        <v>4160</v>
      </c>
      <c r="L5003" s="116">
        <v>-1415</v>
      </c>
    </row>
    <row r="5004" spans="1:12" hidden="1" outlineLevel="1" collapsed="1" x14ac:dyDescent="0.35">
      <c r="A5004" s="112" t="s">
        <v>3616</v>
      </c>
      <c r="B5004" s="112" t="s">
        <v>921</v>
      </c>
      <c r="C5004" s="112" t="s">
        <v>695</v>
      </c>
      <c r="D5004" s="113">
        <v>10348038</v>
      </c>
      <c r="E5004" s="115">
        <v>43928</v>
      </c>
      <c r="F5004" s="114">
        <v>202101</v>
      </c>
      <c r="G5004" s="112" t="s">
        <v>1091</v>
      </c>
      <c r="H5004" s="112" t="s">
        <v>1016</v>
      </c>
      <c r="I5004" s="112" t="s">
        <v>3846</v>
      </c>
      <c r="J5004" s="112" t="s">
        <v>3709</v>
      </c>
      <c r="K5004" s="112" t="s">
        <v>4161</v>
      </c>
      <c r="L5004" s="116">
        <v>-1265</v>
      </c>
    </row>
    <row r="5005" spans="1:12" hidden="1" outlineLevel="1" collapsed="1" x14ac:dyDescent="0.35">
      <c r="A5005" s="112" t="s">
        <v>3616</v>
      </c>
      <c r="B5005" s="112" t="s">
        <v>921</v>
      </c>
      <c r="C5005" s="112" t="s">
        <v>695</v>
      </c>
      <c r="D5005" s="113">
        <v>10348038</v>
      </c>
      <c r="E5005" s="115">
        <v>43928</v>
      </c>
      <c r="F5005" s="114">
        <v>202101</v>
      </c>
      <c r="G5005" s="112" t="s">
        <v>1091</v>
      </c>
      <c r="H5005" s="112" t="s">
        <v>1016</v>
      </c>
      <c r="I5005" s="112" t="s">
        <v>3846</v>
      </c>
      <c r="J5005" s="112" t="s">
        <v>3709</v>
      </c>
      <c r="K5005" s="112" t="s">
        <v>4162</v>
      </c>
      <c r="L5005" s="116">
        <v>-2292.5</v>
      </c>
    </row>
    <row r="5006" spans="1:12" hidden="1" outlineLevel="1" collapsed="1" x14ac:dyDescent="0.35">
      <c r="A5006" s="112" t="s">
        <v>3616</v>
      </c>
      <c r="B5006" s="112" t="s">
        <v>921</v>
      </c>
      <c r="C5006" s="112" t="s">
        <v>695</v>
      </c>
      <c r="D5006" s="113">
        <v>10348038</v>
      </c>
      <c r="E5006" s="115">
        <v>43928</v>
      </c>
      <c r="F5006" s="114">
        <v>202101</v>
      </c>
      <c r="G5006" s="112" t="s">
        <v>1091</v>
      </c>
      <c r="H5006" s="112" t="s">
        <v>1016</v>
      </c>
      <c r="I5006" s="112" t="s">
        <v>3846</v>
      </c>
      <c r="J5006" s="112" t="s">
        <v>3709</v>
      </c>
      <c r="K5006" s="112" t="s">
        <v>4163</v>
      </c>
      <c r="L5006" s="116">
        <v>-3306</v>
      </c>
    </row>
    <row r="5007" spans="1:12" hidden="1" outlineLevel="1" collapsed="1" x14ac:dyDescent="0.35">
      <c r="A5007" s="112" t="s">
        <v>3616</v>
      </c>
      <c r="B5007" s="112" t="s">
        <v>921</v>
      </c>
      <c r="C5007" s="112" t="s">
        <v>695</v>
      </c>
      <c r="D5007" s="113">
        <v>10348038</v>
      </c>
      <c r="E5007" s="115">
        <v>43928</v>
      </c>
      <c r="F5007" s="114">
        <v>202101</v>
      </c>
      <c r="G5007" s="112" t="s">
        <v>1091</v>
      </c>
      <c r="H5007" s="112" t="s">
        <v>1016</v>
      </c>
      <c r="I5007" s="112" t="s">
        <v>3846</v>
      </c>
      <c r="J5007" s="112" t="s">
        <v>3709</v>
      </c>
      <c r="K5007" s="112" t="s">
        <v>4164</v>
      </c>
      <c r="L5007" s="116">
        <v>-1400</v>
      </c>
    </row>
    <row r="5008" spans="1:12" hidden="1" outlineLevel="1" collapsed="1" x14ac:dyDescent="0.35">
      <c r="A5008" s="112" t="s">
        <v>3616</v>
      </c>
      <c r="B5008" s="112" t="s">
        <v>921</v>
      </c>
      <c r="C5008" s="112" t="s">
        <v>695</v>
      </c>
      <c r="D5008" s="113">
        <v>10348038</v>
      </c>
      <c r="E5008" s="115">
        <v>43928</v>
      </c>
      <c r="F5008" s="114">
        <v>202101</v>
      </c>
      <c r="G5008" s="112" t="s">
        <v>1091</v>
      </c>
      <c r="H5008" s="112" t="s">
        <v>1016</v>
      </c>
      <c r="I5008" s="112" t="s">
        <v>3899</v>
      </c>
      <c r="J5008" s="112" t="s">
        <v>3709</v>
      </c>
      <c r="K5008" s="112" t="s">
        <v>4165</v>
      </c>
      <c r="L5008" s="116">
        <v>-262.5</v>
      </c>
    </row>
    <row r="5009" spans="1:12" hidden="1" outlineLevel="1" collapsed="1" x14ac:dyDescent="0.35">
      <c r="A5009" s="112" t="s">
        <v>3616</v>
      </c>
      <c r="B5009" s="112" t="s">
        <v>921</v>
      </c>
      <c r="C5009" s="112" t="s">
        <v>695</v>
      </c>
      <c r="D5009" s="113">
        <v>10348038</v>
      </c>
      <c r="E5009" s="115">
        <v>43928</v>
      </c>
      <c r="F5009" s="114">
        <v>202101</v>
      </c>
      <c r="G5009" s="112" t="s">
        <v>1091</v>
      </c>
      <c r="H5009" s="112" t="s">
        <v>1016</v>
      </c>
      <c r="I5009" s="112" t="s">
        <v>3899</v>
      </c>
      <c r="J5009" s="112" t="s">
        <v>3709</v>
      </c>
      <c r="K5009" s="112" t="s">
        <v>4166</v>
      </c>
      <c r="L5009" s="116">
        <v>-262.5</v>
      </c>
    </row>
    <row r="5010" spans="1:12" hidden="1" outlineLevel="1" collapsed="1" x14ac:dyDescent="0.35">
      <c r="A5010" s="112" t="s">
        <v>3616</v>
      </c>
      <c r="B5010" s="112" t="s">
        <v>921</v>
      </c>
      <c r="C5010" s="112" t="s">
        <v>695</v>
      </c>
      <c r="D5010" s="113">
        <v>10348038</v>
      </c>
      <c r="E5010" s="115">
        <v>43928</v>
      </c>
      <c r="F5010" s="114">
        <v>202101</v>
      </c>
      <c r="G5010" s="112" t="s">
        <v>1091</v>
      </c>
      <c r="H5010" s="112" t="s">
        <v>1016</v>
      </c>
      <c r="I5010" s="112" t="s">
        <v>3899</v>
      </c>
      <c r="J5010" s="112" t="s">
        <v>3709</v>
      </c>
      <c r="K5010" s="112" t="s">
        <v>4167</v>
      </c>
      <c r="L5010" s="116">
        <v>-1108.3399999999999</v>
      </c>
    </row>
    <row r="5011" spans="1:12" hidden="1" outlineLevel="1" collapsed="1" x14ac:dyDescent="0.35">
      <c r="A5011" s="112" t="s">
        <v>3616</v>
      </c>
      <c r="B5011" s="112" t="s">
        <v>921</v>
      </c>
      <c r="C5011" s="112" t="s">
        <v>695</v>
      </c>
      <c r="D5011" s="113">
        <v>10348038</v>
      </c>
      <c r="E5011" s="115">
        <v>43928</v>
      </c>
      <c r="F5011" s="114">
        <v>202101</v>
      </c>
      <c r="G5011" s="112" t="s">
        <v>1091</v>
      </c>
      <c r="H5011" s="112" t="s">
        <v>1016</v>
      </c>
      <c r="I5011" s="112" t="s">
        <v>3899</v>
      </c>
      <c r="J5011" s="112" t="s">
        <v>3709</v>
      </c>
      <c r="K5011" s="112" t="s">
        <v>4168</v>
      </c>
      <c r="L5011" s="116">
        <v>-982.5</v>
      </c>
    </row>
    <row r="5012" spans="1:12" hidden="1" outlineLevel="1" collapsed="1" x14ac:dyDescent="0.35">
      <c r="A5012" s="112" t="s">
        <v>3616</v>
      </c>
      <c r="B5012" s="112" t="s">
        <v>921</v>
      </c>
      <c r="C5012" s="112" t="s">
        <v>695</v>
      </c>
      <c r="D5012" s="113">
        <v>10348038</v>
      </c>
      <c r="E5012" s="115">
        <v>43928</v>
      </c>
      <c r="F5012" s="114">
        <v>202101</v>
      </c>
      <c r="G5012" s="112" t="s">
        <v>1091</v>
      </c>
      <c r="H5012" s="112" t="s">
        <v>1016</v>
      </c>
      <c r="I5012" s="112" t="s">
        <v>3899</v>
      </c>
      <c r="J5012" s="112" t="s">
        <v>3709</v>
      </c>
      <c r="K5012" s="112" t="s">
        <v>4169</v>
      </c>
      <c r="L5012" s="116">
        <v>-1680</v>
      </c>
    </row>
    <row r="5013" spans="1:12" hidden="1" outlineLevel="1" collapsed="1" x14ac:dyDescent="0.35">
      <c r="A5013" s="112" t="s">
        <v>3616</v>
      </c>
      <c r="B5013" s="112" t="s">
        <v>921</v>
      </c>
      <c r="C5013" s="112" t="s">
        <v>695</v>
      </c>
      <c r="D5013" s="113">
        <v>10348038</v>
      </c>
      <c r="E5013" s="115">
        <v>43928</v>
      </c>
      <c r="F5013" s="114">
        <v>202101</v>
      </c>
      <c r="G5013" s="112" t="s">
        <v>1091</v>
      </c>
      <c r="H5013" s="112" t="s">
        <v>1016</v>
      </c>
      <c r="I5013" s="112" t="s">
        <v>3846</v>
      </c>
      <c r="J5013" s="112" t="s">
        <v>3709</v>
      </c>
      <c r="K5013" s="112" t="s">
        <v>4170</v>
      </c>
      <c r="L5013" s="116">
        <v>-2096</v>
      </c>
    </row>
    <row r="5014" spans="1:12" hidden="1" outlineLevel="1" collapsed="1" x14ac:dyDescent="0.35">
      <c r="A5014" s="112" t="s">
        <v>3616</v>
      </c>
      <c r="B5014" s="112" t="s">
        <v>921</v>
      </c>
      <c r="C5014" s="112" t="s">
        <v>695</v>
      </c>
      <c r="D5014" s="113">
        <v>10348038</v>
      </c>
      <c r="E5014" s="115">
        <v>43928</v>
      </c>
      <c r="F5014" s="114">
        <v>202101</v>
      </c>
      <c r="G5014" s="112" t="s">
        <v>1091</v>
      </c>
      <c r="H5014" s="112" t="s">
        <v>1016</v>
      </c>
      <c r="I5014" s="112" t="s">
        <v>3846</v>
      </c>
      <c r="J5014" s="112" t="s">
        <v>3709</v>
      </c>
      <c r="K5014" s="112" t="s">
        <v>4171</v>
      </c>
      <c r="L5014" s="116">
        <v>-520</v>
      </c>
    </row>
    <row r="5015" spans="1:12" hidden="1" outlineLevel="1" collapsed="1" x14ac:dyDescent="0.35">
      <c r="A5015" s="112" t="s">
        <v>3616</v>
      </c>
      <c r="B5015" s="112" t="s">
        <v>921</v>
      </c>
      <c r="C5015" s="112" t="s">
        <v>695</v>
      </c>
      <c r="D5015" s="113">
        <v>10348038</v>
      </c>
      <c r="E5015" s="115">
        <v>43928</v>
      </c>
      <c r="F5015" s="114">
        <v>202101</v>
      </c>
      <c r="G5015" s="112" t="s">
        <v>1091</v>
      </c>
      <c r="H5015" s="112" t="s">
        <v>1016</v>
      </c>
      <c r="I5015" s="112" t="s">
        <v>3846</v>
      </c>
      <c r="J5015" s="112" t="s">
        <v>3709</v>
      </c>
      <c r="K5015" s="112" t="s">
        <v>4172</v>
      </c>
      <c r="L5015" s="116">
        <v>225</v>
      </c>
    </row>
    <row r="5016" spans="1:12" hidden="1" outlineLevel="1" collapsed="1" x14ac:dyDescent="0.35">
      <c r="A5016" s="112" t="s">
        <v>3616</v>
      </c>
      <c r="B5016" s="112" t="s">
        <v>921</v>
      </c>
      <c r="C5016" s="112" t="s">
        <v>695</v>
      </c>
      <c r="D5016" s="113">
        <v>10348038</v>
      </c>
      <c r="E5016" s="115">
        <v>43928</v>
      </c>
      <c r="F5016" s="114">
        <v>202101</v>
      </c>
      <c r="G5016" s="112" t="s">
        <v>1091</v>
      </c>
      <c r="H5016" s="112" t="s">
        <v>1016</v>
      </c>
      <c r="I5016" s="112" t="s">
        <v>3846</v>
      </c>
      <c r="J5016" s="112" t="s">
        <v>3709</v>
      </c>
      <c r="K5016" s="112" t="s">
        <v>4173</v>
      </c>
      <c r="L5016" s="116">
        <v>-12540</v>
      </c>
    </row>
    <row r="5017" spans="1:12" hidden="1" outlineLevel="1" collapsed="1" x14ac:dyDescent="0.35">
      <c r="A5017" s="112" t="s">
        <v>3616</v>
      </c>
      <c r="B5017" s="112" t="s">
        <v>921</v>
      </c>
      <c r="C5017" s="112" t="s">
        <v>695</v>
      </c>
      <c r="D5017" s="113">
        <v>10348038</v>
      </c>
      <c r="E5017" s="115">
        <v>43928</v>
      </c>
      <c r="F5017" s="114">
        <v>202101</v>
      </c>
      <c r="G5017" s="112" t="s">
        <v>1091</v>
      </c>
      <c r="H5017" s="112" t="s">
        <v>1016</v>
      </c>
      <c r="I5017" s="112" t="s">
        <v>3846</v>
      </c>
      <c r="J5017" s="112" t="s">
        <v>3709</v>
      </c>
      <c r="K5017" s="112" t="s">
        <v>4174</v>
      </c>
      <c r="L5017" s="116">
        <v>-1090</v>
      </c>
    </row>
    <row r="5018" spans="1:12" hidden="1" outlineLevel="1" collapsed="1" x14ac:dyDescent="0.35">
      <c r="A5018" s="112" t="s">
        <v>3616</v>
      </c>
      <c r="B5018" s="112" t="s">
        <v>921</v>
      </c>
      <c r="C5018" s="112" t="s">
        <v>695</v>
      </c>
      <c r="D5018" s="113">
        <v>10348038</v>
      </c>
      <c r="E5018" s="115">
        <v>43928</v>
      </c>
      <c r="F5018" s="114">
        <v>202101</v>
      </c>
      <c r="G5018" s="112" t="s">
        <v>1091</v>
      </c>
      <c r="H5018" s="112" t="s">
        <v>1016</v>
      </c>
      <c r="I5018" s="112" t="s">
        <v>3846</v>
      </c>
      <c r="J5018" s="112" t="s">
        <v>3709</v>
      </c>
      <c r="K5018" s="112" t="s">
        <v>4175</v>
      </c>
      <c r="L5018" s="116">
        <v>-1430</v>
      </c>
    </row>
    <row r="5019" spans="1:12" hidden="1" outlineLevel="1" collapsed="1" x14ac:dyDescent="0.35">
      <c r="A5019" s="112" t="s">
        <v>3616</v>
      </c>
      <c r="B5019" s="112" t="s">
        <v>921</v>
      </c>
      <c r="C5019" s="112" t="s">
        <v>695</v>
      </c>
      <c r="D5019" s="113">
        <v>10348038</v>
      </c>
      <c r="E5019" s="115">
        <v>43928</v>
      </c>
      <c r="F5019" s="114">
        <v>202101</v>
      </c>
      <c r="G5019" s="112" t="s">
        <v>1091</v>
      </c>
      <c r="H5019" s="112" t="s">
        <v>1016</v>
      </c>
      <c r="I5019" s="112" t="s">
        <v>3846</v>
      </c>
      <c r="J5019" s="112" t="s">
        <v>3709</v>
      </c>
      <c r="K5019" s="112" t="s">
        <v>4176</v>
      </c>
      <c r="L5019" s="116">
        <v>-365</v>
      </c>
    </row>
    <row r="5020" spans="1:12" hidden="1" outlineLevel="1" collapsed="1" x14ac:dyDescent="0.35">
      <c r="A5020" s="112" t="s">
        <v>3616</v>
      </c>
      <c r="B5020" s="112" t="s">
        <v>921</v>
      </c>
      <c r="C5020" s="112" t="s">
        <v>695</v>
      </c>
      <c r="D5020" s="113">
        <v>10348038</v>
      </c>
      <c r="E5020" s="115">
        <v>43928</v>
      </c>
      <c r="F5020" s="114">
        <v>202101</v>
      </c>
      <c r="G5020" s="112" t="s">
        <v>1091</v>
      </c>
      <c r="H5020" s="112" t="s">
        <v>1016</v>
      </c>
      <c r="I5020" s="112" t="s">
        <v>3846</v>
      </c>
      <c r="J5020" s="112" t="s">
        <v>3709</v>
      </c>
      <c r="K5020" s="112" t="s">
        <v>4144</v>
      </c>
      <c r="L5020" s="116">
        <v>-800</v>
      </c>
    </row>
    <row r="5021" spans="1:12" hidden="1" outlineLevel="1" collapsed="1" x14ac:dyDescent="0.35">
      <c r="A5021" s="112" t="s">
        <v>3616</v>
      </c>
      <c r="B5021" s="112" t="s">
        <v>921</v>
      </c>
      <c r="C5021" s="112" t="s">
        <v>695</v>
      </c>
      <c r="D5021" s="113">
        <v>10348038</v>
      </c>
      <c r="E5021" s="115">
        <v>43928</v>
      </c>
      <c r="F5021" s="114">
        <v>202101</v>
      </c>
      <c r="G5021" s="112" t="s">
        <v>1091</v>
      </c>
      <c r="H5021" s="112" t="s">
        <v>1016</v>
      </c>
      <c r="I5021" s="112" t="s">
        <v>3846</v>
      </c>
      <c r="J5021" s="112" t="s">
        <v>3709</v>
      </c>
      <c r="K5021" s="112" t="s">
        <v>4177</v>
      </c>
      <c r="L5021" s="116">
        <v>-880</v>
      </c>
    </row>
    <row r="5022" spans="1:12" hidden="1" outlineLevel="1" collapsed="1" x14ac:dyDescent="0.35">
      <c r="A5022" s="112" t="s">
        <v>3616</v>
      </c>
      <c r="B5022" s="112" t="s">
        <v>921</v>
      </c>
      <c r="C5022" s="112" t="s">
        <v>695</v>
      </c>
      <c r="D5022" s="113">
        <v>10348038</v>
      </c>
      <c r="E5022" s="115">
        <v>43928</v>
      </c>
      <c r="F5022" s="114">
        <v>202101</v>
      </c>
      <c r="G5022" s="112" t="s">
        <v>1091</v>
      </c>
      <c r="H5022" s="112" t="s">
        <v>1016</v>
      </c>
      <c r="I5022" s="112" t="s">
        <v>3846</v>
      </c>
      <c r="J5022" s="112" t="s">
        <v>3709</v>
      </c>
      <c r="K5022" s="112" t="s">
        <v>4178</v>
      </c>
      <c r="L5022" s="116">
        <v>-11880</v>
      </c>
    </row>
    <row r="5023" spans="1:12" hidden="1" outlineLevel="1" collapsed="1" x14ac:dyDescent="0.35">
      <c r="A5023" s="112" t="s">
        <v>3616</v>
      </c>
      <c r="B5023" s="112" t="s">
        <v>920</v>
      </c>
      <c r="C5023" s="112" t="s">
        <v>695</v>
      </c>
      <c r="D5023" s="113">
        <v>10348094</v>
      </c>
      <c r="E5023" s="115">
        <v>43929</v>
      </c>
      <c r="F5023" s="114">
        <v>202101</v>
      </c>
      <c r="G5023" s="112" t="s">
        <v>1091</v>
      </c>
      <c r="H5023" s="112" t="s">
        <v>1016</v>
      </c>
      <c r="I5023" s="112" t="s">
        <v>680</v>
      </c>
      <c r="J5023" s="112" t="s">
        <v>4179</v>
      </c>
      <c r="K5023" s="112" t="s">
        <v>4180</v>
      </c>
      <c r="L5023" s="116">
        <v>-9078</v>
      </c>
    </row>
    <row r="5024" spans="1:12" hidden="1" outlineLevel="1" collapsed="1" x14ac:dyDescent="0.35">
      <c r="A5024" s="112" t="s">
        <v>3616</v>
      </c>
      <c r="B5024" s="112" t="s">
        <v>920</v>
      </c>
      <c r="C5024" s="112" t="s">
        <v>695</v>
      </c>
      <c r="D5024" s="113">
        <v>10348094</v>
      </c>
      <c r="E5024" s="115">
        <v>43929</v>
      </c>
      <c r="F5024" s="114">
        <v>202101</v>
      </c>
      <c r="G5024" s="112" t="s">
        <v>1091</v>
      </c>
      <c r="H5024" s="112" t="s">
        <v>1016</v>
      </c>
      <c r="I5024" s="112" t="s">
        <v>680</v>
      </c>
      <c r="J5024" s="112" t="s">
        <v>4179</v>
      </c>
      <c r="K5024" s="112" t="s">
        <v>4181</v>
      </c>
      <c r="L5024" s="116">
        <v>4500</v>
      </c>
    </row>
    <row r="5025" spans="1:12" hidden="1" outlineLevel="1" collapsed="1" x14ac:dyDescent="0.35">
      <c r="A5025" s="112" t="s">
        <v>3616</v>
      </c>
      <c r="B5025" s="112" t="s">
        <v>921</v>
      </c>
      <c r="C5025" s="112" t="s">
        <v>695</v>
      </c>
      <c r="D5025" s="113">
        <v>10348090</v>
      </c>
      <c r="E5025" s="115">
        <v>43929</v>
      </c>
      <c r="F5025" s="114">
        <v>202101</v>
      </c>
      <c r="G5025" s="112" t="s">
        <v>1091</v>
      </c>
      <c r="H5025" s="112" t="s">
        <v>1016</v>
      </c>
      <c r="I5025" s="112" t="s">
        <v>823</v>
      </c>
      <c r="J5025" s="112" t="s">
        <v>3709</v>
      </c>
      <c r="K5025" s="112" t="s">
        <v>4182</v>
      </c>
      <c r="L5025" s="116">
        <v>12500</v>
      </c>
    </row>
    <row r="5026" spans="1:12" hidden="1" outlineLevel="1" collapsed="1" x14ac:dyDescent="0.35">
      <c r="A5026" s="112" t="s">
        <v>3616</v>
      </c>
      <c r="B5026" s="112" t="s">
        <v>921</v>
      </c>
      <c r="C5026" s="112" t="s">
        <v>695</v>
      </c>
      <c r="D5026" s="113">
        <v>10348090</v>
      </c>
      <c r="E5026" s="115">
        <v>43929</v>
      </c>
      <c r="F5026" s="114">
        <v>202101</v>
      </c>
      <c r="G5026" s="112" t="s">
        <v>1091</v>
      </c>
      <c r="H5026" s="112" t="s">
        <v>1016</v>
      </c>
      <c r="I5026" s="112" t="s">
        <v>1752</v>
      </c>
      <c r="J5026" s="112" t="s">
        <v>3709</v>
      </c>
      <c r="K5026" s="112" t="s">
        <v>4183</v>
      </c>
      <c r="L5026" s="116">
        <v>-5819.62</v>
      </c>
    </row>
    <row r="5027" spans="1:12" hidden="1" outlineLevel="1" collapsed="1" x14ac:dyDescent="0.35">
      <c r="A5027" s="112" t="s">
        <v>3616</v>
      </c>
      <c r="B5027" s="112" t="s">
        <v>921</v>
      </c>
      <c r="C5027" s="112" t="s">
        <v>695</v>
      </c>
      <c r="D5027" s="113">
        <v>10348090</v>
      </c>
      <c r="E5027" s="115">
        <v>43929</v>
      </c>
      <c r="F5027" s="114">
        <v>202101</v>
      </c>
      <c r="G5027" s="112" t="s">
        <v>1091</v>
      </c>
      <c r="H5027" s="112" t="s">
        <v>1016</v>
      </c>
      <c r="I5027" s="112" t="s">
        <v>823</v>
      </c>
      <c r="J5027" s="112" t="s">
        <v>3709</v>
      </c>
      <c r="K5027" s="112" t="s">
        <v>4184</v>
      </c>
      <c r="L5027" s="116">
        <v>-16627.5</v>
      </c>
    </row>
    <row r="5028" spans="1:12" hidden="1" outlineLevel="1" collapsed="1" x14ac:dyDescent="0.35">
      <c r="A5028" s="112" t="s">
        <v>3616</v>
      </c>
      <c r="B5028" s="112" t="s">
        <v>919</v>
      </c>
      <c r="C5028" s="112" t="s">
        <v>1095</v>
      </c>
      <c r="D5028" s="113">
        <v>10348451</v>
      </c>
      <c r="E5028" s="115">
        <v>43949</v>
      </c>
      <c r="F5028" s="114">
        <v>202101</v>
      </c>
      <c r="G5028" s="112" t="s">
        <v>1091</v>
      </c>
      <c r="H5028" s="112" t="s">
        <v>1015</v>
      </c>
      <c r="I5028" s="112" t="s">
        <v>1096</v>
      </c>
      <c r="J5028" s="112" t="s">
        <v>3624</v>
      </c>
      <c r="K5028" s="112" t="s">
        <v>1098</v>
      </c>
      <c r="L5028" s="116">
        <v>140.54</v>
      </c>
    </row>
    <row r="5029" spans="1:12" hidden="1" outlineLevel="1" collapsed="1" x14ac:dyDescent="0.35">
      <c r="A5029" s="112" t="s">
        <v>3616</v>
      </c>
      <c r="B5029" s="112" t="s">
        <v>919</v>
      </c>
      <c r="C5029" s="112" t="s">
        <v>695</v>
      </c>
      <c r="D5029" s="113">
        <v>10348077</v>
      </c>
      <c r="E5029" s="115">
        <v>43929</v>
      </c>
      <c r="F5029" s="114">
        <v>202101</v>
      </c>
      <c r="G5029" s="112" t="s">
        <v>1091</v>
      </c>
      <c r="H5029" s="112" t="s">
        <v>1016</v>
      </c>
      <c r="I5029" s="112" t="s">
        <v>1293</v>
      </c>
      <c r="J5029" s="112" t="s">
        <v>3632</v>
      </c>
      <c r="K5029" s="112" t="s">
        <v>4185</v>
      </c>
      <c r="L5029" s="116">
        <v>-736.45</v>
      </c>
    </row>
    <row r="5030" spans="1:12" hidden="1" outlineLevel="1" collapsed="1" x14ac:dyDescent="0.35">
      <c r="A5030" s="112" t="s">
        <v>3616</v>
      </c>
      <c r="B5030" s="112" t="s">
        <v>918</v>
      </c>
      <c r="C5030" s="112" t="s">
        <v>1095</v>
      </c>
      <c r="D5030" s="113">
        <v>10348451</v>
      </c>
      <c r="E5030" s="115">
        <v>43949</v>
      </c>
      <c r="F5030" s="114">
        <v>202101</v>
      </c>
      <c r="G5030" s="112" t="s">
        <v>1091</v>
      </c>
      <c r="H5030" s="112" t="s">
        <v>1015</v>
      </c>
      <c r="I5030" s="112" t="s">
        <v>1096</v>
      </c>
      <c r="J5030" s="112" t="s">
        <v>3695</v>
      </c>
      <c r="K5030" s="112" t="s">
        <v>1098</v>
      </c>
      <c r="L5030" s="116">
        <v>227.91</v>
      </c>
    </row>
    <row r="5031" spans="1:12" hidden="1" outlineLevel="1" collapsed="1" x14ac:dyDescent="0.35">
      <c r="A5031" s="112" t="s">
        <v>3616</v>
      </c>
      <c r="B5031" s="112" t="s">
        <v>922</v>
      </c>
      <c r="C5031" s="112" t="s">
        <v>1095</v>
      </c>
      <c r="D5031" s="113">
        <v>10348451</v>
      </c>
      <c r="E5031" s="115">
        <v>43949</v>
      </c>
      <c r="F5031" s="114">
        <v>202101</v>
      </c>
      <c r="G5031" s="112" t="s">
        <v>1091</v>
      </c>
      <c r="H5031" s="112" t="s">
        <v>1015</v>
      </c>
      <c r="I5031" s="112" t="s">
        <v>1096</v>
      </c>
      <c r="J5031" s="112" t="s">
        <v>3863</v>
      </c>
      <c r="K5031" s="112" t="s">
        <v>1098</v>
      </c>
      <c r="L5031" s="116">
        <v>4.1399999999999997</v>
      </c>
    </row>
    <row r="5032" spans="1:12" hidden="1" outlineLevel="1" collapsed="1" x14ac:dyDescent="0.35">
      <c r="A5032" s="112" t="s">
        <v>3616</v>
      </c>
      <c r="B5032" s="112" t="s">
        <v>922</v>
      </c>
      <c r="C5032" s="112" t="s">
        <v>1095</v>
      </c>
      <c r="D5032" s="113">
        <v>10348451</v>
      </c>
      <c r="E5032" s="115">
        <v>43949</v>
      </c>
      <c r="F5032" s="114">
        <v>202101</v>
      </c>
      <c r="G5032" s="112" t="s">
        <v>1091</v>
      </c>
      <c r="H5032" s="112" t="s">
        <v>1015</v>
      </c>
      <c r="I5032" s="112" t="s">
        <v>1096</v>
      </c>
      <c r="J5032" s="112" t="s">
        <v>3863</v>
      </c>
      <c r="K5032" s="112" t="s">
        <v>1098</v>
      </c>
      <c r="L5032" s="116">
        <v>186.74</v>
      </c>
    </row>
    <row r="5033" spans="1:12" hidden="1" outlineLevel="1" collapsed="1" x14ac:dyDescent="0.35">
      <c r="A5033" s="112" t="s">
        <v>3616</v>
      </c>
      <c r="B5033" s="112" t="s">
        <v>922</v>
      </c>
      <c r="C5033" s="112" t="s">
        <v>1095</v>
      </c>
      <c r="D5033" s="113">
        <v>10348451</v>
      </c>
      <c r="E5033" s="115">
        <v>43949</v>
      </c>
      <c r="F5033" s="114">
        <v>202101</v>
      </c>
      <c r="G5033" s="112" t="s">
        <v>1091</v>
      </c>
      <c r="H5033" s="112" t="s">
        <v>1015</v>
      </c>
      <c r="I5033" s="112" t="s">
        <v>1096</v>
      </c>
      <c r="J5033" s="112" t="s">
        <v>3863</v>
      </c>
      <c r="K5033" s="112" t="s">
        <v>1098</v>
      </c>
      <c r="L5033" s="116">
        <v>69.17</v>
      </c>
    </row>
    <row r="5034" spans="1:12" hidden="1" outlineLevel="1" collapsed="1" x14ac:dyDescent="0.35">
      <c r="A5034" s="112" t="s">
        <v>3616</v>
      </c>
      <c r="B5034" s="112" t="s">
        <v>922</v>
      </c>
      <c r="C5034" s="112" t="s">
        <v>1095</v>
      </c>
      <c r="D5034" s="113">
        <v>10348451</v>
      </c>
      <c r="E5034" s="115">
        <v>43949</v>
      </c>
      <c r="F5034" s="114">
        <v>202101</v>
      </c>
      <c r="G5034" s="112" t="s">
        <v>1091</v>
      </c>
      <c r="H5034" s="112" t="s">
        <v>1015</v>
      </c>
      <c r="I5034" s="112" t="s">
        <v>1096</v>
      </c>
      <c r="J5034" s="112" t="s">
        <v>3861</v>
      </c>
      <c r="K5034" s="112" t="s">
        <v>1098</v>
      </c>
      <c r="L5034" s="116">
        <v>82.56</v>
      </c>
    </row>
    <row r="5035" spans="1:12" hidden="1" outlineLevel="1" collapsed="1" x14ac:dyDescent="0.35">
      <c r="A5035" s="112" t="s">
        <v>3616</v>
      </c>
      <c r="B5035" s="112" t="s">
        <v>922</v>
      </c>
      <c r="C5035" s="112" t="s">
        <v>1095</v>
      </c>
      <c r="D5035" s="113">
        <v>10348451</v>
      </c>
      <c r="E5035" s="115">
        <v>43949</v>
      </c>
      <c r="F5035" s="114">
        <v>202101</v>
      </c>
      <c r="G5035" s="112" t="s">
        <v>1091</v>
      </c>
      <c r="H5035" s="112" t="s">
        <v>1015</v>
      </c>
      <c r="I5035" s="112" t="s">
        <v>1096</v>
      </c>
      <c r="J5035" s="112" t="s">
        <v>3784</v>
      </c>
      <c r="K5035" s="112" t="s">
        <v>1098</v>
      </c>
      <c r="L5035" s="116">
        <v>262.10000000000002</v>
      </c>
    </row>
    <row r="5036" spans="1:12" hidden="1" outlineLevel="1" collapsed="1" x14ac:dyDescent="0.35">
      <c r="A5036" s="112" t="s">
        <v>3616</v>
      </c>
      <c r="B5036" s="112" t="s">
        <v>922</v>
      </c>
      <c r="C5036" s="112" t="s">
        <v>1095</v>
      </c>
      <c r="D5036" s="113">
        <v>10348451</v>
      </c>
      <c r="E5036" s="115">
        <v>43949</v>
      </c>
      <c r="F5036" s="114">
        <v>202101</v>
      </c>
      <c r="G5036" s="112" t="s">
        <v>1091</v>
      </c>
      <c r="H5036" s="112" t="s">
        <v>1015</v>
      </c>
      <c r="I5036" s="112" t="s">
        <v>1096</v>
      </c>
      <c r="J5036" s="112" t="s">
        <v>3784</v>
      </c>
      <c r="K5036" s="112" t="s">
        <v>1098</v>
      </c>
      <c r="L5036" s="116">
        <v>71.97</v>
      </c>
    </row>
    <row r="5037" spans="1:12" hidden="1" outlineLevel="1" collapsed="1" x14ac:dyDescent="0.35">
      <c r="A5037" s="112" t="s">
        <v>3616</v>
      </c>
      <c r="B5037" s="112" t="s">
        <v>922</v>
      </c>
      <c r="C5037" s="112" t="s">
        <v>679</v>
      </c>
      <c r="D5037" s="113">
        <v>10348515</v>
      </c>
      <c r="E5037" s="115">
        <v>43949</v>
      </c>
      <c r="F5037" s="114">
        <v>202101</v>
      </c>
      <c r="G5037" s="112" t="s">
        <v>1091</v>
      </c>
      <c r="H5037" s="112" t="s">
        <v>1016</v>
      </c>
      <c r="I5037" s="112" t="s">
        <v>1131</v>
      </c>
      <c r="J5037" s="112" t="s">
        <v>3954</v>
      </c>
      <c r="K5037" s="112" t="s">
        <v>706</v>
      </c>
      <c r="L5037" s="116">
        <v>-14000</v>
      </c>
    </row>
    <row r="5038" spans="1:12" hidden="1" outlineLevel="1" collapsed="1" x14ac:dyDescent="0.35">
      <c r="A5038" s="112" t="s">
        <v>3616</v>
      </c>
      <c r="B5038" s="112" t="s">
        <v>922</v>
      </c>
      <c r="C5038" s="112" t="s">
        <v>1095</v>
      </c>
      <c r="D5038" s="113">
        <v>10348451</v>
      </c>
      <c r="E5038" s="115">
        <v>43949</v>
      </c>
      <c r="F5038" s="114">
        <v>202101</v>
      </c>
      <c r="G5038" s="112" t="s">
        <v>1091</v>
      </c>
      <c r="H5038" s="112" t="s">
        <v>1015</v>
      </c>
      <c r="I5038" s="112" t="s">
        <v>1096</v>
      </c>
      <c r="J5038" s="112" t="s">
        <v>3784</v>
      </c>
      <c r="K5038" s="112" t="s">
        <v>1098</v>
      </c>
      <c r="L5038" s="116">
        <v>176.54</v>
      </c>
    </row>
    <row r="5039" spans="1:12" hidden="1" outlineLevel="1" collapsed="1" x14ac:dyDescent="0.35">
      <c r="A5039" s="112" t="s">
        <v>3616</v>
      </c>
      <c r="B5039" s="112" t="s">
        <v>922</v>
      </c>
      <c r="C5039" s="112" t="s">
        <v>1095</v>
      </c>
      <c r="D5039" s="113">
        <v>10348451</v>
      </c>
      <c r="E5039" s="115">
        <v>43949</v>
      </c>
      <c r="F5039" s="114">
        <v>202101</v>
      </c>
      <c r="G5039" s="112" t="s">
        <v>1091</v>
      </c>
      <c r="H5039" s="112" t="s">
        <v>1015</v>
      </c>
      <c r="I5039" s="112" t="s">
        <v>1096</v>
      </c>
      <c r="J5039" s="112" t="s">
        <v>3784</v>
      </c>
      <c r="K5039" s="112" t="s">
        <v>1098</v>
      </c>
      <c r="L5039" s="116">
        <v>321.20999999999998</v>
      </c>
    </row>
    <row r="5040" spans="1:12" hidden="1" outlineLevel="1" collapsed="1" x14ac:dyDescent="0.35">
      <c r="A5040" s="112" t="s">
        <v>3616</v>
      </c>
      <c r="B5040" s="112" t="s">
        <v>919</v>
      </c>
      <c r="C5040" s="112" t="s">
        <v>695</v>
      </c>
      <c r="D5040" s="113">
        <v>10348521</v>
      </c>
      <c r="E5040" s="115">
        <v>43949</v>
      </c>
      <c r="F5040" s="114">
        <v>202101</v>
      </c>
      <c r="G5040" s="112" t="s">
        <v>1091</v>
      </c>
      <c r="H5040" s="112" t="s">
        <v>1016</v>
      </c>
      <c r="I5040" s="112" t="s">
        <v>823</v>
      </c>
      <c r="J5040" s="112" t="s">
        <v>3634</v>
      </c>
      <c r="K5040" s="112" t="s">
        <v>4186</v>
      </c>
      <c r="L5040" s="116">
        <v>-15808</v>
      </c>
    </row>
    <row r="5041" spans="1:12" hidden="1" outlineLevel="1" collapsed="1" x14ac:dyDescent="0.35">
      <c r="A5041" s="112" t="s">
        <v>3616</v>
      </c>
      <c r="B5041" s="112" t="s">
        <v>922</v>
      </c>
      <c r="C5041" s="112" t="s">
        <v>1095</v>
      </c>
      <c r="D5041" s="113">
        <v>10348451</v>
      </c>
      <c r="E5041" s="115">
        <v>43949</v>
      </c>
      <c r="F5041" s="114">
        <v>202101</v>
      </c>
      <c r="G5041" s="112" t="s">
        <v>1091</v>
      </c>
      <c r="H5041" s="112" t="s">
        <v>1015</v>
      </c>
      <c r="I5041" s="112" t="s">
        <v>1096</v>
      </c>
      <c r="J5041" s="112" t="s">
        <v>3784</v>
      </c>
      <c r="K5041" s="112" t="s">
        <v>1098</v>
      </c>
      <c r="L5041" s="116">
        <v>112.66</v>
      </c>
    </row>
    <row r="5042" spans="1:12" hidden="1" outlineLevel="1" collapsed="1" x14ac:dyDescent="0.35">
      <c r="A5042" s="112" t="s">
        <v>3616</v>
      </c>
      <c r="B5042" s="112" t="s">
        <v>918</v>
      </c>
      <c r="C5042" s="112" t="s">
        <v>1095</v>
      </c>
      <c r="D5042" s="113">
        <v>10348451</v>
      </c>
      <c r="E5042" s="115">
        <v>43949</v>
      </c>
      <c r="F5042" s="114">
        <v>202101</v>
      </c>
      <c r="G5042" s="112" t="s">
        <v>1091</v>
      </c>
      <c r="H5042" s="112" t="s">
        <v>1015</v>
      </c>
      <c r="I5042" s="112" t="s">
        <v>1096</v>
      </c>
      <c r="J5042" s="112" t="s">
        <v>3695</v>
      </c>
      <c r="K5042" s="112" t="s">
        <v>1098</v>
      </c>
      <c r="L5042" s="116">
        <v>84.55</v>
      </c>
    </row>
    <row r="5043" spans="1:12" hidden="1" outlineLevel="1" collapsed="1" x14ac:dyDescent="0.35">
      <c r="A5043" s="112" t="s">
        <v>3616</v>
      </c>
      <c r="B5043" s="112" t="s">
        <v>918</v>
      </c>
      <c r="C5043" s="112" t="s">
        <v>1095</v>
      </c>
      <c r="D5043" s="113">
        <v>10348451</v>
      </c>
      <c r="E5043" s="115">
        <v>43949</v>
      </c>
      <c r="F5043" s="114">
        <v>202101</v>
      </c>
      <c r="G5043" s="112" t="s">
        <v>1091</v>
      </c>
      <c r="H5043" s="112" t="s">
        <v>1015</v>
      </c>
      <c r="I5043" s="112" t="s">
        <v>1096</v>
      </c>
      <c r="J5043" s="112" t="s">
        <v>3695</v>
      </c>
      <c r="K5043" s="112" t="s">
        <v>1098</v>
      </c>
      <c r="L5043" s="116">
        <v>343.36</v>
      </c>
    </row>
    <row r="5044" spans="1:12" hidden="1" outlineLevel="1" collapsed="1" x14ac:dyDescent="0.35">
      <c r="A5044" s="112" t="s">
        <v>3616</v>
      </c>
      <c r="B5044" s="112" t="s">
        <v>922</v>
      </c>
      <c r="C5044" s="112" t="s">
        <v>695</v>
      </c>
      <c r="D5044" s="113">
        <v>10348128</v>
      </c>
      <c r="E5044" s="115">
        <v>43929</v>
      </c>
      <c r="F5044" s="114">
        <v>202101</v>
      </c>
      <c r="G5044" s="112" t="s">
        <v>1091</v>
      </c>
      <c r="H5044" s="112" t="s">
        <v>1016</v>
      </c>
      <c r="I5044" s="112" t="s">
        <v>680</v>
      </c>
      <c r="J5044" s="112" t="s">
        <v>3766</v>
      </c>
      <c r="K5044" s="112" t="s">
        <v>4187</v>
      </c>
      <c r="L5044" s="116">
        <v>-36475</v>
      </c>
    </row>
    <row r="5045" spans="1:12" hidden="1" outlineLevel="1" collapsed="1" x14ac:dyDescent="0.35">
      <c r="A5045" s="112" t="s">
        <v>3616</v>
      </c>
      <c r="B5045" s="112" t="s">
        <v>922</v>
      </c>
      <c r="C5045" s="112" t="s">
        <v>695</v>
      </c>
      <c r="D5045" s="113">
        <v>10348128</v>
      </c>
      <c r="E5045" s="115">
        <v>43929</v>
      </c>
      <c r="F5045" s="114">
        <v>202101</v>
      </c>
      <c r="G5045" s="112" t="s">
        <v>1091</v>
      </c>
      <c r="H5045" s="112" t="s">
        <v>1016</v>
      </c>
      <c r="I5045" s="112" t="s">
        <v>680</v>
      </c>
      <c r="J5045" s="112" t="s">
        <v>3766</v>
      </c>
      <c r="K5045" s="112" t="s">
        <v>4188</v>
      </c>
      <c r="L5045" s="116">
        <v>-15843</v>
      </c>
    </row>
    <row r="5046" spans="1:12" hidden="1" outlineLevel="1" collapsed="1" x14ac:dyDescent="0.35">
      <c r="A5046" s="112" t="s">
        <v>3616</v>
      </c>
      <c r="B5046" s="112" t="s">
        <v>922</v>
      </c>
      <c r="C5046" s="112" t="s">
        <v>695</v>
      </c>
      <c r="D5046" s="113">
        <v>10348128</v>
      </c>
      <c r="E5046" s="115">
        <v>43929</v>
      </c>
      <c r="F5046" s="114">
        <v>202101</v>
      </c>
      <c r="G5046" s="112" t="s">
        <v>1091</v>
      </c>
      <c r="H5046" s="112" t="s">
        <v>1016</v>
      </c>
      <c r="I5046" s="112" t="s">
        <v>3858</v>
      </c>
      <c r="J5046" s="112" t="s">
        <v>3859</v>
      </c>
      <c r="K5046" s="112" t="s">
        <v>4189</v>
      </c>
      <c r="L5046" s="116">
        <v>4585.9399999999996</v>
      </c>
    </row>
    <row r="5047" spans="1:12" hidden="1" outlineLevel="1" collapsed="1" x14ac:dyDescent="0.35">
      <c r="A5047" s="112" t="s">
        <v>3616</v>
      </c>
      <c r="B5047" s="112" t="s">
        <v>922</v>
      </c>
      <c r="C5047" s="112" t="s">
        <v>695</v>
      </c>
      <c r="D5047" s="113">
        <v>10348128</v>
      </c>
      <c r="E5047" s="115">
        <v>43929</v>
      </c>
      <c r="F5047" s="114">
        <v>202101</v>
      </c>
      <c r="G5047" s="112" t="s">
        <v>1091</v>
      </c>
      <c r="H5047" s="112" t="s">
        <v>1016</v>
      </c>
      <c r="I5047" s="112" t="s">
        <v>3858</v>
      </c>
      <c r="J5047" s="112" t="s">
        <v>3859</v>
      </c>
      <c r="K5047" s="112" t="s">
        <v>4190</v>
      </c>
      <c r="L5047" s="116">
        <v>3402.47</v>
      </c>
    </row>
    <row r="5048" spans="1:12" hidden="1" outlineLevel="1" collapsed="1" x14ac:dyDescent="0.35">
      <c r="A5048" s="112" t="s">
        <v>3616</v>
      </c>
      <c r="B5048" s="112" t="s">
        <v>922</v>
      </c>
      <c r="C5048" s="112" t="s">
        <v>695</v>
      </c>
      <c r="D5048" s="113">
        <v>10348128</v>
      </c>
      <c r="E5048" s="115">
        <v>43929</v>
      </c>
      <c r="F5048" s="114">
        <v>202101</v>
      </c>
      <c r="G5048" s="112" t="s">
        <v>1091</v>
      </c>
      <c r="H5048" s="112" t="s">
        <v>1016</v>
      </c>
      <c r="I5048" s="112" t="s">
        <v>1131</v>
      </c>
      <c r="J5048" s="112" t="s">
        <v>3861</v>
      </c>
      <c r="K5048" s="112" t="s">
        <v>4191</v>
      </c>
      <c r="L5048" s="116">
        <v>9795.27</v>
      </c>
    </row>
    <row r="5049" spans="1:12" hidden="1" outlineLevel="1" collapsed="1" x14ac:dyDescent="0.35">
      <c r="A5049" s="112" t="s">
        <v>3616</v>
      </c>
      <c r="B5049" s="112" t="s">
        <v>922</v>
      </c>
      <c r="C5049" s="112" t="s">
        <v>695</v>
      </c>
      <c r="D5049" s="113">
        <v>10348128</v>
      </c>
      <c r="E5049" s="115">
        <v>43929</v>
      </c>
      <c r="F5049" s="114">
        <v>202101</v>
      </c>
      <c r="G5049" s="112" t="s">
        <v>1091</v>
      </c>
      <c r="H5049" s="112" t="s">
        <v>1016</v>
      </c>
      <c r="I5049" s="112" t="s">
        <v>1131</v>
      </c>
      <c r="J5049" s="112" t="s">
        <v>4192</v>
      </c>
      <c r="K5049" s="112" t="s">
        <v>4193</v>
      </c>
      <c r="L5049" s="116">
        <v>-27457.98</v>
      </c>
    </row>
    <row r="5050" spans="1:12" hidden="1" outlineLevel="1" collapsed="1" x14ac:dyDescent="0.35">
      <c r="A5050" s="112" t="s">
        <v>3616</v>
      </c>
      <c r="B5050" s="112" t="s">
        <v>922</v>
      </c>
      <c r="C5050" s="112" t="s">
        <v>695</v>
      </c>
      <c r="D5050" s="113">
        <v>10348128</v>
      </c>
      <c r="E5050" s="115">
        <v>43929</v>
      </c>
      <c r="F5050" s="114">
        <v>202101</v>
      </c>
      <c r="G5050" s="112" t="s">
        <v>1091</v>
      </c>
      <c r="H5050" s="112" t="s">
        <v>1016</v>
      </c>
      <c r="I5050" s="112" t="s">
        <v>680</v>
      </c>
      <c r="J5050" s="112" t="s">
        <v>3691</v>
      </c>
      <c r="K5050" s="112" t="s">
        <v>4194</v>
      </c>
      <c r="L5050" s="116">
        <v>-49646.41</v>
      </c>
    </row>
    <row r="5051" spans="1:12" hidden="1" outlineLevel="1" collapsed="1" x14ac:dyDescent="0.35">
      <c r="A5051" s="112" t="s">
        <v>3616</v>
      </c>
      <c r="B5051" s="112" t="s">
        <v>922</v>
      </c>
      <c r="C5051" s="112" t="s">
        <v>695</v>
      </c>
      <c r="D5051" s="113">
        <v>10348128</v>
      </c>
      <c r="E5051" s="115">
        <v>43929</v>
      </c>
      <c r="F5051" s="114">
        <v>202101</v>
      </c>
      <c r="G5051" s="112" t="s">
        <v>1091</v>
      </c>
      <c r="H5051" s="112" t="s">
        <v>1016</v>
      </c>
      <c r="I5051" s="112" t="s">
        <v>1291</v>
      </c>
      <c r="J5051" s="112" t="s">
        <v>3861</v>
      </c>
      <c r="K5051" s="112" t="s">
        <v>4195</v>
      </c>
      <c r="L5051" s="116">
        <v>-630</v>
      </c>
    </row>
    <row r="5052" spans="1:12" hidden="1" outlineLevel="1" collapsed="1" x14ac:dyDescent="0.35">
      <c r="A5052" s="112" t="s">
        <v>3616</v>
      </c>
      <c r="B5052" s="112" t="s">
        <v>922</v>
      </c>
      <c r="C5052" s="112" t="s">
        <v>695</v>
      </c>
      <c r="D5052" s="113">
        <v>10348128</v>
      </c>
      <c r="E5052" s="115">
        <v>43929</v>
      </c>
      <c r="F5052" s="114">
        <v>202101</v>
      </c>
      <c r="G5052" s="112" t="s">
        <v>1091</v>
      </c>
      <c r="H5052" s="112" t="s">
        <v>1016</v>
      </c>
      <c r="I5052" s="112" t="s">
        <v>1746</v>
      </c>
      <c r="J5052" s="112" t="s">
        <v>4196</v>
      </c>
      <c r="K5052" s="112" t="s">
        <v>4197</v>
      </c>
      <c r="L5052" s="116">
        <v>-5844.5</v>
      </c>
    </row>
    <row r="5053" spans="1:12" hidden="1" outlineLevel="1" collapsed="1" x14ac:dyDescent="0.35">
      <c r="A5053" s="112" t="s">
        <v>3616</v>
      </c>
      <c r="B5053" s="112" t="s">
        <v>922</v>
      </c>
      <c r="C5053" s="112" t="s">
        <v>695</v>
      </c>
      <c r="D5053" s="113">
        <v>10348128</v>
      </c>
      <c r="E5053" s="115">
        <v>43929</v>
      </c>
      <c r="F5053" s="114">
        <v>202101</v>
      </c>
      <c r="G5053" s="112" t="s">
        <v>1091</v>
      </c>
      <c r="H5053" s="112" t="s">
        <v>1016</v>
      </c>
      <c r="I5053" s="112" t="s">
        <v>1131</v>
      </c>
      <c r="J5053" s="112" t="s">
        <v>3954</v>
      </c>
      <c r="K5053" s="112" t="s">
        <v>4198</v>
      </c>
      <c r="L5053" s="116">
        <v>4600</v>
      </c>
    </row>
    <row r="5054" spans="1:12" hidden="1" outlineLevel="1" collapsed="1" x14ac:dyDescent="0.35">
      <c r="A5054" s="112" t="s">
        <v>3616</v>
      </c>
      <c r="B5054" s="112" t="s">
        <v>917</v>
      </c>
      <c r="C5054" s="112" t="s">
        <v>695</v>
      </c>
      <c r="D5054" s="113">
        <v>10348134</v>
      </c>
      <c r="E5054" s="115">
        <v>43929</v>
      </c>
      <c r="F5054" s="114">
        <v>202101</v>
      </c>
      <c r="G5054" s="112" t="s">
        <v>1091</v>
      </c>
      <c r="H5054" s="112" t="s">
        <v>1016</v>
      </c>
      <c r="I5054" s="112" t="s">
        <v>1131</v>
      </c>
      <c r="J5054" s="112" t="s">
        <v>3781</v>
      </c>
      <c r="K5054" s="112" t="s">
        <v>4199</v>
      </c>
      <c r="L5054" s="116">
        <v>6000</v>
      </c>
    </row>
    <row r="5055" spans="1:12" hidden="1" outlineLevel="1" collapsed="1" x14ac:dyDescent="0.35">
      <c r="A5055" s="112" t="s">
        <v>3616</v>
      </c>
      <c r="B5055" s="112" t="s">
        <v>918</v>
      </c>
      <c r="C5055" s="112" t="s">
        <v>1095</v>
      </c>
      <c r="D5055" s="113">
        <v>10348451</v>
      </c>
      <c r="E5055" s="115">
        <v>43949</v>
      </c>
      <c r="F5055" s="114">
        <v>202101</v>
      </c>
      <c r="G5055" s="112" t="s">
        <v>1091</v>
      </c>
      <c r="H5055" s="112" t="s">
        <v>1015</v>
      </c>
      <c r="I5055" s="112" t="s">
        <v>1096</v>
      </c>
      <c r="J5055" s="112" t="s">
        <v>3695</v>
      </c>
      <c r="K5055" s="112" t="s">
        <v>1098</v>
      </c>
      <c r="L5055" s="116">
        <v>28.71</v>
      </c>
    </row>
    <row r="5056" spans="1:12" hidden="1" outlineLevel="1" collapsed="1" x14ac:dyDescent="0.35">
      <c r="A5056" s="112" t="s">
        <v>3616</v>
      </c>
      <c r="B5056" s="112" t="s">
        <v>917</v>
      </c>
      <c r="C5056" s="112" t="s">
        <v>1095</v>
      </c>
      <c r="D5056" s="113">
        <v>10348451</v>
      </c>
      <c r="E5056" s="115">
        <v>43949</v>
      </c>
      <c r="F5056" s="114">
        <v>202101</v>
      </c>
      <c r="G5056" s="112" t="s">
        <v>1091</v>
      </c>
      <c r="H5056" s="112" t="s">
        <v>1015</v>
      </c>
      <c r="I5056" s="112" t="s">
        <v>1096</v>
      </c>
      <c r="J5056" s="112" t="s">
        <v>3897</v>
      </c>
      <c r="K5056" s="112" t="s">
        <v>1098</v>
      </c>
      <c r="L5056" s="116">
        <v>21.8</v>
      </c>
    </row>
    <row r="5057" spans="1:12" hidden="1" outlineLevel="1" collapsed="1" x14ac:dyDescent="0.35">
      <c r="A5057" s="112" t="s">
        <v>3616</v>
      </c>
      <c r="B5057" s="112" t="s">
        <v>918</v>
      </c>
      <c r="C5057" s="112" t="s">
        <v>1095</v>
      </c>
      <c r="D5057" s="113">
        <v>10348451</v>
      </c>
      <c r="E5057" s="115">
        <v>43949</v>
      </c>
      <c r="F5057" s="114">
        <v>202101</v>
      </c>
      <c r="G5057" s="112" t="s">
        <v>1091</v>
      </c>
      <c r="H5057" s="112" t="s">
        <v>1015</v>
      </c>
      <c r="I5057" s="112" t="s">
        <v>1096</v>
      </c>
      <c r="J5057" s="112" t="s">
        <v>3695</v>
      </c>
      <c r="K5057" s="112" t="s">
        <v>1098</v>
      </c>
      <c r="L5057" s="116">
        <v>262.57</v>
      </c>
    </row>
    <row r="5058" spans="1:12" hidden="1" outlineLevel="1" collapsed="1" x14ac:dyDescent="0.35">
      <c r="A5058" s="112" t="s">
        <v>3616</v>
      </c>
      <c r="B5058" s="112" t="s">
        <v>918</v>
      </c>
      <c r="C5058" s="112" t="s">
        <v>1095</v>
      </c>
      <c r="D5058" s="113">
        <v>10348451</v>
      </c>
      <c r="E5058" s="115">
        <v>43949</v>
      </c>
      <c r="F5058" s="114">
        <v>202101</v>
      </c>
      <c r="G5058" s="112" t="s">
        <v>1091</v>
      </c>
      <c r="H5058" s="112" t="s">
        <v>1015</v>
      </c>
      <c r="I5058" s="112" t="s">
        <v>1096</v>
      </c>
      <c r="J5058" s="112" t="s">
        <v>3695</v>
      </c>
      <c r="K5058" s="112" t="s">
        <v>1098</v>
      </c>
      <c r="L5058" s="116">
        <v>241.66</v>
      </c>
    </row>
    <row r="5059" spans="1:12" hidden="1" outlineLevel="1" collapsed="1" x14ac:dyDescent="0.35">
      <c r="A5059" s="112" t="s">
        <v>3616</v>
      </c>
      <c r="B5059" s="112" t="s">
        <v>922</v>
      </c>
      <c r="C5059" s="112" t="s">
        <v>1095</v>
      </c>
      <c r="D5059" s="113">
        <v>10348451</v>
      </c>
      <c r="E5059" s="115">
        <v>43949</v>
      </c>
      <c r="F5059" s="114">
        <v>202101</v>
      </c>
      <c r="G5059" s="112" t="s">
        <v>1091</v>
      </c>
      <c r="H5059" s="112" t="s">
        <v>1015</v>
      </c>
      <c r="I5059" s="112" t="s">
        <v>1096</v>
      </c>
      <c r="J5059" s="112" t="s">
        <v>3805</v>
      </c>
      <c r="K5059" s="112" t="s">
        <v>1098</v>
      </c>
      <c r="L5059" s="116">
        <v>78.17</v>
      </c>
    </row>
    <row r="5060" spans="1:12" hidden="1" outlineLevel="1" collapsed="1" x14ac:dyDescent="0.35">
      <c r="A5060" s="112" t="s">
        <v>3616</v>
      </c>
      <c r="B5060" s="112" t="s">
        <v>922</v>
      </c>
      <c r="C5060" s="112" t="s">
        <v>1095</v>
      </c>
      <c r="D5060" s="113">
        <v>10348451</v>
      </c>
      <c r="E5060" s="115">
        <v>43949</v>
      </c>
      <c r="F5060" s="114">
        <v>202101</v>
      </c>
      <c r="G5060" s="112" t="s">
        <v>1091</v>
      </c>
      <c r="H5060" s="112" t="s">
        <v>1015</v>
      </c>
      <c r="I5060" s="112" t="s">
        <v>1096</v>
      </c>
      <c r="J5060" s="112" t="s">
        <v>3766</v>
      </c>
      <c r="K5060" s="112" t="s">
        <v>1098</v>
      </c>
      <c r="L5060" s="116">
        <v>286.42</v>
      </c>
    </row>
    <row r="5061" spans="1:12" hidden="1" outlineLevel="1" collapsed="1" x14ac:dyDescent="0.35">
      <c r="A5061" s="112" t="s">
        <v>3616</v>
      </c>
      <c r="B5061" s="112" t="s">
        <v>922</v>
      </c>
      <c r="C5061" s="112" t="s">
        <v>1095</v>
      </c>
      <c r="D5061" s="113">
        <v>10348451</v>
      </c>
      <c r="E5061" s="115">
        <v>43949</v>
      </c>
      <c r="F5061" s="114">
        <v>202101</v>
      </c>
      <c r="G5061" s="112" t="s">
        <v>1091</v>
      </c>
      <c r="H5061" s="112" t="s">
        <v>1015</v>
      </c>
      <c r="I5061" s="112" t="s">
        <v>1096</v>
      </c>
      <c r="J5061" s="112" t="s">
        <v>3691</v>
      </c>
      <c r="K5061" s="112" t="s">
        <v>1098</v>
      </c>
      <c r="L5061" s="116">
        <v>411.93</v>
      </c>
    </row>
    <row r="5062" spans="1:12" hidden="1" outlineLevel="1" collapsed="1" x14ac:dyDescent="0.35">
      <c r="A5062" s="112" t="s">
        <v>3616</v>
      </c>
      <c r="B5062" s="112" t="s">
        <v>917</v>
      </c>
      <c r="C5062" s="112" t="s">
        <v>695</v>
      </c>
      <c r="D5062" s="113">
        <v>10348134</v>
      </c>
      <c r="E5062" s="115">
        <v>43929</v>
      </c>
      <c r="F5062" s="114">
        <v>202101</v>
      </c>
      <c r="G5062" s="112" t="s">
        <v>1091</v>
      </c>
      <c r="H5062" s="112" t="s">
        <v>1016</v>
      </c>
      <c r="I5062" s="112" t="s">
        <v>1131</v>
      </c>
      <c r="J5062" s="112" t="s">
        <v>3897</v>
      </c>
      <c r="K5062" s="112" t="s">
        <v>4200</v>
      </c>
      <c r="L5062" s="116">
        <v>-2051.12</v>
      </c>
    </row>
    <row r="5063" spans="1:12" hidden="1" outlineLevel="1" collapsed="1" x14ac:dyDescent="0.35">
      <c r="A5063" s="112" t="s">
        <v>3616</v>
      </c>
      <c r="B5063" s="112" t="s">
        <v>921</v>
      </c>
      <c r="C5063" s="112" t="s">
        <v>1758</v>
      </c>
      <c r="D5063" s="113">
        <v>51366078</v>
      </c>
      <c r="E5063" s="115">
        <v>43930</v>
      </c>
      <c r="F5063" s="114">
        <v>202101</v>
      </c>
      <c r="G5063" s="112" t="s">
        <v>1091</v>
      </c>
      <c r="H5063" s="112" t="s">
        <v>1016</v>
      </c>
      <c r="I5063" s="112" t="s">
        <v>4103</v>
      </c>
      <c r="J5063" s="112" t="s">
        <v>3709</v>
      </c>
      <c r="K5063" s="112" t="s">
        <v>4201</v>
      </c>
      <c r="L5063" s="116">
        <v>150</v>
      </c>
    </row>
    <row r="5064" spans="1:12" hidden="1" outlineLevel="1" collapsed="1" x14ac:dyDescent="0.35">
      <c r="A5064" s="112" t="s">
        <v>3616</v>
      </c>
      <c r="B5064" s="112" t="s">
        <v>922</v>
      </c>
      <c r="C5064" s="112" t="s">
        <v>1095</v>
      </c>
      <c r="D5064" s="113">
        <v>10348451</v>
      </c>
      <c r="E5064" s="115">
        <v>43949</v>
      </c>
      <c r="F5064" s="114">
        <v>202101</v>
      </c>
      <c r="G5064" s="112" t="s">
        <v>1091</v>
      </c>
      <c r="H5064" s="112" t="s">
        <v>1015</v>
      </c>
      <c r="I5064" s="112" t="s">
        <v>1096</v>
      </c>
      <c r="J5064" s="112" t="s">
        <v>3954</v>
      </c>
      <c r="K5064" s="112" t="s">
        <v>1098</v>
      </c>
      <c r="L5064" s="116">
        <v>78.16</v>
      </c>
    </row>
    <row r="5065" spans="1:12" hidden="1" outlineLevel="1" collapsed="1" x14ac:dyDescent="0.35">
      <c r="A5065" s="112" t="s">
        <v>3616</v>
      </c>
      <c r="B5065" s="112" t="s">
        <v>922</v>
      </c>
      <c r="C5065" s="112" t="s">
        <v>1095</v>
      </c>
      <c r="D5065" s="113">
        <v>10348451</v>
      </c>
      <c r="E5065" s="115">
        <v>43949</v>
      </c>
      <c r="F5065" s="114">
        <v>202101</v>
      </c>
      <c r="G5065" s="112" t="s">
        <v>1091</v>
      </c>
      <c r="H5065" s="112" t="s">
        <v>1015</v>
      </c>
      <c r="I5065" s="112" t="s">
        <v>1096</v>
      </c>
      <c r="J5065" s="112" t="s">
        <v>3794</v>
      </c>
      <c r="K5065" s="112" t="s">
        <v>1098</v>
      </c>
      <c r="L5065" s="116">
        <v>310.49</v>
      </c>
    </row>
    <row r="5066" spans="1:12" hidden="1" outlineLevel="1" collapsed="1" x14ac:dyDescent="0.35">
      <c r="A5066" s="112" t="s">
        <v>3616</v>
      </c>
      <c r="B5066" s="112" t="s">
        <v>921</v>
      </c>
      <c r="C5066" s="112" t="s">
        <v>1758</v>
      </c>
      <c r="D5066" s="113">
        <v>51366082</v>
      </c>
      <c r="E5066" s="115">
        <v>43930</v>
      </c>
      <c r="F5066" s="114">
        <v>202101</v>
      </c>
      <c r="G5066" s="112" t="s">
        <v>1091</v>
      </c>
      <c r="H5066" s="112" t="s">
        <v>1016</v>
      </c>
      <c r="I5066" s="112" t="s">
        <v>3846</v>
      </c>
      <c r="J5066" s="112" t="s">
        <v>3709</v>
      </c>
      <c r="K5066" s="112" t="s">
        <v>4202</v>
      </c>
      <c r="L5066" s="116">
        <v>1265</v>
      </c>
    </row>
    <row r="5067" spans="1:12" hidden="1" outlineLevel="1" collapsed="1" x14ac:dyDescent="0.35">
      <c r="A5067" s="112" t="s">
        <v>3616</v>
      </c>
      <c r="B5067" s="112" t="s">
        <v>919</v>
      </c>
      <c r="C5067" s="112" t="s">
        <v>1095</v>
      </c>
      <c r="D5067" s="113">
        <v>10348451</v>
      </c>
      <c r="E5067" s="115">
        <v>43949</v>
      </c>
      <c r="F5067" s="114">
        <v>202101</v>
      </c>
      <c r="G5067" s="112" t="s">
        <v>1091</v>
      </c>
      <c r="H5067" s="112" t="s">
        <v>1015</v>
      </c>
      <c r="I5067" s="112" t="s">
        <v>1096</v>
      </c>
      <c r="J5067" s="112" t="s">
        <v>3624</v>
      </c>
      <c r="K5067" s="112" t="s">
        <v>1098</v>
      </c>
      <c r="L5067" s="116">
        <v>10.74</v>
      </c>
    </row>
    <row r="5068" spans="1:12" hidden="1" outlineLevel="1" collapsed="1" x14ac:dyDescent="0.35">
      <c r="A5068" s="112" t="s">
        <v>3616</v>
      </c>
      <c r="B5068" s="112" t="s">
        <v>919</v>
      </c>
      <c r="C5068" s="112" t="s">
        <v>1095</v>
      </c>
      <c r="D5068" s="113">
        <v>10348451</v>
      </c>
      <c r="E5068" s="115">
        <v>43949</v>
      </c>
      <c r="F5068" s="114">
        <v>202101</v>
      </c>
      <c r="G5068" s="112" t="s">
        <v>1091</v>
      </c>
      <c r="H5068" s="112" t="s">
        <v>1015</v>
      </c>
      <c r="I5068" s="112" t="s">
        <v>1096</v>
      </c>
      <c r="J5068" s="112" t="s">
        <v>3624</v>
      </c>
      <c r="K5068" s="112" t="s">
        <v>1098</v>
      </c>
      <c r="L5068" s="116">
        <v>278.77999999999997</v>
      </c>
    </row>
    <row r="5069" spans="1:12" hidden="1" outlineLevel="1" collapsed="1" x14ac:dyDescent="0.35">
      <c r="A5069" s="112" t="s">
        <v>3616</v>
      </c>
      <c r="B5069" s="112" t="s">
        <v>919</v>
      </c>
      <c r="C5069" s="112" t="s">
        <v>1095</v>
      </c>
      <c r="D5069" s="113">
        <v>10348451</v>
      </c>
      <c r="E5069" s="115">
        <v>43949</v>
      </c>
      <c r="F5069" s="114">
        <v>202101</v>
      </c>
      <c r="G5069" s="112" t="s">
        <v>1091</v>
      </c>
      <c r="H5069" s="112" t="s">
        <v>1015</v>
      </c>
      <c r="I5069" s="112" t="s">
        <v>1096</v>
      </c>
      <c r="J5069" s="112" t="s">
        <v>3624</v>
      </c>
      <c r="K5069" s="112" t="s">
        <v>1098</v>
      </c>
      <c r="L5069" s="116">
        <v>277.35000000000002</v>
      </c>
    </row>
    <row r="5070" spans="1:12" hidden="1" outlineLevel="1" collapsed="1" x14ac:dyDescent="0.35">
      <c r="A5070" s="112" t="s">
        <v>3616</v>
      </c>
      <c r="B5070" s="112" t="s">
        <v>921</v>
      </c>
      <c r="C5070" s="112" t="s">
        <v>1758</v>
      </c>
      <c r="D5070" s="113">
        <v>51366083</v>
      </c>
      <c r="E5070" s="115">
        <v>43930</v>
      </c>
      <c r="F5070" s="114">
        <v>202101</v>
      </c>
      <c r="G5070" s="112" t="s">
        <v>1091</v>
      </c>
      <c r="H5070" s="112" t="s">
        <v>1016</v>
      </c>
      <c r="I5070" s="112" t="s">
        <v>3846</v>
      </c>
      <c r="J5070" s="112" t="s">
        <v>3709</v>
      </c>
      <c r="K5070" s="112" t="s">
        <v>4203</v>
      </c>
      <c r="L5070" s="116">
        <v>1495</v>
      </c>
    </row>
    <row r="5071" spans="1:12" hidden="1" outlineLevel="1" collapsed="1" x14ac:dyDescent="0.35">
      <c r="A5071" s="112" t="s">
        <v>3616</v>
      </c>
      <c r="B5071" s="112" t="s">
        <v>921</v>
      </c>
      <c r="C5071" s="112" t="s">
        <v>1758</v>
      </c>
      <c r="D5071" s="113">
        <v>51366084</v>
      </c>
      <c r="E5071" s="115">
        <v>43930</v>
      </c>
      <c r="F5071" s="114">
        <v>202101</v>
      </c>
      <c r="G5071" s="112" t="s">
        <v>1091</v>
      </c>
      <c r="H5071" s="112" t="s">
        <v>1016</v>
      </c>
      <c r="I5071" s="112" t="s">
        <v>3846</v>
      </c>
      <c r="J5071" s="112" t="s">
        <v>3709</v>
      </c>
      <c r="K5071" s="112" t="s">
        <v>4204</v>
      </c>
      <c r="L5071" s="116">
        <v>1000</v>
      </c>
    </row>
    <row r="5072" spans="1:12" hidden="1" outlineLevel="1" collapsed="1" x14ac:dyDescent="0.35">
      <c r="A5072" s="112" t="s">
        <v>3616</v>
      </c>
      <c r="B5072" s="112" t="s">
        <v>919</v>
      </c>
      <c r="C5072" s="112" t="s">
        <v>1758</v>
      </c>
      <c r="D5072" s="113">
        <v>51366085</v>
      </c>
      <c r="E5072" s="115">
        <v>43930</v>
      </c>
      <c r="F5072" s="114">
        <v>202101</v>
      </c>
      <c r="G5072" s="112" t="s">
        <v>1091</v>
      </c>
      <c r="H5072" s="112" t="s">
        <v>1016</v>
      </c>
      <c r="I5072" s="112" t="s">
        <v>823</v>
      </c>
      <c r="J5072" s="112" t="s">
        <v>3617</v>
      </c>
      <c r="K5072" s="112" t="s">
        <v>4205</v>
      </c>
      <c r="L5072" s="116">
        <v>430.95</v>
      </c>
    </row>
    <row r="5073" spans="1:12" hidden="1" outlineLevel="1" collapsed="1" x14ac:dyDescent="0.35">
      <c r="A5073" s="112" t="s">
        <v>3616</v>
      </c>
      <c r="B5073" s="112" t="s">
        <v>921</v>
      </c>
      <c r="C5073" s="112" t="s">
        <v>695</v>
      </c>
      <c r="D5073" s="113">
        <v>10348038</v>
      </c>
      <c r="E5073" s="115">
        <v>43928</v>
      </c>
      <c r="F5073" s="114">
        <v>202101</v>
      </c>
      <c r="G5073" s="112" t="s">
        <v>1091</v>
      </c>
      <c r="H5073" s="112" t="s">
        <v>1016</v>
      </c>
      <c r="I5073" s="112" t="s">
        <v>3899</v>
      </c>
      <c r="J5073" s="112" t="s">
        <v>3709</v>
      </c>
      <c r="K5073" s="112" t="s">
        <v>4206</v>
      </c>
      <c r="L5073" s="116">
        <v>-137.5</v>
      </c>
    </row>
    <row r="5074" spans="1:12" hidden="1" outlineLevel="1" collapsed="1" x14ac:dyDescent="0.35">
      <c r="A5074" s="112" t="s">
        <v>3616</v>
      </c>
      <c r="B5074" s="112" t="s">
        <v>921</v>
      </c>
      <c r="C5074" s="112" t="s">
        <v>695</v>
      </c>
      <c r="D5074" s="113">
        <v>10348038</v>
      </c>
      <c r="E5074" s="115">
        <v>43928</v>
      </c>
      <c r="F5074" s="114">
        <v>202101</v>
      </c>
      <c r="G5074" s="112" t="s">
        <v>1091</v>
      </c>
      <c r="H5074" s="112" t="s">
        <v>1016</v>
      </c>
      <c r="I5074" s="112" t="s">
        <v>3899</v>
      </c>
      <c r="J5074" s="112" t="s">
        <v>3709</v>
      </c>
      <c r="K5074" s="112" t="s">
        <v>4207</v>
      </c>
      <c r="L5074" s="116">
        <v>-262.5</v>
      </c>
    </row>
    <row r="5075" spans="1:12" hidden="1" outlineLevel="1" collapsed="1" x14ac:dyDescent="0.35">
      <c r="A5075" s="112" t="s">
        <v>3616</v>
      </c>
      <c r="B5075" s="112" t="s">
        <v>921</v>
      </c>
      <c r="C5075" s="112" t="s">
        <v>695</v>
      </c>
      <c r="D5075" s="113">
        <v>10348038</v>
      </c>
      <c r="E5075" s="115">
        <v>43928</v>
      </c>
      <c r="F5075" s="114">
        <v>202101</v>
      </c>
      <c r="G5075" s="112" t="s">
        <v>1091</v>
      </c>
      <c r="H5075" s="112" t="s">
        <v>1016</v>
      </c>
      <c r="I5075" s="112" t="s">
        <v>3899</v>
      </c>
      <c r="J5075" s="112" t="s">
        <v>3709</v>
      </c>
      <c r="K5075" s="112" t="s">
        <v>4208</v>
      </c>
      <c r="L5075" s="116">
        <v>-262.5</v>
      </c>
    </row>
    <row r="5076" spans="1:12" hidden="1" outlineLevel="1" collapsed="1" x14ac:dyDescent="0.35">
      <c r="A5076" s="112" t="s">
        <v>3616</v>
      </c>
      <c r="B5076" s="112" t="s">
        <v>919</v>
      </c>
      <c r="C5076" s="112" t="s">
        <v>1758</v>
      </c>
      <c r="D5076" s="113">
        <v>51366086</v>
      </c>
      <c r="E5076" s="115">
        <v>43930</v>
      </c>
      <c r="F5076" s="114">
        <v>202101</v>
      </c>
      <c r="G5076" s="112" t="s">
        <v>1091</v>
      </c>
      <c r="H5076" s="112" t="s">
        <v>1016</v>
      </c>
      <c r="I5076" s="112" t="s">
        <v>823</v>
      </c>
      <c r="J5076" s="112" t="s">
        <v>3617</v>
      </c>
      <c r="K5076" s="112" t="s">
        <v>4205</v>
      </c>
      <c r="L5076" s="116">
        <v>33.15</v>
      </c>
    </row>
    <row r="5077" spans="1:12" hidden="1" outlineLevel="1" collapsed="1" x14ac:dyDescent="0.35">
      <c r="A5077" s="112" t="s">
        <v>3616</v>
      </c>
      <c r="B5077" s="112" t="s">
        <v>921</v>
      </c>
      <c r="C5077" s="112" t="s">
        <v>695</v>
      </c>
      <c r="D5077" s="113">
        <v>10348038</v>
      </c>
      <c r="E5077" s="115">
        <v>43928</v>
      </c>
      <c r="F5077" s="114">
        <v>202101</v>
      </c>
      <c r="G5077" s="112" t="s">
        <v>1091</v>
      </c>
      <c r="H5077" s="112" t="s">
        <v>1016</v>
      </c>
      <c r="I5077" s="112" t="s">
        <v>3899</v>
      </c>
      <c r="J5077" s="112" t="s">
        <v>3709</v>
      </c>
      <c r="K5077" s="112" t="s">
        <v>4209</v>
      </c>
      <c r="L5077" s="116">
        <v>-262.5</v>
      </c>
    </row>
    <row r="5078" spans="1:12" hidden="1" outlineLevel="1" collapsed="1" x14ac:dyDescent="0.35">
      <c r="A5078" s="112" t="s">
        <v>3616</v>
      </c>
      <c r="B5078" s="112" t="s">
        <v>919</v>
      </c>
      <c r="C5078" s="112" t="s">
        <v>1095</v>
      </c>
      <c r="D5078" s="113">
        <v>10348451</v>
      </c>
      <c r="E5078" s="115">
        <v>43949</v>
      </c>
      <c r="F5078" s="114">
        <v>202101</v>
      </c>
      <c r="G5078" s="112" t="s">
        <v>1091</v>
      </c>
      <c r="H5078" s="112" t="s">
        <v>1015</v>
      </c>
      <c r="I5078" s="112" t="s">
        <v>1096</v>
      </c>
      <c r="J5078" s="112" t="s">
        <v>3624</v>
      </c>
      <c r="K5078" s="112" t="s">
        <v>1098</v>
      </c>
      <c r="L5078" s="116">
        <v>262.10000000000002</v>
      </c>
    </row>
    <row r="5079" spans="1:12" hidden="1" outlineLevel="1" collapsed="1" x14ac:dyDescent="0.35">
      <c r="A5079" s="112" t="s">
        <v>3616</v>
      </c>
      <c r="B5079" s="112" t="s">
        <v>919</v>
      </c>
      <c r="C5079" s="112" t="s">
        <v>1095</v>
      </c>
      <c r="D5079" s="113">
        <v>10348451</v>
      </c>
      <c r="E5079" s="115">
        <v>43949</v>
      </c>
      <c r="F5079" s="114">
        <v>202101</v>
      </c>
      <c r="G5079" s="112" t="s">
        <v>1091</v>
      </c>
      <c r="H5079" s="112" t="s">
        <v>1015</v>
      </c>
      <c r="I5079" s="112" t="s">
        <v>1096</v>
      </c>
      <c r="J5079" s="112" t="s">
        <v>3624</v>
      </c>
      <c r="K5079" s="112" t="s">
        <v>1098</v>
      </c>
      <c r="L5079" s="116">
        <v>189.14</v>
      </c>
    </row>
    <row r="5080" spans="1:12" hidden="1" outlineLevel="1" collapsed="1" x14ac:dyDescent="0.35">
      <c r="A5080" s="112" t="s">
        <v>3616</v>
      </c>
      <c r="B5080" s="112" t="s">
        <v>921</v>
      </c>
      <c r="C5080" s="112" t="s">
        <v>695</v>
      </c>
      <c r="D5080" s="113">
        <v>10348038</v>
      </c>
      <c r="E5080" s="115">
        <v>43928</v>
      </c>
      <c r="F5080" s="114">
        <v>202101</v>
      </c>
      <c r="G5080" s="112" t="s">
        <v>1091</v>
      </c>
      <c r="H5080" s="112" t="s">
        <v>1016</v>
      </c>
      <c r="I5080" s="112" t="s">
        <v>3899</v>
      </c>
      <c r="J5080" s="112" t="s">
        <v>3709</v>
      </c>
      <c r="K5080" s="112" t="s">
        <v>4210</v>
      </c>
      <c r="L5080" s="116">
        <v>-817.5</v>
      </c>
    </row>
    <row r="5081" spans="1:12" hidden="1" outlineLevel="1" collapsed="1" x14ac:dyDescent="0.35">
      <c r="A5081" s="112" t="s">
        <v>3616</v>
      </c>
      <c r="B5081" s="112" t="s">
        <v>919</v>
      </c>
      <c r="C5081" s="112" t="s">
        <v>1095</v>
      </c>
      <c r="D5081" s="113">
        <v>10348451</v>
      </c>
      <c r="E5081" s="115">
        <v>43949</v>
      </c>
      <c r="F5081" s="114">
        <v>202101</v>
      </c>
      <c r="G5081" s="112" t="s">
        <v>1091</v>
      </c>
      <c r="H5081" s="112" t="s">
        <v>1015</v>
      </c>
      <c r="I5081" s="112" t="s">
        <v>1096</v>
      </c>
      <c r="J5081" s="112" t="s">
        <v>3624</v>
      </c>
      <c r="K5081" s="112" t="s">
        <v>1098</v>
      </c>
      <c r="L5081" s="116">
        <v>138.55000000000001</v>
      </c>
    </row>
    <row r="5082" spans="1:12" hidden="1" outlineLevel="1" collapsed="1" x14ac:dyDescent="0.35">
      <c r="A5082" s="112" t="s">
        <v>3616</v>
      </c>
      <c r="B5082" s="112" t="s">
        <v>919</v>
      </c>
      <c r="C5082" s="112" t="s">
        <v>1095</v>
      </c>
      <c r="D5082" s="113">
        <v>10348451</v>
      </c>
      <c r="E5082" s="115">
        <v>43949</v>
      </c>
      <c r="F5082" s="114">
        <v>202101</v>
      </c>
      <c r="G5082" s="112" t="s">
        <v>1091</v>
      </c>
      <c r="H5082" s="112" t="s">
        <v>1015</v>
      </c>
      <c r="I5082" s="112" t="s">
        <v>1096</v>
      </c>
      <c r="J5082" s="112" t="s">
        <v>3624</v>
      </c>
      <c r="K5082" s="112" t="s">
        <v>1098</v>
      </c>
      <c r="L5082" s="116">
        <v>38.28</v>
      </c>
    </row>
    <row r="5083" spans="1:12" hidden="1" outlineLevel="1" collapsed="1" x14ac:dyDescent="0.35">
      <c r="A5083" s="112" t="s">
        <v>3616</v>
      </c>
      <c r="B5083" s="112" t="s">
        <v>917</v>
      </c>
      <c r="C5083" s="112" t="s">
        <v>1095</v>
      </c>
      <c r="D5083" s="113">
        <v>10348451</v>
      </c>
      <c r="E5083" s="115">
        <v>43949</v>
      </c>
      <c r="F5083" s="114">
        <v>202101</v>
      </c>
      <c r="G5083" s="112" t="s">
        <v>1091</v>
      </c>
      <c r="H5083" s="112" t="s">
        <v>1015</v>
      </c>
      <c r="I5083" s="112" t="s">
        <v>1096</v>
      </c>
      <c r="J5083" s="112" t="s">
        <v>3897</v>
      </c>
      <c r="K5083" s="112" t="s">
        <v>1098</v>
      </c>
      <c r="L5083" s="116">
        <v>262.10000000000002</v>
      </c>
    </row>
    <row r="5084" spans="1:12" hidden="1" outlineLevel="1" collapsed="1" x14ac:dyDescent="0.35">
      <c r="A5084" s="112" t="s">
        <v>3616</v>
      </c>
      <c r="B5084" s="112" t="s">
        <v>919</v>
      </c>
      <c r="C5084" s="112" t="s">
        <v>1518</v>
      </c>
      <c r="D5084" s="113">
        <v>51366296</v>
      </c>
      <c r="E5084" s="115">
        <v>43951</v>
      </c>
      <c r="F5084" s="114">
        <v>202101</v>
      </c>
      <c r="G5084" s="112" t="s">
        <v>1091</v>
      </c>
      <c r="H5084" s="112" t="s">
        <v>1016</v>
      </c>
      <c r="I5084" s="112" t="s">
        <v>4211</v>
      </c>
      <c r="J5084" s="112" t="s">
        <v>3624</v>
      </c>
      <c r="K5084" s="112" t="s">
        <v>4212</v>
      </c>
      <c r="L5084" s="116">
        <v>-12.5</v>
      </c>
    </row>
    <row r="5085" spans="1:12" hidden="1" outlineLevel="1" collapsed="1" x14ac:dyDescent="0.35">
      <c r="A5085" s="112" t="s">
        <v>3616</v>
      </c>
      <c r="B5085" s="112" t="s">
        <v>919</v>
      </c>
      <c r="C5085" s="112" t="s">
        <v>695</v>
      </c>
      <c r="D5085" s="113">
        <v>10348077</v>
      </c>
      <c r="E5085" s="115">
        <v>43929</v>
      </c>
      <c r="F5085" s="114">
        <v>202101</v>
      </c>
      <c r="G5085" s="112" t="s">
        <v>1091</v>
      </c>
      <c r="H5085" s="112" t="s">
        <v>1016</v>
      </c>
      <c r="I5085" s="112" t="s">
        <v>823</v>
      </c>
      <c r="J5085" s="112" t="s">
        <v>3617</v>
      </c>
      <c r="K5085" s="112" t="s">
        <v>4213</v>
      </c>
      <c r="L5085" s="116">
        <v>-1625</v>
      </c>
    </row>
    <row r="5086" spans="1:12" hidden="1" outlineLevel="1" collapsed="1" x14ac:dyDescent="0.35">
      <c r="A5086" s="112" t="s">
        <v>3616</v>
      </c>
      <c r="B5086" s="112" t="s">
        <v>921</v>
      </c>
      <c r="C5086" s="112" t="s">
        <v>695</v>
      </c>
      <c r="D5086" s="113">
        <v>10348038</v>
      </c>
      <c r="E5086" s="115">
        <v>43928</v>
      </c>
      <c r="F5086" s="114">
        <v>202101</v>
      </c>
      <c r="G5086" s="112" t="s">
        <v>1091</v>
      </c>
      <c r="H5086" s="112" t="s">
        <v>1016</v>
      </c>
      <c r="I5086" s="112" t="s">
        <v>3899</v>
      </c>
      <c r="J5086" s="112" t="s">
        <v>3709</v>
      </c>
      <c r="K5086" s="112" t="s">
        <v>4214</v>
      </c>
      <c r="L5086" s="116">
        <v>-137.5</v>
      </c>
    </row>
    <row r="5087" spans="1:12" hidden="1" outlineLevel="1" collapsed="1" x14ac:dyDescent="0.35">
      <c r="A5087" s="112" t="s">
        <v>3616</v>
      </c>
      <c r="B5087" s="112" t="s">
        <v>921</v>
      </c>
      <c r="C5087" s="112" t="s">
        <v>695</v>
      </c>
      <c r="D5087" s="113">
        <v>10348038</v>
      </c>
      <c r="E5087" s="115">
        <v>43928</v>
      </c>
      <c r="F5087" s="114">
        <v>202101</v>
      </c>
      <c r="G5087" s="112" t="s">
        <v>1091</v>
      </c>
      <c r="H5087" s="112" t="s">
        <v>1016</v>
      </c>
      <c r="I5087" s="112" t="s">
        <v>3846</v>
      </c>
      <c r="J5087" s="112" t="s">
        <v>3709</v>
      </c>
      <c r="K5087" s="112" t="s">
        <v>4215</v>
      </c>
      <c r="L5087" s="116">
        <v>-365</v>
      </c>
    </row>
    <row r="5088" spans="1:12" hidden="1" outlineLevel="1" collapsed="1" x14ac:dyDescent="0.35">
      <c r="A5088" s="112" t="s">
        <v>3616</v>
      </c>
      <c r="B5088" s="112" t="s">
        <v>919</v>
      </c>
      <c r="C5088" s="112" t="s">
        <v>1095</v>
      </c>
      <c r="D5088" s="113">
        <v>10348451</v>
      </c>
      <c r="E5088" s="115">
        <v>43949</v>
      </c>
      <c r="F5088" s="114">
        <v>202101</v>
      </c>
      <c r="G5088" s="112" t="s">
        <v>1091</v>
      </c>
      <c r="H5088" s="112" t="s">
        <v>1015</v>
      </c>
      <c r="I5088" s="112" t="s">
        <v>1096</v>
      </c>
      <c r="J5088" s="112" t="s">
        <v>3628</v>
      </c>
      <c r="K5088" s="112" t="s">
        <v>1098</v>
      </c>
      <c r="L5088" s="116">
        <v>198.97</v>
      </c>
    </row>
    <row r="5089" spans="1:12" hidden="1" outlineLevel="1" collapsed="1" x14ac:dyDescent="0.35">
      <c r="A5089" s="112" t="s">
        <v>3616</v>
      </c>
      <c r="B5089" s="112" t="s">
        <v>921</v>
      </c>
      <c r="C5089" s="112" t="s">
        <v>695</v>
      </c>
      <c r="D5089" s="113">
        <v>10348038</v>
      </c>
      <c r="E5089" s="115">
        <v>43928</v>
      </c>
      <c r="F5089" s="114">
        <v>202101</v>
      </c>
      <c r="G5089" s="112" t="s">
        <v>1091</v>
      </c>
      <c r="H5089" s="112" t="s">
        <v>1016</v>
      </c>
      <c r="I5089" s="112" t="s">
        <v>3846</v>
      </c>
      <c r="J5089" s="112" t="s">
        <v>3709</v>
      </c>
      <c r="K5089" s="112" t="s">
        <v>4216</v>
      </c>
      <c r="L5089" s="116">
        <v>-715</v>
      </c>
    </row>
    <row r="5090" spans="1:12" hidden="1" outlineLevel="1" collapsed="1" x14ac:dyDescent="0.35">
      <c r="A5090" s="112" t="s">
        <v>3616</v>
      </c>
      <c r="B5090" s="112" t="s">
        <v>921</v>
      </c>
      <c r="C5090" s="112" t="s">
        <v>695</v>
      </c>
      <c r="D5090" s="113">
        <v>10348038</v>
      </c>
      <c r="E5090" s="115">
        <v>43928</v>
      </c>
      <c r="F5090" s="114">
        <v>202101</v>
      </c>
      <c r="G5090" s="112" t="s">
        <v>1091</v>
      </c>
      <c r="H5090" s="112" t="s">
        <v>1016</v>
      </c>
      <c r="I5090" s="112" t="s">
        <v>3846</v>
      </c>
      <c r="J5090" s="112" t="s">
        <v>3709</v>
      </c>
      <c r="K5090" s="112" t="s">
        <v>4217</v>
      </c>
      <c r="L5090" s="116">
        <v>-150</v>
      </c>
    </row>
    <row r="5091" spans="1:12" hidden="1" outlineLevel="1" collapsed="1" x14ac:dyDescent="0.35">
      <c r="A5091" s="112" t="s">
        <v>3616</v>
      </c>
      <c r="B5091" s="112" t="s">
        <v>921</v>
      </c>
      <c r="C5091" s="112" t="s">
        <v>1095</v>
      </c>
      <c r="D5091" s="113">
        <v>10348451</v>
      </c>
      <c r="E5091" s="115">
        <v>43949</v>
      </c>
      <c r="F5091" s="114">
        <v>202101</v>
      </c>
      <c r="G5091" s="112" t="s">
        <v>1091</v>
      </c>
      <c r="H5091" s="112" t="s">
        <v>1015</v>
      </c>
      <c r="I5091" s="112" t="s">
        <v>1101</v>
      </c>
      <c r="J5091" s="112" t="s">
        <v>3620</v>
      </c>
      <c r="K5091" s="112" t="s">
        <v>1098</v>
      </c>
      <c r="L5091" s="116">
        <v>441.32</v>
      </c>
    </row>
    <row r="5092" spans="1:12" hidden="1" outlineLevel="1" collapsed="1" x14ac:dyDescent="0.35">
      <c r="A5092" s="112" t="s">
        <v>3616</v>
      </c>
      <c r="B5092" s="112" t="s">
        <v>921</v>
      </c>
      <c r="C5092" s="112" t="s">
        <v>695</v>
      </c>
      <c r="D5092" s="113">
        <v>10348038</v>
      </c>
      <c r="E5092" s="115">
        <v>43928</v>
      </c>
      <c r="F5092" s="114">
        <v>202101</v>
      </c>
      <c r="G5092" s="112" t="s">
        <v>1091</v>
      </c>
      <c r="H5092" s="112" t="s">
        <v>1016</v>
      </c>
      <c r="I5092" s="112" t="s">
        <v>3846</v>
      </c>
      <c r="J5092" s="112" t="s">
        <v>3709</v>
      </c>
      <c r="K5092" s="112" t="s">
        <v>4076</v>
      </c>
      <c r="L5092" s="116">
        <v>-300</v>
      </c>
    </row>
    <row r="5093" spans="1:12" hidden="1" outlineLevel="1" collapsed="1" x14ac:dyDescent="0.35">
      <c r="A5093" s="112" t="s">
        <v>3616</v>
      </c>
      <c r="B5093" s="112" t="s">
        <v>921</v>
      </c>
      <c r="C5093" s="112" t="s">
        <v>695</v>
      </c>
      <c r="D5093" s="113">
        <v>10348038</v>
      </c>
      <c r="E5093" s="115">
        <v>43928</v>
      </c>
      <c r="F5093" s="114">
        <v>202101</v>
      </c>
      <c r="G5093" s="112" t="s">
        <v>1091</v>
      </c>
      <c r="H5093" s="112" t="s">
        <v>1016</v>
      </c>
      <c r="I5093" s="112" t="s">
        <v>3846</v>
      </c>
      <c r="J5093" s="112" t="s">
        <v>3709</v>
      </c>
      <c r="K5093" s="112" t="s">
        <v>4218</v>
      </c>
      <c r="L5093" s="116">
        <v>-1319</v>
      </c>
    </row>
    <row r="5094" spans="1:12" hidden="1" outlineLevel="1" collapsed="1" x14ac:dyDescent="0.35">
      <c r="A5094" s="112" t="s">
        <v>3616</v>
      </c>
      <c r="B5094" s="112" t="s">
        <v>916</v>
      </c>
      <c r="C5094" s="112" t="s">
        <v>1095</v>
      </c>
      <c r="D5094" s="113">
        <v>10348451</v>
      </c>
      <c r="E5094" s="115">
        <v>43949</v>
      </c>
      <c r="F5094" s="114">
        <v>202101</v>
      </c>
      <c r="G5094" s="112" t="s">
        <v>1091</v>
      </c>
      <c r="H5094" s="112" t="s">
        <v>1015</v>
      </c>
      <c r="I5094" s="112" t="s">
        <v>1101</v>
      </c>
      <c r="J5094" s="112" t="s">
        <v>3771</v>
      </c>
      <c r="K5094" s="112" t="s">
        <v>1098</v>
      </c>
      <c r="L5094" s="116">
        <v>437.72</v>
      </c>
    </row>
    <row r="5095" spans="1:12" hidden="1" outlineLevel="1" collapsed="1" x14ac:dyDescent="0.35">
      <c r="A5095" s="112" t="s">
        <v>3616</v>
      </c>
      <c r="B5095" s="112" t="s">
        <v>921</v>
      </c>
      <c r="C5095" s="112" t="s">
        <v>695</v>
      </c>
      <c r="D5095" s="113">
        <v>10348038</v>
      </c>
      <c r="E5095" s="115">
        <v>43928</v>
      </c>
      <c r="F5095" s="114">
        <v>202101</v>
      </c>
      <c r="G5095" s="112" t="s">
        <v>1091</v>
      </c>
      <c r="H5095" s="112" t="s">
        <v>1016</v>
      </c>
      <c r="I5095" s="112" t="s">
        <v>3846</v>
      </c>
      <c r="J5095" s="112" t="s">
        <v>3709</v>
      </c>
      <c r="K5095" s="112" t="s">
        <v>4219</v>
      </c>
      <c r="L5095" s="116">
        <v>733.75</v>
      </c>
    </row>
    <row r="5096" spans="1:12" hidden="1" outlineLevel="1" collapsed="1" x14ac:dyDescent="0.35">
      <c r="A5096" s="112" t="s">
        <v>3616</v>
      </c>
      <c r="B5096" s="112" t="s">
        <v>921</v>
      </c>
      <c r="C5096" s="112" t="s">
        <v>695</v>
      </c>
      <c r="D5096" s="113">
        <v>10348038</v>
      </c>
      <c r="E5096" s="115">
        <v>43928</v>
      </c>
      <c r="F5096" s="114">
        <v>202101</v>
      </c>
      <c r="G5096" s="112" t="s">
        <v>1091</v>
      </c>
      <c r="H5096" s="112" t="s">
        <v>1016</v>
      </c>
      <c r="I5096" s="112" t="s">
        <v>3846</v>
      </c>
      <c r="J5096" s="112" t="s">
        <v>3709</v>
      </c>
      <c r="K5096" s="112" t="s">
        <v>4220</v>
      </c>
      <c r="L5096" s="116">
        <v>-2500</v>
      </c>
    </row>
    <row r="5097" spans="1:12" hidden="1" outlineLevel="1" collapsed="1" x14ac:dyDescent="0.35">
      <c r="A5097" s="112" t="s">
        <v>3616</v>
      </c>
      <c r="B5097" s="112" t="s">
        <v>921</v>
      </c>
      <c r="C5097" s="112" t="s">
        <v>695</v>
      </c>
      <c r="D5097" s="113">
        <v>10348038</v>
      </c>
      <c r="E5097" s="115">
        <v>43928</v>
      </c>
      <c r="F5097" s="114">
        <v>202101</v>
      </c>
      <c r="G5097" s="112" t="s">
        <v>1091</v>
      </c>
      <c r="H5097" s="112" t="s">
        <v>1016</v>
      </c>
      <c r="I5097" s="112" t="s">
        <v>3846</v>
      </c>
      <c r="J5097" s="112" t="s">
        <v>3709</v>
      </c>
      <c r="K5097" s="112" t="s">
        <v>4221</v>
      </c>
      <c r="L5097" s="116">
        <v>-1604</v>
      </c>
    </row>
    <row r="5098" spans="1:12" hidden="1" outlineLevel="1" collapsed="1" x14ac:dyDescent="0.35">
      <c r="A5098" s="112" t="s">
        <v>3616</v>
      </c>
      <c r="B5098" s="112" t="s">
        <v>921</v>
      </c>
      <c r="C5098" s="112" t="s">
        <v>695</v>
      </c>
      <c r="D5098" s="113">
        <v>10348038</v>
      </c>
      <c r="E5098" s="115">
        <v>43928</v>
      </c>
      <c r="F5098" s="114">
        <v>202101</v>
      </c>
      <c r="G5098" s="112" t="s">
        <v>1091</v>
      </c>
      <c r="H5098" s="112" t="s">
        <v>1016</v>
      </c>
      <c r="I5098" s="112" t="s">
        <v>3846</v>
      </c>
      <c r="J5098" s="112" t="s">
        <v>3709</v>
      </c>
      <c r="K5098" s="112" t="s">
        <v>4145</v>
      </c>
      <c r="L5098" s="116">
        <v>-597.6</v>
      </c>
    </row>
    <row r="5099" spans="1:12" hidden="1" outlineLevel="1" collapsed="1" x14ac:dyDescent="0.35">
      <c r="A5099" s="112" t="s">
        <v>3616</v>
      </c>
      <c r="B5099" s="112" t="s">
        <v>921</v>
      </c>
      <c r="C5099" s="112" t="s">
        <v>695</v>
      </c>
      <c r="D5099" s="113">
        <v>10348038</v>
      </c>
      <c r="E5099" s="115">
        <v>43928</v>
      </c>
      <c r="F5099" s="114">
        <v>202101</v>
      </c>
      <c r="G5099" s="112" t="s">
        <v>1091</v>
      </c>
      <c r="H5099" s="112" t="s">
        <v>1016</v>
      </c>
      <c r="I5099" s="112" t="s">
        <v>3846</v>
      </c>
      <c r="J5099" s="112" t="s">
        <v>3709</v>
      </c>
      <c r="K5099" s="112" t="s">
        <v>4222</v>
      </c>
      <c r="L5099" s="116">
        <v>-1000</v>
      </c>
    </row>
    <row r="5100" spans="1:12" hidden="1" outlineLevel="1" collapsed="1" x14ac:dyDescent="0.35">
      <c r="A5100" s="112" t="s">
        <v>3616</v>
      </c>
      <c r="B5100" s="112" t="s">
        <v>919</v>
      </c>
      <c r="C5100" s="112" t="s">
        <v>1095</v>
      </c>
      <c r="D5100" s="113">
        <v>10348451</v>
      </c>
      <c r="E5100" s="115">
        <v>43949</v>
      </c>
      <c r="F5100" s="114">
        <v>202101</v>
      </c>
      <c r="G5100" s="112" t="s">
        <v>1091</v>
      </c>
      <c r="H5100" s="112" t="s">
        <v>1015</v>
      </c>
      <c r="I5100" s="112" t="s">
        <v>1101</v>
      </c>
      <c r="J5100" s="112" t="s">
        <v>3617</v>
      </c>
      <c r="K5100" s="112" t="s">
        <v>1098</v>
      </c>
      <c r="L5100" s="116">
        <v>146.38999999999999</v>
      </c>
    </row>
    <row r="5101" spans="1:12" hidden="1" outlineLevel="1" collapsed="1" x14ac:dyDescent="0.35">
      <c r="A5101" s="112" t="s">
        <v>3616</v>
      </c>
      <c r="B5101" s="112" t="s">
        <v>921</v>
      </c>
      <c r="C5101" s="112" t="s">
        <v>1518</v>
      </c>
      <c r="D5101" s="113">
        <v>51366271</v>
      </c>
      <c r="E5101" s="115">
        <v>43948</v>
      </c>
      <c r="F5101" s="114">
        <v>202101</v>
      </c>
      <c r="G5101" s="112" t="s">
        <v>1091</v>
      </c>
      <c r="H5101" s="112" t="s">
        <v>1016</v>
      </c>
      <c r="I5101" s="112" t="s">
        <v>4103</v>
      </c>
      <c r="J5101" s="112" t="s">
        <v>3709</v>
      </c>
      <c r="K5101" s="112" t="s">
        <v>4223</v>
      </c>
      <c r="L5101" s="116">
        <v>-150</v>
      </c>
    </row>
    <row r="5102" spans="1:12" hidden="1" outlineLevel="1" collapsed="1" x14ac:dyDescent="0.35">
      <c r="A5102" s="112" t="s">
        <v>3616</v>
      </c>
      <c r="B5102" s="112" t="s">
        <v>922</v>
      </c>
      <c r="C5102" s="112" t="s">
        <v>1095</v>
      </c>
      <c r="D5102" s="113">
        <v>10348451</v>
      </c>
      <c r="E5102" s="115">
        <v>43949</v>
      </c>
      <c r="F5102" s="114">
        <v>202101</v>
      </c>
      <c r="G5102" s="112" t="s">
        <v>1091</v>
      </c>
      <c r="H5102" s="112" t="s">
        <v>1015</v>
      </c>
      <c r="I5102" s="112" t="s">
        <v>1128</v>
      </c>
      <c r="J5102" s="112" t="s">
        <v>3766</v>
      </c>
      <c r="K5102" s="112" t="s">
        <v>1098</v>
      </c>
      <c r="L5102" s="116">
        <v>243</v>
      </c>
    </row>
    <row r="5103" spans="1:12" hidden="1" outlineLevel="1" collapsed="1" x14ac:dyDescent="0.35">
      <c r="A5103" s="112" t="s">
        <v>3616</v>
      </c>
      <c r="B5103" s="112" t="s">
        <v>921</v>
      </c>
      <c r="C5103" s="112" t="s">
        <v>695</v>
      </c>
      <c r="D5103" s="113">
        <v>10348038</v>
      </c>
      <c r="E5103" s="115">
        <v>43928</v>
      </c>
      <c r="F5103" s="114">
        <v>202101</v>
      </c>
      <c r="G5103" s="112" t="s">
        <v>1091</v>
      </c>
      <c r="H5103" s="112" t="s">
        <v>1016</v>
      </c>
      <c r="I5103" s="112" t="s">
        <v>3846</v>
      </c>
      <c r="J5103" s="112" t="s">
        <v>3709</v>
      </c>
      <c r="K5103" s="112" t="s">
        <v>4122</v>
      </c>
      <c r="L5103" s="116">
        <v>2132.5</v>
      </c>
    </row>
    <row r="5104" spans="1:12" hidden="1" outlineLevel="1" collapsed="1" x14ac:dyDescent="0.35">
      <c r="A5104" s="112" t="s">
        <v>3616</v>
      </c>
      <c r="B5104" s="112" t="s">
        <v>921</v>
      </c>
      <c r="C5104" s="112" t="s">
        <v>695</v>
      </c>
      <c r="D5104" s="113">
        <v>10348038</v>
      </c>
      <c r="E5104" s="115">
        <v>43928</v>
      </c>
      <c r="F5104" s="114">
        <v>202101</v>
      </c>
      <c r="G5104" s="112" t="s">
        <v>1091</v>
      </c>
      <c r="H5104" s="112" t="s">
        <v>1016</v>
      </c>
      <c r="I5104" s="112" t="s">
        <v>3899</v>
      </c>
      <c r="J5104" s="112" t="s">
        <v>3709</v>
      </c>
      <c r="K5104" s="112" t="s">
        <v>4224</v>
      </c>
      <c r="L5104" s="116">
        <v>-137.5</v>
      </c>
    </row>
    <row r="5105" spans="1:12" hidden="1" outlineLevel="1" collapsed="1" x14ac:dyDescent="0.35">
      <c r="A5105" s="112" t="s">
        <v>3616</v>
      </c>
      <c r="B5105" s="112" t="s">
        <v>917</v>
      </c>
      <c r="C5105" s="112" t="s">
        <v>695</v>
      </c>
      <c r="D5105" s="113">
        <v>10348469</v>
      </c>
      <c r="E5105" s="115">
        <v>43948</v>
      </c>
      <c r="F5105" s="114">
        <v>202101</v>
      </c>
      <c r="G5105" s="112" t="s">
        <v>1091</v>
      </c>
      <c r="H5105" s="112" t="s">
        <v>1016</v>
      </c>
      <c r="I5105" s="112" t="s">
        <v>779</v>
      </c>
      <c r="J5105" s="112" t="s">
        <v>3781</v>
      </c>
      <c r="K5105" s="112" t="s">
        <v>4225</v>
      </c>
      <c r="L5105" s="116">
        <v>5000</v>
      </c>
    </row>
    <row r="5106" spans="1:12" hidden="1" outlineLevel="1" collapsed="1" x14ac:dyDescent="0.35">
      <c r="A5106" s="112" t="s">
        <v>3616</v>
      </c>
      <c r="B5106" s="112" t="s">
        <v>921</v>
      </c>
      <c r="C5106" s="112" t="s">
        <v>695</v>
      </c>
      <c r="D5106" s="113">
        <v>10348038</v>
      </c>
      <c r="E5106" s="115">
        <v>43928</v>
      </c>
      <c r="F5106" s="114">
        <v>202101</v>
      </c>
      <c r="G5106" s="112" t="s">
        <v>1091</v>
      </c>
      <c r="H5106" s="112" t="s">
        <v>1016</v>
      </c>
      <c r="I5106" s="112" t="s">
        <v>3899</v>
      </c>
      <c r="J5106" s="112" t="s">
        <v>3709</v>
      </c>
      <c r="K5106" s="112" t="s">
        <v>4226</v>
      </c>
      <c r="L5106" s="116">
        <v>-262.5</v>
      </c>
    </row>
    <row r="5107" spans="1:12" hidden="1" outlineLevel="1" collapsed="1" x14ac:dyDescent="0.35">
      <c r="A5107" s="112" t="s">
        <v>3616</v>
      </c>
      <c r="B5107" s="112" t="s">
        <v>916</v>
      </c>
      <c r="C5107" s="112" t="s">
        <v>1095</v>
      </c>
      <c r="D5107" s="113">
        <v>10348451</v>
      </c>
      <c r="E5107" s="115">
        <v>43949</v>
      </c>
      <c r="F5107" s="114">
        <v>202101</v>
      </c>
      <c r="G5107" s="112" t="s">
        <v>1091</v>
      </c>
      <c r="H5107" s="112" t="s">
        <v>1015</v>
      </c>
      <c r="I5107" s="112" t="s">
        <v>1101</v>
      </c>
      <c r="J5107" s="112" t="s">
        <v>3771</v>
      </c>
      <c r="K5107" s="112" t="s">
        <v>1098</v>
      </c>
      <c r="L5107" s="116">
        <v>549.4</v>
      </c>
    </row>
    <row r="5108" spans="1:12" hidden="1" outlineLevel="1" collapsed="1" x14ac:dyDescent="0.35">
      <c r="A5108" s="112" t="s">
        <v>3616</v>
      </c>
      <c r="B5108" s="112" t="s">
        <v>921</v>
      </c>
      <c r="C5108" s="112" t="s">
        <v>695</v>
      </c>
      <c r="D5108" s="113">
        <v>10348038</v>
      </c>
      <c r="E5108" s="115">
        <v>43928</v>
      </c>
      <c r="F5108" s="114">
        <v>202101</v>
      </c>
      <c r="G5108" s="112" t="s">
        <v>1091</v>
      </c>
      <c r="H5108" s="112" t="s">
        <v>1016</v>
      </c>
      <c r="I5108" s="112" t="s">
        <v>3899</v>
      </c>
      <c r="J5108" s="112" t="s">
        <v>3709</v>
      </c>
      <c r="K5108" s="112" t="s">
        <v>4227</v>
      </c>
      <c r="L5108" s="116">
        <v>-262.5</v>
      </c>
    </row>
    <row r="5109" spans="1:12" hidden="1" outlineLevel="1" collapsed="1" x14ac:dyDescent="0.35">
      <c r="A5109" s="112" t="s">
        <v>3616</v>
      </c>
      <c r="B5109" s="112" t="s">
        <v>921</v>
      </c>
      <c r="C5109" s="112" t="s">
        <v>695</v>
      </c>
      <c r="D5109" s="113">
        <v>10348038</v>
      </c>
      <c r="E5109" s="115">
        <v>43928</v>
      </c>
      <c r="F5109" s="114">
        <v>202101</v>
      </c>
      <c r="G5109" s="112" t="s">
        <v>1091</v>
      </c>
      <c r="H5109" s="112" t="s">
        <v>1016</v>
      </c>
      <c r="I5109" s="112" t="s">
        <v>3899</v>
      </c>
      <c r="J5109" s="112" t="s">
        <v>3709</v>
      </c>
      <c r="K5109" s="112" t="s">
        <v>4228</v>
      </c>
      <c r="L5109" s="116">
        <v>-262.5</v>
      </c>
    </row>
    <row r="5110" spans="1:12" hidden="1" outlineLevel="1" collapsed="1" x14ac:dyDescent="0.35">
      <c r="A5110" s="112" t="s">
        <v>3616</v>
      </c>
      <c r="B5110" s="112" t="s">
        <v>921</v>
      </c>
      <c r="C5110" s="112" t="s">
        <v>695</v>
      </c>
      <c r="D5110" s="113">
        <v>10348038</v>
      </c>
      <c r="E5110" s="115">
        <v>43928</v>
      </c>
      <c r="F5110" s="114">
        <v>202101</v>
      </c>
      <c r="G5110" s="112" t="s">
        <v>1091</v>
      </c>
      <c r="H5110" s="112" t="s">
        <v>1016</v>
      </c>
      <c r="I5110" s="112" t="s">
        <v>3899</v>
      </c>
      <c r="J5110" s="112" t="s">
        <v>3709</v>
      </c>
      <c r="K5110" s="112" t="s">
        <v>4229</v>
      </c>
      <c r="L5110" s="116">
        <v>-1510</v>
      </c>
    </row>
    <row r="5111" spans="1:12" hidden="1" outlineLevel="1" collapsed="1" x14ac:dyDescent="0.35">
      <c r="A5111" s="112" t="s">
        <v>3616</v>
      </c>
      <c r="B5111" s="112" t="s">
        <v>921</v>
      </c>
      <c r="C5111" s="112" t="s">
        <v>695</v>
      </c>
      <c r="D5111" s="113">
        <v>10348038</v>
      </c>
      <c r="E5111" s="115">
        <v>43928</v>
      </c>
      <c r="F5111" s="114">
        <v>202101</v>
      </c>
      <c r="G5111" s="112" t="s">
        <v>1091</v>
      </c>
      <c r="H5111" s="112" t="s">
        <v>1016</v>
      </c>
      <c r="I5111" s="112" t="s">
        <v>3899</v>
      </c>
      <c r="J5111" s="112" t="s">
        <v>3709</v>
      </c>
      <c r="K5111" s="112" t="s">
        <v>4230</v>
      </c>
      <c r="L5111" s="116">
        <v>-137.5</v>
      </c>
    </row>
    <row r="5112" spans="1:12" hidden="1" outlineLevel="1" collapsed="1" x14ac:dyDescent="0.35">
      <c r="A5112" s="112" t="s">
        <v>3616</v>
      </c>
      <c r="B5112" s="112" t="s">
        <v>921</v>
      </c>
      <c r="C5112" s="112" t="s">
        <v>695</v>
      </c>
      <c r="D5112" s="113">
        <v>10348038</v>
      </c>
      <c r="E5112" s="115">
        <v>43928</v>
      </c>
      <c r="F5112" s="114">
        <v>202101</v>
      </c>
      <c r="G5112" s="112" t="s">
        <v>1091</v>
      </c>
      <c r="H5112" s="112" t="s">
        <v>1016</v>
      </c>
      <c r="I5112" s="112" t="s">
        <v>3846</v>
      </c>
      <c r="J5112" s="112" t="s">
        <v>3709</v>
      </c>
      <c r="K5112" s="112" t="s">
        <v>4231</v>
      </c>
      <c r="L5112" s="116">
        <v>-1170</v>
      </c>
    </row>
    <row r="5113" spans="1:12" hidden="1" outlineLevel="1" collapsed="1" x14ac:dyDescent="0.35">
      <c r="A5113" s="112" t="s">
        <v>3616</v>
      </c>
      <c r="B5113" s="112" t="s">
        <v>921</v>
      </c>
      <c r="C5113" s="112" t="s">
        <v>695</v>
      </c>
      <c r="D5113" s="113">
        <v>10348038</v>
      </c>
      <c r="E5113" s="115">
        <v>43928</v>
      </c>
      <c r="F5113" s="114">
        <v>202101</v>
      </c>
      <c r="G5113" s="112" t="s">
        <v>1091</v>
      </c>
      <c r="H5113" s="112" t="s">
        <v>1016</v>
      </c>
      <c r="I5113" s="112" t="s">
        <v>3846</v>
      </c>
      <c r="J5113" s="112" t="s">
        <v>3709</v>
      </c>
      <c r="K5113" s="112" t="s">
        <v>4232</v>
      </c>
      <c r="L5113" s="116">
        <v>-365</v>
      </c>
    </row>
    <row r="5114" spans="1:12" hidden="1" outlineLevel="1" collapsed="1" x14ac:dyDescent="0.35">
      <c r="A5114" s="112" t="s">
        <v>3616</v>
      </c>
      <c r="B5114" s="112" t="s">
        <v>919</v>
      </c>
      <c r="C5114" s="112" t="s">
        <v>1095</v>
      </c>
      <c r="D5114" s="113">
        <v>10348451</v>
      </c>
      <c r="E5114" s="115">
        <v>43949</v>
      </c>
      <c r="F5114" s="114">
        <v>202101</v>
      </c>
      <c r="G5114" s="112" t="s">
        <v>1091</v>
      </c>
      <c r="H5114" s="112" t="s">
        <v>1015</v>
      </c>
      <c r="I5114" s="112" t="s">
        <v>3261</v>
      </c>
      <c r="J5114" s="112" t="s">
        <v>3624</v>
      </c>
      <c r="K5114" s="112" t="s">
        <v>1098</v>
      </c>
      <c r="L5114" s="116">
        <v>35.15</v>
      </c>
    </row>
    <row r="5115" spans="1:12" hidden="1" outlineLevel="1" collapsed="1" x14ac:dyDescent="0.35">
      <c r="A5115" s="112" t="s">
        <v>3616</v>
      </c>
      <c r="B5115" s="112" t="s">
        <v>921</v>
      </c>
      <c r="C5115" s="112" t="s">
        <v>695</v>
      </c>
      <c r="D5115" s="113">
        <v>10348038</v>
      </c>
      <c r="E5115" s="115">
        <v>43928</v>
      </c>
      <c r="F5115" s="114">
        <v>202101</v>
      </c>
      <c r="G5115" s="112" t="s">
        <v>1091</v>
      </c>
      <c r="H5115" s="112" t="s">
        <v>1016</v>
      </c>
      <c r="I5115" s="112" t="s">
        <v>3846</v>
      </c>
      <c r="J5115" s="112" t="s">
        <v>3709</v>
      </c>
      <c r="K5115" s="112" t="s">
        <v>4233</v>
      </c>
      <c r="L5115" s="116">
        <v>-365</v>
      </c>
    </row>
    <row r="5116" spans="1:12" hidden="1" outlineLevel="1" collapsed="1" x14ac:dyDescent="0.35">
      <c r="A5116" s="112" t="s">
        <v>3616</v>
      </c>
      <c r="B5116" s="112" t="s">
        <v>921</v>
      </c>
      <c r="C5116" s="112" t="s">
        <v>695</v>
      </c>
      <c r="D5116" s="113">
        <v>10348038</v>
      </c>
      <c r="E5116" s="115">
        <v>43928</v>
      </c>
      <c r="F5116" s="114">
        <v>202101</v>
      </c>
      <c r="G5116" s="112" t="s">
        <v>1091</v>
      </c>
      <c r="H5116" s="112" t="s">
        <v>1016</v>
      </c>
      <c r="I5116" s="112" t="s">
        <v>3846</v>
      </c>
      <c r="J5116" s="112" t="s">
        <v>3709</v>
      </c>
      <c r="K5116" s="112" t="s">
        <v>4234</v>
      </c>
      <c r="L5116" s="116">
        <v>-556</v>
      </c>
    </row>
    <row r="5117" spans="1:12" hidden="1" outlineLevel="1" collapsed="1" x14ac:dyDescent="0.35">
      <c r="A5117" s="112" t="s">
        <v>3616</v>
      </c>
      <c r="B5117" s="112" t="s">
        <v>921</v>
      </c>
      <c r="C5117" s="112" t="s">
        <v>695</v>
      </c>
      <c r="D5117" s="113">
        <v>10348038</v>
      </c>
      <c r="E5117" s="115">
        <v>43928</v>
      </c>
      <c r="F5117" s="114">
        <v>202101</v>
      </c>
      <c r="G5117" s="112" t="s">
        <v>1091</v>
      </c>
      <c r="H5117" s="112" t="s">
        <v>1016</v>
      </c>
      <c r="I5117" s="112" t="s">
        <v>3846</v>
      </c>
      <c r="J5117" s="112" t="s">
        <v>3709</v>
      </c>
      <c r="K5117" s="112" t="s">
        <v>4235</v>
      </c>
      <c r="L5117" s="116">
        <v>-1785</v>
      </c>
    </row>
    <row r="5118" spans="1:12" hidden="1" outlineLevel="1" collapsed="1" x14ac:dyDescent="0.35">
      <c r="A5118" s="112" t="s">
        <v>3616</v>
      </c>
      <c r="B5118" s="112" t="s">
        <v>921</v>
      </c>
      <c r="C5118" s="112" t="s">
        <v>695</v>
      </c>
      <c r="D5118" s="113">
        <v>10348038</v>
      </c>
      <c r="E5118" s="115">
        <v>43928</v>
      </c>
      <c r="F5118" s="114">
        <v>202101</v>
      </c>
      <c r="G5118" s="112" t="s">
        <v>1091</v>
      </c>
      <c r="H5118" s="112" t="s">
        <v>1016</v>
      </c>
      <c r="I5118" s="112" t="s">
        <v>3846</v>
      </c>
      <c r="J5118" s="112" t="s">
        <v>3709</v>
      </c>
      <c r="K5118" s="112" t="s">
        <v>4236</v>
      </c>
      <c r="L5118" s="116">
        <v>366.88</v>
      </c>
    </row>
    <row r="5119" spans="1:12" hidden="1" outlineLevel="1" collapsed="1" x14ac:dyDescent="0.35">
      <c r="A5119" s="112" t="s">
        <v>3616</v>
      </c>
      <c r="B5119" s="112" t="s">
        <v>921</v>
      </c>
      <c r="C5119" s="112" t="s">
        <v>695</v>
      </c>
      <c r="D5119" s="113">
        <v>10348038</v>
      </c>
      <c r="E5119" s="115">
        <v>43928</v>
      </c>
      <c r="F5119" s="114">
        <v>202101</v>
      </c>
      <c r="G5119" s="112" t="s">
        <v>1091</v>
      </c>
      <c r="H5119" s="112" t="s">
        <v>1016</v>
      </c>
      <c r="I5119" s="112" t="s">
        <v>3846</v>
      </c>
      <c r="J5119" s="112" t="s">
        <v>3709</v>
      </c>
      <c r="K5119" s="112" t="s">
        <v>4237</v>
      </c>
      <c r="L5119" s="116">
        <v>787.75</v>
      </c>
    </row>
    <row r="5120" spans="1:12" hidden="1" outlineLevel="1" collapsed="1" x14ac:dyDescent="0.35">
      <c r="A5120" s="112" t="s">
        <v>3616</v>
      </c>
      <c r="B5120" s="112" t="s">
        <v>921</v>
      </c>
      <c r="C5120" s="112" t="s">
        <v>695</v>
      </c>
      <c r="D5120" s="113">
        <v>10348038</v>
      </c>
      <c r="E5120" s="115">
        <v>43928</v>
      </c>
      <c r="F5120" s="114">
        <v>202101</v>
      </c>
      <c r="G5120" s="112" t="s">
        <v>1091</v>
      </c>
      <c r="H5120" s="112" t="s">
        <v>1016</v>
      </c>
      <c r="I5120" s="112" t="s">
        <v>3846</v>
      </c>
      <c r="J5120" s="112" t="s">
        <v>3709</v>
      </c>
      <c r="K5120" s="112" t="s">
        <v>4238</v>
      </c>
      <c r="L5120" s="116">
        <v>1554</v>
      </c>
    </row>
    <row r="5121" spans="1:12" hidden="1" outlineLevel="1" collapsed="1" x14ac:dyDescent="0.35">
      <c r="A5121" s="112" t="s">
        <v>3616</v>
      </c>
      <c r="B5121" s="112" t="s">
        <v>921</v>
      </c>
      <c r="C5121" s="112" t="s">
        <v>695</v>
      </c>
      <c r="D5121" s="113">
        <v>10348038</v>
      </c>
      <c r="E5121" s="115">
        <v>43928</v>
      </c>
      <c r="F5121" s="114">
        <v>202101</v>
      </c>
      <c r="G5121" s="112" t="s">
        <v>1091</v>
      </c>
      <c r="H5121" s="112" t="s">
        <v>1016</v>
      </c>
      <c r="I5121" s="112" t="s">
        <v>3846</v>
      </c>
      <c r="J5121" s="112" t="s">
        <v>3709</v>
      </c>
      <c r="K5121" s="112" t="s">
        <v>4239</v>
      </c>
      <c r="L5121" s="116">
        <v>-1872</v>
      </c>
    </row>
    <row r="5122" spans="1:12" hidden="1" outlineLevel="1" collapsed="1" x14ac:dyDescent="0.35">
      <c r="A5122" s="112" t="s">
        <v>3616</v>
      </c>
      <c r="B5122" s="112" t="s">
        <v>921</v>
      </c>
      <c r="C5122" s="112" t="s">
        <v>695</v>
      </c>
      <c r="D5122" s="113">
        <v>10348038</v>
      </c>
      <c r="E5122" s="115">
        <v>43928</v>
      </c>
      <c r="F5122" s="114">
        <v>202101</v>
      </c>
      <c r="G5122" s="112" t="s">
        <v>1091</v>
      </c>
      <c r="H5122" s="112" t="s">
        <v>1016</v>
      </c>
      <c r="I5122" s="112" t="s">
        <v>3846</v>
      </c>
      <c r="J5122" s="112" t="s">
        <v>3709</v>
      </c>
      <c r="K5122" s="112" t="s">
        <v>4240</v>
      </c>
      <c r="L5122" s="116">
        <v>-2256.38</v>
      </c>
    </row>
    <row r="5123" spans="1:12" hidden="1" outlineLevel="1" collapsed="1" x14ac:dyDescent="0.35">
      <c r="A5123" s="112" t="s">
        <v>3616</v>
      </c>
      <c r="B5123" s="112" t="s">
        <v>919</v>
      </c>
      <c r="C5123" s="112" t="s">
        <v>1518</v>
      </c>
      <c r="D5123" s="113">
        <v>51366093</v>
      </c>
      <c r="E5123" s="115">
        <v>43931</v>
      </c>
      <c r="F5123" s="114">
        <v>202101</v>
      </c>
      <c r="G5123" s="112" t="s">
        <v>1091</v>
      </c>
      <c r="H5123" s="112" t="s">
        <v>1016</v>
      </c>
      <c r="I5123" s="112" t="s">
        <v>823</v>
      </c>
      <c r="J5123" s="112" t="s">
        <v>3632</v>
      </c>
      <c r="K5123" s="112" t="s">
        <v>4241</v>
      </c>
      <c r="L5123" s="116">
        <v>-1868.92</v>
      </c>
    </row>
    <row r="5124" spans="1:12" hidden="1" outlineLevel="1" collapsed="1" x14ac:dyDescent="0.35">
      <c r="A5124" s="112" t="s">
        <v>3616</v>
      </c>
      <c r="B5124" s="112" t="s">
        <v>919</v>
      </c>
      <c r="C5124" s="112" t="s">
        <v>1518</v>
      </c>
      <c r="D5124" s="113">
        <v>51366092</v>
      </c>
      <c r="E5124" s="115">
        <v>43931</v>
      </c>
      <c r="F5124" s="114">
        <v>202101</v>
      </c>
      <c r="G5124" s="112" t="s">
        <v>1091</v>
      </c>
      <c r="H5124" s="112" t="s">
        <v>1016</v>
      </c>
      <c r="I5124" s="112" t="s">
        <v>1293</v>
      </c>
      <c r="J5124" s="112" t="s">
        <v>3632</v>
      </c>
      <c r="K5124" s="112" t="s">
        <v>4242</v>
      </c>
      <c r="L5124" s="116">
        <v>-13243.99</v>
      </c>
    </row>
    <row r="5125" spans="1:12" hidden="1" outlineLevel="1" collapsed="1" x14ac:dyDescent="0.35">
      <c r="A5125" s="112" t="s">
        <v>3616</v>
      </c>
      <c r="B5125" s="112" t="s">
        <v>921</v>
      </c>
      <c r="C5125" s="112" t="s">
        <v>695</v>
      </c>
      <c r="D5125" s="113">
        <v>10348038</v>
      </c>
      <c r="E5125" s="115">
        <v>43928</v>
      </c>
      <c r="F5125" s="114">
        <v>202101</v>
      </c>
      <c r="G5125" s="112" t="s">
        <v>1091</v>
      </c>
      <c r="H5125" s="112" t="s">
        <v>1016</v>
      </c>
      <c r="I5125" s="112" t="s">
        <v>3846</v>
      </c>
      <c r="J5125" s="112" t="s">
        <v>3709</v>
      </c>
      <c r="K5125" s="112" t="s">
        <v>4243</v>
      </c>
      <c r="L5125" s="116">
        <v>-350</v>
      </c>
    </row>
    <row r="5126" spans="1:12" hidden="1" outlineLevel="1" collapsed="1" x14ac:dyDescent="0.35">
      <c r="A5126" s="112" t="s">
        <v>3616</v>
      </c>
      <c r="B5126" s="112" t="s">
        <v>921</v>
      </c>
      <c r="C5126" s="112" t="s">
        <v>695</v>
      </c>
      <c r="D5126" s="113">
        <v>10348038</v>
      </c>
      <c r="E5126" s="115">
        <v>43928</v>
      </c>
      <c r="F5126" s="114">
        <v>202101</v>
      </c>
      <c r="G5126" s="112" t="s">
        <v>1091</v>
      </c>
      <c r="H5126" s="112" t="s">
        <v>1016</v>
      </c>
      <c r="I5126" s="112" t="s">
        <v>3846</v>
      </c>
      <c r="J5126" s="112" t="s">
        <v>3709</v>
      </c>
      <c r="K5126" s="112" t="s">
        <v>4158</v>
      </c>
      <c r="L5126" s="116">
        <v>-1704</v>
      </c>
    </row>
    <row r="5127" spans="1:12" hidden="1" outlineLevel="1" collapsed="1" x14ac:dyDescent="0.35">
      <c r="A5127" s="112" t="s">
        <v>3616</v>
      </c>
      <c r="B5127" s="112" t="s">
        <v>919</v>
      </c>
      <c r="C5127" s="112" t="s">
        <v>1518</v>
      </c>
      <c r="D5127" s="113">
        <v>51366098</v>
      </c>
      <c r="E5127" s="115">
        <v>43931</v>
      </c>
      <c r="F5127" s="114">
        <v>202101</v>
      </c>
      <c r="G5127" s="112" t="s">
        <v>1091</v>
      </c>
      <c r="H5127" s="112" t="s">
        <v>1016</v>
      </c>
      <c r="I5127" s="112" t="s">
        <v>823</v>
      </c>
      <c r="J5127" s="112" t="s">
        <v>3624</v>
      </c>
      <c r="K5127" s="112" t="s">
        <v>4244</v>
      </c>
      <c r="L5127" s="116">
        <v>-250</v>
      </c>
    </row>
    <row r="5128" spans="1:12" hidden="1" outlineLevel="1" collapsed="1" x14ac:dyDescent="0.35">
      <c r="A5128" s="112" t="s">
        <v>3616</v>
      </c>
      <c r="B5128" s="112" t="s">
        <v>919</v>
      </c>
      <c r="C5128" s="112" t="s">
        <v>1518</v>
      </c>
      <c r="D5128" s="113">
        <v>51366099</v>
      </c>
      <c r="E5128" s="115">
        <v>43931</v>
      </c>
      <c r="F5128" s="114">
        <v>202101</v>
      </c>
      <c r="G5128" s="112" t="s">
        <v>1091</v>
      </c>
      <c r="H5128" s="112" t="s">
        <v>1016</v>
      </c>
      <c r="I5128" s="112" t="s">
        <v>823</v>
      </c>
      <c r="J5128" s="112" t="s">
        <v>3624</v>
      </c>
      <c r="K5128" s="112" t="s">
        <v>4245</v>
      </c>
      <c r="L5128" s="116">
        <v>-3116.5</v>
      </c>
    </row>
    <row r="5129" spans="1:12" hidden="1" outlineLevel="1" collapsed="1" x14ac:dyDescent="0.35">
      <c r="A5129" s="112" t="s">
        <v>3616</v>
      </c>
      <c r="B5129" s="112" t="s">
        <v>919</v>
      </c>
      <c r="C5129" s="112" t="s">
        <v>1518</v>
      </c>
      <c r="D5129" s="113">
        <v>51366096</v>
      </c>
      <c r="E5129" s="115">
        <v>43931</v>
      </c>
      <c r="F5129" s="114">
        <v>202101</v>
      </c>
      <c r="G5129" s="112" t="s">
        <v>1091</v>
      </c>
      <c r="H5129" s="112" t="s">
        <v>1016</v>
      </c>
      <c r="I5129" s="112" t="s">
        <v>823</v>
      </c>
      <c r="J5129" s="112" t="s">
        <v>3617</v>
      </c>
      <c r="K5129" s="112" t="s">
        <v>4246</v>
      </c>
      <c r="L5129" s="116">
        <v>-246.66</v>
      </c>
    </row>
    <row r="5130" spans="1:12" hidden="1" outlineLevel="1" collapsed="1" x14ac:dyDescent="0.35">
      <c r="A5130" s="112" t="s">
        <v>3616</v>
      </c>
      <c r="B5130" s="112" t="s">
        <v>919</v>
      </c>
      <c r="C5130" s="112" t="s">
        <v>1518</v>
      </c>
      <c r="D5130" s="113">
        <v>51366097</v>
      </c>
      <c r="E5130" s="115">
        <v>43931</v>
      </c>
      <c r="F5130" s="114">
        <v>202101</v>
      </c>
      <c r="G5130" s="112" t="s">
        <v>1091</v>
      </c>
      <c r="H5130" s="112" t="s">
        <v>1016</v>
      </c>
      <c r="I5130" s="112" t="s">
        <v>823</v>
      </c>
      <c r="J5130" s="112" t="s">
        <v>3617</v>
      </c>
      <c r="K5130" s="112" t="s">
        <v>4247</v>
      </c>
      <c r="L5130" s="116">
        <v>-206.66</v>
      </c>
    </row>
    <row r="5131" spans="1:12" hidden="1" outlineLevel="1" collapsed="1" x14ac:dyDescent="0.35">
      <c r="A5131" s="112" t="s">
        <v>3616</v>
      </c>
      <c r="B5131" s="112" t="s">
        <v>921</v>
      </c>
      <c r="C5131" s="112" t="s">
        <v>695</v>
      </c>
      <c r="D5131" s="113">
        <v>10348038</v>
      </c>
      <c r="E5131" s="115">
        <v>43928</v>
      </c>
      <c r="F5131" s="114">
        <v>202101</v>
      </c>
      <c r="G5131" s="112" t="s">
        <v>1091</v>
      </c>
      <c r="H5131" s="112" t="s">
        <v>1016</v>
      </c>
      <c r="I5131" s="112" t="s">
        <v>3846</v>
      </c>
      <c r="J5131" s="112" t="s">
        <v>3709</v>
      </c>
      <c r="K5131" s="112" t="s">
        <v>4248</v>
      </c>
      <c r="L5131" s="116">
        <v>-5480.5</v>
      </c>
    </row>
    <row r="5132" spans="1:12" hidden="1" outlineLevel="1" collapsed="1" x14ac:dyDescent="0.35">
      <c r="A5132" s="112" t="s">
        <v>3616</v>
      </c>
      <c r="B5132" s="112" t="s">
        <v>921</v>
      </c>
      <c r="C5132" s="112" t="s">
        <v>695</v>
      </c>
      <c r="D5132" s="113">
        <v>10348038</v>
      </c>
      <c r="E5132" s="115">
        <v>43928</v>
      </c>
      <c r="F5132" s="114">
        <v>202101</v>
      </c>
      <c r="G5132" s="112" t="s">
        <v>1091</v>
      </c>
      <c r="H5132" s="112" t="s">
        <v>1016</v>
      </c>
      <c r="I5132" s="112" t="s">
        <v>3846</v>
      </c>
      <c r="J5132" s="112" t="s">
        <v>3709</v>
      </c>
      <c r="K5132" s="112" t="s">
        <v>4249</v>
      </c>
      <c r="L5132" s="116">
        <v>-787.5</v>
      </c>
    </row>
    <row r="5133" spans="1:12" hidden="1" outlineLevel="1" collapsed="1" x14ac:dyDescent="0.35">
      <c r="A5133" s="112" t="s">
        <v>3616</v>
      </c>
      <c r="B5133" s="112" t="s">
        <v>919</v>
      </c>
      <c r="C5133" s="112" t="s">
        <v>1518</v>
      </c>
      <c r="D5133" s="113">
        <v>51366102</v>
      </c>
      <c r="E5133" s="115">
        <v>43931</v>
      </c>
      <c r="F5133" s="114">
        <v>202101</v>
      </c>
      <c r="G5133" s="112" t="s">
        <v>1091</v>
      </c>
      <c r="H5133" s="112" t="s">
        <v>1016</v>
      </c>
      <c r="I5133" s="112" t="s">
        <v>3846</v>
      </c>
      <c r="J5133" s="112" t="s">
        <v>3624</v>
      </c>
      <c r="K5133" s="112" t="s">
        <v>4250</v>
      </c>
      <c r="L5133" s="116">
        <v>-250</v>
      </c>
    </row>
    <row r="5134" spans="1:12" hidden="1" outlineLevel="1" collapsed="1" x14ac:dyDescent="0.35">
      <c r="A5134" s="112" t="s">
        <v>3616</v>
      </c>
      <c r="B5134" s="112" t="s">
        <v>921</v>
      </c>
      <c r="C5134" s="112" t="s">
        <v>695</v>
      </c>
      <c r="D5134" s="113">
        <v>10348038</v>
      </c>
      <c r="E5134" s="115">
        <v>43928</v>
      </c>
      <c r="F5134" s="114">
        <v>202101</v>
      </c>
      <c r="G5134" s="112" t="s">
        <v>1091</v>
      </c>
      <c r="H5134" s="112" t="s">
        <v>1016</v>
      </c>
      <c r="I5134" s="112" t="s">
        <v>3846</v>
      </c>
      <c r="J5134" s="112" t="s">
        <v>3709</v>
      </c>
      <c r="K5134" s="112" t="s">
        <v>4251</v>
      </c>
      <c r="L5134" s="116">
        <v>-560</v>
      </c>
    </row>
    <row r="5135" spans="1:12" hidden="1" outlineLevel="1" collapsed="1" x14ac:dyDescent="0.35">
      <c r="A5135" s="112" t="s">
        <v>3616</v>
      </c>
      <c r="B5135" s="112" t="s">
        <v>921</v>
      </c>
      <c r="C5135" s="112" t="s">
        <v>695</v>
      </c>
      <c r="D5135" s="113">
        <v>10348038</v>
      </c>
      <c r="E5135" s="115">
        <v>43928</v>
      </c>
      <c r="F5135" s="114">
        <v>202101</v>
      </c>
      <c r="G5135" s="112" t="s">
        <v>1091</v>
      </c>
      <c r="H5135" s="112" t="s">
        <v>1016</v>
      </c>
      <c r="I5135" s="112" t="s">
        <v>3846</v>
      </c>
      <c r="J5135" s="112" t="s">
        <v>3709</v>
      </c>
      <c r="K5135" s="112" t="s">
        <v>4252</v>
      </c>
      <c r="L5135" s="116">
        <v>112.5</v>
      </c>
    </row>
    <row r="5136" spans="1:12" hidden="1" outlineLevel="1" collapsed="1" x14ac:dyDescent="0.35">
      <c r="A5136" s="112" t="s">
        <v>3616</v>
      </c>
      <c r="B5136" s="112" t="s">
        <v>919</v>
      </c>
      <c r="C5136" s="112" t="s">
        <v>1518</v>
      </c>
      <c r="D5136" s="113">
        <v>51366105</v>
      </c>
      <c r="E5136" s="115">
        <v>43931</v>
      </c>
      <c r="F5136" s="114">
        <v>202101</v>
      </c>
      <c r="G5136" s="112" t="s">
        <v>1091</v>
      </c>
      <c r="H5136" s="112" t="s">
        <v>1016</v>
      </c>
      <c r="I5136" s="112" t="s">
        <v>823</v>
      </c>
      <c r="J5136" s="112" t="s">
        <v>3617</v>
      </c>
      <c r="K5136" s="112" t="s">
        <v>4253</v>
      </c>
      <c r="L5136" s="116">
        <v>-120</v>
      </c>
    </row>
    <row r="5137" spans="1:12" hidden="1" outlineLevel="1" collapsed="1" x14ac:dyDescent="0.35">
      <c r="A5137" s="112" t="s">
        <v>3616</v>
      </c>
      <c r="B5137" s="112" t="s">
        <v>918</v>
      </c>
      <c r="C5137" s="112" t="s">
        <v>1095</v>
      </c>
      <c r="D5137" s="113">
        <v>10348451</v>
      </c>
      <c r="E5137" s="115">
        <v>43949</v>
      </c>
      <c r="F5137" s="114">
        <v>202101</v>
      </c>
      <c r="G5137" s="112" t="s">
        <v>1091</v>
      </c>
      <c r="H5137" s="112" t="s">
        <v>1015</v>
      </c>
      <c r="I5137" s="112" t="s">
        <v>3261</v>
      </c>
      <c r="J5137" s="112" t="s">
        <v>3695</v>
      </c>
      <c r="K5137" s="112" t="s">
        <v>1098</v>
      </c>
      <c r="L5137" s="116">
        <v>138.1</v>
      </c>
    </row>
    <row r="5138" spans="1:12" hidden="1" outlineLevel="1" collapsed="1" x14ac:dyDescent="0.35">
      <c r="A5138" s="112" t="s">
        <v>3616</v>
      </c>
      <c r="B5138" s="112" t="s">
        <v>921</v>
      </c>
      <c r="C5138" s="112" t="s">
        <v>1095</v>
      </c>
      <c r="D5138" s="113">
        <v>10348451</v>
      </c>
      <c r="E5138" s="115">
        <v>43949</v>
      </c>
      <c r="F5138" s="114">
        <v>202101</v>
      </c>
      <c r="G5138" s="112" t="s">
        <v>1091</v>
      </c>
      <c r="H5138" s="112" t="s">
        <v>1015</v>
      </c>
      <c r="I5138" s="112" t="s">
        <v>1101</v>
      </c>
      <c r="J5138" s="112" t="s">
        <v>3709</v>
      </c>
      <c r="K5138" s="112" t="s">
        <v>1098</v>
      </c>
      <c r="L5138" s="116">
        <v>437.72</v>
      </c>
    </row>
    <row r="5139" spans="1:12" hidden="1" outlineLevel="1" collapsed="1" x14ac:dyDescent="0.35">
      <c r="A5139" s="112" t="s">
        <v>3616</v>
      </c>
      <c r="B5139" s="112" t="s">
        <v>921</v>
      </c>
      <c r="C5139" s="112" t="s">
        <v>695</v>
      </c>
      <c r="D5139" s="113">
        <v>10348038</v>
      </c>
      <c r="E5139" s="115">
        <v>43928</v>
      </c>
      <c r="F5139" s="114">
        <v>202101</v>
      </c>
      <c r="G5139" s="112" t="s">
        <v>1091</v>
      </c>
      <c r="H5139" s="112" t="s">
        <v>1016</v>
      </c>
      <c r="I5139" s="112" t="s">
        <v>3846</v>
      </c>
      <c r="J5139" s="112" t="s">
        <v>3709</v>
      </c>
      <c r="K5139" s="112" t="s">
        <v>4254</v>
      </c>
      <c r="L5139" s="116">
        <v>-366.88</v>
      </c>
    </row>
    <row r="5140" spans="1:12" hidden="1" outlineLevel="1" collapsed="1" x14ac:dyDescent="0.35">
      <c r="A5140" s="112" t="s">
        <v>3616</v>
      </c>
      <c r="B5140" s="112" t="s">
        <v>922</v>
      </c>
      <c r="C5140" s="112" t="s">
        <v>1095</v>
      </c>
      <c r="D5140" s="113">
        <v>10348451</v>
      </c>
      <c r="E5140" s="115">
        <v>43949</v>
      </c>
      <c r="F5140" s="114">
        <v>202101</v>
      </c>
      <c r="G5140" s="112" t="s">
        <v>1091</v>
      </c>
      <c r="H5140" s="112" t="s">
        <v>1015</v>
      </c>
      <c r="I5140" s="112" t="s">
        <v>1101</v>
      </c>
      <c r="J5140" s="112" t="s">
        <v>3784</v>
      </c>
      <c r="K5140" s="112" t="s">
        <v>1098</v>
      </c>
      <c r="L5140" s="116">
        <v>426.26</v>
      </c>
    </row>
    <row r="5141" spans="1:12" hidden="1" outlineLevel="1" collapsed="1" x14ac:dyDescent="0.35">
      <c r="A5141" s="112" t="s">
        <v>3616</v>
      </c>
      <c r="B5141" s="112" t="s">
        <v>921</v>
      </c>
      <c r="C5141" s="112" t="s">
        <v>695</v>
      </c>
      <c r="D5141" s="113">
        <v>10348038</v>
      </c>
      <c r="E5141" s="115">
        <v>43928</v>
      </c>
      <c r="F5141" s="114">
        <v>202101</v>
      </c>
      <c r="G5141" s="112" t="s">
        <v>1091</v>
      </c>
      <c r="H5141" s="112" t="s">
        <v>1016</v>
      </c>
      <c r="I5141" s="112" t="s">
        <v>3846</v>
      </c>
      <c r="J5141" s="112" t="s">
        <v>3709</v>
      </c>
      <c r="K5141" s="112" t="s">
        <v>4255</v>
      </c>
      <c r="L5141" s="116">
        <v>-1900</v>
      </c>
    </row>
    <row r="5142" spans="1:12" hidden="1" outlineLevel="1" collapsed="1" x14ac:dyDescent="0.35">
      <c r="A5142" s="112" t="s">
        <v>3616</v>
      </c>
      <c r="B5142" s="112" t="s">
        <v>921</v>
      </c>
      <c r="C5142" s="112" t="s">
        <v>695</v>
      </c>
      <c r="D5142" s="113">
        <v>10348038</v>
      </c>
      <c r="E5142" s="115">
        <v>43928</v>
      </c>
      <c r="F5142" s="114">
        <v>202101</v>
      </c>
      <c r="G5142" s="112" t="s">
        <v>1091</v>
      </c>
      <c r="H5142" s="112" t="s">
        <v>1016</v>
      </c>
      <c r="I5142" s="112" t="s">
        <v>3899</v>
      </c>
      <c r="J5142" s="112" t="s">
        <v>3709</v>
      </c>
      <c r="K5142" s="112" t="s">
        <v>4256</v>
      </c>
      <c r="L5142" s="116">
        <v>-337.5</v>
      </c>
    </row>
    <row r="5143" spans="1:12" hidden="1" outlineLevel="1" collapsed="1" x14ac:dyDescent="0.35">
      <c r="A5143" s="112" t="s">
        <v>3616</v>
      </c>
      <c r="B5143" s="112" t="s">
        <v>922</v>
      </c>
      <c r="C5143" s="112" t="s">
        <v>1095</v>
      </c>
      <c r="D5143" s="113">
        <v>10348451</v>
      </c>
      <c r="E5143" s="115">
        <v>43949</v>
      </c>
      <c r="F5143" s="114">
        <v>202101</v>
      </c>
      <c r="G5143" s="112" t="s">
        <v>1091</v>
      </c>
      <c r="H5143" s="112" t="s">
        <v>1015</v>
      </c>
      <c r="I5143" s="112" t="s">
        <v>1101</v>
      </c>
      <c r="J5143" s="112" t="s">
        <v>3861</v>
      </c>
      <c r="K5143" s="112" t="s">
        <v>1098</v>
      </c>
      <c r="L5143" s="116">
        <v>215.5</v>
      </c>
    </row>
    <row r="5144" spans="1:12" hidden="1" outlineLevel="1" collapsed="1" x14ac:dyDescent="0.35">
      <c r="A5144" s="112" t="s">
        <v>3616</v>
      </c>
      <c r="B5144" s="112" t="s">
        <v>923</v>
      </c>
      <c r="C5144" s="112" t="s">
        <v>1219</v>
      </c>
      <c r="D5144" s="113">
        <v>46308190</v>
      </c>
      <c r="E5144" s="115">
        <v>43921</v>
      </c>
      <c r="F5144" s="114">
        <v>202101</v>
      </c>
      <c r="G5144" s="112" t="s">
        <v>1091</v>
      </c>
      <c r="H5144" s="112" t="s">
        <v>1015</v>
      </c>
      <c r="I5144" s="112" t="s">
        <v>1605</v>
      </c>
      <c r="J5144" s="112" t="s">
        <v>3763</v>
      </c>
      <c r="K5144" s="112" t="s">
        <v>4257</v>
      </c>
      <c r="L5144" s="116">
        <v>10818.02</v>
      </c>
    </row>
    <row r="5145" spans="1:12" hidden="1" outlineLevel="1" collapsed="1" x14ac:dyDescent="0.35">
      <c r="A5145" s="112" t="s">
        <v>3616</v>
      </c>
      <c r="B5145" s="112" t="s">
        <v>922</v>
      </c>
      <c r="C5145" s="112" t="s">
        <v>1095</v>
      </c>
      <c r="D5145" s="113">
        <v>10348451</v>
      </c>
      <c r="E5145" s="115">
        <v>43949</v>
      </c>
      <c r="F5145" s="114">
        <v>202101</v>
      </c>
      <c r="G5145" s="112" t="s">
        <v>1091</v>
      </c>
      <c r="H5145" s="112" t="s">
        <v>1015</v>
      </c>
      <c r="I5145" s="112" t="s">
        <v>1101</v>
      </c>
      <c r="J5145" s="112" t="s">
        <v>3784</v>
      </c>
      <c r="K5145" s="112" t="s">
        <v>1098</v>
      </c>
      <c r="L5145" s="116">
        <v>365.57</v>
      </c>
    </row>
    <row r="5146" spans="1:12" hidden="1" outlineLevel="1" collapsed="1" x14ac:dyDescent="0.35">
      <c r="A5146" s="112" t="s">
        <v>3616</v>
      </c>
      <c r="B5146" s="112" t="s">
        <v>921</v>
      </c>
      <c r="C5146" s="112" t="s">
        <v>695</v>
      </c>
      <c r="D5146" s="113">
        <v>10348038</v>
      </c>
      <c r="E5146" s="115">
        <v>43928</v>
      </c>
      <c r="F5146" s="114">
        <v>202101</v>
      </c>
      <c r="G5146" s="112" t="s">
        <v>1091</v>
      </c>
      <c r="H5146" s="112" t="s">
        <v>1016</v>
      </c>
      <c r="I5146" s="112" t="s">
        <v>3846</v>
      </c>
      <c r="J5146" s="112" t="s">
        <v>3709</v>
      </c>
      <c r="K5146" s="112" t="s">
        <v>4258</v>
      </c>
      <c r="L5146" s="116">
        <v>-2132.5</v>
      </c>
    </row>
    <row r="5147" spans="1:12" hidden="1" outlineLevel="1" collapsed="1" x14ac:dyDescent="0.35">
      <c r="A5147" s="112" t="s">
        <v>3616</v>
      </c>
      <c r="B5147" s="112" t="s">
        <v>921</v>
      </c>
      <c r="C5147" s="112" t="s">
        <v>1099</v>
      </c>
      <c r="D5147" s="113">
        <v>1069512</v>
      </c>
      <c r="E5147" s="115">
        <v>43891</v>
      </c>
      <c r="F5147" s="114">
        <v>202101</v>
      </c>
      <c r="G5147" s="112" t="s">
        <v>1091</v>
      </c>
      <c r="H5147" s="112" t="s">
        <v>1015</v>
      </c>
      <c r="I5147" s="112" t="s">
        <v>1643</v>
      </c>
      <c r="J5147" s="112" t="s">
        <v>3620</v>
      </c>
      <c r="K5147" s="112" t="s">
        <v>4259</v>
      </c>
      <c r="L5147" s="116">
        <v>107.6</v>
      </c>
    </row>
    <row r="5148" spans="1:12" hidden="1" outlineLevel="1" collapsed="1" x14ac:dyDescent="0.35">
      <c r="A5148" s="112" t="s">
        <v>3616</v>
      </c>
      <c r="B5148" s="112" t="s">
        <v>921</v>
      </c>
      <c r="C5148" s="112" t="s">
        <v>695</v>
      </c>
      <c r="D5148" s="113">
        <v>10348038</v>
      </c>
      <c r="E5148" s="115">
        <v>43928</v>
      </c>
      <c r="F5148" s="114">
        <v>202101</v>
      </c>
      <c r="G5148" s="112" t="s">
        <v>1091</v>
      </c>
      <c r="H5148" s="112" t="s">
        <v>1016</v>
      </c>
      <c r="I5148" s="112" t="s">
        <v>3846</v>
      </c>
      <c r="J5148" s="112" t="s">
        <v>3709</v>
      </c>
      <c r="K5148" s="112" t="s">
        <v>4260</v>
      </c>
      <c r="L5148" s="116">
        <v>597.6</v>
      </c>
    </row>
    <row r="5149" spans="1:12" hidden="1" outlineLevel="1" collapsed="1" x14ac:dyDescent="0.35">
      <c r="A5149" s="112" t="s">
        <v>3616</v>
      </c>
      <c r="B5149" s="112" t="s">
        <v>921</v>
      </c>
      <c r="C5149" s="112" t="s">
        <v>695</v>
      </c>
      <c r="D5149" s="113">
        <v>10348038</v>
      </c>
      <c r="E5149" s="115">
        <v>43928</v>
      </c>
      <c r="F5149" s="114">
        <v>202101</v>
      </c>
      <c r="G5149" s="112" t="s">
        <v>1091</v>
      </c>
      <c r="H5149" s="112" t="s">
        <v>1016</v>
      </c>
      <c r="I5149" s="112" t="s">
        <v>3846</v>
      </c>
      <c r="J5149" s="112" t="s">
        <v>3709</v>
      </c>
      <c r="K5149" s="112" t="s">
        <v>4261</v>
      </c>
      <c r="L5149" s="116">
        <v>1319.25</v>
      </c>
    </row>
    <row r="5150" spans="1:12" hidden="1" outlineLevel="1" collapsed="1" x14ac:dyDescent="0.35">
      <c r="A5150" s="112" t="s">
        <v>3616</v>
      </c>
      <c r="B5150" s="112" t="s">
        <v>921</v>
      </c>
      <c r="C5150" s="112" t="s">
        <v>695</v>
      </c>
      <c r="D5150" s="113">
        <v>10348038</v>
      </c>
      <c r="E5150" s="115">
        <v>43928</v>
      </c>
      <c r="F5150" s="114">
        <v>202101</v>
      </c>
      <c r="G5150" s="112" t="s">
        <v>1091</v>
      </c>
      <c r="H5150" s="112" t="s">
        <v>1016</v>
      </c>
      <c r="I5150" s="112" t="s">
        <v>3846</v>
      </c>
      <c r="J5150" s="112" t="s">
        <v>3709</v>
      </c>
      <c r="K5150" s="112" t="s">
        <v>4262</v>
      </c>
      <c r="L5150" s="116">
        <v>-733.75</v>
      </c>
    </row>
    <row r="5151" spans="1:12" hidden="1" outlineLevel="1" collapsed="1" x14ac:dyDescent="0.35">
      <c r="A5151" s="112" t="s">
        <v>3616</v>
      </c>
      <c r="B5151" s="112" t="s">
        <v>921</v>
      </c>
      <c r="C5151" s="112" t="s">
        <v>695</v>
      </c>
      <c r="D5151" s="113">
        <v>10348038</v>
      </c>
      <c r="E5151" s="115">
        <v>43928</v>
      </c>
      <c r="F5151" s="114">
        <v>202101</v>
      </c>
      <c r="G5151" s="112" t="s">
        <v>1091</v>
      </c>
      <c r="H5151" s="112" t="s">
        <v>1016</v>
      </c>
      <c r="I5151" s="112" t="s">
        <v>3846</v>
      </c>
      <c r="J5151" s="112" t="s">
        <v>3709</v>
      </c>
      <c r="K5151" s="112" t="s">
        <v>4263</v>
      </c>
      <c r="L5151" s="116">
        <v>-150</v>
      </c>
    </row>
    <row r="5152" spans="1:12" hidden="1" outlineLevel="1" collapsed="1" x14ac:dyDescent="0.35">
      <c r="A5152" s="112" t="s">
        <v>3616</v>
      </c>
      <c r="B5152" s="112" t="s">
        <v>921</v>
      </c>
      <c r="C5152" s="112" t="s">
        <v>695</v>
      </c>
      <c r="D5152" s="113">
        <v>10348038</v>
      </c>
      <c r="E5152" s="115">
        <v>43928</v>
      </c>
      <c r="F5152" s="114">
        <v>202101</v>
      </c>
      <c r="G5152" s="112" t="s">
        <v>1091</v>
      </c>
      <c r="H5152" s="112" t="s">
        <v>1016</v>
      </c>
      <c r="I5152" s="112" t="s">
        <v>3846</v>
      </c>
      <c r="J5152" s="112" t="s">
        <v>3709</v>
      </c>
      <c r="K5152" s="112" t="s">
        <v>4264</v>
      </c>
      <c r="L5152" s="116">
        <v>-715</v>
      </c>
    </row>
    <row r="5153" spans="1:12" hidden="1" outlineLevel="1" collapsed="1" x14ac:dyDescent="0.35">
      <c r="A5153" s="112" t="s">
        <v>3616</v>
      </c>
      <c r="B5153" s="112" t="s">
        <v>921</v>
      </c>
      <c r="C5153" s="112" t="s">
        <v>695</v>
      </c>
      <c r="D5153" s="113">
        <v>10348038</v>
      </c>
      <c r="E5153" s="115">
        <v>43928</v>
      </c>
      <c r="F5153" s="114">
        <v>202101</v>
      </c>
      <c r="G5153" s="112" t="s">
        <v>1091</v>
      </c>
      <c r="H5153" s="112" t="s">
        <v>1016</v>
      </c>
      <c r="I5153" s="112" t="s">
        <v>3846</v>
      </c>
      <c r="J5153" s="112" t="s">
        <v>3709</v>
      </c>
      <c r="K5153" s="112" t="s">
        <v>4143</v>
      </c>
      <c r="L5153" s="116">
        <v>-90</v>
      </c>
    </row>
    <row r="5154" spans="1:12" hidden="1" outlineLevel="1" collapsed="1" x14ac:dyDescent="0.35">
      <c r="A5154" s="112" t="s">
        <v>3616</v>
      </c>
      <c r="B5154" s="112" t="s">
        <v>921</v>
      </c>
      <c r="C5154" s="112" t="s">
        <v>1095</v>
      </c>
      <c r="D5154" s="113">
        <v>10348451</v>
      </c>
      <c r="E5154" s="115">
        <v>43949</v>
      </c>
      <c r="F5154" s="114">
        <v>202101</v>
      </c>
      <c r="G5154" s="112" t="s">
        <v>1091</v>
      </c>
      <c r="H5154" s="112" t="s">
        <v>1015</v>
      </c>
      <c r="I5154" s="112" t="s">
        <v>1101</v>
      </c>
      <c r="J5154" s="112" t="s">
        <v>3620</v>
      </c>
      <c r="K5154" s="112" t="s">
        <v>1098</v>
      </c>
      <c r="L5154" s="116">
        <v>472.97</v>
      </c>
    </row>
    <row r="5155" spans="1:12" hidden="1" outlineLevel="1" collapsed="1" x14ac:dyDescent="0.35">
      <c r="A5155" s="112" t="s">
        <v>3616</v>
      </c>
      <c r="B5155" s="112" t="s">
        <v>921</v>
      </c>
      <c r="C5155" s="112" t="s">
        <v>695</v>
      </c>
      <c r="D5155" s="113">
        <v>10348038</v>
      </c>
      <c r="E5155" s="115">
        <v>43928</v>
      </c>
      <c r="F5155" s="114">
        <v>202101</v>
      </c>
      <c r="G5155" s="112" t="s">
        <v>1091</v>
      </c>
      <c r="H5155" s="112" t="s">
        <v>1016</v>
      </c>
      <c r="I5155" s="112" t="s">
        <v>3846</v>
      </c>
      <c r="J5155" s="112" t="s">
        <v>3709</v>
      </c>
      <c r="K5155" s="112" t="s">
        <v>4265</v>
      </c>
      <c r="L5155" s="116">
        <v>-1365</v>
      </c>
    </row>
    <row r="5156" spans="1:12" hidden="1" outlineLevel="1" collapsed="1" x14ac:dyDescent="0.35">
      <c r="A5156" s="112" t="s">
        <v>3616</v>
      </c>
      <c r="B5156" s="112" t="s">
        <v>921</v>
      </c>
      <c r="C5156" s="112" t="s">
        <v>695</v>
      </c>
      <c r="D5156" s="113">
        <v>10348038</v>
      </c>
      <c r="E5156" s="115">
        <v>43928</v>
      </c>
      <c r="F5156" s="114">
        <v>202101</v>
      </c>
      <c r="G5156" s="112" t="s">
        <v>1091</v>
      </c>
      <c r="H5156" s="112" t="s">
        <v>1016</v>
      </c>
      <c r="I5156" s="112" t="s">
        <v>3846</v>
      </c>
      <c r="J5156" s="112" t="s">
        <v>3709</v>
      </c>
      <c r="K5156" s="112" t="s">
        <v>4266</v>
      </c>
      <c r="L5156" s="116">
        <v>-810</v>
      </c>
    </row>
    <row r="5157" spans="1:12" hidden="1" outlineLevel="1" collapsed="1" x14ac:dyDescent="0.35">
      <c r="A5157" s="112" t="s">
        <v>3616</v>
      </c>
      <c r="B5157" s="112" t="s">
        <v>921</v>
      </c>
      <c r="C5157" s="112" t="s">
        <v>695</v>
      </c>
      <c r="D5157" s="113">
        <v>10348038</v>
      </c>
      <c r="E5157" s="115">
        <v>43928</v>
      </c>
      <c r="F5157" s="114">
        <v>202101</v>
      </c>
      <c r="G5157" s="112" t="s">
        <v>1091</v>
      </c>
      <c r="H5157" s="112" t="s">
        <v>1016</v>
      </c>
      <c r="I5157" s="112" t="s">
        <v>3846</v>
      </c>
      <c r="J5157" s="112" t="s">
        <v>3709</v>
      </c>
      <c r="K5157" s="112" t="s">
        <v>4267</v>
      </c>
      <c r="L5157" s="116">
        <v>-1395</v>
      </c>
    </row>
    <row r="5158" spans="1:12" hidden="1" outlineLevel="1" collapsed="1" x14ac:dyDescent="0.35">
      <c r="A5158" s="112" t="s">
        <v>3616</v>
      </c>
      <c r="B5158" s="112" t="s">
        <v>921</v>
      </c>
      <c r="C5158" s="112" t="s">
        <v>695</v>
      </c>
      <c r="D5158" s="113">
        <v>10348038</v>
      </c>
      <c r="E5158" s="115">
        <v>43928</v>
      </c>
      <c r="F5158" s="114">
        <v>202101</v>
      </c>
      <c r="G5158" s="112" t="s">
        <v>1091</v>
      </c>
      <c r="H5158" s="112" t="s">
        <v>1016</v>
      </c>
      <c r="I5158" s="112" t="s">
        <v>3899</v>
      </c>
      <c r="J5158" s="112" t="s">
        <v>3709</v>
      </c>
      <c r="K5158" s="112" t="s">
        <v>4268</v>
      </c>
      <c r="L5158" s="116">
        <v>137.5</v>
      </c>
    </row>
    <row r="5159" spans="1:12" hidden="1" outlineLevel="1" collapsed="1" x14ac:dyDescent="0.35">
      <c r="A5159" s="112" t="s">
        <v>3616</v>
      </c>
      <c r="B5159" s="112" t="s">
        <v>919</v>
      </c>
      <c r="C5159" s="112" t="s">
        <v>1095</v>
      </c>
      <c r="D5159" s="113">
        <v>10348451</v>
      </c>
      <c r="E5159" s="115">
        <v>43949</v>
      </c>
      <c r="F5159" s="114">
        <v>202101</v>
      </c>
      <c r="G5159" s="112" t="s">
        <v>1091</v>
      </c>
      <c r="H5159" s="112" t="s">
        <v>1015</v>
      </c>
      <c r="I5159" s="112" t="s">
        <v>1101</v>
      </c>
      <c r="J5159" s="112" t="s">
        <v>3628</v>
      </c>
      <c r="K5159" s="112" t="s">
        <v>1098</v>
      </c>
      <c r="L5159" s="116">
        <v>483.07</v>
      </c>
    </row>
    <row r="5160" spans="1:12" hidden="1" outlineLevel="1" collapsed="1" x14ac:dyDescent="0.35">
      <c r="A5160" s="112" t="s">
        <v>3616</v>
      </c>
      <c r="B5160" s="112" t="s">
        <v>921</v>
      </c>
      <c r="C5160" s="112" t="s">
        <v>695</v>
      </c>
      <c r="D5160" s="113">
        <v>10348038</v>
      </c>
      <c r="E5160" s="115">
        <v>43928</v>
      </c>
      <c r="F5160" s="114">
        <v>202101</v>
      </c>
      <c r="G5160" s="112" t="s">
        <v>1091</v>
      </c>
      <c r="H5160" s="112" t="s">
        <v>1016</v>
      </c>
      <c r="I5160" s="112" t="s">
        <v>3899</v>
      </c>
      <c r="J5160" s="112" t="s">
        <v>3709</v>
      </c>
      <c r="K5160" s="112" t="s">
        <v>4269</v>
      </c>
      <c r="L5160" s="116">
        <v>-137.5</v>
      </c>
    </row>
    <row r="5161" spans="1:12" hidden="1" outlineLevel="1" collapsed="1" x14ac:dyDescent="0.35">
      <c r="A5161" s="112" t="s">
        <v>3616</v>
      </c>
      <c r="B5161" s="112" t="s">
        <v>921</v>
      </c>
      <c r="C5161" s="112" t="s">
        <v>695</v>
      </c>
      <c r="D5161" s="113">
        <v>10348038</v>
      </c>
      <c r="E5161" s="115">
        <v>43928</v>
      </c>
      <c r="F5161" s="114">
        <v>202101</v>
      </c>
      <c r="G5161" s="112" t="s">
        <v>1091</v>
      </c>
      <c r="H5161" s="112" t="s">
        <v>1016</v>
      </c>
      <c r="I5161" s="112" t="s">
        <v>819</v>
      </c>
      <c r="J5161" s="112" t="s">
        <v>3709</v>
      </c>
      <c r="K5161" s="112" t="s">
        <v>4210</v>
      </c>
      <c r="L5161" s="116">
        <v>-240</v>
      </c>
    </row>
    <row r="5162" spans="1:12" hidden="1" outlineLevel="1" collapsed="1" x14ac:dyDescent="0.35">
      <c r="A5162" s="112" t="s">
        <v>3616</v>
      </c>
      <c r="B5162" s="112" t="s">
        <v>921</v>
      </c>
      <c r="C5162" s="112" t="s">
        <v>695</v>
      </c>
      <c r="D5162" s="113">
        <v>10348038</v>
      </c>
      <c r="E5162" s="115">
        <v>43928</v>
      </c>
      <c r="F5162" s="114">
        <v>202101</v>
      </c>
      <c r="G5162" s="112" t="s">
        <v>1091</v>
      </c>
      <c r="H5162" s="112" t="s">
        <v>1016</v>
      </c>
      <c r="I5162" s="112" t="s">
        <v>3846</v>
      </c>
      <c r="J5162" s="112" t="s">
        <v>3709</v>
      </c>
      <c r="K5162" s="112" t="s">
        <v>4270</v>
      </c>
      <c r="L5162" s="116">
        <v>-1053.06</v>
      </c>
    </row>
    <row r="5163" spans="1:12" hidden="1" outlineLevel="1" collapsed="1" x14ac:dyDescent="0.35">
      <c r="A5163" s="112" t="s">
        <v>3616</v>
      </c>
      <c r="B5163" s="112" t="s">
        <v>921</v>
      </c>
      <c r="C5163" s="112" t="s">
        <v>1095</v>
      </c>
      <c r="D5163" s="113">
        <v>10348451</v>
      </c>
      <c r="E5163" s="115">
        <v>43949</v>
      </c>
      <c r="F5163" s="114">
        <v>202101</v>
      </c>
      <c r="G5163" s="112" t="s">
        <v>1091</v>
      </c>
      <c r="H5163" s="112" t="s">
        <v>1015</v>
      </c>
      <c r="I5163" s="112" t="s">
        <v>1101</v>
      </c>
      <c r="J5163" s="112" t="s">
        <v>3620</v>
      </c>
      <c r="K5163" s="112" t="s">
        <v>1098</v>
      </c>
      <c r="L5163" s="116">
        <v>371.94</v>
      </c>
    </row>
    <row r="5164" spans="1:12" hidden="1" outlineLevel="1" collapsed="1" x14ac:dyDescent="0.35">
      <c r="A5164" s="112" t="s">
        <v>3616</v>
      </c>
      <c r="B5164" s="112" t="s">
        <v>921</v>
      </c>
      <c r="C5164" s="112" t="s">
        <v>1095</v>
      </c>
      <c r="D5164" s="113">
        <v>10348451</v>
      </c>
      <c r="E5164" s="115">
        <v>43949</v>
      </c>
      <c r="F5164" s="114">
        <v>202101</v>
      </c>
      <c r="G5164" s="112" t="s">
        <v>1091</v>
      </c>
      <c r="H5164" s="112" t="s">
        <v>1015</v>
      </c>
      <c r="I5164" s="112" t="s">
        <v>1101</v>
      </c>
      <c r="J5164" s="112" t="s">
        <v>3620</v>
      </c>
      <c r="K5164" s="112" t="s">
        <v>1098</v>
      </c>
      <c r="L5164" s="116">
        <v>549.4</v>
      </c>
    </row>
    <row r="5165" spans="1:12" hidden="1" outlineLevel="1" collapsed="1" x14ac:dyDescent="0.35">
      <c r="A5165" s="112" t="s">
        <v>3616</v>
      </c>
      <c r="B5165" s="112" t="s">
        <v>922</v>
      </c>
      <c r="C5165" s="112" t="s">
        <v>1095</v>
      </c>
      <c r="D5165" s="113">
        <v>10348451</v>
      </c>
      <c r="E5165" s="115">
        <v>43949</v>
      </c>
      <c r="F5165" s="114">
        <v>202101</v>
      </c>
      <c r="G5165" s="112" t="s">
        <v>1091</v>
      </c>
      <c r="H5165" s="112" t="s">
        <v>1015</v>
      </c>
      <c r="I5165" s="112" t="s">
        <v>1101</v>
      </c>
      <c r="J5165" s="112" t="s">
        <v>3794</v>
      </c>
      <c r="K5165" s="112" t="s">
        <v>1098</v>
      </c>
      <c r="L5165" s="116">
        <v>483.07</v>
      </c>
    </row>
    <row r="5166" spans="1:12" hidden="1" outlineLevel="1" collapsed="1" x14ac:dyDescent="0.35">
      <c r="A5166" s="112" t="s">
        <v>3616</v>
      </c>
      <c r="B5166" s="112" t="s">
        <v>921</v>
      </c>
      <c r="C5166" s="112" t="s">
        <v>695</v>
      </c>
      <c r="D5166" s="113">
        <v>10348038</v>
      </c>
      <c r="E5166" s="115">
        <v>43928</v>
      </c>
      <c r="F5166" s="114">
        <v>202101</v>
      </c>
      <c r="G5166" s="112" t="s">
        <v>1091</v>
      </c>
      <c r="H5166" s="112" t="s">
        <v>1016</v>
      </c>
      <c r="I5166" s="112" t="s">
        <v>3846</v>
      </c>
      <c r="J5166" s="112" t="s">
        <v>3709</v>
      </c>
      <c r="K5166" s="112" t="s">
        <v>4271</v>
      </c>
      <c r="L5166" s="116">
        <v>-320</v>
      </c>
    </row>
    <row r="5167" spans="1:12" hidden="1" outlineLevel="1" collapsed="1" x14ac:dyDescent="0.35">
      <c r="A5167" s="112" t="s">
        <v>3616</v>
      </c>
      <c r="B5167" s="112" t="s">
        <v>920</v>
      </c>
      <c r="C5167" s="112" t="s">
        <v>1095</v>
      </c>
      <c r="D5167" s="113">
        <v>10348451</v>
      </c>
      <c r="E5167" s="115">
        <v>43949</v>
      </c>
      <c r="F5167" s="114">
        <v>202101</v>
      </c>
      <c r="G5167" s="112" t="s">
        <v>1091</v>
      </c>
      <c r="H5167" s="112" t="s">
        <v>1015</v>
      </c>
      <c r="I5167" s="112" t="s">
        <v>1096</v>
      </c>
      <c r="J5167" s="112" t="s">
        <v>3755</v>
      </c>
      <c r="K5167" s="112" t="s">
        <v>1098</v>
      </c>
      <c r="L5167" s="116">
        <v>366.99</v>
      </c>
    </row>
    <row r="5168" spans="1:12" hidden="1" outlineLevel="1" collapsed="1" x14ac:dyDescent="0.35">
      <c r="A5168" s="112" t="s">
        <v>3616</v>
      </c>
      <c r="B5168" s="112" t="s">
        <v>921</v>
      </c>
      <c r="C5168" s="112" t="s">
        <v>695</v>
      </c>
      <c r="D5168" s="113">
        <v>10348038</v>
      </c>
      <c r="E5168" s="115">
        <v>43928</v>
      </c>
      <c r="F5168" s="114">
        <v>202101</v>
      </c>
      <c r="G5168" s="112" t="s">
        <v>1091</v>
      </c>
      <c r="H5168" s="112" t="s">
        <v>1016</v>
      </c>
      <c r="I5168" s="112" t="s">
        <v>3846</v>
      </c>
      <c r="J5168" s="112" t="s">
        <v>3709</v>
      </c>
      <c r="K5168" s="112" t="s">
        <v>4272</v>
      </c>
      <c r="L5168" s="116">
        <v>-1995</v>
      </c>
    </row>
    <row r="5169" spans="1:12" hidden="1" outlineLevel="1" collapsed="1" x14ac:dyDescent="0.35">
      <c r="A5169" s="112" t="s">
        <v>3616</v>
      </c>
      <c r="B5169" s="112" t="s">
        <v>919</v>
      </c>
      <c r="C5169" s="112" t="s">
        <v>1095</v>
      </c>
      <c r="D5169" s="113">
        <v>10348451</v>
      </c>
      <c r="E5169" s="115">
        <v>43949</v>
      </c>
      <c r="F5169" s="114">
        <v>202101</v>
      </c>
      <c r="G5169" s="112" t="s">
        <v>1091</v>
      </c>
      <c r="H5169" s="112" t="s">
        <v>1015</v>
      </c>
      <c r="I5169" s="112" t="s">
        <v>3261</v>
      </c>
      <c r="J5169" s="112" t="s">
        <v>3624</v>
      </c>
      <c r="K5169" s="112" t="s">
        <v>1098</v>
      </c>
      <c r="L5169" s="116">
        <v>120.87</v>
      </c>
    </row>
    <row r="5170" spans="1:12" hidden="1" outlineLevel="1" collapsed="1" x14ac:dyDescent="0.35">
      <c r="A5170" s="112" t="s">
        <v>3616</v>
      </c>
      <c r="B5170" s="112" t="s">
        <v>917</v>
      </c>
      <c r="C5170" s="112" t="s">
        <v>1095</v>
      </c>
      <c r="D5170" s="113">
        <v>10348451</v>
      </c>
      <c r="E5170" s="115">
        <v>43949</v>
      </c>
      <c r="F5170" s="114">
        <v>202101</v>
      </c>
      <c r="G5170" s="112" t="s">
        <v>1091</v>
      </c>
      <c r="H5170" s="112" t="s">
        <v>1015</v>
      </c>
      <c r="I5170" s="112" t="s">
        <v>1101</v>
      </c>
      <c r="J5170" s="112" t="s">
        <v>3781</v>
      </c>
      <c r="K5170" s="112" t="s">
        <v>1098</v>
      </c>
      <c r="L5170" s="116">
        <v>549.4</v>
      </c>
    </row>
    <row r="5171" spans="1:12" hidden="1" outlineLevel="1" collapsed="1" x14ac:dyDescent="0.35">
      <c r="A5171" s="112" t="s">
        <v>3616</v>
      </c>
      <c r="B5171" s="112" t="s">
        <v>918</v>
      </c>
      <c r="C5171" s="112" t="s">
        <v>1095</v>
      </c>
      <c r="D5171" s="113">
        <v>10348451</v>
      </c>
      <c r="E5171" s="115">
        <v>43949</v>
      </c>
      <c r="F5171" s="114">
        <v>202101</v>
      </c>
      <c r="G5171" s="112" t="s">
        <v>1091</v>
      </c>
      <c r="H5171" s="112" t="s">
        <v>1015</v>
      </c>
      <c r="I5171" s="112" t="s">
        <v>3261</v>
      </c>
      <c r="J5171" s="112" t="s">
        <v>3695</v>
      </c>
      <c r="K5171" s="112" t="s">
        <v>1098</v>
      </c>
      <c r="L5171" s="116">
        <v>223.05</v>
      </c>
    </row>
    <row r="5172" spans="1:12" hidden="1" outlineLevel="1" collapsed="1" x14ac:dyDescent="0.35">
      <c r="A5172" s="112" t="s">
        <v>3616</v>
      </c>
      <c r="B5172" s="112" t="s">
        <v>921</v>
      </c>
      <c r="C5172" s="112" t="s">
        <v>695</v>
      </c>
      <c r="D5172" s="113">
        <v>10348038</v>
      </c>
      <c r="E5172" s="115">
        <v>43928</v>
      </c>
      <c r="F5172" s="114">
        <v>202101</v>
      </c>
      <c r="G5172" s="112" t="s">
        <v>1091</v>
      </c>
      <c r="H5172" s="112" t="s">
        <v>1016</v>
      </c>
      <c r="I5172" s="112" t="s">
        <v>3846</v>
      </c>
      <c r="J5172" s="112" t="s">
        <v>3709</v>
      </c>
      <c r="K5172" s="112" t="s">
        <v>4273</v>
      </c>
      <c r="L5172" s="116">
        <v>320</v>
      </c>
    </row>
    <row r="5173" spans="1:12" hidden="1" outlineLevel="1" collapsed="1" x14ac:dyDescent="0.35">
      <c r="A5173" s="112" t="s">
        <v>3616</v>
      </c>
      <c r="B5173" s="112" t="s">
        <v>921</v>
      </c>
      <c r="C5173" s="112" t="s">
        <v>695</v>
      </c>
      <c r="D5173" s="113">
        <v>10348038</v>
      </c>
      <c r="E5173" s="115">
        <v>43928</v>
      </c>
      <c r="F5173" s="114">
        <v>202101</v>
      </c>
      <c r="G5173" s="112" t="s">
        <v>1091</v>
      </c>
      <c r="H5173" s="112" t="s">
        <v>1016</v>
      </c>
      <c r="I5173" s="112" t="s">
        <v>3846</v>
      </c>
      <c r="J5173" s="112" t="s">
        <v>3709</v>
      </c>
      <c r="K5173" s="112" t="s">
        <v>4274</v>
      </c>
      <c r="L5173" s="116">
        <v>-1089</v>
      </c>
    </row>
    <row r="5174" spans="1:12" hidden="1" outlineLevel="1" collapsed="1" x14ac:dyDescent="0.35">
      <c r="A5174" s="112" t="s">
        <v>3616</v>
      </c>
      <c r="B5174" s="112" t="s">
        <v>921</v>
      </c>
      <c r="C5174" s="112" t="s">
        <v>695</v>
      </c>
      <c r="D5174" s="113">
        <v>10348038</v>
      </c>
      <c r="E5174" s="115">
        <v>43928</v>
      </c>
      <c r="F5174" s="114">
        <v>202101</v>
      </c>
      <c r="G5174" s="112" t="s">
        <v>1091</v>
      </c>
      <c r="H5174" s="112" t="s">
        <v>1016</v>
      </c>
      <c r="I5174" s="112" t="s">
        <v>3846</v>
      </c>
      <c r="J5174" s="112" t="s">
        <v>3709</v>
      </c>
      <c r="K5174" s="112" t="s">
        <v>4275</v>
      </c>
      <c r="L5174" s="116">
        <v>-393.88</v>
      </c>
    </row>
    <row r="5175" spans="1:12" hidden="1" outlineLevel="1" collapsed="1" x14ac:dyDescent="0.35">
      <c r="A5175" s="112" t="s">
        <v>3616</v>
      </c>
      <c r="B5175" s="112" t="s">
        <v>922</v>
      </c>
      <c r="C5175" s="112" t="s">
        <v>1095</v>
      </c>
      <c r="D5175" s="113">
        <v>10348451</v>
      </c>
      <c r="E5175" s="115">
        <v>43949</v>
      </c>
      <c r="F5175" s="114">
        <v>202101</v>
      </c>
      <c r="G5175" s="112" t="s">
        <v>1091</v>
      </c>
      <c r="H5175" s="112" t="s">
        <v>1015</v>
      </c>
      <c r="I5175" s="112" t="s">
        <v>1101</v>
      </c>
      <c r="J5175" s="112" t="s">
        <v>3784</v>
      </c>
      <c r="K5175" s="112" t="s">
        <v>1098</v>
      </c>
      <c r="L5175" s="116">
        <v>250.84</v>
      </c>
    </row>
    <row r="5176" spans="1:12" hidden="1" outlineLevel="1" collapsed="1" x14ac:dyDescent="0.35">
      <c r="A5176" s="112" t="s">
        <v>3616</v>
      </c>
      <c r="B5176" s="112" t="s">
        <v>923</v>
      </c>
      <c r="C5176" s="112" t="s">
        <v>1095</v>
      </c>
      <c r="D5176" s="113">
        <v>10348451</v>
      </c>
      <c r="E5176" s="115">
        <v>43949</v>
      </c>
      <c r="F5176" s="114">
        <v>202101</v>
      </c>
      <c r="G5176" s="112" t="s">
        <v>1091</v>
      </c>
      <c r="H5176" s="112" t="s">
        <v>1015</v>
      </c>
      <c r="I5176" s="112" t="s">
        <v>1096</v>
      </c>
      <c r="J5176" s="112" t="s">
        <v>3750</v>
      </c>
      <c r="K5176" s="112" t="s">
        <v>1098</v>
      </c>
      <c r="L5176" s="116">
        <v>699.26</v>
      </c>
    </row>
    <row r="5177" spans="1:12" hidden="1" outlineLevel="1" collapsed="1" x14ac:dyDescent="0.35">
      <c r="A5177" s="112" t="s">
        <v>3616</v>
      </c>
      <c r="B5177" s="112" t="s">
        <v>921</v>
      </c>
      <c r="C5177" s="112" t="s">
        <v>695</v>
      </c>
      <c r="D5177" s="113">
        <v>10348038</v>
      </c>
      <c r="E5177" s="115">
        <v>43928</v>
      </c>
      <c r="F5177" s="114">
        <v>202101</v>
      </c>
      <c r="G5177" s="112" t="s">
        <v>1091</v>
      </c>
      <c r="H5177" s="112" t="s">
        <v>1016</v>
      </c>
      <c r="I5177" s="112" t="s">
        <v>3846</v>
      </c>
      <c r="J5177" s="112" t="s">
        <v>3709</v>
      </c>
      <c r="K5177" s="112" t="s">
        <v>4276</v>
      </c>
      <c r="L5177" s="116">
        <v>-1332</v>
      </c>
    </row>
    <row r="5178" spans="1:12" hidden="1" outlineLevel="1" collapsed="1" x14ac:dyDescent="0.35">
      <c r="A5178" s="112" t="s">
        <v>3616</v>
      </c>
      <c r="B5178" s="112" t="s">
        <v>921</v>
      </c>
      <c r="C5178" s="112" t="s">
        <v>695</v>
      </c>
      <c r="D5178" s="113">
        <v>10348038</v>
      </c>
      <c r="E5178" s="115">
        <v>43928</v>
      </c>
      <c r="F5178" s="114">
        <v>202101</v>
      </c>
      <c r="G5178" s="112" t="s">
        <v>1091</v>
      </c>
      <c r="H5178" s="112" t="s">
        <v>1016</v>
      </c>
      <c r="I5178" s="112" t="s">
        <v>3846</v>
      </c>
      <c r="J5178" s="112" t="s">
        <v>3709</v>
      </c>
      <c r="K5178" s="112" t="s">
        <v>4124</v>
      </c>
      <c r="L5178" s="116">
        <v>-75</v>
      </c>
    </row>
    <row r="5179" spans="1:12" hidden="1" outlineLevel="1" collapsed="1" x14ac:dyDescent="0.35">
      <c r="A5179" s="112" t="s">
        <v>3616</v>
      </c>
      <c r="B5179" s="112" t="s">
        <v>921</v>
      </c>
      <c r="C5179" s="112" t="s">
        <v>695</v>
      </c>
      <c r="D5179" s="113">
        <v>10348038</v>
      </c>
      <c r="E5179" s="115">
        <v>43928</v>
      </c>
      <c r="F5179" s="114">
        <v>202101</v>
      </c>
      <c r="G5179" s="112" t="s">
        <v>1091</v>
      </c>
      <c r="H5179" s="112" t="s">
        <v>1016</v>
      </c>
      <c r="I5179" s="112" t="s">
        <v>3846</v>
      </c>
      <c r="J5179" s="112" t="s">
        <v>3709</v>
      </c>
      <c r="K5179" s="112" t="s">
        <v>4277</v>
      </c>
      <c r="L5179" s="116">
        <v>-150</v>
      </c>
    </row>
    <row r="5180" spans="1:12" hidden="1" outlineLevel="1" collapsed="1" x14ac:dyDescent="0.35">
      <c r="A5180" s="112" t="s">
        <v>3616</v>
      </c>
      <c r="B5180" s="112" t="s">
        <v>921</v>
      </c>
      <c r="C5180" s="112" t="s">
        <v>695</v>
      </c>
      <c r="D5180" s="113">
        <v>10348038</v>
      </c>
      <c r="E5180" s="115">
        <v>43928</v>
      </c>
      <c r="F5180" s="114">
        <v>202101</v>
      </c>
      <c r="G5180" s="112" t="s">
        <v>1091</v>
      </c>
      <c r="H5180" s="112" t="s">
        <v>1016</v>
      </c>
      <c r="I5180" s="112" t="s">
        <v>819</v>
      </c>
      <c r="J5180" s="112" t="s">
        <v>3709</v>
      </c>
      <c r="K5180" s="112" t="s">
        <v>4278</v>
      </c>
      <c r="L5180" s="116">
        <v>150</v>
      </c>
    </row>
    <row r="5181" spans="1:12" hidden="1" outlineLevel="1" collapsed="1" x14ac:dyDescent="0.35">
      <c r="A5181" s="112" t="s">
        <v>3616</v>
      </c>
      <c r="B5181" s="112" t="s">
        <v>921</v>
      </c>
      <c r="C5181" s="112" t="s">
        <v>695</v>
      </c>
      <c r="D5181" s="113">
        <v>10348038</v>
      </c>
      <c r="E5181" s="115">
        <v>43928</v>
      </c>
      <c r="F5181" s="114">
        <v>202101</v>
      </c>
      <c r="G5181" s="112" t="s">
        <v>1091</v>
      </c>
      <c r="H5181" s="112" t="s">
        <v>1016</v>
      </c>
      <c r="I5181" s="112" t="s">
        <v>3899</v>
      </c>
      <c r="J5181" s="112" t="s">
        <v>3709</v>
      </c>
      <c r="K5181" s="112" t="s">
        <v>4279</v>
      </c>
      <c r="L5181" s="116">
        <v>-262.5</v>
      </c>
    </row>
    <row r="5182" spans="1:12" hidden="1" outlineLevel="1" collapsed="1" x14ac:dyDescent="0.35">
      <c r="A5182" s="112" t="s">
        <v>3616</v>
      </c>
      <c r="B5182" s="112" t="s">
        <v>921</v>
      </c>
      <c r="C5182" s="112" t="s">
        <v>1095</v>
      </c>
      <c r="D5182" s="113">
        <v>10348451</v>
      </c>
      <c r="E5182" s="115">
        <v>43949</v>
      </c>
      <c r="F5182" s="114">
        <v>202101</v>
      </c>
      <c r="G5182" s="112" t="s">
        <v>1091</v>
      </c>
      <c r="H5182" s="112" t="s">
        <v>1015</v>
      </c>
      <c r="I5182" s="112" t="s">
        <v>3261</v>
      </c>
      <c r="J5182" s="112" t="s">
        <v>3620</v>
      </c>
      <c r="K5182" s="112" t="s">
        <v>1098</v>
      </c>
      <c r="L5182" s="116">
        <v>36.799999999999997</v>
      </c>
    </row>
    <row r="5183" spans="1:12" hidden="1" outlineLevel="1" collapsed="1" x14ac:dyDescent="0.35">
      <c r="A5183" s="112" t="s">
        <v>3616</v>
      </c>
      <c r="B5183" s="112" t="s">
        <v>921</v>
      </c>
      <c r="C5183" s="112" t="s">
        <v>695</v>
      </c>
      <c r="D5183" s="113">
        <v>10348038</v>
      </c>
      <c r="E5183" s="115">
        <v>43928</v>
      </c>
      <c r="F5183" s="114">
        <v>202101</v>
      </c>
      <c r="G5183" s="112" t="s">
        <v>1091</v>
      </c>
      <c r="H5183" s="112" t="s">
        <v>1016</v>
      </c>
      <c r="I5183" s="112" t="s">
        <v>3899</v>
      </c>
      <c r="J5183" s="112" t="s">
        <v>3709</v>
      </c>
      <c r="K5183" s="112" t="s">
        <v>4280</v>
      </c>
      <c r="L5183" s="116">
        <v>-337.5</v>
      </c>
    </row>
    <row r="5184" spans="1:12" hidden="1" outlineLevel="1" collapsed="1" x14ac:dyDescent="0.35">
      <c r="A5184" s="112" t="s">
        <v>3616</v>
      </c>
      <c r="B5184" s="112" t="s">
        <v>921</v>
      </c>
      <c r="C5184" s="112" t="s">
        <v>695</v>
      </c>
      <c r="D5184" s="113">
        <v>10348038</v>
      </c>
      <c r="E5184" s="115">
        <v>43928</v>
      </c>
      <c r="F5184" s="114">
        <v>202101</v>
      </c>
      <c r="G5184" s="112" t="s">
        <v>1091</v>
      </c>
      <c r="H5184" s="112" t="s">
        <v>1016</v>
      </c>
      <c r="I5184" s="112" t="s">
        <v>3899</v>
      </c>
      <c r="J5184" s="112" t="s">
        <v>3709</v>
      </c>
      <c r="K5184" s="112" t="s">
        <v>4281</v>
      </c>
      <c r="L5184" s="116">
        <v>-262.5</v>
      </c>
    </row>
    <row r="5185" spans="1:12" hidden="1" outlineLevel="1" collapsed="1" x14ac:dyDescent="0.35">
      <c r="A5185" s="112" t="s">
        <v>3616</v>
      </c>
      <c r="B5185" s="112" t="s">
        <v>921</v>
      </c>
      <c r="C5185" s="112" t="s">
        <v>1095</v>
      </c>
      <c r="D5185" s="113">
        <v>10348451</v>
      </c>
      <c r="E5185" s="115">
        <v>43949</v>
      </c>
      <c r="F5185" s="114">
        <v>202101</v>
      </c>
      <c r="G5185" s="112" t="s">
        <v>1091</v>
      </c>
      <c r="H5185" s="112" t="s">
        <v>1015</v>
      </c>
      <c r="I5185" s="112" t="s">
        <v>1101</v>
      </c>
      <c r="J5185" s="112" t="s">
        <v>3620</v>
      </c>
      <c r="K5185" s="112" t="s">
        <v>1098</v>
      </c>
      <c r="L5185" s="116">
        <v>239.76</v>
      </c>
    </row>
    <row r="5186" spans="1:12" hidden="1" outlineLevel="1" collapsed="1" x14ac:dyDescent="0.35">
      <c r="A5186" s="112" t="s">
        <v>3616</v>
      </c>
      <c r="B5186" s="112" t="s">
        <v>921</v>
      </c>
      <c r="C5186" s="112" t="s">
        <v>695</v>
      </c>
      <c r="D5186" s="113">
        <v>10348038</v>
      </c>
      <c r="E5186" s="115">
        <v>43928</v>
      </c>
      <c r="F5186" s="114">
        <v>202101</v>
      </c>
      <c r="G5186" s="112" t="s">
        <v>1091</v>
      </c>
      <c r="H5186" s="112" t="s">
        <v>1016</v>
      </c>
      <c r="I5186" s="112" t="s">
        <v>3899</v>
      </c>
      <c r="J5186" s="112" t="s">
        <v>3709</v>
      </c>
      <c r="K5186" s="112" t="s">
        <v>4282</v>
      </c>
      <c r="L5186" s="116">
        <v>-262.5</v>
      </c>
    </row>
    <row r="5187" spans="1:12" hidden="1" outlineLevel="1" collapsed="1" x14ac:dyDescent="0.35">
      <c r="A5187" s="112" t="s">
        <v>3616</v>
      </c>
      <c r="B5187" s="112" t="s">
        <v>921</v>
      </c>
      <c r="C5187" s="112" t="s">
        <v>695</v>
      </c>
      <c r="D5187" s="113">
        <v>10348038</v>
      </c>
      <c r="E5187" s="115">
        <v>43928</v>
      </c>
      <c r="F5187" s="114">
        <v>202101</v>
      </c>
      <c r="G5187" s="112" t="s">
        <v>1091</v>
      </c>
      <c r="H5187" s="112" t="s">
        <v>1016</v>
      </c>
      <c r="I5187" s="112" t="s">
        <v>3899</v>
      </c>
      <c r="J5187" s="112" t="s">
        <v>3709</v>
      </c>
      <c r="K5187" s="112" t="s">
        <v>4283</v>
      </c>
      <c r="L5187" s="116">
        <v>-262.5</v>
      </c>
    </row>
    <row r="5188" spans="1:12" hidden="1" outlineLevel="1" collapsed="1" x14ac:dyDescent="0.35">
      <c r="A5188" s="112" t="s">
        <v>3616</v>
      </c>
      <c r="B5188" s="112" t="s">
        <v>921</v>
      </c>
      <c r="C5188" s="112" t="s">
        <v>695</v>
      </c>
      <c r="D5188" s="113">
        <v>10348038</v>
      </c>
      <c r="E5188" s="115">
        <v>43928</v>
      </c>
      <c r="F5188" s="114">
        <v>202101</v>
      </c>
      <c r="G5188" s="112" t="s">
        <v>1091</v>
      </c>
      <c r="H5188" s="112" t="s">
        <v>1016</v>
      </c>
      <c r="I5188" s="112" t="s">
        <v>3846</v>
      </c>
      <c r="J5188" s="112" t="s">
        <v>3709</v>
      </c>
      <c r="K5188" s="112" t="s">
        <v>3934</v>
      </c>
      <c r="L5188" s="116">
        <v>-2500</v>
      </c>
    </row>
    <row r="5189" spans="1:12" hidden="1" outlineLevel="1" collapsed="1" x14ac:dyDescent="0.35">
      <c r="A5189" s="112" t="s">
        <v>3616</v>
      </c>
      <c r="B5189" s="112" t="s">
        <v>921</v>
      </c>
      <c r="C5189" s="112" t="s">
        <v>695</v>
      </c>
      <c r="D5189" s="113">
        <v>10348038</v>
      </c>
      <c r="E5189" s="115">
        <v>43928</v>
      </c>
      <c r="F5189" s="114">
        <v>202101</v>
      </c>
      <c r="G5189" s="112" t="s">
        <v>1091</v>
      </c>
      <c r="H5189" s="112" t="s">
        <v>1016</v>
      </c>
      <c r="I5189" s="112" t="s">
        <v>3846</v>
      </c>
      <c r="J5189" s="112" t="s">
        <v>3709</v>
      </c>
      <c r="K5189" s="112" t="s">
        <v>4284</v>
      </c>
      <c r="L5189" s="116">
        <v>-1344</v>
      </c>
    </row>
    <row r="5190" spans="1:12" hidden="1" outlineLevel="1" collapsed="1" x14ac:dyDescent="0.35">
      <c r="A5190" s="112" t="s">
        <v>3616</v>
      </c>
      <c r="B5190" s="112" t="s">
        <v>921</v>
      </c>
      <c r="C5190" s="112" t="s">
        <v>695</v>
      </c>
      <c r="D5190" s="113">
        <v>10348038</v>
      </c>
      <c r="E5190" s="115">
        <v>43928</v>
      </c>
      <c r="F5190" s="114">
        <v>202101</v>
      </c>
      <c r="G5190" s="112" t="s">
        <v>1091</v>
      </c>
      <c r="H5190" s="112" t="s">
        <v>1016</v>
      </c>
      <c r="I5190" s="112" t="s">
        <v>3846</v>
      </c>
      <c r="J5190" s="112" t="s">
        <v>3709</v>
      </c>
      <c r="K5190" s="112" t="s">
        <v>4285</v>
      </c>
      <c r="L5190" s="116">
        <v>379</v>
      </c>
    </row>
    <row r="5191" spans="1:12" hidden="1" outlineLevel="1" collapsed="1" x14ac:dyDescent="0.35">
      <c r="A5191" s="112" t="s">
        <v>3616</v>
      </c>
      <c r="B5191" s="112" t="s">
        <v>921</v>
      </c>
      <c r="C5191" s="112" t="s">
        <v>695</v>
      </c>
      <c r="D5191" s="113">
        <v>10348038</v>
      </c>
      <c r="E5191" s="115">
        <v>43928</v>
      </c>
      <c r="F5191" s="114">
        <v>202101</v>
      </c>
      <c r="G5191" s="112" t="s">
        <v>1091</v>
      </c>
      <c r="H5191" s="112" t="s">
        <v>1016</v>
      </c>
      <c r="I5191" s="112" t="s">
        <v>3846</v>
      </c>
      <c r="J5191" s="112" t="s">
        <v>3709</v>
      </c>
      <c r="K5191" s="112" t="s">
        <v>4286</v>
      </c>
      <c r="L5191" s="116">
        <v>-1495</v>
      </c>
    </row>
    <row r="5192" spans="1:12" hidden="1" outlineLevel="1" collapsed="1" x14ac:dyDescent="0.35">
      <c r="A5192" s="112" t="s">
        <v>3616</v>
      </c>
      <c r="B5192" s="112" t="s">
        <v>921</v>
      </c>
      <c r="C5192" s="112" t="s">
        <v>695</v>
      </c>
      <c r="D5192" s="113">
        <v>10348038</v>
      </c>
      <c r="E5192" s="115">
        <v>43928</v>
      </c>
      <c r="F5192" s="114">
        <v>202101</v>
      </c>
      <c r="G5192" s="112" t="s">
        <v>1091</v>
      </c>
      <c r="H5192" s="112" t="s">
        <v>1016</v>
      </c>
      <c r="I5192" s="112" t="s">
        <v>3846</v>
      </c>
      <c r="J5192" s="112" t="s">
        <v>3709</v>
      </c>
      <c r="K5192" s="112" t="s">
        <v>4287</v>
      </c>
      <c r="L5192" s="116">
        <v>-366.88</v>
      </c>
    </row>
    <row r="5193" spans="1:12" hidden="1" outlineLevel="1" collapsed="1" x14ac:dyDescent="0.35">
      <c r="A5193" s="112" t="s">
        <v>3616</v>
      </c>
      <c r="B5193" s="112" t="s">
        <v>921</v>
      </c>
      <c r="C5193" s="112" t="s">
        <v>695</v>
      </c>
      <c r="D5193" s="113">
        <v>10348038</v>
      </c>
      <c r="E5193" s="115">
        <v>43928</v>
      </c>
      <c r="F5193" s="114">
        <v>202101</v>
      </c>
      <c r="G5193" s="112" t="s">
        <v>1091</v>
      </c>
      <c r="H5193" s="112" t="s">
        <v>1016</v>
      </c>
      <c r="I5193" s="112" t="s">
        <v>3846</v>
      </c>
      <c r="J5193" s="112" t="s">
        <v>3709</v>
      </c>
      <c r="K5193" s="112" t="s">
        <v>4176</v>
      </c>
      <c r="L5193" s="116">
        <v>-365</v>
      </c>
    </row>
    <row r="5194" spans="1:12" hidden="1" outlineLevel="1" collapsed="1" x14ac:dyDescent="0.35">
      <c r="A5194" s="112" t="s">
        <v>3616</v>
      </c>
      <c r="B5194" s="112" t="s">
        <v>919</v>
      </c>
      <c r="C5194" s="112" t="s">
        <v>1095</v>
      </c>
      <c r="D5194" s="113">
        <v>10348451</v>
      </c>
      <c r="E5194" s="115">
        <v>43949</v>
      </c>
      <c r="F5194" s="114">
        <v>202101</v>
      </c>
      <c r="G5194" s="112" t="s">
        <v>1091</v>
      </c>
      <c r="H5194" s="112" t="s">
        <v>1015</v>
      </c>
      <c r="I5194" s="112" t="s">
        <v>3261</v>
      </c>
      <c r="J5194" s="112" t="s">
        <v>3624</v>
      </c>
      <c r="K5194" s="112" t="s">
        <v>1098</v>
      </c>
      <c r="L5194" s="116">
        <v>213.86</v>
      </c>
    </row>
    <row r="5195" spans="1:12" hidden="1" outlineLevel="1" collapsed="1" x14ac:dyDescent="0.35">
      <c r="A5195" s="112" t="s">
        <v>3616</v>
      </c>
      <c r="B5195" s="112" t="s">
        <v>923</v>
      </c>
      <c r="C5195" s="112" t="s">
        <v>695</v>
      </c>
      <c r="D5195" s="113">
        <v>10348537</v>
      </c>
      <c r="E5195" s="115">
        <v>43951</v>
      </c>
      <c r="F5195" s="114">
        <v>202101</v>
      </c>
      <c r="G5195" s="112" t="s">
        <v>1091</v>
      </c>
      <c r="H5195" s="112" t="s">
        <v>1015</v>
      </c>
      <c r="I5195" s="112" t="s">
        <v>1605</v>
      </c>
      <c r="J5195" s="112" t="s">
        <v>3763</v>
      </c>
      <c r="K5195" s="112" t="s">
        <v>4288</v>
      </c>
      <c r="L5195" s="116">
        <v>-10818.02</v>
      </c>
    </row>
    <row r="5196" spans="1:12" hidden="1" outlineLevel="1" collapsed="1" x14ac:dyDescent="0.35">
      <c r="A5196" s="112" t="s">
        <v>3616</v>
      </c>
      <c r="B5196" s="112" t="s">
        <v>921</v>
      </c>
      <c r="C5196" s="112" t="s">
        <v>1095</v>
      </c>
      <c r="D5196" s="113">
        <v>10348451</v>
      </c>
      <c r="E5196" s="115">
        <v>43949</v>
      </c>
      <c r="F5196" s="114">
        <v>202101</v>
      </c>
      <c r="G5196" s="112" t="s">
        <v>1091</v>
      </c>
      <c r="H5196" s="112" t="s">
        <v>1015</v>
      </c>
      <c r="I5196" s="112" t="s">
        <v>1101</v>
      </c>
      <c r="J5196" s="112" t="s">
        <v>3620</v>
      </c>
      <c r="K5196" s="112" t="s">
        <v>1098</v>
      </c>
      <c r="L5196" s="116">
        <v>270.82</v>
      </c>
    </row>
    <row r="5197" spans="1:12" hidden="1" outlineLevel="1" collapsed="1" x14ac:dyDescent="0.35">
      <c r="A5197" s="112" t="s">
        <v>3616</v>
      </c>
      <c r="B5197" s="112" t="s">
        <v>921</v>
      </c>
      <c r="C5197" s="112" t="s">
        <v>695</v>
      </c>
      <c r="D5197" s="113">
        <v>10348038</v>
      </c>
      <c r="E5197" s="115">
        <v>43928</v>
      </c>
      <c r="F5197" s="114">
        <v>202101</v>
      </c>
      <c r="G5197" s="112" t="s">
        <v>1091</v>
      </c>
      <c r="H5197" s="112" t="s">
        <v>1016</v>
      </c>
      <c r="I5197" s="112" t="s">
        <v>3846</v>
      </c>
      <c r="J5197" s="112" t="s">
        <v>3709</v>
      </c>
      <c r="K5197" s="112" t="s">
        <v>4289</v>
      </c>
      <c r="L5197" s="116">
        <v>-1012</v>
      </c>
    </row>
    <row r="5198" spans="1:12" hidden="1" outlineLevel="1" collapsed="1" x14ac:dyDescent="0.35">
      <c r="A5198" s="112" t="s">
        <v>3616</v>
      </c>
      <c r="B5198" s="112" t="s">
        <v>921</v>
      </c>
      <c r="C5198" s="112" t="s">
        <v>695</v>
      </c>
      <c r="D5198" s="113">
        <v>10348038</v>
      </c>
      <c r="E5198" s="115">
        <v>43928</v>
      </c>
      <c r="F5198" s="114">
        <v>202101</v>
      </c>
      <c r="G5198" s="112" t="s">
        <v>1091</v>
      </c>
      <c r="H5198" s="112" t="s">
        <v>1016</v>
      </c>
      <c r="I5198" s="112" t="s">
        <v>3960</v>
      </c>
      <c r="J5198" s="112" t="s">
        <v>3709</v>
      </c>
      <c r="K5198" s="112" t="s">
        <v>4290</v>
      </c>
      <c r="L5198" s="116">
        <v>3000</v>
      </c>
    </row>
    <row r="5199" spans="1:12" hidden="1" outlineLevel="1" collapsed="1" x14ac:dyDescent="0.35">
      <c r="A5199" s="112" t="s">
        <v>3616</v>
      </c>
      <c r="B5199" s="112" t="s">
        <v>921</v>
      </c>
      <c r="C5199" s="112" t="s">
        <v>695</v>
      </c>
      <c r="D5199" s="113">
        <v>10348038</v>
      </c>
      <c r="E5199" s="115">
        <v>43928</v>
      </c>
      <c r="F5199" s="114">
        <v>202101</v>
      </c>
      <c r="G5199" s="112" t="s">
        <v>1091</v>
      </c>
      <c r="H5199" s="112" t="s">
        <v>1016</v>
      </c>
      <c r="I5199" s="112" t="s">
        <v>3899</v>
      </c>
      <c r="J5199" s="112" t="s">
        <v>3709</v>
      </c>
      <c r="K5199" s="112" t="s">
        <v>4291</v>
      </c>
      <c r="L5199" s="116">
        <v>-262.5</v>
      </c>
    </row>
    <row r="5200" spans="1:12" hidden="1" outlineLevel="1" collapsed="1" x14ac:dyDescent="0.35">
      <c r="A5200" s="112" t="s">
        <v>3616</v>
      </c>
      <c r="B5200" s="112" t="s">
        <v>921</v>
      </c>
      <c r="C5200" s="112" t="s">
        <v>695</v>
      </c>
      <c r="D5200" s="113">
        <v>10348038</v>
      </c>
      <c r="E5200" s="115">
        <v>43928</v>
      </c>
      <c r="F5200" s="114">
        <v>202101</v>
      </c>
      <c r="G5200" s="112" t="s">
        <v>1091</v>
      </c>
      <c r="H5200" s="112" t="s">
        <v>1016</v>
      </c>
      <c r="I5200" s="112" t="s">
        <v>3899</v>
      </c>
      <c r="J5200" s="112" t="s">
        <v>3709</v>
      </c>
      <c r="K5200" s="112" t="s">
        <v>4292</v>
      </c>
      <c r="L5200" s="116">
        <v>-262.5</v>
      </c>
    </row>
    <row r="5201" spans="1:12" hidden="1" outlineLevel="1" collapsed="1" x14ac:dyDescent="0.35">
      <c r="A5201" s="112" t="s">
        <v>3616</v>
      </c>
      <c r="B5201" s="112" t="s">
        <v>921</v>
      </c>
      <c r="C5201" s="112" t="s">
        <v>695</v>
      </c>
      <c r="D5201" s="113">
        <v>10348038</v>
      </c>
      <c r="E5201" s="115">
        <v>43928</v>
      </c>
      <c r="F5201" s="114">
        <v>202101</v>
      </c>
      <c r="G5201" s="112" t="s">
        <v>1091</v>
      </c>
      <c r="H5201" s="112" t="s">
        <v>1016</v>
      </c>
      <c r="I5201" s="112" t="s">
        <v>3899</v>
      </c>
      <c r="J5201" s="112" t="s">
        <v>3709</v>
      </c>
      <c r="K5201" s="112" t="s">
        <v>4293</v>
      </c>
      <c r="L5201" s="116">
        <v>-262.5</v>
      </c>
    </row>
    <row r="5202" spans="1:12" hidden="1" outlineLevel="1" collapsed="1" x14ac:dyDescent="0.35">
      <c r="A5202" s="112" t="s">
        <v>3616</v>
      </c>
      <c r="B5202" s="112" t="s">
        <v>921</v>
      </c>
      <c r="C5202" s="112" t="s">
        <v>695</v>
      </c>
      <c r="D5202" s="113">
        <v>10348038</v>
      </c>
      <c r="E5202" s="115">
        <v>43928</v>
      </c>
      <c r="F5202" s="114">
        <v>202101</v>
      </c>
      <c r="G5202" s="112" t="s">
        <v>1091</v>
      </c>
      <c r="H5202" s="112" t="s">
        <v>1016</v>
      </c>
      <c r="I5202" s="112" t="s">
        <v>4103</v>
      </c>
      <c r="J5202" s="112" t="s">
        <v>3709</v>
      </c>
      <c r="K5202" s="112" t="s">
        <v>3946</v>
      </c>
      <c r="L5202" s="116">
        <v>-100</v>
      </c>
    </row>
    <row r="5203" spans="1:12" hidden="1" outlineLevel="1" collapsed="1" x14ac:dyDescent="0.35">
      <c r="A5203" s="112" t="s">
        <v>3616</v>
      </c>
      <c r="B5203" s="112" t="s">
        <v>921</v>
      </c>
      <c r="C5203" s="112" t="s">
        <v>695</v>
      </c>
      <c r="D5203" s="113">
        <v>10348038</v>
      </c>
      <c r="E5203" s="115">
        <v>43928</v>
      </c>
      <c r="F5203" s="114">
        <v>202101</v>
      </c>
      <c r="G5203" s="112" t="s">
        <v>1091</v>
      </c>
      <c r="H5203" s="112" t="s">
        <v>1016</v>
      </c>
      <c r="I5203" s="112" t="s">
        <v>4103</v>
      </c>
      <c r="J5203" s="112" t="s">
        <v>3709</v>
      </c>
      <c r="K5203" s="112" t="s">
        <v>4258</v>
      </c>
      <c r="L5203" s="116">
        <v>-100</v>
      </c>
    </row>
    <row r="5204" spans="1:12" hidden="1" outlineLevel="1" collapsed="1" x14ac:dyDescent="0.35">
      <c r="A5204" s="112" t="s">
        <v>3616</v>
      </c>
      <c r="B5204" s="112" t="s">
        <v>921</v>
      </c>
      <c r="C5204" s="112" t="s">
        <v>1095</v>
      </c>
      <c r="D5204" s="113">
        <v>10348451</v>
      </c>
      <c r="E5204" s="115">
        <v>43949</v>
      </c>
      <c r="F5204" s="114">
        <v>202101</v>
      </c>
      <c r="G5204" s="112" t="s">
        <v>1091</v>
      </c>
      <c r="H5204" s="112" t="s">
        <v>1015</v>
      </c>
      <c r="I5204" s="112" t="s">
        <v>1101</v>
      </c>
      <c r="J5204" s="112" t="s">
        <v>3709</v>
      </c>
      <c r="K5204" s="112" t="s">
        <v>1098</v>
      </c>
      <c r="L5204" s="116">
        <v>366.04</v>
      </c>
    </row>
    <row r="5205" spans="1:12" hidden="1" outlineLevel="1" collapsed="1" x14ac:dyDescent="0.35">
      <c r="A5205" s="112" t="s">
        <v>3616</v>
      </c>
      <c r="B5205" s="112" t="s">
        <v>922</v>
      </c>
      <c r="C5205" s="112" t="s">
        <v>1095</v>
      </c>
      <c r="D5205" s="113">
        <v>10348451</v>
      </c>
      <c r="E5205" s="115">
        <v>43949</v>
      </c>
      <c r="F5205" s="114">
        <v>202101</v>
      </c>
      <c r="G5205" s="112" t="s">
        <v>1091</v>
      </c>
      <c r="H5205" s="112" t="s">
        <v>1015</v>
      </c>
      <c r="I5205" s="112" t="s">
        <v>1101</v>
      </c>
      <c r="J5205" s="112" t="s">
        <v>3766</v>
      </c>
      <c r="K5205" s="112" t="s">
        <v>1098</v>
      </c>
      <c r="L5205" s="116">
        <v>494.19</v>
      </c>
    </row>
    <row r="5206" spans="1:12" hidden="1" outlineLevel="1" collapsed="1" x14ac:dyDescent="0.35">
      <c r="A5206" s="112" t="s">
        <v>3616</v>
      </c>
      <c r="B5206" s="112" t="s">
        <v>921</v>
      </c>
      <c r="C5206" s="112" t="s">
        <v>695</v>
      </c>
      <c r="D5206" s="113">
        <v>10348038</v>
      </c>
      <c r="E5206" s="115">
        <v>43928</v>
      </c>
      <c r="F5206" s="114">
        <v>202101</v>
      </c>
      <c r="G5206" s="112" t="s">
        <v>1091</v>
      </c>
      <c r="H5206" s="112" t="s">
        <v>1016</v>
      </c>
      <c r="I5206" s="112" t="s">
        <v>4103</v>
      </c>
      <c r="J5206" s="112" t="s">
        <v>3709</v>
      </c>
      <c r="K5206" s="112" t="s">
        <v>4133</v>
      </c>
      <c r="L5206" s="116">
        <v>100</v>
      </c>
    </row>
    <row r="5207" spans="1:12" hidden="1" outlineLevel="1" collapsed="1" x14ac:dyDescent="0.35">
      <c r="A5207" s="112" t="s">
        <v>3616</v>
      </c>
      <c r="B5207" s="112" t="s">
        <v>921</v>
      </c>
      <c r="C5207" s="112" t="s">
        <v>695</v>
      </c>
      <c r="D5207" s="113">
        <v>10348038</v>
      </c>
      <c r="E5207" s="115">
        <v>43928</v>
      </c>
      <c r="F5207" s="114">
        <v>202101</v>
      </c>
      <c r="G5207" s="112" t="s">
        <v>1091</v>
      </c>
      <c r="H5207" s="112" t="s">
        <v>1016</v>
      </c>
      <c r="I5207" s="112" t="s">
        <v>3899</v>
      </c>
      <c r="J5207" s="112" t="s">
        <v>3709</v>
      </c>
      <c r="K5207" s="112" t="s">
        <v>4294</v>
      </c>
      <c r="L5207" s="116">
        <v>-262.5</v>
      </c>
    </row>
    <row r="5208" spans="1:12" hidden="1" outlineLevel="1" collapsed="1" x14ac:dyDescent="0.35">
      <c r="A5208" s="112" t="s">
        <v>3616</v>
      </c>
      <c r="B5208" s="112" t="s">
        <v>921</v>
      </c>
      <c r="C5208" s="112" t="s">
        <v>695</v>
      </c>
      <c r="D5208" s="113">
        <v>10348038</v>
      </c>
      <c r="E5208" s="115">
        <v>43928</v>
      </c>
      <c r="F5208" s="114">
        <v>202101</v>
      </c>
      <c r="G5208" s="112" t="s">
        <v>1091</v>
      </c>
      <c r="H5208" s="112" t="s">
        <v>1016</v>
      </c>
      <c r="I5208" s="112" t="s">
        <v>3899</v>
      </c>
      <c r="J5208" s="112" t="s">
        <v>3709</v>
      </c>
      <c r="K5208" s="112" t="s">
        <v>4210</v>
      </c>
      <c r="L5208" s="116">
        <v>-1057.5</v>
      </c>
    </row>
    <row r="5209" spans="1:12" hidden="1" outlineLevel="1" collapsed="1" x14ac:dyDescent="0.35">
      <c r="A5209" s="112" t="s">
        <v>3616</v>
      </c>
      <c r="B5209" s="112" t="s">
        <v>921</v>
      </c>
      <c r="C5209" s="112" t="s">
        <v>695</v>
      </c>
      <c r="D5209" s="113">
        <v>10348038</v>
      </c>
      <c r="E5209" s="115">
        <v>43928</v>
      </c>
      <c r="F5209" s="114">
        <v>202101</v>
      </c>
      <c r="G5209" s="112" t="s">
        <v>1091</v>
      </c>
      <c r="H5209" s="112" t="s">
        <v>1016</v>
      </c>
      <c r="I5209" s="112" t="s">
        <v>3899</v>
      </c>
      <c r="J5209" s="112" t="s">
        <v>3709</v>
      </c>
      <c r="K5209" s="112" t="s">
        <v>4295</v>
      </c>
      <c r="L5209" s="116">
        <v>-262.5</v>
      </c>
    </row>
    <row r="5210" spans="1:12" hidden="1" outlineLevel="1" collapsed="1" x14ac:dyDescent="0.35">
      <c r="A5210" s="112" t="s">
        <v>3616</v>
      </c>
      <c r="B5210" s="112" t="s">
        <v>921</v>
      </c>
      <c r="C5210" s="112" t="s">
        <v>695</v>
      </c>
      <c r="D5210" s="113">
        <v>10348038</v>
      </c>
      <c r="E5210" s="115">
        <v>43928</v>
      </c>
      <c r="F5210" s="114">
        <v>202101</v>
      </c>
      <c r="G5210" s="112" t="s">
        <v>1091</v>
      </c>
      <c r="H5210" s="112" t="s">
        <v>1016</v>
      </c>
      <c r="I5210" s="112" t="s">
        <v>3899</v>
      </c>
      <c r="J5210" s="112" t="s">
        <v>3709</v>
      </c>
      <c r="K5210" s="112" t="s">
        <v>4296</v>
      </c>
      <c r="L5210" s="116">
        <v>-236.25</v>
      </c>
    </row>
    <row r="5211" spans="1:12" hidden="1" outlineLevel="1" collapsed="1" x14ac:dyDescent="0.35">
      <c r="A5211" s="112" t="s">
        <v>3616</v>
      </c>
      <c r="B5211" s="112" t="s">
        <v>921</v>
      </c>
      <c r="C5211" s="112" t="s">
        <v>695</v>
      </c>
      <c r="D5211" s="113">
        <v>10348038</v>
      </c>
      <c r="E5211" s="115">
        <v>43928</v>
      </c>
      <c r="F5211" s="114">
        <v>202101</v>
      </c>
      <c r="G5211" s="112" t="s">
        <v>1091</v>
      </c>
      <c r="H5211" s="112" t="s">
        <v>1016</v>
      </c>
      <c r="I5211" s="112" t="s">
        <v>3899</v>
      </c>
      <c r="J5211" s="112" t="s">
        <v>3709</v>
      </c>
      <c r="K5211" s="112" t="s">
        <v>4297</v>
      </c>
      <c r="L5211" s="116">
        <v>-137.5</v>
      </c>
    </row>
    <row r="5212" spans="1:12" hidden="1" outlineLevel="1" collapsed="1" x14ac:dyDescent="0.35">
      <c r="A5212" s="112" t="s">
        <v>3616</v>
      </c>
      <c r="B5212" s="112" t="s">
        <v>921</v>
      </c>
      <c r="C5212" s="112" t="s">
        <v>695</v>
      </c>
      <c r="D5212" s="113">
        <v>10348038</v>
      </c>
      <c r="E5212" s="115">
        <v>43928</v>
      </c>
      <c r="F5212" s="114">
        <v>202101</v>
      </c>
      <c r="G5212" s="112" t="s">
        <v>1091</v>
      </c>
      <c r="H5212" s="112" t="s">
        <v>1016</v>
      </c>
      <c r="I5212" s="112" t="s">
        <v>3846</v>
      </c>
      <c r="J5212" s="112" t="s">
        <v>3709</v>
      </c>
      <c r="K5212" s="112" t="s">
        <v>4298</v>
      </c>
      <c r="L5212" s="116">
        <v>1085</v>
      </c>
    </row>
    <row r="5213" spans="1:12" hidden="1" outlineLevel="1" collapsed="1" x14ac:dyDescent="0.35">
      <c r="A5213" s="112" t="s">
        <v>3616</v>
      </c>
      <c r="B5213" s="112" t="s">
        <v>921</v>
      </c>
      <c r="C5213" s="112" t="s">
        <v>1095</v>
      </c>
      <c r="D5213" s="113">
        <v>10348451</v>
      </c>
      <c r="E5213" s="115">
        <v>43949</v>
      </c>
      <c r="F5213" s="114">
        <v>202101</v>
      </c>
      <c r="G5213" s="112" t="s">
        <v>1091</v>
      </c>
      <c r="H5213" s="112" t="s">
        <v>1015</v>
      </c>
      <c r="I5213" s="112" t="s">
        <v>1101</v>
      </c>
      <c r="J5213" s="112" t="s">
        <v>3620</v>
      </c>
      <c r="K5213" s="112" t="s">
        <v>1098</v>
      </c>
      <c r="L5213" s="116">
        <v>280.17</v>
      </c>
    </row>
    <row r="5214" spans="1:12" hidden="1" outlineLevel="1" collapsed="1" x14ac:dyDescent="0.35">
      <c r="A5214" s="112" t="s">
        <v>3616</v>
      </c>
      <c r="B5214" s="112" t="s">
        <v>921</v>
      </c>
      <c r="C5214" s="112" t="s">
        <v>695</v>
      </c>
      <c r="D5214" s="113">
        <v>10348038</v>
      </c>
      <c r="E5214" s="115">
        <v>43928</v>
      </c>
      <c r="F5214" s="114">
        <v>202101</v>
      </c>
      <c r="G5214" s="112" t="s">
        <v>1091</v>
      </c>
      <c r="H5214" s="112" t="s">
        <v>1016</v>
      </c>
      <c r="I5214" s="112" t="s">
        <v>3846</v>
      </c>
      <c r="J5214" s="112" t="s">
        <v>3709</v>
      </c>
      <c r="K5214" s="112" t="s">
        <v>4299</v>
      </c>
      <c r="L5214" s="116">
        <v>-1126</v>
      </c>
    </row>
    <row r="5215" spans="1:12" hidden="1" outlineLevel="1" collapsed="1" x14ac:dyDescent="0.35">
      <c r="A5215" s="112" t="s">
        <v>3616</v>
      </c>
      <c r="B5215" s="112" t="s">
        <v>921</v>
      </c>
      <c r="C5215" s="112" t="s">
        <v>695</v>
      </c>
      <c r="D5215" s="113">
        <v>10348038</v>
      </c>
      <c r="E5215" s="115">
        <v>43928</v>
      </c>
      <c r="F5215" s="114">
        <v>202101</v>
      </c>
      <c r="G5215" s="112" t="s">
        <v>1091</v>
      </c>
      <c r="H5215" s="112" t="s">
        <v>1016</v>
      </c>
      <c r="I5215" s="112" t="s">
        <v>3846</v>
      </c>
      <c r="J5215" s="112" t="s">
        <v>3709</v>
      </c>
      <c r="K5215" s="112" t="s">
        <v>4176</v>
      </c>
      <c r="L5215" s="116">
        <v>-365</v>
      </c>
    </row>
    <row r="5216" spans="1:12" hidden="1" outlineLevel="1" collapsed="1" x14ac:dyDescent="0.35">
      <c r="A5216" s="112" t="s">
        <v>3616</v>
      </c>
      <c r="B5216" s="112" t="s">
        <v>921</v>
      </c>
      <c r="C5216" s="112" t="s">
        <v>695</v>
      </c>
      <c r="D5216" s="113">
        <v>10348038</v>
      </c>
      <c r="E5216" s="115">
        <v>43928</v>
      </c>
      <c r="F5216" s="114">
        <v>202101</v>
      </c>
      <c r="G5216" s="112" t="s">
        <v>1091</v>
      </c>
      <c r="H5216" s="112" t="s">
        <v>1016</v>
      </c>
      <c r="I5216" s="112" t="s">
        <v>3846</v>
      </c>
      <c r="J5216" s="112" t="s">
        <v>3709</v>
      </c>
      <c r="K5216" s="112" t="s">
        <v>4300</v>
      </c>
      <c r="L5216" s="116">
        <v>-365</v>
      </c>
    </row>
    <row r="5217" spans="1:12" hidden="1" outlineLevel="1" collapsed="1" x14ac:dyDescent="0.35">
      <c r="A5217" s="112" t="s">
        <v>3616</v>
      </c>
      <c r="B5217" s="112" t="s">
        <v>921</v>
      </c>
      <c r="C5217" s="112" t="s">
        <v>695</v>
      </c>
      <c r="D5217" s="113">
        <v>10348038</v>
      </c>
      <c r="E5217" s="115">
        <v>43928</v>
      </c>
      <c r="F5217" s="114">
        <v>202101</v>
      </c>
      <c r="G5217" s="112" t="s">
        <v>1091</v>
      </c>
      <c r="H5217" s="112" t="s">
        <v>1016</v>
      </c>
      <c r="I5217" s="112" t="s">
        <v>3846</v>
      </c>
      <c r="J5217" s="112" t="s">
        <v>3709</v>
      </c>
      <c r="K5217" s="112" t="s">
        <v>4301</v>
      </c>
      <c r="L5217" s="116">
        <v>-365</v>
      </c>
    </row>
    <row r="5218" spans="1:12" hidden="1" outlineLevel="1" collapsed="1" x14ac:dyDescent="0.35">
      <c r="A5218" s="112" t="s">
        <v>3616</v>
      </c>
      <c r="B5218" s="112" t="s">
        <v>921</v>
      </c>
      <c r="C5218" s="112" t="s">
        <v>695</v>
      </c>
      <c r="D5218" s="113">
        <v>10348038</v>
      </c>
      <c r="E5218" s="115">
        <v>43928</v>
      </c>
      <c r="F5218" s="114">
        <v>202101</v>
      </c>
      <c r="G5218" s="112" t="s">
        <v>1091</v>
      </c>
      <c r="H5218" s="112" t="s">
        <v>1016</v>
      </c>
      <c r="I5218" s="112" t="s">
        <v>3846</v>
      </c>
      <c r="J5218" s="112" t="s">
        <v>3709</v>
      </c>
      <c r="K5218" s="112" t="s">
        <v>4302</v>
      </c>
      <c r="L5218" s="116">
        <v>-1310</v>
      </c>
    </row>
    <row r="5219" spans="1:12" hidden="1" outlineLevel="1" collapsed="1" x14ac:dyDescent="0.35">
      <c r="A5219" s="112" t="s">
        <v>3616</v>
      </c>
      <c r="B5219" s="112" t="s">
        <v>921</v>
      </c>
      <c r="C5219" s="112" t="s">
        <v>695</v>
      </c>
      <c r="D5219" s="113">
        <v>10348038</v>
      </c>
      <c r="E5219" s="115">
        <v>43928</v>
      </c>
      <c r="F5219" s="114">
        <v>202101</v>
      </c>
      <c r="G5219" s="112" t="s">
        <v>1091</v>
      </c>
      <c r="H5219" s="112" t="s">
        <v>1016</v>
      </c>
      <c r="I5219" s="112" t="s">
        <v>3846</v>
      </c>
      <c r="J5219" s="112" t="s">
        <v>3709</v>
      </c>
      <c r="K5219" s="112" t="s">
        <v>4303</v>
      </c>
      <c r="L5219" s="116">
        <v>-1500</v>
      </c>
    </row>
    <row r="5220" spans="1:12" hidden="1" outlineLevel="1" collapsed="1" x14ac:dyDescent="0.35">
      <c r="A5220" s="112" t="s">
        <v>3616</v>
      </c>
      <c r="B5220" s="112" t="s">
        <v>921</v>
      </c>
      <c r="C5220" s="112" t="s">
        <v>695</v>
      </c>
      <c r="D5220" s="113">
        <v>10348038</v>
      </c>
      <c r="E5220" s="115">
        <v>43928</v>
      </c>
      <c r="F5220" s="114">
        <v>202101</v>
      </c>
      <c r="G5220" s="112" t="s">
        <v>1091</v>
      </c>
      <c r="H5220" s="112" t="s">
        <v>1016</v>
      </c>
      <c r="I5220" s="112" t="s">
        <v>3846</v>
      </c>
      <c r="J5220" s="112" t="s">
        <v>3709</v>
      </c>
      <c r="K5220" s="112" t="s">
        <v>4304</v>
      </c>
      <c r="L5220" s="116">
        <v>-2410</v>
      </c>
    </row>
    <row r="5221" spans="1:12" hidden="1" outlineLevel="1" collapsed="1" x14ac:dyDescent="0.35">
      <c r="A5221" s="112" t="s">
        <v>3616</v>
      </c>
      <c r="B5221" s="112" t="s">
        <v>921</v>
      </c>
      <c r="C5221" s="112" t="s">
        <v>1095</v>
      </c>
      <c r="D5221" s="113">
        <v>10348451</v>
      </c>
      <c r="E5221" s="115">
        <v>43949</v>
      </c>
      <c r="F5221" s="114">
        <v>202101</v>
      </c>
      <c r="G5221" s="112" t="s">
        <v>1091</v>
      </c>
      <c r="H5221" s="112" t="s">
        <v>1015</v>
      </c>
      <c r="I5221" s="112" t="s">
        <v>1101</v>
      </c>
      <c r="J5221" s="112" t="s">
        <v>3620</v>
      </c>
      <c r="K5221" s="112" t="s">
        <v>1098</v>
      </c>
      <c r="L5221" s="116">
        <v>654.58000000000004</v>
      </c>
    </row>
    <row r="5222" spans="1:12" hidden="1" outlineLevel="1" collapsed="1" x14ac:dyDescent="0.35">
      <c r="A5222" s="112" t="s">
        <v>3616</v>
      </c>
      <c r="B5222" s="112" t="s">
        <v>921</v>
      </c>
      <c r="C5222" s="112" t="s">
        <v>695</v>
      </c>
      <c r="D5222" s="113">
        <v>10348038</v>
      </c>
      <c r="E5222" s="115">
        <v>43928</v>
      </c>
      <c r="F5222" s="114">
        <v>202101</v>
      </c>
      <c r="G5222" s="112" t="s">
        <v>1091</v>
      </c>
      <c r="H5222" s="112" t="s">
        <v>1016</v>
      </c>
      <c r="I5222" s="112" t="s">
        <v>3846</v>
      </c>
      <c r="J5222" s="112" t="s">
        <v>3709</v>
      </c>
      <c r="K5222" s="112" t="s">
        <v>4305</v>
      </c>
      <c r="L5222" s="116">
        <v>-351.88</v>
      </c>
    </row>
    <row r="5223" spans="1:12" hidden="1" outlineLevel="1" collapsed="1" x14ac:dyDescent="0.35">
      <c r="A5223" s="112" t="s">
        <v>3616</v>
      </c>
      <c r="B5223" s="112" t="s">
        <v>921</v>
      </c>
      <c r="C5223" s="112" t="s">
        <v>695</v>
      </c>
      <c r="D5223" s="113">
        <v>10348038</v>
      </c>
      <c r="E5223" s="115">
        <v>43928</v>
      </c>
      <c r="F5223" s="114">
        <v>202101</v>
      </c>
      <c r="G5223" s="112" t="s">
        <v>1091</v>
      </c>
      <c r="H5223" s="112" t="s">
        <v>1016</v>
      </c>
      <c r="I5223" s="112" t="s">
        <v>3846</v>
      </c>
      <c r="J5223" s="112" t="s">
        <v>3709</v>
      </c>
      <c r="K5223" s="112" t="s">
        <v>4306</v>
      </c>
      <c r="L5223" s="116">
        <v>-1145</v>
      </c>
    </row>
    <row r="5224" spans="1:12" hidden="1" outlineLevel="1" collapsed="1" x14ac:dyDescent="0.35">
      <c r="A5224" s="112" t="s">
        <v>3616</v>
      </c>
      <c r="B5224" s="112" t="s">
        <v>921</v>
      </c>
      <c r="C5224" s="112" t="s">
        <v>695</v>
      </c>
      <c r="D5224" s="113">
        <v>10348038</v>
      </c>
      <c r="E5224" s="115">
        <v>43928</v>
      </c>
      <c r="F5224" s="114">
        <v>202101</v>
      </c>
      <c r="G5224" s="112" t="s">
        <v>1091</v>
      </c>
      <c r="H5224" s="112" t="s">
        <v>1016</v>
      </c>
      <c r="I5224" s="112" t="s">
        <v>3846</v>
      </c>
      <c r="J5224" s="112" t="s">
        <v>3709</v>
      </c>
      <c r="K5224" s="112" t="s">
        <v>4307</v>
      </c>
      <c r="L5224" s="116">
        <v>2410</v>
      </c>
    </row>
    <row r="5225" spans="1:12" hidden="1" outlineLevel="1" collapsed="1" x14ac:dyDescent="0.35">
      <c r="A5225" s="112" t="s">
        <v>3616</v>
      </c>
      <c r="B5225" s="112" t="s">
        <v>921</v>
      </c>
      <c r="C5225" s="112" t="s">
        <v>695</v>
      </c>
      <c r="D5225" s="113">
        <v>10348038</v>
      </c>
      <c r="E5225" s="115">
        <v>43928</v>
      </c>
      <c r="F5225" s="114">
        <v>202101</v>
      </c>
      <c r="G5225" s="112" t="s">
        <v>1091</v>
      </c>
      <c r="H5225" s="112" t="s">
        <v>1016</v>
      </c>
      <c r="I5225" s="112" t="s">
        <v>3899</v>
      </c>
      <c r="J5225" s="112" t="s">
        <v>3709</v>
      </c>
      <c r="K5225" s="112" t="s">
        <v>4308</v>
      </c>
      <c r="L5225" s="116">
        <v>-262.5</v>
      </c>
    </row>
    <row r="5226" spans="1:12" hidden="1" outlineLevel="1" collapsed="1" x14ac:dyDescent="0.35">
      <c r="A5226" s="112" t="s">
        <v>3616</v>
      </c>
      <c r="B5226" s="112" t="s">
        <v>921</v>
      </c>
      <c r="C5226" s="112" t="s">
        <v>695</v>
      </c>
      <c r="D5226" s="113">
        <v>10348038</v>
      </c>
      <c r="E5226" s="115">
        <v>43928</v>
      </c>
      <c r="F5226" s="114">
        <v>202101</v>
      </c>
      <c r="G5226" s="112" t="s">
        <v>1091</v>
      </c>
      <c r="H5226" s="112" t="s">
        <v>1016</v>
      </c>
      <c r="I5226" s="112" t="s">
        <v>3899</v>
      </c>
      <c r="J5226" s="112" t="s">
        <v>3709</v>
      </c>
      <c r="K5226" s="112" t="s">
        <v>4309</v>
      </c>
      <c r="L5226" s="116">
        <v>-1563.75</v>
      </c>
    </row>
    <row r="5227" spans="1:12" hidden="1" outlineLevel="1" collapsed="1" x14ac:dyDescent="0.35">
      <c r="A5227" s="112" t="s">
        <v>3616</v>
      </c>
      <c r="B5227" s="112" t="s">
        <v>921</v>
      </c>
      <c r="C5227" s="112" t="s">
        <v>695</v>
      </c>
      <c r="D5227" s="113">
        <v>10348038</v>
      </c>
      <c r="E5227" s="115">
        <v>43928</v>
      </c>
      <c r="F5227" s="114">
        <v>202101</v>
      </c>
      <c r="G5227" s="112" t="s">
        <v>1091</v>
      </c>
      <c r="H5227" s="112" t="s">
        <v>1016</v>
      </c>
      <c r="I5227" s="112" t="s">
        <v>3899</v>
      </c>
      <c r="J5227" s="112" t="s">
        <v>3709</v>
      </c>
      <c r="K5227" s="112" t="s">
        <v>4310</v>
      </c>
      <c r="L5227" s="116">
        <v>-836.25</v>
      </c>
    </row>
    <row r="5228" spans="1:12" hidden="1" outlineLevel="1" collapsed="1" x14ac:dyDescent="0.35">
      <c r="A5228" s="112" t="s">
        <v>3616</v>
      </c>
      <c r="B5228" s="112" t="s">
        <v>921</v>
      </c>
      <c r="C5228" s="112" t="s">
        <v>695</v>
      </c>
      <c r="D5228" s="113">
        <v>10348038</v>
      </c>
      <c r="E5228" s="115">
        <v>43928</v>
      </c>
      <c r="F5228" s="114">
        <v>202101</v>
      </c>
      <c r="G5228" s="112" t="s">
        <v>1091</v>
      </c>
      <c r="H5228" s="112" t="s">
        <v>1016</v>
      </c>
      <c r="I5228" s="112" t="s">
        <v>3846</v>
      </c>
      <c r="J5228" s="112" t="s">
        <v>3709</v>
      </c>
      <c r="K5228" s="112" t="s">
        <v>4311</v>
      </c>
      <c r="L5228" s="116">
        <v>-1350</v>
      </c>
    </row>
    <row r="5229" spans="1:12" hidden="1" outlineLevel="1" collapsed="1" x14ac:dyDescent="0.35">
      <c r="A5229" s="112" t="s">
        <v>3616</v>
      </c>
      <c r="B5229" s="112" t="s">
        <v>923</v>
      </c>
      <c r="C5229" s="112" t="s">
        <v>1095</v>
      </c>
      <c r="D5229" s="113">
        <v>10348451</v>
      </c>
      <c r="E5229" s="115">
        <v>43949</v>
      </c>
      <c r="F5229" s="114">
        <v>202101</v>
      </c>
      <c r="G5229" s="112" t="s">
        <v>1091</v>
      </c>
      <c r="H5229" s="112" t="s">
        <v>1015</v>
      </c>
      <c r="I5229" s="112" t="s">
        <v>1096</v>
      </c>
      <c r="J5229" s="112" t="s">
        <v>3750</v>
      </c>
      <c r="K5229" s="112" t="s">
        <v>1098</v>
      </c>
      <c r="L5229" s="116">
        <v>104.74</v>
      </c>
    </row>
    <row r="5230" spans="1:12" hidden="1" outlineLevel="1" collapsed="1" x14ac:dyDescent="0.35">
      <c r="A5230" s="112" t="s">
        <v>3616</v>
      </c>
      <c r="B5230" s="112" t="s">
        <v>921</v>
      </c>
      <c r="C5230" s="112" t="s">
        <v>695</v>
      </c>
      <c r="D5230" s="113">
        <v>10348038</v>
      </c>
      <c r="E5230" s="115">
        <v>43928</v>
      </c>
      <c r="F5230" s="114">
        <v>202101</v>
      </c>
      <c r="G5230" s="112" t="s">
        <v>1091</v>
      </c>
      <c r="H5230" s="112" t="s">
        <v>1016</v>
      </c>
      <c r="I5230" s="112" t="s">
        <v>3846</v>
      </c>
      <c r="J5230" s="112" t="s">
        <v>3709</v>
      </c>
      <c r="K5230" s="112" t="s">
        <v>4312</v>
      </c>
      <c r="L5230" s="116">
        <v>-225</v>
      </c>
    </row>
    <row r="5231" spans="1:12" hidden="1" outlineLevel="1" collapsed="1" x14ac:dyDescent="0.35">
      <c r="A5231" s="112" t="s">
        <v>3616</v>
      </c>
      <c r="B5231" s="112" t="s">
        <v>921</v>
      </c>
      <c r="C5231" s="112" t="s">
        <v>695</v>
      </c>
      <c r="D5231" s="113">
        <v>10348038</v>
      </c>
      <c r="E5231" s="115">
        <v>43928</v>
      </c>
      <c r="F5231" s="114">
        <v>202101</v>
      </c>
      <c r="G5231" s="112" t="s">
        <v>1091</v>
      </c>
      <c r="H5231" s="112" t="s">
        <v>1016</v>
      </c>
      <c r="I5231" s="112" t="s">
        <v>3846</v>
      </c>
      <c r="J5231" s="112" t="s">
        <v>3709</v>
      </c>
      <c r="K5231" s="112" t="s">
        <v>4313</v>
      </c>
      <c r="L5231" s="116">
        <v>-3725</v>
      </c>
    </row>
    <row r="5232" spans="1:12" hidden="1" outlineLevel="1" collapsed="1" x14ac:dyDescent="0.35">
      <c r="A5232" s="112" t="s">
        <v>3616</v>
      </c>
      <c r="B5232" s="112" t="s">
        <v>921</v>
      </c>
      <c r="C5232" s="112" t="s">
        <v>1518</v>
      </c>
      <c r="D5232" s="113">
        <v>51365614</v>
      </c>
      <c r="E5232" s="115">
        <v>43922</v>
      </c>
      <c r="F5232" s="114">
        <v>202101</v>
      </c>
      <c r="G5232" s="112" t="s">
        <v>1091</v>
      </c>
      <c r="H5232" s="112" t="s">
        <v>1016</v>
      </c>
      <c r="I5232" s="112" t="s">
        <v>3854</v>
      </c>
      <c r="J5232" s="112" t="s">
        <v>3709</v>
      </c>
      <c r="K5232" s="112" t="s">
        <v>4314</v>
      </c>
      <c r="L5232" s="116">
        <v>-160.32</v>
      </c>
    </row>
    <row r="5233" spans="1:12" hidden="1" outlineLevel="1" collapsed="1" x14ac:dyDescent="0.35">
      <c r="A5233" s="112" t="s">
        <v>3616</v>
      </c>
      <c r="B5233" s="112" t="s">
        <v>921</v>
      </c>
      <c r="C5233" s="112" t="s">
        <v>1518</v>
      </c>
      <c r="D5233" s="113">
        <v>51365615</v>
      </c>
      <c r="E5233" s="115">
        <v>43922</v>
      </c>
      <c r="F5233" s="114">
        <v>202101</v>
      </c>
      <c r="G5233" s="112" t="s">
        <v>1091</v>
      </c>
      <c r="H5233" s="112" t="s">
        <v>1016</v>
      </c>
      <c r="I5233" s="112" t="s">
        <v>3854</v>
      </c>
      <c r="J5233" s="112" t="s">
        <v>3709</v>
      </c>
      <c r="K5233" s="112" t="s">
        <v>4315</v>
      </c>
      <c r="L5233" s="116">
        <v>-735</v>
      </c>
    </row>
    <row r="5234" spans="1:12" hidden="1" outlineLevel="1" collapsed="1" x14ac:dyDescent="0.35">
      <c r="A5234" s="112" t="s">
        <v>3616</v>
      </c>
      <c r="B5234" s="112" t="s">
        <v>921</v>
      </c>
      <c r="C5234" s="112" t="s">
        <v>695</v>
      </c>
      <c r="D5234" s="113">
        <v>10348038</v>
      </c>
      <c r="E5234" s="115">
        <v>43928</v>
      </c>
      <c r="F5234" s="114">
        <v>202101</v>
      </c>
      <c r="G5234" s="112" t="s">
        <v>1091</v>
      </c>
      <c r="H5234" s="112" t="s">
        <v>1016</v>
      </c>
      <c r="I5234" s="112" t="s">
        <v>3846</v>
      </c>
      <c r="J5234" s="112" t="s">
        <v>3709</v>
      </c>
      <c r="K5234" s="112" t="s">
        <v>4316</v>
      </c>
      <c r="L5234" s="116">
        <v>-187.5</v>
      </c>
    </row>
    <row r="5235" spans="1:12" hidden="1" outlineLevel="1" collapsed="1" x14ac:dyDescent="0.35">
      <c r="A5235" s="112" t="s">
        <v>3616</v>
      </c>
      <c r="B5235" s="112" t="s">
        <v>921</v>
      </c>
      <c r="C5235" s="112" t="s">
        <v>1518</v>
      </c>
      <c r="D5235" s="113">
        <v>51366281</v>
      </c>
      <c r="E5235" s="115">
        <v>43951</v>
      </c>
      <c r="F5235" s="114">
        <v>202101</v>
      </c>
      <c r="G5235" s="112" t="s">
        <v>1091</v>
      </c>
      <c r="H5235" s="112" t="s">
        <v>1016</v>
      </c>
      <c r="I5235" s="112" t="s">
        <v>3851</v>
      </c>
      <c r="J5235" s="112" t="s">
        <v>3709</v>
      </c>
      <c r="K5235" s="112" t="s">
        <v>4317</v>
      </c>
      <c r="L5235" s="116">
        <v>-304.33999999999997</v>
      </c>
    </row>
    <row r="5236" spans="1:12" hidden="1" outlineLevel="1" collapsed="1" x14ac:dyDescent="0.35">
      <c r="A5236" s="112" t="s">
        <v>3616</v>
      </c>
      <c r="B5236" s="112" t="s">
        <v>919</v>
      </c>
      <c r="C5236" s="112" t="s">
        <v>1518</v>
      </c>
      <c r="D5236" s="113">
        <v>51366287</v>
      </c>
      <c r="E5236" s="115">
        <v>43951</v>
      </c>
      <c r="F5236" s="114">
        <v>202101</v>
      </c>
      <c r="G5236" s="112" t="s">
        <v>1091</v>
      </c>
      <c r="H5236" s="112" t="s">
        <v>1016</v>
      </c>
      <c r="I5236" s="112" t="s">
        <v>4211</v>
      </c>
      <c r="J5236" s="112" t="s">
        <v>3624</v>
      </c>
      <c r="K5236" s="112" t="s">
        <v>4318</v>
      </c>
      <c r="L5236" s="116">
        <v>-12.5</v>
      </c>
    </row>
    <row r="5237" spans="1:12" hidden="1" outlineLevel="1" collapsed="1" x14ac:dyDescent="0.35">
      <c r="A5237" s="112" t="s">
        <v>3616</v>
      </c>
      <c r="B5237" s="112" t="s">
        <v>921</v>
      </c>
      <c r="C5237" s="112" t="s">
        <v>1518</v>
      </c>
      <c r="D5237" s="113">
        <v>51366283</v>
      </c>
      <c r="E5237" s="115">
        <v>43951</v>
      </c>
      <c r="F5237" s="114">
        <v>202101</v>
      </c>
      <c r="G5237" s="112" t="s">
        <v>1091</v>
      </c>
      <c r="H5237" s="112" t="s">
        <v>1016</v>
      </c>
      <c r="I5237" s="112" t="s">
        <v>3899</v>
      </c>
      <c r="J5237" s="112" t="s">
        <v>3709</v>
      </c>
      <c r="K5237" s="112" t="s">
        <v>4319</v>
      </c>
      <c r="L5237" s="116">
        <v>-137.5</v>
      </c>
    </row>
    <row r="5238" spans="1:12" hidden="1" outlineLevel="1" collapsed="1" x14ac:dyDescent="0.35">
      <c r="A5238" s="112" t="s">
        <v>3616</v>
      </c>
      <c r="B5238" s="112" t="s">
        <v>921</v>
      </c>
      <c r="C5238" s="112" t="s">
        <v>695</v>
      </c>
      <c r="D5238" s="113">
        <v>10348038</v>
      </c>
      <c r="E5238" s="115">
        <v>43928</v>
      </c>
      <c r="F5238" s="114">
        <v>202101</v>
      </c>
      <c r="G5238" s="112" t="s">
        <v>1091</v>
      </c>
      <c r="H5238" s="112" t="s">
        <v>1016</v>
      </c>
      <c r="I5238" s="112" t="s">
        <v>3846</v>
      </c>
      <c r="J5238" s="112" t="s">
        <v>3709</v>
      </c>
      <c r="K5238" s="112" t="s">
        <v>4320</v>
      </c>
      <c r="L5238" s="116">
        <v>-1319.25</v>
      </c>
    </row>
    <row r="5239" spans="1:12" hidden="1" outlineLevel="1" collapsed="1" x14ac:dyDescent="0.35">
      <c r="A5239" s="112" t="s">
        <v>3616</v>
      </c>
      <c r="B5239" s="112" t="s">
        <v>921</v>
      </c>
      <c r="C5239" s="112" t="s">
        <v>1518</v>
      </c>
      <c r="D5239" s="113">
        <v>51366284</v>
      </c>
      <c r="E5239" s="115">
        <v>43951</v>
      </c>
      <c r="F5239" s="114">
        <v>202101</v>
      </c>
      <c r="G5239" s="112" t="s">
        <v>1091</v>
      </c>
      <c r="H5239" s="112" t="s">
        <v>1016</v>
      </c>
      <c r="I5239" s="112" t="s">
        <v>3899</v>
      </c>
      <c r="J5239" s="112" t="s">
        <v>3709</v>
      </c>
      <c r="K5239" s="112" t="s">
        <v>4321</v>
      </c>
      <c r="L5239" s="116">
        <v>-262.5</v>
      </c>
    </row>
    <row r="5240" spans="1:12" hidden="1" outlineLevel="1" collapsed="1" x14ac:dyDescent="0.35">
      <c r="A5240" s="112" t="s">
        <v>3616</v>
      </c>
      <c r="B5240" s="112" t="s">
        <v>922</v>
      </c>
      <c r="C5240" s="112" t="s">
        <v>1095</v>
      </c>
      <c r="D5240" s="113">
        <v>10348451</v>
      </c>
      <c r="E5240" s="115">
        <v>43949</v>
      </c>
      <c r="F5240" s="114">
        <v>202101</v>
      </c>
      <c r="G5240" s="112" t="s">
        <v>1091</v>
      </c>
      <c r="H5240" s="112" t="s">
        <v>1015</v>
      </c>
      <c r="I5240" s="112" t="s">
        <v>1101</v>
      </c>
      <c r="J5240" s="112" t="s">
        <v>3863</v>
      </c>
      <c r="K5240" s="112" t="s">
        <v>1098</v>
      </c>
      <c r="L5240" s="116">
        <v>337.81</v>
      </c>
    </row>
    <row r="5241" spans="1:12" hidden="1" outlineLevel="1" collapsed="1" x14ac:dyDescent="0.35">
      <c r="A5241" s="112" t="s">
        <v>3616</v>
      </c>
      <c r="B5241" s="112" t="s">
        <v>921</v>
      </c>
      <c r="C5241" s="112" t="s">
        <v>1518</v>
      </c>
      <c r="D5241" s="113">
        <v>51366282</v>
      </c>
      <c r="E5241" s="115">
        <v>43951</v>
      </c>
      <c r="F5241" s="114">
        <v>202101</v>
      </c>
      <c r="G5241" s="112" t="s">
        <v>1091</v>
      </c>
      <c r="H5241" s="112" t="s">
        <v>1016</v>
      </c>
      <c r="I5241" s="112" t="s">
        <v>3846</v>
      </c>
      <c r="J5241" s="112" t="s">
        <v>3709</v>
      </c>
      <c r="K5241" s="112" t="s">
        <v>4322</v>
      </c>
      <c r="L5241" s="116">
        <v>-1880</v>
      </c>
    </row>
    <row r="5242" spans="1:12" hidden="1" outlineLevel="1" collapsed="1" x14ac:dyDescent="0.35">
      <c r="A5242" s="112" t="s">
        <v>3616</v>
      </c>
      <c r="B5242" s="112" t="s">
        <v>919</v>
      </c>
      <c r="C5242" s="112" t="s">
        <v>1518</v>
      </c>
      <c r="D5242" s="113">
        <v>51366288</v>
      </c>
      <c r="E5242" s="115">
        <v>43951</v>
      </c>
      <c r="F5242" s="114">
        <v>202101</v>
      </c>
      <c r="G5242" s="112" t="s">
        <v>1091</v>
      </c>
      <c r="H5242" s="112" t="s">
        <v>1016</v>
      </c>
      <c r="I5242" s="112" t="s">
        <v>4211</v>
      </c>
      <c r="J5242" s="112" t="s">
        <v>3624</v>
      </c>
      <c r="K5242" s="112" t="s">
        <v>4323</v>
      </c>
      <c r="L5242" s="116">
        <v>-8.33</v>
      </c>
    </row>
    <row r="5243" spans="1:12" hidden="1" outlineLevel="1" collapsed="1" x14ac:dyDescent="0.35">
      <c r="A5243" s="112" t="s">
        <v>3616</v>
      </c>
      <c r="B5243" s="112" t="s">
        <v>919</v>
      </c>
      <c r="C5243" s="112" t="s">
        <v>1518</v>
      </c>
      <c r="D5243" s="113">
        <v>51366289</v>
      </c>
      <c r="E5243" s="115">
        <v>43951</v>
      </c>
      <c r="F5243" s="114">
        <v>202101</v>
      </c>
      <c r="G5243" s="112" t="s">
        <v>1091</v>
      </c>
      <c r="H5243" s="112" t="s">
        <v>1016</v>
      </c>
      <c r="I5243" s="112" t="s">
        <v>4211</v>
      </c>
      <c r="J5243" s="112" t="s">
        <v>3624</v>
      </c>
      <c r="K5243" s="112" t="s">
        <v>4324</v>
      </c>
      <c r="L5243" s="116">
        <v>-12.5</v>
      </c>
    </row>
    <row r="5244" spans="1:12" hidden="1" outlineLevel="1" collapsed="1" x14ac:dyDescent="0.35">
      <c r="A5244" s="112" t="s">
        <v>3616</v>
      </c>
      <c r="B5244" s="112" t="s">
        <v>919</v>
      </c>
      <c r="C5244" s="112" t="s">
        <v>1518</v>
      </c>
      <c r="D5244" s="113">
        <v>51366290</v>
      </c>
      <c r="E5244" s="115">
        <v>43951</v>
      </c>
      <c r="F5244" s="114">
        <v>202101</v>
      </c>
      <c r="G5244" s="112" t="s">
        <v>1091</v>
      </c>
      <c r="H5244" s="112" t="s">
        <v>1016</v>
      </c>
      <c r="I5244" s="112" t="s">
        <v>4211</v>
      </c>
      <c r="J5244" s="112" t="s">
        <v>3624</v>
      </c>
      <c r="K5244" s="112" t="s">
        <v>4325</v>
      </c>
      <c r="L5244" s="116">
        <v>-12.5</v>
      </c>
    </row>
    <row r="5245" spans="1:12" hidden="1" outlineLevel="1" collapsed="1" x14ac:dyDescent="0.35">
      <c r="A5245" s="112" t="s">
        <v>3616</v>
      </c>
      <c r="B5245" s="112" t="s">
        <v>919</v>
      </c>
      <c r="C5245" s="112" t="s">
        <v>1518</v>
      </c>
      <c r="D5245" s="113">
        <v>51366291</v>
      </c>
      <c r="E5245" s="115">
        <v>43951</v>
      </c>
      <c r="F5245" s="114">
        <v>202101</v>
      </c>
      <c r="G5245" s="112" t="s">
        <v>1091</v>
      </c>
      <c r="H5245" s="112" t="s">
        <v>1016</v>
      </c>
      <c r="I5245" s="112" t="s">
        <v>4211</v>
      </c>
      <c r="J5245" s="112" t="s">
        <v>3624</v>
      </c>
      <c r="K5245" s="112" t="s">
        <v>4326</v>
      </c>
      <c r="L5245" s="116">
        <v>-12.5</v>
      </c>
    </row>
    <row r="5246" spans="1:12" hidden="1" outlineLevel="1" collapsed="1" x14ac:dyDescent="0.35">
      <c r="A5246" s="112" t="s">
        <v>3616</v>
      </c>
      <c r="B5246" s="112" t="s">
        <v>919</v>
      </c>
      <c r="C5246" s="112" t="s">
        <v>1518</v>
      </c>
      <c r="D5246" s="113">
        <v>51366292</v>
      </c>
      <c r="E5246" s="115">
        <v>43951</v>
      </c>
      <c r="F5246" s="114">
        <v>202101</v>
      </c>
      <c r="G5246" s="112" t="s">
        <v>1091</v>
      </c>
      <c r="H5246" s="112" t="s">
        <v>1016</v>
      </c>
      <c r="I5246" s="112" t="s">
        <v>4211</v>
      </c>
      <c r="J5246" s="112" t="s">
        <v>3624</v>
      </c>
      <c r="K5246" s="112" t="s">
        <v>4327</v>
      </c>
      <c r="L5246" s="116">
        <v>-12.5</v>
      </c>
    </row>
    <row r="5247" spans="1:12" hidden="1" outlineLevel="1" collapsed="1" x14ac:dyDescent="0.35">
      <c r="A5247" s="112" t="s">
        <v>3616</v>
      </c>
      <c r="B5247" s="112" t="s">
        <v>919</v>
      </c>
      <c r="C5247" s="112" t="s">
        <v>1518</v>
      </c>
      <c r="D5247" s="113">
        <v>51366293</v>
      </c>
      <c r="E5247" s="115">
        <v>43951</v>
      </c>
      <c r="F5247" s="114">
        <v>202101</v>
      </c>
      <c r="G5247" s="112" t="s">
        <v>1091</v>
      </c>
      <c r="H5247" s="112" t="s">
        <v>1016</v>
      </c>
      <c r="I5247" s="112" t="s">
        <v>4211</v>
      </c>
      <c r="J5247" s="112" t="s">
        <v>3624</v>
      </c>
      <c r="K5247" s="112" t="s">
        <v>4328</v>
      </c>
      <c r="L5247" s="116">
        <v>-12.5</v>
      </c>
    </row>
    <row r="5248" spans="1:12" hidden="1" outlineLevel="1" collapsed="1" x14ac:dyDescent="0.35">
      <c r="A5248" s="112" t="s">
        <v>3616</v>
      </c>
      <c r="B5248" s="112" t="s">
        <v>921</v>
      </c>
      <c r="C5248" s="112" t="s">
        <v>695</v>
      </c>
      <c r="D5248" s="113">
        <v>10348038</v>
      </c>
      <c r="E5248" s="115">
        <v>43928</v>
      </c>
      <c r="F5248" s="114">
        <v>202101</v>
      </c>
      <c r="G5248" s="112" t="s">
        <v>1091</v>
      </c>
      <c r="H5248" s="112" t="s">
        <v>1016</v>
      </c>
      <c r="I5248" s="112" t="s">
        <v>3846</v>
      </c>
      <c r="J5248" s="112" t="s">
        <v>3709</v>
      </c>
      <c r="K5248" s="112" t="s">
        <v>4104</v>
      </c>
      <c r="L5248" s="116">
        <v>-400</v>
      </c>
    </row>
    <row r="5249" spans="1:12" hidden="1" outlineLevel="1" collapsed="1" x14ac:dyDescent="0.35">
      <c r="A5249" s="112" t="s">
        <v>3616</v>
      </c>
      <c r="B5249" s="112" t="s">
        <v>919</v>
      </c>
      <c r="C5249" s="112" t="s">
        <v>1518</v>
      </c>
      <c r="D5249" s="113">
        <v>51366294</v>
      </c>
      <c r="E5249" s="115">
        <v>43951</v>
      </c>
      <c r="F5249" s="114">
        <v>202101</v>
      </c>
      <c r="G5249" s="112" t="s">
        <v>1091</v>
      </c>
      <c r="H5249" s="112" t="s">
        <v>1016</v>
      </c>
      <c r="I5249" s="112" t="s">
        <v>4211</v>
      </c>
      <c r="J5249" s="112" t="s">
        <v>3624</v>
      </c>
      <c r="K5249" s="112" t="s">
        <v>4329</v>
      </c>
      <c r="L5249" s="116">
        <v>-12.5</v>
      </c>
    </row>
    <row r="5250" spans="1:12" hidden="1" outlineLevel="1" collapsed="1" x14ac:dyDescent="0.35">
      <c r="A5250" s="112" t="s">
        <v>3616</v>
      </c>
      <c r="B5250" s="112" t="s">
        <v>919</v>
      </c>
      <c r="C5250" s="112" t="s">
        <v>1518</v>
      </c>
      <c r="D5250" s="113">
        <v>51366141</v>
      </c>
      <c r="E5250" s="115">
        <v>43931</v>
      </c>
      <c r="F5250" s="114">
        <v>202101</v>
      </c>
      <c r="G5250" s="112" t="s">
        <v>1091</v>
      </c>
      <c r="H5250" s="112" t="s">
        <v>1016</v>
      </c>
      <c r="I5250" s="112" t="s">
        <v>823</v>
      </c>
      <c r="J5250" s="112" t="s">
        <v>3632</v>
      </c>
      <c r="K5250" s="112" t="s">
        <v>4241</v>
      </c>
      <c r="L5250" s="116">
        <v>-126.61</v>
      </c>
    </row>
    <row r="5251" spans="1:12" hidden="1" outlineLevel="1" collapsed="1" x14ac:dyDescent="0.35">
      <c r="A5251" s="112" t="s">
        <v>3616</v>
      </c>
      <c r="B5251" s="112" t="s">
        <v>921</v>
      </c>
      <c r="C5251" s="112" t="s">
        <v>1095</v>
      </c>
      <c r="D5251" s="113">
        <v>10348451</v>
      </c>
      <c r="E5251" s="115">
        <v>43949</v>
      </c>
      <c r="F5251" s="114">
        <v>202101</v>
      </c>
      <c r="G5251" s="112" t="s">
        <v>1091</v>
      </c>
      <c r="H5251" s="112" t="s">
        <v>1015</v>
      </c>
      <c r="I5251" s="112" t="s">
        <v>1101</v>
      </c>
      <c r="J5251" s="112" t="s">
        <v>3620</v>
      </c>
      <c r="K5251" s="112" t="s">
        <v>1098</v>
      </c>
      <c r="L5251" s="116">
        <v>426.26</v>
      </c>
    </row>
    <row r="5252" spans="1:12" hidden="1" outlineLevel="1" collapsed="1" x14ac:dyDescent="0.35">
      <c r="A5252" s="112" t="s">
        <v>3616</v>
      </c>
      <c r="B5252" s="112" t="s">
        <v>922</v>
      </c>
      <c r="C5252" s="112" t="s">
        <v>1095</v>
      </c>
      <c r="D5252" s="113">
        <v>10348451</v>
      </c>
      <c r="E5252" s="115">
        <v>43949</v>
      </c>
      <c r="F5252" s="114">
        <v>202101</v>
      </c>
      <c r="G5252" s="112" t="s">
        <v>1091</v>
      </c>
      <c r="H5252" s="112" t="s">
        <v>1015</v>
      </c>
      <c r="I5252" s="112" t="s">
        <v>1128</v>
      </c>
      <c r="J5252" s="112" t="s">
        <v>3805</v>
      </c>
      <c r="K5252" s="112" t="s">
        <v>1098</v>
      </c>
      <c r="L5252" s="116">
        <v>75</v>
      </c>
    </row>
    <row r="5253" spans="1:12" hidden="1" outlineLevel="1" collapsed="1" x14ac:dyDescent="0.35">
      <c r="A5253" s="112" t="s">
        <v>3616</v>
      </c>
      <c r="B5253" s="112" t="s">
        <v>921</v>
      </c>
      <c r="C5253" s="112" t="s">
        <v>695</v>
      </c>
      <c r="D5253" s="113">
        <v>10348038</v>
      </c>
      <c r="E5253" s="115">
        <v>43928</v>
      </c>
      <c r="F5253" s="114">
        <v>202101</v>
      </c>
      <c r="G5253" s="112" t="s">
        <v>1091</v>
      </c>
      <c r="H5253" s="112" t="s">
        <v>1016</v>
      </c>
      <c r="I5253" s="112" t="s">
        <v>3846</v>
      </c>
      <c r="J5253" s="112" t="s">
        <v>3709</v>
      </c>
      <c r="K5253" s="112" t="s">
        <v>4330</v>
      </c>
      <c r="L5253" s="116">
        <v>-4600</v>
      </c>
    </row>
    <row r="5254" spans="1:12" hidden="1" outlineLevel="1" collapsed="1" x14ac:dyDescent="0.35">
      <c r="A5254" s="112" t="s">
        <v>3616</v>
      </c>
      <c r="B5254" s="112" t="s">
        <v>921</v>
      </c>
      <c r="C5254" s="112" t="s">
        <v>695</v>
      </c>
      <c r="D5254" s="113">
        <v>10348038</v>
      </c>
      <c r="E5254" s="115">
        <v>43928</v>
      </c>
      <c r="F5254" s="114">
        <v>202101</v>
      </c>
      <c r="G5254" s="112" t="s">
        <v>1091</v>
      </c>
      <c r="H5254" s="112" t="s">
        <v>1016</v>
      </c>
      <c r="I5254" s="112" t="s">
        <v>3846</v>
      </c>
      <c r="J5254" s="112" t="s">
        <v>3709</v>
      </c>
      <c r="K5254" s="112" t="s">
        <v>4331</v>
      </c>
      <c r="L5254" s="116">
        <v>1704</v>
      </c>
    </row>
    <row r="5255" spans="1:12" hidden="1" outlineLevel="1" collapsed="1" x14ac:dyDescent="0.35">
      <c r="A5255" s="112" t="s">
        <v>3616</v>
      </c>
      <c r="B5255" s="112" t="s">
        <v>918</v>
      </c>
      <c r="C5255" s="112" t="s">
        <v>1095</v>
      </c>
      <c r="D5255" s="113">
        <v>10348451</v>
      </c>
      <c r="E5255" s="115">
        <v>43949</v>
      </c>
      <c r="F5255" s="114">
        <v>202101</v>
      </c>
      <c r="G5255" s="112" t="s">
        <v>1091</v>
      </c>
      <c r="H5255" s="112" t="s">
        <v>1015</v>
      </c>
      <c r="I5255" s="112" t="s">
        <v>1101</v>
      </c>
      <c r="J5255" s="112" t="s">
        <v>3695</v>
      </c>
      <c r="K5255" s="112" t="s">
        <v>1098</v>
      </c>
      <c r="L5255" s="116">
        <v>146.41999999999999</v>
      </c>
    </row>
    <row r="5256" spans="1:12" hidden="1" outlineLevel="1" collapsed="1" x14ac:dyDescent="0.35">
      <c r="A5256" s="112" t="s">
        <v>3616</v>
      </c>
      <c r="B5256" s="112" t="s">
        <v>919</v>
      </c>
      <c r="C5256" s="112" t="s">
        <v>1518</v>
      </c>
      <c r="D5256" s="113">
        <v>51366129</v>
      </c>
      <c r="E5256" s="115">
        <v>43931</v>
      </c>
      <c r="F5256" s="114">
        <v>202101</v>
      </c>
      <c r="G5256" s="112" t="s">
        <v>1091</v>
      </c>
      <c r="H5256" s="112" t="s">
        <v>1016</v>
      </c>
      <c r="I5256" s="112" t="s">
        <v>1293</v>
      </c>
      <c r="J5256" s="112" t="s">
        <v>3617</v>
      </c>
      <c r="K5256" s="112" t="s">
        <v>4332</v>
      </c>
      <c r="L5256" s="116">
        <v>-20</v>
      </c>
    </row>
    <row r="5257" spans="1:12" hidden="1" outlineLevel="1" collapsed="1" x14ac:dyDescent="0.35">
      <c r="A5257" s="112" t="s">
        <v>3616</v>
      </c>
      <c r="B5257" s="112" t="s">
        <v>921</v>
      </c>
      <c r="C5257" s="112" t="s">
        <v>1095</v>
      </c>
      <c r="D5257" s="113">
        <v>10348451</v>
      </c>
      <c r="E5257" s="115">
        <v>43949</v>
      </c>
      <c r="F5257" s="114">
        <v>202101</v>
      </c>
      <c r="G5257" s="112" t="s">
        <v>1091</v>
      </c>
      <c r="H5257" s="112" t="s">
        <v>1015</v>
      </c>
      <c r="I5257" s="112" t="s">
        <v>1101</v>
      </c>
      <c r="J5257" s="112" t="s">
        <v>3620</v>
      </c>
      <c r="K5257" s="112" t="s">
        <v>1098</v>
      </c>
      <c r="L5257" s="116">
        <v>315</v>
      </c>
    </row>
    <row r="5258" spans="1:12" hidden="1" outlineLevel="1" collapsed="1" x14ac:dyDescent="0.35">
      <c r="A5258" s="112" t="s">
        <v>3616</v>
      </c>
      <c r="B5258" s="112" t="s">
        <v>923</v>
      </c>
      <c r="C5258" s="112" t="s">
        <v>1095</v>
      </c>
      <c r="D5258" s="113">
        <v>10348451</v>
      </c>
      <c r="E5258" s="115">
        <v>43949</v>
      </c>
      <c r="F5258" s="114">
        <v>202101</v>
      </c>
      <c r="G5258" s="112" t="s">
        <v>1091</v>
      </c>
      <c r="H5258" s="112" t="s">
        <v>1015</v>
      </c>
      <c r="I5258" s="112" t="s">
        <v>1101</v>
      </c>
      <c r="J5258" s="112" t="s">
        <v>3750</v>
      </c>
      <c r="K5258" s="112" t="s">
        <v>1098</v>
      </c>
      <c r="L5258" s="116">
        <v>426.26</v>
      </c>
    </row>
    <row r="5259" spans="1:12" hidden="1" outlineLevel="1" collapsed="1" x14ac:dyDescent="0.35">
      <c r="A5259" s="112" t="s">
        <v>3616</v>
      </c>
      <c r="B5259" s="112" t="s">
        <v>921</v>
      </c>
      <c r="C5259" s="112" t="s">
        <v>695</v>
      </c>
      <c r="D5259" s="113">
        <v>10348038</v>
      </c>
      <c r="E5259" s="115">
        <v>43928</v>
      </c>
      <c r="F5259" s="114">
        <v>202101</v>
      </c>
      <c r="G5259" s="112" t="s">
        <v>1091</v>
      </c>
      <c r="H5259" s="112" t="s">
        <v>1016</v>
      </c>
      <c r="I5259" s="112" t="s">
        <v>3846</v>
      </c>
      <c r="J5259" s="112" t="s">
        <v>3709</v>
      </c>
      <c r="K5259" s="112" t="s">
        <v>4333</v>
      </c>
      <c r="L5259" s="116">
        <v>1795</v>
      </c>
    </row>
    <row r="5260" spans="1:12" hidden="1" outlineLevel="1" collapsed="1" x14ac:dyDescent="0.35">
      <c r="A5260" s="112" t="s">
        <v>3616</v>
      </c>
      <c r="B5260" s="112" t="s">
        <v>921</v>
      </c>
      <c r="C5260" s="112" t="s">
        <v>695</v>
      </c>
      <c r="D5260" s="113">
        <v>10348038</v>
      </c>
      <c r="E5260" s="115">
        <v>43928</v>
      </c>
      <c r="F5260" s="114">
        <v>202101</v>
      </c>
      <c r="G5260" s="112" t="s">
        <v>1091</v>
      </c>
      <c r="H5260" s="112" t="s">
        <v>1016</v>
      </c>
      <c r="I5260" s="112" t="s">
        <v>3899</v>
      </c>
      <c r="J5260" s="112" t="s">
        <v>3709</v>
      </c>
      <c r="K5260" s="112" t="s">
        <v>4334</v>
      </c>
      <c r="L5260" s="116">
        <v>-262.5</v>
      </c>
    </row>
    <row r="5261" spans="1:12" hidden="1" outlineLevel="1" collapsed="1" x14ac:dyDescent="0.35">
      <c r="A5261" s="112" t="s">
        <v>3616</v>
      </c>
      <c r="B5261" s="112" t="s">
        <v>916</v>
      </c>
      <c r="C5261" s="112" t="s">
        <v>1095</v>
      </c>
      <c r="D5261" s="113">
        <v>10348451</v>
      </c>
      <c r="E5261" s="115">
        <v>43949</v>
      </c>
      <c r="F5261" s="114">
        <v>202101</v>
      </c>
      <c r="G5261" s="112" t="s">
        <v>1091</v>
      </c>
      <c r="H5261" s="112" t="s">
        <v>1015</v>
      </c>
      <c r="I5261" s="112" t="s">
        <v>1116</v>
      </c>
      <c r="J5261" s="112" t="s">
        <v>3771</v>
      </c>
      <c r="K5261" s="112" t="s">
        <v>1098</v>
      </c>
      <c r="L5261" s="116">
        <v>4191.83</v>
      </c>
    </row>
    <row r="5262" spans="1:12" hidden="1" outlineLevel="1" collapsed="1" x14ac:dyDescent="0.35">
      <c r="A5262" s="112" t="s">
        <v>3616</v>
      </c>
      <c r="B5262" s="112" t="s">
        <v>923</v>
      </c>
      <c r="C5262" s="112" t="s">
        <v>1095</v>
      </c>
      <c r="D5262" s="113">
        <v>10348451</v>
      </c>
      <c r="E5262" s="115">
        <v>43949</v>
      </c>
      <c r="F5262" s="114">
        <v>202101</v>
      </c>
      <c r="G5262" s="112" t="s">
        <v>1091</v>
      </c>
      <c r="H5262" s="112" t="s">
        <v>1015</v>
      </c>
      <c r="I5262" s="112" t="s">
        <v>1096</v>
      </c>
      <c r="J5262" s="112" t="s">
        <v>3750</v>
      </c>
      <c r="K5262" s="112" t="s">
        <v>1098</v>
      </c>
      <c r="L5262" s="116">
        <v>262.10000000000002</v>
      </c>
    </row>
    <row r="5263" spans="1:12" hidden="1" outlineLevel="1" collapsed="1" x14ac:dyDescent="0.35">
      <c r="A5263" s="112" t="s">
        <v>3616</v>
      </c>
      <c r="B5263" s="112" t="s">
        <v>921</v>
      </c>
      <c r="C5263" s="112" t="s">
        <v>695</v>
      </c>
      <c r="D5263" s="113">
        <v>10348038</v>
      </c>
      <c r="E5263" s="115">
        <v>43928</v>
      </c>
      <c r="F5263" s="114">
        <v>202101</v>
      </c>
      <c r="G5263" s="112" t="s">
        <v>1091</v>
      </c>
      <c r="H5263" s="112" t="s">
        <v>1016</v>
      </c>
      <c r="I5263" s="112" t="s">
        <v>3899</v>
      </c>
      <c r="J5263" s="112" t="s">
        <v>3709</v>
      </c>
      <c r="K5263" s="112" t="s">
        <v>4335</v>
      </c>
      <c r="L5263" s="116">
        <v>-262.5</v>
      </c>
    </row>
    <row r="5264" spans="1:12" hidden="1" outlineLevel="1" collapsed="1" x14ac:dyDescent="0.35">
      <c r="A5264" s="112" t="s">
        <v>3616</v>
      </c>
      <c r="B5264" s="112" t="s">
        <v>919</v>
      </c>
      <c r="C5264" s="112" t="s">
        <v>1518</v>
      </c>
      <c r="D5264" s="113">
        <v>51366134</v>
      </c>
      <c r="E5264" s="115">
        <v>43931</v>
      </c>
      <c r="F5264" s="114">
        <v>202101</v>
      </c>
      <c r="G5264" s="112" t="s">
        <v>1091</v>
      </c>
      <c r="H5264" s="112" t="s">
        <v>1016</v>
      </c>
      <c r="I5264" s="112" t="s">
        <v>823</v>
      </c>
      <c r="J5264" s="112" t="s">
        <v>3617</v>
      </c>
      <c r="K5264" s="112" t="s">
        <v>4336</v>
      </c>
      <c r="L5264" s="116">
        <v>-31.66</v>
      </c>
    </row>
    <row r="5265" spans="1:12" hidden="1" outlineLevel="1" collapsed="1" x14ac:dyDescent="0.35">
      <c r="A5265" s="112" t="s">
        <v>3616</v>
      </c>
      <c r="B5265" s="112" t="s">
        <v>919</v>
      </c>
      <c r="C5265" s="112" t="s">
        <v>1518</v>
      </c>
      <c r="D5265" s="113">
        <v>51366135</v>
      </c>
      <c r="E5265" s="115">
        <v>43931</v>
      </c>
      <c r="F5265" s="114">
        <v>202101</v>
      </c>
      <c r="G5265" s="112" t="s">
        <v>1091</v>
      </c>
      <c r="H5265" s="112" t="s">
        <v>1016</v>
      </c>
      <c r="I5265" s="112" t="s">
        <v>823</v>
      </c>
      <c r="J5265" s="112" t="s">
        <v>3617</v>
      </c>
      <c r="K5265" s="112" t="s">
        <v>4337</v>
      </c>
      <c r="L5265" s="116">
        <v>-38.75</v>
      </c>
    </row>
    <row r="5266" spans="1:12" hidden="1" outlineLevel="1" collapsed="1" x14ac:dyDescent="0.35">
      <c r="A5266" s="112" t="s">
        <v>3616</v>
      </c>
      <c r="B5266" s="112" t="s">
        <v>921</v>
      </c>
      <c r="C5266" s="112" t="s">
        <v>695</v>
      </c>
      <c r="D5266" s="113">
        <v>10348038</v>
      </c>
      <c r="E5266" s="115">
        <v>43928</v>
      </c>
      <c r="F5266" s="114">
        <v>202101</v>
      </c>
      <c r="G5266" s="112" t="s">
        <v>1091</v>
      </c>
      <c r="H5266" s="112" t="s">
        <v>1016</v>
      </c>
      <c r="I5266" s="112" t="s">
        <v>3899</v>
      </c>
      <c r="J5266" s="112" t="s">
        <v>3709</v>
      </c>
      <c r="K5266" s="112" t="s">
        <v>4338</v>
      </c>
      <c r="L5266" s="116">
        <v>-137.5</v>
      </c>
    </row>
    <row r="5267" spans="1:12" hidden="1" outlineLevel="1" collapsed="1" x14ac:dyDescent="0.35">
      <c r="A5267" s="112" t="s">
        <v>3616</v>
      </c>
      <c r="B5267" s="112" t="s">
        <v>921</v>
      </c>
      <c r="C5267" s="112" t="s">
        <v>1095</v>
      </c>
      <c r="D5267" s="113">
        <v>10348451</v>
      </c>
      <c r="E5267" s="115">
        <v>43949</v>
      </c>
      <c r="F5267" s="114">
        <v>202101</v>
      </c>
      <c r="G5267" s="112" t="s">
        <v>1091</v>
      </c>
      <c r="H5267" s="112" t="s">
        <v>1015</v>
      </c>
      <c r="I5267" s="112" t="s">
        <v>3261</v>
      </c>
      <c r="J5267" s="112" t="s">
        <v>3620</v>
      </c>
      <c r="K5267" s="112" t="s">
        <v>1098</v>
      </c>
      <c r="L5267" s="116">
        <v>59.68</v>
      </c>
    </row>
    <row r="5268" spans="1:12" hidden="1" outlineLevel="1" collapsed="1" x14ac:dyDescent="0.35">
      <c r="A5268" s="112" t="s">
        <v>3616</v>
      </c>
      <c r="B5268" s="112" t="s">
        <v>919</v>
      </c>
      <c r="C5268" s="112" t="s">
        <v>1518</v>
      </c>
      <c r="D5268" s="113">
        <v>51366130</v>
      </c>
      <c r="E5268" s="115">
        <v>43931</v>
      </c>
      <c r="F5268" s="114">
        <v>202101</v>
      </c>
      <c r="G5268" s="112" t="s">
        <v>1091</v>
      </c>
      <c r="H5268" s="112" t="s">
        <v>1016</v>
      </c>
      <c r="I5268" s="112" t="s">
        <v>1293</v>
      </c>
      <c r="J5268" s="112" t="s">
        <v>3617</v>
      </c>
      <c r="K5268" s="112" t="s">
        <v>4339</v>
      </c>
      <c r="L5268" s="116">
        <v>-86.66</v>
      </c>
    </row>
    <row r="5269" spans="1:12" hidden="1" outlineLevel="1" collapsed="1" x14ac:dyDescent="0.35">
      <c r="A5269" s="112" t="s">
        <v>3616</v>
      </c>
      <c r="B5269" s="112" t="s">
        <v>921</v>
      </c>
      <c r="C5269" s="112" t="s">
        <v>695</v>
      </c>
      <c r="D5269" s="113">
        <v>10348038</v>
      </c>
      <c r="E5269" s="115">
        <v>43928</v>
      </c>
      <c r="F5269" s="114">
        <v>202101</v>
      </c>
      <c r="G5269" s="112" t="s">
        <v>1091</v>
      </c>
      <c r="H5269" s="112" t="s">
        <v>1016</v>
      </c>
      <c r="I5269" s="112" t="s">
        <v>3899</v>
      </c>
      <c r="J5269" s="112" t="s">
        <v>3709</v>
      </c>
      <c r="K5269" s="112" t="s">
        <v>4340</v>
      </c>
      <c r="L5269" s="116">
        <v>-262.5</v>
      </c>
    </row>
    <row r="5270" spans="1:12" hidden="1" outlineLevel="1" collapsed="1" x14ac:dyDescent="0.35">
      <c r="A5270" s="112" t="s">
        <v>3616</v>
      </c>
      <c r="B5270" s="112" t="s">
        <v>919</v>
      </c>
      <c r="C5270" s="112" t="s">
        <v>1518</v>
      </c>
      <c r="D5270" s="113">
        <v>51366138</v>
      </c>
      <c r="E5270" s="115">
        <v>43931</v>
      </c>
      <c r="F5270" s="114">
        <v>202101</v>
      </c>
      <c r="G5270" s="112" t="s">
        <v>1091</v>
      </c>
      <c r="H5270" s="112" t="s">
        <v>1016</v>
      </c>
      <c r="I5270" s="112" t="s">
        <v>823</v>
      </c>
      <c r="J5270" s="112" t="s">
        <v>3632</v>
      </c>
      <c r="K5270" s="112" t="s">
        <v>4341</v>
      </c>
      <c r="L5270" s="116">
        <v>-265.08999999999997</v>
      </c>
    </row>
    <row r="5271" spans="1:12" hidden="1" outlineLevel="1" collapsed="1" x14ac:dyDescent="0.35">
      <c r="A5271" s="112" t="s">
        <v>3616</v>
      </c>
      <c r="B5271" s="112" t="s">
        <v>921</v>
      </c>
      <c r="C5271" s="112" t="s">
        <v>695</v>
      </c>
      <c r="D5271" s="113">
        <v>10348038</v>
      </c>
      <c r="E5271" s="115">
        <v>43928</v>
      </c>
      <c r="F5271" s="114">
        <v>202101</v>
      </c>
      <c r="G5271" s="112" t="s">
        <v>1091</v>
      </c>
      <c r="H5271" s="112" t="s">
        <v>1016</v>
      </c>
      <c r="I5271" s="112" t="s">
        <v>3846</v>
      </c>
      <c r="J5271" s="112" t="s">
        <v>3709</v>
      </c>
      <c r="K5271" s="112" t="s">
        <v>4342</v>
      </c>
      <c r="L5271" s="116">
        <v>-1322.85</v>
      </c>
    </row>
    <row r="5272" spans="1:12" hidden="1" outlineLevel="1" collapsed="1" x14ac:dyDescent="0.35">
      <c r="A5272" s="112" t="s">
        <v>3616</v>
      </c>
      <c r="B5272" s="112" t="s">
        <v>921</v>
      </c>
      <c r="C5272" s="112" t="s">
        <v>695</v>
      </c>
      <c r="D5272" s="113">
        <v>10348038</v>
      </c>
      <c r="E5272" s="115">
        <v>43928</v>
      </c>
      <c r="F5272" s="114">
        <v>202101</v>
      </c>
      <c r="G5272" s="112" t="s">
        <v>1091</v>
      </c>
      <c r="H5272" s="112" t="s">
        <v>1016</v>
      </c>
      <c r="I5272" s="112" t="s">
        <v>3846</v>
      </c>
      <c r="J5272" s="112" t="s">
        <v>3709</v>
      </c>
      <c r="K5272" s="112" t="s">
        <v>4343</v>
      </c>
      <c r="L5272" s="116">
        <v>-307.5</v>
      </c>
    </row>
    <row r="5273" spans="1:12" hidden="1" outlineLevel="1" collapsed="1" x14ac:dyDescent="0.35">
      <c r="A5273" s="112" t="s">
        <v>3616</v>
      </c>
      <c r="B5273" s="112" t="s">
        <v>921</v>
      </c>
      <c r="C5273" s="112" t="s">
        <v>695</v>
      </c>
      <c r="D5273" s="113">
        <v>10348038</v>
      </c>
      <c r="E5273" s="115">
        <v>43928</v>
      </c>
      <c r="F5273" s="114">
        <v>202101</v>
      </c>
      <c r="G5273" s="112" t="s">
        <v>1091</v>
      </c>
      <c r="H5273" s="112" t="s">
        <v>1016</v>
      </c>
      <c r="I5273" s="112" t="s">
        <v>3846</v>
      </c>
      <c r="J5273" s="112" t="s">
        <v>3709</v>
      </c>
      <c r="K5273" s="112" t="s">
        <v>4344</v>
      </c>
      <c r="L5273" s="116">
        <v>-640</v>
      </c>
    </row>
    <row r="5274" spans="1:12" hidden="1" outlineLevel="1" collapsed="1" x14ac:dyDescent="0.35">
      <c r="A5274" s="112" t="s">
        <v>3616</v>
      </c>
      <c r="B5274" s="112" t="s">
        <v>919</v>
      </c>
      <c r="C5274" s="112" t="s">
        <v>1518</v>
      </c>
      <c r="D5274" s="113">
        <v>51366139</v>
      </c>
      <c r="E5274" s="115">
        <v>43931</v>
      </c>
      <c r="F5274" s="114">
        <v>202101</v>
      </c>
      <c r="G5274" s="112" t="s">
        <v>1091</v>
      </c>
      <c r="H5274" s="112" t="s">
        <v>1016</v>
      </c>
      <c r="I5274" s="112" t="s">
        <v>823</v>
      </c>
      <c r="J5274" s="112" t="s">
        <v>3632</v>
      </c>
      <c r="K5274" s="112" t="s">
        <v>4345</v>
      </c>
      <c r="L5274" s="116">
        <v>-126.61</v>
      </c>
    </row>
    <row r="5275" spans="1:12" hidden="1" outlineLevel="1" collapsed="1" x14ac:dyDescent="0.35">
      <c r="A5275" s="112" t="s">
        <v>3616</v>
      </c>
      <c r="B5275" s="112" t="s">
        <v>919</v>
      </c>
      <c r="C5275" s="112" t="s">
        <v>1518</v>
      </c>
      <c r="D5275" s="113">
        <v>51366140</v>
      </c>
      <c r="E5275" s="115">
        <v>43931</v>
      </c>
      <c r="F5275" s="114">
        <v>202101</v>
      </c>
      <c r="G5275" s="112" t="s">
        <v>1091</v>
      </c>
      <c r="H5275" s="112" t="s">
        <v>1016</v>
      </c>
      <c r="I5275" s="112" t="s">
        <v>823</v>
      </c>
      <c r="J5275" s="112" t="s">
        <v>3632</v>
      </c>
      <c r="K5275" s="112" t="s">
        <v>4346</v>
      </c>
      <c r="L5275" s="116">
        <v>-263.67</v>
      </c>
    </row>
    <row r="5276" spans="1:12" hidden="1" outlineLevel="1" collapsed="1" x14ac:dyDescent="0.35">
      <c r="A5276" s="112" t="s">
        <v>3616</v>
      </c>
      <c r="B5276" s="112" t="s">
        <v>921</v>
      </c>
      <c r="C5276" s="112" t="s">
        <v>695</v>
      </c>
      <c r="D5276" s="113">
        <v>10348038</v>
      </c>
      <c r="E5276" s="115">
        <v>43928</v>
      </c>
      <c r="F5276" s="114">
        <v>202101</v>
      </c>
      <c r="G5276" s="112" t="s">
        <v>1091</v>
      </c>
      <c r="H5276" s="112" t="s">
        <v>1016</v>
      </c>
      <c r="I5276" s="112" t="s">
        <v>3846</v>
      </c>
      <c r="J5276" s="112" t="s">
        <v>3709</v>
      </c>
      <c r="K5276" s="112" t="s">
        <v>4347</v>
      </c>
      <c r="L5276" s="116">
        <v>1800</v>
      </c>
    </row>
    <row r="5277" spans="1:12" hidden="1" outlineLevel="1" collapsed="1" x14ac:dyDescent="0.35">
      <c r="A5277" s="112" t="s">
        <v>3616</v>
      </c>
      <c r="B5277" s="112" t="s">
        <v>922</v>
      </c>
      <c r="C5277" s="112" t="s">
        <v>695</v>
      </c>
      <c r="D5277" s="113">
        <v>10348168</v>
      </c>
      <c r="E5277" s="115">
        <v>43929</v>
      </c>
      <c r="F5277" s="114">
        <v>202101</v>
      </c>
      <c r="G5277" s="112" t="s">
        <v>1091</v>
      </c>
      <c r="H5277" s="112" t="s">
        <v>1016</v>
      </c>
      <c r="I5277" s="112" t="s">
        <v>680</v>
      </c>
      <c r="J5277" s="112" t="s">
        <v>3863</v>
      </c>
      <c r="K5277" s="112" t="s">
        <v>4348</v>
      </c>
      <c r="L5277" s="116">
        <v>-13678.63</v>
      </c>
    </row>
    <row r="5278" spans="1:12" hidden="1" outlineLevel="1" collapsed="1" x14ac:dyDescent="0.35">
      <c r="A5278" s="112" t="s">
        <v>3616</v>
      </c>
      <c r="B5278" s="112" t="s">
        <v>922</v>
      </c>
      <c r="C5278" s="112" t="s">
        <v>695</v>
      </c>
      <c r="D5278" s="113">
        <v>10348168</v>
      </c>
      <c r="E5278" s="115">
        <v>43929</v>
      </c>
      <c r="F5278" s="114">
        <v>202101</v>
      </c>
      <c r="G5278" s="112" t="s">
        <v>1091</v>
      </c>
      <c r="H5278" s="112" t="s">
        <v>1016</v>
      </c>
      <c r="I5278" s="112" t="s">
        <v>680</v>
      </c>
      <c r="J5278" s="112" t="s">
        <v>3863</v>
      </c>
      <c r="K5278" s="112" t="s">
        <v>4349</v>
      </c>
      <c r="L5278" s="116">
        <v>-4000</v>
      </c>
    </row>
    <row r="5279" spans="1:12" hidden="1" outlineLevel="1" collapsed="1" x14ac:dyDescent="0.35">
      <c r="A5279" s="112" t="s">
        <v>3616</v>
      </c>
      <c r="B5279" s="112" t="s">
        <v>922</v>
      </c>
      <c r="C5279" s="112" t="s">
        <v>695</v>
      </c>
      <c r="D5279" s="113">
        <v>10348168</v>
      </c>
      <c r="E5279" s="115">
        <v>43929</v>
      </c>
      <c r="F5279" s="114">
        <v>202101</v>
      </c>
      <c r="G5279" s="112" t="s">
        <v>1091</v>
      </c>
      <c r="H5279" s="112" t="s">
        <v>1016</v>
      </c>
      <c r="I5279" s="112" t="s">
        <v>680</v>
      </c>
      <c r="J5279" s="112" t="s">
        <v>3863</v>
      </c>
      <c r="K5279" s="112" t="s">
        <v>4350</v>
      </c>
      <c r="L5279" s="116">
        <v>-19200</v>
      </c>
    </row>
    <row r="5280" spans="1:12" hidden="1" outlineLevel="1" collapsed="1" x14ac:dyDescent="0.35">
      <c r="A5280" s="112" t="s">
        <v>3616</v>
      </c>
      <c r="B5280" s="112" t="s">
        <v>922</v>
      </c>
      <c r="C5280" s="112" t="s">
        <v>695</v>
      </c>
      <c r="D5280" s="113">
        <v>10348168</v>
      </c>
      <c r="E5280" s="115">
        <v>43929</v>
      </c>
      <c r="F5280" s="114">
        <v>202101</v>
      </c>
      <c r="G5280" s="112" t="s">
        <v>1091</v>
      </c>
      <c r="H5280" s="112" t="s">
        <v>1016</v>
      </c>
      <c r="I5280" s="112" t="s">
        <v>680</v>
      </c>
      <c r="J5280" s="112" t="s">
        <v>3863</v>
      </c>
      <c r="K5280" s="112" t="s">
        <v>4351</v>
      </c>
      <c r="L5280" s="116">
        <v>64342.27</v>
      </c>
    </row>
    <row r="5281" spans="1:12" hidden="1" outlineLevel="1" collapsed="1" x14ac:dyDescent="0.35">
      <c r="A5281" s="112" t="s">
        <v>3616</v>
      </c>
      <c r="B5281" s="112" t="s">
        <v>922</v>
      </c>
      <c r="C5281" s="112" t="s">
        <v>695</v>
      </c>
      <c r="D5281" s="113">
        <v>10348168</v>
      </c>
      <c r="E5281" s="115">
        <v>43929</v>
      </c>
      <c r="F5281" s="114">
        <v>202101</v>
      </c>
      <c r="G5281" s="112" t="s">
        <v>1091</v>
      </c>
      <c r="H5281" s="112" t="s">
        <v>1016</v>
      </c>
      <c r="I5281" s="112" t="s">
        <v>680</v>
      </c>
      <c r="J5281" s="112" t="s">
        <v>3863</v>
      </c>
      <c r="K5281" s="112" t="s">
        <v>4352</v>
      </c>
      <c r="L5281" s="116">
        <v>-19710</v>
      </c>
    </row>
    <row r="5282" spans="1:12" hidden="1" outlineLevel="1" collapsed="1" x14ac:dyDescent="0.35">
      <c r="A5282" s="112" t="s">
        <v>3616</v>
      </c>
      <c r="B5282" s="112" t="s">
        <v>919</v>
      </c>
      <c r="C5282" s="112" t="s">
        <v>1518</v>
      </c>
      <c r="D5282" s="113">
        <v>51366144</v>
      </c>
      <c r="E5282" s="115">
        <v>43934</v>
      </c>
      <c r="F5282" s="114">
        <v>202101</v>
      </c>
      <c r="G5282" s="112" t="s">
        <v>1091</v>
      </c>
      <c r="H5282" s="112" t="s">
        <v>1016</v>
      </c>
      <c r="I5282" s="112" t="s">
        <v>1293</v>
      </c>
      <c r="J5282" s="112" t="s">
        <v>3632</v>
      </c>
      <c r="K5282" s="112" t="s">
        <v>4242</v>
      </c>
      <c r="L5282" s="116">
        <v>-736.45</v>
      </c>
    </row>
    <row r="5283" spans="1:12" hidden="1" outlineLevel="1" collapsed="1" x14ac:dyDescent="0.35">
      <c r="A5283" s="112" t="s">
        <v>3616</v>
      </c>
      <c r="B5283" s="112" t="s">
        <v>919</v>
      </c>
      <c r="C5283" s="112" t="s">
        <v>1518</v>
      </c>
      <c r="D5283" s="113">
        <v>51366145</v>
      </c>
      <c r="E5283" s="115">
        <v>43934</v>
      </c>
      <c r="F5283" s="114">
        <v>202101</v>
      </c>
      <c r="G5283" s="112" t="s">
        <v>1091</v>
      </c>
      <c r="H5283" s="112" t="s">
        <v>1016</v>
      </c>
      <c r="I5283" s="112" t="s">
        <v>1293</v>
      </c>
      <c r="J5283" s="112" t="s">
        <v>3617</v>
      </c>
      <c r="K5283" s="112" t="s">
        <v>4353</v>
      </c>
      <c r="L5283" s="116">
        <v>-128.56</v>
      </c>
    </row>
    <row r="5284" spans="1:12" hidden="1" outlineLevel="1" collapsed="1" x14ac:dyDescent="0.35">
      <c r="A5284" s="112" t="s">
        <v>3616</v>
      </c>
      <c r="B5284" s="112" t="s">
        <v>919</v>
      </c>
      <c r="C5284" s="112" t="s">
        <v>1518</v>
      </c>
      <c r="D5284" s="113">
        <v>51366146</v>
      </c>
      <c r="E5284" s="115">
        <v>43934</v>
      </c>
      <c r="F5284" s="114">
        <v>202101</v>
      </c>
      <c r="G5284" s="112" t="s">
        <v>1091</v>
      </c>
      <c r="H5284" s="112" t="s">
        <v>1016</v>
      </c>
      <c r="I5284" s="112" t="s">
        <v>1293</v>
      </c>
      <c r="J5284" s="112" t="s">
        <v>3617</v>
      </c>
      <c r="K5284" s="112" t="s">
        <v>4139</v>
      </c>
      <c r="L5284" s="116">
        <v>-1441.66</v>
      </c>
    </row>
    <row r="5285" spans="1:12" hidden="1" outlineLevel="1" collapsed="1" x14ac:dyDescent="0.35">
      <c r="A5285" s="112" t="s">
        <v>3616</v>
      </c>
      <c r="B5285" s="112" t="s">
        <v>921</v>
      </c>
      <c r="C5285" s="112" t="s">
        <v>695</v>
      </c>
      <c r="D5285" s="113">
        <v>10348038</v>
      </c>
      <c r="E5285" s="115">
        <v>43928</v>
      </c>
      <c r="F5285" s="114">
        <v>202101</v>
      </c>
      <c r="G5285" s="112" t="s">
        <v>1091</v>
      </c>
      <c r="H5285" s="112" t="s">
        <v>1016</v>
      </c>
      <c r="I5285" s="112" t="s">
        <v>3846</v>
      </c>
      <c r="J5285" s="112" t="s">
        <v>3709</v>
      </c>
      <c r="K5285" s="112" t="s">
        <v>4354</v>
      </c>
      <c r="L5285" s="116">
        <v>-1995</v>
      </c>
    </row>
    <row r="5286" spans="1:12" hidden="1" outlineLevel="1" collapsed="1" x14ac:dyDescent="0.35">
      <c r="A5286" s="112" t="s">
        <v>3616</v>
      </c>
      <c r="B5286" s="112" t="s">
        <v>921</v>
      </c>
      <c r="C5286" s="112" t="s">
        <v>695</v>
      </c>
      <c r="D5286" s="113">
        <v>10348038</v>
      </c>
      <c r="E5286" s="115">
        <v>43928</v>
      </c>
      <c r="F5286" s="114">
        <v>202101</v>
      </c>
      <c r="G5286" s="112" t="s">
        <v>1091</v>
      </c>
      <c r="H5286" s="112" t="s">
        <v>1016</v>
      </c>
      <c r="I5286" s="112" t="s">
        <v>3846</v>
      </c>
      <c r="J5286" s="112" t="s">
        <v>3709</v>
      </c>
      <c r="K5286" s="112" t="s">
        <v>4077</v>
      </c>
      <c r="L5286" s="116">
        <v>-2730</v>
      </c>
    </row>
    <row r="5287" spans="1:12" hidden="1" outlineLevel="1" collapsed="1" x14ac:dyDescent="0.35">
      <c r="A5287" s="112" t="s">
        <v>3616</v>
      </c>
      <c r="B5287" s="112" t="s">
        <v>921</v>
      </c>
      <c r="C5287" s="112" t="s">
        <v>695</v>
      </c>
      <c r="D5287" s="113">
        <v>10348038</v>
      </c>
      <c r="E5287" s="115">
        <v>43928</v>
      </c>
      <c r="F5287" s="114">
        <v>202101</v>
      </c>
      <c r="G5287" s="112" t="s">
        <v>1091</v>
      </c>
      <c r="H5287" s="112" t="s">
        <v>1016</v>
      </c>
      <c r="I5287" s="112" t="s">
        <v>3846</v>
      </c>
      <c r="J5287" s="112" t="s">
        <v>3709</v>
      </c>
      <c r="K5287" s="112" t="s">
        <v>4355</v>
      </c>
      <c r="L5287" s="116">
        <v>-9360</v>
      </c>
    </row>
    <row r="5288" spans="1:12" hidden="1" outlineLevel="1" collapsed="1" x14ac:dyDescent="0.35">
      <c r="A5288" s="112" t="s">
        <v>3616</v>
      </c>
      <c r="B5288" s="112" t="s">
        <v>921</v>
      </c>
      <c r="C5288" s="112" t="s">
        <v>695</v>
      </c>
      <c r="D5288" s="113">
        <v>10348038</v>
      </c>
      <c r="E5288" s="115">
        <v>43928</v>
      </c>
      <c r="F5288" s="114">
        <v>202101</v>
      </c>
      <c r="G5288" s="112" t="s">
        <v>1091</v>
      </c>
      <c r="H5288" s="112" t="s">
        <v>1016</v>
      </c>
      <c r="I5288" s="112" t="s">
        <v>3846</v>
      </c>
      <c r="J5288" s="112" t="s">
        <v>3709</v>
      </c>
      <c r="K5288" s="112" t="s">
        <v>4356</v>
      </c>
      <c r="L5288" s="116">
        <v>-949</v>
      </c>
    </row>
    <row r="5289" spans="1:12" hidden="1" outlineLevel="1" collapsed="1" x14ac:dyDescent="0.35">
      <c r="A5289" s="112" t="s">
        <v>3616</v>
      </c>
      <c r="B5289" s="112" t="s">
        <v>921</v>
      </c>
      <c r="C5289" s="112" t="s">
        <v>695</v>
      </c>
      <c r="D5289" s="113">
        <v>10348038</v>
      </c>
      <c r="E5289" s="115">
        <v>43928</v>
      </c>
      <c r="F5289" s="114">
        <v>202101</v>
      </c>
      <c r="G5289" s="112" t="s">
        <v>1091</v>
      </c>
      <c r="H5289" s="112" t="s">
        <v>1016</v>
      </c>
      <c r="I5289" s="112" t="s">
        <v>3846</v>
      </c>
      <c r="J5289" s="112" t="s">
        <v>3709</v>
      </c>
      <c r="K5289" s="112" t="s">
        <v>4357</v>
      </c>
      <c r="L5289" s="116">
        <v>-1610</v>
      </c>
    </row>
    <row r="5290" spans="1:12" hidden="1" outlineLevel="1" collapsed="1" x14ac:dyDescent="0.35">
      <c r="A5290" s="112" t="s">
        <v>3616</v>
      </c>
      <c r="B5290" s="112" t="s">
        <v>921</v>
      </c>
      <c r="C5290" s="112" t="s">
        <v>695</v>
      </c>
      <c r="D5290" s="113">
        <v>10348038</v>
      </c>
      <c r="E5290" s="115">
        <v>43928</v>
      </c>
      <c r="F5290" s="114">
        <v>202101</v>
      </c>
      <c r="G5290" s="112" t="s">
        <v>1091</v>
      </c>
      <c r="H5290" s="112" t="s">
        <v>1016</v>
      </c>
      <c r="I5290" s="112" t="s">
        <v>3846</v>
      </c>
      <c r="J5290" s="112" t="s">
        <v>3709</v>
      </c>
      <c r="K5290" s="112" t="s">
        <v>4358</v>
      </c>
      <c r="L5290" s="116">
        <v>-910</v>
      </c>
    </row>
    <row r="5291" spans="1:12" hidden="1" outlineLevel="1" collapsed="1" x14ac:dyDescent="0.35">
      <c r="A5291" s="112" t="s">
        <v>3616</v>
      </c>
      <c r="B5291" s="112" t="s">
        <v>921</v>
      </c>
      <c r="C5291" s="112" t="s">
        <v>695</v>
      </c>
      <c r="D5291" s="113">
        <v>10348038</v>
      </c>
      <c r="E5291" s="115">
        <v>43928</v>
      </c>
      <c r="F5291" s="114">
        <v>202101</v>
      </c>
      <c r="G5291" s="112" t="s">
        <v>1091</v>
      </c>
      <c r="H5291" s="112" t="s">
        <v>1016</v>
      </c>
      <c r="I5291" s="112" t="s">
        <v>3846</v>
      </c>
      <c r="J5291" s="112" t="s">
        <v>3709</v>
      </c>
      <c r="K5291" s="112" t="s">
        <v>4158</v>
      </c>
      <c r="L5291" s="116">
        <v>-1704</v>
      </c>
    </row>
    <row r="5292" spans="1:12" hidden="1" outlineLevel="1" collapsed="1" x14ac:dyDescent="0.35">
      <c r="A5292" s="112" t="s">
        <v>3616</v>
      </c>
      <c r="B5292" s="112" t="s">
        <v>921</v>
      </c>
      <c r="C5292" s="112" t="s">
        <v>695</v>
      </c>
      <c r="D5292" s="113">
        <v>10348038</v>
      </c>
      <c r="E5292" s="115">
        <v>43928</v>
      </c>
      <c r="F5292" s="114">
        <v>202101</v>
      </c>
      <c r="G5292" s="112" t="s">
        <v>1091</v>
      </c>
      <c r="H5292" s="112" t="s">
        <v>1016</v>
      </c>
      <c r="I5292" s="112" t="s">
        <v>3846</v>
      </c>
      <c r="J5292" s="112" t="s">
        <v>3709</v>
      </c>
      <c r="K5292" s="112" t="s">
        <v>4359</v>
      </c>
      <c r="L5292" s="116">
        <v>-2040</v>
      </c>
    </row>
    <row r="5293" spans="1:12" hidden="1" outlineLevel="1" collapsed="1" x14ac:dyDescent="0.35">
      <c r="A5293" s="112" t="s">
        <v>3616</v>
      </c>
      <c r="B5293" s="112" t="s">
        <v>921</v>
      </c>
      <c r="C5293" s="112" t="s">
        <v>695</v>
      </c>
      <c r="D5293" s="113">
        <v>10348038</v>
      </c>
      <c r="E5293" s="115">
        <v>43928</v>
      </c>
      <c r="F5293" s="114">
        <v>202101</v>
      </c>
      <c r="G5293" s="112" t="s">
        <v>1091</v>
      </c>
      <c r="H5293" s="112" t="s">
        <v>1016</v>
      </c>
      <c r="I5293" s="112" t="s">
        <v>3846</v>
      </c>
      <c r="J5293" s="112" t="s">
        <v>3709</v>
      </c>
      <c r="K5293" s="112" t="s">
        <v>4075</v>
      </c>
      <c r="L5293" s="116">
        <v>-1435</v>
      </c>
    </row>
    <row r="5294" spans="1:12" hidden="1" outlineLevel="1" collapsed="1" x14ac:dyDescent="0.35">
      <c r="A5294" s="112" t="s">
        <v>3616</v>
      </c>
      <c r="B5294" s="112" t="s">
        <v>921</v>
      </c>
      <c r="C5294" s="112" t="s">
        <v>695</v>
      </c>
      <c r="D5294" s="113">
        <v>10348038</v>
      </c>
      <c r="E5294" s="115">
        <v>43928</v>
      </c>
      <c r="F5294" s="114">
        <v>202101</v>
      </c>
      <c r="G5294" s="112" t="s">
        <v>1091</v>
      </c>
      <c r="H5294" s="112" t="s">
        <v>1016</v>
      </c>
      <c r="I5294" s="112" t="s">
        <v>3846</v>
      </c>
      <c r="J5294" s="112" t="s">
        <v>3709</v>
      </c>
      <c r="K5294" s="112" t="s">
        <v>4360</v>
      </c>
      <c r="L5294" s="116">
        <v>-455</v>
      </c>
    </row>
    <row r="5295" spans="1:12" hidden="1" outlineLevel="1" collapsed="1" x14ac:dyDescent="0.35">
      <c r="A5295" s="112" t="s">
        <v>3616</v>
      </c>
      <c r="B5295" s="112" t="s">
        <v>921</v>
      </c>
      <c r="C5295" s="112" t="s">
        <v>695</v>
      </c>
      <c r="D5295" s="113">
        <v>10348038</v>
      </c>
      <c r="E5295" s="115">
        <v>43928</v>
      </c>
      <c r="F5295" s="114">
        <v>202101</v>
      </c>
      <c r="G5295" s="112" t="s">
        <v>1091</v>
      </c>
      <c r="H5295" s="112" t="s">
        <v>1016</v>
      </c>
      <c r="I5295" s="112" t="s">
        <v>3846</v>
      </c>
      <c r="J5295" s="112" t="s">
        <v>3709</v>
      </c>
      <c r="K5295" s="112" t="s">
        <v>4361</v>
      </c>
      <c r="L5295" s="116">
        <v>-556</v>
      </c>
    </row>
    <row r="5296" spans="1:12" hidden="1" outlineLevel="1" collapsed="1" x14ac:dyDescent="0.35">
      <c r="A5296" s="112" t="s">
        <v>3616</v>
      </c>
      <c r="B5296" s="112" t="s">
        <v>921</v>
      </c>
      <c r="C5296" s="112" t="s">
        <v>695</v>
      </c>
      <c r="D5296" s="113">
        <v>10348038</v>
      </c>
      <c r="E5296" s="115">
        <v>43928</v>
      </c>
      <c r="F5296" s="114">
        <v>202101</v>
      </c>
      <c r="G5296" s="112" t="s">
        <v>1091</v>
      </c>
      <c r="H5296" s="112" t="s">
        <v>1016</v>
      </c>
      <c r="I5296" s="112" t="s">
        <v>3899</v>
      </c>
      <c r="J5296" s="112" t="s">
        <v>3709</v>
      </c>
      <c r="K5296" s="112" t="s">
        <v>4362</v>
      </c>
      <c r="L5296" s="116">
        <v>-1767.5</v>
      </c>
    </row>
    <row r="5297" spans="1:12" hidden="1" outlineLevel="1" collapsed="1" x14ac:dyDescent="0.35">
      <c r="A5297" s="112" t="s">
        <v>3616</v>
      </c>
      <c r="B5297" s="112" t="s">
        <v>921</v>
      </c>
      <c r="C5297" s="112" t="s">
        <v>695</v>
      </c>
      <c r="D5297" s="113">
        <v>10348038</v>
      </c>
      <c r="E5297" s="115">
        <v>43928</v>
      </c>
      <c r="F5297" s="114">
        <v>202101</v>
      </c>
      <c r="G5297" s="112" t="s">
        <v>1091</v>
      </c>
      <c r="H5297" s="112" t="s">
        <v>1016</v>
      </c>
      <c r="I5297" s="112" t="s">
        <v>3846</v>
      </c>
      <c r="J5297" s="112" t="s">
        <v>3709</v>
      </c>
      <c r="K5297" s="112" t="s">
        <v>4363</v>
      </c>
      <c r="L5297" s="116">
        <v>-1795</v>
      </c>
    </row>
    <row r="5298" spans="1:12" hidden="1" outlineLevel="1" collapsed="1" x14ac:dyDescent="0.35">
      <c r="A5298" s="112" t="s">
        <v>3616</v>
      </c>
      <c r="B5298" s="112" t="s">
        <v>921</v>
      </c>
      <c r="C5298" s="112" t="s">
        <v>1095</v>
      </c>
      <c r="D5298" s="113">
        <v>10348451</v>
      </c>
      <c r="E5298" s="115">
        <v>43949</v>
      </c>
      <c r="F5298" s="114">
        <v>202101</v>
      </c>
      <c r="G5298" s="112" t="s">
        <v>1091</v>
      </c>
      <c r="H5298" s="112" t="s">
        <v>1015</v>
      </c>
      <c r="I5298" s="112" t="s">
        <v>3261</v>
      </c>
      <c r="J5298" s="112" t="s">
        <v>3620</v>
      </c>
      <c r="K5298" s="112" t="s">
        <v>1098</v>
      </c>
      <c r="L5298" s="116">
        <v>34.14</v>
      </c>
    </row>
    <row r="5299" spans="1:12" hidden="1" outlineLevel="1" collapsed="1" x14ac:dyDescent="0.35">
      <c r="A5299" s="112" t="s">
        <v>3616</v>
      </c>
      <c r="B5299" s="112" t="s">
        <v>916</v>
      </c>
      <c r="C5299" s="112" t="s">
        <v>1095</v>
      </c>
      <c r="D5299" s="113">
        <v>10348451</v>
      </c>
      <c r="E5299" s="115">
        <v>43949</v>
      </c>
      <c r="F5299" s="114">
        <v>202101</v>
      </c>
      <c r="G5299" s="112" t="s">
        <v>1091</v>
      </c>
      <c r="H5299" s="112" t="s">
        <v>1015</v>
      </c>
      <c r="I5299" s="112" t="s">
        <v>1101</v>
      </c>
      <c r="J5299" s="112" t="s">
        <v>3771</v>
      </c>
      <c r="K5299" s="112" t="s">
        <v>1098</v>
      </c>
      <c r="L5299" s="116">
        <v>1201.43</v>
      </c>
    </row>
    <row r="5300" spans="1:12" hidden="1" outlineLevel="1" collapsed="1" x14ac:dyDescent="0.35">
      <c r="A5300" s="112" t="s">
        <v>3616</v>
      </c>
      <c r="B5300" s="112" t="s">
        <v>921</v>
      </c>
      <c r="C5300" s="112" t="s">
        <v>695</v>
      </c>
      <c r="D5300" s="113">
        <v>10348038</v>
      </c>
      <c r="E5300" s="115">
        <v>43928</v>
      </c>
      <c r="F5300" s="114">
        <v>202101</v>
      </c>
      <c r="G5300" s="112" t="s">
        <v>1091</v>
      </c>
      <c r="H5300" s="112" t="s">
        <v>1016</v>
      </c>
      <c r="I5300" s="112" t="s">
        <v>3846</v>
      </c>
      <c r="J5300" s="112" t="s">
        <v>3709</v>
      </c>
      <c r="K5300" s="112" t="s">
        <v>4077</v>
      </c>
      <c r="L5300" s="116">
        <v>-1554</v>
      </c>
    </row>
    <row r="5301" spans="1:12" hidden="1" outlineLevel="1" collapsed="1" x14ac:dyDescent="0.35">
      <c r="A5301" s="112" t="s">
        <v>3616</v>
      </c>
      <c r="B5301" s="112" t="s">
        <v>921</v>
      </c>
      <c r="C5301" s="112" t="s">
        <v>695</v>
      </c>
      <c r="D5301" s="113">
        <v>10348038</v>
      </c>
      <c r="E5301" s="115">
        <v>43928</v>
      </c>
      <c r="F5301" s="114">
        <v>202101</v>
      </c>
      <c r="G5301" s="112" t="s">
        <v>1091</v>
      </c>
      <c r="H5301" s="112" t="s">
        <v>1016</v>
      </c>
      <c r="I5301" s="112" t="s">
        <v>3846</v>
      </c>
      <c r="J5301" s="112" t="s">
        <v>3709</v>
      </c>
      <c r="K5301" s="112" t="s">
        <v>4364</v>
      </c>
      <c r="L5301" s="116">
        <v>2500</v>
      </c>
    </row>
    <row r="5302" spans="1:12" hidden="1" outlineLevel="1" collapsed="1" x14ac:dyDescent="0.35">
      <c r="A5302" s="112" t="s">
        <v>3616</v>
      </c>
      <c r="B5302" s="112" t="s">
        <v>921</v>
      </c>
      <c r="C5302" s="112" t="s">
        <v>695</v>
      </c>
      <c r="D5302" s="113">
        <v>10348038</v>
      </c>
      <c r="E5302" s="115">
        <v>43928</v>
      </c>
      <c r="F5302" s="114">
        <v>202101</v>
      </c>
      <c r="G5302" s="112" t="s">
        <v>1091</v>
      </c>
      <c r="H5302" s="112" t="s">
        <v>1016</v>
      </c>
      <c r="I5302" s="112" t="s">
        <v>3846</v>
      </c>
      <c r="J5302" s="112" t="s">
        <v>3709</v>
      </c>
      <c r="K5302" s="112" t="s">
        <v>4365</v>
      </c>
      <c r="L5302" s="116">
        <v>715</v>
      </c>
    </row>
    <row r="5303" spans="1:12" hidden="1" outlineLevel="1" collapsed="1" x14ac:dyDescent="0.35">
      <c r="A5303" s="112" t="s">
        <v>3616</v>
      </c>
      <c r="B5303" s="112" t="s">
        <v>922</v>
      </c>
      <c r="C5303" s="112" t="s">
        <v>1095</v>
      </c>
      <c r="D5303" s="113">
        <v>10348451</v>
      </c>
      <c r="E5303" s="115">
        <v>43949</v>
      </c>
      <c r="F5303" s="114">
        <v>202101</v>
      </c>
      <c r="G5303" s="112" t="s">
        <v>1091</v>
      </c>
      <c r="H5303" s="112" t="s">
        <v>1015</v>
      </c>
      <c r="I5303" s="112" t="s">
        <v>1101</v>
      </c>
      <c r="J5303" s="112" t="s">
        <v>3784</v>
      </c>
      <c r="K5303" s="112" t="s">
        <v>1098</v>
      </c>
      <c r="L5303" s="116">
        <v>495.66</v>
      </c>
    </row>
    <row r="5304" spans="1:12" hidden="1" outlineLevel="1" collapsed="1" x14ac:dyDescent="0.35">
      <c r="A5304" s="112" t="s">
        <v>3616</v>
      </c>
      <c r="B5304" s="112" t="s">
        <v>919</v>
      </c>
      <c r="C5304" s="112" t="s">
        <v>1518</v>
      </c>
      <c r="D5304" s="113">
        <v>51366295</v>
      </c>
      <c r="E5304" s="115">
        <v>43951</v>
      </c>
      <c r="F5304" s="114">
        <v>202101</v>
      </c>
      <c r="G5304" s="112" t="s">
        <v>1091</v>
      </c>
      <c r="H5304" s="112" t="s">
        <v>1016</v>
      </c>
      <c r="I5304" s="112" t="s">
        <v>4211</v>
      </c>
      <c r="J5304" s="112" t="s">
        <v>3624</v>
      </c>
      <c r="K5304" s="112" t="s">
        <v>4366</v>
      </c>
      <c r="L5304" s="116">
        <v>-25</v>
      </c>
    </row>
    <row r="5305" spans="1:12" hidden="1" outlineLevel="1" collapsed="1" x14ac:dyDescent="0.35">
      <c r="A5305" s="112" t="s">
        <v>3616</v>
      </c>
      <c r="B5305" s="112" t="s">
        <v>922</v>
      </c>
      <c r="C5305" s="112" t="s">
        <v>695</v>
      </c>
      <c r="D5305" s="113">
        <v>10348539</v>
      </c>
      <c r="E5305" s="115">
        <v>43951</v>
      </c>
      <c r="F5305" s="114">
        <v>202101</v>
      </c>
      <c r="G5305" s="112" t="s">
        <v>1091</v>
      </c>
      <c r="H5305" s="112" t="s">
        <v>1015</v>
      </c>
      <c r="I5305" s="112" t="s">
        <v>4367</v>
      </c>
      <c r="J5305" s="112" t="s">
        <v>3791</v>
      </c>
      <c r="K5305" s="112" t="s">
        <v>4368</v>
      </c>
      <c r="L5305" s="116">
        <v>2350</v>
      </c>
    </row>
    <row r="5306" spans="1:12" hidden="1" outlineLevel="1" collapsed="1" x14ac:dyDescent="0.35">
      <c r="A5306" s="112" t="s">
        <v>3616</v>
      </c>
      <c r="B5306" s="112" t="s">
        <v>919</v>
      </c>
      <c r="C5306" s="112" t="s">
        <v>695</v>
      </c>
      <c r="D5306" s="113">
        <v>10348077</v>
      </c>
      <c r="E5306" s="115">
        <v>43929</v>
      </c>
      <c r="F5306" s="114">
        <v>202101</v>
      </c>
      <c r="G5306" s="112" t="s">
        <v>1091</v>
      </c>
      <c r="H5306" s="112" t="s">
        <v>1016</v>
      </c>
      <c r="I5306" s="112" t="s">
        <v>823</v>
      </c>
      <c r="J5306" s="112" t="s">
        <v>3617</v>
      </c>
      <c r="K5306" s="112" t="s">
        <v>4213</v>
      </c>
      <c r="L5306" s="116">
        <v>-3604.08</v>
      </c>
    </row>
    <row r="5307" spans="1:12" hidden="1" outlineLevel="1" collapsed="1" x14ac:dyDescent="0.35">
      <c r="A5307" s="112" t="s">
        <v>3616</v>
      </c>
      <c r="B5307" s="112" t="s">
        <v>920</v>
      </c>
      <c r="C5307" s="112" t="s">
        <v>695</v>
      </c>
      <c r="D5307" s="113">
        <v>10347981</v>
      </c>
      <c r="E5307" s="115">
        <v>43924</v>
      </c>
      <c r="F5307" s="114">
        <v>202101</v>
      </c>
      <c r="G5307" s="112" t="s">
        <v>1091</v>
      </c>
      <c r="H5307" s="112" t="s">
        <v>1015</v>
      </c>
      <c r="I5307" s="112" t="s">
        <v>761</v>
      </c>
      <c r="J5307" s="112" t="s">
        <v>3755</v>
      </c>
      <c r="K5307" s="112" t="s">
        <v>4369</v>
      </c>
      <c r="L5307" s="116">
        <v>-40</v>
      </c>
    </row>
    <row r="5308" spans="1:12" hidden="1" outlineLevel="1" collapsed="1" x14ac:dyDescent="0.35">
      <c r="A5308" s="112" t="s">
        <v>3616</v>
      </c>
      <c r="B5308" s="112" t="s">
        <v>916</v>
      </c>
      <c r="C5308" s="112" t="s">
        <v>1095</v>
      </c>
      <c r="D5308" s="113">
        <v>10348451</v>
      </c>
      <c r="E5308" s="115">
        <v>43949</v>
      </c>
      <c r="F5308" s="114">
        <v>202101</v>
      </c>
      <c r="G5308" s="112" t="s">
        <v>1091</v>
      </c>
      <c r="H5308" s="112" t="s">
        <v>1015</v>
      </c>
      <c r="I5308" s="112" t="s">
        <v>1116</v>
      </c>
      <c r="J5308" s="112" t="s">
        <v>3771</v>
      </c>
      <c r="K5308" s="112" t="s">
        <v>1098</v>
      </c>
      <c r="L5308" s="116">
        <v>2406.0100000000002</v>
      </c>
    </row>
    <row r="5309" spans="1:12" hidden="1" outlineLevel="1" collapsed="1" x14ac:dyDescent="0.35">
      <c r="A5309" s="112" t="s">
        <v>3616</v>
      </c>
      <c r="B5309" s="112" t="s">
        <v>921</v>
      </c>
      <c r="C5309" s="112" t="s">
        <v>695</v>
      </c>
      <c r="D5309" s="113">
        <v>10347981</v>
      </c>
      <c r="E5309" s="115">
        <v>43924</v>
      </c>
      <c r="F5309" s="114">
        <v>202101</v>
      </c>
      <c r="G5309" s="112" t="s">
        <v>1091</v>
      </c>
      <c r="H5309" s="112" t="s">
        <v>1015</v>
      </c>
      <c r="I5309" s="112" t="s">
        <v>775</v>
      </c>
      <c r="J5309" s="112" t="s">
        <v>3709</v>
      </c>
      <c r="K5309" s="112" t="s">
        <v>4370</v>
      </c>
      <c r="L5309" s="116">
        <v>-447.5</v>
      </c>
    </row>
    <row r="5310" spans="1:12" hidden="1" outlineLevel="1" collapsed="1" x14ac:dyDescent="0.35">
      <c r="A5310" s="112" t="s">
        <v>3616</v>
      </c>
      <c r="B5310" s="112" t="s">
        <v>920</v>
      </c>
      <c r="C5310" s="112" t="s">
        <v>695</v>
      </c>
      <c r="D5310" s="113">
        <v>10347981</v>
      </c>
      <c r="E5310" s="115">
        <v>43924</v>
      </c>
      <c r="F5310" s="114">
        <v>202101</v>
      </c>
      <c r="G5310" s="112" t="s">
        <v>1091</v>
      </c>
      <c r="H5310" s="112" t="s">
        <v>1015</v>
      </c>
      <c r="I5310" s="112" t="s">
        <v>1182</v>
      </c>
      <c r="J5310" s="112" t="s">
        <v>4179</v>
      </c>
      <c r="K5310" s="112" t="s">
        <v>4371</v>
      </c>
      <c r="L5310" s="116">
        <v>-131.49</v>
      </c>
    </row>
    <row r="5311" spans="1:12" hidden="1" outlineLevel="1" collapsed="1" x14ac:dyDescent="0.35">
      <c r="A5311" s="112" t="s">
        <v>3616</v>
      </c>
      <c r="B5311" s="112" t="s">
        <v>919</v>
      </c>
      <c r="C5311" s="112" t="s">
        <v>695</v>
      </c>
      <c r="D5311" s="113">
        <v>10347981</v>
      </c>
      <c r="E5311" s="115">
        <v>43924</v>
      </c>
      <c r="F5311" s="114">
        <v>202101</v>
      </c>
      <c r="G5311" s="112" t="s">
        <v>1091</v>
      </c>
      <c r="H5311" s="112" t="s">
        <v>1015</v>
      </c>
      <c r="I5311" s="112" t="s">
        <v>4372</v>
      </c>
      <c r="J5311" s="112" t="s">
        <v>3632</v>
      </c>
      <c r="K5311" s="112" t="s">
        <v>4373</v>
      </c>
      <c r="L5311" s="116">
        <v>-13.8</v>
      </c>
    </row>
    <row r="5312" spans="1:12" hidden="1" outlineLevel="1" collapsed="1" x14ac:dyDescent="0.35">
      <c r="A5312" s="112" t="s">
        <v>3616</v>
      </c>
      <c r="B5312" s="112" t="s">
        <v>922</v>
      </c>
      <c r="C5312" s="112" t="s">
        <v>695</v>
      </c>
      <c r="D5312" s="113">
        <v>10347981</v>
      </c>
      <c r="E5312" s="115">
        <v>43924</v>
      </c>
      <c r="F5312" s="114">
        <v>202101</v>
      </c>
      <c r="G5312" s="112" t="s">
        <v>1091</v>
      </c>
      <c r="H5312" s="112" t="s">
        <v>1015</v>
      </c>
      <c r="I5312" s="112" t="s">
        <v>761</v>
      </c>
      <c r="J5312" s="112" t="s">
        <v>3655</v>
      </c>
      <c r="K5312" s="112" t="s">
        <v>4374</v>
      </c>
      <c r="L5312" s="116">
        <v>-2105</v>
      </c>
    </row>
    <row r="5313" spans="1:12" hidden="1" outlineLevel="1" collapsed="1" x14ac:dyDescent="0.35">
      <c r="A5313" s="112" t="s">
        <v>3616</v>
      </c>
      <c r="B5313" s="112" t="s">
        <v>920</v>
      </c>
      <c r="C5313" s="112" t="s">
        <v>695</v>
      </c>
      <c r="D5313" s="113">
        <v>10347981</v>
      </c>
      <c r="E5313" s="115">
        <v>43924</v>
      </c>
      <c r="F5313" s="114">
        <v>202101</v>
      </c>
      <c r="G5313" s="112" t="s">
        <v>1091</v>
      </c>
      <c r="H5313" s="112" t="s">
        <v>1015</v>
      </c>
      <c r="I5313" s="112" t="s">
        <v>3790</v>
      </c>
      <c r="J5313" s="112" t="s">
        <v>3755</v>
      </c>
      <c r="K5313" s="112" t="s">
        <v>4375</v>
      </c>
      <c r="L5313" s="116">
        <v>-546</v>
      </c>
    </row>
    <row r="5314" spans="1:12" hidden="1" outlineLevel="1" collapsed="1" x14ac:dyDescent="0.35">
      <c r="A5314" s="112" t="s">
        <v>3616</v>
      </c>
      <c r="B5314" s="112" t="s">
        <v>921</v>
      </c>
      <c r="C5314" s="112" t="s">
        <v>1511</v>
      </c>
      <c r="D5314" s="113">
        <v>47036644</v>
      </c>
      <c r="E5314" s="115">
        <v>43935</v>
      </c>
      <c r="F5314" s="114">
        <v>202101</v>
      </c>
      <c r="G5314" s="112" t="s">
        <v>1091</v>
      </c>
      <c r="H5314" s="112" t="s">
        <v>1015</v>
      </c>
      <c r="I5314" s="112" t="s">
        <v>751</v>
      </c>
      <c r="J5314" s="112" t="s">
        <v>3622</v>
      </c>
      <c r="K5314" s="112" t="s">
        <v>4376</v>
      </c>
      <c r="L5314" s="116">
        <v>993.47</v>
      </c>
    </row>
    <row r="5315" spans="1:12" hidden="1" outlineLevel="1" collapsed="1" x14ac:dyDescent="0.35">
      <c r="A5315" s="112" t="s">
        <v>3616</v>
      </c>
      <c r="B5315" s="112" t="s">
        <v>922</v>
      </c>
      <c r="C5315" s="112" t="s">
        <v>695</v>
      </c>
      <c r="D5315" s="113">
        <v>10347981</v>
      </c>
      <c r="E5315" s="115">
        <v>43924</v>
      </c>
      <c r="F5315" s="114">
        <v>202101</v>
      </c>
      <c r="G5315" s="112" t="s">
        <v>1091</v>
      </c>
      <c r="H5315" s="112" t="s">
        <v>1015</v>
      </c>
      <c r="I5315" s="112" t="s">
        <v>761</v>
      </c>
      <c r="J5315" s="112" t="s">
        <v>3954</v>
      </c>
      <c r="K5315" s="112" t="s">
        <v>4377</v>
      </c>
      <c r="L5315" s="116">
        <v>-446</v>
      </c>
    </row>
    <row r="5316" spans="1:12" hidden="1" outlineLevel="1" collapsed="1" x14ac:dyDescent="0.35">
      <c r="A5316" s="112" t="s">
        <v>3616</v>
      </c>
      <c r="B5316" s="112" t="s">
        <v>921</v>
      </c>
      <c r="C5316" s="112" t="s">
        <v>1511</v>
      </c>
      <c r="D5316" s="113">
        <v>47036648</v>
      </c>
      <c r="E5316" s="115">
        <v>43935</v>
      </c>
      <c r="F5316" s="114">
        <v>202101</v>
      </c>
      <c r="G5316" s="112" t="s">
        <v>1091</v>
      </c>
      <c r="H5316" s="112" t="s">
        <v>1015</v>
      </c>
      <c r="I5316" s="112" t="s">
        <v>751</v>
      </c>
      <c r="J5316" s="112" t="s">
        <v>3651</v>
      </c>
      <c r="K5316" s="112" t="s">
        <v>4378</v>
      </c>
      <c r="L5316" s="116">
        <v>3768.73</v>
      </c>
    </row>
    <row r="5317" spans="1:12" hidden="1" outlineLevel="1" collapsed="1" x14ac:dyDescent="0.35">
      <c r="A5317" s="112" t="s">
        <v>3616</v>
      </c>
      <c r="B5317" s="112" t="s">
        <v>922</v>
      </c>
      <c r="C5317" s="112" t="s">
        <v>695</v>
      </c>
      <c r="D5317" s="113">
        <v>10347981</v>
      </c>
      <c r="E5317" s="115">
        <v>43924</v>
      </c>
      <c r="F5317" s="114">
        <v>202101</v>
      </c>
      <c r="G5317" s="112" t="s">
        <v>1091</v>
      </c>
      <c r="H5317" s="112" t="s">
        <v>1015</v>
      </c>
      <c r="I5317" s="112" t="s">
        <v>761</v>
      </c>
      <c r="J5317" s="112" t="s">
        <v>3766</v>
      </c>
      <c r="K5317" s="112" t="s">
        <v>4379</v>
      </c>
      <c r="L5317" s="116">
        <v>-420</v>
      </c>
    </row>
    <row r="5318" spans="1:12" hidden="1" outlineLevel="1" collapsed="1" x14ac:dyDescent="0.35">
      <c r="A5318" s="112" t="s">
        <v>3616</v>
      </c>
      <c r="B5318" s="112" t="s">
        <v>922</v>
      </c>
      <c r="C5318" s="112" t="s">
        <v>695</v>
      </c>
      <c r="D5318" s="113">
        <v>10347981</v>
      </c>
      <c r="E5318" s="115">
        <v>43924</v>
      </c>
      <c r="F5318" s="114">
        <v>202101</v>
      </c>
      <c r="G5318" s="112" t="s">
        <v>1091</v>
      </c>
      <c r="H5318" s="112" t="s">
        <v>1015</v>
      </c>
      <c r="I5318" s="112" t="s">
        <v>761</v>
      </c>
      <c r="J5318" s="112" t="s">
        <v>3766</v>
      </c>
      <c r="K5318" s="112" t="s">
        <v>4380</v>
      </c>
      <c r="L5318" s="116">
        <v>-17.61</v>
      </c>
    </row>
    <row r="5319" spans="1:12" hidden="1" outlineLevel="1" collapsed="1" x14ac:dyDescent="0.35">
      <c r="A5319" s="112" t="s">
        <v>3616</v>
      </c>
      <c r="B5319" s="112" t="s">
        <v>922</v>
      </c>
      <c r="C5319" s="112" t="s">
        <v>695</v>
      </c>
      <c r="D5319" s="113">
        <v>10347981</v>
      </c>
      <c r="E5319" s="115">
        <v>43924</v>
      </c>
      <c r="F5319" s="114">
        <v>202101</v>
      </c>
      <c r="G5319" s="112" t="s">
        <v>1091</v>
      </c>
      <c r="H5319" s="112" t="s">
        <v>1015</v>
      </c>
      <c r="I5319" s="112" t="s">
        <v>761</v>
      </c>
      <c r="J5319" s="112" t="s">
        <v>3861</v>
      </c>
      <c r="K5319" s="112" t="s">
        <v>4381</v>
      </c>
      <c r="L5319" s="116">
        <v>-160</v>
      </c>
    </row>
    <row r="5320" spans="1:12" hidden="1" outlineLevel="1" collapsed="1" x14ac:dyDescent="0.35">
      <c r="A5320" s="112" t="s">
        <v>3616</v>
      </c>
      <c r="B5320" s="112" t="s">
        <v>916</v>
      </c>
      <c r="C5320" s="112" t="s">
        <v>1511</v>
      </c>
      <c r="D5320" s="113">
        <v>47036646</v>
      </c>
      <c r="E5320" s="115">
        <v>43935</v>
      </c>
      <c r="F5320" s="114">
        <v>202101</v>
      </c>
      <c r="G5320" s="112" t="s">
        <v>1091</v>
      </c>
      <c r="H5320" s="112" t="s">
        <v>1015</v>
      </c>
      <c r="I5320" s="112" t="s">
        <v>751</v>
      </c>
      <c r="J5320" s="112" t="s">
        <v>3626</v>
      </c>
      <c r="K5320" s="112" t="s">
        <v>4382</v>
      </c>
      <c r="L5320" s="116">
        <v>1620.38</v>
      </c>
    </row>
    <row r="5321" spans="1:12" hidden="1" outlineLevel="1" collapsed="1" x14ac:dyDescent="0.35">
      <c r="A5321" s="112" t="s">
        <v>3616</v>
      </c>
      <c r="B5321" s="112" t="s">
        <v>921</v>
      </c>
      <c r="C5321" s="112" t="s">
        <v>695</v>
      </c>
      <c r="D5321" s="113">
        <v>10347981</v>
      </c>
      <c r="E5321" s="115">
        <v>43924</v>
      </c>
      <c r="F5321" s="114">
        <v>202101</v>
      </c>
      <c r="G5321" s="112" t="s">
        <v>1091</v>
      </c>
      <c r="H5321" s="112" t="s">
        <v>1015</v>
      </c>
      <c r="I5321" s="112" t="s">
        <v>1643</v>
      </c>
      <c r="J5321" s="112" t="s">
        <v>3620</v>
      </c>
      <c r="K5321" s="112" t="s">
        <v>4016</v>
      </c>
      <c r="L5321" s="116">
        <v>-18.48</v>
      </c>
    </row>
    <row r="5322" spans="1:12" hidden="1" outlineLevel="1" collapsed="1" x14ac:dyDescent="0.35">
      <c r="A5322" s="112" t="s">
        <v>3616</v>
      </c>
      <c r="B5322" s="112" t="s">
        <v>916</v>
      </c>
      <c r="C5322" s="112" t="s">
        <v>1511</v>
      </c>
      <c r="D5322" s="113">
        <v>47036647</v>
      </c>
      <c r="E5322" s="115">
        <v>43935</v>
      </c>
      <c r="F5322" s="114">
        <v>202101</v>
      </c>
      <c r="G5322" s="112" t="s">
        <v>1091</v>
      </c>
      <c r="H5322" s="112" t="s">
        <v>1015</v>
      </c>
      <c r="I5322" s="112" t="s">
        <v>751</v>
      </c>
      <c r="J5322" s="112" t="s">
        <v>3626</v>
      </c>
      <c r="K5322" s="112" t="s">
        <v>4383</v>
      </c>
      <c r="L5322" s="116">
        <v>3907.53</v>
      </c>
    </row>
    <row r="5323" spans="1:12" hidden="1" outlineLevel="1" collapsed="1" x14ac:dyDescent="0.35">
      <c r="A5323" s="112" t="s">
        <v>3616</v>
      </c>
      <c r="B5323" s="112" t="s">
        <v>919</v>
      </c>
      <c r="C5323" s="112" t="s">
        <v>695</v>
      </c>
      <c r="D5323" s="113">
        <v>10347981</v>
      </c>
      <c r="E5323" s="115">
        <v>43924</v>
      </c>
      <c r="F5323" s="114">
        <v>202101</v>
      </c>
      <c r="G5323" s="112" t="s">
        <v>1091</v>
      </c>
      <c r="H5323" s="112" t="s">
        <v>1015</v>
      </c>
      <c r="I5323" s="112" t="s">
        <v>2495</v>
      </c>
      <c r="J5323" s="112" t="s">
        <v>3632</v>
      </c>
      <c r="K5323" s="112" t="s">
        <v>4384</v>
      </c>
      <c r="L5323" s="116">
        <v>-150</v>
      </c>
    </row>
    <row r="5324" spans="1:12" hidden="1" outlineLevel="1" collapsed="1" x14ac:dyDescent="0.35">
      <c r="A5324" s="112" t="s">
        <v>3616</v>
      </c>
      <c r="B5324" s="112" t="s">
        <v>917</v>
      </c>
      <c r="C5324" s="112" t="s">
        <v>1095</v>
      </c>
      <c r="D5324" s="113">
        <v>10348451</v>
      </c>
      <c r="E5324" s="115">
        <v>43949</v>
      </c>
      <c r="F5324" s="114">
        <v>202101</v>
      </c>
      <c r="G5324" s="112" t="s">
        <v>1091</v>
      </c>
      <c r="H5324" s="112" t="s">
        <v>1015</v>
      </c>
      <c r="I5324" s="112" t="s">
        <v>1101</v>
      </c>
      <c r="J5324" s="112" t="s">
        <v>3781</v>
      </c>
      <c r="K5324" s="112" t="s">
        <v>1098</v>
      </c>
      <c r="L5324" s="116">
        <v>483.07</v>
      </c>
    </row>
    <row r="5325" spans="1:12" hidden="1" outlineLevel="1" collapsed="1" x14ac:dyDescent="0.35">
      <c r="A5325" s="112" t="s">
        <v>3616</v>
      </c>
      <c r="B5325" s="112" t="s">
        <v>916</v>
      </c>
      <c r="C5325" s="112" t="s">
        <v>1511</v>
      </c>
      <c r="D5325" s="113">
        <v>47036652</v>
      </c>
      <c r="E5325" s="115">
        <v>43935</v>
      </c>
      <c r="F5325" s="114">
        <v>202101</v>
      </c>
      <c r="G5325" s="112" t="s">
        <v>1091</v>
      </c>
      <c r="H5325" s="112" t="s">
        <v>1015</v>
      </c>
      <c r="I5325" s="112" t="s">
        <v>751</v>
      </c>
      <c r="J5325" s="112" t="s">
        <v>3626</v>
      </c>
      <c r="K5325" s="112" t="s">
        <v>4385</v>
      </c>
      <c r="L5325" s="116">
        <v>3296.87</v>
      </c>
    </row>
    <row r="5326" spans="1:12" hidden="1" outlineLevel="1" collapsed="1" x14ac:dyDescent="0.35">
      <c r="A5326" s="112" t="s">
        <v>3616</v>
      </c>
      <c r="B5326" s="112" t="s">
        <v>919</v>
      </c>
      <c r="C5326" s="112" t="s">
        <v>1095</v>
      </c>
      <c r="D5326" s="113">
        <v>10348451</v>
      </c>
      <c r="E5326" s="115">
        <v>43949</v>
      </c>
      <c r="F5326" s="114">
        <v>202101</v>
      </c>
      <c r="G5326" s="112" t="s">
        <v>1091</v>
      </c>
      <c r="H5326" s="112" t="s">
        <v>1015</v>
      </c>
      <c r="I5326" s="112" t="s">
        <v>1101</v>
      </c>
      <c r="J5326" s="112" t="s">
        <v>3624</v>
      </c>
      <c r="K5326" s="112" t="s">
        <v>1098</v>
      </c>
      <c r="L5326" s="116">
        <v>426.26</v>
      </c>
    </row>
    <row r="5327" spans="1:12" hidden="1" outlineLevel="1" collapsed="1" x14ac:dyDescent="0.35">
      <c r="A5327" s="112" t="s">
        <v>3616</v>
      </c>
      <c r="B5327" s="112" t="s">
        <v>921</v>
      </c>
      <c r="C5327" s="112" t="s">
        <v>695</v>
      </c>
      <c r="D5327" s="113">
        <v>10347981</v>
      </c>
      <c r="E5327" s="115">
        <v>43924</v>
      </c>
      <c r="F5327" s="114">
        <v>202101</v>
      </c>
      <c r="G5327" s="112" t="s">
        <v>1091</v>
      </c>
      <c r="H5327" s="112" t="s">
        <v>1015</v>
      </c>
      <c r="I5327" s="112" t="s">
        <v>4386</v>
      </c>
      <c r="J5327" s="112" t="s">
        <v>3620</v>
      </c>
      <c r="K5327" s="112" t="s">
        <v>4387</v>
      </c>
      <c r="L5327" s="116">
        <v>-225.12</v>
      </c>
    </row>
    <row r="5328" spans="1:12" hidden="1" outlineLevel="1" collapsed="1" x14ac:dyDescent="0.35">
      <c r="A5328" s="112" t="s">
        <v>3616</v>
      </c>
      <c r="B5328" s="112" t="s">
        <v>922</v>
      </c>
      <c r="C5328" s="112" t="s">
        <v>695</v>
      </c>
      <c r="D5328" s="113">
        <v>10347981</v>
      </c>
      <c r="E5328" s="115">
        <v>43924</v>
      </c>
      <c r="F5328" s="114">
        <v>202101</v>
      </c>
      <c r="G5328" s="112" t="s">
        <v>1091</v>
      </c>
      <c r="H5328" s="112" t="s">
        <v>1015</v>
      </c>
      <c r="I5328" s="112" t="s">
        <v>775</v>
      </c>
      <c r="J5328" s="112" t="s">
        <v>3791</v>
      </c>
      <c r="K5328" s="112" t="s">
        <v>4388</v>
      </c>
      <c r="L5328" s="116">
        <v>-185</v>
      </c>
    </row>
    <row r="5329" spans="1:12" hidden="1" outlineLevel="1" collapsed="1" x14ac:dyDescent="0.35">
      <c r="A5329" s="112" t="s">
        <v>3616</v>
      </c>
      <c r="B5329" s="112" t="s">
        <v>920</v>
      </c>
      <c r="C5329" s="112" t="s">
        <v>695</v>
      </c>
      <c r="D5329" s="113">
        <v>10347981</v>
      </c>
      <c r="E5329" s="115">
        <v>43924</v>
      </c>
      <c r="F5329" s="114">
        <v>202101</v>
      </c>
      <c r="G5329" s="112" t="s">
        <v>1091</v>
      </c>
      <c r="H5329" s="112" t="s">
        <v>1015</v>
      </c>
      <c r="I5329" s="112" t="s">
        <v>761</v>
      </c>
      <c r="J5329" s="112" t="s">
        <v>3755</v>
      </c>
      <c r="K5329" s="112" t="s">
        <v>4389</v>
      </c>
      <c r="L5329" s="116">
        <v>-103.5</v>
      </c>
    </row>
    <row r="5330" spans="1:12" hidden="1" outlineLevel="1" collapsed="1" x14ac:dyDescent="0.35">
      <c r="A5330" s="112" t="s">
        <v>3616</v>
      </c>
      <c r="B5330" s="112" t="s">
        <v>921</v>
      </c>
      <c r="C5330" s="112" t="s">
        <v>1099</v>
      </c>
      <c r="D5330" s="113">
        <v>1069399</v>
      </c>
      <c r="E5330" s="115">
        <v>43923</v>
      </c>
      <c r="F5330" s="114">
        <v>202101</v>
      </c>
      <c r="G5330" s="112" t="s">
        <v>1091</v>
      </c>
      <c r="H5330" s="112" t="s">
        <v>1015</v>
      </c>
      <c r="I5330" s="112" t="s">
        <v>3619</v>
      </c>
      <c r="J5330" s="112" t="s">
        <v>3620</v>
      </c>
      <c r="K5330" s="112" t="s">
        <v>3633</v>
      </c>
      <c r="L5330" s="116">
        <v>200.75</v>
      </c>
    </row>
    <row r="5331" spans="1:12" hidden="1" outlineLevel="1" collapsed="1" x14ac:dyDescent="0.35">
      <c r="A5331" s="112" t="s">
        <v>3616</v>
      </c>
      <c r="B5331" s="112" t="s">
        <v>918</v>
      </c>
      <c r="C5331" s="112" t="s">
        <v>1095</v>
      </c>
      <c r="D5331" s="113">
        <v>10348451</v>
      </c>
      <c r="E5331" s="115">
        <v>43949</v>
      </c>
      <c r="F5331" s="114">
        <v>202101</v>
      </c>
      <c r="G5331" s="112" t="s">
        <v>1091</v>
      </c>
      <c r="H5331" s="112" t="s">
        <v>1015</v>
      </c>
      <c r="I5331" s="112" t="s">
        <v>3261</v>
      </c>
      <c r="J5331" s="112" t="s">
        <v>3695</v>
      </c>
      <c r="K5331" s="112" t="s">
        <v>1098</v>
      </c>
      <c r="L5331" s="116">
        <v>223.69</v>
      </c>
    </row>
    <row r="5332" spans="1:12" hidden="1" outlineLevel="1" collapsed="1" x14ac:dyDescent="0.35">
      <c r="A5332" s="112" t="s">
        <v>3616</v>
      </c>
      <c r="B5332" s="112" t="s">
        <v>921</v>
      </c>
      <c r="C5332" s="112" t="s">
        <v>1099</v>
      </c>
      <c r="D5332" s="113">
        <v>1069345</v>
      </c>
      <c r="E5332" s="115">
        <v>43921</v>
      </c>
      <c r="F5332" s="114">
        <v>202101</v>
      </c>
      <c r="G5332" s="112" t="s">
        <v>1091</v>
      </c>
      <c r="H5332" s="112" t="s">
        <v>1015</v>
      </c>
      <c r="I5332" s="112" t="s">
        <v>1643</v>
      </c>
      <c r="J5332" s="112" t="s">
        <v>3620</v>
      </c>
      <c r="K5332" s="112" t="s">
        <v>4390</v>
      </c>
      <c r="L5332" s="116">
        <v>60.74</v>
      </c>
    </row>
    <row r="5333" spans="1:12" hidden="1" outlineLevel="1" collapsed="1" x14ac:dyDescent="0.35">
      <c r="A5333" s="112" t="s">
        <v>3616</v>
      </c>
      <c r="B5333" s="112" t="s">
        <v>916</v>
      </c>
      <c r="C5333" s="112" t="s">
        <v>695</v>
      </c>
      <c r="D5333" s="113">
        <v>10347981</v>
      </c>
      <c r="E5333" s="115">
        <v>43924</v>
      </c>
      <c r="F5333" s="114">
        <v>202101</v>
      </c>
      <c r="G5333" s="112" t="s">
        <v>1091</v>
      </c>
      <c r="H5333" s="112" t="s">
        <v>1015</v>
      </c>
      <c r="I5333" s="112" t="s">
        <v>1092</v>
      </c>
      <c r="J5333" s="112" t="s">
        <v>3771</v>
      </c>
      <c r="K5333" s="112" t="s">
        <v>1094</v>
      </c>
      <c r="L5333" s="116">
        <v>-51</v>
      </c>
    </row>
    <row r="5334" spans="1:12" hidden="1" outlineLevel="1" collapsed="1" x14ac:dyDescent="0.35">
      <c r="A5334" s="112" t="s">
        <v>3616</v>
      </c>
      <c r="B5334" s="112" t="s">
        <v>922</v>
      </c>
      <c r="C5334" s="112" t="s">
        <v>695</v>
      </c>
      <c r="D5334" s="113">
        <v>10347981</v>
      </c>
      <c r="E5334" s="115">
        <v>43924</v>
      </c>
      <c r="F5334" s="114">
        <v>202101</v>
      </c>
      <c r="G5334" s="112" t="s">
        <v>1091</v>
      </c>
      <c r="H5334" s="112" t="s">
        <v>1015</v>
      </c>
      <c r="I5334" s="112" t="s">
        <v>3742</v>
      </c>
      <c r="J5334" s="112" t="s">
        <v>3784</v>
      </c>
      <c r="K5334" s="112" t="s">
        <v>4011</v>
      </c>
      <c r="L5334" s="116">
        <v>-36.700000000000003</v>
      </c>
    </row>
    <row r="5335" spans="1:12" hidden="1" outlineLevel="1" collapsed="1" x14ac:dyDescent="0.35">
      <c r="A5335" s="112" t="s">
        <v>3616</v>
      </c>
      <c r="B5335" s="112" t="s">
        <v>920</v>
      </c>
      <c r="C5335" s="112" t="s">
        <v>695</v>
      </c>
      <c r="D5335" s="113">
        <v>10347981</v>
      </c>
      <c r="E5335" s="115">
        <v>43924</v>
      </c>
      <c r="F5335" s="114">
        <v>202101</v>
      </c>
      <c r="G5335" s="112" t="s">
        <v>1091</v>
      </c>
      <c r="H5335" s="112" t="s">
        <v>1015</v>
      </c>
      <c r="I5335" s="112" t="s">
        <v>3790</v>
      </c>
      <c r="J5335" s="112" t="s">
        <v>3755</v>
      </c>
      <c r="K5335" s="112" t="s">
        <v>4391</v>
      </c>
      <c r="L5335" s="116">
        <v>-70</v>
      </c>
    </row>
    <row r="5336" spans="1:12" hidden="1" outlineLevel="1" collapsed="1" x14ac:dyDescent="0.35">
      <c r="A5336" s="112" t="s">
        <v>3616</v>
      </c>
      <c r="B5336" s="112" t="s">
        <v>920</v>
      </c>
      <c r="C5336" s="112" t="s">
        <v>1095</v>
      </c>
      <c r="D5336" s="113">
        <v>10348451</v>
      </c>
      <c r="E5336" s="115">
        <v>43949</v>
      </c>
      <c r="F5336" s="114">
        <v>202101</v>
      </c>
      <c r="G5336" s="112" t="s">
        <v>1091</v>
      </c>
      <c r="H5336" s="112" t="s">
        <v>1015</v>
      </c>
      <c r="I5336" s="112" t="s">
        <v>1096</v>
      </c>
      <c r="J5336" s="112" t="s">
        <v>3755</v>
      </c>
      <c r="K5336" s="112" t="s">
        <v>1098</v>
      </c>
      <c r="L5336" s="116">
        <v>210.79</v>
      </c>
    </row>
    <row r="5337" spans="1:12" hidden="1" outlineLevel="1" collapsed="1" x14ac:dyDescent="0.35">
      <c r="A5337" s="112" t="s">
        <v>3616</v>
      </c>
      <c r="B5337" s="112" t="s">
        <v>920</v>
      </c>
      <c r="C5337" s="112" t="s">
        <v>695</v>
      </c>
      <c r="D5337" s="113">
        <v>10347981</v>
      </c>
      <c r="E5337" s="115">
        <v>43924</v>
      </c>
      <c r="F5337" s="114">
        <v>202101</v>
      </c>
      <c r="G5337" s="112" t="s">
        <v>1091</v>
      </c>
      <c r="H5337" s="112" t="s">
        <v>1015</v>
      </c>
      <c r="I5337" s="112" t="s">
        <v>761</v>
      </c>
      <c r="J5337" s="112" t="s">
        <v>3755</v>
      </c>
      <c r="K5337" s="112" t="s">
        <v>4392</v>
      </c>
      <c r="L5337" s="116">
        <v>-57.6</v>
      </c>
    </row>
    <row r="5338" spans="1:12" hidden="1" outlineLevel="1" collapsed="1" x14ac:dyDescent="0.35">
      <c r="A5338" s="112" t="s">
        <v>3616</v>
      </c>
      <c r="B5338" s="112" t="s">
        <v>919</v>
      </c>
      <c r="C5338" s="112" t="s">
        <v>695</v>
      </c>
      <c r="D5338" s="113">
        <v>10347981</v>
      </c>
      <c r="E5338" s="115">
        <v>43924</v>
      </c>
      <c r="F5338" s="114">
        <v>202101</v>
      </c>
      <c r="G5338" s="112" t="s">
        <v>1091</v>
      </c>
      <c r="H5338" s="112" t="s">
        <v>1015</v>
      </c>
      <c r="I5338" s="112" t="s">
        <v>2495</v>
      </c>
      <c r="J5338" s="112" t="s">
        <v>3624</v>
      </c>
      <c r="K5338" s="112" t="s">
        <v>4393</v>
      </c>
      <c r="L5338" s="116">
        <v>-50</v>
      </c>
    </row>
    <row r="5339" spans="1:12" hidden="1" outlineLevel="1" collapsed="1" x14ac:dyDescent="0.35">
      <c r="A5339" s="112" t="s">
        <v>3616</v>
      </c>
      <c r="B5339" s="112" t="s">
        <v>921</v>
      </c>
      <c r="C5339" s="112" t="s">
        <v>695</v>
      </c>
      <c r="D5339" s="113">
        <v>10347981</v>
      </c>
      <c r="E5339" s="115">
        <v>43924</v>
      </c>
      <c r="F5339" s="114">
        <v>202101</v>
      </c>
      <c r="G5339" s="112" t="s">
        <v>1091</v>
      </c>
      <c r="H5339" s="112" t="s">
        <v>1015</v>
      </c>
      <c r="I5339" s="112" t="s">
        <v>2693</v>
      </c>
      <c r="J5339" s="112" t="s">
        <v>3620</v>
      </c>
      <c r="K5339" s="112" t="s">
        <v>4004</v>
      </c>
      <c r="L5339" s="116">
        <v>-100</v>
      </c>
    </row>
    <row r="5340" spans="1:12" hidden="1" outlineLevel="1" collapsed="1" x14ac:dyDescent="0.35">
      <c r="A5340" s="112" t="s">
        <v>3616</v>
      </c>
      <c r="B5340" s="112" t="s">
        <v>920</v>
      </c>
      <c r="C5340" s="112" t="s">
        <v>695</v>
      </c>
      <c r="D5340" s="113">
        <v>10347981</v>
      </c>
      <c r="E5340" s="115">
        <v>43924</v>
      </c>
      <c r="F5340" s="114">
        <v>202101</v>
      </c>
      <c r="G5340" s="112" t="s">
        <v>1091</v>
      </c>
      <c r="H5340" s="112" t="s">
        <v>1015</v>
      </c>
      <c r="I5340" s="112" t="s">
        <v>1092</v>
      </c>
      <c r="J5340" s="112" t="s">
        <v>3755</v>
      </c>
      <c r="K5340" s="112" t="s">
        <v>1450</v>
      </c>
      <c r="L5340" s="116">
        <v>-47</v>
      </c>
    </row>
    <row r="5341" spans="1:12" hidden="1" outlineLevel="1" collapsed="1" x14ac:dyDescent="0.35">
      <c r="A5341" s="112" t="s">
        <v>3616</v>
      </c>
      <c r="B5341" s="112" t="s">
        <v>919</v>
      </c>
      <c r="C5341" s="112" t="s">
        <v>1511</v>
      </c>
      <c r="D5341" s="113">
        <v>47036658</v>
      </c>
      <c r="E5341" s="115">
        <v>43935</v>
      </c>
      <c r="F5341" s="114">
        <v>202101</v>
      </c>
      <c r="G5341" s="112" t="s">
        <v>1091</v>
      </c>
      <c r="H5341" s="112" t="s">
        <v>1015</v>
      </c>
      <c r="I5341" s="112" t="s">
        <v>751</v>
      </c>
      <c r="J5341" s="112" t="s">
        <v>3634</v>
      </c>
      <c r="K5341" s="112" t="s">
        <v>4394</v>
      </c>
      <c r="L5341" s="116">
        <v>559.72</v>
      </c>
    </row>
    <row r="5342" spans="1:12" hidden="1" outlineLevel="1" collapsed="1" x14ac:dyDescent="0.35">
      <c r="A5342" s="112" t="s">
        <v>3616</v>
      </c>
      <c r="B5342" s="112" t="s">
        <v>920</v>
      </c>
      <c r="C5342" s="112" t="s">
        <v>695</v>
      </c>
      <c r="D5342" s="113">
        <v>10347973</v>
      </c>
      <c r="E5342" s="115">
        <v>43924</v>
      </c>
      <c r="F5342" s="114">
        <v>202101</v>
      </c>
      <c r="G5342" s="112" t="s">
        <v>1091</v>
      </c>
      <c r="H5342" s="112" t="s">
        <v>1015</v>
      </c>
      <c r="I5342" s="112" t="s">
        <v>1699</v>
      </c>
      <c r="J5342" s="112" t="s">
        <v>3755</v>
      </c>
      <c r="K5342" s="112" t="s">
        <v>865</v>
      </c>
      <c r="L5342" s="116">
        <v>-147.62</v>
      </c>
    </row>
    <row r="5343" spans="1:12" hidden="1" outlineLevel="1" collapsed="1" x14ac:dyDescent="0.35">
      <c r="A5343" s="112" t="s">
        <v>3616</v>
      </c>
      <c r="B5343" s="112" t="s">
        <v>919</v>
      </c>
      <c r="C5343" s="112" t="s">
        <v>1511</v>
      </c>
      <c r="D5343" s="113">
        <v>47036666</v>
      </c>
      <c r="E5343" s="115">
        <v>43936</v>
      </c>
      <c r="F5343" s="114">
        <v>202101</v>
      </c>
      <c r="G5343" s="112" t="s">
        <v>1091</v>
      </c>
      <c r="H5343" s="112" t="s">
        <v>1015</v>
      </c>
      <c r="I5343" s="112" t="s">
        <v>749</v>
      </c>
      <c r="J5343" s="112" t="s">
        <v>3617</v>
      </c>
      <c r="K5343" s="112" t="s">
        <v>4395</v>
      </c>
      <c r="L5343" s="116">
        <v>1501.91</v>
      </c>
    </row>
    <row r="5344" spans="1:12" hidden="1" outlineLevel="1" collapsed="1" x14ac:dyDescent="0.35">
      <c r="A5344" s="112" t="s">
        <v>3616</v>
      </c>
      <c r="B5344" s="112" t="s">
        <v>919</v>
      </c>
      <c r="C5344" s="112" t="s">
        <v>1095</v>
      </c>
      <c r="D5344" s="113">
        <v>10348451</v>
      </c>
      <c r="E5344" s="115">
        <v>43949</v>
      </c>
      <c r="F5344" s="114">
        <v>202101</v>
      </c>
      <c r="G5344" s="112" t="s">
        <v>1091</v>
      </c>
      <c r="H5344" s="112" t="s">
        <v>1015</v>
      </c>
      <c r="I5344" s="112" t="s">
        <v>3261</v>
      </c>
      <c r="J5344" s="112" t="s">
        <v>3628</v>
      </c>
      <c r="K5344" s="112" t="s">
        <v>1098</v>
      </c>
      <c r="L5344" s="116">
        <v>281.14999999999998</v>
      </c>
    </row>
    <row r="5345" spans="1:12" hidden="1" outlineLevel="1" collapsed="1" x14ac:dyDescent="0.35">
      <c r="A5345" s="112" t="s">
        <v>3616</v>
      </c>
      <c r="B5345" s="112" t="s">
        <v>917</v>
      </c>
      <c r="C5345" s="112" t="s">
        <v>695</v>
      </c>
      <c r="D5345" s="113">
        <v>10348400</v>
      </c>
      <c r="E5345" s="115">
        <v>43943</v>
      </c>
      <c r="F5345" s="114">
        <v>202101</v>
      </c>
      <c r="G5345" s="112" t="s">
        <v>1091</v>
      </c>
      <c r="H5345" s="112" t="s">
        <v>1015</v>
      </c>
      <c r="I5345" s="112" t="s">
        <v>2454</v>
      </c>
      <c r="J5345" s="112" t="s">
        <v>3781</v>
      </c>
      <c r="K5345" s="112" t="s">
        <v>4396</v>
      </c>
      <c r="L5345" s="116">
        <v>26080.75</v>
      </c>
    </row>
    <row r="5346" spans="1:12" hidden="1" outlineLevel="1" collapsed="1" x14ac:dyDescent="0.35">
      <c r="A5346" s="112" t="s">
        <v>3616</v>
      </c>
      <c r="B5346" s="112" t="s">
        <v>921</v>
      </c>
      <c r="C5346" s="112" t="s">
        <v>1511</v>
      </c>
      <c r="D5346" s="113">
        <v>47036967</v>
      </c>
      <c r="E5346" s="115">
        <v>43915</v>
      </c>
      <c r="F5346" s="114">
        <v>202101</v>
      </c>
      <c r="G5346" s="112" t="s">
        <v>1091</v>
      </c>
      <c r="H5346" s="112" t="s">
        <v>1015</v>
      </c>
      <c r="I5346" s="112" t="s">
        <v>757</v>
      </c>
      <c r="J5346" s="112" t="s">
        <v>3622</v>
      </c>
      <c r="K5346" s="112" t="s">
        <v>4397</v>
      </c>
      <c r="L5346" s="116">
        <v>1580.03</v>
      </c>
    </row>
    <row r="5347" spans="1:12" hidden="1" outlineLevel="1" collapsed="1" x14ac:dyDescent="0.35">
      <c r="A5347" s="112" t="s">
        <v>3616</v>
      </c>
      <c r="B5347" s="112" t="s">
        <v>921</v>
      </c>
      <c r="C5347" s="112" t="s">
        <v>1511</v>
      </c>
      <c r="D5347" s="113">
        <v>47036973</v>
      </c>
      <c r="E5347" s="115">
        <v>43915</v>
      </c>
      <c r="F5347" s="114">
        <v>202101</v>
      </c>
      <c r="G5347" s="112" t="s">
        <v>1091</v>
      </c>
      <c r="H5347" s="112" t="s">
        <v>1015</v>
      </c>
      <c r="I5347" s="112" t="s">
        <v>757</v>
      </c>
      <c r="J5347" s="112" t="s">
        <v>3651</v>
      </c>
      <c r="K5347" s="112" t="s">
        <v>4398</v>
      </c>
      <c r="L5347" s="116">
        <v>2034.03</v>
      </c>
    </row>
    <row r="5348" spans="1:12" hidden="1" outlineLevel="1" collapsed="1" x14ac:dyDescent="0.35">
      <c r="A5348" s="112" t="s">
        <v>3616</v>
      </c>
      <c r="B5348" s="112" t="s">
        <v>916</v>
      </c>
      <c r="C5348" s="112" t="s">
        <v>1511</v>
      </c>
      <c r="D5348" s="113">
        <v>47036637</v>
      </c>
      <c r="E5348" s="115">
        <v>43935</v>
      </c>
      <c r="F5348" s="114">
        <v>202101</v>
      </c>
      <c r="G5348" s="112" t="s">
        <v>1091</v>
      </c>
      <c r="H5348" s="112" t="s">
        <v>1015</v>
      </c>
      <c r="I5348" s="112" t="s">
        <v>751</v>
      </c>
      <c r="J5348" s="112" t="s">
        <v>3626</v>
      </c>
      <c r="K5348" s="112" t="s">
        <v>4399</v>
      </c>
      <c r="L5348" s="116">
        <v>571.12</v>
      </c>
    </row>
    <row r="5349" spans="1:12" hidden="1" outlineLevel="1" collapsed="1" x14ac:dyDescent="0.35">
      <c r="A5349" s="112" t="s">
        <v>3616</v>
      </c>
      <c r="B5349" s="112" t="s">
        <v>919</v>
      </c>
      <c r="C5349" s="112" t="s">
        <v>1511</v>
      </c>
      <c r="D5349" s="113">
        <v>47036971</v>
      </c>
      <c r="E5349" s="115">
        <v>43915</v>
      </c>
      <c r="F5349" s="114">
        <v>202101</v>
      </c>
      <c r="G5349" s="112" t="s">
        <v>1091</v>
      </c>
      <c r="H5349" s="112" t="s">
        <v>1015</v>
      </c>
      <c r="I5349" s="112" t="s">
        <v>757</v>
      </c>
      <c r="J5349" s="112" t="s">
        <v>3617</v>
      </c>
      <c r="K5349" s="112" t="s">
        <v>4400</v>
      </c>
      <c r="L5349" s="116">
        <v>500.6</v>
      </c>
    </row>
    <row r="5350" spans="1:12" hidden="1" outlineLevel="1" collapsed="1" x14ac:dyDescent="0.35">
      <c r="A5350" s="112" t="s">
        <v>3616</v>
      </c>
      <c r="B5350" s="112" t="s">
        <v>922</v>
      </c>
      <c r="C5350" s="112" t="s">
        <v>695</v>
      </c>
      <c r="D5350" s="113">
        <v>10347981</v>
      </c>
      <c r="E5350" s="115">
        <v>43924</v>
      </c>
      <c r="F5350" s="114">
        <v>202101</v>
      </c>
      <c r="G5350" s="112" t="s">
        <v>1091</v>
      </c>
      <c r="H5350" s="112" t="s">
        <v>1015</v>
      </c>
      <c r="I5350" s="112" t="s">
        <v>761</v>
      </c>
      <c r="J5350" s="112" t="s">
        <v>3861</v>
      </c>
      <c r="K5350" s="112" t="s">
        <v>4401</v>
      </c>
      <c r="L5350" s="116">
        <v>-300</v>
      </c>
    </row>
    <row r="5351" spans="1:12" hidden="1" outlineLevel="1" collapsed="1" x14ac:dyDescent="0.35">
      <c r="A5351" s="112" t="s">
        <v>3616</v>
      </c>
      <c r="B5351" s="112" t="s">
        <v>922</v>
      </c>
      <c r="C5351" s="112" t="s">
        <v>695</v>
      </c>
      <c r="D5351" s="113">
        <v>10347981</v>
      </c>
      <c r="E5351" s="115">
        <v>43924</v>
      </c>
      <c r="F5351" s="114">
        <v>202101</v>
      </c>
      <c r="G5351" s="112" t="s">
        <v>1091</v>
      </c>
      <c r="H5351" s="112" t="s">
        <v>1015</v>
      </c>
      <c r="I5351" s="112" t="s">
        <v>761</v>
      </c>
      <c r="J5351" s="112" t="s">
        <v>3954</v>
      </c>
      <c r="K5351" s="112" t="s">
        <v>4402</v>
      </c>
      <c r="L5351" s="116">
        <v>-1360</v>
      </c>
    </row>
    <row r="5352" spans="1:12" hidden="1" outlineLevel="1" collapsed="1" x14ac:dyDescent="0.35">
      <c r="A5352" s="112" t="s">
        <v>3616</v>
      </c>
      <c r="B5352" s="112" t="s">
        <v>923</v>
      </c>
      <c r="C5352" s="112" t="s">
        <v>695</v>
      </c>
      <c r="D5352" s="113">
        <v>10347981</v>
      </c>
      <c r="E5352" s="115">
        <v>43924</v>
      </c>
      <c r="F5352" s="114">
        <v>202101</v>
      </c>
      <c r="G5352" s="112" t="s">
        <v>1091</v>
      </c>
      <c r="H5352" s="112" t="s">
        <v>1015</v>
      </c>
      <c r="I5352" s="112" t="s">
        <v>1164</v>
      </c>
      <c r="J5352" s="112" t="s">
        <v>3750</v>
      </c>
      <c r="K5352" s="112" t="s">
        <v>4403</v>
      </c>
      <c r="L5352" s="116">
        <v>-54</v>
      </c>
    </row>
    <row r="5353" spans="1:12" hidden="1" outlineLevel="1" collapsed="1" x14ac:dyDescent="0.35">
      <c r="A5353" s="112" t="s">
        <v>3616</v>
      </c>
      <c r="B5353" s="112" t="s">
        <v>920</v>
      </c>
      <c r="C5353" s="112" t="s">
        <v>695</v>
      </c>
      <c r="D5353" s="113">
        <v>10347981</v>
      </c>
      <c r="E5353" s="115">
        <v>43924</v>
      </c>
      <c r="F5353" s="114">
        <v>202101</v>
      </c>
      <c r="G5353" s="112" t="s">
        <v>1091</v>
      </c>
      <c r="H5353" s="112" t="s">
        <v>1015</v>
      </c>
      <c r="I5353" s="112" t="s">
        <v>1399</v>
      </c>
      <c r="J5353" s="112" t="s">
        <v>3755</v>
      </c>
      <c r="K5353" s="112" t="s">
        <v>4404</v>
      </c>
      <c r="L5353" s="116">
        <v>-20.13</v>
      </c>
    </row>
    <row r="5354" spans="1:12" hidden="1" outlineLevel="1" collapsed="1" x14ac:dyDescent="0.35">
      <c r="A5354" s="112" t="s">
        <v>3616</v>
      </c>
      <c r="B5354" s="112" t="s">
        <v>920</v>
      </c>
      <c r="C5354" s="112" t="s">
        <v>695</v>
      </c>
      <c r="D5354" s="113">
        <v>10347981</v>
      </c>
      <c r="E5354" s="115">
        <v>43924</v>
      </c>
      <c r="F5354" s="114">
        <v>202101</v>
      </c>
      <c r="G5354" s="112" t="s">
        <v>1091</v>
      </c>
      <c r="H5354" s="112" t="s">
        <v>1015</v>
      </c>
      <c r="I5354" s="112" t="s">
        <v>3790</v>
      </c>
      <c r="J5354" s="112" t="s">
        <v>3755</v>
      </c>
      <c r="K5354" s="112" t="s">
        <v>4405</v>
      </c>
      <c r="L5354" s="116">
        <v>-23.13</v>
      </c>
    </row>
    <row r="5355" spans="1:12" hidden="1" outlineLevel="1" collapsed="1" x14ac:dyDescent="0.35">
      <c r="A5355" s="112" t="s">
        <v>3616</v>
      </c>
      <c r="B5355" s="112" t="s">
        <v>919</v>
      </c>
      <c r="C5355" s="112" t="s">
        <v>695</v>
      </c>
      <c r="D5355" s="113">
        <v>10347981</v>
      </c>
      <c r="E5355" s="115">
        <v>43924</v>
      </c>
      <c r="F5355" s="114">
        <v>202101</v>
      </c>
      <c r="G5355" s="112" t="s">
        <v>1091</v>
      </c>
      <c r="H5355" s="112" t="s">
        <v>1015</v>
      </c>
      <c r="I5355" s="112" t="s">
        <v>1643</v>
      </c>
      <c r="J5355" s="112" t="s">
        <v>3632</v>
      </c>
      <c r="K5355" s="112" t="s">
        <v>4406</v>
      </c>
      <c r="L5355" s="116">
        <v>-1387.27</v>
      </c>
    </row>
    <row r="5356" spans="1:12" hidden="1" outlineLevel="1" collapsed="1" x14ac:dyDescent="0.35">
      <c r="A5356" s="112" t="s">
        <v>3616</v>
      </c>
      <c r="B5356" s="112" t="s">
        <v>922</v>
      </c>
      <c r="C5356" s="112" t="s">
        <v>695</v>
      </c>
      <c r="D5356" s="113">
        <v>10347981</v>
      </c>
      <c r="E5356" s="115">
        <v>43924</v>
      </c>
      <c r="F5356" s="114">
        <v>202101</v>
      </c>
      <c r="G5356" s="112" t="s">
        <v>1091</v>
      </c>
      <c r="H5356" s="112" t="s">
        <v>1015</v>
      </c>
      <c r="I5356" s="112" t="s">
        <v>761</v>
      </c>
      <c r="J5356" s="112" t="s">
        <v>3794</v>
      </c>
      <c r="K5356" s="112" t="s">
        <v>4407</v>
      </c>
      <c r="L5356" s="116">
        <v>-20</v>
      </c>
    </row>
    <row r="5357" spans="1:12" hidden="1" outlineLevel="1" collapsed="1" x14ac:dyDescent="0.35">
      <c r="A5357" s="112" t="s">
        <v>3616</v>
      </c>
      <c r="B5357" s="112" t="s">
        <v>919</v>
      </c>
      <c r="C5357" s="112" t="s">
        <v>695</v>
      </c>
      <c r="D5357" s="113">
        <v>10348077</v>
      </c>
      <c r="E5357" s="115">
        <v>43929</v>
      </c>
      <c r="F5357" s="114">
        <v>202101</v>
      </c>
      <c r="G5357" s="112" t="s">
        <v>1091</v>
      </c>
      <c r="H5357" s="112" t="s">
        <v>1015</v>
      </c>
      <c r="I5357" s="112" t="s">
        <v>1182</v>
      </c>
      <c r="J5357" s="112" t="s">
        <v>3624</v>
      </c>
      <c r="K5357" s="112" t="s">
        <v>4408</v>
      </c>
      <c r="L5357" s="116">
        <v>-4995.5200000000004</v>
      </c>
    </row>
    <row r="5358" spans="1:12" hidden="1" outlineLevel="1" collapsed="1" x14ac:dyDescent="0.35">
      <c r="A5358" s="112" t="s">
        <v>3616</v>
      </c>
      <c r="B5358" s="112" t="s">
        <v>922</v>
      </c>
      <c r="C5358" s="112" t="s">
        <v>695</v>
      </c>
      <c r="D5358" s="113">
        <v>10347981</v>
      </c>
      <c r="E5358" s="115">
        <v>43924</v>
      </c>
      <c r="F5358" s="114">
        <v>202101</v>
      </c>
      <c r="G5358" s="112" t="s">
        <v>1091</v>
      </c>
      <c r="H5358" s="112" t="s">
        <v>1015</v>
      </c>
      <c r="I5358" s="112" t="s">
        <v>1104</v>
      </c>
      <c r="J5358" s="112" t="s">
        <v>3784</v>
      </c>
      <c r="K5358" s="112" t="s">
        <v>4018</v>
      </c>
      <c r="L5358" s="116">
        <v>-99</v>
      </c>
    </row>
    <row r="5359" spans="1:12" hidden="1" outlineLevel="1" collapsed="1" x14ac:dyDescent="0.35">
      <c r="A5359" s="112" t="s">
        <v>3616</v>
      </c>
      <c r="B5359" s="112" t="s">
        <v>921</v>
      </c>
      <c r="C5359" s="112" t="s">
        <v>695</v>
      </c>
      <c r="D5359" s="113">
        <v>10347981</v>
      </c>
      <c r="E5359" s="115">
        <v>43924</v>
      </c>
      <c r="F5359" s="114">
        <v>202101</v>
      </c>
      <c r="G5359" s="112" t="s">
        <v>1091</v>
      </c>
      <c r="H5359" s="112" t="s">
        <v>1015</v>
      </c>
      <c r="I5359" s="112" t="s">
        <v>2591</v>
      </c>
      <c r="J5359" s="112" t="s">
        <v>3620</v>
      </c>
      <c r="K5359" s="112" t="s">
        <v>4008</v>
      </c>
      <c r="L5359" s="116">
        <v>-11.59</v>
      </c>
    </row>
    <row r="5360" spans="1:12" hidden="1" outlineLevel="1" collapsed="1" x14ac:dyDescent="0.35">
      <c r="A5360" s="112" t="s">
        <v>3616</v>
      </c>
      <c r="B5360" s="112" t="s">
        <v>921</v>
      </c>
      <c r="C5360" s="112" t="s">
        <v>695</v>
      </c>
      <c r="D5360" s="113">
        <v>10347981</v>
      </c>
      <c r="E5360" s="115">
        <v>43924</v>
      </c>
      <c r="F5360" s="114">
        <v>202101</v>
      </c>
      <c r="G5360" s="112" t="s">
        <v>1091</v>
      </c>
      <c r="H5360" s="112" t="s">
        <v>1015</v>
      </c>
      <c r="I5360" s="112" t="s">
        <v>2693</v>
      </c>
      <c r="J5360" s="112" t="s">
        <v>3709</v>
      </c>
      <c r="K5360" s="112" t="s">
        <v>4409</v>
      </c>
      <c r="L5360" s="116">
        <v>-66.25</v>
      </c>
    </row>
    <row r="5361" spans="1:12" hidden="1" outlineLevel="1" collapsed="1" x14ac:dyDescent="0.35">
      <c r="A5361" s="112" t="s">
        <v>3616</v>
      </c>
      <c r="B5361" s="112" t="s">
        <v>922</v>
      </c>
      <c r="C5361" s="112" t="s">
        <v>695</v>
      </c>
      <c r="D5361" s="113">
        <v>10347981</v>
      </c>
      <c r="E5361" s="115">
        <v>43924</v>
      </c>
      <c r="F5361" s="114">
        <v>202101</v>
      </c>
      <c r="G5361" s="112" t="s">
        <v>1091</v>
      </c>
      <c r="H5361" s="112" t="s">
        <v>1015</v>
      </c>
      <c r="I5361" s="112" t="s">
        <v>3742</v>
      </c>
      <c r="J5361" s="112" t="s">
        <v>3784</v>
      </c>
      <c r="K5361" s="112" t="s">
        <v>4410</v>
      </c>
      <c r="L5361" s="116">
        <v>-87.5</v>
      </c>
    </row>
    <row r="5362" spans="1:12" hidden="1" outlineLevel="1" collapsed="1" x14ac:dyDescent="0.35">
      <c r="A5362" s="112" t="s">
        <v>3616</v>
      </c>
      <c r="B5362" s="112" t="s">
        <v>919</v>
      </c>
      <c r="C5362" s="112" t="s">
        <v>695</v>
      </c>
      <c r="D5362" s="113">
        <v>10347981</v>
      </c>
      <c r="E5362" s="115">
        <v>43924</v>
      </c>
      <c r="F5362" s="114">
        <v>202101</v>
      </c>
      <c r="G5362" s="112" t="s">
        <v>1091</v>
      </c>
      <c r="H5362" s="112" t="s">
        <v>1015</v>
      </c>
      <c r="I5362" s="112" t="s">
        <v>1182</v>
      </c>
      <c r="J5362" s="112" t="s">
        <v>3634</v>
      </c>
      <c r="K5362" s="112" t="s">
        <v>4411</v>
      </c>
      <c r="L5362" s="116">
        <v>-1503.4</v>
      </c>
    </row>
    <row r="5363" spans="1:12" hidden="1" outlineLevel="1" collapsed="1" x14ac:dyDescent="0.35">
      <c r="A5363" s="112" t="s">
        <v>3616</v>
      </c>
      <c r="B5363" s="112" t="s">
        <v>921</v>
      </c>
      <c r="C5363" s="112" t="s">
        <v>695</v>
      </c>
      <c r="D5363" s="113">
        <v>10347981</v>
      </c>
      <c r="E5363" s="115">
        <v>43924</v>
      </c>
      <c r="F5363" s="114">
        <v>202101</v>
      </c>
      <c r="G5363" s="112" t="s">
        <v>1091</v>
      </c>
      <c r="H5363" s="112" t="s">
        <v>1015</v>
      </c>
      <c r="I5363" s="112" t="s">
        <v>1264</v>
      </c>
      <c r="J5363" s="112" t="s">
        <v>3620</v>
      </c>
      <c r="K5363" s="112" t="s">
        <v>4412</v>
      </c>
      <c r="L5363" s="116">
        <v>-76</v>
      </c>
    </row>
    <row r="5364" spans="1:12" hidden="1" outlineLevel="1" collapsed="1" x14ac:dyDescent="0.35">
      <c r="A5364" s="112" t="s">
        <v>3616</v>
      </c>
      <c r="B5364" s="112" t="s">
        <v>921</v>
      </c>
      <c r="C5364" s="112" t="s">
        <v>695</v>
      </c>
      <c r="D5364" s="113">
        <v>10347981</v>
      </c>
      <c r="E5364" s="115">
        <v>43924</v>
      </c>
      <c r="F5364" s="114">
        <v>202101</v>
      </c>
      <c r="G5364" s="112" t="s">
        <v>1091</v>
      </c>
      <c r="H5364" s="112" t="s">
        <v>1015</v>
      </c>
      <c r="I5364" s="112" t="s">
        <v>1264</v>
      </c>
      <c r="J5364" s="112" t="s">
        <v>3620</v>
      </c>
      <c r="K5364" s="112" t="s">
        <v>4413</v>
      </c>
      <c r="L5364" s="116">
        <v>-76</v>
      </c>
    </row>
    <row r="5365" spans="1:12" hidden="1" outlineLevel="1" collapsed="1" x14ac:dyDescent="0.35">
      <c r="A5365" s="112" t="s">
        <v>3616</v>
      </c>
      <c r="B5365" s="112" t="s">
        <v>921</v>
      </c>
      <c r="C5365" s="112" t="s">
        <v>695</v>
      </c>
      <c r="D5365" s="113">
        <v>10347981</v>
      </c>
      <c r="E5365" s="115">
        <v>43924</v>
      </c>
      <c r="F5365" s="114">
        <v>202101</v>
      </c>
      <c r="G5365" s="112" t="s">
        <v>1091</v>
      </c>
      <c r="H5365" s="112" t="s">
        <v>1015</v>
      </c>
      <c r="I5365" s="112" t="s">
        <v>2693</v>
      </c>
      <c r="J5365" s="112" t="s">
        <v>3620</v>
      </c>
      <c r="K5365" s="112" t="s">
        <v>4004</v>
      </c>
      <c r="L5365" s="116">
        <v>-100</v>
      </c>
    </row>
    <row r="5366" spans="1:12" hidden="1" outlineLevel="1" collapsed="1" x14ac:dyDescent="0.35">
      <c r="A5366" s="112" t="s">
        <v>3616</v>
      </c>
      <c r="B5366" s="112" t="s">
        <v>919</v>
      </c>
      <c r="C5366" s="112" t="s">
        <v>695</v>
      </c>
      <c r="D5366" s="113">
        <v>10347981</v>
      </c>
      <c r="E5366" s="115">
        <v>43924</v>
      </c>
      <c r="F5366" s="114">
        <v>202101</v>
      </c>
      <c r="G5366" s="112" t="s">
        <v>1091</v>
      </c>
      <c r="H5366" s="112" t="s">
        <v>1015</v>
      </c>
      <c r="I5366" s="112" t="s">
        <v>1246</v>
      </c>
      <c r="J5366" s="112" t="s">
        <v>3624</v>
      </c>
      <c r="K5366" s="112" t="s">
        <v>4414</v>
      </c>
      <c r="L5366" s="116">
        <v>-310</v>
      </c>
    </row>
    <row r="5367" spans="1:12" hidden="1" outlineLevel="1" collapsed="1" x14ac:dyDescent="0.35">
      <c r="A5367" s="112" t="s">
        <v>3616</v>
      </c>
      <c r="B5367" s="112" t="s">
        <v>919</v>
      </c>
      <c r="C5367" s="112" t="s">
        <v>695</v>
      </c>
      <c r="D5367" s="113">
        <v>10347981</v>
      </c>
      <c r="E5367" s="115">
        <v>43924</v>
      </c>
      <c r="F5367" s="114">
        <v>202101</v>
      </c>
      <c r="G5367" s="112" t="s">
        <v>1091</v>
      </c>
      <c r="H5367" s="112" t="s">
        <v>1015</v>
      </c>
      <c r="I5367" s="112" t="s">
        <v>1643</v>
      </c>
      <c r="J5367" s="112" t="s">
        <v>3634</v>
      </c>
      <c r="K5367" s="112" t="s">
        <v>4415</v>
      </c>
      <c r="L5367" s="116">
        <v>-165.88</v>
      </c>
    </row>
    <row r="5368" spans="1:12" hidden="1" outlineLevel="1" collapsed="1" x14ac:dyDescent="0.35">
      <c r="A5368" s="112" t="s">
        <v>3616</v>
      </c>
      <c r="B5368" s="112" t="s">
        <v>922</v>
      </c>
      <c r="C5368" s="112" t="s">
        <v>695</v>
      </c>
      <c r="D5368" s="113">
        <v>10347981</v>
      </c>
      <c r="E5368" s="115">
        <v>43924</v>
      </c>
      <c r="F5368" s="114">
        <v>202101</v>
      </c>
      <c r="G5368" s="112" t="s">
        <v>1091</v>
      </c>
      <c r="H5368" s="112" t="s">
        <v>1015</v>
      </c>
      <c r="I5368" s="112" t="s">
        <v>761</v>
      </c>
      <c r="J5368" s="112" t="s">
        <v>3861</v>
      </c>
      <c r="K5368" s="112" t="s">
        <v>4416</v>
      </c>
      <c r="L5368" s="116">
        <v>-18</v>
      </c>
    </row>
    <row r="5369" spans="1:12" hidden="1" outlineLevel="1" collapsed="1" x14ac:dyDescent="0.35">
      <c r="A5369" s="112" t="s">
        <v>3616</v>
      </c>
      <c r="B5369" s="112" t="s">
        <v>919</v>
      </c>
      <c r="C5369" s="112" t="s">
        <v>695</v>
      </c>
      <c r="D5369" s="113">
        <v>10348077</v>
      </c>
      <c r="E5369" s="115">
        <v>43929</v>
      </c>
      <c r="F5369" s="114">
        <v>202101</v>
      </c>
      <c r="G5369" s="112" t="s">
        <v>1091</v>
      </c>
      <c r="H5369" s="112" t="s">
        <v>1015</v>
      </c>
      <c r="I5369" s="112" t="s">
        <v>761</v>
      </c>
      <c r="J5369" s="112" t="s">
        <v>3634</v>
      </c>
      <c r="K5369" s="112" t="s">
        <v>4417</v>
      </c>
      <c r="L5369" s="116">
        <v>-1840</v>
      </c>
    </row>
    <row r="5370" spans="1:12" hidden="1" outlineLevel="1" collapsed="1" x14ac:dyDescent="0.35">
      <c r="A5370" s="112" t="s">
        <v>3616</v>
      </c>
      <c r="B5370" s="112" t="s">
        <v>922</v>
      </c>
      <c r="C5370" s="112" t="s">
        <v>695</v>
      </c>
      <c r="D5370" s="113">
        <v>10347981</v>
      </c>
      <c r="E5370" s="115">
        <v>43924</v>
      </c>
      <c r="F5370" s="114">
        <v>202101</v>
      </c>
      <c r="G5370" s="112" t="s">
        <v>1091</v>
      </c>
      <c r="H5370" s="112" t="s">
        <v>1015</v>
      </c>
      <c r="I5370" s="112" t="s">
        <v>3742</v>
      </c>
      <c r="J5370" s="112" t="s">
        <v>3784</v>
      </c>
      <c r="K5370" s="112" t="s">
        <v>4011</v>
      </c>
      <c r="L5370" s="116">
        <v>-26.07</v>
      </c>
    </row>
    <row r="5371" spans="1:12" hidden="1" outlineLevel="1" collapsed="1" x14ac:dyDescent="0.35">
      <c r="A5371" s="112" t="s">
        <v>3616</v>
      </c>
      <c r="B5371" s="112" t="s">
        <v>916</v>
      </c>
      <c r="C5371" s="112" t="s">
        <v>1511</v>
      </c>
      <c r="D5371" s="113">
        <v>47036642</v>
      </c>
      <c r="E5371" s="115">
        <v>43935</v>
      </c>
      <c r="F5371" s="114">
        <v>202101</v>
      </c>
      <c r="G5371" s="112" t="s">
        <v>1091</v>
      </c>
      <c r="H5371" s="112" t="s">
        <v>1015</v>
      </c>
      <c r="I5371" s="112" t="s">
        <v>751</v>
      </c>
      <c r="J5371" s="112" t="s">
        <v>3626</v>
      </c>
      <c r="K5371" s="112" t="s">
        <v>4418</v>
      </c>
      <c r="L5371" s="116">
        <v>6760.62</v>
      </c>
    </row>
    <row r="5372" spans="1:12" hidden="1" outlineLevel="1" collapsed="1" x14ac:dyDescent="0.35">
      <c r="A5372" s="112" t="s">
        <v>3616</v>
      </c>
      <c r="B5372" s="112" t="s">
        <v>916</v>
      </c>
      <c r="C5372" s="112" t="s">
        <v>1511</v>
      </c>
      <c r="D5372" s="113">
        <v>47036640</v>
      </c>
      <c r="E5372" s="115">
        <v>43935</v>
      </c>
      <c r="F5372" s="114">
        <v>202101</v>
      </c>
      <c r="G5372" s="112" t="s">
        <v>1091</v>
      </c>
      <c r="H5372" s="112" t="s">
        <v>1015</v>
      </c>
      <c r="I5372" s="112" t="s">
        <v>751</v>
      </c>
      <c r="J5372" s="112" t="s">
        <v>3626</v>
      </c>
      <c r="K5372" s="112" t="s">
        <v>4419</v>
      </c>
      <c r="L5372" s="116">
        <v>3031.22</v>
      </c>
    </row>
    <row r="5373" spans="1:12" hidden="1" outlineLevel="1" collapsed="1" x14ac:dyDescent="0.35">
      <c r="A5373" s="112" t="s">
        <v>3616</v>
      </c>
      <c r="B5373" s="112" t="s">
        <v>921</v>
      </c>
      <c r="C5373" s="112" t="s">
        <v>695</v>
      </c>
      <c r="D5373" s="113">
        <v>10347981</v>
      </c>
      <c r="E5373" s="115">
        <v>43924</v>
      </c>
      <c r="F5373" s="114">
        <v>202101</v>
      </c>
      <c r="G5373" s="112" t="s">
        <v>1091</v>
      </c>
      <c r="H5373" s="112" t="s">
        <v>1015</v>
      </c>
      <c r="I5373" s="112" t="s">
        <v>2591</v>
      </c>
      <c r="J5373" s="112" t="s">
        <v>3620</v>
      </c>
      <c r="K5373" s="112" t="s">
        <v>3702</v>
      </c>
      <c r="L5373" s="116">
        <v>-11.38</v>
      </c>
    </row>
    <row r="5374" spans="1:12" hidden="1" outlineLevel="1" collapsed="1" x14ac:dyDescent="0.35">
      <c r="A5374" s="112" t="s">
        <v>3616</v>
      </c>
      <c r="B5374" s="112" t="s">
        <v>919</v>
      </c>
      <c r="C5374" s="112" t="s">
        <v>1511</v>
      </c>
      <c r="D5374" s="113">
        <v>47036635</v>
      </c>
      <c r="E5374" s="115">
        <v>43935</v>
      </c>
      <c r="F5374" s="114">
        <v>202101</v>
      </c>
      <c r="G5374" s="112" t="s">
        <v>1091</v>
      </c>
      <c r="H5374" s="112" t="s">
        <v>1015</v>
      </c>
      <c r="I5374" s="112" t="s">
        <v>751</v>
      </c>
      <c r="J5374" s="112" t="s">
        <v>3624</v>
      </c>
      <c r="K5374" s="112" t="s">
        <v>4420</v>
      </c>
      <c r="L5374" s="116">
        <v>1047.8</v>
      </c>
    </row>
    <row r="5375" spans="1:12" hidden="1" outlineLevel="1" collapsed="1" x14ac:dyDescent="0.35">
      <c r="A5375" s="112" t="s">
        <v>3616</v>
      </c>
      <c r="B5375" s="112" t="s">
        <v>919</v>
      </c>
      <c r="C5375" s="112" t="s">
        <v>695</v>
      </c>
      <c r="D5375" s="113">
        <v>10347981</v>
      </c>
      <c r="E5375" s="115">
        <v>43924</v>
      </c>
      <c r="F5375" s="114">
        <v>202101</v>
      </c>
      <c r="G5375" s="112" t="s">
        <v>1091</v>
      </c>
      <c r="H5375" s="112" t="s">
        <v>1015</v>
      </c>
      <c r="I5375" s="112" t="s">
        <v>1182</v>
      </c>
      <c r="J5375" s="112" t="s">
        <v>3624</v>
      </c>
      <c r="K5375" s="112" t="s">
        <v>4421</v>
      </c>
      <c r="L5375" s="116">
        <v>-555.41</v>
      </c>
    </row>
    <row r="5376" spans="1:12" hidden="1" outlineLevel="1" collapsed="1" x14ac:dyDescent="0.35">
      <c r="A5376" s="112" t="s">
        <v>3616</v>
      </c>
      <c r="B5376" s="112" t="s">
        <v>922</v>
      </c>
      <c r="C5376" s="112" t="s">
        <v>695</v>
      </c>
      <c r="D5376" s="113">
        <v>10347981</v>
      </c>
      <c r="E5376" s="115">
        <v>43924</v>
      </c>
      <c r="F5376" s="114">
        <v>202101</v>
      </c>
      <c r="G5376" s="112" t="s">
        <v>1091</v>
      </c>
      <c r="H5376" s="112" t="s">
        <v>1015</v>
      </c>
      <c r="I5376" s="112" t="s">
        <v>761</v>
      </c>
      <c r="J5376" s="112" t="s">
        <v>3861</v>
      </c>
      <c r="K5376" s="112" t="s">
        <v>4422</v>
      </c>
      <c r="L5376" s="116">
        <v>-75</v>
      </c>
    </row>
    <row r="5377" spans="1:12" hidden="1" outlineLevel="1" collapsed="1" x14ac:dyDescent="0.35">
      <c r="A5377" s="112" t="s">
        <v>3616</v>
      </c>
      <c r="B5377" s="112" t="s">
        <v>921</v>
      </c>
      <c r="C5377" s="112" t="s">
        <v>695</v>
      </c>
      <c r="D5377" s="113">
        <v>10347981</v>
      </c>
      <c r="E5377" s="115">
        <v>43924</v>
      </c>
      <c r="F5377" s="114">
        <v>202101</v>
      </c>
      <c r="G5377" s="112" t="s">
        <v>1091</v>
      </c>
      <c r="H5377" s="112" t="s">
        <v>1015</v>
      </c>
      <c r="I5377" s="112" t="s">
        <v>1643</v>
      </c>
      <c r="J5377" s="112" t="s">
        <v>3620</v>
      </c>
      <c r="K5377" s="112" t="s">
        <v>4016</v>
      </c>
      <c r="L5377" s="116">
        <v>-54</v>
      </c>
    </row>
    <row r="5378" spans="1:12" hidden="1" outlineLevel="1" collapsed="1" x14ac:dyDescent="0.35">
      <c r="A5378" s="112" t="s">
        <v>3616</v>
      </c>
      <c r="B5378" s="112" t="s">
        <v>922</v>
      </c>
      <c r="C5378" s="112" t="s">
        <v>695</v>
      </c>
      <c r="D5378" s="113">
        <v>10347981</v>
      </c>
      <c r="E5378" s="115">
        <v>43924</v>
      </c>
      <c r="F5378" s="114">
        <v>202101</v>
      </c>
      <c r="G5378" s="112" t="s">
        <v>1091</v>
      </c>
      <c r="H5378" s="112" t="s">
        <v>1015</v>
      </c>
      <c r="I5378" s="112" t="s">
        <v>1264</v>
      </c>
      <c r="J5378" s="112" t="s">
        <v>3954</v>
      </c>
      <c r="K5378" s="112" t="s">
        <v>4423</v>
      </c>
      <c r="L5378" s="116">
        <v>-372</v>
      </c>
    </row>
    <row r="5379" spans="1:12" hidden="1" outlineLevel="1" collapsed="1" x14ac:dyDescent="0.35">
      <c r="A5379" s="112" t="s">
        <v>3616</v>
      </c>
      <c r="B5379" s="112" t="s">
        <v>923</v>
      </c>
      <c r="C5379" s="112" t="s">
        <v>695</v>
      </c>
      <c r="D5379" s="113">
        <v>10347981</v>
      </c>
      <c r="E5379" s="115">
        <v>43924</v>
      </c>
      <c r="F5379" s="114">
        <v>202101</v>
      </c>
      <c r="G5379" s="112" t="s">
        <v>1091</v>
      </c>
      <c r="H5379" s="112" t="s">
        <v>1015</v>
      </c>
      <c r="I5379" s="112" t="s">
        <v>1399</v>
      </c>
      <c r="J5379" s="112" t="s">
        <v>3750</v>
      </c>
      <c r="K5379" s="112" t="s">
        <v>4424</v>
      </c>
      <c r="L5379" s="116">
        <v>-36</v>
      </c>
    </row>
    <row r="5380" spans="1:12" hidden="1" outlineLevel="1" collapsed="1" x14ac:dyDescent="0.35">
      <c r="A5380" s="112" t="s">
        <v>3616</v>
      </c>
      <c r="B5380" s="112" t="s">
        <v>920</v>
      </c>
      <c r="C5380" s="112" t="s">
        <v>695</v>
      </c>
      <c r="D5380" s="113">
        <v>10347981</v>
      </c>
      <c r="E5380" s="115">
        <v>43924</v>
      </c>
      <c r="F5380" s="114">
        <v>202101</v>
      </c>
      <c r="G5380" s="112" t="s">
        <v>1091</v>
      </c>
      <c r="H5380" s="112" t="s">
        <v>1015</v>
      </c>
      <c r="I5380" s="112" t="s">
        <v>1182</v>
      </c>
      <c r="J5380" s="112" t="s">
        <v>4179</v>
      </c>
      <c r="K5380" s="112" t="s">
        <v>4425</v>
      </c>
      <c r="L5380" s="116">
        <v>-41.12</v>
      </c>
    </row>
    <row r="5381" spans="1:12" hidden="1" outlineLevel="1" collapsed="1" x14ac:dyDescent="0.35">
      <c r="A5381" s="112" t="s">
        <v>3616</v>
      </c>
      <c r="B5381" s="112" t="s">
        <v>920</v>
      </c>
      <c r="C5381" s="112" t="s">
        <v>695</v>
      </c>
      <c r="D5381" s="113">
        <v>10347981</v>
      </c>
      <c r="E5381" s="115">
        <v>43924</v>
      </c>
      <c r="F5381" s="114">
        <v>202101</v>
      </c>
      <c r="G5381" s="112" t="s">
        <v>1091</v>
      </c>
      <c r="H5381" s="112" t="s">
        <v>1015</v>
      </c>
      <c r="I5381" s="112" t="s">
        <v>3790</v>
      </c>
      <c r="J5381" s="112" t="s">
        <v>3755</v>
      </c>
      <c r="K5381" s="112" t="s">
        <v>4426</v>
      </c>
      <c r="L5381" s="116">
        <v>-420</v>
      </c>
    </row>
    <row r="5382" spans="1:12" hidden="1" outlineLevel="1" collapsed="1" x14ac:dyDescent="0.35">
      <c r="A5382" s="112" t="s">
        <v>3616</v>
      </c>
      <c r="B5382" s="112" t="s">
        <v>916</v>
      </c>
      <c r="C5382" s="112" t="s">
        <v>695</v>
      </c>
      <c r="D5382" s="113">
        <v>10347981</v>
      </c>
      <c r="E5382" s="115">
        <v>43924</v>
      </c>
      <c r="F5382" s="114">
        <v>202101</v>
      </c>
      <c r="G5382" s="112" t="s">
        <v>1091</v>
      </c>
      <c r="H5382" s="112" t="s">
        <v>1015</v>
      </c>
      <c r="I5382" s="112" t="s">
        <v>1182</v>
      </c>
      <c r="J5382" s="112" t="s">
        <v>3771</v>
      </c>
      <c r="K5382" s="112" t="s">
        <v>4427</v>
      </c>
      <c r="L5382" s="116">
        <v>-57.26</v>
      </c>
    </row>
    <row r="5383" spans="1:12" hidden="1" outlineLevel="1" collapsed="1" x14ac:dyDescent="0.35">
      <c r="A5383" s="112" t="s">
        <v>3616</v>
      </c>
      <c r="B5383" s="112" t="s">
        <v>919</v>
      </c>
      <c r="C5383" s="112" t="s">
        <v>695</v>
      </c>
      <c r="D5383" s="113">
        <v>10347981</v>
      </c>
      <c r="E5383" s="115">
        <v>43924</v>
      </c>
      <c r="F5383" s="114">
        <v>202101</v>
      </c>
      <c r="G5383" s="112" t="s">
        <v>1091</v>
      </c>
      <c r="H5383" s="112" t="s">
        <v>1015</v>
      </c>
      <c r="I5383" s="112" t="s">
        <v>761</v>
      </c>
      <c r="J5383" s="112" t="s">
        <v>3624</v>
      </c>
      <c r="K5383" s="112" t="s">
        <v>4428</v>
      </c>
      <c r="L5383" s="116">
        <v>-875</v>
      </c>
    </row>
    <row r="5384" spans="1:12" hidden="1" outlineLevel="1" collapsed="1" x14ac:dyDescent="0.35">
      <c r="A5384" s="112" t="s">
        <v>3616</v>
      </c>
      <c r="B5384" s="112" t="s">
        <v>921</v>
      </c>
      <c r="C5384" s="112" t="s">
        <v>695</v>
      </c>
      <c r="D5384" s="113">
        <v>10347981</v>
      </c>
      <c r="E5384" s="115">
        <v>43924</v>
      </c>
      <c r="F5384" s="114">
        <v>202101</v>
      </c>
      <c r="G5384" s="112" t="s">
        <v>1091</v>
      </c>
      <c r="H5384" s="112" t="s">
        <v>1015</v>
      </c>
      <c r="I5384" s="112" t="s">
        <v>2495</v>
      </c>
      <c r="J5384" s="112" t="s">
        <v>3620</v>
      </c>
      <c r="K5384" s="112" t="s">
        <v>4429</v>
      </c>
      <c r="L5384" s="116">
        <v>-600</v>
      </c>
    </row>
    <row r="5385" spans="1:12" hidden="1" outlineLevel="1" collapsed="1" x14ac:dyDescent="0.35">
      <c r="A5385" s="112" t="s">
        <v>3616</v>
      </c>
      <c r="B5385" s="112" t="s">
        <v>921</v>
      </c>
      <c r="C5385" s="112" t="s">
        <v>695</v>
      </c>
      <c r="D5385" s="113">
        <v>10347981</v>
      </c>
      <c r="E5385" s="115">
        <v>43924</v>
      </c>
      <c r="F5385" s="114">
        <v>202101</v>
      </c>
      <c r="G5385" s="112" t="s">
        <v>1091</v>
      </c>
      <c r="H5385" s="112" t="s">
        <v>1015</v>
      </c>
      <c r="I5385" s="112" t="s">
        <v>1182</v>
      </c>
      <c r="J5385" s="112" t="s">
        <v>3620</v>
      </c>
      <c r="K5385" s="112" t="s">
        <v>4430</v>
      </c>
      <c r="L5385" s="116">
        <v>-100</v>
      </c>
    </row>
    <row r="5386" spans="1:12" hidden="1" outlineLevel="1" collapsed="1" x14ac:dyDescent="0.35">
      <c r="A5386" s="112" t="s">
        <v>3616</v>
      </c>
      <c r="B5386" s="112" t="s">
        <v>916</v>
      </c>
      <c r="C5386" s="112" t="s">
        <v>1511</v>
      </c>
      <c r="D5386" s="113">
        <v>47036643</v>
      </c>
      <c r="E5386" s="115">
        <v>43935</v>
      </c>
      <c r="F5386" s="114">
        <v>202101</v>
      </c>
      <c r="G5386" s="112" t="s">
        <v>1091</v>
      </c>
      <c r="H5386" s="112" t="s">
        <v>1015</v>
      </c>
      <c r="I5386" s="112" t="s">
        <v>751</v>
      </c>
      <c r="J5386" s="112" t="s">
        <v>3626</v>
      </c>
      <c r="K5386" s="112" t="s">
        <v>4431</v>
      </c>
      <c r="L5386" s="116">
        <v>1613.24</v>
      </c>
    </row>
    <row r="5387" spans="1:12" hidden="1" outlineLevel="1" collapsed="1" x14ac:dyDescent="0.35">
      <c r="A5387" s="112" t="s">
        <v>3616</v>
      </c>
      <c r="B5387" s="112" t="s">
        <v>921</v>
      </c>
      <c r="C5387" s="112" t="s">
        <v>695</v>
      </c>
      <c r="D5387" s="113">
        <v>10347981</v>
      </c>
      <c r="E5387" s="115">
        <v>43924</v>
      </c>
      <c r="F5387" s="114">
        <v>202101</v>
      </c>
      <c r="G5387" s="112" t="s">
        <v>1091</v>
      </c>
      <c r="H5387" s="112" t="s">
        <v>1015</v>
      </c>
      <c r="I5387" s="112" t="s">
        <v>1643</v>
      </c>
      <c r="J5387" s="112" t="s">
        <v>3620</v>
      </c>
      <c r="K5387" s="112" t="s">
        <v>4016</v>
      </c>
      <c r="L5387" s="116">
        <v>-5.46</v>
      </c>
    </row>
    <row r="5388" spans="1:12" hidden="1" outlineLevel="1" collapsed="1" x14ac:dyDescent="0.35">
      <c r="A5388" s="112" t="s">
        <v>3616</v>
      </c>
      <c r="B5388" s="112" t="s">
        <v>922</v>
      </c>
      <c r="C5388" s="112" t="s">
        <v>695</v>
      </c>
      <c r="D5388" s="113">
        <v>10347981</v>
      </c>
      <c r="E5388" s="115">
        <v>43924</v>
      </c>
      <c r="F5388" s="114">
        <v>202101</v>
      </c>
      <c r="G5388" s="112" t="s">
        <v>1091</v>
      </c>
      <c r="H5388" s="112" t="s">
        <v>1015</v>
      </c>
      <c r="I5388" s="112" t="s">
        <v>761</v>
      </c>
      <c r="J5388" s="112" t="s">
        <v>3791</v>
      </c>
      <c r="K5388" s="112" t="s">
        <v>4432</v>
      </c>
      <c r="L5388" s="116">
        <v>-580</v>
      </c>
    </row>
    <row r="5389" spans="1:12" hidden="1" outlineLevel="1" collapsed="1" x14ac:dyDescent="0.35">
      <c r="A5389" s="112" t="s">
        <v>3616</v>
      </c>
      <c r="B5389" s="112" t="s">
        <v>921</v>
      </c>
      <c r="C5389" s="112" t="s">
        <v>679</v>
      </c>
      <c r="D5389" s="113">
        <v>10348411</v>
      </c>
      <c r="E5389" s="115">
        <v>43943</v>
      </c>
      <c r="F5389" s="114">
        <v>202101</v>
      </c>
      <c r="G5389" s="112" t="s">
        <v>1091</v>
      </c>
      <c r="H5389" s="112" t="s">
        <v>1015</v>
      </c>
      <c r="I5389" s="112" t="s">
        <v>736</v>
      </c>
      <c r="J5389" s="112" t="s">
        <v>3622</v>
      </c>
      <c r="K5389" s="112" t="s">
        <v>4433</v>
      </c>
      <c r="L5389" s="116">
        <v>160000</v>
      </c>
    </row>
    <row r="5390" spans="1:12" hidden="1" outlineLevel="1" collapsed="1" x14ac:dyDescent="0.35">
      <c r="A5390" s="112" t="s">
        <v>3616</v>
      </c>
      <c r="B5390" s="112" t="s">
        <v>922</v>
      </c>
      <c r="C5390" s="112" t="s">
        <v>695</v>
      </c>
      <c r="D5390" s="113">
        <v>10347981</v>
      </c>
      <c r="E5390" s="115">
        <v>43924</v>
      </c>
      <c r="F5390" s="114">
        <v>202101</v>
      </c>
      <c r="G5390" s="112" t="s">
        <v>1091</v>
      </c>
      <c r="H5390" s="112" t="s">
        <v>1015</v>
      </c>
      <c r="I5390" s="112" t="s">
        <v>761</v>
      </c>
      <c r="J5390" s="112" t="s">
        <v>3791</v>
      </c>
      <c r="K5390" s="112" t="s">
        <v>4434</v>
      </c>
      <c r="L5390" s="116">
        <v>-60</v>
      </c>
    </row>
    <row r="5391" spans="1:12" hidden="1" outlineLevel="1" collapsed="1" x14ac:dyDescent="0.35">
      <c r="A5391" s="112" t="s">
        <v>3616</v>
      </c>
      <c r="B5391" s="112" t="s">
        <v>921</v>
      </c>
      <c r="C5391" s="112" t="s">
        <v>695</v>
      </c>
      <c r="D5391" s="113">
        <v>10347981</v>
      </c>
      <c r="E5391" s="115">
        <v>43924</v>
      </c>
      <c r="F5391" s="114">
        <v>202101</v>
      </c>
      <c r="G5391" s="112" t="s">
        <v>1091</v>
      </c>
      <c r="H5391" s="112" t="s">
        <v>1015</v>
      </c>
      <c r="I5391" s="112" t="s">
        <v>1473</v>
      </c>
      <c r="J5391" s="112" t="s">
        <v>3709</v>
      </c>
      <c r="K5391" s="112" t="s">
        <v>4435</v>
      </c>
      <c r="L5391" s="116">
        <v>-78.59</v>
      </c>
    </row>
    <row r="5392" spans="1:12" hidden="1" outlineLevel="1" collapsed="1" x14ac:dyDescent="0.35">
      <c r="A5392" s="112" t="s">
        <v>3616</v>
      </c>
      <c r="B5392" s="112" t="s">
        <v>916</v>
      </c>
      <c r="C5392" s="112" t="s">
        <v>695</v>
      </c>
      <c r="D5392" s="113">
        <v>10347981</v>
      </c>
      <c r="E5392" s="115">
        <v>43924</v>
      </c>
      <c r="F5392" s="114">
        <v>202101</v>
      </c>
      <c r="G5392" s="112" t="s">
        <v>1091</v>
      </c>
      <c r="H5392" s="112" t="s">
        <v>1015</v>
      </c>
      <c r="I5392" s="112" t="s">
        <v>763</v>
      </c>
      <c r="J5392" s="112" t="s">
        <v>3771</v>
      </c>
      <c r="K5392" s="112" t="s">
        <v>4436</v>
      </c>
      <c r="L5392" s="116">
        <v>-8000</v>
      </c>
    </row>
    <row r="5393" spans="1:12" hidden="1" outlineLevel="1" collapsed="1" x14ac:dyDescent="0.35">
      <c r="A5393" s="112" t="s">
        <v>3616</v>
      </c>
      <c r="B5393" s="112" t="s">
        <v>921</v>
      </c>
      <c r="C5393" s="112" t="s">
        <v>679</v>
      </c>
      <c r="D5393" s="113">
        <v>10348411</v>
      </c>
      <c r="E5393" s="115">
        <v>43943</v>
      </c>
      <c r="F5393" s="114">
        <v>202101</v>
      </c>
      <c r="G5393" s="112" t="s">
        <v>1091</v>
      </c>
      <c r="H5393" s="112" t="s">
        <v>1015</v>
      </c>
      <c r="I5393" s="112" t="s">
        <v>736</v>
      </c>
      <c r="J5393" s="112" t="s">
        <v>3622</v>
      </c>
      <c r="K5393" s="112" t="s">
        <v>4437</v>
      </c>
      <c r="L5393" s="116">
        <v>18076.86</v>
      </c>
    </row>
    <row r="5394" spans="1:12" hidden="1" outlineLevel="1" collapsed="1" x14ac:dyDescent="0.35">
      <c r="A5394" s="112" t="s">
        <v>3616</v>
      </c>
      <c r="B5394" s="112" t="s">
        <v>919</v>
      </c>
      <c r="C5394" s="112" t="s">
        <v>1095</v>
      </c>
      <c r="D5394" s="113">
        <v>10348451</v>
      </c>
      <c r="E5394" s="115">
        <v>43949</v>
      </c>
      <c r="F5394" s="114">
        <v>202101</v>
      </c>
      <c r="G5394" s="112" t="s">
        <v>1091</v>
      </c>
      <c r="H5394" s="112" t="s">
        <v>1015</v>
      </c>
      <c r="I5394" s="112" t="s">
        <v>1101</v>
      </c>
      <c r="J5394" s="112" t="s">
        <v>3624</v>
      </c>
      <c r="K5394" s="112" t="s">
        <v>1098</v>
      </c>
      <c r="L5394" s="116">
        <v>281.33</v>
      </c>
    </row>
    <row r="5395" spans="1:12" hidden="1" outlineLevel="1" collapsed="1" x14ac:dyDescent="0.35">
      <c r="A5395" s="112" t="s">
        <v>3616</v>
      </c>
      <c r="B5395" s="112" t="s">
        <v>922</v>
      </c>
      <c r="C5395" s="112" t="s">
        <v>695</v>
      </c>
      <c r="D5395" s="113">
        <v>10347981</v>
      </c>
      <c r="E5395" s="115">
        <v>43924</v>
      </c>
      <c r="F5395" s="114">
        <v>202101</v>
      </c>
      <c r="G5395" s="112" t="s">
        <v>1091</v>
      </c>
      <c r="H5395" s="112" t="s">
        <v>1015</v>
      </c>
      <c r="I5395" s="112" t="s">
        <v>761</v>
      </c>
      <c r="J5395" s="112" t="s">
        <v>3791</v>
      </c>
      <c r="K5395" s="112" t="s">
        <v>4438</v>
      </c>
      <c r="L5395" s="116">
        <v>-150</v>
      </c>
    </row>
    <row r="5396" spans="1:12" hidden="1" outlineLevel="1" collapsed="1" x14ac:dyDescent="0.35">
      <c r="A5396" s="112" t="s">
        <v>3616</v>
      </c>
      <c r="B5396" s="112" t="s">
        <v>921</v>
      </c>
      <c r="C5396" s="112" t="s">
        <v>1095</v>
      </c>
      <c r="D5396" s="113">
        <v>10348451</v>
      </c>
      <c r="E5396" s="115">
        <v>43949</v>
      </c>
      <c r="F5396" s="114">
        <v>202101</v>
      </c>
      <c r="G5396" s="112" t="s">
        <v>1091</v>
      </c>
      <c r="H5396" s="112" t="s">
        <v>1015</v>
      </c>
      <c r="I5396" s="112" t="s">
        <v>3261</v>
      </c>
      <c r="J5396" s="112" t="s">
        <v>3620</v>
      </c>
      <c r="K5396" s="112" t="s">
        <v>1098</v>
      </c>
      <c r="L5396" s="116">
        <v>97.02</v>
      </c>
    </row>
    <row r="5397" spans="1:12" hidden="1" outlineLevel="1" collapsed="1" x14ac:dyDescent="0.35">
      <c r="A5397" s="112" t="s">
        <v>3616</v>
      </c>
      <c r="B5397" s="112" t="s">
        <v>923</v>
      </c>
      <c r="C5397" s="112" t="s">
        <v>695</v>
      </c>
      <c r="D5397" s="113">
        <v>10347981</v>
      </c>
      <c r="E5397" s="115">
        <v>43924</v>
      </c>
      <c r="F5397" s="114">
        <v>202101</v>
      </c>
      <c r="G5397" s="112" t="s">
        <v>1091</v>
      </c>
      <c r="H5397" s="112" t="s">
        <v>1015</v>
      </c>
      <c r="I5397" s="112" t="s">
        <v>761</v>
      </c>
      <c r="J5397" s="112" t="s">
        <v>3673</v>
      </c>
      <c r="K5397" s="112" t="s">
        <v>4439</v>
      </c>
      <c r="L5397" s="116">
        <v>-5000</v>
      </c>
    </row>
    <row r="5398" spans="1:12" hidden="1" outlineLevel="1" collapsed="1" x14ac:dyDescent="0.35">
      <c r="A5398" s="112" t="s">
        <v>3616</v>
      </c>
      <c r="B5398" s="112" t="s">
        <v>919</v>
      </c>
      <c r="C5398" s="112" t="s">
        <v>679</v>
      </c>
      <c r="D5398" s="113">
        <v>10348411</v>
      </c>
      <c r="E5398" s="115">
        <v>43943</v>
      </c>
      <c r="F5398" s="114">
        <v>202101</v>
      </c>
      <c r="G5398" s="112" t="s">
        <v>1091</v>
      </c>
      <c r="H5398" s="112" t="s">
        <v>1015</v>
      </c>
      <c r="I5398" s="112" t="s">
        <v>736</v>
      </c>
      <c r="J5398" s="112" t="s">
        <v>3617</v>
      </c>
      <c r="K5398" s="112" t="s">
        <v>4440</v>
      </c>
      <c r="L5398" s="116">
        <v>1135.23</v>
      </c>
    </row>
    <row r="5399" spans="1:12" hidden="1" outlineLevel="1" collapsed="1" x14ac:dyDescent="0.35">
      <c r="A5399" s="112" t="s">
        <v>3616</v>
      </c>
      <c r="B5399" s="112" t="s">
        <v>919</v>
      </c>
      <c r="C5399" s="112" t="s">
        <v>679</v>
      </c>
      <c r="D5399" s="113">
        <v>10348411</v>
      </c>
      <c r="E5399" s="115">
        <v>43943</v>
      </c>
      <c r="F5399" s="114">
        <v>202101</v>
      </c>
      <c r="G5399" s="112" t="s">
        <v>1091</v>
      </c>
      <c r="H5399" s="112" t="s">
        <v>1015</v>
      </c>
      <c r="I5399" s="112" t="s">
        <v>736</v>
      </c>
      <c r="J5399" s="112" t="s">
        <v>3617</v>
      </c>
      <c r="K5399" s="112" t="s">
        <v>4441</v>
      </c>
      <c r="L5399" s="116">
        <v>773.45</v>
      </c>
    </row>
    <row r="5400" spans="1:12" hidden="1" outlineLevel="1" collapsed="1" x14ac:dyDescent="0.35">
      <c r="A5400" s="112" t="s">
        <v>3616</v>
      </c>
      <c r="B5400" s="112" t="s">
        <v>919</v>
      </c>
      <c r="C5400" s="112" t="s">
        <v>679</v>
      </c>
      <c r="D5400" s="113">
        <v>10348411</v>
      </c>
      <c r="E5400" s="115">
        <v>43943</v>
      </c>
      <c r="F5400" s="114">
        <v>202101</v>
      </c>
      <c r="G5400" s="112" t="s">
        <v>1091</v>
      </c>
      <c r="H5400" s="112" t="s">
        <v>1015</v>
      </c>
      <c r="I5400" s="112" t="s">
        <v>736</v>
      </c>
      <c r="J5400" s="112" t="s">
        <v>3617</v>
      </c>
      <c r="K5400" s="112" t="s">
        <v>4442</v>
      </c>
      <c r="L5400" s="116">
        <v>648.70000000000005</v>
      </c>
    </row>
    <row r="5401" spans="1:12" hidden="1" outlineLevel="1" collapsed="1" x14ac:dyDescent="0.35">
      <c r="A5401" s="112" t="s">
        <v>3616</v>
      </c>
      <c r="B5401" s="112" t="s">
        <v>916</v>
      </c>
      <c r="C5401" s="112" t="s">
        <v>679</v>
      </c>
      <c r="D5401" s="113">
        <v>10348411</v>
      </c>
      <c r="E5401" s="115">
        <v>43943</v>
      </c>
      <c r="F5401" s="114">
        <v>202101</v>
      </c>
      <c r="G5401" s="112" t="s">
        <v>1091</v>
      </c>
      <c r="H5401" s="112" t="s">
        <v>1015</v>
      </c>
      <c r="I5401" s="112" t="s">
        <v>736</v>
      </c>
      <c r="J5401" s="112" t="s">
        <v>3626</v>
      </c>
      <c r="K5401" s="112" t="s">
        <v>4443</v>
      </c>
      <c r="L5401" s="116">
        <v>289.42</v>
      </c>
    </row>
    <row r="5402" spans="1:12" hidden="1" outlineLevel="1" collapsed="1" x14ac:dyDescent="0.35">
      <c r="A5402" s="112" t="s">
        <v>3616</v>
      </c>
      <c r="B5402" s="112" t="s">
        <v>922</v>
      </c>
      <c r="C5402" s="112" t="s">
        <v>679</v>
      </c>
      <c r="D5402" s="113">
        <v>10348411</v>
      </c>
      <c r="E5402" s="115">
        <v>43943</v>
      </c>
      <c r="F5402" s="114">
        <v>202101</v>
      </c>
      <c r="G5402" s="112" t="s">
        <v>1091</v>
      </c>
      <c r="H5402" s="112" t="s">
        <v>1015</v>
      </c>
      <c r="I5402" s="112" t="s">
        <v>736</v>
      </c>
      <c r="J5402" s="112" t="s">
        <v>3859</v>
      </c>
      <c r="K5402" s="112" t="s">
        <v>4444</v>
      </c>
      <c r="L5402" s="116">
        <v>611.28</v>
      </c>
    </row>
    <row r="5403" spans="1:12" hidden="1" outlineLevel="1" collapsed="1" x14ac:dyDescent="0.35">
      <c r="A5403" s="112" t="s">
        <v>3616</v>
      </c>
      <c r="B5403" s="112" t="s">
        <v>916</v>
      </c>
      <c r="C5403" s="112" t="s">
        <v>679</v>
      </c>
      <c r="D5403" s="113">
        <v>10348411</v>
      </c>
      <c r="E5403" s="115">
        <v>43943</v>
      </c>
      <c r="F5403" s="114">
        <v>202101</v>
      </c>
      <c r="G5403" s="112" t="s">
        <v>1091</v>
      </c>
      <c r="H5403" s="112" t="s">
        <v>1015</v>
      </c>
      <c r="I5403" s="112" t="s">
        <v>736</v>
      </c>
      <c r="J5403" s="112" t="s">
        <v>3626</v>
      </c>
      <c r="K5403" s="112" t="s">
        <v>4445</v>
      </c>
      <c r="L5403" s="116">
        <v>199.6</v>
      </c>
    </row>
    <row r="5404" spans="1:12" hidden="1" outlineLevel="1" collapsed="1" x14ac:dyDescent="0.35">
      <c r="A5404" s="112" t="s">
        <v>3616</v>
      </c>
      <c r="B5404" s="112" t="s">
        <v>922</v>
      </c>
      <c r="C5404" s="112" t="s">
        <v>1219</v>
      </c>
      <c r="D5404" s="113">
        <v>46306920</v>
      </c>
      <c r="E5404" s="115">
        <v>43927</v>
      </c>
      <c r="F5404" s="114">
        <v>202101</v>
      </c>
      <c r="G5404" s="112" t="s">
        <v>1091</v>
      </c>
      <c r="H5404" s="112" t="s">
        <v>1015</v>
      </c>
      <c r="I5404" s="112" t="s">
        <v>761</v>
      </c>
      <c r="J5404" s="112" t="s">
        <v>3794</v>
      </c>
      <c r="K5404" s="112" t="s">
        <v>4446</v>
      </c>
      <c r="L5404" s="116">
        <v>325</v>
      </c>
    </row>
    <row r="5405" spans="1:12" hidden="1" outlineLevel="1" collapsed="1" x14ac:dyDescent="0.35">
      <c r="A5405" s="112" t="s">
        <v>3616</v>
      </c>
      <c r="B5405" s="112" t="s">
        <v>916</v>
      </c>
      <c r="C5405" s="112" t="s">
        <v>695</v>
      </c>
      <c r="D5405" s="113">
        <v>10348140</v>
      </c>
      <c r="E5405" s="115">
        <v>43929</v>
      </c>
      <c r="F5405" s="114">
        <v>202101</v>
      </c>
      <c r="G5405" s="112" t="s">
        <v>1091</v>
      </c>
      <c r="H5405" s="112" t="s">
        <v>1015</v>
      </c>
      <c r="I5405" s="112" t="s">
        <v>3672</v>
      </c>
      <c r="J5405" s="112" t="s">
        <v>3771</v>
      </c>
      <c r="K5405" s="112" t="s">
        <v>4447</v>
      </c>
      <c r="L5405" s="116">
        <v>-1813.5</v>
      </c>
    </row>
    <row r="5406" spans="1:12" hidden="1" outlineLevel="1" collapsed="1" x14ac:dyDescent="0.35">
      <c r="A5406" s="112" t="s">
        <v>3616</v>
      </c>
      <c r="B5406" s="112" t="s">
        <v>920</v>
      </c>
      <c r="C5406" s="112" t="s">
        <v>695</v>
      </c>
      <c r="D5406" s="113">
        <v>10347981</v>
      </c>
      <c r="E5406" s="115">
        <v>43924</v>
      </c>
      <c r="F5406" s="114">
        <v>202101</v>
      </c>
      <c r="G5406" s="112" t="s">
        <v>1091</v>
      </c>
      <c r="H5406" s="112" t="s">
        <v>1015</v>
      </c>
      <c r="I5406" s="112" t="s">
        <v>761</v>
      </c>
      <c r="J5406" s="112" t="s">
        <v>3755</v>
      </c>
      <c r="K5406" s="112" t="s">
        <v>4006</v>
      </c>
      <c r="L5406" s="116">
        <v>-84</v>
      </c>
    </row>
    <row r="5407" spans="1:12" hidden="1" outlineLevel="1" collapsed="1" x14ac:dyDescent="0.35">
      <c r="A5407" s="112" t="s">
        <v>3616</v>
      </c>
      <c r="B5407" s="112" t="s">
        <v>921</v>
      </c>
      <c r="C5407" s="112" t="s">
        <v>695</v>
      </c>
      <c r="D5407" s="113">
        <v>10348038</v>
      </c>
      <c r="E5407" s="115">
        <v>43928</v>
      </c>
      <c r="F5407" s="114">
        <v>202101</v>
      </c>
      <c r="G5407" s="112" t="s">
        <v>1091</v>
      </c>
      <c r="H5407" s="112" t="s">
        <v>1016</v>
      </c>
      <c r="I5407" s="112" t="s">
        <v>3846</v>
      </c>
      <c r="J5407" s="112" t="s">
        <v>3709</v>
      </c>
      <c r="K5407" s="112" t="s">
        <v>4448</v>
      </c>
      <c r="L5407" s="116">
        <v>-560</v>
      </c>
    </row>
    <row r="5408" spans="1:12" hidden="1" outlineLevel="1" collapsed="1" x14ac:dyDescent="0.35">
      <c r="A5408" s="112" t="s">
        <v>3616</v>
      </c>
      <c r="B5408" s="112" t="s">
        <v>919</v>
      </c>
      <c r="C5408" s="112" t="s">
        <v>695</v>
      </c>
      <c r="D5408" s="113">
        <v>10347981</v>
      </c>
      <c r="E5408" s="115">
        <v>43924</v>
      </c>
      <c r="F5408" s="114">
        <v>202101</v>
      </c>
      <c r="G5408" s="112" t="s">
        <v>1091</v>
      </c>
      <c r="H5408" s="112" t="s">
        <v>1015</v>
      </c>
      <c r="I5408" s="112" t="s">
        <v>761</v>
      </c>
      <c r="J5408" s="112" t="s">
        <v>3634</v>
      </c>
      <c r="K5408" s="112" t="s">
        <v>4449</v>
      </c>
      <c r="L5408" s="116">
        <v>-80</v>
      </c>
    </row>
    <row r="5409" spans="1:12" hidden="1" outlineLevel="1" collapsed="1" x14ac:dyDescent="0.35">
      <c r="A5409" s="112" t="s">
        <v>3616</v>
      </c>
      <c r="B5409" s="112" t="s">
        <v>921</v>
      </c>
      <c r="C5409" s="112" t="s">
        <v>695</v>
      </c>
      <c r="D5409" s="113">
        <v>10347981</v>
      </c>
      <c r="E5409" s="115">
        <v>43924</v>
      </c>
      <c r="F5409" s="114">
        <v>202101</v>
      </c>
      <c r="G5409" s="112" t="s">
        <v>1091</v>
      </c>
      <c r="H5409" s="112" t="s">
        <v>1015</v>
      </c>
      <c r="I5409" s="112" t="s">
        <v>3266</v>
      </c>
      <c r="J5409" s="112" t="s">
        <v>3709</v>
      </c>
      <c r="K5409" s="112" t="s">
        <v>4450</v>
      </c>
      <c r="L5409" s="116">
        <v>-350</v>
      </c>
    </row>
    <row r="5410" spans="1:12" hidden="1" outlineLevel="1" collapsed="1" x14ac:dyDescent="0.35">
      <c r="A5410" s="112" t="s">
        <v>3616</v>
      </c>
      <c r="B5410" s="112" t="s">
        <v>922</v>
      </c>
      <c r="C5410" s="112" t="s">
        <v>695</v>
      </c>
      <c r="D5410" s="113">
        <v>10347981</v>
      </c>
      <c r="E5410" s="115">
        <v>43924</v>
      </c>
      <c r="F5410" s="114">
        <v>202101</v>
      </c>
      <c r="G5410" s="112" t="s">
        <v>1091</v>
      </c>
      <c r="H5410" s="112" t="s">
        <v>1015</v>
      </c>
      <c r="I5410" s="112" t="s">
        <v>3742</v>
      </c>
      <c r="J5410" s="112" t="s">
        <v>3784</v>
      </c>
      <c r="K5410" s="112" t="s">
        <v>4011</v>
      </c>
      <c r="L5410" s="116">
        <v>-32.409999999999997</v>
      </c>
    </row>
    <row r="5411" spans="1:12" hidden="1" outlineLevel="1" collapsed="1" x14ac:dyDescent="0.35">
      <c r="A5411" s="112" t="s">
        <v>3616</v>
      </c>
      <c r="B5411" s="112" t="s">
        <v>920</v>
      </c>
      <c r="C5411" s="112" t="s">
        <v>695</v>
      </c>
      <c r="D5411" s="113">
        <v>10347981</v>
      </c>
      <c r="E5411" s="115">
        <v>43924</v>
      </c>
      <c r="F5411" s="114">
        <v>202101</v>
      </c>
      <c r="G5411" s="112" t="s">
        <v>1091</v>
      </c>
      <c r="H5411" s="112" t="s">
        <v>1015</v>
      </c>
      <c r="I5411" s="112" t="s">
        <v>761</v>
      </c>
      <c r="J5411" s="112" t="s">
        <v>3755</v>
      </c>
      <c r="K5411" s="112" t="s">
        <v>4451</v>
      </c>
      <c r="L5411" s="116">
        <v>-1785</v>
      </c>
    </row>
    <row r="5412" spans="1:12" hidden="1" outlineLevel="1" collapsed="1" x14ac:dyDescent="0.35">
      <c r="A5412" s="112" t="s">
        <v>3616</v>
      </c>
      <c r="B5412" s="112" t="s">
        <v>921</v>
      </c>
      <c r="C5412" s="112" t="s">
        <v>695</v>
      </c>
      <c r="D5412" s="113">
        <v>10347981</v>
      </c>
      <c r="E5412" s="115">
        <v>43924</v>
      </c>
      <c r="F5412" s="114">
        <v>202101</v>
      </c>
      <c r="G5412" s="112" t="s">
        <v>1091</v>
      </c>
      <c r="H5412" s="112" t="s">
        <v>1015</v>
      </c>
      <c r="I5412" s="112" t="s">
        <v>1137</v>
      </c>
      <c r="J5412" s="112" t="s">
        <v>3620</v>
      </c>
      <c r="K5412" s="112" t="s">
        <v>3776</v>
      </c>
      <c r="L5412" s="116">
        <v>-15</v>
      </c>
    </row>
    <row r="5413" spans="1:12" hidden="1" outlineLevel="1" collapsed="1" x14ac:dyDescent="0.35">
      <c r="A5413" s="112" t="s">
        <v>3616</v>
      </c>
      <c r="B5413" s="112" t="s">
        <v>922</v>
      </c>
      <c r="C5413" s="112" t="s">
        <v>695</v>
      </c>
      <c r="D5413" s="113">
        <v>10347981</v>
      </c>
      <c r="E5413" s="115">
        <v>43924</v>
      </c>
      <c r="F5413" s="114">
        <v>202101</v>
      </c>
      <c r="G5413" s="112" t="s">
        <v>1091</v>
      </c>
      <c r="H5413" s="112" t="s">
        <v>1015</v>
      </c>
      <c r="I5413" s="112" t="s">
        <v>761</v>
      </c>
      <c r="J5413" s="112" t="s">
        <v>3766</v>
      </c>
      <c r="K5413" s="112" t="s">
        <v>4452</v>
      </c>
      <c r="L5413" s="116">
        <v>-459.75</v>
      </c>
    </row>
    <row r="5414" spans="1:12" hidden="1" outlineLevel="1" collapsed="1" x14ac:dyDescent="0.35">
      <c r="A5414" s="112" t="s">
        <v>3616</v>
      </c>
      <c r="B5414" s="112" t="s">
        <v>922</v>
      </c>
      <c r="C5414" s="112" t="s">
        <v>695</v>
      </c>
      <c r="D5414" s="113">
        <v>10347981</v>
      </c>
      <c r="E5414" s="115">
        <v>43924</v>
      </c>
      <c r="F5414" s="114">
        <v>202101</v>
      </c>
      <c r="G5414" s="112" t="s">
        <v>1091</v>
      </c>
      <c r="H5414" s="112" t="s">
        <v>1015</v>
      </c>
      <c r="I5414" s="112" t="s">
        <v>761</v>
      </c>
      <c r="J5414" s="112" t="s">
        <v>3861</v>
      </c>
      <c r="K5414" s="112" t="s">
        <v>3990</v>
      </c>
      <c r="L5414" s="116">
        <v>-50</v>
      </c>
    </row>
    <row r="5415" spans="1:12" hidden="1" outlineLevel="1" collapsed="1" x14ac:dyDescent="0.35">
      <c r="A5415" s="112" t="s">
        <v>3616</v>
      </c>
      <c r="B5415" s="112" t="s">
        <v>916</v>
      </c>
      <c r="C5415" s="112" t="s">
        <v>695</v>
      </c>
      <c r="D5415" s="113">
        <v>10347981</v>
      </c>
      <c r="E5415" s="115">
        <v>43924</v>
      </c>
      <c r="F5415" s="114">
        <v>202101</v>
      </c>
      <c r="G5415" s="112" t="s">
        <v>1091</v>
      </c>
      <c r="H5415" s="112" t="s">
        <v>1015</v>
      </c>
      <c r="I5415" s="112" t="s">
        <v>4453</v>
      </c>
      <c r="J5415" s="112" t="s">
        <v>3771</v>
      </c>
      <c r="K5415" s="112" t="s">
        <v>4454</v>
      </c>
      <c r="L5415" s="116">
        <v>-179</v>
      </c>
    </row>
    <row r="5416" spans="1:12" hidden="1" outlineLevel="1" collapsed="1" x14ac:dyDescent="0.35">
      <c r="A5416" s="112" t="s">
        <v>3616</v>
      </c>
      <c r="B5416" s="112" t="s">
        <v>920</v>
      </c>
      <c r="C5416" s="112" t="s">
        <v>695</v>
      </c>
      <c r="D5416" s="113">
        <v>10347981</v>
      </c>
      <c r="E5416" s="115">
        <v>43924</v>
      </c>
      <c r="F5416" s="114">
        <v>202101</v>
      </c>
      <c r="G5416" s="112" t="s">
        <v>1091</v>
      </c>
      <c r="H5416" s="112" t="s">
        <v>1015</v>
      </c>
      <c r="I5416" s="112" t="s">
        <v>1092</v>
      </c>
      <c r="J5416" s="112" t="s">
        <v>3755</v>
      </c>
      <c r="K5416" s="112" t="s">
        <v>1450</v>
      </c>
      <c r="L5416" s="116">
        <v>-47</v>
      </c>
    </row>
    <row r="5417" spans="1:12" hidden="1" outlineLevel="1" collapsed="1" x14ac:dyDescent="0.35">
      <c r="A5417" s="112" t="s">
        <v>3616</v>
      </c>
      <c r="B5417" s="112" t="s">
        <v>919</v>
      </c>
      <c r="C5417" s="112" t="s">
        <v>695</v>
      </c>
      <c r="D5417" s="113">
        <v>10347981</v>
      </c>
      <c r="E5417" s="115">
        <v>43924</v>
      </c>
      <c r="F5417" s="114">
        <v>202101</v>
      </c>
      <c r="G5417" s="112" t="s">
        <v>1091</v>
      </c>
      <c r="H5417" s="112" t="s">
        <v>1015</v>
      </c>
      <c r="I5417" s="112" t="s">
        <v>1471</v>
      </c>
      <c r="J5417" s="112" t="s">
        <v>3624</v>
      </c>
      <c r="K5417" s="112" t="s">
        <v>4455</v>
      </c>
      <c r="L5417" s="116">
        <v>-3700</v>
      </c>
    </row>
    <row r="5418" spans="1:12" hidden="1" outlineLevel="1" collapsed="1" x14ac:dyDescent="0.35">
      <c r="A5418" s="112" t="s">
        <v>3616</v>
      </c>
      <c r="B5418" s="112" t="s">
        <v>919</v>
      </c>
      <c r="C5418" s="112" t="s">
        <v>695</v>
      </c>
      <c r="D5418" s="113">
        <v>10347981</v>
      </c>
      <c r="E5418" s="115">
        <v>43924</v>
      </c>
      <c r="F5418" s="114">
        <v>202101</v>
      </c>
      <c r="G5418" s="112" t="s">
        <v>1091</v>
      </c>
      <c r="H5418" s="112" t="s">
        <v>1015</v>
      </c>
      <c r="I5418" s="112" t="s">
        <v>761</v>
      </c>
      <c r="J5418" s="112" t="s">
        <v>3628</v>
      </c>
      <c r="K5418" s="112" t="s">
        <v>4456</v>
      </c>
      <c r="L5418" s="116">
        <v>-595</v>
      </c>
    </row>
    <row r="5419" spans="1:12" hidden="1" outlineLevel="1" collapsed="1" x14ac:dyDescent="0.35">
      <c r="A5419" s="112" t="s">
        <v>3616</v>
      </c>
      <c r="B5419" s="112" t="s">
        <v>922</v>
      </c>
      <c r="C5419" s="112" t="s">
        <v>695</v>
      </c>
      <c r="D5419" s="113">
        <v>10347981</v>
      </c>
      <c r="E5419" s="115">
        <v>43924</v>
      </c>
      <c r="F5419" s="114">
        <v>202101</v>
      </c>
      <c r="G5419" s="112" t="s">
        <v>1091</v>
      </c>
      <c r="H5419" s="112" t="s">
        <v>1015</v>
      </c>
      <c r="I5419" s="112" t="s">
        <v>761</v>
      </c>
      <c r="J5419" s="112" t="s">
        <v>3766</v>
      </c>
      <c r="K5419" s="112" t="s">
        <v>4457</v>
      </c>
      <c r="L5419" s="116">
        <v>-480</v>
      </c>
    </row>
    <row r="5420" spans="1:12" hidden="1" outlineLevel="1" collapsed="1" x14ac:dyDescent="0.35">
      <c r="A5420" s="112" t="s">
        <v>3616</v>
      </c>
      <c r="B5420" s="112" t="s">
        <v>920</v>
      </c>
      <c r="C5420" s="112" t="s">
        <v>695</v>
      </c>
      <c r="D5420" s="113">
        <v>10347981</v>
      </c>
      <c r="E5420" s="115">
        <v>43924</v>
      </c>
      <c r="F5420" s="114">
        <v>202101</v>
      </c>
      <c r="G5420" s="112" t="s">
        <v>1091</v>
      </c>
      <c r="H5420" s="112" t="s">
        <v>1015</v>
      </c>
      <c r="I5420" s="112" t="s">
        <v>775</v>
      </c>
      <c r="J5420" s="112" t="s">
        <v>3755</v>
      </c>
      <c r="K5420" s="112" t="s">
        <v>4458</v>
      </c>
      <c r="L5420" s="116">
        <v>-12</v>
      </c>
    </row>
    <row r="5421" spans="1:12" hidden="1" outlineLevel="1" collapsed="1" x14ac:dyDescent="0.35">
      <c r="A5421" s="112" t="s">
        <v>3616</v>
      </c>
      <c r="B5421" s="112" t="s">
        <v>919</v>
      </c>
      <c r="C5421" s="112" t="s">
        <v>695</v>
      </c>
      <c r="D5421" s="113">
        <v>10347981</v>
      </c>
      <c r="E5421" s="115">
        <v>43924</v>
      </c>
      <c r="F5421" s="114">
        <v>202101</v>
      </c>
      <c r="G5421" s="112" t="s">
        <v>1091</v>
      </c>
      <c r="H5421" s="112" t="s">
        <v>1015</v>
      </c>
      <c r="I5421" s="112" t="s">
        <v>1643</v>
      </c>
      <c r="J5421" s="112" t="s">
        <v>3624</v>
      </c>
      <c r="K5421" s="112" t="s">
        <v>4459</v>
      </c>
      <c r="L5421" s="116">
        <v>-191.27</v>
      </c>
    </row>
    <row r="5422" spans="1:12" hidden="1" outlineLevel="1" collapsed="1" x14ac:dyDescent="0.35">
      <c r="A5422" s="112" t="s">
        <v>3616</v>
      </c>
      <c r="B5422" s="112" t="s">
        <v>921</v>
      </c>
      <c r="C5422" s="112" t="s">
        <v>695</v>
      </c>
      <c r="D5422" s="113">
        <v>10347981</v>
      </c>
      <c r="E5422" s="115">
        <v>43924</v>
      </c>
      <c r="F5422" s="114">
        <v>202101</v>
      </c>
      <c r="G5422" s="112" t="s">
        <v>1091</v>
      </c>
      <c r="H5422" s="112" t="s">
        <v>1015</v>
      </c>
      <c r="I5422" s="112" t="s">
        <v>2495</v>
      </c>
      <c r="J5422" s="112" t="s">
        <v>3620</v>
      </c>
      <c r="K5422" s="112" t="s">
        <v>4460</v>
      </c>
      <c r="L5422" s="116">
        <v>-600</v>
      </c>
    </row>
    <row r="5423" spans="1:12" hidden="1" outlineLevel="1" collapsed="1" x14ac:dyDescent="0.35">
      <c r="A5423" s="112" t="s">
        <v>3616</v>
      </c>
      <c r="B5423" s="112" t="s">
        <v>920</v>
      </c>
      <c r="C5423" s="112" t="s">
        <v>695</v>
      </c>
      <c r="D5423" s="113">
        <v>10347981</v>
      </c>
      <c r="E5423" s="115">
        <v>43924</v>
      </c>
      <c r="F5423" s="114">
        <v>202101</v>
      </c>
      <c r="G5423" s="112" t="s">
        <v>1091</v>
      </c>
      <c r="H5423" s="112" t="s">
        <v>1015</v>
      </c>
      <c r="I5423" s="112" t="s">
        <v>1182</v>
      </c>
      <c r="J5423" s="112" t="s">
        <v>4179</v>
      </c>
      <c r="K5423" s="112" t="s">
        <v>4461</v>
      </c>
      <c r="L5423" s="116">
        <v>-90</v>
      </c>
    </row>
    <row r="5424" spans="1:12" hidden="1" outlineLevel="1" collapsed="1" x14ac:dyDescent="0.35">
      <c r="A5424" s="112" t="s">
        <v>3616</v>
      </c>
      <c r="B5424" s="112" t="s">
        <v>921</v>
      </c>
      <c r="C5424" s="112" t="s">
        <v>695</v>
      </c>
      <c r="D5424" s="113">
        <v>10347981</v>
      </c>
      <c r="E5424" s="115">
        <v>43924</v>
      </c>
      <c r="F5424" s="114">
        <v>202101</v>
      </c>
      <c r="G5424" s="112" t="s">
        <v>1091</v>
      </c>
      <c r="H5424" s="112" t="s">
        <v>1015</v>
      </c>
      <c r="I5424" s="112" t="s">
        <v>775</v>
      </c>
      <c r="J5424" s="112" t="s">
        <v>3709</v>
      </c>
      <c r="K5424" s="112" t="s">
        <v>4462</v>
      </c>
      <c r="L5424" s="116">
        <v>-429.6</v>
      </c>
    </row>
    <row r="5425" spans="1:12" hidden="1" outlineLevel="1" collapsed="1" x14ac:dyDescent="0.35">
      <c r="A5425" s="112" t="s">
        <v>3616</v>
      </c>
      <c r="B5425" s="112" t="s">
        <v>923</v>
      </c>
      <c r="C5425" s="112" t="s">
        <v>695</v>
      </c>
      <c r="D5425" s="113">
        <v>10347981</v>
      </c>
      <c r="E5425" s="115">
        <v>43924</v>
      </c>
      <c r="F5425" s="114">
        <v>202101</v>
      </c>
      <c r="G5425" s="112" t="s">
        <v>1091</v>
      </c>
      <c r="H5425" s="112" t="s">
        <v>1015</v>
      </c>
      <c r="I5425" s="112" t="s">
        <v>761</v>
      </c>
      <c r="J5425" s="112" t="s">
        <v>3988</v>
      </c>
      <c r="K5425" s="112" t="s">
        <v>4463</v>
      </c>
      <c r="L5425" s="116">
        <v>-50</v>
      </c>
    </row>
    <row r="5426" spans="1:12" hidden="1" outlineLevel="1" collapsed="1" x14ac:dyDescent="0.35">
      <c r="A5426" s="112" t="s">
        <v>3616</v>
      </c>
      <c r="B5426" s="112" t="s">
        <v>920</v>
      </c>
      <c r="C5426" s="112" t="s">
        <v>695</v>
      </c>
      <c r="D5426" s="113">
        <v>10347981</v>
      </c>
      <c r="E5426" s="115">
        <v>43924</v>
      </c>
      <c r="F5426" s="114">
        <v>202101</v>
      </c>
      <c r="G5426" s="112" t="s">
        <v>1091</v>
      </c>
      <c r="H5426" s="112" t="s">
        <v>1015</v>
      </c>
      <c r="I5426" s="112" t="s">
        <v>4464</v>
      </c>
      <c r="J5426" s="112" t="s">
        <v>3755</v>
      </c>
      <c r="K5426" s="112" t="s">
        <v>4465</v>
      </c>
      <c r="L5426" s="116">
        <v>-1310.05</v>
      </c>
    </row>
    <row r="5427" spans="1:12" hidden="1" outlineLevel="1" collapsed="1" x14ac:dyDescent="0.35">
      <c r="A5427" s="112" t="s">
        <v>3616</v>
      </c>
      <c r="B5427" s="112" t="s">
        <v>922</v>
      </c>
      <c r="C5427" s="112" t="s">
        <v>695</v>
      </c>
      <c r="D5427" s="113">
        <v>10347981</v>
      </c>
      <c r="E5427" s="115">
        <v>43924</v>
      </c>
      <c r="F5427" s="114">
        <v>202101</v>
      </c>
      <c r="G5427" s="112" t="s">
        <v>1091</v>
      </c>
      <c r="H5427" s="112" t="s">
        <v>1015</v>
      </c>
      <c r="I5427" s="112" t="s">
        <v>761</v>
      </c>
      <c r="J5427" s="112" t="s">
        <v>3784</v>
      </c>
      <c r="K5427" s="112" t="s">
        <v>4466</v>
      </c>
      <c r="L5427" s="116">
        <v>-3202.72</v>
      </c>
    </row>
    <row r="5428" spans="1:12" hidden="1" outlineLevel="1" collapsed="1" x14ac:dyDescent="0.35">
      <c r="A5428" s="112" t="s">
        <v>3616</v>
      </c>
      <c r="B5428" s="112" t="s">
        <v>922</v>
      </c>
      <c r="C5428" s="112" t="s">
        <v>1095</v>
      </c>
      <c r="D5428" s="113">
        <v>10348451</v>
      </c>
      <c r="E5428" s="115">
        <v>43949</v>
      </c>
      <c r="F5428" s="114">
        <v>202101</v>
      </c>
      <c r="G5428" s="112" t="s">
        <v>1091</v>
      </c>
      <c r="H5428" s="112" t="s">
        <v>1015</v>
      </c>
      <c r="I5428" s="112" t="s">
        <v>3261</v>
      </c>
      <c r="J5428" s="112" t="s">
        <v>3784</v>
      </c>
      <c r="K5428" s="112" t="s">
        <v>1098</v>
      </c>
      <c r="L5428" s="116">
        <v>104.37</v>
      </c>
    </row>
    <row r="5429" spans="1:12" hidden="1" outlineLevel="1" collapsed="1" x14ac:dyDescent="0.35">
      <c r="A5429" s="112" t="s">
        <v>3616</v>
      </c>
      <c r="B5429" s="112" t="s">
        <v>922</v>
      </c>
      <c r="C5429" s="112" t="s">
        <v>695</v>
      </c>
      <c r="D5429" s="113">
        <v>10347981</v>
      </c>
      <c r="E5429" s="115">
        <v>43924</v>
      </c>
      <c r="F5429" s="114">
        <v>202101</v>
      </c>
      <c r="G5429" s="112" t="s">
        <v>1091</v>
      </c>
      <c r="H5429" s="112" t="s">
        <v>1015</v>
      </c>
      <c r="I5429" s="112" t="s">
        <v>761</v>
      </c>
      <c r="J5429" s="112" t="s">
        <v>3766</v>
      </c>
      <c r="K5429" s="112" t="s">
        <v>4467</v>
      </c>
      <c r="L5429" s="116">
        <v>-2400</v>
      </c>
    </row>
    <row r="5430" spans="1:12" hidden="1" outlineLevel="1" collapsed="1" x14ac:dyDescent="0.35">
      <c r="A5430" s="112" t="s">
        <v>3616</v>
      </c>
      <c r="B5430" s="112" t="s">
        <v>921</v>
      </c>
      <c r="C5430" s="112" t="s">
        <v>695</v>
      </c>
      <c r="D5430" s="113">
        <v>10347981</v>
      </c>
      <c r="E5430" s="115">
        <v>43924</v>
      </c>
      <c r="F5430" s="114">
        <v>202101</v>
      </c>
      <c r="G5430" s="112" t="s">
        <v>1091</v>
      </c>
      <c r="H5430" s="112" t="s">
        <v>1015</v>
      </c>
      <c r="I5430" s="112" t="s">
        <v>1137</v>
      </c>
      <c r="J5430" s="112" t="s">
        <v>3620</v>
      </c>
      <c r="K5430" s="112" t="s">
        <v>4413</v>
      </c>
      <c r="L5430" s="116">
        <v>-10</v>
      </c>
    </row>
    <row r="5431" spans="1:12" hidden="1" outlineLevel="1" collapsed="1" x14ac:dyDescent="0.35">
      <c r="A5431" s="112" t="s">
        <v>3616</v>
      </c>
      <c r="B5431" s="112" t="s">
        <v>916</v>
      </c>
      <c r="C5431" s="112" t="s">
        <v>695</v>
      </c>
      <c r="D5431" s="113">
        <v>10348043</v>
      </c>
      <c r="E5431" s="115">
        <v>43928</v>
      </c>
      <c r="F5431" s="114">
        <v>202101</v>
      </c>
      <c r="G5431" s="112" t="s">
        <v>1091</v>
      </c>
      <c r="H5431" s="112" t="s">
        <v>1015</v>
      </c>
      <c r="I5431" s="112" t="s">
        <v>4468</v>
      </c>
      <c r="J5431" s="112" t="s">
        <v>3626</v>
      </c>
      <c r="K5431" s="112" t="s">
        <v>4469</v>
      </c>
      <c r="L5431" s="116">
        <v>-42580</v>
      </c>
    </row>
    <row r="5432" spans="1:12" hidden="1" outlineLevel="1" collapsed="1" x14ac:dyDescent="0.35">
      <c r="A5432" s="112" t="s">
        <v>3616</v>
      </c>
      <c r="B5432" s="112" t="s">
        <v>919</v>
      </c>
      <c r="C5432" s="112" t="s">
        <v>679</v>
      </c>
      <c r="D5432" s="113">
        <v>10348411</v>
      </c>
      <c r="E5432" s="115">
        <v>43943</v>
      </c>
      <c r="F5432" s="114">
        <v>202101</v>
      </c>
      <c r="G5432" s="112" t="s">
        <v>1091</v>
      </c>
      <c r="H5432" s="112" t="s">
        <v>1015</v>
      </c>
      <c r="I5432" s="112" t="s">
        <v>736</v>
      </c>
      <c r="J5432" s="112" t="s">
        <v>3617</v>
      </c>
      <c r="K5432" s="112" t="s">
        <v>4470</v>
      </c>
      <c r="L5432" s="116">
        <v>3942.1</v>
      </c>
    </row>
    <row r="5433" spans="1:12" hidden="1" outlineLevel="1" collapsed="1" x14ac:dyDescent="0.35">
      <c r="A5433" s="112" t="s">
        <v>3616</v>
      </c>
      <c r="B5433" s="112" t="s">
        <v>919</v>
      </c>
      <c r="C5433" s="112" t="s">
        <v>679</v>
      </c>
      <c r="D5433" s="113">
        <v>10348411</v>
      </c>
      <c r="E5433" s="115">
        <v>43943</v>
      </c>
      <c r="F5433" s="114">
        <v>202101</v>
      </c>
      <c r="G5433" s="112" t="s">
        <v>1091</v>
      </c>
      <c r="H5433" s="112" t="s">
        <v>1015</v>
      </c>
      <c r="I5433" s="112" t="s">
        <v>736</v>
      </c>
      <c r="J5433" s="112" t="s">
        <v>3617</v>
      </c>
      <c r="K5433" s="112" t="s">
        <v>4471</v>
      </c>
      <c r="L5433" s="116">
        <v>4291.3999999999996</v>
      </c>
    </row>
    <row r="5434" spans="1:12" hidden="1" outlineLevel="1" collapsed="1" x14ac:dyDescent="0.35">
      <c r="A5434" s="112" t="s">
        <v>3616</v>
      </c>
      <c r="B5434" s="112" t="s">
        <v>919</v>
      </c>
      <c r="C5434" s="112" t="s">
        <v>679</v>
      </c>
      <c r="D5434" s="113">
        <v>10348411</v>
      </c>
      <c r="E5434" s="115">
        <v>43943</v>
      </c>
      <c r="F5434" s="114">
        <v>202101</v>
      </c>
      <c r="G5434" s="112" t="s">
        <v>1091</v>
      </c>
      <c r="H5434" s="112" t="s">
        <v>1015</v>
      </c>
      <c r="I5434" s="112" t="s">
        <v>736</v>
      </c>
      <c r="J5434" s="112" t="s">
        <v>3617</v>
      </c>
      <c r="K5434" s="112" t="s">
        <v>4472</v>
      </c>
      <c r="L5434" s="116">
        <v>7859.25</v>
      </c>
    </row>
    <row r="5435" spans="1:12" hidden="1" outlineLevel="1" collapsed="1" x14ac:dyDescent="0.35">
      <c r="A5435" s="112" t="s">
        <v>3616</v>
      </c>
      <c r="B5435" s="112" t="s">
        <v>919</v>
      </c>
      <c r="C5435" s="112" t="s">
        <v>679</v>
      </c>
      <c r="D5435" s="113">
        <v>10348411</v>
      </c>
      <c r="E5435" s="115">
        <v>43943</v>
      </c>
      <c r="F5435" s="114">
        <v>202101</v>
      </c>
      <c r="G5435" s="112" t="s">
        <v>1091</v>
      </c>
      <c r="H5435" s="112" t="s">
        <v>1015</v>
      </c>
      <c r="I5435" s="112" t="s">
        <v>736</v>
      </c>
      <c r="J5435" s="112" t="s">
        <v>3617</v>
      </c>
      <c r="K5435" s="112" t="s">
        <v>4473</v>
      </c>
      <c r="L5435" s="116">
        <v>3093.8</v>
      </c>
    </row>
    <row r="5436" spans="1:12" hidden="1" outlineLevel="1" collapsed="1" x14ac:dyDescent="0.35">
      <c r="A5436" s="112" t="s">
        <v>3616</v>
      </c>
      <c r="B5436" s="112" t="s">
        <v>917</v>
      </c>
      <c r="C5436" s="112" t="s">
        <v>695</v>
      </c>
      <c r="D5436" s="113">
        <v>10348400</v>
      </c>
      <c r="E5436" s="115">
        <v>43943</v>
      </c>
      <c r="F5436" s="114">
        <v>202101</v>
      </c>
      <c r="G5436" s="112" t="s">
        <v>1091</v>
      </c>
      <c r="H5436" s="112" t="s">
        <v>1015</v>
      </c>
      <c r="I5436" s="112" t="s">
        <v>2454</v>
      </c>
      <c r="J5436" s="112" t="s">
        <v>3781</v>
      </c>
      <c r="K5436" s="112" t="s">
        <v>4474</v>
      </c>
      <c r="L5436" s="116">
        <v>-26080.75</v>
      </c>
    </row>
    <row r="5437" spans="1:12" hidden="1" outlineLevel="1" collapsed="1" x14ac:dyDescent="0.35">
      <c r="A5437" s="112" t="s">
        <v>3616</v>
      </c>
      <c r="B5437" s="112" t="s">
        <v>919</v>
      </c>
      <c r="C5437" s="112" t="s">
        <v>679</v>
      </c>
      <c r="D5437" s="113">
        <v>10348411</v>
      </c>
      <c r="E5437" s="115">
        <v>43943</v>
      </c>
      <c r="F5437" s="114">
        <v>202101</v>
      </c>
      <c r="G5437" s="112" t="s">
        <v>1091</v>
      </c>
      <c r="H5437" s="112" t="s">
        <v>1015</v>
      </c>
      <c r="I5437" s="112" t="s">
        <v>736</v>
      </c>
      <c r="J5437" s="112" t="s">
        <v>3617</v>
      </c>
      <c r="K5437" s="112" t="s">
        <v>4475</v>
      </c>
      <c r="L5437" s="116">
        <v>2844.3</v>
      </c>
    </row>
    <row r="5438" spans="1:12" hidden="1" outlineLevel="1" collapsed="1" x14ac:dyDescent="0.35">
      <c r="A5438" s="112" t="s">
        <v>3616</v>
      </c>
      <c r="B5438" s="112" t="s">
        <v>919</v>
      </c>
      <c r="C5438" s="112" t="s">
        <v>679</v>
      </c>
      <c r="D5438" s="113">
        <v>10348411</v>
      </c>
      <c r="E5438" s="115">
        <v>43943</v>
      </c>
      <c r="F5438" s="114">
        <v>202101</v>
      </c>
      <c r="G5438" s="112" t="s">
        <v>1091</v>
      </c>
      <c r="H5438" s="112" t="s">
        <v>1015</v>
      </c>
      <c r="I5438" s="112" t="s">
        <v>736</v>
      </c>
      <c r="J5438" s="112" t="s">
        <v>3617</v>
      </c>
      <c r="K5438" s="112" t="s">
        <v>4476</v>
      </c>
      <c r="L5438" s="116">
        <v>1135.23</v>
      </c>
    </row>
    <row r="5439" spans="1:12" hidden="1" outlineLevel="1" collapsed="1" x14ac:dyDescent="0.35">
      <c r="A5439" s="112" t="s">
        <v>3616</v>
      </c>
      <c r="B5439" s="112" t="s">
        <v>921</v>
      </c>
      <c r="C5439" s="112" t="s">
        <v>695</v>
      </c>
      <c r="D5439" s="113">
        <v>10347981</v>
      </c>
      <c r="E5439" s="115">
        <v>43924</v>
      </c>
      <c r="F5439" s="114">
        <v>202101</v>
      </c>
      <c r="G5439" s="112" t="s">
        <v>1091</v>
      </c>
      <c r="H5439" s="112" t="s">
        <v>1015</v>
      </c>
      <c r="I5439" s="112" t="s">
        <v>1264</v>
      </c>
      <c r="J5439" s="112" t="s">
        <v>3620</v>
      </c>
      <c r="K5439" s="112" t="s">
        <v>4477</v>
      </c>
      <c r="L5439" s="116">
        <v>-75</v>
      </c>
    </row>
    <row r="5440" spans="1:12" hidden="1" outlineLevel="1" collapsed="1" x14ac:dyDescent="0.35">
      <c r="A5440" s="112" t="s">
        <v>3616</v>
      </c>
      <c r="B5440" s="112" t="s">
        <v>921</v>
      </c>
      <c r="C5440" s="112" t="s">
        <v>695</v>
      </c>
      <c r="D5440" s="113">
        <v>10348404</v>
      </c>
      <c r="E5440" s="115">
        <v>43943</v>
      </c>
      <c r="F5440" s="114">
        <v>202101</v>
      </c>
      <c r="G5440" s="112" t="s">
        <v>1091</v>
      </c>
      <c r="H5440" s="112" t="s">
        <v>1015</v>
      </c>
      <c r="I5440" s="112" t="s">
        <v>3677</v>
      </c>
      <c r="J5440" s="112" t="s">
        <v>3620</v>
      </c>
      <c r="K5440" s="112" t="s">
        <v>4478</v>
      </c>
      <c r="L5440" s="116">
        <v>700</v>
      </c>
    </row>
    <row r="5441" spans="1:12" hidden="1" outlineLevel="1" collapsed="1" x14ac:dyDescent="0.35">
      <c r="A5441" s="112" t="s">
        <v>3616</v>
      </c>
      <c r="B5441" s="112" t="s">
        <v>921</v>
      </c>
      <c r="C5441" s="112" t="s">
        <v>695</v>
      </c>
      <c r="D5441" s="113">
        <v>10347981</v>
      </c>
      <c r="E5441" s="115">
        <v>43924</v>
      </c>
      <c r="F5441" s="114">
        <v>202101</v>
      </c>
      <c r="G5441" s="112" t="s">
        <v>1091</v>
      </c>
      <c r="H5441" s="112" t="s">
        <v>1015</v>
      </c>
      <c r="I5441" s="112" t="s">
        <v>775</v>
      </c>
      <c r="J5441" s="112" t="s">
        <v>3709</v>
      </c>
      <c r="K5441" s="112" t="s">
        <v>4479</v>
      </c>
      <c r="L5441" s="116">
        <v>-101.6</v>
      </c>
    </row>
    <row r="5442" spans="1:12" hidden="1" outlineLevel="1" collapsed="1" x14ac:dyDescent="0.35">
      <c r="A5442" s="112" t="s">
        <v>3616</v>
      </c>
      <c r="B5442" s="112" t="s">
        <v>919</v>
      </c>
      <c r="C5442" s="112" t="s">
        <v>679</v>
      </c>
      <c r="D5442" s="113">
        <v>10348411</v>
      </c>
      <c r="E5442" s="115">
        <v>43943</v>
      </c>
      <c r="F5442" s="114">
        <v>202101</v>
      </c>
      <c r="G5442" s="112" t="s">
        <v>1091</v>
      </c>
      <c r="H5442" s="112" t="s">
        <v>1015</v>
      </c>
      <c r="I5442" s="112" t="s">
        <v>736</v>
      </c>
      <c r="J5442" s="112" t="s">
        <v>3624</v>
      </c>
      <c r="K5442" s="112" t="s">
        <v>4480</v>
      </c>
      <c r="L5442" s="116">
        <v>41472</v>
      </c>
    </row>
    <row r="5443" spans="1:12" hidden="1" outlineLevel="1" collapsed="1" x14ac:dyDescent="0.35">
      <c r="A5443" s="112" t="s">
        <v>3616</v>
      </c>
      <c r="B5443" s="112" t="s">
        <v>921</v>
      </c>
      <c r="C5443" s="112" t="s">
        <v>1099</v>
      </c>
      <c r="D5443" s="113">
        <v>1069475</v>
      </c>
      <c r="E5443" s="115">
        <v>43930</v>
      </c>
      <c r="F5443" s="114">
        <v>202101</v>
      </c>
      <c r="G5443" s="112" t="s">
        <v>1091</v>
      </c>
      <c r="H5443" s="112" t="s">
        <v>1015</v>
      </c>
      <c r="I5443" s="112" t="s">
        <v>745</v>
      </c>
      <c r="J5443" s="112" t="s">
        <v>3620</v>
      </c>
      <c r="K5443" s="112" t="s">
        <v>4481</v>
      </c>
      <c r="L5443" s="116">
        <v>4800</v>
      </c>
    </row>
    <row r="5444" spans="1:12" hidden="1" outlineLevel="1" collapsed="1" x14ac:dyDescent="0.35">
      <c r="A5444" s="112" t="s">
        <v>3616</v>
      </c>
      <c r="B5444" s="112" t="s">
        <v>919</v>
      </c>
      <c r="C5444" s="112" t="s">
        <v>679</v>
      </c>
      <c r="D5444" s="113">
        <v>10348411</v>
      </c>
      <c r="E5444" s="115">
        <v>43943</v>
      </c>
      <c r="F5444" s="114">
        <v>202101</v>
      </c>
      <c r="G5444" s="112" t="s">
        <v>1091</v>
      </c>
      <c r="H5444" s="112" t="s">
        <v>1015</v>
      </c>
      <c r="I5444" s="112" t="s">
        <v>736</v>
      </c>
      <c r="J5444" s="112" t="s">
        <v>3632</v>
      </c>
      <c r="K5444" s="112" t="s">
        <v>4482</v>
      </c>
      <c r="L5444" s="116">
        <v>9481</v>
      </c>
    </row>
    <row r="5445" spans="1:12" hidden="1" outlineLevel="1" collapsed="1" x14ac:dyDescent="0.35">
      <c r="A5445" s="112" t="s">
        <v>3616</v>
      </c>
      <c r="B5445" s="112" t="s">
        <v>920</v>
      </c>
      <c r="C5445" s="112" t="s">
        <v>695</v>
      </c>
      <c r="D5445" s="113">
        <v>10347981</v>
      </c>
      <c r="E5445" s="115">
        <v>43924</v>
      </c>
      <c r="F5445" s="114">
        <v>202101</v>
      </c>
      <c r="G5445" s="112" t="s">
        <v>1091</v>
      </c>
      <c r="H5445" s="112" t="s">
        <v>1015</v>
      </c>
      <c r="I5445" s="112" t="s">
        <v>761</v>
      </c>
      <c r="J5445" s="112" t="s">
        <v>3755</v>
      </c>
      <c r="K5445" s="112" t="s">
        <v>4483</v>
      </c>
      <c r="L5445" s="116">
        <v>-157.5</v>
      </c>
    </row>
    <row r="5446" spans="1:12" hidden="1" outlineLevel="1" collapsed="1" x14ac:dyDescent="0.35">
      <c r="A5446" s="112" t="s">
        <v>3616</v>
      </c>
      <c r="B5446" s="112" t="s">
        <v>922</v>
      </c>
      <c r="C5446" s="112" t="s">
        <v>695</v>
      </c>
      <c r="D5446" s="113">
        <v>10347981</v>
      </c>
      <c r="E5446" s="115">
        <v>43924</v>
      </c>
      <c r="F5446" s="114">
        <v>202101</v>
      </c>
      <c r="G5446" s="112" t="s">
        <v>1091</v>
      </c>
      <c r="H5446" s="112" t="s">
        <v>1015</v>
      </c>
      <c r="I5446" s="112" t="s">
        <v>3742</v>
      </c>
      <c r="J5446" s="112" t="s">
        <v>3784</v>
      </c>
      <c r="K5446" s="112" t="s">
        <v>4011</v>
      </c>
      <c r="L5446" s="116">
        <v>-32.44</v>
      </c>
    </row>
    <row r="5447" spans="1:12" hidden="1" outlineLevel="1" collapsed="1" x14ac:dyDescent="0.35">
      <c r="A5447" s="112" t="s">
        <v>3616</v>
      </c>
      <c r="B5447" s="112" t="s">
        <v>923</v>
      </c>
      <c r="C5447" s="112" t="s">
        <v>1095</v>
      </c>
      <c r="D5447" s="113">
        <v>10348451</v>
      </c>
      <c r="E5447" s="115">
        <v>43949</v>
      </c>
      <c r="F5447" s="114">
        <v>202101</v>
      </c>
      <c r="G5447" s="112" t="s">
        <v>1091</v>
      </c>
      <c r="H5447" s="112" t="s">
        <v>1015</v>
      </c>
      <c r="I5447" s="112" t="s">
        <v>1101</v>
      </c>
      <c r="J5447" s="112" t="s">
        <v>3750</v>
      </c>
      <c r="K5447" s="112" t="s">
        <v>1098</v>
      </c>
      <c r="L5447" s="116">
        <v>-149.18</v>
      </c>
    </row>
    <row r="5448" spans="1:12" hidden="1" outlineLevel="1" collapsed="1" x14ac:dyDescent="0.35">
      <c r="A5448" s="112" t="s">
        <v>3616</v>
      </c>
      <c r="B5448" s="112" t="s">
        <v>916</v>
      </c>
      <c r="C5448" s="112" t="s">
        <v>695</v>
      </c>
      <c r="D5448" s="113">
        <v>10348043</v>
      </c>
      <c r="E5448" s="115">
        <v>43928</v>
      </c>
      <c r="F5448" s="114">
        <v>202101</v>
      </c>
      <c r="G5448" s="112" t="s">
        <v>1091</v>
      </c>
      <c r="H5448" s="112" t="s">
        <v>1015</v>
      </c>
      <c r="I5448" s="112" t="s">
        <v>4468</v>
      </c>
      <c r="J5448" s="112" t="s">
        <v>3626</v>
      </c>
      <c r="K5448" s="112" t="s">
        <v>3716</v>
      </c>
      <c r="L5448" s="116">
        <v>-300</v>
      </c>
    </row>
    <row r="5449" spans="1:12" hidden="1" outlineLevel="1" collapsed="1" x14ac:dyDescent="0.35">
      <c r="A5449" s="112" t="s">
        <v>3616</v>
      </c>
      <c r="B5449" s="112" t="s">
        <v>916</v>
      </c>
      <c r="C5449" s="112" t="s">
        <v>695</v>
      </c>
      <c r="D5449" s="113">
        <v>10348043</v>
      </c>
      <c r="E5449" s="115">
        <v>43928</v>
      </c>
      <c r="F5449" s="114">
        <v>202101</v>
      </c>
      <c r="G5449" s="112" t="s">
        <v>1091</v>
      </c>
      <c r="H5449" s="112" t="s">
        <v>1015</v>
      </c>
      <c r="I5449" s="112" t="s">
        <v>4468</v>
      </c>
      <c r="J5449" s="112" t="s">
        <v>3626</v>
      </c>
      <c r="K5449" s="112" t="s">
        <v>3718</v>
      </c>
      <c r="L5449" s="116">
        <v>-350</v>
      </c>
    </row>
    <row r="5450" spans="1:12" hidden="1" outlineLevel="1" collapsed="1" x14ac:dyDescent="0.35">
      <c r="A5450" s="112" t="s">
        <v>3616</v>
      </c>
      <c r="B5450" s="112" t="s">
        <v>919</v>
      </c>
      <c r="C5450" s="112" t="s">
        <v>679</v>
      </c>
      <c r="D5450" s="113">
        <v>10348411</v>
      </c>
      <c r="E5450" s="115">
        <v>43943</v>
      </c>
      <c r="F5450" s="114">
        <v>202101</v>
      </c>
      <c r="G5450" s="112" t="s">
        <v>1091</v>
      </c>
      <c r="H5450" s="112" t="s">
        <v>1015</v>
      </c>
      <c r="I5450" s="112" t="s">
        <v>736</v>
      </c>
      <c r="J5450" s="112" t="s">
        <v>3617</v>
      </c>
      <c r="K5450" s="112" t="s">
        <v>4484</v>
      </c>
      <c r="L5450" s="116">
        <v>1172.6500000000001</v>
      </c>
    </row>
    <row r="5451" spans="1:12" hidden="1" outlineLevel="1" collapsed="1" x14ac:dyDescent="0.35">
      <c r="A5451" s="112" t="s">
        <v>3616</v>
      </c>
      <c r="B5451" s="112" t="s">
        <v>922</v>
      </c>
      <c r="C5451" s="112" t="s">
        <v>695</v>
      </c>
      <c r="D5451" s="113">
        <v>10347981</v>
      </c>
      <c r="E5451" s="115">
        <v>43924</v>
      </c>
      <c r="F5451" s="114">
        <v>202101</v>
      </c>
      <c r="G5451" s="112" t="s">
        <v>1091</v>
      </c>
      <c r="H5451" s="112" t="s">
        <v>1015</v>
      </c>
      <c r="I5451" s="112" t="s">
        <v>3790</v>
      </c>
      <c r="J5451" s="112" t="s">
        <v>3784</v>
      </c>
      <c r="K5451" s="112" t="s">
        <v>4485</v>
      </c>
      <c r="L5451" s="116">
        <v>-56</v>
      </c>
    </row>
    <row r="5452" spans="1:12" hidden="1" outlineLevel="1" collapsed="1" x14ac:dyDescent="0.35">
      <c r="A5452" s="112" t="s">
        <v>3616</v>
      </c>
      <c r="B5452" s="112" t="s">
        <v>921</v>
      </c>
      <c r="C5452" s="112" t="s">
        <v>695</v>
      </c>
      <c r="D5452" s="113">
        <v>10347981</v>
      </c>
      <c r="E5452" s="115">
        <v>43924</v>
      </c>
      <c r="F5452" s="114">
        <v>202101</v>
      </c>
      <c r="G5452" s="112" t="s">
        <v>1091</v>
      </c>
      <c r="H5452" s="112" t="s">
        <v>1015</v>
      </c>
      <c r="I5452" s="112" t="s">
        <v>1104</v>
      </c>
      <c r="J5452" s="112" t="s">
        <v>3620</v>
      </c>
      <c r="K5452" s="112" t="s">
        <v>4486</v>
      </c>
      <c r="L5452" s="116">
        <v>-75</v>
      </c>
    </row>
    <row r="5453" spans="1:12" hidden="1" outlineLevel="1" collapsed="1" x14ac:dyDescent="0.35">
      <c r="A5453" s="112" t="s">
        <v>3616</v>
      </c>
      <c r="B5453" s="112" t="s">
        <v>919</v>
      </c>
      <c r="C5453" s="112" t="s">
        <v>695</v>
      </c>
      <c r="D5453" s="113">
        <v>10347981</v>
      </c>
      <c r="E5453" s="115">
        <v>43924</v>
      </c>
      <c r="F5453" s="114">
        <v>202101</v>
      </c>
      <c r="G5453" s="112" t="s">
        <v>1091</v>
      </c>
      <c r="H5453" s="112" t="s">
        <v>1015</v>
      </c>
      <c r="I5453" s="112" t="s">
        <v>1643</v>
      </c>
      <c r="J5453" s="112" t="s">
        <v>3628</v>
      </c>
      <c r="K5453" s="112" t="s">
        <v>4487</v>
      </c>
      <c r="L5453" s="116">
        <v>-211.06</v>
      </c>
    </row>
    <row r="5454" spans="1:12" hidden="1" outlineLevel="1" collapsed="1" x14ac:dyDescent="0.35">
      <c r="A5454" s="112" t="s">
        <v>3616</v>
      </c>
      <c r="B5454" s="112" t="s">
        <v>920</v>
      </c>
      <c r="C5454" s="112" t="s">
        <v>695</v>
      </c>
      <c r="D5454" s="113">
        <v>10347981</v>
      </c>
      <c r="E5454" s="115">
        <v>43924</v>
      </c>
      <c r="F5454" s="114">
        <v>202101</v>
      </c>
      <c r="G5454" s="112" t="s">
        <v>1091</v>
      </c>
      <c r="H5454" s="112" t="s">
        <v>1015</v>
      </c>
      <c r="I5454" s="112" t="s">
        <v>1399</v>
      </c>
      <c r="J5454" s="112" t="s">
        <v>3755</v>
      </c>
      <c r="K5454" s="112" t="s">
        <v>4488</v>
      </c>
      <c r="L5454" s="116">
        <v>-24.16</v>
      </c>
    </row>
    <row r="5455" spans="1:12" hidden="1" outlineLevel="1" collapsed="1" x14ac:dyDescent="0.35">
      <c r="A5455" s="112" t="s">
        <v>3616</v>
      </c>
      <c r="B5455" s="112" t="s">
        <v>922</v>
      </c>
      <c r="C5455" s="112" t="s">
        <v>695</v>
      </c>
      <c r="D5455" s="113">
        <v>10347981</v>
      </c>
      <c r="E5455" s="115">
        <v>43924</v>
      </c>
      <c r="F5455" s="114">
        <v>202101</v>
      </c>
      <c r="G5455" s="112" t="s">
        <v>1091</v>
      </c>
      <c r="H5455" s="112" t="s">
        <v>1015</v>
      </c>
      <c r="I5455" s="112" t="s">
        <v>761</v>
      </c>
      <c r="J5455" s="112" t="s">
        <v>3861</v>
      </c>
      <c r="K5455" s="112" t="s">
        <v>4422</v>
      </c>
      <c r="L5455" s="116">
        <v>-100</v>
      </c>
    </row>
    <row r="5456" spans="1:12" hidden="1" outlineLevel="1" collapsed="1" x14ac:dyDescent="0.35">
      <c r="A5456" s="112" t="s">
        <v>3616</v>
      </c>
      <c r="B5456" s="112" t="s">
        <v>923</v>
      </c>
      <c r="C5456" s="112" t="s">
        <v>695</v>
      </c>
      <c r="D5456" s="113">
        <v>10347981</v>
      </c>
      <c r="E5456" s="115">
        <v>43924</v>
      </c>
      <c r="F5456" s="114">
        <v>202101</v>
      </c>
      <c r="G5456" s="112" t="s">
        <v>1091</v>
      </c>
      <c r="H5456" s="112" t="s">
        <v>1015</v>
      </c>
      <c r="I5456" s="112" t="s">
        <v>761</v>
      </c>
      <c r="J5456" s="112" t="s">
        <v>3750</v>
      </c>
      <c r="K5456" s="112" t="s">
        <v>4489</v>
      </c>
      <c r="L5456" s="116">
        <v>-30</v>
      </c>
    </row>
    <row r="5457" spans="1:12" hidden="1" outlineLevel="1" collapsed="1" x14ac:dyDescent="0.35">
      <c r="A5457" s="112" t="s">
        <v>3616</v>
      </c>
      <c r="B5457" s="112" t="s">
        <v>922</v>
      </c>
      <c r="C5457" s="112" t="s">
        <v>695</v>
      </c>
      <c r="D5457" s="113">
        <v>10347981</v>
      </c>
      <c r="E5457" s="115">
        <v>43924</v>
      </c>
      <c r="F5457" s="114">
        <v>202101</v>
      </c>
      <c r="G5457" s="112" t="s">
        <v>1091</v>
      </c>
      <c r="H5457" s="112" t="s">
        <v>1015</v>
      </c>
      <c r="I5457" s="112" t="s">
        <v>761</v>
      </c>
      <c r="J5457" s="112" t="s">
        <v>3784</v>
      </c>
      <c r="K5457" s="112" t="s">
        <v>4490</v>
      </c>
      <c r="L5457" s="116">
        <v>-950</v>
      </c>
    </row>
    <row r="5458" spans="1:12" hidden="1" outlineLevel="1" collapsed="1" x14ac:dyDescent="0.35">
      <c r="A5458" s="112" t="s">
        <v>3616</v>
      </c>
      <c r="B5458" s="112" t="s">
        <v>920</v>
      </c>
      <c r="C5458" s="112" t="s">
        <v>695</v>
      </c>
      <c r="D5458" s="113">
        <v>10347981</v>
      </c>
      <c r="E5458" s="115">
        <v>43924</v>
      </c>
      <c r="F5458" s="114">
        <v>202101</v>
      </c>
      <c r="G5458" s="112" t="s">
        <v>1091</v>
      </c>
      <c r="H5458" s="112" t="s">
        <v>1015</v>
      </c>
      <c r="I5458" s="112" t="s">
        <v>775</v>
      </c>
      <c r="J5458" s="112" t="s">
        <v>3755</v>
      </c>
      <c r="K5458" s="112" t="s">
        <v>4491</v>
      </c>
      <c r="L5458" s="116">
        <v>-140</v>
      </c>
    </row>
    <row r="5459" spans="1:12" hidden="1" outlineLevel="1" collapsed="1" x14ac:dyDescent="0.35">
      <c r="A5459" s="112" t="s">
        <v>3616</v>
      </c>
      <c r="B5459" s="112" t="s">
        <v>919</v>
      </c>
      <c r="C5459" s="112" t="s">
        <v>695</v>
      </c>
      <c r="D5459" s="113">
        <v>10347981</v>
      </c>
      <c r="E5459" s="115">
        <v>43924</v>
      </c>
      <c r="F5459" s="114">
        <v>202101</v>
      </c>
      <c r="G5459" s="112" t="s">
        <v>1091</v>
      </c>
      <c r="H5459" s="112" t="s">
        <v>1015</v>
      </c>
      <c r="I5459" s="112" t="s">
        <v>1246</v>
      </c>
      <c r="J5459" s="112" t="s">
        <v>3617</v>
      </c>
      <c r="K5459" s="112" t="s">
        <v>4492</v>
      </c>
      <c r="L5459" s="116">
        <v>-450</v>
      </c>
    </row>
    <row r="5460" spans="1:12" hidden="1" outlineLevel="1" collapsed="1" x14ac:dyDescent="0.35">
      <c r="A5460" s="112" t="s">
        <v>3616</v>
      </c>
      <c r="B5460" s="112" t="s">
        <v>923</v>
      </c>
      <c r="C5460" s="112" t="s">
        <v>695</v>
      </c>
      <c r="D5460" s="113">
        <v>10347981</v>
      </c>
      <c r="E5460" s="115">
        <v>43924</v>
      </c>
      <c r="F5460" s="114">
        <v>202101</v>
      </c>
      <c r="G5460" s="112" t="s">
        <v>1091</v>
      </c>
      <c r="H5460" s="112" t="s">
        <v>1015</v>
      </c>
      <c r="I5460" s="112" t="s">
        <v>761</v>
      </c>
      <c r="J5460" s="112" t="s">
        <v>3750</v>
      </c>
      <c r="K5460" s="112" t="s">
        <v>4493</v>
      </c>
      <c r="L5460" s="116">
        <v>-78</v>
      </c>
    </row>
    <row r="5461" spans="1:12" hidden="1" outlineLevel="1" collapsed="1" x14ac:dyDescent="0.35">
      <c r="A5461" s="112" t="s">
        <v>3616</v>
      </c>
      <c r="B5461" s="112" t="s">
        <v>919</v>
      </c>
      <c r="C5461" s="112" t="s">
        <v>679</v>
      </c>
      <c r="D5461" s="113">
        <v>10348411</v>
      </c>
      <c r="E5461" s="115">
        <v>43943</v>
      </c>
      <c r="F5461" s="114">
        <v>202101</v>
      </c>
      <c r="G5461" s="112" t="s">
        <v>1091</v>
      </c>
      <c r="H5461" s="112" t="s">
        <v>1015</v>
      </c>
      <c r="I5461" s="112" t="s">
        <v>736</v>
      </c>
      <c r="J5461" s="112" t="s">
        <v>3628</v>
      </c>
      <c r="K5461" s="112" t="s">
        <v>4494</v>
      </c>
      <c r="L5461" s="116">
        <v>1766.4</v>
      </c>
    </row>
    <row r="5462" spans="1:12" hidden="1" outlineLevel="1" collapsed="1" x14ac:dyDescent="0.35">
      <c r="A5462" s="112" t="s">
        <v>3616</v>
      </c>
      <c r="B5462" s="112" t="s">
        <v>919</v>
      </c>
      <c r="C5462" s="112" t="s">
        <v>679</v>
      </c>
      <c r="D5462" s="113">
        <v>10348411</v>
      </c>
      <c r="E5462" s="115">
        <v>43943</v>
      </c>
      <c r="F5462" s="114">
        <v>202101</v>
      </c>
      <c r="G5462" s="112" t="s">
        <v>1091</v>
      </c>
      <c r="H5462" s="112" t="s">
        <v>1015</v>
      </c>
      <c r="I5462" s="112" t="s">
        <v>736</v>
      </c>
      <c r="J5462" s="112" t="s">
        <v>3628</v>
      </c>
      <c r="K5462" s="112" t="s">
        <v>4495</v>
      </c>
      <c r="L5462" s="116">
        <v>5239.5</v>
      </c>
    </row>
    <row r="5463" spans="1:12" hidden="1" outlineLevel="1" collapsed="1" x14ac:dyDescent="0.35">
      <c r="A5463" s="112" t="s">
        <v>3616</v>
      </c>
      <c r="B5463" s="112" t="s">
        <v>919</v>
      </c>
      <c r="C5463" s="112" t="s">
        <v>695</v>
      </c>
      <c r="D5463" s="113">
        <v>10347981</v>
      </c>
      <c r="E5463" s="115">
        <v>43924</v>
      </c>
      <c r="F5463" s="114">
        <v>202101</v>
      </c>
      <c r="G5463" s="112" t="s">
        <v>1091</v>
      </c>
      <c r="H5463" s="112" t="s">
        <v>1015</v>
      </c>
      <c r="I5463" s="112" t="s">
        <v>1643</v>
      </c>
      <c r="J5463" s="112" t="s">
        <v>3617</v>
      </c>
      <c r="K5463" s="112" t="s">
        <v>4496</v>
      </c>
      <c r="L5463" s="116">
        <v>-1092.8800000000001</v>
      </c>
    </row>
    <row r="5464" spans="1:12" hidden="1" outlineLevel="1" collapsed="1" x14ac:dyDescent="0.35">
      <c r="A5464" s="112" t="s">
        <v>3616</v>
      </c>
      <c r="B5464" s="112" t="s">
        <v>921</v>
      </c>
      <c r="C5464" s="112" t="s">
        <v>695</v>
      </c>
      <c r="D5464" s="113">
        <v>10347981</v>
      </c>
      <c r="E5464" s="115">
        <v>43924</v>
      </c>
      <c r="F5464" s="114">
        <v>202101</v>
      </c>
      <c r="G5464" s="112" t="s">
        <v>1091</v>
      </c>
      <c r="H5464" s="112" t="s">
        <v>1015</v>
      </c>
      <c r="I5464" s="112" t="s">
        <v>1264</v>
      </c>
      <c r="J5464" s="112" t="s">
        <v>3620</v>
      </c>
      <c r="K5464" s="112" t="s">
        <v>4497</v>
      </c>
      <c r="L5464" s="116">
        <v>-84</v>
      </c>
    </row>
    <row r="5465" spans="1:12" hidden="1" outlineLevel="1" collapsed="1" x14ac:dyDescent="0.35">
      <c r="A5465" s="112" t="s">
        <v>3616</v>
      </c>
      <c r="B5465" s="112" t="s">
        <v>922</v>
      </c>
      <c r="C5465" s="112" t="s">
        <v>695</v>
      </c>
      <c r="D5465" s="113">
        <v>10347981</v>
      </c>
      <c r="E5465" s="115">
        <v>43924</v>
      </c>
      <c r="F5465" s="114">
        <v>202101</v>
      </c>
      <c r="G5465" s="112" t="s">
        <v>1091</v>
      </c>
      <c r="H5465" s="112" t="s">
        <v>1015</v>
      </c>
      <c r="I5465" s="112" t="s">
        <v>761</v>
      </c>
      <c r="J5465" s="112" t="s">
        <v>3861</v>
      </c>
      <c r="K5465" s="112" t="s">
        <v>3990</v>
      </c>
      <c r="L5465" s="116">
        <v>-50</v>
      </c>
    </row>
    <row r="5466" spans="1:12" hidden="1" outlineLevel="1" collapsed="1" x14ac:dyDescent="0.35">
      <c r="A5466" s="112" t="s">
        <v>3616</v>
      </c>
      <c r="B5466" s="112" t="s">
        <v>923</v>
      </c>
      <c r="C5466" s="112" t="s">
        <v>695</v>
      </c>
      <c r="D5466" s="113">
        <v>10347981</v>
      </c>
      <c r="E5466" s="115">
        <v>43924</v>
      </c>
      <c r="F5466" s="114">
        <v>202101</v>
      </c>
      <c r="G5466" s="112" t="s">
        <v>1091</v>
      </c>
      <c r="H5466" s="112" t="s">
        <v>1015</v>
      </c>
      <c r="I5466" s="112" t="s">
        <v>1164</v>
      </c>
      <c r="J5466" s="112" t="s">
        <v>3750</v>
      </c>
      <c r="K5466" s="112" t="s">
        <v>4498</v>
      </c>
      <c r="L5466" s="116">
        <v>-19</v>
      </c>
    </row>
    <row r="5467" spans="1:12" hidden="1" outlineLevel="1" collapsed="1" x14ac:dyDescent="0.35">
      <c r="A5467" s="112" t="s">
        <v>3616</v>
      </c>
      <c r="B5467" s="112" t="s">
        <v>922</v>
      </c>
      <c r="C5467" s="112" t="s">
        <v>695</v>
      </c>
      <c r="D5467" s="113">
        <v>10347981</v>
      </c>
      <c r="E5467" s="115">
        <v>43924</v>
      </c>
      <c r="F5467" s="114">
        <v>202101</v>
      </c>
      <c r="G5467" s="112" t="s">
        <v>1091</v>
      </c>
      <c r="H5467" s="112" t="s">
        <v>1015</v>
      </c>
      <c r="I5467" s="112" t="s">
        <v>761</v>
      </c>
      <c r="J5467" s="112" t="s">
        <v>3861</v>
      </c>
      <c r="K5467" s="112" t="s">
        <v>4499</v>
      </c>
      <c r="L5467" s="116">
        <v>-12</v>
      </c>
    </row>
    <row r="5468" spans="1:12" hidden="1" outlineLevel="1" collapsed="1" x14ac:dyDescent="0.35">
      <c r="A5468" s="112" t="s">
        <v>3616</v>
      </c>
      <c r="B5468" s="112" t="s">
        <v>923</v>
      </c>
      <c r="C5468" s="112" t="s">
        <v>695</v>
      </c>
      <c r="D5468" s="113">
        <v>10347981</v>
      </c>
      <c r="E5468" s="115">
        <v>43924</v>
      </c>
      <c r="F5468" s="114">
        <v>202101</v>
      </c>
      <c r="G5468" s="112" t="s">
        <v>1091</v>
      </c>
      <c r="H5468" s="112" t="s">
        <v>1015</v>
      </c>
      <c r="I5468" s="112" t="s">
        <v>761</v>
      </c>
      <c r="J5468" s="112" t="s">
        <v>3750</v>
      </c>
      <c r="K5468" s="112" t="s">
        <v>4500</v>
      </c>
      <c r="L5468" s="116">
        <v>-48</v>
      </c>
    </row>
    <row r="5469" spans="1:12" hidden="1" outlineLevel="1" collapsed="1" x14ac:dyDescent="0.35">
      <c r="A5469" s="112" t="s">
        <v>3616</v>
      </c>
      <c r="B5469" s="112" t="s">
        <v>921</v>
      </c>
      <c r="C5469" s="112" t="s">
        <v>695</v>
      </c>
      <c r="D5469" s="113">
        <v>10347981</v>
      </c>
      <c r="E5469" s="115">
        <v>43924</v>
      </c>
      <c r="F5469" s="114">
        <v>202101</v>
      </c>
      <c r="G5469" s="112" t="s">
        <v>1091</v>
      </c>
      <c r="H5469" s="112" t="s">
        <v>1015</v>
      </c>
      <c r="I5469" s="112" t="s">
        <v>1137</v>
      </c>
      <c r="J5469" s="112" t="s">
        <v>3620</v>
      </c>
      <c r="K5469" s="112" t="s">
        <v>4412</v>
      </c>
      <c r="L5469" s="116">
        <v>-10</v>
      </c>
    </row>
    <row r="5470" spans="1:12" hidden="1" outlineLevel="1" collapsed="1" x14ac:dyDescent="0.35">
      <c r="A5470" s="112" t="s">
        <v>3616</v>
      </c>
      <c r="B5470" s="112" t="s">
        <v>921</v>
      </c>
      <c r="C5470" s="112" t="s">
        <v>679</v>
      </c>
      <c r="D5470" s="113">
        <v>10348411</v>
      </c>
      <c r="E5470" s="115">
        <v>43943</v>
      </c>
      <c r="F5470" s="114">
        <v>202101</v>
      </c>
      <c r="G5470" s="112" t="s">
        <v>1091</v>
      </c>
      <c r="H5470" s="112" t="s">
        <v>1015</v>
      </c>
      <c r="I5470" s="112" t="s">
        <v>736</v>
      </c>
      <c r="J5470" s="112" t="s">
        <v>3651</v>
      </c>
      <c r="K5470" s="112" t="s">
        <v>4501</v>
      </c>
      <c r="L5470" s="116">
        <v>148480</v>
      </c>
    </row>
    <row r="5471" spans="1:12" hidden="1" outlineLevel="1" collapsed="1" x14ac:dyDescent="0.35">
      <c r="A5471" s="112" t="s">
        <v>3616</v>
      </c>
      <c r="B5471" s="112" t="s">
        <v>916</v>
      </c>
      <c r="C5471" s="112" t="s">
        <v>695</v>
      </c>
      <c r="D5471" s="113">
        <v>10347981</v>
      </c>
      <c r="E5471" s="115">
        <v>43924</v>
      </c>
      <c r="F5471" s="114">
        <v>202101</v>
      </c>
      <c r="G5471" s="112" t="s">
        <v>1091</v>
      </c>
      <c r="H5471" s="112" t="s">
        <v>1015</v>
      </c>
      <c r="I5471" s="112" t="s">
        <v>3262</v>
      </c>
      <c r="J5471" s="112" t="s">
        <v>3771</v>
      </c>
      <c r="K5471" s="112" t="s">
        <v>4502</v>
      </c>
      <c r="L5471" s="116">
        <v>-384</v>
      </c>
    </row>
    <row r="5472" spans="1:12" hidden="1" outlineLevel="1" collapsed="1" x14ac:dyDescent="0.35">
      <c r="A5472" s="112" t="s">
        <v>3616</v>
      </c>
      <c r="B5472" s="112" t="s">
        <v>921</v>
      </c>
      <c r="C5472" s="112" t="s">
        <v>695</v>
      </c>
      <c r="D5472" s="113">
        <v>10347981</v>
      </c>
      <c r="E5472" s="115">
        <v>43924</v>
      </c>
      <c r="F5472" s="114">
        <v>202101</v>
      </c>
      <c r="G5472" s="112" t="s">
        <v>1091</v>
      </c>
      <c r="H5472" s="112" t="s">
        <v>1015</v>
      </c>
      <c r="I5472" s="112" t="s">
        <v>761</v>
      </c>
      <c r="J5472" s="112" t="s">
        <v>3620</v>
      </c>
      <c r="K5472" s="112" t="s">
        <v>4503</v>
      </c>
      <c r="L5472" s="116">
        <v>-310.13</v>
      </c>
    </row>
    <row r="5473" spans="1:12" hidden="1" outlineLevel="1" collapsed="1" x14ac:dyDescent="0.35">
      <c r="A5473" s="112" t="s">
        <v>3616</v>
      </c>
      <c r="B5473" s="112" t="s">
        <v>918</v>
      </c>
      <c r="C5473" s="112" t="s">
        <v>695</v>
      </c>
      <c r="D5473" s="113">
        <v>10348155</v>
      </c>
      <c r="E5473" s="115">
        <v>43929</v>
      </c>
      <c r="F5473" s="114">
        <v>202101</v>
      </c>
      <c r="G5473" s="112" t="s">
        <v>1091</v>
      </c>
      <c r="H5473" s="112" t="s">
        <v>1015</v>
      </c>
      <c r="I5473" s="112" t="s">
        <v>745</v>
      </c>
      <c r="J5473" s="112" t="s">
        <v>3649</v>
      </c>
      <c r="K5473" s="112" t="s">
        <v>4504</v>
      </c>
      <c r="L5473" s="116">
        <v>4000</v>
      </c>
    </row>
    <row r="5474" spans="1:12" hidden="1" outlineLevel="1" collapsed="1" x14ac:dyDescent="0.35">
      <c r="A5474" s="112" t="s">
        <v>3616</v>
      </c>
      <c r="B5474" s="112" t="s">
        <v>919</v>
      </c>
      <c r="C5474" s="112" t="s">
        <v>1106</v>
      </c>
      <c r="D5474" s="113">
        <v>3096658</v>
      </c>
      <c r="E5474" s="115">
        <v>43921</v>
      </c>
      <c r="F5474" s="114">
        <v>202101</v>
      </c>
      <c r="G5474" s="112" t="s">
        <v>1091</v>
      </c>
      <c r="H5474" s="112" t="s">
        <v>1015</v>
      </c>
      <c r="I5474" s="112" t="s">
        <v>1643</v>
      </c>
      <c r="J5474" s="112" t="s">
        <v>3628</v>
      </c>
      <c r="K5474" s="112" t="s">
        <v>4505</v>
      </c>
      <c r="L5474" s="116">
        <v>150</v>
      </c>
    </row>
    <row r="5475" spans="1:12" hidden="1" outlineLevel="1" collapsed="1" x14ac:dyDescent="0.35">
      <c r="A5475" s="112" t="s">
        <v>3616</v>
      </c>
      <c r="B5475" s="112" t="s">
        <v>921</v>
      </c>
      <c r="C5475" s="112" t="s">
        <v>1099</v>
      </c>
      <c r="D5475" s="113">
        <v>1069614</v>
      </c>
      <c r="E5475" s="115">
        <v>43941</v>
      </c>
      <c r="F5475" s="114">
        <v>202101</v>
      </c>
      <c r="G5475" s="112" t="s">
        <v>1091</v>
      </c>
      <c r="H5475" s="112" t="s">
        <v>1015</v>
      </c>
      <c r="I5475" s="112" t="s">
        <v>3619</v>
      </c>
      <c r="J5475" s="112" t="s">
        <v>3620</v>
      </c>
      <c r="K5475" s="112" t="s">
        <v>4506</v>
      </c>
      <c r="L5475" s="116">
        <v>138</v>
      </c>
    </row>
    <row r="5476" spans="1:12" hidden="1" outlineLevel="1" collapsed="1" x14ac:dyDescent="0.35">
      <c r="A5476" s="112" t="s">
        <v>3616</v>
      </c>
      <c r="B5476" s="112" t="s">
        <v>922</v>
      </c>
      <c r="C5476" s="112" t="s">
        <v>695</v>
      </c>
      <c r="D5476" s="113">
        <v>10347981</v>
      </c>
      <c r="E5476" s="115">
        <v>43924</v>
      </c>
      <c r="F5476" s="114">
        <v>202101</v>
      </c>
      <c r="G5476" s="112" t="s">
        <v>1091</v>
      </c>
      <c r="H5476" s="112" t="s">
        <v>1015</v>
      </c>
      <c r="I5476" s="112" t="s">
        <v>761</v>
      </c>
      <c r="J5476" s="112" t="s">
        <v>3954</v>
      </c>
      <c r="K5476" s="112" t="s">
        <v>4507</v>
      </c>
      <c r="L5476" s="116">
        <v>-250</v>
      </c>
    </row>
    <row r="5477" spans="1:12" hidden="1" outlineLevel="1" collapsed="1" x14ac:dyDescent="0.35">
      <c r="A5477" s="112" t="s">
        <v>3616</v>
      </c>
      <c r="B5477" s="112" t="s">
        <v>923</v>
      </c>
      <c r="C5477" s="112" t="s">
        <v>1106</v>
      </c>
      <c r="D5477" s="113">
        <v>3096059</v>
      </c>
      <c r="E5477" s="115">
        <v>43921</v>
      </c>
      <c r="F5477" s="114">
        <v>202101</v>
      </c>
      <c r="G5477" s="112" t="s">
        <v>1091</v>
      </c>
      <c r="H5477" s="112" t="s">
        <v>1015</v>
      </c>
      <c r="I5477" s="112" t="s">
        <v>761</v>
      </c>
      <c r="J5477" s="112" t="s">
        <v>3673</v>
      </c>
      <c r="K5477" s="112" t="s">
        <v>4508</v>
      </c>
      <c r="L5477" s="116">
        <v>5000</v>
      </c>
    </row>
    <row r="5478" spans="1:12" hidden="1" outlineLevel="1" collapsed="1" x14ac:dyDescent="0.35">
      <c r="A5478" s="112" t="s">
        <v>3616</v>
      </c>
      <c r="B5478" s="112" t="s">
        <v>919</v>
      </c>
      <c r="C5478" s="112" t="s">
        <v>1150</v>
      </c>
      <c r="D5478" s="113">
        <v>10348594</v>
      </c>
      <c r="E5478" s="115">
        <v>43963</v>
      </c>
      <c r="F5478" s="114">
        <v>202101</v>
      </c>
      <c r="G5478" s="112" t="s">
        <v>1091</v>
      </c>
      <c r="H5478" s="112" t="s">
        <v>1015</v>
      </c>
      <c r="I5478" s="112" t="s">
        <v>1532</v>
      </c>
      <c r="J5478" s="112" t="s">
        <v>3634</v>
      </c>
      <c r="K5478" s="112" t="s">
        <v>1644</v>
      </c>
      <c r="L5478" s="116">
        <v>196.38</v>
      </c>
    </row>
    <row r="5479" spans="1:12" hidden="1" outlineLevel="1" collapsed="1" x14ac:dyDescent="0.35">
      <c r="A5479" s="112" t="s">
        <v>3616</v>
      </c>
      <c r="B5479" s="112" t="s">
        <v>920</v>
      </c>
      <c r="C5479" s="112" t="s">
        <v>695</v>
      </c>
      <c r="D5479" s="113">
        <v>10347981</v>
      </c>
      <c r="E5479" s="115">
        <v>43924</v>
      </c>
      <c r="F5479" s="114">
        <v>202101</v>
      </c>
      <c r="G5479" s="112" t="s">
        <v>1091</v>
      </c>
      <c r="H5479" s="112" t="s">
        <v>1015</v>
      </c>
      <c r="I5479" s="112" t="s">
        <v>1092</v>
      </c>
      <c r="J5479" s="112" t="s">
        <v>3755</v>
      </c>
      <c r="K5479" s="112" t="s">
        <v>1256</v>
      </c>
      <c r="L5479" s="116">
        <v>-51</v>
      </c>
    </row>
    <row r="5480" spans="1:12" hidden="1" outlineLevel="1" collapsed="1" x14ac:dyDescent="0.35">
      <c r="A5480" s="112" t="s">
        <v>3616</v>
      </c>
      <c r="B5480" s="112" t="s">
        <v>921</v>
      </c>
      <c r="C5480" s="112" t="s">
        <v>695</v>
      </c>
      <c r="D5480" s="113">
        <v>10348121</v>
      </c>
      <c r="E5480" s="115">
        <v>43565</v>
      </c>
      <c r="F5480" s="114">
        <v>202101</v>
      </c>
      <c r="G5480" s="112" t="s">
        <v>1091</v>
      </c>
      <c r="H5480" s="112" t="s">
        <v>1015</v>
      </c>
      <c r="I5480" s="112" t="s">
        <v>3619</v>
      </c>
      <c r="J5480" s="112" t="s">
        <v>3620</v>
      </c>
      <c r="K5480" s="112" t="s">
        <v>4509</v>
      </c>
      <c r="L5480" s="116">
        <v>2367.11</v>
      </c>
    </row>
    <row r="5481" spans="1:12" hidden="1" outlineLevel="1" collapsed="1" x14ac:dyDescent="0.35">
      <c r="A5481" s="112" t="s">
        <v>3616</v>
      </c>
      <c r="B5481" s="112" t="s">
        <v>923</v>
      </c>
      <c r="C5481" s="112" t="s">
        <v>695</v>
      </c>
      <c r="D5481" s="113">
        <v>10347981</v>
      </c>
      <c r="E5481" s="115">
        <v>43924</v>
      </c>
      <c r="F5481" s="114">
        <v>202101</v>
      </c>
      <c r="G5481" s="112" t="s">
        <v>1091</v>
      </c>
      <c r="H5481" s="112" t="s">
        <v>1015</v>
      </c>
      <c r="I5481" s="112" t="s">
        <v>1182</v>
      </c>
      <c r="J5481" s="112" t="s">
        <v>3714</v>
      </c>
      <c r="K5481" s="112" t="s">
        <v>4510</v>
      </c>
      <c r="L5481" s="116">
        <v>-60</v>
      </c>
    </row>
    <row r="5482" spans="1:12" hidden="1" outlineLevel="1" collapsed="1" x14ac:dyDescent="0.35">
      <c r="A5482" s="112" t="s">
        <v>3616</v>
      </c>
      <c r="B5482" s="112" t="s">
        <v>920</v>
      </c>
      <c r="C5482" s="112" t="s">
        <v>695</v>
      </c>
      <c r="D5482" s="113">
        <v>10347981</v>
      </c>
      <c r="E5482" s="115">
        <v>43924</v>
      </c>
      <c r="F5482" s="114">
        <v>202101</v>
      </c>
      <c r="G5482" s="112" t="s">
        <v>1091</v>
      </c>
      <c r="H5482" s="112" t="s">
        <v>1015</v>
      </c>
      <c r="I5482" s="112" t="s">
        <v>1182</v>
      </c>
      <c r="J5482" s="112" t="s">
        <v>3755</v>
      </c>
      <c r="K5482" s="112" t="s">
        <v>4511</v>
      </c>
      <c r="L5482" s="116">
        <v>-77.48</v>
      </c>
    </row>
    <row r="5483" spans="1:12" hidden="1" outlineLevel="1" collapsed="1" x14ac:dyDescent="0.35">
      <c r="A5483" s="112" t="s">
        <v>3616</v>
      </c>
      <c r="B5483" s="112" t="s">
        <v>922</v>
      </c>
      <c r="C5483" s="112" t="s">
        <v>695</v>
      </c>
      <c r="D5483" s="113">
        <v>10347981</v>
      </c>
      <c r="E5483" s="115">
        <v>43924</v>
      </c>
      <c r="F5483" s="114">
        <v>202101</v>
      </c>
      <c r="G5483" s="112" t="s">
        <v>1091</v>
      </c>
      <c r="H5483" s="112" t="s">
        <v>1015</v>
      </c>
      <c r="I5483" s="112" t="s">
        <v>761</v>
      </c>
      <c r="J5483" s="112" t="s">
        <v>3766</v>
      </c>
      <c r="K5483" s="112" t="s">
        <v>4512</v>
      </c>
      <c r="L5483" s="116">
        <v>-300</v>
      </c>
    </row>
    <row r="5484" spans="1:12" hidden="1" outlineLevel="1" collapsed="1" x14ac:dyDescent="0.35">
      <c r="A5484" s="112" t="s">
        <v>3616</v>
      </c>
      <c r="B5484" s="112" t="s">
        <v>923</v>
      </c>
      <c r="C5484" s="112" t="s">
        <v>695</v>
      </c>
      <c r="D5484" s="113">
        <v>10347981</v>
      </c>
      <c r="E5484" s="115">
        <v>43924</v>
      </c>
      <c r="F5484" s="114">
        <v>202101</v>
      </c>
      <c r="G5484" s="112" t="s">
        <v>1091</v>
      </c>
      <c r="H5484" s="112" t="s">
        <v>1015</v>
      </c>
      <c r="I5484" s="112" t="s">
        <v>761</v>
      </c>
      <c r="J5484" s="112" t="s">
        <v>3988</v>
      </c>
      <c r="K5484" s="112" t="s">
        <v>4513</v>
      </c>
      <c r="L5484" s="116">
        <v>-25</v>
      </c>
    </row>
    <row r="5485" spans="1:12" hidden="1" outlineLevel="1" collapsed="1" x14ac:dyDescent="0.35">
      <c r="A5485" s="112" t="s">
        <v>3616</v>
      </c>
      <c r="B5485" s="112" t="s">
        <v>923</v>
      </c>
      <c r="C5485" s="112" t="s">
        <v>1106</v>
      </c>
      <c r="D5485" s="113">
        <v>3096639</v>
      </c>
      <c r="E5485" s="115">
        <v>43921</v>
      </c>
      <c r="F5485" s="114">
        <v>202101</v>
      </c>
      <c r="G5485" s="112" t="s">
        <v>1091</v>
      </c>
      <c r="H5485" s="112" t="s">
        <v>1015</v>
      </c>
      <c r="I5485" s="112" t="s">
        <v>761</v>
      </c>
      <c r="J5485" s="112" t="s">
        <v>3673</v>
      </c>
      <c r="K5485" s="112" t="s">
        <v>4514</v>
      </c>
      <c r="L5485" s="116">
        <v>5000</v>
      </c>
    </row>
    <row r="5486" spans="1:12" hidden="1" outlineLevel="1" collapsed="1" x14ac:dyDescent="0.35">
      <c r="A5486" s="112" t="s">
        <v>3616</v>
      </c>
      <c r="B5486" s="112" t="s">
        <v>918</v>
      </c>
      <c r="C5486" s="112" t="s">
        <v>695</v>
      </c>
      <c r="D5486" s="113">
        <v>10348142</v>
      </c>
      <c r="E5486" s="115">
        <v>43929</v>
      </c>
      <c r="F5486" s="114">
        <v>202101</v>
      </c>
      <c r="G5486" s="112" t="s">
        <v>1091</v>
      </c>
      <c r="H5486" s="112" t="s">
        <v>1015</v>
      </c>
      <c r="I5486" s="112" t="s">
        <v>745</v>
      </c>
      <c r="J5486" s="112" t="s">
        <v>3649</v>
      </c>
      <c r="K5486" s="112" t="s">
        <v>4474</v>
      </c>
      <c r="L5486" s="116">
        <v>-26080.75</v>
      </c>
    </row>
    <row r="5487" spans="1:12" hidden="1" outlineLevel="1" collapsed="1" x14ac:dyDescent="0.35">
      <c r="A5487" s="112" t="s">
        <v>3616</v>
      </c>
      <c r="B5487" s="112" t="s">
        <v>918</v>
      </c>
      <c r="C5487" s="112" t="s">
        <v>695</v>
      </c>
      <c r="D5487" s="113">
        <v>10348144</v>
      </c>
      <c r="E5487" s="115">
        <v>43929</v>
      </c>
      <c r="F5487" s="114">
        <v>202101</v>
      </c>
      <c r="G5487" s="112" t="s">
        <v>1091</v>
      </c>
      <c r="H5487" s="112" t="s">
        <v>1015</v>
      </c>
      <c r="I5487" s="112" t="s">
        <v>745</v>
      </c>
      <c r="J5487" s="112" t="s">
        <v>3649</v>
      </c>
      <c r="K5487" s="112" t="s">
        <v>4515</v>
      </c>
      <c r="L5487" s="116">
        <v>26080.75</v>
      </c>
    </row>
    <row r="5488" spans="1:12" hidden="1" outlineLevel="1" collapsed="1" x14ac:dyDescent="0.35">
      <c r="A5488" s="112" t="s">
        <v>3616</v>
      </c>
      <c r="B5488" s="112" t="s">
        <v>922</v>
      </c>
      <c r="C5488" s="112" t="s">
        <v>695</v>
      </c>
      <c r="D5488" s="113">
        <v>10347981</v>
      </c>
      <c r="E5488" s="115">
        <v>43924</v>
      </c>
      <c r="F5488" s="114">
        <v>202101</v>
      </c>
      <c r="G5488" s="112" t="s">
        <v>1091</v>
      </c>
      <c r="H5488" s="112" t="s">
        <v>1015</v>
      </c>
      <c r="I5488" s="112" t="s">
        <v>3742</v>
      </c>
      <c r="J5488" s="112" t="s">
        <v>3784</v>
      </c>
      <c r="K5488" s="112" t="s">
        <v>4516</v>
      </c>
      <c r="L5488" s="116">
        <v>-18</v>
      </c>
    </row>
    <row r="5489" spans="1:12" hidden="1" outlineLevel="1" collapsed="1" x14ac:dyDescent="0.35">
      <c r="A5489" s="112" t="s">
        <v>3616</v>
      </c>
      <c r="B5489" s="112" t="s">
        <v>919</v>
      </c>
      <c r="C5489" s="112" t="s">
        <v>695</v>
      </c>
      <c r="D5489" s="113">
        <v>10347981</v>
      </c>
      <c r="E5489" s="115">
        <v>43924</v>
      </c>
      <c r="F5489" s="114">
        <v>202101</v>
      </c>
      <c r="G5489" s="112" t="s">
        <v>1091</v>
      </c>
      <c r="H5489" s="112" t="s">
        <v>1015</v>
      </c>
      <c r="I5489" s="112" t="s">
        <v>1092</v>
      </c>
      <c r="J5489" s="112" t="s">
        <v>3624</v>
      </c>
      <c r="K5489" s="112" t="s">
        <v>1451</v>
      </c>
      <c r="L5489" s="116">
        <v>-51</v>
      </c>
    </row>
    <row r="5490" spans="1:12" hidden="1" outlineLevel="1" collapsed="1" x14ac:dyDescent="0.35">
      <c r="A5490" s="112" t="s">
        <v>3616</v>
      </c>
      <c r="B5490" s="112" t="s">
        <v>921</v>
      </c>
      <c r="C5490" s="112" t="s">
        <v>695</v>
      </c>
      <c r="D5490" s="113">
        <v>10347981</v>
      </c>
      <c r="E5490" s="115">
        <v>43924</v>
      </c>
      <c r="F5490" s="114">
        <v>202101</v>
      </c>
      <c r="G5490" s="112" t="s">
        <v>1091</v>
      </c>
      <c r="H5490" s="112" t="s">
        <v>1015</v>
      </c>
      <c r="I5490" s="112" t="s">
        <v>775</v>
      </c>
      <c r="J5490" s="112" t="s">
        <v>3709</v>
      </c>
      <c r="K5490" s="112" t="s">
        <v>4517</v>
      </c>
      <c r="L5490" s="116">
        <v>-300</v>
      </c>
    </row>
    <row r="5491" spans="1:12" hidden="1" outlineLevel="1" collapsed="1" x14ac:dyDescent="0.35">
      <c r="A5491" s="112" t="s">
        <v>3616</v>
      </c>
      <c r="B5491" s="112" t="s">
        <v>917</v>
      </c>
      <c r="C5491" s="112" t="s">
        <v>695</v>
      </c>
      <c r="D5491" s="113">
        <v>10348144</v>
      </c>
      <c r="E5491" s="115">
        <v>43929</v>
      </c>
      <c r="F5491" s="114">
        <v>202101</v>
      </c>
      <c r="G5491" s="112" t="s">
        <v>1091</v>
      </c>
      <c r="H5491" s="112" t="s">
        <v>1015</v>
      </c>
      <c r="I5491" s="112" t="s">
        <v>2454</v>
      </c>
      <c r="J5491" s="112" t="s">
        <v>3781</v>
      </c>
      <c r="K5491" s="112" t="s">
        <v>4474</v>
      </c>
      <c r="L5491" s="116">
        <v>-26080.75</v>
      </c>
    </row>
    <row r="5492" spans="1:12" hidden="1" outlineLevel="1" collapsed="1" x14ac:dyDescent="0.35">
      <c r="A5492" s="112" t="s">
        <v>3616</v>
      </c>
      <c r="B5492" s="112" t="s">
        <v>922</v>
      </c>
      <c r="C5492" s="112" t="s">
        <v>695</v>
      </c>
      <c r="D5492" s="113">
        <v>10347981</v>
      </c>
      <c r="E5492" s="115">
        <v>43924</v>
      </c>
      <c r="F5492" s="114">
        <v>202101</v>
      </c>
      <c r="G5492" s="112" t="s">
        <v>1091</v>
      </c>
      <c r="H5492" s="112" t="s">
        <v>1015</v>
      </c>
      <c r="I5492" s="112" t="s">
        <v>761</v>
      </c>
      <c r="J5492" s="112" t="s">
        <v>3766</v>
      </c>
      <c r="K5492" s="112" t="s">
        <v>4518</v>
      </c>
      <c r="L5492" s="116">
        <v>-420</v>
      </c>
    </row>
    <row r="5493" spans="1:12" hidden="1" outlineLevel="1" collapsed="1" x14ac:dyDescent="0.35">
      <c r="A5493" s="112" t="s">
        <v>3616</v>
      </c>
      <c r="B5493" s="112" t="s">
        <v>919</v>
      </c>
      <c r="C5493" s="112" t="s">
        <v>695</v>
      </c>
      <c r="D5493" s="113">
        <v>10347981</v>
      </c>
      <c r="E5493" s="115">
        <v>43924</v>
      </c>
      <c r="F5493" s="114">
        <v>202101</v>
      </c>
      <c r="G5493" s="112" t="s">
        <v>1091</v>
      </c>
      <c r="H5493" s="112" t="s">
        <v>1015</v>
      </c>
      <c r="I5493" s="112" t="s">
        <v>1643</v>
      </c>
      <c r="J5493" s="112" t="s">
        <v>3624</v>
      </c>
      <c r="K5493" s="112" t="s">
        <v>4519</v>
      </c>
      <c r="L5493" s="116">
        <v>-160.18</v>
      </c>
    </row>
    <row r="5494" spans="1:12" hidden="1" outlineLevel="1" collapsed="1" x14ac:dyDescent="0.35">
      <c r="A5494" s="112" t="s">
        <v>3616</v>
      </c>
      <c r="B5494" s="112" t="s">
        <v>919</v>
      </c>
      <c r="C5494" s="112" t="s">
        <v>1099</v>
      </c>
      <c r="D5494" s="113">
        <v>1069403</v>
      </c>
      <c r="E5494" s="115">
        <v>43923</v>
      </c>
      <c r="F5494" s="114">
        <v>202101</v>
      </c>
      <c r="G5494" s="112" t="s">
        <v>1091</v>
      </c>
      <c r="H5494" s="112" t="s">
        <v>1015</v>
      </c>
      <c r="I5494" s="112" t="s">
        <v>3619</v>
      </c>
      <c r="J5494" s="112" t="s">
        <v>3624</v>
      </c>
      <c r="K5494" s="112" t="s">
        <v>3814</v>
      </c>
      <c r="L5494" s="116">
        <v>26.4</v>
      </c>
    </row>
    <row r="5495" spans="1:12" hidden="1" outlineLevel="1" collapsed="1" x14ac:dyDescent="0.35">
      <c r="A5495" s="112" t="s">
        <v>3616</v>
      </c>
      <c r="B5495" s="112" t="s">
        <v>920</v>
      </c>
      <c r="C5495" s="112" t="s">
        <v>695</v>
      </c>
      <c r="D5495" s="113">
        <v>10347981</v>
      </c>
      <c r="E5495" s="115">
        <v>43924</v>
      </c>
      <c r="F5495" s="114">
        <v>202101</v>
      </c>
      <c r="G5495" s="112" t="s">
        <v>1091</v>
      </c>
      <c r="H5495" s="112" t="s">
        <v>1015</v>
      </c>
      <c r="I5495" s="112" t="s">
        <v>761</v>
      </c>
      <c r="J5495" s="112" t="s">
        <v>3755</v>
      </c>
      <c r="K5495" s="112" t="s">
        <v>4520</v>
      </c>
      <c r="L5495" s="116">
        <v>-119</v>
      </c>
    </row>
    <row r="5496" spans="1:12" hidden="1" outlineLevel="1" collapsed="1" x14ac:dyDescent="0.35">
      <c r="A5496" s="112" t="s">
        <v>3616</v>
      </c>
      <c r="B5496" s="112" t="s">
        <v>918</v>
      </c>
      <c r="C5496" s="112" t="s">
        <v>695</v>
      </c>
      <c r="D5496" s="113">
        <v>10348067</v>
      </c>
      <c r="E5496" s="115">
        <v>43928</v>
      </c>
      <c r="F5496" s="114">
        <v>202101</v>
      </c>
      <c r="G5496" s="112" t="s">
        <v>1091</v>
      </c>
      <c r="H5496" s="112" t="s">
        <v>1015</v>
      </c>
      <c r="I5496" s="112" t="s">
        <v>745</v>
      </c>
      <c r="J5496" s="112" t="s">
        <v>3649</v>
      </c>
      <c r="K5496" s="112" t="s">
        <v>4521</v>
      </c>
      <c r="L5496" s="116">
        <v>-13975</v>
      </c>
    </row>
    <row r="5497" spans="1:12" hidden="1" outlineLevel="1" collapsed="1" x14ac:dyDescent="0.35">
      <c r="A5497" s="112" t="s">
        <v>3616</v>
      </c>
      <c r="B5497" s="112" t="s">
        <v>918</v>
      </c>
      <c r="C5497" s="112" t="s">
        <v>1266</v>
      </c>
      <c r="D5497" s="113">
        <v>1069422</v>
      </c>
      <c r="E5497" s="115">
        <v>43922</v>
      </c>
      <c r="F5497" s="114">
        <v>202101</v>
      </c>
      <c r="G5497" s="112" t="s">
        <v>1091</v>
      </c>
      <c r="H5497" s="112" t="s">
        <v>1015</v>
      </c>
      <c r="I5497" s="112" t="s">
        <v>765</v>
      </c>
      <c r="J5497" s="112" t="s">
        <v>3649</v>
      </c>
      <c r="K5497" s="112" t="s">
        <v>4522</v>
      </c>
      <c r="L5497" s="116">
        <v>15.5</v>
      </c>
    </row>
    <row r="5498" spans="1:12" hidden="1" outlineLevel="1" collapsed="1" x14ac:dyDescent="0.35">
      <c r="A5498" s="112" t="s">
        <v>3616</v>
      </c>
      <c r="B5498" s="112" t="s">
        <v>921</v>
      </c>
      <c r="C5498" s="112" t="s">
        <v>695</v>
      </c>
      <c r="D5498" s="113">
        <v>10347981</v>
      </c>
      <c r="E5498" s="115">
        <v>43924</v>
      </c>
      <c r="F5498" s="114">
        <v>202101</v>
      </c>
      <c r="G5498" s="112" t="s">
        <v>1091</v>
      </c>
      <c r="H5498" s="112" t="s">
        <v>1015</v>
      </c>
      <c r="I5498" s="112" t="s">
        <v>2591</v>
      </c>
      <c r="J5498" s="112" t="s">
        <v>3620</v>
      </c>
      <c r="K5498" s="112" t="s">
        <v>4008</v>
      </c>
      <c r="L5498" s="116">
        <v>-11.59</v>
      </c>
    </row>
    <row r="5499" spans="1:12" hidden="1" outlineLevel="1" collapsed="1" x14ac:dyDescent="0.35">
      <c r="A5499" s="112" t="s">
        <v>3616</v>
      </c>
      <c r="B5499" s="112" t="s">
        <v>922</v>
      </c>
      <c r="C5499" s="112" t="s">
        <v>695</v>
      </c>
      <c r="D5499" s="113">
        <v>10347981</v>
      </c>
      <c r="E5499" s="115">
        <v>43924</v>
      </c>
      <c r="F5499" s="114">
        <v>202101</v>
      </c>
      <c r="G5499" s="112" t="s">
        <v>1091</v>
      </c>
      <c r="H5499" s="112" t="s">
        <v>1015</v>
      </c>
      <c r="I5499" s="112" t="s">
        <v>3742</v>
      </c>
      <c r="J5499" s="112" t="s">
        <v>3784</v>
      </c>
      <c r="K5499" s="112" t="s">
        <v>4011</v>
      </c>
      <c r="L5499" s="116">
        <v>-28.35</v>
      </c>
    </row>
    <row r="5500" spans="1:12" hidden="1" outlineLevel="1" collapsed="1" x14ac:dyDescent="0.35">
      <c r="A5500" s="112" t="s">
        <v>3616</v>
      </c>
      <c r="B5500" s="112" t="s">
        <v>918</v>
      </c>
      <c r="C5500" s="112" t="s">
        <v>1266</v>
      </c>
      <c r="D5500" s="113">
        <v>1069432</v>
      </c>
      <c r="E5500" s="115">
        <v>43928</v>
      </c>
      <c r="F5500" s="114">
        <v>202101</v>
      </c>
      <c r="G5500" s="112" t="s">
        <v>1091</v>
      </c>
      <c r="H5500" s="112" t="s">
        <v>1015</v>
      </c>
      <c r="I5500" s="112" t="s">
        <v>1868</v>
      </c>
      <c r="J5500" s="112" t="s">
        <v>3695</v>
      </c>
      <c r="K5500" s="112" t="s">
        <v>4523</v>
      </c>
      <c r="L5500" s="116">
        <v>500</v>
      </c>
    </row>
    <row r="5501" spans="1:12" hidden="1" outlineLevel="1" collapsed="1" x14ac:dyDescent="0.35">
      <c r="A5501" s="112" t="s">
        <v>3616</v>
      </c>
      <c r="B5501" s="112" t="s">
        <v>918</v>
      </c>
      <c r="C5501" s="112" t="s">
        <v>1266</v>
      </c>
      <c r="D5501" s="113">
        <v>1069443</v>
      </c>
      <c r="E5501" s="115">
        <v>43928</v>
      </c>
      <c r="F5501" s="114">
        <v>202101</v>
      </c>
      <c r="G5501" s="112" t="s">
        <v>1091</v>
      </c>
      <c r="H5501" s="112" t="s">
        <v>1015</v>
      </c>
      <c r="I5501" s="112" t="s">
        <v>1868</v>
      </c>
      <c r="J5501" s="112" t="s">
        <v>3695</v>
      </c>
      <c r="K5501" s="112" t="s">
        <v>4524</v>
      </c>
      <c r="L5501" s="116">
        <v>2500</v>
      </c>
    </row>
    <row r="5502" spans="1:12" hidden="1" outlineLevel="1" collapsed="1" x14ac:dyDescent="0.35">
      <c r="A5502" s="112" t="s">
        <v>3616</v>
      </c>
      <c r="B5502" s="112" t="s">
        <v>923</v>
      </c>
      <c r="C5502" s="112" t="s">
        <v>695</v>
      </c>
      <c r="D5502" s="113">
        <v>10347981</v>
      </c>
      <c r="E5502" s="115">
        <v>43924</v>
      </c>
      <c r="F5502" s="114">
        <v>202101</v>
      </c>
      <c r="G5502" s="112" t="s">
        <v>1091</v>
      </c>
      <c r="H5502" s="112" t="s">
        <v>1015</v>
      </c>
      <c r="I5502" s="112" t="s">
        <v>761</v>
      </c>
      <c r="J5502" s="112" t="s">
        <v>3714</v>
      </c>
      <c r="K5502" s="112" t="s">
        <v>4525</v>
      </c>
      <c r="L5502" s="116">
        <v>-750</v>
      </c>
    </row>
    <row r="5503" spans="1:12" hidden="1" outlineLevel="1" collapsed="1" x14ac:dyDescent="0.35">
      <c r="A5503" s="112" t="s">
        <v>3616</v>
      </c>
      <c r="B5503" s="112" t="s">
        <v>919</v>
      </c>
      <c r="C5503" s="112" t="s">
        <v>695</v>
      </c>
      <c r="D5503" s="113">
        <v>10347981</v>
      </c>
      <c r="E5503" s="115">
        <v>43924</v>
      </c>
      <c r="F5503" s="114">
        <v>202101</v>
      </c>
      <c r="G5503" s="112" t="s">
        <v>1091</v>
      </c>
      <c r="H5503" s="112" t="s">
        <v>1015</v>
      </c>
      <c r="I5503" s="112" t="s">
        <v>1643</v>
      </c>
      <c r="J5503" s="112" t="s">
        <v>3628</v>
      </c>
      <c r="K5503" s="112" t="s">
        <v>4526</v>
      </c>
      <c r="L5503" s="116">
        <v>-38.17</v>
      </c>
    </row>
    <row r="5504" spans="1:12" hidden="1" outlineLevel="1" collapsed="1" x14ac:dyDescent="0.35">
      <c r="A5504" s="112" t="s">
        <v>3616</v>
      </c>
      <c r="B5504" s="112" t="s">
        <v>922</v>
      </c>
      <c r="C5504" s="112" t="s">
        <v>695</v>
      </c>
      <c r="D5504" s="113">
        <v>10347981</v>
      </c>
      <c r="E5504" s="115">
        <v>43924</v>
      </c>
      <c r="F5504" s="114">
        <v>202101</v>
      </c>
      <c r="G5504" s="112" t="s">
        <v>1091</v>
      </c>
      <c r="H5504" s="112" t="s">
        <v>1015</v>
      </c>
      <c r="I5504" s="112" t="s">
        <v>761</v>
      </c>
      <c r="J5504" s="112" t="s">
        <v>3863</v>
      </c>
      <c r="K5504" s="112" t="s">
        <v>4527</v>
      </c>
      <c r="L5504" s="116">
        <v>-850</v>
      </c>
    </row>
    <row r="5505" spans="1:12" hidden="1" outlineLevel="1" collapsed="1" x14ac:dyDescent="0.35">
      <c r="A5505" s="112" t="s">
        <v>3616</v>
      </c>
      <c r="B5505" s="112" t="s">
        <v>918</v>
      </c>
      <c r="C5505" s="112" t="s">
        <v>1266</v>
      </c>
      <c r="D5505" s="113">
        <v>1069442</v>
      </c>
      <c r="E5505" s="115">
        <v>43928</v>
      </c>
      <c r="F5505" s="114">
        <v>202101</v>
      </c>
      <c r="G5505" s="112" t="s">
        <v>1091</v>
      </c>
      <c r="H5505" s="112" t="s">
        <v>1015</v>
      </c>
      <c r="I5505" s="112" t="s">
        <v>1868</v>
      </c>
      <c r="J5505" s="112" t="s">
        <v>3695</v>
      </c>
      <c r="K5505" s="112" t="s">
        <v>4528</v>
      </c>
      <c r="L5505" s="116">
        <v>2500</v>
      </c>
    </row>
    <row r="5506" spans="1:12" hidden="1" outlineLevel="1" collapsed="1" x14ac:dyDescent="0.35">
      <c r="A5506" s="112" t="s">
        <v>3616</v>
      </c>
      <c r="B5506" s="112" t="s">
        <v>917</v>
      </c>
      <c r="C5506" s="112" t="s">
        <v>695</v>
      </c>
      <c r="D5506" s="113">
        <v>10347981</v>
      </c>
      <c r="E5506" s="115">
        <v>43924</v>
      </c>
      <c r="F5506" s="114">
        <v>202101</v>
      </c>
      <c r="G5506" s="112" t="s">
        <v>1091</v>
      </c>
      <c r="H5506" s="112" t="s">
        <v>1015</v>
      </c>
      <c r="I5506" s="112" t="s">
        <v>761</v>
      </c>
      <c r="J5506" s="112" t="s">
        <v>4529</v>
      </c>
      <c r="K5506" s="112" t="s">
        <v>4530</v>
      </c>
      <c r="L5506" s="116">
        <v>-57.5</v>
      </c>
    </row>
    <row r="5507" spans="1:12" hidden="1" outlineLevel="1" collapsed="1" x14ac:dyDescent="0.35">
      <c r="A5507" s="112" t="s">
        <v>3616</v>
      </c>
      <c r="B5507" s="112" t="s">
        <v>922</v>
      </c>
      <c r="C5507" s="112" t="s">
        <v>695</v>
      </c>
      <c r="D5507" s="113">
        <v>10347981</v>
      </c>
      <c r="E5507" s="115">
        <v>43924</v>
      </c>
      <c r="F5507" s="114">
        <v>202101</v>
      </c>
      <c r="G5507" s="112" t="s">
        <v>1091</v>
      </c>
      <c r="H5507" s="112" t="s">
        <v>1015</v>
      </c>
      <c r="I5507" s="112" t="s">
        <v>761</v>
      </c>
      <c r="J5507" s="112" t="s">
        <v>3863</v>
      </c>
      <c r="K5507" s="112" t="s">
        <v>4531</v>
      </c>
      <c r="L5507" s="116">
        <v>-500</v>
      </c>
    </row>
    <row r="5508" spans="1:12" hidden="1" outlineLevel="1" collapsed="1" x14ac:dyDescent="0.35">
      <c r="A5508" s="112" t="s">
        <v>3616</v>
      </c>
      <c r="B5508" s="112" t="s">
        <v>916</v>
      </c>
      <c r="C5508" s="112" t="s">
        <v>695</v>
      </c>
      <c r="D5508" s="113">
        <v>10347981</v>
      </c>
      <c r="E5508" s="115">
        <v>43924</v>
      </c>
      <c r="F5508" s="114">
        <v>202101</v>
      </c>
      <c r="G5508" s="112" t="s">
        <v>1091</v>
      </c>
      <c r="H5508" s="112" t="s">
        <v>1015</v>
      </c>
      <c r="I5508" s="112" t="s">
        <v>1182</v>
      </c>
      <c r="J5508" s="112" t="s">
        <v>3771</v>
      </c>
      <c r="K5508" s="112" t="s">
        <v>4532</v>
      </c>
      <c r="L5508" s="116">
        <v>-66.55</v>
      </c>
    </row>
    <row r="5509" spans="1:12" hidden="1" outlineLevel="1" collapsed="1" x14ac:dyDescent="0.35">
      <c r="A5509" s="112" t="s">
        <v>3616</v>
      </c>
      <c r="B5509" s="112" t="s">
        <v>920</v>
      </c>
      <c r="C5509" s="112" t="s">
        <v>695</v>
      </c>
      <c r="D5509" s="113">
        <v>10347981</v>
      </c>
      <c r="E5509" s="115">
        <v>43924</v>
      </c>
      <c r="F5509" s="114">
        <v>202101</v>
      </c>
      <c r="G5509" s="112" t="s">
        <v>1091</v>
      </c>
      <c r="H5509" s="112" t="s">
        <v>1015</v>
      </c>
      <c r="I5509" s="112" t="s">
        <v>1092</v>
      </c>
      <c r="J5509" s="112" t="s">
        <v>3755</v>
      </c>
      <c r="K5509" s="112" t="s">
        <v>1094</v>
      </c>
      <c r="L5509" s="116">
        <v>-51</v>
      </c>
    </row>
    <row r="5510" spans="1:12" hidden="1" outlineLevel="1" collapsed="1" x14ac:dyDescent="0.35">
      <c r="A5510" s="112" t="s">
        <v>3616</v>
      </c>
      <c r="B5510" s="112" t="s">
        <v>918</v>
      </c>
      <c r="C5510" s="112" t="s">
        <v>1266</v>
      </c>
      <c r="D5510" s="113">
        <v>1069440</v>
      </c>
      <c r="E5510" s="115">
        <v>43928</v>
      </c>
      <c r="F5510" s="114">
        <v>202101</v>
      </c>
      <c r="G5510" s="112" t="s">
        <v>1091</v>
      </c>
      <c r="H5510" s="112" t="s">
        <v>1015</v>
      </c>
      <c r="I5510" s="112" t="s">
        <v>1868</v>
      </c>
      <c r="J5510" s="112" t="s">
        <v>3695</v>
      </c>
      <c r="K5510" s="112" t="s">
        <v>4533</v>
      </c>
      <c r="L5510" s="116">
        <v>1000</v>
      </c>
    </row>
    <row r="5511" spans="1:12" hidden="1" outlineLevel="1" collapsed="1" x14ac:dyDescent="0.35">
      <c r="A5511" s="112" t="s">
        <v>3616</v>
      </c>
      <c r="B5511" s="112" t="s">
        <v>918</v>
      </c>
      <c r="C5511" s="112" t="s">
        <v>1266</v>
      </c>
      <c r="D5511" s="113">
        <v>1069438</v>
      </c>
      <c r="E5511" s="115">
        <v>43928</v>
      </c>
      <c r="F5511" s="114">
        <v>202101</v>
      </c>
      <c r="G5511" s="112" t="s">
        <v>1091</v>
      </c>
      <c r="H5511" s="112" t="s">
        <v>1015</v>
      </c>
      <c r="I5511" s="112" t="s">
        <v>1868</v>
      </c>
      <c r="J5511" s="112" t="s">
        <v>3695</v>
      </c>
      <c r="K5511" s="112" t="s">
        <v>4534</v>
      </c>
      <c r="L5511" s="116">
        <v>1000</v>
      </c>
    </row>
    <row r="5512" spans="1:12" hidden="1" outlineLevel="1" collapsed="1" x14ac:dyDescent="0.35">
      <c r="A5512" s="112" t="s">
        <v>3616</v>
      </c>
      <c r="B5512" s="112" t="s">
        <v>923</v>
      </c>
      <c r="C5512" s="112" t="s">
        <v>1099</v>
      </c>
      <c r="D5512" s="113">
        <v>1068813</v>
      </c>
      <c r="E5512" s="115">
        <v>43901</v>
      </c>
      <c r="F5512" s="114">
        <v>202101</v>
      </c>
      <c r="G5512" s="112" t="s">
        <v>1091</v>
      </c>
      <c r="H5512" s="112" t="s">
        <v>1015</v>
      </c>
      <c r="I5512" s="112" t="s">
        <v>3266</v>
      </c>
      <c r="J5512" s="112" t="s">
        <v>3750</v>
      </c>
      <c r="K5512" s="112" t="s">
        <v>4535</v>
      </c>
      <c r="L5512" s="116">
        <v>280</v>
      </c>
    </row>
    <row r="5513" spans="1:12" hidden="1" outlineLevel="1" collapsed="1" x14ac:dyDescent="0.35">
      <c r="A5513" s="112" t="s">
        <v>3616</v>
      </c>
      <c r="B5513" s="112" t="s">
        <v>918</v>
      </c>
      <c r="C5513" s="112" t="s">
        <v>1266</v>
      </c>
      <c r="D5513" s="113">
        <v>1069437</v>
      </c>
      <c r="E5513" s="115">
        <v>43928</v>
      </c>
      <c r="F5513" s="114">
        <v>202101</v>
      </c>
      <c r="G5513" s="112" t="s">
        <v>1091</v>
      </c>
      <c r="H5513" s="112" t="s">
        <v>1015</v>
      </c>
      <c r="I5513" s="112" t="s">
        <v>1868</v>
      </c>
      <c r="J5513" s="112" t="s">
        <v>3695</v>
      </c>
      <c r="K5513" s="112" t="s">
        <v>4536</v>
      </c>
      <c r="L5513" s="116">
        <v>4500</v>
      </c>
    </row>
    <row r="5514" spans="1:12" hidden="1" outlineLevel="1" collapsed="1" x14ac:dyDescent="0.35">
      <c r="A5514" s="112" t="s">
        <v>3616</v>
      </c>
      <c r="B5514" s="112" t="s">
        <v>922</v>
      </c>
      <c r="C5514" s="112" t="s">
        <v>695</v>
      </c>
      <c r="D5514" s="113">
        <v>10347981</v>
      </c>
      <c r="E5514" s="115">
        <v>43924</v>
      </c>
      <c r="F5514" s="114">
        <v>202101</v>
      </c>
      <c r="G5514" s="112" t="s">
        <v>1091</v>
      </c>
      <c r="H5514" s="112" t="s">
        <v>1015</v>
      </c>
      <c r="I5514" s="112" t="s">
        <v>3742</v>
      </c>
      <c r="J5514" s="112" t="s">
        <v>3784</v>
      </c>
      <c r="K5514" s="112" t="s">
        <v>4011</v>
      </c>
      <c r="L5514" s="116">
        <v>-17.399999999999999</v>
      </c>
    </row>
    <row r="5515" spans="1:12" hidden="1" outlineLevel="1" collapsed="1" x14ac:dyDescent="0.35">
      <c r="A5515" s="112" t="s">
        <v>3616</v>
      </c>
      <c r="B5515" s="112" t="s">
        <v>922</v>
      </c>
      <c r="C5515" s="112" t="s">
        <v>1095</v>
      </c>
      <c r="D5515" s="113">
        <v>10348451</v>
      </c>
      <c r="E5515" s="115">
        <v>43949</v>
      </c>
      <c r="F5515" s="114">
        <v>202101</v>
      </c>
      <c r="G5515" s="112" t="s">
        <v>1091</v>
      </c>
      <c r="H5515" s="112" t="s">
        <v>1015</v>
      </c>
      <c r="I5515" s="112" t="s">
        <v>1263</v>
      </c>
      <c r="J5515" s="112" t="s">
        <v>3784</v>
      </c>
      <c r="K5515" s="112" t="s">
        <v>1098</v>
      </c>
      <c r="L5515" s="116">
        <v>245.28</v>
      </c>
    </row>
    <row r="5516" spans="1:12" hidden="1" outlineLevel="1" collapsed="1" x14ac:dyDescent="0.35">
      <c r="A5516" s="112" t="s">
        <v>3616</v>
      </c>
      <c r="B5516" s="112" t="s">
        <v>922</v>
      </c>
      <c r="C5516" s="112" t="s">
        <v>1095</v>
      </c>
      <c r="D5516" s="113">
        <v>10348451</v>
      </c>
      <c r="E5516" s="115">
        <v>43949</v>
      </c>
      <c r="F5516" s="114">
        <v>202101</v>
      </c>
      <c r="G5516" s="112" t="s">
        <v>1091</v>
      </c>
      <c r="H5516" s="112" t="s">
        <v>1015</v>
      </c>
      <c r="I5516" s="112" t="s">
        <v>1101</v>
      </c>
      <c r="J5516" s="112" t="s">
        <v>3784</v>
      </c>
      <c r="K5516" s="112" t="s">
        <v>1098</v>
      </c>
      <c r="L5516" s="116">
        <v>203.07</v>
      </c>
    </row>
    <row r="5517" spans="1:12" hidden="1" outlineLevel="1" collapsed="1" x14ac:dyDescent="0.35">
      <c r="A5517" s="112" t="s">
        <v>3616</v>
      </c>
      <c r="B5517" s="112" t="s">
        <v>921</v>
      </c>
      <c r="C5517" s="112" t="s">
        <v>695</v>
      </c>
      <c r="D5517" s="113">
        <v>10347981</v>
      </c>
      <c r="E5517" s="115">
        <v>43924</v>
      </c>
      <c r="F5517" s="114">
        <v>202101</v>
      </c>
      <c r="G5517" s="112" t="s">
        <v>1091</v>
      </c>
      <c r="H5517" s="112" t="s">
        <v>1015</v>
      </c>
      <c r="I5517" s="112" t="s">
        <v>1182</v>
      </c>
      <c r="J5517" s="112" t="s">
        <v>3620</v>
      </c>
      <c r="K5517" s="112" t="s">
        <v>4537</v>
      </c>
      <c r="L5517" s="116">
        <v>-27.8</v>
      </c>
    </row>
    <row r="5518" spans="1:12" hidden="1" outlineLevel="1" collapsed="1" x14ac:dyDescent="0.35">
      <c r="A5518" s="112" t="s">
        <v>3616</v>
      </c>
      <c r="B5518" s="112" t="s">
        <v>918</v>
      </c>
      <c r="C5518" s="112" t="s">
        <v>695</v>
      </c>
      <c r="D5518" s="113">
        <v>10348067</v>
      </c>
      <c r="E5518" s="115">
        <v>43928</v>
      </c>
      <c r="F5518" s="114">
        <v>202101</v>
      </c>
      <c r="G5518" s="112" t="s">
        <v>1091</v>
      </c>
      <c r="H5518" s="112" t="s">
        <v>1015</v>
      </c>
      <c r="I5518" s="112" t="s">
        <v>1868</v>
      </c>
      <c r="J5518" s="112" t="s">
        <v>3695</v>
      </c>
      <c r="K5518" s="112" t="s">
        <v>3722</v>
      </c>
      <c r="L5518" s="116">
        <v>-7362.74</v>
      </c>
    </row>
    <row r="5519" spans="1:12" hidden="1" outlineLevel="1" collapsed="1" x14ac:dyDescent="0.35">
      <c r="A5519" s="112" t="s">
        <v>3616</v>
      </c>
      <c r="B5519" s="112" t="s">
        <v>920</v>
      </c>
      <c r="C5519" s="112" t="s">
        <v>695</v>
      </c>
      <c r="D5519" s="113">
        <v>10347981</v>
      </c>
      <c r="E5519" s="115">
        <v>43924</v>
      </c>
      <c r="F5519" s="114">
        <v>202101</v>
      </c>
      <c r="G5519" s="112" t="s">
        <v>1091</v>
      </c>
      <c r="H5519" s="112" t="s">
        <v>1015</v>
      </c>
      <c r="I5519" s="112" t="s">
        <v>1182</v>
      </c>
      <c r="J5519" s="112" t="s">
        <v>4179</v>
      </c>
      <c r="K5519" s="112" t="s">
        <v>4538</v>
      </c>
      <c r="L5519" s="116">
        <v>-90.69</v>
      </c>
    </row>
    <row r="5520" spans="1:12" hidden="1" outlineLevel="1" collapsed="1" x14ac:dyDescent="0.35">
      <c r="A5520" s="112" t="s">
        <v>3616</v>
      </c>
      <c r="B5520" s="112" t="s">
        <v>918</v>
      </c>
      <c r="C5520" s="112" t="s">
        <v>695</v>
      </c>
      <c r="D5520" s="113">
        <v>10348067</v>
      </c>
      <c r="E5520" s="115">
        <v>43928</v>
      </c>
      <c r="F5520" s="114">
        <v>202101</v>
      </c>
      <c r="G5520" s="112" t="s">
        <v>1091</v>
      </c>
      <c r="H5520" s="112" t="s">
        <v>1015</v>
      </c>
      <c r="I5520" s="112" t="s">
        <v>1868</v>
      </c>
      <c r="J5520" s="112" t="s">
        <v>3695</v>
      </c>
      <c r="K5520" s="112" t="s">
        <v>3723</v>
      </c>
      <c r="L5520" s="116">
        <v>-1000</v>
      </c>
    </row>
    <row r="5521" spans="1:12" hidden="1" outlineLevel="1" collapsed="1" x14ac:dyDescent="0.35">
      <c r="A5521" s="112" t="s">
        <v>3616</v>
      </c>
      <c r="B5521" s="112" t="s">
        <v>918</v>
      </c>
      <c r="C5521" s="112" t="s">
        <v>695</v>
      </c>
      <c r="D5521" s="113">
        <v>10348067</v>
      </c>
      <c r="E5521" s="115">
        <v>43928</v>
      </c>
      <c r="F5521" s="114">
        <v>202101</v>
      </c>
      <c r="G5521" s="112" t="s">
        <v>1091</v>
      </c>
      <c r="H5521" s="112" t="s">
        <v>1015</v>
      </c>
      <c r="I5521" s="112" t="s">
        <v>761</v>
      </c>
      <c r="J5521" s="112" t="s">
        <v>3695</v>
      </c>
      <c r="K5521" s="112" t="s">
        <v>3719</v>
      </c>
      <c r="L5521" s="116">
        <v>-500</v>
      </c>
    </row>
    <row r="5522" spans="1:12" hidden="1" outlineLevel="1" collapsed="1" x14ac:dyDescent="0.35">
      <c r="A5522" s="112" t="s">
        <v>3616</v>
      </c>
      <c r="B5522" s="112" t="s">
        <v>922</v>
      </c>
      <c r="C5522" s="112" t="s">
        <v>695</v>
      </c>
      <c r="D5522" s="113">
        <v>10347981</v>
      </c>
      <c r="E5522" s="115">
        <v>43924</v>
      </c>
      <c r="F5522" s="114">
        <v>202101</v>
      </c>
      <c r="G5522" s="112" t="s">
        <v>1091</v>
      </c>
      <c r="H5522" s="112" t="s">
        <v>1015</v>
      </c>
      <c r="I5522" s="112" t="s">
        <v>761</v>
      </c>
      <c r="J5522" s="112" t="s">
        <v>3766</v>
      </c>
      <c r="K5522" s="112" t="s">
        <v>4539</v>
      </c>
      <c r="L5522" s="116">
        <v>-450</v>
      </c>
    </row>
    <row r="5523" spans="1:12" hidden="1" outlineLevel="1" collapsed="1" x14ac:dyDescent="0.35">
      <c r="A5523" s="112" t="s">
        <v>3616</v>
      </c>
      <c r="B5523" s="112" t="s">
        <v>919</v>
      </c>
      <c r="C5523" s="112" t="s">
        <v>695</v>
      </c>
      <c r="D5523" s="113">
        <v>10347981</v>
      </c>
      <c r="E5523" s="115">
        <v>43924</v>
      </c>
      <c r="F5523" s="114">
        <v>202101</v>
      </c>
      <c r="G5523" s="112" t="s">
        <v>1091</v>
      </c>
      <c r="H5523" s="112" t="s">
        <v>1015</v>
      </c>
      <c r="I5523" s="112" t="s">
        <v>1643</v>
      </c>
      <c r="J5523" s="112" t="s">
        <v>3624</v>
      </c>
      <c r="K5523" s="112" t="s">
        <v>4540</v>
      </c>
      <c r="L5523" s="116">
        <v>-1854</v>
      </c>
    </row>
    <row r="5524" spans="1:12" hidden="1" outlineLevel="1" collapsed="1" x14ac:dyDescent="0.35">
      <c r="A5524" s="112" t="s">
        <v>3616</v>
      </c>
      <c r="B5524" s="112" t="s">
        <v>918</v>
      </c>
      <c r="C5524" s="112" t="s">
        <v>695</v>
      </c>
      <c r="D5524" s="113">
        <v>10348067</v>
      </c>
      <c r="E5524" s="115">
        <v>43928</v>
      </c>
      <c r="F5524" s="114">
        <v>202101</v>
      </c>
      <c r="G5524" s="112" t="s">
        <v>1091</v>
      </c>
      <c r="H5524" s="112" t="s">
        <v>1015</v>
      </c>
      <c r="I5524" s="112" t="s">
        <v>1868</v>
      </c>
      <c r="J5524" s="112" t="s">
        <v>3695</v>
      </c>
      <c r="K5524" s="112" t="s">
        <v>3721</v>
      </c>
      <c r="L5524" s="116">
        <v>-850</v>
      </c>
    </row>
    <row r="5525" spans="1:12" hidden="1" outlineLevel="1" collapsed="1" x14ac:dyDescent="0.35">
      <c r="A5525" s="112" t="s">
        <v>3616</v>
      </c>
      <c r="B5525" s="112" t="s">
        <v>918</v>
      </c>
      <c r="C5525" s="112" t="s">
        <v>695</v>
      </c>
      <c r="D5525" s="113">
        <v>10348067</v>
      </c>
      <c r="E5525" s="115">
        <v>43928</v>
      </c>
      <c r="F5525" s="114">
        <v>202101</v>
      </c>
      <c r="G5525" s="112" t="s">
        <v>1091</v>
      </c>
      <c r="H5525" s="112" t="s">
        <v>1015</v>
      </c>
      <c r="I5525" s="112" t="s">
        <v>1868</v>
      </c>
      <c r="J5525" s="112" t="s">
        <v>3649</v>
      </c>
      <c r="K5525" s="112" t="s">
        <v>3723</v>
      </c>
      <c r="L5525" s="116">
        <v>-1825.52</v>
      </c>
    </row>
    <row r="5526" spans="1:12" hidden="1" outlineLevel="1" collapsed="1" x14ac:dyDescent="0.35">
      <c r="A5526" s="112" t="s">
        <v>3616</v>
      </c>
      <c r="B5526" s="112" t="s">
        <v>922</v>
      </c>
      <c r="C5526" s="112" t="s">
        <v>695</v>
      </c>
      <c r="D5526" s="113">
        <v>10347981</v>
      </c>
      <c r="E5526" s="115">
        <v>43924</v>
      </c>
      <c r="F5526" s="114">
        <v>202101</v>
      </c>
      <c r="G5526" s="112" t="s">
        <v>1091</v>
      </c>
      <c r="H5526" s="112" t="s">
        <v>1015</v>
      </c>
      <c r="I5526" s="112" t="s">
        <v>4367</v>
      </c>
      <c r="J5526" s="112" t="s">
        <v>3791</v>
      </c>
      <c r="K5526" s="112" t="s">
        <v>4541</v>
      </c>
      <c r="L5526" s="116">
        <v>-2350</v>
      </c>
    </row>
    <row r="5527" spans="1:12" hidden="1" outlineLevel="1" collapsed="1" x14ac:dyDescent="0.35">
      <c r="A5527" s="112" t="s">
        <v>3616</v>
      </c>
      <c r="B5527" s="112" t="s">
        <v>916</v>
      </c>
      <c r="C5527" s="112" t="s">
        <v>695</v>
      </c>
      <c r="D5527" s="113">
        <v>10347981</v>
      </c>
      <c r="E5527" s="115">
        <v>43924</v>
      </c>
      <c r="F5527" s="114">
        <v>202101</v>
      </c>
      <c r="G5527" s="112" t="s">
        <v>1091</v>
      </c>
      <c r="H5527" s="112" t="s">
        <v>1015</v>
      </c>
      <c r="I5527" s="112" t="s">
        <v>761</v>
      </c>
      <c r="J5527" s="112" t="s">
        <v>3771</v>
      </c>
      <c r="K5527" s="112" t="s">
        <v>4542</v>
      </c>
      <c r="L5527" s="116">
        <v>-56.25</v>
      </c>
    </row>
    <row r="5528" spans="1:12" hidden="1" outlineLevel="1" collapsed="1" x14ac:dyDescent="0.35">
      <c r="A5528" s="112" t="s">
        <v>3616</v>
      </c>
      <c r="B5528" s="112" t="s">
        <v>921</v>
      </c>
      <c r="C5528" s="112" t="s">
        <v>695</v>
      </c>
      <c r="D5528" s="113">
        <v>10347981</v>
      </c>
      <c r="E5528" s="115">
        <v>43924</v>
      </c>
      <c r="F5528" s="114">
        <v>202101</v>
      </c>
      <c r="G5528" s="112" t="s">
        <v>1091</v>
      </c>
      <c r="H5528" s="112" t="s">
        <v>1015</v>
      </c>
      <c r="I5528" s="112" t="s">
        <v>1182</v>
      </c>
      <c r="J5528" s="112" t="s">
        <v>3620</v>
      </c>
      <c r="K5528" s="112" t="s">
        <v>4543</v>
      </c>
      <c r="L5528" s="116">
        <v>-103.21</v>
      </c>
    </row>
    <row r="5529" spans="1:12" hidden="1" outlineLevel="1" collapsed="1" x14ac:dyDescent="0.35">
      <c r="A5529" s="112" t="s">
        <v>3616</v>
      </c>
      <c r="B5529" s="112" t="s">
        <v>921</v>
      </c>
      <c r="C5529" s="112" t="s">
        <v>695</v>
      </c>
      <c r="D5529" s="113">
        <v>10347981</v>
      </c>
      <c r="E5529" s="115">
        <v>43924</v>
      </c>
      <c r="F5529" s="114">
        <v>202101</v>
      </c>
      <c r="G5529" s="112" t="s">
        <v>1091</v>
      </c>
      <c r="H5529" s="112" t="s">
        <v>1015</v>
      </c>
      <c r="I5529" s="112" t="s">
        <v>1102</v>
      </c>
      <c r="J5529" s="112" t="s">
        <v>3709</v>
      </c>
      <c r="K5529" s="112" t="s">
        <v>4544</v>
      </c>
      <c r="L5529" s="116">
        <v>-395</v>
      </c>
    </row>
    <row r="5530" spans="1:12" hidden="1" outlineLevel="1" collapsed="1" x14ac:dyDescent="0.35">
      <c r="A5530" s="112" t="s">
        <v>3616</v>
      </c>
      <c r="B5530" s="112" t="s">
        <v>919</v>
      </c>
      <c r="C5530" s="112" t="s">
        <v>695</v>
      </c>
      <c r="D5530" s="113">
        <v>10347981</v>
      </c>
      <c r="E5530" s="115">
        <v>43924</v>
      </c>
      <c r="F5530" s="114">
        <v>202101</v>
      </c>
      <c r="G5530" s="112" t="s">
        <v>1091</v>
      </c>
      <c r="H5530" s="112" t="s">
        <v>1015</v>
      </c>
      <c r="I5530" s="112" t="s">
        <v>1271</v>
      </c>
      <c r="J5530" s="112" t="s">
        <v>3632</v>
      </c>
      <c r="K5530" s="112" t="s">
        <v>4545</v>
      </c>
      <c r="L5530" s="116">
        <v>-37.47</v>
      </c>
    </row>
    <row r="5531" spans="1:12" hidden="1" outlineLevel="1" collapsed="1" x14ac:dyDescent="0.35">
      <c r="A5531" s="112" t="s">
        <v>3616</v>
      </c>
      <c r="B5531" s="112" t="s">
        <v>922</v>
      </c>
      <c r="C5531" s="112" t="s">
        <v>695</v>
      </c>
      <c r="D5531" s="113">
        <v>10347981</v>
      </c>
      <c r="E5531" s="115">
        <v>43924</v>
      </c>
      <c r="F5531" s="114">
        <v>202101</v>
      </c>
      <c r="G5531" s="112" t="s">
        <v>1091</v>
      </c>
      <c r="H5531" s="112" t="s">
        <v>1015</v>
      </c>
      <c r="I5531" s="112" t="s">
        <v>761</v>
      </c>
      <c r="J5531" s="112" t="s">
        <v>3861</v>
      </c>
      <c r="K5531" s="112" t="s">
        <v>4546</v>
      </c>
      <c r="L5531" s="116">
        <v>-60</v>
      </c>
    </row>
    <row r="5532" spans="1:12" hidden="1" outlineLevel="1" collapsed="1" x14ac:dyDescent="0.35">
      <c r="A5532" s="112" t="s">
        <v>3616</v>
      </c>
      <c r="B5532" s="112" t="s">
        <v>919</v>
      </c>
      <c r="C5532" s="112" t="s">
        <v>695</v>
      </c>
      <c r="D5532" s="113">
        <v>10347981</v>
      </c>
      <c r="E5532" s="115">
        <v>43924</v>
      </c>
      <c r="F5532" s="114">
        <v>202101</v>
      </c>
      <c r="G5532" s="112" t="s">
        <v>1091</v>
      </c>
      <c r="H5532" s="112" t="s">
        <v>1015</v>
      </c>
      <c r="I5532" s="112" t="s">
        <v>2495</v>
      </c>
      <c r="J5532" s="112" t="s">
        <v>3632</v>
      </c>
      <c r="K5532" s="112" t="s">
        <v>4547</v>
      </c>
      <c r="L5532" s="116">
        <v>-297.5</v>
      </c>
    </row>
    <row r="5533" spans="1:12" hidden="1" outlineLevel="1" collapsed="1" x14ac:dyDescent="0.35">
      <c r="A5533" s="112" t="s">
        <v>3616</v>
      </c>
      <c r="B5533" s="112" t="s">
        <v>919</v>
      </c>
      <c r="C5533" s="112" t="s">
        <v>695</v>
      </c>
      <c r="D5533" s="113">
        <v>10347981</v>
      </c>
      <c r="E5533" s="115">
        <v>43924</v>
      </c>
      <c r="F5533" s="114">
        <v>202101</v>
      </c>
      <c r="G5533" s="112" t="s">
        <v>1091</v>
      </c>
      <c r="H5533" s="112" t="s">
        <v>1015</v>
      </c>
      <c r="I5533" s="112" t="s">
        <v>2495</v>
      </c>
      <c r="J5533" s="112" t="s">
        <v>3617</v>
      </c>
      <c r="K5533" s="112" t="s">
        <v>4548</v>
      </c>
      <c r="L5533" s="116">
        <v>-35</v>
      </c>
    </row>
    <row r="5534" spans="1:12" hidden="1" outlineLevel="1" collapsed="1" x14ac:dyDescent="0.35">
      <c r="A5534" s="112" t="s">
        <v>3616</v>
      </c>
      <c r="B5534" s="112" t="s">
        <v>922</v>
      </c>
      <c r="C5534" s="112" t="s">
        <v>1095</v>
      </c>
      <c r="D5534" s="113">
        <v>10348451</v>
      </c>
      <c r="E5534" s="115">
        <v>43949</v>
      </c>
      <c r="F5534" s="114">
        <v>202101</v>
      </c>
      <c r="G5534" s="112" t="s">
        <v>1091</v>
      </c>
      <c r="H5534" s="112" t="s">
        <v>1015</v>
      </c>
      <c r="I5534" s="112" t="s">
        <v>1101</v>
      </c>
      <c r="J5534" s="112" t="s">
        <v>3791</v>
      </c>
      <c r="K5534" s="112" t="s">
        <v>1098</v>
      </c>
      <c r="L5534" s="116">
        <v>426.26</v>
      </c>
    </row>
    <row r="5535" spans="1:12" hidden="1" outlineLevel="1" collapsed="1" x14ac:dyDescent="0.35">
      <c r="A5535" s="112" t="s">
        <v>3616</v>
      </c>
      <c r="B5535" s="112" t="s">
        <v>920</v>
      </c>
      <c r="C5535" s="112" t="s">
        <v>695</v>
      </c>
      <c r="D5535" s="113">
        <v>10347981</v>
      </c>
      <c r="E5535" s="115">
        <v>43924</v>
      </c>
      <c r="F5535" s="114">
        <v>202101</v>
      </c>
      <c r="G5535" s="112" t="s">
        <v>1091</v>
      </c>
      <c r="H5535" s="112" t="s">
        <v>1015</v>
      </c>
      <c r="I5535" s="112" t="s">
        <v>1092</v>
      </c>
      <c r="J5535" s="112" t="s">
        <v>3755</v>
      </c>
      <c r="K5535" s="112" t="s">
        <v>1451</v>
      </c>
      <c r="L5535" s="116">
        <v>-51</v>
      </c>
    </row>
    <row r="5536" spans="1:12" hidden="1" outlineLevel="1" collapsed="1" x14ac:dyDescent="0.35">
      <c r="A5536" s="112" t="s">
        <v>3616</v>
      </c>
      <c r="B5536" s="112" t="s">
        <v>916</v>
      </c>
      <c r="C5536" s="112" t="s">
        <v>695</v>
      </c>
      <c r="D5536" s="113">
        <v>10347981</v>
      </c>
      <c r="E5536" s="115">
        <v>43924</v>
      </c>
      <c r="F5536" s="114">
        <v>202101</v>
      </c>
      <c r="G5536" s="112" t="s">
        <v>1091</v>
      </c>
      <c r="H5536" s="112" t="s">
        <v>1015</v>
      </c>
      <c r="I5536" s="112" t="s">
        <v>761</v>
      </c>
      <c r="J5536" s="112" t="s">
        <v>3626</v>
      </c>
      <c r="K5536" s="112" t="s">
        <v>4549</v>
      </c>
      <c r="L5536" s="116">
        <v>-2648.9</v>
      </c>
    </row>
    <row r="5537" spans="1:12" hidden="1" outlineLevel="1" collapsed="1" x14ac:dyDescent="0.35">
      <c r="A5537" s="112" t="s">
        <v>3616</v>
      </c>
      <c r="B5537" s="112" t="s">
        <v>919</v>
      </c>
      <c r="C5537" s="112" t="s">
        <v>695</v>
      </c>
      <c r="D5537" s="113">
        <v>10347981</v>
      </c>
      <c r="E5537" s="115">
        <v>43924</v>
      </c>
      <c r="F5537" s="114">
        <v>202101</v>
      </c>
      <c r="G5537" s="112" t="s">
        <v>1091</v>
      </c>
      <c r="H5537" s="112" t="s">
        <v>1015</v>
      </c>
      <c r="I5537" s="112" t="s">
        <v>2495</v>
      </c>
      <c r="J5537" s="112" t="s">
        <v>3632</v>
      </c>
      <c r="K5537" s="112" t="s">
        <v>4550</v>
      </c>
      <c r="L5537" s="116">
        <v>-157.5</v>
      </c>
    </row>
    <row r="5538" spans="1:12" hidden="1" outlineLevel="1" collapsed="1" x14ac:dyDescent="0.35">
      <c r="A5538" s="112" t="s">
        <v>3616</v>
      </c>
      <c r="B5538" s="112" t="s">
        <v>921</v>
      </c>
      <c r="C5538" s="112" t="s">
        <v>695</v>
      </c>
      <c r="D5538" s="113">
        <v>10347981</v>
      </c>
      <c r="E5538" s="115">
        <v>43924</v>
      </c>
      <c r="F5538" s="114">
        <v>202101</v>
      </c>
      <c r="G5538" s="112" t="s">
        <v>1091</v>
      </c>
      <c r="H5538" s="112" t="s">
        <v>1015</v>
      </c>
      <c r="I5538" s="112" t="s">
        <v>2693</v>
      </c>
      <c r="J5538" s="112" t="s">
        <v>3620</v>
      </c>
      <c r="K5538" s="112" t="s">
        <v>4004</v>
      </c>
      <c r="L5538" s="116">
        <v>-100</v>
      </c>
    </row>
    <row r="5539" spans="1:12" hidden="1" outlineLevel="1" collapsed="1" x14ac:dyDescent="0.35">
      <c r="A5539" s="112" t="s">
        <v>3616</v>
      </c>
      <c r="B5539" s="112" t="s">
        <v>920</v>
      </c>
      <c r="C5539" s="112" t="s">
        <v>695</v>
      </c>
      <c r="D5539" s="113">
        <v>10347981</v>
      </c>
      <c r="E5539" s="115">
        <v>43924</v>
      </c>
      <c r="F5539" s="114">
        <v>202101</v>
      </c>
      <c r="G5539" s="112" t="s">
        <v>1091</v>
      </c>
      <c r="H5539" s="112" t="s">
        <v>1015</v>
      </c>
      <c r="I5539" s="112" t="s">
        <v>761</v>
      </c>
      <c r="J5539" s="112" t="s">
        <v>3755</v>
      </c>
      <c r="K5539" s="112" t="s">
        <v>4551</v>
      </c>
      <c r="L5539" s="116">
        <v>-68.709999999999994</v>
      </c>
    </row>
    <row r="5540" spans="1:12" hidden="1" outlineLevel="1" collapsed="1" x14ac:dyDescent="0.35">
      <c r="A5540" s="112" t="s">
        <v>3616</v>
      </c>
      <c r="B5540" s="112" t="s">
        <v>919</v>
      </c>
      <c r="C5540" s="112" t="s">
        <v>695</v>
      </c>
      <c r="D5540" s="113">
        <v>10347981</v>
      </c>
      <c r="E5540" s="115">
        <v>43924</v>
      </c>
      <c r="F5540" s="114">
        <v>202101</v>
      </c>
      <c r="G5540" s="112" t="s">
        <v>1091</v>
      </c>
      <c r="H5540" s="112" t="s">
        <v>1015</v>
      </c>
      <c r="I5540" s="112" t="s">
        <v>2495</v>
      </c>
      <c r="J5540" s="112" t="s">
        <v>3632</v>
      </c>
      <c r="K5540" s="112" t="s">
        <v>4552</v>
      </c>
      <c r="L5540" s="116">
        <v>-192.5</v>
      </c>
    </row>
    <row r="5541" spans="1:12" hidden="1" outlineLevel="1" collapsed="1" x14ac:dyDescent="0.35">
      <c r="A5541" s="112" t="s">
        <v>3616</v>
      </c>
      <c r="B5541" s="112" t="s">
        <v>920</v>
      </c>
      <c r="C5541" s="112" t="s">
        <v>695</v>
      </c>
      <c r="D5541" s="113">
        <v>10347981</v>
      </c>
      <c r="E5541" s="115">
        <v>43924</v>
      </c>
      <c r="F5541" s="114">
        <v>202101</v>
      </c>
      <c r="G5541" s="112" t="s">
        <v>1091</v>
      </c>
      <c r="H5541" s="112" t="s">
        <v>1015</v>
      </c>
      <c r="I5541" s="112" t="s">
        <v>761</v>
      </c>
      <c r="J5541" s="112" t="s">
        <v>3755</v>
      </c>
      <c r="K5541" s="112" t="s">
        <v>4553</v>
      </c>
      <c r="L5541" s="116">
        <v>-120</v>
      </c>
    </row>
    <row r="5542" spans="1:12" hidden="1" outlineLevel="1" collapsed="1" x14ac:dyDescent="0.35">
      <c r="A5542" s="112" t="s">
        <v>3616</v>
      </c>
      <c r="B5542" s="112" t="s">
        <v>922</v>
      </c>
      <c r="C5542" s="112" t="s">
        <v>1095</v>
      </c>
      <c r="D5542" s="113">
        <v>10348451</v>
      </c>
      <c r="E5542" s="115">
        <v>43949</v>
      </c>
      <c r="F5542" s="114">
        <v>202101</v>
      </c>
      <c r="G5542" s="112" t="s">
        <v>1091</v>
      </c>
      <c r="H5542" s="112" t="s">
        <v>1015</v>
      </c>
      <c r="I5542" s="112" t="s">
        <v>1096</v>
      </c>
      <c r="J5542" s="112" t="s">
        <v>3791</v>
      </c>
      <c r="K5542" s="112" t="s">
        <v>1098</v>
      </c>
      <c r="L5542" s="116">
        <v>262.10000000000002</v>
      </c>
    </row>
    <row r="5543" spans="1:12" hidden="1" outlineLevel="1" collapsed="1" x14ac:dyDescent="0.35">
      <c r="A5543" s="112" t="s">
        <v>3616</v>
      </c>
      <c r="B5543" s="112" t="s">
        <v>921</v>
      </c>
      <c r="C5543" s="112" t="s">
        <v>695</v>
      </c>
      <c r="D5543" s="113">
        <v>10347981</v>
      </c>
      <c r="E5543" s="115">
        <v>43924</v>
      </c>
      <c r="F5543" s="114">
        <v>202101</v>
      </c>
      <c r="G5543" s="112" t="s">
        <v>1091</v>
      </c>
      <c r="H5543" s="112" t="s">
        <v>1015</v>
      </c>
      <c r="I5543" s="112" t="s">
        <v>1182</v>
      </c>
      <c r="J5543" s="112" t="s">
        <v>3620</v>
      </c>
      <c r="K5543" s="112" t="s">
        <v>4554</v>
      </c>
      <c r="L5543" s="116">
        <v>-150</v>
      </c>
    </row>
    <row r="5544" spans="1:12" hidden="1" outlineLevel="1" collapsed="1" x14ac:dyDescent="0.35">
      <c r="A5544" s="112" t="s">
        <v>3616</v>
      </c>
      <c r="B5544" s="112" t="s">
        <v>920</v>
      </c>
      <c r="C5544" s="112" t="s">
        <v>695</v>
      </c>
      <c r="D5544" s="113">
        <v>10347981</v>
      </c>
      <c r="E5544" s="115">
        <v>43924</v>
      </c>
      <c r="F5544" s="114">
        <v>202101</v>
      </c>
      <c r="G5544" s="112" t="s">
        <v>1091</v>
      </c>
      <c r="H5544" s="112" t="s">
        <v>1015</v>
      </c>
      <c r="I5544" s="112" t="s">
        <v>761</v>
      </c>
      <c r="J5544" s="112" t="s">
        <v>3755</v>
      </c>
      <c r="K5544" s="112" t="s">
        <v>4006</v>
      </c>
      <c r="L5544" s="116">
        <v>-56</v>
      </c>
    </row>
    <row r="5545" spans="1:12" hidden="1" outlineLevel="1" collapsed="1" x14ac:dyDescent="0.35">
      <c r="A5545" s="112" t="s">
        <v>3616</v>
      </c>
      <c r="B5545" s="112" t="s">
        <v>922</v>
      </c>
      <c r="C5545" s="112" t="s">
        <v>695</v>
      </c>
      <c r="D5545" s="113">
        <v>10347981</v>
      </c>
      <c r="E5545" s="115">
        <v>43924</v>
      </c>
      <c r="F5545" s="114">
        <v>202101</v>
      </c>
      <c r="G5545" s="112" t="s">
        <v>1091</v>
      </c>
      <c r="H5545" s="112" t="s">
        <v>1015</v>
      </c>
      <c r="I5545" s="112" t="s">
        <v>761</v>
      </c>
      <c r="J5545" s="112" t="s">
        <v>3954</v>
      </c>
      <c r="K5545" s="112" t="s">
        <v>4555</v>
      </c>
      <c r="L5545" s="116">
        <v>-100</v>
      </c>
    </row>
    <row r="5546" spans="1:12" hidden="1" outlineLevel="1" collapsed="1" x14ac:dyDescent="0.35">
      <c r="A5546" s="112" t="s">
        <v>3616</v>
      </c>
      <c r="B5546" s="112" t="s">
        <v>922</v>
      </c>
      <c r="C5546" s="112" t="s">
        <v>695</v>
      </c>
      <c r="D5546" s="113">
        <v>10347981</v>
      </c>
      <c r="E5546" s="115">
        <v>43924</v>
      </c>
      <c r="F5546" s="114">
        <v>202101</v>
      </c>
      <c r="G5546" s="112" t="s">
        <v>1091</v>
      </c>
      <c r="H5546" s="112" t="s">
        <v>1015</v>
      </c>
      <c r="I5546" s="112" t="s">
        <v>3742</v>
      </c>
      <c r="J5546" s="112" t="s">
        <v>3784</v>
      </c>
      <c r="K5546" s="112" t="s">
        <v>4011</v>
      </c>
      <c r="L5546" s="116">
        <v>-48.7</v>
      </c>
    </row>
    <row r="5547" spans="1:12" hidden="1" outlineLevel="1" collapsed="1" x14ac:dyDescent="0.35">
      <c r="A5547" s="112" t="s">
        <v>3616</v>
      </c>
      <c r="B5547" s="112" t="s">
        <v>923</v>
      </c>
      <c r="C5547" s="112" t="s">
        <v>1095</v>
      </c>
      <c r="D5547" s="113">
        <v>10348451</v>
      </c>
      <c r="E5547" s="115">
        <v>43949</v>
      </c>
      <c r="F5547" s="114">
        <v>202101</v>
      </c>
      <c r="G5547" s="112" t="s">
        <v>1091</v>
      </c>
      <c r="H5547" s="112" t="s">
        <v>1015</v>
      </c>
      <c r="I5547" s="112" t="s">
        <v>1101</v>
      </c>
      <c r="J5547" s="112" t="s">
        <v>3750</v>
      </c>
      <c r="K5547" s="112" t="s">
        <v>1098</v>
      </c>
      <c r="L5547" s="116">
        <v>939.45</v>
      </c>
    </row>
    <row r="5548" spans="1:12" hidden="1" outlineLevel="1" collapsed="1" x14ac:dyDescent="0.35">
      <c r="A5548" s="112" t="s">
        <v>3616</v>
      </c>
      <c r="B5548" s="112" t="s">
        <v>921</v>
      </c>
      <c r="C5548" s="112" t="s">
        <v>695</v>
      </c>
      <c r="D5548" s="113">
        <v>10347981</v>
      </c>
      <c r="E5548" s="115">
        <v>43924</v>
      </c>
      <c r="F5548" s="114">
        <v>202101</v>
      </c>
      <c r="G5548" s="112" t="s">
        <v>1091</v>
      </c>
      <c r="H5548" s="112" t="s">
        <v>1015</v>
      </c>
      <c r="I5548" s="112" t="s">
        <v>2591</v>
      </c>
      <c r="J5548" s="112" t="s">
        <v>3620</v>
      </c>
      <c r="K5548" s="112" t="s">
        <v>4008</v>
      </c>
      <c r="L5548" s="116">
        <v>-11.59</v>
      </c>
    </row>
    <row r="5549" spans="1:12" hidden="1" outlineLevel="1" collapsed="1" x14ac:dyDescent="0.35">
      <c r="A5549" s="112" t="s">
        <v>3616</v>
      </c>
      <c r="B5549" s="112" t="s">
        <v>916</v>
      </c>
      <c r="C5549" s="112" t="s">
        <v>695</v>
      </c>
      <c r="D5549" s="113">
        <v>10347981</v>
      </c>
      <c r="E5549" s="115">
        <v>43924</v>
      </c>
      <c r="F5549" s="114">
        <v>202101</v>
      </c>
      <c r="G5549" s="112" t="s">
        <v>1091</v>
      </c>
      <c r="H5549" s="112" t="s">
        <v>1015</v>
      </c>
      <c r="I5549" s="112" t="s">
        <v>2591</v>
      </c>
      <c r="J5549" s="112" t="s">
        <v>3771</v>
      </c>
      <c r="K5549" s="112" t="s">
        <v>4556</v>
      </c>
      <c r="L5549" s="116">
        <v>-782</v>
      </c>
    </row>
    <row r="5550" spans="1:12" hidden="1" outlineLevel="1" collapsed="1" x14ac:dyDescent="0.35">
      <c r="A5550" s="112" t="s">
        <v>3616</v>
      </c>
      <c r="B5550" s="112" t="s">
        <v>922</v>
      </c>
      <c r="C5550" s="112" t="s">
        <v>695</v>
      </c>
      <c r="D5550" s="113">
        <v>10347981</v>
      </c>
      <c r="E5550" s="115">
        <v>43924</v>
      </c>
      <c r="F5550" s="114">
        <v>202101</v>
      </c>
      <c r="G5550" s="112" t="s">
        <v>1091</v>
      </c>
      <c r="H5550" s="112" t="s">
        <v>1015</v>
      </c>
      <c r="I5550" s="112" t="s">
        <v>761</v>
      </c>
      <c r="J5550" s="112" t="s">
        <v>3861</v>
      </c>
      <c r="K5550" s="112" t="s">
        <v>4557</v>
      </c>
      <c r="L5550" s="116">
        <v>-55</v>
      </c>
    </row>
    <row r="5551" spans="1:12" hidden="1" outlineLevel="1" collapsed="1" x14ac:dyDescent="0.35">
      <c r="A5551" s="112" t="s">
        <v>3616</v>
      </c>
      <c r="B5551" s="112" t="s">
        <v>919</v>
      </c>
      <c r="C5551" s="112" t="s">
        <v>1095</v>
      </c>
      <c r="D5551" s="113">
        <v>10348451</v>
      </c>
      <c r="E5551" s="115">
        <v>43949</v>
      </c>
      <c r="F5551" s="114">
        <v>202101</v>
      </c>
      <c r="G5551" s="112" t="s">
        <v>1091</v>
      </c>
      <c r="H5551" s="112" t="s">
        <v>1015</v>
      </c>
      <c r="I5551" s="112" t="s">
        <v>1101</v>
      </c>
      <c r="J5551" s="112" t="s">
        <v>3624</v>
      </c>
      <c r="K5551" s="112" t="s">
        <v>1098</v>
      </c>
      <c r="L5551" s="116">
        <v>445.84</v>
      </c>
    </row>
    <row r="5552" spans="1:12" hidden="1" outlineLevel="1" collapsed="1" x14ac:dyDescent="0.35">
      <c r="A5552" s="112" t="s">
        <v>3616</v>
      </c>
      <c r="B5552" s="112" t="s">
        <v>919</v>
      </c>
      <c r="C5552" s="112" t="s">
        <v>1095</v>
      </c>
      <c r="D5552" s="113">
        <v>10348451</v>
      </c>
      <c r="E5552" s="115">
        <v>43949</v>
      </c>
      <c r="F5552" s="114">
        <v>202101</v>
      </c>
      <c r="G5552" s="112" t="s">
        <v>1091</v>
      </c>
      <c r="H5552" s="112" t="s">
        <v>1015</v>
      </c>
      <c r="I5552" s="112" t="s">
        <v>3261</v>
      </c>
      <c r="J5552" s="112" t="s">
        <v>3632</v>
      </c>
      <c r="K5552" s="112" t="s">
        <v>1098</v>
      </c>
      <c r="L5552" s="116">
        <v>39.78</v>
      </c>
    </row>
    <row r="5553" spans="1:12" hidden="1" outlineLevel="1" collapsed="1" x14ac:dyDescent="0.35">
      <c r="A5553" s="112" t="s">
        <v>3616</v>
      </c>
      <c r="B5553" s="112" t="s">
        <v>918</v>
      </c>
      <c r="C5553" s="112" t="s">
        <v>1266</v>
      </c>
      <c r="D5553" s="113">
        <v>1069435</v>
      </c>
      <c r="E5553" s="115">
        <v>43928</v>
      </c>
      <c r="F5553" s="114">
        <v>202101</v>
      </c>
      <c r="G5553" s="112" t="s">
        <v>1091</v>
      </c>
      <c r="H5553" s="112" t="s">
        <v>1015</v>
      </c>
      <c r="I5553" s="112" t="s">
        <v>1868</v>
      </c>
      <c r="J5553" s="112" t="s">
        <v>3695</v>
      </c>
      <c r="K5553" s="112" t="s">
        <v>4558</v>
      </c>
      <c r="L5553" s="116">
        <v>2500</v>
      </c>
    </row>
    <row r="5554" spans="1:12" hidden="1" outlineLevel="1" collapsed="1" x14ac:dyDescent="0.35">
      <c r="A5554" s="112" t="s">
        <v>3616</v>
      </c>
      <c r="B5554" s="112" t="s">
        <v>920</v>
      </c>
      <c r="C5554" s="112" t="s">
        <v>695</v>
      </c>
      <c r="D5554" s="113">
        <v>10347981</v>
      </c>
      <c r="E5554" s="115">
        <v>43924</v>
      </c>
      <c r="F5554" s="114">
        <v>202101</v>
      </c>
      <c r="G5554" s="112" t="s">
        <v>1091</v>
      </c>
      <c r="H5554" s="112" t="s">
        <v>1015</v>
      </c>
      <c r="I5554" s="112" t="s">
        <v>761</v>
      </c>
      <c r="J5554" s="112" t="s">
        <v>3755</v>
      </c>
      <c r="K5554" s="112" t="s">
        <v>4559</v>
      </c>
      <c r="L5554" s="116">
        <v>-161</v>
      </c>
    </row>
    <row r="5555" spans="1:12" hidden="1" outlineLevel="1" collapsed="1" x14ac:dyDescent="0.35">
      <c r="A5555" s="112" t="s">
        <v>3616</v>
      </c>
      <c r="B5555" s="112" t="s">
        <v>923</v>
      </c>
      <c r="C5555" s="112" t="s">
        <v>695</v>
      </c>
      <c r="D5555" s="113">
        <v>10347981</v>
      </c>
      <c r="E5555" s="115">
        <v>43924</v>
      </c>
      <c r="F5555" s="114">
        <v>202101</v>
      </c>
      <c r="G5555" s="112" t="s">
        <v>1091</v>
      </c>
      <c r="H5555" s="112" t="s">
        <v>1015</v>
      </c>
      <c r="I5555" s="112" t="s">
        <v>1182</v>
      </c>
      <c r="J5555" s="112" t="s">
        <v>3750</v>
      </c>
      <c r="K5555" s="112" t="s">
        <v>4560</v>
      </c>
      <c r="L5555" s="116">
        <v>-124.51</v>
      </c>
    </row>
    <row r="5556" spans="1:12" hidden="1" outlineLevel="1" collapsed="1" x14ac:dyDescent="0.35">
      <c r="A5556" s="112" t="s">
        <v>3616</v>
      </c>
      <c r="B5556" s="112" t="s">
        <v>923</v>
      </c>
      <c r="C5556" s="112" t="s">
        <v>695</v>
      </c>
      <c r="D5556" s="113">
        <v>10347981</v>
      </c>
      <c r="E5556" s="115">
        <v>43924</v>
      </c>
      <c r="F5556" s="114">
        <v>202101</v>
      </c>
      <c r="G5556" s="112" t="s">
        <v>1091</v>
      </c>
      <c r="H5556" s="112" t="s">
        <v>1015</v>
      </c>
      <c r="I5556" s="112" t="s">
        <v>761</v>
      </c>
      <c r="J5556" s="112" t="s">
        <v>3750</v>
      </c>
      <c r="K5556" s="112" t="s">
        <v>4561</v>
      </c>
      <c r="L5556" s="116">
        <v>-79</v>
      </c>
    </row>
    <row r="5557" spans="1:12" hidden="1" outlineLevel="1" collapsed="1" x14ac:dyDescent="0.35">
      <c r="A5557" s="112" t="s">
        <v>3616</v>
      </c>
      <c r="B5557" s="112" t="s">
        <v>922</v>
      </c>
      <c r="C5557" s="112" t="s">
        <v>695</v>
      </c>
      <c r="D5557" s="113">
        <v>10347981</v>
      </c>
      <c r="E5557" s="115">
        <v>43924</v>
      </c>
      <c r="F5557" s="114">
        <v>202101</v>
      </c>
      <c r="G5557" s="112" t="s">
        <v>1091</v>
      </c>
      <c r="H5557" s="112" t="s">
        <v>1015</v>
      </c>
      <c r="I5557" s="112" t="s">
        <v>761</v>
      </c>
      <c r="J5557" s="112" t="s">
        <v>3791</v>
      </c>
      <c r="K5557" s="112" t="s">
        <v>4562</v>
      </c>
      <c r="L5557" s="116">
        <v>-60</v>
      </c>
    </row>
    <row r="5558" spans="1:12" hidden="1" outlineLevel="1" collapsed="1" x14ac:dyDescent="0.35">
      <c r="A5558" s="112" t="s">
        <v>3616</v>
      </c>
      <c r="B5558" s="112" t="s">
        <v>921</v>
      </c>
      <c r="C5558" s="112" t="s">
        <v>1106</v>
      </c>
      <c r="D5558" s="113">
        <v>3097339</v>
      </c>
      <c r="E5558" s="115">
        <v>43928</v>
      </c>
      <c r="F5558" s="114">
        <v>202101</v>
      </c>
      <c r="G5558" s="112" t="s">
        <v>1091</v>
      </c>
      <c r="H5558" s="112" t="s">
        <v>1015</v>
      </c>
      <c r="I5558" s="112" t="s">
        <v>1169</v>
      </c>
      <c r="J5558" s="112" t="s">
        <v>3620</v>
      </c>
      <c r="K5558" s="112" t="s">
        <v>4563</v>
      </c>
      <c r="L5558" s="116">
        <v>38.340000000000003</v>
      </c>
    </row>
    <row r="5559" spans="1:12" hidden="1" outlineLevel="1" collapsed="1" x14ac:dyDescent="0.35">
      <c r="A5559" s="112" t="s">
        <v>3616</v>
      </c>
      <c r="B5559" s="112" t="s">
        <v>919</v>
      </c>
      <c r="C5559" s="112" t="s">
        <v>1106</v>
      </c>
      <c r="D5559" s="113">
        <v>3096638</v>
      </c>
      <c r="E5559" s="115">
        <v>43921</v>
      </c>
      <c r="F5559" s="114">
        <v>202101</v>
      </c>
      <c r="G5559" s="112" t="s">
        <v>1091</v>
      </c>
      <c r="H5559" s="112" t="s">
        <v>1015</v>
      </c>
      <c r="I5559" s="112" t="s">
        <v>745</v>
      </c>
      <c r="J5559" s="112" t="s">
        <v>3628</v>
      </c>
      <c r="K5559" s="112" t="s">
        <v>4564</v>
      </c>
      <c r="L5559" s="116">
        <v>1775.8</v>
      </c>
    </row>
    <row r="5560" spans="1:12" hidden="1" outlineLevel="1" collapsed="1" x14ac:dyDescent="0.35">
      <c r="A5560" s="112" t="s">
        <v>3616</v>
      </c>
      <c r="B5560" s="112" t="s">
        <v>920</v>
      </c>
      <c r="C5560" s="112" t="s">
        <v>695</v>
      </c>
      <c r="D5560" s="113">
        <v>10347981</v>
      </c>
      <c r="E5560" s="115">
        <v>43924</v>
      </c>
      <c r="F5560" s="114">
        <v>202101</v>
      </c>
      <c r="G5560" s="112" t="s">
        <v>1091</v>
      </c>
      <c r="H5560" s="112" t="s">
        <v>1015</v>
      </c>
      <c r="I5560" s="112" t="s">
        <v>1201</v>
      </c>
      <c r="J5560" s="112" t="s">
        <v>3755</v>
      </c>
      <c r="K5560" s="112" t="s">
        <v>4565</v>
      </c>
      <c r="L5560" s="116">
        <v>-75.03</v>
      </c>
    </row>
    <row r="5561" spans="1:12" hidden="1" outlineLevel="1" collapsed="1" x14ac:dyDescent="0.35">
      <c r="A5561" s="112" t="s">
        <v>3616</v>
      </c>
      <c r="B5561" s="112" t="s">
        <v>919</v>
      </c>
      <c r="C5561" s="112" t="s">
        <v>695</v>
      </c>
      <c r="D5561" s="113">
        <v>10347981</v>
      </c>
      <c r="E5561" s="115">
        <v>43924</v>
      </c>
      <c r="F5561" s="114">
        <v>202101</v>
      </c>
      <c r="G5561" s="112" t="s">
        <v>1091</v>
      </c>
      <c r="H5561" s="112" t="s">
        <v>1015</v>
      </c>
      <c r="I5561" s="112" t="s">
        <v>1643</v>
      </c>
      <c r="J5561" s="112" t="s">
        <v>3628</v>
      </c>
      <c r="K5561" s="112" t="s">
        <v>4566</v>
      </c>
      <c r="L5561" s="116">
        <v>-90.16</v>
      </c>
    </row>
    <row r="5562" spans="1:12" hidden="1" outlineLevel="1" collapsed="1" x14ac:dyDescent="0.35">
      <c r="A5562" s="112" t="s">
        <v>3616</v>
      </c>
      <c r="B5562" s="112" t="s">
        <v>920</v>
      </c>
      <c r="C5562" s="112" t="s">
        <v>695</v>
      </c>
      <c r="D5562" s="113">
        <v>10347981</v>
      </c>
      <c r="E5562" s="115">
        <v>43924</v>
      </c>
      <c r="F5562" s="114">
        <v>202101</v>
      </c>
      <c r="G5562" s="112" t="s">
        <v>1091</v>
      </c>
      <c r="H5562" s="112" t="s">
        <v>1015</v>
      </c>
      <c r="I5562" s="112" t="s">
        <v>761</v>
      </c>
      <c r="J5562" s="112" t="s">
        <v>3755</v>
      </c>
      <c r="K5562" s="112" t="s">
        <v>4567</v>
      </c>
      <c r="L5562" s="116">
        <v>-240</v>
      </c>
    </row>
    <row r="5563" spans="1:12" hidden="1" outlineLevel="1" collapsed="1" x14ac:dyDescent="0.35">
      <c r="A5563" s="112" t="s">
        <v>3616</v>
      </c>
      <c r="B5563" s="112" t="s">
        <v>918</v>
      </c>
      <c r="C5563" s="112" t="s">
        <v>695</v>
      </c>
      <c r="D5563" s="113">
        <v>10348155</v>
      </c>
      <c r="E5563" s="115">
        <v>43929</v>
      </c>
      <c r="F5563" s="114">
        <v>202101</v>
      </c>
      <c r="G5563" s="112" t="s">
        <v>1091</v>
      </c>
      <c r="H5563" s="112" t="s">
        <v>1015</v>
      </c>
      <c r="I5563" s="112" t="s">
        <v>1092</v>
      </c>
      <c r="J5563" s="112" t="s">
        <v>3695</v>
      </c>
      <c r="K5563" s="112" t="s">
        <v>3749</v>
      </c>
      <c r="L5563" s="116">
        <v>51</v>
      </c>
    </row>
    <row r="5564" spans="1:12" hidden="1" outlineLevel="1" collapsed="1" x14ac:dyDescent="0.35">
      <c r="A5564" s="112" t="s">
        <v>3616</v>
      </c>
      <c r="B5564" s="112" t="s">
        <v>918</v>
      </c>
      <c r="C5564" s="112" t="s">
        <v>695</v>
      </c>
      <c r="D5564" s="113">
        <v>10348155</v>
      </c>
      <c r="E5564" s="115">
        <v>43929</v>
      </c>
      <c r="F5564" s="114">
        <v>202101</v>
      </c>
      <c r="G5564" s="112" t="s">
        <v>1091</v>
      </c>
      <c r="H5564" s="112" t="s">
        <v>1015</v>
      </c>
      <c r="I5564" s="112" t="s">
        <v>2591</v>
      </c>
      <c r="J5564" s="112" t="s">
        <v>3695</v>
      </c>
      <c r="K5564" s="112" t="s">
        <v>3741</v>
      </c>
      <c r="L5564" s="116">
        <v>50.39</v>
      </c>
    </row>
    <row r="5565" spans="1:12" hidden="1" outlineLevel="1" collapsed="1" x14ac:dyDescent="0.35">
      <c r="A5565" s="112" t="s">
        <v>3616</v>
      </c>
      <c r="B5565" s="112" t="s">
        <v>919</v>
      </c>
      <c r="C5565" s="112" t="s">
        <v>695</v>
      </c>
      <c r="D5565" s="113">
        <v>10348077</v>
      </c>
      <c r="E5565" s="115">
        <v>43929</v>
      </c>
      <c r="F5565" s="114">
        <v>202101</v>
      </c>
      <c r="G5565" s="112" t="s">
        <v>1091</v>
      </c>
      <c r="H5565" s="112" t="s">
        <v>1015</v>
      </c>
      <c r="I5565" s="112" t="s">
        <v>749</v>
      </c>
      <c r="J5565" s="112" t="s">
        <v>3634</v>
      </c>
      <c r="K5565" s="112" t="s">
        <v>4568</v>
      </c>
      <c r="L5565" s="116">
        <v>-1300</v>
      </c>
    </row>
    <row r="5566" spans="1:12" hidden="1" outlineLevel="1" collapsed="1" x14ac:dyDescent="0.35">
      <c r="A5566" s="112" t="s">
        <v>3616</v>
      </c>
      <c r="B5566" s="112" t="s">
        <v>920</v>
      </c>
      <c r="C5566" s="112" t="s">
        <v>695</v>
      </c>
      <c r="D5566" s="113">
        <v>10347981</v>
      </c>
      <c r="E5566" s="115">
        <v>43924</v>
      </c>
      <c r="F5566" s="114">
        <v>202101</v>
      </c>
      <c r="G5566" s="112" t="s">
        <v>1091</v>
      </c>
      <c r="H5566" s="112" t="s">
        <v>1015</v>
      </c>
      <c r="I5566" s="112" t="s">
        <v>761</v>
      </c>
      <c r="J5566" s="112" t="s">
        <v>3755</v>
      </c>
      <c r="K5566" s="112" t="s">
        <v>4569</v>
      </c>
      <c r="L5566" s="116">
        <v>-96</v>
      </c>
    </row>
    <row r="5567" spans="1:12" hidden="1" outlineLevel="1" collapsed="1" x14ac:dyDescent="0.35">
      <c r="A5567" s="112" t="s">
        <v>3616</v>
      </c>
      <c r="B5567" s="112" t="s">
        <v>919</v>
      </c>
      <c r="C5567" s="112" t="s">
        <v>695</v>
      </c>
      <c r="D5567" s="113">
        <v>10348077</v>
      </c>
      <c r="E5567" s="115">
        <v>43929</v>
      </c>
      <c r="F5567" s="114">
        <v>202101</v>
      </c>
      <c r="G5567" s="112" t="s">
        <v>1091</v>
      </c>
      <c r="H5567" s="112" t="s">
        <v>1015</v>
      </c>
      <c r="I5567" s="112" t="s">
        <v>751</v>
      </c>
      <c r="J5567" s="112" t="s">
        <v>3634</v>
      </c>
      <c r="K5567" s="112" t="s">
        <v>4570</v>
      </c>
      <c r="L5567" s="116">
        <v>-600</v>
      </c>
    </row>
    <row r="5568" spans="1:12" hidden="1" outlineLevel="1" collapsed="1" x14ac:dyDescent="0.35">
      <c r="A5568" s="112" t="s">
        <v>3616</v>
      </c>
      <c r="B5568" s="112" t="s">
        <v>919</v>
      </c>
      <c r="C5568" s="112" t="s">
        <v>695</v>
      </c>
      <c r="D5568" s="113">
        <v>10348077</v>
      </c>
      <c r="E5568" s="115">
        <v>43929</v>
      </c>
      <c r="F5568" s="114">
        <v>202101</v>
      </c>
      <c r="G5568" s="112" t="s">
        <v>1091</v>
      </c>
      <c r="H5568" s="112" t="s">
        <v>1015</v>
      </c>
      <c r="I5568" s="112" t="s">
        <v>751</v>
      </c>
      <c r="J5568" s="112" t="s">
        <v>3617</v>
      </c>
      <c r="K5568" s="112" t="s">
        <v>4571</v>
      </c>
      <c r="L5568" s="116">
        <v>-1400</v>
      </c>
    </row>
    <row r="5569" spans="1:12" hidden="1" outlineLevel="1" collapsed="1" x14ac:dyDescent="0.35">
      <c r="A5569" s="112" t="s">
        <v>3616</v>
      </c>
      <c r="B5569" s="112" t="s">
        <v>919</v>
      </c>
      <c r="C5569" s="112" t="s">
        <v>695</v>
      </c>
      <c r="D5569" s="113">
        <v>10348077</v>
      </c>
      <c r="E5569" s="115">
        <v>43929</v>
      </c>
      <c r="F5569" s="114">
        <v>202101</v>
      </c>
      <c r="G5569" s="112" t="s">
        <v>1091</v>
      </c>
      <c r="H5569" s="112" t="s">
        <v>1015</v>
      </c>
      <c r="I5569" s="112" t="s">
        <v>751</v>
      </c>
      <c r="J5569" s="112" t="s">
        <v>3617</v>
      </c>
      <c r="K5569" s="112" t="s">
        <v>4572</v>
      </c>
      <c r="L5569" s="116">
        <v>-400</v>
      </c>
    </row>
    <row r="5570" spans="1:12" hidden="1" outlineLevel="1" collapsed="1" x14ac:dyDescent="0.35">
      <c r="A5570" s="112" t="s">
        <v>3616</v>
      </c>
      <c r="B5570" s="112" t="s">
        <v>922</v>
      </c>
      <c r="C5570" s="112" t="s">
        <v>695</v>
      </c>
      <c r="D5570" s="113">
        <v>10347981</v>
      </c>
      <c r="E5570" s="115">
        <v>43924</v>
      </c>
      <c r="F5570" s="114">
        <v>202101</v>
      </c>
      <c r="G5570" s="112" t="s">
        <v>1091</v>
      </c>
      <c r="H5570" s="112" t="s">
        <v>1015</v>
      </c>
      <c r="I5570" s="112" t="s">
        <v>1137</v>
      </c>
      <c r="J5570" s="112" t="s">
        <v>3861</v>
      </c>
      <c r="K5570" s="112" t="s">
        <v>4573</v>
      </c>
      <c r="L5570" s="116">
        <v>-49</v>
      </c>
    </row>
    <row r="5571" spans="1:12" hidden="1" outlineLevel="1" collapsed="1" x14ac:dyDescent="0.35">
      <c r="A5571" s="112" t="s">
        <v>3616</v>
      </c>
      <c r="B5571" s="112" t="s">
        <v>919</v>
      </c>
      <c r="C5571" s="112" t="s">
        <v>695</v>
      </c>
      <c r="D5571" s="113">
        <v>10348077</v>
      </c>
      <c r="E5571" s="115">
        <v>43929</v>
      </c>
      <c r="F5571" s="114">
        <v>202101</v>
      </c>
      <c r="G5571" s="112" t="s">
        <v>1091</v>
      </c>
      <c r="H5571" s="112" t="s">
        <v>1015</v>
      </c>
      <c r="I5571" s="112" t="s">
        <v>757</v>
      </c>
      <c r="J5571" s="112" t="s">
        <v>3617</v>
      </c>
      <c r="K5571" s="112" t="s">
        <v>4574</v>
      </c>
      <c r="L5571" s="116">
        <v>-2000</v>
      </c>
    </row>
    <row r="5572" spans="1:12" hidden="1" outlineLevel="1" collapsed="1" x14ac:dyDescent="0.35">
      <c r="A5572" s="112" t="s">
        <v>3616</v>
      </c>
      <c r="B5572" s="112" t="s">
        <v>919</v>
      </c>
      <c r="C5572" s="112" t="s">
        <v>695</v>
      </c>
      <c r="D5572" s="113">
        <v>10348077</v>
      </c>
      <c r="E5572" s="115">
        <v>43929</v>
      </c>
      <c r="F5572" s="114">
        <v>202101</v>
      </c>
      <c r="G5572" s="112" t="s">
        <v>1091</v>
      </c>
      <c r="H5572" s="112" t="s">
        <v>1015</v>
      </c>
      <c r="I5572" s="112" t="s">
        <v>757</v>
      </c>
      <c r="J5572" s="112" t="s">
        <v>3617</v>
      </c>
      <c r="K5572" s="112" t="s">
        <v>4575</v>
      </c>
      <c r="L5572" s="116">
        <v>-600</v>
      </c>
    </row>
    <row r="5573" spans="1:12" hidden="1" outlineLevel="1" collapsed="1" x14ac:dyDescent="0.35">
      <c r="A5573" s="112" t="s">
        <v>3616</v>
      </c>
      <c r="B5573" s="112" t="s">
        <v>923</v>
      </c>
      <c r="C5573" s="112" t="s">
        <v>695</v>
      </c>
      <c r="D5573" s="113">
        <v>10347981</v>
      </c>
      <c r="E5573" s="115">
        <v>43924</v>
      </c>
      <c r="F5573" s="114">
        <v>202101</v>
      </c>
      <c r="G5573" s="112" t="s">
        <v>1091</v>
      </c>
      <c r="H5573" s="112" t="s">
        <v>1015</v>
      </c>
      <c r="I5573" s="112" t="s">
        <v>1246</v>
      </c>
      <c r="J5573" s="112" t="s">
        <v>3750</v>
      </c>
      <c r="K5573" s="112" t="s">
        <v>4576</v>
      </c>
      <c r="L5573" s="116">
        <v>-120</v>
      </c>
    </row>
    <row r="5574" spans="1:12" hidden="1" outlineLevel="1" collapsed="1" x14ac:dyDescent="0.35">
      <c r="A5574" s="112" t="s">
        <v>3616</v>
      </c>
      <c r="B5574" s="112" t="s">
        <v>921</v>
      </c>
      <c r="C5574" s="112" t="s">
        <v>695</v>
      </c>
      <c r="D5574" s="113">
        <v>10347981</v>
      </c>
      <c r="E5574" s="115">
        <v>43924</v>
      </c>
      <c r="F5574" s="114">
        <v>202101</v>
      </c>
      <c r="G5574" s="112" t="s">
        <v>1091</v>
      </c>
      <c r="H5574" s="112" t="s">
        <v>1015</v>
      </c>
      <c r="I5574" s="112" t="s">
        <v>2495</v>
      </c>
      <c r="J5574" s="112" t="s">
        <v>3620</v>
      </c>
      <c r="K5574" s="112" t="s">
        <v>3983</v>
      </c>
      <c r="L5574" s="116">
        <v>-600</v>
      </c>
    </row>
    <row r="5575" spans="1:12" hidden="1" outlineLevel="1" collapsed="1" x14ac:dyDescent="0.35">
      <c r="A5575" s="112" t="s">
        <v>3616</v>
      </c>
      <c r="B5575" s="112" t="s">
        <v>922</v>
      </c>
      <c r="C5575" s="112" t="s">
        <v>695</v>
      </c>
      <c r="D5575" s="113">
        <v>10347981</v>
      </c>
      <c r="E5575" s="115">
        <v>43924</v>
      </c>
      <c r="F5575" s="114">
        <v>202101</v>
      </c>
      <c r="G5575" s="112" t="s">
        <v>1091</v>
      </c>
      <c r="H5575" s="112" t="s">
        <v>1015</v>
      </c>
      <c r="I5575" s="112" t="s">
        <v>761</v>
      </c>
      <c r="J5575" s="112" t="s">
        <v>3766</v>
      </c>
      <c r="K5575" s="112" t="s">
        <v>4577</v>
      </c>
      <c r="L5575" s="116">
        <v>-320</v>
      </c>
    </row>
    <row r="5576" spans="1:12" hidden="1" outlineLevel="1" collapsed="1" x14ac:dyDescent="0.35">
      <c r="A5576" s="112" t="s">
        <v>3616</v>
      </c>
      <c r="B5576" s="112" t="s">
        <v>919</v>
      </c>
      <c r="C5576" s="112" t="s">
        <v>695</v>
      </c>
      <c r="D5576" s="113">
        <v>10348077</v>
      </c>
      <c r="E5576" s="115">
        <v>43929</v>
      </c>
      <c r="F5576" s="114">
        <v>202101</v>
      </c>
      <c r="G5576" s="112" t="s">
        <v>1091</v>
      </c>
      <c r="H5576" s="112" t="s">
        <v>1015</v>
      </c>
      <c r="I5576" s="112" t="s">
        <v>757</v>
      </c>
      <c r="J5576" s="112" t="s">
        <v>3634</v>
      </c>
      <c r="K5576" s="112" t="s">
        <v>4578</v>
      </c>
      <c r="L5576" s="116">
        <v>-1000</v>
      </c>
    </row>
    <row r="5577" spans="1:12" hidden="1" outlineLevel="1" collapsed="1" x14ac:dyDescent="0.35">
      <c r="A5577" s="112" t="s">
        <v>3616</v>
      </c>
      <c r="B5577" s="112" t="s">
        <v>919</v>
      </c>
      <c r="C5577" s="112" t="s">
        <v>695</v>
      </c>
      <c r="D5577" s="113">
        <v>10348077</v>
      </c>
      <c r="E5577" s="115">
        <v>43929</v>
      </c>
      <c r="F5577" s="114">
        <v>202101</v>
      </c>
      <c r="G5577" s="112" t="s">
        <v>1091</v>
      </c>
      <c r="H5577" s="112" t="s">
        <v>1015</v>
      </c>
      <c r="I5577" s="112" t="s">
        <v>749</v>
      </c>
      <c r="J5577" s="112" t="s">
        <v>3617</v>
      </c>
      <c r="K5577" s="112" t="s">
        <v>4579</v>
      </c>
      <c r="L5577" s="116">
        <v>-2800</v>
      </c>
    </row>
    <row r="5578" spans="1:12" hidden="1" outlineLevel="1" collapsed="1" x14ac:dyDescent="0.35">
      <c r="A5578" s="112" t="s">
        <v>3616</v>
      </c>
      <c r="B5578" s="112" t="s">
        <v>919</v>
      </c>
      <c r="C5578" s="112" t="s">
        <v>695</v>
      </c>
      <c r="D5578" s="113">
        <v>10348077</v>
      </c>
      <c r="E5578" s="115">
        <v>43929</v>
      </c>
      <c r="F5578" s="114">
        <v>202101</v>
      </c>
      <c r="G5578" s="112" t="s">
        <v>1091</v>
      </c>
      <c r="H5578" s="112" t="s">
        <v>1015</v>
      </c>
      <c r="I5578" s="112" t="s">
        <v>749</v>
      </c>
      <c r="J5578" s="112" t="s">
        <v>3617</v>
      </c>
      <c r="K5578" s="112" t="s">
        <v>4580</v>
      </c>
      <c r="L5578" s="116">
        <v>-1400</v>
      </c>
    </row>
    <row r="5579" spans="1:12" hidden="1" outlineLevel="1" collapsed="1" x14ac:dyDescent="0.35">
      <c r="A5579" s="112" t="s">
        <v>3616</v>
      </c>
      <c r="B5579" s="112" t="s">
        <v>919</v>
      </c>
      <c r="C5579" s="112" t="s">
        <v>695</v>
      </c>
      <c r="D5579" s="113">
        <v>10348077</v>
      </c>
      <c r="E5579" s="115">
        <v>43929</v>
      </c>
      <c r="F5579" s="114">
        <v>202101</v>
      </c>
      <c r="G5579" s="112" t="s">
        <v>1091</v>
      </c>
      <c r="H5579" s="112" t="s">
        <v>1015</v>
      </c>
      <c r="I5579" s="112" t="s">
        <v>749</v>
      </c>
      <c r="J5579" s="112" t="s">
        <v>3632</v>
      </c>
      <c r="K5579" s="112" t="s">
        <v>4581</v>
      </c>
      <c r="L5579" s="116">
        <v>-200</v>
      </c>
    </row>
    <row r="5580" spans="1:12" hidden="1" outlineLevel="1" collapsed="1" x14ac:dyDescent="0.35">
      <c r="A5580" s="112" t="s">
        <v>3616</v>
      </c>
      <c r="B5580" s="112" t="s">
        <v>919</v>
      </c>
      <c r="C5580" s="112" t="s">
        <v>695</v>
      </c>
      <c r="D5580" s="113">
        <v>10348077</v>
      </c>
      <c r="E5580" s="115">
        <v>43929</v>
      </c>
      <c r="F5580" s="114">
        <v>202101</v>
      </c>
      <c r="G5580" s="112" t="s">
        <v>1091</v>
      </c>
      <c r="H5580" s="112" t="s">
        <v>1015</v>
      </c>
      <c r="I5580" s="112" t="s">
        <v>749</v>
      </c>
      <c r="J5580" s="112" t="s">
        <v>3624</v>
      </c>
      <c r="K5580" s="112" t="s">
        <v>4582</v>
      </c>
      <c r="L5580" s="116">
        <v>-1700</v>
      </c>
    </row>
    <row r="5581" spans="1:12" hidden="1" outlineLevel="1" collapsed="1" x14ac:dyDescent="0.35">
      <c r="A5581" s="112" t="s">
        <v>3616</v>
      </c>
      <c r="B5581" s="112" t="s">
        <v>919</v>
      </c>
      <c r="C5581" s="112" t="s">
        <v>695</v>
      </c>
      <c r="D5581" s="113">
        <v>10348077</v>
      </c>
      <c r="E5581" s="115">
        <v>43929</v>
      </c>
      <c r="F5581" s="114">
        <v>202101</v>
      </c>
      <c r="G5581" s="112" t="s">
        <v>1091</v>
      </c>
      <c r="H5581" s="112" t="s">
        <v>1015</v>
      </c>
      <c r="I5581" s="112" t="s">
        <v>749</v>
      </c>
      <c r="J5581" s="112" t="s">
        <v>3628</v>
      </c>
      <c r="K5581" s="112" t="s">
        <v>4583</v>
      </c>
      <c r="L5581" s="116">
        <v>-200</v>
      </c>
    </row>
    <row r="5582" spans="1:12" hidden="1" outlineLevel="1" collapsed="1" x14ac:dyDescent="0.35">
      <c r="A5582" s="112" t="s">
        <v>3616</v>
      </c>
      <c r="B5582" s="112" t="s">
        <v>919</v>
      </c>
      <c r="C5582" s="112" t="s">
        <v>695</v>
      </c>
      <c r="D5582" s="113">
        <v>10347981</v>
      </c>
      <c r="E5582" s="115">
        <v>43924</v>
      </c>
      <c r="F5582" s="114">
        <v>202101</v>
      </c>
      <c r="G5582" s="112" t="s">
        <v>1091</v>
      </c>
      <c r="H5582" s="112" t="s">
        <v>1015</v>
      </c>
      <c r="I5582" s="112" t="s">
        <v>761</v>
      </c>
      <c r="J5582" s="112" t="s">
        <v>3628</v>
      </c>
      <c r="K5582" s="112" t="s">
        <v>4584</v>
      </c>
      <c r="L5582" s="116">
        <v>-595</v>
      </c>
    </row>
    <row r="5583" spans="1:12" hidden="1" outlineLevel="1" collapsed="1" x14ac:dyDescent="0.35">
      <c r="A5583" s="112" t="s">
        <v>3616</v>
      </c>
      <c r="B5583" s="112" t="s">
        <v>919</v>
      </c>
      <c r="C5583" s="112" t="s">
        <v>695</v>
      </c>
      <c r="D5583" s="113">
        <v>10347981</v>
      </c>
      <c r="E5583" s="115">
        <v>43924</v>
      </c>
      <c r="F5583" s="114">
        <v>202101</v>
      </c>
      <c r="G5583" s="112" t="s">
        <v>1091</v>
      </c>
      <c r="H5583" s="112" t="s">
        <v>1015</v>
      </c>
      <c r="I5583" s="112" t="s">
        <v>761</v>
      </c>
      <c r="J5583" s="112" t="s">
        <v>3628</v>
      </c>
      <c r="K5583" s="112" t="s">
        <v>4585</v>
      </c>
      <c r="L5583" s="116">
        <v>-595</v>
      </c>
    </row>
    <row r="5584" spans="1:12" hidden="1" outlineLevel="1" collapsed="1" x14ac:dyDescent="0.35">
      <c r="A5584" s="112" t="s">
        <v>3616</v>
      </c>
      <c r="B5584" s="112" t="s">
        <v>919</v>
      </c>
      <c r="C5584" s="112" t="s">
        <v>695</v>
      </c>
      <c r="D5584" s="113">
        <v>10348077</v>
      </c>
      <c r="E5584" s="115">
        <v>43929</v>
      </c>
      <c r="F5584" s="114">
        <v>202101</v>
      </c>
      <c r="G5584" s="112" t="s">
        <v>1091</v>
      </c>
      <c r="H5584" s="112" t="s">
        <v>1015</v>
      </c>
      <c r="I5584" s="112" t="s">
        <v>757</v>
      </c>
      <c r="J5584" s="112" t="s">
        <v>3632</v>
      </c>
      <c r="K5584" s="112" t="s">
        <v>4586</v>
      </c>
      <c r="L5584" s="116">
        <v>-1300</v>
      </c>
    </row>
    <row r="5585" spans="1:12" hidden="1" outlineLevel="1" collapsed="1" x14ac:dyDescent="0.35">
      <c r="A5585" s="112" t="s">
        <v>3616</v>
      </c>
      <c r="B5585" s="112" t="s">
        <v>919</v>
      </c>
      <c r="C5585" s="112" t="s">
        <v>695</v>
      </c>
      <c r="D5585" s="113">
        <v>10348077</v>
      </c>
      <c r="E5585" s="115">
        <v>43929</v>
      </c>
      <c r="F5585" s="114">
        <v>202101</v>
      </c>
      <c r="G5585" s="112" t="s">
        <v>1091</v>
      </c>
      <c r="H5585" s="112" t="s">
        <v>1015</v>
      </c>
      <c r="I5585" s="112" t="s">
        <v>757</v>
      </c>
      <c r="J5585" s="112" t="s">
        <v>3624</v>
      </c>
      <c r="K5585" s="112" t="s">
        <v>4587</v>
      </c>
      <c r="L5585" s="116">
        <v>-1800</v>
      </c>
    </row>
    <row r="5586" spans="1:12" hidden="1" outlineLevel="1" collapsed="1" x14ac:dyDescent="0.35">
      <c r="A5586" s="112" t="s">
        <v>3616</v>
      </c>
      <c r="B5586" s="112" t="s">
        <v>919</v>
      </c>
      <c r="C5586" s="112" t="s">
        <v>695</v>
      </c>
      <c r="D5586" s="113">
        <v>10348077</v>
      </c>
      <c r="E5586" s="115">
        <v>43929</v>
      </c>
      <c r="F5586" s="114">
        <v>202101</v>
      </c>
      <c r="G5586" s="112" t="s">
        <v>1091</v>
      </c>
      <c r="H5586" s="112" t="s">
        <v>1015</v>
      </c>
      <c r="I5586" s="112" t="s">
        <v>751</v>
      </c>
      <c r="J5586" s="112" t="s">
        <v>3632</v>
      </c>
      <c r="K5586" s="112" t="s">
        <v>4588</v>
      </c>
      <c r="L5586" s="116">
        <v>-600</v>
      </c>
    </row>
    <row r="5587" spans="1:12" hidden="1" outlineLevel="1" collapsed="1" x14ac:dyDescent="0.35">
      <c r="A5587" s="112" t="s">
        <v>3616</v>
      </c>
      <c r="B5587" s="112" t="s">
        <v>921</v>
      </c>
      <c r="C5587" s="112" t="s">
        <v>695</v>
      </c>
      <c r="D5587" s="113">
        <v>10347981</v>
      </c>
      <c r="E5587" s="115">
        <v>43924</v>
      </c>
      <c r="F5587" s="114">
        <v>202101</v>
      </c>
      <c r="G5587" s="112" t="s">
        <v>1091</v>
      </c>
      <c r="H5587" s="112" t="s">
        <v>1015</v>
      </c>
      <c r="I5587" s="112" t="s">
        <v>775</v>
      </c>
      <c r="J5587" s="112" t="s">
        <v>3709</v>
      </c>
      <c r="K5587" s="112" t="s">
        <v>4589</v>
      </c>
      <c r="L5587" s="116">
        <v>-475</v>
      </c>
    </row>
    <row r="5588" spans="1:12" hidden="1" outlineLevel="1" collapsed="1" x14ac:dyDescent="0.35">
      <c r="A5588" s="112" t="s">
        <v>3616</v>
      </c>
      <c r="B5588" s="112" t="s">
        <v>919</v>
      </c>
      <c r="C5588" s="112" t="s">
        <v>695</v>
      </c>
      <c r="D5588" s="113">
        <v>10348077</v>
      </c>
      <c r="E5588" s="115">
        <v>43929</v>
      </c>
      <c r="F5588" s="114">
        <v>202101</v>
      </c>
      <c r="G5588" s="112" t="s">
        <v>1091</v>
      </c>
      <c r="H5588" s="112" t="s">
        <v>1015</v>
      </c>
      <c r="I5588" s="112" t="s">
        <v>751</v>
      </c>
      <c r="J5588" s="112" t="s">
        <v>3624</v>
      </c>
      <c r="K5588" s="112" t="s">
        <v>4590</v>
      </c>
      <c r="L5588" s="116">
        <v>-1100</v>
      </c>
    </row>
    <row r="5589" spans="1:12" hidden="1" outlineLevel="1" collapsed="1" x14ac:dyDescent="0.35">
      <c r="A5589" s="112" t="s">
        <v>3616</v>
      </c>
      <c r="B5589" s="112" t="s">
        <v>919</v>
      </c>
      <c r="C5589" s="112" t="s">
        <v>695</v>
      </c>
      <c r="D5589" s="113">
        <v>10348077</v>
      </c>
      <c r="E5589" s="115">
        <v>43929</v>
      </c>
      <c r="F5589" s="114">
        <v>202101</v>
      </c>
      <c r="G5589" s="112" t="s">
        <v>1091</v>
      </c>
      <c r="H5589" s="112" t="s">
        <v>1015</v>
      </c>
      <c r="I5589" s="112" t="s">
        <v>751</v>
      </c>
      <c r="J5589" s="112" t="s">
        <v>3628</v>
      </c>
      <c r="K5589" s="112" t="s">
        <v>4591</v>
      </c>
      <c r="L5589" s="116">
        <v>-100</v>
      </c>
    </row>
    <row r="5590" spans="1:12" hidden="1" outlineLevel="1" collapsed="1" x14ac:dyDescent="0.35">
      <c r="A5590" s="112" t="s">
        <v>3616</v>
      </c>
      <c r="B5590" s="112" t="s">
        <v>919</v>
      </c>
      <c r="C5590" s="112" t="s">
        <v>695</v>
      </c>
      <c r="D5590" s="113">
        <v>10348077</v>
      </c>
      <c r="E5590" s="115">
        <v>43929</v>
      </c>
      <c r="F5590" s="114">
        <v>202101</v>
      </c>
      <c r="G5590" s="112" t="s">
        <v>1091</v>
      </c>
      <c r="H5590" s="112" t="s">
        <v>1015</v>
      </c>
      <c r="I5590" s="112" t="s">
        <v>757</v>
      </c>
      <c r="J5590" s="112" t="s">
        <v>3628</v>
      </c>
      <c r="K5590" s="112" t="s">
        <v>4592</v>
      </c>
      <c r="L5590" s="116">
        <v>-500</v>
      </c>
    </row>
    <row r="5591" spans="1:12" hidden="1" outlineLevel="1" collapsed="1" x14ac:dyDescent="0.35">
      <c r="A5591" s="112" t="s">
        <v>3616</v>
      </c>
      <c r="B5591" s="112" t="s">
        <v>923</v>
      </c>
      <c r="C5591" s="112" t="s">
        <v>695</v>
      </c>
      <c r="D5591" s="113">
        <v>10347981</v>
      </c>
      <c r="E5591" s="115">
        <v>43924</v>
      </c>
      <c r="F5591" s="114">
        <v>202101</v>
      </c>
      <c r="G5591" s="112" t="s">
        <v>1091</v>
      </c>
      <c r="H5591" s="112" t="s">
        <v>1015</v>
      </c>
      <c r="I5591" s="112" t="s">
        <v>1471</v>
      </c>
      <c r="J5591" s="112" t="s">
        <v>3750</v>
      </c>
      <c r="K5591" s="112" t="s">
        <v>4593</v>
      </c>
      <c r="L5591" s="116">
        <v>-10</v>
      </c>
    </row>
    <row r="5592" spans="1:12" hidden="1" outlineLevel="1" collapsed="1" x14ac:dyDescent="0.35">
      <c r="A5592" s="112" t="s">
        <v>3616</v>
      </c>
      <c r="B5592" s="112" t="s">
        <v>922</v>
      </c>
      <c r="C5592" s="112" t="s">
        <v>695</v>
      </c>
      <c r="D5592" s="113">
        <v>10347981</v>
      </c>
      <c r="E5592" s="115">
        <v>43924</v>
      </c>
      <c r="F5592" s="114">
        <v>202101</v>
      </c>
      <c r="G5592" s="112" t="s">
        <v>1091</v>
      </c>
      <c r="H5592" s="112" t="s">
        <v>1015</v>
      </c>
      <c r="I5592" s="112" t="s">
        <v>1104</v>
      </c>
      <c r="J5592" s="112" t="s">
        <v>3784</v>
      </c>
      <c r="K5592" s="112" t="s">
        <v>4018</v>
      </c>
      <c r="L5592" s="116">
        <v>-127</v>
      </c>
    </row>
    <row r="5593" spans="1:12" hidden="1" outlineLevel="1" collapsed="1" x14ac:dyDescent="0.35">
      <c r="A5593" s="112" t="s">
        <v>3616</v>
      </c>
      <c r="B5593" s="112" t="s">
        <v>921</v>
      </c>
      <c r="C5593" s="112" t="s">
        <v>1095</v>
      </c>
      <c r="D5593" s="113">
        <v>10348451</v>
      </c>
      <c r="E5593" s="115">
        <v>43949</v>
      </c>
      <c r="F5593" s="114">
        <v>202101</v>
      </c>
      <c r="G5593" s="112" t="s">
        <v>1091</v>
      </c>
      <c r="H5593" s="112" t="s">
        <v>1015</v>
      </c>
      <c r="I5593" s="112" t="s">
        <v>3261</v>
      </c>
      <c r="J5593" s="112" t="s">
        <v>3620</v>
      </c>
      <c r="K5593" s="112" t="s">
        <v>1098</v>
      </c>
      <c r="L5593" s="116">
        <v>159.32</v>
      </c>
    </row>
    <row r="5594" spans="1:12" hidden="1" outlineLevel="1" collapsed="1" x14ac:dyDescent="0.35">
      <c r="A5594" s="112" t="s">
        <v>3616</v>
      </c>
      <c r="B5594" s="112" t="s">
        <v>921</v>
      </c>
      <c r="C5594" s="112" t="s">
        <v>1511</v>
      </c>
      <c r="D5594" s="113">
        <v>47036958</v>
      </c>
      <c r="E5594" s="115">
        <v>43915</v>
      </c>
      <c r="F5594" s="114">
        <v>202101</v>
      </c>
      <c r="G5594" s="112" t="s">
        <v>1091</v>
      </c>
      <c r="H5594" s="112" t="s">
        <v>1015</v>
      </c>
      <c r="I5594" s="112" t="s">
        <v>757</v>
      </c>
      <c r="J5594" s="112" t="s">
        <v>3622</v>
      </c>
      <c r="K5594" s="112" t="s">
        <v>4594</v>
      </c>
      <c r="L5594" s="116">
        <v>7.77</v>
      </c>
    </row>
    <row r="5595" spans="1:12" hidden="1" outlineLevel="1" collapsed="1" x14ac:dyDescent="0.35">
      <c r="A5595" s="112" t="s">
        <v>3616</v>
      </c>
      <c r="B5595" s="112" t="s">
        <v>922</v>
      </c>
      <c r="C5595" s="112" t="s">
        <v>695</v>
      </c>
      <c r="D5595" s="113">
        <v>10347981</v>
      </c>
      <c r="E5595" s="115">
        <v>43924</v>
      </c>
      <c r="F5595" s="114">
        <v>202101</v>
      </c>
      <c r="G5595" s="112" t="s">
        <v>1091</v>
      </c>
      <c r="H5595" s="112" t="s">
        <v>1015</v>
      </c>
      <c r="I5595" s="112" t="s">
        <v>3742</v>
      </c>
      <c r="J5595" s="112" t="s">
        <v>3784</v>
      </c>
      <c r="K5595" s="112" t="s">
        <v>4011</v>
      </c>
      <c r="L5595" s="116">
        <v>-10.41</v>
      </c>
    </row>
    <row r="5596" spans="1:12" hidden="1" outlineLevel="1" collapsed="1" x14ac:dyDescent="0.35">
      <c r="A5596" s="112" t="s">
        <v>3616</v>
      </c>
      <c r="B5596" s="112" t="s">
        <v>923</v>
      </c>
      <c r="C5596" s="112" t="s">
        <v>695</v>
      </c>
      <c r="D5596" s="113">
        <v>10347981</v>
      </c>
      <c r="E5596" s="115">
        <v>43924</v>
      </c>
      <c r="F5596" s="114">
        <v>202101</v>
      </c>
      <c r="G5596" s="112" t="s">
        <v>1091</v>
      </c>
      <c r="H5596" s="112" t="s">
        <v>1015</v>
      </c>
      <c r="I5596" s="112" t="s">
        <v>1102</v>
      </c>
      <c r="J5596" s="112" t="s">
        <v>3750</v>
      </c>
      <c r="K5596" s="112" t="s">
        <v>4595</v>
      </c>
      <c r="L5596" s="116">
        <v>-250</v>
      </c>
    </row>
    <row r="5597" spans="1:12" hidden="1" outlineLevel="1" collapsed="1" x14ac:dyDescent="0.35">
      <c r="A5597" s="112" t="s">
        <v>3616</v>
      </c>
      <c r="B5597" s="112" t="s">
        <v>922</v>
      </c>
      <c r="C5597" s="112" t="s">
        <v>695</v>
      </c>
      <c r="D5597" s="113">
        <v>10347981</v>
      </c>
      <c r="E5597" s="115">
        <v>43924</v>
      </c>
      <c r="F5597" s="114">
        <v>202101</v>
      </c>
      <c r="G5597" s="112" t="s">
        <v>1091</v>
      </c>
      <c r="H5597" s="112" t="s">
        <v>1015</v>
      </c>
      <c r="I5597" s="112" t="s">
        <v>775</v>
      </c>
      <c r="J5597" s="112" t="s">
        <v>3861</v>
      </c>
      <c r="K5597" s="112" t="s">
        <v>4557</v>
      </c>
      <c r="L5597" s="116">
        <v>-100.8</v>
      </c>
    </row>
    <row r="5598" spans="1:12" hidden="1" outlineLevel="1" collapsed="1" x14ac:dyDescent="0.35">
      <c r="A5598" s="112" t="s">
        <v>3616</v>
      </c>
      <c r="B5598" s="112" t="s">
        <v>922</v>
      </c>
      <c r="C5598" s="112" t="s">
        <v>695</v>
      </c>
      <c r="D5598" s="113">
        <v>10347981</v>
      </c>
      <c r="E5598" s="115">
        <v>43924</v>
      </c>
      <c r="F5598" s="114">
        <v>202101</v>
      </c>
      <c r="G5598" s="112" t="s">
        <v>1091</v>
      </c>
      <c r="H5598" s="112" t="s">
        <v>1015</v>
      </c>
      <c r="I5598" s="112" t="s">
        <v>761</v>
      </c>
      <c r="J5598" s="112" t="s">
        <v>3861</v>
      </c>
      <c r="K5598" s="112" t="s">
        <v>4596</v>
      </c>
      <c r="L5598" s="116">
        <v>-30</v>
      </c>
    </row>
    <row r="5599" spans="1:12" hidden="1" outlineLevel="1" collapsed="1" x14ac:dyDescent="0.35">
      <c r="A5599" s="112" t="s">
        <v>3616</v>
      </c>
      <c r="B5599" s="112" t="s">
        <v>922</v>
      </c>
      <c r="C5599" s="112" t="s">
        <v>695</v>
      </c>
      <c r="D5599" s="113">
        <v>10347981</v>
      </c>
      <c r="E5599" s="115">
        <v>43924</v>
      </c>
      <c r="F5599" s="114">
        <v>202101</v>
      </c>
      <c r="G5599" s="112" t="s">
        <v>1091</v>
      </c>
      <c r="H5599" s="112" t="s">
        <v>1015</v>
      </c>
      <c r="I5599" s="112" t="s">
        <v>2495</v>
      </c>
      <c r="J5599" s="112" t="s">
        <v>3805</v>
      </c>
      <c r="K5599" s="112" t="s">
        <v>4597</v>
      </c>
      <c r="L5599" s="116">
        <v>-40</v>
      </c>
    </row>
    <row r="5600" spans="1:12" hidden="1" outlineLevel="1" collapsed="1" x14ac:dyDescent="0.35">
      <c r="A5600" s="112" t="s">
        <v>3616</v>
      </c>
      <c r="B5600" s="112" t="s">
        <v>921</v>
      </c>
      <c r="C5600" s="112" t="s">
        <v>695</v>
      </c>
      <c r="D5600" s="113">
        <v>10347981</v>
      </c>
      <c r="E5600" s="115">
        <v>43924</v>
      </c>
      <c r="F5600" s="114">
        <v>202101</v>
      </c>
      <c r="G5600" s="112" t="s">
        <v>1091</v>
      </c>
      <c r="H5600" s="112" t="s">
        <v>1015</v>
      </c>
      <c r="I5600" s="112" t="s">
        <v>1124</v>
      </c>
      <c r="J5600" s="112" t="s">
        <v>3709</v>
      </c>
      <c r="K5600" s="112" t="s">
        <v>4598</v>
      </c>
      <c r="L5600" s="116">
        <v>-60</v>
      </c>
    </row>
    <row r="5601" spans="1:12" hidden="1" outlineLevel="1" collapsed="1" x14ac:dyDescent="0.35">
      <c r="A5601" s="112" t="s">
        <v>3616</v>
      </c>
      <c r="B5601" s="112" t="s">
        <v>922</v>
      </c>
      <c r="C5601" s="112" t="s">
        <v>695</v>
      </c>
      <c r="D5601" s="113">
        <v>10347981</v>
      </c>
      <c r="E5601" s="115">
        <v>43924</v>
      </c>
      <c r="F5601" s="114">
        <v>202101</v>
      </c>
      <c r="G5601" s="112" t="s">
        <v>1091</v>
      </c>
      <c r="H5601" s="112" t="s">
        <v>1015</v>
      </c>
      <c r="I5601" s="112" t="s">
        <v>761</v>
      </c>
      <c r="J5601" s="112" t="s">
        <v>3766</v>
      </c>
      <c r="K5601" s="112" t="s">
        <v>4599</v>
      </c>
      <c r="L5601" s="116">
        <v>-720</v>
      </c>
    </row>
    <row r="5602" spans="1:12" hidden="1" outlineLevel="1" collapsed="1" x14ac:dyDescent="0.35">
      <c r="A5602" s="112" t="s">
        <v>3616</v>
      </c>
      <c r="B5602" s="112" t="s">
        <v>916</v>
      </c>
      <c r="C5602" s="112" t="s">
        <v>695</v>
      </c>
      <c r="D5602" s="113">
        <v>10347981</v>
      </c>
      <c r="E5602" s="115">
        <v>43924</v>
      </c>
      <c r="F5602" s="114">
        <v>202101</v>
      </c>
      <c r="G5602" s="112" t="s">
        <v>1091</v>
      </c>
      <c r="H5602" s="112" t="s">
        <v>1015</v>
      </c>
      <c r="I5602" s="112" t="s">
        <v>3478</v>
      </c>
      <c r="J5602" s="112" t="s">
        <v>3771</v>
      </c>
      <c r="K5602" s="112" t="s">
        <v>4600</v>
      </c>
      <c r="L5602" s="116">
        <v>-49.5</v>
      </c>
    </row>
    <row r="5603" spans="1:12" hidden="1" outlineLevel="1" collapsed="1" x14ac:dyDescent="0.35">
      <c r="A5603" s="112" t="s">
        <v>3616</v>
      </c>
      <c r="B5603" s="112" t="s">
        <v>918</v>
      </c>
      <c r="C5603" s="112" t="s">
        <v>1266</v>
      </c>
      <c r="D5603" s="113">
        <v>1069433</v>
      </c>
      <c r="E5603" s="115">
        <v>43928</v>
      </c>
      <c r="F5603" s="114">
        <v>202101</v>
      </c>
      <c r="G5603" s="112" t="s">
        <v>1091</v>
      </c>
      <c r="H5603" s="112" t="s">
        <v>1015</v>
      </c>
      <c r="I5603" s="112" t="s">
        <v>1868</v>
      </c>
      <c r="J5603" s="112" t="s">
        <v>3695</v>
      </c>
      <c r="K5603" s="112" t="s">
        <v>4558</v>
      </c>
      <c r="L5603" s="116">
        <v>2500</v>
      </c>
    </row>
    <row r="5604" spans="1:12" hidden="1" outlineLevel="1" collapsed="1" x14ac:dyDescent="0.35">
      <c r="A5604" s="112" t="s">
        <v>3616</v>
      </c>
      <c r="B5604" s="112" t="s">
        <v>922</v>
      </c>
      <c r="C5604" s="112" t="s">
        <v>695</v>
      </c>
      <c r="D5604" s="113">
        <v>10347981</v>
      </c>
      <c r="E5604" s="115">
        <v>43924</v>
      </c>
      <c r="F5604" s="114">
        <v>202101</v>
      </c>
      <c r="G5604" s="112" t="s">
        <v>1091</v>
      </c>
      <c r="H5604" s="112" t="s">
        <v>1015</v>
      </c>
      <c r="I5604" s="112" t="s">
        <v>761</v>
      </c>
      <c r="J5604" s="112" t="s">
        <v>3791</v>
      </c>
      <c r="K5604" s="112" t="s">
        <v>4601</v>
      </c>
      <c r="L5604" s="116">
        <v>-380</v>
      </c>
    </row>
    <row r="5605" spans="1:12" hidden="1" outlineLevel="1" collapsed="1" x14ac:dyDescent="0.35">
      <c r="A5605" s="112" t="s">
        <v>3616</v>
      </c>
      <c r="B5605" s="112" t="s">
        <v>922</v>
      </c>
      <c r="C5605" s="112" t="s">
        <v>695</v>
      </c>
      <c r="D5605" s="113">
        <v>10347981</v>
      </c>
      <c r="E5605" s="115">
        <v>43924</v>
      </c>
      <c r="F5605" s="114">
        <v>202101</v>
      </c>
      <c r="G5605" s="112" t="s">
        <v>1091</v>
      </c>
      <c r="H5605" s="112" t="s">
        <v>1015</v>
      </c>
      <c r="I5605" s="112" t="s">
        <v>761</v>
      </c>
      <c r="J5605" s="112" t="s">
        <v>3766</v>
      </c>
      <c r="K5605" s="112" t="s">
        <v>4602</v>
      </c>
      <c r="L5605" s="116">
        <v>-500</v>
      </c>
    </row>
    <row r="5606" spans="1:12" hidden="1" outlineLevel="1" collapsed="1" x14ac:dyDescent="0.35">
      <c r="A5606" s="112" t="s">
        <v>3616</v>
      </c>
      <c r="B5606" s="112" t="s">
        <v>922</v>
      </c>
      <c r="C5606" s="112" t="s">
        <v>695</v>
      </c>
      <c r="D5606" s="113">
        <v>10347981</v>
      </c>
      <c r="E5606" s="115">
        <v>43924</v>
      </c>
      <c r="F5606" s="114">
        <v>202101</v>
      </c>
      <c r="G5606" s="112" t="s">
        <v>1091</v>
      </c>
      <c r="H5606" s="112" t="s">
        <v>1015</v>
      </c>
      <c r="I5606" s="112" t="s">
        <v>3790</v>
      </c>
      <c r="J5606" s="112" t="s">
        <v>3791</v>
      </c>
      <c r="K5606" s="112" t="s">
        <v>4603</v>
      </c>
      <c r="L5606" s="116">
        <v>-1880.79</v>
      </c>
    </row>
    <row r="5607" spans="1:12" hidden="1" outlineLevel="1" collapsed="1" x14ac:dyDescent="0.35">
      <c r="A5607" s="112" t="s">
        <v>3616</v>
      </c>
      <c r="B5607" s="112" t="s">
        <v>920</v>
      </c>
      <c r="C5607" s="112" t="s">
        <v>695</v>
      </c>
      <c r="D5607" s="113">
        <v>10347981</v>
      </c>
      <c r="E5607" s="115">
        <v>43924</v>
      </c>
      <c r="F5607" s="114">
        <v>202101</v>
      </c>
      <c r="G5607" s="112" t="s">
        <v>1091</v>
      </c>
      <c r="H5607" s="112" t="s">
        <v>1015</v>
      </c>
      <c r="I5607" s="112" t="s">
        <v>1182</v>
      </c>
      <c r="J5607" s="112" t="s">
        <v>4179</v>
      </c>
      <c r="K5607" s="112" t="s">
        <v>4425</v>
      </c>
      <c r="L5607" s="116">
        <v>-188.73</v>
      </c>
    </row>
    <row r="5608" spans="1:12" hidden="1" outlineLevel="1" collapsed="1" x14ac:dyDescent="0.35">
      <c r="A5608" s="112" t="s">
        <v>3616</v>
      </c>
      <c r="B5608" s="112" t="s">
        <v>919</v>
      </c>
      <c r="C5608" s="112" t="s">
        <v>695</v>
      </c>
      <c r="D5608" s="113">
        <v>10347981</v>
      </c>
      <c r="E5608" s="115">
        <v>43924</v>
      </c>
      <c r="F5608" s="114">
        <v>202101</v>
      </c>
      <c r="G5608" s="112" t="s">
        <v>1091</v>
      </c>
      <c r="H5608" s="112" t="s">
        <v>1015</v>
      </c>
      <c r="I5608" s="112" t="s">
        <v>1643</v>
      </c>
      <c r="J5608" s="112" t="s">
        <v>3628</v>
      </c>
      <c r="K5608" s="112" t="s">
        <v>4604</v>
      </c>
      <c r="L5608" s="116">
        <v>-200</v>
      </c>
    </row>
    <row r="5609" spans="1:12" hidden="1" outlineLevel="1" collapsed="1" x14ac:dyDescent="0.35">
      <c r="A5609" s="112" t="s">
        <v>3616</v>
      </c>
      <c r="B5609" s="112" t="s">
        <v>922</v>
      </c>
      <c r="C5609" s="112" t="s">
        <v>695</v>
      </c>
      <c r="D5609" s="113">
        <v>10347981</v>
      </c>
      <c r="E5609" s="115">
        <v>43924</v>
      </c>
      <c r="F5609" s="114">
        <v>202101</v>
      </c>
      <c r="G5609" s="112" t="s">
        <v>1091</v>
      </c>
      <c r="H5609" s="112" t="s">
        <v>1015</v>
      </c>
      <c r="I5609" s="112" t="s">
        <v>3790</v>
      </c>
      <c r="J5609" s="112" t="s">
        <v>3791</v>
      </c>
      <c r="K5609" s="112" t="s">
        <v>4605</v>
      </c>
      <c r="L5609" s="116">
        <v>-141.97999999999999</v>
      </c>
    </row>
    <row r="5610" spans="1:12" hidden="1" outlineLevel="1" collapsed="1" x14ac:dyDescent="0.35">
      <c r="A5610" s="112" t="s">
        <v>3616</v>
      </c>
      <c r="B5610" s="112" t="s">
        <v>918</v>
      </c>
      <c r="C5610" s="112" t="s">
        <v>695</v>
      </c>
      <c r="D5610" s="113">
        <v>10348155</v>
      </c>
      <c r="E5610" s="115">
        <v>43929</v>
      </c>
      <c r="F5610" s="114">
        <v>202101</v>
      </c>
      <c r="G5610" s="112" t="s">
        <v>1091</v>
      </c>
      <c r="H5610" s="112" t="s">
        <v>1015</v>
      </c>
      <c r="I5610" s="112" t="s">
        <v>1868</v>
      </c>
      <c r="J5610" s="112" t="s">
        <v>3695</v>
      </c>
      <c r="K5610" s="112" t="s">
        <v>3723</v>
      </c>
      <c r="L5610" s="116">
        <v>1000</v>
      </c>
    </row>
    <row r="5611" spans="1:12" hidden="1" outlineLevel="1" collapsed="1" x14ac:dyDescent="0.35">
      <c r="A5611" s="112" t="s">
        <v>3616</v>
      </c>
      <c r="B5611" s="112" t="s">
        <v>921</v>
      </c>
      <c r="C5611" s="112" t="s">
        <v>695</v>
      </c>
      <c r="D5611" s="113">
        <v>10347981</v>
      </c>
      <c r="E5611" s="115">
        <v>43924</v>
      </c>
      <c r="F5611" s="114">
        <v>202101</v>
      </c>
      <c r="G5611" s="112" t="s">
        <v>1091</v>
      </c>
      <c r="H5611" s="112" t="s">
        <v>1015</v>
      </c>
      <c r="I5611" s="112" t="s">
        <v>1643</v>
      </c>
      <c r="J5611" s="112" t="s">
        <v>3620</v>
      </c>
      <c r="K5611" s="112" t="s">
        <v>4606</v>
      </c>
      <c r="L5611" s="116">
        <v>-260</v>
      </c>
    </row>
    <row r="5612" spans="1:12" hidden="1" outlineLevel="1" collapsed="1" x14ac:dyDescent="0.35">
      <c r="A5612" s="112" t="s">
        <v>3616</v>
      </c>
      <c r="B5612" s="112" t="s">
        <v>919</v>
      </c>
      <c r="C5612" s="112" t="s">
        <v>695</v>
      </c>
      <c r="D5612" s="113">
        <v>10348077</v>
      </c>
      <c r="E5612" s="115">
        <v>43929</v>
      </c>
      <c r="F5612" s="114">
        <v>202101</v>
      </c>
      <c r="G5612" s="112" t="s">
        <v>1091</v>
      </c>
      <c r="H5612" s="112" t="s">
        <v>1015</v>
      </c>
      <c r="I5612" s="112" t="s">
        <v>749</v>
      </c>
      <c r="J5612" s="112" t="s">
        <v>3632</v>
      </c>
      <c r="K5612" s="112" t="s">
        <v>4607</v>
      </c>
      <c r="L5612" s="116">
        <v>-1500</v>
      </c>
    </row>
    <row r="5613" spans="1:12" hidden="1" outlineLevel="1" collapsed="1" x14ac:dyDescent="0.35">
      <c r="A5613" s="112" t="s">
        <v>3616</v>
      </c>
      <c r="B5613" s="112" t="s">
        <v>918</v>
      </c>
      <c r="C5613" s="112" t="s">
        <v>695</v>
      </c>
      <c r="D5613" s="113">
        <v>10347971</v>
      </c>
      <c r="E5613" s="115">
        <v>43924</v>
      </c>
      <c r="F5613" s="114">
        <v>202101</v>
      </c>
      <c r="G5613" s="112" t="s">
        <v>1091</v>
      </c>
      <c r="H5613" s="112" t="s">
        <v>1015</v>
      </c>
      <c r="I5613" s="112" t="s">
        <v>1868</v>
      </c>
      <c r="J5613" s="112" t="s">
        <v>3695</v>
      </c>
      <c r="K5613" s="112" t="s">
        <v>4608</v>
      </c>
      <c r="L5613" s="116">
        <v>-2049.75</v>
      </c>
    </row>
    <row r="5614" spans="1:12" hidden="1" outlineLevel="1" collapsed="1" x14ac:dyDescent="0.35">
      <c r="A5614" s="112" t="s">
        <v>3616</v>
      </c>
      <c r="B5614" s="112" t="s">
        <v>923</v>
      </c>
      <c r="C5614" s="112" t="s">
        <v>1219</v>
      </c>
      <c r="D5614" s="113">
        <v>46306856</v>
      </c>
      <c r="E5614" s="115">
        <v>43927</v>
      </c>
      <c r="F5614" s="114">
        <v>202101</v>
      </c>
      <c r="G5614" s="112" t="s">
        <v>1091</v>
      </c>
      <c r="H5614" s="112" t="s">
        <v>1015</v>
      </c>
      <c r="I5614" s="112" t="s">
        <v>1605</v>
      </c>
      <c r="J5614" s="112" t="s">
        <v>3763</v>
      </c>
      <c r="K5614" s="112" t="s">
        <v>4609</v>
      </c>
      <c r="L5614" s="116">
        <v>95000</v>
      </c>
    </row>
    <row r="5615" spans="1:12" hidden="1" outlineLevel="1" collapsed="1" x14ac:dyDescent="0.35">
      <c r="A5615" s="112" t="s">
        <v>3616</v>
      </c>
      <c r="B5615" s="112" t="s">
        <v>916</v>
      </c>
      <c r="C5615" s="112" t="s">
        <v>695</v>
      </c>
      <c r="D5615" s="113">
        <v>10348043</v>
      </c>
      <c r="E5615" s="115">
        <v>43928</v>
      </c>
      <c r="F5615" s="114">
        <v>202101</v>
      </c>
      <c r="G5615" s="112" t="s">
        <v>1091</v>
      </c>
      <c r="H5615" s="112" t="s">
        <v>1015</v>
      </c>
      <c r="I5615" s="112" t="s">
        <v>4468</v>
      </c>
      <c r="J5615" s="112" t="s">
        <v>3626</v>
      </c>
      <c r="K5615" s="112" t="s">
        <v>4610</v>
      </c>
      <c r="L5615" s="116">
        <v>-5600</v>
      </c>
    </row>
    <row r="5616" spans="1:12" hidden="1" outlineLevel="1" collapsed="1" x14ac:dyDescent="0.35">
      <c r="A5616" s="112" t="s">
        <v>3616</v>
      </c>
      <c r="B5616" s="112" t="s">
        <v>922</v>
      </c>
      <c r="C5616" s="112" t="s">
        <v>695</v>
      </c>
      <c r="D5616" s="113">
        <v>10347981</v>
      </c>
      <c r="E5616" s="115">
        <v>43924</v>
      </c>
      <c r="F5616" s="114">
        <v>202101</v>
      </c>
      <c r="G5616" s="112" t="s">
        <v>1091</v>
      </c>
      <c r="H5616" s="112" t="s">
        <v>1015</v>
      </c>
      <c r="I5616" s="112" t="s">
        <v>1264</v>
      </c>
      <c r="J5616" s="112" t="s">
        <v>3954</v>
      </c>
      <c r="K5616" s="112" t="s">
        <v>4611</v>
      </c>
      <c r="L5616" s="116">
        <v>-277.93</v>
      </c>
    </row>
    <row r="5617" spans="1:12" hidden="1" outlineLevel="1" collapsed="1" x14ac:dyDescent="0.35">
      <c r="A5617" s="112" t="s">
        <v>3616</v>
      </c>
      <c r="B5617" s="112" t="s">
        <v>916</v>
      </c>
      <c r="C5617" s="112" t="s">
        <v>695</v>
      </c>
      <c r="D5617" s="113">
        <v>10348043</v>
      </c>
      <c r="E5617" s="115">
        <v>43928</v>
      </c>
      <c r="F5617" s="114">
        <v>202101</v>
      </c>
      <c r="G5617" s="112" t="s">
        <v>1091</v>
      </c>
      <c r="H5617" s="112" t="s">
        <v>1015</v>
      </c>
      <c r="I5617" s="112" t="s">
        <v>4468</v>
      </c>
      <c r="J5617" s="112" t="s">
        <v>3626</v>
      </c>
      <c r="K5617" s="112" t="s">
        <v>3774</v>
      </c>
      <c r="L5617" s="116">
        <v>-300</v>
      </c>
    </row>
    <row r="5618" spans="1:12" hidden="1" outlineLevel="1" collapsed="1" x14ac:dyDescent="0.35">
      <c r="A5618" s="112" t="s">
        <v>3616</v>
      </c>
      <c r="B5618" s="112" t="s">
        <v>916</v>
      </c>
      <c r="C5618" s="112" t="s">
        <v>1099</v>
      </c>
      <c r="D5618" s="113">
        <v>1069350</v>
      </c>
      <c r="E5618" s="115">
        <v>43888</v>
      </c>
      <c r="F5618" s="114">
        <v>202101</v>
      </c>
      <c r="G5618" s="112" t="s">
        <v>1091</v>
      </c>
      <c r="H5618" s="112" t="s">
        <v>1015</v>
      </c>
      <c r="I5618" s="112" t="s">
        <v>4453</v>
      </c>
      <c r="J5618" s="112" t="s">
        <v>3771</v>
      </c>
      <c r="K5618" s="112" t="s">
        <v>4612</v>
      </c>
      <c r="L5618" s="116">
        <v>179</v>
      </c>
    </row>
    <row r="5619" spans="1:12" hidden="1" outlineLevel="1" collapsed="1" x14ac:dyDescent="0.35">
      <c r="A5619" s="112" t="s">
        <v>3616</v>
      </c>
      <c r="B5619" s="112" t="s">
        <v>923</v>
      </c>
      <c r="C5619" s="112" t="s">
        <v>1219</v>
      </c>
      <c r="D5619" s="113">
        <v>46306857</v>
      </c>
      <c r="E5619" s="115">
        <v>43927</v>
      </c>
      <c r="F5619" s="114">
        <v>202101</v>
      </c>
      <c r="G5619" s="112" t="s">
        <v>1091</v>
      </c>
      <c r="H5619" s="112" t="s">
        <v>1015</v>
      </c>
      <c r="I5619" s="112" t="s">
        <v>1605</v>
      </c>
      <c r="J5619" s="112" t="s">
        <v>3763</v>
      </c>
      <c r="K5619" s="112" t="s">
        <v>4613</v>
      </c>
      <c r="L5619" s="116">
        <v>12000</v>
      </c>
    </row>
    <row r="5620" spans="1:12" hidden="1" outlineLevel="1" collapsed="1" x14ac:dyDescent="0.35">
      <c r="A5620" s="112" t="s">
        <v>3616</v>
      </c>
      <c r="B5620" s="112" t="s">
        <v>916</v>
      </c>
      <c r="C5620" s="112" t="s">
        <v>695</v>
      </c>
      <c r="D5620" s="113">
        <v>10348043</v>
      </c>
      <c r="E5620" s="115">
        <v>43928</v>
      </c>
      <c r="F5620" s="114">
        <v>202101</v>
      </c>
      <c r="G5620" s="112" t="s">
        <v>1091</v>
      </c>
      <c r="H5620" s="112" t="s">
        <v>1015</v>
      </c>
      <c r="I5620" s="112" t="s">
        <v>761</v>
      </c>
      <c r="J5620" s="112" t="s">
        <v>3626</v>
      </c>
      <c r="K5620" s="112" t="s">
        <v>4614</v>
      </c>
      <c r="L5620" s="116">
        <v>-8000</v>
      </c>
    </row>
    <row r="5621" spans="1:12" hidden="1" outlineLevel="1" collapsed="1" x14ac:dyDescent="0.35">
      <c r="A5621" s="112" t="s">
        <v>3616</v>
      </c>
      <c r="B5621" s="112" t="s">
        <v>919</v>
      </c>
      <c r="C5621" s="112" t="s">
        <v>1099</v>
      </c>
      <c r="D5621" s="113">
        <v>1069380</v>
      </c>
      <c r="E5621" s="115">
        <v>43920</v>
      </c>
      <c r="F5621" s="114">
        <v>202101</v>
      </c>
      <c r="G5621" s="112" t="s">
        <v>1091</v>
      </c>
      <c r="H5621" s="112" t="s">
        <v>1015</v>
      </c>
      <c r="I5621" s="112" t="s">
        <v>1471</v>
      </c>
      <c r="J5621" s="112" t="s">
        <v>3624</v>
      </c>
      <c r="K5621" s="112" t="s">
        <v>4615</v>
      </c>
      <c r="L5621" s="116">
        <v>3700</v>
      </c>
    </row>
    <row r="5622" spans="1:12" hidden="1" outlineLevel="1" collapsed="1" x14ac:dyDescent="0.35">
      <c r="A5622" s="112" t="s">
        <v>3616</v>
      </c>
      <c r="B5622" s="112" t="s">
        <v>923</v>
      </c>
      <c r="C5622" s="112" t="s">
        <v>1219</v>
      </c>
      <c r="D5622" s="113">
        <v>46306854</v>
      </c>
      <c r="E5622" s="115">
        <v>43927</v>
      </c>
      <c r="F5622" s="114">
        <v>202101</v>
      </c>
      <c r="G5622" s="112" t="s">
        <v>1091</v>
      </c>
      <c r="H5622" s="112" t="s">
        <v>1015</v>
      </c>
      <c r="I5622" s="112" t="s">
        <v>1605</v>
      </c>
      <c r="J5622" s="112" t="s">
        <v>3763</v>
      </c>
      <c r="K5622" s="112" t="s">
        <v>4616</v>
      </c>
      <c r="L5622" s="116">
        <v>36888</v>
      </c>
    </row>
    <row r="5623" spans="1:12" hidden="1" outlineLevel="1" collapsed="1" x14ac:dyDescent="0.35">
      <c r="A5623" s="112" t="s">
        <v>3616</v>
      </c>
      <c r="B5623" s="112" t="s">
        <v>921</v>
      </c>
      <c r="C5623" s="112" t="s">
        <v>695</v>
      </c>
      <c r="D5623" s="113">
        <v>10348018</v>
      </c>
      <c r="E5623" s="115">
        <v>43927</v>
      </c>
      <c r="F5623" s="114">
        <v>202101</v>
      </c>
      <c r="G5623" s="112" t="s">
        <v>1091</v>
      </c>
      <c r="H5623" s="112" t="s">
        <v>1015</v>
      </c>
      <c r="I5623" s="112" t="s">
        <v>1643</v>
      </c>
      <c r="J5623" s="112" t="s">
        <v>3620</v>
      </c>
      <c r="K5623" s="112" t="s">
        <v>1689</v>
      </c>
      <c r="L5623" s="116">
        <v>-3125.62</v>
      </c>
    </row>
    <row r="5624" spans="1:12" hidden="1" outlineLevel="1" collapsed="1" x14ac:dyDescent="0.35">
      <c r="A5624" s="112" t="s">
        <v>3616</v>
      </c>
      <c r="B5624" s="112" t="s">
        <v>923</v>
      </c>
      <c r="C5624" s="112" t="s">
        <v>1219</v>
      </c>
      <c r="D5624" s="113">
        <v>46306855</v>
      </c>
      <c r="E5624" s="115">
        <v>43927</v>
      </c>
      <c r="F5624" s="114">
        <v>202101</v>
      </c>
      <c r="G5624" s="112" t="s">
        <v>1091</v>
      </c>
      <c r="H5624" s="112" t="s">
        <v>1015</v>
      </c>
      <c r="I5624" s="112" t="s">
        <v>1605</v>
      </c>
      <c r="J5624" s="112" t="s">
        <v>3763</v>
      </c>
      <c r="K5624" s="112" t="s">
        <v>4617</v>
      </c>
      <c r="L5624" s="116">
        <v>54190</v>
      </c>
    </row>
    <row r="5625" spans="1:12" hidden="1" outlineLevel="1" collapsed="1" x14ac:dyDescent="0.35">
      <c r="A5625" s="112" t="s">
        <v>3616</v>
      </c>
      <c r="B5625" s="112" t="s">
        <v>918</v>
      </c>
      <c r="C5625" s="112" t="s">
        <v>695</v>
      </c>
      <c r="D5625" s="113">
        <v>10347971</v>
      </c>
      <c r="E5625" s="115">
        <v>43924</v>
      </c>
      <c r="F5625" s="114">
        <v>202101</v>
      </c>
      <c r="G5625" s="112" t="s">
        <v>1091</v>
      </c>
      <c r="H5625" s="112" t="s">
        <v>1015</v>
      </c>
      <c r="I5625" s="112" t="s">
        <v>1868</v>
      </c>
      <c r="J5625" s="112" t="s">
        <v>3695</v>
      </c>
      <c r="K5625" s="112" t="s">
        <v>4618</v>
      </c>
      <c r="L5625" s="116">
        <v>-850</v>
      </c>
    </row>
    <row r="5626" spans="1:12" hidden="1" outlineLevel="1" collapsed="1" x14ac:dyDescent="0.35">
      <c r="A5626" s="112" t="s">
        <v>3616</v>
      </c>
      <c r="B5626" s="112" t="s">
        <v>919</v>
      </c>
      <c r="C5626" s="112" t="s">
        <v>1095</v>
      </c>
      <c r="D5626" s="113">
        <v>10348451</v>
      </c>
      <c r="E5626" s="115">
        <v>43949</v>
      </c>
      <c r="F5626" s="114">
        <v>202101</v>
      </c>
      <c r="G5626" s="112" t="s">
        <v>1091</v>
      </c>
      <c r="H5626" s="112" t="s">
        <v>1015</v>
      </c>
      <c r="I5626" s="112" t="s">
        <v>3261</v>
      </c>
      <c r="J5626" s="112" t="s">
        <v>3624</v>
      </c>
      <c r="K5626" s="112" t="s">
        <v>1098</v>
      </c>
      <c r="L5626" s="116">
        <v>35.15</v>
      </c>
    </row>
    <row r="5627" spans="1:12" hidden="1" outlineLevel="1" collapsed="1" x14ac:dyDescent="0.35">
      <c r="A5627" s="112" t="s">
        <v>3616</v>
      </c>
      <c r="B5627" s="112" t="s">
        <v>918</v>
      </c>
      <c r="C5627" s="112" t="s">
        <v>695</v>
      </c>
      <c r="D5627" s="113">
        <v>10347971</v>
      </c>
      <c r="E5627" s="115">
        <v>43924</v>
      </c>
      <c r="F5627" s="114">
        <v>202101</v>
      </c>
      <c r="G5627" s="112" t="s">
        <v>1091</v>
      </c>
      <c r="H5627" s="112" t="s">
        <v>1015</v>
      </c>
      <c r="I5627" s="112" t="s">
        <v>761</v>
      </c>
      <c r="J5627" s="112" t="s">
        <v>3695</v>
      </c>
      <c r="K5627" s="112" t="s">
        <v>4619</v>
      </c>
      <c r="L5627" s="116">
        <v>-2824</v>
      </c>
    </row>
    <row r="5628" spans="1:12" hidden="1" outlineLevel="1" collapsed="1" x14ac:dyDescent="0.35">
      <c r="A5628" s="112" t="s">
        <v>3616</v>
      </c>
      <c r="B5628" s="112" t="s">
        <v>921</v>
      </c>
      <c r="C5628" s="112" t="s">
        <v>695</v>
      </c>
      <c r="D5628" s="113">
        <v>10347981</v>
      </c>
      <c r="E5628" s="115">
        <v>43924</v>
      </c>
      <c r="F5628" s="114">
        <v>202101</v>
      </c>
      <c r="G5628" s="112" t="s">
        <v>1091</v>
      </c>
      <c r="H5628" s="112" t="s">
        <v>1015</v>
      </c>
      <c r="I5628" s="112" t="s">
        <v>2591</v>
      </c>
      <c r="J5628" s="112" t="s">
        <v>3620</v>
      </c>
      <c r="K5628" s="112" t="s">
        <v>4620</v>
      </c>
      <c r="L5628" s="116">
        <v>-44.34</v>
      </c>
    </row>
    <row r="5629" spans="1:12" hidden="1" outlineLevel="1" collapsed="1" x14ac:dyDescent="0.35">
      <c r="A5629" s="112" t="s">
        <v>3616</v>
      </c>
      <c r="B5629" s="112" t="s">
        <v>922</v>
      </c>
      <c r="C5629" s="112" t="s">
        <v>695</v>
      </c>
      <c r="D5629" s="113">
        <v>10347981</v>
      </c>
      <c r="E5629" s="115">
        <v>43924</v>
      </c>
      <c r="F5629" s="114">
        <v>202101</v>
      </c>
      <c r="G5629" s="112" t="s">
        <v>1091</v>
      </c>
      <c r="H5629" s="112" t="s">
        <v>1015</v>
      </c>
      <c r="I5629" s="112" t="s">
        <v>761</v>
      </c>
      <c r="J5629" s="112" t="s">
        <v>3766</v>
      </c>
      <c r="K5629" s="112" t="s">
        <v>4621</v>
      </c>
      <c r="L5629" s="116">
        <v>-140</v>
      </c>
    </row>
    <row r="5630" spans="1:12" hidden="1" outlineLevel="1" collapsed="1" x14ac:dyDescent="0.35">
      <c r="A5630" s="112" t="s">
        <v>3616</v>
      </c>
      <c r="B5630" s="112" t="s">
        <v>918</v>
      </c>
      <c r="C5630" s="112" t="s">
        <v>695</v>
      </c>
      <c r="D5630" s="113">
        <v>10347971</v>
      </c>
      <c r="E5630" s="115">
        <v>43924</v>
      </c>
      <c r="F5630" s="114">
        <v>202101</v>
      </c>
      <c r="G5630" s="112" t="s">
        <v>1091</v>
      </c>
      <c r="H5630" s="112" t="s">
        <v>1015</v>
      </c>
      <c r="I5630" s="112" t="s">
        <v>761</v>
      </c>
      <c r="J5630" s="112" t="s">
        <v>3695</v>
      </c>
      <c r="K5630" s="112" t="s">
        <v>4622</v>
      </c>
      <c r="L5630" s="116">
        <v>-2824</v>
      </c>
    </row>
    <row r="5631" spans="1:12" hidden="1" outlineLevel="1" collapsed="1" x14ac:dyDescent="0.35">
      <c r="A5631" s="112" t="s">
        <v>3616</v>
      </c>
      <c r="B5631" s="112" t="s">
        <v>918</v>
      </c>
      <c r="C5631" s="112" t="s">
        <v>695</v>
      </c>
      <c r="D5631" s="113">
        <v>10347971</v>
      </c>
      <c r="E5631" s="115">
        <v>43924</v>
      </c>
      <c r="F5631" s="114">
        <v>202101</v>
      </c>
      <c r="G5631" s="112" t="s">
        <v>1091</v>
      </c>
      <c r="H5631" s="112" t="s">
        <v>1015</v>
      </c>
      <c r="I5631" s="112" t="s">
        <v>761</v>
      </c>
      <c r="J5631" s="112" t="s">
        <v>3695</v>
      </c>
      <c r="K5631" s="112" t="s">
        <v>4623</v>
      </c>
      <c r="L5631" s="116">
        <v>-34.5</v>
      </c>
    </row>
    <row r="5632" spans="1:12" hidden="1" outlineLevel="1" collapsed="1" x14ac:dyDescent="0.35">
      <c r="A5632" s="112" t="s">
        <v>3616</v>
      </c>
      <c r="B5632" s="112" t="s">
        <v>918</v>
      </c>
      <c r="C5632" s="112" t="s">
        <v>695</v>
      </c>
      <c r="D5632" s="113">
        <v>10347971</v>
      </c>
      <c r="E5632" s="115">
        <v>43924</v>
      </c>
      <c r="F5632" s="114">
        <v>202101</v>
      </c>
      <c r="G5632" s="112" t="s">
        <v>1091</v>
      </c>
      <c r="H5632" s="112" t="s">
        <v>1015</v>
      </c>
      <c r="I5632" s="112" t="s">
        <v>1868</v>
      </c>
      <c r="J5632" s="112" t="s">
        <v>3695</v>
      </c>
      <c r="K5632" s="112" t="s">
        <v>4624</v>
      </c>
      <c r="L5632" s="116">
        <v>-200</v>
      </c>
    </row>
    <row r="5633" spans="1:12" hidden="1" outlineLevel="1" collapsed="1" x14ac:dyDescent="0.35">
      <c r="A5633" s="112" t="s">
        <v>3616</v>
      </c>
      <c r="B5633" s="112" t="s">
        <v>918</v>
      </c>
      <c r="C5633" s="112" t="s">
        <v>695</v>
      </c>
      <c r="D5633" s="113">
        <v>10347971</v>
      </c>
      <c r="E5633" s="115">
        <v>43924</v>
      </c>
      <c r="F5633" s="114">
        <v>202101</v>
      </c>
      <c r="G5633" s="112" t="s">
        <v>1091</v>
      </c>
      <c r="H5633" s="112" t="s">
        <v>1015</v>
      </c>
      <c r="I5633" s="112" t="s">
        <v>761</v>
      </c>
      <c r="J5633" s="112" t="s">
        <v>3649</v>
      </c>
      <c r="K5633" s="112" t="s">
        <v>4625</v>
      </c>
      <c r="L5633" s="116">
        <v>-1705.5</v>
      </c>
    </row>
    <row r="5634" spans="1:12" hidden="1" outlineLevel="1" collapsed="1" x14ac:dyDescent="0.35">
      <c r="A5634" s="112" t="s">
        <v>3616</v>
      </c>
      <c r="B5634" s="112" t="s">
        <v>918</v>
      </c>
      <c r="C5634" s="112" t="s">
        <v>695</v>
      </c>
      <c r="D5634" s="113">
        <v>10347971</v>
      </c>
      <c r="E5634" s="115">
        <v>43924</v>
      </c>
      <c r="F5634" s="114">
        <v>202101</v>
      </c>
      <c r="G5634" s="112" t="s">
        <v>1091</v>
      </c>
      <c r="H5634" s="112" t="s">
        <v>1015</v>
      </c>
      <c r="I5634" s="112" t="s">
        <v>761</v>
      </c>
      <c r="J5634" s="112" t="s">
        <v>3649</v>
      </c>
      <c r="K5634" s="112" t="s">
        <v>4625</v>
      </c>
      <c r="L5634" s="116">
        <v>-2480</v>
      </c>
    </row>
    <row r="5635" spans="1:12" hidden="1" outlineLevel="1" collapsed="1" x14ac:dyDescent="0.35">
      <c r="A5635" s="112" t="s">
        <v>3616</v>
      </c>
      <c r="B5635" s="112" t="s">
        <v>921</v>
      </c>
      <c r="C5635" s="112" t="s">
        <v>695</v>
      </c>
      <c r="D5635" s="113">
        <v>10347981</v>
      </c>
      <c r="E5635" s="115">
        <v>43924</v>
      </c>
      <c r="F5635" s="114">
        <v>202101</v>
      </c>
      <c r="G5635" s="112" t="s">
        <v>1091</v>
      </c>
      <c r="H5635" s="112" t="s">
        <v>1015</v>
      </c>
      <c r="I5635" s="112" t="s">
        <v>775</v>
      </c>
      <c r="J5635" s="112" t="s">
        <v>3709</v>
      </c>
      <c r="K5635" s="112" t="s">
        <v>4626</v>
      </c>
      <c r="L5635" s="116">
        <v>-60</v>
      </c>
    </row>
    <row r="5636" spans="1:12" hidden="1" outlineLevel="1" collapsed="1" x14ac:dyDescent="0.35">
      <c r="A5636" s="112" t="s">
        <v>3616</v>
      </c>
      <c r="B5636" s="112" t="s">
        <v>922</v>
      </c>
      <c r="C5636" s="112" t="s">
        <v>695</v>
      </c>
      <c r="D5636" s="113">
        <v>10347981</v>
      </c>
      <c r="E5636" s="115">
        <v>43924</v>
      </c>
      <c r="F5636" s="114">
        <v>202101</v>
      </c>
      <c r="G5636" s="112" t="s">
        <v>1091</v>
      </c>
      <c r="H5636" s="112" t="s">
        <v>1015</v>
      </c>
      <c r="I5636" s="112" t="s">
        <v>1104</v>
      </c>
      <c r="J5636" s="112" t="s">
        <v>3784</v>
      </c>
      <c r="K5636" s="112" t="s">
        <v>4018</v>
      </c>
      <c r="L5636" s="116">
        <v>-99</v>
      </c>
    </row>
    <row r="5637" spans="1:12" hidden="1" outlineLevel="1" collapsed="1" x14ac:dyDescent="0.35">
      <c r="A5637" s="112" t="s">
        <v>3616</v>
      </c>
      <c r="B5637" s="112" t="s">
        <v>923</v>
      </c>
      <c r="C5637" s="112" t="s">
        <v>1219</v>
      </c>
      <c r="D5637" s="113">
        <v>46306858</v>
      </c>
      <c r="E5637" s="115">
        <v>43927</v>
      </c>
      <c r="F5637" s="114">
        <v>202101</v>
      </c>
      <c r="G5637" s="112" t="s">
        <v>1091</v>
      </c>
      <c r="H5637" s="112" t="s">
        <v>1015</v>
      </c>
      <c r="I5637" s="112" t="s">
        <v>1605</v>
      </c>
      <c r="J5637" s="112" t="s">
        <v>3763</v>
      </c>
      <c r="K5637" s="112" t="s">
        <v>4627</v>
      </c>
      <c r="L5637" s="116">
        <v>42977.5</v>
      </c>
    </row>
    <row r="5638" spans="1:12" hidden="1" outlineLevel="1" collapsed="1" x14ac:dyDescent="0.35">
      <c r="A5638" s="112" t="s">
        <v>3616</v>
      </c>
      <c r="B5638" s="112" t="s">
        <v>921</v>
      </c>
      <c r="C5638" s="112" t="s">
        <v>695</v>
      </c>
      <c r="D5638" s="113">
        <v>10347973</v>
      </c>
      <c r="E5638" s="115">
        <v>43924</v>
      </c>
      <c r="F5638" s="114">
        <v>202101</v>
      </c>
      <c r="G5638" s="112" t="s">
        <v>1091</v>
      </c>
      <c r="H5638" s="112" t="s">
        <v>1015</v>
      </c>
      <c r="I5638" s="112" t="s">
        <v>1699</v>
      </c>
      <c r="J5638" s="112" t="s">
        <v>4628</v>
      </c>
      <c r="K5638" s="112" t="s">
        <v>4629</v>
      </c>
      <c r="L5638" s="116">
        <v>-827.25</v>
      </c>
    </row>
    <row r="5639" spans="1:12" hidden="1" outlineLevel="1" collapsed="1" x14ac:dyDescent="0.35">
      <c r="A5639" s="112" t="s">
        <v>3616</v>
      </c>
      <c r="B5639" s="112" t="s">
        <v>919</v>
      </c>
      <c r="C5639" s="112" t="s">
        <v>1095</v>
      </c>
      <c r="D5639" s="113">
        <v>10348451</v>
      </c>
      <c r="E5639" s="115">
        <v>43949</v>
      </c>
      <c r="F5639" s="114">
        <v>202101</v>
      </c>
      <c r="G5639" s="112" t="s">
        <v>1091</v>
      </c>
      <c r="H5639" s="112" t="s">
        <v>1015</v>
      </c>
      <c r="I5639" s="112" t="s">
        <v>1101</v>
      </c>
      <c r="J5639" s="112" t="s">
        <v>3632</v>
      </c>
      <c r="K5639" s="112" t="s">
        <v>1098</v>
      </c>
      <c r="L5639" s="116">
        <v>281.33999999999997</v>
      </c>
    </row>
    <row r="5640" spans="1:12" hidden="1" outlineLevel="1" collapsed="1" x14ac:dyDescent="0.35">
      <c r="A5640" s="112" t="s">
        <v>3616</v>
      </c>
      <c r="B5640" s="112" t="s">
        <v>919</v>
      </c>
      <c r="C5640" s="112" t="s">
        <v>695</v>
      </c>
      <c r="D5640" s="113">
        <v>10347981</v>
      </c>
      <c r="E5640" s="115">
        <v>43924</v>
      </c>
      <c r="F5640" s="114">
        <v>202101</v>
      </c>
      <c r="G5640" s="112" t="s">
        <v>1091</v>
      </c>
      <c r="H5640" s="112" t="s">
        <v>1015</v>
      </c>
      <c r="I5640" s="112" t="s">
        <v>2495</v>
      </c>
      <c r="J5640" s="112" t="s">
        <v>3632</v>
      </c>
      <c r="K5640" s="112" t="s">
        <v>4630</v>
      </c>
      <c r="L5640" s="116">
        <v>-59</v>
      </c>
    </row>
    <row r="5641" spans="1:12" hidden="1" outlineLevel="1" collapsed="1" x14ac:dyDescent="0.35">
      <c r="A5641" s="112" t="s">
        <v>3616</v>
      </c>
      <c r="B5641" s="112" t="s">
        <v>921</v>
      </c>
      <c r="C5641" s="112" t="s">
        <v>695</v>
      </c>
      <c r="D5641" s="113">
        <v>10347981</v>
      </c>
      <c r="E5641" s="115">
        <v>43924</v>
      </c>
      <c r="F5641" s="114">
        <v>202101</v>
      </c>
      <c r="G5641" s="112" t="s">
        <v>1091</v>
      </c>
      <c r="H5641" s="112" t="s">
        <v>1015</v>
      </c>
      <c r="I5641" s="112" t="s">
        <v>2591</v>
      </c>
      <c r="J5641" s="112" t="s">
        <v>3620</v>
      </c>
      <c r="K5641" s="112" t="s">
        <v>4631</v>
      </c>
      <c r="L5641" s="116">
        <v>-50.46</v>
      </c>
    </row>
    <row r="5642" spans="1:12" hidden="1" outlineLevel="1" collapsed="1" x14ac:dyDescent="0.35">
      <c r="A5642" s="112" t="s">
        <v>3616</v>
      </c>
      <c r="B5642" s="112" t="s">
        <v>916</v>
      </c>
      <c r="C5642" s="112" t="s">
        <v>1095</v>
      </c>
      <c r="D5642" s="113">
        <v>10348451</v>
      </c>
      <c r="E5642" s="115">
        <v>43949</v>
      </c>
      <c r="F5642" s="114">
        <v>202101</v>
      </c>
      <c r="G5642" s="112" t="s">
        <v>1091</v>
      </c>
      <c r="H5642" s="112" t="s">
        <v>1015</v>
      </c>
      <c r="I5642" s="112" t="s">
        <v>1116</v>
      </c>
      <c r="J5642" s="112" t="s">
        <v>3771</v>
      </c>
      <c r="K5642" s="112" t="s">
        <v>1098</v>
      </c>
      <c r="L5642" s="116">
        <v>3391.33</v>
      </c>
    </row>
    <row r="5643" spans="1:12" hidden="1" outlineLevel="1" collapsed="1" x14ac:dyDescent="0.35">
      <c r="A5643" s="112" t="s">
        <v>4632</v>
      </c>
      <c r="B5643" s="112" t="s">
        <v>863</v>
      </c>
      <c r="C5643" s="112" t="s">
        <v>1266</v>
      </c>
      <c r="D5643" s="113">
        <v>1069661</v>
      </c>
      <c r="E5643" s="115">
        <v>43938</v>
      </c>
      <c r="F5643" s="114">
        <v>202101</v>
      </c>
      <c r="G5643" s="112" t="s">
        <v>1091</v>
      </c>
      <c r="H5643" s="112" t="s">
        <v>1015</v>
      </c>
      <c r="I5643" s="112" t="s">
        <v>740</v>
      </c>
      <c r="J5643" s="112" t="s">
        <v>787</v>
      </c>
      <c r="K5643" s="112" t="s">
        <v>4633</v>
      </c>
      <c r="L5643" s="116">
        <v>324132.34999999998</v>
      </c>
    </row>
    <row r="5644" spans="1:12" hidden="1" outlineLevel="1" collapsed="1" x14ac:dyDescent="0.35">
      <c r="A5644" s="112" t="s">
        <v>4632</v>
      </c>
      <c r="B5644" s="112" t="s">
        <v>863</v>
      </c>
      <c r="C5644" s="112" t="s">
        <v>1511</v>
      </c>
      <c r="D5644" s="113">
        <v>47036994</v>
      </c>
      <c r="E5644" s="115">
        <v>43944</v>
      </c>
      <c r="F5644" s="114">
        <v>202101</v>
      </c>
      <c r="G5644" s="112" t="s">
        <v>1091</v>
      </c>
      <c r="H5644" s="112" t="s">
        <v>1015</v>
      </c>
      <c r="I5644" s="112" t="s">
        <v>749</v>
      </c>
      <c r="J5644" s="112" t="s">
        <v>821</v>
      </c>
      <c r="K5644" s="112" t="s">
        <v>4634</v>
      </c>
      <c r="L5644" s="116">
        <v>2256.14</v>
      </c>
    </row>
    <row r="5645" spans="1:12" hidden="1" outlineLevel="1" collapsed="1" x14ac:dyDescent="0.35">
      <c r="A5645" s="112" t="s">
        <v>4632</v>
      </c>
      <c r="B5645" s="112" t="s">
        <v>4635</v>
      </c>
      <c r="C5645" s="112" t="s">
        <v>679</v>
      </c>
      <c r="D5645" s="113">
        <v>10348418</v>
      </c>
      <c r="E5645" s="115">
        <v>43944</v>
      </c>
      <c r="F5645" s="114">
        <v>202101</v>
      </c>
      <c r="G5645" s="112" t="s">
        <v>1091</v>
      </c>
      <c r="H5645" s="112" t="s">
        <v>1015</v>
      </c>
      <c r="I5645" s="112" t="s">
        <v>736</v>
      </c>
      <c r="J5645" s="112" t="s">
        <v>4636</v>
      </c>
      <c r="K5645" s="112" t="s">
        <v>4637</v>
      </c>
      <c r="L5645" s="116">
        <v>873.25</v>
      </c>
    </row>
    <row r="5646" spans="1:12" hidden="1" outlineLevel="1" collapsed="1" x14ac:dyDescent="0.35">
      <c r="A5646" s="112" t="s">
        <v>4632</v>
      </c>
      <c r="B5646" s="112" t="s">
        <v>863</v>
      </c>
      <c r="C5646" s="112" t="s">
        <v>695</v>
      </c>
      <c r="D5646" s="113">
        <v>10348563</v>
      </c>
      <c r="E5646" s="115">
        <v>43956</v>
      </c>
      <c r="F5646" s="114">
        <v>202101</v>
      </c>
      <c r="G5646" s="112" t="s">
        <v>1091</v>
      </c>
      <c r="H5646" s="112" t="s">
        <v>1015</v>
      </c>
      <c r="I5646" s="112" t="s">
        <v>753</v>
      </c>
      <c r="J5646" s="112" t="s">
        <v>808</v>
      </c>
      <c r="K5646" s="112" t="s">
        <v>4638</v>
      </c>
      <c r="L5646" s="116">
        <v>87783</v>
      </c>
    </row>
    <row r="5647" spans="1:12" hidden="1" outlineLevel="1" collapsed="1" x14ac:dyDescent="0.35">
      <c r="A5647" s="112" t="s">
        <v>4632</v>
      </c>
      <c r="B5647" s="112" t="s">
        <v>4639</v>
      </c>
      <c r="C5647" s="112" t="s">
        <v>1511</v>
      </c>
      <c r="D5647" s="113">
        <v>47037003</v>
      </c>
      <c r="E5647" s="115">
        <v>43944</v>
      </c>
      <c r="F5647" s="114">
        <v>202101</v>
      </c>
      <c r="G5647" s="112" t="s">
        <v>1091</v>
      </c>
      <c r="H5647" s="112" t="s">
        <v>1015</v>
      </c>
      <c r="I5647" s="112" t="s">
        <v>749</v>
      </c>
      <c r="J5647" s="112" t="s">
        <v>4640</v>
      </c>
      <c r="K5647" s="112" t="s">
        <v>4641</v>
      </c>
      <c r="L5647" s="116">
        <v>1276.94</v>
      </c>
    </row>
    <row r="5648" spans="1:12" hidden="1" outlineLevel="1" collapsed="1" x14ac:dyDescent="0.35">
      <c r="A5648" s="112" t="s">
        <v>4632</v>
      </c>
      <c r="B5648" s="112" t="s">
        <v>4639</v>
      </c>
      <c r="C5648" s="112" t="s">
        <v>1511</v>
      </c>
      <c r="D5648" s="113">
        <v>47037000</v>
      </c>
      <c r="E5648" s="115">
        <v>43944</v>
      </c>
      <c r="F5648" s="114">
        <v>202101</v>
      </c>
      <c r="G5648" s="112" t="s">
        <v>1091</v>
      </c>
      <c r="H5648" s="112" t="s">
        <v>1015</v>
      </c>
      <c r="I5648" s="112" t="s">
        <v>749</v>
      </c>
      <c r="J5648" s="112" t="s">
        <v>4640</v>
      </c>
      <c r="K5648" s="112" t="s">
        <v>4642</v>
      </c>
      <c r="L5648" s="116">
        <v>3078.2</v>
      </c>
    </row>
    <row r="5649" spans="1:12" hidden="1" outlineLevel="1" collapsed="1" x14ac:dyDescent="0.35">
      <c r="A5649" s="112" t="s">
        <v>4632</v>
      </c>
      <c r="B5649" s="112" t="s">
        <v>863</v>
      </c>
      <c r="C5649" s="112" t="s">
        <v>679</v>
      </c>
      <c r="D5649" s="113">
        <v>10347933</v>
      </c>
      <c r="E5649" s="115">
        <v>43922</v>
      </c>
      <c r="F5649" s="114">
        <v>202101</v>
      </c>
      <c r="G5649" s="112" t="s">
        <v>1091</v>
      </c>
      <c r="H5649" s="112" t="s">
        <v>1015</v>
      </c>
      <c r="I5649" s="112" t="s">
        <v>738</v>
      </c>
      <c r="J5649" s="112" t="s">
        <v>787</v>
      </c>
      <c r="K5649" s="112" t="s">
        <v>4643</v>
      </c>
      <c r="L5649" s="116">
        <v>2048.8000000000002</v>
      </c>
    </row>
    <row r="5650" spans="1:12" hidden="1" outlineLevel="1" collapsed="1" x14ac:dyDescent="0.35">
      <c r="A5650" s="112" t="s">
        <v>4632</v>
      </c>
      <c r="B5650" s="112" t="s">
        <v>4644</v>
      </c>
      <c r="C5650" s="112" t="s">
        <v>1511</v>
      </c>
      <c r="D5650" s="113">
        <v>47036999</v>
      </c>
      <c r="E5650" s="115">
        <v>43944</v>
      </c>
      <c r="F5650" s="114">
        <v>202101</v>
      </c>
      <c r="G5650" s="112" t="s">
        <v>1091</v>
      </c>
      <c r="H5650" s="112" t="s">
        <v>1015</v>
      </c>
      <c r="I5650" s="112" t="s">
        <v>749</v>
      </c>
      <c r="J5650" s="112" t="s">
        <v>4645</v>
      </c>
      <c r="K5650" s="112" t="s">
        <v>4646</v>
      </c>
      <c r="L5650" s="116">
        <v>1086.75</v>
      </c>
    </row>
    <row r="5651" spans="1:12" hidden="1" outlineLevel="1" collapsed="1" x14ac:dyDescent="0.35">
      <c r="A5651" s="112" t="s">
        <v>4632</v>
      </c>
      <c r="B5651" s="112" t="s">
        <v>863</v>
      </c>
      <c r="C5651" s="112" t="s">
        <v>1511</v>
      </c>
      <c r="D5651" s="113">
        <v>47036996</v>
      </c>
      <c r="E5651" s="115">
        <v>43944</v>
      </c>
      <c r="F5651" s="114">
        <v>202101</v>
      </c>
      <c r="G5651" s="112" t="s">
        <v>1091</v>
      </c>
      <c r="H5651" s="112" t="s">
        <v>1015</v>
      </c>
      <c r="I5651" s="112" t="s">
        <v>749</v>
      </c>
      <c r="J5651" s="112" t="s">
        <v>821</v>
      </c>
      <c r="K5651" s="112" t="s">
        <v>4647</v>
      </c>
      <c r="L5651" s="116">
        <v>134.16999999999999</v>
      </c>
    </row>
    <row r="5652" spans="1:12" hidden="1" outlineLevel="1" collapsed="1" x14ac:dyDescent="0.35">
      <c r="A5652" s="112" t="s">
        <v>4632</v>
      </c>
      <c r="B5652" s="112" t="s">
        <v>4635</v>
      </c>
      <c r="C5652" s="112" t="s">
        <v>679</v>
      </c>
      <c r="D5652" s="113">
        <v>10348418</v>
      </c>
      <c r="E5652" s="115">
        <v>43944</v>
      </c>
      <c r="F5652" s="114">
        <v>202101</v>
      </c>
      <c r="G5652" s="112" t="s">
        <v>1091</v>
      </c>
      <c r="H5652" s="112" t="s">
        <v>1015</v>
      </c>
      <c r="I5652" s="112" t="s">
        <v>736</v>
      </c>
      <c r="J5652" s="112" t="s">
        <v>4636</v>
      </c>
      <c r="K5652" s="112" t="s">
        <v>4648</v>
      </c>
      <c r="L5652" s="116">
        <v>1160.18</v>
      </c>
    </row>
    <row r="5653" spans="1:12" hidden="1" outlineLevel="1" collapsed="1" x14ac:dyDescent="0.35">
      <c r="A5653" s="112" t="s">
        <v>4632</v>
      </c>
      <c r="B5653" s="112" t="s">
        <v>4635</v>
      </c>
      <c r="C5653" s="112" t="s">
        <v>679</v>
      </c>
      <c r="D5653" s="113">
        <v>10348418</v>
      </c>
      <c r="E5653" s="115">
        <v>43944</v>
      </c>
      <c r="F5653" s="114">
        <v>202101</v>
      </c>
      <c r="G5653" s="112" t="s">
        <v>1091</v>
      </c>
      <c r="H5653" s="112" t="s">
        <v>1015</v>
      </c>
      <c r="I5653" s="112" t="s">
        <v>736</v>
      </c>
      <c r="J5653" s="112" t="s">
        <v>4636</v>
      </c>
      <c r="K5653" s="112" t="s">
        <v>4649</v>
      </c>
      <c r="L5653" s="116">
        <v>2095.8000000000002</v>
      </c>
    </row>
    <row r="5654" spans="1:12" hidden="1" outlineLevel="1" collapsed="1" x14ac:dyDescent="0.35">
      <c r="A5654" s="112" t="s">
        <v>4632</v>
      </c>
      <c r="B5654" s="112" t="s">
        <v>4650</v>
      </c>
      <c r="C5654" s="112" t="s">
        <v>679</v>
      </c>
      <c r="D5654" s="113">
        <v>10348418</v>
      </c>
      <c r="E5654" s="115">
        <v>43944</v>
      </c>
      <c r="F5654" s="114">
        <v>202101</v>
      </c>
      <c r="G5654" s="112" t="s">
        <v>1091</v>
      </c>
      <c r="H5654" s="112" t="s">
        <v>1015</v>
      </c>
      <c r="I5654" s="112" t="s">
        <v>736</v>
      </c>
      <c r="J5654" s="112" t="s">
        <v>4651</v>
      </c>
      <c r="K5654" s="112" t="s">
        <v>4652</v>
      </c>
      <c r="L5654" s="116">
        <v>2544.9</v>
      </c>
    </row>
    <row r="5655" spans="1:12" hidden="1" outlineLevel="1" collapsed="1" x14ac:dyDescent="0.35">
      <c r="A5655" s="112" t="s">
        <v>4632</v>
      </c>
      <c r="B5655" s="112" t="s">
        <v>4635</v>
      </c>
      <c r="C5655" s="112" t="s">
        <v>679</v>
      </c>
      <c r="D5655" s="113">
        <v>10348418</v>
      </c>
      <c r="E5655" s="115">
        <v>43944</v>
      </c>
      <c r="F5655" s="114">
        <v>202101</v>
      </c>
      <c r="G5655" s="112" t="s">
        <v>1091</v>
      </c>
      <c r="H5655" s="112" t="s">
        <v>1015</v>
      </c>
      <c r="I5655" s="112" t="s">
        <v>736</v>
      </c>
      <c r="J5655" s="112" t="s">
        <v>4636</v>
      </c>
      <c r="K5655" s="112" t="s">
        <v>4653</v>
      </c>
      <c r="L5655" s="116">
        <v>648.70000000000005</v>
      </c>
    </row>
    <row r="5656" spans="1:12" hidden="1" outlineLevel="1" collapsed="1" x14ac:dyDescent="0.35">
      <c r="A5656" s="112" t="s">
        <v>4632</v>
      </c>
      <c r="B5656" s="112" t="s">
        <v>4635</v>
      </c>
      <c r="C5656" s="112" t="s">
        <v>679</v>
      </c>
      <c r="D5656" s="113">
        <v>10348418</v>
      </c>
      <c r="E5656" s="115">
        <v>43944</v>
      </c>
      <c r="F5656" s="114">
        <v>202101</v>
      </c>
      <c r="G5656" s="112" t="s">
        <v>1091</v>
      </c>
      <c r="H5656" s="112" t="s">
        <v>1015</v>
      </c>
      <c r="I5656" s="112" t="s">
        <v>736</v>
      </c>
      <c r="J5656" s="112" t="s">
        <v>4636</v>
      </c>
      <c r="K5656" s="112" t="s">
        <v>4654</v>
      </c>
      <c r="L5656" s="116">
        <v>1596.8</v>
      </c>
    </row>
    <row r="5657" spans="1:12" hidden="1" outlineLevel="1" collapsed="1" x14ac:dyDescent="0.35">
      <c r="A5657" s="112" t="s">
        <v>4632</v>
      </c>
      <c r="B5657" s="112" t="s">
        <v>4635</v>
      </c>
      <c r="C5657" s="112" t="s">
        <v>679</v>
      </c>
      <c r="D5657" s="113">
        <v>10348418</v>
      </c>
      <c r="E5657" s="115">
        <v>43944</v>
      </c>
      <c r="F5657" s="114">
        <v>202101</v>
      </c>
      <c r="G5657" s="112" t="s">
        <v>1091</v>
      </c>
      <c r="H5657" s="112" t="s">
        <v>1015</v>
      </c>
      <c r="I5657" s="112" t="s">
        <v>736</v>
      </c>
      <c r="J5657" s="112" t="s">
        <v>4636</v>
      </c>
      <c r="K5657" s="112" t="s">
        <v>4655</v>
      </c>
      <c r="L5657" s="116">
        <v>3892.2</v>
      </c>
    </row>
    <row r="5658" spans="1:12" hidden="1" outlineLevel="1" collapsed="1" x14ac:dyDescent="0.35">
      <c r="A5658" s="112" t="s">
        <v>4632</v>
      </c>
      <c r="B5658" s="112" t="s">
        <v>4635</v>
      </c>
      <c r="C5658" s="112" t="s">
        <v>679</v>
      </c>
      <c r="D5658" s="113">
        <v>10348418</v>
      </c>
      <c r="E5658" s="115">
        <v>43944</v>
      </c>
      <c r="F5658" s="114">
        <v>202101</v>
      </c>
      <c r="G5658" s="112" t="s">
        <v>1091</v>
      </c>
      <c r="H5658" s="112" t="s">
        <v>1015</v>
      </c>
      <c r="I5658" s="112" t="s">
        <v>736</v>
      </c>
      <c r="J5658" s="112" t="s">
        <v>4636</v>
      </c>
      <c r="K5658" s="112" t="s">
        <v>4656</v>
      </c>
      <c r="L5658" s="116">
        <v>3393.2</v>
      </c>
    </row>
    <row r="5659" spans="1:12" hidden="1" outlineLevel="1" collapsed="1" x14ac:dyDescent="0.35">
      <c r="A5659" s="112" t="s">
        <v>4632</v>
      </c>
      <c r="B5659" s="112" t="s">
        <v>4635</v>
      </c>
      <c r="C5659" s="112" t="s">
        <v>679</v>
      </c>
      <c r="D5659" s="113">
        <v>10348418</v>
      </c>
      <c r="E5659" s="115">
        <v>43944</v>
      </c>
      <c r="F5659" s="114">
        <v>202101</v>
      </c>
      <c r="G5659" s="112" t="s">
        <v>1091</v>
      </c>
      <c r="H5659" s="112" t="s">
        <v>1015</v>
      </c>
      <c r="I5659" s="112" t="s">
        <v>736</v>
      </c>
      <c r="J5659" s="112" t="s">
        <v>4636</v>
      </c>
      <c r="K5659" s="112" t="s">
        <v>4657</v>
      </c>
      <c r="L5659" s="116">
        <v>2345.3000000000002</v>
      </c>
    </row>
    <row r="5660" spans="1:12" hidden="1" outlineLevel="1" collapsed="1" x14ac:dyDescent="0.35">
      <c r="A5660" s="112" t="s">
        <v>4632</v>
      </c>
      <c r="B5660" s="112" t="s">
        <v>863</v>
      </c>
      <c r="C5660" s="112" t="s">
        <v>1099</v>
      </c>
      <c r="D5660" s="113">
        <v>1069744</v>
      </c>
      <c r="E5660" s="115">
        <v>43922</v>
      </c>
      <c r="F5660" s="114">
        <v>202101</v>
      </c>
      <c r="G5660" s="112" t="s">
        <v>1091</v>
      </c>
      <c r="H5660" s="112" t="s">
        <v>1015</v>
      </c>
      <c r="I5660" s="112" t="s">
        <v>767</v>
      </c>
      <c r="J5660" s="112" t="s">
        <v>787</v>
      </c>
      <c r="K5660" s="112" t="s">
        <v>4658</v>
      </c>
      <c r="L5660" s="116">
        <v>78.900000000000006</v>
      </c>
    </row>
    <row r="5661" spans="1:12" hidden="1" outlineLevel="1" collapsed="1" x14ac:dyDescent="0.35">
      <c r="A5661" s="112" t="s">
        <v>4632</v>
      </c>
      <c r="B5661" s="112" t="s">
        <v>863</v>
      </c>
      <c r="C5661" s="112" t="s">
        <v>1099</v>
      </c>
      <c r="D5661" s="113">
        <v>1069454</v>
      </c>
      <c r="E5661" s="115">
        <v>43921</v>
      </c>
      <c r="F5661" s="114">
        <v>202101</v>
      </c>
      <c r="G5661" s="112" t="s">
        <v>1091</v>
      </c>
      <c r="H5661" s="112" t="s">
        <v>1015</v>
      </c>
      <c r="I5661" s="112" t="s">
        <v>1182</v>
      </c>
      <c r="J5661" s="112" t="s">
        <v>808</v>
      </c>
      <c r="K5661" s="112" t="s">
        <v>4659</v>
      </c>
      <c r="L5661" s="116">
        <v>1911</v>
      </c>
    </row>
    <row r="5662" spans="1:12" hidden="1" outlineLevel="1" collapsed="1" x14ac:dyDescent="0.35">
      <c r="A5662" s="112" t="s">
        <v>4632</v>
      </c>
      <c r="B5662" s="112" t="s">
        <v>863</v>
      </c>
      <c r="C5662" s="112" t="s">
        <v>695</v>
      </c>
      <c r="D5662" s="113">
        <v>10348557</v>
      </c>
      <c r="E5662" s="115">
        <v>43955</v>
      </c>
      <c r="F5662" s="114">
        <v>202101</v>
      </c>
      <c r="G5662" s="112" t="s">
        <v>1091</v>
      </c>
      <c r="H5662" s="112" t="s">
        <v>1015</v>
      </c>
      <c r="I5662" s="112" t="s">
        <v>753</v>
      </c>
      <c r="J5662" s="112" t="s">
        <v>808</v>
      </c>
      <c r="K5662" s="112" t="s">
        <v>4660</v>
      </c>
      <c r="L5662" s="116">
        <v>-87783</v>
      </c>
    </row>
    <row r="5663" spans="1:12" hidden="1" outlineLevel="1" collapsed="1" x14ac:dyDescent="0.35">
      <c r="A5663" s="112" t="s">
        <v>4632</v>
      </c>
      <c r="B5663" s="112" t="s">
        <v>863</v>
      </c>
      <c r="C5663" s="112" t="s">
        <v>695</v>
      </c>
      <c r="D5663" s="113">
        <v>10348563</v>
      </c>
      <c r="E5663" s="115">
        <v>43956</v>
      </c>
      <c r="F5663" s="114">
        <v>202101</v>
      </c>
      <c r="G5663" s="112" t="s">
        <v>1091</v>
      </c>
      <c r="H5663" s="112" t="s">
        <v>1015</v>
      </c>
      <c r="I5663" s="112" t="s">
        <v>753</v>
      </c>
      <c r="J5663" s="112" t="s">
        <v>808</v>
      </c>
      <c r="K5663" s="112" t="s">
        <v>4661</v>
      </c>
      <c r="L5663" s="116">
        <v>-304204</v>
      </c>
    </row>
    <row r="5664" spans="1:12" hidden="1" outlineLevel="1" collapsed="1" x14ac:dyDescent="0.35">
      <c r="A5664" s="112" t="s">
        <v>4632</v>
      </c>
      <c r="B5664" s="112" t="s">
        <v>4644</v>
      </c>
      <c r="C5664" s="112" t="s">
        <v>695</v>
      </c>
      <c r="D5664" s="113">
        <v>10348085</v>
      </c>
      <c r="E5664" s="115">
        <v>43923</v>
      </c>
      <c r="F5664" s="114">
        <v>202101</v>
      </c>
      <c r="G5664" s="112" t="s">
        <v>1091</v>
      </c>
      <c r="H5664" s="112" t="s">
        <v>1015</v>
      </c>
      <c r="I5664" s="112" t="s">
        <v>757</v>
      </c>
      <c r="J5664" s="112" t="s">
        <v>4645</v>
      </c>
      <c r="K5664" s="112" t="s">
        <v>4662</v>
      </c>
      <c r="L5664" s="116">
        <v>-140.81</v>
      </c>
    </row>
    <row r="5665" spans="1:12" hidden="1" outlineLevel="1" collapsed="1" x14ac:dyDescent="0.35">
      <c r="A5665" s="112" t="s">
        <v>4632</v>
      </c>
      <c r="B5665" s="112" t="s">
        <v>4644</v>
      </c>
      <c r="C5665" s="112" t="s">
        <v>695</v>
      </c>
      <c r="D5665" s="113">
        <v>10348098</v>
      </c>
      <c r="E5665" s="115">
        <v>43929</v>
      </c>
      <c r="F5665" s="114">
        <v>202101</v>
      </c>
      <c r="G5665" s="112" t="s">
        <v>1091</v>
      </c>
      <c r="H5665" s="112" t="s">
        <v>1015</v>
      </c>
      <c r="I5665" s="112" t="s">
        <v>749</v>
      </c>
      <c r="J5665" s="112" t="s">
        <v>4645</v>
      </c>
      <c r="K5665" s="112" t="s">
        <v>4663</v>
      </c>
      <c r="L5665" s="116">
        <v>1049.0999999999999</v>
      </c>
    </row>
    <row r="5666" spans="1:12" hidden="1" outlineLevel="1" collapsed="1" x14ac:dyDescent="0.35">
      <c r="A5666" s="112" t="s">
        <v>4632</v>
      </c>
      <c r="B5666" s="112" t="s">
        <v>4644</v>
      </c>
      <c r="C5666" s="112" t="s">
        <v>695</v>
      </c>
      <c r="D5666" s="113">
        <v>10348085</v>
      </c>
      <c r="E5666" s="115">
        <v>43923</v>
      </c>
      <c r="F5666" s="114">
        <v>202101</v>
      </c>
      <c r="G5666" s="112" t="s">
        <v>1091</v>
      </c>
      <c r="H5666" s="112" t="s">
        <v>1015</v>
      </c>
      <c r="I5666" s="112" t="s">
        <v>749</v>
      </c>
      <c r="J5666" s="112" t="s">
        <v>4645</v>
      </c>
      <c r="K5666" s="112" t="s">
        <v>4662</v>
      </c>
      <c r="L5666" s="116">
        <v>-190.11</v>
      </c>
    </row>
    <row r="5667" spans="1:12" hidden="1" outlineLevel="1" collapsed="1" x14ac:dyDescent="0.35">
      <c r="A5667" s="112" t="s">
        <v>4632</v>
      </c>
      <c r="B5667" s="112" t="s">
        <v>4639</v>
      </c>
      <c r="C5667" s="112" t="s">
        <v>695</v>
      </c>
      <c r="D5667" s="113">
        <v>10348085</v>
      </c>
      <c r="E5667" s="115">
        <v>43923</v>
      </c>
      <c r="F5667" s="114">
        <v>202101</v>
      </c>
      <c r="G5667" s="112" t="s">
        <v>1091</v>
      </c>
      <c r="H5667" s="112" t="s">
        <v>1015</v>
      </c>
      <c r="I5667" s="112" t="s">
        <v>749</v>
      </c>
      <c r="J5667" s="112" t="s">
        <v>4640</v>
      </c>
      <c r="K5667" s="112" t="s">
        <v>4662</v>
      </c>
      <c r="L5667" s="116">
        <v>-1786.33</v>
      </c>
    </row>
    <row r="5668" spans="1:12" hidden="1" outlineLevel="1" collapsed="1" x14ac:dyDescent="0.35">
      <c r="A5668" s="112" t="s">
        <v>4632</v>
      </c>
      <c r="B5668" s="112" t="s">
        <v>4650</v>
      </c>
      <c r="C5668" s="112" t="s">
        <v>695</v>
      </c>
      <c r="D5668" s="113">
        <v>10348098</v>
      </c>
      <c r="E5668" s="115">
        <v>43929</v>
      </c>
      <c r="F5668" s="114">
        <v>202101</v>
      </c>
      <c r="G5668" s="112" t="s">
        <v>1091</v>
      </c>
      <c r="H5668" s="112" t="s">
        <v>1015</v>
      </c>
      <c r="I5668" s="112" t="s">
        <v>757</v>
      </c>
      <c r="J5668" s="112" t="s">
        <v>4651</v>
      </c>
      <c r="K5668" s="112" t="s">
        <v>4664</v>
      </c>
      <c r="L5668" s="116">
        <v>182.68</v>
      </c>
    </row>
    <row r="5669" spans="1:12" hidden="1" outlineLevel="1" collapsed="1" x14ac:dyDescent="0.35">
      <c r="A5669" s="112" t="s">
        <v>4632</v>
      </c>
      <c r="B5669" s="112" t="s">
        <v>4650</v>
      </c>
      <c r="C5669" s="112" t="s">
        <v>1518</v>
      </c>
      <c r="D5669" s="113">
        <v>51365998</v>
      </c>
      <c r="E5669" s="115">
        <v>43928</v>
      </c>
      <c r="F5669" s="114">
        <v>202101</v>
      </c>
      <c r="G5669" s="112" t="s">
        <v>1091</v>
      </c>
      <c r="H5669" s="112" t="s">
        <v>1016</v>
      </c>
      <c r="I5669" s="112" t="s">
        <v>779</v>
      </c>
      <c r="J5669" s="112" t="s">
        <v>4651</v>
      </c>
      <c r="K5669" s="112" t="s">
        <v>4665</v>
      </c>
      <c r="L5669" s="116">
        <v>-518.30999999999995</v>
      </c>
    </row>
    <row r="5670" spans="1:12" hidden="1" outlineLevel="1" collapsed="1" x14ac:dyDescent="0.35">
      <c r="A5670" s="112" t="s">
        <v>4632</v>
      </c>
      <c r="B5670" s="112" t="s">
        <v>4644</v>
      </c>
      <c r="C5670" s="112" t="s">
        <v>695</v>
      </c>
      <c r="D5670" s="113">
        <v>10348085</v>
      </c>
      <c r="E5670" s="115">
        <v>43923</v>
      </c>
      <c r="F5670" s="114">
        <v>202101</v>
      </c>
      <c r="G5670" s="112" t="s">
        <v>1091</v>
      </c>
      <c r="H5670" s="112" t="s">
        <v>1015</v>
      </c>
      <c r="I5670" s="112" t="s">
        <v>749</v>
      </c>
      <c r="J5670" s="112" t="s">
        <v>4645</v>
      </c>
      <c r="K5670" s="112" t="s">
        <v>4662</v>
      </c>
      <c r="L5670" s="116">
        <v>-108.24</v>
      </c>
    </row>
    <row r="5671" spans="1:12" hidden="1" outlineLevel="1" collapsed="1" x14ac:dyDescent="0.35">
      <c r="A5671" s="112" t="s">
        <v>4632</v>
      </c>
      <c r="B5671" s="112" t="s">
        <v>4644</v>
      </c>
      <c r="C5671" s="112" t="s">
        <v>1518</v>
      </c>
      <c r="D5671" s="113">
        <v>51366065</v>
      </c>
      <c r="E5671" s="115">
        <v>43928</v>
      </c>
      <c r="F5671" s="114">
        <v>202101</v>
      </c>
      <c r="G5671" s="112" t="s">
        <v>1091</v>
      </c>
      <c r="H5671" s="112" t="s">
        <v>1016</v>
      </c>
      <c r="I5671" s="112" t="s">
        <v>779</v>
      </c>
      <c r="J5671" s="112" t="s">
        <v>4645</v>
      </c>
      <c r="K5671" s="112" t="s">
        <v>4666</v>
      </c>
      <c r="L5671" s="116">
        <v>-463.44</v>
      </c>
    </row>
    <row r="5672" spans="1:12" hidden="1" outlineLevel="1" collapsed="1" x14ac:dyDescent="0.35">
      <c r="A5672" s="112" t="s">
        <v>4632</v>
      </c>
      <c r="B5672" s="112" t="s">
        <v>4650</v>
      </c>
      <c r="C5672" s="112" t="s">
        <v>695</v>
      </c>
      <c r="D5672" s="113">
        <v>10348085</v>
      </c>
      <c r="E5672" s="115">
        <v>43923</v>
      </c>
      <c r="F5672" s="114">
        <v>202101</v>
      </c>
      <c r="G5672" s="112" t="s">
        <v>1091</v>
      </c>
      <c r="H5672" s="112" t="s">
        <v>1015</v>
      </c>
      <c r="I5672" s="112" t="s">
        <v>757</v>
      </c>
      <c r="J5672" s="112" t="s">
        <v>4651</v>
      </c>
      <c r="K5672" s="112" t="s">
        <v>4662</v>
      </c>
      <c r="L5672" s="116">
        <v>-2591.0300000000002</v>
      </c>
    </row>
    <row r="5673" spans="1:12" hidden="1" outlineLevel="1" collapsed="1" x14ac:dyDescent="0.35">
      <c r="A5673" s="112" t="s">
        <v>4632</v>
      </c>
      <c r="B5673" s="112" t="s">
        <v>4644</v>
      </c>
      <c r="C5673" s="112" t="s">
        <v>1518</v>
      </c>
      <c r="D5673" s="113">
        <v>51365997</v>
      </c>
      <c r="E5673" s="115">
        <v>43928</v>
      </c>
      <c r="F5673" s="114">
        <v>202101</v>
      </c>
      <c r="G5673" s="112" t="s">
        <v>1091</v>
      </c>
      <c r="H5673" s="112" t="s">
        <v>1016</v>
      </c>
      <c r="I5673" s="112" t="s">
        <v>779</v>
      </c>
      <c r="J5673" s="112" t="s">
        <v>4645</v>
      </c>
      <c r="K5673" s="112" t="s">
        <v>4667</v>
      </c>
      <c r="L5673" s="116">
        <v>-73.8</v>
      </c>
    </row>
    <row r="5674" spans="1:12" hidden="1" outlineLevel="1" collapsed="1" x14ac:dyDescent="0.35">
      <c r="A5674" s="112" t="s">
        <v>4632</v>
      </c>
      <c r="B5674" s="112" t="s">
        <v>4644</v>
      </c>
      <c r="C5674" s="112" t="s">
        <v>1518</v>
      </c>
      <c r="D5674" s="113">
        <v>51365996</v>
      </c>
      <c r="E5674" s="115">
        <v>43928</v>
      </c>
      <c r="F5674" s="114">
        <v>202101</v>
      </c>
      <c r="G5674" s="112" t="s">
        <v>1091</v>
      </c>
      <c r="H5674" s="112" t="s">
        <v>1016</v>
      </c>
      <c r="I5674" s="112" t="s">
        <v>779</v>
      </c>
      <c r="J5674" s="112" t="s">
        <v>4645</v>
      </c>
      <c r="K5674" s="112" t="s">
        <v>4668</v>
      </c>
      <c r="L5674" s="116">
        <v>-929.2</v>
      </c>
    </row>
    <row r="5675" spans="1:12" hidden="1" outlineLevel="1" collapsed="1" x14ac:dyDescent="0.35">
      <c r="A5675" s="112" t="s">
        <v>4632</v>
      </c>
      <c r="B5675" s="112" t="s">
        <v>4644</v>
      </c>
      <c r="C5675" s="112" t="s">
        <v>695</v>
      </c>
      <c r="D5675" s="113">
        <v>10348098</v>
      </c>
      <c r="E5675" s="115">
        <v>43929</v>
      </c>
      <c r="F5675" s="114">
        <v>202101</v>
      </c>
      <c r="G5675" s="112" t="s">
        <v>1091</v>
      </c>
      <c r="H5675" s="112" t="s">
        <v>1015</v>
      </c>
      <c r="I5675" s="112" t="s">
        <v>749</v>
      </c>
      <c r="J5675" s="112" t="s">
        <v>4645</v>
      </c>
      <c r="K5675" s="112" t="s">
        <v>4669</v>
      </c>
      <c r="L5675" s="116">
        <v>735.18</v>
      </c>
    </row>
    <row r="5676" spans="1:12" hidden="1" outlineLevel="1" collapsed="1" x14ac:dyDescent="0.35">
      <c r="A5676" s="112" t="s">
        <v>4632</v>
      </c>
      <c r="B5676" s="112" t="s">
        <v>4644</v>
      </c>
      <c r="C5676" s="112" t="s">
        <v>1758</v>
      </c>
      <c r="D5676" s="113">
        <v>51366066</v>
      </c>
      <c r="E5676" s="115">
        <v>43928</v>
      </c>
      <c r="F5676" s="114">
        <v>202101</v>
      </c>
      <c r="G5676" s="112" t="s">
        <v>1091</v>
      </c>
      <c r="H5676" s="112" t="s">
        <v>1016</v>
      </c>
      <c r="I5676" s="112" t="s">
        <v>779</v>
      </c>
      <c r="J5676" s="112" t="s">
        <v>4645</v>
      </c>
      <c r="K5676" s="112" t="s">
        <v>4670</v>
      </c>
      <c r="L5676" s="116">
        <v>582.48</v>
      </c>
    </row>
    <row r="5677" spans="1:12" hidden="1" outlineLevel="1" collapsed="1" x14ac:dyDescent="0.35">
      <c r="A5677" s="112" t="s">
        <v>4632</v>
      </c>
      <c r="B5677" s="112" t="s">
        <v>4644</v>
      </c>
      <c r="C5677" s="112" t="s">
        <v>695</v>
      </c>
      <c r="D5677" s="113">
        <v>10348098</v>
      </c>
      <c r="E5677" s="115">
        <v>43929</v>
      </c>
      <c r="F5677" s="114">
        <v>202101</v>
      </c>
      <c r="G5677" s="112" t="s">
        <v>1091</v>
      </c>
      <c r="H5677" s="112" t="s">
        <v>1015</v>
      </c>
      <c r="I5677" s="112" t="s">
        <v>757</v>
      </c>
      <c r="J5677" s="112" t="s">
        <v>4645</v>
      </c>
      <c r="K5677" s="112" t="s">
        <v>4671</v>
      </c>
      <c r="L5677" s="116">
        <v>-31.35</v>
      </c>
    </row>
    <row r="5678" spans="1:12" hidden="1" outlineLevel="1" collapsed="1" x14ac:dyDescent="0.35">
      <c r="A5678" s="112" t="s">
        <v>4632</v>
      </c>
      <c r="B5678" s="112" t="s">
        <v>4639</v>
      </c>
      <c r="C5678" s="112" t="s">
        <v>695</v>
      </c>
      <c r="D5678" s="113">
        <v>10348085</v>
      </c>
      <c r="E5678" s="115">
        <v>43923</v>
      </c>
      <c r="F5678" s="114">
        <v>202101</v>
      </c>
      <c r="G5678" s="112" t="s">
        <v>1091</v>
      </c>
      <c r="H5678" s="112" t="s">
        <v>1015</v>
      </c>
      <c r="I5678" s="112" t="s">
        <v>749</v>
      </c>
      <c r="J5678" s="112" t="s">
        <v>4640</v>
      </c>
      <c r="K5678" s="112" t="s">
        <v>4662</v>
      </c>
      <c r="L5678" s="116">
        <v>-93.41</v>
      </c>
    </row>
    <row r="5679" spans="1:12" hidden="1" outlineLevel="1" collapsed="1" x14ac:dyDescent="0.35">
      <c r="A5679" s="112" t="s">
        <v>4632</v>
      </c>
      <c r="B5679" s="112" t="s">
        <v>4639</v>
      </c>
      <c r="C5679" s="112" t="s">
        <v>695</v>
      </c>
      <c r="D5679" s="113">
        <v>10348085</v>
      </c>
      <c r="E5679" s="115">
        <v>43923</v>
      </c>
      <c r="F5679" s="114">
        <v>202101</v>
      </c>
      <c r="G5679" s="112" t="s">
        <v>1091</v>
      </c>
      <c r="H5679" s="112" t="s">
        <v>1015</v>
      </c>
      <c r="I5679" s="112" t="s">
        <v>749</v>
      </c>
      <c r="J5679" s="112" t="s">
        <v>4640</v>
      </c>
      <c r="K5679" s="112" t="s">
        <v>4662</v>
      </c>
      <c r="L5679" s="116">
        <v>-17.010000000000002</v>
      </c>
    </row>
    <row r="5680" spans="1:12" hidden="1" outlineLevel="1" collapsed="1" x14ac:dyDescent="0.35">
      <c r="A5680" s="112" t="s">
        <v>4632</v>
      </c>
      <c r="B5680" s="112" t="s">
        <v>4644</v>
      </c>
      <c r="C5680" s="112" t="s">
        <v>695</v>
      </c>
      <c r="D5680" s="113">
        <v>10348085</v>
      </c>
      <c r="E5680" s="115">
        <v>43923</v>
      </c>
      <c r="F5680" s="114">
        <v>202101</v>
      </c>
      <c r="G5680" s="112" t="s">
        <v>1091</v>
      </c>
      <c r="H5680" s="112" t="s">
        <v>1015</v>
      </c>
      <c r="I5680" s="112" t="s">
        <v>757</v>
      </c>
      <c r="J5680" s="112" t="s">
        <v>4645</v>
      </c>
      <c r="K5680" s="112" t="s">
        <v>4662</v>
      </c>
      <c r="L5680" s="116">
        <v>-531.91</v>
      </c>
    </row>
    <row r="5681" spans="1:12" hidden="1" outlineLevel="1" collapsed="1" x14ac:dyDescent="0.35">
      <c r="A5681" s="112" t="s">
        <v>4632</v>
      </c>
      <c r="B5681" s="112" t="s">
        <v>4644</v>
      </c>
      <c r="C5681" s="112" t="s">
        <v>695</v>
      </c>
      <c r="D5681" s="113">
        <v>10348085</v>
      </c>
      <c r="E5681" s="115">
        <v>43923</v>
      </c>
      <c r="F5681" s="114">
        <v>202101</v>
      </c>
      <c r="G5681" s="112" t="s">
        <v>1091</v>
      </c>
      <c r="H5681" s="112" t="s">
        <v>1015</v>
      </c>
      <c r="I5681" s="112" t="s">
        <v>749</v>
      </c>
      <c r="J5681" s="112" t="s">
        <v>4645</v>
      </c>
      <c r="K5681" s="112" t="s">
        <v>4662</v>
      </c>
      <c r="L5681" s="116">
        <v>-163.27000000000001</v>
      </c>
    </row>
    <row r="5682" spans="1:12" hidden="1" outlineLevel="1" collapsed="1" x14ac:dyDescent="0.35">
      <c r="A5682" s="112" t="s">
        <v>4632</v>
      </c>
      <c r="B5682" s="112" t="s">
        <v>863</v>
      </c>
      <c r="C5682" s="112" t="s">
        <v>695</v>
      </c>
      <c r="D5682" s="113">
        <v>10348098</v>
      </c>
      <c r="E5682" s="115">
        <v>43929</v>
      </c>
      <c r="F5682" s="114">
        <v>202101</v>
      </c>
      <c r="G5682" s="112" t="s">
        <v>1091</v>
      </c>
      <c r="H5682" s="112" t="s">
        <v>1015</v>
      </c>
      <c r="I5682" s="112" t="s">
        <v>749</v>
      </c>
      <c r="J5682" s="112" t="s">
        <v>787</v>
      </c>
      <c r="K5682" s="112" t="s">
        <v>4672</v>
      </c>
      <c r="L5682" s="116">
        <v>719.03</v>
      </c>
    </row>
    <row r="5683" spans="1:12" hidden="1" outlineLevel="1" collapsed="1" x14ac:dyDescent="0.35">
      <c r="A5683" s="112" t="s">
        <v>4632</v>
      </c>
      <c r="B5683" s="112" t="s">
        <v>4650</v>
      </c>
      <c r="C5683" s="112" t="s">
        <v>695</v>
      </c>
      <c r="D5683" s="113">
        <v>10348098</v>
      </c>
      <c r="E5683" s="115">
        <v>43929</v>
      </c>
      <c r="F5683" s="114">
        <v>202101</v>
      </c>
      <c r="G5683" s="112" t="s">
        <v>1091</v>
      </c>
      <c r="H5683" s="112" t="s">
        <v>1015</v>
      </c>
      <c r="I5683" s="112" t="s">
        <v>757</v>
      </c>
      <c r="J5683" s="112" t="s">
        <v>4651</v>
      </c>
      <c r="K5683" s="112" t="s">
        <v>4673</v>
      </c>
      <c r="L5683" s="116">
        <v>155.22</v>
      </c>
    </row>
    <row r="5684" spans="1:12" hidden="1" outlineLevel="1" collapsed="1" x14ac:dyDescent="0.35">
      <c r="A5684" s="112" t="s">
        <v>4632</v>
      </c>
      <c r="B5684" s="112" t="s">
        <v>4644</v>
      </c>
      <c r="C5684" s="112" t="s">
        <v>695</v>
      </c>
      <c r="D5684" s="113">
        <v>10348098</v>
      </c>
      <c r="E5684" s="115">
        <v>43929</v>
      </c>
      <c r="F5684" s="114">
        <v>202101</v>
      </c>
      <c r="G5684" s="112" t="s">
        <v>1091</v>
      </c>
      <c r="H5684" s="112" t="s">
        <v>1015</v>
      </c>
      <c r="I5684" s="112" t="s">
        <v>749</v>
      </c>
      <c r="J5684" s="112" t="s">
        <v>4645</v>
      </c>
      <c r="K5684" s="112" t="s">
        <v>4674</v>
      </c>
      <c r="L5684" s="116">
        <v>90.95</v>
      </c>
    </row>
    <row r="5685" spans="1:12" hidden="1" outlineLevel="1" collapsed="1" x14ac:dyDescent="0.35">
      <c r="A5685" s="112" t="s">
        <v>4632</v>
      </c>
      <c r="B5685" s="112" t="s">
        <v>4644</v>
      </c>
      <c r="C5685" s="112" t="s">
        <v>695</v>
      </c>
      <c r="D5685" s="113">
        <v>10348085</v>
      </c>
      <c r="E5685" s="115">
        <v>43923</v>
      </c>
      <c r="F5685" s="114">
        <v>202101</v>
      </c>
      <c r="G5685" s="112" t="s">
        <v>1091</v>
      </c>
      <c r="H5685" s="112" t="s">
        <v>1015</v>
      </c>
      <c r="I5685" s="112" t="s">
        <v>757</v>
      </c>
      <c r="J5685" s="112" t="s">
        <v>4645</v>
      </c>
      <c r="K5685" s="112" t="s">
        <v>4662</v>
      </c>
      <c r="L5685" s="116">
        <v>-37.11</v>
      </c>
    </row>
    <row r="5686" spans="1:12" hidden="1" outlineLevel="1" collapsed="1" x14ac:dyDescent="0.35">
      <c r="A5686" s="112" t="s">
        <v>4632</v>
      </c>
      <c r="B5686" s="112" t="s">
        <v>4644</v>
      </c>
      <c r="C5686" s="112" t="s">
        <v>695</v>
      </c>
      <c r="D5686" s="113">
        <v>10348098</v>
      </c>
      <c r="E5686" s="115">
        <v>43929</v>
      </c>
      <c r="F5686" s="114">
        <v>202101</v>
      </c>
      <c r="G5686" s="112" t="s">
        <v>1091</v>
      </c>
      <c r="H5686" s="112" t="s">
        <v>1015</v>
      </c>
      <c r="I5686" s="112" t="s">
        <v>749</v>
      </c>
      <c r="J5686" s="112" t="s">
        <v>4645</v>
      </c>
      <c r="K5686" s="112" t="s">
        <v>4675</v>
      </c>
      <c r="L5686" s="116">
        <v>233.99</v>
      </c>
    </row>
    <row r="5687" spans="1:12" hidden="1" outlineLevel="1" collapsed="1" x14ac:dyDescent="0.35">
      <c r="A5687" s="112" t="s">
        <v>4632</v>
      </c>
      <c r="B5687" s="112" t="s">
        <v>4644</v>
      </c>
      <c r="C5687" s="112" t="s">
        <v>695</v>
      </c>
      <c r="D5687" s="113">
        <v>10348098</v>
      </c>
      <c r="E5687" s="115">
        <v>43929</v>
      </c>
      <c r="F5687" s="114">
        <v>202101</v>
      </c>
      <c r="G5687" s="112" t="s">
        <v>1091</v>
      </c>
      <c r="H5687" s="112" t="s">
        <v>1015</v>
      </c>
      <c r="I5687" s="112" t="s">
        <v>749</v>
      </c>
      <c r="J5687" s="112" t="s">
        <v>4645</v>
      </c>
      <c r="K5687" s="112" t="s">
        <v>4676</v>
      </c>
      <c r="L5687" s="116">
        <v>62.03</v>
      </c>
    </row>
    <row r="5688" spans="1:12" hidden="1" outlineLevel="1" collapsed="1" x14ac:dyDescent="0.35">
      <c r="A5688" s="112" t="s">
        <v>4632</v>
      </c>
      <c r="B5688" s="112" t="s">
        <v>4644</v>
      </c>
      <c r="C5688" s="112" t="s">
        <v>695</v>
      </c>
      <c r="D5688" s="113">
        <v>10348085</v>
      </c>
      <c r="E5688" s="115">
        <v>43923</v>
      </c>
      <c r="F5688" s="114">
        <v>202101</v>
      </c>
      <c r="G5688" s="112" t="s">
        <v>1091</v>
      </c>
      <c r="H5688" s="112" t="s">
        <v>1015</v>
      </c>
      <c r="I5688" s="112" t="s">
        <v>757</v>
      </c>
      <c r="J5688" s="112" t="s">
        <v>4645</v>
      </c>
      <c r="K5688" s="112" t="s">
        <v>4662</v>
      </c>
      <c r="L5688" s="116">
        <v>-1785.25</v>
      </c>
    </row>
    <row r="5689" spans="1:12" hidden="1" outlineLevel="1" collapsed="1" x14ac:dyDescent="0.35">
      <c r="A5689" s="112" t="s">
        <v>4632</v>
      </c>
      <c r="B5689" s="112" t="s">
        <v>4644</v>
      </c>
      <c r="C5689" s="112" t="s">
        <v>695</v>
      </c>
      <c r="D5689" s="113">
        <v>10348085</v>
      </c>
      <c r="E5689" s="115">
        <v>43923</v>
      </c>
      <c r="F5689" s="114">
        <v>202101</v>
      </c>
      <c r="G5689" s="112" t="s">
        <v>1091</v>
      </c>
      <c r="H5689" s="112" t="s">
        <v>1015</v>
      </c>
      <c r="I5689" s="112" t="s">
        <v>757</v>
      </c>
      <c r="J5689" s="112" t="s">
        <v>4645</v>
      </c>
      <c r="K5689" s="112" t="s">
        <v>4662</v>
      </c>
      <c r="L5689" s="116">
        <v>-206.91</v>
      </c>
    </row>
    <row r="5690" spans="1:12" hidden="1" outlineLevel="1" collapsed="1" x14ac:dyDescent="0.35">
      <c r="A5690" s="112" t="s">
        <v>4632</v>
      </c>
      <c r="B5690" s="112" t="s">
        <v>863</v>
      </c>
      <c r="C5690" s="112" t="s">
        <v>695</v>
      </c>
      <c r="D5690" s="113">
        <v>10348098</v>
      </c>
      <c r="E5690" s="115">
        <v>43929</v>
      </c>
      <c r="F5690" s="114">
        <v>202101</v>
      </c>
      <c r="G5690" s="112" t="s">
        <v>1091</v>
      </c>
      <c r="H5690" s="112" t="s">
        <v>1015</v>
      </c>
      <c r="I5690" s="112" t="s">
        <v>749</v>
      </c>
      <c r="J5690" s="112" t="s">
        <v>852</v>
      </c>
      <c r="K5690" s="112" t="s">
        <v>4677</v>
      </c>
      <c r="L5690" s="116">
        <v>1083.52</v>
      </c>
    </row>
    <row r="5691" spans="1:12" hidden="1" outlineLevel="1" collapsed="1" x14ac:dyDescent="0.35">
      <c r="A5691" s="112" t="s">
        <v>4632</v>
      </c>
      <c r="B5691" s="112" t="s">
        <v>863</v>
      </c>
      <c r="C5691" s="112" t="s">
        <v>695</v>
      </c>
      <c r="D5691" s="113">
        <v>10348098</v>
      </c>
      <c r="E5691" s="115">
        <v>43929</v>
      </c>
      <c r="F5691" s="114">
        <v>202101</v>
      </c>
      <c r="G5691" s="112" t="s">
        <v>1091</v>
      </c>
      <c r="H5691" s="112" t="s">
        <v>1015</v>
      </c>
      <c r="I5691" s="112" t="s">
        <v>749</v>
      </c>
      <c r="J5691" s="112" t="s">
        <v>821</v>
      </c>
      <c r="K5691" s="112" t="s">
        <v>4678</v>
      </c>
      <c r="L5691" s="116">
        <v>2175.81</v>
      </c>
    </row>
    <row r="5692" spans="1:12" hidden="1" outlineLevel="1" collapsed="1" x14ac:dyDescent="0.35">
      <c r="A5692" s="112" t="s">
        <v>4632</v>
      </c>
      <c r="B5692" s="112" t="s">
        <v>4644</v>
      </c>
      <c r="C5692" s="112" t="s">
        <v>695</v>
      </c>
      <c r="D5692" s="113">
        <v>10348098</v>
      </c>
      <c r="E5692" s="115">
        <v>43929</v>
      </c>
      <c r="F5692" s="114">
        <v>202101</v>
      </c>
      <c r="G5692" s="112" t="s">
        <v>1091</v>
      </c>
      <c r="H5692" s="112" t="s">
        <v>1015</v>
      </c>
      <c r="I5692" s="112" t="s">
        <v>751</v>
      </c>
      <c r="J5692" s="112" t="s">
        <v>4645</v>
      </c>
      <c r="K5692" s="112" t="s">
        <v>4679</v>
      </c>
      <c r="L5692" s="116">
        <v>463.44</v>
      </c>
    </row>
    <row r="5693" spans="1:12" hidden="1" outlineLevel="1" collapsed="1" x14ac:dyDescent="0.35">
      <c r="A5693" s="112" t="s">
        <v>4632</v>
      </c>
      <c r="B5693" s="112" t="s">
        <v>863</v>
      </c>
      <c r="C5693" s="112" t="s">
        <v>695</v>
      </c>
      <c r="D5693" s="113">
        <v>10348098</v>
      </c>
      <c r="E5693" s="115">
        <v>43929</v>
      </c>
      <c r="F5693" s="114">
        <v>202101</v>
      </c>
      <c r="G5693" s="112" t="s">
        <v>1091</v>
      </c>
      <c r="H5693" s="112" t="s">
        <v>1015</v>
      </c>
      <c r="I5693" s="112" t="s">
        <v>749</v>
      </c>
      <c r="J5693" s="112" t="s">
        <v>821</v>
      </c>
      <c r="K5693" s="112" t="s">
        <v>4680</v>
      </c>
      <c r="L5693" s="116">
        <v>2293.4899999999998</v>
      </c>
    </row>
    <row r="5694" spans="1:12" hidden="1" outlineLevel="1" collapsed="1" x14ac:dyDescent="0.35">
      <c r="A5694" s="112" t="s">
        <v>4632</v>
      </c>
      <c r="B5694" s="112" t="s">
        <v>4644</v>
      </c>
      <c r="C5694" s="112" t="s">
        <v>695</v>
      </c>
      <c r="D5694" s="113">
        <v>10348098</v>
      </c>
      <c r="E5694" s="115">
        <v>43929</v>
      </c>
      <c r="F5694" s="114">
        <v>202101</v>
      </c>
      <c r="G5694" s="112" t="s">
        <v>1091</v>
      </c>
      <c r="H5694" s="112" t="s">
        <v>1015</v>
      </c>
      <c r="I5694" s="112" t="s">
        <v>757</v>
      </c>
      <c r="J5694" s="112" t="s">
        <v>4645</v>
      </c>
      <c r="K5694" s="112" t="s">
        <v>4681</v>
      </c>
      <c r="L5694" s="116">
        <v>-808.7</v>
      </c>
    </row>
    <row r="5695" spans="1:12" hidden="1" outlineLevel="1" collapsed="1" x14ac:dyDescent="0.35">
      <c r="A5695" s="112" t="s">
        <v>4632</v>
      </c>
      <c r="B5695" s="112" t="s">
        <v>4650</v>
      </c>
      <c r="C5695" s="112" t="s">
        <v>695</v>
      </c>
      <c r="D5695" s="113">
        <v>10348085</v>
      </c>
      <c r="E5695" s="115">
        <v>43923</v>
      </c>
      <c r="F5695" s="114">
        <v>202101</v>
      </c>
      <c r="G5695" s="112" t="s">
        <v>1091</v>
      </c>
      <c r="H5695" s="112" t="s">
        <v>1015</v>
      </c>
      <c r="I5695" s="112" t="s">
        <v>749</v>
      </c>
      <c r="J5695" s="112" t="s">
        <v>4651</v>
      </c>
      <c r="K5695" s="112" t="s">
        <v>4662</v>
      </c>
      <c r="L5695" s="116">
        <v>-508.84</v>
      </c>
    </row>
    <row r="5696" spans="1:12" hidden="1" outlineLevel="1" collapsed="1" x14ac:dyDescent="0.35">
      <c r="A5696" s="112" t="s">
        <v>4632</v>
      </c>
      <c r="B5696" s="112" t="s">
        <v>4644</v>
      </c>
      <c r="C5696" s="112" t="s">
        <v>695</v>
      </c>
      <c r="D5696" s="113">
        <v>10348098</v>
      </c>
      <c r="E5696" s="115">
        <v>43929</v>
      </c>
      <c r="F5696" s="114">
        <v>202101</v>
      </c>
      <c r="G5696" s="112" t="s">
        <v>1091</v>
      </c>
      <c r="H5696" s="112" t="s">
        <v>1015</v>
      </c>
      <c r="I5696" s="112" t="s">
        <v>757</v>
      </c>
      <c r="J5696" s="112" t="s">
        <v>4645</v>
      </c>
      <c r="K5696" s="112" t="s">
        <v>4682</v>
      </c>
      <c r="L5696" s="116">
        <v>66.81</v>
      </c>
    </row>
    <row r="5697" spans="1:12" hidden="1" outlineLevel="1" collapsed="1" x14ac:dyDescent="0.35">
      <c r="A5697" s="112" t="s">
        <v>4632</v>
      </c>
      <c r="B5697" s="112" t="s">
        <v>4650</v>
      </c>
      <c r="C5697" s="112" t="s">
        <v>695</v>
      </c>
      <c r="D5697" s="113">
        <v>10348098</v>
      </c>
      <c r="E5697" s="115">
        <v>43929</v>
      </c>
      <c r="F5697" s="114">
        <v>202101</v>
      </c>
      <c r="G5697" s="112" t="s">
        <v>1091</v>
      </c>
      <c r="H5697" s="112" t="s">
        <v>1015</v>
      </c>
      <c r="I5697" s="112" t="s">
        <v>749</v>
      </c>
      <c r="J5697" s="112" t="s">
        <v>4651</v>
      </c>
      <c r="K5697" s="112" t="s">
        <v>4683</v>
      </c>
      <c r="L5697" s="116">
        <v>49.46</v>
      </c>
    </row>
    <row r="5698" spans="1:12" hidden="1" outlineLevel="1" collapsed="1" x14ac:dyDescent="0.35">
      <c r="A5698" s="112" t="s">
        <v>4632</v>
      </c>
      <c r="B5698" s="112" t="s">
        <v>4644</v>
      </c>
      <c r="C5698" s="112" t="s">
        <v>695</v>
      </c>
      <c r="D5698" s="113">
        <v>10348085</v>
      </c>
      <c r="E5698" s="115">
        <v>43923</v>
      </c>
      <c r="F5698" s="114">
        <v>202101</v>
      </c>
      <c r="G5698" s="112" t="s">
        <v>1091</v>
      </c>
      <c r="H5698" s="112" t="s">
        <v>1015</v>
      </c>
      <c r="I5698" s="112" t="s">
        <v>749</v>
      </c>
      <c r="J5698" s="112" t="s">
        <v>4645</v>
      </c>
      <c r="K5698" s="112" t="s">
        <v>4662</v>
      </c>
      <c r="L5698" s="116">
        <v>26004.02</v>
      </c>
    </row>
    <row r="5699" spans="1:12" hidden="1" outlineLevel="1" collapsed="1" x14ac:dyDescent="0.35">
      <c r="A5699" s="112" t="s">
        <v>4632</v>
      </c>
      <c r="B5699" s="112" t="s">
        <v>4644</v>
      </c>
      <c r="C5699" s="112" t="s">
        <v>695</v>
      </c>
      <c r="D5699" s="113">
        <v>10348098</v>
      </c>
      <c r="E5699" s="115">
        <v>43929</v>
      </c>
      <c r="F5699" s="114">
        <v>202101</v>
      </c>
      <c r="G5699" s="112" t="s">
        <v>1091</v>
      </c>
      <c r="H5699" s="112" t="s">
        <v>1015</v>
      </c>
      <c r="I5699" s="112" t="s">
        <v>749</v>
      </c>
      <c r="J5699" s="112" t="s">
        <v>4645</v>
      </c>
      <c r="K5699" s="112" t="s">
        <v>4684</v>
      </c>
      <c r="L5699" s="116">
        <v>332.36</v>
      </c>
    </row>
    <row r="5700" spans="1:12" hidden="1" outlineLevel="1" collapsed="1" x14ac:dyDescent="0.35">
      <c r="A5700" s="112" t="s">
        <v>4632</v>
      </c>
      <c r="B5700" s="112" t="s">
        <v>4644</v>
      </c>
      <c r="C5700" s="112" t="s">
        <v>695</v>
      </c>
      <c r="D5700" s="113">
        <v>10348085</v>
      </c>
      <c r="E5700" s="115">
        <v>43923</v>
      </c>
      <c r="F5700" s="114">
        <v>202101</v>
      </c>
      <c r="G5700" s="112" t="s">
        <v>1091</v>
      </c>
      <c r="H5700" s="112" t="s">
        <v>1015</v>
      </c>
      <c r="I5700" s="112" t="s">
        <v>749</v>
      </c>
      <c r="J5700" s="112" t="s">
        <v>4645</v>
      </c>
      <c r="K5700" s="112" t="s">
        <v>4662</v>
      </c>
      <c r="L5700" s="116">
        <v>2347.7600000000002</v>
      </c>
    </row>
    <row r="5701" spans="1:12" hidden="1" outlineLevel="1" collapsed="1" x14ac:dyDescent="0.35">
      <c r="A5701" s="112" t="s">
        <v>4632</v>
      </c>
      <c r="B5701" s="112" t="s">
        <v>4644</v>
      </c>
      <c r="C5701" s="112" t="s">
        <v>695</v>
      </c>
      <c r="D5701" s="113">
        <v>10348085</v>
      </c>
      <c r="E5701" s="115">
        <v>43923</v>
      </c>
      <c r="F5701" s="114">
        <v>202101</v>
      </c>
      <c r="G5701" s="112" t="s">
        <v>1091</v>
      </c>
      <c r="H5701" s="112" t="s">
        <v>1015</v>
      </c>
      <c r="I5701" s="112" t="s">
        <v>749</v>
      </c>
      <c r="J5701" s="112" t="s">
        <v>4645</v>
      </c>
      <c r="K5701" s="112" t="s">
        <v>4662</v>
      </c>
      <c r="L5701" s="116">
        <v>-1563.67</v>
      </c>
    </row>
    <row r="5702" spans="1:12" hidden="1" outlineLevel="1" collapsed="1" x14ac:dyDescent="0.35">
      <c r="A5702" s="112" t="s">
        <v>4632</v>
      </c>
      <c r="B5702" s="112" t="s">
        <v>4650</v>
      </c>
      <c r="C5702" s="112" t="s">
        <v>695</v>
      </c>
      <c r="D5702" s="113">
        <v>10348085</v>
      </c>
      <c r="E5702" s="115">
        <v>43923</v>
      </c>
      <c r="F5702" s="114">
        <v>202101</v>
      </c>
      <c r="G5702" s="112" t="s">
        <v>1091</v>
      </c>
      <c r="H5702" s="112" t="s">
        <v>1015</v>
      </c>
      <c r="I5702" s="112" t="s">
        <v>749</v>
      </c>
      <c r="J5702" s="112" t="s">
        <v>4651</v>
      </c>
      <c r="K5702" s="112" t="s">
        <v>4662</v>
      </c>
      <c r="L5702" s="116">
        <v>554.55999999999995</v>
      </c>
    </row>
    <row r="5703" spans="1:12" hidden="1" outlineLevel="1" collapsed="1" x14ac:dyDescent="0.35">
      <c r="A5703" s="112" t="s">
        <v>4632</v>
      </c>
      <c r="B5703" s="112" t="s">
        <v>4639</v>
      </c>
      <c r="C5703" s="112" t="s">
        <v>695</v>
      </c>
      <c r="D5703" s="113">
        <v>10348085</v>
      </c>
      <c r="E5703" s="115">
        <v>43923</v>
      </c>
      <c r="F5703" s="114">
        <v>202101</v>
      </c>
      <c r="G5703" s="112" t="s">
        <v>1091</v>
      </c>
      <c r="H5703" s="112" t="s">
        <v>1015</v>
      </c>
      <c r="I5703" s="112" t="s">
        <v>751</v>
      </c>
      <c r="J5703" s="112" t="s">
        <v>4640</v>
      </c>
      <c r="K5703" s="112" t="s">
        <v>4662</v>
      </c>
      <c r="L5703" s="116">
        <v>1323.69</v>
      </c>
    </row>
    <row r="5704" spans="1:12" hidden="1" outlineLevel="1" collapsed="1" x14ac:dyDescent="0.35">
      <c r="A5704" s="112" t="s">
        <v>4632</v>
      </c>
      <c r="B5704" s="112" t="s">
        <v>4650</v>
      </c>
      <c r="C5704" s="112" t="s">
        <v>695</v>
      </c>
      <c r="D5704" s="113">
        <v>10348098</v>
      </c>
      <c r="E5704" s="115">
        <v>43929</v>
      </c>
      <c r="F5704" s="114">
        <v>202101</v>
      </c>
      <c r="G5704" s="112" t="s">
        <v>1091</v>
      </c>
      <c r="H5704" s="112" t="s">
        <v>1015</v>
      </c>
      <c r="I5704" s="112" t="s">
        <v>757</v>
      </c>
      <c r="J5704" s="112" t="s">
        <v>4651</v>
      </c>
      <c r="K5704" s="112" t="s">
        <v>4685</v>
      </c>
      <c r="L5704" s="116">
        <v>124.52</v>
      </c>
    </row>
    <row r="5705" spans="1:12" hidden="1" outlineLevel="1" collapsed="1" x14ac:dyDescent="0.35">
      <c r="A5705" s="112" t="s">
        <v>4632</v>
      </c>
      <c r="B5705" s="112" t="s">
        <v>863</v>
      </c>
      <c r="C5705" s="112" t="s">
        <v>695</v>
      </c>
      <c r="D5705" s="113">
        <v>10348098</v>
      </c>
      <c r="E5705" s="115">
        <v>43929</v>
      </c>
      <c r="F5705" s="114">
        <v>202101</v>
      </c>
      <c r="G5705" s="112" t="s">
        <v>1091</v>
      </c>
      <c r="H5705" s="112" t="s">
        <v>1015</v>
      </c>
      <c r="I5705" s="112" t="s">
        <v>751</v>
      </c>
      <c r="J5705" s="112" t="s">
        <v>787</v>
      </c>
      <c r="K5705" s="112" t="s">
        <v>4686</v>
      </c>
      <c r="L5705" s="116">
        <v>292.85000000000002</v>
      </c>
    </row>
    <row r="5706" spans="1:12" hidden="1" outlineLevel="1" collapsed="1" x14ac:dyDescent="0.35">
      <c r="A5706" s="112" t="s">
        <v>4632</v>
      </c>
      <c r="B5706" s="112" t="s">
        <v>4644</v>
      </c>
      <c r="C5706" s="112" t="s">
        <v>695</v>
      </c>
      <c r="D5706" s="113">
        <v>10348085</v>
      </c>
      <c r="E5706" s="115">
        <v>43923</v>
      </c>
      <c r="F5706" s="114">
        <v>202101</v>
      </c>
      <c r="G5706" s="112" t="s">
        <v>1091</v>
      </c>
      <c r="H5706" s="112" t="s">
        <v>1015</v>
      </c>
      <c r="I5706" s="112" t="s">
        <v>749</v>
      </c>
      <c r="J5706" s="112" t="s">
        <v>4645</v>
      </c>
      <c r="K5706" s="112" t="s">
        <v>4662</v>
      </c>
      <c r="L5706" s="116">
        <v>-40.159999999999997</v>
      </c>
    </row>
    <row r="5707" spans="1:12" hidden="1" outlineLevel="1" collapsed="1" x14ac:dyDescent="0.35">
      <c r="A5707" s="112" t="s">
        <v>4632</v>
      </c>
      <c r="B5707" s="112" t="s">
        <v>4650</v>
      </c>
      <c r="C5707" s="112" t="s">
        <v>695</v>
      </c>
      <c r="D5707" s="113">
        <v>10348085</v>
      </c>
      <c r="E5707" s="115">
        <v>43923</v>
      </c>
      <c r="F5707" s="114">
        <v>202101</v>
      </c>
      <c r="G5707" s="112" t="s">
        <v>1091</v>
      </c>
      <c r="H5707" s="112" t="s">
        <v>1015</v>
      </c>
      <c r="I5707" s="112" t="s">
        <v>757</v>
      </c>
      <c r="J5707" s="112" t="s">
        <v>4651</v>
      </c>
      <c r="K5707" s="112" t="s">
        <v>4662</v>
      </c>
      <c r="L5707" s="116">
        <v>-266.64</v>
      </c>
    </row>
    <row r="5708" spans="1:12" hidden="1" outlineLevel="1" collapsed="1" x14ac:dyDescent="0.35">
      <c r="A5708" s="112" t="s">
        <v>4632</v>
      </c>
      <c r="B5708" s="112" t="s">
        <v>4644</v>
      </c>
      <c r="C5708" s="112" t="s">
        <v>695</v>
      </c>
      <c r="D5708" s="113">
        <v>10348085</v>
      </c>
      <c r="E5708" s="115">
        <v>43923</v>
      </c>
      <c r="F5708" s="114">
        <v>202101</v>
      </c>
      <c r="G5708" s="112" t="s">
        <v>1091</v>
      </c>
      <c r="H5708" s="112" t="s">
        <v>1015</v>
      </c>
      <c r="I5708" s="112" t="s">
        <v>749</v>
      </c>
      <c r="J5708" s="112" t="s">
        <v>4645</v>
      </c>
      <c r="K5708" s="112" t="s">
        <v>4662</v>
      </c>
      <c r="L5708" s="116">
        <v>-345.86</v>
      </c>
    </row>
    <row r="5709" spans="1:12" hidden="1" outlineLevel="1" collapsed="1" x14ac:dyDescent="0.35">
      <c r="A5709" s="112" t="s">
        <v>4632</v>
      </c>
      <c r="B5709" s="112" t="s">
        <v>4650</v>
      </c>
      <c r="C5709" s="112" t="s">
        <v>695</v>
      </c>
      <c r="D5709" s="113">
        <v>10348085</v>
      </c>
      <c r="E5709" s="115">
        <v>43923</v>
      </c>
      <c r="F5709" s="114">
        <v>202101</v>
      </c>
      <c r="G5709" s="112" t="s">
        <v>1091</v>
      </c>
      <c r="H5709" s="112" t="s">
        <v>1015</v>
      </c>
      <c r="I5709" s="112" t="s">
        <v>749</v>
      </c>
      <c r="J5709" s="112" t="s">
        <v>4651</v>
      </c>
      <c r="K5709" s="112" t="s">
        <v>4662</v>
      </c>
      <c r="L5709" s="116">
        <v>-554.55999999999995</v>
      </c>
    </row>
    <row r="5710" spans="1:12" hidden="1" outlineLevel="1" collapsed="1" x14ac:dyDescent="0.35">
      <c r="A5710" s="112" t="s">
        <v>4632</v>
      </c>
      <c r="B5710" s="112" t="s">
        <v>4639</v>
      </c>
      <c r="C5710" s="112" t="s">
        <v>1150</v>
      </c>
      <c r="D5710" s="113">
        <v>10348573</v>
      </c>
      <c r="E5710" s="115">
        <v>43958</v>
      </c>
      <c r="F5710" s="114">
        <v>202101</v>
      </c>
      <c r="G5710" s="112" t="s">
        <v>1091</v>
      </c>
      <c r="H5710" s="112" t="s">
        <v>1015</v>
      </c>
      <c r="I5710" s="112" t="s">
        <v>4687</v>
      </c>
      <c r="J5710" s="112" t="s">
        <v>4640</v>
      </c>
      <c r="K5710" s="112" t="s">
        <v>1151</v>
      </c>
      <c r="L5710" s="116">
        <v>6836.5</v>
      </c>
    </row>
    <row r="5711" spans="1:12" hidden="1" outlineLevel="1" collapsed="1" x14ac:dyDescent="0.35">
      <c r="A5711" s="112" t="s">
        <v>4632</v>
      </c>
      <c r="B5711" s="112" t="s">
        <v>4639</v>
      </c>
      <c r="C5711" s="112" t="s">
        <v>695</v>
      </c>
      <c r="D5711" s="113">
        <v>10348085</v>
      </c>
      <c r="E5711" s="115">
        <v>43923</v>
      </c>
      <c r="F5711" s="114">
        <v>202101</v>
      </c>
      <c r="G5711" s="112" t="s">
        <v>1091</v>
      </c>
      <c r="H5711" s="112" t="s">
        <v>1015</v>
      </c>
      <c r="I5711" s="112" t="s">
        <v>757</v>
      </c>
      <c r="J5711" s="112" t="s">
        <v>4640</v>
      </c>
      <c r="K5711" s="112" t="s">
        <v>4662</v>
      </c>
      <c r="L5711" s="116">
        <v>-370.74</v>
      </c>
    </row>
    <row r="5712" spans="1:12" hidden="1" outlineLevel="1" collapsed="1" x14ac:dyDescent="0.35">
      <c r="A5712" s="112" t="s">
        <v>4632</v>
      </c>
      <c r="B5712" s="112" t="s">
        <v>4639</v>
      </c>
      <c r="C5712" s="112" t="s">
        <v>695</v>
      </c>
      <c r="D5712" s="113">
        <v>10348085</v>
      </c>
      <c r="E5712" s="115">
        <v>43923</v>
      </c>
      <c r="F5712" s="114">
        <v>202101</v>
      </c>
      <c r="G5712" s="112" t="s">
        <v>1091</v>
      </c>
      <c r="H5712" s="112" t="s">
        <v>1015</v>
      </c>
      <c r="I5712" s="112" t="s">
        <v>751</v>
      </c>
      <c r="J5712" s="112" t="s">
        <v>4640</v>
      </c>
      <c r="K5712" s="112" t="s">
        <v>4662</v>
      </c>
      <c r="L5712" s="116">
        <v>-91.16</v>
      </c>
    </row>
    <row r="5713" spans="1:12" hidden="1" outlineLevel="1" collapsed="1" x14ac:dyDescent="0.35">
      <c r="A5713" s="112" t="s">
        <v>4632</v>
      </c>
      <c r="B5713" s="112" t="s">
        <v>4688</v>
      </c>
      <c r="C5713" s="112" t="s">
        <v>679</v>
      </c>
      <c r="D5713" s="113">
        <v>10348056</v>
      </c>
      <c r="E5713" s="115">
        <v>43928</v>
      </c>
      <c r="F5713" s="114">
        <v>202101</v>
      </c>
      <c r="G5713" s="112" t="s">
        <v>1091</v>
      </c>
      <c r="H5713" s="112" t="s">
        <v>1016</v>
      </c>
      <c r="I5713" s="112" t="s">
        <v>4689</v>
      </c>
      <c r="J5713" s="112" t="s">
        <v>4690</v>
      </c>
      <c r="K5713" s="112" t="s">
        <v>4691</v>
      </c>
      <c r="L5713" s="116">
        <v>-54</v>
      </c>
    </row>
    <row r="5714" spans="1:12" hidden="1" outlineLevel="1" collapsed="1" x14ac:dyDescent="0.35">
      <c r="A5714" s="112" t="s">
        <v>4632</v>
      </c>
      <c r="B5714" s="112" t="s">
        <v>4688</v>
      </c>
      <c r="C5714" s="112" t="s">
        <v>679</v>
      </c>
      <c r="D5714" s="113">
        <v>10348056</v>
      </c>
      <c r="E5714" s="115">
        <v>43928</v>
      </c>
      <c r="F5714" s="114">
        <v>202101</v>
      </c>
      <c r="G5714" s="112" t="s">
        <v>1091</v>
      </c>
      <c r="H5714" s="112" t="s">
        <v>1016</v>
      </c>
      <c r="I5714" s="112" t="s">
        <v>4689</v>
      </c>
      <c r="J5714" s="112" t="s">
        <v>4690</v>
      </c>
      <c r="K5714" s="112" t="s">
        <v>4692</v>
      </c>
      <c r="L5714" s="116">
        <v>-54</v>
      </c>
    </row>
    <row r="5715" spans="1:12" hidden="1" outlineLevel="1" collapsed="1" x14ac:dyDescent="0.35">
      <c r="A5715" s="112" t="s">
        <v>4632</v>
      </c>
      <c r="B5715" s="112" t="s">
        <v>4688</v>
      </c>
      <c r="C5715" s="112" t="s">
        <v>679</v>
      </c>
      <c r="D5715" s="113">
        <v>10348056</v>
      </c>
      <c r="E5715" s="115">
        <v>43928</v>
      </c>
      <c r="F5715" s="114">
        <v>202101</v>
      </c>
      <c r="G5715" s="112" t="s">
        <v>1091</v>
      </c>
      <c r="H5715" s="112" t="s">
        <v>1016</v>
      </c>
      <c r="I5715" s="112" t="s">
        <v>4689</v>
      </c>
      <c r="J5715" s="112" t="s">
        <v>4690</v>
      </c>
      <c r="K5715" s="112" t="s">
        <v>4693</v>
      </c>
      <c r="L5715" s="116">
        <v>-54</v>
      </c>
    </row>
    <row r="5716" spans="1:12" hidden="1" outlineLevel="1" collapsed="1" x14ac:dyDescent="0.35">
      <c r="A5716" s="112" t="s">
        <v>4632</v>
      </c>
      <c r="B5716" s="112" t="s">
        <v>4688</v>
      </c>
      <c r="C5716" s="112" t="s">
        <v>679</v>
      </c>
      <c r="D5716" s="113">
        <v>10348056</v>
      </c>
      <c r="E5716" s="115">
        <v>43928</v>
      </c>
      <c r="F5716" s="114">
        <v>202101</v>
      </c>
      <c r="G5716" s="112" t="s">
        <v>1091</v>
      </c>
      <c r="H5716" s="112" t="s">
        <v>1016</v>
      </c>
      <c r="I5716" s="112" t="s">
        <v>4689</v>
      </c>
      <c r="J5716" s="112" t="s">
        <v>4690</v>
      </c>
      <c r="K5716" s="112" t="s">
        <v>4694</v>
      </c>
      <c r="L5716" s="116">
        <v>-54</v>
      </c>
    </row>
    <row r="5717" spans="1:12" hidden="1" outlineLevel="1" collapsed="1" x14ac:dyDescent="0.35">
      <c r="A5717" s="112" t="s">
        <v>4632</v>
      </c>
      <c r="B5717" s="112" t="s">
        <v>4688</v>
      </c>
      <c r="C5717" s="112" t="s">
        <v>4695</v>
      </c>
      <c r="D5717" s="113">
        <v>30440300</v>
      </c>
      <c r="E5717" s="115">
        <v>43928</v>
      </c>
      <c r="F5717" s="114">
        <v>202101</v>
      </c>
      <c r="G5717" s="112" t="s">
        <v>1091</v>
      </c>
      <c r="H5717" s="112" t="s">
        <v>1016</v>
      </c>
      <c r="I5717" s="112" t="s">
        <v>4689</v>
      </c>
      <c r="J5717" s="112" t="s">
        <v>4690</v>
      </c>
      <c r="K5717" s="112" t="s">
        <v>4696</v>
      </c>
      <c r="L5717" s="116">
        <v>54</v>
      </c>
    </row>
    <row r="5718" spans="1:12" hidden="1" outlineLevel="1" collapsed="1" x14ac:dyDescent="0.35">
      <c r="A5718" s="112" t="s">
        <v>4632</v>
      </c>
      <c r="B5718" s="112" t="s">
        <v>863</v>
      </c>
      <c r="C5718" s="112" t="s">
        <v>679</v>
      </c>
      <c r="D5718" s="113">
        <v>10348056</v>
      </c>
      <c r="E5718" s="115">
        <v>43928</v>
      </c>
      <c r="F5718" s="114">
        <v>202101</v>
      </c>
      <c r="G5718" s="112" t="s">
        <v>1091</v>
      </c>
      <c r="H5718" s="112" t="s">
        <v>1016</v>
      </c>
      <c r="I5718" s="112" t="s">
        <v>781</v>
      </c>
      <c r="J5718" s="112" t="s">
        <v>856</v>
      </c>
      <c r="K5718" s="112" t="s">
        <v>4697</v>
      </c>
      <c r="L5718" s="116">
        <v>-111.35</v>
      </c>
    </row>
    <row r="5719" spans="1:12" hidden="1" outlineLevel="1" collapsed="1" x14ac:dyDescent="0.35">
      <c r="A5719" s="112" t="s">
        <v>4632</v>
      </c>
      <c r="B5719" s="112" t="s">
        <v>4650</v>
      </c>
      <c r="C5719" s="112" t="s">
        <v>695</v>
      </c>
      <c r="D5719" s="113">
        <v>10348098</v>
      </c>
      <c r="E5719" s="115">
        <v>43929</v>
      </c>
      <c r="F5719" s="114">
        <v>202101</v>
      </c>
      <c r="G5719" s="112" t="s">
        <v>1091</v>
      </c>
      <c r="H5719" s="112" t="s">
        <v>1015</v>
      </c>
      <c r="I5719" s="112" t="s">
        <v>757</v>
      </c>
      <c r="J5719" s="112" t="s">
        <v>4651</v>
      </c>
      <c r="K5719" s="112" t="s">
        <v>4698</v>
      </c>
      <c r="L5719" s="116">
        <v>64.42</v>
      </c>
    </row>
    <row r="5720" spans="1:12" hidden="1" outlineLevel="1" collapsed="1" x14ac:dyDescent="0.35">
      <c r="A5720" s="112" t="s">
        <v>4632</v>
      </c>
      <c r="B5720" s="112" t="s">
        <v>4688</v>
      </c>
      <c r="C5720" s="112" t="s">
        <v>1518</v>
      </c>
      <c r="D5720" s="113">
        <v>51365770</v>
      </c>
      <c r="E5720" s="115">
        <v>43947</v>
      </c>
      <c r="F5720" s="114">
        <v>202101</v>
      </c>
      <c r="G5720" s="112" t="s">
        <v>1091</v>
      </c>
      <c r="H5720" s="112" t="s">
        <v>1016</v>
      </c>
      <c r="I5720" s="112" t="s">
        <v>2337</v>
      </c>
      <c r="J5720" s="112" t="s">
        <v>4690</v>
      </c>
      <c r="K5720" s="112" t="s">
        <v>4699</v>
      </c>
      <c r="L5720" s="116">
        <v>-51</v>
      </c>
    </row>
    <row r="5721" spans="1:12" hidden="1" outlineLevel="1" collapsed="1" x14ac:dyDescent="0.35">
      <c r="A5721" s="112" t="s">
        <v>4632</v>
      </c>
      <c r="B5721" s="112" t="s">
        <v>4688</v>
      </c>
      <c r="C5721" s="112" t="s">
        <v>4695</v>
      </c>
      <c r="D5721" s="113">
        <v>30440300</v>
      </c>
      <c r="E5721" s="115">
        <v>43928</v>
      </c>
      <c r="F5721" s="114">
        <v>202101</v>
      </c>
      <c r="G5721" s="112" t="s">
        <v>1091</v>
      </c>
      <c r="H5721" s="112" t="s">
        <v>1016</v>
      </c>
      <c r="I5721" s="112" t="s">
        <v>4689</v>
      </c>
      <c r="J5721" s="112" t="s">
        <v>4690</v>
      </c>
      <c r="K5721" s="112" t="s">
        <v>4700</v>
      </c>
      <c r="L5721" s="116">
        <v>54</v>
      </c>
    </row>
    <row r="5722" spans="1:12" hidden="1" outlineLevel="1" collapsed="1" x14ac:dyDescent="0.35">
      <c r="A5722" s="112" t="s">
        <v>4632</v>
      </c>
      <c r="B5722" s="112" t="s">
        <v>863</v>
      </c>
      <c r="C5722" s="112" t="s">
        <v>679</v>
      </c>
      <c r="D5722" s="113">
        <v>10348056</v>
      </c>
      <c r="E5722" s="115">
        <v>43928</v>
      </c>
      <c r="F5722" s="114">
        <v>202101</v>
      </c>
      <c r="G5722" s="112" t="s">
        <v>1091</v>
      </c>
      <c r="H5722" s="112" t="s">
        <v>1016</v>
      </c>
      <c r="I5722" s="112" t="s">
        <v>781</v>
      </c>
      <c r="J5722" s="112" t="s">
        <v>854</v>
      </c>
      <c r="K5722" s="112" t="s">
        <v>4697</v>
      </c>
      <c r="L5722" s="116">
        <v>-46.13</v>
      </c>
    </row>
    <row r="5723" spans="1:12" hidden="1" outlineLevel="1" collapsed="1" x14ac:dyDescent="0.35">
      <c r="A5723" s="112" t="s">
        <v>4632</v>
      </c>
      <c r="B5723" s="112" t="s">
        <v>4688</v>
      </c>
      <c r="C5723" s="112" t="s">
        <v>679</v>
      </c>
      <c r="D5723" s="113">
        <v>10348056</v>
      </c>
      <c r="E5723" s="115">
        <v>43928</v>
      </c>
      <c r="F5723" s="114">
        <v>202101</v>
      </c>
      <c r="G5723" s="112" t="s">
        <v>1091</v>
      </c>
      <c r="H5723" s="112" t="s">
        <v>1016</v>
      </c>
      <c r="I5723" s="112" t="s">
        <v>4689</v>
      </c>
      <c r="J5723" s="112" t="s">
        <v>4690</v>
      </c>
      <c r="K5723" s="112" t="s">
        <v>4700</v>
      </c>
      <c r="L5723" s="116">
        <v>-54</v>
      </c>
    </row>
    <row r="5724" spans="1:12" hidden="1" outlineLevel="1" collapsed="1" x14ac:dyDescent="0.35">
      <c r="A5724" s="112" t="s">
        <v>4632</v>
      </c>
      <c r="B5724" s="112" t="s">
        <v>863</v>
      </c>
      <c r="C5724" s="112" t="s">
        <v>679</v>
      </c>
      <c r="D5724" s="113">
        <v>10348056</v>
      </c>
      <c r="E5724" s="115">
        <v>43928</v>
      </c>
      <c r="F5724" s="114">
        <v>202101</v>
      </c>
      <c r="G5724" s="112" t="s">
        <v>1091</v>
      </c>
      <c r="H5724" s="112" t="s">
        <v>1016</v>
      </c>
      <c r="I5724" s="112" t="s">
        <v>781</v>
      </c>
      <c r="J5724" s="112" t="s">
        <v>852</v>
      </c>
      <c r="K5724" s="112" t="s">
        <v>4697</v>
      </c>
      <c r="L5724" s="116">
        <v>-57.3</v>
      </c>
    </row>
    <row r="5725" spans="1:12" hidden="1" outlineLevel="1" collapsed="1" x14ac:dyDescent="0.35">
      <c r="A5725" s="112" t="s">
        <v>4632</v>
      </c>
      <c r="B5725" s="112" t="s">
        <v>863</v>
      </c>
      <c r="C5725" s="112" t="s">
        <v>679</v>
      </c>
      <c r="D5725" s="113">
        <v>10348056</v>
      </c>
      <c r="E5725" s="115">
        <v>43928</v>
      </c>
      <c r="F5725" s="114">
        <v>202101</v>
      </c>
      <c r="G5725" s="112" t="s">
        <v>1091</v>
      </c>
      <c r="H5725" s="112" t="s">
        <v>1016</v>
      </c>
      <c r="I5725" s="112" t="s">
        <v>781</v>
      </c>
      <c r="J5725" s="112" t="s">
        <v>856</v>
      </c>
      <c r="K5725" s="112" t="s">
        <v>4697</v>
      </c>
      <c r="L5725" s="116">
        <v>-122.52</v>
      </c>
    </row>
    <row r="5726" spans="1:12" hidden="1" outlineLevel="1" collapsed="1" x14ac:dyDescent="0.35">
      <c r="A5726" s="112" t="s">
        <v>4632</v>
      </c>
      <c r="B5726" s="112" t="s">
        <v>863</v>
      </c>
      <c r="C5726" s="112" t="s">
        <v>679</v>
      </c>
      <c r="D5726" s="113">
        <v>10348056</v>
      </c>
      <c r="E5726" s="115">
        <v>43928</v>
      </c>
      <c r="F5726" s="114">
        <v>202101</v>
      </c>
      <c r="G5726" s="112" t="s">
        <v>1091</v>
      </c>
      <c r="H5726" s="112" t="s">
        <v>1016</v>
      </c>
      <c r="I5726" s="112" t="s">
        <v>781</v>
      </c>
      <c r="J5726" s="112" t="s">
        <v>856</v>
      </c>
      <c r="K5726" s="112" t="s">
        <v>4697</v>
      </c>
      <c r="L5726" s="116">
        <v>-163.87</v>
      </c>
    </row>
    <row r="5727" spans="1:12" hidden="1" outlineLevel="1" collapsed="1" x14ac:dyDescent="0.35">
      <c r="A5727" s="112" t="s">
        <v>4632</v>
      </c>
      <c r="B5727" s="112" t="s">
        <v>4701</v>
      </c>
      <c r="C5727" s="112" t="s">
        <v>695</v>
      </c>
      <c r="D5727" s="113">
        <v>10348063</v>
      </c>
      <c r="E5727" s="115">
        <v>43929</v>
      </c>
      <c r="F5727" s="114">
        <v>202101</v>
      </c>
      <c r="G5727" s="112" t="s">
        <v>1091</v>
      </c>
      <c r="H5727" s="112" t="s">
        <v>1016</v>
      </c>
      <c r="I5727" s="112" t="s">
        <v>779</v>
      </c>
      <c r="J5727" s="112" t="s">
        <v>4702</v>
      </c>
      <c r="K5727" s="112" t="s">
        <v>4703</v>
      </c>
      <c r="L5727" s="116">
        <v>8262.67</v>
      </c>
    </row>
    <row r="5728" spans="1:12" hidden="1" outlineLevel="1" collapsed="1" x14ac:dyDescent="0.35">
      <c r="A5728" s="112" t="s">
        <v>4632</v>
      </c>
      <c r="B5728" s="112" t="s">
        <v>4688</v>
      </c>
      <c r="C5728" s="112" t="s">
        <v>1518</v>
      </c>
      <c r="D5728" s="113">
        <v>51365768</v>
      </c>
      <c r="E5728" s="115">
        <v>43946</v>
      </c>
      <c r="F5728" s="114">
        <v>202101</v>
      </c>
      <c r="G5728" s="112" t="s">
        <v>1091</v>
      </c>
      <c r="H5728" s="112" t="s">
        <v>1016</v>
      </c>
      <c r="I5728" s="112" t="s">
        <v>2337</v>
      </c>
      <c r="J5728" s="112" t="s">
        <v>4690</v>
      </c>
      <c r="K5728" s="112" t="s">
        <v>4704</v>
      </c>
      <c r="L5728" s="116">
        <v>-51</v>
      </c>
    </row>
    <row r="5729" spans="1:12" hidden="1" outlineLevel="1" collapsed="1" x14ac:dyDescent="0.35">
      <c r="A5729" s="112" t="s">
        <v>4632</v>
      </c>
      <c r="B5729" s="112" t="s">
        <v>4688</v>
      </c>
      <c r="C5729" s="112" t="s">
        <v>1518</v>
      </c>
      <c r="D5729" s="113">
        <v>51365769</v>
      </c>
      <c r="E5729" s="115">
        <v>43946</v>
      </c>
      <c r="F5729" s="114">
        <v>202101</v>
      </c>
      <c r="G5729" s="112" t="s">
        <v>1091</v>
      </c>
      <c r="H5729" s="112" t="s">
        <v>1016</v>
      </c>
      <c r="I5729" s="112" t="s">
        <v>2337</v>
      </c>
      <c r="J5729" s="112" t="s">
        <v>4690</v>
      </c>
      <c r="K5729" s="112" t="s">
        <v>4705</v>
      </c>
      <c r="L5729" s="116">
        <v>-51</v>
      </c>
    </row>
    <row r="5730" spans="1:12" hidden="1" outlineLevel="1" collapsed="1" x14ac:dyDescent="0.35">
      <c r="A5730" s="112" t="s">
        <v>4632</v>
      </c>
      <c r="B5730" s="112" t="s">
        <v>4688</v>
      </c>
      <c r="C5730" s="112" t="s">
        <v>1518</v>
      </c>
      <c r="D5730" s="113">
        <v>51365772</v>
      </c>
      <c r="E5730" s="115">
        <v>43947</v>
      </c>
      <c r="F5730" s="114">
        <v>202101</v>
      </c>
      <c r="G5730" s="112" t="s">
        <v>1091</v>
      </c>
      <c r="H5730" s="112" t="s">
        <v>1016</v>
      </c>
      <c r="I5730" s="112" t="s">
        <v>2337</v>
      </c>
      <c r="J5730" s="112" t="s">
        <v>4690</v>
      </c>
      <c r="K5730" s="112" t="s">
        <v>4706</v>
      </c>
      <c r="L5730" s="116">
        <v>-51</v>
      </c>
    </row>
    <row r="5731" spans="1:12" hidden="1" outlineLevel="1" collapsed="1" x14ac:dyDescent="0.35">
      <c r="A5731" s="112" t="s">
        <v>4632</v>
      </c>
      <c r="B5731" s="112" t="s">
        <v>4688</v>
      </c>
      <c r="C5731" s="112" t="s">
        <v>1518</v>
      </c>
      <c r="D5731" s="113">
        <v>51365771</v>
      </c>
      <c r="E5731" s="115">
        <v>43947</v>
      </c>
      <c r="F5731" s="114">
        <v>202101</v>
      </c>
      <c r="G5731" s="112" t="s">
        <v>1091</v>
      </c>
      <c r="H5731" s="112" t="s">
        <v>1016</v>
      </c>
      <c r="I5731" s="112" t="s">
        <v>2337</v>
      </c>
      <c r="J5731" s="112" t="s">
        <v>4690</v>
      </c>
      <c r="K5731" s="112" t="s">
        <v>4707</v>
      </c>
      <c r="L5731" s="116">
        <v>-51</v>
      </c>
    </row>
    <row r="5732" spans="1:12" hidden="1" outlineLevel="1" collapsed="1" x14ac:dyDescent="0.35">
      <c r="A5732" s="112" t="s">
        <v>4632</v>
      </c>
      <c r="B5732" s="112" t="s">
        <v>4688</v>
      </c>
      <c r="C5732" s="112" t="s">
        <v>679</v>
      </c>
      <c r="D5732" s="113">
        <v>10348056</v>
      </c>
      <c r="E5732" s="115">
        <v>43928</v>
      </c>
      <c r="F5732" s="114">
        <v>202101</v>
      </c>
      <c r="G5732" s="112" t="s">
        <v>1091</v>
      </c>
      <c r="H5732" s="112" t="s">
        <v>1016</v>
      </c>
      <c r="I5732" s="112" t="s">
        <v>4689</v>
      </c>
      <c r="J5732" s="112" t="s">
        <v>4690</v>
      </c>
      <c r="K5732" s="112" t="s">
        <v>4696</v>
      </c>
      <c r="L5732" s="116">
        <v>-54</v>
      </c>
    </row>
    <row r="5733" spans="1:12" hidden="1" outlineLevel="1" collapsed="1" x14ac:dyDescent="0.35">
      <c r="A5733" s="112" t="s">
        <v>4632</v>
      </c>
      <c r="B5733" s="112" t="s">
        <v>4644</v>
      </c>
      <c r="C5733" s="112" t="s">
        <v>695</v>
      </c>
      <c r="D5733" s="113">
        <v>10348098</v>
      </c>
      <c r="E5733" s="115">
        <v>43929</v>
      </c>
      <c r="F5733" s="114">
        <v>202101</v>
      </c>
      <c r="G5733" s="112" t="s">
        <v>1091</v>
      </c>
      <c r="H5733" s="112" t="s">
        <v>1015</v>
      </c>
      <c r="I5733" s="112" t="s">
        <v>757</v>
      </c>
      <c r="J5733" s="112" t="s">
        <v>4645</v>
      </c>
      <c r="K5733" s="112" t="s">
        <v>4708</v>
      </c>
      <c r="L5733" s="116">
        <v>231.53</v>
      </c>
    </row>
    <row r="5734" spans="1:12" hidden="1" outlineLevel="1" collapsed="1" x14ac:dyDescent="0.35">
      <c r="A5734" s="112" t="s">
        <v>4632</v>
      </c>
      <c r="B5734" s="112" t="s">
        <v>863</v>
      </c>
      <c r="C5734" s="112" t="s">
        <v>695</v>
      </c>
      <c r="D5734" s="113">
        <v>10348098</v>
      </c>
      <c r="E5734" s="115">
        <v>43929</v>
      </c>
      <c r="F5734" s="114">
        <v>202101</v>
      </c>
      <c r="G5734" s="112" t="s">
        <v>1091</v>
      </c>
      <c r="H5734" s="112" t="s">
        <v>1015</v>
      </c>
      <c r="I5734" s="112" t="s">
        <v>749</v>
      </c>
      <c r="J5734" s="112" t="s">
        <v>787</v>
      </c>
      <c r="K5734" s="112" t="s">
        <v>4709</v>
      </c>
      <c r="L5734" s="116">
        <v>1563.67</v>
      </c>
    </row>
    <row r="5735" spans="1:12" hidden="1" outlineLevel="1" collapsed="1" x14ac:dyDescent="0.35">
      <c r="A5735" s="112" t="s">
        <v>4632</v>
      </c>
      <c r="B5735" s="112" t="s">
        <v>863</v>
      </c>
      <c r="C5735" s="112" t="s">
        <v>695</v>
      </c>
      <c r="D5735" s="113">
        <v>10348098</v>
      </c>
      <c r="E5735" s="115">
        <v>43929</v>
      </c>
      <c r="F5735" s="114">
        <v>202101</v>
      </c>
      <c r="G5735" s="112" t="s">
        <v>1091</v>
      </c>
      <c r="H5735" s="112" t="s">
        <v>1015</v>
      </c>
      <c r="I5735" s="112" t="s">
        <v>749</v>
      </c>
      <c r="J5735" s="112" t="s">
        <v>787</v>
      </c>
      <c r="K5735" s="112" t="s">
        <v>4710</v>
      </c>
      <c r="L5735" s="116">
        <v>93.41</v>
      </c>
    </row>
    <row r="5736" spans="1:12" hidden="1" outlineLevel="1" collapsed="1" x14ac:dyDescent="0.35">
      <c r="A5736" s="112" t="s">
        <v>4632</v>
      </c>
      <c r="B5736" s="112" t="s">
        <v>4644</v>
      </c>
      <c r="C5736" s="112" t="s">
        <v>695</v>
      </c>
      <c r="D5736" s="113">
        <v>10348098</v>
      </c>
      <c r="E5736" s="115">
        <v>43929</v>
      </c>
      <c r="F5736" s="114">
        <v>202101</v>
      </c>
      <c r="G5736" s="112" t="s">
        <v>1091</v>
      </c>
      <c r="H5736" s="112" t="s">
        <v>1015</v>
      </c>
      <c r="I5736" s="112" t="s">
        <v>749</v>
      </c>
      <c r="J5736" s="112" t="s">
        <v>4645</v>
      </c>
      <c r="K5736" s="112" t="s">
        <v>4711</v>
      </c>
      <c r="L5736" s="116">
        <v>113.13</v>
      </c>
    </row>
    <row r="5737" spans="1:12" hidden="1" outlineLevel="1" collapsed="1" x14ac:dyDescent="0.35">
      <c r="A5737" s="112" t="s">
        <v>4632</v>
      </c>
      <c r="B5737" s="112" t="s">
        <v>4644</v>
      </c>
      <c r="C5737" s="112" t="s">
        <v>695</v>
      </c>
      <c r="D5737" s="113">
        <v>10348098</v>
      </c>
      <c r="E5737" s="115">
        <v>43929</v>
      </c>
      <c r="F5737" s="114">
        <v>202101</v>
      </c>
      <c r="G5737" s="112" t="s">
        <v>1091</v>
      </c>
      <c r="H5737" s="112" t="s">
        <v>1015</v>
      </c>
      <c r="I5737" s="112" t="s">
        <v>749</v>
      </c>
      <c r="J5737" s="112" t="s">
        <v>4645</v>
      </c>
      <c r="K5737" s="112" t="s">
        <v>4712</v>
      </c>
      <c r="L5737" s="116">
        <v>82.17</v>
      </c>
    </row>
    <row r="5738" spans="1:12" hidden="1" outlineLevel="1" collapsed="1" x14ac:dyDescent="0.35">
      <c r="A5738" s="112" t="s">
        <v>4632</v>
      </c>
      <c r="B5738" s="112" t="s">
        <v>4644</v>
      </c>
      <c r="C5738" s="112" t="s">
        <v>695</v>
      </c>
      <c r="D5738" s="113">
        <v>10348098</v>
      </c>
      <c r="E5738" s="115">
        <v>43929</v>
      </c>
      <c r="F5738" s="114">
        <v>202101</v>
      </c>
      <c r="G5738" s="112" t="s">
        <v>1091</v>
      </c>
      <c r="H5738" s="112" t="s">
        <v>1015</v>
      </c>
      <c r="I5738" s="112" t="s">
        <v>749</v>
      </c>
      <c r="J5738" s="112" t="s">
        <v>4645</v>
      </c>
      <c r="K5738" s="112" t="s">
        <v>4713</v>
      </c>
      <c r="L5738" s="116">
        <v>444.33</v>
      </c>
    </row>
    <row r="5739" spans="1:12" hidden="1" outlineLevel="1" collapsed="1" x14ac:dyDescent="0.35">
      <c r="A5739" s="112" t="s">
        <v>4632</v>
      </c>
      <c r="B5739" s="112" t="s">
        <v>863</v>
      </c>
      <c r="C5739" s="112" t="s">
        <v>679</v>
      </c>
      <c r="D5739" s="113">
        <v>10348056</v>
      </c>
      <c r="E5739" s="115">
        <v>43928</v>
      </c>
      <c r="F5739" s="114">
        <v>202101</v>
      </c>
      <c r="G5739" s="112" t="s">
        <v>1091</v>
      </c>
      <c r="H5739" s="112" t="s">
        <v>1016</v>
      </c>
      <c r="I5739" s="112" t="s">
        <v>781</v>
      </c>
      <c r="J5739" s="112" t="s">
        <v>856</v>
      </c>
      <c r="K5739" s="112" t="s">
        <v>4697</v>
      </c>
      <c r="L5739" s="116">
        <v>-47.77</v>
      </c>
    </row>
    <row r="5740" spans="1:12" hidden="1" outlineLevel="1" collapsed="1" x14ac:dyDescent="0.35">
      <c r="A5740" s="112" t="s">
        <v>4632</v>
      </c>
      <c r="B5740" s="112" t="s">
        <v>863</v>
      </c>
      <c r="C5740" s="112" t="s">
        <v>679</v>
      </c>
      <c r="D5740" s="113">
        <v>10348056</v>
      </c>
      <c r="E5740" s="115">
        <v>43928</v>
      </c>
      <c r="F5740" s="114">
        <v>202101</v>
      </c>
      <c r="G5740" s="112" t="s">
        <v>1091</v>
      </c>
      <c r="H5740" s="112" t="s">
        <v>1016</v>
      </c>
      <c r="I5740" s="112" t="s">
        <v>781</v>
      </c>
      <c r="J5740" s="112" t="s">
        <v>856</v>
      </c>
      <c r="K5740" s="112" t="s">
        <v>4697</v>
      </c>
      <c r="L5740" s="116">
        <v>-98.65</v>
      </c>
    </row>
    <row r="5741" spans="1:12" hidden="1" outlineLevel="1" collapsed="1" x14ac:dyDescent="0.35">
      <c r="A5741" s="112" t="s">
        <v>4632</v>
      </c>
      <c r="B5741" s="112" t="s">
        <v>863</v>
      </c>
      <c r="C5741" s="112" t="s">
        <v>679</v>
      </c>
      <c r="D5741" s="113">
        <v>10348056</v>
      </c>
      <c r="E5741" s="115">
        <v>43928</v>
      </c>
      <c r="F5741" s="114">
        <v>202101</v>
      </c>
      <c r="G5741" s="112" t="s">
        <v>1091</v>
      </c>
      <c r="H5741" s="112" t="s">
        <v>1016</v>
      </c>
      <c r="I5741" s="112" t="s">
        <v>781</v>
      </c>
      <c r="J5741" s="112" t="s">
        <v>856</v>
      </c>
      <c r="K5741" s="112" t="s">
        <v>4697</v>
      </c>
      <c r="L5741" s="116">
        <v>-81.150000000000006</v>
      </c>
    </row>
    <row r="5742" spans="1:12" hidden="1" outlineLevel="1" collapsed="1" x14ac:dyDescent="0.35">
      <c r="A5742" s="112" t="s">
        <v>4632</v>
      </c>
      <c r="B5742" s="112" t="s">
        <v>4644</v>
      </c>
      <c r="C5742" s="112" t="s">
        <v>695</v>
      </c>
      <c r="D5742" s="113">
        <v>10348098</v>
      </c>
      <c r="E5742" s="115">
        <v>43929</v>
      </c>
      <c r="F5742" s="114">
        <v>202101</v>
      </c>
      <c r="G5742" s="112" t="s">
        <v>1091</v>
      </c>
      <c r="H5742" s="112" t="s">
        <v>1015</v>
      </c>
      <c r="I5742" s="112" t="s">
        <v>749</v>
      </c>
      <c r="J5742" s="112" t="s">
        <v>4645</v>
      </c>
      <c r="K5742" s="112" t="s">
        <v>4714</v>
      </c>
      <c r="L5742" s="116">
        <v>64.55</v>
      </c>
    </row>
    <row r="5743" spans="1:12" hidden="1" outlineLevel="1" collapsed="1" x14ac:dyDescent="0.35">
      <c r="A5743" s="112" t="s">
        <v>4632</v>
      </c>
      <c r="B5743" s="112" t="s">
        <v>863</v>
      </c>
      <c r="C5743" s="112" t="s">
        <v>679</v>
      </c>
      <c r="D5743" s="113">
        <v>10348056</v>
      </c>
      <c r="E5743" s="115">
        <v>43928</v>
      </c>
      <c r="F5743" s="114">
        <v>202101</v>
      </c>
      <c r="G5743" s="112" t="s">
        <v>1091</v>
      </c>
      <c r="H5743" s="112" t="s">
        <v>1016</v>
      </c>
      <c r="I5743" s="112" t="s">
        <v>781</v>
      </c>
      <c r="J5743" s="112" t="s">
        <v>856</v>
      </c>
      <c r="K5743" s="112" t="s">
        <v>4697</v>
      </c>
      <c r="L5743" s="116">
        <v>-108.22</v>
      </c>
    </row>
    <row r="5744" spans="1:12" hidden="1" outlineLevel="1" collapsed="1" x14ac:dyDescent="0.35">
      <c r="A5744" s="112" t="s">
        <v>4632</v>
      </c>
      <c r="B5744" s="112" t="s">
        <v>4644</v>
      </c>
      <c r="C5744" s="112" t="s">
        <v>695</v>
      </c>
      <c r="D5744" s="113">
        <v>10348098</v>
      </c>
      <c r="E5744" s="115">
        <v>43929</v>
      </c>
      <c r="F5744" s="114">
        <v>202101</v>
      </c>
      <c r="G5744" s="112" t="s">
        <v>1091</v>
      </c>
      <c r="H5744" s="112" t="s">
        <v>1015</v>
      </c>
      <c r="I5744" s="112" t="s">
        <v>749</v>
      </c>
      <c r="J5744" s="112" t="s">
        <v>4645</v>
      </c>
      <c r="K5744" s="112" t="s">
        <v>4715</v>
      </c>
      <c r="L5744" s="116">
        <v>82.28</v>
      </c>
    </row>
    <row r="5745" spans="1:12" hidden="1" outlineLevel="1" collapsed="1" x14ac:dyDescent="0.35">
      <c r="A5745" s="112" t="s">
        <v>4632</v>
      </c>
      <c r="B5745" s="112" t="s">
        <v>863</v>
      </c>
      <c r="C5745" s="112" t="s">
        <v>679</v>
      </c>
      <c r="D5745" s="113">
        <v>10348056</v>
      </c>
      <c r="E5745" s="115">
        <v>43928</v>
      </c>
      <c r="F5745" s="114">
        <v>202101</v>
      </c>
      <c r="G5745" s="112" t="s">
        <v>1091</v>
      </c>
      <c r="H5745" s="112" t="s">
        <v>1016</v>
      </c>
      <c r="I5745" s="112" t="s">
        <v>781</v>
      </c>
      <c r="J5745" s="112" t="s">
        <v>856</v>
      </c>
      <c r="K5745" s="112" t="s">
        <v>4697</v>
      </c>
      <c r="L5745" s="116">
        <v>-82.74</v>
      </c>
    </row>
    <row r="5746" spans="1:12" hidden="1" outlineLevel="1" collapsed="1" x14ac:dyDescent="0.35">
      <c r="A5746" s="112" t="s">
        <v>4632</v>
      </c>
      <c r="B5746" s="112" t="s">
        <v>863</v>
      </c>
      <c r="C5746" s="112" t="s">
        <v>679</v>
      </c>
      <c r="D5746" s="113">
        <v>10348056</v>
      </c>
      <c r="E5746" s="115">
        <v>43928</v>
      </c>
      <c r="F5746" s="114">
        <v>202101</v>
      </c>
      <c r="G5746" s="112" t="s">
        <v>1091</v>
      </c>
      <c r="H5746" s="112" t="s">
        <v>1016</v>
      </c>
      <c r="I5746" s="112" t="s">
        <v>781</v>
      </c>
      <c r="J5746" s="112" t="s">
        <v>856</v>
      </c>
      <c r="K5746" s="112" t="s">
        <v>4697</v>
      </c>
      <c r="L5746" s="116">
        <v>-62.08</v>
      </c>
    </row>
    <row r="5747" spans="1:12" hidden="1" outlineLevel="1" collapsed="1" x14ac:dyDescent="0.35">
      <c r="A5747" s="112" t="s">
        <v>4632</v>
      </c>
      <c r="B5747" s="112" t="s">
        <v>4688</v>
      </c>
      <c r="C5747" s="112" t="s">
        <v>4695</v>
      </c>
      <c r="D5747" s="113">
        <v>30440300</v>
      </c>
      <c r="E5747" s="115">
        <v>43928</v>
      </c>
      <c r="F5747" s="114">
        <v>202101</v>
      </c>
      <c r="G5747" s="112" t="s">
        <v>1091</v>
      </c>
      <c r="H5747" s="112" t="s">
        <v>1016</v>
      </c>
      <c r="I5747" s="112" t="s">
        <v>4689</v>
      </c>
      <c r="J5747" s="112" t="s">
        <v>4690</v>
      </c>
      <c r="K5747" s="112" t="s">
        <v>4692</v>
      </c>
      <c r="L5747" s="116">
        <v>54</v>
      </c>
    </row>
    <row r="5748" spans="1:12" hidden="1" outlineLevel="1" collapsed="1" x14ac:dyDescent="0.35">
      <c r="A5748" s="112" t="s">
        <v>4632</v>
      </c>
      <c r="B5748" s="112" t="s">
        <v>4688</v>
      </c>
      <c r="C5748" s="112" t="s">
        <v>4695</v>
      </c>
      <c r="D5748" s="113">
        <v>30440300</v>
      </c>
      <c r="E5748" s="115">
        <v>43928</v>
      </c>
      <c r="F5748" s="114">
        <v>202101</v>
      </c>
      <c r="G5748" s="112" t="s">
        <v>1091</v>
      </c>
      <c r="H5748" s="112" t="s">
        <v>1016</v>
      </c>
      <c r="I5748" s="112" t="s">
        <v>4689</v>
      </c>
      <c r="J5748" s="112" t="s">
        <v>4690</v>
      </c>
      <c r="K5748" s="112" t="s">
        <v>4691</v>
      </c>
      <c r="L5748" s="116">
        <v>54</v>
      </c>
    </row>
    <row r="5749" spans="1:12" hidden="1" outlineLevel="1" collapsed="1" x14ac:dyDescent="0.35">
      <c r="A5749" s="112" t="s">
        <v>4632</v>
      </c>
      <c r="B5749" s="112" t="s">
        <v>863</v>
      </c>
      <c r="C5749" s="112" t="s">
        <v>679</v>
      </c>
      <c r="D5749" s="113">
        <v>10348056</v>
      </c>
      <c r="E5749" s="115">
        <v>43928</v>
      </c>
      <c r="F5749" s="114">
        <v>202101</v>
      </c>
      <c r="G5749" s="112" t="s">
        <v>1091</v>
      </c>
      <c r="H5749" s="112" t="s">
        <v>1016</v>
      </c>
      <c r="I5749" s="112" t="s">
        <v>781</v>
      </c>
      <c r="J5749" s="112" t="s">
        <v>854</v>
      </c>
      <c r="K5749" s="112" t="s">
        <v>4697</v>
      </c>
      <c r="L5749" s="116">
        <v>-54.09</v>
      </c>
    </row>
    <row r="5750" spans="1:12" hidden="1" outlineLevel="1" collapsed="1" x14ac:dyDescent="0.35">
      <c r="A5750" s="112" t="s">
        <v>4632</v>
      </c>
      <c r="B5750" s="112" t="s">
        <v>863</v>
      </c>
      <c r="C5750" s="112" t="s">
        <v>679</v>
      </c>
      <c r="D5750" s="113">
        <v>10348056</v>
      </c>
      <c r="E5750" s="115">
        <v>43928</v>
      </c>
      <c r="F5750" s="114">
        <v>202101</v>
      </c>
      <c r="G5750" s="112" t="s">
        <v>1091</v>
      </c>
      <c r="H5750" s="112" t="s">
        <v>1016</v>
      </c>
      <c r="I5750" s="112" t="s">
        <v>781</v>
      </c>
      <c r="J5750" s="112" t="s">
        <v>852</v>
      </c>
      <c r="K5750" s="112" t="s">
        <v>4697</v>
      </c>
      <c r="L5750" s="116">
        <v>-46.14</v>
      </c>
    </row>
    <row r="5751" spans="1:12" hidden="1" outlineLevel="1" collapsed="1" x14ac:dyDescent="0.35">
      <c r="A5751" s="112" t="s">
        <v>4632</v>
      </c>
      <c r="B5751" s="112" t="s">
        <v>863</v>
      </c>
      <c r="C5751" s="112" t="s">
        <v>679</v>
      </c>
      <c r="D5751" s="113">
        <v>10348056</v>
      </c>
      <c r="E5751" s="115">
        <v>43928</v>
      </c>
      <c r="F5751" s="114">
        <v>202101</v>
      </c>
      <c r="G5751" s="112" t="s">
        <v>1091</v>
      </c>
      <c r="H5751" s="112" t="s">
        <v>1016</v>
      </c>
      <c r="I5751" s="112" t="s">
        <v>781</v>
      </c>
      <c r="J5751" s="112" t="s">
        <v>852</v>
      </c>
      <c r="K5751" s="112" t="s">
        <v>4697</v>
      </c>
      <c r="L5751" s="116">
        <v>-114.55</v>
      </c>
    </row>
    <row r="5752" spans="1:12" hidden="1" outlineLevel="1" collapsed="1" x14ac:dyDescent="0.35">
      <c r="A5752" s="112" t="s">
        <v>4632</v>
      </c>
      <c r="B5752" s="112" t="s">
        <v>4688</v>
      </c>
      <c r="C5752" s="112" t="s">
        <v>4695</v>
      </c>
      <c r="D5752" s="113">
        <v>30440300</v>
      </c>
      <c r="E5752" s="115">
        <v>43928</v>
      </c>
      <c r="F5752" s="114">
        <v>202101</v>
      </c>
      <c r="G5752" s="112" t="s">
        <v>1091</v>
      </c>
      <c r="H5752" s="112" t="s">
        <v>1016</v>
      </c>
      <c r="I5752" s="112" t="s">
        <v>4689</v>
      </c>
      <c r="J5752" s="112" t="s">
        <v>4690</v>
      </c>
      <c r="K5752" s="112" t="s">
        <v>4694</v>
      </c>
      <c r="L5752" s="116">
        <v>54</v>
      </c>
    </row>
    <row r="5753" spans="1:12" hidden="1" outlineLevel="1" collapsed="1" x14ac:dyDescent="0.35">
      <c r="A5753" s="112" t="s">
        <v>4632</v>
      </c>
      <c r="B5753" s="112" t="s">
        <v>4688</v>
      </c>
      <c r="C5753" s="112" t="s">
        <v>4695</v>
      </c>
      <c r="D5753" s="113">
        <v>30440300</v>
      </c>
      <c r="E5753" s="115">
        <v>43928</v>
      </c>
      <c r="F5753" s="114">
        <v>202101</v>
      </c>
      <c r="G5753" s="112" t="s">
        <v>1091</v>
      </c>
      <c r="H5753" s="112" t="s">
        <v>1016</v>
      </c>
      <c r="I5753" s="112" t="s">
        <v>4689</v>
      </c>
      <c r="J5753" s="112" t="s">
        <v>4690</v>
      </c>
      <c r="K5753" s="112" t="s">
        <v>4693</v>
      </c>
      <c r="L5753" s="116">
        <v>54</v>
      </c>
    </row>
    <row r="5754" spans="1:12" hidden="1" outlineLevel="1" collapsed="1" x14ac:dyDescent="0.35">
      <c r="A5754" s="112" t="s">
        <v>4632</v>
      </c>
      <c r="B5754" s="112" t="s">
        <v>4644</v>
      </c>
      <c r="C5754" s="112" t="s">
        <v>1518</v>
      </c>
      <c r="D5754" s="113">
        <v>51366041</v>
      </c>
      <c r="E5754" s="115">
        <v>43928</v>
      </c>
      <c r="F5754" s="114">
        <v>202101</v>
      </c>
      <c r="G5754" s="112" t="s">
        <v>1091</v>
      </c>
      <c r="H5754" s="112" t="s">
        <v>1016</v>
      </c>
      <c r="I5754" s="112" t="s">
        <v>779</v>
      </c>
      <c r="J5754" s="112" t="s">
        <v>4645</v>
      </c>
      <c r="K5754" s="112" t="s">
        <v>4716</v>
      </c>
      <c r="L5754" s="116">
        <v>-1785.25</v>
      </c>
    </row>
    <row r="5755" spans="1:12" hidden="1" outlineLevel="1" collapsed="1" x14ac:dyDescent="0.35">
      <c r="A5755" s="112" t="s">
        <v>4632</v>
      </c>
      <c r="B5755" s="112" t="s">
        <v>4644</v>
      </c>
      <c r="C5755" s="112" t="s">
        <v>1758</v>
      </c>
      <c r="D5755" s="113">
        <v>51366039</v>
      </c>
      <c r="E5755" s="115">
        <v>43928</v>
      </c>
      <c r="F5755" s="114">
        <v>202101</v>
      </c>
      <c r="G5755" s="112" t="s">
        <v>1091</v>
      </c>
      <c r="H5755" s="112" t="s">
        <v>1016</v>
      </c>
      <c r="I5755" s="112" t="s">
        <v>779</v>
      </c>
      <c r="J5755" s="112" t="s">
        <v>4645</v>
      </c>
      <c r="K5755" s="112" t="s">
        <v>4717</v>
      </c>
      <c r="L5755" s="116">
        <v>808.7</v>
      </c>
    </row>
    <row r="5756" spans="1:12" hidden="1" outlineLevel="1" collapsed="1" x14ac:dyDescent="0.35">
      <c r="A5756" s="112" t="s">
        <v>4632</v>
      </c>
      <c r="B5756" s="112" t="s">
        <v>4639</v>
      </c>
      <c r="C5756" s="112" t="s">
        <v>1518</v>
      </c>
      <c r="D5756" s="113">
        <v>51366047</v>
      </c>
      <c r="E5756" s="115">
        <v>43928</v>
      </c>
      <c r="F5756" s="114">
        <v>202101</v>
      </c>
      <c r="G5756" s="112" t="s">
        <v>1091</v>
      </c>
      <c r="H5756" s="112" t="s">
        <v>1016</v>
      </c>
      <c r="I5756" s="112" t="s">
        <v>779</v>
      </c>
      <c r="J5756" s="112" t="s">
        <v>4640</v>
      </c>
      <c r="K5756" s="112" t="s">
        <v>4718</v>
      </c>
      <c r="L5756" s="116">
        <v>-194.32</v>
      </c>
    </row>
    <row r="5757" spans="1:12" hidden="1" outlineLevel="1" collapsed="1" x14ac:dyDescent="0.35">
      <c r="A5757" s="112" t="s">
        <v>4632</v>
      </c>
      <c r="B5757" s="112" t="s">
        <v>4688</v>
      </c>
      <c r="C5757" s="112" t="s">
        <v>1518</v>
      </c>
      <c r="D5757" s="113">
        <v>51365816</v>
      </c>
      <c r="E5757" s="115">
        <v>43948</v>
      </c>
      <c r="F5757" s="114">
        <v>202101</v>
      </c>
      <c r="G5757" s="112" t="s">
        <v>1091</v>
      </c>
      <c r="H5757" s="112" t="s">
        <v>1016</v>
      </c>
      <c r="I5757" s="112" t="s">
        <v>2337</v>
      </c>
      <c r="J5757" s="112" t="s">
        <v>4690</v>
      </c>
      <c r="K5757" s="112" t="s">
        <v>4719</v>
      </c>
      <c r="L5757" s="116">
        <v>-54</v>
      </c>
    </row>
    <row r="5758" spans="1:12" hidden="1" outlineLevel="1" collapsed="1" x14ac:dyDescent="0.35">
      <c r="A5758" s="112" t="s">
        <v>4632</v>
      </c>
      <c r="B5758" s="112" t="s">
        <v>4688</v>
      </c>
      <c r="C5758" s="112" t="s">
        <v>1518</v>
      </c>
      <c r="D5758" s="113">
        <v>51365803</v>
      </c>
      <c r="E5758" s="115">
        <v>43948</v>
      </c>
      <c r="F5758" s="114">
        <v>202101</v>
      </c>
      <c r="G5758" s="112" t="s">
        <v>1091</v>
      </c>
      <c r="H5758" s="112" t="s">
        <v>1016</v>
      </c>
      <c r="I5758" s="112" t="s">
        <v>2337</v>
      </c>
      <c r="J5758" s="112" t="s">
        <v>4690</v>
      </c>
      <c r="K5758" s="112" t="s">
        <v>4720</v>
      </c>
      <c r="L5758" s="116">
        <v>-51</v>
      </c>
    </row>
    <row r="5759" spans="1:12" hidden="1" outlineLevel="1" collapsed="1" x14ac:dyDescent="0.35">
      <c r="A5759" s="112" t="s">
        <v>4632</v>
      </c>
      <c r="B5759" s="112" t="s">
        <v>4688</v>
      </c>
      <c r="C5759" s="112" t="s">
        <v>1518</v>
      </c>
      <c r="D5759" s="113">
        <v>51365804</v>
      </c>
      <c r="E5759" s="115">
        <v>43948</v>
      </c>
      <c r="F5759" s="114">
        <v>202101</v>
      </c>
      <c r="G5759" s="112" t="s">
        <v>1091</v>
      </c>
      <c r="H5759" s="112" t="s">
        <v>1016</v>
      </c>
      <c r="I5759" s="112" t="s">
        <v>2337</v>
      </c>
      <c r="J5759" s="112" t="s">
        <v>4690</v>
      </c>
      <c r="K5759" s="112" t="s">
        <v>4721</v>
      </c>
      <c r="L5759" s="116">
        <v>-51</v>
      </c>
    </row>
    <row r="5760" spans="1:12" hidden="1" outlineLevel="1" collapsed="1" x14ac:dyDescent="0.35">
      <c r="A5760" s="112" t="s">
        <v>4632</v>
      </c>
      <c r="B5760" s="112" t="s">
        <v>4688</v>
      </c>
      <c r="C5760" s="112" t="s">
        <v>1518</v>
      </c>
      <c r="D5760" s="113">
        <v>51365805</v>
      </c>
      <c r="E5760" s="115">
        <v>43948</v>
      </c>
      <c r="F5760" s="114">
        <v>202101</v>
      </c>
      <c r="G5760" s="112" t="s">
        <v>1091</v>
      </c>
      <c r="H5760" s="112" t="s">
        <v>1016</v>
      </c>
      <c r="I5760" s="112" t="s">
        <v>2337</v>
      </c>
      <c r="J5760" s="112" t="s">
        <v>4690</v>
      </c>
      <c r="K5760" s="112" t="s">
        <v>4722</v>
      </c>
      <c r="L5760" s="116">
        <v>-54</v>
      </c>
    </row>
    <row r="5761" spans="1:12" hidden="1" outlineLevel="1" collapsed="1" x14ac:dyDescent="0.35">
      <c r="A5761" s="112" t="s">
        <v>4632</v>
      </c>
      <c r="B5761" s="112" t="s">
        <v>4688</v>
      </c>
      <c r="C5761" s="112" t="s">
        <v>1518</v>
      </c>
      <c r="D5761" s="113">
        <v>51365806</v>
      </c>
      <c r="E5761" s="115">
        <v>43948</v>
      </c>
      <c r="F5761" s="114">
        <v>202101</v>
      </c>
      <c r="G5761" s="112" t="s">
        <v>1091</v>
      </c>
      <c r="H5761" s="112" t="s">
        <v>1016</v>
      </c>
      <c r="I5761" s="112" t="s">
        <v>2337</v>
      </c>
      <c r="J5761" s="112" t="s">
        <v>4690</v>
      </c>
      <c r="K5761" s="112" t="s">
        <v>4723</v>
      </c>
      <c r="L5761" s="116">
        <v>-54</v>
      </c>
    </row>
    <row r="5762" spans="1:12" hidden="1" outlineLevel="1" collapsed="1" x14ac:dyDescent="0.35">
      <c r="A5762" s="112" t="s">
        <v>4632</v>
      </c>
      <c r="B5762" s="112" t="s">
        <v>4688</v>
      </c>
      <c r="C5762" s="112" t="s">
        <v>1518</v>
      </c>
      <c r="D5762" s="113">
        <v>51365807</v>
      </c>
      <c r="E5762" s="115">
        <v>43948</v>
      </c>
      <c r="F5762" s="114">
        <v>202101</v>
      </c>
      <c r="G5762" s="112" t="s">
        <v>1091</v>
      </c>
      <c r="H5762" s="112" t="s">
        <v>1016</v>
      </c>
      <c r="I5762" s="112" t="s">
        <v>2337</v>
      </c>
      <c r="J5762" s="112" t="s">
        <v>4690</v>
      </c>
      <c r="K5762" s="112" t="s">
        <v>4724</v>
      </c>
      <c r="L5762" s="116">
        <v>-51</v>
      </c>
    </row>
    <row r="5763" spans="1:12" hidden="1" outlineLevel="1" collapsed="1" x14ac:dyDescent="0.35">
      <c r="A5763" s="112" t="s">
        <v>4632</v>
      </c>
      <c r="B5763" s="112" t="s">
        <v>4688</v>
      </c>
      <c r="C5763" s="112" t="s">
        <v>1518</v>
      </c>
      <c r="D5763" s="113">
        <v>51365808</v>
      </c>
      <c r="E5763" s="115">
        <v>43948</v>
      </c>
      <c r="F5763" s="114">
        <v>202101</v>
      </c>
      <c r="G5763" s="112" t="s">
        <v>1091</v>
      </c>
      <c r="H5763" s="112" t="s">
        <v>1016</v>
      </c>
      <c r="I5763" s="112" t="s">
        <v>2337</v>
      </c>
      <c r="J5763" s="112" t="s">
        <v>4690</v>
      </c>
      <c r="K5763" s="112" t="s">
        <v>4725</v>
      </c>
      <c r="L5763" s="116">
        <v>-51</v>
      </c>
    </row>
    <row r="5764" spans="1:12" hidden="1" outlineLevel="1" collapsed="1" x14ac:dyDescent="0.35">
      <c r="A5764" s="112" t="s">
        <v>4632</v>
      </c>
      <c r="B5764" s="112" t="s">
        <v>4688</v>
      </c>
      <c r="C5764" s="112" t="s">
        <v>1518</v>
      </c>
      <c r="D5764" s="113">
        <v>51365809</v>
      </c>
      <c r="E5764" s="115">
        <v>43948</v>
      </c>
      <c r="F5764" s="114">
        <v>202101</v>
      </c>
      <c r="G5764" s="112" t="s">
        <v>1091</v>
      </c>
      <c r="H5764" s="112" t="s">
        <v>1016</v>
      </c>
      <c r="I5764" s="112" t="s">
        <v>2337</v>
      </c>
      <c r="J5764" s="112" t="s">
        <v>4690</v>
      </c>
      <c r="K5764" s="112" t="s">
        <v>4726</v>
      </c>
      <c r="L5764" s="116">
        <v>-51</v>
      </c>
    </row>
    <row r="5765" spans="1:12" hidden="1" outlineLevel="1" collapsed="1" x14ac:dyDescent="0.35">
      <c r="A5765" s="112" t="s">
        <v>4632</v>
      </c>
      <c r="B5765" s="112" t="s">
        <v>4688</v>
      </c>
      <c r="C5765" s="112" t="s">
        <v>1518</v>
      </c>
      <c r="D5765" s="113">
        <v>51365810</v>
      </c>
      <c r="E5765" s="115">
        <v>43948</v>
      </c>
      <c r="F5765" s="114">
        <v>202101</v>
      </c>
      <c r="G5765" s="112" t="s">
        <v>1091</v>
      </c>
      <c r="H5765" s="112" t="s">
        <v>1016</v>
      </c>
      <c r="I5765" s="112" t="s">
        <v>2337</v>
      </c>
      <c r="J5765" s="112" t="s">
        <v>4690</v>
      </c>
      <c r="K5765" s="112" t="s">
        <v>4727</v>
      </c>
      <c r="L5765" s="116">
        <v>-51</v>
      </c>
    </row>
    <row r="5766" spans="1:12" hidden="1" outlineLevel="1" collapsed="1" x14ac:dyDescent="0.35">
      <c r="A5766" s="112" t="s">
        <v>4632</v>
      </c>
      <c r="B5766" s="112" t="s">
        <v>4688</v>
      </c>
      <c r="C5766" s="112" t="s">
        <v>1518</v>
      </c>
      <c r="D5766" s="113">
        <v>51365811</v>
      </c>
      <c r="E5766" s="115">
        <v>43948</v>
      </c>
      <c r="F5766" s="114">
        <v>202101</v>
      </c>
      <c r="G5766" s="112" t="s">
        <v>1091</v>
      </c>
      <c r="H5766" s="112" t="s">
        <v>1016</v>
      </c>
      <c r="I5766" s="112" t="s">
        <v>2337</v>
      </c>
      <c r="J5766" s="112" t="s">
        <v>4690</v>
      </c>
      <c r="K5766" s="112" t="s">
        <v>4728</v>
      </c>
      <c r="L5766" s="116">
        <v>-51</v>
      </c>
    </row>
    <row r="5767" spans="1:12" hidden="1" outlineLevel="1" collapsed="1" x14ac:dyDescent="0.35">
      <c r="A5767" s="112" t="s">
        <v>4632</v>
      </c>
      <c r="B5767" s="112" t="s">
        <v>4688</v>
      </c>
      <c r="C5767" s="112" t="s">
        <v>1518</v>
      </c>
      <c r="D5767" s="113">
        <v>51365812</v>
      </c>
      <c r="E5767" s="115">
        <v>43948</v>
      </c>
      <c r="F5767" s="114">
        <v>202101</v>
      </c>
      <c r="G5767" s="112" t="s">
        <v>1091</v>
      </c>
      <c r="H5767" s="112" t="s">
        <v>1016</v>
      </c>
      <c r="I5767" s="112" t="s">
        <v>2337</v>
      </c>
      <c r="J5767" s="112" t="s">
        <v>4690</v>
      </c>
      <c r="K5767" s="112" t="s">
        <v>4729</v>
      </c>
      <c r="L5767" s="116">
        <v>-51</v>
      </c>
    </row>
    <row r="5768" spans="1:12" hidden="1" outlineLevel="1" collapsed="1" x14ac:dyDescent="0.35">
      <c r="A5768" s="112" t="s">
        <v>4632</v>
      </c>
      <c r="B5768" s="112" t="s">
        <v>4688</v>
      </c>
      <c r="C5768" s="112" t="s">
        <v>1518</v>
      </c>
      <c r="D5768" s="113">
        <v>51365813</v>
      </c>
      <c r="E5768" s="115">
        <v>43948</v>
      </c>
      <c r="F5768" s="114">
        <v>202101</v>
      </c>
      <c r="G5768" s="112" t="s">
        <v>1091</v>
      </c>
      <c r="H5768" s="112" t="s">
        <v>1016</v>
      </c>
      <c r="I5768" s="112" t="s">
        <v>2337</v>
      </c>
      <c r="J5768" s="112" t="s">
        <v>4690</v>
      </c>
      <c r="K5768" s="112" t="s">
        <v>4730</v>
      </c>
      <c r="L5768" s="116">
        <v>-51</v>
      </c>
    </row>
    <row r="5769" spans="1:12" hidden="1" outlineLevel="1" collapsed="1" x14ac:dyDescent="0.35">
      <c r="A5769" s="112" t="s">
        <v>4632</v>
      </c>
      <c r="B5769" s="112" t="s">
        <v>4688</v>
      </c>
      <c r="C5769" s="112" t="s">
        <v>1518</v>
      </c>
      <c r="D5769" s="113">
        <v>51365814</v>
      </c>
      <c r="E5769" s="115">
        <v>43948</v>
      </c>
      <c r="F5769" s="114">
        <v>202101</v>
      </c>
      <c r="G5769" s="112" t="s">
        <v>1091</v>
      </c>
      <c r="H5769" s="112" t="s">
        <v>1016</v>
      </c>
      <c r="I5769" s="112" t="s">
        <v>2337</v>
      </c>
      <c r="J5769" s="112" t="s">
        <v>4690</v>
      </c>
      <c r="K5769" s="112" t="s">
        <v>4731</v>
      </c>
      <c r="L5769" s="116">
        <v>-51</v>
      </c>
    </row>
    <row r="5770" spans="1:12" hidden="1" outlineLevel="1" collapsed="1" x14ac:dyDescent="0.35">
      <c r="A5770" s="112" t="s">
        <v>4632</v>
      </c>
      <c r="B5770" s="112" t="s">
        <v>4688</v>
      </c>
      <c r="C5770" s="112" t="s">
        <v>1518</v>
      </c>
      <c r="D5770" s="113">
        <v>51365815</v>
      </c>
      <c r="E5770" s="115">
        <v>43948</v>
      </c>
      <c r="F5770" s="114">
        <v>202101</v>
      </c>
      <c r="G5770" s="112" t="s">
        <v>1091</v>
      </c>
      <c r="H5770" s="112" t="s">
        <v>1016</v>
      </c>
      <c r="I5770" s="112" t="s">
        <v>2337</v>
      </c>
      <c r="J5770" s="112" t="s">
        <v>4690</v>
      </c>
      <c r="K5770" s="112" t="s">
        <v>4732</v>
      </c>
      <c r="L5770" s="116">
        <v>-51</v>
      </c>
    </row>
    <row r="5771" spans="1:12" hidden="1" outlineLevel="1" collapsed="1" x14ac:dyDescent="0.35">
      <c r="A5771" s="112" t="s">
        <v>4632</v>
      </c>
      <c r="B5771" s="112" t="s">
        <v>4688</v>
      </c>
      <c r="C5771" s="112" t="s">
        <v>1518</v>
      </c>
      <c r="D5771" s="113">
        <v>51365802</v>
      </c>
      <c r="E5771" s="115">
        <v>43948</v>
      </c>
      <c r="F5771" s="114">
        <v>202101</v>
      </c>
      <c r="G5771" s="112" t="s">
        <v>1091</v>
      </c>
      <c r="H5771" s="112" t="s">
        <v>1016</v>
      </c>
      <c r="I5771" s="112" t="s">
        <v>2337</v>
      </c>
      <c r="J5771" s="112" t="s">
        <v>4690</v>
      </c>
      <c r="K5771" s="112" t="s">
        <v>4733</v>
      </c>
      <c r="L5771" s="116">
        <v>-51</v>
      </c>
    </row>
    <row r="5772" spans="1:12" hidden="1" outlineLevel="1" collapsed="1" x14ac:dyDescent="0.35">
      <c r="A5772" s="112" t="s">
        <v>4632</v>
      </c>
      <c r="B5772" s="112" t="s">
        <v>4688</v>
      </c>
      <c r="C5772" s="112" t="s">
        <v>1518</v>
      </c>
      <c r="D5772" s="113">
        <v>51365817</v>
      </c>
      <c r="E5772" s="115">
        <v>43948</v>
      </c>
      <c r="F5772" s="114">
        <v>202101</v>
      </c>
      <c r="G5772" s="112" t="s">
        <v>1091</v>
      </c>
      <c r="H5772" s="112" t="s">
        <v>1016</v>
      </c>
      <c r="I5772" s="112" t="s">
        <v>2337</v>
      </c>
      <c r="J5772" s="112" t="s">
        <v>4690</v>
      </c>
      <c r="K5772" s="112" t="s">
        <v>4734</v>
      </c>
      <c r="L5772" s="116">
        <v>-51</v>
      </c>
    </row>
    <row r="5773" spans="1:12" hidden="1" outlineLevel="1" collapsed="1" x14ac:dyDescent="0.35">
      <c r="A5773" s="112" t="s">
        <v>4632</v>
      </c>
      <c r="B5773" s="112" t="s">
        <v>4688</v>
      </c>
      <c r="C5773" s="112" t="s">
        <v>1518</v>
      </c>
      <c r="D5773" s="113">
        <v>51365818</v>
      </c>
      <c r="E5773" s="115">
        <v>43948</v>
      </c>
      <c r="F5773" s="114">
        <v>202101</v>
      </c>
      <c r="G5773" s="112" t="s">
        <v>1091</v>
      </c>
      <c r="H5773" s="112" t="s">
        <v>1016</v>
      </c>
      <c r="I5773" s="112" t="s">
        <v>2337</v>
      </c>
      <c r="J5773" s="112" t="s">
        <v>4690</v>
      </c>
      <c r="K5773" s="112" t="s">
        <v>4735</v>
      </c>
      <c r="L5773" s="116">
        <v>-51</v>
      </c>
    </row>
    <row r="5774" spans="1:12" hidden="1" outlineLevel="1" collapsed="1" x14ac:dyDescent="0.35">
      <c r="A5774" s="112" t="s">
        <v>4632</v>
      </c>
      <c r="B5774" s="112" t="s">
        <v>4688</v>
      </c>
      <c r="C5774" s="112" t="s">
        <v>1518</v>
      </c>
      <c r="D5774" s="113">
        <v>51365819</v>
      </c>
      <c r="E5774" s="115">
        <v>43948</v>
      </c>
      <c r="F5774" s="114">
        <v>202101</v>
      </c>
      <c r="G5774" s="112" t="s">
        <v>1091</v>
      </c>
      <c r="H5774" s="112" t="s">
        <v>1016</v>
      </c>
      <c r="I5774" s="112" t="s">
        <v>2337</v>
      </c>
      <c r="J5774" s="112" t="s">
        <v>4690</v>
      </c>
      <c r="K5774" s="112" t="s">
        <v>4736</v>
      </c>
      <c r="L5774" s="116">
        <v>-54</v>
      </c>
    </row>
    <row r="5775" spans="1:12" hidden="1" outlineLevel="1" collapsed="1" x14ac:dyDescent="0.35">
      <c r="A5775" s="112" t="s">
        <v>4632</v>
      </c>
      <c r="B5775" s="112" t="s">
        <v>4688</v>
      </c>
      <c r="C5775" s="112" t="s">
        <v>1518</v>
      </c>
      <c r="D5775" s="113">
        <v>51365820</v>
      </c>
      <c r="E5775" s="115">
        <v>43948</v>
      </c>
      <c r="F5775" s="114">
        <v>202101</v>
      </c>
      <c r="G5775" s="112" t="s">
        <v>1091</v>
      </c>
      <c r="H5775" s="112" t="s">
        <v>1016</v>
      </c>
      <c r="I5775" s="112" t="s">
        <v>2337</v>
      </c>
      <c r="J5775" s="112" t="s">
        <v>4690</v>
      </c>
      <c r="K5775" s="112" t="s">
        <v>4737</v>
      </c>
      <c r="L5775" s="116">
        <v>-54</v>
      </c>
    </row>
    <row r="5776" spans="1:12" hidden="1" outlineLevel="1" collapsed="1" x14ac:dyDescent="0.35">
      <c r="A5776" s="112" t="s">
        <v>4632</v>
      </c>
      <c r="B5776" s="112" t="s">
        <v>4688</v>
      </c>
      <c r="C5776" s="112" t="s">
        <v>1518</v>
      </c>
      <c r="D5776" s="113">
        <v>51365821</v>
      </c>
      <c r="E5776" s="115">
        <v>43948</v>
      </c>
      <c r="F5776" s="114">
        <v>202101</v>
      </c>
      <c r="G5776" s="112" t="s">
        <v>1091</v>
      </c>
      <c r="H5776" s="112" t="s">
        <v>1016</v>
      </c>
      <c r="I5776" s="112" t="s">
        <v>2337</v>
      </c>
      <c r="J5776" s="112" t="s">
        <v>4690</v>
      </c>
      <c r="K5776" s="112" t="s">
        <v>4738</v>
      </c>
      <c r="L5776" s="116">
        <v>-51</v>
      </c>
    </row>
    <row r="5777" spans="1:12" hidden="1" outlineLevel="1" collapsed="1" x14ac:dyDescent="0.35">
      <c r="A5777" s="112" t="s">
        <v>4632</v>
      </c>
      <c r="B5777" s="112" t="s">
        <v>4688</v>
      </c>
      <c r="C5777" s="112" t="s">
        <v>1518</v>
      </c>
      <c r="D5777" s="113">
        <v>51365822</v>
      </c>
      <c r="E5777" s="115">
        <v>43948</v>
      </c>
      <c r="F5777" s="114">
        <v>202101</v>
      </c>
      <c r="G5777" s="112" t="s">
        <v>1091</v>
      </c>
      <c r="H5777" s="112" t="s">
        <v>1016</v>
      </c>
      <c r="I5777" s="112" t="s">
        <v>2337</v>
      </c>
      <c r="J5777" s="112" t="s">
        <v>4690</v>
      </c>
      <c r="K5777" s="112" t="s">
        <v>4739</v>
      </c>
      <c r="L5777" s="116">
        <v>-54</v>
      </c>
    </row>
    <row r="5778" spans="1:12" hidden="1" outlineLevel="1" collapsed="1" x14ac:dyDescent="0.35">
      <c r="A5778" s="112" t="s">
        <v>4632</v>
      </c>
      <c r="B5778" s="112" t="s">
        <v>4688</v>
      </c>
      <c r="C5778" s="112" t="s">
        <v>1518</v>
      </c>
      <c r="D5778" s="113">
        <v>51365823</v>
      </c>
      <c r="E5778" s="115">
        <v>43948</v>
      </c>
      <c r="F5778" s="114">
        <v>202101</v>
      </c>
      <c r="G5778" s="112" t="s">
        <v>1091</v>
      </c>
      <c r="H5778" s="112" t="s">
        <v>1016</v>
      </c>
      <c r="I5778" s="112" t="s">
        <v>2337</v>
      </c>
      <c r="J5778" s="112" t="s">
        <v>4690</v>
      </c>
      <c r="K5778" s="112" t="s">
        <v>4740</v>
      </c>
      <c r="L5778" s="116">
        <v>-51</v>
      </c>
    </row>
    <row r="5779" spans="1:12" hidden="1" outlineLevel="1" collapsed="1" x14ac:dyDescent="0.35">
      <c r="A5779" s="112" t="s">
        <v>4632</v>
      </c>
      <c r="B5779" s="112" t="s">
        <v>4688</v>
      </c>
      <c r="C5779" s="112" t="s">
        <v>1518</v>
      </c>
      <c r="D5779" s="113">
        <v>51365824</v>
      </c>
      <c r="E5779" s="115">
        <v>43948</v>
      </c>
      <c r="F5779" s="114">
        <v>202101</v>
      </c>
      <c r="G5779" s="112" t="s">
        <v>1091</v>
      </c>
      <c r="H5779" s="112" t="s">
        <v>1016</v>
      </c>
      <c r="I5779" s="112" t="s">
        <v>2337</v>
      </c>
      <c r="J5779" s="112" t="s">
        <v>4690</v>
      </c>
      <c r="K5779" s="112" t="s">
        <v>4741</v>
      </c>
      <c r="L5779" s="116">
        <v>-51</v>
      </c>
    </row>
    <row r="5780" spans="1:12" hidden="1" outlineLevel="1" collapsed="1" x14ac:dyDescent="0.35">
      <c r="A5780" s="112" t="s">
        <v>4632</v>
      </c>
      <c r="B5780" s="112" t="s">
        <v>4688</v>
      </c>
      <c r="C5780" s="112" t="s">
        <v>1518</v>
      </c>
      <c r="D5780" s="113">
        <v>51365825</v>
      </c>
      <c r="E5780" s="115">
        <v>43948</v>
      </c>
      <c r="F5780" s="114">
        <v>202101</v>
      </c>
      <c r="G5780" s="112" t="s">
        <v>1091</v>
      </c>
      <c r="H5780" s="112" t="s">
        <v>1016</v>
      </c>
      <c r="I5780" s="112" t="s">
        <v>2337</v>
      </c>
      <c r="J5780" s="112" t="s">
        <v>4690</v>
      </c>
      <c r="K5780" s="112" t="s">
        <v>4742</v>
      </c>
      <c r="L5780" s="116">
        <v>-51</v>
      </c>
    </row>
    <row r="5781" spans="1:12" hidden="1" outlineLevel="1" collapsed="1" x14ac:dyDescent="0.35">
      <c r="A5781" s="112" t="s">
        <v>4632</v>
      </c>
      <c r="B5781" s="112" t="s">
        <v>4688</v>
      </c>
      <c r="C5781" s="112" t="s">
        <v>1518</v>
      </c>
      <c r="D5781" s="113">
        <v>51365826</v>
      </c>
      <c r="E5781" s="115">
        <v>43948</v>
      </c>
      <c r="F5781" s="114">
        <v>202101</v>
      </c>
      <c r="G5781" s="112" t="s">
        <v>1091</v>
      </c>
      <c r="H5781" s="112" t="s">
        <v>1016</v>
      </c>
      <c r="I5781" s="112" t="s">
        <v>2337</v>
      </c>
      <c r="J5781" s="112" t="s">
        <v>4690</v>
      </c>
      <c r="K5781" s="112" t="s">
        <v>4743</v>
      </c>
      <c r="L5781" s="116">
        <v>-51</v>
      </c>
    </row>
    <row r="5782" spans="1:12" hidden="1" outlineLevel="1" collapsed="1" x14ac:dyDescent="0.35">
      <c r="A5782" s="112" t="s">
        <v>4632</v>
      </c>
      <c r="B5782" s="112" t="s">
        <v>4688</v>
      </c>
      <c r="C5782" s="112" t="s">
        <v>1518</v>
      </c>
      <c r="D5782" s="113">
        <v>51365827</v>
      </c>
      <c r="E5782" s="115">
        <v>43948</v>
      </c>
      <c r="F5782" s="114">
        <v>202101</v>
      </c>
      <c r="G5782" s="112" t="s">
        <v>1091</v>
      </c>
      <c r="H5782" s="112" t="s">
        <v>1016</v>
      </c>
      <c r="I5782" s="112" t="s">
        <v>2337</v>
      </c>
      <c r="J5782" s="112" t="s">
        <v>4690</v>
      </c>
      <c r="K5782" s="112" t="s">
        <v>4744</v>
      </c>
      <c r="L5782" s="116">
        <v>-51</v>
      </c>
    </row>
    <row r="5783" spans="1:12" hidden="1" outlineLevel="1" collapsed="1" x14ac:dyDescent="0.35">
      <c r="A5783" s="112" t="s">
        <v>4632</v>
      </c>
      <c r="B5783" s="112" t="s">
        <v>4688</v>
      </c>
      <c r="C5783" s="112" t="s">
        <v>1518</v>
      </c>
      <c r="D5783" s="113">
        <v>51365828</v>
      </c>
      <c r="E5783" s="115">
        <v>43948</v>
      </c>
      <c r="F5783" s="114">
        <v>202101</v>
      </c>
      <c r="G5783" s="112" t="s">
        <v>1091</v>
      </c>
      <c r="H5783" s="112" t="s">
        <v>1016</v>
      </c>
      <c r="I5783" s="112" t="s">
        <v>2337</v>
      </c>
      <c r="J5783" s="112" t="s">
        <v>4690</v>
      </c>
      <c r="K5783" s="112" t="s">
        <v>4745</v>
      </c>
      <c r="L5783" s="116">
        <v>-54</v>
      </c>
    </row>
    <row r="5784" spans="1:12" hidden="1" outlineLevel="1" collapsed="1" x14ac:dyDescent="0.35">
      <c r="A5784" s="112" t="s">
        <v>4632</v>
      </c>
      <c r="B5784" s="112" t="s">
        <v>4688</v>
      </c>
      <c r="C5784" s="112" t="s">
        <v>1518</v>
      </c>
      <c r="D5784" s="113">
        <v>51365829</v>
      </c>
      <c r="E5784" s="115">
        <v>43947</v>
      </c>
      <c r="F5784" s="114">
        <v>202101</v>
      </c>
      <c r="G5784" s="112" t="s">
        <v>1091</v>
      </c>
      <c r="H5784" s="112" t="s">
        <v>1016</v>
      </c>
      <c r="I5784" s="112" t="s">
        <v>2337</v>
      </c>
      <c r="J5784" s="112" t="s">
        <v>4690</v>
      </c>
      <c r="K5784" s="112" t="s">
        <v>4746</v>
      </c>
      <c r="L5784" s="116">
        <v>-51</v>
      </c>
    </row>
    <row r="5785" spans="1:12" hidden="1" outlineLevel="1" collapsed="1" x14ac:dyDescent="0.35">
      <c r="A5785" s="112" t="s">
        <v>4632</v>
      </c>
      <c r="B5785" s="112" t="s">
        <v>4688</v>
      </c>
      <c r="C5785" s="112" t="s">
        <v>1518</v>
      </c>
      <c r="D5785" s="113">
        <v>51365801</v>
      </c>
      <c r="E5785" s="115">
        <v>43948</v>
      </c>
      <c r="F5785" s="114">
        <v>202101</v>
      </c>
      <c r="G5785" s="112" t="s">
        <v>1091</v>
      </c>
      <c r="H5785" s="112" t="s">
        <v>1016</v>
      </c>
      <c r="I5785" s="112" t="s">
        <v>2337</v>
      </c>
      <c r="J5785" s="112" t="s">
        <v>4690</v>
      </c>
      <c r="K5785" s="112" t="s">
        <v>4747</v>
      </c>
      <c r="L5785" s="116">
        <v>-51</v>
      </c>
    </row>
    <row r="5786" spans="1:12" hidden="1" outlineLevel="1" collapsed="1" x14ac:dyDescent="0.35">
      <c r="A5786" s="112" t="s">
        <v>4632</v>
      </c>
      <c r="B5786" s="112" t="s">
        <v>4639</v>
      </c>
      <c r="C5786" s="112" t="s">
        <v>1518</v>
      </c>
      <c r="D5786" s="113">
        <v>51366046</v>
      </c>
      <c r="E5786" s="115">
        <v>43928</v>
      </c>
      <c r="F5786" s="114">
        <v>202101</v>
      </c>
      <c r="G5786" s="112" t="s">
        <v>1091</v>
      </c>
      <c r="H5786" s="112" t="s">
        <v>1016</v>
      </c>
      <c r="I5786" s="112" t="s">
        <v>779</v>
      </c>
      <c r="J5786" s="112" t="s">
        <v>4640</v>
      </c>
      <c r="K5786" s="112" t="s">
        <v>4748</v>
      </c>
      <c r="L5786" s="116">
        <v>-1259.52</v>
      </c>
    </row>
    <row r="5787" spans="1:12" hidden="1" outlineLevel="1" collapsed="1" x14ac:dyDescent="0.35">
      <c r="A5787" s="112" t="s">
        <v>4632</v>
      </c>
      <c r="B5787" s="112" t="s">
        <v>4688</v>
      </c>
      <c r="C5787" s="112" t="s">
        <v>1518</v>
      </c>
      <c r="D5787" s="113">
        <v>51365787</v>
      </c>
      <c r="E5787" s="115">
        <v>43948</v>
      </c>
      <c r="F5787" s="114">
        <v>202101</v>
      </c>
      <c r="G5787" s="112" t="s">
        <v>1091</v>
      </c>
      <c r="H5787" s="112" t="s">
        <v>1016</v>
      </c>
      <c r="I5787" s="112" t="s">
        <v>2337</v>
      </c>
      <c r="J5787" s="112" t="s">
        <v>4690</v>
      </c>
      <c r="K5787" s="112" t="s">
        <v>4749</v>
      </c>
      <c r="L5787" s="116">
        <v>-51</v>
      </c>
    </row>
    <row r="5788" spans="1:12" hidden="1" outlineLevel="1" collapsed="1" x14ac:dyDescent="0.35">
      <c r="A5788" s="112" t="s">
        <v>4632</v>
      </c>
      <c r="B5788" s="112" t="s">
        <v>4688</v>
      </c>
      <c r="C5788" s="112" t="s">
        <v>1518</v>
      </c>
      <c r="D5788" s="113">
        <v>51365775</v>
      </c>
      <c r="E5788" s="115">
        <v>43947</v>
      </c>
      <c r="F5788" s="114">
        <v>202101</v>
      </c>
      <c r="G5788" s="112" t="s">
        <v>1091</v>
      </c>
      <c r="H5788" s="112" t="s">
        <v>1016</v>
      </c>
      <c r="I5788" s="112" t="s">
        <v>2337</v>
      </c>
      <c r="J5788" s="112" t="s">
        <v>4690</v>
      </c>
      <c r="K5788" s="112" t="s">
        <v>4750</v>
      </c>
      <c r="L5788" s="116">
        <v>-51</v>
      </c>
    </row>
    <row r="5789" spans="1:12" hidden="1" outlineLevel="1" collapsed="1" x14ac:dyDescent="0.35">
      <c r="A5789" s="112" t="s">
        <v>4632</v>
      </c>
      <c r="B5789" s="112" t="s">
        <v>4688</v>
      </c>
      <c r="C5789" s="112" t="s">
        <v>1518</v>
      </c>
      <c r="D5789" s="113">
        <v>51365776</v>
      </c>
      <c r="E5789" s="115">
        <v>43947</v>
      </c>
      <c r="F5789" s="114">
        <v>202101</v>
      </c>
      <c r="G5789" s="112" t="s">
        <v>1091</v>
      </c>
      <c r="H5789" s="112" t="s">
        <v>1016</v>
      </c>
      <c r="I5789" s="112" t="s">
        <v>2337</v>
      </c>
      <c r="J5789" s="112" t="s">
        <v>4690</v>
      </c>
      <c r="K5789" s="112" t="s">
        <v>4751</v>
      </c>
      <c r="L5789" s="116">
        <v>-51</v>
      </c>
    </row>
    <row r="5790" spans="1:12" hidden="1" outlineLevel="1" collapsed="1" x14ac:dyDescent="0.35">
      <c r="A5790" s="112" t="s">
        <v>4632</v>
      </c>
      <c r="B5790" s="112" t="s">
        <v>4688</v>
      </c>
      <c r="C5790" s="112" t="s">
        <v>1518</v>
      </c>
      <c r="D5790" s="113">
        <v>51365777</v>
      </c>
      <c r="E5790" s="115">
        <v>43947</v>
      </c>
      <c r="F5790" s="114">
        <v>202101</v>
      </c>
      <c r="G5790" s="112" t="s">
        <v>1091</v>
      </c>
      <c r="H5790" s="112" t="s">
        <v>1016</v>
      </c>
      <c r="I5790" s="112" t="s">
        <v>2337</v>
      </c>
      <c r="J5790" s="112" t="s">
        <v>4690</v>
      </c>
      <c r="K5790" s="112" t="s">
        <v>4752</v>
      </c>
      <c r="L5790" s="116">
        <v>-51</v>
      </c>
    </row>
    <row r="5791" spans="1:12" hidden="1" outlineLevel="1" collapsed="1" x14ac:dyDescent="0.35">
      <c r="A5791" s="112" t="s">
        <v>4632</v>
      </c>
      <c r="B5791" s="112" t="s">
        <v>4688</v>
      </c>
      <c r="C5791" s="112" t="s">
        <v>1518</v>
      </c>
      <c r="D5791" s="113">
        <v>51365778</v>
      </c>
      <c r="E5791" s="115">
        <v>43948</v>
      </c>
      <c r="F5791" s="114">
        <v>202101</v>
      </c>
      <c r="G5791" s="112" t="s">
        <v>1091</v>
      </c>
      <c r="H5791" s="112" t="s">
        <v>1016</v>
      </c>
      <c r="I5791" s="112" t="s">
        <v>2337</v>
      </c>
      <c r="J5791" s="112" t="s">
        <v>4690</v>
      </c>
      <c r="K5791" s="112" t="s">
        <v>4753</v>
      </c>
      <c r="L5791" s="116">
        <v>-54</v>
      </c>
    </row>
    <row r="5792" spans="1:12" hidden="1" outlineLevel="1" collapsed="1" x14ac:dyDescent="0.35">
      <c r="A5792" s="112" t="s">
        <v>4632</v>
      </c>
      <c r="B5792" s="112" t="s">
        <v>4688</v>
      </c>
      <c r="C5792" s="112" t="s">
        <v>1518</v>
      </c>
      <c r="D5792" s="113">
        <v>51365779</v>
      </c>
      <c r="E5792" s="115">
        <v>43948</v>
      </c>
      <c r="F5792" s="114">
        <v>202101</v>
      </c>
      <c r="G5792" s="112" t="s">
        <v>1091</v>
      </c>
      <c r="H5792" s="112" t="s">
        <v>1016</v>
      </c>
      <c r="I5792" s="112" t="s">
        <v>2337</v>
      </c>
      <c r="J5792" s="112" t="s">
        <v>4690</v>
      </c>
      <c r="K5792" s="112" t="s">
        <v>4754</v>
      </c>
      <c r="L5792" s="116">
        <v>-51</v>
      </c>
    </row>
    <row r="5793" spans="1:12" hidden="1" outlineLevel="1" collapsed="1" x14ac:dyDescent="0.35">
      <c r="A5793" s="112" t="s">
        <v>4632</v>
      </c>
      <c r="B5793" s="112" t="s">
        <v>4688</v>
      </c>
      <c r="C5793" s="112" t="s">
        <v>1518</v>
      </c>
      <c r="D5793" s="113">
        <v>51365780</v>
      </c>
      <c r="E5793" s="115">
        <v>43948</v>
      </c>
      <c r="F5793" s="114">
        <v>202101</v>
      </c>
      <c r="G5793" s="112" t="s">
        <v>1091</v>
      </c>
      <c r="H5793" s="112" t="s">
        <v>1016</v>
      </c>
      <c r="I5793" s="112" t="s">
        <v>2337</v>
      </c>
      <c r="J5793" s="112" t="s">
        <v>4690</v>
      </c>
      <c r="K5793" s="112" t="s">
        <v>4755</v>
      </c>
      <c r="L5793" s="116">
        <v>-51</v>
      </c>
    </row>
    <row r="5794" spans="1:12" hidden="1" outlineLevel="1" collapsed="1" x14ac:dyDescent="0.35">
      <c r="A5794" s="112" t="s">
        <v>4632</v>
      </c>
      <c r="B5794" s="112" t="s">
        <v>4688</v>
      </c>
      <c r="C5794" s="112" t="s">
        <v>1518</v>
      </c>
      <c r="D5794" s="113">
        <v>51365781</v>
      </c>
      <c r="E5794" s="115">
        <v>43948</v>
      </c>
      <c r="F5794" s="114">
        <v>202101</v>
      </c>
      <c r="G5794" s="112" t="s">
        <v>1091</v>
      </c>
      <c r="H5794" s="112" t="s">
        <v>1016</v>
      </c>
      <c r="I5794" s="112" t="s">
        <v>2337</v>
      </c>
      <c r="J5794" s="112" t="s">
        <v>4690</v>
      </c>
      <c r="K5794" s="112" t="s">
        <v>4756</v>
      </c>
      <c r="L5794" s="116">
        <v>-51</v>
      </c>
    </row>
    <row r="5795" spans="1:12" hidden="1" outlineLevel="1" collapsed="1" x14ac:dyDescent="0.35">
      <c r="A5795" s="112" t="s">
        <v>4632</v>
      </c>
      <c r="B5795" s="112" t="s">
        <v>4688</v>
      </c>
      <c r="C5795" s="112" t="s">
        <v>1518</v>
      </c>
      <c r="D5795" s="113">
        <v>51365782</v>
      </c>
      <c r="E5795" s="115">
        <v>43947</v>
      </c>
      <c r="F5795" s="114">
        <v>202101</v>
      </c>
      <c r="G5795" s="112" t="s">
        <v>1091</v>
      </c>
      <c r="H5795" s="112" t="s">
        <v>1016</v>
      </c>
      <c r="I5795" s="112" t="s">
        <v>2337</v>
      </c>
      <c r="J5795" s="112" t="s">
        <v>4690</v>
      </c>
      <c r="K5795" s="112" t="s">
        <v>4757</v>
      </c>
      <c r="L5795" s="116">
        <v>-54</v>
      </c>
    </row>
    <row r="5796" spans="1:12" hidden="1" outlineLevel="1" collapsed="1" x14ac:dyDescent="0.35">
      <c r="A5796" s="112" t="s">
        <v>4632</v>
      </c>
      <c r="B5796" s="112" t="s">
        <v>4688</v>
      </c>
      <c r="C5796" s="112" t="s">
        <v>1518</v>
      </c>
      <c r="D5796" s="113">
        <v>51365783</v>
      </c>
      <c r="E5796" s="115">
        <v>43948</v>
      </c>
      <c r="F5796" s="114">
        <v>202101</v>
      </c>
      <c r="G5796" s="112" t="s">
        <v>1091</v>
      </c>
      <c r="H5796" s="112" t="s">
        <v>1016</v>
      </c>
      <c r="I5796" s="112" t="s">
        <v>2337</v>
      </c>
      <c r="J5796" s="112" t="s">
        <v>4690</v>
      </c>
      <c r="K5796" s="112" t="s">
        <v>4758</v>
      </c>
      <c r="L5796" s="116">
        <v>-51</v>
      </c>
    </row>
    <row r="5797" spans="1:12" hidden="1" outlineLevel="1" collapsed="1" x14ac:dyDescent="0.35">
      <c r="A5797" s="112" t="s">
        <v>4632</v>
      </c>
      <c r="B5797" s="112" t="s">
        <v>4688</v>
      </c>
      <c r="C5797" s="112" t="s">
        <v>1518</v>
      </c>
      <c r="D5797" s="113">
        <v>51365784</v>
      </c>
      <c r="E5797" s="115">
        <v>43948</v>
      </c>
      <c r="F5797" s="114">
        <v>202101</v>
      </c>
      <c r="G5797" s="112" t="s">
        <v>1091</v>
      </c>
      <c r="H5797" s="112" t="s">
        <v>1016</v>
      </c>
      <c r="I5797" s="112" t="s">
        <v>2337</v>
      </c>
      <c r="J5797" s="112" t="s">
        <v>4690</v>
      </c>
      <c r="K5797" s="112" t="s">
        <v>4759</v>
      </c>
      <c r="L5797" s="116">
        <v>-51</v>
      </c>
    </row>
    <row r="5798" spans="1:12" hidden="1" outlineLevel="1" collapsed="1" x14ac:dyDescent="0.35">
      <c r="A5798" s="112" t="s">
        <v>4632</v>
      </c>
      <c r="B5798" s="112" t="s">
        <v>4688</v>
      </c>
      <c r="C5798" s="112" t="s">
        <v>1518</v>
      </c>
      <c r="D5798" s="113">
        <v>51365785</v>
      </c>
      <c r="E5798" s="115">
        <v>43947</v>
      </c>
      <c r="F5798" s="114">
        <v>202101</v>
      </c>
      <c r="G5798" s="112" t="s">
        <v>1091</v>
      </c>
      <c r="H5798" s="112" t="s">
        <v>1016</v>
      </c>
      <c r="I5798" s="112" t="s">
        <v>2337</v>
      </c>
      <c r="J5798" s="112" t="s">
        <v>4690</v>
      </c>
      <c r="K5798" s="112" t="s">
        <v>4760</v>
      </c>
      <c r="L5798" s="116">
        <v>-51</v>
      </c>
    </row>
    <row r="5799" spans="1:12" hidden="1" outlineLevel="1" collapsed="1" x14ac:dyDescent="0.35">
      <c r="A5799" s="112" t="s">
        <v>4632</v>
      </c>
      <c r="B5799" s="112" t="s">
        <v>4688</v>
      </c>
      <c r="C5799" s="112" t="s">
        <v>1518</v>
      </c>
      <c r="D5799" s="113">
        <v>51365786</v>
      </c>
      <c r="E5799" s="115">
        <v>43947</v>
      </c>
      <c r="F5799" s="114">
        <v>202101</v>
      </c>
      <c r="G5799" s="112" t="s">
        <v>1091</v>
      </c>
      <c r="H5799" s="112" t="s">
        <v>1016</v>
      </c>
      <c r="I5799" s="112" t="s">
        <v>2337</v>
      </c>
      <c r="J5799" s="112" t="s">
        <v>4690</v>
      </c>
      <c r="K5799" s="112" t="s">
        <v>4761</v>
      </c>
      <c r="L5799" s="116">
        <v>-102</v>
      </c>
    </row>
    <row r="5800" spans="1:12" hidden="1" outlineLevel="1" collapsed="1" x14ac:dyDescent="0.35">
      <c r="A5800" s="112" t="s">
        <v>4632</v>
      </c>
      <c r="B5800" s="112" t="s">
        <v>4688</v>
      </c>
      <c r="C5800" s="112" t="s">
        <v>1518</v>
      </c>
      <c r="D5800" s="113">
        <v>51365774</v>
      </c>
      <c r="E5800" s="115">
        <v>43948</v>
      </c>
      <c r="F5800" s="114">
        <v>202101</v>
      </c>
      <c r="G5800" s="112" t="s">
        <v>1091</v>
      </c>
      <c r="H5800" s="112" t="s">
        <v>1016</v>
      </c>
      <c r="I5800" s="112" t="s">
        <v>2337</v>
      </c>
      <c r="J5800" s="112" t="s">
        <v>4690</v>
      </c>
      <c r="K5800" s="112" t="s">
        <v>4762</v>
      </c>
      <c r="L5800" s="116">
        <v>-51</v>
      </c>
    </row>
    <row r="5801" spans="1:12" hidden="1" outlineLevel="1" collapsed="1" x14ac:dyDescent="0.35">
      <c r="A5801" s="112" t="s">
        <v>4632</v>
      </c>
      <c r="B5801" s="112" t="s">
        <v>4688</v>
      </c>
      <c r="C5801" s="112" t="s">
        <v>1518</v>
      </c>
      <c r="D5801" s="113">
        <v>51365788</v>
      </c>
      <c r="E5801" s="115">
        <v>43948</v>
      </c>
      <c r="F5801" s="114">
        <v>202101</v>
      </c>
      <c r="G5801" s="112" t="s">
        <v>1091</v>
      </c>
      <c r="H5801" s="112" t="s">
        <v>1016</v>
      </c>
      <c r="I5801" s="112" t="s">
        <v>2337</v>
      </c>
      <c r="J5801" s="112" t="s">
        <v>4690</v>
      </c>
      <c r="K5801" s="112" t="s">
        <v>4763</v>
      </c>
      <c r="L5801" s="116">
        <v>-51</v>
      </c>
    </row>
    <row r="5802" spans="1:12" hidden="1" outlineLevel="1" collapsed="1" x14ac:dyDescent="0.35">
      <c r="A5802" s="112" t="s">
        <v>4632</v>
      </c>
      <c r="B5802" s="112" t="s">
        <v>4688</v>
      </c>
      <c r="C5802" s="112" t="s">
        <v>1518</v>
      </c>
      <c r="D5802" s="113">
        <v>51365789</v>
      </c>
      <c r="E5802" s="115">
        <v>43948</v>
      </c>
      <c r="F5802" s="114">
        <v>202101</v>
      </c>
      <c r="G5802" s="112" t="s">
        <v>1091</v>
      </c>
      <c r="H5802" s="112" t="s">
        <v>1016</v>
      </c>
      <c r="I5802" s="112" t="s">
        <v>2337</v>
      </c>
      <c r="J5802" s="112" t="s">
        <v>4690</v>
      </c>
      <c r="K5802" s="112" t="s">
        <v>4764</v>
      </c>
      <c r="L5802" s="116">
        <v>-51</v>
      </c>
    </row>
    <row r="5803" spans="1:12" hidden="1" outlineLevel="1" collapsed="1" x14ac:dyDescent="0.35">
      <c r="A5803" s="112" t="s">
        <v>4632</v>
      </c>
      <c r="B5803" s="112" t="s">
        <v>4688</v>
      </c>
      <c r="C5803" s="112" t="s">
        <v>1518</v>
      </c>
      <c r="D5803" s="113">
        <v>51365790</v>
      </c>
      <c r="E5803" s="115">
        <v>43948</v>
      </c>
      <c r="F5803" s="114">
        <v>202101</v>
      </c>
      <c r="G5803" s="112" t="s">
        <v>1091</v>
      </c>
      <c r="H5803" s="112" t="s">
        <v>1016</v>
      </c>
      <c r="I5803" s="112" t="s">
        <v>2337</v>
      </c>
      <c r="J5803" s="112" t="s">
        <v>4690</v>
      </c>
      <c r="K5803" s="112" t="s">
        <v>4765</v>
      </c>
      <c r="L5803" s="116">
        <v>-51</v>
      </c>
    </row>
    <row r="5804" spans="1:12" hidden="1" outlineLevel="1" collapsed="1" x14ac:dyDescent="0.35">
      <c r="A5804" s="112" t="s">
        <v>4632</v>
      </c>
      <c r="B5804" s="112" t="s">
        <v>4688</v>
      </c>
      <c r="C5804" s="112" t="s">
        <v>1518</v>
      </c>
      <c r="D5804" s="113">
        <v>51365791</v>
      </c>
      <c r="E5804" s="115">
        <v>43948</v>
      </c>
      <c r="F5804" s="114">
        <v>202101</v>
      </c>
      <c r="G5804" s="112" t="s">
        <v>1091</v>
      </c>
      <c r="H5804" s="112" t="s">
        <v>1016</v>
      </c>
      <c r="I5804" s="112" t="s">
        <v>2337</v>
      </c>
      <c r="J5804" s="112" t="s">
        <v>4690</v>
      </c>
      <c r="K5804" s="112" t="s">
        <v>4766</v>
      </c>
      <c r="L5804" s="116">
        <v>-51</v>
      </c>
    </row>
    <row r="5805" spans="1:12" hidden="1" outlineLevel="1" collapsed="1" x14ac:dyDescent="0.35">
      <c r="A5805" s="112" t="s">
        <v>4632</v>
      </c>
      <c r="B5805" s="112" t="s">
        <v>863</v>
      </c>
      <c r="C5805" s="112" t="s">
        <v>679</v>
      </c>
      <c r="D5805" s="113">
        <v>10348115</v>
      </c>
      <c r="E5805" s="115">
        <v>43929</v>
      </c>
      <c r="F5805" s="114">
        <v>202101</v>
      </c>
      <c r="G5805" s="112" t="s">
        <v>1091</v>
      </c>
      <c r="H5805" s="112" t="s">
        <v>1016</v>
      </c>
      <c r="I5805" s="112" t="s">
        <v>781</v>
      </c>
      <c r="J5805" s="112" t="s">
        <v>842</v>
      </c>
      <c r="K5805" s="112" t="s">
        <v>4767</v>
      </c>
      <c r="L5805" s="116">
        <v>-16</v>
      </c>
    </row>
    <row r="5806" spans="1:12" hidden="1" outlineLevel="1" collapsed="1" x14ac:dyDescent="0.35">
      <c r="A5806" s="112" t="s">
        <v>4632</v>
      </c>
      <c r="B5806" s="112" t="s">
        <v>4688</v>
      </c>
      <c r="C5806" s="112" t="s">
        <v>1518</v>
      </c>
      <c r="D5806" s="113">
        <v>51365792</v>
      </c>
      <c r="E5806" s="115">
        <v>43948</v>
      </c>
      <c r="F5806" s="114">
        <v>202101</v>
      </c>
      <c r="G5806" s="112" t="s">
        <v>1091</v>
      </c>
      <c r="H5806" s="112" t="s">
        <v>1016</v>
      </c>
      <c r="I5806" s="112" t="s">
        <v>2337</v>
      </c>
      <c r="J5806" s="112" t="s">
        <v>4690</v>
      </c>
      <c r="K5806" s="112" t="s">
        <v>4768</v>
      </c>
      <c r="L5806" s="116">
        <v>-51</v>
      </c>
    </row>
    <row r="5807" spans="1:12" hidden="1" outlineLevel="1" collapsed="1" x14ac:dyDescent="0.35">
      <c r="A5807" s="112" t="s">
        <v>4632</v>
      </c>
      <c r="B5807" s="112" t="s">
        <v>4688</v>
      </c>
      <c r="C5807" s="112" t="s">
        <v>1518</v>
      </c>
      <c r="D5807" s="113">
        <v>51365793</v>
      </c>
      <c r="E5807" s="115">
        <v>43948</v>
      </c>
      <c r="F5807" s="114">
        <v>202101</v>
      </c>
      <c r="G5807" s="112" t="s">
        <v>1091</v>
      </c>
      <c r="H5807" s="112" t="s">
        <v>1016</v>
      </c>
      <c r="I5807" s="112" t="s">
        <v>2337</v>
      </c>
      <c r="J5807" s="112" t="s">
        <v>4690</v>
      </c>
      <c r="K5807" s="112" t="s">
        <v>4769</v>
      </c>
      <c r="L5807" s="116">
        <v>-54</v>
      </c>
    </row>
    <row r="5808" spans="1:12" hidden="1" outlineLevel="1" collapsed="1" x14ac:dyDescent="0.35">
      <c r="A5808" s="112" t="s">
        <v>4632</v>
      </c>
      <c r="B5808" s="112" t="s">
        <v>4688</v>
      </c>
      <c r="C5808" s="112" t="s">
        <v>1518</v>
      </c>
      <c r="D5808" s="113">
        <v>51365794</v>
      </c>
      <c r="E5808" s="115">
        <v>43948</v>
      </c>
      <c r="F5808" s="114">
        <v>202101</v>
      </c>
      <c r="G5808" s="112" t="s">
        <v>1091</v>
      </c>
      <c r="H5808" s="112" t="s">
        <v>1016</v>
      </c>
      <c r="I5808" s="112" t="s">
        <v>2337</v>
      </c>
      <c r="J5808" s="112" t="s">
        <v>4690</v>
      </c>
      <c r="K5808" s="112" t="s">
        <v>4770</v>
      </c>
      <c r="L5808" s="116">
        <v>-51</v>
      </c>
    </row>
    <row r="5809" spans="1:12" hidden="1" outlineLevel="1" collapsed="1" x14ac:dyDescent="0.35">
      <c r="A5809" s="112" t="s">
        <v>4632</v>
      </c>
      <c r="B5809" s="112" t="s">
        <v>4688</v>
      </c>
      <c r="C5809" s="112" t="s">
        <v>1518</v>
      </c>
      <c r="D5809" s="113">
        <v>51365795</v>
      </c>
      <c r="E5809" s="115">
        <v>43948</v>
      </c>
      <c r="F5809" s="114">
        <v>202101</v>
      </c>
      <c r="G5809" s="112" t="s">
        <v>1091</v>
      </c>
      <c r="H5809" s="112" t="s">
        <v>1016</v>
      </c>
      <c r="I5809" s="112" t="s">
        <v>2337</v>
      </c>
      <c r="J5809" s="112" t="s">
        <v>4690</v>
      </c>
      <c r="K5809" s="112" t="s">
        <v>4771</v>
      </c>
      <c r="L5809" s="116">
        <v>-51</v>
      </c>
    </row>
    <row r="5810" spans="1:12" hidden="1" outlineLevel="1" collapsed="1" x14ac:dyDescent="0.35">
      <c r="A5810" s="112" t="s">
        <v>4632</v>
      </c>
      <c r="B5810" s="112" t="s">
        <v>4688</v>
      </c>
      <c r="C5810" s="112" t="s">
        <v>1518</v>
      </c>
      <c r="D5810" s="113">
        <v>51365796</v>
      </c>
      <c r="E5810" s="115">
        <v>43948</v>
      </c>
      <c r="F5810" s="114">
        <v>202101</v>
      </c>
      <c r="G5810" s="112" t="s">
        <v>1091</v>
      </c>
      <c r="H5810" s="112" t="s">
        <v>1016</v>
      </c>
      <c r="I5810" s="112" t="s">
        <v>2337</v>
      </c>
      <c r="J5810" s="112" t="s">
        <v>4690</v>
      </c>
      <c r="K5810" s="112" t="s">
        <v>4772</v>
      </c>
      <c r="L5810" s="116">
        <v>-51</v>
      </c>
    </row>
    <row r="5811" spans="1:12" hidden="1" outlineLevel="1" collapsed="1" x14ac:dyDescent="0.35">
      <c r="A5811" s="112" t="s">
        <v>4632</v>
      </c>
      <c r="B5811" s="112" t="s">
        <v>4688</v>
      </c>
      <c r="C5811" s="112" t="s">
        <v>1518</v>
      </c>
      <c r="D5811" s="113">
        <v>51365797</v>
      </c>
      <c r="E5811" s="115">
        <v>43948</v>
      </c>
      <c r="F5811" s="114">
        <v>202101</v>
      </c>
      <c r="G5811" s="112" t="s">
        <v>1091</v>
      </c>
      <c r="H5811" s="112" t="s">
        <v>1016</v>
      </c>
      <c r="I5811" s="112" t="s">
        <v>2337</v>
      </c>
      <c r="J5811" s="112" t="s">
        <v>4690</v>
      </c>
      <c r="K5811" s="112" t="s">
        <v>4773</v>
      </c>
      <c r="L5811" s="116">
        <v>-51</v>
      </c>
    </row>
    <row r="5812" spans="1:12" hidden="1" outlineLevel="1" collapsed="1" x14ac:dyDescent="0.35">
      <c r="A5812" s="112" t="s">
        <v>4632</v>
      </c>
      <c r="B5812" s="112" t="s">
        <v>4688</v>
      </c>
      <c r="C5812" s="112" t="s">
        <v>1518</v>
      </c>
      <c r="D5812" s="113">
        <v>51365798</v>
      </c>
      <c r="E5812" s="115">
        <v>43948</v>
      </c>
      <c r="F5812" s="114">
        <v>202101</v>
      </c>
      <c r="G5812" s="112" t="s">
        <v>1091</v>
      </c>
      <c r="H5812" s="112" t="s">
        <v>1016</v>
      </c>
      <c r="I5812" s="112" t="s">
        <v>2337</v>
      </c>
      <c r="J5812" s="112" t="s">
        <v>4690</v>
      </c>
      <c r="K5812" s="112" t="s">
        <v>4774</v>
      </c>
      <c r="L5812" s="116">
        <v>-51</v>
      </c>
    </row>
    <row r="5813" spans="1:12" hidden="1" outlineLevel="1" collapsed="1" x14ac:dyDescent="0.35">
      <c r="A5813" s="112" t="s">
        <v>4632</v>
      </c>
      <c r="B5813" s="112" t="s">
        <v>4688</v>
      </c>
      <c r="C5813" s="112" t="s">
        <v>1518</v>
      </c>
      <c r="D5813" s="113">
        <v>51365799</v>
      </c>
      <c r="E5813" s="115">
        <v>43948</v>
      </c>
      <c r="F5813" s="114">
        <v>202101</v>
      </c>
      <c r="G5813" s="112" t="s">
        <v>1091</v>
      </c>
      <c r="H5813" s="112" t="s">
        <v>1016</v>
      </c>
      <c r="I5813" s="112" t="s">
        <v>2337</v>
      </c>
      <c r="J5813" s="112" t="s">
        <v>4690</v>
      </c>
      <c r="K5813" s="112" t="s">
        <v>4775</v>
      </c>
      <c r="L5813" s="116">
        <v>-54</v>
      </c>
    </row>
    <row r="5814" spans="1:12" hidden="1" outlineLevel="1" collapsed="1" x14ac:dyDescent="0.35">
      <c r="A5814" s="112" t="s">
        <v>4632</v>
      </c>
      <c r="B5814" s="112" t="s">
        <v>4688</v>
      </c>
      <c r="C5814" s="112" t="s">
        <v>1518</v>
      </c>
      <c r="D5814" s="113">
        <v>51365800</v>
      </c>
      <c r="E5814" s="115">
        <v>43948</v>
      </c>
      <c r="F5814" s="114">
        <v>202101</v>
      </c>
      <c r="G5814" s="112" t="s">
        <v>1091</v>
      </c>
      <c r="H5814" s="112" t="s">
        <v>1016</v>
      </c>
      <c r="I5814" s="112" t="s">
        <v>2337</v>
      </c>
      <c r="J5814" s="112" t="s">
        <v>4690</v>
      </c>
      <c r="K5814" s="112" t="s">
        <v>4776</v>
      </c>
      <c r="L5814" s="116">
        <v>-51</v>
      </c>
    </row>
    <row r="5815" spans="1:12" hidden="1" outlineLevel="1" collapsed="1" x14ac:dyDescent="0.35">
      <c r="A5815" s="112" t="s">
        <v>4632</v>
      </c>
      <c r="B5815" s="112" t="s">
        <v>4688</v>
      </c>
      <c r="C5815" s="112" t="s">
        <v>1518</v>
      </c>
      <c r="D5815" s="113">
        <v>51365773</v>
      </c>
      <c r="E5815" s="115">
        <v>43947</v>
      </c>
      <c r="F5815" s="114">
        <v>202101</v>
      </c>
      <c r="G5815" s="112" t="s">
        <v>1091</v>
      </c>
      <c r="H5815" s="112" t="s">
        <v>1016</v>
      </c>
      <c r="I5815" s="112" t="s">
        <v>2337</v>
      </c>
      <c r="J5815" s="112" t="s">
        <v>4690</v>
      </c>
      <c r="K5815" s="112" t="s">
        <v>4777</v>
      </c>
      <c r="L5815" s="116">
        <v>-54</v>
      </c>
    </row>
    <row r="5816" spans="1:12" hidden="1" outlineLevel="1" collapsed="1" x14ac:dyDescent="0.35">
      <c r="A5816" s="112" t="s">
        <v>4632</v>
      </c>
      <c r="B5816" s="112" t="s">
        <v>4644</v>
      </c>
      <c r="C5816" s="112" t="s">
        <v>1518</v>
      </c>
      <c r="D5816" s="113">
        <v>51366020</v>
      </c>
      <c r="E5816" s="115">
        <v>43928</v>
      </c>
      <c r="F5816" s="114">
        <v>202101</v>
      </c>
      <c r="G5816" s="112" t="s">
        <v>1091</v>
      </c>
      <c r="H5816" s="112" t="s">
        <v>1016</v>
      </c>
      <c r="I5816" s="112" t="s">
        <v>779</v>
      </c>
      <c r="J5816" s="112" t="s">
        <v>4645</v>
      </c>
      <c r="K5816" s="112" t="s">
        <v>4778</v>
      </c>
      <c r="L5816" s="116">
        <v>-66.81</v>
      </c>
    </row>
    <row r="5817" spans="1:12" hidden="1" outlineLevel="1" collapsed="1" x14ac:dyDescent="0.35">
      <c r="A5817" s="112" t="s">
        <v>4632</v>
      </c>
      <c r="B5817" s="112" t="s">
        <v>4644</v>
      </c>
      <c r="C5817" s="112" t="s">
        <v>695</v>
      </c>
      <c r="D5817" s="113">
        <v>10348098</v>
      </c>
      <c r="E5817" s="115">
        <v>43929</v>
      </c>
      <c r="F5817" s="114">
        <v>202101</v>
      </c>
      <c r="G5817" s="112" t="s">
        <v>1091</v>
      </c>
      <c r="H5817" s="112" t="s">
        <v>1015</v>
      </c>
      <c r="I5817" s="112" t="s">
        <v>757</v>
      </c>
      <c r="J5817" s="112" t="s">
        <v>4645</v>
      </c>
      <c r="K5817" s="112" t="s">
        <v>4779</v>
      </c>
      <c r="L5817" s="116">
        <v>256.33</v>
      </c>
    </row>
    <row r="5818" spans="1:12" hidden="1" outlineLevel="1" collapsed="1" x14ac:dyDescent="0.35">
      <c r="A5818" s="112" t="s">
        <v>4632</v>
      </c>
      <c r="B5818" s="112" t="s">
        <v>4644</v>
      </c>
      <c r="C5818" s="112" t="s">
        <v>1758</v>
      </c>
      <c r="D5818" s="113">
        <v>51366006</v>
      </c>
      <c r="E5818" s="115">
        <v>43928</v>
      </c>
      <c r="F5818" s="114">
        <v>202101</v>
      </c>
      <c r="G5818" s="112" t="s">
        <v>1091</v>
      </c>
      <c r="H5818" s="112" t="s">
        <v>1016</v>
      </c>
      <c r="I5818" s="112" t="s">
        <v>779</v>
      </c>
      <c r="J5818" s="112" t="s">
        <v>4645</v>
      </c>
      <c r="K5818" s="112" t="s">
        <v>4780</v>
      </c>
      <c r="L5818" s="116">
        <v>26004.02</v>
      </c>
    </row>
    <row r="5819" spans="1:12" hidden="1" outlineLevel="1" collapsed="1" x14ac:dyDescent="0.35">
      <c r="A5819" s="112" t="s">
        <v>4632</v>
      </c>
      <c r="B5819" s="112" t="s">
        <v>4644</v>
      </c>
      <c r="C5819" s="112" t="s">
        <v>695</v>
      </c>
      <c r="D5819" s="113">
        <v>10348098</v>
      </c>
      <c r="E5819" s="115">
        <v>43929</v>
      </c>
      <c r="F5819" s="114">
        <v>202101</v>
      </c>
      <c r="G5819" s="112" t="s">
        <v>1091</v>
      </c>
      <c r="H5819" s="112" t="s">
        <v>1015</v>
      </c>
      <c r="I5819" s="112" t="s">
        <v>749</v>
      </c>
      <c r="J5819" s="112" t="s">
        <v>4645</v>
      </c>
      <c r="K5819" s="112" t="s">
        <v>4781</v>
      </c>
      <c r="L5819" s="116">
        <v>1488.76</v>
      </c>
    </row>
    <row r="5820" spans="1:12" hidden="1" outlineLevel="1" collapsed="1" x14ac:dyDescent="0.35">
      <c r="A5820" s="112" t="s">
        <v>4632</v>
      </c>
      <c r="B5820" s="112" t="s">
        <v>4644</v>
      </c>
      <c r="C5820" s="112" t="s">
        <v>1518</v>
      </c>
      <c r="D5820" s="113">
        <v>51365990</v>
      </c>
      <c r="E5820" s="115">
        <v>43928</v>
      </c>
      <c r="F5820" s="114">
        <v>202101</v>
      </c>
      <c r="G5820" s="112" t="s">
        <v>1091</v>
      </c>
      <c r="H5820" s="112" t="s">
        <v>1016</v>
      </c>
      <c r="I5820" s="112" t="s">
        <v>779</v>
      </c>
      <c r="J5820" s="112" t="s">
        <v>4645</v>
      </c>
      <c r="K5820" s="112" t="s">
        <v>4782</v>
      </c>
      <c r="L5820" s="116">
        <v>-256.33</v>
      </c>
    </row>
    <row r="5821" spans="1:12" hidden="1" outlineLevel="1" collapsed="1" x14ac:dyDescent="0.35">
      <c r="A5821" s="112" t="s">
        <v>4632</v>
      </c>
      <c r="B5821" s="112" t="s">
        <v>4644</v>
      </c>
      <c r="C5821" s="112" t="s">
        <v>695</v>
      </c>
      <c r="D5821" s="113">
        <v>10348098</v>
      </c>
      <c r="E5821" s="115">
        <v>43929</v>
      </c>
      <c r="F5821" s="114">
        <v>202101</v>
      </c>
      <c r="G5821" s="112" t="s">
        <v>1091</v>
      </c>
      <c r="H5821" s="112" t="s">
        <v>1015</v>
      </c>
      <c r="I5821" s="112" t="s">
        <v>749</v>
      </c>
      <c r="J5821" s="112" t="s">
        <v>4645</v>
      </c>
      <c r="K5821" s="112" t="s">
        <v>4783</v>
      </c>
      <c r="L5821" s="116">
        <v>612.91</v>
      </c>
    </row>
    <row r="5822" spans="1:12" hidden="1" outlineLevel="1" collapsed="1" x14ac:dyDescent="0.35">
      <c r="A5822" s="112" t="s">
        <v>4632</v>
      </c>
      <c r="B5822" s="112" t="s">
        <v>4644</v>
      </c>
      <c r="C5822" s="112" t="s">
        <v>1758</v>
      </c>
      <c r="D5822" s="113">
        <v>51366005</v>
      </c>
      <c r="E5822" s="115">
        <v>43928</v>
      </c>
      <c r="F5822" s="114">
        <v>202101</v>
      </c>
      <c r="G5822" s="112" t="s">
        <v>1091</v>
      </c>
      <c r="H5822" s="112" t="s">
        <v>1016</v>
      </c>
      <c r="I5822" s="112" t="s">
        <v>779</v>
      </c>
      <c r="J5822" s="112" t="s">
        <v>4645</v>
      </c>
      <c r="K5822" s="112" t="s">
        <v>4784</v>
      </c>
      <c r="L5822" s="116">
        <v>2347.7600000000002</v>
      </c>
    </row>
    <row r="5823" spans="1:12" hidden="1" outlineLevel="1" collapsed="1" x14ac:dyDescent="0.35">
      <c r="A5823" s="112" t="s">
        <v>4632</v>
      </c>
      <c r="B5823" s="112" t="s">
        <v>4644</v>
      </c>
      <c r="C5823" s="112" t="s">
        <v>695</v>
      </c>
      <c r="D5823" s="113">
        <v>10348098</v>
      </c>
      <c r="E5823" s="115">
        <v>43929</v>
      </c>
      <c r="F5823" s="114">
        <v>202101</v>
      </c>
      <c r="G5823" s="112" t="s">
        <v>1091</v>
      </c>
      <c r="H5823" s="112" t="s">
        <v>1015</v>
      </c>
      <c r="I5823" s="112" t="s">
        <v>749</v>
      </c>
      <c r="J5823" s="112" t="s">
        <v>4645</v>
      </c>
      <c r="K5823" s="112" t="s">
        <v>4785</v>
      </c>
      <c r="L5823" s="116">
        <v>738.09</v>
      </c>
    </row>
    <row r="5824" spans="1:12" hidden="1" outlineLevel="1" collapsed="1" x14ac:dyDescent="0.35">
      <c r="A5824" s="112" t="s">
        <v>4632</v>
      </c>
      <c r="B5824" s="112" t="s">
        <v>4644</v>
      </c>
      <c r="C5824" s="112" t="s">
        <v>695</v>
      </c>
      <c r="D5824" s="113">
        <v>10348098</v>
      </c>
      <c r="E5824" s="115">
        <v>43929</v>
      </c>
      <c r="F5824" s="114">
        <v>202101</v>
      </c>
      <c r="G5824" s="112" t="s">
        <v>1091</v>
      </c>
      <c r="H5824" s="112" t="s">
        <v>1015</v>
      </c>
      <c r="I5824" s="112" t="s">
        <v>749</v>
      </c>
      <c r="J5824" s="112" t="s">
        <v>4645</v>
      </c>
      <c r="K5824" s="112" t="s">
        <v>4786</v>
      </c>
      <c r="L5824" s="116">
        <v>29.24</v>
      </c>
    </row>
    <row r="5825" spans="1:12" hidden="1" outlineLevel="1" collapsed="1" x14ac:dyDescent="0.35">
      <c r="A5825" s="112" t="s">
        <v>4632</v>
      </c>
      <c r="B5825" s="112" t="s">
        <v>4644</v>
      </c>
      <c r="C5825" s="112" t="s">
        <v>1758</v>
      </c>
      <c r="D5825" s="113">
        <v>51365991</v>
      </c>
      <c r="E5825" s="115">
        <v>43928</v>
      </c>
      <c r="F5825" s="114">
        <v>202101</v>
      </c>
      <c r="G5825" s="112" t="s">
        <v>1091</v>
      </c>
      <c r="H5825" s="112" t="s">
        <v>1016</v>
      </c>
      <c r="I5825" s="112" t="s">
        <v>779</v>
      </c>
      <c r="J5825" s="112" t="s">
        <v>4645</v>
      </c>
      <c r="K5825" s="112" t="s">
        <v>4787</v>
      </c>
      <c r="L5825" s="116">
        <v>133.26</v>
      </c>
    </row>
    <row r="5826" spans="1:12" hidden="1" outlineLevel="1" collapsed="1" x14ac:dyDescent="0.35">
      <c r="A5826" s="112" t="s">
        <v>4632</v>
      </c>
      <c r="B5826" s="112" t="s">
        <v>4644</v>
      </c>
      <c r="C5826" s="112" t="s">
        <v>1518</v>
      </c>
      <c r="D5826" s="113">
        <v>51365992</v>
      </c>
      <c r="E5826" s="115">
        <v>43928</v>
      </c>
      <c r="F5826" s="114">
        <v>202101</v>
      </c>
      <c r="G5826" s="112" t="s">
        <v>1091</v>
      </c>
      <c r="H5826" s="112" t="s">
        <v>1016</v>
      </c>
      <c r="I5826" s="112" t="s">
        <v>779</v>
      </c>
      <c r="J5826" s="112" t="s">
        <v>4645</v>
      </c>
      <c r="K5826" s="112" t="s">
        <v>4788</v>
      </c>
      <c r="L5826" s="116">
        <v>-387.07</v>
      </c>
    </row>
    <row r="5827" spans="1:12" hidden="1" outlineLevel="1" collapsed="1" x14ac:dyDescent="0.35">
      <c r="A5827" s="112" t="s">
        <v>4632</v>
      </c>
      <c r="B5827" s="112" t="s">
        <v>4639</v>
      </c>
      <c r="C5827" s="112" t="s">
        <v>1518</v>
      </c>
      <c r="D5827" s="113">
        <v>51365993</v>
      </c>
      <c r="E5827" s="115">
        <v>43928</v>
      </c>
      <c r="F5827" s="114">
        <v>202101</v>
      </c>
      <c r="G5827" s="112" t="s">
        <v>1091</v>
      </c>
      <c r="H5827" s="112" t="s">
        <v>1016</v>
      </c>
      <c r="I5827" s="112" t="s">
        <v>779</v>
      </c>
      <c r="J5827" s="112" t="s">
        <v>4640</v>
      </c>
      <c r="K5827" s="112" t="s">
        <v>4789</v>
      </c>
      <c r="L5827" s="116">
        <v>-2862.58</v>
      </c>
    </row>
    <row r="5828" spans="1:12" hidden="1" outlineLevel="1" collapsed="1" x14ac:dyDescent="0.35">
      <c r="A5828" s="112" t="s">
        <v>4632</v>
      </c>
      <c r="B5828" s="112" t="s">
        <v>4644</v>
      </c>
      <c r="C5828" s="112" t="s">
        <v>1518</v>
      </c>
      <c r="D5828" s="113">
        <v>51366030</v>
      </c>
      <c r="E5828" s="115">
        <v>43928</v>
      </c>
      <c r="F5828" s="114">
        <v>202101</v>
      </c>
      <c r="G5828" s="112" t="s">
        <v>1091</v>
      </c>
      <c r="H5828" s="112" t="s">
        <v>1016</v>
      </c>
      <c r="I5828" s="112" t="s">
        <v>779</v>
      </c>
      <c r="J5828" s="112" t="s">
        <v>4645</v>
      </c>
      <c r="K5828" s="112" t="s">
        <v>4790</v>
      </c>
      <c r="L5828" s="116">
        <v>-370.74</v>
      </c>
    </row>
    <row r="5829" spans="1:12" hidden="1" outlineLevel="1" collapsed="1" x14ac:dyDescent="0.35">
      <c r="A5829" s="112" t="s">
        <v>4632</v>
      </c>
      <c r="B5829" s="112" t="s">
        <v>4644</v>
      </c>
      <c r="C5829" s="112" t="s">
        <v>1758</v>
      </c>
      <c r="D5829" s="113">
        <v>51366070</v>
      </c>
      <c r="E5829" s="115">
        <v>43928</v>
      </c>
      <c r="F5829" s="114">
        <v>202101</v>
      </c>
      <c r="G5829" s="112" t="s">
        <v>1091</v>
      </c>
      <c r="H5829" s="112" t="s">
        <v>1016</v>
      </c>
      <c r="I5829" s="112" t="s">
        <v>779</v>
      </c>
      <c r="J5829" s="112" t="s">
        <v>4645</v>
      </c>
      <c r="K5829" s="112" t="s">
        <v>4791</v>
      </c>
      <c r="L5829" s="116">
        <v>20.51</v>
      </c>
    </row>
    <row r="5830" spans="1:12" hidden="1" outlineLevel="1" collapsed="1" x14ac:dyDescent="0.35">
      <c r="A5830" s="112" t="s">
        <v>4632</v>
      </c>
      <c r="B5830" s="112" t="s">
        <v>4639</v>
      </c>
      <c r="C5830" s="112" t="s">
        <v>1518</v>
      </c>
      <c r="D5830" s="113">
        <v>51365994</v>
      </c>
      <c r="E5830" s="115">
        <v>43928</v>
      </c>
      <c r="F5830" s="114">
        <v>202101</v>
      </c>
      <c r="G5830" s="112" t="s">
        <v>1091</v>
      </c>
      <c r="H5830" s="112" t="s">
        <v>1016</v>
      </c>
      <c r="I5830" s="112" t="s">
        <v>779</v>
      </c>
      <c r="J5830" s="112" t="s">
        <v>4640</v>
      </c>
      <c r="K5830" s="112" t="s">
        <v>4792</v>
      </c>
      <c r="L5830" s="116">
        <v>-2379.9299999999998</v>
      </c>
    </row>
    <row r="5831" spans="1:12" hidden="1" outlineLevel="1" collapsed="1" x14ac:dyDescent="0.35">
      <c r="A5831" s="112" t="s">
        <v>4632</v>
      </c>
      <c r="B5831" s="112" t="s">
        <v>4639</v>
      </c>
      <c r="C5831" s="112" t="s">
        <v>1518</v>
      </c>
      <c r="D5831" s="113">
        <v>51365995</v>
      </c>
      <c r="E5831" s="115">
        <v>43928</v>
      </c>
      <c r="F5831" s="114">
        <v>202101</v>
      </c>
      <c r="G5831" s="112" t="s">
        <v>1091</v>
      </c>
      <c r="H5831" s="112" t="s">
        <v>1016</v>
      </c>
      <c r="I5831" s="112" t="s">
        <v>779</v>
      </c>
      <c r="J5831" s="112" t="s">
        <v>4640</v>
      </c>
      <c r="K5831" s="112" t="s">
        <v>4793</v>
      </c>
      <c r="L5831" s="116">
        <v>-4684.2700000000004</v>
      </c>
    </row>
    <row r="5832" spans="1:12" hidden="1" outlineLevel="1" collapsed="1" x14ac:dyDescent="0.35">
      <c r="A5832" s="112" t="s">
        <v>4632</v>
      </c>
      <c r="B5832" s="112" t="s">
        <v>4644</v>
      </c>
      <c r="C5832" s="112" t="s">
        <v>1518</v>
      </c>
      <c r="D5832" s="113">
        <v>51366000</v>
      </c>
      <c r="E5832" s="115">
        <v>43928</v>
      </c>
      <c r="F5832" s="114">
        <v>202101</v>
      </c>
      <c r="G5832" s="112" t="s">
        <v>1091</v>
      </c>
      <c r="H5832" s="112" t="s">
        <v>1016</v>
      </c>
      <c r="I5832" s="112" t="s">
        <v>779</v>
      </c>
      <c r="J5832" s="112" t="s">
        <v>4645</v>
      </c>
      <c r="K5832" s="112" t="s">
        <v>4794</v>
      </c>
      <c r="L5832" s="116">
        <v>-504.53</v>
      </c>
    </row>
    <row r="5833" spans="1:12" hidden="1" outlineLevel="1" collapsed="1" x14ac:dyDescent="0.35">
      <c r="A5833" s="112" t="s">
        <v>4632</v>
      </c>
      <c r="B5833" s="112" t="s">
        <v>4644</v>
      </c>
      <c r="C5833" s="112" t="s">
        <v>1518</v>
      </c>
      <c r="D5833" s="113">
        <v>51366069</v>
      </c>
      <c r="E5833" s="115">
        <v>43928</v>
      </c>
      <c r="F5833" s="114">
        <v>202101</v>
      </c>
      <c r="G5833" s="112" t="s">
        <v>1091</v>
      </c>
      <c r="H5833" s="112" t="s">
        <v>1016</v>
      </c>
      <c r="I5833" s="112" t="s">
        <v>779</v>
      </c>
      <c r="J5833" s="112" t="s">
        <v>4645</v>
      </c>
      <c r="K5833" s="112" t="s">
        <v>4795</v>
      </c>
      <c r="L5833" s="116">
        <v>-52.41</v>
      </c>
    </row>
    <row r="5834" spans="1:12" hidden="1" outlineLevel="1" collapsed="1" x14ac:dyDescent="0.35">
      <c r="A5834" s="112" t="s">
        <v>4632</v>
      </c>
      <c r="B5834" s="112" t="s">
        <v>4644</v>
      </c>
      <c r="C5834" s="112" t="s">
        <v>1518</v>
      </c>
      <c r="D5834" s="113">
        <v>51366068</v>
      </c>
      <c r="E5834" s="115">
        <v>43928</v>
      </c>
      <c r="F5834" s="114">
        <v>202101</v>
      </c>
      <c r="G5834" s="112" t="s">
        <v>1091</v>
      </c>
      <c r="H5834" s="112" t="s">
        <v>1016</v>
      </c>
      <c r="I5834" s="112" t="s">
        <v>779</v>
      </c>
      <c r="J5834" s="112" t="s">
        <v>4645</v>
      </c>
      <c r="K5834" s="112" t="s">
        <v>4796</v>
      </c>
      <c r="L5834" s="116">
        <v>-8.99</v>
      </c>
    </row>
    <row r="5835" spans="1:12" hidden="1" outlineLevel="1" collapsed="1" x14ac:dyDescent="0.35">
      <c r="A5835" s="112" t="s">
        <v>4632</v>
      </c>
      <c r="B5835" s="112" t="s">
        <v>4644</v>
      </c>
      <c r="C5835" s="112" t="s">
        <v>1518</v>
      </c>
      <c r="D5835" s="113">
        <v>51366001</v>
      </c>
      <c r="E5835" s="115">
        <v>43928</v>
      </c>
      <c r="F5835" s="114">
        <v>202101</v>
      </c>
      <c r="G5835" s="112" t="s">
        <v>1091</v>
      </c>
      <c r="H5835" s="112" t="s">
        <v>1016</v>
      </c>
      <c r="I5835" s="112" t="s">
        <v>779</v>
      </c>
      <c r="J5835" s="112" t="s">
        <v>4645</v>
      </c>
      <c r="K5835" s="112" t="s">
        <v>4797</v>
      </c>
      <c r="L5835" s="116">
        <v>-331.38</v>
      </c>
    </row>
    <row r="5836" spans="1:12" hidden="1" outlineLevel="1" collapsed="1" x14ac:dyDescent="0.35">
      <c r="A5836" s="112" t="s">
        <v>4632</v>
      </c>
      <c r="B5836" s="112" t="s">
        <v>4644</v>
      </c>
      <c r="C5836" s="112" t="s">
        <v>1518</v>
      </c>
      <c r="D5836" s="113">
        <v>51365989</v>
      </c>
      <c r="E5836" s="115">
        <v>43928</v>
      </c>
      <c r="F5836" s="114">
        <v>202101</v>
      </c>
      <c r="G5836" s="112" t="s">
        <v>1091</v>
      </c>
      <c r="H5836" s="112" t="s">
        <v>1016</v>
      </c>
      <c r="I5836" s="112" t="s">
        <v>779</v>
      </c>
      <c r="J5836" s="112" t="s">
        <v>4645</v>
      </c>
      <c r="K5836" s="112" t="s">
        <v>4798</v>
      </c>
      <c r="L5836" s="116">
        <v>-1014.81</v>
      </c>
    </row>
    <row r="5837" spans="1:12" hidden="1" outlineLevel="1" collapsed="1" x14ac:dyDescent="0.35">
      <c r="A5837" s="112" t="s">
        <v>4632</v>
      </c>
      <c r="B5837" s="112" t="s">
        <v>4644</v>
      </c>
      <c r="C5837" s="112" t="s">
        <v>1518</v>
      </c>
      <c r="D5837" s="113">
        <v>51366002</v>
      </c>
      <c r="E5837" s="115">
        <v>43928</v>
      </c>
      <c r="F5837" s="114">
        <v>202101</v>
      </c>
      <c r="G5837" s="112" t="s">
        <v>1091</v>
      </c>
      <c r="H5837" s="112" t="s">
        <v>1016</v>
      </c>
      <c r="I5837" s="112" t="s">
        <v>779</v>
      </c>
      <c r="J5837" s="112" t="s">
        <v>4645</v>
      </c>
      <c r="K5837" s="112" t="s">
        <v>4799</v>
      </c>
      <c r="L5837" s="116">
        <v>-370.13</v>
      </c>
    </row>
    <row r="5838" spans="1:12" hidden="1" outlineLevel="1" collapsed="1" x14ac:dyDescent="0.35">
      <c r="A5838" s="112" t="s">
        <v>4632</v>
      </c>
      <c r="B5838" s="112" t="s">
        <v>4644</v>
      </c>
      <c r="C5838" s="112" t="s">
        <v>1518</v>
      </c>
      <c r="D5838" s="113">
        <v>51365988</v>
      </c>
      <c r="E5838" s="115">
        <v>43928</v>
      </c>
      <c r="F5838" s="114">
        <v>202101</v>
      </c>
      <c r="G5838" s="112" t="s">
        <v>1091</v>
      </c>
      <c r="H5838" s="112" t="s">
        <v>1016</v>
      </c>
      <c r="I5838" s="112" t="s">
        <v>779</v>
      </c>
      <c r="J5838" s="112" t="s">
        <v>4645</v>
      </c>
      <c r="K5838" s="112" t="s">
        <v>4800</v>
      </c>
      <c r="L5838" s="116">
        <v>-64.55</v>
      </c>
    </row>
    <row r="5839" spans="1:12" hidden="1" outlineLevel="1" collapsed="1" x14ac:dyDescent="0.35">
      <c r="A5839" s="112" t="s">
        <v>4632</v>
      </c>
      <c r="B5839" s="112" t="s">
        <v>4644</v>
      </c>
      <c r="C5839" s="112" t="s">
        <v>1518</v>
      </c>
      <c r="D5839" s="113">
        <v>51366003</v>
      </c>
      <c r="E5839" s="115">
        <v>43928</v>
      </c>
      <c r="F5839" s="114">
        <v>202101</v>
      </c>
      <c r="G5839" s="112" t="s">
        <v>1091</v>
      </c>
      <c r="H5839" s="112" t="s">
        <v>1016</v>
      </c>
      <c r="I5839" s="112" t="s">
        <v>779</v>
      </c>
      <c r="J5839" s="112" t="s">
        <v>4645</v>
      </c>
      <c r="K5839" s="112" t="s">
        <v>4801</v>
      </c>
      <c r="L5839" s="116">
        <v>-1083.1500000000001</v>
      </c>
    </row>
    <row r="5840" spans="1:12" hidden="1" outlineLevel="1" collapsed="1" x14ac:dyDescent="0.35">
      <c r="A5840" s="112" t="s">
        <v>4632</v>
      </c>
      <c r="B5840" s="112" t="s">
        <v>4644</v>
      </c>
      <c r="C5840" s="112" t="s">
        <v>1518</v>
      </c>
      <c r="D5840" s="113">
        <v>51366019</v>
      </c>
      <c r="E5840" s="115">
        <v>43928</v>
      </c>
      <c r="F5840" s="114">
        <v>202101</v>
      </c>
      <c r="G5840" s="112" t="s">
        <v>1091</v>
      </c>
      <c r="H5840" s="112" t="s">
        <v>1016</v>
      </c>
      <c r="I5840" s="112" t="s">
        <v>779</v>
      </c>
      <c r="J5840" s="112" t="s">
        <v>4645</v>
      </c>
      <c r="K5840" s="112" t="s">
        <v>4802</v>
      </c>
      <c r="L5840" s="116">
        <v>-231.53</v>
      </c>
    </row>
    <row r="5841" spans="1:12" hidden="1" outlineLevel="1" collapsed="1" x14ac:dyDescent="0.35">
      <c r="A5841" s="112" t="s">
        <v>4632</v>
      </c>
      <c r="B5841" s="112" t="s">
        <v>4644</v>
      </c>
      <c r="C5841" s="112" t="s">
        <v>695</v>
      </c>
      <c r="D5841" s="113">
        <v>10348098</v>
      </c>
      <c r="E5841" s="115">
        <v>43929</v>
      </c>
      <c r="F5841" s="114">
        <v>202101</v>
      </c>
      <c r="G5841" s="112" t="s">
        <v>1091</v>
      </c>
      <c r="H5841" s="112" t="s">
        <v>1015</v>
      </c>
      <c r="I5841" s="112" t="s">
        <v>757</v>
      </c>
      <c r="J5841" s="112" t="s">
        <v>4645</v>
      </c>
      <c r="K5841" s="112" t="s">
        <v>4803</v>
      </c>
      <c r="L5841" s="116">
        <v>1083.1500000000001</v>
      </c>
    </row>
    <row r="5842" spans="1:12" hidden="1" outlineLevel="1" collapsed="1" x14ac:dyDescent="0.35">
      <c r="A5842" s="112" t="s">
        <v>4632</v>
      </c>
      <c r="B5842" s="112" t="s">
        <v>4644</v>
      </c>
      <c r="C5842" s="112" t="s">
        <v>1518</v>
      </c>
      <c r="D5842" s="113">
        <v>51366021</v>
      </c>
      <c r="E5842" s="115">
        <v>43928</v>
      </c>
      <c r="F5842" s="114">
        <v>202101</v>
      </c>
      <c r="G5842" s="112" t="s">
        <v>1091</v>
      </c>
      <c r="H5842" s="112" t="s">
        <v>1016</v>
      </c>
      <c r="I5842" s="112" t="s">
        <v>779</v>
      </c>
      <c r="J5842" s="112" t="s">
        <v>4645</v>
      </c>
      <c r="K5842" s="112" t="s">
        <v>4804</v>
      </c>
      <c r="L5842" s="116">
        <v>-29.62</v>
      </c>
    </row>
    <row r="5843" spans="1:12" hidden="1" outlineLevel="1" collapsed="1" x14ac:dyDescent="0.35">
      <c r="A5843" s="112" t="s">
        <v>4632</v>
      </c>
      <c r="B5843" s="112" t="s">
        <v>4650</v>
      </c>
      <c r="C5843" s="112" t="s">
        <v>1758</v>
      </c>
      <c r="D5843" s="113">
        <v>51365999</v>
      </c>
      <c r="E5843" s="115">
        <v>43928</v>
      </c>
      <c r="F5843" s="114">
        <v>202101</v>
      </c>
      <c r="G5843" s="112" t="s">
        <v>1091</v>
      </c>
      <c r="H5843" s="112" t="s">
        <v>1016</v>
      </c>
      <c r="I5843" s="112" t="s">
        <v>779</v>
      </c>
      <c r="J5843" s="112" t="s">
        <v>4651</v>
      </c>
      <c r="K5843" s="112" t="s">
        <v>4805</v>
      </c>
      <c r="L5843" s="116">
        <v>57.14</v>
      </c>
    </row>
    <row r="5844" spans="1:12" hidden="1" outlineLevel="1" collapsed="1" x14ac:dyDescent="0.35">
      <c r="A5844" s="112" t="s">
        <v>4632</v>
      </c>
      <c r="B5844" s="112" t="s">
        <v>4650</v>
      </c>
      <c r="C5844" s="112" t="s">
        <v>1518</v>
      </c>
      <c r="D5844" s="113">
        <v>51366029</v>
      </c>
      <c r="E5844" s="115">
        <v>43928</v>
      </c>
      <c r="F5844" s="114">
        <v>202101</v>
      </c>
      <c r="G5844" s="112" t="s">
        <v>1091</v>
      </c>
      <c r="H5844" s="112" t="s">
        <v>1016</v>
      </c>
      <c r="I5844" s="112" t="s">
        <v>779</v>
      </c>
      <c r="J5844" s="112" t="s">
        <v>4651</v>
      </c>
      <c r="K5844" s="112" t="s">
        <v>4806</v>
      </c>
      <c r="L5844" s="116">
        <v>-91.16</v>
      </c>
    </row>
    <row r="5845" spans="1:12" hidden="1" outlineLevel="1" collapsed="1" x14ac:dyDescent="0.35">
      <c r="A5845" s="112" t="s">
        <v>4632</v>
      </c>
      <c r="B5845" s="112" t="s">
        <v>4650</v>
      </c>
      <c r="C5845" s="112" t="s">
        <v>1518</v>
      </c>
      <c r="D5845" s="113">
        <v>51366053</v>
      </c>
      <c r="E5845" s="115">
        <v>43928</v>
      </c>
      <c r="F5845" s="114">
        <v>202101</v>
      </c>
      <c r="G5845" s="112" t="s">
        <v>1091</v>
      </c>
      <c r="H5845" s="112" t="s">
        <v>1016</v>
      </c>
      <c r="I5845" s="112" t="s">
        <v>779</v>
      </c>
      <c r="J5845" s="112" t="s">
        <v>4651</v>
      </c>
      <c r="K5845" s="112" t="s">
        <v>4807</v>
      </c>
      <c r="L5845" s="116">
        <v>-190.11</v>
      </c>
    </row>
    <row r="5846" spans="1:12" hidden="1" outlineLevel="1" collapsed="1" x14ac:dyDescent="0.35">
      <c r="A5846" s="112" t="s">
        <v>4632</v>
      </c>
      <c r="B5846" s="112" t="s">
        <v>4650</v>
      </c>
      <c r="C5846" s="112" t="s">
        <v>1518</v>
      </c>
      <c r="D5846" s="113">
        <v>51366028</v>
      </c>
      <c r="E5846" s="115">
        <v>43928</v>
      </c>
      <c r="F5846" s="114">
        <v>202101</v>
      </c>
      <c r="G5846" s="112" t="s">
        <v>1091</v>
      </c>
      <c r="H5846" s="112" t="s">
        <v>1016</v>
      </c>
      <c r="I5846" s="112" t="s">
        <v>779</v>
      </c>
      <c r="J5846" s="112" t="s">
        <v>4651</v>
      </c>
      <c r="K5846" s="112" t="s">
        <v>4808</v>
      </c>
      <c r="L5846" s="116">
        <v>-145.91</v>
      </c>
    </row>
    <row r="5847" spans="1:12" hidden="1" outlineLevel="1" collapsed="1" x14ac:dyDescent="0.35">
      <c r="A5847" s="112" t="s">
        <v>4632</v>
      </c>
      <c r="B5847" s="112" t="s">
        <v>4650</v>
      </c>
      <c r="C5847" s="112" t="s">
        <v>1518</v>
      </c>
      <c r="D5847" s="113">
        <v>51366054</v>
      </c>
      <c r="E5847" s="115">
        <v>43928</v>
      </c>
      <c r="F5847" s="114">
        <v>202101</v>
      </c>
      <c r="G5847" s="112" t="s">
        <v>1091</v>
      </c>
      <c r="H5847" s="112" t="s">
        <v>1016</v>
      </c>
      <c r="I5847" s="112" t="s">
        <v>779</v>
      </c>
      <c r="J5847" s="112" t="s">
        <v>4651</v>
      </c>
      <c r="K5847" s="112" t="s">
        <v>4809</v>
      </c>
      <c r="L5847" s="116">
        <v>-41.42</v>
      </c>
    </row>
    <row r="5848" spans="1:12" hidden="1" outlineLevel="1" collapsed="1" x14ac:dyDescent="0.35">
      <c r="A5848" s="112" t="s">
        <v>4632</v>
      </c>
      <c r="B5848" s="112" t="s">
        <v>4650</v>
      </c>
      <c r="C5848" s="112" t="s">
        <v>1518</v>
      </c>
      <c r="D5848" s="113">
        <v>51366027</v>
      </c>
      <c r="E5848" s="115">
        <v>43928</v>
      </c>
      <c r="F5848" s="114">
        <v>202101</v>
      </c>
      <c r="G5848" s="112" t="s">
        <v>1091</v>
      </c>
      <c r="H5848" s="112" t="s">
        <v>1016</v>
      </c>
      <c r="I5848" s="112" t="s">
        <v>779</v>
      </c>
      <c r="J5848" s="112" t="s">
        <v>4651</v>
      </c>
      <c r="K5848" s="112" t="s">
        <v>4810</v>
      </c>
      <c r="L5848" s="116">
        <v>-53.06</v>
      </c>
    </row>
    <row r="5849" spans="1:12" hidden="1" outlineLevel="1" collapsed="1" x14ac:dyDescent="0.35">
      <c r="A5849" s="112" t="s">
        <v>4632</v>
      </c>
      <c r="B5849" s="112" t="s">
        <v>4650</v>
      </c>
      <c r="C5849" s="112" t="s">
        <v>1518</v>
      </c>
      <c r="D5849" s="113">
        <v>51366055</v>
      </c>
      <c r="E5849" s="115">
        <v>43928</v>
      </c>
      <c r="F5849" s="114">
        <v>202101</v>
      </c>
      <c r="G5849" s="112" t="s">
        <v>1091</v>
      </c>
      <c r="H5849" s="112" t="s">
        <v>1016</v>
      </c>
      <c r="I5849" s="112" t="s">
        <v>779</v>
      </c>
      <c r="J5849" s="112" t="s">
        <v>4651</v>
      </c>
      <c r="K5849" s="112" t="s">
        <v>4811</v>
      </c>
      <c r="L5849" s="116">
        <v>-190.75</v>
      </c>
    </row>
    <row r="5850" spans="1:12" hidden="1" outlineLevel="1" collapsed="1" x14ac:dyDescent="0.35">
      <c r="A5850" s="112" t="s">
        <v>4632</v>
      </c>
      <c r="B5850" s="112" t="s">
        <v>4650</v>
      </c>
      <c r="C5850" s="112" t="s">
        <v>1518</v>
      </c>
      <c r="D5850" s="113">
        <v>51366056</v>
      </c>
      <c r="E5850" s="115">
        <v>43928</v>
      </c>
      <c r="F5850" s="114">
        <v>202101</v>
      </c>
      <c r="G5850" s="112" t="s">
        <v>1091</v>
      </c>
      <c r="H5850" s="112" t="s">
        <v>1016</v>
      </c>
      <c r="I5850" s="112" t="s">
        <v>779</v>
      </c>
      <c r="J5850" s="112" t="s">
        <v>4651</v>
      </c>
      <c r="K5850" s="112" t="s">
        <v>4812</v>
      </c>
      <c r="L5850" s="116">
        <v>-603.76</v>
      </c>
    </row>
    <row r="5851" spans="1:12" hidden="1" outlineLevel="1" collapsed="1" x14ac:dyDescent="0.35">
      <c r="A5851" s="112" t="s">
        <v>4632</v>
      </c>
      <c r="B5851" s="112" t="s">
        <v>4650</v>
      </c>
      <c r="C5851" s="112" t="s">
        <v>1518</v>
      </c>
      <c r="D5851" s="113">
        <v>51366062</v>
      </c>
      <c r="E5851" s="115">
        <v>43928</v>
      </c>
      <c r="F5851" s="114">
        <v>202101</v>
      </c>
      <c r="G5851" s="112" t="s">
        <v>1091</v>
      </c>
      <c r="H5851" s="112" t="s">
        <v>1016</v>
      </c>
      <c r="I5851" s="112" t="s">
        <v>779</v>
      </c>
      <c r="J5851" s="112" t="s">
        <v>4651</v>
      </c>
      <c r="K5851" s="112" t="s">
        <v>4813</v>
      </c>
      <c r="L5851" s="116">
        <v>-182.68</v>
      </c>
    </row>
    <row r="5852" spans="1:12" hidden="1" outlineLevel="1" collapsed="1" x14ac:dyDescent="0.35">
      <c r="A5852" s="112" t="s">
        <v>4632</v>
      </c>
      <c r="B5852" s="112" t="s">
        <v>4650</v>
      </c>
      <c r="C5852" s="112" t="s">
        <v>1518</v>
      </c>
      <c r="D5852" s="113">
        <v>51366018</v>
      </c>
      <c r="E5852" s="115">
        <v>43928</v>
      </c>
      <c r="F5852" s="114">
        <v>202101</v>
      </c>
      <c r="G5852" s="112" t="s">
        <v>1091</v>
      </c>
      <c r="H5852" s="112" t="s">
        <v>1016</v>
      </c>
      <c r="I5852" s="112" t="s">
        <v>779</v>
      </c>
      <c r="J5852" s="112" t="s">
        <v>4651</v>
      </c>
      <c r="K5852" s="112" t="s">
        <v>4814</v>
      </c>
      <c r="L5852" s="116">
        <v>-124.52</v>
      </c>
    </row>
    <row r="5853" spans="1:12" hidden="1" outlineLevel="1" collapsed="1" x14ac:dyDescent="0.35">
      <c r="A5853" s="112" t="s">
        <v>4632</v>
      </c>
      <c r="B5853" s="112" t="s">
        <v>4650</v>
      </c>
      <c r="C5853" s="112" t="s">
        <v>1518</v>
      </c>
      <c r="D5853" s="113">
        <v>51366023</v>
      </c>
      <c r="E5853" s="115">
        <v>43928</v>
      </c>
      <c r="F5853" s="114">
        <v>202101</v>
      </c>
      <c r="G5853" s="112" t="s">
        <v>1091</v>
      </c>
      <c r="H5853" s="112" t="s">
        <v>1016</v>
      </c>
      <c r="I5853" s="112" t="s">
        <v>779</v>
      </c>
      <c r="J5853" s="112" t="s">
        <v>4651</v>
      </c>
      <c r="K5853" s="112" t="s">
        <v>4815</v>
      </c>
      <c r="L5853" s="116">
        <v>-41.22</v>
      </c>
    </row>
    <row r="5854" spans="1:12" hidden="1" outlineLevel="1" collapsed="1" x14ac:dyDescent="0.35">
      <c r="A5854" s="112" t="s">
        <v>4632</v>
      </c>
      <c r="B5854" s="112" t="s">
        <v>4650</v>
      </c>
      <c r="C5854" s="112" t="s">
        <v>1518</v>
      </c>
      <c r="D5854" s="113">
        <v>51366060</v>
      </c>
      <c r="E5854" s="115">
        <v>43928</v>
      </c>
      <c r="F5854" s="114">
        <v>202101</v>
      </c>
      <c r="G5854" s="112" t="s">
        <v>1091</v>
      </c>
      <c r="H5854" s="112" t="s">
        <v>1016</v>
      </c>
      <c r="I5854" s="112" t="s">
        <v>779</v>
      </c>
      <c r="J5854" s="112" t="s">
        <v>4651</v>
      </c>
      <c r="K5854" s="112" t="s">
        <v>4816</v>
      </c>
      <c r="L5854" s="116">
        <v>-40.159999999999997</v>
      </c>
    </row>
    <row r="5855" spans="1:12" hidden="1" outlineLevel="1" collapsed="1" x14ac:dyDescent="0.35">
      <c r="A5855" s="112" t="s">
        <v>4632</v>
      </c>
      <c r="B5855" s="112" t="s">
        <v>4650</v>
      </c>
      <c r="C5855" s="112" t="s">
        <v>1758</v>
      </c>
      <c r="D5855" s="113">
        <v>51366059</v>
      </c>
      <c r="E5855" s="115">
        <v>43928</v>
      </c>
      <c r="F5855" s="114">
        <v>202101</v>
      </c>
      <c r="G5855" s="112" t="s">
        <v>1091</v>
      </c>
      <c r="H5855" s="112" t="s">
        <v>1016</v>
      </c>
      <c r="I5855" s="112" t="s">
        <v>779</v>
      </c>
      <c r="J5855" s="112" t="s">
        <v>4651</v>
      </c>
      <c r="K5855" s="112" t="s">
        <v>4810</v>
      </c>
      <c r="L5855" s="116">
        <v>85.45</v>
      </c>
    </row>
    <row r="5856" spans="1:12" hidden="1" outlineLevel="1" collapsed="1" x14ac:dyDescent="0.35">
      <c r="A5856" s="112" t="s">
        <v>4632</v>
      </c>
      <c r="B5856" s="112" t="s">
        <v>4650</v>
      </c>
      <c r="C5856" s="112" t="s">
        <v>1518</v>
      </c>
      <c r="D5856" s="113">
        <v>51366024</v>
      </c>
      <c r="E5856" s="115">
        <v>43928</v>
      </c>
      <c r="F5856" s="114">
        <v>202101</v>
      </c>
      <c r="G5856" s="112" t="s">
        <v>1091</v>
      </c>
      <c r="H5856" s="112" t="s">
        <v>1016</v>
      </c>
      <c r="I5856" s="112" t="s">
        <v>779</v>
      </c>
      <c r="J5856" s="112" t="s">
        <v>4651</v>
      </c>
      <c r="K5856" s="112" t="s">
        <v>4817</v>
      </c>
      <c r="L5856" s="116">
        <v>-53.2</v>
      </c>
    </row>
    <row r="5857" spans="1:12" hidden="1" outlineLevel="1" collapsed="1" x14ac:dyDescent="0.35">
      <c r="A5857" s="112" t="s">
        <v>4632</v>
      </c>
      <c r="B5857" s="112" t="s">
        <v>4650</v>
      </c>
      <c r="C5857" s="112" t="s">
        <v>1518</v>
      </c>
      <c r="D5857" s="113">
        <v>51366058</v>
      </c>
      <c r="E5857" s="115">
        <v>43928</v>
      </c>
      <c r="F5857" s="114">
        <v>202101</v>
      </c>
      <c r="G5857" s="112" t="s">
        <v>1091</v>
      </c>
      <c r="H5857" s="112" t="s">
        <v>1016</v>
      </c>
      <c r="I5857" s="112" t="s">
        <v>779</v>
      </c>
      <c r="J5857" s="112" t="s">
        <v>4651</v>
      </c>
      <c r="K5857" s="112" t="s">
        <v>4818</v>
      </c>
      <c r="L5857" s="116">
        <v>-3858.36</v>
      </c>
    </row>
    <row r="5858" spans="1:12" hidden="1" outlineLevel="1" collapsed="1" x14ac:dyDescent="0.35">
      <c r="A5858" s="112" t="s">
        <v>4632</v>
      </c>
      <c r="B5858" s="112" t="s">
        <v>4650</v>
      </c>
      <c r="C5858" s="112" t="s">
        <v>1518</v>
      </c>
      <c r="D5858" s="113">
        <v>51366057</v>
      </c>
      <c r="E5858" s="115">
        <v>43928</v>
      </c>
      <c r="F5858" s="114">
        <v>202101</v>
      </c>
      <c r="G5858" s="112" t="s">
        <v>1091</v>
      </c>
      <c r="H5858" s="112" t="s">
        <v>1016</v>
      </c>
      <c r="I5858" s="112" t="s">
        <v>779</v>
      </c>
      <c r="J5858" s="112" t="s">
        <v>4651</v>
      </c>
      <c r="K5858" s="112" t="s">
        <v>4819</v>
      </c>
      <c r="L5858" s="116">
        <v>-79.87</v>
      </c>
    </row>
    <row r="5859" spans="1:12" hidden="1" outlineLevel="1" collapsed="1" x14ac:dyDescent="0.35">
      <c r="A5859" s="112" t="s">
        <v>4632</v>
      </c>
      <c r="B5859" s="112" t="s">
        <v>4650</v>
      </c>
      <c r="C5859" s="112" t="s">
        <v>1518</v>
      </c>
      <c r="D5859" s="113">
        <v>51365987</v>
      </c>
      <c r="E5859" s="115">
        <v>43928</v>
      </c>
      <c r="F5859" s="114">
        <v>202101</v>
      </c>
      <c r="G5859" s="112" t="s">
        <v>1091</v>
      </c>
      <c r="H5859" s="112" t="s">
        <v>1016</v>
      </c>
      <c r="I5859" s="112" t="s">
        <v>779</v>
      </c>
      <c r="J5859" s="112" t="s">
        <v>4651</v>
      </c>
      <c r="K5859" s="112" t="s">
        <v>4820</v>
      </c>
      <c r="L5859" s="116">
        <v>-64.42</v>
      </c>
    </row>
    <row r="5860" spans="1:12" hidden="1" outlineLevel="1" collapsed="1" x14ac:dyDescent="0.35">
      <c r="A5860" s="112" t="s">
        <v>4632</v>
      </c>
      <c r="B5860" s="112" t="s">
        <v>863</v>
      </c>
      <c r="C5860" s="112" t="s">
        <v>1518</v>
      </c>
      <c r="D5860" s="113">
        <v>51366067</v>
      </c>
      <c r="E5860" s="115">
        <v>43928</v>
      </c>
      <c r="F5860" s="114">
        <v>202101</v>
      </c>
      <c r="G5860" s="112" t="s">
        <v>1091</v>
      </c>
      <c r="H5860" s="112" t="s">
        <v>1016</v>
      </c>
      <c r="I5860" s="112" t="s">
        <v>779</v>
      </c>
      <c r="J5860" s="112" t="s">
        <v>856</v>
      </c>
      <c r="K5860" s="112" t="s">
        <v>4821</v>
      </c>
      <c r="L5860" s="116">
        <v>-473.92</v>
      </c>
    </row>
    <row r="5861" spans="1:12" hidden="1" outlineLevel="1" collapsed="1" x14ac:dyDescent="0.35">
      <c r="A5861" s="112" t="s">
        <v>4632</v>
      </c>
      <c r="B5861" s="112" t="s">
        <v>4650</v>
      </c>
      <c r="C5861" s="112" t="s">
        <v>1758</v>
      </c>
      <c r="D5861" s="113">
        <v>51366025</v>
      </c>
      <c r="E5861" s="115">
        <v>43928</v>
      </c>
      <c r="F5861" s="114">
        <v>202101</v>
      </c>
      <c r="G5861" s="112" t="s">
        <v>1091</v>
      </c>
      <c r="H5861" s="112" t="s">
        <v>1016</v>
      </c>
      <c r="I5861" s="112" t="s">
        <v>779</v>
      </c>
      <c r="J5861" s="112" t="s">
        <v>4651</v>
      </c>
      <c r="K5861" s="112" t="s">
        <v>4817</v>
      </c>
      <c r="L5861" s="116">
        <v>85.45</v>
      </c>
    </row>
    <row r="5862" spans="1:12" hidden="1" outlineLevel="1" collapsed="1" x14ac:dyDescent="0.35">
      <c r="A5862" s="112" t="s">
        <v>4632</v>
      </c>
      <c r="B5862" s="112" t="s">
        <v>4650</v>
      </c>
      <c r="C5862" s="112" t="s">
        <v>1518</v>
      </c>
      <c r="D5862" s="113">
        <v>51366026</v>
      </c>
      <c r="E5862" s="115">
        <v>43928</v>
      </c>
      <c r="F5862" s="114">
        <v>202101</v>
      </c>
      <c r="G5862" s="112" t="s">
        <v>1091</v>
      </c>
      <c r="H5862" s="112" t="s">
        <v>1016</v>
      </c>
      <c r="I5862" s="112" t="s">
        <v>779</v>
      </c>
      <c r="J5862" s="112" t="s">
        <v>4651</v>
      </c>
      <c r="K5862" s="112" t="s">
        <v>4822</v>
      </c>
      <c r="L5862" s="116">
        <v>-965.97</v>
      </c>
    </row>
    <row r="5863" spans="1:12" hidden="1" outlineLevel="1" collapsed="1" x14ac:dyDescent="0.35">
      <c r="A5863" s="112" t="s">
        <v>4632</v>
      </c>
      <c r="B5863" s="112" t="s">
        <v>863</v>
      </c>
      <c r="C5863" s="112" t="s">
        <v>1518</v>
      </c>
      <c r="D5863" s="113">
        <v>51366061</v>
      </c>
      <c r="E5863" s="115">
        <v>43928</v>
      </c>
      <c r="F5863" s="114">
        <v>202101</v>
      </c>
      <c r="G5863" s="112" t="s">
        <v>1091</v>
      </c>
      <c r="H5863" s="112" t="s">
        <v>1016</v>
      </c>
      <c r="I5863" s="112" t="s">
        <v>779</v>
      </c>
      <c r="J5863" s="112" t="s">
        <v>808</v>
      </c>
      <c r="K5863" s="112" t="s">
        <v>4823</v>
      </c>
      <c r="L5863" s="116">
        <v>-2570.12</v>
      </c>
    </row>
    <row r="5864" spans="1:12" hidden="1" outlineLevel="1" collapsed="1" x14ac:dyDescent="0.35">
      <c r="A5864" s="112" t="s">
        <v>4632</v>
      </c>
      <c r="B5864" s="112" t="s">
        <v>863</v>
      </c>
      <c r="C5864" s="112" t="s">
        <v>1518</v>
      </c>
      <c r="D5864" s="113">
        <v>51366031</v>
      </c>
      <c r="E5864" s="115">
        <v>43928</v>
      </c>
      <c r="F5864" s="114">
        <v>202101</v>
      </c>
      <c r="G5864" s="112" t="s">
        <v>1091</v>
      </c>
      <c r="H5864" s="112" t="s">
        <v>1016</v>
      </c>
      <c r="I5864" s="112" t="s">
        <v>779</v>
      </c>
      <c r="J5864" s="112" t="s">
        <v>787</v>
      </c>
      <c r="K5864" s="112" t="s">
        <v>4824</v>
      </c>
      <c r="L5864" s="116">
        <v>-1786.33</v>
      </c>
    </row>
    <row r="5865" spans="1:12" hidden="1" outlineLevel="1" collapsed="1" x14ac:dyDescent="0.35">
      <c r="A5865" s="112" t="s">
        <v>4632</v>
      </c>
      <c r="B5865" s="112" t="s">
        <v>863</v>
      </c>
      <c r="C5865" s="112" t="s">
        <v>1518</v>
      </c>
      <c r="D5865" s="113">
        <v>51366063</v>
      </c>
      <c r="E5865" s="115">
        <v>43928</v>
      </c>
      <c r="F5865" s="114">
        <v>202101</v>
      </c>
      <c r="G5865" s="112" t="s">
        <v>1091</v>
      </c>
      <c r="H5865" s="112" t="s">
        <v>1016</v>
      </c>
      <c r="I5865" s="112" t="s">
        <v>779</v>
      </c>
      <c r="J5865" s="112" t="s">
        <v>787</v>
      </c>
      <c r="K5865" s="112" t="s">
        <v>4825</v>
      </c>
      <c r="L5865" s="116">
        <v>-719.03</v>
      </c>
    </row>
    <row r="5866" spans="1:12" hidden="1" outlineLevel="1" collapsed="1" x14ac:dyDescent="0.35">
      <c r="A5866" s="112" t="s">
        <v>4632</v>
      </c>
      <c r="B5866" s="112" t="s">
        <v>4644</v>
      </c>
      <c r="C5866" s="112" t="s">
        <v>695</v>
      </c>
      <c r="D5866" s="113">
        <v>10348098</v>
      </c>
      <c r="E5866" s="115">
        <v>43929</v>
      </c>
      <c r="F5866" s="114">
        <v>202101</v>
      </c>
      <c r="G5866" s="112" t="s">
        <v>1091</v>
      </c>
      <c r="H5866" s="112" t="s">
        <v>1015</v>
      </c>
      <c r="I5866" s="112" t="s">
        <v>751</v>
      </c>
      <c r="J5866" s="112" t="s">
        <v>4645</v>
      </c>
      <c r="K5866" s="112" t="s">
        <v>4826</v>
      </c>
      <c r="L5866" s="116">
        <v>337.34</v>
      </c>
    </row>
    <row r="5867" spans="1:12" hidden="1" outlineLevel="1" collapsed="1" x14ac:dyDescent="0.35">
      <c r="A5867" s="112" t="s">
        <v>4632</v>
      </c>
      <c r="B5867" s="112" t="s">
        <v>863</v>
      </c>
      <c r="C5867" s="112" t="s">
        <v>1518</v>
      </c>
      <c r="D5867" s="113">
        <v>51366022</v>
      </c>
      <c r="E5867" s="115">
        <v>43928</v>
      </c>
      <c r="F5867" s="114">
        <v>202101</v>
      </c>
      <c r="G5867" s="112" t="s">
        <v>1091</v>
      </c>
      <c r="H5867" s="112" t="s">
        <v>1016</v>
      </c>
      <c r="I5867" s="112" t="s">
        <v>779</v>
      </c>
      <c r="J5867" s="112" t="s">
        <v>854</v>
      </c>
      <c r="K5867" s="112" t="s">
        <v>4827</v>
      </c>
      <c r="L5867" s="116">
        <v>-337.35</v>
      </c>
    </row>
    <row r="5868" spans="1:12" hidden="1" outlineLevel="1" collapsed="1" x14ac:dyDescent="0.35">
      <c r="A5868" s="112" t="s">
        <v>4632</v>
      </c>
      <c r="B5868" s="112" t="s">
        <v>4650</v>
      </c>
      <c r="C5868" s="112" t="s">
        <v>1518</v>
      </c>
      <c r="D5868" s="113">
        <v>51366008</v>
      </c>
      <c r="E5868" s="115">
        <v>43928</v>
      </c>
      <c r="F5868" s="114">
        <v>202101</v>
      </c>
      <c r="G5868" s="112" t="s">
        <v>1091</v>
      </c>
      <c r="H5868" s="112" t="s">
        <v>1016</v>
      </c>
      <c r="I5868" s="112" t="s">
        <v>779</v>
      </c>
      <c r="J5868" s="112" t="s">
        <v>4651</v>
      </c>
      <c r="K5868" s="112" t="s">
        <v>4828</v>
      </c>
      <c r="L5868" s="116">
        <v>-38.32</v>
      </c>
    </row>
    <row r="5869" spans="1:12" hidden="1" outlineLevel="1" collapsed="1" x14ac:dyDescent="0.35">
      <c r="A5869" s="112" t="s">
        <v>4632</v>
      </c>
      <c r="B5869" s="112" t="s">
        <v>4639</v>
      </c>
      <c r="C5869" s="112" t="s">
        <v>1758</v>
      </c>
      <c r="D5869" s="113">
        <v>51366043</v>
      </c>
      <c r="E5869" s="115">
        <v>43928</v>
      </c>
      <c r="F5869" s="114">
        <v>202101</v>
      </c>
      <c r="G5869" s="112" t="s">
        <v>1091</v>
      </c>
      <c r="H5869" s="112" t="s">
        <v>1016</v>
      </c>
      <c r="I5869" s="112" t="s">
        <v>779</v>
      </c>
      <c r="J5869" s="112" t="s">
        <v>4640</v>
      </c>
      <c r="K5869" s="112" t="s">
        <v>4829</v>
      </c>
      <c r="L5869" s="116">
        <v>18.61</v>
      </c>
    </row>
    <row r="5870" spans="1:12" hidden="1" outlineLevel="1" collapsed="1" x14ac:dyDescent="0.35">
      <c r="A5870" s="112" t="s">
        <v>4632</v>
      </c>
      <c r="B5870" s="112" t="s">
        <v>4650</v>
      </c>
      <c r="C5870" s="112" t="s">
        <v>695</v>
      </c>
      <c r="D5870" s="113">
        <v>10348098</v>
      </c>
      <c r="E5870" s="115">
        <v>43929</v>
      </c>
      <c r="F5870" s="114">
        <v>202101</v>
      </c>
      <c r="G5870" s="112" t="s">
        <v>1091</v>
      </c>
      <c r="H5870" s="112" t="s">
        <v>1015</v>
      </c>
      <c r="I5870" s="112" t="s">
        <v>749</v>
      </c>
      <c r="J5870" s="112" t="s">
        <v>4651</v>
      </c>
      <c r="K5870" s="112" t="s">
        <v>4830</v>
      </c>
      <c r="L5870" s="116">
        <v>18.13</v>
      </c>
    </row>
    <row r="5871" spans="1:12" hidden="1" outlineLevel="1" collapsed="1" x14ac:dyDescent="0.35">
      <c r="A5871" s="112" t="s">
        <v>4632</v>
      </c>
      <c r="B5871" s="112" t="s">
        <v>4639</v>
      </c>
      <c r="C5871" s="112" t="s">
        <v>695</v>
      </c>
      <c r="D5871" s="113">
        <v>10348098</v>
      </c>
      <c r="E5871" s="115">
        <v>43929</v>
      </c>
      <c r="F5871" s="114">
        <v>202101</v>
      </c>
      <c r="G5871" s="112" t="s">
        <v>1091</v>
      </c>
      <c r="H5871" s="112" t="s">
        <v>1015</v>
      </c>
      <c r="I5871" s="112" t="s">
        <v>749</v>
      </c>
      <c r="J5871" s="112" t="s">
        <v>4640</v>
      </c>
      <c r="K5871" s="112" t="s">
        <v>4831</v>
      </c>
      <c r="L5871" s="116">
        <v>4066.18</v>
      </c>
    </row>
    <row r="5872" spans="1:12" hidden="1" outlineLevel="1" collapsed="1" x14ac:dyDescent="0.35">
      <c r="A5872" s="112" t="s">
        <v>4632</v>
      </c>
      <c r="B5872" s="112" t="s">
        <v>4639</v>
      </c>
      <c r="C5872" s="112" t="s">
        <v>695</v>
      </c>
      <c r="D5872" s="113">
        <v>10348098</v>
      </c>
      <c r="E5872" s="115">
        <v>43929</v>
      </c>
      <c r="F5872" s="114">
        <v>202101</v>
      </c>
      <c r="G5872" s="112" t="s">
        <v>1091</v>
      </c>
      <c r="H5872" s="112" t="s">
        <v>1015</v>
      </c>
      <c r="I5872" s="112" t="s">
        <v>751</v>
      </c>
      <c r="J5872" s="112" t="s">
        <v>4640</v>
      </c>
      <c r="K5872" s="112" t="s">
        <v>4832</v>
      </c>
      <c r="L5872" s="116">
        <v>731.7</v>
      </c>
    </row>
    <row r="5873" spans="1:12" hidden="1" outlineLevel="1" collapsed="1" x14ac:dyDescent="0.35">
      <c r="A5873" s="112" t="s">
        <v>4632</v>
      </c>
      <c r="B5873" s="112" t="s">
        <v>4639</v>
      </c>
      <c r="C5873" s="112" t="s">
        <v>695</v>
      </c>
      <c r="D5873" s="113">
        <v>10348098</v>
      </c>
      <c r="E5873" s="115">
        <v>43929</v>
      </c>
      <c r="F5873" s="114">
        <v>202101</v>
      </c>
      <c r="G5873" s="112" t="s">
        <v>1091</v>
      </c>
      <c r="H5873" s="112" t="s">
        <v>1015</v>
      </c>
      <c r="I5873" s="112" t="s">
        <v>751</v>
      </c>
      <c r="J5873" s="112" t="s">
        <v>4640</v>
      </c>
      <c r="K5873" s="112" t="s">
        <v>4833</v>
      </c>
      <c r="L5873" s="116">
        <v>809.43</v>
      </c>
    </row>
    <row r="5874" spans="1:12" hidden="1" outlineLevel="1" collapsed="1" x14ac:dyDescent="0.35">
      <c r="A5874" s="112" t="s">
        <v>4632</v>
      </c>
      <c r="B5874" s="112" t="s">
        <v>4639</v>
      </c>
      <c r="C5874" s="112" t="s">
        <v>695</v>
      </c>
      <c r="D5874" s="113">
        <v>10348098</v>
      </c>
      <c r="E5874" s="115">
        <v>43929</v>
      </c>
      <c r="F5874" s="114">
        <v>202101</v>
      </c>
      <c r="G5874" s="112" t="s">
        <v>1091</v>
      </c>
      <c r="H5874" s="112" t="s">
        <v>1015</v>
      </c>
      <c r="I5874" s="112" t="s">
        <v>751</v>
      </c>
      <c r="J5874" s="112" t="s">
        <v>4640</v>
      </c>
      <c r="K5874" s="112" t="s">
        <v>4834</v>
      </c>
      <c r="L5874" s="116">
        <v>522.59</v>
      </c>
    </row>
    <row r="5875" spans="1:12" hidden="1" outlineLevel="1" collapsed="1" x14ac:dyDescent="0.35">
      <c r="A5875" s="112" t="s">
        <v>4632</v>
      </c>
      <c r="B5875" s="112" t="s">
        <v>4639</v>
      </c>
      <c r="C5875" s="112" t="s">
        <v>695</v>
      </c>
      <c r="D5875" s="113">
        <v>10348098</v>
      </c>
      <c r="E5875" s="115">
        <v>43929</v>
      </c>
      <c r="F5875" s="114">
        <v>202101</v>
      </c>
      <c r="G5875" s="112" t="s">
        <v>1091</v>
      </c>
      <c r="H5875" s="112" t="s">
        <v>1015</v>
      </c>
      <c r="I5875" s="112" t="s">
        <v>751</v>
      </c>
      <c r="J5875" s="112" t="s">
        <v>4640</v>
      </c>
      <c r="K5875" s="112" t="s">
        <v>4835</v>
      </c>
      <c r="L5875" s="116">
        <v>578.07000000000005</v>
      </c>
    </row>
    <row r="5876" spans="1:12" hidden="1" outlineLevel="1" collapsed="1" x14ac:dyDescent="0.35">
      <c r="A5876" s="112" t="s">
        <v>4632</v>
      </c>
      <c r="B5876" s="112" t="s">
        <v>863</v>
      </c>
      <c r="C5876" s="112" t="s">
        <v>1518</v>
      </c>
      <c r="D5876" s="113">
        <v>51366064</v>
      </c>
      <c r="E5876" s="115">
        <v>43928</v>
      </c>
      <c r="F5876" s="114">
        <v>202101</v>
      </c>
      <c r="G5876" s="112" t="s">
        <v>1091</v>
      </c>
      <c r="H5876" s="112" t="s">
        <v>1016</v>
      </c>
      <c r="I5876" s="112" t="s">
        <v>779</v>
      </c>
      <c r="J5876" s="112" t="s">
        <v>787</v>
      </c>
      <c r="K5876" s="112" t="s">
        <v>4836</v>
      </c>
      <c r="L5876" s="116">
        <v>-1737.15</v>
      </c>
    </row>
    <row r="5877" spans="1:12" hidden="1" outlineLevel="1" collapsed="1" x14ac:dyDescent="0.35">
      <c r="A5877" s="112" t="s">
        <v>4632</v>
      </c>
      <c r="B5877" s="112" t="s">
        <v>4639</v>
      </c>
      <c r="C5877" s="112" t="s">
        <v>1518</v>
      </c>
      <c r="D5877" s="113">
        <v>51366042</v>
      </c>
      <c r="E5877" s="115">
        <v>43928</v>
      </c>
      <c r="F5877" s="114">
        <v>202101</v>
      </c>
      <c r="G5877" s="112" t="s">
        <v>1091</v>
      </c>
      <c r="H5877" s="112" t="s">
        <v>1016</v>
      </c>
      <c r="I5877" s="112" t="s">
        <v>779</v>
      </c>
      <c r="J5877" s="112" t="s">
        <v>4640</v>
      </c>
      <c r="K5877" s="112" t="s">
        <v>4837</v>
      </c>
      <c r="L5877" s="116">
        <v>-578.07000000000005</v>
      </c>
    </row>
    <row r="5878" spans="1:12" hidden="1" outlineLevel="1" collapsed="1" x14ac:dyDescent="0.35">
      <c r="A5878" s="112" t="s">
        <v>4632</v>
      </c>
      <c r="B5878" s="112" t="s">
        <v>4639</v>
      </c>
      <c r="C5878" s="112" t="s">
        <v>695</v>
      </c>
      <c r="D5878" s="113">
        <v>10348098</v>
      </c>
      <c r="E5878" s="115">
        <v>43929</v>
      </c>
      <c r="F5878" s="114">
        <v>202101</v>
      </c>
      <c r="G5878" s="112" t="s">
        <v>1091</v>
      </c>
      <c r="H5878" s="112" t="s">
        <v>1015</v>
      </c>
      <c r="I5878" s="112" t="s">
        <v>751</v>
      </c>
      <c r="J5878" s="112" t="s">
        <v>4640</v>
      </c>
      <c r="K5878" s="112" t="s">
        <v>4838</v>
      </c>
      <c r="L5878" s="116">
        <v>2591.0300000000002</v>
      </c>
    </row>
    <row r="5879" spans="1:12" hidden="1" outlineLevel="1" collapsed="1" x14ac:dyDescent="0.35">
      <c r="A5879" s="112" t="s">
        <v>4632</v>
      </c>
      <c r="B5879" s="112" t="s">
        <v>863</v>
      </c>
      <c r="C5879" s="112" t="s">
        <v>1518</v>
      </c>
      <c r="D5879" s="113">
        <v>51366016</v>
      </c>
      <c r="E5879" s="115">
        <v>43928</v>
      </c>
      <c r="F5879" s="114">
        <v>202101</v>
      </c>
      <c r="G5879" s="112" t="s">
        <v>1091</v>
      </c>
      <c r="H5879" s="112" t="s">
        <v>1016</v>
      </c>
      <c r="I5879" s="112" t="s">
        <v>779</v>
      </c>
      <c r="J5879" s="112" t="s">
        <v>821</v>
      </c>
      <c r="K5879" s="112" t="s">
        <v>4839</v>
      </c>
      <c r="L5879" s="116">
        <v>-2293.4899999999998</v>
      </c>
    </row>
    <row r="5880" spans="1:12" hidden="1" outlineLevel="1" collapsed="1" x14ac:dyDescent="0.35">
      <c r="A5880" s="112" t="s">
        <v>4632</v>
      </c>
      <c r="B5880" s="112" t="s">
        <v>4650</v>
      </c>
      <c r="C5880" s="112" t="s">
        <v>695</v>
      </c>
      <c r="D5880" s="113">
        <v>10348098</v>
      </c>
      <c r="E5880" s="115">
        <v>43929</v>
      </c>
      <c r="F5880" s="114">
        <v>202101</v>
      </c>
      <c r="G5880" s="112" t="s">
        <v>1091</v>
      </c>
      <c r="H5880" s="112" t="s">
        <v>1015</v>
      </c>
      <c r="I5880" s="112" t="s">
        <v>757</v>
      </c>
      <c r="J5880" s="112" t="s">
        <v>4651</v>
      </c>
      <c r="K5880" s="112" t="s">
        <v>4840</v>
      </c>
      <c r="L5880" s="116">
        <v>115.22</v>
      </c>
    </row>
    <row r="5881" spans="1:12" hidden="1" outlineLevel="1" collapsed="1" x14ac:dyDescent="0.35">
      <c r="A5881" s="112" t="s">
        <v>4632</v>
      </c>
      <c r="B5881" s="112" t="s">
        <v>4644</v>
      </c>
      <c r="C5881" s="112" t="s">
        <v>695</v>
      </c>
      <c r="D5881" s="113">
        <v>10348098</v>
      </c>
      <c r="E5881" s="115">
        <v>43929</v>
      </c>
      <c r="F5881" s="114">
        <v>202101</v>
      </c>
      <c r="G5881" s="112" t="s">
        <v>1091</v>
      </c>
      <c r="H5881" s="112" t="s">
        <v>1015</v>
      </c>
      <c r="I5881" s="112" t="s">
        <v>757</v>
      </c>
      <c r="J5881" s="112" t="s">
        <v>4645</v>
      </c>
      <c r="K5881" s="112" t="s">
        <v>4841</v>
      </c>
      <c r="L5881" s="116">
        <v>-1323.69</v>
      </c>
    </row>
    <row r="5882" spans="1:12" hidden="1" outlineLevel="1" collapsed="1" x14ac:dyDescent="0.35">
      <c r="A5882" s="112" t="s">
        <v>4632</v>
      </c>
      <c r="B5882" s="112" t="s">
        <v>863</v>
      </c>
      <c r="C5882" s="112" t="s">
        <v>1518</v>
      </c>
      <c r="D5882" s="113">
        <v>51366015</v>
      </c>
      <c r="E5882" s="115">
        <v>43928</v>
      </c>
      <c r="F5882" s="114">
        <v>202101</v>
      </c>
      <c r="G5882" s="112" t="s">
        <v>1091</v>
      </c>
      <c r="H5882" s="112" t="s">
        <v>1016</v>
      </c>
      <c r="I5882" s="112" t="s">
        <v>779</v>
      </c>
      <c r="J5882" s="112" t="s">
        <v>821</v>
      </c>
      <c r="K5882" s="112" t="s">
        <v>4842</v>
      </c>
      <c r="L5882" s="116">
        <v>-134.16999999999999</v>
      </c>
    </row>
    <row r="5883" spans="1:12" hidden="1" outlineLevel="1" collapsed="1" x14ac:dyDescent="0.35">
      <c r="A5883" s="112" t="s">
        <v>4632</v>
      </c>
      <c r="B5883" s="112" t="s">
        <v>4639</v>
      </c>
      <c r="C5883" s="112" t="s">
        <v>695</v>
      </c>
      <c r="D5883" s="113">
        <v>10348098</v>
      </c>
      <c r="E5883" s="115">
        <v>43929</v>
      </c>
      <c r="F5883" s="114">
        <v>202101</v>
      </c>
      <c r="G5883" s="112" t="s">
        <v>1091</v>
      </c>
      <c r="H5883" s="112" t="s">
        <v>1015</v>
      </c>
      <c r="I5883" s="112" t="s">
        <v>757</v>
      </c>
      <c r="J5883" s="112" t="s">
        <v>4640</v>
      </c>
      <c r="K5883" s="112" t="s">
        <v>4843</v>
      </c>
      <c r="L5883" s="116">
        <v>2379.9299999999998</v>
      </c>
    </row>
    <row r="5884" spans="1:12" hidden="1" outlineLevel="1" collapsed="1" x14ac:dyDescent="0.35">
      <c r="A5884" s="112" t="s">
        <v>4632</v>
      </c>
      <c r="B5884" s="112" t="s">
        <v>4650</v>
      </c>
      <c r="C5884" s="112" t="s">
        <v>1518</v>
      </c>
      <c r="D5884" s="113">
        <v>51366017</v>
      </c>
      <c r="E5884" s="115">
        <v>43928</v>
      </c>
      <c r="F5884" s="114">
        <v>202101</v>
      </c>
      <c r="G5884" s="112" t="s">
        <v>1091</v>
      </c>
      <c r="H5884" s="112" t="s">
        <v>1016</v>
      </c>
      <c r="I5884" s="112" t="s">
        <v>779</v>
      </c>
      <c r="J5884" s="112" t="s">
        <v>4651</v>
      </c>
      <c r="K5884" s="112" t="s">
        <v>4844</v>
      </c>
      <c r="L5884" s="116">
        <v>-49.46</v>
      </c>
    </row>
    <row r="5885" spans="1:12" hidden="1" outlineLevel="1" collapsed="1" x14ac:dyDescent="0.35">
      <c r="A5885" s="112" t="s">
        <v>4632</v>
      </c>
      <c r="B5885" s="112" t="s">
        <v>4639</v>
      </c>
      <c r="C5885" s="112" t="s">
        <v>695</v>
      </c>
      <c r="D5885" s="113">
        <v>10348098</v>
      </c>
      <c r="E5885" s="115">
        <v>43929</v>
      </c>
      <c r="F5885" s="114">
        <v>202101</v>
      </c>
      <c r="G5885" s="112" t="s">
        <v>1091</v>
      </c>
      <c r="H5885" s="112" t="s">
        <v>1015</v>
      </c>
      <c r="I5885" s="112" t="s">
        <v>749</v>
      </c>
      <c r="J5885" s="112" t="s">
        <v>4640</v>
      </c>
      <c r="K5885" s="112" t="s">
        <v>4845</v>
      </c>
      <c r="L5885" s="116">
        <v>4684.2700000000004</v>
      </c>
    </row>
    <row r="5886" spans="1:12" hidden="1" outlineLevel="1" collapsed="1" x14ac:dyDescent="0.35">
      <c r="A5886" s="112" t="s">
        <v>4632</v>
      </c>
      <c r="B5886" s="112" t="s">
        <v>4644</v>
      </c>
      <c r="C5886" s="112" t="s">
        <v>695</v>
      </c>
      <c r="D5886" s="113">
        <v>10348098</v>
      </c>
      <c r="E5886" s="115">
        <v>43929</v>
      </c>
      <c r="F5886" s="114">
        <v>202101</v>
      </c>
      <c r="G5886" s="112" t="s">
        <v>1091</v>
      </c>
      <c r="H5886" s="112" t="s">
        <v>1015</v>
      </c>
      <c r="I5886" s="112" t="s">
        <v>749</v>
      </c>
      <c r="J5886" s="112" t="s">
        <v>4645</v>
      </c>
      <c r="K5886" s="112" t="s">
        <v>4846</v>
      </c>
      <c r="L5886" s="116">
        <v>266.64</v>
      </c>
    </row>
    <row r="5887" spans="1:12" hidden="1" outlineLevel="1" collapsed="1" x14ac:dyDescent="0.35">
      <c r="A5887" s="112" t="s">
        <v>4632</v>
      </c>
      <c r="B5887" s="112" t="s">
        <v>4650</v>
      </c>
      <c r="C5887" s="112" t="s">
        <v>1518</v>
      </c>
      <c r="D5887" s="113">
        <v>51366014</v>
      </c>
      <c r="E5887" s="115">
        <v>43928</v>
      </c>
      <c r="F5887" s="114">
        <v>202101</v>
      </c>
      <c r="G5887" s="112" t="s">
        <v>1091</v>
      </c>
      <c r="H5887" s="112" t="s">
        <v>1016</v>
      </c>
      <c r="I5887" s="112" t="s">
        <v>779</v>
      </c>
      <c r="J5887" s="112" t="s">
        <v>4651</v>
      </c>
      <c r="K5887" s="112" t="s">
        <v>4847</v>
      </c>
      <c r="L5887" s="116">
        <v>-155.22</v>
      </c>
    </row>
    <row r="5888" spans="1:12" hidden="1" outlineLevel="1" collapsed="1" x14ac:dyDescent="0.35">
      <c r="A5888" s="112" t="s">
        <v>4632</v>
      </c>
      <c r="B5888" s="112" t="s">
        <v>4644</v>
      </c>
      <c r="C5888" s="112" t="s">
        <v>695</v>
      </c>
      <c r="D5888" s="113">
        <v>10348098</v>
      </c>
      <c r="E5888" s="115">
        <v>43929</v>
      </c>
      <c r="F5888" s="114">
        <v>202101</v>
      </c>
      <c r="G5888" s="112" t="s">
        <v>1091</v>
      </c>
      <c r="H5888" s="112" t="s">
        <v>1015</v>
      </c>
      <c r="I5888" s="112" t="s">
        <v>749</v>
      </c>
      <c r="J5888" s="112" t="s">
        <v>4645</v>
      </c>
      <c r="K5888" s="112" t="s">
        <v>4848</v>
      </c>
      <c r="L5888" s="116">
        <v>387.07</v>
      </c>
    </row>
    <row r="5889" spans="1:12" hidden="1" outlineLevel="1" collapsed="1" x14ac:dyDescent="0.35">
      <c r="A5889" s="112" t="s">
        <v>4632</v>
      </c>
      <c r="B5889" s="112" t="s">
        <v>4650</v>
      </c>
      <c r="C5889" s="112" t="s">
        <v>1518</v>
      </c>
      <c r="D5889" s="113">
        <v>51366009</v>
      </c>
      <c r="E5889" s="115">
        <v>43928</v>
      </c>
      <c r="F5889" s="114">
        <v>202101</v>
      </c>
      <c r="G5889" s="112" t="s">
        <v>1091</v>
      </c>
      <c r="H5889" s="112" t="s">
        <v>1016</v>
      </c>
      <c r="I5889" s="112" t="s">
        <v>779</v>
      </c>
      <c r="J5889" s="112" t="s">
        <v>4651</v>
      </c>
      <c r="K5889" s="112" t="s">
        <v>4849</v>
      </c>
      <c r="L5889" s="116">
        <v>-115.22</v>
      </c>
    </row>
    <row r="5890" spans="1:12" hidden="1" outlineLevel="1" collapsed="1" x14ac:dyDescent="0.35">
      <c r="A5890" s="112" t="s">
        <v>4632</v>
      </c>
      <c r="B5890" s="112" t="s">
        <v>863</v>
      </c>
      <c r="C5890" s="112" t="s">
        <v>695</v>
      </c>
      <c r="D5890" s="113">
        <v>10348098</v>
      </c>
      <c r="E5890" s="115">
        <v>43929</v>
      </c>
      <c r="F5890" s="114">
        <v>202101</v>
      </c>
      <c r="G5890" s="112" t="s">
        <v>1091</v>
      </c>
      <c r="H5890" s="112" t="s">
        <v>1015</v>
      </c>
      <c r="I5890" s="112" t="s">
        <v>749</v>
      </c>
      <c r="J5890" s="112" t="s">
        <v>835</v>
      </c>
      <c r="K5890" s="112" t="s">
        <v>4850</v>
      </c>
      <c r="L5890" s="116">
        <v>73.930000000000007</v>
      </c>
    </row>
    <row r="5891" spans="1:12" hidden="1" outlineLevel="1" collapsed="1" x14ac:dyDescent="0.35">
      <c r="A5891" s="112" t="s">
        <v>4632</v>
      </c>
      <c r="B5891" s="112" t="s">
        <v>4644</v>
      </c>
      <c r="C5891" s="112" t="s">
        <v>695</v>
      </c>
      <c r="D5891" s="113">
        <v>10348098</v>
      </c>
      <c r="E5891" s="115">
        <v>43929</v>
      </c>
      <c r="F5891" s="114">
        <v>202101</v>
      </c>
      <c r="G5891" s="112" t="s">
        <v>1091</v>
      </c>
      <c r="H5891" s="112" t="s">
        <v>1015</v>
      </c>
      <c r="I5891" s="112" t="s">
        <v>749</v>
      </c>
      <c r="J5891" s="112" t="s">
        <v>4645</v>
      </c>
      <c r="K5891" s="112" t="s">
        <v>4851</v>
      </c>
      <c r="L5891" s="116">
        <v>70.34</v>
      </c>
    </row>
    <row r="5892" spans="1:12" hidden="1" outlineLevel="1" collapsed="1" x14ac:dyDescent="0.35">
      <c r="A5892" s="112" t="s">
        <v>4632</v>
      </c>
      <c r="B5892" s="112" t="s">
        <v>4639</v>
      </c>
      <c r="C5892" s="112" t="s">
        <v>1518</v>
      </c>
      <c r="D5892" s="113">
        <v>51366044</v>
      </c>
      <c r="E5892" s="115">
        <v>43928</v>
      </c>
      <c r="F5892" s="114">
        <v>202101</v>
      </c>
      <c r="G5892" s="112" t="s">
        <v>1091</v>
      </c>
      <c r="H5892" s="112" t="s">
        <v>1016</v>
      </c>
      <c r="I5892" s="112" t="s">
        <v>779</v>
      </c>
      <c r="J5892" s="112" t="s">
        <v>4640</v>
      </c>
      <c r="K5892" s="112" t="s">
        <v>4852</v>
      </c>
      <c r="L5892" s="116">
        <v>-1848.27</v>
      </c>
    </row>
    <row r="5893" spans="1:12" hidden="1" outlineLevel="1" collapsed="1" x14ac:dyDescent="0.35">
      <c r="A5893" s="112" t="s">
        <v>4632</v>
      </c>
      <c r="B5893" s="112" t="s">
        <v>4644</v>
      </c>
      <c r="C5893" s="112" t="s">
        <v>1518</v>
      </c>
      <c r="D5893" s="113">
        <v>51366013</v>
      </c>
      <c r="E5893" s="115">
        <v>43928</v>
      </c>
      <c r="F5893" s="114">
        <v>202101</v>
      </c>
      <c r="G5893" s="112" t="s">
        <v>1091</v>
      </c>
      <c r="H5893" s="112" t="s">
        <v>1016</v>
      </c>
      <c r="I5893" s="112" t="s">
        <v>779</v>
      </c>
      <c r="J5893" s="112" t="s">
        <v>4645</v>
      </c>
      <c r="K5893" s="112" t="s">
        <v>4853</v>
      </c>
      <c r="L5893" s="116">
        <v>-374.62</v>
      </c>
    </row>
    <row r="5894" spans="1:12" hidden="1" outlineLevel="1" collapsed="1" x14ac:dyDescent="0.35">
      <c r="A5894" s="112" t="s">
        <v>4632</v>
      </c>
      <c r="B5894" s="112" t="s">
        <v>4644</v>
      </c>
      <c r="C5894" s="112" t="s">
        <v>695</v>
      </c>
      <c r="D5894" s="113">
        <v>10348098</v>
      </c>
      <c r="E5894" s="115">
        <v>43929</v>
      </c>
      <c r="F5894" s="114">
        <v>202101</v>
      </c>
      <c r="G5894" s="112" t="s">
        <v>1091</v>
      </c>
      <c r="H5894" s="112" t="s">
        <v>1015</v>
      </c>
      <c r="I5894" s="112" t="s">
        <v>749</v>
      </c>
      <c r="J5894" s="112" t="s">
        <v>4645</v>
      </c>
      <c r="K5894" s="112" t="s">
        <v>4854</v>
      </c>
      <c r="L5894" s="116">
        <v>1014.81</v>
      </c>
    </row>
    <row r="5895" spans="1:12" hidden="1" outlineLevel="1" collapsed="1" x14ac:dyDescent="0.35">
      <c r="A5895" s="112" t="s">
        <v>4632</v>
      </c>
      <c r="B5895" s="112" t="s">
        <v>4639</v>
      </c>
      <c r="C5895" s="112" t="s">
        <v>695</v>
      </c>
      <c r="D5895" s="113">
        <v>10348098</v>
      </c>
      <c r="E5895" s="115">
        <v>43929</v>
      </c>
      <c r="F5895" s="114">
        <v>202101</v>
      </c>
      <c r="G5895" s="112" t="s">
        <v>1091</v>
      </c>
      <c r="H5895" s="112" t="s">
        <v>1015</v>
      </c>
      <c r="I5895" s="112" t="s">
        <v>749</v>
      </c>
      <c r="J5895" s="112" t="s">
        <v>4640</v>
      </c>
      <c r="K5895" s="112" t="s">
        <v>4855</v>
      </c>
      <c r="L5895" s="116">
        <v>39.409999999999997</v>
      </c>
    </row>
    <row r="5896" spans="1:12" hidden="1" outlineLevel="1" collapsed="1" x14ac:dyDescent="0.35">
      <c r="A5896" s="112" t="s">
        <v>4632</v>
      </c>
      <c r="B5896" s="112" t="s">
        <v>863</v>
      </c>
      <c r="C5896" s="112" t="s">
        <v>695</v>
      </c>
      <c r="D5896" s="113">
        <v>10348098</v>
      </c>
      <c r="E5896" s="115">
        <v>43929</v>
      </c>
      <c r="F5896" s="114">
        <v>202101</v>
      </c>
      <c r="G5896" s="112" t="s">
        <v>1091</v>
      </c>
      <c r="H5896" s="112" t="s">
        <v>1015</v>
      </c>
      <c r="I5896" s="112" t="s">
        <v>757</v>
      </c>
      <c r="J5896" s="112" t="s">
        <v>815</v>
      </c>
      <c r="K5896" s="112" t="s">
        <v>4856</v>
      </c>
      <c r="L5896" s="116">
        <v>35.380000000000003</v>
      </c>
    </row>
    <row r="5897" spans="1:12" hidden="1" outlineLevel="1" collapsed="1" x14ac:dyDescent="0.35">
      <c r="A5897" s="112" t="s">
        <v>4632</v>
      </c>
      <c r="B5897" s="112" t="s">
        <v>863</v>
      </c>
      <c r="C5897" s="112" t="s">
        <v>695</v>
      </c>
      <c r="D5897" s="113">
        <v>10348098</v>
      </c>
      <c r="E5897" s="115">
        <v>43929</v>
      </c>
      <c r="F5897" s="114">
        <v>202101</v>
      </c>
      <c r="G5897" s="112" t="s">
        <v>1091</v>
      </c>
      <c r="H5897" s="112" t="s">
        <v>1015</v>
      </c>
      <c r="I5897" s="112" t="s">
        <v>757</v>
      </c>
      <c r="J5897" s="112" t="s">
        <v>815</v>
      </c>
      <c r="K5897" s="112" t="s">
        <v>4857</v>
      </c>
      <c r="L5897" s="116">
        <v>38.56</v>
      </c>
    </row>
    <row r="5898" spans="1:12" hidden="1" outlineLevel="1" collapsed="1" x14ac:dyDescent="0.35">
      <c r="A5898" s="112" t="s">
        <v>4632</v>
      </c>
      <c r="B5898" s="112" t="s">
        <v>4644</v>
      </c>
      <c r="C5898" s="112" t="s">
        <v>695</v>
      </c>
      <c r="D5898" s="113">
        <v>10348098</v>
      </c>
      <c r="E5898" s="115">
        <v>43929</v>
      </c>
      <c r="F5898" s="114">
        <v>202101</v>
      </c>
      <c r="G5898" s="112" t="s">
        <v>1091</v>
      </c>
      <c r="H5898" s="112" t="s">
        <v>1015</v>
      </c>
      <c r="I5898" s="112" t="s">
        <v>757</v>
      </c>
      <c r="J5898" s="112" t="s">
        <v>4645</v>
      </c>
      <c r="K5898" s="112" t="s">
        <v>4858</v>
      </c>
      <c r="L5898" s="116">
        <v>-133.26</v>
      </c>
    </row>
    <row r="5899" spans="1:12" hidden="1" outlineLevel="1" collapsed="1" x14ac:dyDescent="0.35">
      <c r="A5899" s="112" t="s">
        <v>4632</v>
      </c>
      <c r="B5899" s="112" t="s">
        <v>4644</v>
      </c>
      <c r="C5899" s="112" t="s">
        <v>695</v>
      </c>
      <c r="D5899" s="113">
        <v>10348098</v>
      </c>
      <c r="E5899" s="115">
        <v>43929</v>
      </c>
      <c r="F5899" s="114">
        <v>202101</v>
      </c>
      <c r="G5899" s="112" t="s">
        <v>1091</v>
      </c>
      <c r="H5899" s="112" t="s">
        <v>1015</v>
      </c>
      <c r="I5899" s="112" t="s">
        <v>757</v>
      </c>
      <c r="J5899" s="112" t="s">
        <v>4645</v>
      </c>
      <c r="K5899" s="112" t="s">
        <v>4859</v>
      </c>
      <c r="L5899" s="116">
        <v>-692.25</v>
      </c>
    </row>
    <row r="5900" spans="1:12" hidden="1" outlineLevel="1" collapsed="1" x14ac:dyDescent="0.35">
      <c r="A5900" s="112" t="s">
        <v>4632</v>
      </c>
      <c r="B5900" s="112" t="s">
        <v>4644</v>
      </c>
      <c r="C5900" s="112" t="s">
        <v>695</v>
      </c>
      <c r="D5900" s="113">
        <v>10348098</v>
      </c>
      <c r="E5900" s="115">
        <v>43929</v>
      </c>
      <c r="F5900" s="114">
        <v>202101</v>
      </c>
      <c r="G5900" s="112" t="s">
        <v>1091</v>
      </c>
      <c r="H5900" s="112" t="s">
        <v>1015</v>
      </c>
      <c r="I5900" s="112" t="s">
        <v>757</v>
      </c>
      <c r="J5900" s="112" t="s">
        <v>4645</v>
      </c>
      <c r="K5900" s="112" t="s">
        <v>4860</v>
      </c>
      <c r="L5900" s="116">
        <v>73.8</v>
      </c>
    </row>
    <row r="5901" spans="1:12" hidden="1" outlineLevel="1" collapsed="1" x14ac:dyDescent="0.35">
      <c r="A5901" s="112" t="s">
        <v>4632</v>
      </c>
      <c r="B5901" s="112" t="s">
        <v>4639</v>
      </c>
      <c r="C5901" s="112" t="s">
        <v>695</v>
      </c>
      <c r="D5901" s="113">
        <v>10348098</v>
      </c>
      <c r="E5901" s="115">
        <v>43929</v>
      </c>
      <c r="F5901" s="114">
        <v>202101</v>
      </c>
      <c r="G5901" s="112" t="s">
        <v>1091</v>
      </c>
      <c r="H5901" s="112" t="s">
        <v>1015</v>
      </c>
      <c r="I5901" s="112" t="s">
        <v>757</v>
      </c>
      <c r="J5901" s="112" t="s">
        <v>4640</v>
      </c>
      <c r="K5901" s="112" t="s">
        <v>4861</v>
      </c>
      <c r="L5901" s="116">
        <v>194.32</v>
      </c>
    </row>
    <row r="5902" spans="1:12" hidden="1" outlineLevel="1" collapsed="1" x14ac:dyDescent="0.35">
      <c r="A5902" s="112" t="s">
        <v>4632</v>
      </c>
      <c r="B5902" s="112" t="s">
        <v>4644</v>
      </c>
      <c r="C5902" s="112" t="s">
        <v>695</v>
      </c>
      <c r="D5902" s="113">
        <v>10348098</v>
      </c>
      <c r="E5902" s="115">
        <v>43929</v>
      </c>
      <c r="F5902" s="114">
        <v>202101</v>
      </c>
      <c r="G5902" s="112" t="s">
        <v>1091</v>
      </c>
      <c r="H5902" s="112" t="s">
        <v>1015</v>
      </c>
      <c r="I5902" s="112" t="s">
        <v>751</v>
      </c>
      <c r="J5902" s="112" t="s">
        <v>4645</v>
      </c>
      <c r="K5902" s="112" t="s">
        <v>4862</v>
      </c>
      <c r="L5902" s="116">
        <v>370.13</v>
      </c>
    </row>
    <row r="5903" spans="1:12" hidden="1" outlineLevel="1" collapsed="1" x14ac:dyDescent="0.35">
      <c r="A5903" s="112" t="s">
        <v>4632</v>
      </c>
      <c r="B5903" s="112" t="s">
        <v>4639</v>
      </c>
      <c r="C5903" s="112" t="s">
        <v>695</v>
      </c>
      <c r="D5903" s="113">
        <v>10348098</v>
      </c>
      <c r="E5903" s="115">
        <v>43929</v>
      </c>
      <c r="F5903" s="114">
        <v>202101</v>
      </c>
      <c r="G5903" s="112" t="s">
        <v>1091</v>
      </c>
      <c r="H5903" s="112" t="s">
        <v>1015</v>
      </c>
      <c r="I5903" s="112" t="s">
        <v>749</v>
      </c>
      <c r="J5903" s="112" t="s">
        <v>4640</v>
      </c>
      <c r="K5903" s="112" t="s">
        <v>4863</v>
      </c>
      <c r="L5903" s="116">
        <v>423.45</v>
      </c>
    </row>
    <row r="5904" spans="1:12" hidden="1" outlineLevel="1" collapsed="1" x14ac:dyDescent="0.35">
      <c r="A5904" s="112" t="s">
        <v>4632</v>
      </c>
      <c r="B5904" s="112" t="s">
        <v>4639</v>
      </c>
      <c r="C5904" s="112" t="s">
        <v>695</v>
      </c>
      <c r="D5904" s="113">
        <v>10348098</v>
      </c>
      <c r="E5904" s="115">
        <v>43929</v>
      </c>
      <c r="F5904" s="114">
        <v>202101</v>
      </c>
      <c r="G5904" s="112" t="s">
        <v>1091</v>
      </c>
      <c r="H5904" s="112" t="s">
        <v>1015</v>
      </c>
      <c r="I5904" s="112" t="s">
        <v>749</v>
      </c>
      <c r="J5904" s="112" t="s">
        <v>4640</v>
      </c>
      <c r="K5904" s="112" t="s">
        <v>4864</v>
      </c>
      <c r="L5904" s="116">
        <v>84.72</v>
      </c>
    </row>
    <row r="5905" spans="1:12" hidden="1" outlineLevel="1" collapsed="1" x14ac:dyDescent="0.35">
      <c r="A5905" s="112" t="s">
        <v>4632</v>
      </c>
      <c r="B5905" s="112" t="s">
        <v>4639</v>
      </c>
      <c r="C5905" s="112" t="s">
        <v>695</v>
      </c>
      <c r="D5905" s="113">
        <v>10348098</v>
      </c>
      <c r="E5905" s="115">
        <v>43929</v>
      </c>
      <c r="F5905" s="114">
        <v>202101</v>
      </c>
      <c r="G5905" s="112" t="s">
        <v>1091</v>
      </c>
      <c r="H5905" s="112" t="s">
        <v>1015</v>
      </c>
      <c r="I5905" s="112" t="s">
        <v>749</v>
      </c>
      <c r="J5905" s="112" t="s">
        <v>4640</v>
      </c>
      <c r="K5905" s="112" t="s">
        <v>4865</v>
      </c>
      <c r="L5905" s="116">
        <v>1640.43</v>
      </c>
    </row>
    <row r="5906" spans="1:12" hidden="1" outlineLevel="1" collapsed="1" x14ac:dyDescent="0.35">
      <c r="A5906" s="112" t="s">
        <v>4632</v>
      </c>
      <c r="B5906" s="112" t="s">
        <v>4639</v>
      </c>
      <c r="C5906" s="112" t="s">
        <v>695</v>
      </c>
      <c r="D5906" s="113">
        <v>10348098</v>
      </c>
      <c r="E5906" s="115">
        <v>43929</v>
      </c>
      <c r="F5906" s="114">
        <v>202101</v>
      </c>
      <c r="G5906" s="112" t="s">
        <v>1091</v>
      </c>
      <c r="H5906" s="112" t="s">
        <v>1015</v>
      </c>
      <c r="I5906" s="112" t="s">
        <v>749</v>
      </c>
      <c r="J5906" s="112" t="s">
        <v>4640</v>
      </c>
      <c r="K5906" s="112" t="s">
        <v>4866</v>
      </c>
      <c r="L5906" s="116">
        <v>1465.21</v>
      </c>
    </row>
    <row r="5907" spans="1:12" hidden="1" outlineLevel="1" collapsed="1" x14ac:dyDescent="0.35">
      <c r="A5907" s="112" t="s">
        <v>4632</v>
      </c>
      <c r="B5907" s="112" t="s">
        <v>4644</v>
      </c>
      <c r="C5907" s="112" t="s">
        <v>695</v>
      </c>
      <c r="D5907" s="113">
        <v>10348098</v>
      </c>
      <c r="E5907" s="115">
        <v>43929</v>
      </c>
      <c r="F5907" s="114">
        <v>202101</v>
      </c>
      <c r="G5907" s="112" t="s">
        <v>1091</v>
      </c>
      <c r="H5907" s="112" t="s">
        <v>1015</v>
      </c>
      <c r="I5907" s="112" t="s">
        <v>749</v>
      </c>
      <c r="J5907" s="112" t="s">
        <v>4645</v>
      </c>
      <c r="K5907" s="112" t="s">
        <v>4867</v>
      </c>
      <c r="L5907" s="116">
        <v>360.95</v>
      </c>
    </row>
    <row r="5908" spans="1:12" hidden="1" outlineLevel="1" collapsed="1" x14ac:dyDescent="0.35">
      <c r="A5908" s="112" t="s">
        <v>4632</v>
      </c>
      <c r="B5908" s="112" t="s">
        <v>4650</v>
      </c>
      <c r="C5908" s="112" t="s">
        <v>695</v>
      </c>
      <c r="D5908" s="113">
        <v>10348098</v>
      </c>
      <c r="E5908" s="115">
        <v>43929</v>
      </c>
      <c r="F5908" s="114">
        <v>202101</v>
      </c>
      <c r="G5908" s="112" t="s">
        <v>1091</v>
      </c>
      <c r="H5908" s="112" t="s">
        <v>1015</v>
      </c>
      <c r="I5908" s="112" t="s">
        <v>749</v>
      </c>
      <c r="J5908" s="112" t="s">
        <v>4651</v>
      </c>
      <c r="K5908" s="112" t="s">
        <v>4868</v>
      </c>
      <c r="L5908" s="116">
        <v>518.30999999999995</v>
      </c>
    </row>
    <row r="5909" spans="1:12" hidden="1" outlineLevel="1" collapsed="1" x14ac:dyDescent="0.35">
      <c r="A5909" s="112" t="s">
        <v>4632</v>
      </c>
      <c r="B5909" s="112" t="s">
        <v>4644</v>
      </c>
      <c r="C5909" s="112" t="s">
        <v>1758</v>
      </c>
      <c r="D5909" s="113">
        <v>51366012</v>
      </c>
      <c r="E5909" s="115">
        <v>43928</v>
      </c>
      <c r="F5909" s="114">
        <v>202101</v>
      </c>
      <c r="G5909" s="112" t="s">
        <v>1091</v>
      </c>
      <c r="H5909" s="112" t="s">
        <v>1016</v>
      </c>
      <c r="I5909" s="112" t="s">
        <v>779</v>
      </c>
      <c r="J5909" s="112" t="s">
        <v>4645</v>
      </c>
      <c r="K5909" s="112" t="s">
        <v>4869</v>
      </c>
      <c r="L5909" s="116">
        <v>487.66</v>
      </c>
    </row>
    <row r="5910" spans="1:12" hidden="1" outlineLevel="1" collapsed="1" x14ac:dyDescent="0.35">
      <c r="A5910" s="112" t="s">
        <v>4632</v>
      </c>
      <c r="B5910" s="112" t="s">
        <v>4644</v>
      </c>
      <c r="C5910" s="112" t="s">
        <v>695</v>
      </c>
      <c r="D5910" s="113">
        <v>10348098</v>
      </c>
      <c r="E5910" s="115">
        <v>43929</v>
      </c>
      <c r="F5910" s="114">
        <v>202101</v>
      </c>
      <c r="G5910" s="112" t="s">
        <v>1091</v>
      </c>
      <c r="H5910" s="112" t="s">
        <v>1015</v>
      </c>
      <c r="I5910" s="112" t="s">
        <v>749</v>
      </c>
      <c r="J5910" s="112" t="s">
        <v>4645</v>
      </c>
      <c r="K5910" s="112" t="s">
        <v>4870</v>
      </c>
      <c r="L5910" s="116">
        <v>929.2</v>
      </c>
    </row>
    <row r="5911" spans="1:12" hidden="1" outlineLevel="1" collapsed="1" x14ac:dyDescent="0.35">
      <c r="A5911" s="112" t="s">
        <v>4632</v>
      </c>
      <c r="B5911" s="112" t="s">
        <v>4644</v>
      </c>
      <c r="C5911" s="112" t="s">
        <v>695</v>
      </c>
      <c r="D5911" s="113">
        <v>10348098</v>
      </c>
      <c r="E5911" s="115">
        <v>43929</v>
      </c>
      <c r="F5911" s="114">
        <v>202101</v>
      </c>
      <c r="G5911" s="112" t="s">
        <v>1091</v>
      </c>
      <c r="H5911" s="112" t="s">
        <v>1015</v>
      </c>
      <c r="I5911" s="112" t="s">
        <v>749</v>
      </c>
      <c r="J5911" s="112" t="s">
        <v>4645</v>
      </c>
      <c r="K5911" s="112" t="s">
        <v>4871</v>
      </c>
      <c r="L5911" s="116">
        <v>754.39</v>
      </c>
    </row>
    <row r="5912" spans="1:12" hidden="1" outlineLevel="1" collapsed="1" x14ac:dyDescent="0.35">
      <c r="A5912" s="112" t="s">
        <v>4632</v>
      </c>
      <c r="B5912" s="112" t="s">
        <v>4644</v>
      </c>
      <c r="C5912" s="112" t="s">
        <v>1518</v>
      </c>
      <c r="D5912" s="113">
        <v>51366011</v>
      </c>
      <c r="E5912" s="115">
        <v>43928</v>
      </c>
      <c r="F5912" s="114">
        <v>202101</v>
      </c>
      <c r="G5912" s="112" t="s">
        <v>1091</v>
      </c>
      <c r="H5912" s="112" t="s">
        <v>1016</v>
      </c>
      <c r="I5912" s="112" t="s">
        <v>779</v>
      </c>
      <c r="J5912" s="112" t="s">
        <v>4645</v>
      </c>
      <c r="K5912" s="112" t="s">
        <v>4872</v>
      </c>
      <c r="L5912" s="116">
        <v>-163.27000000000001</v>
      </c>
    </row>
    <row r="5913" spans="1:12" hidden="1" outlineLevel="1" collapsed="1" x14ac:dyDescent="0.35">
      <c r="A5913" s="112" t="s">
        <v>4632</v>
      </c>
      <c r="B5913" s="112" t="s">
        <v>4644</v>
      </c>
      <c r="C5913" s="112" t="s">
        <v>1758</v>
      </c>
      <c r="D5913" s="113">
        <v>51366010</v>
      </c>
      <c r="E5913" s="115">
        <v>43928</v>
      </c>
      <c r="F5913" s="114">
        <v>202101</v>
      </c>
      <c r="G5913" s="112" t="s">
        <v>1091</v>
      </c>
      <c r="H5913" s="112" t="s">
        <v>1016</v>
      </c>
      <c r="I5913" s="112" t="s">
        <v>779</v>
      </c>
      <c r="J5913" s="112" t="s">
        <v>4645</v>
      </c>
      <c r="K5913" s="112" t="s">
        <v>4873</v>
      </c>
      <c r="L5913" s="116">
        <v>31.35</v>
      </c>
    </row>
    <row r="5914" spans="1:12" hidden="1" outlineLevel="1" collapsed="1" x14ac:dyDescent="0.35">
      <c r="A5914" s="112" t="s">
        <v>4632</v>
      </c>
      <c r="B5914" s="112" t="s">
        <v>863</v>
      </c>
      <c r="C5914" s="112" t="s">
        <v>695</v>
      </c>
      <c r="D5914" s="113">
        <v>10348098</v>
      </c>
      <c r="E5914" s="115">
        <v>43929</v>
      </c>
      <c r="F5914" s="114">
        <v>202101</v>
      </c>
      <c r="G5914" s="112" t="s">
        <v>1091</v>
      </c>
      <c r="H5914" s="112" t="s">
        <v>1015</v>
      </c>
      <c r="I5914" s="112" t="s">
        <v>749</v>
      </c>
      <c r="J5914" s="112" t="s">
        <v>808</v>
      </c>
      <c r="K5914" s="112" t="s">
        <v>4874</v>
      </c>
      <c r="L5914" s="116">
        <v>2570.12</v>
      </c>
    </row>
    <row r="5915" spans="1:12" hidden="1" outlineLevel="1" collapsed="1" x14ac:dyDescent="0.35">
      <c r="A5915" s="112" t="s">
        <v>4632</v>
      </c>
      <c r="B5915" s="112" t="s">
        <v>4644</v>
      </c>
      <c r="C5915" s="112" t="s">
        <v>695</v>
      </c>
      <c r="D5915" s="113">
        <v>10348098</v>
      </c>
      <c r="E5915" s="115">
        <v>43929</v>
      </c>
      <c r="F5915" s="114">
        <v>202101</v>
      </c>
      <c r="G5915" s="112" t="s">
        <v>1091</v>
      </c>
      <c r="H5915" s="112" t="s">
        <v>1015</v>
      </c>
      <c r="I5915" s="112" t="s">
        <v>751</v>
      </c>
      <c r="J5915" s="112" t="s">
        <v>4645</v>
      </c>
      <c r="K5915" s="112" t="s">
        <v>4875</v>
      </c>
      <c r="L5915" s="116">
        <v>354.71</v>
      </c>
    </row>
    <row r="5916" spans="1:12" hidden="1" outlineLevel="1" collapsed="1" x14ac:dyDescent="0.35">
      <c r="A5916" s="112" t="s">
        <v>4632</v>
      </c>
      <c r="B5916" s="112" t="s">
        <v>4650</v>
      </c>
      <c r="C5916" s="112" t="s">
        <v>695</v>
      </c>
      <c r="D5916" s="113">
        <v>10348098</v>
      </c>
      <c r="E5916" s="115">
        <v>43929</v>
      </c>
      <c r="F5916" s="114">
        <v>202101</v>
      </c>
      <c r="G5916" s="112" t="s">
        <v>1091</v>
      </c>
      <c r="H5916" s="112" t="s">
        <v>1015</v>
      </c>
      <c r="I5916" s="112" t="s">
        <v>757</v>
      </c>
      <c r="J5916" s="112" t="s">
        <v>4651</v>
      </c>
      <c r="K5916" s="112" t="s">
        <v>4876</v>
      </c>
      <c r="L5916" s="116">
        <v>190.11</v>
      </c>
    </row>
    <row r="5917" spans="1:12" hidden="1" outlineLevel="1" collapsed="1" x14ac:dyDescent="0.35">
      <c r="A5917" s="112" t="s">
        <v>4632</v>
      </c>
      <c r="B5917" s="112" t="s">
        <v>4644</v>
      </c>
      <c r="C5917" s="112" t="s">
        <v>1518</v>
      </c>
      <c r="D5917" s="113">
        <v>51366007</v>
      </c>
      <c r="E5917" s="115">
        <v>43928</v>
      </c>
      <c r="F5917" s="114">
        <v>202101</v>
      </c>
      <c r="G5917" s="112" t="s">
        <v>1091</v>
      </c>
      <c r="H5917" s="112" t="s">
        <v>1016</v>
      </c>
      <c r="I5917" s="112" t="s">
        <v>779</v>
      </c>
      <c r="J5917" s="112" t="s">
        <v>4645</v>
      </c>
      <c r="K5917" s="112" t="s">
        <v>4877</v>
      </c>
      <c r="L5917" s="116">
        <v>-354.71</v>
      </c>
    </row>
    <row r="5918" spans="1:12" hidden="1" outlineLevel="1" collapsed="1" x14ac:dyDescent="0.35">
      <c r="A5918" s="112" t="s">
        <v>4632</v>
      </c>
      <c r="B5918" s="112" t="s">
        <v>4639</v>
      </c>
      <c r="C5918" s="112" t="s">
        <v>1518</v>
      </c>
      <c r="D5918" s="113">
        <v>51366045</v>
      </c>
      <c r="E5918" s="115">
        <v>43928</v>
      </c>
      <c r="F5918" s="114">
        <v>202101</v>
      </c>
      <c r="G5918" s="112" t="s">
        <v>1091</v>
      </c>
      <c r="H5918" s="112" t="s">
        <v>1016</v>
      </c>
      <c r="I5918" s="112" t="s">
        <v>779</v>
      </c>
      <c r="J5918" s="112" t="s">
        <v>4640</v>
      </c>
      <c r="K5918" s="112" t="s">
        <v>4878</v>
      </c>
      <c r="L5918" s="116">
        <v>-809.43</v>
      </c>
    </row>
    <row r="5919" spans="1:12" hidden="1" outlineLevel="1" collapsed="1" x14ac:dyDescent="0.35">
      <c r="A5919" s="112" t="s">
        <v>4632</v>
      </c>
      <c r="B5919" s="112" t="s">
        <v>4644</v>
      </c>
      <c r="C5919" s="112" t="s">
        <v>695</v>
      </c>
      <c r="D5919" s="113">
        <v>10348085</v>
      </c>
      <c r="E5919" s="115">
        <v>43923</v>
      </c>
      <c r="F5919" s="114">
        <v>202101</v>
      </c>
      <c r="G5919" s="112" t="s">
        <v>1091</v>
      </c>
      <c r="H5919" s="112" t="s">
        <v>1015</v>
      </c>
      <c r="I5919" s="112" t="s">
        <v>757</v>
      </c>
      <c r="J5919" s="112" t="s">
        <v>4645</v>
      </c>
      <c r="K5919" s="112" t="s">
        <v>4662</v>
      </c>
      <c r="L5919" s="116">
        <v>-53.06</v>
      </c>
    </row>
    <row r="5920" spans="1:12" hidden="1" outlineLevel="1" collapsed="1" x14ac:dyDescent="0.35">
      <c r="A5920" s="112" t="s">
        <v>4632</v>
      </c>
      <c r="B5920" s="112" t="s">
        <v>863</v>
      </c>
      <c r="C5920" s="112" t="s">
        <v>1119</v>
      </c>
      <c r="D5920" s="113">
        <v>10348598</v>
      </c>
      <c r="E5920" s="115">
        <v>43963</v>
      </c>
      <c r="F5920" s="114">
        <v>202101</v>
      </c>
      <c r="G5920" s="112" t="s">
        <v>1091</v>
      </c>
      <c r="H5920" s="112" t="s">
        <v>1016</v>
      </c>
      <c r="I5920" s="112" t="s">
        <v>781</v>
      </c>
      <c r="J5920" s="112" t="s">
        <v>802</v>
      </c>
      <c r="K5920" s="112" t="s">
        <v>4879</v>
      </c>
      <c r="L5920" s="116">
        <v>-1</v>
      </c>
    </row>
    <row r="5921" spans="1:12" hidden="1" outlineLevel="1" collapsed="1" x14ac:dyDescent="0.35">
      <c r="A5921" s="112" t="s">
        <v>4632</v>
      </c>
      <c r="B5921" s="112" t="s">
        <v>863</v>
      </c>
      <c r="C5921" s="112" t="s">
        <v>203</v>
      </c>
      <c r="D5921" s="113">
        <v>10348599</v>
      </c>
      <c r="E5921" s="115">
        <v>43963</v>
      </c>
      <c r="F5921" s="114">
        <v>202101</v>
      </c>
      <c r="G5921" s="112" t="s">
        <v>1091</v>
      </c>
      <c r="H5921" s="112" t="s">
        <v>1016</v>
      </c>
      <c r="I5921" s="112" t="s">
        <v>781</v>
      </c>
      <c r="J5921" s="112" t="s">
        <v>815</v>
      </c>
      <c r="K5921" s="112" t="s">
        <v>4880</v>
      </c>
      <c r="L5921" s="116">
        <v>-15</v>
      </c>
    </row>
    <row r="5922" spans="1:12" hidden="1" outlineLevel="1" collapsed="1" x14ac:dyDescent="0.35">
      <c r="A5922" s="112" t="s">
        <v>4632</v>
      </c>
      <c r="B5922" s="112" t="s">
        <v>863</v>
      </c>
      <c r="C5922" s="112" t="s">
        <v>203</v>
      </c>
      <c r="D5922" s="113">
        <v>10348599</v>
      </c>
      <c r="E5922" s="115">
        <v>43963</v>
      </c>
      <c r="F5922" s="114">
        <v>202101</v>
      </c>
      <c r="G5922" s="112" t="s">
        <v>1091</v>
      </c>
      <c r="H5922" s="112" t="s">
        <v>1016</v>
      </c>
      <c r="I5922" s="112" t="s">
        <v>781</v>
      </c>
      <c r="J5922" s="112" t="s">
        <v>815</v>
      </c>
      <c r="K5922" s="112" t="s">
        <v>4880</v>
      </c>
      <c r="L5922" s="116">
        <v>-5</v>
      </c>
    </row>
    <row r="5923" spans="1:12" hidden="1" outlineLevel="1" collapsed="1" x14ac:dyDescent="0.35">
      <c r="A5923" s="112" t="s">
        <v>4632</v>
      </c>
      <c r="B5923" s="112" t="s">
        <v>863</v>
      </c>
      <c r="C5923" s="112" t="s">
        <v>1119</v>
      </c>
      <c r="D5923" s="113">
        <v>10348598</v>
      </c>
      <c r="E5923" s="115">
        <v>43963</v>
      </c>
      <c r="F5923" s="114">
        <v>202101</v>
      </c>
      <c r="G5923" s="112" t="s">
        <v>1091</v>
      </c>
      <c r="H5923" s="112" t="s">
        <v>1016</v>
      </c>
      <c r="I5923" s="112" t="s">
        <v>781</v>
      </c>
      <c r="J5923" s="112" t="s">
        <v>815</v>
      </c>
      <c r="K5923" s="112" t="s">
        <v>4881</v>
      </c>
      <c r="L5923" s="116">
        <v>-479.4</v>
      </c>
    </row>
    <row r="5924" spans="1:12" hidden="1" outlineLevel="1" collapsed="1" x14ac:dyDescent="0.35">
      <c r="A5924" s="112" t="s">
        <v>4632</v>
      </c>
      <c r="B5924" s="112" t="s">
        <v>863</v>
      </c>
      <c r="C5924" s="112" t="s">
        <v>1119</v>
      </c>
      <c r="D5924" s="113">
        <v>10348598</v>
      </c>
      <c r="E5924" s="115">
        <v>43963</v>
      </c>
      <c r="F5924" s="114">
        <v>202101</v>
      </c>
      <c r="G5924" s="112" t="s">
        <v>1091</v>
      </c>
      <c r="H5924" s="112" t="s">
        <v>1016</v>
      </c>
      <c r="I5924" s="112" t="s">
        <v>781</v>
      </c>
      <c r="J5924" s="112" t="s">
        <v>808</v>
      </c>
      <c r="K5924" s="112" t="s">
        <v>4882</v>
      </c>
      <c r="L5924" s="116">
        <v>-61</v>
      </c>
    </row>
    <row r="5925" spans="1:12" hidden="1" outlineLevel="1" collapsed="1" x14ac:dyDescent="0.35">
      <c r="A5925" s="112" t="s">
        <v>4632</v>
      </c>
      <c r="B5925" s="112" t="s">
        <v>863</v>
      </c>
      <c r="C5925" s="112" t="s">
        <v>203</v>
      </c>
      <c r="D5925" s="113">
        <v>10348599</v>
      </c>
      <c r="E5925" s="115">
        <v>43963</v>
      </c>
      <c r="F5925" s="114">
        <v>202101</v>
      </c>
      <c r="G5925" s="112" t="s">
        <v>1091</v>
      </c>
      <c r="H5925" s="112" t="s">
        <v>1016</v>
      </c>
      <c r="I5925" s="112" t="s">
        <v>781</v>
      </c>
      <c r="J5925" s="112" t="s">
        <v>833</v>
      </c>
      <c r="K5925" s="112" t="s">
        <v>4880</v>
      </c>
      <c r="L5925" s="116">
        <v>-235</v>
      </c>
    </row>
    <row r="5926" spans="1:12" hidden="1" outlineLevel="1" collapsed="1" x14ac:dyDescent="0.35">
      <c r="A5926" s="112" t="s">
        <v>4632</v>
      </c>
      <c r="B5926" s="112" t="s">
        <v>863</v>
      </c>
      <c r="C5926" s="112" t="s">
        <v>1119</v>
      </c>
      <c r="D5926" s="113">
        <v>10348598</v>
      </c>
      <c r="E5926" s="115">
        <v>43963</v>
      </c>
      <c r="F5926" s="114">
        <v>202101</v>
      </c>
      <c r="G5926" s="112" t="s">
        <v>1091</v>
      </c>
      <c r="H5926" s="112" t="s">
        <v>1016</v>
      </c>
      <c r="I5926" s="112" t="s">
        <v>781</v>
      </c>
      <c r="J5926" s="112" t="s">
        <v>833</v>
      </c>
      <c r="K5926" s="112" t="s">
        <v>4883</v>
      </c>
      <c r="L5926" s="116">
        <v>-386.6</v>
      </c>
    </row>
    <row r="5927" spans="1:12" hidden="1" outlineLevel="1" collapsed="1" x14ac:dyDescent="0.35">
      <c r="A5927" s="112" t="s">
        <v>4632</v>
      </c>
      <c r="B5927" s="112" t="s">
        <v>863</v>
      </c>
      <c r="C5927" s="112" t="s">
        <v>1119</v>
      </c>
      <c r="D5927" s="113">
        <v>10348598</v>
      </c>
      <c r="E5927" s="115">
        <v>43963</v>
      </c>
      <c r="F5927" s="114">
        <v>202101</v>
      </c>
      <c r="G5927" s="112" t="s">
        <v>1091</v>
      </c>
      <c r="H5927" s="112" t="s">
        <v>1016</v>
      </c>
      <c r="I5927" s="112" t="s">
        <v>781</v>
      </c>
      <c r="J5927" s="112" t="s">
        <v>831</v>
      </c>
      <c r="K5927" s="112" t="s">
        <v>4884</v>
      </c>
      <c r="L5927" s="116">
        <v>-1856.1</v>
      </c>
    </row>
    <row r="5928" spans="1:12" hidden="1" outlineLevel="1" collapsed="1" x14ac:dyDescent="0.35">
      <c r="A5928" s="112" t="s">
        <v>4632</v>
      </c>
      <c r="B5928" s="112" t="s">
        <v>863</v>
      </c>
      <c r="C5928" s="112" t="s">
        <v>1119</v>
      </c>
      <c r="D5928" s="113">
        <v>10348598</v>
      </c>
      <c r="E5928" s="115">
        <v>43963</v>
      </c>
      <c r="F5928" s="114">
        <v>202101</v>
      </c>
      <c r="G5928" s="112" t="s">
        <v>1091</v>
      </c>
      <c r="H5928" s="112" t="s">
        <v>1016</v>
      </c>
      <c r="I5928" s="112" t="s">
        <v>781</v>
      </c>
      <c r="J5928" s="112" t="s">
        <v>829</v>
      </c>
      <c r="K5928" s="112" t="s">
        <v>4885</v>
      </c>
      <c r="L5928" s="116">
        <v>-899.5</v>
      </c>
    </row>
    <row r="5929" spans="1:12" hidden="1" outlineLevel="1" collapsed="1" x14ac:dyDescent="0.35">
      <c r="A5929" s="112" t="s">
        <v>4632</v>
      </c>
      <c r="B5929" s="112" t="s">
        <v>863</v>
      </c>
      <c r="C5929" s="112" t="s">
        <v>1119</v>
      </c>
      <c r="D5929" s="113">
        <v>10348598</v>
      </c>
      <c r="E5929" s="115">
        <v>43963</v>
      </c>
      <c r="F5929" s="114">
        <v>202101</v>
      </c>
      <c r="G5929" s="112" t="s">
        <v>1091</v>
      </c>
      <c r="H5929" s="112" t="s">
        <v>1016</v>
      </c>
      <c r="I5929" s="112" t="s">
        <v>781</v>
      </c>
      <c r="J5929" s="112" t="s">
        <v>838</v>
      </c>
      <c r="K5929" s="112" t="s">
        <v>4886</v>
      </c>
      <c r="L5929" s="116">
        <v>-200.7</v>
      </c>
    </row>
    <row r="5930" spans="1:12" hidden="1" outlineLevel="1" collapsed="1" x14ac:dyDescent="0.35">
      <c r="A5930" s="112" t="s">
        <v>4632</v>
      </c>
      <c r="B5930" s="112" t="s">
        <v>863</v>
      </c>
      <c r="C5930" s="112" t="s">
        <v>1119</v>
      </c>
      <c r="D5930" s="113">
        <v>10348598</v>
      </c>
      <c r="E5930" s="115">
        <v>43963</v>
      </c>
      <c r="F5930" s="114">
        <v>202101</v>
      </c>
      <c r="G5930" s="112" t="s">
        <v>1091</v>
      </c>
      <c r="H5930" s="112" t="s">
        <v>1016</v>
      </c>
      <c r="I5930" s="112" t="s">
        <v>781</v>
      </c>
      <c r="J5930" s="112" t="s">
        <v>840</v>
      </c>
      <c r="K5930" s="112" t="s">
        <v>4887</v>
      </c>
      <c r="L5930" s="116">
        <v>-243.8</v>
      </c>
    </row>
    <row r="5931" spans="1:12" hidden="1" outlineLevel="1" collapsed="1" x14ac:dyDescent="0.35">
      <c r="A5931" s="112" t="s">
        <v>4632</v>
      </c>
      <c r="B5931" s="112" t="s">
        <v>863</v>
      </c>
      <c r="C5931" s="112" t="s">
        <v>1119</v>
      </c>
      <c r="D5931" s="113">
        <v>10348598</v>
      </c>
      <c r="E5931" s="115">
        <v>43963</v>
      </c>
      <c r="F5931" s="114">
        <v>202101</v>
      </c>
      <c r="G5931" s="112" t="s">
        <v>1091</v>
      </c>
      <c r="H5931" s="112" t="s">
        <v>1016</v>
      </c>
      <c r="I5931" s="112" t="s">
        <v>781</v>
      </c>
      <c r="J5931" s="112" t="s">
        <v>842</v>
      </c>
      <c r="K5931" s="112" t="s">
        <v>4888</v>
      </c>
      <c r="L5931" s="116">
        <v>-49.4</v>
      </c>
    </row>
    <row r="5932" spans="1:12" hidden="1" outlineLevel="1" collapsed="1" x14ac:dyDescent="0.35">
      <c r="A5932" s="112" t="s">
        <v>4632</v>
      </c>
      <c r="B5932" s="112" t="s">
        <v>863</v>
      </c>
      <c r="C5932" s="112" t="s">
        <v>1119</v>
      </c>
      <c r="D5932" s="113">
        <v>10348598</v>
      </c>
      <c r="E5932" s="115">
        <v>43963</v>
      </c>
      <c r="F5932" s="114">
        <v>202101</v>
      </c>
      <c r="G5932" s="112" t="s">
        <v>1091</v>
      </c>
      <c r="H5932" s="112" t="s">
        <v>1016</v>
      </c>
      <c r="I5932" s="112" t="s">
        <v>781</v>
      </c>
      <c r="J5932" s="112" t="s">
        <v>835</v>
      </c>
      <c r="K5932" s="112" t="s">
        <v>4889</v>
      </c>
      <c r="L5932" s="116">
        <v>-86.3</v>
      </c>
    </row>
    <row r="5933" spans="1:12" hidden="1" outlineLevel="1" collapsed="1" x14ac:dyDescent="0.35">
      <c r="A5933" s="112" t="s">
        <v>4632</v>
      </c>
      <c r="B5933" s="112" t="s">
        <v>863</v>
      </c>
      <c r="C5933" s="112" t="s">
        <v>1119</v>
      </c>
      <c r="D5933" s="113">
        <v>10348598</v>
      </c>
      <c r="E5933" s="115">
        <v>43963</v>
      </c>
      <c r="F5933" s="114">
        <v>202101</v>
      </c>
      <c r="G5933" s="112" t="s">
        <v>1091</v>
      </c>
      <c r="H5933" s="112" t="s">
        <v>1016</v>
      </c>
      <c r="I5933" s="112" t="s">
        <v>781</v>
      </c>
      <c r="J5933" s="112" t="s">
        <v>798</v>
      </c>
      <c r="K5933" s="112" t="s">
        <v>4890</v>
      </c>
      <c r="L5933" s="116">
        <v>-74.2</v>
      </c>
    </row>
    <row r="5934" spans="1:12" hidden="1" outlineLevel="1" collapsed="1" x14ac:dyDescent="0.35">
      <c r="A5934" s="112" t="s">
        <v>4632</v>
      </c>
      <c r="B5934" s="112" t="s">
        <v>863</v>
      </c>
      <c r="C5934" s="112" t="s">
        <v>1119</v>
      </c>
      <c r="D5934" s="113">
        <v>10348598</v>
      </c>
      <c r="E5934" s="115">
        <v>43963</v>
      </c>
      <c r="F5934" s="114">
        <v>202101</v>
      </c>
      <c r="G5934" s="112" t="s">
        <v>1091</v>
      </c>
      <c r="H5934" s="112" t="s">
        <v>1016</v>
      </c>
      <c r="I5934" s="112" t="s">
        <v>781</v>
      </c>
      <c r="J5934" s="112" t="s">
        <v>821</v>
      </c>
      <c r="K5934" s="112" t="s">
        <v>4891</v>
      </c>
      <c r="L5934" s="116">
        <v>-90.3</v>
      </c>
    </row>
    <row r="5935" spans="1:12" hidden="1" outlineLevel="1" collapsed="1" x14ac:dyDescent="0.35">
      <c r="A5935" s="112" t="s">
        <v>4632</v>
      </c>
      <c r="B5935" s="112" t="s">
        <v>863</v>
      </c>
      <c r="C5935" s="112" t="s">
        <v>1119</v>
      </c>
      <c r="D5935" s="113">
        <v>10348598</v>
      </c>
      <c r="E5935" s="115">
        <v>43963</v>
      </c>
      <c r="F5935" s="114">
        <v>202101</v>
      </c>
      <c r="G5935" s="112" t="s">
        <v>1091</v>
      </c>
      <c r="H5935" s="112" t="s">
        <v>1016</v>
      </c>
      <c r="I5935" s="112" t="s">
        <v>781</v>
      </c>
      <c r="J5935" s="112" t="s">
        <v>796</v>
      </c>
      <c r="K5935" s="112" t="s">
        <v>4892</v>
      </c>
      <c r="L5935" s="116">
        <v>-64.599999999999994</v>
      </c>
    </row>
    <row r="5936" spans="1:12" hidden="1" outlineLevel="1" collapsed="1" x14ac:dyDescent="0.35">
      <c r="A5936" s="112" t="s">
        <v>4632</v>
      </c>
      <c r="B5936" s="112" t="s">
        <v>863</v>
      </c>
      <c r="C5936" s="112" t="s">
        <v>1119</v>
      </c>
      <c r="D5936" s="113">
        <v>10348598</v>
      </c>
      <c r="E5936" s="115">
        <v>43963</v>
      </c>
      <c r="F5936" s="114">
        <v>202101</v>
      </c>
      <c r="G5936" s="112" t="s">
        <v>1091</v>
      </c>
      <c r="H5936" s="112" t="s">
        <v>1016</v>
      </c>
      <c r="I5936" s="112" t="s">
        <v>781</v>
      </c>
      <c r="J5936" s="112" t="s">
        <v>793</v>
      </c>
      <c r="K5936" s="112" t="s">
        <v>4893</v>
      </c>
      <c r="L5936" s="116">
        <v>-227</v>
      </c>
    </row>
    <row r="5937" spans="1:12" hidden="1" outlineLevel="1" collapsed="1" x14ac:dyDescent="0.35">
      <c r="A5937" s="112" t="s">
        <v>4632</v>
      </c>
      <c r="B5937" s="112" t="s">
        <v>863</v>
      </c>
      <c r="C5937" s="112" t="s">
        <v>1119</v>
      </c>
      <c r="D5937" s="113">
        <v>10348598</v>
      </c>
      <c r="E5937" s="115">
        <v>43963</v>
      </c>
      <c r="F5937" s="114">
        <v>202101</v>
      </c>
      <c r="G5937" s="112" t="s">
        <v>1091</v>
      </c>
      <c r="H5937" s="112" t="s">
        <v>1016</v>
      </c>
      <c r="I5937" s="112" t="s">
        <v>781</v>
      </c>
      <c r="J5937" s="112" t="s">
        <v>825</v>
      </c>
      <c r="K5937" s="112" t="s">
        <v>4894</v>
      </c>
      <c r="L5937" s="116">
        <v>-466.9</v>
      </c>
    </row>
    <row r="5938" spans="1:12" hidden="1" outlineLevel="1" collapsed="1" x14ac:dyDescent="0.35">
      <c r="A5938" s="112" t="s">
        <v>4632</v>
      </c>
      <c r="B5938" s="112" t="s">
        <v>4688</v>
      </c>
      <c r="C5938" s="112" t="s">
        <v>203</v>
      </c>
      <c r="D5938" s="113">
        <v>10348517</v>
      </c>
      <c r="E5938" s="115">
        <v>43950</v>
      </c>
      <c r="F5938" s="114">
        <v>202101</v>
      </c>
      <c r="G5938" s="112" t="s">
        <v>1091</v>
      </c>
      <c r="H5938" s="112" t="s">
        <v>1016</v>
      </c>
      <c r="I5938" s="112" t="s">
        <v>4689</v>
      </c>
      <c r="J5938" s="112" t="s">
        <v>4690</v>
      </c>
      <c r="K5938" s="112" t="s">
        <v>4895</v>
      </c>
      <c r="L5938" s="116">
        <v>100</v>
      </c>
    </row>
    <row r="5939" spans="1:12" hidden="1" outlineLevel="1" collapsed="1" x14ac:dyDescent="0.35">
      <c r="A5939" s="112" t="s">
        <v>4632</v>
      </c>
      <c r="B5939" s="112" t="s">
        <v>4644</v>
      </c>
      <c r="C5939" s="112" t="s">
        <v>695</v>
      </c>
      <c r="D5939" s="113">
        <v>10348085</v>
      </c>
      <c r="E5939" s="115">
        <v>43923</v>
      </c>
      <c r="F5939" s="114">
        <v>202101</v>
      </c>
      <c r="G5939" s="112" t="s">
        <v>1091</v>
      </c>
      <c r="H5939" s="112" t="s">
        <v>1015</v>
      </c>
      <c r="I5939" s="112" t="s">
        <v>757</v>
      </c>
      <c r="J5939" s="112" t="s">
        <v>4645</v>
      </c>
      <c r="K5939" s="112" t="s">
        <v>4662</v>
      </c>
      <c r="L5939" s="116">
        <v>-965.97</v>
      </c>
    </row>
    <row r="5940" spans="1:12" hidden="1" outlineLevel="1" collapsed="1" x14ac:dyDescent="0.35">
      <c r="A5940" s="112" t="s">
        <v>4632</v>
      </c>
      <c r="B5940" s="112" t="s">
        <v>4644</v>
      </c>
      <c r="C5940" s="112" t="s">
        <v>695</v>
      </c>
      <c r="D5940" s="113">
        <v>10348085</v>
      </c>
      <c r="E5940" s="115">
        <v>43923</v>
      </c>
      <c r="F5940" s="114">
        <v>202101</v>
      </c>
      <c r="G5940" s="112" t="s">
        <v>1091</v>
      </c>
      <c r="H5940" s="112" t="s">
        <v>1015</v>
      </c>
      <c r="I5940" s="112" t="s">
        <v>757</v>
      </c>
      <c r="J5940" s="112" t="s">
        <v>4645</v>
      </c>
      <c r="K5940" s="112" t="s">
        <v>4662</v>
      </c>
      <c r="L5940" s="116">
        <v>85.45</v>
      </c>
    </row>
    <row r="5941" spans="1:12" hidden="1" outlineLevel="1" collapsed="1" x14ac:dyDescent="0.35">
      <c r="A5941" s="112" t="s">
        <v>4632</v>
      </c>
      <c r="B5941" s="112" t="s">
        <v>4644</v>
      </c>
      <c r="C5941" s="112" t="s">
        <v>695</v>
      </c>
      <c r="D5941" s="113">
        <v>10348085</v>
      </c>
      <c r="E5941" s="115">
        <v>43923</v>
      </c>
      <c r="F5941" s="114">
        <v>202101</v>
      </c>
      <c r="G5941" s="112" t="s">
        <v>1091</v>
      </c>
      <c r="H5941" s="112" t="s">
        <v>1015</v>
      </c>
      <c r="I5941" s="112" t="s">
        <v>757</v>
      </c>
      <c r="J5941" s="112" t="s">
        <v>4645</v>
      </c>
      <c r="K5941" s="112" t="s">
        <v>4662</v>
      </c>
      <c r="L5941" s="116">
        <v>-337.35</v>
      </c>
    </row>
    <row r="5942" spans="1:12" hidden="1" outlineLevel="1" collapsed="1" x14ac:dyDescent="0.35">
      <c r="A5942" s="112" t="s">
        <v>4632</v>
      </c>
      <c r="B5942" s="112" t="s">
        <v>4644</v>
      </c>
      <c r="C5942" s="112" t="s">
        <v>695</v>
      </c>
      <c r="D5942" s="113">
        <v>10348085</v>
      </c>
      <c r="E5942" s="115">
        <v>43923</v>
      </c>
      <c r="F5942" s="114">
        <v>202101</v>
      </c>
      <c r="G5942" s="112" t="s">
        <v>1091</v>
      </c>
      <c r="H5942" s="112" t="s">
        <v>1015</v>
      </c>
      <c r="I5942" s="112" t="s">
        <v>757</v>
      </c>
      <c r="J5942" s="112" t="s">
        <v>4645</v>
      </c>
      <c r="K5942" s="112" t="s">
        <v>4662</v>
      </c>
      <c r="L5942" s="116">
        <v>808.7</v>
      </c>
    </row>
    <row r="5943" spans="1:12" hidden="1" outlineLevel="1" collapsed="1" x14ac:dyDescent="0.35">
      <c r="A5943" s="112" t="s">
        <v>4632</v>
      </c>
      <c r="B5943" s="112" t="s">
        <v>4644</v>
      </c>
      <c r="C5943" s="112" t="s">
        <v>695</v>
      </c>
      <c r="D5943" s="113">
        <v>10348085</v>
      </c>
      <c r="E5943" s="115">
        <v>43923</v>
      </c>
      <c r="F5943" s="114">
        <v>202101</v>
      </c>
      <c r="G5943" s="112" t="s">
        <v>1091</v>
      </c>
      <c r="H5943" s="112" t="s">
        <v>1015</v>
      </c>
      <c r="I5943" s="112" t="s">
        <v>757</v>
      </c>
      <c r="J5943" s="112" t="s">
        <v>4645</v>
      </c>
      <c r="K5943" s="112" t="s">
        <v>4662</v>
      </c>
      <c r="L5943" s="116">
        <v>-49.46</v>
      </c>
    </row>
    <row r="5944" spans="1:12" hidden="1" outlineLevel="1" collapsed="1" x14ac:dyDescent="0.35">
      <c r="A5944" s="112" t="s">
        <v>4632</v>
      </c>
      <c r="B5944" s="112" t="s">
        <v>4644</v>
      </c>
      <c r="C5944" s="112" t="s">
        <v>695</v>
      </c>
      <c r="D5944" s="113">
        <v>10348085</v>
      </c>
      <c r="E5944" s="115">
        <v>43923</v>
      </c>
      <c r="F5944" s="114">
        <v>202101</v>
      </c>
      <c r="G5944" s="112" t="s">
        <v>1091</v>
      </c>
      <c r="H5944" s="112" t="s">
        <v>1015</v>
      </c>
      <c r="I5944" s="112" t="s">
        <v>751</v>
      </c>
      <c r="J5944" s="112" t="s">
        <v>4645</v>
      </c>
      <c r="K5944" s="112" t="s">
        <v>4662</v>
      </c>
      <c r="L5944" s="116">
        <v>-29.62</v>
      </c>
    </row>
    <row r="5945" spans="1:12" hidden="1" outlineLevel="1" collapsed="1" x14ac:dyDescent="0.35">
      <c r="A5945" s="112" t="s">
        <v>4632</v>
      </c>
      <c r="B5945" s="112" t="s">
        <v>4644</v>
      </c>
      <c r="C5945" s="112" t="s">
        <v>695</v>
      </c>
      <c r="D5945" s="113">
        <v>10348085</v>
      </c>
      <c r="E5945" s="115">
        <v>43923</v>
      </c>
      <c r="F5945" s="114">
        <v>202101</v>
      </c>
      <c r="G5945" s="112" t="s">
        <v>1091</v>
      </c>
      <c r="H5945" s="112" t="s">
        <v>1015</v>
      </c>
      <c r="I5945" s="112" t="s">
        <v>751</v>
      </c>
      <c r="J5945" s="112" t="s">
        <v>4645</v>
      </c>
      <c r="K5945" s="112" t="s">
        <v>4662</v>
      </c>
      <c r="L5945" s="116">
        <v>-66.81</v>
      </c>
    </row>
    <row r="5946" spans="1:12" hidden="1" outlineLevel="1" collapsed="1" x14ac:dyDescent="0.35">
      <c r="A5946" s="112" t="s">
        <v>4632</v>
      </c>
      <c r="B5946" s="112" t="s">
        <v>4644</v>
      </c>
      <c r="C5946" s="112" t="s">
        <v>695</v>
      </c>
      <c r="D5946" s="113">
        <v>10348085</v>
      </c>
      <c r="E5946" s="115">
        <v>43923</v>
      </c>
      <c r="F5946" s="114">
        <v>202101</v>
      </c>
      <c r="G5946" s="112" t="s">
        <v>1091</v>
      </c>
      <c r="H5946" s="112" t="s">
        <v>1015</v>
      </c>
      <c r="I5946" s="112" t="s">
        <v>751</v>
      </c>
      <c r="J5946" s="112" t="s">
        <v>4645</v>
      </c>
      <c r="K5946" s="112" t="s">
        <v>4662</v>
      </c>
      <c r="L5946" s="116">
        <v>-124.52</v>
      </c>
    </row>
    <row r="5947" spans="1:12" hidden="1" outlineLevel="1" collapsed="1" x14ac:dyDescent="0.35">
      <c r="A5947" s="112" t="s">
        <v>4632</v>
      </c>
      <c r="B5947" s="112" t="s">
        <v>4644</v>
      </c>
      <c r="C5947" s="112" t="s">
        <v>695</v>
      </c>
      <c r="D5947" s="113">
        <v>10348085</v>
      </c>
      <c r="E5947" s="115">
        <v>43923</v>
      </c>
      <c r="F5947" s="114">
        <v>202101</v>
      </c>
      <c r="G5947" s="112" t="s">
        <v>1091</v>
      </c>
      <c r="H5947" s="112" t="s">
        <v>1015</v>
      </c>
      <c r="I5947" s="112" t="s">
        <v>749</v>
      </c>
      <c r="J5947" s="112" t="s">
        <v>4645</v>
      </c>
      <c r="K5947" s="112" t="s">
        <v>4662</v>
      </c>
      <c r="L5947" s="116">
        <v>20.51</v>
      </c>
    </row>
    <row r="5948" spans="1:12" hidden="1" outlineLevel="1" collapsed="1" x14ac:dyDescent="0.35">
      <c r="A5948" s="112" t="s">
        <v>4632</v>
      </c>
      <c r="B5948" s="112" t="s">
        <v>4644</v>
      </c>
      <c r="C5948" s="112" t="s">
        <v>695</v>
      </c>
      <c r="D5948" s="113">
        <v>10348085</v>
      </c>
      <c r="E5948" s="115">
        <v>43923</v>
      </c>
      <c r="F5948" s="114">
        <v>202101</v>
      </c>
      <c r="G5948" s="112" t="s">
        <v>1091</v>
      </c>
      <c r="H5948" s="112" t="s">
        <v>1015</v>
      </c>
      <c r="I5948" s="112" t="s">
        <v>749</v>
      </c>
      <c r="J5948" s="112" t="s">
        <v>4645</v>
      </c>
      <c r="K5948" s="112" t="s">
        <v>4662</v>
      </c>
      <c r="L5948" s="116">
        <v>-231.53</v>
      </c>
    </row>
    <row r="5949" spans="1:12" hidden="1" outlineLevel="1" collapsed="1" x14ac:dyDescent="0.35">
      <c r="A5949" s="112" t="s">
        <v>4632</v>
      </c>
      <c r="B5949" s="112" t="s">
        <v>863</v>
      </c>
      <c r="C5949" s="112" t="s">
        <v>695</v>
      </c>
      <c r="D5949" s="113">
        <v>10348085</v>
      </c>
      <c r="E5949" s="115">
        <v>43923</v>
      </c>
      <c r="F5949" s="114">
        <v>202101</v>
      </c>
      <c r="G5949" s="112" t="s">
        <v>1091</v>
      </c>
      <c r="H5949" s="112" t="s">
        <v>1015</v>
      </c>
      <c r="I5949" s="112" t="s">
        <v>749</v>
      </c>
      <c r="J5949" s="112" t="s">
        <v>831</v>
      </c>
      <c r="K5949" s="112" t="s">
        <v>4662</v>
      </c>
      <c r="L5949" s="116">
        <v>-52.41</v>
      </c>
    </row>
    <row r="5950" spans="1:12" hidden="1" outlineLevel="1" collapsed="1" x14ac:dyDescent="0.35">
      <c r="A5950" s="112" t="s">
        <v>4632</v>
      </c>
      <c r="B5950" s="112" t="s">
        <v>4650</v>
      </c>
      <c r="C5950" s="112" t="s">
        <v>695</v>
      </c>
      <c r="D5950" s="113">
        <v>10348085</v>
      </c>
      <c r="E5950" s="115">
        <v>43923</v>
      </c>
      <c r="F5950" s="114">
        <v>202101</v>
      </c>
      <c r="G5950" s="112" t="s">
        <v>1091</v>
      </c>
      <c r="H5950" s="112" t="s">
        <v>1015</v>
      </c>
      <c r="I5950" s="112" t="s">
        <v>749</v>
      </c>
      <c r="J5950" s="112" t="s">
        <v>4651</v>
      </c>
      <c r="K5950" s="112" t="s">
        <v>4662</v>
      </c>
      <c r="L5950" s="116">
        <v>-134.16999999999999</v>
      </c>
    </row>
    <row r="5951" spans="1:12" hidden="1" outlineLevel="1" collapsed="1" x14ac:dyDescent="0.35">
      <c r="A5951" s="112" t="s">
        <v>4632</v>
      </c>
      <c r="B5951" s="112" t="s">
        <v>4650</v>
      </c>
      <c r="C5951" s="112" t="s">
        <v>695</v>
      </c>
      <c r="D5951" s="113">
        <v>10348085</v>
      </c>
      <c r="E5951" s="115">
        <v>43923</v>
      </c>
      <c r="F5951" s="114">
        <v>202101</v>
      </c>
      <c r="G5951" s="112" t="s">
        <v>1091</v>
      </c>
      <c r="H5951" s="112" t="s">
        <v>1015</v>
      </c>
      <c r="I5951" s="112" t="s">
        <v>749</v>
      </c>
      <c r="J5951" s="112" t="s">
        <v>4651</v>
      </c>
      <c r="K5951" s="112" t="s">
        <v>4662</v>
      </c>
      <c r="L5951" s="116">
        <v>-155.22</v>
      </c>
    </row>
    <row r="5952" spans="1:12" hidden="1" outlineLevel="1" collapsed="1" x14ac:dyDescent="0.35">
      <c r="A5952" s="112" t="s">
        <v>4632</v>
      </c>
      <c r="B5952" s="112" t="s">
        <v>4650</v>
      </c>
      <c r="C5952" s="112" t="s">
        <v>695</v>
      </c>
      <c r="D5952" s="113">
        <v>10348085</v>
      </c>
      <c r="E5952" s="115">
        <v>43923</v>
      </c>
      <c r="F5952" s="114">
        <v>202101</v>
      </c>
      <c r="G5952" s="112" t="s">
        <v>1091</v>
      </c>
      <c r="H5952" s="112" t="s">
        <v>1015</v>
      </c>
      <c r="I5952" s="112" t="s">
        <v>757</v>
      </c>
      <c r="J5952" s="112" t="s">
        <v>4651</v>
      </c>
      <c r="K5952" s="112" t="s">
        <v>4662</v>
      </c>
      <c r="L5952" s="116">
        <v>-2293.4899999999998</v>
      </c>
    </row>
    <row r="5953" spans="1:12" hidden="1" outlineLevel="1" collapsed="1" x14ac:dyDescent="0.35">
      <c r="A5953" s="112" t="s">
        <v>4632</v>
      </c>
      <c r="B5953" s="112" t="s">
        <v>863</v>
      </c>
      <c r="C5953" s="112" t="s">
        <v>695</v>
      </c>
      <c r="D5953" s="113">
        <v>10348085</v>
      </c>
      <c r="E5953" s="115">
        <v>43923</v>
      </c>
      <c r="F5953" s="114">
        <v>202101</v>
      </c>
      <c r="G5953" s="112" t="s">
        <v>1091</v>
      </c>
      <c r="H5953" s="112" t="s">
        <v>1015</v>
      </c>
      <c r="I5953" s="112" t="s">
        <v>757</v>
      </c>
      <c r="J5953" s="112" t="s">
        <v>815</v>
      </c>
      <c r="K5953" s="112" t="s">
        <v>4662</v>
      </c>
      <c r="L5953" s="116">
        <v>-412.85</v>
      </c>
    </row>
    <row r="5954" spans="1:12" hidden="1" outlineLevel="1" collapsed="1" x14ac:dyDescent="0.35">
      <c r="A5954" s="112" t="s">
        <v>4632</v>
      </c>
      <c r="B5954" s="112" t="s">
        <v>863</v>
      </c>
      <c r="C5954" s="112" t="s">
        <v>695</v>
      </c>
      <c r="D5954" s="113">
        <v>10348085</v>
      </c>
      <c r="E5954" s="115">
        <v>43923</v>
      </c>
      <c r="F5954" s="114">
        <v>202101</v>
      </c>
      <c r="G5954" s="112" t="s">
        <v>1091</v>
      </c>
      <c r="H5954" s="112" t="s">
        <v>1015</v>
      </c>
      <c r="I5954" s="112" t="s">
        <v>757</v>
      </c>
      <c r="J5954" s="112" t="s">
        <v>815</v>
      </c>
      <c r="K5954" s="112" t="s">
        <v>4662</v>
      </c>
      <c r="L5954" s="116">
        <v>-695.82</v>
      </c>
    </row>
    <row r="5955" spans="1:12" hidden="1" outlineLevel="1" collapsed="1" x14ac:dyDescent="0.35">
      <c r="A5955" s="112" t="s">
        <v>4632</v>
      </c>
      <c r="B5955" s="112" t="s">
        <v>863</v>
      </c>
      <c r="C5955" s="112" t="s">
        <v>203</v>
      </c>
      <c r="D5955" s="113">
        <v>10348599</v>
      </c>
      <c r="E5955" s="115">
        <v>43963</v>
      </c>
      <c r="F5955" s="114">
        <v>202101</v>
      </c>
      <c r="G5955" s="112" t="s">
        <v>1091</v>
      </c>
      <c r="H5955" s="112" t="s">
        <v>1016</v>
      </c>
      <c r="I5955" s="112" t="s">
        <v>781</v>
      </c>
      <c r="J5955" s="112" t="s">
        <v>858</v>
      </c>
      <c r="K5955" s="112" t="s">
        <v>4880</v>
      </c>
      <c r="L5955" s="116">
        <v>-80.83</v>
      </c>
    </row>
    <row r="5956" spans="1:12" hidden="1" outlineLevel="1" collapsed="1" x14ac:dyDescent="0.35">
      <c r="A5956" s="112" t="s">
        <v>4632</v>
      </c>
      <c r="B5956" s="112" t="s">
        <v>4644</v>
      </c>
      <c r="C5956" s="112" t="s">
        <v>695</v>
      </c>
      <c r="D5956" s="113">
        <v>10348085</v>
      </c>
      <c r="E5956" s="115">
        <v>43923</v>
      </c>
      <c r="F5956" s="114">
        <v>202101</v>
      </c>
      <c r="G5956" s="112" t="s">
        <v>1091</v>
      </c>
      <c r="H5956" s="112" t="s">
        <v>1015</v>
      </c>
      <c r="I5956" s="112" t="s">
        <v>757</v>
      </c>
      <c r="J5956" s="112" t="s">
        <v>4645</v>
      </c>
      <c r="K5956" s="112" t="s">
        <v>4662</v>
      </c>
      <c r="L5956" s="116">
        <v>-82.35</v>
      </c>
    </row>
    <row r="5957" spans="1:12" hidden="1" outlineLevel="1" collapsed="1" x14ac:dyDescent="0.35">
      <c r="A5957" s="112" t="s">
        <v>4632</v>
      </c>
      <c r="B5957" s="112" t="s">
        <v>863</v>
      </c>
      <c r="C5957" s="112" t="s">
        <v>695</v>
      </c>
      <c r="D5957" s="113">
        <v>10348117</v>
      </c>
      <c r="E5957" s="115">
        <v>43930</v>
      </c>
      <c r="F5957" s="114">
        <v>202101</v>
      </c>
      <c r="G5957" s="112" t="s">
        <v>1091</v>
      </c>
      <c r="H5957" s="112" t="s">
        <v>1016</v>
      </c>
      <c r="I5957" s="112" t="s">
        <v>781</v>
      </c>
      <c r="J5957" s="112" t="s">
        <v>858</v>
      </c>
      <c r="K5957" s="112" t="s">
        <v>4896</v>
      </c>
      <c r="L5957" s="116">
        <v>1469.04</v>
      </c>
    </row>
    <row r="5958" spans="1:12" hidden="1" outlineLevel="1" collapsed="1" x14ac:dyDescent="0.35">
      <c r="A5958" s="112" t="s">
        <v>4632</v>
      </c>
      <c r="B5958" s="112" t="s">
        <v>863</v>
      </c>
      <c r="C5958" s="112" t="s">
        <v>695</v>
      </c>
      <c r="D5958" s="113">
        <v>10348117</v>
      </c>
      <c r="E5958" s="115">
        <v>43930</v>
      </c>
      <c r="F5958" s="114">
        <v>202101</v>
      </c>
      <c r="G5958" s="112" t="s">
        <v>1091</v>
      </c>
      <c r="H5958" s="112" t="s">
        <v>1016</v>
      </c>
      <c r="I5958" s="112" t="s">
        <v>781</v>
      </c>
      <c r="J5958" s="112" t="s">
        <v>800</v>
      </c>
      <c r="K5958" s="112" t="s">
        <v>4896</v>
      </c>
      <c r="L5958" s="116">
        <v>31.2</v>
      </c>
    </row>
    <row r="5959" spans="1:12" hidden="1" outlineLevel="1" collapsed="1" x14ac:dyDescent="0.35">
      <c r="A5959" s="112" t="s">
        <v>4632</v>
      </c>
      <c r="B5959" s="112" t="s">
        <v>863</v>
      </c>
      <c r="C5959" s="112" t="s">
        <v>695</v>
      </c>
      <c r="D5959" s="113">
        <v>10348117</v>
      </c>
      <c r="E5959" s="115">
        <v>43930</v>
      </c>
      <c r="F5959" s="114">
        <v>202101</v>
      </c>
      <c r="G5959" s="112" t="s">
        <v>1091</v>
      </c>
      <c r="H5959" s="112" t="s">
        <v>1016</v>
      </c>
      <c r="I5959" s="112" t="s">
        <v>781</v>
      </c>
      <c r="J5959" s="112" t="s">
        <v>825</v>
      </c>
      <c r="K5959" s="112" t="s">
        <v>4896</v>
      </c>
      <c r="L5959" s="116">
        <v>17899.2</v>
      </c>
    </row>
    <row r="5960" spans="1:12" hidden="1" outlineLevel="1" collapsed="1" x14ac:dyDescent="0.35">
      <c r="A5960" s="112" t="s">
        <v>4632</v>
      </c>
      <c r="B5960" s="112" t="s">
        <v>863</v>
      </c>
      <c r="C5960" s="112" t="s">
        <v>695</v>
      </c>
      <c r="D5960" s="113">
        <v>10348117</v>
      </c>
      <c r="E5960" s="115">
        <v>43930</v>
      </c>
      <c r="F5960" s="114">
        <v>202101</v>
      </c>
      <c r="G5960" s="112" t="s">
        <v>1091</v>
      </c>
      <c r="H5960" s="112" t="s">
        <v>1016</v>
      </c>
      <c r="I5960" s="112" t="s">
        <v>781</v>
      </c>
      <c r="J5960" s="112" t="s">
        <v>815</v>
      </c>
      <c r="K5960" s="112" t="s">
        <v>4896</v>
      </c>
      <c r="L5960" s="116">
        <v>60360.72</v>
      </c>
    </row>
    <row r="5961" spans="1:12" hidden="1" outlineLevel="1" collapsed="1" x14ac:dyDescent="0.35">
      <c r="A5961" s="112" t="s">
        <v>4632</v>
      </c>
      <c r="B5961" s="112" t="s">
        <v>863</v>
      </c>
      <c r="C5961" s="112" t="s">
        <v>695</v>
      </c>
      <c r="D5961" s="113">
        <v>10348117</v>
      </c>
      <c r="E5961" s="115">
        <v>43930</v>
      </c>
      <c r="F5961" s="114">
        <v>202101</v>
      </c>
      <c r="G5961" s="112" t="s">
        <v>1091</v>
      </c>
      <c r="H5961" s="112" t="s">
        <v>1016</v>
      </c>
      <c r="I5961" s="112" t="s">
        <v>781</v>
      </c>
      <c r="J5961" s="112" t="s">
        <v>821</v>
      </c>
      <c r="K5961" s="112" t="s">
        <v>4896</v>
      </c>
      <c r="L5961" s="116">
        <v>35634</v>
      </c>
    </row>
    <row r="5962" spans="1:12" hidden="1" outlineLevel="1" collapsed="1" x14ac:dyDescent="0.35">
      <c r="A5962" s="112" t="s">
        <v>4632</v>
      </c>
      <c r="B5962" s="112" t="s">
        <v>863</v>
      </c>
      <c r="C5962" s="112" t="s">
        <v>695</v>
      </c>
      <c r="D5962" s="113">
        <v>10348117</v>
      </c>
      <c r="E5962" s="115">
        <v>43930</v>
      </c>
      <c r="F5962" s="114">
        <v>202101</v>
      </c>
      <c r="G5962" s="112" t="s">
        <v>1091</v>
      </c>
      <c r="H5962" s="112" t="s">
        <v>1016</v>
      </c>
      <c r="I5962" s="112" t="s">
        <v>781</v>
      </c>
      <c r="J5962" s="112" t="s">
        <v>798</v>
      </c>
      <c r="K5962" s="112" t="s">
        <v>4896</v>
      </c>
      <c r="L5962" s="116">
        <v>617.28</v>
      </c>
    </row>
    <row r="5963" spans="1:12" hidden="1" outlineLevel="1" collapsed="1" x14ac:dyDescent="0.35">
      <c r="A5963" s="112" t="s">
        <v>4632</v>
      </c>
      <c r="B5963" s="112" t="s">
        <v>863</v>
      </c>
      <c r="C5963" s="112" t="s">
        <v>695</v>
      </c>
      <c r="D5963" s="113">
        <v>10348117</v>
      </c>
      <c r="E5963" s="115">
        <v>43930</v>
      </c>
      <c r="F5963" s="114">
        <v>202101</v>
      </c>
      <c r="G5963" s="112" t="s">
        <v>1091</v>
      </c>
      <c r="H5963" s="112" t="s">
        <v>1016</v>
      </c>
      <c r="I5963" s="112" t="s">
        <v>781</v>
      </c>
      <c r="J5963" s="112" t="s">
        <v>808</v>
      </c>
      <c r="K5963" s="112" t="s">
        <v>4896</v>
      </c>
      <c r="L5963" s="116">
        <v>22321.919999999998</v>
      </c>
    </row>
    <row r="5964" spans="1:12" hidden="1" outlineLevel="1" collapsed="1" x14ac:dyDescent="0.35">
      <c r="A5964" s="112" t="s">
        <v>4632</v>
      </c>
      <c r="B5964" s="112" t="s">
        <v>863</v>
      </c>
      <c r="C5964" s="112" t="s">
        <v>695</v>
      </c>
      <c r="D5964" s="113">
        <v>10348117</v>
      </c>
      <c r="E5964" s="115">
        <v>43930</v>
      </c>
      <c r="F5964" s="114">
        <v>202101</v>
      </c>
      <c r="G5964" s="112" t="s">
        <v>1091</v>
      </c>
      <c r="H5964" s="112" t="s">
        <v>1016</v>
      </c>
      <c r="I5964" s="112" t="s">
        <v>781</v>
      </c>
      <c r="J5964" s="112" t="s">
        <v>835</v>
      </c>
      <c r="K5964" s="112" t="s">
        <v>4896</v>
      </c>
      <c r="L5964" s="116">
        <v>4538.6400000000003</v>
      </c>
    </row>
    <row r="5965" spans="1:12" hidden="1" outlineLevel="1" collapsed="1" x14ac:dyDescent="0.35">
      <c r="A5965" s="112" t="s">
        <v>4632</v>
      </c>
      <c r="B5965" s="112" t="s">
        <v>863</v>
      </c>
      <c r="C5965" s="112" t="s">
        <v>695</v>
      </c>
      <c r="D5965" s="113">
        <v>10348117</v>
      </c>
      <c r="E5965" s="115">
        <v>43930</v>
      </c>
      <c r="F5965" s="114">
        <v>202101</v>
      </c>
      <c r="G5965" s="112" t="s">
        <v>1091</v>
      </c>
      <c r="H5965" s="112" t="s">
        <v>1016</v>
      </c>
      <c r="I5965" s="112" t="s">
        <v>781</v>
      </c>
      <c r="J5965" s="112" t="s">
        <v>833</v>
      </c>
      <c r="K5965" s="112" t="s">
        <v>4896</v>
      </c>
      <c r="L5965" s="116">
        <v>11185.2</v>
      </c>
    </row>
    <row r="5966" spans="1:12" hidden="1" outlineLevel="1" collapsed="1" x14ac:dyDescent="0.35">
      <c r="A5966" s="112" t="s">
        <v>4632</v>
      </c>
      <c r="B5966" s="112" t="s">
        <v>863</v>
      </c>
      <c r="C5966" s="112" t="s">
        <v>695</v>
      </c>
      <c r="D5966" s="113">
        <v>10348117</v>
      </c>
      <c r="E5966" s="115">
        <v>43930</v>
      </c>
      <c r="F5966" s="114">
        <v>202101</v>
      </c>
      <c r="G5966" s="112" t="s">
        <v>1091</v>
      </c>
      <c r="H5966" s="112" t="s">
        <v>1016</v>
      </c>
      <c r="I5966" s="112" t="s">
        <v>781</v>
      </c>
      <c r="J5966" s="112" t="s">
        <v>831</v>
      </c>
      <c r="K5966" s="112" t="s">
        <v>4896</v>
      </c>
      <c r="L5966" s="116">
        <v>20773.439999999999</v>
      </c>
    </row>
    <row r="5967" spans="1:12" hidden="1" outlineLevel="1" collapsed="1" x14ac:dyDescent="0.35">
      <c r="A5967" s="112" t="s">
        <v>4632</v>
      </c>
      <c r="B5967" s="112" t="s">
        <v>863</v>
      </c>
      <c r="C5967" s="112" t="s">
        <v>695</v>
      </c>
      <c r="D5967" s="113">
        <v>10348117</v>
      </c>
      <c r="E5967" s="115">
        <v>43930</v>
      </c>
      <c r="F5967" s="114">
        <v>202101</v>
      </c>
      <c r="G5967" s="112" t="s">
        <v>1091</v>
      </c>
      <c r="H5967" s="112" t="s">
        <v>1016</v>
      </c>
      <c r="I5967" s="112" t="s">
        <v>781</v>
      </c>
      <c r="J5967" s="112" t="s">
        <v>856</v>
      </c>
      <c r="K5967" s="112" t="s">
        <v>4896</v>
      </c>
      <c r="L5967" s="116">
        <v>24395.040000000001</v>
      </c>
    </row>
    <row r="5968" spans="1:12" hidden="1" outlineLevel="1" collapsed="1" x14ac:dyDescent="0.35">
      <c r="A5968" s="112" t="s">
        <v>4632</v>
      </c>
      <c r="B5968" s="112" t="s">
        <v>863</v>
      </c>
      <c r="C5968" s="112" t="s">
        <v>695</v>
      </c>
      <c r="D5968" s="113">
        <v>10348117</v>
      </c>
      <c r="E5968" s="115">
        <v>43930</v>
      </c>
      <c r="F5968" s="114">
        <v>202101</v>
      </c>
      <c r="G5968" s="112" t="s">
        <v>1091</v>
      </c>
      <c r="H5968" s="112" t="s">
        <v>1016</v>
      </c>
      <c r="I5968" s="112" t="s">
        <v>781</v>
      </c>
      <c r="J5968" s="112" t="s">
        <v>852</v>
      </c>
      <c r="K5968" s="112" t="s">
        <v>4896</v>
      </c>
      <c r="L5968" s="116">
        <v>17650.080000000002</v>
      </c>
    </row>
    <row r="5969" spans="1:12" hidden="1" outlineLevel="1" collapsed="1" x14ac:dyDescent="0.35">
      <c r="A5969" s="112" t="s">
        <v>4632</v>
      </c>
      <c r="B5969" s="112" t="s">
        <v>863</v>
      </c>
      <c r="C5969" s="112" t="s">
        <v>695</v>
      </c>
      <c r="D5969" s="113">
        <v>10348117</v>
      </c>
      <c r="E5969" s="115">
        <v>43930</v>
      </c>
      <c r="F5969" s="114">
        <v>202101</v>
      </c>
      <c r="G5969" s="112" t="s">
        <v>1091</v>
      </c>
      <c r="H5969" s="112" t="s">
        <v>1016</v>
      </c>
      <c r="I5969" s="112" t="s">
        <v>781</v>
      </c>
      <c r="J5969" s="112" t="s">
        <v>793</v>
      </c>
      <c r="K5969" s="112" t="s">
        <v>4896</v>
      </c>
      <c r="L5969" s="116">
        <v>1869.6</v>
      </c>
    </row>
    <row r="5970" spans="1:12" hidden="1" outlineLevel="1" collapsed="1" x14ac:dyDescent="0.35">
      <c r="A5970" s="112" t="s">
        <v>4632</v>
      </c>
      <c r="B5970" s="112" t="s">
        <v>863</v>
      </c>
      <c r="C5970" s="112" t="s">
        <v>695</v>
      </c>
      <c r="D5970" s="113">
        <v>10348085</v>
      </c>
      <c r="E5970" s="115">
        <v>43923</v>
      </c>
      <c r="F5970" s="114">
        <v>202101</v>
      </c>
      <c r="G5970" s="112" t="s">
        <v>1091</v>
      </c>
      <c r="H5970" s="112" t="s">
        <v>1015</v>
      </c>
      <c r="I5970" s="112" t="s">
        <v>749</v>
      </c>
      <c r="J5970" s="112" t="s">
        <v>790</v>
      </c>
      <c r="K5970" s="112" t="s">
        <v>4662</v>
      </c>
      <c r="L5970" s="116">
        <v>-360.95</v>
      </c>
    </row>
    <row r="5971" spans="1:12" hidden="1" outlineLevel="1" collapsed="1" x14ac:dyDescent="0.35">
      <c r="A5971" s="112" t="s">
        <v>4632</v>
      </c>
      <c r="B5971" s="112" t="s">
        <v>4644</v>
      </c>
      <c r="C5971" s="112" t="s">
        <v>695</v>
      </c>
      <c r="D5971" s="113">
        <v>10348085</v>
      </c>
      <c r="E5971" s="115">
        <v>43923</v>
      </c>
      <c r="F5971" s="114">
        <v>202101</v>
      </c>
      <c r="G5971" s="112" t="s">
        <v>1091</v>
      </c>
      <c r="H5971" s="112" t="s">
        <v>1015</v>
      </c>
      <c r="I5971" s="112" t="s">
        <v>749</v>
      </c>
      <c r="J5971" s="112" t="s">
        <v>4645</v>
      </c>
      <c r="K5971" s="112" t="s">
        <v>4662</v>
      </c>
      <c r="L5971" s="116">
        <v>85.45</v>
      </c>
    </row>
    <row r="5972" spans="1:12" hidden="1" outlineLevel="1" collapsed="1" x14ac:dyDescent="0.35">
      <c r="A5972" s="112" t="s">
        <v>4632</v>
      </c>
      <c r="B5972" s="112" t="s">
        <v>4644</v>
      </c>
      <c r="C5972" s="112" t="s">
        <v>695</v>
      </c>
      <c r="D5972" s="113">
        <v>10348085</v>
      </c>
      <c r="E5972" s="115">
        <v>43923</v>
      </c>
      <c r="F5972" s="114">
        <v>202101</v>
      </c>
      <c r="G5972" s="112" t="s">
        <v>1091</v>
      </c>
      <c r="H5972" s="112" t="s">
        <v>1015</v>
      </c>
      <c r="I5972" s="112" t="s">
        <v>749</v>
      </c>
      <c r="J5972" s="112" t="s">
        <v>4645</v>
      </c>
      <c r="K5972" s="112" t="s">
        <v>4662</v>
      </c>
      <c r="L5972" s="116">
        <v>-53.2</v>
      </c>
    </row>
    <row r="5973" spans="1:12" hidden="1" outlineLevel="1" collapsed="1" x14ac:dyDescent="0.35">
      <c r="A5973" s="112" t="s">
        <v>4632</v>
      </c>
      <c r="B5973" s="112" t="s">
        <v>863</v>
      </c>
      <c r="C5973" s="112" t="s">
        <v>695</v>
      </c>
      <c r="D5973" s="113">
        <v>10348117</v>
      </c>
      <c r="E5973" s="115">
        <v>43930</v>
      </c>
      <c r="F5973" s="114">
        <v>202101</v>
      </c>
      <c r="G5973" s="112" t="s">
        <v>1091</v>
      </c>
      <c r="H5973" s="112" t="s">
        <v>1016</v>
      </c>
      <c r="I5973" s="112" t="s">
        <v>781</v>
      </c>
      <c r="J5973" s="112" t="s">
        <v>796</v>
      </c>
      <c r="K5973" s="112" t="s">
        <v>4896</v>
      </c>
      <c r="L5973" s="116">
        <v>4242.24</v>
      </c>
    </row>
    <row r="5974" spans="1:12" hidden="1" outlineLevel="1" collapsed="1" x14ac:dyDescent="0.35">
      <c r="A5974" s="112" t="s">
        <v>4632</v>
      </c>
      <c r="B5974" s="112" t="s">
        <v>863</v>
      </c>
      <c r="C5974" s="112" t="s">
        <v>695</v>
      </c>
      <c r="D5974" s="113">
        <v>10348117</v>
      </c>
      <c r="E5974" s="115">
        <v>43930</v>
      </c>
      <c r="F5974" s="114">
        <v>202101</v>
      </c>
      <c r="G5974" s="112" t="s">
        <v>1091</v>
      </c>
      <c r="H5974" s="112" t="s">
        <v>1016</v>
      </c>
      <c r="I5974" s="112" t="s">
        <v>781</v>
      </c>
      <c r="J5974" s="112" t="s">
        <v>802</v>
      </c>
      <c r="K5974" s="112" t="s">
        <v>4896</v>
      </c>
      <c r="L5974" s="116">
        <v>853.92</v>
      </c>
    </row>
    <row r="5975" spans="1:12" hidden="1" outlineLevel="1" collapsed="1" x14ac:dyDescent="0.35">
      <c r="A5975" s="112" t="s">
        <v>4632</v>
      </c>
      <c r="B5975" s="112" t="s">
        <v>863</v>
      </c>
      <c r="C5975" s="112" t="s">
        <v>695</v>
      </c>
      <c r="D5975" s="113">
        <v>10348117</v>
      </c>
      <c r="E5975" s="115">
        <v>43930</v>
      </c>
      <c r="F5975" s="114">
        <v>202101</v>
      </c>
      <c r="G5975" s="112" t="s">
        <v>1091</v>
      </c>
      <c r="H5975" s="112" t="s">
        <v>1016</v>
      </c>
      <c r="I5975" s="112" t="s">
        <v>781</v>
      </c>
      <c r="J5975" s="112" t="s">
        <v>829</v>
      </c>
      <c r="K5975" s="112" t="s">
        <v>4896</v>
      </c>
      <c r="L5975" s="116">
        <v>21919.919999999998</v>
      </c>
    </row>
    <row r="5976" spans="1:12" hidden="1" outlineLevel="1" collapsed="1" x14ac:dyDescent="0.35">
      <c r="A5976" s="112" t="s">
        <v>4632</v>
      </c>
      <c r="B5976" s="112" t="s">
        <v>863</v>
      </c>
      <c r="C5976" s="112" t="s">
        <v>695</v>
      </c>
      <c r="D5976" s="113">
        <v>10348117</v>
      </c>
      <c r="E5976" s="115">
        <v>43930</v>
      </c>
      <c r="F5976" s="114">
        <v>202101</v>
      </c>
      <c r="G5976" s="112" t="s">
        <v>1091</v>
      </c>
      <c r="H5976" s="112" t="s">
        <v>1016</v>
      </c>
      <c r="I5976" s="112" t="s">
        <v>781</v>
      </c>
      <c r="J5976" s="112" t="s">
        <v>842</v>
      </c>
      <c r="K5976" s="112" t="s">
        <v>4896</v>
      </c>
      <c r="L5976" s="116">
        <v>1671.36</v>
      </c>
    </row>
    <row r="5977" spans="1:12" hidden="1" outlineLevel="1" collapsed="1" x14ac:dyDescent="0.35">
      <c r="A5977" s="112" t="s">
        <v>4632</v>
      </c>
      <c r="B5977" s="112" t="s">
        <v>863</v>
      </c>
      <c r="C5977" s="112" t="s">
        <v>695</v>
      </c>
      <c r="D5977" s="113">
        <v>10348117</v>
      </c>
      <c r="E5977" s="115">
        <v>43930</v>
      </c>
      <c r="F5977" s="114">
        <v>202101</v>
      </c>
      <c r="G5977" s="112" t="s">
        <v>1091</v>
      </c>
      <c r="H5977" s="112" t="s">
        <v>1016</v>
      </c>
      <c r="I5977" s="112" t="s">
        <v>781</v>
      </c>
      <c r="J5977" s="112" t="s">
        <v>840</v>
      </c>
      <c r="K5977" s="112" t="s">
        <v>4896</v>
      </c>
      <c r="L5977" s="116">
        <v>6036.48</v>
      </c>
    </row>
    <row r="5978" spans="1:12" hidden="1" outlineLevel="1" collapsed="1" x14ac:dyDescent="0.35">
      <c r="A5978" s="112" t="s">
        <v>4632</v>
      </c>
      <c r="B5978" s="112" t="s">
        <v>863</v>
      </c>
      <c r="C5978" s="112" t="s">
        <v>695</v>
      </c>
      <c r="D5978" s="113">
        <v>10348117</v>
      </c>
      <c r="E5978" s="115">
        <v>43930</v>
      </c>
      <c r="F5978" s="114">
        <v>202101</v>
      </c>
      <c r="G5978" s="112" t="s">
        <v>1091</v>
      </c>
      <c r="H5978" s="112" t="s">
        <v>1016</v>
      </c>
      <c r="I5978" s="112" t="s">
        <v>781</v>
      </c>
      <c r="J5978" s="112" t="s">
        <v>838</v>
      </c>
      <c r="K5978" s="112" t="s">
        <v>4896</v>
      </c>
      <c r="L5978" s="116">
        <v>6907.92</v>
      </c>
    </row>
    <row r="5979" spans="1:12" hidden="1" outlineLevel="1" collapsed="1" x14ac:dyDescent="0.35">
      <c r="A5979" s="112" t="s">
        <v>4632</v>
      </c>
      <c r="B5979" s="112" t="s">
        <v>4644</v>
      </c>
      <c r="C5979" s="112" t="s">
        <v>695</v>
      </c>
      <c r="D5979" s="113">
        <v>10348085</v>
      </c>
      <c r="E5979" s="115">
        <v>43923</v>
      </c>
      <c r="F5979" s="114">
        <v>202101</v>
      </c>
      <c r="G5979" s="112" t="s">
        <v>1091</v>
      </c>
      <c r="H5979" s="112" t="s">
        <v>1015</v>
      </c>
      <c r="I5979" s="112" t="s">
        <v>749</v>
      </c>
      <c r="J5979" s="112" t="s">
        <v>4645</v>
      </c>
      <c r="K5979" s="112" t="s">
        <v>4662</v>
      </c>
      <c r="L5979" s="116">
        <v>-41.22</v>
      </c>
    </row>
    <row r="5980" spans="1:12" hidden="1" outlineLevel="1" collapsed="1" x14ac:dyDescent="0.35">
      <c r="A5980" s="112" t="s">
        <v>4632</v>
      </c>
      <c r="B5980" s="112" t="s">
        <v>4650</v>
      </c>
      <c r="C5980" s="112" t="s">
        <v>695</v>
      </c>
      <c r="D5980" s="113">
        <v>10348085</v>
      </c>
      <c r="E5980" s="115">
        <v>43923</v>
      </c>
      <c r="F5980" s="114">
        <v>202101</v>
      </c>
      <c r="G5980" s="112" t="s">
        <v>1091</v>
      </c>
      <c r="H5980" s="112" t="s">
        <v>1015</v>
      </c>
      <c r="I5980" s="112" t="s">
        <v>757</v>
      </c>
      <c r="J5980" s="112" t="s">
        <v>4651</v>
      </c>
      <c r="K5980" s="112" t="s">
        <v>4662</v>
      </c>
      <c r="L5980" s="116">
        <v>-100.58</v>
      </c>
    </row>
    <row r="5981" spans="1:12" hidden="1" outlineLevel="1" collapsed="1" x14ac:dyDescent="0.35">
      <c r="A5981" s="112" t="s">
        <v>4632</v>
      </c>
      <c r="B5981" s="112" t="s">
        <v>863</v>
      </c>
      <c r="C5981" s="112" t="s">
        <v>203</v>
      </c>
      <c r="D5981" s="113">
        <v>10348599</v>
      </c>
      <c r="E5981" s="115">
        <v>43963</v>
      </c>
      <c r="F5981" s="114">
        <v>202101</v>
      </c>
      <c r="G5981" s="112" t="s">
        <v>1091</v>
      </c>
      <c r="H5981" s="112" t="s">
        <v>1016</v>
      </c>
      <c r="I5981" s="112" t="s">
        <v>781</v>
      </c>
      <c r="J5981" s="112" t="s">
        <v>835</v>
      </c>
      <c r="K5981" s="112" t="s">
        <v>4880</v>
      </c>
      <c r="L5981" s="116">
        <v>-48.33</v>
      </c>
    </row>
    <row r="5982" spans="1:12" hidden="1" outlineLevel="1" collapsed="1" x14ac:dyDescent="0.35">
      <c r="A5982" s="112" t="s">
        <v>4632</v>
      </c>
      <c r="B5982" s="112" t="s">
        <v>863</v>
      </c>
      <c r="C5982" s="112" t="s">
        <v>203</v>
      </c>
      <c r="D5982" s="113">
        <v>10348599</v>
      </c>
      <c r="E5982" s="115">
        <v>43963</v>
      </c>
      <c r="F5982" s="114">
        <v>202101</v>
      </c>
      <c r="G5982" s="112" t="s">
        <v>1091</v>
      </c>
      <c r="H5982" s="112" t="s">
        <v>1016</v>
      </c>
      <c r="I5982" s="112" t="s">
        <v>781</v>
      </c>
      <c r="J5982" s="112" t="s">
        <v>829</v>
      </c>
      <c r="K5982" s="112" t="s">
        <v>4880</v>
      </c>
      <c r="L5982" s="116">
        <v>-596.66999999999996</v>
      </c>
    </row>
    <row r="5983" spans="1:12" hidden="1" outlineLevel="1" collapsed="1" x14ac:dyDescent="0.35">
      <c r="A5983" s="112" t="s">
        <v>4632</v>
      </c>
      <c r="B5983" s="112" t="s">
        <v>863</v>
      </c>
      <c r="C5983" s="112" t="s">
        <v>203</v>
      </c>
      <c r="D5983" s="113">
        <v>10348599</v>
      </c>
      <c r="E5983" s="115">
        <v>43963</v>
      </c>
      <c r="F5983" s="114">
        <v>202101</v>
      </c>
      <c r="G5983" s="112" t="s">
        <v>1091</v>
      </c>
      <c r="H5983" s="112" t="s">
        <v>1016</v>
      </c>
      <c r="I5983" s="112" t="s">
        <v>781</v>
      </c>
      <c r="J5983" s="112" t="s">
        <v>831</v>
      </c>
      <c r="K5983" s="112" t="s">
        <v>4880</v>
      </c>
      <c r="L5983" s="116">
        <v>-927.08</v>
      </c>
    </row>
    <row r="5984" spans="1:12" hidden="1" outlineLevel="1" collapsed="1" x14ac:dyDescent="0.35">
      <c r="A5984" s="112" t="s">
        <v>4632</v>
      </c>
      <c r="B5984" s="112" t="s">
        <v>863</v>
      </c>
      <c r="C5984" s="112" t="s">
        <v>203</v>
      </c>
      <c r="D5984" s="113">
        <v>10348599</v>
      </c>
      <c r="E5984" s="115">
        <v>43963</v>
      </c>
      <c r="F5984" s="114">
        <v>202101</v>
      </c>
      <c r="G5984" s="112" t="s">
        <v>1091</v>
      </c>
      <c r="H5984" s="112" t="s">
        <v>1016</v>
      </c>
      <c r="I5984" s="112" t="s">
        <v>781</v>
      </c>
      <c r="J5984" s="112" t="s">
        <v>815</v>
      </c>
      <c r="K5984" s="112" t="s">
        <v>4880</v>
      </c>
      <c r="L5984" s="116">
        <v>-9.58</v>
      </c>
    </row>
    <row r="5985" spans="1:12" hidden="1" outlineLevel="1" collapsed="1" x14ac:dyDescent="0.35">
      <c r="A5985" s="112" t="s">
        <v>4632</v>
      </c>
      <c r="B5985" s="112" t="s">
        <v>863</v>
      </c>
      <c r="C5985" s="112" t="s">
        <v>203</v>
      </c>
      <c r="D5985" s="113">
        <v>10348599</v>
      </c>
      <c r="E5985" s="115">
        <v>43963</v>
      </c>
      <c r="F5985" s="114">
        <v>202101</v>
      </c>
      <c r="G5985" s="112" t="s">
        <v>1091</v>
      </c>
      <c r="H5985" s="112" t="s">
        <v>1016</v>
      </c>
      <c r="I5985" s="112" t="s">
        <v>781</v>
      </c>
      <c r="J5985" s="112" t="s">
        <v>802</v>
      </c>
      <c r="K5985" s="112" t="s">
        <v>4880</v>
      </c>
      <c r="L5985" s="116">
        <v>-5.83</v>
      </c>
    </row>
    <row r="5986" spans="1:12" hidden="1" outlineLevel="1" collapsed="1" x14ac:dyDescent="0.35">
      <c r="A5986" s="112" t="s">
        <v>4632</v>
      </c>
      <c r="B5986" s="112" t="s">
        <v>863</v>
      </c>
      <c r="C5986" s="112" t="s">
        <v>203</v>
      </c>
      <c r="D5986" s="113">
        <v>10348599</v>
      </c>
      <c r="E5986" s="115">
        <v>43963</v>
      </c>
      <c r="F5986" s="114">
        <v>202101</v>
      </c>
      <c r="G5986" s="112" t="s">
        <v>1091</v>
      </c>
      <c r="H5986" s="112" t="s">
        <v>1016</v>
      </c>
      <c r="I5986" s="112" t="s">
        <v>781</v>
      </c>
      <c r="J5986" s="112" t="s">
        <v>825</v>
      </c>
      <c r="K5986" s="112" t="s">
        <v>4880</v>
      </c>
      <c r="L5986" s="116">
        <v>-96.25</v>
      </c>
    </row>
    <row r="5987" spans="1:12" hidden="1" outlineLevel="1" collapsed="1" x14ac:dyDescent="0.35">
      <c r="A5987" s="112" t="s">
        <v>4632</v>
      </c>
      <c r="B5987" s="112" t="s">
        <v>863</v>
      </c>
      <c r="C5987" s="112" t="s">
        <v>203</v>
      </c>
      <c r="D5987" s="113">
        <v>10348599</v>
      </c>
      <c r="E5987" s="115">
        <v>43963</v>
      </c>
      <c r="F5987" s="114">
        <v>202101</v>
      </c>
      <c r="G5987" s="112" t="s">
        <v>1091</v>
      </c>
      <c r="H5987" s="112" t="s">
        <v>1016</v>
      </c>
      <c r="I5987" s="112" t="s">
        <v>781</v>
      </c>
      <c r="J5987" s="112" t="s">
        <v>856</v>
      </c>
      <c r="K5987" s="112" t="s">
        <v>4880</v>
      </c>
      <c r="L5987" s="116">
        <v>-33.67</v>
      </c>
    </row>
    <row r="5988" spans="1:12" hidden="1" outlineLevel="1" collapsed="1" x14ac:dyDescent="0.35">
      <c r="A5988" s="112" t="s">
        <v>4632</v>
      </c>
      <c r="B5988" s="112" t="s">
        <v>863</v>
      </c>
      <c r="C5988" s="112" t="s">
        <v>203</v>
      </c>
      <c r="D5988" s="113">
        <v>10348599</v>
      </c>
      <c r="E5988" s="115">
        <v>43963</v>
      </c>
      <c r="F5988" s="114">
        <v>202101</v>
      </c>
      <c r="G5988" s="112" t="s">
        <v>1091</v>
      </c>
      <c r="H5988" s="112" t="s">
        <v>1016</v>
      </c>
      <c r="I5988" s="112" t="s">
        <v>781</v>
      </c>
      <c r="J5988" s="112" t="s">
        <v>854</v>
      </c>
      <c r="K5988" s="112" t="s">
        <v>4880</v>
      </c>
      <c r="L5988" s="116">
        <v>-286.33</v>
      </c>
    </row>
    <row r="5989" spans="1:12" hidden="1" outlineLevel="1" collapsed="1" x14ac:dyDescent="0.35">
      <c r="A5989" s="112" t="s">
        <v>4632</v>
      </c>
      <c r="B5989" s="112" t="s">
        <v>863</v>
      </c>
      <c r="C5989" s="112" t="s">
        <v>1119</v>
      </c>
      <c r="D5989" s="113">
        <v>10348598</v>
      </c>
      <c r="E5989" s="115">
        <v>43963</v>
      </c>
      <c r="F5989" s="114">
        <v>202101</v>
      </c>
      <c r="G5989" s="112" t="s">
        <v>1091</v>
      </c>
      <c r="H5989" s="112" t="s">
        <v>1016</v>
      </c>
      <c r="I5989" s="112" t="s">
        <v>781</v>
      </c>
      <c r="J5989" s="112" t="s">
        <v>790</v>
      </c>
      <c r="K5989" s="112" t="s">
        <v>4897</v>
      </c>
      <c r="L5989" s="116">
        <v>-4.3</v>
      </c>
    </row>
    <row r="5990" spans="1:12" hidden="1" outlineLevel="1" collapsed="1" x14ac:dyDescent="0.35">
      <c r="A5990" s="112" t="s">
        <v>4632</v>
      </c>
      <c r="B5990" s="112" t="s">
        <v>863</v>
      </c>
      <c r="C5990" s="112" t="s">
        <v>1119</v>
      </c>
      <c r="D5990" s="113">
        <v>10348598</v>
      </c>
      <c r="E5990" s="115">
        <v>43963</v>
      </c>
      <c r="F5990" s="114">
        <v>202101</v>
      </c>
      <c r="G5990" s="112" t="s">
        <v>1091</v>
      </c>
      <c r="H5990" s="112" t="s">
        <v>1016</v>
      </c>
      <c r="I5990" s="112" t="s">
        <v>781</v>
      </c>
      <c r="J5990" s="112" t="s">
        <v>854</v>
      </c>
      <c r="K5990" s="112" t="s">
        <v>4898</v>
      </c>
      <c r="L5990" s="116">
        <v>-1402.8</v>
      </c>
    </row>
    <row r="5991" spans="1:12" hidden="1" outlineLevel="1" collapsed="1" x14ac:dyDescent="0.35">
      <c r="A5991" s="112" t="s">
        <v>4632</v>
      </c>
      <c r="B5991" s="112" t="s">
        <v>863</v>
      </c>
      <c r="C5991" s="112" t="s">
        <v>1119</v>
      </c>
      <c r="D5991" s="113">
        <v>10348598</v>
      </c>
      <c r="E5991" s="115">
        <v>43963</v>
      </c>
      <c r="F5991" s="114">
        <v>202101</v>
      </c>
      <c r="G5991" s="112" t="s">
        <v>1091</v>
      </c>
      <c r="H5991" s="112" t="s">
        <v>1016</v>
      </c>
      <c r="I5991" s="112" t="s">
        <v>781</v>
      </c>
      <c r="J5991" s="112" t="s">
        <v>852</v>
      </c>
      <c r="K5991" s="112" t="s">
        <v>4899</v>
      </c>
      <c r="L5991" s="116">
        <v>-2.2000000000000002</v>
      </c>
    </row>
    <row r="5992" spans="1:12" hidden="1" outlineLevel="1" collapsed="1" x14ac:dyDescent="0.35">
      <c r="A5992" s="112" t="s">
        <v>4632</v>
      </c>
      <c r="B5992" s="112" t="s">
        <v>863</v>
      </c>
      <c r="C5992" s="112" t="s">
        <v>1119</v>
      </c>
      <c r="D5992" s="113">
        <v>10348598</v>
      </c>
      <c r="E5992" s="115">
        <v>43963</v>
      </c>
      <c r="F5992" s="114">
        <v>202101</v>
      </c>
      <c r="G5992" s="112" t="s">
        <v>1091</v>
      </c>
      <c r="H5992" s="112" t="s">
        <v>1016</v>
      </c>
      <c r="I5992" s="112" t="s">
        <v>781</v>
      </c>
      <c r="J5992" s="112" t="s">
        <v>856</v>
      </c>
      <c r="K5992" s="112" t="s">
        <v>4900</v>
      </c>
      <c r="L5992" s="116">
        <v>-353.2</v>
      </c>
    </row>
    <row r="5993" spans="1:12" hidden="1" outlineLevel="1" collapsed="1" x14ac:dyDescent="0.35">
      <c r="A5993" s="112" t="s">
        <v>4632</v>
      </c>
      <c r="B5993" s="112" t="s">
        <v>4688</v>
      </c>
      <c r="C5993" s="112" t="s">
        <v>679</v>
      </c>
      <c r="D5993" s="113">
        <v>10348515</v>
      </c>
      <c r="E5993" s="115">
        <v>43949</v>
      </c>
      <c r="F5993" s="114">
        <v>202101</v>
      </c>
      <c r="G5993" s="112" t="s">
        <v>1091</v>
      </c>
      <c r="H5993" s="112" t="s">
        <v>1016</v>
      </c>
      <c r="I5993" s="112" t="s">
        <v>4689</v>
      </c>
      <c r="J5993" s="112" t="s">
        <v>4690</v>
      </c>
      <c r="K5993" s="112" t="s">
        <v>4901</v>
      </c>
      <c r="L5993" s="116">
        <v>-54</v>
      </c>
    </row>
    <row r="5994" spans="1:12" hidden="1" outlineLevel="1" collapsed="1" x14ac:dyDescent="0.35">
      <c r="A5994" s="112" t="s">
        <v>4632</v>
      </c>
      <c r="B5994" s="112" t="s">
        <v>863</v>
      </c>
      <c r="C5994" s="112" t="s">
        <v>695</v>
      </c>
      <c r="D5994" s="113">
        <v>10348117</v>
      </c>
      <c r="E5994" s="115">
        <v>43930</v>
      </c>
      <c r="F5994" s="114">
        <v>202101</v>
      </c>
      <c r="G5994" s="112" t="s">
        <v>1091</v>
      </c>
      <c r="H5994" s="112" t="s">
        <v>1016</v>
      </c>
      <c r="I5994" s="112" t="s">
        <v>781</v>
      </c>
      <c r="J5994" s="112" t="s">
        <v>854</v>
      </c>
      <c r="K5994" s="112" t="s">
        <v>4896</v>
      </c>
      <c r="L5994" s="116">
        <v>28409.759999999998</v>
      </c>
    </row>
    <row r="5995" spans="1:12" hidden="1" outlineLevel="1" collapsed="1" x14ac:dyDescent="0.35">
      <c r="A5995" s="112" t="s">
        <v>4632</v>
      </c>
      <c r="B5995" s="112" t="s">
        <v>4688</v>
      </c>
      <c r="C5995" s="112" t="s">
        <v>1518</v>
      </c>
      <c r="D5995" s="113">
        <v>51365629</v>
      </c>
      <c r="E5995" s="115">
        <v>43943</v>
      </c>
      <c r="F5995" s="114">
        <v>202101</v>
      </c>
      <c r="G5995" s="112" t="s">
        <v>1091</v>
      </c>
      <c r="H5995" s="112" t="s">
        <v>1016</v>
      </c>
      <c r="I5995" s="112" t="s">
        <v>2337</v>
      </c>
      <c r="J5995" s="112" t="s">
        <v>4690</v>
      </c>
      <c r="K5995" s="112" t="s">
        <v>4902</v>
      </c>
      <c r="L5995" s="116">
        <v>-51</v>
      </c>
    </row>
    <row r="5996" spans="1:12" hidden="1" outlineLevel="1" collapsed="1" x14ac:dyDescent="0.35">
      <c r="A5996" s="112" t="s">
        <v>4632</v>
      </c>
      <c r="B5996" s="112" t="s">
        <v>863</v>
      </c>
      <c r="C5996" s="112" t="s">
        <v>679</v>
      </c>
      <c r="D5996" s="113">
        <v>10348411</v>
      </c>
      <c r="E5996" s="115">
        <v>43943</v>
      </c>
      <c r="F5996" s="114">
        <v>202101</v>
      </c>
      <c r="G5996" s="112" t="s">
        <v>1091</v>
      </c>
      <c r="H5996" s="112" t="s">
        <v>1016</v>
      </c>
      <c r="I5996" s="112" t="s">
        <v>781</v>
      </c>
      <c r="J5996" s="112" t="s">
        <v>854</v>
      </c>
      <c r="K5996" s="112" t="s">
        <v>4903</v>
      </c>
      <c r="L5996" s="116">
        <v>-25</v>
      </c>
    </row>
    <row r="5997" spans="1:12" hidden="1" outlineLevel="1" collapsed="1" x14ac:dyDescent="0.35">
      <c r="A5997" s="112" t="s">
        <v>4632</v>
      </c>
      <c r="B5997" s="112" t="s">
        <v>4688</v>
      </c>
      <c r="C5997" s="112" t="s">
        <v>4695</v>
      </c>
      <c r="D5997" s="113">
        <v>30440534</v>
      </c>
      <c r="E5997" s="115">
        <v>43943</v>
      </c>
      <c r="F5997" s="114">
        <v>202101</v>
      </c>
      <c r="G5997" s="112" t="s">
        <v>1091</v>
      </c>
      <c r="H5997" s="112" t="s">
        <v>1016</v>
      </c>
      <c r="I5997" s="112" t="s">
        <v>4689</v>
      </c>
      <c r="J5997" s="112" t="s">
        <v>4690</v>
      </c>
      <c r="K5997" s="112" t="s">
        <v>4904</v>
      </c>
      <c r="L5997" s="116">
        <v>54</v>
      </c>
    </row>
    <row r="5998" spans="1:12" hidden="1" outlineLevel="1" collapsed="1" x14ac:dyDescent="0.35">
      <c r="A5998" s="112" t="s">
        <v>4632</v>
      </c>
      <c r="B5998" s="112" t="s">
        <v>4688</v>
      </c>
      <c r="C5998" s="112" t="s">
        <v>4695</v>
      </c>
      <c r="D5998" s="113">
        <v>30440534</v>
      </c>
      <c r="E5998" s="115">
        <v>43943</v>
      </c>
      <c r="F5998" s="114">
        <v>202101</v>
      </c>
      <c r="G5998" s="112" t="s">
        <v>1091</v>
      </c>
      <c r="H5998" s="112" t="s">
        <v>1016</v>
      </c>
      <c r="I5998" s="112" t="s">
        <v>4689</v>
      </c>
      <c r="J5998" s="112" t="s">
        <v>4690</v>
      </c>
      <c r="K5998" s="112" t="s">
        <v>4905</v>
      </c>
      <c r="L5998" s="116">
        <v>54</v>
      </c>
    </row>
    <row r="5999" spans="1:12" hidden="1" outlineLevel="1" collapsed="1" x14ac:dyDescent="0.35">
      <c r="A5999" s="112" t="s">
        <v>4632</v>
      </c>
      <c r="B5999" s="112" t="s">
        <v>4688</v>
      </c>
      <c r="C5999" s="112" t="s">
        <v>679</v>
      </c>
      <c r="D5999" s="113">
        <v>10348411</v>
      </c>
      <c r="E5999" s="115">
        <v>43943</v>
      </c>
      <c r="F5999" s="114">
        <v>202101</v>
      </c>
      <c r="G5999" s="112" t="s">
        <v>1091</v>
      </c>
      <c r="H5999" s="112" t="s">
        <v>1016</v>
      </c>
      <c r="I5999" s="112" t="s">
        <v>4689</v>
      </c>
      <c r="J5999" s="112" t="s">
        <v>4690</v>
      </c>
      <c r="K5999" s="112" t="s">
        <v>4904</v>
      </c>
      <c r="L5999" s="116">
        <v>-54</v>
      </c>
    </row>
    <row r="6000" spans="1:12" hidden="1" outlineLevel="1" collapsed="1" x14ac:dyDescent="0.35">
      <c r="A6000" s="112" t="s">
        <v>4632</v>
      </c>
      <c r="B6000" s="112" t="s">
        <v>4688</v>
      </c>
      <c r="C6000" s="112" t="s">
        <v>679</v>
      </c>
      <c r="D6000" s="113">
        <v>10348411</v>
      </c>
      <c r="E6000" s="115">
        <v>43943</v>
      </c>
      <c r="F6000" s="114">
        <v>202101</v>
      </c>
      <c r="G6000" s="112" t="s">
        <v>1091</v>
      </c>
      <c r="H6000" s="112" t="s">
        <v>1016</v>
      </c>
      <c r="I6000" s="112" t="s">
        <v>4689</v>
      </c>
      <c r="J6000" s="112" t="s">
        <v>4690</v>
      </c>
      <c r="K6000" s="112" t="s">
        <v>4905</v>
      </c>
      <c r="L6000" s="116">
        <v>-54</v>
      </c>
    </row>
    <row r="6001" spans="1:12" hidden="1" outlineLevel="1" collapsed="1" x14ac:dyDescent="0.35">
      <c r="A6001" s="112" t="s">
        <v>4632</v>
      </c>
      <c r="B6001" s="112" t="s">
        <v>4688</v>
      </c>
      <c r="C6001" s="112" t="s">
        <v>679</v>
      </c>
      <c r="D6001" s="113">
        <v>10348217</v>
      </c>
      <c r="E6001" s="115">
        <v>43935</v>
      </c>
      <c r="F6001" s="114">
        <v>202101</v>
      </c>
      <c r="G6001" s="112" t="s">
        <v>1091</v>
      </c>
      <c r="H6001" s="112" t="s">
        <v>1016</v>
      </c>
      <c r="I6001" s="112" t="s">
        <v>4689</v>
      </c>
      <c r="J6001" s="112" t="s">
        <v>4690</v>
      </c>
      <c r="K6001" s="112" t="s">
        <v>4906</v>
      </c>
      <c r="L6001" s="116">
        <v>-54</v>
      </c>
    </row>
    <row r="6002" spans="1:12" hidden="1" outlineLevel="1" collapsed="1" x14ac:dyDescent="0.35">
      <c r="A6002" s="112" t="s">
        <v>4632</v>
      </c>
      <c r="B6002" s="112" t="s">
        <v>4688</v>
      </c>
      <c r="C6002" s="112" t="s">
        <v>4695</v>
      </c>
      <c r="D6002" s="113">
        <v>30440402</v>
      </c>
      <c r="E6002" s="115">
        <v>43935</v>
      </c>
      <c r="F6002" s="114">
        <v>202101</v>
      </c>
      <c r="G6002" s="112" t="s">
        <v>1091</v>
      </c>
      <c r="H6002" s="112" t="s">
        <v>1016</v>
      </c>
      <c r="I6002" s="112" t="s">
        <v>4689</v>
      </c>
      <c r="J6002" s="112" t="s">
        <v>4690</v>
      </c>
      <c r="K6002" s="112" t="s">
        <v>4907</v>
      </c>
      <c r="L6002" s="116">
        <v>54</v>
      </c>
    </row>
    <row r="6003" spans="1:12" hidden="1" outlineLevel="1" collapsed="1" x14ac:dyDescent="0.35">
      <c r="A6003" s="112" t="s">
        <v>4632</v>
      </c>
      <c r="B6003" s="112" t="s">
        <v>4688</v>
      </c>
      <c r="C6003" s="112" t="s">
        <v>4695</v>
      </c>
      <c r="D6003" s="113">
        <v>30440402</v>
      </c>
      <c r="E6003" s="115">
        <v>43935</v>
      </c>
      <c r="F6003" s="114">
        <v>202101</v>
      </c>
      <c r="G6003" s="112" t="s">
        <v>1091</v>
      </c>
      <c r="H6003" s="112" t="s">
        <v>1016</v>
      </c>
      <c r="I6003" s="112" t="s">
        <v>4689</v>
      </c>
      <c r="J6003" s="112" t="s">
        <v>4690</v>
      </c>
      <c r="K6003" s="112" t="s">
        <v>4908</v>
      </c>
      <c r="L6003" s="116">
        <v>54</v>
      </c>
    </row>
    <row r="6004" spans="1:12" hidden="1" outlineLevel="1" collapsed="1" x14ac:dyDescent="0.35">
      <c r="A6004" s="112" t="s">
        <v>4632</v>
      </c>
      <c r="B6004" s="112" t="s">
        <v>4688</v>
      </c>
      <c r="C6004" s="112" t="s">
        <v>4695</v>
      </c>
      <c r="D6004" s="113">
        <v>30440402</v>
      </c>
      <c r="E6004" s="115">
        <v>43935</v>
      </c>
      <c r="F6004" s="114">
        <v>202101</v>
      </c>
      <c r="G6004" s="112" t="s">
        <v>1091</v>
      </c>
      <c r="H6004" s="112" t="s">
        <v>1016</v>
      </c>
      <c r="I6004" s="112" t="s">
        <v>4689</v>
      </c>
      <c r="J6004" s="112" t="s">
        <v>4690</v>
      </c>
      <c r="K6004" s="112" t="s">
        <v>4909</v>
      </c>
      <c r="L6004" s="116">
        <v>54</v>
      </c>
    </row>
    <row r="6005" spans="1:12" hidden="1" outlineLevel="1" collapsed="1" x14ac:dyDescent="0.35">
      <c r="A6005" s="112" t="s">
        <v>4632</v>
      </c>
      <c r="B6005" s="112" t="s">
        <v>4688</v>
      </c>
      <c r="C6005" s="112" t="s">
        <v>4695</v>
      </c>
      <c r="D6005" s="113">
        <v>30440402</v>
      </c>
      <c r="E6005" s="115">
        <v>43935</v>
      </c>
      <c r="F6005" s="114">
        <v>202101</v>
      </c>
      <c r="G6005" s="112" t="s">
        <v>1091</v>
      </c>
      <c r="H6005" s="112" t="s">
        <v>1016</v>
      </c>
      <c r="I6005" s="112" t="s">
        <v>4689</v>
      </c>
      <c r="J6005" s="112" t="s">
        <v>4690</v>
      </c>
      <c r="K6005" s="112" t="s">
        <v>4906</v>
      </c>
      <c r="L6005" s="116">
        <v>54</v>
      </c>
    </row>
    <row r="6006" spans="1:12" hidden="1" outlineLevel="1" collapsed="1" x14ac:dyDescent="0.35">
      <c r="A6006" s="112" t="s">
        <v>4632</v>
      </c>
      <c r="B6006" s="112" t="s">
        <v>4688</v>
      </c>
      <c r="C6006" s="112" t="s">
        <v>679</v>
      </c>
      <c r="D6006" s="113">
        <v>10348217</v>
      </c>
      <c r="E6006" s="115">
        <v>43935</v>
      </c>
      <c r="F6006" s="114">
        <v>202101</v>
      </c>
      <c r="G6006" s="112" t="s">
        <v>1091</v>
      </c>
      <c r="H6006" s="112" t="s">
        <v>1016</v>
      </c>
      <c r="I6006" s="112" t="s">
        <v>4689</v>
      </c>
      <c r="J6006" s="112" t="s">
        <v>4690</v>
      </c>
      <c r="K6006" s="112" t="s">
        <v>4907</v>
      </c>
      <c r="L6006" s="116">
        <v>-54</v>
      </c>
    </row>
    <row r="6007" spans="1:12" hidden="1" outlineLevel="1" collapsed="1" x14ac:dyDescent="0.35">
      <c r="A6007" s="112" t="s">
        <v>4632</v>
      </c>
      <c r="B6007" s="112" t="s">
        <v>4688</v>
      </c>
      <c r="C6007" s="112" t="s">
        <v>679</v>
      </c>
      <c r="D6007" s="113">
        <v>10348217</v>
      </c>
      <c r="E6007" s="115">
        <v>43935</v>
      </c>
      <c r="F6007" s="114">
        <v>202101</v>
      </c>
      <c r="G6007" s="112" t="s">
        <v>1091</v>
      </c>
      <c r="H6007" s="112" t="s">
        <v>1016</v>
      </c>
      <c r="I6007" s="112" t="s">
        <v>4689</v>
      </c>
      <c r="J6007" s="112" t="s">
        <v>4690</v>
      </c>
      <c r="K6007" s="112" t="s">
        <v>4908</v>
      </c>
      <c r="L6007" s="116">
        <v>-54</v>
      </c>
    </row>
    <row r="6008" spans="1:12" hidden="1" outlineLevel="1" collapsed="1" x14ac:dyDescent="0.35">
      <c r="A6008" s="112" t="s">
        <v>4632</v>
      </c>
      <c r="B6008" s="112" t="s">
        <v>4688</v>
      </c>
      <c r="C6008" s="112" t="s">
        <v>679</v>
      </c>
      <c r="D6008" s="113">
        <v>10348217</v>
      </c>
      <c r="E6008" s="115">
        <v>43935</v>
      </c>
      <c r="F6008" s="114">
        <v>202101</v>
      </c>
      <c r="G6008" s="112" t="s">
        <v>1091</v>
      </c>
      <c r="H6008" s="112" t="s">
        <v>1016</v>
      </c>
      <c r="I6008" s="112" t="s">
        <v>4689</v>
      </c>
      <c r="J6008" s="112" t="s">
        <v>4690</v>
      </c>
      <c r="K6008" s="112" t="s">
        <v>4909</v>
      </c>
      <c r="L6008" s="116">
        <v>-54</v>
      </c>
    </row>
    <row r="6009" spans="1:12" hidden="1" outlineLevel="1" collapsed="1" x14ac:dyDescent="0.35">
      <c r="A6009" s="112" t="s">
        <v>4632</v>
      </c>
      <c r="B6009" s="112" t="s">
        <v>863</v>
      </c>
      <c r="C6009" s="112" t="s">
        <v>695</v>
      </c>
      <c r="D6009" s="113">
        <v>10348069</v>
      </c>
      <c r="E6009" s="115">
        <v>43929</v>
      </c>
      <c r="F6009" s="114">
        <v>202101</v>
      </c>
      <c r="G6009" s="112" t="s">
        <v>1091</v>
      </c>
      <c r="H6009" s="112" t="s">
        <v>1015</v>
      </c>
      <c r="I6009" s="112" t="s">
        <v>753</v>
      </c>
      <c r="J6009" s="112" t="s">
        <v>815</v>
      </c>
      <c r="K6009" s="112" t="s">
        <v>4910</v>
      </c>
      <c r="L6009" s="116">
        <v>276983.90000000002</v>
      </c>
    </row>
    <row r="6010" spans="1:12" hidden="1" outlineLevel="1" collapsed="1" x14ac:dyDescent="0.35">
      <c r="A6010" s="112" t="s">
        <v>4632</v>
      </c>
      <c r="B6010" s="112" t="s">
        <v>4688</v>
      </c>
      <c r="C6010" s="112" t="s">
        <v>1518</v>
      </c>
      <c r="D6010" s="113">
        <v>51365632</v>
      </c>
      <c r="E6010" s="115">
        <v>43943</v>
      </c>
      <c r="F6010" s="114">
        <v>202101</v>
      </c>
      <c r="G6010" s="112" t="s">
        <v>1091</v>
      </c>
      <c r="H6010" s="112" t="s">
        <v>1016</v>
      </c>
      <c r="I6010" s="112" t="s">
        <v>2337</v>
      </c>
      <c r="J6010" s="112" t="s">
        <v>4690</v>
      </c>
      <c r="K6010" s="112" t="s">
        <v>4911</v>
      </c>
      <c r="L6010" s="116">
        <v>-51</v>
      </c>
    </row>
    <row r="6011" spans="1:12" hidden="1" outlineLevel="1" collapsed="1" x14ac:dyDescent="0.35">
      <c r="A6011" s="112" t="s">
        <v>4632</v>
      </c>
      <c r="B6011" s="112" t="s">
        <v>4688</v>
      </c>
      <c r="C6011" s="112" t="s">
        <v>1518</v>
      </c>
      <c r="D6011" s="113">
        <v>51365631</v>
      </c>
      <c r="E6011" s="115">
        <v>43943</v>
      </c>
      <c r="F6011" s="114">
        <v>202101</v>
      </c>
      <c r="G6011" s="112" t="s">
        <v>1091</v>
      </c>
      <c r="H6011" s="112" t="s">
        <v>1016</v>
      </c>
      <c r="I6011" s="112" t="s">
        <v>2337</v>
      </c>
      <c r="J6011" s="112" t="s">
        <v>4690</v>
      </c>
      <c r="K6011" s="112" t="s">
        <v>4912</v>
      </c>
      <c r="L6011" s="116">
        <v>-51</v>
      </c>
    </row>
    <row r="6012" spans="1:12" hidden="1" outlineLevel="1" collapsed="1" x14ac:dyDescent="0.35">
      <c r="A6012" s="112" t="s">
        <v>4632</v>
      </c>
      <c r="B6012" s="112" t="s">
        <v>4688</v>
      </c>
      <c r="C6012" s="112" t="s">
        <v>1518</v>
      </c>
      <c r="D6012" s="113">
        <v>51365630</v>
      </c>
      <c r="E6012" s="115">
        <v>43943</v>
      </c>
      <c r="F6012" s="114">
        <v>202101</v>
      </c>
      <c r="G6012" s="112" t="s">
        <v>1091</v>
      </c>
      <c r="H6012" s="112" t="s">
        <v>1016</v>
      </c>
      <c r="I6012" s="112" t="s">
        <v>2337</v>
      </c>
      <c r="J6012" s="112" t="s">
        <v>4690</v>
      </c>
      <c r="K6012" s="112" t="s">
        <v>4913</v>
      </c>
      <c r="L6012" s="116">
        <v>-51</v>
      </c>
    </row>
    <row r="6013" spans="1:12" hidden="1" outlineLevel="1" collapsed="1" x14ac:dyDescent="0.35">
      <c r="A6013" s="112" t="s">
        <v>4632</v>
      </c>
      <c r="B6013" s="112" t="s">
        <v>863</v>
      </c>
      <c r="C6013" s="112" t="s">
        <v>695</v>
      </c>
      <c r="D6013" s="113">
        <v>10348069</v>
      </c>
      <c r="E6013" s="115">
        <v>43929</v>
      </c>
      <c r="F6013" s="114">
        <v>202101</v>
      </c>
      <c r="G6013" s="112" t="s">
        <v>1091</v>
      </c>
      <c r="H6013" s="112" t="s">
        <v>1015</v>
      </c>
      <c r="I6013" s="112" t="s">
        <v>753</v>
      </c>
      <c r="J6013" s="112" t="s">
        <v>852</v>
      </c>
      <c r="K6013" s="112" t="s">
        <v>4914</v>
      </c>
      <c r="L6013" s="116">
        <v>22179.599999999999</v>
      </c>
    </row>
    <row r="6014" spans="1:12" hidden="1" outlineLevel="1" collapsed="1" x14ac:dyDescent="0.35">
      <c r="A6014" s="112" t="s">
        <v>4632</v>
      </c>
      <c r="B6014" s="112" t="s">
        <v>4688</v>
      </c>
      <c r="C6014" s="112" t="s">
        <v>1518</v>
      </c>
      <c r="D6014" s="113">
        <v>51365628</v>
      </c>
      <c r="E6014" s="115">
        <v>43943</v>
      </c>
      <c r="F6014" s="114">
        <v>202101</v>
      </c>
      <c r="G6014" s="112" t="s">
        <v>1091</v>
      </c>
      <c r="H6014" s="112" t="s">
        <v>1016</v>
      </c>
      <c r="I6014" s="112" t="s">
        <v>2337</v>
      </c>
      <c r="J6014" s="112" t="s">
        <v>4690</v>
      </c>
      <c r="K6014" s="112" t="s">
        <v>4915</v>
      </c>
      <c r="L6014" s="116">
        <v>-51</v>
      </c>
    </row>
    <row r="6015" spans="1:12" hidden="1" outlineLevel="1" collapsed="1" x14ac:dyDescent="0.35">
      <c r="A6015" s="112" t="s">
        <v>4632</v>
      </c>
      <c r="B6015" s="112" t="s">
        <v>4688</v>
      </c>
      <c r="C6015" s="112" t="s">
        <v>1518</v>
      </c>
      <c r="D6015" s="113">
        <v>51365627</v>
      </c>
      <c r="E6015" s="115">
        <v>43943</v>
      </c>
      <c r="F6015" s="114">
        <v>202101</v>
      </c>
      <c r="G6015" s="112" t="s">
        <v>1091</v>
      </c>
      <c r="H6015" s="112" t="s">
        <v>1016</v>
      </c>
      <c r="I6015" s="112" t="s">
        <v>2337</v>
      </c>
      <c r="J6015" s="112" t="s">
        <v>4690</v>
      </c>
      <c r="K6015" s="112" t="s">
        <v>4916</v>
      </c>
      <c r="L6015" s="116">
        <v>-51</v>
      </c>
    </row>
    <row r="6016" spans="1:12" hidden="1" outlineLevel="1" collapsed="1" x14ac:dyDescent="0.35">
      <c r="A6016" s="112" t="s">
        <v>4632</v>
      </c>
      <c r="B6016" s="112" t="s">
        <v>4688</v>
      </c>
      <c r="C6016" s="112" t="s">
        <v>1518</v>
      </c>
      <c r="D6016" s="113">
        <v>51365626</v>
      </c>
      <c r="E6016" s="115">
        <v>43943</v>
      </c>
      <c r="F6016" s="114">
        <v>202101</v>
      </c>
      <c r="G6016" s="112" t="s">
        <v>1091</v>
      </c>
      <c r="H6016" s="112" t="s">
        <v>1016</v>
      </c>
      <c r="I6016" s="112" t="s">
        <v>2337</v>
      </c>
      <c r="J6016" s="112" t="s">
        <v>4690</v>
      </c>
      <c r="K6016" s="112" t="s">
        <v>4917</v>
      </c>
      <c r="L6016" s="116">
        <v>-51</v>
      </c>
    </row>
    <row r="6017" spans="1:12" hidden="1" outlineLevel="1" collapsed="1" x14ac:dyDescent="0.35">
      <c r="A6017" s="112" t="s">
        <v>4632</v>
      </c>
      <c r="B6017" s="112" t="s">
        <v>4688</v>
      </c>
      <c r="C6017" s="112" t="s">
        <v>1518</v>
      </c>
      <c r="D6017" s="113">
        <v>51365625</v>
      </c>
      <c r="E6017" s="115">
        <v>43943</v>
      </c>
      <c r="F6017" s="114">
        <v>202101</v>
      </c>
      <c r="G6017" s="112" t="s">
        <v>1091</v>
      </c>
      <c r="H6017" s="112" t="s">
        <v>1016</v>
      </c>
      <c r="I6017" s="112" t="s">
        <v>2337</v>
      </c>
      <c r="J6017" s="112" t="s">
        <v>4690</v>
      </c>
      <c r="K6017" s="112" t="s">
        <v>4918</v>
      </c>
      <c r="L6017" s="116">
        <v>-51</v>
      </c>
    </row>
    <row r="6018" spans="1:12" hidden="1" outlineLevel="1" collapsed="1" x14ac:dyDescent="0.35">
      <c r="A6018" s="112" t="s">
        <v>4632</v>
      </c>
      <c r="B6018" s="112" t="s">
        <v>4688</v>
      </c>
      <c r="C6018" s="112" t="s">
        <v>1518</v>
      </c>
      <c r="D6018" s="113">
        <v>51365624</v>
      </c>
      <c r="E6018" s="115">
        <v>43943</v>
      </c>
      <c r="F6018" s="114">
        <v>202101</v>
      </c>
      <c r="G6018" s="112" t="s">
        <v>1091</v>
      </c>
      <c r="H6018" s="112" t="s">
        <v>1016</v>
      </c>
      <c r="I6018" s="112" t="s">
        <v>2337</v>
      </c>
      <c r="J6018" s="112" t="s">
        <v>4690</v>
      </c>
      <c r="K6018" s="112" t="s">
        <v>4919</v>
      </c>
      <c r="L6018" s="116">
        <v>-51</v>
      </c>
    </row>
    <row r="6019" spans="1:12" hidden="1" outlineLevel="1" collapsed="1" x14ac:dyDescent="0.35">
      <c r="A6019" s="112" t="s">
        <v>4632</v>
      </c>
      <c r="B6019" s="112" t="s">
        <v>4650</v>
      </c>
      <c r="C6019" s="112" t="s">
        <v>1511</v>
      </c>
      <c r="D6019" s="113">
        <v>47036981</v>
      </c>
      <c r="E6019" s="115">
        <v>43915</v>
      </c>
      <c r="F6019" s="114">
        <v>202101</v>
      </c>
      <c r="G6019" s="112" t="s">
        <v>1091</v>
      </c>
      <c r="H6019" s="112" t="s">
        <v>1015</v>
      </c>
      <c r="I6019" s="112" t="s">
        <v>757</v>
      </c>
      <c r="J6019" s="112" t="s">
        <v>4651</v>
      </c>
      <c r="K6019" s="112" t="s">
        <v>4920</v>
      </c>
      <c r="L6019" s="116">
        <v>159.22</v>
      </c>
    </row>
    <row r="6020" spans="1:12" hidden="1" outlineLevel="1" collapsed="1" x14ac:dyDescent="0.35">
      <c r="A6020" s="112" t="s">
        <v>4632</v>
      </c>
      <c r="B6020" s="112" t="s">
        <v>4688</v>
      </c>
      <c r="C6020" s="112" t="s">
        <v>1518</v>
      </c>
      <c r="D6020" s="113">
        <v>51365623</v>
      </c>
      <c r="E6020" s="115">
        <v>43943</v>
      </c>
      <c r="F6020" s="114">
        <v>202101</v>
      </c>
      <c r="G6020" s="112" t="s">
        <v>1091</v>
      </c>
      <c r="H6020" s="112" t="s">
        <v>1016</v>
      </c>
      <c r="I6020" s="112" t="s">
        <v>2337</v>
      </c>
      <c r="J6020" s="112" t="s">
        <v>4690</v>
      </c>
      <c r="K6020" s="112" t="s">
        <v>4921</v>
      </c>
      <c r="L6020" s="116">
        <v>-51</v>
      </c>
    </row>
    <row r="6021" spans="1:12" hidden="1" outlineLevel="1" collapsed="1" x14ac:dyDescent="0.35">
      <c r="A6021" s="112" t="s">
        <v>4632</v>
      </c>
      <c r="B6021" s="112" t="s">
        <v>4688</v>
      </c>
      <c r="C6021" s="112" t="s">
        <v>1518</v>
      </c>
      <c r="D6021" s="113">
        <v>51365622</v>
      </c>
      <c r="E6021" s="115">
        <v>43943</v>
      </c>
      <c r="F6021" s="114">
        <v>202101</v>
      </c>
      <c r="G6021" s="112" t="s">
        <v>1091</v>
      </c>
      <c r="H6021" s="112" t="s">
        <v>1016</v>
      </c>
      <c r="I6021" s="112" t="s">
        <v>2337</v>
      </c>
      <c r="J6021" s="112" t="s">
        <v>4690</v>
      </c>
      <c r="K6021" s="112" t="s">
        <v>4922</v>
      </c>
      <c r="L6021" s="116">
        <v>-51</v>
      </c>
    </row>
    <row r="6022" spans="1:12" hidden="1" outlineLevel="1" collapsed="1" x14ac:dyDescent="0.35">
      <c r="A6022" s="112" t="s">
        <v>4632</v>
      </c>
      <c r="B6022" s="112" t="s">
        <v>4688</v>
      </c>
      <c r="C6022" s="112" t="s">
        <v>1518</v>
      </c>
      <c r="D6022" s="113">
        <v>51365621</v>
      </c>
      <c r="E6022" s="115">
        <v>43943</v>
      </c>
      <c r="F6022" s="114">
        <v>202101</v>
      </c>
      <c r="G6022" s="112" t="s">
        <v>1091</v>
      </c>
      <c r="H6022" s="112" t="s">
        <v>1016</v>
      </c>
      <c r="I6022" s="112" t="s">
        <v>2337</v>
      </c>
      <c r="J6022" s="112" t="s">
        <v>4690</v>
      </c>
      <c r="K6022" s="112" t="s">
        <v>4923</v>
      </c>
      <c r="L6022" s="116">
        <v>-51</v>
      </c>
    </row>
    <row r="6023" spans="1:12" hidden="1" outlineLevel="1" collapsed="1" x14ac:dyDescent="0.35">
      <c r="A6023" s="112" t="s">
        <v>4632</v>
      </c>
      <c r="B6023" s="112" t="s">
        <v>4688</v>
      </c>
      <c r="C6023" s="112" t="s">
        <v>1518</v>
      </c>
      <c r="D6023" s="113">
        <v>51365620</v>
      </c>
      <c r="E6023" s="115">
        <v>43939</v>
      </c>
      <c r="F6023" s="114">
        <v>202101</v>
      </c>
      <c r="G6023" s="112" t="s">
        <v>1091</v>
      </c>
      <c r="H6023" s="112" t="s">
        <v>1016</v>
      </c>
      <c r="I6023" s="112" t="s">
        <v>2337</v>
      </c>
      <c r="J6023" s="112" t="s">
        <v>4690</v>
      </c>
      <c r="K6023" s="112" t="s">
        <v>4924</v>
      </c>
      <c r="L6023" s="116">
        <v>-54</v>
      </c>
    </row>
    <row r="6024" spans="1:12" hidden="1" outlineLevel="1" collapsed="1" x14ac:dyDescent="0.35">
      <c r="A6024" s="112" t="s">
        <v>4632</v>
      </c>
      <c r="B6024" s="112" t="s">
        <v>4688</v>
      </c>
      <c r="C6024" s="112" t="s">
        <v>1518</v>
      </c>
      <c r="D6024" s="113">
        <v>51365619</v>
      </c>
      <c r="E6024" s="115">
        <v>43926</v>
      </c>
      <c r="F6024" s="114">
        <v>202101</v>
      </c>
      <c r="G6024" s="112" t="s">
        <v>1091</v>
      </c>
      <c r="H6024" s="112" t="s">
        <v>1016</v>
      </c>
      <c r="I6024" s="112" t="s">
        <v>2337</v>
      </c>
      <c r="J6024" s="112" t="s">
        <v>4690</v>
      </c>
      <c r="K6024" s="112" t="s">
        <v>4925</v>
      </c>
      <c r="L6024" s="116">
        <v>-54</v>
      </c>
    </row>
    <row r="6025" spans="1:12" hidden="1" outlineLevel="1" collapsed="1" x14ac:dyDescent="0.35">
      <c r="A6025" s="112" t="s">
        <v>4632</v>
      </c>
      <c r="B6025" s="112" t="s">
        <v>4688</v>
      </c>
      <c r="C6025" s="112" t="s">
        <v>1518</v>
      </c>
      <c r="D6025" s="113">
        <v>51365618</v>
      </c>
      <c r="E6025" s="115">
        <v>43943</v>
      </c>
      <c r="F6025" s="114">
        <v>202101</v>
      </c>
      <c r="G6025" s="112" t="s">
        <v>1091</v>
      </c>
      <c r="H6025" s="112" t="s">
        <v>1016</v>
      </c>
      <c r="I6025" s="112" t="s">
        <v>2337</v>
      </c>
      <c r="J6025" s="112" t="s">
        <v>4690</v>
      </c>
      <c r="K6025" s="112" t="s">
        <v>4926</v>
      </c>
      <c r="L6025" s="116">
        <v>-51</v>
      </c>
    </row>
    <row r="6026" spans="1:12" hidden="1" outlineLevel="1" collapsed="1" x14ac:dyDescent="0.35">
      <c r="A6026" s="112" t="s">
        <v>4632</v>
      </c>
      <c r="B6026" s="112" t="s">
        <v>4688</v>
      </c>
      <c r="C6026" s="112" t="s">
        <v>1518</v>
      </c>
      <c r="D6026" s="113">
        <v>51365617</v>
      </c>
      <c r="E6026" s="115">
        <v>43943</v>
      </c>
      <c r="F6026" s="114">
        <v>202101</v>
      </c>
      <c r="G6026" s="112" t="s">
        <v>1091</v>
      </c>
      <c r="H6026" s="112" t="s">
        <v>1016</v>
      </c>
      <c r="I6026" s="112" t="s">
        <v>2337</v>
      </c>
      <c r="J6026" s="112" t="s">
        <v>4690</v>
      </c>
      <c r="K6026" s="112" t="s">
        <v>4927</v>
      </c>
      <c r="L6026" s="116">
        <v>-54</v>
      </c>
    </row>
    <row r="6027" spans="1:12" hidden="1" outlineLevel="1" collapsed="1" x14ac:dyDescent="0.35">
      <c r="A6027" s="112" t="s">
        <v>4632</v>
      </c>
      <c r="B6027" s="112" t="s">
        <v>4650</v>
      </c>
      <c r="C6027" s="112" t="s">
        <v>1511</v>
      </c>
      <c r="D6027" s="113">
        <v>47036980</v>
      </c>
      <c r="E6027" s="115">
        <v>43915</v>
      </c>
      <c r="F6027" s="114">
        <v>202101</v>
      </c>
      <c r="G6027" s="112" t="s">
        <v>1091</v>
      </c>
      <c r="H6027" s="112" t="s">
        <v>1015</v>
      </c>
      <c r="I6027" s="112" t="s">
        <v>757</v>
      </c>
      <c r="J6027" s="112" t="s">
        <v>4651</v>
      </c>
      <c r="K6027" s="112" t="s">
        <v>4928</v>
      </c>
      <c r="L6027" s="116">
        <v>84.17</v>
      </c>
    </row>
    <row r="6028" spans="1:12" hidden="1" outlineLevel="1" collapsed="1" x14ac:dyDescent="0.35">
      <c r="A6028" s="112" t="s">
        <v>4632</v>
      </c>
      <c r="B6028" s="112" t="s">
        <v>4639</v>
      </c>
      <c r="C6028" s="112" t="s">
        <v>1511</v>
      </c>
      <c r="D6028" s="113">
        <v>47036978</v>
      </c>
      <c r="E6028" s="115">
        <v>43915</v>
      </c>
      <c r="F6028" s="114">
        <v>202101</v>
      </c>
      <c r="G6028" s="112" t="s">
        <v>1091</v>
      </c>
      <c r="H6028" s="112" t="s">
        <v>1015</v>
      </c>
      <c r="I6028" s="112" t="s">
        <v>757</v>
      </c>
      <c r="J6028" s="112" t="s">
        <v>4640</v>
      </c>
      <c r="K6028" s="112" t="s">
        <v>4929</v>
      </c>
      <c r="L6028" s="116">
        <v>274.51</v>
      </c>
    </row>
    <row r="6029" spans="1:12" hidden="1" outlineLevel="1" collapsed="1" x14ac:dyDescent="0.35">
      <c r="A6029" s="112" t="s">
        <v>4632</v>
      </c>
      <c r="B6029" s="112" t="s">
        <v>4688</v>
      </c>
      <c r="C6029" s="112" t="s">
        <v>4695</v>
      </c>
      <c r="D6029" s="113">
        <v>30440783</v>
      </c>
      <c r="E6029" s="115">
        <v>43950</v>
      </c>
      <c r="F6029" s="114">
        <v>202101</v>
      </c>
      <c r="G6029" s="112" t="s">
        <v>1091</v>
      </c>
      <c r="H6029" s="112" t="s">
        <v>1016</v>
      </c>
      <c r="I6029" s="112" t="s">
        <v>4689</v>
      </c>
      <c r="J6029" s="112" t="s">
        <v>4690</v>
      </c>
      <c r="K6029" s="112" t="s">
        <v>4930</v>
      </c>
      <c r="L6029" s="116">
        <v>54</v>
      </c>
    </row>
    <row r="6030" spans="1:12" hidden="1" outlineLevel="1" collapsed="1" x14ac:dyDescent="0.35">
      <c r="A6030" s="112" t="s">
        <v>4632</v>
      </c>
      <c r="B6030" s="112" t="s">
        <v>4688</v>
      </c>
      <c r="C6030" s="112" t="s">
        <v>4695</v>
      </c>
      <c r="D6030" s="113">
        <v>30440783</v>
      </c>
      <c r="E6030" s="115">
        <v>43950</v>
      </c>
      <c r="F6030" s="114">
        <v>202101</v>
      </c>
      <c r="G6030" s="112" t="s">
        <v>1091</v>
      </c>
      <c r="H6030" s="112" t="s">
        <v>1016</v>
      </c>
      <c r="I6030" s="112" t="s">
        <v>4689</v>
      </c>
      <c r="J6030" s="112" t="s">
        <v>4690</v>
      </c>
      <c r="K6030" s="112" t="s">
        <v>4931</v>
      </c>
      <c r="L6030" s="116">
        <v>54</v>
      </c>
    </row>
    <row r="6031" spans="1:12" hidden="1" outlineLevel="1" collapsed="1" x14ac:dyDescent="0.35">
      <c r="A6031" s="112" t="s">
        <v>4632</v>
      </c>
      <c r="B6031" s="112" t="s">
        <v>4688</v>
      </c>
      <c r="C6031" s="112" t="s">
        <v>1518</v>
      </c>
      <c r="D6031" s="113">
        <v>51366273</v>
      </c>
      <c r="E6031" s="115">
        <v>43949</v>
      </c>
      <c r="F6031" s="114">
        <v>202101</v>
      </c>
      <c r="G6031" s="112" t="s">
        <v>1091</v>
      </c>
      <c r="H6031" s="112" t="s">
        <v>1016</v>
      </c>
      <c r="I6031" s="112" t="s">
        <v>3394</v>
      </c>
      <c r="J6031" s="112" t="s">
        <v>4932</v>
      </c>
      <c r="K6031" s="112" t="s">
        <v>4933</v>
      </c>
      <c r="L6031" s="116">
        <v>-56919.65</v>
      </c>
    </row>
    <row r="6032" spans="1:12" hidden="1" outlineLevel="1" collapsed="1" x14ac:dyDescent="0.35">
      <c r="A6032" s="112" t="s">
        <v>4632</v>
      </c>
      <c r="B6032" s="112" t="s">
        <v>4688</v>
      </c>
      <c r="C6032" s="112" t="s">
        <v>4695</v>
      </c>
      <c r="D6032" s="113">
        <v>30440783</v>
      </c>
      <c r="E6032" s="115">
        <v>43950</v>
      </c>
      <c r="F6032" s="114">
        <v>202101</v>
      </c>
      <c r="G6032" s="112" t="s">
        <v>1091</v>
      </c>
      <c r="H6032" s="112" t="s">
        <v>1016</v>
      </c>
      <c r="I6032" s="112" t="s">
        <v>4689</v>
      </c>
      <c r="J6032" s="112" t="s">
        <v>4690</v>
      </c>
      <c r="K6032" s="112" t="s">
        <v>4934</v>
      </c>
      <c r="L6032" s="116">
        <v>52</v>
      </c>
    </row>
    <row r="6033" spans="1:12" hidden="1" outlineLevel="1" collapsed="1" x14ac:dyDescent="0.35">
      <c r="A6033" s="112" t="s">
        <v>4632</v>
      </c>
      <c r="B6033" s="112" t="s">
        <v>863</v>
      </c>
      <c r="C6033" s="112" t="s">
        <v>695</v>
      </c>
      <c r="D6033" s="113">
        <v>10348085</v>
      </c>
      <c r="E6033" s="115">
        <v>43923</v>
      </c>
      <c r="F6033" s="114">
        <v>202101</v>
      </c>
      <c r="G6033" s="112" t="s">
        <v>1091</v>
      </c>
      <c r="H6033" s="112" t="s">
        <v>1015</v>
      </c>
      <c r="I6033" s="112" t="s">
        <v>749</v>
      </c>
      <c r="J6033" s="112" t="s">
        <v>835</v>
      </c>
      <c r="K6033" s="112" t="s">
        <v>4662</v>
      </c>
      <c r="L6033" s="116">
        <v>-423.45</v>
      </c>
    </row>
    <row r="6034" spans="1:12" hidden="1" outlineLevel="1" collapsed="1" x14ac:dyDescent="0.35">
      <c r="A6034" s="112" t="s">
        <v>4632</v>
      </c>
      <c r="B6034" s="112" t="s">
        <v>863</v>
      </c>
      <c r="C6034" s="112" t="s">
        <v>695</v>
      </c>
      <c r="D6034" s="113">
        <v>10348085</v>
      </c>
      <c r="E6034" s="115">
        <v>43923</v>
      </c>
      <c r="F6034" s="114">
        <v>202101</v>
      </c>
      <c r="G6034" s="112" t="s">
        <v>1091</v>
      </c>
      <c r="H6034" s="112" t="s">
        <v>1015</v>
      </c>
      <c r="I6034" s="112" t="s">
        <v>749</v>
      </c>
      <c r="J6034" s="112" t="s">
        <v>815</v>
      </c>
      <c r="K6034" s="112" t="s">
        <v>4662</v>
      </c>
      <c r="L6034" s="116">
        <v>-113.13</v>
      </c>
    </row>
    <row r="6035" spans="1:12" hidden="1" outlineLevel="1" collapsed="1" x14ac:dyDescent="0.35">
      <c r="A6035" s="112" t="s">
        <v>4632</v>
      </c>
      <c r="B6035" s="112" t="s">
        <v>4688</v>
      </c>
      <c r="C6035" s="112" t="s">
        <v>679</v>
      </c>
      <c r="D6035" s="113">
        <v>10348515</v>
      </c>
      <c r="E6035" s="115">
        <v>43949</v>
      </c>
      <c r="F6035" s="114">
        <v>202101</v>
      </c>
      <c r="G6035" s="112" t="s">
        <v>1091</v>
      </c>
      <c r="H6035" s="112" t="s">
        <v>1016</v>
      </c>
      <c r="I6035" s="112" t="s">
        <v>4689</v>
      </c>
      <c r="J6035" s="112" t="s">
        <v>4690</v>
      </c>
      <c r="K6035" s="112" t="s">
        <v>4935</v>
      </c>
      <c r="L6035" s="116">
        <v>-54</v>
      </c>
    </row>
    <row r="6036" spans="1:12" hidden="1" outlineLevel="1" collapsed="1" x14ac:dyDescent="0.35">
      <c r="A6036" s="112" t="s">
        <v>4632</v>
      </c>
      <c r="B6036" s="112" t="s">
        <v>4688</v>
      </c>
      <c r="C6036" s="112" t="s">
        <v>679</v>
      </c>
      <c r="D6036" s="113">
        <v>10348515</v>
      </c>
      <c r="E6036" s="115">
        <v>43949</v>
      </c>
      <c r="F6036" s="114">
        <v>202101</v>
      </c>
      <c r="G6036" s="112" t="s">
        <v>1091</v>
      </c>
      <c r="H6036" s="112" t="s">
        <v>1016</v>
      </c>
      <c r="I6036" s="112" t="s">
        <v>4689</v>
      </c>
      <c r="J6036" s="112" t="s">
        <v>4690</v>
      </c>
      <c r="K6036" s="112" t="s">
        <v>4936</v>
      </c>
      <c r="L6036" s="116">
        <v>-54</v>
      </c>
    </row>
    <row r="6037" spans="1:12" hidden="1" outlineLevel="1" collapsed="1" x14ac:dyDescent="0.35">
      <c r="A6037" s="112" t="s">
        <v>4632</v>
      </c>
      <c r="B6037" s="112" t="s">
        <v>4688</v>
      </c>
      <c r="C6037" s="112" t="s">
        <v>679</v>
      </c>
      <c r="D6037" s="113">
        <v>10348515</v>
      </c>
      <c r="E6037" s="115">
        <v>43949</v>
      </c>
      <c r="F6037" s="114">
        <v>202101</v>
      </c>
      <c r="G6037" s="112" t="s">
        <v>1091</v>
      </c>
      <c r="H6037" s="112" t="s">
        <v>1016</v>
      </c>
      <c r="I6037" s="112" t="s">
        <v>4689</v>
      </c>
      <c r="J6037" s="112" t="s">
        <v>4690</v>
      </c>
      <c r="K6037" s="112" t="s">
        <v>4937</v>
      </c>
      <c r="L6037" s="116">
        <v>-54</v>
      </c>
    </row>
    <row r="6038" spans="1:12" hidden="1" outlineLevel="1" collapsed="1" x14ac:dyDescent="0.35">
      <c r="A6038" s="112" t="s">
        <v>4632</v>
      </c>
      <c r="B6038" s="112" t="s">
        <v>4688</v>
      </c>
      <c r="C6038" s="112" t="s">
        <v>679</v>
      </c>
      <c r="D6038" s="113">
        <v>10348515</v>
      </c>
      <c r="E6038" s="115">
        <v>43949</v>
      </c>
      <c r="F6038" s="114">
        <v>202101</v>
      </c>
      <c r="G6038" s="112" t="s">
        <v>1091</v>
      </c>
      <c r="H6038" s="112" t="s">
        <v>1016</v>
      </c>
      <c r="I6038" s="112" t="s">
        <v>4689</v>
      </c>
      <c r="J6038" s="112" t="s">
        <v>4690</v>
      </c>
      <c r="K6038" s="112" t="s">
        <v>4938</v>
      </c>
      <c r="L6038" s="116">
        <v>-54</v>
      </c>
    </row>
    <row r="6039" spans="1:12" hidden="1" outlineLevel="1" collapsed="1" x14ac:dyDescent="0.35">
      <c r="A6039" s="112" t="s">
        <v>4632</v>
      </c>
      <c r="B6039" s="112" t="s">
        <v>4688</v>
      </c>
      <c r="C6039" s="112" t="s">
        <v>679</v>
      </c>
      <c r="D6039" s="113">
        <v>10348515</v>
      </c>
      <c r="E6039" s="115">
        <v>43949</v>
      </c>
      <c r="F6039" s="114">
        <v>202101</v>
      </c>
      <c r="G6039" s="112" t="s">
        <v>1091</v>
      </c>
      <c r="H6039" s="112" t="s">
        <v>1016</v>
      </c>
      <c r="I6039" s="112" t="s">
        <v>4689</v>
      </c>
      <c r="J6039" s="112" t="s">
        <v>4690</v>
      </c>
      <c r="K6039" s="112" t="s">
        <v>4939</v>
      </c>
      <c r="L6039" s="116">
        <v>-54</v>
      </c>
    </row>
    <row r="6040" spans="1:12" hidden="1" outlineLevel="1" collapsed="1" x14ac:dyDescent="0.35">
      <c r="A6040" s="112" t="s">
        <v>4632</v>
      </c>
      <c r="B6040" s="112" t="s">
        <v>4688</v>
      </c>
      <c r="C6040" s="112" t="s">
        <v>679</v>
      </c>
      <c r="D6040" s="113">
        <v>10348515</v>
      </c>
      <c r="E6040" s="115">
        <v>43949</v>
      </c>
      <c r="F6040" s="114">
        <v>202101</v>
      </c>
      <c r="G6040" s="112" t="s">
        <v>1091</v>
      </c>
      <c r="H6040" s="112" t="s">
        <v>1016</v>
      </c>
      <c r="I6040" s="112" t="s">
        <v>4689</v>
      </c>
      <c r="J6040" s="112" t="s">
        <v>4690</v>
      </c>
      <c r="K6040" s="112" t="s">
        <v>4940</v>
      </c>
      <c r="L6040" s="116">
        <v>-54</v>
      </c>
    </row>
    <row r="6041" spans="1:12" hidden="1" outlineLevel="1" collapsed="1" x14ac:dyDescent="0.35">
      <c r="A6041" s="112" t="s">
        <v>4632</v>
      </c>
      <c r="B6041" s="112" t="s">
        <v>4644</v>
      </c>
      <c r="C6041" s="112" t="s">
        <v>695</v>
      </c>
      <c r="D6041" s="113">
        <v>10348085</v>
      </c>
      <c r="E6041" s="115">
        <v>43923</v>
      </c>
      <c r="F6041" s="114">
        <v>202101</v>
      </c>
      <c r="G6041" s="112" t="s">
        <v>1091</v>
      </c>
      <c r="H6041" s="112" t="s">
        <v>1015</v>
      </c>
      <c r="I6041" s="112" t="s">
        <v>749</v>
      </c>
      <c r="J6041" s="112" t="s">
        <v>4645</v>
      </c>
      <c r="K6041" s="112" t="s">
        <v>4662</v>
      </c>
      <c r="L6041" s="116">
        <v>-82.17</v>
      </c>
    </row>
    <row r="6042" spans="1:12" hidden="1" outlineLevel="1" collapsed="1" x14ac:dyDescent="0.35">
      <c r="A6042" s="112" t="s">
        <v>4632</v>
      </c>
      <c r="B6042" s="112" t="s">
        <v>4650</v>
      </c>
      <c r="C6042" s="112" t="s">
        <v>695</v>
      </c>
      <c r="D6042" s="113">
        <v>10348085</v>
      </c>
      <c r="E6042" s="115">
        <v>43923</v>
      </c>
      <c r="F6042" s="114">
        <v>202101</v>
      </c>
      <c r="G6042" s="112" t="s">
        <v>1091</v>
      </c>
      <c r="H6042" s="112" t="s">
        <v>1015</v>
      </c>
      <c r="I6042" s="112" t="s">
        <v>749</v>
      </c>
      <c r="J6042" s="112" t="s">
        <v>4651</v>
      </c>
      <c r="K6042" s="112" t="s">
        <v>4662</v>
      </c>
      <c r="L6042" s="116">
        <v>-67.209999999999994</v>
      </c>
    </row>
    <row r="6043" spans="1:12" hidden="1" outlineLevel="1" collapsed="1" x14ac:dyDescent="0.35">
      <c r="A6043" s="112" t="s">
        <v>4632</v>
      </c>
      <c r="B6043" s="112" t="s">
        <v>4650</v>
      </c>
      <c r="C6043" s="112" t="s">
        <v>695</v>
      </c>
      <c r="D6043" s="113">
        <v>10348085</v>
      </c>
      <c r="E6043" s="115">
        <v>43923</v>
      </c>
      <c r="F6043" s="114">
        <v>202101</v>
      </c>
      <c r="G6043" s="112" t="s">
        <v>1091</v>
      </c>
      <c r="H6043" s="112" t="s">
        <v>1015</v>
      </c>
      <c r="I6043" s="112" t="s">
        <v>749</v>
      </c>
      <c r="J6043" s="112" t="s">
        <v>4651</v>
      </c>
      <c r="K6043" s="112" t="s">
        <v>4662</v>
      </c>
      <c r="L6043" s="116">
        <v>-78.83</v>
      </c>
    </row>
    <row r="6044" spans="1:12" hidden="1" outlineLevel="1" collapsed="1" x14ac:dyDescent="0.35">
      <c r="A6044" s="112" t="s">
        <v>4632</v>
      </c>
      <c r="B6044" s="112" t="s">
        <v>4650</v>
      </c>
      <c r="C6044" s="112" t="s">
        <v>695</v>
      </c>
      <c r="D6044" s="113">
        <v>10348085</v>
      </c>
      <c r="E6044" s="115">
        <v>43923</v>
      </c>
      <c r="F6044" s="114">
        <v>202101</v>
      </c>
      <c r="G6044" s="112" t="s">
        <v>1091</v>
      </c>
      <c r="H6044" s="112" t="s">
        <v>1015</v>
      </c>
      <c r="I6044" s="112" t="s">
        <v>749</v>
      </c>
      <c r="J6044" s="112" t="s">
        <v>4651</v>
      </c>
      <c r="K6044" s="112" t="s">
        <v>4662</v>
      </c>
      <c r="L6044" s="116">
        <v>-173.81</v>
      </c>
    </row>
    <row r="6045" spans="1:12" hidden="1" outlineLevel="1" collapsed="1" x14ac:dyDescent="0.35">
      <c r="A6045" s="112" t="s">
        <v>4632</v>
      </c>
      <c r="B6045" s="112" t="s">
        <v>4650</v>
      </c>
      <c r="C6045" s="112" t="s">
        <v>695</v>
      </c>
      <c r="D6045" s="113">
        <v>10348085</v>
      </c>
      <c r="E6045" s="115">
        <v>43923</v>
      </c>
      <c r="F6045" s="114">
        <v>202101</v>
      </c>
      <c r="G6045" s="112" t="s">
        <v>1091</v>
      </c>
      <c r="H6045" s="112" t="s">
        <v>1015</v>
      </c>
      <c r="I6045" s="112" t="s">
        <v>749</v>
      </c>
      <c r="J6045" s="112" t="s">
        <v>4651</v>
      </c>
      <c r="K6045" s="112" t="s">
        <v>4662</v>
      </c>
      <c r="L6045" s="116">
        <v>-39.409999999999997</v>
      </c>
    </row>
    <row r="6046" spans="1:12" hidden="1" outlineLevel="1" collapsed="1" x14ac:dyDescent="0.35">
      <c r="A6046" s="112" t="s">
        <v>4632</v>
      </c>
      <c r="B6046" s="112" t="s">
        <v>4688</v>
      </c>
      <c r="C6046" s="112" t="s">
        <v>1518</v>
      </c>
      <c r="D6046" s="113">
        <v>51365938</v>
      </c>
      <c r="E6046" s="115">
        <v>43948</v>
      </c>
      <c r="F6046" s="114">
        <v>202101</v>
      </c>
      <c r="G6046" s="112" t="s">
        <v>1091</v>
      </c>
      <c r="H6046" s="112" t="s">
        <v>1016</v>
      </c>
      <c r="I6046" s="112" t="s">
        <v>2337</v>
      </c>
      <c r="J6046" s="112" t="s">
        <v>4690</v>
      </c>
      <c r="K6046" s="112" t="s">
        <v>4941</v>
      </c>
      <c r="L6046" s="116">
        <v>-51</v>
      </c>
    </row>
    <row r="6047" spans="1:12" hidden="1" outlineLevel="1" collapsed="1" x14ac:dyDescent="0.35">
      <c r="A6047" s="112" t="s">
        <v>4632</v>
      </c>
      <c r="B6047" s="112" t="s">
        <v>4650</v>
      </c>
      <c r="C6047" s="112" t="s">
        <v>695</v>
      </c>
      <c r="D6047" s="113">
        <v>10348085</v>
      </c>
      <c r="E6047" s="115">
        <v>43923</v>
      </c>
      <c r="F6047" s="114">
        <v>202101</v>
      </c>
      <c r="G6047" s="112" t="s">
        <v>1091</v>
      </c>
      <c r="H6047" s="112" t="s">
        <v>1015</v>
      </c>
      <c r="I6047" s="112" t="s">
        <v>757</v>
      </c>
      <c r="J6047" s="112" t="s">
        <v>4651</v>
      </c>
      <c r="K6047" s="112" t="s">
        <v>4662</v>
      </c>
      <c r="L6047" s="116">
        <v>-731.7</v>
      </c>
    </row>
    <row r="6048" spans="1:12" hidden="1" outlineLevel="1" collapsed="1" x14ac:dyDescent="0.35">
      <c r="A6048" s="112" t="s">
        <v>4632</v>
      </c>
      <c r="B6048" s="112" t="s">
        <v>4650</v>
      </c>
      <c r="C6048" s="112" t="s">
        <v>695</v>
      </c>
      <c r="D6048" s="113">
        <v>10348085</v>
      </c>
      <c r="E6048" s="115">
        <v>43923</v>
      </c>
      <c r="F6048" s="114">
        <v>202101</v>
      </c>
      <c r="G6048" s="112" t="s">
        <v>1091</v>
      </c>
      <c r="H6048" s="112" t="s">
        <v>1015</v>
      </c>
      <c r="I6048" s="112" t="s">
        <v>757</v>
      </c>
      <c r="J6048" s="112" t="s">
        <v>4651</v>
      </c>
      <c r="K6048" s="112" t="s">
        <v>4662</v>
      </c>
      <c r="L6048" s="116">
        <v>-194.32</v>
      </c>
    </row>
    <row r="6049" spans="1:12" hidden="1" outlineLevel="1" collapsed="1" x14ac:dyDescent="0.35">
      <c r="A6049" s="112" t="s">
        <v>4632</v>
      </c>
      <c r="B6049" s="112" t="s">
        <v>4644</v>
      </c>
      <c r="C6049" s="112" t="s">
        <v>695</v>
      </c>
      <c r="D6049" s="113">
        <v>10348085</v>
      </c>
      <c r="E6049" s="115">
        <v>43923</v>
      </c>
      <c r="F6049" s="114">
        <v>202101</v>
      </c>
      <c r="G6049" s="112" t="s">
        <v>1091</v>
      </c>
      <c r="H6049" s="112" t="s">
        <v>1015</v>
      </c>
      <c r="I6049" s="112" t="s">
        <v>751</v>
      </c>
      <c r="J6049" s="112" t="s">
        <v>4645</v>
      </c>
      <c r="K6049" s="112" t="s">
        <v>4662</v>
      </c>
      <c r="L6049" s="116">
        <v>-1848.27</v>
      </c>
    </row>
    <row r="6050" spans="1:12" hidden="1" outlineLevel="1" collapsed="1" x14ac:dyDescent="0.35">
      <c r="A6050" s="112" t="s">
        <v>4632</v>
      </c>
      <c r="B6050" s="112" t="s">
        <v>4688</v>
      </c>
      <c r="C6050" s="112" t="s">
        <v>679</v>
      </c>
      <c r="D6050" s="113">
        <v>10348515</v>
      </c>
      <c r="E6050" s="115">
        <v>43949</v>
      </c>
      <c r="F6050" s="114">
        <v>202101</v>
      </c>
      <c r="G6050" s="112" t="s">
        <v>1091</v>
      </c>
      <c r="H6050" s="112" t="s">
        <v>1016</v>
      </c>
      <c r="I6050" s="112" t="s">
        <v>4689</v>
      </c>
      <c r="J6050" s="112" t="s">
        <v>4690</v>
      </c>
      <c r="K6050" s="112" t="s">
        <v>4942</v>
      </c>
      <c r="L6050" s="116">
        <v>-54</v>
      </c>
    </row>
    <row r="6051" spans="1:12" hidden="1" outlineLevel="1" collapsed="1" x14ac:dyDescent="0.35">
      <c r="A6051" s="112" t="s">
        <v>4632</v>
      </c>
      <c r="B6051" s="112" t="s">
        <v>4650</v>
      </c>
      <c r="C6051" s="112" t="s">
        <v>695</v>
      </c>
      <c r="D6051" s="113">
        <v>10348085</v>
      </c>
      <c r="E6051" s="115">
        <v>43923</v>
      </c>
      <c r="F6051" s="114">
        <v>202101</v>
      </c>
      <c r="G6051" s="112" t="s">
        <v>1091</v>
      </c>
      <c r="H6051" s="112" t="s">
        <v>1015</v>
      </c>
      <c r="I6051" s="112" t="s">
        <v>749</v>
      </c>
      <c r="J6051" s="112" t="s">
        <v>4651</v>
      </c>
      <c r="K6051" s="112" t="s">
        <v>4662</v>
      </c>
      <c r="L6051" s="116">
        <v>-84.72</v>
      </c>
    </row>
    <row r="6052" spans="1:12" hidden="1" outlineLevel="1" collapsed="1" x14ac:dyDescent="0.35">
      <c r="A6052" s="112" t="s">
        <v>4632</v>
      </c>
      <c r="B6052" s="112" t="s">
        <v>4650</v>
      </c>
      <c r="C6052" s="112" t="s">
        <v>695</v>
      </c>
      <c r="D6052" s="113">
        <v>10348085</v>
      </c>
      <c r="E6052" s="115">
        <v>43923</v>
      </c>
      <c r="F6052" s="114">
        <v>202101</v>
      </c>
      <c r="G6052" s="112" t="s">
        <v>1091</v>
      </c>
      <c r="H6052" s="112" t="s">
        <v>1015</v>
      </c>
      <c r="I6052" s="112" t="s">
        <v>749</v>
      </c>
      <c r="J6052" s="112" t="s">
        <v>4651</v>
      </c>
      <c r="K6052" s="112" t="s">
        <v>4662</v>
      </c>
      <c r="L6052" s="116">
        <v>-4066.18</v>
      </c>
    </row>
    <row r="6053" spans="1:12" hidden="1" outlineLevel="1" collapsed="1" x14ac:dyDescent="0.35">
      <c r="A6053" s="112" t="s">
        <v>4632</v>
      </c>
      <c r="B6053" s="112" t="s">
        <v>4650</v>
      </c>
      <c r="C6053" s="112" t="s">
        <v>695</v>
      </c>
      <c r="D6053" s="113">
        <v>10348085</v>
      </c>
      <c r="E6053" s="115">
        <v>43923</v>
      </c>
      <c r="F6053" s="114">
        <v>202101</v>
      </c>
      <c r="G6053" s="112" t="s">
        <v>1091</v>
      </c>
      <c r="H6053" s="112" t="s">
        <v>1015</v>
      </c>
      <c r="I6053" s="112" t="s">
        <v>749</v>
      </c>
      <c r="J6053" s="112" t="s">
        <v>4651</v>
      </c>
      <c r="K6053" s="112" t="s">
        <v>4662</v>
      </c>
      <c r="L6053" s="116">
        <v>-1259.52</v>
      </c>
    </row>
    <row r="6054" spans="1:12" hidden="1" outlineLevel="1" collapsed="1" x14ac:dyDescent="0.35">
      <c r="A6054" s="112" t="s">
        <v>4632</v>
      </c>
      <c r="B6054" s="112" t="s">
        <v>4650</v>
      </c>
      <c r="C6054" s="112" t="s">
        <v>695</v>
      </c>
      <c r="D6054" s="113">
        <v>10348085</v>
      </c>
      <c r="E6054" s="115">
        <v>43923</v>
      </c>
      <c r="F6054" s="114">
        <v>202101</v>
      </c>
      <c r="G6054" s="112" t="s">
        <v>1091</v>
      </c>
      <c r="H6054" s="112" t="s">
        <v>1015</v>
      </c>
      <c r="I6054" s="112" t="s">
        <v>749</v>
      </c>
      <c r="J6054" s="112" t="s">
        <v>4651</v>
      </c>
      <c r="K6054" s="112" t="s">
        <v>4662</v>
      </c>
      <c r="L6054" s="116">
        <v>-809.43</v>
      </c>
    </row>
    <row r="6055" spans="1:12" hidden="1" outlineLevel="1" collapsed="1" x14ac:dyDescent="0.35">
      <c r="A6055" s="112" t="s">
        <v>4632</v>
      </c>
      <c r="B6055" s="112" t="s">
        <v>4644</v>
      </c>
      <c r="C6055" s="112" t="s">
        <v>695</v>
      </c>
      <c r="D6055" s="113">
        <v>10348085</v>
      </c>
      <c r="E6055" s="115">
        <v>43923</v>
      </c>
      <c r="F6055" s="114">
        <v>202101</v>
      </c>
      <c r="G6055" s="112" t="s">
        <v>1091</v>
      </c>
      <c r="H6055" s="112" t="s">
        <v>1015</v>
      </c>
      <c r="I6055" s="112" t="s">
        <v>749</v>
      </c>
      <c r="J6055" s="112" t="s">
        <v>4645</v>
      </c>
      <c r="K6055" s="112" t="s">
        <v>4662</v>
      </c>
      <c r="L6055" s="116">
        <v>-29.76</v>
      </c>
    </row>
    <row r="6056" spans="1:12" hidden="1" outlineLevel="1" collapsed="1" x14ac:dyDescent="0.35">
      <c r="A6056" s="112" t="s">
        <v>4632</v>
      </c>
      <c r="B6056" s="112" t="s">
        <v>4644</v>
      </c>
      <c r="C6056" s="112" t="s">
        <v>695</v>
      </c>
      <c r="D6056" s="113">
        <v>10348085</v>
      </c>
      <c r="E6056" s="115">
        <v>43923</v>
      </c>
      <c r="F6056" s="114">
        <v>202101</v>
      </c>
      <c r="G6056" s="112" t="s">
        <v>1091</v>
      </c>
      <c r="H6056" s="112" t="s">
        <v>1015</v>
      </c>
      <c r="I6056" s="112" t="s">
        <v>749</v>
      </c>
      <c r="J6056" s="112" t="s">
        <v>4645</v>
      </c>
      <c r="K6056" s="112" t="s">
        <v>4662</v>
      </c>
      <c r="L6056" s="116">
        <v>18.61</v>
      </c>
    </row>
    <row r="6057" spans="1:12" hidden="1" outlineLevel="1" collapsed="1" x14ac:dyDescent="0.35">
      <c r="A6057" s="112" t="s">
        <v>4632</v>
      </c>
      <c r="B6057" s="112" t="s">
        <v>4688</v>
      </c>
      <c r="C6057" s="112" t="s">
        <v>4695</v>
      </c>
      <c r="D6057" s="113">
        <v>30440740</v>
      </c>
      <c r="E6057" s="115">
        <v>43949</v>
      </c>
      <c r="F6057" s="114">
        <v>202101</v>
      </c>
      <c r="G6057" s="112" t="s">
        <v>1091</v>
      </c>
      <c r="H6057" s="112" t="s">
        <v>1016</v>
      </c>
      <c r="I6057" s="112" t="s">
        <v>4689</v>
      </c>
      <c r="J6057" s="112" t="s">
        <v>4690</v>
      </c>
      <c r="K6057" s="112" t="s">
        <v>4943</v>
      </c>
      <c r="L6057" s="116">
        <v>54</v>
      </c>
    </row>
    <row r="6058" spans="1:12" hidden="1" outlineLevel="1" collapsed="1" x14ac:dyDescent="0.35">
      <c r="A6058" s="112" t="s">
        <v>4632</v>
      </c>
      <c r="B6058" s="112" t="s">
        <v>4688</v>
      </c>
      <c r="C6058" s="112" t="s">
        <v>4695</v>
      </c>
      <c r="D6058" s="113">
        <v>30440740</v>
      </c>
      <c r="E6058" s="115">
        <v>43949</v>
      </c>
      <c r="F6058" s="114">
        <v>202101</v>
      </c>
      <c r="G6058" s="112" t="s">
        <v>1091</v>
      </c>
      <c r="H6058" s="112" t="s">
        <v>1016</v>
      </c>
      <c r="I6058" s="112" t="s">
        <v>4689</v>
      </c>
      <c r="J6058" s="112" t="s">
        <v>4690</v>
      </c>
      <c r="K6058" s="112" t="s">
        <v>4901</v>
      </c>
      <c r="L6058" s="116">
        <v>54</v>
      </c>
    </row>
    <row r="6059" spans="1:12" hidden="1" outlineLevel="1" collapsed="1" x14ac:dyDescent="0.35">
      <c r="A6059" s="112" t="s">
        <v>4632</v>
      </c>
      <c r="B6059" s="112" t="s">
        <v>4688</v>
      </c>
      <c r="C6059" s="112" t="s">
        <v>4695</v>
      </c>
      <c r="D6059" s="113">
        <v>30440740</v>
      </c>
      <c r="E6059" s="115">
        <v>43949</v>
      </c>
      <c r="F6059" s="114">
        <v>202101</v>
      </c>
      <c r="G6059" s="112" t="s">
        <v>1091</v>
      </c>
      <c r="H6059" s="112" t="s">
        <v>1016</v>
      </c>
      <c r="I6059" s="112" t="s">
        <v>4689</v>
      </c>
      <c r="J6059" s="112" t="s">
        <v>4690</v>
      </c>
      <c r="K6059" s="112" t="s">
        <v>4944</v>
      </c>
      <c r="L6059" s="116">
        <v>54</v>
      </c>
    </row>
    <row r="6060" spans="1:12" hidden="1" outlineLevel="1" collapsed="1" x14ac:dyDescent="0.35">
      <c r="A6060" s="112" t="s">
        <v>4632</v>
      </c>
      <c r="B6060" s="112" t="s">
        <v>4688</v>
      </c>
      <c r="C6060" s="112" t="s">
        <v>4695</v>
      </c>
      <c r="D6060" s="113">
        <v>30440740</v>
      </c>
      <c r="E6060" s="115">
        <v>43949</v>
      </c>
      <c r="F6060" s="114">
        <v>202101</v>
      </c>
      <c r="G6060" s="112" t="s">
        <v>1091</v>
      </c>
      <c r="H6060" s="112" t="s">
        <v>1016</v>
      </c>
      <c r="I6060" s="112" t="s">
        <v>4689</v>
      </c>
      <c r="J6060" s="112" t="s">
        <v>4690</v>
      </c>
      <c r="K6060" s="112" t="s">
        <v>4942</v>
      </c>
      <c r="L6060" s="116">
        <v>54</v>
      </c>
    </row>
    <row r="6061" spans="1:12" hidden="1" outlineLevel="1" collapsed="1" x14ac:dyDescent="0.35">
      <c r="A6061" s="112" t="s">
        <v>4632</v>
      </c>
      <c r="B6061" s="112" t="s">
        <v>4688</v>
      </c>
      <c r="C6061" s="112" t="s">
        <v>4695</v>
      </c>
      <c r="D6061" s="113">
        <v>30440740</v>
      </c>
      <c r="E6061" s="115">
        <v>43949</v>
      </c>
      <c r="F6061" s="114">
        <v>202101</v>
      </c>
      <c r="G6061" s="112" t="s">
        <v>1091</v>
      </c>
      <c r="H6061" s="112" t="s">
        <v>1016</v>
      </c>
      <c r="I6061" s="112" t="s">
        <v>4689</v>
      </c>
      <c r="J6061" s="112" t="s">
        <v>4690</v>
      </c>
      <c r="K6061" s="112" t="s">
        <v>4935</v>
      </c>
      <c r="L6061" s="116">
        <v>54</v>
      </c>
    </row>
    <row r="6062" spans="1:12" hidden="1" outlineLevel="1" collapsed="1" x14ac:dyDescent="0.35">
      <c r="A6062" s="112" t="s">
        <v>4632</v>
      </c>
      <c r="B6062" s="112" t="s">
        <v>4688</v>
      </c>
      <c r="C6062" s="112" t="s">
        <v>4695</v>
      </c>
      <c r="D6062" s="113">
        <v>30440740</v>
      </c>
      <c r="E6062" s="115">
        <v>43949</v>
      </c>
      <c r="F6062" s="114">
        <v>202101</v>
      </c>
      <c r="G6062" s="112" t="s">
        <v>1091</v>
      </c>
      <c r="H6062" s="112" t="s">
        <v>1016</v>
      </c>
      <c r="I6062" s="112" t="s">
        <v>4689</v>
      </c>
      <c r="J6062" s="112" t="s">
        <v>4690</v>
      </c>
      <c r="K6062" s="112" t="s">
        <v>4936</v>
      </c>
      <c r="L6062" s="116">
        <v>54</v>
      </c>
    </row>
    <row r="6063" spans="1:12" hidden="1" outlineLevel="1" collapsed="1" x14ac:dyDescent="0.35">
      <c r="A6063" s="112" t="s">
        <v>4632</v>
      </c>
      <c r="B6063" s="112" t="s">
        <v>4688</v>
      </c>
      <c r="C6063" s="112" t="s">
        <v>4695</v>
      </c>
      <c r="D6063" s="113">
        <v>30440740</v>
      </c>
      <c r="E6063" s="115">
        <v>43949</v>
      </c>
      <c r="F6063" s="114">
        <v>202101</v>
      </c>
      <c r="G6063" s="112" t="s">
        <v>1091</v>
      </c>
      <c r="H6063" s="112" t="s">
        <v>1016</v>
      </c>
      <c r="I6063" s="112" t="s">
        <v>4689</v>
      </c>
      <c r="J6063" s="112" t="s">
        <v>4690</v>
      </c>
      <c r="K6063" s="112" t="s">
        <v>4937</v>
      </c>
      <c r="L6063" s="116">
        <v>54</v>
      </c>
    </row>
    <row r="6064" spans="1:12" hidden="1" outlineLevel="1" collapsed="1" x14ac:dyDescent="0.35">
      <c r="A6064" s="112" t="s">
        <v>4632</v>
      </c>
      <c r="B6064" s="112" t="s">
        <v>4688</v>
      </c>
      <c r="C6064" s="112" t="s">
        <v>4695</v>
      </c>
      <c r="D6064" s="113">
        <v>30440740</v>
      </c>
      <c r="E6064" s="115">
        <v>43949</v>
      </c>
      <c r="F6064" s="114">
        <v>202101</v>
      </c>
      <c r="G6064" s="112" t="s">
        <v>1091</v>
      </c>
      <c r="H6064" s="112" t="s">
        <v>1016</v>
      </c>
      <c r="I6064" s="112" t="s">
        <v>4689</v>
      </c>
      <c r="J6064" s="112" t="s">
        <v>4690</v>
      </c>
      <c r="K6064" s="112" t="s">
        <v>4938</v>
      </c>
      <c r="L6064" s="116">
        <v>54</v>
      </c>
    </row>
    <row r="6065" spans="1:12" hidden="1" outlineLevel="1" collapsed="1" x14ac:dyDescent="0.35">
      <c r="A6065" s="112" t="s">
        <v>4632</v>
      </c>
      <c r="B6065" s="112" t="s">
        <v>4688</v>
      </c>
      <c r="C6065" s="112" t="s">
        <v>4695</v>
      </c>
      <c r="D6065" s="113">
        <v>30440740</v>
      </c>
      <c r="E6065" s="115">
        <v>43949</v>
      </c>
      <c r="F6065" s="114">
        <v>202101</v>
      </c>
      <c r="G6065" s="112" t="s">
        <v>1091</v>
      </c>
      <c r="H6065" s="112" t="s">
        <v>1016</v>
      </c>
      <c r="I6065" s="112" t="s">
        <v>4689</v>
      </c>
      <c r="J6065" s="112" t="s">
        <v>4690</v>
      </c>
      <c r="K6065" s="112" t="s">
        <v>4939</v>
      </c>
      <c r="L6065" s="116">
        <v>54</v>
      </c>
    </row>
    <row r="6066" spans="1:12" hidden="1" outlineLevel="1" collapsed="1" x14ac:dyDescent="0.35">
      <c r="A6066" s="112" t="s">
        <v>4632</v>
      </c>
      <c r="B6066" s="112" t="s">
        <v>4688</v>
      </c>
      <c r="C6066" s="112" t="s">
        <v>4695</v>
      </c>
      <c r="D6066" s="113">
        <v>30440740</v>
      </c>
      <c r="E6066" s="115">
        <v>43949</v>
      </c>
      <c r="F6066" s="114">
        <v>202101</v>
      </c>
      <c r="G6066" s="112" t="s">
        <v>1091</v>
      </c>
      <c r="H6066" s="112" t="s">
        <v>1016</v>
      </c>
      <c r="I6066" s="112" t="s">
        <v>4689</v>
      </c>
      <c r="J6066" s="112" t="s">
        <v>4690</v>
      </c>
      <c r="K6066" s="112" t="s">
        <v>4940</v>
      </c>
      <c r="L6066" s="116">
        <v>54</v>
      </c>
    </row>
    <row r="6067" spans="1:12" hidden="1" outlineLevel="1" collapsed="1" x14ac:dyDescent="0.35">
      <c r="A6067" s="112" t="s">
        <v>4632</v>
      </c>
      <c r="B6067" s="112" t="s">
        <v>4688</v>
      </c>
      <c r="C6067" s="112" t="s">
        <v>679</v>
      </c>
      <c r="D6067" s="113">
        <v>10348515</v>
      </c>
      <c r="E6067" s="115">
        <v>43949</v>
      </c>
      <c r="F6067" s="114">
        <v>202101</v>
      </c>
      <c r="G6067" s="112" t="s">
        <v>1091</v>
      </c>
      <c r="H6067" s="112" t="s">
        <v>1016</v>
      </c>
      <c r="I6067" s="112" t="s">
        <v>4689</v>
      </c>
      <c r="J6067" s="112" t="s">
        <v>4690</v>
      </c>
      <c r="K6067" s="112" t="s">
        <v>4943</v>
      </c>
      <c r="L6067" s="116">
        <v>-54</v>
      </c>
    </row>
    <row r="6068" spans="1:12" hidden="1" outlineLevel="1" collapsed="1" x14ac:dyDescent="0.35">
      <c r="A6068" s="112" t="s">
        <v>4632</v>
      </c>
      <c r="B6068" s="112" t="s">
        <v>4644</v>
      </c>
      <c r="C6068" s="112" t="s">
        <v>695</v>
      </c>
      <c r="D6068" s="113">
        <v>10348085</v>
      </c>
      <c r="E6068" s="115">
        <v>43923</v>
      </c>
      <c r="F6068" s="114">
        <v>202101</v>
      </c>
      <c r="G6068" s="112" t="s">
        <v>1091</v>
      </c>
      <c r="H6068" s="112" t="s">
        <v>1015</v>
      </c>
      <c r="I6068" s="112" t="s">
        <v>749</v>
      </c>
      <c r="J6068" s="112" t="s">
        <v>4645</v>
      </c>
      <c r="K6068" s="112" t="s">
        <v>4662</v>
      </c>
      <c r="L6068" s="116">
        <v>-578.07000000000005</v>
      </c>
    </row>
    <row r="6069" spans="1:12" hidden="1" outlineLevel="1" collapsed="1" x14ac:dyDescent="0.35">
      <c r="A6069" s="112" t="s">
        <v>4632</v>
      </c>
      <c r="B6069" s="112" t="s">
        <v>4688</v>
      </c>
      <c r="C6069" s="112" t="s">
        <v>679</v>
      </c>
      <c r="D6069" s="113">
        <v>10348515</v>
      </c>
      <c r="E6069" s="115">
        <v>43949</v>
      </c>
      <c r="F6069" s="114">
        <v>202101</v>
      </c>
      <c r="G6069" s="112" t="s">
        <v>1091</v>
      </c>
      <c r="H6069" s="112" t="s">
        <v>1016</v>
      </c>
      <c r="I6069" s="112" t="s">
        <v>4689</v>
      </c>
      <c r="J6069" s="112" t="s">
        <v>4690</v>
      </c>
      <c r="K6069" s="112" t="s">
        <v>4944</v>
      </c>
      <c r="L6069" s="116">
        <v>-54</v>
      </c>
    </row>
    <row r="6070" spans="1:12" hidden="1" outlineLevel="1" collapsed="1" x14ac:dyDescent="0.35">
      <c r="A6070" s="112" t="s">
        <v>4632</v>
      </c>
      <c r="B6070" s="112" t="s">
        <v>863</v>
      </c>
      <c r="C6070" s="112" t="s">
        <v>695</v>
      </c>
      <c r="D6070" s="113">
        <v>10348117</v>
      </c>
      <c r="E6070" s="115">
        <v>43930</v>
      </c>
      <c r="F6070" s="114">
        <v>202101</v>
      </c>
      <c r="G6070" s="112" t="s">
        <v>1091</v>
      </c>
      <c r="H6070" s="112" t="s">
        <v>1016</v>
      </c>
      <c r="I6070" s="112" t="s">
        <v>781</v>
      </c>
      <c r="J6070" s="112" t="s">
        <v>790</v>
      </c>
      <c r="K6070" s="112" t="s">
        <v>4896</v>
      </c>
      <c r="L6070" s="116">
        <v>1536.24</v>
      </c>
    </row>
    <row r="6071" spans="1:12" hidden="1" outlineLevel="1" collapsed="1" x14ac:dyDescent="0.35">
      <c r="A6071" s="112" t="s">
        <v>4632</v>
      </c>
      <c r="B6071" s="112" t="s">
        <v>4688</v>
      </c>
      <c r="C6071" s="112" t="s">
        <v>4695</v>
      </c>
      <c r="D6071" s="113">
        <v>30440783</v>
      </c>
      <c r="E6071" s="115">
        <v>43950</v>
      </c>
      <c r="F6071" s="114">
        <v>202101</v>
      </c>
      <c r="G6071" s="112" t="s">
        <v>1091</v>
      </c>
      <c r="H6071" s="112" t="s">
        <v>1016</v>
      </c>
      <c r="I6071" s="112" t="s">
        <v>4689</v>
      </c>
      <c r="J6071" s="112" t="s">
        <v>4690</v>
      </c>
      <c r="K6071" s="112" t="s">
        <v>4945</v>
      </c>
      <c r="L6071" s="116">
        <v>52</v>
      </c>
    </row>
    <row r="6072" spans="1:12" hidden="1" outlineLevel="1" collapsed="1" x14ac:dyDescent="0.35">
      <c r="A6072" s="112" t="s">
        <v>4632</v>
      </c>
      <c r="B6072" s="112" t="s">
        <v>4650</v>
      </c>
      <c r="C6072" s="112" t="s">
        <v>695</v>
      </c>
      <c r="D6072" s="113">
        <v>10348085</v>
      </c>
      <c r="E6072" s="115">
        <v>43923</v>
      </c>
      <c r="F6072" s="114">
        <v>202101</v>
      </c>
      <c r="G6072" s="112" t="s">
        <v>1091</v>
      </c>
      <c r="H6072" s="112" t="s">
        <v>1015</v>
      </c>
      <c r="I6072" s="112" t="s">
        <v>757</v>
      </c>
      <c r="J6072" s="112" t="s">
        <v>4651</v>
      </c>
      <c r="K6072" s="112" t="s">
        <v>4662</v>
      </c>
      <c r="L6072" s="116">
        <v>-612.91</v>
      </c>
    </row>
    <row r="6073" spans="1:12" hidden="1" outlineLevel="1" collapsed="1" x14ac:dyDescent="0.35">
      <c r="A6073" s="112" t="s">
        <v>4632</v>
      </c>
      <c r="B6073" s="112" t="s">
        <v>4688</v>
      </c>
      <c r="C6073" s="112" t="s">
        <v>4695</v>
      </c>
      <c r="D6073" s="113">
        <v>30440379</v>
      </c>
      <c r="E6073" s="115">
        <v>43930</v>
      </c>
      <c r="F6073" s="114">
        <v>202101</v>
      </c>
      <c r="G6073" s="112" t="s">
        <v>1091</v>
      </c>
      <c r="H6073" s="112" t="s">
        <v>1016</v>
      </c>
      <c r="I6073" s="112" t="s">
        <v>4689</v>
      </c>
      <c r="J6073" s="112" t="s">
        <v>4690</v>
      </c>
      <c r="K6073" s="112" t="s">
        <v>4946</v>
      </c>
      <c r="L6073" s="116">
        <v>54</v>
      </c>
    </row>
    <row r="6074" spans="1:12" hidden="1" outlineLevel="1" collapsed="1" x14ac:dyDescent="0.35">
      <c r="A6074" s="112" t="s">
        <v>4632</v>
      </c>
      <c r="B6074" s="112" t="s">
        <v>4688</v>
      </c>
      <c r="C6074" s="112" t="s">
        <v>679</v>
      </c>
      <c r="D6074" s="113">
        <v>10348164</v>
      </c>
      <c r="E6074" s="115">
        <v>43930</v>
      </c>
      <c r="F6074" s="114">
        <v>202101</v>
      </c>
      <c r="G6074" s="112" t="s">
        <v>1091</v>
      </c>
      <c r="H6074" s="112" t="s">
        <v>1016</v>
      </c>
      <c r="I6074" s="112" t="s">
        <v>4689</v>
      </c>
      <c r="J6074" s="112" t="s">
        <v>4690</v>
      </c>
      <c r="K6074" s="112" t="s">
        <v>4947</v>
      </c>
      <c r="L6074" s="116">
        <v>-54</v>
      </c>
    </row>
    <row r="6075" spans="1:12" hidden="1" outlineLevel="1" collapsed="1" x14ac:dyDescent="0.35">
      <c r="A6075" s="112" t="s">
        <v>4632</v>
      </c>
      <c r="B6075" s="112" t="s">
        <v>4688</v>
      </c>
      <c r="C6075" s="112" t="s">
        <v>679</v>
      </c>
      <c r="D6075" s="113">
        <v>10348164</v>
      </c>
      <c r="E6075" s="115">
        <v>43930</v>
      </c>
      <c r="F6075" s="114">
        <v>202101</v>
      </c>
      <c r="G6075" s="112" t="s">
        <v>1091</v>
      </c>
      <c r="H6075" s="112" t="s">
        <v>1016</v>
      </c>
      <c r="I6075" s="112" t="s">
        <v>4689</v>
      </c>
      <c r="J6075" s="112" t="s">
        <v>4690</v>
      </c>
      <c r="K6075" s="112" t="s">
        <v>4948</v>
      </c>
      <c r="L6075" s="116">
        <v>-52</v>
      </c>
    </row>
    <row r="6076" spans="1:12" hidden="1" outlineLevel="1" collapsed="1" x14ac:dyDescent="0.35">
      <c r="A6076" s="112" t="s">
        <v>4632</v>
      </c>
      <c r="B6076" s="112" t="s">
        <v>4688</v>
      </c>
      <c r="C6076" s="112" t="s">
        <v>679</v>
      </c>
      <c r="D6076" s="113">
        <v>10348164</v>
      </c>
      <c r="E6076" s="115">
        <v>43930</v>
      </c>
      <c r="F6076" s="114">
        <v>202101</v>
      </c>
      <c r="G6076" s="112" t="s">
        <v>1091</v>
      </c>
      <c r="H6076" s="112" t="s">
        <v>1016</v>
      </c>
      <c r="I6076" s="112" t="s">
        <v>4689</v>
      </c>
      <c r="J6076" s="112" t="s">
        <v>4690</v>
      </c>
      <c r="K6076" s="112" t="s">
        <v>4949</v>
      </c>
      <c r="L6076" s="116">
        <v>-54</v>
      </c>
    </row>
    <row r="6077" spans="1:12" hidden="1" outlineLevel="1" collapsed="1" x14ac:dyDescent="0.35">
      <c r="A6077" s="112" t="s">
        <v>4632</v>
      </c>
      <c r="B6077" s="112" t="s">
        <v>4688</v>
      </c>
      <c r="C6077" s="112" t="s">
        <v>679</v>
      </c>
      <c r="D6077" s="113">
        <v>10348164</v>
      </c>
      <c r="E6077" s="115">
        <v>43930</v>
      </c>
      <c r="F6077" s="114">
        <v>202101</v>
      </c>
      <c r="G6077" s="112" t="s">
        <v>1091</v>
      </c>
      <c r="H6077" s="112" t="s">
        <v>1016</v>
      </c>
      <c r="I6077" s="112" t="s">
        <v>4689</v>
      </c>
      <c r="J6077" s="112" t="s">
        <v>4690</v>
      </c>
      <c r="K6077" s="112" t="s">
        <v>4950</v>
      </c>
      <c r="L6077" s="116">
        <v>-54</v>
      </c>
    </row>
    <row r="6078" spans="1:12" hidden="1" outlineLevel="1" collapsed="1" x14ac:dyDescent="0.35">
      <c r="A6078" s="112" t="s">
        <v>4632</v>
      </c>
      <c r="B6078" s="112" t="s">
        <v>4688</v>
      </c>
      <c r="C6078" s="112" t="s">
        <v>679</v>
      </c>
      <c r="D6078" s="113">
        <v>10348164</v>
      </c>
      <c r="E6078" s="115">
        <v>43930</v>
      </c>
      <c r="F6078" s="114">
        <v>202101</v>
      </c>
      <c r="G6078" s="112" t="s">
        <v>1091</v>
      </c>
      <c r="H6078" s="112" t="s">
        <v>1016</v>
      </c>
      <c r="I6078" s="112" t="s">
        <v>4689</v>
      </c>
      <c r="J6078" s="112" t="s">
        <v>4690</v>
      </c>
      <c r="K6078" s="112" t="s">
        <v>4951</v>
      </c>
      <c r="L6078" s="116">
        <v>-54</v>
      </c>
    </row>
    <row r="6079" spans="1:12" hidden="1" outlineLevel="1" collapsed="1" x14ac:dyDescent="0.35">
      <c r="A6079" s="112" t="s">
        <v>4632</v>
      </c>
      <c r="B6079" s="112" t="s">
        <v>4688</v>
      </c>
      <c r="C6079" s="112" t="s">
        <v>679</v>
      </c>
      <c r="D6079" s="113">
        <v>10348164</v>
      </c>
      <c r="E6079" s="115">
        <v>43930</v>
      </c>
      <c r="F6079" s="114">
        <v>202101</v>
      </c>
      <c r="G6079" s="112" t="s">
        <v>1091</v>
      </c>
      <c r="H6079" s="112" t="s">
        <v>1016</v>
      </c>
      <c r="I6079" s="112" t="s">
        <v>4689</v>
      </c>
      <c r="J6079" s="112" t="s">
        <v>4690</v>
      </c>
      <c r="K6079" s="112" t="s">
        <v>4952</v>
      </c>
      <c r="L6079" s="116">
        <v>-54</v>
      </c>
    </row>
    <row r="6080" spans="1:12" hidden="1" outlineLevel="1" collapsed="1" x14ac:dyDescent="0.35">
      <c r="A6080" s="112" t="s">
        <v>4632</v>
      </c>
      <c r="B6080" s="112" t="s">
        <v>4688</v>
      </c>
      <c r="C6080" s="112" t="s">
        <v>679</v>
      </c>
      <c r="D6080" s="113">
        <v>10348164</v>
      </c>
      <c r="E6080" s="115">
        <v>43930</v>
      </c>
      <c r="F6080" s="114">
        <v>202101</v>
      </c>
      <c r="G6080" s="112" t="s">
        <v>1091</v>
      </c>
      <c r="H6080" s="112" t="s">
        <v>1016</v>
      </c>
      <c r="I6080" s="112" t="s">
        <v>4689</v>
      </c>
      <c r="J6080" s="112" t="s">
        <v>4690</v>
      </c>
      <c r="K6080" s="112" t="s">
        <v>4953</v>
      </c>
      <c r="L6080" s="116">
        <v>-54</v>
      </c>
    </row>
    <row r="6081" spans="1:12" hidden="1" outlineLevel="1" collapsed="1" x14ac:dyDescent="0.35">
      <c r="A6081" s="112" t="s">
        <v>4632</v>
      </c>
      <c r="B6081" s="112" t="s">
        <v>4688</v>
      </c>
      <c r="C6081" s="112" t="s">
        <v>679</v>
      </c>
      <c r="D6081" s="113">
        <v>10348164</v>
      </c>
      <c r="E6081" s="115">
        <v>43930</v>
      </c>
      <c r="F6081" s="114">
        <v>202101</v>
      </c>
      <c r="G6081" s="112" t="s">
        <v>1091</v>
      </c>
      <c r="H6081" s="112" t="s">
        <v>1016</v>
      </c>
      <c r="I6081" s="112" t="s">
        <v>4689</v>
      </c>
      <c r="J6081" s="112" t="s">
        <v>4690</v>
      </c>
      <c r="K6081" s="112" t="s">
        <v>4946</v>
      </c>
      <c r="L6081" s="116">
        <v>-54</v>
      </c>
    </row>
    <row r="6082" spans="1:12" hidden="1" outlineLevel="1" collapsed="1" x14ac:dyDescent="0.35">
      <c r="A6082" s="112" t="s">
        <v>4632</v>
      </c>
      <c r="B6082" s="112" t="s">
        <v>4635</v>
      </c>
      <c r="C6082" s="112" t="s">
        <v>1150</v>
      </c>
      <c r="D6082" s="113">
        <v>10348688</v>
      </c>
      <c r="E6082" s="115">
        <v>43978</v>
      </c>
      <c r="F6082" s="114">
        <v>202101</v>
      </c>
      <c r="G6082" s="112" t="s">
        <v>1091</v>
      </c>
      <c r="H6082" s="112" t="s">
        <v>1015</v>
      </c>
      <c r="I6082" s="112" t="s">
        <v>1211</v>
      </c>
      <c r="J6082" s="112" t="s">
        <v>4954</v>
      </c>
      <c r="K6082" s="112" t="s">
        <v>4955</v>
      </c>
      <c r="L6082" s="116">
        <v>1210.58</v>
      </c>
    </row>
    <row r="6083" spans="1:12" hidden="1" outlineLevel="1" collapsed="1" x14ac:dyDescent="0.35">
      <c r="A6083" s="112" t="s">
        <v>4632</v>
      </c>
      <c r="B6083" s="112" t="s">
        <v>4644</v>
      </c>
      <c r="C6083" s="112" t="s">
        <v>695</v>
      </c>
      <c r="D6083" s="113">
        <v>10348085</v>
      </c>
      <c r="E6083" s="115">
        <v>43923</v>
      </c>
      <c r="F6083" s="114">
        <v>202101</v>
      </c>
      <c r="G6083" s="112" t="s">
        <v>1091</v>
      </c>
      <c r="H6083" s="112" t="s">
        <v>1015</v>
      </c>
      <c r="I6083" s="112" t="s">
        <v>749</v>
      </c>
      <c r="J6083" s="112" t="s">
        <v>4645</v>
      </c>
      <c r="K6083" s="112" t="s">
        <v>4662</v>
      </c>
      <c r="L6083" s="116">
        <v>-518.30999999999995</v>
      </c>
    </row>
    <row r="6084" spans="1:12" hidden="1" outlineLevel="1" collapsed="1" x14ac:dyDescent="0.35">
      <c r="A6084" s="112" t="s">
        <v>4632</v>
      </c>
      <c r="B6084" s="112" t="s">
        <v>4644</v>
      </c>
      <c r="C6084" s="112" t="s">
        <v>695</v>
      </c>
      <c r="D6084" s="113">
        <v>10348085</v>
      </c>
      <c r="E6084" s="115">
        <v>43923</v>
      </c>
      <c r="F6084" s="114">
        <v>202101</v>
      </c>
      <c r="G6084" s="112" t="s">
        <v>1091</v>
      </c>
      <c r="H6084" s="112" t="s">
        <v>1015</v>
      </c>
      <c r="I6084" s="112" t="s">
        <v>749</v>
      </c>
      <c r="J6084" s="112" t="s">
        <v>4645</v>
      </c>
      <c r="K6084" s="112" t="s">
        <v>4662</v>
      </c>
      <c r="L6084" s="116">
        <v>-929.2</v>
      </c>
    </row>
    <row r="6085" spans="1:12" hidden="1" outlineLevel="1" collapsed="1" x14ac:dyDescent="0.35">
      <c r="A6085" s="112" t="s">
        <v>4632</v>
      </c>
      <c r="B6085" s="112" t="s">
        <v>4635</v>
      </c>
      <c r="C6085" s="112" t="s">
        <v>695</v>
      </c>
      <c r="D6085" s="113">
        <v>10348034</v>
      </c>
      <c r="E6085" s="115">
        <v>43928</v>
      </c>
      <c r="F6085" s="114">
        <v>202101</v>
      </c>
      <c r="G6085" s="112" t="s">
        <v>1091</v>
      </c>
      <c r="H6085" s="112" t="s">
        <v>1015</v>
      </c>
      <c r="I6085" s="112" t="s">
        <v>1211</v>
      </c>
      <c r="J6085" s="112" t="s">
        <v>4954</v>
      </c>
      <c r="K6085" s="112" t="s">
        <v>4956</v>
      </c>
      <c r="L6085" s="116">
        <v>-3028.5</v>
      </c>
    </row>
    <row r="6086" spans="1:12" hidden="1" outlineLevel="1" collapsed="1" x14ac:dyDescent="0.35">
      <c r="A6086" s="112" t="s">
        <v>4632</v>
      </c>
      <c r="B6086" s="112" t="s">
        <v>4635</v>
      </c>
      <c r="C6086" s="112" t="s">
        <v>1219</v>
      </c>
      <c r="D6086" s="113">
        <v>46307134</v>
      </c>
      <c r="E6086" s="115">
        <v>43924</v>
      </c>
      <c r="F6086" s="114">
        <v>202101</v>
      </c>
      <c r="G6086" s="112" t="s">
        <v>1091</v>
      </c>
      <c r="H6086" s="112" t="s">
        <v>1015</v>
      </c>
      <c r="I6086" s="112" t="s">
        <v>1211</v>
      </c>
      <c r="J6086" s="112" t="s">
        <v>4954</v>
      </c>
      <c r="K6086" s="112" t="s">
        <v>1220</v>
      </c>
      <c r="L6086" s="116">
        <v>3028.5</v>
      </c>
    </row>
    <row r="6087" spans="1:12" hidden="1" outlineLevel="1" collapsed="1" x14ac:dyDescent="0.35">
      <c r="A6087" s="112" t="s">
        <v>4632</v>
      </c>
      <c r="B6087" s="112" t="s">
        <v>4650</v>
      </c>
      <c r="C6087" s="112" t="s">
        <v>695</v>
      </c>
      <c r="D6087" s="113">
        <v>10348085</v>
      </c>
      <c r="E6087" s="115">
        <v>43923</v>
      </c>
      <c r="F6087" s="114">
        <v>202101</v>
      </c>
      <c r="G6087" s="112" t="s">
        <v>1091</v>
      </c>
      <c r="H6087" s="112" t="s">
        <v>1015</v>
      </c>
      <c r="I6087" s="112" t="s">
        <v>749</v>
      </c>
      <c r="J6087" s="112" t="s">
        <v>4651</v>
      </c>
      <c r="K6087" s="112" t="s">
        <v>4662</v>
      </c>
      <c r="L6087" s="116">
        <v>-738.09</v>
      </c>
    </row>
    <row r="6088" spans="1:12" hidden="1" outlineLevel="1" collapsed="1" x14ac:dyDescent="0.35">
      <c r="A6088" s="112" t="s">
        <v>4632</v>
      </c>
      <c r="B6088" s="112" t="s">
        <v>4644</v>
      </c>
      <c r="C6088" s="112" t="s">
        <v>695</v>
      </c>
      <c r="D6088" s="113">
        <v>10348085</v>
      </c>
      <c r="E6088" s="115">
        <v>43923</v>
      </c>
      <c r="F6088" s="114">
        <v>202101</v>
      </c>
      <c r="G6088" s="112" t="s">
        <v>1091</v>
      </c>
      <c r="H6088" s="112" t="s">
        <v>1015</v>
      </c>
      <c r="I6088" s="112" t="s">
        <v>757</v>
      </c>
      <c r="J6088" s="112" t="s">
        <v>4645</v>
      </c>
      <c r="K6088" s="112" t="s">
        <v>4662</v>
      </c>
      <c r="L6088" s="116">
        <v>-73.8</v>
      </c>
    </row>
    <row r="6089" spans="1:12" hidden="1" outlineLevel="1" collapsed="1" x14ac:dyDescent="0.35">
      <c r="A6089" s="112" t="s">
        <v>4632</v>
      </c>
      <c r="B6089" s="112" t="s">
        <v>4650</v>
      </c>
      <c r="C6089" s="112" t="s">
        <v>695</v>
      </c>
      <c r="D6089" s="113">
        <v>10348085</v>
      </c>
      <c r="E6089" s="115">
        <v>43923</v>
      </c>
      <c r="F6089" s="114">
        <v>202101</v>
      </c>
      <c r="G6089" s="112" t="s">
        <v>1091</v>
      </c>
      <c r="H6089" s="112" t="s">
        <v>1015</v>
      </c>
      <c r="I6089" s="112" t="s">
        <v>757</v>
      </c>
      <c r="J6089" s="112" t="s">
        <v>4651</v>
      </c>
      <c r="K6089" s="112" t="s">
        <v>4662</v>
      </c>
      <c r="L6089" s="116">
        <v>-70.34</v>
      </c>
    </row>
    <row r="6090" spans="1:12" hidden="1" outlineLevel="1" collapsed="1" x14ac:dyDescent="0.35">
      <c r="A6090" s="112" t="s">
        <v>4632</v>
      </c>
      <c r="B6090" s="112" t="s">
        <v>4688</v>
      </c>
      <c r="C6090" s="112" t="s">
        <v>4695</v>
      </c>
      <c r="D6090" s="113">
        <v>30440379</v>
      </c>
      <c r="E6090" s="115">
        <v>43930</v>
      </c>
      <c r="F6090" s="114">
        <v>202101</v>
      </c>
      <c r="G6090" s="112" t="s">
        <v>1091</v>
      </c>
      <c r="H6090" s="112" t="s">
        <v>1016</v>
      </c>
      <c r="I6090" s="112" t="s">
        <v>4689</v>
      </c>
      <c r="J6090" s="112" t="s">
        <v>4690</v>
      </c>
      <c r="K6090" s="112" t="s">
        <v>4953</v>
      </c>
      <c r="L6090" s="116">
        <v>54</v>
      </c>
    </row>
    <row r="6091" spans="1:12" hidden="1" outlineLevel="1" collapsed="1" x14ac:dyDescent="0.35">
      <c r="A6091" s="112" t="s">
        <v>4632</v>
      </c>
      <c r="B6091" s="112" t="s">
        <v>4644</v>
      </c>
      <c r="C6091" s="112" t="s">
        <v>695</v>
      </c>
      <c r="D6091" s="113">
        <v>10348085</v>
      </c>
      <c r="E6091" s="115">
        <v>43923</v>
      </c>
      <c r="F6091" s="114">
        <v>202101</v>
      </c>
      <c r="G6091" s="112" t="s">
        <v>1091</v>
      </c>
      <c r="H6091" s="112" t="s">
        <v>1015</v>
      </c>
      <c r="I6091" s="112" t="s">
        <v>751</v>
      </c>
      <c r="J6091" s="112" t="s">
        <v>4645</v>
      </c>
      <c r="K6091" s="112" t="s">
        <v>4662</v>
      </c>
      <c r="L6091" s="116">
        <v>-370.13</v>
      </c>
    </row>
    <row r="6092" spans="1:12" hidden="1" outlineLevel="1" collapsed="1" x14ac:dyDescent="0.35">
      <c r="A6092" s="112" t="s">
        <v>4632</v>
      </c>
      <c r="B6092" s="112" t="s">
        <v>4644</v>
      </c>
      <c r="C6092" s="112" t="s">
        <v>695</v>
      </c>
      <c r="D6092" s="113">
        <v>10348085</v>
      </c>
      <c r="E6092" s="115">
        <v>43923</v>
      </c>
      <c r="F6092" s="114">
        <v>202101</v>
      </c>
      <c r="G6092" s="112" t="s">
        <v>1091</v>
      </c>
      <c r="H6092" s="112" t="s">
        <v>1015</v>
      </c>
      <c r="I6092" s="112" t="s">
        <v>751</v>
      </c>
      <c r="J6092" s="112" t="s">
        <v>4645</v>
      </c>
      <c r="K6092" s="112" t="s">
        <v>4662</v>
      </c>
      <c r="L6092" s="116">
        <v>-331.38</v>
      </c>
    </row>
    <row r="6093" spans="1:12" hidden="1" outlineLevel="1" collapsed="1" x14ac:dyDescent="0.35">
      <c r="A6093" s="112" t="s">
        <v>4632</v>
      </c>
      <c r="B6093" s="112" t="s">
        <v>4639</v>
      </c>
      <c r="C6093" s="112" t="s">
        <v>695</v>
      </c>
      <c r="D6093" s="113">
        <v>10348085</v>
      </c>
      <c r="E6093" s="115">
        <v>43923</v>
      </c>
      <c r="F6093" s="114">
        <v>202101</v>
      </c>
      <c r="G6093" s="112" t="s">
        <v>1091</v>
      </c>
      <c r="H6093" s="112" t="s">
        <v>1015</v>
      </c>
      <c r="I6093" s="112" t="s">
        <v>751</v>
      </c>
      <c r="J6093" s="112" t="s">
        <v>4640</v>
      </c>
      <c r="K6093" s="112" t="s">
        <v>4662</v>
      </c>
      <c r="L6093" s="116">
        <v>692.25</v>
      </c>
    </row>
    <row r="6094" spans="1:12" hidden="1" outlineLevel="1" collapsed="1" x14ac:dyDescent="0.35">
      <c r="A6094" s="112" t="s">
        <v>4632</v>
      </c>
      <c r="B6094" s="112" t="s">
        <v>4639</v>
      </c>
      <c r="C6094" s="112" t="s">
        <v>695</v>
      </c>
      <c r="D6094" s="113">
        <v>10348085</v>
      </c>
      <c r="E6094" s="115">
        <v>43923</v>
      </c>
      <c r="F6094" s="114">
        <v>202101</v>
      </c>
      <c r="G6094" s="112" t="s">
        <v>1091</v>
      </c>
      <c r="H6094" s="112" t="s">
        <v>1015</v>
      </c>
      <c r="I6094" s="112" t="s">
        <v>757</v>
      </c>
      <c r="J6094" s="112" t="s">
        <v>4640</v>
      </c>
      <c r="K6094" s="112" t="s">
        <v>4662</v>
      </c>
      <c r="L6094" s="116">
        <v>-82.28</v>
      </c>
    </row>
    <row r="6095" spans="1:12" hidden="1" outlineLevel="1" collapsed="1" x14ac:dyDescent="0.35">
      <c r="A6095" s="112" t="s">
        <v>4632</v>
      </c>
      <c r="B6095" s="112" t="s">
        <v>4644</v>
      </c>
      <c r="C6095" s="112" t="s">
        <v>695</v>
      </c>
      <c r="D6095" s="113">
        <v>10348085</v>
      </c>
      <c r="E6095" s="115">
        <v>43923</v>
      </c>
      <c r="F6095" s="114">
        <v>202101</v>
      </c>
      <c r="G6095" s="112" t="s">
        <v>1091</v>
      </c>
      <c r="H6095" s="112" t="s">
        <v>1015</v>
      </c>
      <c r="I6095" s="112" t="s">
        <v>757</v>
      </c>
      <c r="J6095" s="112" t="s">
        <v>4645</v>
      </c>
      <c r="K6095" s="112" t="s">
        <v>4662</v>
      </c>
      <c r="L6095" s="116">
        <v>-18.13</v>
      </c>
    </row>
    <row r="6096" spans="1:12" hidden="1" outlineLevel="1" collapsed="1" x14ac:dyDescent="0.35">
      <c r="A6096" s="112" t="s">
        <v>4632</v>
      </c>
      <c r="B6096" s="112" t="s">
        <v>4644</v>
      </c>
      <c r="C6096" s="112" t="s">
        <v>695</v>
      </c>
      <c r="D6096" s="113">
        <v>10348085</v>
      </c>
      <c r="E6096" s="115">
        <v>43923</v>
      </c>
      <c r="F6096" s="114">
        <v>202101</v>
      </c>
      <c r="G6096" s="112" t="s">
        <v>1091</v>
      </c>
      <c r="H6096" s="112" t="s">
        <v>1015</v>
      </c>
      <c r="I6096" s="112" t="s">
        <v>757</v>
      </c>
      <c r="J6096" s="112" t="s">
        <v>4645</v>
      </c>
      <c r="K6096" s="112" t="s">
        <v>4662</v>
      </c>
      <c r="L6096" s="116">
        <v>-522.59</v>
      </c>
    </row>
    <row r="6097" spans="1:12" hidden="1" outlineLevel="1" collapsed="1" x14ac:dyDescent="0.35">
      <c r="A6097" s="112" t="s">
        <v>4632</v>
      </c>
      <c r="B6097" s="112" t="s">
        <v>863</v>
      </c>
      <c r="C6097" s="112" t="s">
        <v>695</v>
      </c>
      <c r="D6097" s="113">
        <v>10348085</v>
      </c>
      <c r="E6097" s="115">
        <v>43923</v>
      </c>
      <c r="F6097" s="114">
        <v>202101</v>
      </c>
      <c r="G6097" s="112" t="s">
        <v>1091</v>
      </c>
      <c r="H6097" s="112" t="s">
        <v>1015</v>
      </c>
      <c r="I6097" s="112" t="s">
        <v>749</v>
      </c>
      <c r="J6097" s="112" t="s">
        <v>854</v>
      </c>
      <c r="K6097" s="112" t="s">
        <v>4662</v>
      </c>
      <c r="L6097" s="116">
        <v>-1640.43</v>
      </c>
    </row>
    <row r="6098" spans="1:12" hidden="1" outlineLevel="1" collapsed="1" x14ac:dyDescent="0.35">
      <c r="A6098" s="112" t="s">
        <v>4632</v>
      </c>
      <c r="B6098" s="112" t="s">
        <v>4639</v>
      </c>
      <c r="C6098" s="112" t="s">
        <v>695</v>
      </c>
      <c r="D6098" s="113">
        <v>10348085</v>
      </c>
      <c r="E6098" s="115">
        <v>43923</v>
      </c>
      <c r="F6098" s="114">
        <v>202101</v>
      </c>
      <c r="G6098" s="112" t="s">
        <v>1091</v>
      </c>
      <c r="H6098" s="112" t="s">
        <v>1015</v>
      </c>
      <c r="I6098" s="112" t="s">
        <v>749</v>
      </c>
      <c r="J6098" s="112" t="s">
        <v>4640</v>
      </c>
      <c r="K6098" s="112" t="s">
        <v>4662</v>
      </c>
      <c r="L6098" s="116">
        <v>-1049.0999999999999</v>
      </c>
    </row>
    <row r="6099" spans="1:12" hidden="1" outlineLevel="1" collapsed="1" x14ac:dyDescent="0.35">
      <c r="A6099" s="112" t="s">
        <v>4632</v>
      </c>
      <c r="B6099" s="112" t="s">
        <v>4639</v>
      </c>
      <c r="C6099" s="112" t="s">
        <v>695</v>
      </c>
      <c r="D6099" s="113">
        <v>10348085</v>
      </c>
      <c r="E6099" s="115">
        <v>43923</v>
      </c>
      <c r="F6099" s="114">
        <v>202101</v>
      </c>
      <c r="G6099" s="112" t="s">
        <v>1091</v>
      </c>
      <c r="H6099" s="112" t="s">
        <v>1015</v>
      </c>
      <c r="I6099" s="112" t="s">
        <v>749</v>
      </c>
      <c r="J6099" s="112" t="s">
        <v>4640</v>
      </c>
      <c r="K6099" s="112" t="s">
        <v>4662</v>
      </c>
      <c r="L6099" s="116">
        <v>-29.24</v>
      </c>
    </row>
    <row r="6100" spans="1:12" hidden="1" outlineLevel="1" collapsed="1" x14ac:dyDescent="0.35">
      <c r="A6100" s="112" t="s">
        <v>4632</v>
      </c>
      <c r="B6100" s="112" t="s">
        <v>4639</v>
      </c>
      <c r="C6100" s="112" t="s">
        <v>695</v>
      </c>
      <c r="D6100" s="113">
        <v>10348085</v>
      </c>
      <c r="E6100" s="115">
        <v>43923</v>
      </c>
      <c r="F6100" s="114">
        <v>202101</v>
      </c>
      <c r="G6100" s="112" t="s">
        <v>1091</v>
      </c>
      <c r="H6100" s="112" t="s">
        <v>1015</v>
      </c>
      <c r="I6100" s="112" t="s">
        <v>749</v>
      </c>
      <c r="J6100" s="112" t="s">
        <v>4640</v>
      </c>
      <c r="K6100" s="112" t="s">
        <v>4662</v>
      </c>
      <c r="L6100" s="116">
        <v>-35.380000000000003</v>
      </c>
    </row>
    <row r="6101" spans="1:12" hidden="1" outlineLevel="1" collapsed="1" x14ac:dyDescent="0.35">
      <c r="A6101" s="112" t="s">
        <v>4632</v>
      </c>
      <c r="B6101" s="112" t="s">
        <v>4639</v>
      </c>
      <c r="C6101" s="112" t="s">
        <v>695</v>
      </c>
      <c r="D6101" s="113">
        <v>10348085</v>
      </c>
      <c r="E6101" s="115">
        <v>43923</v>
      </c>
      <c r="F6101" s="114">
        <v>202101</v>
      </c>
      <c r="G6101" s="112" t="s">
        <v>1091</v>
      </c>
      <c r="H6101" s="112" t="s">
        <v>1015</v>
      </c>
      <c r="I6101" s="112" t="s">
        <v>749</v>
      </c>
      <c r="J6101" s="112" t="s">
        <v>4640</v>
      </c>
      <c r="K6101" s="112" t="s">
        <v>4662</v>
      </c>
      <c r="L6101" s="116">
        <v>-38.56</v>
      </c>
    </row>
    <row r="6102" spans="1:12" hidden="1" outlineLevel="1" collapsed="1" x14ac:dyDescent="0.35">
      <c r="A6102" s="112" t="s">
        <v>4632</v>
      </c>
      <c r="B6102" s="112" t="s">
        <v>4644</v>
      </c>
      <c r="C6102" s="112" t="s">
        <v>695</v>
      </c>
      <c r="D6102" s="113">
        <v>10348085</v>
      </c>
      <c r="E6102" s="115">
        <v>43923</v>
      </c>
      <c r="F6102" s="114">
        <v>202101</v>
      </c>
      <c r="G6102" s="112" t="s">
        <v>1091</v>
      </c>
      <c r="H6102" s="112" t="s">
        <v>1015</v>
      </c>
      <c r="I6102" s="112" t="s">
        <v>749</v>
      </c>
      <c r="J6102" s="112" t="s">
        <v>4645</v>
      </c>
      <c r="K6102" s="112" t="s">
        <v>4662</v>
      </c>
      <c r="L6102" s="116">
        <v>-1499.15</v>
      </c>
    </row>
    <row r="6103" spans="1:12" hidden="1" outlineLevel="1" collapsed="1" x14ac:dyDescent="0.35">
      <c r="A6103" s="112" t="s">
        <v>4632</v>
      </c>
      <c r="B6103" s="112" t="s">
        <v>4688</v>
      </c>
      <c r="C6103" s="112" t="s">
        <v>1518</v>
      </c>
      <c r="D6103" s="113">
        <v>51365830</v>
      </c>
      <c r="E6103" s="115">
        <v>43947</v>
      </c>
      <c r="F6103" s="114">
        <v>202101</v>
      </c>
      <c r="G6103" s="112" t="s">
        <v>1091</v>
      </c>
      <c r="H6103" s="112" t="s">
        <v>1016</v>
      </c>
      <c r="I6103" s="112" t="s">
        <v>2337</v>
      </c>
      <c r="J6103" s="112" t="s">
        <v>4690</v>
      </c>
      <c r="K6103" s="112" t="s">
        <v>4957</v>
      </c>
      <c r="L6103" s="116">
        <v>-54</v>
      </c>
    </row>
    <row r="6104" spans="1:12" hidden="1" outlineLevel="1" collapsed="1" x14ac:dyDescent="0.35">
      <c r="A6104" s="112" t="s">
        <v>4632</v>
      </c>
      <c r="B6104" s="112" t="s">
        <v>4644</v>
      </c>
      <c r="C6104" s="112" t="s">
        <v>695</v>
      </c>
      <c r="D6104" s="113">
        <v>10348085</v>
      </c>
      <c r="E6104" s="115">
        <v>43923</v>
      </c>
      <c r="F6104" s="114">
        <v>202101</v>
      </c>
      <c r="G6104" s="112" t="s">
        <v>1091</v>
      </c>
      <c r="H6104" s="112" t="s">
        <v>1015</v>
      </c>
      <c r="I6104" s="112" t="s">
        <v>749</v>
      </c>
      <c r="J6104" s="112" t="s">
        <v>4645</v>
      </c>
      <c r="K6104" s="112" t="s">
        <v>4662</v>
      </c>
      <c r="L6104" s="116">
        <v>-735.18</v>
      </c>
    </row>
    <row r="6105" spans="1:12" hidden="1" outlineLevel="1" collapsed="1" x14ac:dyDescent="0.35">
      <c r="A6105" s="112" t="s">
        <v>4632</v>
      </c>
      <c r="B6105" s="112" t="s">
        <v>4644</v>
      </c>
      <c r="C6105" s="112" t="s">
        <v>695</v>
      </c>
      <c r="D6105" s="113">
        <v>10348085</v>
      </c>
      <c r="E6105" s="115">
        <v>43923</v>
      </c>
      <c r="F6105" s="114">
        <v>202101</v>
      </c>
      <c r="G6105" s="112" t="s">
        <v>1091</v>
      </c>
      <c r="H6105" s="112" t="s">
        <v>1015</v>
      </c>
      <c r="I6105" s="112" t="s">
        <v>749</v>
      </c>
      <c r="J6105" s="112" t="s">
        <v>4645</v>
      </c>
      <c r="K6105" s="112" t="s">
        <v>4662</v>
      </c>
      <c r="L6105" s="116">
        <v>-473.92</v>
      </c>
    </row>
    <row r="6106" spans="1:12" hidden="1" outlineLevel="1" collapsed="1" x14ac:dyDescent="0.35">
      <c r="A6106" s="112" t="s">
        <v>4632</v>
      </c>
      <c r="B6106" s="112" t="s">
        <v>4688</v>
      </c>
      <c r="C6106" s="112" t="s">
        <v>4695</v>
      </c>
      <c r="D6106" s="113">
        <v>30440379</v>
      </c>
      <c r="E6106" s="115">
        <v>43930</v>
      </c>
      <c r="F6106" s="114">
        <v>202101</v>
      </c>
      <c r="G6106" s="112" t="s">
        <v>1091</v>
      </c>
      <c r="H6106" s="112" t="s">
        <v>1016</v>
      </c>
      <c r="I6106" s="112" t="s">
        <v>4689</v>
      </c>
      <c r="J6106" s="112" t="s">
        <v>4690</v>
      </c>
      <c r="K6106" s="112" t="s">
        <v>4947</v>
      </c>
      <c r="L6106" s="116">
        <v>54</v>
      </c>
    </row>
    <row r="6107" spans="1:12" hidden="1" outlineLevel="1" collapsed="1" x14ac:dyDescent="0.35">
      <c r="A6107" s="112" t="s">
        <v>4632</v>
      </c>
      <c r="B6107" s="112" t="s">
        <v>4688</v>
      </c>
      <c r="C6107" s="112" t="s">
        <v>4695</v>
      </c>
      <c r="D6107" s="113">
        <v>30440379</v>
      </c>
      <c r="E6107" s="115">
        <v>43930</v>
      </c>
      <c r="F6107" s="114">
        <v>202101</v>
      </c>
      <c r="G6107" s="112" t="s">
        <v>1091</v>
      </c>
      <c r="H6107" s="112" t="s">
        <v>1016</v>
      </c>
      <c r="I6107" s="112" t="s">
        <v>4689</v>
      </c>
      <c r="J6107" s="112" t="s">
        <v>4690</v>
      </c>
      <c r="K6107" s="112" t="s">
        <v>4948</v>
      </c>
      <c r="L6107" s="116">
        <v>52</v>
      </c>
    </row>
    <row r="6108" spans="1:12" hidden="1" outlineLevel="1" collapsed="1" x14ac:dyDescent="0.35">
      <c r="A6108" s="112" t="s">
        <v>4632</v>
      </c>
      <c r="B6108" s="112" t="s">
        <v>4688</v>
      </c>
      <c r="C6108" s="112" t="s">
        <v>4695</v>
      </c>
      <c r="D6108" s="113">
        <v>30440379</v>
      </c>
      <c r="E6108" s="115">
        <v>43930</v>
      </c>
      <c r="F6108" s="114">
        <v>202101</v>
      </c>
      <c r="G6108" s="112" t="s">
        <v>1091</v>
      </c>
      <c r="H6108" s="112" t="s">
        <v>1016</v>
      </c>
      <c r="I6108" s="112" t="s">
        <v>4689</v>
      </c>
      <c r="J6108" s="112" t="s">
        <v>4690</v>
      </c>
      <c r="K6108" s="112" t="s">
        <v>4952</v>
      </c>
      <c r="L6108" s="116">
        <v>54</v>
      </c>
    </row>
    <row r="6109" spans="1:12" hidden="1" outlineLevel="1" collapsed="1" x14ac:dyDescent="0.35">
      <c r="A6109" s="112" t="s">
        <v>4632</v>
      </c>
      <c r="B6109" s="112" t="s">
        <v>4688</v>
      </c>
      <c r="C6109" s="112" t="s">
        <v>4695</v>
      </c>
      <c r="D6109" s="113">
        <v>30440379</v>
      </c>
      <c r="E6109" s="115">
        <v>43930</v>
      </c>
      <c r="F6109" s="114">
        <v>202101</v>
      </c>
      <c r="G6109" s="112" t="s">
        <v>1091</v>
      </c>
      <c r="H6109" s="112" t="s">
        <v>1016</v>
      </c>
      <c r="I6109" s="112" t="s">
        <v>4689</v>
      </c>
      <c r="J6109" s="112" t="s">
        <v>4690</v>
      </c>
      <c r="K6109" s="112" t="s">
        <v>4949</v>
      </c>
      <c r="L6109" s="116">
        <v>54</v>
      </c>
    </row>
    <row r="6110" spans="1:12" hidden="1" outlineLevel="1" collapsed="1" x14ac:dyDescent="0.35">
      <c r="A6110" s="112" t="s">
        <v>4632</v>
      </c>
      <c r="B6110" s="112" t="s">
        <v>863</v>
      </c>
      <c r="C6110" s="112" t="s">
        <v>679</v>
      </c>
      <c r="D6110" s="113">
        <v>10348115</v>
      </c>
      <c r="E6110" s="115">
        <v>43929</v>
      </c>
      <c r="F6110" s="114">
        <v>202101</v>
      </c>
      <c r="G6110" s="112" t="s">
        <v>1091</v>
      </c>
      <c r="H6110" s="112" t="s">
        <v>1016</v>
      </c>
      <c r="I6110" s="112" t="s">
        <v>781</v>
      </c>
      <c r="J6110" s="112" t="s">
        <v>854</v>
      </c>
      <c r="K6110" s="112" t="s">
        <v>4767</v>
      </c>
      <c r="L6110" s="116">
        <v>-93.33</v>
      </c>
    </row>
    <row r="6111" spans="1:12" hidden="1" outlineLevel="1" collapsed="1" x14ac:dyDescent="0.35">
      <c r="A6111" s="112" t="s">
        <v>4632</v>
      </c>
      <c r="B6111" s="112" t="s">
        <v>863</v>
      </c>
      <c r="C6111" s="112" t="s">
        <v>679</v>
      </c>
      <c r="D6111" s="113">
        <v>10348115</v>
      </c>
      <c r="E6111" s="115">
        <v>43929</v>
      </c>
      <c r="F6111" s="114">
        <v>202101</v>
      </c>
      <c r="G6111" s="112" t="s">
        <v>1091</v>
      </c>
      <c r="H6111" s="112" t="s">
        <v>1016</v>
      </c>
      <c r="I6111" s="112" t="s">
        <v>781</v>
      </c>
      <c r="J6111" s="112" t="s">
        <v>798</v>
      </c>
      <c r="K6111" s="112" t="s">
        <v>4767</v>
      </c>
      <c r="L6111" s="116">
        <v>-22.33</v>
      </c>
    </row>
    <row r="6112" spans="1:12" hidden="1" outlineLevel="1" collapsed="1" x14ac:dyDescent="0.35">
      <c r="A6112" s="112" t="s">
        <v>4632</v>
      </c>
      <c r="B6112" s="112" t="s">
        <v>4688</v>
      </c>
      <c r="C6112" s="112" t="s">
        <v>4695</v>
      </c>
      <c r="D6112" s="113">
        <v>30440363</v>
      </c>
      <c r="E6112" s="115">
        <v>43929</v>
      </c>
      <c r="F6112" s="114">
        <v>202101</v>
      </c>
      <c r="G6112" s="112" t="s">
        <v>1091</v>
      </c>
      <c r="H6112" s="112" t="s">
        <v>1016</v>
      </c>
      <c r="I6112" s="112" t="s">
        <v>4689</v>
      </c>
      <c r="J6112" s="112" t="s">
        <v>4690</v>
      </c>
      <c r="K6112" s="112" t="s">
        <v>4958</v>
      </c>
      <c r="L6112" s="116">
        <v>54</v>
      </c>
    </row>
    <row r="6113" spans="1:12" hidden="1" outlineLevel="1" collapsed="1" x14ac:dyDescent="0.35">
      <c r="A6113" s="112" t="s">
        <v>4632</v>
      </c>
      <c r="B6113" s="112" t="s">
        <v>4688</v>
      </c>
      <c r="C6113" s="112" t="s">
        <v>4695</v>
      </c>
      <c r="D6113" s="113">
        <v>30440363</v>
      </c>
      <c r="E6113" s="115">
        <v>43929</v>
      </c>
      <c r="F6113" s="114">
        <v>202101</v>
      </c>
      <c r="G6113" s="112" t="s">
        <v>1091</v>
      </c>
      <c r="H6113" s="112" t="s">
        <v>1016</v>
      </c>
      <c r="I6113" s="112" t="s">
        <v>4689</v>
      </c>
      <c r="J6113" s="112" t="s">
        <v>4690</v>
      </c>
      <c r="K6113" s="112" t="s">
        <v>4959</v>
      </c>
      <c r="L6113" s="116">
        <v>54</v>
      </c>
    </row>
    <row r="6114" spans="1:12" hidden="1" outlineLevel="1" collapsed="1" x14ac:dyDescent="0.35">
      <c r="A6114" s="112" t="s">
        <v>4632</v>
      </c>
      <c r="B6114" s="112" t="s">
        <v>4688</v>
      </c>
      <c r="C6114" s="112" t="s">
        <v>4695</v>
      </c>
      <c r="D6114" s="113">
        <v>30440363</v>
      </c>
      <c r="E6114" s="115">
        <v>43929</v>
      </c>
      <c r="F6114" s="114">
        <v>202101</v>
      </c>
      <c r="G6114" s="112" t="s">
        <v>1091</v>
      </c>
      <c r="H6114" s="112" t="s">
        <v>1016</v>
      </c>
      <c r="I6114" s="112" t="s">
        <v>4689</v>
      </c>
      <c r="J6114" s="112" t="s">
        <v>4690</v>
      </c>
      <c r="K6114" s="112" t="s">
        <v>4960</v>
      </c>
      <c r="L6114" s="116">
        <v>54</v>
      </c>
    </row>
    <row r="6115" spans="1:12" hidden="1" outlineLevel="1" collapsed="1" x14ac:dyDescent="0.35">
      <c r="A6115" s="112" t="s">
        <v>4632</v>
      </c>
      <c r="B6115" s="112" t="s">
        <v>4688</v>
      </c>
      <c r="C6115" s="112" t="s">
        <v>679</v>
      </c>
      <c r="D6115" s="113">
        <v>10348115</v>
      </c>
      <c r="E6115" s="115">
        <v>43929</v>
      </c>
      <c r="F6115" s="114">
        <v>202101</v>
      </c>
      <c r="G6115" s="112" t="s">
        <v>1091</v>
      </c>
      <c r="H6115" s="112" t="s">
        <v>1016</v>
      </c>
      <c r="I6115" s="112" t="s">
        <v>4689</v>
      </c>
      <c r="J6115" s="112" t="s">
        <v>4690</v>
      </c>
      <c r="K6115" s="112" t="s">
        <v>4958</v>
      </c>
      <c r="L6115" s="116">
        <v>-54</v>
      </c>
    </row>
    <row r="6116" spans="1:12" hidden="1" outlineLevel="1" collapsed="1" x14ac:dyDescent="0.35">
      <c r="A6116" s="112" t="s">
        <v>4632</v>
      </c>
      <c r="B6116" s="112" t="s">
        <v>4688</v>
      </c>
      <c r="C6116" s="112" t="s">
        <v>679</v>
      </c>
      <c r="D6116" s="113">
        <v>10348115</v>
      </c>
      <c r="E6116" s="115">
        <v>43929</v>
      </c>
      <c r="F6116" s="114">
        <v>202101</v>
      </c>
      <c r="G6116" s="112" t="s">
        <v>1091</v>
      </c>
      <c r="H6116" s="112" t="s">
        <v>1016</v>
      </c>
      <c r="I6116" s="112" t="s">
        <v>4689</v>
      </c>
      <c r="J6116" s="112" t="s">
        <v>4690</v>
      </c>
      <c r="K6116" s="112" t="s">
        <v>4961</v>
      </c>
      <c r="L6116" s="116">
        <v>-54</v>
      </c>
    </row>
    <row r="6117" spans="1:12" hidden="1" outlineLevel="1" collapsed="1" x14ac:dyDescent="0.35">
      <c r="A6117" s="112" t="s">
        <v>4632</v>
      </c>
      <c r="B6117" s="112" t="s">
        <v>4688</v>
      </c>
      <c r="C6117" s="112" t="s">
        <v>679</v>
      </c>
      <c r="D6117" s="113">
        <v>10348115</v>
      </c>
      <c r="E6117" s="115">
        <v>43929</v>
      </c>
      <c r="F6117" s="114">
        <v>202101</v>
      </c>
      <c r="G6117" s="112" t="s">
        <v>1091</v>
      </c>
      <c r="H6117" s="112" t="s">
        <v>1016</v>
      </c>
      <c r="I6117" s="112" t="s">
        <v>4689</v>
      </c>
      <c r="J6117" s="112" t="s">
        <v>4690</v>
      </c>
      <c r="K6117" s="112" t="s">
        <v>4959</v>
      </c>
      <c r="L6117" s="116">
        <v>-54</v>
      </c>
    </row>
    <row r="6118" spans="1:12" hidden="1" outlineLevel="1" collapsed="1" x14ac:dyDescent="0.35">
      <c r="A6118" s="112" t="s">
        <v>4632</v>
      </c>
      <c r="B6118" s="112" t="s">
        <v>4688</v>
      </c>
      <c r="C6118" s="112" t="s">
        <v>679</v>
      </c>
      <c r="D6118" s="113">
        <v>10348115</v>
      </c>
      <c r="E6118" s="115">
        <v>43929</v>
      </c>
      <c r="F6118" s="114">
        <v>202101</v>
      </c>
      <c r="G6118" s="112" t="s">
        <v>1091</v>
      </c>
      <c r="H6118" s="112" t="s">
        <v>1016</v>
      </c>
      <c r="I6118" s="112" t="s">
        <v>4689</v>
      </c>
      <c r="J6118" s="112" t="s">
        <v>4690</v>
      </c>
      <c r="K6118" s="112" t="s">
        <v>4960</v>
      </c>
      <c r="L6118" s="116">
        <v>-54</v>
      </c>
    </row>
    <row r="6119" spans="1:12" hidden="1" outlineLevel="1" collapsed="1" x14ac:dyDescent="0.35">
      <c r="A6119" s="112" t="s">
        <v>4632</v>
      </c>
      <c r="B6119" s="112" t="s">
        <v>863</v>
      </c>
      <c r="C6119" s="112" t="s">
        <v>679</v>
      </c>
      <c r="D6119" s="113">
        <v>10348115</v>
      </c>
      <c r="E6119" s="115">
        <v>43929</v>
      </c>
      <c r="F6119" s="114">
        <v>202101</v>
      </c>
      <c r="G6119" s="112" t="s">
        <v>1091</v>
      </c>
      <c r="H6119" s="112" t="s">
        <v>1016</v>
      </c>
      <c r="I6119" s="112" t="s">
        <v>781</v>
      </c>
      <c r="J6119" s="112" t="s">
        <v>831</v>
      </c>
      <c r="K6119" s="112" t="s">
        <v>4962</v>
      </c>
      <c r="L6119" s="116">
        <v>-253.42</v>
      </c>
    </row>
    <row r="6120" spans="1:12" hidden="1" outlineLevel="1" collapsed="1" x14ac:dyDescent="0.35">
      <c r="A6120" s="112" t="s">
        <v>4632</v>
      </c>
      <c r="B6120" s="112" t="s">
        <v>863</v>
      </c>
      <c r="C6120" s="112" t="s">
        <v>679</v>
      </c>
      <c r="D6120" s="113">
        <v>10348115</v>
      </c>
      <c r="E6120" s="115">
        <v>43929</v>
      </c>
      <c r="F6120" s="114">
        <v>202101</v>
      </c>
      <c r="G6120" s="112" t="s">
        <v>1091</v>
      </c>
      <c r="H6120" s="112" t="s">
        <v>1016</v>
      </c>
      <c r="I6120" s="112" t="s">
        <v>781</v>
      </c>
      <c r="J6120" s="112" t="s">
        <v>833</v>
      </c>
      <c r="K6120" s="112" t="s">
        <v>4767</v>
      </c>
      <c r="L6120" s="116">
        <v>-36.25</v>
      </c>
    </row>
    <row r="6121" spans="1:12" hidden="1" outlineLevel="1" collapsed="1" x14ac:dyDescent="0.35">
      <c r="A6121" s="112" t="s">
        <v>4632</v>
      </c>
      <c r="B6121" s="112" t="s">
        <v>863</v>
      </c>
      <c r="C6121" s="112" t="s">
        <v>679</v>
      </c>
      <c r="D6121" s="113">
        <v>10348115</v>
      </c>
      <c r="E6121" s="115">
        <v>43929</v>
      </c>
      <c r="F6121" s="114">
        <v>202101</v>
      </c>
      <c r="G6121" s="112" t="s">
        <v>1091</v>
      </c>
      <c r="H6121" s="112" t="s">
        <v>1016</v>
      </c>
      <c r="I6121" s="112" t="s">
        <v>781</v>
      </c>
      <c r="J6121" s="112" t="s">
        <v>835</v>
      </c>
      <c r="K6121" s="112" t="s">
        <v>4767</v>
      </c>
      <c r="L6121" s="116">
        <v>-35.42</v>
      </c>
    </row>
    <row r="6122" spans="1:12" hidden="1" outlineLevel="1" collapsed="1" x14ac:dyDescent="0.35">
      <c r="A6122" s="112" t="s">
        <v>4632</v>
      </c>
      <c r="B6122" s="112" t="s">
        <v>863</v>
      </c>
      <c r="C6122" s="112" t="s">
        <v>679</v>
      </c>
      <c r="D6122" s="113">
        <v>10348115</v>
      </c>
      <c r="E6122" s="115">
        <v>43929</v>
      </c>
      <c r="F6122" s="114">
        <v>202101</v>
      </c>
      <c r="G6122" s="112" t="s">
        <v>1091</v>
      </c>
      <c r="H6122" s="112" t="s">
        <v>1016</v>
      </c>
      <c r="I6122" s="112" t="s">
        <v>781</v>
      </c>
      <c r="J6122" s="112" t="s">
        <v>838</v>
      </c>
      <c r="K6122" s="112" t="s">
        <v>4962</v>
      </c>
      <c r="L6122" s="116">
        <v>-88.83</v>
      </c>
    </row>
    <row r="6123" spans="1:12" hidden="1" outlineLevel="1" collapsed="1" x14ac:dyDescent="0.35">
      <c r="A6123" s="112" t="s">
        <v>4632</v>
      </c>
      <c r="B6123" s="112" t="s">
        <v>863</v>
      </c>
      <c r="C6123" s="112" t="s">
        <v>679</v>
      </c>
      <c r="D6123" s="113">
        <v>10348115</v>
      </c>
      <c r="E6123" s="115">
        <v>43929</v>
      </c>
      <c r="F6123" s="114">
        <v>202101</v>
      </c>
      <c r="G6123" s="112" t="s">
        <v>1091</v>
      </c>
      <c r="H6123" s="112" t="s">
        <v>1016</v>
      </c>
      <c r="I6123" s="112" t="s">
        <v>781</v>
      </c>
      <c r="J6123" s="112" t="s">
        <v>825</v>
      </c>
      <c r="K6123" s="112" t="s">
        <v>4962</v>
      </c>
      <c r="L6123" s="116">
        <v>-18.920000000000002</v>
      </c>
    </row>
    <row r="6124" spans="1:12" hidden="1" outlineLevel="1" collapsed="1" x14ac:dyDescent="0.35">
      <c r="A6124" s="112" t="s">
        <v>4632</v>
      </c>
      <c r="B6124" s="112" t="s">
        <v>863</v>
      </c>
      <c r="C6124" s="112" t="s">
        <v>679</v>
      </c>
      <c r="D6124" s="113">
        <v>10348115</v>
      </c>
      <c r="E6124" s="115">
        <v>43929</v>
      </c>
      <c r="F6124" s="114">
        <v>202101</v>
      </c>
      <c r="G6124" s="112" t="s">
        <v>1091</v>
      </c>
      <c r="H6124" s="112" t="s">
        <v>1016</v>
      </c>
      <c r="I6124" s="112" t="s">
        <v>781</v>
      </c>
      <c r="J6124" s="112" t="s">
        <v>829</v>
      </c>
      <c r="K6124" s="112" t="s">
        <v>4962</v>
      </c>
      <c r="L6124" s="116">
        <v>-130.83000000000001</v>
      </c>
    </row>
    <row r="6125" spans="1:12" hidden="1" outlineLevel="1" collapsed="1" x14ac:dyDescent="0.35">
      <c r="A6125" s="112" t="s">
        <v>4632</v>
      </c>
      <c r="B6125" s="112" t="s">
        <v>863</v>
      </c>
      <c r="C6125" s="112" t="s">
        <v>679</v>
      </c>
      <c r="D6125" s="113">
        <v>10348115</v>
      </c>
      <c r="E6125" s="115">
        <v>43929</v>
      </c>
      <c r="F6125" s="114">
        <v>202101</v>
      </c>
      <c r="G6125" s="112" t="s">
        <v>1091</v>
      </c>
      <c r="H6125" s="112" t="s">
        <v>1016</v>
      </c>
      <c r="I6125" s="112" t="s">
        <v>781</v>
      </c>
      <c r="J6125" s="112" t="s">
        <v>802</v>
      </c>
      <c r="K6125" s="112" t="s">
        <v>4767</v>
      </c>
      <c r="L6125" s="116">
        <v>-14.17</v>
      </c>
    </row>
    <row r="6126" spans="1:12" hidden="1" outlineLevel="1" collapsed="1" x14ac:dyDescent="0.35">
      <c r="A6126" s="112" t="s">
        <v>4632</v>
      </c>
      <c r="B6126" s="112" t="s">
        <v>863</v>
      </c>
      <c r="C6126" s="112" t="s">
        <v>679</v>
      </c>
      <c r="D6126" s="113">
        <v>10348115</v>
      </c>
      <c r="E6126" s="115">
        <v>43929</v>
      </c>
      <c r="F6126" s="114">
        <v>202101</v>
      </c>
      <c r="G6126" s="112" t="s">
        <v>1091</v>
      </c>
      <c r="H6126" s="112" t="s">
        <v>1016</v>
      </c>
      <c r="I6126" s="112" t="s">
        <v>781</v>
      </c>
      <c r="J6126" s="112" t="s">
        <v>790</v>
      </c>
      <c r="K6126" s="112" t="s">
        <v>4767</v>
      </c>
      <c r="L6126" s="116">
        <v>-179.63</v>
      </c>
    </row>
    <row r="6127" spans="1:12" hidden="1" outlineLevel="1" collapsed="1" x14ac:dyDescent="0.35">
      <c r="A6127" s="112" t="s">
        <v>4632</v>
      </c>
      <c r="B6127" s="112" t="s">
        <v>863</v>
      </c>
      <c r="C6127" s="112" t="s">
        <v>679</v>
      </c>
      <c r="D6127" s="113">
        <v>10348115</v>
      </c>
      <c r="E6127" s="115">
        <v>43929</v>
      </c>
      <c r="F6127" s="114">
        <v>202101</v>
      </c>
      <c r="G6127" s="112" t="s">
        <v>1091</v>
      </c>
      <c r="H6127" s="112" t="s">
        <v>1016</v>
      </c>
      <c r="I6127" s="112" t="s">
        <v>781</v>
      </c>
      <c r="J6127" s="112" t="s">
        <v>796</v>
      </c>
      <c r="K6127" s="112" t="s">
        <v>4767</v>
      </c>
      <c r="L6127" s="116">
        <v>-5</v>
      </c>
    </row>
    <row r="6128" spans="1:12" hidden="1" outlineLevel="1" collapsed="1" x14ac:dyDescent="0.35">
      <c r="A6128" s="112" t="s">
        <v>4632</v>
      </c>
      <c r="B6128" s="112" t="s">
        <v>863</v>
      </c>
      <c r="C6128" s="112" t="s">
        <v>679</v>
      </c>
      <c r="D6128" s="113">
        <v>10348115</v>
      </c>
      <c r="E6128" s="115">
        <v>43929</v>
      </c>
      <c r="F6128" s="114">
        <v>202101</v>
      </c>
      <c r="G6128" s="112" t="s">
        <v>1091</v>
      </c>
      <c r="H6128" s="112" t="s">
        <v>1016</v>
      </c>
      <c r="I6128" s="112" t="s">
        <v>781</v>
      </c>
      <c r="J6128" s="112" t="s">
        <v>856</v>
      </c>
      <c r="K6128" s="112" t="s">
        <v>4767</v>
      </c>
      <c r="L6128" s="116">
        <v>-15</v>
      </c>
    </row>
    <row r="6129" spans="1:12" hidden="1" outlineLevel="1" collapsed="1" x14ac:dyDescent="0.35">
      <c r="A6129" s="112" t="s">
        <v>4632</v>
      </c>
      <c r="B6129" s="112" t="s">
        <v>4688</v>
      </c>
      <c r="C6129" s="112" t="s">
        <v>4695</v>
      </c>
      <c r="D6129" s="113">
        <v>30440363</v>
      </c>
      <c r="E6129" s="115">
        <v>43929</v>
      </c>
      <c r="F6129" s="114">
        <v>202101</v>
      </c>
      <c r="G6129" s="112" t="s">
        <v>1091</v>
      </c>
      <c r="H6129" s="112" t="s">
        <v>1016</v>
      </c>
      <c r="I6129" s="112" t="s">
        <v>4689</v>
      </c>
      <c r="J6129" s="112" t="s">
        <v>4690</v>
      </c>
      <c r="K6129" s="112" t="s">
        <v>4961</v>
      </c>
      <c r="L6129" s="116">
        <v>54</v>
      </c>
    </row>
    <row r="6130" spans="1:12" hidden="1" outlineLevel="1" collapsed="1" x14ac:dyDescent="0.35">
      <c r="A6130" s="112" t="s">
        <v>4632</v>
      </c>
      <c r="B6130" s="112" t="s">
        <v>4639</v>
      </c>
      <c r="C6130" s="112" t="s">
        <v>695</v>
      </c>
      <c r="D6130" s="113">
        <v>10348085</v>
      </c>
      <c r="E6130" s="115">
        <v>43923</v>
      </c>
      <c r="F6130" s="114">
        <v>202101</v>
      </c>
      <c r="G6130" s="112" t="s">
        <v>1091</v>
      </c>
      <c r="H6130" s="112" t="s">
        <v>1015</v>
      </c>
      <c r="I6130" s="112" t="s">
        <v>751</v>
      </c>
      <c r="J6130" s="112" t="s">
        <v>4640</v>
      </c>
      <c r="K6130" s="112" t="s">
        <v>4662</v>
      </c>
      <c r="L6130" s="116">
        <v>-145.91</v>
      </c>
    </row>
    <row r="6131" spans="1:12" hidden="1" outlineLevel="1" collapsed="1" x14ac:dyDescent="0.35">
      <c r="A6131" s="112" t="s">
        <v>4632</v>
      </c>
      <c r="B6131" s="112" t="s">
        <v>4639</v>
      </c>
      <c r="C6131" s="112" t="s">
        <v>695</v>
      </c>
      <c r="D6131" s="113">
        <v>10348085</v>
      </c>
      <c r="E6131" s="115">
        <v>43923</v>
      </c>
      <c r="F6131" s="114">
        <v>202101</v>
      </c>
      <c r="G6131" s="112" t="s">
        <v>1091</v>
      </c>
      <c r="H6131" s="112" t="s">
        <v>1015</v>
      </c>
      <c r="I6131" s="112" t="s">
        <v>751</v>
      </c>
      <c r="J6131" s="112" t="s">
        <v>4640</v>
      </c>
      <c r="K6131" s="112" t="s">
        <v>4662</v>
      </c>
      <c r="L6131" s="116">
        <v>-354.71</v>
      </c>
    </row>
    <row r="6132" spans="1:12" hidden="1" outlineLevel="1" collapsed="1" x14ac:dyDescent="0.35">
      <c r="A6132" s="112" t="s">
        <v>4632</v>
      </c>
      <c r="B6132" s="112" t="s">
        <v>4639</v>
      </c>
      <c r="C6132" s="112" t="s">
        <v>695</v>
      </c>
      <c r="D6132" s="113">
        <v>10348085</v>
      </c>
      <c r="E6132" s="115">
        <v>43923</v>
      </c>
      <c r="F6132" s="114">
        <v>202101</v>
      </c>
      <c r="G6132" s="112" t="s">
        <v>1091</v>
      </c>
      <c r="H6132" s="112" t="s">
        <v>1015</v>
      </c>
      <c r="I6132" s="112" t="s">
        <v>751</v>
      </c>
      <c r="J6132" s="112" t="s">
        <v>4640</v>
      </c>
      <c r="K6132" s="112" t="s">
        <v>4662</v>
      </c>
      <c r="L6132" s="116">
        <v>-2492.31</v>
      </c>
    </row>
    <row r="6133" spans="1:12" hidden="1" outlineLevel="1" collapsed="1" x14ac:dyDescent="0.35">
      <c r="A6133" s="112" t="s">
        <v>4632</v>
      </c>
      <c r="B6133" s="112" t="s">
        <v>4644</v>
      </c>
      <c r="C6133" s="112" t="s">
        <v>695</v>
      </c>
      <c r="D6133" s="113">
        <v>10348085</v>
      </c>
      <c r="E6133" s="115">
        <v>43923</v>
      </c>
      <c r="F6133" s="114">
        <v>202101</v>
      </c>
      <c r="G6133" s="112" t="s">
        <v>1091</v>
      </c>
      <c r="H6133" s="112" t="s">
        <v>1015</v>
      </c>
      <c r="I6133" s="112" t="s">
        <v>751</v>
      </c>
      <c r="J6133" s="112" t="s">
        <v>4645</v>
      </c>
      <c r="K6133" s="112" t="s">
        <v>4662</v>
      </c>
      <c r="L6133" s="116">
        <v>-1083.1500000000001</v>
      </c>
    </row>
    <row r="6134" spans="1:12" hidden="1" outlineLevel="1" collapsed="1" x14ac:dyDescent="0.35">
      <c r="A6134" s="112" t="s">
        <v>4632</v>
      </c>
      <c r="B6134" s="112" t="s">
        <v>4639</v>
      </c>
      <c r="C6134" s="112" t="s">
        <v>695</v>
      </c>
      <c r="D6134" s="113">
        <v>10348085</v>
      </c>
      <c r="E6134" s="115">
        <v>43923</v>
      </c>
      <c r="F6134" s="114">
        <v>202101</v>
      </c>
      <c r="G6134" s="112" t="s">
        <v>1091</v>
      </c>
      <c r="H6134" s="112" t="s">
        <v>1015</v>
      </c>
      <c r="I6134" s="112" t="s">
        <v>757</v>
      </c>
      <c r="J6134" s="112" t="s">
        <v>4640</v>
      </c>
      <c r="K6134" s="112" t="s">
        <v>4662</v>
      </c>
      <c r="L6134" s="116">
        <v>-38.32</v>
      </c>
    </row>
    <row r="6135" spans="1:12" hidden="1" outlineLevel="1" collapsed="1" x14ac:dyDescent="0.35">
      <c r="A6135" s="112" t="s">
        <v>4632</v>
      </c>
      <c r="B6135" s="112" t="s">
        <v>4644</v>
      </c>
      <c r="C6135" s="112" t="s">
        <v>695</v>
      </c>
      <c r="D6135" s="113">
        <v>10348085</v>
      </c>
      <c r="E6135" s="115">
        <v>43923</v>
      </c>
      <c r="F6135" s="114">
        <v>202101</v>
      </c>
      <c r="G6135" s="112" t="s">
        <v>1091</v>
      </c>
      <c r="H6135" s="112" t="s">
        <v>1015</v>
      </c>
      <c r="I6135" s="112" t="s">
        <v>757</v>
      </c>
      <c r="J6135" s="112" t="s">
        <v>4645</v>
      </c>
      <c r="K6135" s="112" t="s">
        <v>4662</v>
      </c>
      <c r="L6135" s="116">
        <v>-374.62</v>
      </c>
    </row>
    <row r="6136" spans="1:12" hidden="1" outlineLevel="1" collapsed="1" x14ac:dyDescent="0.35">
      <c r="A6136" s="112" t="s">
        <v>4632</v>
      </c>
      <c r="B6136" s="112" t="s">
        <v>4639</v>
      </c>
      <c r="C6136" s="112" t="s">
        <v>695</v>
      </c>
      <c r="D6136" s="113">
        <v>10348085</v>
      </c>
      <c r="E6136" s="115">
        <v>43923</v>
      </c>
      <c r="F6136" s="114">
        <v>202101</v>
      </c>
      <c r="G6136" s="112" t="s">
        <v>1091</v>
      </c>
      <c r="H6136" s="112" t="s">
        <v>1015</v>
      </c>
      <c r="I6136" s="112" t="s">
        <v>749</v>
      </c>
      <c r="J6136" s="112" t="s">
        <v>4640</v>
      </c>
      <c r="K6136" s="112" t="s">
        <v>4662</v>
      </c>
      <c r="L6136" s="116">
        <v>31.35</v>
      </c>
    </row>
    <row r="6137" spans="1:12" hidden="1" outlineLevel="1" collapsed="1" x14ac:dyDescent="0.35">
      <c r="A6137" s="112" t="s">
        <v>4632</v>
      </c>
      <c r="B6137" s="112" t="s">
        <v>4639</v>
      </c>
      <c r="C6137" s="112" t="s">
        <v>695</v>
      </c>
      <c r="D6137" s="113">
        <v>10348085</v>
      </c>
      <c r="E6137" s="115">
        <v>43923</v>
      </c>
      <c r="F6137" s="114">
        <v>202101</v>
      </c>
      <c r="G6137" s="112" t="s">
        <v>1091</v>
      </c>
      <c r="H6137" s="112" t="s">
        <v>1015</v>
      </c>
      <c r="I6137" s="112" t="s">
        <v>749</v>
      </c>
      <c r="J6137" s="112" t="s">
        <v>4640</v>
      </c>
      <c r="K6137" s="112" t="s">
        <v>4662</v>
      </c>
      <c r="L6137" s="116">
        <v>-115.22</v>
      </c>
    </row>
    <row r="6138" spans="1:12" hidden="1" outlineLevel="1" collapsed="1" x14ac:dyDescent="0.35">
      <c r="A6138" s="112" t="s">
        <v>4632</v>
      </c>
      <c r="B6138" s="112" t="s">
        <v>4644</v>
      </c>
      <c r="C6138" s="112" t="s">
        <v>695</v>
      </c>
      <c r="D6138" s="113">
        <v>10348085</v>
      </c>
      <c r="E6138" s="115">
        <v>43923</v>
      </c>
      <c r="F6138" s="114">
        <v>202101</v>
      </c>
      <c r="G6138" s="112" t="s">
        <v>1091</v>
      </c>
      <c r="H6138" s="112" t="s">
        <v>1015</v>
      </c>
      <c r="I6138" s="112" t="s">
        <v>749</v>
      </c>
      <c r="J6138" s="112" t="s">
        <v>4645</v>
      </c>
      <c r="K6138" s="112" t="s">
        <v>4662</v>
      </c>
      <c r="L6138" s="116">
        <v>487.66</v>
      </c>
    </row>
    <row r="6139" spans="1:12" hidden="1" outlineLevel="1" collapsed="1" x14ac:dyDescent="0.35">
      <c r="A6139" s="112" t="s">
        <v>4632</v>
      </c>
      <c r="B6139" s="112" t="s">
        <v>4644</v>
      </c>
      <c r="C6139" s="112" t="s">
        <v>695</v>
      </c>
      <c r="D6139" s="113">
        <v>10348085</v>
      </c>
      <c r="E6139" s="115">
        <v>43923</v>
      </c>
      <c r="F6139" s="114">
        <v>202101</v>
      </c>
      <c r="G6139" s="112" t="s">
        <v>1091</v>
      </c>
      <c r="H6139" s="112" t="s">
        <v>1015</v>
      </c>
      <c r="I6139" s="112" t="s">
        <v>749</v>
      </c>
      <c r="J6139" s="112" t="s">
        <v>4645</v>
      </c>
      <c r="K6139" s="112" t="s">
        <v>4662</v>
      </c>
      <c r="L6139" s="116">
        <v>-504.53</v>
      </c>
    </row>
    <row r="6140" spans="1:12" hidden="1" outlineLevel="1" collapsed="1" x14ac:dyDescent="0.35">
      <c r="A6140" s="112" t="s">
        <v>4632</v>
      </c>
      <c r="B6140" s="112" t="s">
        <v>4644</v>
      </c>
      <c r="C6140" s="112" t="s">
        <v>695</v>
      </c>
      <c r="D6140" s="113">
        <v>10348085</v>
      </c>
      <c r="E6140" s="115">
        <v>43923</v>
      </c>
      <c r="F6140" s="114">
        <v>202101</v>
      </c>
      <c r="G6140" s="112" t="s">
        <v>1091</v>
      </c>
      <c r="H6140" s="112" t="s">
        <v>1015</v>
      </c>
      <c r="I6140" s="112" t="s">
        <v>749</v>
      </c>
      <c r="J6140" s="112" t="s">
        <v>4645</v>
      </c>
      <c r="K6140" s="112" t="s">
        <v>4662</v>
      </c>
      <c r="L6140" s="116">
        <v>57.14</v>
      </c>
    </row>
    <row r="6141" spans="1:12" hidden="1" outlineLevel="1" collapsed="1" x14ac:dyDescent="0.35">
      <c r="A6141" s="112" t="s">
        <v>4632</v>
      </c>
      <c r="B6141" s="112" t="s">
        <v>4639</v>
      </c>
      <c r="C6141" s="112" t="s">
        <v>695</v>
      </c>
      <c r="D6141" s="113">
        <v>10348063</v>
      </c>
      <c r="E6141" s="115">
        <v>43929</v>
      </c>
      <c r="F6141" s="114">
        <v>202101</v>
      </c>
      <c r="G6141" s="112" t="s">
        <v>1091</v>
      </c>
      <c r="H6141" s="112" t="s">
        <v>1016</v>
      </c>
      <c r="I6141" s="112" t="s">
        <v>779</v>
      </c>
      <c r="J6141" s="112" t="s">
        <v>4640</v>
      </c>
      <c r="K6141" s="112" t="s">
        <v>4963</v>
      </c>
      <c r="L6141" s="116">
        <v>22370</v>
      </c>
    </row>
    <row r="6142" spans="1:12" hidden="1" outlineLevel="1" collapsed="1" x14ac:dyDescent="0.35">
      <c r="A6142" s="112" t="s">
        <v>4632</v>
      </c>
      <c r="B6142" s="112" t="s">
        <v>4701</v>
      </c>
      <c r="C6142" s="112" t="s">
        <v>695</v>
      </c>
      <c r="D6142" s="113">
        <v>10348063</v>
      </c>
      <c r="E6142" s="115">
        <v>43929</v>
      </c>
      <c r="F6142" s="114">
        <v>202101</v>
      </c>
      <c r="G6142" s="112" t="s">
        <v>1091</v>
      </c>
      <c r="H6142" s="112" t="s">
        <v>1016</v>
      </c>
      <c r="I6142" s="112" t="s">
        <v>779</v>
      </c>
      <c r="J6142" s="112" t="s">
        <v>4702</v>
      </c>
      <c r="K6142" s="112" t="s">
        <v>4964</v>
      </c>
      <c r="L6142" s="116">
        <v>960.43</v>
      </c>
    </row>
    <row r="6143" spans="1:12" hidden="1" outlineLevel="1" collapsed="1" x14ac:dyDescent="0.35">
      <c r="A6143" s="112" t="s">
        <v>4632</v>
      </c>
      <c r="B6143" s="112" t="s">
        <v>4701</v>
      </c>
      <c r="C6143" s="112" t="s">
        <v>695</v>
      </c>
      <c r="D6143" s="113">
        <v>10348063</v>
      </c>
      <c r="E6143" s="115">
        <v>43929</v>
      </c>
      <c r="F6143" s="114">
        <v>202101</v>
      </c>
      <c r="G6143" s="112" t="s">
        <v>1091</v>
      </c>
      <c r="H6143" s="112" t="s">
        <v>1016</v>
      </c>
      <c r="I6143" s="112" t="s">
        <v>779</v>
      </c>
      <c r="J6143" s="112" t="s">
        <v>4702</v>
      </c>
      <c r="K6143" s="112" t="s">
        <v>4965</v>
      </c>
      <c r="L6143" s="116">
        <v>1710.49</v>
      </c>
    </row>
    <row r="6144" spans="1:12" hidden="1" outlineLevel="1" collapsed="1" x14ac:dyDescent="0.35">
      <c r="A6144" s="112" t="s">
        <v>4632</v>
      </c>
      <c r="B6144" s="112" t="s">
        <v>4701</v>
      </c>
      <c r="C6144" s="112" t="s">
        <v>695</v>
      </c>
      <c r="D6144" s="113">
        <v>10348063</v>
      </c>
      <c r="E6144" s="115">
        <v>43929</v>
      </c>
      <c r="F6144" s="114">
        <v>202101</v>
      </c>
      <c r="G6144" s="112" t="s">
        <v>1091</v>
      </c>
      <c r="H6144" s="112" t="s">
        <v>1016</v>
      </c>
      <c r="I6144" s="112" t="s">
        <v>779</v>
      </c>
      <c r="J6144" s="112" t="s">
        <v>4702</v>
      </c>
      <c r="K6144" s="112" t="s">
        <v>4965</v>
      </c>
      <c r="L6144" s="116">
        <v>1616.24</v>
      </c>
    </row>
    <row r="6145" spans="1:12" hidden="1" outlineLevel="1" collapsed="1" x14ac:dyDescent="0.35">
      <c r="A6145" s="112" t="s">
        <v>4632</v>
      </c>
      <c r="B6145" s="112" t="s">
        <v>4688</v>
      </c>
      <c r="C6145" s="112" t="s">
        <v>4695</v>
      </c>
      <c r="D6145" s="113">
        <v>30440379</v>
      </c>
      <c r="E6145" s="115">
        <v>43930</v>
      </c>
      <c r="F6145" s="114">
        <v>202101</v>
      </c>
      <c r="G6145" s="112" t="s">
        <v>1091</v>
      </c>
      <c r="H6145" s="112" t="s">
        <v>1016</v>
      </c>
      <c r="I6145" s="112" t="s">
        <v>4689</v>
      </c>
      <c r="J6145" s="112" t="s">
        <v>4690</v>
      </c>
      <c r="K6145" s="112" t="s">
        <v>4951</v>
      </c>
      <c r="L6145" s="116">
        <v>54</v>
      </c>
    </row>
    <row r="6146" spans="1:12" hidden="1" outlineLevel="1" collapsed="1" x14ac:dyDescent="0.35">
      <c r="A6146" s="112" t="s">
        <v>4632</v>
      </c>
      <c r="B6146" s="112" t="s">
        <v>4688</v>
      </c>
      <c r="C6146" s="112" t="s">
        <v>4695</v>
      </c>
      <c r="D6146" s="113">
        <v>30440379</v>
      </c>
      <c r="E6146" s="115">
        <v>43930</v>
      </c>
      <c r="F6146" s="114">
        <v>202101</v>
      </c>
      <c r="G6146" s="112" t="s">
        <v>1091</v>
      </c>
      <c r="H6146" s="112" t="s">
        <v>1016</v>
      </c>
      <c r="I6146" s="112" t="s">
        <v>4689</v>
      </c>
      <c r="J6146" s="112" t="s">
        <v>4690</v>
      </c>
      <c r="K6146" s="112" t="s">
        <v>4950</v>
      </c>
      <c r="L6146" s="116">
        <v>54</v>
      </c>
    </row>
    <row r="6147" spans="1:12" hidden="1" outlineLevel="1" collapsed="1" x14ac:dyDescent="0.35">
      <c r="A6147" s="112" t="s">
        <v>4632</v>
      </c>
      <c r="B6147" s="112" t="s">
        <v>863</v>
      </c>
      <c r="C6147" s="112" t="s">
        <v>679</v>
      </c>
      <c r="D6147" s="113">
        <v>10348115</v>
      </c>
      <c r="E6147" s="115">
        <v>43929</v>
      </c>
      <c r="F6147" s="114">
        <v>202101</v>
      </c>
      <c r="G6147" s="112" t="s">
        <v>1091</v>
      </c>
      <c r="H6147" s="112" t="s">
        <v>1016</v>
      </c>
      <c r="I6147" s="112" t="s">
        <v>781</v>
      </c>
      <c r="J6147" s="112" t="s">
        <v>793</v>
      </c>
      <c r="K6147" s="112" t="s">
        <v>4767</v>
      </c>
      <c r="L6147" s="116">
        <v>-68.08</v>
      </c>
    </row>
    <row r="6148" spans="1:12" hidden="1" outlineLevel="1" collapsed="1" x14ac:dyDescent="0.35">
      <c r="A6148" s="112" t="s">
        <v>4632</v>
      </c>
      <c r="B6148" s="112" t="s">
        <v>4635</v>
      </c>
      <c r="C6148" s="112" t="s">
        <v>695</v>
      </c>
      <c r="D6148" s="113">
        <v>10348130</v>
      </c>
      <c r="E6148" s="115">
        <v>43930</v>
      </c>
      <c r="F6148" s="114">
        <v>202101</v>
      </c>
      <c r="G6148" s="112" t="s">
        <v>1091</v>
      </c>
      <c r="H6148" s="112" t="s">
        <v>1016</v>
      </c>
      <c r="I6148" s="112" t="s">
        <v>4966</v>
      </c>
      <c r="J6148" s="112" t="s">
        <v>4967</v>
      </c>
      <c r="K6148" s="112" t="s">
        <v>4968</v>
      </c>
      <c r="L6148" s="116">
        <v>943.71</v>
      </c>
    </row>
    <row r="6149" spans="1:12" hidden="1" outlineLevel="1" collapsed="1" x14ac:dyDescent="0.35">
      <c r="A6149" s="112" t="s">
        <v>4632</v>
      </c>
      <c r="B6149" s="112" t="s">
        <v>4650</v>
      </c>
      <c r="C6149" s="112" t="s">
        <v>695</v>
      </c>
      <c r="D6149" s="113">
        <v>10348085</v>
      </c>
      <c r="E6149" s="115">
        <v>43923</v>
      </c>
      <c r="F6149" s="114">
        <v>202101</v>
      </c>
      <c r="G6149" s="112" t="s">
        <v>1091</v>
      </c>
      <c r="H6149" s="112" t="s">
        <v>1015</v>
      </c>
      <c r="I6149" s="112" t="s">
        <v>749</v>
      </c>
      <c r="J6149" s="112" t="s">
        <v>4651</v>
      </c>
      <c r="K6149" s="112" t="s">
        <v>4662</v>
      </c>
      <c r="L6149" s="116">
        <v>-292.85000000000002</v>
      </c>
    </row>
    <row r="6150" spans="1:12" hidden="1" outlineLevel="1" collapsed="1" x14ac:dyDescent="0.35">
      <c r="A6150" s="112" t="s">
        <v>4632</v>
      </c>
      <c r="B6150" s="112" t="s">
        <v>4644</v>
      </c>
      <c r="C6150" s="112" t="s">
        <v>695</v>
      </c>
      <c r="D6150" s="113">
        <v>10348085</v>
      </c>
      <c r="E6150" s="115">
        <v>43923</v>
      </c>
      <c r="F6150" s="114">
        <v>202101</v>
      </c>
      <c r="G6150" s="112" t="s">
        <v>1091</v>
      </c>
      <c r="H6150" s="112" t="s">
        <v>1015</v>
      </c>
      <c r="I6150" s="112" t="s">
        <v>749</v>
      </c>
      <c r="J6150" s="112" t="s">
        <v>4645</v>
      </c>
      <c r="K6150" s="112" t="s">
        <v>4662</v>
      </c>
      <c r="L6150" s="116">
        <v>-109.92</v>
      </c>
    </row>
    <row r="6151" spans="1:12" hidden="1" outlineLevel="1" collapsed="1" x14ac:dyDescent="0.35">
      <c r="A6151" s="112" t="s">
        <v>4632</v>
      </c>
      <c r="B6151" s="112" t="s">
        <v>4644</v>
      </c>
      <c r="C6151" s="112" t="s">
        <v>695</v>
      </c>
      <c r="D6151" s="113">
        <v>10348085</v>
      </c>
      <c r="E6151" s="115">
        <v>43923</v>
      </c>
      <c r="F6151" s="114">
        <v>202101</v>
      </c>
      <c r="G6151" s="112" t="s">
        <v>1091</v>
      </c>
      <c r="H6151" s="112" t="s">
        <v>1015</v>
      </c>
      <c r="I6151" s="112" t="s">
        <v>749</v>
      </c>
      <c r="J6151" s="112" t="s">
        <v>4645</v>
      </c>
      <c r="K6151" s="112" t="s">
        <v>4662</v>
      </c>
      <c r="L6151" s="116">
        <v>-444.33</v>
      </c>
    </row>
    <row r="6152" spans="1:12" hidden="1" outlineLevel="1" collapsed="1" x14ac:dyDescent="0.35">
      <c r="A6152" s="112" t="s">
        <v>4632</v>
      </c>
      <c r="B6152" s="112" t="s">
        <v>4644</v>
      </c>
      <c r="C6152" s="112" t="s">
        <v>695</v>
      </c>
      <c r="D6152" s="113">
        <v>10348085</v>
      </c>
      <c r="E6152" s="115">
        <v>43923</v>
      </c>
      <c r="F6152" s="114">
        <v>202101</v>
      </c>
      <c r="G6152" s="112" t="s">
        <v>1091</v>
      </c>
      <c r="H6152" s="112" t="s">
        <v>1015</v>
      </c>
      <c r="I6152" s="112" t="s">
        <v>749</v>
      </c>
      <c r="J6152" s="112" t="s">
        <v>4645</v>
      </c>
      <c r="K6152" s="112" t="s">
        <v>4662</v>
      </c>
      <c r="L6152" s="116">
        <v>-2175.81</v>
      </c>
    </row>
    <row r="6153" spans="1:12" hidden="1" outlineLevel="1" collapsed="1" x14ac:dyDescent="0.35">
      <c r="A6153" s="112" t="s">
        <v>4632</v>
      </c>
      <c r="B6153" s="112" t="s">
        <v>4644</v>
      </c>
      <c r="C6153" s="112" t="s">
        <v>695</v>
      </c>
      <c r="D6153" s="113">
        <v>10348085</v>
      </c>
      <c r="E6153" s="115">
        <v>43923</v>
      </c>
      <c r="F6153" s="114">
        <v>202101</v>
      </c>
      <c r="G6153" s="112" t="s">
        <v>1091</v>
      </c>
      <c r="H6153" s="112" t="s">
        <v>1015</v>
      </c>
      <c r="I6153" s="112" t="s">
        <v>749</v>
      </c>
      <c r="J6153" s="112" t="s">
        <v>4645</v>
      </c>
      <c r="K6153" s="112" t="s">
        <v>4662</v>
      </c>
      <c r="L6153" s="116">
        <v>-133.04</v>
      </c>
    </row>
    <row r="6154" spans="1:12" hidden="1" outlineLevel="1" collapsed="1" x14ac:dyDescent="0.35">
      <c r="A6154" s="112" t="s">
        <v>4632</v>
      </c>
      <c r="B6154" s="112" t="s">
        <v>4644</v>
      </c>
      <c r="C6154" s="112" t="s">
        <v>695</v>
      </c>
      <c r="D6154" s="113">
        <v>10348085</v>
      </c>
      <c r="E6154" s="115">
        <v>43923</v>
      </c>
      <c r="F6154" s="114">
        <v>202101</v>
      </c>
      <c r="G6154" s="112" t="s">
        <v>1091</v>
      </c>
      <c r="H6154" s="112" t="s">
        <v>1015</v>
      </c>
      <c r="I6154" s="112" t="s">
        <v>749</v>
      </c>
      <c r="J6154" s="112" t="s">
        <v>4645</v>
      </c>
      <c r="K6154" s="112" t="s">
        <v>4662</v>
      </c>
      <c r="L6154" s="116">
        <v>-333.41</v>
      </c>
    </row>
    <row r="6155" spans="1:12" hidden="1" outlineLevel="1" collapsed="1" x14ac:dyDescent="0.35">
      <c r="A6155" s="112" t="s">
        <v>4632</v>
      </c>
      <c r="B6155" s="112" t="s">
        <v>4650</v>
      </c>
      <c r="C6155" s="112" t="s">
        <v>695</v>
      </c>
      <c r="D6155" s="113">
        <v>10348085</v>
      </c>
      <c r="E6155" s="115">
        <v>43923</v>
      </c>
      <c r="F6155" s="114">
        <v>202101</v>
      </c>
      <c r="G6155" s="112" t="s">
        <v>1091</v>
      </c>
      <c r="H6155" s="112" t="s">
        <v>1015</v>
      </c>
      <c r="I6155" s="112" t="s">
        <v>757</v>
      </c>
      <c r="J6155" s="112" t="s">
        <v>4651</v>
      </c>
      <c r="K6155" s="112" t="s">
        <v>4662</v>
      </c>
      <c r="L6155" s="116">
        <v>-1083.52</v>
      </c>
    </row>
    <row r="6156" spans="1:12" hidden="1" outlineLevel="1" collapsed="1" x14ac:dyDescent="0.35">
      <c r="A6156" s="112" t="s">
        <v>4632</v>
      </c>
      <c r="B6156" s="112" t="s">
        <v>4644</v>
      </c>
      <c r="C6156" s="112" t="s">
        <v>695</v>
      </c>
      <c r="D6156" s="113">
        <v>10348085</v>
      </c>
      <c r="E6156" s="115">
        <v>43923</v>
      </c>
      <c r="F6156" s="114">
        <v>202101</v>
      </c>
      <c r="G6156" s="112" t="s">
        <v>1091</v>
      </c>
      <c r="H6156" s="112" t="s">
        <v>1015</v>
      </c>
      <c r="I6156" s="112" t="s">
        <v>757</v>
      </c>
      <c r="J6156" s="112" t="s">
        <v>4645</v>
      </c>
      <c r="K6156" s="112" t="s">
        <v>4662</v>
      </c>
      <c r="L6156" s="116">
        <v>-62.03</v>
      </c>
    </row>
    <row r="6157" spans="1:12" hidden="1" outlineLevel="1" collapsed="1" x14ac:dyDescent="0.35">
      <c r="A6157" s="112" t="s">
        <v>4632</v>
      </c>
      <c r="B6157" s="112" t="s">
        <v>863</v>
      </c>
      <c r="C6157" s="112" t="s">
        <v>695</v>
      </c>
      <c r="D6157" s="113">
        <v>10348085</v>
      </c>
      <c r="E6157" s="115">
        <v>43923</v>
      </c>
      <c r="F6157" s="114">
        <v>202101</v>
      </c>
      <c r="G6157" s="112" t="s">
        <v>1091</v>
      </c>
      <c r="H6157" s="112" t="s">
        <v>1015</v>
      </c>
      <c r="I6157" s="112" t="s">
        <v>757</v>
      </c>
      <c r="J6157" s="112" t="s">
        <v>856</v>
      </c>
      <c r="K6157" s="112" t="s">
        <v>4662</v>
      </c>
      <c r="L6157" s="116">
        <v>-161.77000000000001</v>
      </c>
    </row>
    <row r="6158" spans="1:12" hidden="1" outlineLevel="1" collapsed="1" x14ac:dyDescent="0.35">
      <c r="A6158" s="112" t="s">
        <v>4632</v>
      </c>
      <c r="B6158" s="112" t="s">
        <v>863</v>
      </c>
      <c r="C6158" s="112" t="s">
        <v>695</v>
      </c>
      <c r="D6158" s="113">
        <v>10348085</v>
      </c>
      <c r="E6158" s="115">
        <v>43923</v>
      </c>
      <c r="F6158" s="114">
        <v>202101</v>
      </c>
      <c r="G6158" s="112" t="s">
        <v>1091</v>
      </c>
      <c r="H6158" s="112" t="s">
        <v>1015</v>
      </c>
      <c r="I6158" s="112" t="s">
        <v>757</v>
      </c>
      <c r="J6158" s="112" t="s">
        <v>787</v>
      </c>
      <c r="K6158" s="112" t="s">
        <v>4662</v>
      </c>
      <c r="L6158" s="116">
        <v>-1488.76</v>
      </c>
    </row>
    <row r="6159" spans="1:12" hidden="1" outlineLevel="1" collapsed="1" x14ac:dyDescent="0.35">
      <c r="A6159" s="112" t="s">
        <v>4632</v>
      </c>
      <c r="B6159" s="112" t="s">
        <v>4644</v>
      </c>
      <c r="C6159" s="112" t="s">
        <v>695</v>
      </c>
      <c r="D6159" s="113">
        <v>10348085</v>
      </c>
      <c r="E6159" s="115">
        <v>43923</v>
      </c>
      <c r="F6159" s="114">
        <v>202101</v>
      </c>
      <c r="G6159" s="112" t="s">
        <v>1091</v>
      </c>
      <c r="H6159" s="112" t="s">
        <v>1015</v>
      </c>
      <c r="I6159" s="112" t="s">
        <v>757</v>
      </c>
      <c r="J6159" s="112" t="s">
        <v>4645</v>
      </c>
      <c r="K6159" s="112" t="s">
        <v>4662</v>
      </c>
      <c r="L6159" s="116">
        <v>-73.930000000000007</v>
      </c>
    </row>
    <row r="6160" spans="1:12" hidden="1" outlineLevel="1" collapsed="1" x14ac:dyDescent="0.35">
      <c r="A6160" s="112" t="s">
        <v>4632</v>
      </c>
      <c r="B6160" s="112" t="s">
        <v>4635</v>
      </c>
      <c r="C6160" s="112" t="s">
        <v>695</v>
      </c>
      <c r="D6160" s="113">
        <v>10348130</v>
      </c>
      <c r="E6160" s="115">
        <v>43930</v>
      </c>
      <c r="F6160" s="114">
        <v>202101</v>
      </c>
      <c r="G6160" s="112" t="s">
        <v>1091</v>
      </c>
      <c r="H6160" s="112" t="s">
        <v>1016</v>
      </c>
      <c r="I6160" s="112" t="s">
        <v>4966</v>
      </c>
      <c r="J6160" s="112" t="s">
        <v>4969</v>
      </c>
      <c r="K6160" s="112" t="s">
        <v>4970</v>
      </c>
      <c r="L6160" s="116">
        <v>41.66</v>
      </c>
    </row>
    <row r="6161" spans="1:12" hidden="1" outlineLevel="1" collapsed="1" x14ac:dyDescent="0.35">
      <c r="A6161" s="112" t="s">
        <v>4632</v>
      </c>
      <c r="B6161" s="112" t="s">
        <v>4635</v>
      </c>
      <c r="C6161" s="112" t="s">
        <v>695</v>
      </c>
      <c r="D6161" s="113">
        <v>10348130</v>
      </c>
      <c r="E6161" s="115">
        <v>43930</v>
      </c>
      <c r="F6161" s="114">
        <v>202101</v>
      </c>
      <c r="G6161" s="112" t="s">
        <v>1091</v>
      </c>
      <c r="H6161" s="112" t="s">
        <v>1016</v>
      </c>
      <c r="I6161" s="112" t="s">
        <v>4966</v>
      </c>
      <c r="J6161" s="112" t="s">
        <v>4969</v>
      </c>
      <c r="K6161" s="112" t="s">
        <v>4971</v>
      </c>
      <c r="L6161" s="116">
        <v>500</v>
      </c>
    </row>
    <row r="6162" spans="1:12" hidden="1" outlineLevel="1" collapsed="1" x14ac:dyDescent="0.35">
      <c r="A6162" s="112" t="s">
        <v>4632</v>
      </c>
      <c r="B6162" s="112" t="s">
        <v>4639</v>
      </c>
      <c r="C6162" s="112" t="s">
        <v>695</v>
      </c>
      <c r="D6162" s="113">
        <v>10348130</v>
      </c>
      <c r="E6162" s="115">
        <v>43930</v>
      </c>
      <c r="F6162" s="114">
        <v>202101</v>
      </c>
      <c r="G6162" s="112" t="s">
        <v>1091</v>
      </c>
      <c r="H6162" s="112" t="s">
        <v>1016</v>
      </c>
      <c r="I6162" s="112" t="s">
        <v>4966</v>
      </c>
      <c r="J6162" s="112" t="s">
        <v>4640</v>
      </c>
      <c r="K6162" s="112" t="s">
        <v>4972</v>
      </c>
      <c r="L6162" s="116">
        <v>8416.75</v>
      </c>
    </row>
    <row r="6163" spans="1:12" hidden="1" outlineLevel="1" collapsed="1" x14ac:dyDescent="0.35">
      <c r="A6163" s="112" t="s">
        <v>4632</v>
      </c>
      <c r="B6163" s="112" t="s">
        <v>4644</v>
      </c>
      <c r="C6163" s="112" t="s">
        <v>695</v>
      </c>
      <c r="D6163" s="113">
        <v>10348130</v>
      </c>
      <c r="E6163" s="115">
        <v>43930</v>
      </c>
      <c r="F6163" s="114">
        <v>202101</v>
      </c>
      <c r="G6163" s="112" t="s">
        <v>1091</v>
      </c>
      <c r="H6163" s="112" t="s">
        <v>1016</v>
      </c>
      <c r="I6163" s="112" t="s">
        <v>4966</v>
      </c>
      <c r="J6163" s="112" t="s">
        <v>4645</v>
      </c>
      <c r="K6163" s="112" t="s">
        <v>4973</v>
      </c>
      <c r="L6163" s="116">
        <v>171.75</v>
      </c>
    </row>
    <row r="6164" spans="1:12" hidden="1" outlineLevel="1" collapsed="1" x14ac:dyDescent="0.35">
      <c r="A6164" s="112" t="s">
        <v>4632</v>
      </c>
      <c r="B6164" s="112" t="s">
        <v>4635</v>
      </c>
      <c r="C6164" s="112" t="s">
        <v>695</v>
      </c>
      <c r="D6164" s="113">
        <v>10348130</v>
      </c>
      <c r="E6164" s="115">
        <v>43930</v>
      </c>
      <c r="F6164" s="114">
        <v>202101</v>
      </c>
      <c r="G6164" s="112" t="s">
        <v>1091</v>
      </c>
      <c r="H6164" s="112" t="s">
        <v>1016</v>
      </c>
      <c r="I6164" s="112" t="s">
        <v>4966</v>
      </c>
      <c r="J6164" s="112" t="s">
        <v>4974</v>
      </c>
      <c r="K6164" s="112" t="s">
        <v>4975</v>
      </c>
      <c r="L6164" s="116">
        <v>187.5</v>
      </c>
    </row>
    <row r="6165" spans="1:12" hidden="1" outlineLevel="1" collapsed="1" x14ac:dyDescent="0.35">
      <c r="A6165" s="112" t="s">
        <v>4632</v>
      </c>
      <c r="B6165" s="112" t="s">
        <v>4650</v>
      </c>
      <c r="C6165" s="112" t="s">
        <v>695</v>
      </c>
      <c r="D6165" s="113">
        <v>10348085</v>
      </c>
      <c r="E6165" s="115">
        <v>43923</v>
      </c>
      <c r="F6165" s="114">
        <v>202101</v>
      </c>
      <c r="G6165" s="112" t="s">
        <v>1091</v>
      </c>
      <c r="H6165" s="112" t="s">
        <v>1015</v>
      </c>
      <c r="I6165" s="112" t="s">
        <v>749</v>
      </c>
      <c r="J6165" s="112" t="s">
        <v>4651</v>
      </c>
      <c r="K6165" s="112" t="s">
        <v>4662</v>
      </c>
      <c r="L6165" s="116">
        <v>-233.99</v>
      </c>
    </row>
    <row r="6166" spans="1:12" hidden="1" outlineLevel="1" collapsed="1" x14ac:dyDescent="0.35">
      <c r="A6166" s="112" t="s">
        <v>4632</v>
      </c>
      <c r="B6166" s="112" t="s">
        <v>4635</v>
      </c>
      <c r="C6166" s="112" t="s">
        <v>695</v>
      </c>
      <c r="D6166" s="113">
        <v>10348130</v>
      </c>
      <c r="E6166" s="115">
        <v>43930</v>
      </c>
      <c r="F6166" s="114">
        <v>202101</v>
      </c>
      <c r="G6166" s="112" t="s">
        <v>1091</v>
      </c>
      <c r="H6166" s="112" t="s">
        <v>1016</v>
      </c>
      <c r="I6166" s="112" t="s">
        <v>4966</v>
      </c>
      <c r="J6166" s="112" t="s">
        <v>4976</v>
      </c>
      <c r="K6166" s="112" t="s">
        <v>4977</v>
      </c>
      <c r="L6166" s="116">
        <v>153.25</v>
      </c>
    </row>
    <row r="6167" spans="1:12" hidden="1" outlineLevel="1" collapsed="1" x14ac:dyDescent="0.35">
      <c r="A6167" s="112" t="s">
        <v>4632</v>
      </c>
      <c r="B6167" s="112" t="s">
        <v>4635</v>
      </c>
      <c r="C6167" s="112" t="s">
        <v>695</v>
      </c>
      <c r="D6167" s="113">
        <v>10348130</v>
      </c>
      <c r="E6167" s="115">
        <v>43930</v>
      </c>
      <c r="F6167" s="114">
        <v>202101</v>
      </c>
      <c r="G6167" s="112" t="s">
        <v>1091</v>
      </c>
      <c r="H6167" s="112" t="s">
        <v>1016</v>
      </c>
      <c r="I6167" s="112" t="s">
        <v>4966</v>
      </c>
      <c r="J6167" s="112" t="s">
        <v>4976</v>
      </c>
      <c r="K6167" s="112" t="s">
        <v>4977</v>
      </c>
      <c r="L6167" s="116">
        <v>98.7</v>
      </c>
    </row>
    <row r="6168" spans="1:12" hidden="1" outlineLevel="1" collapsed="1" x14ac:dyDescent="0.35">
      <c r="A6168" s="112" t="s">
        <v>4632</v>
      </c>
      <c r="B6168" s="112" t="s">
        <v>4635</v>
      </c>
      <c r="C6168" s="112" t="s">
        <v>695</v>
      </c>
      <c r="D6168" s="113">
        <v>10348130</v>
      </c>
      <c r="E6168" s="115">
        <v>43930</v>
      </c>
      <c r="F6168" s="114">
        <v>202101</v>
      </c>
      <c r="G6168" s="112" t="s">
        <v>1091</v>
      </c>
      <c r="H6168" s="112" t="s">
        <v>1016</v>
      </c>
      <c r="I6168" s="112" t="s">
        <v>4966</v>
      </c>
      <c r="J6168" s="112" t="s">
        <v>4976</v>
      </c>
      <c r="K6168" s="112" t="s">
        <v>4977</v>
      </c>
      <c r="L6168" s="116">
        <v>133.33000000000001</v>
      </c>
    </row>
    <row r="6169" spans="1:12" hidden="1" outlineLevel="1" collapsed="1" x14ac:dyDescent="0.35">
      <c r="A6169" s="112" t="s">
        <v>4632</v>
      </c>
      <c r="B6169" s="112" t="s">
        <v>4635</v>
      </c>
      <c r="C6169" s="112" t="s">
        <v>695</v>
      </c>
      <c r="D6169" s="113">
        <v>10348130</v>
      </c>
      <c r="E6169" s="115">
        <v>43930</v>
      </c>
      <c r="F6169" s="114">
        <v>202101</v>
      </c>
      <c r="G6169" s="112" t="s">
        <v>1091</v>
      </c>
      <c r="H6169" s="112" t="s">
        <v>1016</v>
      </c>
      <c r="I6169" s="112" t="s">
        <v>4966</v>
      </c>
      <c r="J6169" s="112" t="s">
        <v>4976</v>
      </c>
      <c r="K6169" s="112" t="s">
        <v>4972</v>
      </c>
      <c r="L6169" s="116">
        <v>495.63</v>
      </c>
    </row>
    <row r="6170" spans="1:12" hidden="1" outlineLevel="1" collapsed="1" x14ac:dyDescent="0.35">
      <c r="A6170" s="112" t="s">
        <v>4632</v>
      </c>
      <c r="B6170" s="112" t="s">
        <v>4635</v>
      </c>
      <c r="C6170" s="112" t="s">
        <v>695</v>
      </c>
      <c r="D6170" s="113">
        <v>10348130</v>
      </c>
      <c r="E6170" s="115">
        <v>43930</v>
      </c>
      <c r="F6170" s="114">
        <v>202101</v>
      </c>
      <c r="G6170" s="112" t="s">
        <v>1091</v>
      </c>
      <c r="H6170" s="112" t="s">
        <v>1016</v>
      </c>
      <c r="I6170" s="112" t="s">
        <v>4966</v>
      </c>
      <c r="J6170" s="112" t="s">
        <v>4974</v>
      </c>
      <c r="K6170" s="112" t="s">
        <v>4970</v>
      </c>
      <c r="L6170" s="116">
        <v>33.75</v>
      </c>
    </row>
    <row r="6171" spans="1:12" hidden="1" outlineLevel="1" collapsed="1" x14ac:dyDescent="0.35">
      <c r="A6171" s="112" t="s">
        <v>4632</v>
      </c>
      <c r="B6171" s="112" t="s">
        <v>4635</v>
      </c>
      <c r="C6171" s="112" t="s">
        <v>695</v>
      </c>
      <c r="D6171" s="113">
        <v>10348130</v>
      </c>
      <c r="E6171" s="115">
        <v>43930</v>
      </c>
      <c r="F6171" s="114">
        <v>202101</v>
      </c>
      <c r="G6171" s="112" t="s">
        <v>1091</v>
      </c>
      <c r="H6171" s="112" t="s">
        <v>1016</v>
      </c>
      <c r="I6171" s="112" t="s">
        <v>4966</v>
      </c>
      <c r="J6171" s="112" t="s">
        <v>4978</v>
      </c>
      <c r="K6171" s="112" t="s">
        <v>4979</v>
      </c>
      <c r="L6171" s="116">
        <v>75</v>
      </c>
    </row>
    <row r="6172" spans="1:12" hidden="1" outlineLevel="1" collapsed="1" x14ac:dyDescent="0.35">
      <c r="A6172" s="112" t="s">
        <v>4632</v>
      </c>
      <c r="B6172" s="112" t="s">
        <v>4635</v>
      </c>
      <c r="C6172" s="112" t="s">
        <v>695</v>
      </c>
      <c r="D6172" s="113">
        <v>10348130</v>
      </c>
      <c r="E6172" s="115">
        <v>43930</v>
      </c>
      <c r="F6172" s="114">
        <v>202101</v>
      </c>
      <c r="G6172" s="112" t="s">
        <v>1091</v>
      </c>
      <c r="H6172" s="112" t="s">
        <v>1016</v>
      </c>
      <c r="I6172" s="112" t="s">
        <v>4966</v>
      </c>
      <c r="J6172" s="112" t="s">
        <v>4969</v>
      </c>
      <c r="K6172" s="112" t="s">
        <v>4973</v>
      </c>
      <c r="L6172" s="116">
        <v>120.75</v>
      </c>
    </row>
    <row r="6173" spans="1:12" hidden="1" outlineLevel="1" collapsed="1" x14ac:dyDescent="0.35">
      <c r="A6173" s="112" t="s">
        <v>4632</v>
      </c>
      <c r="B6173" s="112" t="s">
        <v>4635</v>
      </c>
      <c r="C6173" s="112" t="s">
        <v>695</v>
      </c>
      <c r="D6173" s="113">
        <v>10348130</v>
      </c>
      <c r="E6173" s="115">
        <v>43930</v>
      </c>
      <c r="F6173" s="114">
        <v>202101</v>
      </c>
      <c r="G6173" s="112" t="s">
        <v>1091</v>
      </c>
      <c r="H6173" s="112" t="s">
        <v>1016</v>
      </c>
      <c r="I6173" s="112" t="s">
        <v>4966</v>
      </c>
      <c r="J6173" s="112" t="s">
        <v>4954</v>
      </c>
      <c r="K6173" s="112" t="s">
        <v>4980</v>
      </c>
      <c r="L6173" s="116">
        <v>10503.38</v>
      </c>
    </row>
    <row r="6174" spans="1:12" hidden="1" outlineLevel="1" collapsed="1" x14ac:dyDescent="0.35">
      <c r="A6174" s="112" t="s">
        <v>4632</v>
      </c>
      <c r="B6174" s="112" t="s">
        <v>4635</v>
      </c>
      <c r="C6174" s="112" t="s">
        <v>695</v>
      </c>
      <c r="D6174" s="113">
        <v>10348130</v>
      </c>
      <c r="E6174" s="115">
        <v>43930</v>
      </c>
      <c r="F6174" s="114">
        <v>202101</v>
      </c>
      <c r="G6174" s="112" t="s">
        <v>1091</v>
      </c>
      <c r="H6174" s="112" t="s">
        <v>1016</v>
      </c>
      <c r="I6174" s="112" t="s">
        <v>4966</v>
      </c>
      <c r="J6174" s="112" t="s">
        <v>4981</v>
      </c>
      <c r="K6174" s="112" t="s">
        <v>4982</v>
      </c>
      <c r="L6174" s="116">
        <v>17684.11</v>
      </c>
    </row>
    <row r="6175" spans="1:12" hidden="1" outlineLevel="1" collapsed="1" x14ac:dyDescent="0.35">
      <c r="A6175" s="112" t="s">
        <v>4632</v>
      </c>
      <c r="B6175" s="112" t="s">
        <v>4688</v>
      </c>
      <c r="C6175" s="112" t="s">
        <v>695</v>
      </c>
      <c r="D6175" s="113">
        <v>10348130</v>
      </c>
      <c r="E6175" s="115">
        <v>43930</v>
      </c>
      <c r="F6175" s="114">
        <v>202101</v>
      </c>
      <c r="G6175" s="112" t="s">
        <v>1091</v>
      </c>
      <c r="H6175" s="112" t="s">
        <v>1016</v>
      </c>
      <c r="I6175" s="112" t="s">
        <v>3394</v>
      </c>
      <c r="J6175" s="112" t="s">
        <v>4932</v>
      </c>
      <c r="K6175" s="112" t="s">
        <v>4983</v>
      </c>
      <c r="L6175" s="116">
        <v>52000</v>
      </c>
    </row>
    <row r="6176" spans="1:12" hidden="1" outlineLevel="1" collapsed="1" x14ac:dyDescent="0.35">
      <c r="A6176" s="112" t="s">
        <v>4632</v>
      </c>
      <c r="B6176" s="112" t="s">
        <v>4688</v>
      </c>
      <c r="C6176" s="112" t="s">
        <v>695</v>
      </c>
      <c r="D6176" s="113">
        <v>10348130</v>
      </c>
      <c r="E6176" s="115">
        <v>43930</v>
      </c>
      <c r="F6176" s="114">
        <v>202101</v>
      </c>
      <c r="G6176" s="112" t="s">
        <v>1091</v>
      </c>
      <c r="H6176" s="112" t="s">
        <v>1016</v>
      </c>
      <c r="I6176" s="112" t="s">
        <v>3394</v>
      </c>
      <c r="J6176" s="112" t="s">
        <v>4984</v>
      </c>
      <c r="K6176" s="112" t="s">
        <v>4985</v>
      </c>
      <c r="L6176" s="116">
        <v>49500</v>
      </c>
    </row>
    <row r="6177" spans="1:12" hidden="1" outlineLevel="1" collapsed="1" x14ac:dyDescent="0.35">
      <c r="A6177" s="112" t="s">
        <v>4632</v>
      </c>
      <c r="B6177" s="112" t="s">
        <v>863</v>
      </c>
      <c r="C6177" s="112" t="s">
        <v>695</v>
      </c>
      <c r="D6177" s="113">
        <v>10348085</v>
      </c>
      <c r="E6177" s="115">
        <v>43923</v>
      </c>
      <c r="F6177" s="114">
        <v>202101</v>
      </c>
      <c r="G6177" s="112" t="s">
        <v>1091</v>
      </c>
      <c r="H6177" s="112" t="s">
        <v>1015</v>
      </c>
      <c r="I6177" s="112" t="s">
        <v>751</v>
      </c>
      <c r="J6177" s="112" t="s">
        <v>787</v>
      </c>
      <c r="K6177" s="112" t="s">
        <v>4662</v>
      </c>
      <c r="L6177" s="116">
        <v>-3857.55</v>
      </c>
    </row>
    <row r="6178" spans="1:12" hidden="1" outlineLevel="1" collapsed="1" x14ac:dyDescent="0.35">
      <c r="A6178" s="112" t="s">
        <v>4632</v>
      </c>
      <c r="B6178" s="112" t="s">
        <v>4644</v>
      </c>
      <c r="C6178" s="112" t="s">
        <v>695</v>
      </c>
      <c r="D6178" s="113">
        <v>10348085</v>
      </c>
      <c r="E6178" s="115">
        <v>43923</v>
      </c>
      <c r="F6178" s="114">
        <v>202101</v>
      </c>
      <c r="G6178" s="112" t="s">
        <v>1091</v>
      </c>
      <c r="H6178" s="112" t="s">
        <v>1015</v>
      </c>
      <c r="I6178" s="112" t="s">
        <v>751</v>
      </c>
      <c r="J6178" s="112" t="s">
        <v>4645</v>
      </c>
      <c r="K6178" s="112" t="s">
        <v>4662</v>
      </c>
      <c r="L6178" s="116">
        <v>-332.36</v>
      </c>
    </row>
    <row r="6179" spans="1:12" hidden="1" outlineLevel="1" collapsed="1" x14ac:dyDescent="0.35">
      <c r="A6179" s="112" t="s">
        <v>4632</v>
      </c>
      <c r="B6179" s="112" t="s">
        <v>4650</v>
      </c>
      <c r="C6179" s="112" t="s">
        <v>695</v>
      </c>
      <c r="D6179" s="113">
        <v>10348085</v>
      </c>
      <c r="E6179" s="115">
        <v>43923</v>
      </c>
      <c r="F6179" s="114">
        <v>202101</v>
      </c>
      <c r="G6179" s="112" t="s">
        <v>1091</v>
      </c>
      <c r="H6179" s="112" t="s">
        <v>1015</v>
      </c>
      <c r="I6179" s="112" t="s">
        <v>757</v>
      </c>
      <c r="J6179" s="112" t="s">
        <v>4651</v>
      </c>
      <c r="K6179" s="112" t="s">
        <v>4662</v>
      </c>
      <c r="L6179" s="116">
        <v>-536.41999999999996</v>
      </c>
    </row>
    <row r="6180" spans="1:12" hidden="1" outlineLevel="1" collapsed="1" x14ac:dyDescent="0.35">
      <c r="A6180" s="112" t="s">
        <v>4632</v>
      </c>
      <c r="B6180" s="112" t="s">
        <v>4644</v>
      </c>
      <c r="C6180" s="112" t="s">
        <v>695</v>
      </c>
      <c r="D6180" s="113">
        <v>10348085</v>
      </c>
      <c r="E6180" s="115">
        <v>43923</v>
      </c>
      <c r="F6180" s="114">
        <v>202101</v>
      </c>
      <c r="G6180" s="112" t="s">
        <v>1091</v>
      </c>
      <c r="H6180" s="112" t="s">
        <v>1015</v>
      </c>
      <c r="I6180" s="112" t="s">
        <v>749</v>
      </c>
      <c r="J6180" s="112" t="s">
        <v>4645</v>
      </c>
      <c r="K6180" s="112" t="s">
        <v>4662</v>
      </c>
      <c r="L6180" s="116">
        <v>-73.930000000000007</v>
      </c>
    </row>
    <row r="6181" spans="1:12" hidden="1" outlineLevel="1" collapsed="1" x14ac:dyDescent="0.35">
      <c r="A6181" s="112" t="s">
        <v>4632</v>
      </c>
      <c r="B6181" s="112" t="s">
        <v>863</v>
      </c>
      <c r="C6181" s="112" t="s">
        <v>695</v>
      </c>
      <c r="D6181" s="113">
        <v>10348085</v>
      </c>
      <c r="E6181" s="115">
        <v>43923</v>
      </c>
      <c r="F6181" s="114">
        <v>202101</v>
      </c>
      <c r="G6181" s="112" t="s">
        <v>1091</v>
      </c>
      <c r="H6181" s="112" t="s">
        <v>1015</v>
      </c>
      <c r="I6181" s="112" t="s">
        <v>749</v>
      </c>
      <c r="J6181" s="112" t="s">
        <v>852</v>
      </c>
      <c r="K6181" s="112" t="s">
        <v>4662</v>
      </c>
      <c r="L6181" s="116">
        <v>-39.340000000000003</v>
      </c>
    </row>
    <row r="6182" spans="1:12" hidden="1" outlineLevel="1" collapsed="1" x14ac:dyDescent="0.35">
      <c r="A6182" s="112" t="s">
        <v>4632</v>
      </c>
      <c r="B6182" s="112" t="s">
        <v>863</v>
      </c>
      <c r="C6182" s="112" t="s">
        <v>695</v>
      </c>
      <c r="D6182" s="113">
        <v>10348085</v>
      </c>
      <c r="E6182" s="115">
        <v>43923</v>
      </c>
      <c r="F6182" s="114">
        <v>202101</v>
      </c>
      <c r="G6182" s="112" t="s">
        <v>1091</v>
      </c>
      <c r="H6182" s="112" t="s">
        <v>1015</v>
      </c>
      <c r="I6182" s="112" t="s">
        <v>749</v>
      </c>
      <c r="J6182" s="112" t="s">
        <v>787</v>
      </c>
      <c r="K6182" s="112" t="s">
        <v>4662</v>
      </c>
      <c r="L6182" s="116">
        <v>-1941.17</v>
      </c>
    </row>
    <row r="6183" spans="1:12" hidden="1" outlineLevel="1" collapsed="1" x14ac:dyDescent="0.35">
      <c r="A6183" s="112" t="s">
        <v>4632</v>
      </c>
      <c r="B6183" s="112" t="s">
        <v>4650</v>
      </c>
      <c r="C6183" s="112" t="s">
        <v>695</v>
      </c>
      <c r="D6183" s="113">
        <v>10348085</v>
      </c>
      <c r="E6183" s="115">
        <v>43923</v>
      </c>
      <c r="F6183" s="114">
        <v>202101</v>
      </c>
      <c r="G6183" s="112" t="s">
        <v>1091</v>
      </c>
      <c r="H6183" s="112" t="s">
        <v>1015</v>
      </c>
      <c r="I6183" s="112" t="s">
        <v>749</v>
      </c>
      <c r="J6183" s="112" t="s">
        <v>4651</v>
      </c>
      <c r="K6183" s="112" t="s">
        <v>4662</v>
      </c>
      <c r="L6183" s="116">
        <v>-228.96</v>
      </c>
    </row>
    <row r="6184" spans="1:12" hidden="1" outlineLevel="1" collapsed="1" x14ac:dyDescent="0.35">
      <c r="A6184" s="112" t="s">
        <v>4632</v>
      </c>
      <c r="B6184" s="112" t="s">
        <v>4650</v>
      </c>
      <c r="C6184" s="112" t="s">
        <v>695</v>
      </c>
      <c r="D6184" s="113">
        <v>10348085</v>
      </c>
      <c r="E6184" s="115">
        <v>43923</v>
      </c>
      <c r="F6184" s="114">
        <v>202101</v>
      </c>
      <c r="G6184" s="112" t="s">
        <v>1091</v>
      </c>
      <c r="H6184" s="112" t="s">
        <v>1015</v>
      </c>
      <c r="I6184" s="112" t="s">
        <v>749</v>
      </c>
      <c r="J6184" s="112" t="s">
        <v>4651</v>
      </c>
      <c r="K6184" s="112" t="s">
        <v>4662</v>
      </c>
      <c r="L6184" s="116">
        <v>-754.39</v>
      </c>
    </row>
    <row r="6185" spans="1:12" hidden="1" outlineLevel="1" collapsed="1" x14ac:dyDescent="0.35">
      <c r="A6185" s="112" t="s">
        <v>4632</v>
      </c>
      <c r="B6185" s="112" t="s">
        <v>4644</v>
      </c>
      <c r="C6185" s="112" t="s">
        <v>695</v>
      </c>
      <c r="D6185" s="113">
        <v>10348085</v>
      </c>
      <c r="E6185" s="115">
        <v>43923</v>
      </c>
      <c r="F6185" s="114">
        <v>202101</v>
      </c>
      <c r="G6185" s="112" t="s">
        <v>1091</v>
      </c>
      <c r="H6185" s="112" t="s">
        <v>1015</v>
      </c>
      <c r="I6185" s="112" t="s">
        <v>749</v>
      </c>
      <c r="J6185" s="112" t="s">
        <v>4645</v>
      </c>
      <c r="K6185" s="112" t="s">
        <v>4662</v>
      </c>
      <c r="L6185" s="116">
        <v>-190.75</v>
      </c>
    </row>
    <row r="6186" spans="1:12" hidden="1" outlineLevel="1" collapsed="1" x14ac:dyDescent="0.35">
      <c r="A6186" s="112" t="s">
        <v>4632</v>
      </c>
      <c r="B6186" s="112" t="s">
        <v>863</v>
      </c>
      <c r="C6186" s="112" t="s">
        <v>695</v>
      </c>
      <c r="D6186" s="113">
        <v>10348085</v>
      </c>
      <c r="E6186" s="115">
        <v>43923</v>
      </c>
      <c r="F6186" s="114">
        <v>202101</v>
      </c>
      <c r="G6186" s="112" t="s">
        <v>1091</v>
      </c>
      <c r="H6186" s="112" t="s">
        <v>1015</v>
      </c>
      <c r="I6186" s="112" t="s">
        <v>749</v>
      </c>
      <c r="J6186" s="112" t="s">
        <v>821</v>
      </c>
      <c r="K6186" s="112" t="s">
        <v>4662</v>
      </c>
      <c r="L6186" s="116">
        <v>-719.03</v>
      </c>
    </row>
    <row r="6187" spans="1:12" hidden="1" outlineLevel="1" collapsed="1" x14ac:dyDescent="0.35">
      <c r="A6187" s="112" t="s">
        <v>4632</v>
      </c>
      <c r="B6187" s="112" t="s">
        <v>863</v>
      </c>
      <c r="C6187" s="112" t="s">
        <v>695</v>
      </c>
      <c r="D6187" s="113">
        <v>10348085</v>
      </c>
      <c r="E6187" s="115">
        <v>43923</v>
      </c>
      <c r="F6187" s="114">
        <v>202101</v>
      </c>
      <c r="G6187" s="112" t="s">
        <v>1091</v>
      </c>
      <c r="H6187" s="112" t="s">
        <v>1015</v>
      </c>
      <c r="I6187" s="112" t="s">
        <v>749</v>
      </c>
      <c r="J6187" s="112" t="s">
        <v>821</v>
      </c>
      <c r="K6187" s="112" t="s">
        <v>4662</v>
      </c>
      <c r="L6187" s="116">
        <v>-182.68</v>
      </c>
    </row>
    <row r="6188" spans="1:12" hidden="1" outlineLevel="1" collapsed="1" x14ac:dyDescent="0.35">
      <c r="A6188" s="112" t="s">
        <v>4632</v>
      </c>
      <c r="B6188" s="112" t="s">
        <v>4635</v>
      </c>
      <c r="C6188" s="112" t="s">
        <v>695</v>
      </c>
      <c r="D6188" s="113">
        <v>10348130</v>
      </c>
      <c r="E6188" s="115">
        <v>43930</v>
      </c>
      <c r="F6188" s="114">
        <v>202101</v>
      </c>
      <c r="G6188" s="112" t="s">
        <v>1091</v>
      </c>
      <c r="H6188" s="112" t="s">
        <v>1015</v>
      </c>
      <c r="I6188" s="112" t="s">
        <v>740</v>
      </c>
      <c r="J6188" s="112" t="s">
        <v>4978</v>
      </c>
      <c r="K6188" s="112" t="s">
        <v>4986</v>
      </c>
      <c r="L6188" s="116">
        <v>-80</v>
      </c>
    </row>
    <row r="6189" spans="1:12" hidden="1" outlineLevel="1" collapsed="1" x14ac:dyDescent="0.35">
      <c r="A6189" s="112" t="s">
        <v>4632</v>
      </c>
      <c r="B6189" s="112" t="s">
        <v>4635</v>
      </c>
      <c r="C6189" s="112" t="s">
        <v>695</v>
      </c>
      <c r="D6189" s="113">
        <v>10348130</v>
      </c>
      <c r="E6189" s="115">
        <v>43930</v>
      </c>
      <c r="F6189" s="114">
        <v>202101</v>
      </c>
      <c r="G6189" s="112" t="s">
        <v>1091</v>
      </c>
      <c r="H6189" s="112" t="s">
        <v>1015</v>
      </c>
      <c r="I6189" s="112" t="s">
        <v>740</v>
      </c>
      <c r="J6189" s="112" t="s">
        <v>4987</v>
      </c>
      <c r="K6189" s="112" t="s">
        <v>4988</v>
      </c>
      <c r="L6189" s="116">
        <v>-3965.48</v>
      </c>
    </row>
    <row r="6190" spans="1:12" hidden="1" outlineLevel="1" collapsed="1" x14ac:dyDescent="0.35">
      <c r="A6190" s="112" t="s">
        <v>4632</v>
      </c>
      <c r="B6190" s="112" t="s">
        <v>4635</v>
      </c>
      <c r="C6190" s="112" t="s">
        <v>695</v>
      </c>
      <c r="D6190" s="113">
        <v>10348130</v>
      </c>
      <c r="E6190" s="115">
        <v>43930</v>
      </c>
      <c r="F6190" s="114">
        <v>202101</v>
      </c>
      <c r="G6190" s="112" t="s">
        <v>1091</v>
      </c>
      <c r="H6190" s="112" t="s">
        <v>1015</v>
      </c>
      <c r="I6190" s="112" t="s">
        <v>740</v>
      </c>
      <c r="J6190" s="112" t="s">
        <v>4974</v>
      </c>
      <c r="K6190" s="112" t="s">
        <v>4989</v>
      </c>
      <c r="L6190" s="116">
        <v>-85.81</v>
      </c>
    </row>
    <row r="6191" spans="1:12" hidden="1" outlineLevel="1" collapsed="1" x14ac:dyDescent="0.35">
      <c r="A6191" s="112" t="s">
        <v>4632</v>
      </c>
      <c r="B6191" s="112" t="s">
        <v>4635</v>
      </c>
      <c r="C6191" s="112" t="s">
        <v>695</v>
      </c>
      <c r="D6191" s="113">
        <v>10348130</v>
      </c>
      <c r="E6191" s="115">
        <v>43930</v>
      </c>
      <c r="F6191" s="114">
        <v>202101</v>
      </c>
      <c r="G6191" s="112" t="s">
        <v>1091</v>
      </c>
      <c r="H6191" s="112" t="s">
        <v>1015</v>
      </c>
      <c r="I6191" s="112" t="s">
        <v>740</v>
      </c>
      <c r="J6191" s="112" t="s">
        <v>4990</v>
      </c>
      <c r="K6191" s="112" t="s">
        <v>4991</v>
      </c>
      <c r="L6191" s="116">
        <v>-18794.599999999999</v>
      </c>
    </row>
    <row r="6192" spans="1:12" hidden="1" outlineLevel="1" collapsed="1" x14ac:dyDescent="0.35">
      <c r="A6192" s="112" t="s">
        <v>4632</v>
      </c>
      <c r="B6192" s="112" t="s">
        <v>4635</v>
      </c>
      <c r="C6192" s="112" t="s">
        <v>695</v>
      </c>
      <c r="D6192" s="113">
        <v>10348130</v>
      </c>
      <c r="E6192" s="115">
        <v>43930</v>
      </c>
      <c r="F6192" s="114">
        <v>202101</v>
      </c>
      <c r="G6192" s="112" t="s">
        <v>1091</v>
      </c>
      <c r="H6192" s="112" t="s">
        <v>1015</v>
      </c>
      <c r="I6192" s="112" t="s">
        <v>740</v>
      </c>
      <c r="J6192" s="112" t="s">
        <v>4990</v>
      </c>
      <c r="K6192" s="112" t="s">
        <v>4992</v>
      </c>
      <c r="L6192" s="116">
        <v>-20819.599999999999</v>
      </c>
    </row>
    <row r="6193" spans="1:12" hidden="1" outlineLevel="1" collapsed="1" x14ac:dyDescent="0.35">
      <c r="A6193" s="112" t="s">
        <v>4632</v>
      </c>
      <c r="B6193" s="112" t="s">
        <v>863</v>
      </c>
      <c r="C6193" s="112" t="s">
        <v>695</v>
      </c>
      <c r="D6193" s="113">
        <v>10348132</v>
      </c>
      <c r="E6193" s="115">
        <v>43930</v>
      </c>
      <c r="F6193" s="114">
        <v>202101</v>
      </c>
      <c r="G6193" s="112" t="s">
        <v>1091</v>
      </c>
      <c r="H6193" s="112" t="s">
        <v>1015</v>
      </c>
      <c r="I6193" s="112" t="s">
        <v>740</v>
      </c>
      <c r="J6193" s="112" t="s">
        <v>787</v>
      </c>
      <c r="K6193" s="112" t="s">
        <v>4993</v>
      </c>
      <c r="L6193" s="116">
        <v>-324132.34999999998</v>
      </c>
    </row>
    <row r="6194" spans="1:12" hidden="1" outlineLevel="1" collapsed="1" x14ac:dyDescent="0.35">
      <c r="A6194" s="112" t="s">
        <v>4632</v>
      </c>
      <c r="B6194" s="112" t="s">
        <v>4644</v>
      </c>
      <c r="C6194" s="112" t="s">
        <v>695</v>
      </c>
      <c r="D6194" s="113">
        <v>10348085</v>
      </c>
      <c r="E6194" s="115">
        <v>43923</v>
      </c>
      <c r="F6194" s="114">
        <v>202101</v>
      </c>
      <c r="G6194" s="112" t="s">
        <v>1091</v>
      </c>
      <c r="H6194" s="112" t="s">
        <v>1015</v>
      </c>
      <c r="I6194" s="112" t="s">
        <v>757</v>
      </c>
      <c r="J6194" s="112" t="s">
        <v>4645</v>
      </c>
      <c r="K6194" s="112" t="s">
        <v>4662</v>
      </c>
      <c r="L6194" s="116">
        <v>-90.95</v>
      </c>
    </row>
    <row r="6195" spans="1:12" hidden="1" outlineLevel="1" collapsed="1" x14ac:dyDescent="0.35">
      <c r="A6195" s="112" t="s">
        <v>4632</v>
      </c>
      <c r="B6195" s="112" t="s">
        <v>4644</v>
      </c>
      <c r="C6195" s="112" t="s">
        <v>695</v>
      </c>
      <c r="D6195" s="113">
        <v>10348085</v>
      </c>
      <c r="E6195" s="115">
        <v>43923</v>
      </c>
      <c r="F6195" s="114">
        <v>202101</v>
      </c>
      <c r="G6195" s="112" t="s">
        <v>1091</v>
      </c>
      <c r="H6195" s="112" t="s">
        <v>1015</v>
      </c>
      <c r="I6195" s="112" t="s">
        <v>757</v>
      </c>
      <c r="J6195" s="112" t="s">
        <v>4645</v>
      </c>
      <c r="K6195" s="112" t="s">
        <v>4662</v>
      </c>
      <c r="L6195" s="116">
        <v>-8.99</v>
      </c>
    </row>
    <row r="6196" spans="1:12" hidden="1" outlineLevel="1" collapsed="1" x14ac:dyDescent="0.35">
      <c r="A6196" s="112" t="s">
        <v>4632</v>
      </c>
      <c r="B6196" s="112" t="s">
        <v>4650</v>
      </c>
      <c r="C6196" s="112" t="s">
        <v>695</v>
      </c>
      <c r="D6196" s="113">
        <v>10348085</v>
      </c>
      <c r="E6196" s="115">
        <v>43923</v>
      </c>
      <c r="F6196" s="114">
        <v>202101</v>
      </c>
      <c r="G6196" s="112" t="s">
        <v>1091</v>
      </c>
      <c r="H6196" s="112" t="s">
        <v>1015</v>
      </c>
      <c r="I6196" s="112" t="s">
        <v>757</v>
      </c>
      <c r="J6196" s="112" t="s">
        <v>4651</v>
      </c>
      <c r="K6196" s="112" t="s">
        <v>4662</v>
      </c>
      <c r="L6196" s="116">
        <v>582.48</v>
      </c>
    </row>
    <row r="6197" spans="1:12" hidden="1" outlineLevel="1" collapsed="1" x14ac:dyDescent="0.35">
      <c r="A6197" s="112" t="s">
        <v>4632</v>
      </c>
      <c r="B6197" s="112" t="s">
        <v>4650</v>
      </c>
      <c r="C6197" s="112" t="s">
        <v>695</v>
      </c>
      <c r="D6197" s="113">
        <v>10348085</v>
      </c>
      <c r="E6197" s="115">
        <v>43923</v>
      </c>
      <c r="F6197" s="114">
        <v>202101</v>
      </c>
      <c r="G6197" s="112" t="s">
        <v>1091</v>
      </c>
      <c r="H6197" s="112" t="s">
        <v>1015</v>
      </c>
      <c r="I6197" s="112" t="s">
        <v>757</v>
      </c>
      <c r="J6197" s="112" t="s">
        <v>4651</v>
      </c>
      <c r="K6197" s="112" t="s">
        <v>4662</v>
      </c>
      <c r="L6197" s="116">
        <v>-3858.36</v>
      </c>
    </row>
    <row r="6198" spans="1:12" hidden="1" outlineLevel="1" collapsed="1" x14ac:dyDescent="0.35">
      <c r="A6198" s="112" t="s">
        <v>4632</v>
      </c>
      <c r="B6198" s="112" t="s">
        <v>4644</v>
      </c>
      <c r="C6198" s="112" t="s">
        <v>695</v>
      </c>
      <c r="D6198" s="113">
        <v>10348085</v>
      </c>
      <c r="E6198" s="115">
        <v>43923</v>
      </c>
      <c r="F6198" s="114">
        <v>202101</v>
      </c>
      <c r="G6198" s="112" t="s">
        <v>1091</v>
      </c>
      <c r="H6198" s="112" t="s">
        <v>1015</v>
      </c>
      <c r="I6198" s="112" t="s">
        <v>757</v>
      </c>
      <c r="J6198" s="112" t="s">
        <v>4645</v>
      </c>
      <c r="K6198" s="112" t="s">
        <v>4662</v>
      </c>
      <c r="L6198" s="116">
        <v>-41.42</v>
      </c>
    </row>
    <row r="6199" spans="1:12" hidden="1" outlineLevel="1" collapsed="1" x14ac:dyDescent="0.35">
      <c r="A6199" s="112" t="s">
        <v>4632</v>
      </c>
      <c r="B6199" s="112" t="s">
        <v>863</v>
      </c>
      <c r="C6199" s="112" t="s">
        <v>695</v>
      </c>
      <c r="D6199" s="113">
        <v>10348085</v>
      </c>
      <c r="E6199" s="115">
        <v>43923</v>
      </c>
      <c r="F6199" s="114">
        <v>202101</v>
      </c>
      <c r="G6199" s="112" t="s">
        <v>1091</v>
      </c>
      <c r="H6199" s="112" t="s">
        <v>1015</v>
      </c>
      <c r="I6199" s="112" t="s">
        <v>749</v>
      </c>
      <c r="J6199" s="112" t="s">
        <v>821</v>
      </c>
      <c r="K6199" s="112" t="s">
        <v>4662</v>
      </c>
      <c r="L6199" s="116">
        <v>-2570.12</v>
      </c>
    </row>
    <row r="6200" spans="1:12" hidden="1" outlineLevel="1" collapsed="1" x14ac:dyDescent="0.35">
      <c r="A6200" s="112" t="s">
        <v>4632</v>
      </c>
      <c r="B6200" s="112" t="s">
        <v>4644</v>
      </c>
      <c r="C6200" s="112" t="s">
        <v>695</v>
      </c>
      <c r="D6200" s="113">
        <v>10348085</v>
      </c>
      <c r="E6200" s="115">
        <v>43923</v>
      </c>
      <c r="F6200" s="114">
        <v>202101</v>
      </c>
      <c r="G6200" s="112" t="s">
        <v>1091</v>
      </c>
      <c r="H6200" s="112" t="s">
        <v>1015</v>
      </c>
      <c r="I6200" s="112" t="s">
        <v>749</v>
      </c>
      <c r="J6200" s="112" t="s">
        <v>4645</v>
      </c>
      <c r="K6200" s="112" t="s">
        <v>4662</v>
      </c>
      <c r="L6200" s="116">
        <v>-79.87</v>
      </c>
    </row>
    <row r="6201" spans="1:12" hidden="1" outlineLevel="1" collapsed="1" x14ac:dyDescent="0.35">
      <c r="A6201" s="112" t="s">
        <v>4632</v>
      </c>
      <c r="B6201" s="112" t="s">
        <v>4644</v>
      </c>
      <c r="C6201" s="112" t="s">
        <v>695</v>
      </c>
      <c r="D6201" s="113">
        <v>10348085</v>
      </c>
      <c r="E6201" s="115">
        <v>43923</v>
      </c>
      <c r="F6201" s="114">
        <v>202101</v>
      </c>
      <c r="G6201" s="112" t="s">
        <v>1091</v>
      </c>
      <c r="H6201" s="112" t="s">
        <v>1015</v>
      </c>
      <c r="I6201" s="112" t="s">
        <v>749</v>
      </c>
      <c r="J6201" s="112" t="s">
        <v>4645</v>
      </c>
      <c r="K6201" s="112" t="s">
        <v>4662</v>
      </c>
      <c r="L6201" s="116">
        <v>-603.76</v>
      </c>
    </row>
    <row r="6202" spans="1:12" hidden="1" outlineLevel="1" collapsed="1" x14ac:dyDescent="0.35">
      <c r="A6202" s="112" t="s">
        <v>4632</v>
      </c>
      <c r="B6202" s="112" t="s">
        <v>863</v>
      </c>
      <c r="C6202" s="112" t="s">
        <v>695</v>
      </c>
      <c r="D6202" s="113">
        <v>10348085</v>
      </c>
      <c r="E6202" s="115">
        <v>43923</v>
      </c>
      <c r="F6202" s="114">
        <v>202101</v>
      </c>
      <c r="G6202" s="112" t="s">
        <v>1091</v>
      </c>
      <c r="H6202" s="112" t="s">
        <v>1015</v>
      </c>
      <c r="I6202" s="112" t="s">
        <v>749</v>
      </c>
      <c r="J6202" s="112" t="s">
        <v>821</v>
      </c>
      <c r="K6202" s="112" t="s">
        <v>4662</v>
      </c>
      <c r="L6202" s="116">
        <v>-1737.15</v>
      </c>
    </row>
    <row r="6203" spans="1:12" hidden="1" outlineLevel="1" collapsed="1" x14ac:dyDescent="0.35">
      <c r="A6203" s="112" t="s">
        <v>4632</v>
      </c>
      <c r="B6203" s="112" t="s">
        <v>4644</v>
      </c>
      <c r="C6203" s="112" t="s">
        <v>695</v>
      </c>
      <c r="D6203" s="113">
        <v>10348085</v>
      </c>
      <c r="E6203" s="115">
        <v>43923</v>
      </c>
      <c r="F6203" s="114">
        <v>202101</v>
      </c>
      <c r="G6203" s="112" t="s">
        <v>1091</v>
      </c>
      <c r="H6203" s="112" t="s">
        <v>1015</v>
      </c>
      <c r="I6203" s="112" t="s">
        <v>749</v>
      </c>
      <c r="J6203" s="112" t="s">
        <v>4645</v>
      </c>
      <c r="K6203" s="112" t="s">
        <v>4662</v>
      </c>
      <c r="L6203" s="116">
        <v>78.62</v>
      </c>
    </row>
    <row r="6204" spans="1:12" hidden="1" outlineLevel="1" collapsed="1" x14ac:dyDescent="0.35">
      <c r="A6204" s="112" t="s">
        <v>4632</v>
      </c>
      <c r="B6204" s="112" t="s">
        <v>4644</v>
      </c>
      <c r="C6204" s="112" t="s">
        <v>695</v>
      </c>
      <c r="D6204" s="113">
        <v>10348085</v>
      </c>
      <c r="E6204" s="115">
        <v>43923</v>
      </c>
      <c r="F6204" s="114">
        <v>202101</v>
      </c>
      <c r="G6204" s="112" t="s">
        <v>1091</v>
      </c>
      <c r="H6204" s="112" t="s">
        <v>1015</v>
      </c>
      <c r="I6204" s="112" t="s">
        <v>749</v>
      </c>
      <c r="J6204" s="112" t="s">
        <v>4645</v>
      </c>
      <c r="K6204" s="112" t="s">
        <v>4662</v>
      </c>
      <c r="L6204" s="116">
        <v>-251.38</v>
      </c>
    </row>
    <row r="6205" spans="1:12" hidden="1" outlineLevel="1" collapsed="1" x14ac:dyDescent="0.35">
      <c r="A6205" s="112" t="s">
        <v>4632</v>
      </c>
      <c r="B6205" s="112" t="s">
        <v>863</v>
      </c>
      <c r="C6205" s="112" t="s">
        <v>695</v>
      </c>
      <c r="D6205" s="113">
        <v>10348085</v>
      </c>
      <c r="E6205" s="115">
        <v>43923</v>
      </c>
      <c r="F6205" s="114">
        <v>202101</v>
      </c>
      <c r="G6205" s="112" t="s">
        <v>1091</v>
      </c>
      <c r="H6205" s="112" t="s">
        <v>1015</v>
      </c>
      <c r="I6205" s="112" t="s">
        <v>749</v>
      </c>
      <c r="J6205" s="112" t="s">
        <v>787</v>
      </c>
      <c r="K6205" s="112" t="s">
        <v>4662</v>
      </c>
      <c r="L6205" s="116">
        <v>-72.45</v>
      </c>
    </row>
    <row r="6206" spans="1:12" hidden="1" outlineLevel="1" collapsed="1" x14ac:dyDescent="0.35">
      <c r="A6206" s="112" t="s">
        <v>4632</v>
      </c>
      <c r="B6206" s="112" t="s">
        <v>863</v>
      </c>
      <c r="C6206" s="112" t="s">
        <v>695</v>
      </c>
      <c r="D6206" s="113">
        <v>10348085</v>
      </c>
      <c r="E6206" s="115">
        <v>43923</v>
      </c>
      <c r="F6206" s="114">
        <v>202101</v>
      </c>
      <c r="G6206" s="112" t="s">
        <v>1091</v>
      </c>
      <c r="H6206" s="112" t="s">
        <v>1015</v>
      </c>
      <c r="I6206" s="112" t="s">
        <v>749</v>
      </c>
      <c r="J6206" s="112" t="s">
        <v>787</v>
      </c>
      <c r="K6206" s="112" t="s">
        <v>4662</v>
      </c>
      <c r="L6206" s="116">
        <v>-487.66</v>
      </c>
    </row>
    <row r="6207" spans="1:12" hidden="1" outlineLevel="1" collapsed="1" x14ac:dyDescent="0.35">
      <c r="A6207" s="112" t="s">
        <v>4632</v>
      </c>
      <c r="B6207" s="112" t="s">
        <v>863</v>
      </c>
      <c r="C6207" s="112" t="s">
        <v>695</v>
      </c>
      <c r="D6207" s="113">
        <v>10348085</v>
      </c>
      <c r="E6207" s="115">
        <v>43923</v>
      </c>
      <c r="F6207" s="114">
        <v>202101</v>
      </c>
      <c r="G6207" s="112" t="s">
        <v>1091</v>
      </c>
      <c r="H6207" s="112" t="s">
        <v>1015</v>
      </c>
      <c r="I6207" s="112" t="s">
        <v>749</v>
      </c>
      <c r="J6207" s="112" t="s">
        <v>787</v>
      </c>
      <c r="K6207" s="112" t="s">
        <v>4662</v>
      </c>
      <c r="L6207" s="116">
        <v>-53.69</v>
      </c>
    </row>
    <row r="6208" spans="1:12" hidden="1" outlineLevel="1" collapsed="1" x14ac:dyDescent="0.35">
      <c r="A6208" s="112" t="s">
        <v>4632</v>
      </c>
      <c r="B6208" s="112" t="s">
        <v>863</v>
      </c>
      <c r="C6208" s="112" t="s">
        <v>695</v>
      </c>
      <c r="D6208" s="113">
        <v>10348085</v>
      </c>
      <c r="E6208" s="115">
        <v>43923</v>
      </c>
      <c r="F6208" s="114">
        <v>202101</v>
      </c>
      <c r="G6208" s="112" t="s">
        <v>1091</v>
      </c>
      <c r="H6208" s="112" t="s">
        <v>1015</v>
      </c>
      <c r="I6208" s="112" t="s">
        <v>749</v>
      </c>
      <c r="J6208" s="112" t="s">
        <v>787</v>
      </c>
      <c r="K6208" s="112" t="s">
        <v>4662</v>
      </c>
      <c r="L6208" s="116">
        <v>-852.01</v>
      </c>
    </row>
    <row r="6209" spans="1:12" hidden="1" outlineLevel="1" collapsed="1" x14ac:dyDescent="0.35">
      <c r="A6209" s="112" t="s">
        <v>4632</v>
      </c>
      <c r="B6209" s="112" t="s">
        <v>863</v>
      </c>
      <c r="C6209" s="112" t="s">
        <v>695</v>
      </c>
      <c r="D6209" s="113">
        <v>10348085</v>
      </c>
      <c r="E6209" s="115">
        <v>43923</v>
      </c>
      <c r="F6209" s="114">
        <v>202101</v>
      </c>
      <c r="G6209" s="112" t="s">
        <v>1091</v>
      </c>
      <c r="H6209" s="112" t="s">
        <v>1015</v>
      </c>
      <c r="I6209" s="112" t="s">
        <v>749</v>
      </c>
      <c r="J6209" s="112" t="s">
        <v>829</v>
      </c>
      <c r="K6209" s="112" t="s">
        <v>4662</v>
      </c>
      <c r="L6209" s="116">
        <v>-266.37</v>
      </c>
    </row>
    <row r="6210" spans="1:12" hidden="1" outlineLevel="1" collapsed="1" x14ac:dyDescent="0.35">
      <c r="A6210" s="112" t="s">
        <v>4632</v>
      </c>
      <c r="B6210" s="112" t="s">
        <v>863</v>
      </c>
      <c r="C6210" s="112" t="s">
        <v>695</v>
      </c>
      <c r="D6210" s="113">
        <v>10348085</v>
      </c>
      <c r="E6210" s="115">
        <v>43923</v>
      </c>
      <c r="F6210" s="114">
        <v>202101</v>
      </c>
      <c r="G6210" s="112" t="s">
        <v>1091</v>
      </c>
      <c r="H6210" s="112" t="s">
        <v>1015</v>
      </c>
      <c r="I6210" s="112" t="s">
        <v>749</v>
      </c>
      <c r="J6210" s="112" t="s">
        <v>833</v>
      </c>
      <c r="K6210" s="112" t="s">
        <v>4662</v>
      </c>
      <c r="L6210" s="116">
        <v>78.62</v>
      </c>
    </row>
    <row r="6211" spans="1:12" hidden="1" outlineLevel="1" collapsed="1" x14ac:dyDescent="0.35">
      <c r="A6211" s="112" t="s">
        <v>4632</v>
      </c>
      <c r="B6211" s="112" t="s">
        <v>4650</v>
      </c>
      <c r="C6211" s="112" t="s">
        <v>695</v>
      </c>
      <c r="D6211" s="113">
        <v>10348085</v>
      </c>
      <c r="E6211" s="115">
        <v>43923</v>
      </c>
      <c r="F6211" s="114">
        <v>202101</v>
      </c>
      <c r="G6211" s="112" t="s">
        <v>1091</v>
      </c>
      <c r="H6211" s="112" t="s">
        <v>1015</v>
      </c>
      <c r="I6211" s="112" t="s">
        <v>749</v>
      </c>
      <c r="J6211" s="112" t="s">
        <v>4651</v>
      </c>
      <c r="K6211" s="112" t="s">
        <v>4662</v>
      </c>
      <c r="L6211" s="116">
        <v>-2862.58</v>
      </c>
    </row>
    <row r="6212" spans="1:12" hidden="1" outlineLevel="1" collapsed="1" x14ac:dyDescent="0.35">
      <c r="A6212" s="112" t="s">
        <v>4632</v>
      </c>
      <c r="B6212" s="112" t="s">
        <v>4644</v>
      </c>
      <c r="C6212" s="112" t="s">
        <v>695</v>
      </c>
      <c r="D6212" s="113">
        <v>10348085</v>
      </c>
      <c r="E6212" s="115">
        <v>43923</v>
      </c>
      <c r="F6212" s="114">
        <v>202101</v>
      </c>
      <c r="G6212" s="112" t="s">
        <v>1091</v>
      </c>
      <c r="H6212" s="112" t="s">
        <v>1015</v>
      </c>
      <c r="I6212" s="112" t="s">
        <v>749</v>
      </c>
      <c r="J6212" s="112" t="s">
        <v>4645</v>
      </c>
      <c r="K6212" s="112" t="s">
        <v>4662</v>
      </c>
      <c r="L6212" s="116">
        <v>-2379.9299999999998</v>
      </c>
    </row>
    <row r="6213" spans="1:12" hidden="1" outlineLevel="1" collapsed="1" x14ac:dyDescent="0.35">
      <c r="A6213" s="112" t="s">
        <v>4632</v>
      </c>
      <c r="B6213" s="112" t="s">
        <v>4644</v>
      </c>
      <c r="C6213" s="112" t="s">
        <v>695</v>
      </c>
      <c r="D6213" s="113">
        <v>10348085</v>
      </c>
      <c r="E6213" s="115">
        <v>43923</v>
      </c>
      <c r="F6213" s="114">
        <v>202101</v>
      </c>
      <c r="G6213" s="112" t="s">
        <v>1091</v>
      </c>
      <c r="H6213" s="112" t="s">
        <v>1015</v>
      </c>
      <c r="I6213" s="112" t="s">
        <v>749</v>
      </c>
      <c r="J6213" s="112" t="s">
        <v>4645</v>
      </c>
      <c r="K6213" s="112" t="s">
        <v>4662</v>
      </c>
      <c r="L6213" s="116">
        <v>-387.07</v>
      </c>
    </row>
    <row r="6214" spans="1:12" hidden="1" outlineLevel="1" collapsed="1" x14ac:dyDescent="0.35">
      <c r="A6214" s="112" t="s">
        <v>4632</v>
      </c>
      <c r="B6214" s="112" t="s">
        <v>4644</v>
      </c>
      <c r="C6214" s="112" t="s">
        <v>695</v>
      </c>
      <c r="D6214" s="113">
        <v>10348085</v>
      </c>
      <c r="E6214" s="115">
        <v>43923</v>
      </c>
      <c r="F6214" s="114">
        <v>202101</v>
      </c>
      <c r="G6214" s="112" t="s">
        <v>1091</v>
      </c>
      <c r="H6214" s="112" t="s">
        <v>1015</v>
      </c>
      <c r="I6214" s="112" t="s">
        <v>749</v>
      </c>
      <c r="J6214" s="112" t="s">
        <v>4645</v>
      </c>
      <c r="K6214" s="112" t="s">
        <v>4662</v>
      </c>
      <c r="L6214" s="116">
        <v>133.26</v>
      </c>
    </row>
    <row r="6215" spans="1:12" hidden="1" outlineLevel="1" collapsed="1" x14ac:dyDescent="0.35">
      <c r="A6215" s="112" t="s">
        <v>4632</v>
      </c>
      <c r="B6215" s="112" t="s">
        <v>4644</v>
      </c>
      <c r="C6215" s="112" t="s">
        <v>695</v>
      </c>
      <c r="D6215" s="113">
        <v>10348085</v>
      </c>
      <c r="E6215" s="115">
        <v>43923</v>
      </c>
      <c r="F6215" s="114">
        <v>202101</v>
      </c>
      <c r="G6215" s="112" t="s">
        <v>1091</v>
      </c>
      <c r="H6215" s="112" t="s">
        <v>1015</v>
      </c>
      <c r="I6215" s="112" t="s">
        <v>749</v>
      </c>
      <c r="J6215" s="112" t="s">
        <v>4645</v>
      </c>
      <c r="K6215" s="112" t="s">
        <v>4662</v>
      </c>
      <c r="L6215" s="116">
        <v>-256.33</v>
      </c>
    </row>
    <row r="6216" spans="1:12" hidden="1" outlineLevel="1" collapsed="1" x14ac:dyDescent="0.35">
      <c r="A6216" s="112" t="s">
        <v>4632</v>
      </c>
      <c r="B6216" s="112" t="s">
        <v>4644</v>
      </c>
      <c r="C6216" s="112" t="s">
        <v>695</v>
      </c>
      <c r="D6216" s="113">
        <v>10348085</v>
      </c>
      <c r="E6216" s="115">
        <v>43923</v>
      </c>
      <c r="F6216" s="114">
        <v>202101</v>
      </c>
      <c r="G6216" s="112" t="s">
        <v>1091</v>
      </c>
      <c r="H6216" s="112" t="s">
        <v>1015</v>
      </c>
      <c r="I6216" s="112" t="s">
        <v>749</v>
      </c>
      <c r="J6216" s="112" t="s">
        <v>4645</v>
      </c>
      <c r="K6216" s="112" t="s">
        <v>4662</v>
      </c>
      <c r="L6216" s="116">
        <v>-1014.81</v>
      </c>
    </row>
    <row r="6217" spans="1:12" hidden="1" outlineLevel="1" collapsed="1" x14ac:dyDescent="0.35">
      <c r="A6217" s="112" t="s">
        <v>4632</v>
      </c>
      <c r="B6217" s="112" t="s">
        <v>4644</v>
      </c>
      <c r="C6217" s="112" t="s">
        <v>695</v>
      </c>
      <c r="D6217" s="113">
        <v>10348085</v>
      </c>
      <c r="E6217" s="115">
        <v>43923</v>
      </c>
      <c r="F6217" s="114">
        <v>202101</v>
      </c>
      <c r="G6217" s="112" t="s">
        <v>1091</v>
      </c>
      <c r="H6217" s="112" t="s">
        <v>1015</v>
      </c>
      <c r="I6217" s="112" t="s">
        <v>757</v>
      </c>
      <c r="J6217" s="112" t="s">
        <v>4645</v>
      </c>
      <c r="K6217" s="112" t="s">
        <v>4662</v>
      </c>
      <c r="L6217" s="116">
        <v>-4684.2700000000004</v>
      </c>
    </row>
    <row r="6218" spans="1:12" hidden="1" outlineLevel="1" collapsed="1" x14ac:dyDescent="0.35">
      <c r="A6218" s="112" t="s">
        <v>4632</v>
      </c>
      <c r="B6218" s="112" t="s">
        <v>4650</v>
      </c>
      <c r="C6218" s="112" t="s">
        <v>695</v>
      </c>
      <c r="D6218" s="113">
        <v>10348085</v>
      </c>
      <c r="E6218" s="115">
        <v>43923</v>
      </c>
      <c r="F6218" s="114">
        <v>202101</v>
      </c>
      <c r="G6218" s="112" t="s">
        <v>1091</v>
      </c>
      <c r="H6218" s="112" t="s">
        <v>1015</v>
      </c>
      <c r="I6218" s="112" t="s">
        <v>757</v>
      </c>
      <c r="J6218" s="112" t="s">
        <v>4651</v>
      </c>
      <c r="K6218" s="112" t="s">
        <v>4662</v>
      </c>
      <c r="L6218" s="116">
        <v>78.62</v>
      </c>
    </row>
    <row r="6219" spans="1:12" hidden="1" outlineLevel="1" collapsed="1" x14ac:dyDescent="0.35">
      <c r="A6219" s="112" t="s">
        <v>4632</v>
      </c>
      <c r="B6219" s="112" t="s">
        <v>4650</v>
      </c>
      <c r="C6219" s="112" t="s">
        <v>695</v>
      </c>
      <c r="D6219" s="113">
        <v>10348085</v>
      </c>
      <c r="E6219" s="115">
        <v>43923</v>
      </c>
      <c r="F6219" s="114">
        <v>202101</v>
      </c>
      <c r="G6219" s="112" t="s">
        <v>1091</v>
      </c>
      <c r="H6219" s="112" t="s">
        <v>1015</v>
      </c>
      <c r="I6219" s="112" t="s">
        <v>757</v>
      </c>
      <c r="J6219" s="112" t="s">
        <v>4651</v>
      </c>
      <c r="K6219" s="112" t="s">
        <v>4662</v>
      </c>
      <c r="L6219" s="116">
        <v>-64.42</v>
      </c>
    </row>
    <row r="6220" spans="1:12" hidden="1" outlineLevel="1" collapsed="1" x14ac:dyDescent="0.35">
      <c r="A6220" s="112" t="s">
        <v>4632</v>
      </c>
      <c r="B6220" s="112" t="s">
        <v>4644</v>
      </c>
      <c r="C6220" s="112" t="s">
        <v>695</v>
      </c>
      <c r="D6220" s="113">
        <v>10348085</v>
      </c>
      <c r="E6220" s="115">
        <v>43923</v>
      </c>
      <c r="F6220" s="114">
        <v>202101</v>
      </c>
      <c r="G6220" s="112" t="s">
        <v>1091</v>
      </c>
      <c r="H6220" s="112" t="s">
        <v>1015</v>
      </c>
      <c r="I6220" s="112" t="s">
        <v>749</v>
      </c>
      <c r="J6220" s="112" t="s">
        <v>4645</v>
      </c>
      <c r="K6220" s="112" t="s">
        <v>4662</v>
      </c>
      <c r="L6220" s="116">
        <v>-64.55</v>
      </c>
    </row>
    <row r="6221" spans="1:12" hidden="1" outlineLevel="1" collapsed="1" x14ac:dyDescent="0.35">
      <c r="A6221" s="112" t="s">
        <v>4632</v>
      </c>
      <c r="B6221" s="112" t="s">
        <v>4650</v>
      </c>
      <c r="C6221" s="112" t="s">
        <v>695</v>
      </c>
      <c r="D6221" s="113">
        <v>10348085</v>
      </c>
      <c r="E6221" s="115">
        <v>43923</v>
      </c>
      <c r="F6221" s="114">
        <v>202101</v>
      </c>
      <c r="G6221" s="112" t="s">
        <v>1091</v>
      </c>
      <c r="H6221" s="112" t="s">
        <v>1015</v>
      </c>
      <c r="I6221" s="112" t="s">
        <v>749</v>
      </c>
      <c r="J6221" s="112" t="s">
        <v>4651</v>
      </c>
      <c r="K6221" s="112" t="s">
        <v>4662</v>
      </c>
      <c r="L6221" s="116">
        <v>-463.44</v>
      </c>
    </row>
    <row r="6222" spans="1:12" hidden="1" outlineLevel="1" collapsed="1" x14ac:dyDescent="0.35">
      <c r="A6222" s="112" t="s">
        <v>4632</v>
      </c>
      <c r="B6222" s="112" t="s">
        <v>863</v>
      </c>
      <c r="C6222" s="112" t="s">
        <v>695</v>
      </c>
      <c r="D6222" s="113">
        <v>10348085</v>
      </c>
      <c r="E6222" s="115">
        <v>43923</v>
      </c>
      <c r="F6222" s="114">
        <v>202101</v>
      </c>
      <c r="G6222" s="112" t="s">
        <v>1091</v>
      </c>
      <c r="H6222" s="112" t="s">
        <v>1015</v>
      </c>
      <c r="I6222" s="112" t="s">
        <v>749</v>
      </c>
      <c r="J6222" s="112" t="s">
        <v>808</v>
      </c>
      <c r="K6222" s="112" t="s">
        <v>4662</v>
      </c>
      <c r="L6222" s="116">
        <v>-337.34</v>
      </c>
    </row>
    <row r="6223" spans="1:12" hidden="1" outlineLevel="1" collapsed="1" x14ac:dyDescent="0.35">
      <c r="A6223" s="112" t="s">
        <v>4632</v>
      </c>
      <c r="B6223" s="112" t="s">
        <v>863</v>
      </c>
      <c r="C6223" s="112" t="s">
        <v>679</v>
      </c>
      <c r="D6223" s="113">
        <v>10348115</v>
      </c>
      <c r="E6223" s="115">
        <v>43929</v>
      </c>
      <c r="F6223" s="114">
        <v>202101</v>
      </c>
      <c r="G6223" s="112" t="s">
        <v>1091</v>
      </c>
      <c r="H6223" s="112" t="s">
        <v>1016</v>
      </c>
      <c r="I6223" s="112" t="s">
        <v>781</v>
      </c>
      <c r="J6223" s="112" t="s">
        <v>840</v>
      </c>
      <c r="K6223" s="112" t="s">
        <v>4767</v>
      </c>
      <c r="L6223" s="116">
        <v>-104.67</v>
      </c>
    </row>
    <row r="6224" spans="1:12" hidden="1" outlineLevel="1" collapsed="1" x14ac:dyDescent="0.35">
      <c r="A6224" s="112" t="s">
        <v>4632</v>
      </c>
      <c r="B6224" s="112" t="s">
        <v>4688</v>
      </c>
      <c r="C6224" s="112" t="s">
        <v>4695</v>
      </c>
      <c r="D6224" s="113">
        <v>30440783</v>
      </c>
      <c r="E6224" s="115">
        <v>43950</v>
      </c>
      <c r="F6224" s="114">
        <v>202101</v>
      </c>
      <c r="G6224" s="112" t="s">
        <v>1091</v>
      </c>
      <c r="H6224" s="112" t="s">
        <v>1016</v>
      </c>
      <c r="I6224" s="112" t="s">
        <v>4689</v>
      </c>
      <c r="J6224" s="112" t="s">
        <v>4690</v>
      </c>
      <c r="K6224" s="112" t="s">
        <v>4994</v>
      </c>
      <c r="L6224" s="116">
        <v>54</v>
      </c>
    </row>
    <row r="6225" spans="1:12" hidden="1" outlineLevel="1" collapsed="1" x14ac:dyDescent="0.35">
      <c r="A6225" s="112" t="s">
        <v>4632</v>
      </c>
      <c r="B6225" s="112" t="s">
        <v>4688</v>
      </c>
      <c r="C6225" s="112" t="s">
        <v>1518</v>
      </c>
      <c r="D6225" s="113">
        <v>51365763</v>
      </c>
      <c r="E6225" s="115">
        <v>43947</v>
      </c>
      <c r="F6225" s="114">
        <v>202101</v>
      </c>
      <c r="G6225" s="112" t="s">
        <v>1091</v>
      </c>
      <c r="H6225" s="112" t="s">
        <v>1016</v>
      </c>
      <c r="I6225" s="112" t="s">
        <v>2337</v>
      </c>
      <c r="J6225" s="112" t="s">
        <v>4690</v>
      </c>
      <c r="K6225" s="112" t="s">
        <v>4995</v>
      </c>
      <c r="L6225" s="116">
        <v>-51</v>
      </c>
    </row>
    <row r="6226" spans="1:12" hidden="1" outlineLevel="1" collapsed="1" x14ac:dyDescent="0.35">
      <c r="A6226" s="112" t="s">
        <v>4632</v>
      </c>
      <c r="B6226" s="112" t="s">
        <v>4688</v>
      </c>
      <c r="C6226" s="112" t="s">
        <v>4695</v>
      </c>
      <c r="D6226" s="113">
        <v>30440394</v>
      </c>
      <c r="E6226" s="115">
        <v>43934</v>
      </c>
      <c r="F6226" s="114">
        <v>202101</v>
      </c>
      <c r="G6226" s="112" t="s">
        <v>1091</v>
      </c>
      <c r="H6226" s="112" t="s">
        <v>1016</v>
      </c>
      <c r="I6226" s="112" t="s">
        <v>4689</v>
      </c>
      <c r="J6226" s="112" t="s">
        <v>4690</v>
      </c>
      <c r="K6226" s="112" t="s">
        <v>4996</v>
      </c>
      <c r="L6226" s="116">
        <v>54</v>
      </c>
    </row>
    <row r="6227" spans="1:12" hidden="1" outlineLevel="1" collapsed="1" x14ac:dyDescent="0.35">
      <c r="A6227" s="112" t="s">
        <v>4632</v>
      </c>
      <c r="B6227" s="112" t="s">
        <v>4688</v>
      </c>
      <c r="C6227" s="112" t="s">
        <v>4695</v>
      </c>
      <c r="D6227" s="113">
        <v>30440394</v>
      </c>
      <c r="E6227" s="115">
        <v>43934</v>
      </c>
      <c r="F6227" s="114">
        <v>202101</v>
      </c>
      <c r="G6227" s="112" t="s">
        <v>1091</v>
      </c>
      <c r="H6227" s="112" t="s">
        <v>1016</v>
      </c>
      <c r="I6227" s="112" t="s">
        <v>4689</v>
      </c>
      <c r="J6227" s="112" t="s">
        <v>4690</v>
      </c>
      <c r="K6227" s="112" t="s">
        <v>4997</v>
      </c>
      <c r="L6227" s="116">
        <v>54</v>
      </c>
    </row>
    <row r="6228" spans="1:12" hidden="1" outlineLevel="1" collapsed="1" x14ac:dyDescent="0.35">
      <c r="A6228" s="112" t="s">
        <v>4632</v>
      </c>
      <c r="B6228" s="112" t="s">
        <v>4688</v>
      </c>
      <c r="C6228" s="112" t="s">
        <v>4695</v>
      </c>
      <c r="D6228" s="113">
        <v>30440394</v>
      </c>
      <c r="E6228" s="115">
        <v>43934</v>
      </c>
      <c r="F6228" s="114">
        <v>202101</v>
      </c>
      <c r="G6228" s="112" t="s">
        <v>1091</v>
      </c>
      <c r="H6228" s="112" t="s">
        <v>1016</v>
      </c>
      <c r="I6228" s="112" t="s">
        <v>4689</v>
      </c>
      <c r="J6228" s="112" t="s">
        <v>4690</v>
      </c>
      <c r="K6228" s="112" t="s">
        <v>4998</v>
      </c>
      <c r="L6228" s="116">
        <v>54</v>
      </c>
    </row>
    <row r="6229" spans="1:12" hidden="1" outlineLevel="1" collapsed="1" x14ac:dyDescent="0.35">
      <c r="A6229" s="112" t="s">
        <v>4632</v>
      </c>
      <c r="B6229" s="112" t="s">
        <v>4688</v>
      </c>
      <c r="C6229" s="112" t="s">
        <v>4695</v>
      </c>
      <c r="D6229" s="113">
        <v>30440394</v>
      </c>
      <c r="E6229" s="115">
        <v>43934</v>
      </c>
      <c r="F6229" s="114">
        <v>202101</v>
      </c>
      <c r="G6229" s="112" t="s">
        <v>1091</v>
      </c>
      <c r="H6229" s="112" t="s">
        <v>1016</v>
      </c>
      <c r="I6229" s="112" t="s">
        <v>4689</v>
      </c>
      <c r="J6229" s="112" t="s">
        <v>4690</v>
      </c>
      <c r="K6229" s="112" t="s">
        <v>4999</v>
      </c>
      <c r="L6229" s="116">
        <v>54</v>
      </c>
    </row>
    <row r="6230" spans="1:12" hidden="1" outlineLevel="1" collapsed="1" x14ac:dyDescent="0.35">
      <c r="A6230" s="112" t="s">
        <v>4632</v>
      </c>
      <c r="B6230" s="112" t="s">
        <v>4688</v>
      </c>
      <c r="C6230" s="112" t="s">
        <v>679</v>
      </c>
      <c r="D6230" s="113">
        <v>10348189</v>
      </c>
      <c r="E6230" s="115">
        <v>43934</v>
      </c>
      <c r="F6230" s="114">
        <v>202101</v>
      </c>
      <c r="G6230" s="112" t="s">
        <v>1091</v>
      </c>
      <c r="H6230" s="112" t="s">
        <v>1016</v>
      </c>
      <c r="I6230" s="112" t="s">
        <v>4689</v>
      </c>
      <c r="J6230" s="112" t="s">
        <v>4690</v>
      </c>
      <c r="K6230" s="112" t="s">
        <v>5000</v>
      </c>
      <c r="L6230" s="116">
        <v>-54</v>
      </c>
    </row>
    <row r="6231" spans="1:12" hidden="1" outlineLevel="1" collapsed="1" x14ac:dyDescent="0.35">
      <c r="A6231" s="112" t="s">
        <v>4632</v>
      </c>
      <c r="B6231" s="112" t="s">
        <v>4688</v>
      </c>
      <c r="C6231" s="112" t="s">
        <v>679</v>
      </c>
      <c r="D6231" s="113">
        <v>10348189</v>
      </c>
      <c r="E6231" s="115">
        <v>43934</v>
      </c>
      <c r="F6231" s="114">
        <v>202101</v>
      </c>
      <c r="G6231" s="112" t="s">
        <v>1091</v>
      </c>
      <c r="H6231" s="112" t="s">
        <v>1016</v>
      </c>
      <c r="I6231" s="112" t="s">
        <v>4689</v>
      </c>
      <c r="J6231" s="112" t="s">
        <v>4690</v>
      </c>
      <c r="K6231" s="112" t="s">
        <v>5001</v>
      </c>
      <c r="L6231" s="116">
        <v>-54</v>
      </c>
    </row>
    <row r="6232" spans="1:12" hidden="1" outlineLevel="1" collapsed="1" x14ac:dyDescent="0.35">
      <c r="A6232" s="112" t="s">
        <v>4632</v>
      </c>
      <c r="B6232" s="112" t="s">
        <v>4688</v>
      </c>
      <c r="C6232" s="112" t="s">
        <v>679</v>
      </c>
      <c r="D6232" s="113">
        <v>10348189</v>
      </c>
      <c r="E6232" s="115">
        <v>43934</v>
      </c>
      <c r="F6232" s="114">
        <v>202101</v>
      </c>
      <c r="G6232" s="112" t="s">
        <v>1091</v>
      </c>
      <c r="H6232" s="112" t="s">
        <v>1016</v>
      </c>
      <c r="I6232" s="112" t="s">
        <v>4689</v>
      </c>
      <c r="J6232" s="112" t="s">
        <v>4690</v>
      </c>
      <c r="K6232" s="112" t="s">
        <v>4996</v>
      </c>
      <c r="L6232" s="116">
        <v>-54</v>
      </c>
    </row>
    <row r="6233" spans="1:12" hidden="1" outlineLevel="1" collapsed="1" x14ac:dyDescent="0.35">
      <c r="A6233" s="112" t="s">
        <v>4632</v>
      </c>
      <c r="B6233" s="112" t="s">
        <v>4688</v>
      </c>
      <c r="C6233" s="112" t="s">
        <v>679</v>
      </c>
      <c r="D6233" s="113">
        <v>10348189</v>
      </c>
      <c r="E6233" s="115">
        <v>43934</v>
      </c>
      <c r="F6233" s="114">
        <v>202101</v>
      </c>
      <c r="G6233" s="112" t="s">
        <v>1091</v>
      </c>
      <c r="H6233" s="112" t="s">
        <v>1016</v>
      </c>
      <c r="I6233" s="112" t="s">
        <v>4689</v>
      </c>
      <c r="J6233" s="112" t="s">
        <v>4690</v>
      </c>
      <c r="K6233" s="112" t="s">
        <v>4997</v>
      </c>
      <c r="L6233" s="116">
        <v>-54</v>
      </c>
    </row>
    <row r="6234" spans="1:12" hidden="1" outlineLevel="1" collapsed="1" x14ac:dyDescent="0.35">
      <c r="A6234" s="112" t="s">
        <v>4632</v>
      </c>
      <c r="B6234" s="112" t="s">
        <v>4688</v>
      </c>
      <c r="C6234" s="112" t="s">
        <v>679</v>
      </c>
      <c r="D6234" s="113">
        <v>10348189</v>
      </c>
      <c r="E6234" s="115">
        <v>43934</v>
      </c>
      <c r="F6234" s="114">
        <v>202101</v>
      </c>
      <c r="G6234" s="112" t="s">
        <v>1091</v>
      </c>
      <c r="H6234" s="112" t="s">
        <v>1016</v>
      </c>
      <c r="I6234" s="112" t="s">
        <v>4689</v>
      </c>
      <c r="J6234" s="112" t="s">
        <v>4690</v>
      </c>
      <c r="K6234" s="112" t="s">
        <v>4998</v>
      </c>
      <c r="L6234" s="116">
        <v>-54</v>
      </c>
    </row>
    <row r="6235" spans="1:12" hidden="1" outlineLevel="1" collapsed="1" x14ac:dyDescent="0.35">
      <c r="A6235" s="112" t="s">
        <v>4632</v>
      </c>
      <c r="B6235" s="112" t="s">
        <v>4688</v>
      </c>
      <c r="C6235" s="112" t="s">
        <v>679</v>
      </c>
      <c r="D6235" s="113">
        <v>10348189</v>
      </c>
      <c r="E6235" s="115">
        <v>43934</v>
      </c>
      <c r="F6235" s="114">
        <v>202101</v>
      </c>
      <c r="G6235" s="112" t="s">
        <v>1091</v>
      </c>
      <c r="H6235" s="112" t="s">
        <v>1016</v>
      </c>
      <c r="I6235" s="112" t="s">
        <v>4689</v>
      </c>
      <c r="J6235" s="112" t="s">
        <v>4690</v>
      </c>
      <c r="K6235" s="112" t="s">
        <v>4999</v>
      </c>
      <c r="L6235" s="116">
        <v>-54</v>
      </c>
    </row>
    <row r="6236" spans="1:12" hidden="1" outlineLevel="1" collapsed="1" x14ac:dyDescent="0.35">
      <c r="A6236" s="112" t="s">
        <v>4632</v>
      </c>
      <c r="B6236" s="112" t="s">
        <v>4688</v>
      </c>
      <c r="C6236" s="112" t="s">
        <v>4695</v>
      </c>
      <c r="D6236" s="113">
        <v>30440671</v>
      </c>
      <c r="E6236" s="115">
        <v>43944</v>
      </c>
      <c r="F6236" s="114">
        <v>202101</v>
      </c>
      <c r="G6236" s="112" t="s">
        <v>1091</v>
      </c>
      <c r="H6236" s="112" t="s">
        <v>1016</v>
      </c>
      <c r="I6236" s="112" t="s">
        <v>4689</v>
      </c>
      <c r="J6236" s="112" t="s">
        <v>4690</v>
      </c>
      <c r="K6236" s="112" t="s">
        <v>5002</v>
      </c>
      <c r="L6236" s="116">
        <v>54</v>
      </c>
    </row>
    <row r="6237" spans="1:12" hidden="1" outlineLevel="1" collapsed="1" x14ac:dyDescent="0.35">
      <c r="A6237" s="112" t="s">
        <v>4632</v>
      </c>
      <c r="B6237" s="112" t="s">
        <v>4688</v>
      </c>
      <c r="C6237" s="112" t="s">
        <v>679</v>
      </c>
      <c r="D6237" s="113">
        <v>10348418</v>
      </c>
      <c r="E6237" s="115">
        <v>43944</v>
      </c>
      <c r="F6237" s="114">
        <v>202101</v>
      </c>
      <c r="G6237" s="112" t="s">
        <v>1091</v>
      </c>
      <c r="H6237" s="112" t="s">
        <v>1016</v>
      </c>
      <c r="I6237" s="112" t="s">
        <v>4689</v>
      </c>
      <c r="J6237" s="112" t="s">
        <v>4690</v>
      </c>
      <c r="K6237" s="112" t="s">
        <v>5002</v>
      </c>
      <c r="L6237" s="116">
        <v>-54</v>
      </c>
    </row>
    <row r="6238" spans="1:12" hidden="1" outlineLevel="1" collapsed="1" x14ac:dyDescent="0.35">
      <c r="A6238" s="112" t="s">
        <v>4632</v>
      </c>
      <c r="B6238" s="112" t="s">
        <v>863</v>
      </c>
      <c r="C6238" s="112" t="s">
        <v>679</v>
      </c>
      <c r="D6238" s="113">
        <v>10348418</v>
      </c>
      <c r="E6238" s="115">
        <v>43944</v>
      </c>
      <c r="F6238" s="114">
        <v>202101</v>
      </c>
      <c r="G6238" s="112" t="s">
        <v>1091</v>
      </c>
      <c r="H6238" s="112" t="s">
        <v>1016</v>
      </c>
      <c r="I6238" s="112" t="s">
        <v>781</v>
      </c>
      <c r="J6238" s="112" t="s">
        <v>854</v>
      </c>
      <c r="K6238" s="112" t="s">
        <v>5003</v>
      </c>
      <c r="L6238" s="116">
        <v>-6.37</v>
      </c>
    </row>
    <row r="6239" spans="1:12" hidden="1" outlineLevel="1" collapsed="1" x14ac:dyDescent="0.35">
      <c r="A6239" s="112" t="s">
        <v>4632</v>
      </c>
      <c r="B6239" s="112" t="s">
        <v>863</v>
      </c>
      <c r="C6239" s="112" t="s">
        <v>679</v>
      </c>
      <c r="D6239" s="113">
        <v>10348418</v>
      </c>
      <c r="E6239" s="115">
        <v>43944</v>
      </c>
      <c r="F6239" s="114">
        <v>202101</v>
      </c>
      <c r="G6239" s="112" t="s">
        <v>1091</v>
      </c>
      <c r="H6239" s="112" t="s">
        <v>1016</v>
      </c>
      <c r="I6239" s="112" t="s">
        <v>781</v>
      </c>
      <c r="J6239" s="112" t="s">
        <v>854</v>
      </c>
      <c r="K6239" s="112" t="s">
        <v>5003</v>
      </c>
      <c r="L6239" s="116">
        <v>-6.36</v>
      </c>
    </row>
    <row r="6240" spans="1:12" hidden="1" outlineLevel="1" collapsed="1" x14ac:dyDescent="0.35">
      <c r="A6240" s="112" t="s">
        <v>4632</v>
      </c>
      <c r="B6240" s="112" t="s">
        <v>863</v>
      </c>
      <c r="C6240" s="112" t="s">
        <v>679</v>
      </c>
      <c r="D6240" s="113">
        <v>10348418</v>
      </c>
      <c r="E6240" s="115">
        <v>43944</v>
      </c>
      <c r="F6240" s="114">
        <v>202101</v>
      </c>
      <c r="G6240" s="112" t="s">
        <v>1091</v>
      </c>
      <c r="H6240" s="112" t="s">
        <v>1016</v>
      </c>
      <c r="I6240" s="112" t="s">
        <v>781</v>
      </c>
      <c r="J6240" s="112" t="s">
        <v>852</v>
      </c>
      <c r="K6240" s="112" t="s">
        <v>5003</v>
      </c>
      <c r="L6240" s="116">
        <v>-1.59</v>
      </c>
    </row>
    <row r="6241" spans="1:12" hidden="1" outlineLevel="1" collapsed="1" x14ac:dyDescent="0.35">
      <c r="A6241" s="112" t="s">
        <v>4632</v>
      </c>
      <c r="B6241" s="112" t="s">
        <v>4688</v>
      </c>
      <c r="C6241" s="112" t="s">
        <v>1518</v>
      </c>
      <c r="D6241" s="113">
        <v>51365767</v>
      </c>
      <c r="E6241" s="115">
        <v>43946</v>
      </c>
      <c r="F6241" s="114">
        <v>202101</v>
      </c>
      <c r="G6241" s="112" t="s">
        <v>1091</v>
      </c>
      <c r="H6241" s="112" t="s">
        <v>1016</v>
      </c>
      <c r="I6241" s="112" t="s">
        <v>2337</v>
      </c>
      <c r="J6241" s="112" t="s">
        <v>4690</v>
      </c>
      <c r="K6241" s="112" t="s">
        <v>5004</v>
      </c>
      <c r="L6241" s="116">
        <v>-51</v>
      </c>
    </row>
    <row r="6242" spans="1:12" hidden="1" outlineLevel="1" collapsed="1" x14ac:dyDescent="0.35">
      <c r="A6242" s="112" t="s">
        <v>4632</v>
      </c>
      <c r="B6242" s="112" t="s">
        <v>4688</v>
      </c>
      <c r="C6242" s="112" t="s">
        <v>1518</v>
      </c>
      <c r="D6242" s="113">
        <v>51365766</v>
      </c>
      <c r="E6242" s="115">
        <v>43946</v>
      </c>
      <c r="F6242" s="114">
        <v>202101</v>
      </c>
      <c r="G6242" s="112" t="s">
        <v>1091</v>
      </c>
      <c r="H6242" s="112" t="s">
        <v>1016</v>
      </c>
      <c r="I6242" s="112" t="s">
        <v>2337</v>
      </c>
      <c r="J6242" s="112" t="s">
        <v>4690</v>
      </c>
      <c r="K6242" s="112" t="s">
        <v>5005</v>
      </c>
      <c r="L6242" s="116">
        <v>-51</v>
      </c>
    </row>
    <row r="6243" spans="1:12" hidden="1" outlineLevel="1" collapsed="1" x14ac:dyDescent="0.35">
      <c r="A6243" s="112" t="s">
        <v>4632</v>
      </c>
      <c r="B6243" s="112" t="s">
        <v>4688</v>
      </c>
      <c r="C6243" s="112" t="s">
        <v>1518</v>
      </c>
      <c r="D6243" s="113">
        <v>51365765</v>
      </c>
      <c r="E6243" s="115">
        <v>43946</v>
      </c>
      <c r="F6243" s="114">
        <v>202101</v>
      </c>
      <c r="G6243" s="112" t="s">
        <v>1091</v>
      </c>
      <c r="H6243" s="112" t="s">
        <v>1016</v>
      </c>
      <c r="I6243" s="112" t="s">
        <v>2337</v>
      </c>
      <c r="J6243" s="112" t="s">
        <v>4690</v>
      </c>
      <c r="K6243" s="112" t="s">
        <v>5006</v>
      </c>
      <c r="L6243" s="116">
        <v>-54</v>
      </c>
    </row>
    <row r="6244" spans="1:12" hidden="1" outlineLevel="1" collapsed="1" x14ac:dyDescent="0.35">
      <c r="A6244" s="112" t="s">
        <v>4632</v>
      </c>
      <c r="B6244" s="112" t="s">
        <v>4688</v>
      </c>
      <c r="C6244" s="112" t="s">
        <v>1518</v>
      </c>
      <c r="D6244" s="113">
        <v>51365764</v>
      </c>
      <c r="E6244" s="115">
        <v>43948</v>
      </c>
      <c r="F6244" s="114">
        <v>202101</v>
      </c>
      <c r="G6244" s="112" t="s">
        <v>1091</v>
      </c>
      <c r="H6244" s="112" t="s">
        <v>1016</v>
      </c>
      <c r="I6244" s="112" t="s">
        <v>2337</v>
      </c>
      <c r="J6244" s="112" t="s">
        <v>4690</v>
      </c>
      <c r="K6244" s="112" t="s">
        <v>5007</v>
      </c>
      <c r="L6244" s="116">
        <v>-54</v>
      </c>
    </row>
    <row r="6245" spans="1:12" hidden="1" outlineLevel="1" collapsed="1" x14ac:dyDescent="0.35">
      <c r="A6245" s="112" t="s">
        <v>4632</v>
      </c>
      <c r="B6245" s="112" t="s">
        <v>4688</v>
      </c>
      <c r="C6245" s="112" t="s">
        <v>4695</v>
      </c>
      <c r="D6245" s="113">
        <v>30440394</v>
      </c>
      <c r="E6245" s="115">
        <v>43934</v>
      </c>
      <c r="F6245" s="114">
        <v>202101</v>
      </c>
      <c r="G6245" s="112" t="s">
        <v>1091</v>
      </c>
      <c r="H6245" s="112" t="s">
        <v>1016</v>
      </c>
      <c r="I6245" s="112" t="s">
        <v>4689</v>
      </c>
      <c r="J6245" s="112" t="s">
        <v>4690</v>
      </c>
      <c r="K6245" s="112" t="s">
        <v>5001</v>
      </c>
      <c r="L6245" s="116">
        <v>54</v>
      </c>
    </row>
    <row r="6246" spans="1:12" hidden="1" outlineLevel="1" collapsed="1" x14ac:dyDescent="0.35">
      <c r="A6246" s="112" t="s">
        <v>4632</v>
      </c>
      <c r="B6246" s="112" t="s">
        <v>4688</v>
      </c>
      <c r="C6246" s="112" t="s">
        <v>1518</v>
      </c>
      <c r="D6246" s="113">
        <v>51365762</v>
      </c>
      <c r="E6246" s="115">
        <v>43947</v>
      </c>
      <c r="F6246" s="114">
        <v>202101</v>
      </c>
      <c r="G6246" s="112" t="s">
        <v>1091</v>
      </c>
      <c r="H6246" s="112" t="s">
        <v>1016</v>
      </c>
      <c r="I6246" s="112" t="s">
        <v>2337</v>
      </c>
      <c r="J6246" s="112" t="s">
        <v>4690</v>
      </c>
      <c r="K6246" s="112" t="s">
        <v>5008</v>
      </c>
      <c r="L6246" s="116">
        <v>-51</v>
      </c>
    </row>
    <row r="6247" spans="1:12" hidden="1" outlineLevel="1" collapsed="1" x14ac:dyDescent="0.35">
      <c r="A6247" s="112" t="s">
        <v>4632</v>
      </c>
      <c r="B6247" s="112" t="s">
        <v>4688</v>
      </c>
      <c r="C6247" s="112" t="s">
        <v>1518</v>
      </c>
      <c r="D6247" s="113">
        <v>51365761</v>
      </c>
      <c r="E6247" s="115">
        <v>43946</v>
      </c>
      <c r="F6247" s="114">
        <v>202101</v>
      </c>
      <c r="G6247" s="112" t="s">
        <v>1091</v>
      </c>
      <c r="H6247" s="112" t="s">
        <v>1016</v>
      </c>
      <c r="I6247" s="112" t="s">
        <v>2337</v>
      </c>
      <c r="J6247" s="112" t="s">
        <v>4690</v>
      </c>
      <c r="K6247" s="112" t="s">
        <v>5009</v>
      </c>
      <c r="L6247" s="116">
        <v>-51</v>
      </c>
    </row>
    <row r="6248" spans="1:12" hidden="1" outlineLevel="1" collapsed="1" x14ac:dyDescent="0.35">
      <c r="A6248" s="112" t="s">
        <v>4632</v>
      </c>
      <c r="B6248" s="112" t="s">
        <v>4688</v>
      </c>
      <c r="C6248" s="112" t="s">
        <v>1518</v>
      </c>
      <c r="D6248" s="113">
        <v>51365760</v>
      </c>
      <c r="E6248" s="115">
        <v>43946</v>
      </c>
      <c r="F6248" s="114">
        <v>202101</v>
      </c>
      <c r="G6248" s="112" t="s">
        <v>1091</v>
      </c>
      <c r="H6248" s="112" t="s">
        <v>1016</v>
      </c>
      <c r="I6248" s="112" t="s">
        <v>2337</v>
      </c>
      <c r="J6248" s="112" t="s">
        <v>4690</v>
      </c>
      <c r="K6248" s="112" t="s">
        <v>5010</v>
      </c>
      <c r="L6248" s="116">
        <v>-51</v>
      </c>
    </row>
    <row r="6249" spans="1:12" hidden="1" outlineLevel="1" collapsed="1" x14ac:dyDescent="0.35">
      <c r="A6249" s="112" t="s">
        <v>4632</v>
      </c>
      <c r="B6249" s="112" t="s">
        <v>4688</v>
      </c>
      <c r="C6249" s="112" t="s">
        <v>1518</v>
      </c>
      <c r="D6249" s="113">
        <v>51365759</v>
      </c>
      <c r="E6249" s="115">
        <v>43948</v>
      </c>
      <c r="F6249" s="114">
        <v>202101</v>
      </c>
      <c r="G6249" s="112" t="s">
        <v>1091</v>
      </c>
      <c r="H6249" s="112" t="s">
        <v>1016</v>
      </c>
      <c r="I6249" s="112" t="s">
        <v>2337</v>
      </c>
      <c r="J6249" s="112" t="s">
        <v>4690</v>
      </c>
      <c r="K6249" s="112" t="s">
        <v>5011</v>
      </c>
      <c r="L6249" s="116">
        <v>-51</v>
      </c>
    </row>
    <row r="6250" spans="1:12" hidden="1" outlineLevel="1" collapsed="1" x14ac:dyDescent="0.35">
      <c r="A6250" s="112" t="s">
        <v>4632</v>
      </c>
      <c r="B6250" s="112" t="s">
        <v>4688</v>
      </c>
      <c r="C6250" s="112" t="s">
        <v>1518</v>
      </c>
      <c r="D6250" s="113">
        <v>51365758</v>
      </c>
      <c r="E6250" s="115">
        <v>43948</v>
      </c>
      <c r="F6250" s="114">
        <v>202101</v>
      </c>
      <c r="G6250" s="112" t="s">
        <v>1091</v>
      </c>
      <c r="H6250" s="112" t="s">
        <v>1016</v>
      </c>
      <c r="I6250" s="112" t="s">
        <v>2337</v>
      </c>
      <c r="J6250" s="112" t="s">
        <v>4690</v>
      </c>
      <c r="K6250" s="112" t="s">
        <v>5012</v>
      </c>
      <c r="L6250" s="116">
        <v>-51</v>
      </c>
    </row>
    <row r="6251" spans="1:12" hidden="1" outlineLevel="1" collapsed="1" x14ac:dyDescent="0.35">
      <c r="A6251" s="112" t="s">
        <v>4632</v>
      </c>
      <c r="B6251" s="112" t="s">
        <v>4688</v>
      </c>
      <c r="C6251" s="112" t="s">
        <v>1518</v>
      </c>
      <c r="D6251" s="113">
        <v>51365757</v>
      </c>
      <c r="E6251" s="115">
        <v>43948</v>
      </c>
      <c r="F6251" s="114">
        <v>202101</v>
      </c>
      <c r="G6251" s="112" t="s">
        <v>1091</v>
      </c>
      <c r="H6251" s="112" t="s">
        <v>1016</v>
      </c>
      <c r="I6251" s="112" t="s">
        <v>2337</v>
      </c>
      <c r="J6251" s="112" t="s">
        <v>4690</v>
      </c>
      <c r="K6251" s="112" t="s">
        <v>5013</v>
      </c>
      <c r="L6251" s="116">
        <v>-54</v>
      </c>
    </row>
    <row r="6252" spans="1:12" hidden="1" outlineLevel="1" collapsed="1" x14ac:dyDescent="0.35">
      <c r="A6252" s="112" t="s">
        <v>4632</v>
      </c>
      <c r="B6252" s="112" t="s">
        <v>4688</v>
      </c>
      <c r="C6252" s="112" t="s">
        <v>1518</v>
      </c>
      <c r="D6252" s="113">
        <v>51365756</v>
      </c>
      <c r="E6252" s="115">
        <v>43947</v>
      </c>
      <c r="F6252" s="114">
        <v>202101</v>
      </c>
      <c r="G6252" s="112" t="s">
        <v>1091</v>
      </c>
      <c r="H6252" s="112" t="s">
        <v>1016</v>
      </c>
      <c r="I6252" s="112" t="s">
        <v>2337</v>
      </c>
      <c r="J6252" s="112" t="s">
        <v>4690</v>
      </c>
      <c r="K6252" s="112" t="s">
        <v>5014</v>
      </c>
      <c r="L6252" s="116">
        <v>-51</v>
      </c>
    </row>
    <row r="6253" spans="1:12" hidden="1" outlineLevel="1" collapsed="1" x14ac:dyDescent="0.35">
      <c r="A6253" s="112" t="s">
        <v>4632</v>
      </c>
      <c r="B6253" s="112" t="s">
        <v>4688</v>
      </c>
      <c r="C6253" s="112" t="s">
        <v>1518</v>
      </c>
      <c r="D6253" s="113">
        <v>51365755</v>
      </c>
      <c r="E6253" s="115">
        <v>43947</v>
      </c>
      <c r="F6253" s="114">
        <v>202101</v>
      </c>
      <c r="G6253" s="112" t="s">
        <v>1091</v>
      </c>
      <c r="H6253" s="112" t="s">
        <v>1016</v>
      </c>
      <c r="I6253" s="112" t="s">
        <v>2337</v>
      </c>
      <c r="J6253" s="112" t="s">
        <v>4690</v>
      </c>
      <c r="K6253" s="112" t="s">
        <v>5015</v>
      </c>
      <c r="L6253" s="116">
        <v>-51</v>
      </c>
    </row>
    <row r="6254" spans="1:12" hidden="1" outlineLevel="1" collapsed="1" x14ac:dyDescent="0.35">
      <c r="A6254" s="112" t="s">
        <v>4632</v>
      </c>
      <c r="B6254" s="112" t="s">
        <v>4688</v>
      </c>
      <c r="C6254" s="112" t="s">
        <v>1518</v>
      </c>
      <c r="D6254" s="113">
        <v>51365754</v>
      </c>
      <c r="E6254" s="115">
        <v>43947</v>
      </c>
      <c r="F6254" s="114">
        <v>202101</v>
      </c>
      <c r="G6254" s="112" t="s">
        <v>1091</v>
      </c>
      <c r="H6254" s="112" t="s">
        <v>1016</v>
      </c>
      <c r="I6254" s="112" t="s">
        <v>2337</v>
      </c>
      <c r="J6254" s="112" t="s">
        <v>4690</v>
      </c>
      <c r="K6254" s="112" t="s">
        <v>5016</v>
      </c>
      <c r="L6254" s="116">
        <v>-51</v>
      </c>
    </row>
    <row r="6255" spans="1:12" hidden="1" outlineLevel="1" collapsed="1" x14ac:dyDescent="0.35">
      <c r="A6255" s="112" t="s">
        <v>4632</v>
      </c>
      <c r="B6255" s="112" t="s">
        <v>4688</v>
      </c>
      <c r="C6255" s="112" t="s">
        <v>1518</v>
      </c>
      <c r="D6255" s="113">
        <v>51365753</v>
      </c>
      <c r="E6255" s="115">
        <v>43947</v>
      </c>
      <c r="F6255" s="114">
        <v>202101</v>
      </c>
      <c r="G6255" s="112" t="s">
        <v>1091</v>
      </c>
      <c r="H6255" s="112" t="s">
        <v>1016</v>
      </c>
      <c r="I6255" s="112" t="s">
        <v>2337</v>
      </c>
      <c r="J6255" s="112" t="s">
        <v>4690</v>
      </c>
      <c r="K6255" s="112" t="s">
        <v>5017</v>
      </c>
      <c r="L6255" s="116">
        <v>-51</v>
      </c>
    </row>
    <row r="6256" spans="1:12" hidden="1" outlineLevel="1" collapsed="1" x14ac:dyDescent="0.35">
      <c r="A6256" s="112" t="s">
        <v>4632</v>
      </c>
      <c r="B6256" s="112" t="s">
        <v>4688</v>
      </c>
      <c r="C6256" s="112" t="s">
        <v>1518</v>
      </c>
      <c r="D6256" s="113">
        <v>51365752</v>
      </c>
      <c r="E6256" s="115">
        <v>43947</v>
      </c>
      <c r="F6256" s="114">
        <v>202101</v>
      </c>
      <c r="G6256" s="112" t="s">
        <v>1091</v>
      </c>
      <c r="H6256" s="112" t="s">
        <v>1016</v>
      </c>
      <c r="I6256" s="112" t="s">
        <v>2337</v>
      </c>
      <c r="J6256" s="112" t="s">
        <v>4690</v>
      </c>
      <c r="K6256" s="112" t="s">
        <v>5018</v>
      </c>
      <c r="L6256" s="116">
        <v>-54</v>
      </c>
    </row>
    <row r="6257" spans="1:12" hidden="1" outlineLevel="1" collapsed="1" x14ac:dyDescent="0.35">
      <c r="A6257" s="112" t="s">
        <v>4632</v>
      </c>
      <c r="B6257" s="112" t="s">
        <v>4688</v>
      </c>
      <c r="C6257" s="112" t="s">
        <v>1518</v>
      </c>
      <c r="D6257" s="113">
        <v>51365751</v>
      </c>
      <c r="E6257" s="115">
        <v>43947</v>
      </c>
      <c r="F6257" s="114">
        <v>202101</v>
      </c>
      <c r="G6257" s="112" t="s">
        <v>1091</v>
      </c>
      <c r="H6257" s="112" t="s">
        <v>1016</v>
      </c>
      <c r="I6257" s="112" t="s">
        <v>2337</v>
      </c>
      <c r="J6257" s="112" t="s">
        <v>4690</v>
      </c>
      <c r="K6257" s="112" t="s">
        <v>5019</v>
      </c>
      <c r="L6257" s="116">
        <v>-51</v>
      </c>
    </row>
    <row r="6258" spans="1:12" hidden="1" outlineLevel="1" collapsed="1" x14ac:dyDescent="0.35">
      <c r="A6258" s="112" t="s">
        <v>4632</v>
      </c>
      <c r="B6258" s="112" t="s">
        <v>4688</v>
      </c>
      <c r="C6258" s="112" t="s">
        <v>1518</v>
      </c>
      <c r="D6258" s="113">
        <v>51365750</v>
      </c>
      <c r="E6258" s="115">
        <v>43947</v>
      </c>
      <c r="F6258" s="114">
        <v>202101</v>
      </c>
      <c r="G6258" s="112" t="s">
        <v>1091</v>
      </c>
      <c r="H6258" s="112" t="s">
        <v>1016</v>
      </c>
      <c r="I6258" s="112" t="s">
        <v>2337</v>
      </c>
      <c r="J6258" s="112" t="s">
        <v>4690</v>
      </c>
      <c r="K6258" s="112" t="s">
        <v>5020</v>
      </c>
      <c r="L6258" s="116">
        <v>-51</v>
      </c>
    </row>
    <row r="6259" spans="1:12" hidden="1" outlineLevel="1" collapsed="1" x14ac:dyDescent="0.35">
      <c r="A6259" s="112" t="s">
        <v>4632</v>
      </c>
      <c r="B6259" s="112" t="s">
        <v>4688</v>
      </c>
      <c r="C6259" s="112" t="s">
        <v>1518</v>
      </c>
      <c r="D6259" s="113">
        <v>51365749</v>
      </c>
      <c r="E6259" s="115">
        <v>43947</v>
      </c>
      <c r="F6259" s="114">
        <v>202101</v>
      </c>
      <c r="G6259" s="112" t="s">
        <v>1091</v>
      </c>
      <c r="H6259" s="112" t="s">
        <v>1016</v>
      </c>
      <c r="I6259" s="112" t="s">
        <v>2337</v>
      </c>
      <c r="J6259" s="112" t="s">
        <v>4690</v>
      </c>
      <c r="K6259" s="112" t="s">
        <v>5021</v>
      </c>
      <c r="L6259" s="116">
        <v>-51</v>
      </c>
    </row>
    <row r="6260" spans="1:12" hidden="1" outlineLevel="1" collapsed="1" x14ac:dyDescent="0.35">
      <c r="A6260" s="112" t="s">
        <v>4632</v>
      </c>
      <c r="B6260" s="112" t="s">
        <v>4688</v>
      </c>
      <c r="C6260" s="112" t="s">
        <v>1518</v>
      </c>
      <c r="D6260" s="113">
        <v>51365748</v>
      </c>
      <c r="E6260" s="115">
        <v>43947</v>
      </c>
      <c r="F6260" s="114">
        <v>202101</v>
      </c>
      <c r="G6260" s="112" t="s">
        <v>1091</v>
      </c>
      <c r="H6260" s="112" t="s">
        <v>1016</v>
      </c>
      <c r="I6260" s="112" t="s">
        <v>2337</v>
      </c>
      <c r="J6260" s="112" t="s">
        <v>4690</v>
      </c>
      <c r="K6260" s="112" t="s">
        <v>5022</v>
      </c>
      <c r="L6260" s="116">
        <v>-51</v>
      </c>
    </row>
    <row r="6261" spans="1:12" hidden="1" outlineLevel="1" collapsed="1" x14ac:dyDescent="0.35">
      <c r="A6261" s="112" t="s">
        <v>4632</v>
      </c>
      <c r="B6261" s="112" t="s">
        <v>4688</v>
      </c>
      <c r="C6261" s="112" t="s">
        <v>1518</v>
      </c>
      <c r="D6261" s="113">
        <v>51365747</v>
      </c>
      <c r="E6261" s="115">
        <v>43947</v>
      </c>
      <c r="F6261" s="114">
        <v>202101</v>
      </c>
      <c r="G6261" s="112" t="s">
        <v>1091</v>
      </c>
      <c r="H6261" s="112" t="s">
        <v>1016</v>
      </c>
      <c r="I6261" s="112" t="s">
        <v>2337</v>
      </c>
      <c r="J6261" s="112" t="s">
        <v>4690</v>
      </c>
      <c r="K6261" s="112" t="s">
        <v>5023</v>
      </c>
      <c r="L6261" s="116">
        <v>-51</v>
      </c>
    </row>
    <row r="6262" spans="1:12" hidden="1" outlineLevel="1" collapsed="1" x14ac:dyDescent="0.35">
      <c r="A6262" s="112" t="s">
        <v>4632</v>
      </c>
      <c r="B6262" s="112" t="s">
        <v>4688</v>
      </c>
      <c r="C6262" s="112" t="s">
        <v>1518</v>
      </c>
      <c r="D6262" s="113">
        <v>51365746</v>
      </c>
      <c r="E6262" s="115">
        <v>43946</v>
      </c>
      <c r="F6262" s="114">
        <v>202101</v>
      </c>
      <c r="G6262" s="112" t="s">
        <v>1091</v>
      </c>
      <c r="H6262" s="112" t="s">
        <v>1016</v>
      </c>
      <c r="I6262" s="112" t="s">
        <v>2337</v>
      </c>
      <c r="J6262" s="112" t="s">
        <v>4690</v>
      </c>
      <c r="K6262" s="112" t="s">
        <v>5024</v>
      </c>
      <c r="L6262" s="116">
        <v>-51</v>
      </c>
    </row>
    <row r="6263" spans="1:12" hidden="1" outlineLevel="1" collapsed="1" x14ac:dyDescent="0.35">
      <c r="A6263" s="112" t="s">
        <v>4632</v>
      </c>
      <c r="B6263" s="112" t="s">
        <v>4688</v>
      </c>
      <c r="C6263" s="112" t="s">
        <v>1518</v>
      </c>
      <c r="D6263" s="113">
        <v>51365745</v>
      </c>
      <c r="E6263" s="115">
        <v>43946</v>
      </c>
      <c r="F6263" s="114">
        <v>202101</v>
      </c>
      <c r="G6263" s="112" t="s">
        <v>1091</v>
      </c>
      <c r="H6263" s="112" t="s">
        <v>1016</v>
      </c>
      <c r="I6263" s="112" t="s">
        <v>2337</v>
      </c>
      <c r="J6263" s="112" t="s">
        <v>4690</v>
      </c>
      <c r="K6263" s="112" t="s">
        <v>5025</v>
      </c>
      <c r="L6263" s="116">
        <v>-54</v>
      </c>
    </row>
    <row r="6264" spans="1:12" hidden="1" outlineLevel="1" collapsed="1" x14ac:dyDescent="0.35">
      <c r="A6264" s="112" t="s">
        <v>4632</v>
      </c>
      <c r="B6264" s="112" t="s">
        <v>4688</v>
      </c>
      <c r="C6264" s="112" t="s">
        <v>1518</v>
      </c>
      <c r="D6264" s="113">
        <v>51365744</v>
      </c>
      <c r="E6264" s="115">
        <v>43946</v>
      </c>
      <c r="F6264" s="114">
        <v>202101</v>
      </c>
      <c r="G6264" s="112" t="s">
        <v>1091</v>
      </c>
      <c r="H6264" s="112" t="s">
        <v>1016</v>
      </c>
      <c r="I6264" s="112" t="s">
        <v>2337</v>
      </c>
      <c r="J6264" s="112" t="s">
        <v>4690</v>
      </c>
      <c r="K6264" s="112" t="s">
        <v>5026</v>
      </c>
      <c r="L6264" s="116">
        <v>-51</v>
      </c>
    </row>
    <row r="6265" spans="1:12" hidden="1" outlineLevel="1" collapsed="1" x14ac:dyDescent="0.35">
      <c r="A6265" s="112" t="s">
        <v>4632</v>
      </c>
      <c r="B6265" s="112" t="s">
        <v>4688</v>
      </c>
      <c r="C6265" s="112" t="s">
        <v>4695</v>
      </c>
      <c r="D6265" s="113">
        <v>30440394</v>
      </c>
      <c r="E6265" s="115">
        <v>43934</v>
      </c>
      <c r="F6265" s="114">
        <v>202101</v>
      </c>
      <c r="G6265" s="112" t="s">
        <v>1091</v>
      </c>
      <c r="H6265" s="112" t="s">
        <v>1016</v>
      </c>
      <c r="I6265" s="112" t="s">
        <v>4689</v>
      </c>
      <c r="J6265" s="112" t="s">
        <v>4690</v>
      </c>
      <c r="K6265" s="112" t="s">
        <v>5000</v>
      </c>
      <c r="L6265" s="116">
        <v>54</v>
      </c>
    </row>
    <row r="6266" spans="1:12" hidden="1" outlineLevel="1" collapsed="1" x14ac:dyDescent="0.35">
      <c r="A6266" s="112" t="s">
        <v>4632</v>
      </c>
      <c r="B6266" s="112" t="s">
        <v>4688</v>
      </c>
      <c r="C6266" s="112" t="s">
        <v>1518</v>
      </c>
      <c r="D6266" s="113">
        <v>51365743</v>
      </c>
      <c r="E6266" s="115">
        <v>43946</v>
      </c>
      <c r="F6266" s="114">
        <v>202101</v>
      </c>
      <c r="G6266" s="112" t="s">
        <v>1091</v>
      </c>
      <c r="H6266" s="112" t="s">
        <v>1016</v>
      </c>
      <c r="I6266" s="112" t="s">
        <v>2337</v>
      </c>
      <c r="J6266" s="112" t="s">
        <v>4690</v>
      </c>
      <c r="K6266" s="112" t="s">
        <v>5027</v>
      </c>
      <c r="L6266" s="116">
        <v>-51</v>
      </c>
    </row>
    <row r="6267" spans="1:12" hidden="1" outlineLevel="1" collapsed="1" x14ac:dyDescent="0.35">
      <c r="A6267" s="112" t="s">
        <v>4632</v>
      </c>
      <c r="B6267" s="112" t="s">
        <v>863</v>
      </c>
      <c r="C6267" s="112" t="s">
        <v>695</v>
      </c>
      <c r="D6267" s="113">
        <v>10347950</v>
      </c>
      <c r="E6267" s="115">
        <v>43923</v>
      </c>
      <c r="F6267" s="114">
        <v>202101</v>
      </c>
      <c r="G6267" s="112" t="s">
        <v>1091</v>
      </c>
      <c r="H6267" s="112" t="s">
        <v>1015</v>
      </c>
      <c r="I6267" s="112" t="s">
        <v>749</v>
      </c>
      <c r="J6267" s="112" t="s">
        <v>787</v>
      </c>
      <c r="K6267" s="112" t="s">
        <v>4710</v>
      </c>
      <c r="L6267" s="116">
        <v>487.66</v>
      </c>
    </row>
    <row r="6268" spans="1:12" hidden="1" outlineLevel="1" collapsed="1" x14ac:dyDescent="0.35">
      <c r="A6268" s="112" t="s">
        <v>4632</v>
      </c>
      <c r="B6268" s="112" t="s">
        <v>4639</v>
      </c>
      <c r="C6268" s="112" t="s">
        <v>695</v>
      </c>
      <c r="D6268" s="113">
        <v>10347950</v>
      </c>
      <c r="E6268" s="115">
        <v>43923</v>
      </c>
      <c r="F6268" s="114">
        <v>202101</v>
      </c>
      <c r="G6268" s="112" t="s">
        <v>1091</v>
      </c>
      <c r="H6268" s="112" t="s">
        <v>1015</v>
      </c>
      <c r="I6268" s="112" t="s">
        <v>751</v>
      </c>
      <c r="J6268" s="112" t="s">
        <v>4640</v>
      </c>
      <c r="K6268" s="112" t="s">
        <v>4838</v>
      </c>
      <c r="L6268" s="116">
        <v>354.71</v>
      </c>
    </row>
    <row r="6269" spans="1:12" hidden="1" outlineLevel="1" collapsed="1" x14ac:dyDescent="0.35">
      <c r="A6269" s="112" t="s">
        <v>4632</v>
      </c>
      <c r="B6269" s="112" t="s">
        <v>4650</v>
      </c>
      <c r="C6269" s="112" t="s">
        <v>695</v>
      </c>
      <c r="D6269" s="113">
        <v>10347950</v>
      </c>
      <c r="E6269" s="115">
        <v>43923</v>
      </c>
      <c r="F6269" s="114">
        <v>202101</v>
      </c>
      <c r="G6269" s="112" t="s">
        <v>1091</v>
      </c>
      <c r="H6269" s="112" t="s">
        <v>1015</v>
      </c>
      <c r="I6269" s="112" t="s">
        <v>757</v>
      </c>
      <c r="J6269" s="112" t="s">
        <v>4651</v>
      </c>
      <c r="K6269" s="112" t="s">
        <v>5028</v>
      </c>
      <c r="L6269" s="116">
        <v>731.7</v>
      </c>
    </row>
    <row r="6270" spans="1:12" hidden="1" outlineLevel="1" collapsed="1" x14ac:dyDescent="0.35">
      <c r="A6270" s="112" t="s">
        <v>4632</v>
      </c>
      <c r="B6270" s="112" t="s">
        <v>4688</v>
      </c>
      <c r="C6270" s="112" t="s">
        <v>4695</v>
      </c>
      <c r="D6270" s="113">
        <v>30440184</v>
      </c>
      <c r="E6270" s="115">
        <v>43922</v>
      </c>
      <c r="F6270" s="114">
        <v>202101</v>
      </c>
      <c r="G6270" s="112" t="s">
        <v>1091</v>
      </c>
      <c r="H6270" s="112" t="s">
        <v>1016</v>
      </c>
      <c r="I6270" s="112" t="s">
        <v>4689</v>
      </c>
      <c r="J6270" s="112" t="s">
        <v>4690</v>
      </c>
      <c r="K6270" s="112" t="s">
        <v>5029</v>
      </c>
      <c r="L6270" s="116">
        <v>52</v>
      </c>
    </row>
    <row r="6271" spans="1:12" hidden="1" outlineLevel="1" collapsed="1" x14ac:dyDescent="0.35">
      <c r="A6271" s="112" t="s">
        <v>4632</v>
      </c>
      <c r="B6271" s="112" t="s">
        <v>4688</v>
      </c>
      <c r="C6271" s="112" t="s">
        <v>4695</v>
      </c>
      <c r="D6271" s="113">
        <v>30440184</v>
      </c>
      <c r="E6271" s="115">
        <v>43922</v>
      </c>
      <c r="F6271" s="114">
        <v>202101</v>
      </c>
      <c r="G6271" s="112" t="s">
        <v>1091</v>
      </c>
      <c r="H6271" s="112" t="s">
        <v>1016</v>
      </c>
      <c r="I6271" s="112" t="s">
        <v>4689</v>
      </c>
      <c r="J6271" s="112" t="s">
        <v>4690</v>
      </c>
      <c r="K6271" s="112" t="s">
        <v>5030</v>
      </c>
      <c r="L6271" s="116">
        <v>54</v>
      </c>
    </row>
    <row r="6272" spans="1:12" hidden="1" outlineLevel="1" collapsed="1" x14ac:dyDescent="0.35">
      <c r="A6272" s="112" t="s">
        <v>4632</v>
      </c>
      <c r="B6272" s="112" t="s">
        <v>4688</v>
      </c>
      <c r="C6272" s="112" t="s">
        <v>4695</v>
      </c>
      <c r="D6272" s="113">
        <v>30440184</v>
      </c>
      <c r="E6272" s="115">
        <v>43922</v>
      </c>
      <c r="F6272" s="114">
        <v>202101</v>
      </c>
      <c r="G6272" s="112" t="s">
        <v>1091</v>
      </c>
      <c r="H6272" s="112" t="s">
        <v>1016</v>
      </c>
      <c r="I6272" s="112" t="s">
        <v>4689</v>
      </c>
      <c r="J6272" s="112" t="s">
        <v>4690</v>
      </c>
      <c r="K6272" s="112" t="s">
        <v>5031</v>
      </c>
      <c r="L6272" s="116">
        <v>54</v>
      </c>
    </row>
    <row r="6273" spans="1:12" hidden="1" outlineLevel="1" collapsed="1" x14ac:dyDescent="0.35">
      <c r="A6273" s="112" t="s">
        <v>4632</v>
      </c>
      <c r="B6273" s="112" t="s">
        <v>4688</v>
      </c>
      <c r="C6273" s="112" t="s">
        <v>4695</v>
      </c>
      <c r="D6273" s="113">
        <v>30440184</v>
      </c>
      <c r="E6273" s="115">
        <v>43922</v>
      </c>
      <c r="F6273" s="114">
        <v>202101</v>
      </c>
      <c r="G6273" s="112" t="s">
        <v>1091</v>
      </c>
      <c r="H6273" s="112" t="s">
        <v>1016</v>
      </c>
      <c r="I6273" s="112" t="s">
        <v>4689</v>
      </c>
      <c r="J6273" s="112" t="s">
        <v>4690</v>
      </c>
      <c r="K6273" s="112" t="s">
        <v>5032</v>
      </c>
      <c r="L6273" s="116">
        <v>54</v>
      </c>
    </row>
    <row r="6274" spans="1:12" hidden="1" outlineLevel="1" collapsed="1" x14ac:dyDescent="0.35">
      <c r="A6274" s="112" t="s">
        <v>4632</v>
      </c>
      <c r="B6274" s="112" t="s">
        <v>4688</v>
      </c>
      <c r="C6274" s="112" t="s">
        <v>4695</v>
      </c>
      <c r="D6274" s="113">
        <v>30440184</v>
      </c>
      <c r="E6274" s="115">
        <v>43922</v>
      </c>
      <c r="F6274" s="114">
        <v>202101</v>
      </c>
      <c r="G6274" s="112" t="s">
        <v>1091</v>
      </c>
      <c r="H6274" s="112" t="s">
        <v>1016</v>
      </c>
      <c r="I6274" s="112" t="s">
        <v>4689</v>
      </c>
      <c r="J6274" s="112" t="s">
        <v>4690</v>
      </c>
      <c r="K6274" s="112" t="s">
        <v>5033</v>
      </c>
      <c r="L6274" s="116">
        <v>54</v>
      </c>
    </row>
    <row r="6275" spans="1:12" hidden="1" outlineLevel="1" collapsed="1" x14ac:dyDescent="0.35">
      <c r="A6275" s="112" t="s">
        <v>4632</v>
      </c>
      <c r="B6275" s="112" t="s">
        <v>4688</v>
      </c>
      <c r="C6275" s="112" t="s">
        <v>4695</v>
      </c>
      <c r="D6275" s="113">
        <v>30440184</v>
      </c>
      <c r="E6275" s="115">
        <v>43922</v>
      </c>
      <c r="F6275" s="114">
        <v>202101</v>
      </c>
      <c r="G6275" s="112" t="s">
        <v>1091</v>
      </c>
      <c r="H6275" s="112" t="s">
        <v>1016</v>
      </c>
      <c r="I6275" s="112" t="s">
        <v>4689</v>
      </c>
      <c r="J6275" s="112" t="s">
        <v>4690</v>
      </c>
      <c r="K6275" s="112" t="s">
        <v>5034</v>
      </c>
      <c r="L6275" s="116">
        <v>54</v>
      </c>
    </row>
    <row r="6276" spans="1:12" hidden="1" outlineLevel="1" collapsed="1" x14ac:dyDescent="0.35">
      <c r="A6276" s="112" t="s">
        <v>4632</v>
      </c>
      <c r="B6276" s="112" t="s">
        <v>4688</v>
      </c>
      <c r="C6276" s="112" t="s">
        <v>4695</v>
      </c>
      <c r="D6276" s="113">
        <v>30440184</v>
      </c>
      <c r="E6276" s="115">
        <v>43922</v>
      </c>
      <c r="F6276" s="114">
        <v>202101</v>
      </c>
      <c r="G6276" s="112" t="s">
        <v>1091</v>
      </c>
      <c r="H6276" s="112" t="s">
        <v>1016</v>
      </c>
      <c r="I6276" s="112" t="s">
        <v>4689</v>
      </c>
      <c r="J6276" s="112" t="s">
        <v>4690</v>
      </c>
      <c r="K6276" s="112" t="s">
        <v>5035</v>
      </c>
      <c r="L6276" s="116">
        <v>54</v>
      </c>
    </row>
    <row r="6277" spans="1:12" hidden="1" outlineLevel="1" collapsed="1" x14ac:dyDescent="0.35">
      <c r="A6277" s="112" t="s">
        <v>4632</v>
      </c>
      <c r="B6277" s="112" t="s">
        <v>4688</v>
      </c>
      <c r="C6277" s="112" t="s">
        <v>4695</v>
      </c>
      <c r="D6277" s="113">
        <v>30440184</v>
      </c>
      <c r="E6277" s="115">
        <v>43922</v>
      </c>
      <c r="F6277" s="114">
        <v>202101</v>
      </c>
      <c r="G6277" s="112" t="s">
        <v>1091</v>
      </c>
      <c r="H6277" s="112" t="s">
        <v>1016</v>
      </c>
      <c r="I6277" s="112" t="s">
        <v>4689</v>
      </c>
      <c r="J6277" s="112" t="s">
        <v>4690</v>
      </c>
      <c r="K6277" s="112" t="s">
        <v>5036</v>
      </c>
      <c r="L6277" s="116">
        <v>54</v>
      </c>
    </row>
    <row r="6278" spans="1:12" hidden="1" outlineLevel="1" collapsed="1" x14ac:dyDescent="0.35">
      <c r="A6278" s="112" t="s">
        <v>4632</v>
      </c>
      <c r="B6278" s="112" t="s">
        <v>4650</v>
      </c>
      <c r="C6278" s="112" t="s">
        <v>695</v>
      </c>
      <c r="D6278" s="113">
        <v>10347950</v>
      </c>
      <c r="E6278" s="115">
        <v>43923</v>
      </c>
      <c r="F6278" s="114">
        <v>202101</v>
      </c>
      <c r="G6278" s="112" t="s">
        <v>1091</v>
      </c>
      <c r="H6278" s="112" t="s">
        <v>1015</v>
      </c>
      <c r="I6278" s="112" t="s">
        <v>757</v>
      </c>
      <c r="J6278" s="112" t="s">
        <v>4651</v>
      </c>
      <c r="K6278" s="112" t="s">
        <v>5037</v>
      </c>
      <c r="L6278" s="116">
        <v>-78.62</v>
      </c>
    </row>
    <row r="6279" spans="1:12" hidden="1" outlineLevel="1" collapsed="1" x14ac:dyDescent="0.35">
      <c r="A6279" s="112" t="s">
        <v>4632</v>
      </c>
      <c r="B6279" s="112" t="s">
        <v>4650</v>
      </c>
      <c r="C6279" s="112" t="s">
        <v>695</v>
      </c>
      <c r="D6279" s="113">
        <v>10347950</v>
      </c>
      <c r="E6279" s="115">
        <v>43923</v>
      </c>
      <c r="F6279" s="114">
        <v>202101</v>
      </c>
      <c r="G6279" s="112" t="s">
        <v>1091</v>
      </c>
      <c r="H6279" s="112" t="s">
        <v>1015</v>
      </c>
      <c r="I6279" s="112" t="s">
        <v>749</v>
      </c>
      <c r="J6279" s="112" t="s">
        <v>4651</v>
      </c>
      <c r="K6279" s="112" t="s">
        <v>5038</v>
      </c>
      <c r="L6279" s="116">
        <v>1465.21</v>
      </c>
    </row>
    <row r="6280" spans="1:12" hidden="1" outlineLevel="1" collapsed="1" x14ac:dyDescent="0.35">
      <c r="A6280" s="112" t="s">
        <v>4632</v>
      </c>
      <c r="B6280" s="112" t="s">
        <v>4639</v>
      </c>
      <c r="C6280" s="112" t="s">
        <v>695</v>
      </c>
      <c r="D6280" s="113">
        <v>10347950</v>
      </c>
      <c r="E6280" s="115">
        <v>43923</v>
      </c>
      <c r="F6280" s="114">
        <v>202101</v>
      </c>
      <c r="G6280" s="112" t="s">
        <v>1091</v>
      </c>
      <c r="H6280" s="112" t="s">
        <v>1015</v>
      </c>
      <c r="I6280" s="112" t="s">
        <v>749</v>
      </c>
      <c r="J6280" s="112" t="s">
        <v>4640</v>
      </c>
      <c r="K6280" s="112" t="s">
        <v>5039</v>
      </c>
      <c r="L6280" s="116">
        <v>1786.33</v>
      </c>
    </row>
    <row r="6281" spans="1:12" hidden="1" outlineLevel="1" collapsed="1" x14ac:dyDescent="0.35">
      <c r="A6281" s="112" t="s">
        <v>4632</v>
      </c>
      <c r="B6281" s="112" t="s">
        <v>4639</v>
      </c>
      <c r="C6281" s="112" t="s">
        <v>695</v>
      </c>
      <c r="D6281" s="113">
        <v>10347950</v>
      </c>
      <c r="E6281" s="115">
        <v>43923</v>
      </c>
      <c r="F6281" s="114">
        <v>202101</v>
      </c>
      <c r="G6281" s="112" t="s">
        <v>1091</v>
      </c>
      <c r="H6281" s="112" t="s">
        <v>1015</v>
      </c>
      <c r="I6281" s="112" t="s">
        <v>749</v>
      </c>
      <c r="J6281" s="112" t="s">
        <v>4640</v>
      </c>
      <c r="K6281" s="112" t="s">
        <v>4865</v>
      </c>
      <c r="L6281" s="116">
        <v>93.41</v>
      </c>
    </row>
    <row r="6282" spans="1:12" hidden="1" outlineLevel="1" collapsed="1" x14ac:dyDescent="0.35">
      <c r="A6282" s="112" t="s">
        <v>4632</v>
      </c>
      <c r="B6282" s="112" t="s">
        <v>4639</v>
      </c>
      <c r="C6282" s="112" t="s">
        <v>695</v>
      </c>
      <c r="D6282" s="113">
        <v>10347950</v>
      </c>
      <c r="E6282" s="115">
        <v>43923</v>
      </c>
      <c r="F6282" s="114">
        <v>202101</v>
      </c>
      <c r="G6282" s="112" t="s">
        <v>1091</v>
      </c>
      <c r="H6282" s="112" t="s">
        <v>1015</v>
      </c>
      <c r="I6282" s="112" t="s">
        <v>749</v>
      </c>
      <c r="J6282" s="112" t="s">
        <v>4640</v>
      </c>
      <c r="K6282" s="112" t="s">
        <v>4864</v>
      </c>
      <c r="L6282" s="116">
        <v>17.010000000000002</v>
      </c>
    </row>
    <row r="6283" spans="1:12" hidden="1" outlineLevel="1" collapsed="1" x14ac:dyDescent="0.35">
      <c r="A6283" s="112" t="s">
        <v>4632</v>
      </c>
      <c r="B6283" s="112" t="s">
        <v>863</v>
      </c>
      <c r="C6283" s="112" t="s">
        <v>695</v>
      </c>
      <c r="D6283" s="113">
        <v>10347950</v>
      </c>
      <c r="E6283" s="115">
        <v>43923</v>
      </c>
      <c r="F6283" s="114">
        <v>202101</v>
      </c>
      <c r="G6283" s="112" t="s">
        <v>1091</v>
      </c>
      <c r="H6283" s="112" t="s">
        <v>1015</v>
      </c>
      <c r="I6283" s="112" t="s">
        <v>749</v>
      </c>
      <c r="J6283" s="112" t="s">
        <v>833</v>
      </c>
      <c r="K6283" s="112" t="s">
        <v>5040</v>
      </c>
      <c r="L6283" s="116">
        <v>-78.62</v>
      </c>
    </row>
    <row r="6284" spans="1:12" hidden="1" outlineLevel="1" collapsed="1" x14ac:dyDescent="0.35">
      <c r="A6284" s="112" t="s">
        <v>4632</v>
      </c>
      <c r="B6284" s="112" t="s">
        <v>863</v>
      </c>
      <c r="C6284" s="112" t="s">
        <v>695</v>
      </c>
      <c r="D6284" s="113">
        <v>10347950</v>
      </c>
      <c r="E6284" s="115">
        <v>43923</v>
      </c>
      <c r="F6284" s="114">
        <v>202101</v>
      </c>
      <c r="G6284" s="112" t="s">
        <v>1091</v>
      </c>
      <c r="H6284" s="112" t="s">
        <v>1015</v>
      </c>
      <c r="I6284" s="112" t="s">
        <v>749</v>
      </c>
      <c r="J6284" s="112" t="s">
        <v>829</v>
      </c>
      <c r="K6284" s="112" t="s">
        <v>5041</v>
      </c>
      <c r="L6284" s="116">
        <v>266.37</v>
      </c>
    </row>
    <row r="6285" spans="1:12" hidden="1" outlineLevel="1" collapsed="1" x14ac:dyDescent="0.35">
      <c r="A6285" s="112" t="s">
        <v>4632</v>
      </c>
      <c r="B6285" s="112" t="s">
        <v>863</v>
      </c>
      <c r="C6285" s="112" t="s">
        <v>695</v>
      </c>
      <c r="D6285" s="113">
        <v>10347950</v>
      </c>
      <c r="E6285" s="115">
        <v>43923</v>
      </c>
      <c r="F6285" s="114">
        <v>202101</v>
      </c>
      <c r="G6285" s="112" t="s">
        <v>1091</v>
      </c>
      <c r="H6285" s="112" t="s">
        <v>1015</v>
      </c>
      <c r="I6285" s="112" t="s">
        <v>749</v>
      </c>
      <c r="J6285" s="112" t="s">
        <v>787</v>
      </c>
      <c r="K6285" s="112" t="s">
        <v>5042</v>
      </c>
      <c r="L6285" s="116">
        <v>72.45</v>
      </c>
    </row>
    <row r="6286" spans="1:12" hidden="1" outlineLevel="1" collapsed="1" x14ac:dyDescent="0.35">
      <c r="A6286" s="112" t="s">
        <v>4632</v>
      </c>
      <c r="B6286" s="112" t="s">
        <v>863</v>
      </c>
      <c r="C6286" s="112" t="s">
        <v>695</v>
      </c>
      <c r="D6286" s="113">
        <v>10347950</v>
      </c>
      <c r="E6286" s="115">
        <v>43923</v>
      </c>
      <c r="F6286" s="114">
        <v>202101</v>
      </c>
      <c r="G6286" s="112" t="s">
        <v>1091</v>
      </c>
      <c r="H6286" s="112" t="s">
        <v>1015</v>
      </c>
      <c r="I6286" s="112" t="s">
        <v>749</v>
      </c>
      <c r="J6286" s="112" t="s">
        <v>787</v>
      </c>
      <c r="K6286" s="112" t="s">
        <v>4709</v>
      </c>
      <c r="L6286" s="116">
        <v>53.69</v>
      </c>
    </row>
    <row r="6287" spans="1:12" hidden="1" outlineLevel="1" collapsed="1" x14ac:dyDescent="0.35">
      <c r="A6287" s="112" t="s">
        <v>4632</v>
      </c>
      <c r="B6287" s="112" t="s">
        <v>4644</v>
      </c>
      <c r="C6287" s="112" t="s">
        <v>695</v>
      </c>
      <c r="D6287" s="113">
        <v>10347950</v>
      </c>
      <c r="E6287" s="115">
        <v>43923</v>
      </c>
      <c r="F6287" s="114">
        <v>202101</v>
      </c>
      <c r="G6287" s="112" t="s">
        <v>1091</v>
      </c>
      <c r="H6287" s="112" t="s">
        <v>1015</v>
      </c>
      <c r="I6287" s="112" t="s">
        <v>757</v>
      </c>
      <c r="J6287" s="112" t="s">
        <v>4645</v>
      </c>
      <c r="K6287" s="112" t="s">
        <v>5043</v>
      </c>
      <c r="L6287" s="116">
        <v>53.06</v>
      </c>
    </row>
    <row r="6288" spans="1:12" hidden="1" outlineLevel="1" collapsed="1" x14ac:dyDescent="0.35">
      <c r="A6288" s="112" t="s">
        <v>4632</v>
      </c>
      <c r="B6288" s="112" t="s">
        <v>863</v>
      </c>
      <c r="C6288" s="112" t="s">
        <v>695</v>
      </c>
      <c r="D6288" s="113">
        <v>10347950</v>
      </c>
      <c r="E6288" s="115">
        <v>43923</v>
      </c>
      <c r="F6288" s="114">
        <v>202101</v>
      </c>
      <c r="G6288" s="112" t="s">
        <v>1091</v>
      </c>
      <c r="H6288" s="112" t="s">
        <v>1015</v>
      </c>
      <c r="I6288" s="112" t="s">
        <v>749</v>
      </c>
      <c r="J6288" s="112" t="s">
        <v>815</v>
      </c>
      <c r="K6288" s="112" t="s">
        <v>5044</v>
      </c>
      <c r="L6288" s="116">
        <v>113.13</v>
      </c>
    </row>
    <row r="6289" spans="1:12" hidden="1" outlineLevel="1" collapsed="1" x14ac:dyDescent="0.35">
      <c r="A6289" s="112" t="s">
        <v>4632</v>
      </c>
      <c r="B6289" s="112" t="s">
        <v>4644</v>
      </c>
      <c r="C6289" s="112" t="s">
        <v>695</v>
      </c>
      <c r="D6289" s="113">
        <v>10347950</v>
      </c>
      <c r="E6289" s="115">
        <v>43923</v>
      </c>
      <c r="F6289" s="114">
        <v>202101</v>
      </c>
      <c r="G6289" s="112" t="s">
        <v>1091</v>
      </c>
      <c r="H6289" s="112" t="s">
        <v>1015</v>
      </c>
      <c r="I6289" s="112" t="s">
        <v>749</v>
      </c>
      <c r="J6289" s="112" t="s">
        <v>4645</v>
      </c>
      <c r="K6289" s="112" t="s">
        <v>5045</v>
      </c>
      <c r="L6289" s="116">
        <v>251.38</v>
      </c>
    </row>
    <row r="6290" spans="1:12" hidden="1" outlineLevel="1" collapsed="1" x14ac:dyDescent="0.35">
      <c r="A6290" s="112" t="s">
        <v>4632</v>
      </c>
      <c r="B6290" s="112" t="s">
        <v>4644</v>
      </c>
      <c r="C6290" s="112" t="s">
        <v>695</v>
      </c>
      <c r="D6290" s="113">
        <v>10347950</v>
      </c>
      <c r="E6290" s="115">
        <v>43923</v>
      </c>
      <c r="F6290" s="114">
        <v>202101</v>
      </c>
      <c r="G6290" s="112" t="s">
        <v>1091</v>
      </c>
      <c r="H6290" s="112" t="s">
        <v>1015</v>
      </c>
      <c r="I6290" s="112" t="s">
        <v>749</v>
      </c>
      <c r="J6290" s="112" t="s">
        <v>4645</v>
      </c>
      <c r="K6290" s="112" t="s">
        <v>4711</v>
      </c>
      <c r="L6290" s="116">
        <v>1563.67</v>
      </c>
    </row>
    <row r="6291" spans="1:12" hidden="1" outlineLevel="1" collapsed="1" x14ac:dyDescent="0.35">
      <c r="A6291" s="112" t="s">
        <v>4632</v>
      </c>
      <c r="B6291" s="112" t="s">
        <v>4644</v>
      </c>
      <c r="C6291" s="112" t="s">
        <v>695</v>
      </c>
      <c r="D6291" s="113">
        <v>10347950</v>
      </c>
      <c r="E6291" s="115">
        <v>43923</v>
      </c>
      <c r="F6291" s="114">
        <v>202101</v>
      </c>
      <c r="G6291" s="112" t="s">
        <v>1091</v>
      </c>
      <c r="H6291" s="112" t="s">
        <v>1015</v>
      </c>
      <c r="I6291" s="112" t="s">
        <v>749</v>
      </c>
      <c r="J6291" s="112" t="s">
        <v>4645</v>
      </c>
      <c r="K6291" s="112" t="s">
        <v>5046</v>
      </c>
      <c r="L6291" s="116">
        <v>82.17</v>
      </c>
    </row>
    <row r="6292" spans="1:12" hidden="1" outlineLevel="1" collapsed="1" x14ac:dyDescent="0.35">
      <c r="A6292" s="112" t="s">
        <v>4632</v>
      </c>
      <c r="B6292" s="112" t="s">
        <v>4644</v>
      </c>
      <c r="C6292" s="112" t="s">
        <v>695</v>
      </c>
      <c r="D6292" s="113">
        <v>10347950</v>
      </c>
      <c r="E6292" s="115">
        <v>43923</v>
      </c>
      <c r="F6292" s="114">
        <v>202101</v>
      </c>
      <c r="G6292" s="112" t="s">
        <v>1091</v>
      </c>
      <c r="H6292" s="112" t="s">
        <v>1015</v>
      </c>
      <c r="I6292" s="112" t="s">
        <v>757</v>
      </c>
      <c r="J6292" s="112" t="s">
        <v>4645</v>
      </c>
      <c r="K6292" s="112" t="s">
        <v>4859</v>
      </c>
      <c r="L6292" s="116">
        <v>82.35</v>
      </c>
    </row>
    <row r="6293" spans="1:12" hidden="1" outlineLevel="1" collapsed="1" x14ac:dyDescent="0.35">
      <c r="A6293" s="112" t="s">
        <v>4632</v>
      </c>
      <c r="B6293" s="112" t="s">
        <v>4639</v>
      </c>
      <c r="C6293" s="112" t="s">
        <v>695</v>
      </c>
      <c r="D6293" s="113">
        <v>10347948</v>
      </c>
      <c r="E6293" s="115">
        <v>43923</v>
      </c>
      <c r="F6293" s="114">
        <v>202101</v>
      </c>
      <c r="G6293" s="112" t="s">
        <v>1091</v>
      </c>
      <c r="H6293" s="112" t="s">
        <v>1015</v>
      </c>
      <c r="I6293" s="112" t="s">
        <v>4687</v>
      </c>
      <c r="J6293" s="112" t="s">
        <v>4640</v>
      </c>
      <c r="K6293" s="112" t="s">
        <v>5047</v>
      </c>
      <c r="L6293" s="116">
        <v>-9258</v>
      </c>
    </row>
    <row r="6294" spans="1:12" hidden="1" outlineLevel="1" collapsed="1" x14ac:dyDescent="0.35">
      <c r="A6294" s="112" t="s">
        <v>4632</v>
      </c>
      <c r="B6294" s="112" t="s">
        <v>4635</v>
      </c>
      <c r="C6294" s="112" t="s">
        <v>695</v>
      </c>
      <c r="D6294" s="113">
        <v>10347981</v>
      </c>
      <c r="E6294" s="115">
        <v>43924</v>
      </c>
      <c r="F6294" s="114">
        <v>202101</v>
      </c>
      <c r="G6294" s="112" t="s">
        <v>1091</v>
      </c>
      <c r="H6294" s="112" t="s">
        <v>1015</v>
      </c>
      <c r="I6294" s="112" t="s">
        <v>753</v>
      </c>
      <c r="J6294" s="112" t="s">
        <v>4969</v>
      </c>
      <c r="K6294" s="112" t="s">
        <v>5048</v>
      </c>
      <c r="L6294" s="116">
        <v>-1868</v>
      </c>
    </row>
    <row r="6295" spans="1:12" hidden="1" outlineLevel="1" collapsed="1" x14ac:dyDescent="0.35">
      <c r="A6295" s="112" t="s">
        <v>4632</v>
      </c>
      <c r="B6295" s="112" t="s">
        <v>863</v>
      </c>
      <c r="C6295" s="112" t="s">
        <v>695</v>
      </c>
      <c r="D6295" s="113">
        <v>10347981</v>
      </c>
      <c r="E6295" s="115">
        <v>43924</v>
      </c>
      <c r="F6295" s="114">
        <v>202101</v>
      </c>
      <c r="G6295" s="112" t="s">
        <v>1091</v>
      </c>
      <c r="H6295" s="112" t="s">
        <v>1015</v>
      </c>
      <c r="I6295" s="112" t="s">
        <v>745</v>
      </c>
      <c r="J6295" s="112" t="s">
        <v>787</v>
      </c>
      <c r="K6295" s="112" t="s">
        <v>5049</v>
      </c>
      <c r="L6295" s="116">
        <v>-55782</v>
      </c>
    </row>
    <row r="6296" spans="1:12" hidden="1" outlineLevel="1" collapsed="1" x14ac:dyDescent="0.35">
      <c r="A6296" s="112" t="s">
        <v>4632</v>
      </c>
      <c r="B6296" s="112" t="s">
        <v>4650</v>
      </c>
      <c r="C6296" s="112" t="s">
        <v>1511</v>
      </c>
      <c r="D6296" s="113">
        <v>47036591</v>
      </c>
      <c r="E6296" s="115">
        <v>43928</v>
      </c>
      <c r="F6296" s="114">
        <v>202101</v>
      </c>
      <c r="G6296" s="112" t="s">
        <v>1091</v>
      </c>
      <c r="H6296" s="112" t="s">
        <v>1015</v>
      </c>
      <c r="I6296" s="112" t="s">
        <v>749</v>
      </c>
      <c r="J6296" s="112" t="s">
        <v>4651</v>
      </c>
      <c r="K6296" s="112" t="s">
        <v>5050</v>
      </c>
      <c r="L6296" s="116">
        <v>-70.23</v>
      </c>
    </row>
    <row r="6297" spans="1:12" hidden="1" outlineLevel="1" collapsed="1" x14ac:dyDescent="0.35">
      <c r="A6297" s="112" t="s">
        <v>4632</v>
      </c>
      <c r="B6297" s="112" t="s">
        <v>4650</v>
      </c>
      <c r="C6297" s="112" t="s">
        <v>1511</v>
      </c>
      <c r="D6297" s="113">
        <v>47036581</v>
      </c>
      <c r="E6297" s="115">
        <v>43928</v>
      </c>
      <c r="F6297" s="114">
        <v>202101</v>
      </c>
      <c r="G6297" s="112" t="s">
        <v>1091</v>
      </c>
      <c r="H6297" s="112" t="s">
        <v>1015</v>
      </c>
      <c r="I6297" s="112" t="s">
        <v>749</v>
      </c>
      <c r="J6297" s="112" t="s">
        <v>4651</v>
      </c>
      <c r="K6297" s="112" t="s">
        <v>5051</v>
      </c>
      <c r="L6297" s="116">
        <v>29.33</v>
      </c>
    </row>
    <row r="6298" spans="1:12" hidden="1" outlineLevel="1" collapsed="1" x14ac:dyDescent="0.35">
      <c r="A6298" s="112" t="s">
        <v>4632</v>
      </c>
      <c r="B6298" s="112" t="s">
        <v>4650</v>
      </c>
      <c r="C6298" s="112" t="s">
        <v>1511</v>
      </c>
      <c r="D6298" s="113">
        <v>47036580</v>
      </c>
      <c r="E6298" s="115">
        <v>43928</v>
      </c>
      <c r="F6298" s="114">
        <v>202101</v>
      </c>
      <c r="G6298" s="112" t="s">
        <v>1091</v>
      </c>
      <c r="H6298" s="112" t="s">
        <v>1015</v>
      </c>
      <c r="I6298" s="112" t="s">
        <v>749</v>
      </c>
      <c r="J6298" s="112" t="s">
        <v>4651</v>
      </c>
      <c r="K6298" s="112" t="s">
        <v>5052</v>
      </c>
      <c r="L6298" s="116">
        <v>38.71</v>
      </c>
    </row>
    <row r="6299" spans="1:12" hidden="1" outlineLevel="1" collapsed="1" x14ac:dyDescent="0.35">
      <c r="A6299" s="112" t="s">
        <v>4632</v>
      </c>
      <c r="B6299" s="112" t="s">
        <v>4644</v>
      </c>
      <c r="C6299" s="112" t="s">
        <v>1511</v>
      </c>
      <c r="D6299" s="113">
        <v>47036574</v>
      </c>
      <c r="E6299" s="115">
        <v>43928</v>
      </c>
      <c r="F6299" s="114">
        <v>202101</v>
      </c>
      <c r="G6299" s="112" t="s">
        <v>1091</v>
      </c>
      <c r="H6299" s="112" t="s">
        <v>1015</v>
      </c>
      <c r="I6299" s="112" t="s">
        <v>749</v>
      </c>
      <c r="J6299" s="112" t="s">
        <v>4645</v>
      </c>
      <c r="K6299" s="112" t="s">
        <v>5053</v>
      </c>
      <c r="L6299" s="116">
        <v>60.99</v>
      </c>
    </row>
    <row r="6300" spans="1:12" hidden="1" outlineLevel="1" collapsed="1" x14ac:dyDescent="0.35">
      <c r="A6300" s="112" t="s">
        <v>4632</v>
      </c>
      <c r="B6300" s="112" t="s">
        <v>4644</v>
      </c>
      <c r="C6300" s="112" t="s">
        <v>1511</v>
      </c>
      <c r="D6300" s="113">
        <v>47036572</v>
      </c>
      <c r="E6300" s="115">
        <v>43928</v>
      </c>
      <c r="F6300" s="114">
        <v>202101</v>
      </c>
      <c r="G6300" s="112" t="s">
        <v>1091</v>
      </c>
      <c r="H6300" s="112" t="s">
        <v>1015</v>
      </c>
      <c r="I6300" s="112" t="s">
        <v>749</v>
      </c>
      <c r="J6300" s="112" t="s">
        <v>4645</v>
      </c>
      <c r="K6300" s="112" t="s">
        <v>5054</v>
      </c>
      <c r="L6300" s="116">
        <v>819.07</v>
      </c>
    </row>
    <row r="6301" spans="1:12" hidden="1" outlineLevel="1" collapsed="1" x14ac:dyDescent="0.35">
      <c r="A6301" s="112" t="s">
        <v>4632</v>
      </c>
      <c r="B6301" s="112" t="s">
        <v>4644</v>
      </c>
      <c r="C6301" s="112" t="s">
        <v>1511</v>
      </c>
      <c r="D6301" s="113">
        <v>47036571</v>
      </c>
      <c r="E6301" s="115">
        <v>43928</v>
      </c>
      <c r="F6301" s="114">
        <v>202101</v>
      </c>
      <c r="G6301" s="112" t="s">
        <v>1091</v>
      </c>
      <c r="H6301" s="112" t="s">
        <v>1015</v>
      </c>
      <c r="I6301" s="112" t="s">
        <v>749</v>
      </c>
      <c r="J6301" s="112" t="s">
        <v>4645</v>
      </c>
      <c r="K6301" s="112" t="s">
        <v>5055</v>
      </c>
      <c r="L6301" s="116">
        <v>841.02</v>
      </c>
    </row>
    <row r="6302" spans="1:12" hidden="1" outlineLevel="1" collapsed="1" x14ac:dyDescent="0.35">
      <c r="A6302" s="112" t="s">
        <v>4632</v>
      </c>
      <c r="B6302" s="112" t="s">
        <v>4650</v>
      </c>
      <c r="C6302" s="112" t="s">
        <v>1511</v>
      </c>
      <c r="D6302" s="113">
        <v>47036570</v>
      </c>
      <c r="E6302" s="115">
        <v>43928</v>
      </c>
      <c r="F6302" s="114">
        <v>202101</v>
      </c>
      <c r="G6302" s="112" t="s">
        <v>1091</v>
      </c>
      <c r="H6302" s="112" t="s">
        <v>1015</v>
      </c>
      <c r="I6302" s="112" t="s">
        <v>749</v>
      </c>
      <c r="J6302" s="112" t="s">
        <v>4651</v>
      </c>
      <c r="K6302" s="112" t="s">
        <v>5056</v>
      </c>
      <c r="L6302" s="116">
        <v>17.829999999999998</v>
      </c>
    </row>
    <row r="6303" spans="1:12" hidden="1" outlineLevel="1" collapsed="1" x14ac:dyDescent="0.35">
      <c r="A6303" s="112" t="s">
        <v>4632</v>
      </c>
      <c r="B6303" s="112" t="s">
        <v>4650</v>
      </c>
      <c r="C6303" s="112" t="s">
        <v>1511</v>
      </c>
      <c r="D6303" s="113">
        <v>47036569</v>
      </c>
      <c r="E6303" s="115">
        <v>43928</v>
      </c>
      <c r="F6303" s="114">
        <v>202101</v>
      </c>
      <c r="G6303" s="112" t="s">
        <v>1091</v>
      </c>
      <c r="H6303" s="112" t="s">
        <v>1015</v>
      </c>
      <c r="I6303" s="112" t="s">
        <v>749</v>
      </c>
      <c r="J6303" s="112" t="s">
        <v>4651</v>
      </c>
      <c r="K6303" s="112" t="s">
        <v>5057</v>
      </c>
      <c r="L6303" s="116">
        <v>37.85</v>
      </c>
    </row>
    <row r="6304" spans="1:12" hidden="1" outlineLevel="1" collapsed="1" x14ac:dyDescent="0.35">
      <c r="A6304" s="112" t="s">
        <v>4632</v>
      </c>
      <c r="B6304" s="112" t="s">
        <v>4688</v>
      </c>
      <c r="C6304" s="112" t="s">
        <v>4695</v>
      </c>
      <c r="D6304" s="113">
        <v>30440514</v>
      </c>
      <c r="E6304" s="115">
        <v>43942</v>
      </c>
      <c r="F6304" s="114">
        <v>202101</v>
      </c>
      <c r="G6304" s="112" t="s">
        <v>1091</v>
      </c>
      <c r="H6304" s="112" t="s">
        <v>1016</v>
      </c>
      <c r="I6304" s="112" t="s">
        <v>4689</v>
      </c>
      <c r="J6304" s="112" t="s">
        <v>4690</v>
      </c>
      <c r="K6304" s="112" t="s">
        <v>5058</v>
      </c>
      <c r="L6304" s="116">
        <v>54</v>
      </c>
    </row>
    <row r="6305" spans="1:12" hidden="1" outlineLevel="1" collapsed="1" x14ac:dyDescent="0.35">
      <c r="A6305" s="112" t="s">
        <v>4632</v>
      </c>
      <c r="B6305" s="112" t="s">
        <v>4688</v>
      </c>
      <c r="C6305" s="112" t="s">
        <v>4695</v>
      </c>
      <c r="D6305" s="113">
        <v>30440514</v>
      </c>
      <c r="E6305" s="115">
        <v>43942</v>
      </c>
      <c r="F6305" s="114">
        <v>202101</v>
      </c>
      <c r="G6305" s="112" t="s">
        <v>1091</v>
      </c>
      <c r="H6305" s="112" t="s">
        <v>1016</v>
      </c>
      <c r="I6305" s="112" t="s">
        <v>4689</v>
      </c>
      <c r="J6305" s="112" t="s">
        <v>4690</v>
      </c>
      <c r="K6305" s="112" t="s">
        <v>5059</v>
      </c>
      <c r="L6305" s="116">
        <v>54</v>
      </c>
    </row>
    <row r="6306" spans="1:12" hidden="1" outlineLevel="1" collapsed="1" x14ac:dyDescent="0.35">
      <c r="A6306" s="112" t="s">
        <v>4632</v>
      </c>
      <c r="B6306" s="112" t="s">
        <v>4688</v>
      </c>
      <c r="C6306" s="112" t="s">
        <v>679</v>
      </c>
      <c r="D6306" s="113">
        <v>10348375</v>
      </c>
      <c r="E6306" s="115">
        <v>43942</v>
      </c>
      <c r="F6306" s="114">
        <v>202101</v>
      </c>
      <c r="G6306" s="112" t="s">
        <v>1091</v>
      </c>
      <c r="H6306" s="112" t="s">
        <v>1016</v>
      </c>
      <c r="I6306" s="112" t="s">
        <v>4689</v>
      </c>
      <c r="J6306" s="112" t="s">
        <v>4690</v>
      </c>
      <c r="K6306" s="112" t="s">
        <v>5058</v>
      </c>
      <c r="L6306" s="116">
        <v>-54</v>
      </c>
    </row>
    <row r="6307" spans="1:12" hidden="1" outlineLevel="1" collapsed="1" x14ac:dyDescent="0.35">
      <c r="A6307" s="112" t="s">
        <v>4632</v>
      </c>
      <c r="B6307" s="112" t="s">
        <v>4688</v>
      </c>
      <c r="C6307" s="112" t="s">
        <v>679</v>
      </c>
      <c r="D6307" s="113">
        <v>10348375</v>
      </c>
      <c r="E6307" s="115">
        <v>43942</v>
      </c>
      <c r="F6307" s="114">
        <v>202101</v>
      </c>
      <c r="G6307" s="112" t="s">
        <v>1091</v>
      </c>
      <c r="H6307" s="112" t="s">
        <v>1016</v>
      </c>
      <c r="I6307" s="112" t="s">
        <v>4689</v>
      </c>
      <c r="J6307" s="112" t="s">
        <v>4690</v>
      </c>
      <c r="K6307" s="112" t="s">
        <v>5059</v>
      </c>
      <c r="L6307" s="116">
        <v>-54</v>
      </c>
    </row>
    <row r="6308" spans="1:12" hidden="1" outlineLevel="1" collapsed="1" x14ac:dyDescent="0.35">
      <c r="A6308" s="112" t="s">
        <v>4632</v>
      </c>
      <c r="B6308" s="112" t="s">
        <v>4688</v>
      </c>
      <c r="C6308" s="112" t="s">
        <v>1518</v>
      </c>
      <c r="D6308" s="113">
        <v>51365742</v>
      </c>
      <c r="E6308" s="115">
        <v>43946</v>
      </c>
      <c r="F6308" s="114">
        <v>202101</v>
      </c>
      <c r="G6308" s="112" t="s">
        <v>1091</v>
      </c>
      <c r="H6308" s="112" t="s">
        <v>1016</v>
      </c>
      <c r="I6308" s="112" t="s">
        <v>2337</v>
      </c>
      <c r="J6308" s="112" t="s">
        <v>4690</v>
      </c>
      <c r="K6308" s="112" t="s">
        <v>5060</v>
      </c>
      <c r="L6308" s="116">
        <v>-51</v>
      </c>
    </row>
    <row r="6309" spans="1:12" hidden="1" outlineLevel="1" collapsed="1" x14ac:dyDescent="0.35">
      <c r="A6309" s="112" t="s">
        <v>4632</v>
      </c>
      <c r="B6309" s="112" t="s">
        <v>4644</v>
      </c>
      <c r="C6309" s="112" t="s">
        <v>695</v>
      </c>
      <c r="D6309" s="113">
        <v>10347950</v>
      </c>
      <c r="E6309" s="115">
        <v>43923</v>
      </c>
      <c r="F6309" s="114">
        <v>202101</v>
      </c>
      <c r="G6309" s="112" t="s">
        <v>1091</v>
      </c>
      <c r="H6309" s="112" t="s">
        <v>1015</v>
      </c>
      <c r="I6309" s="112" t="s">
        <v>757</v>
      </c>
      <c r="J6309" s="112" t="s">
        <v>4645</v>
      </c>
      <c r="K6309" s="112" t="s">
        <v>5061</v>
      </c>
      <c r="L6309" s="116">
        <v>965.97</v>
      </c>
    </row>
    <row r="6310" spans="1:12" hidden="1" outlineLevel="1" collapsed="1" x14ac:dyDescent="0.35">
      <c r="A6310" s="112" t="s">
        <v>4632</v>
      </c>
      <c r="B6310" s="112" t="s">
        <v>863</v>
      </c>
      <c r="C6310" s="112" t="s">
        <v>695</v>
      </c>
      <c r="D6310" s="113">
        <v>10348429</v>
      </c>
      <c r="E6310" s="115">
        <v>43945</v>
      </c>
      <c r="F6310" s="114">
        <v>202101</v>
      </c>
      <c r="G6310" s="112" t="s">
        <v>1091</v>
      </c>
      <c r="H6310" s="112" t="s">
        <v>1016</v>
      </c>
      <c r="I6310" s="112" t="s">
        <v>860</v>
      </c>
      <c r="J6310" s="112" t="s">
        <v>861</v>
      </c>
      <c r="K6310" s="112" t="s">
        <v>5062</v>
      </c>
      <c r="L6310" s="116">
        <v>-11567</v>
      </c>
    </row>
    <row r="6311" spans="1:12" hidden="1" outlineLevel="1" collapsed="1" x14ac:dyDescent="0.35">
      <c r="A6311" s="112" t="s">
        <v>4632</v>
      </c>
      <c r="B6311" s="112" t="s">
        <v>4644</v>
      </c>
      <c r="C6311" s="112" t="s">
        <v>695</v>
      </c>
      <c r="D6311" s="113">
        <v>10348098</v>
      </c>
      <c r="E6311" s="115">
        <v>43929</v>
      </c>
      <c r="F6311" s="114">
        <v>202101</v>
      </c>
      <c r="G6311" s="112" t="s">
        <v>1091</v>
      </c>
      <c r="H6311" s="112" t="s">
        <v>1015</v>
      </c>
      <c r="I6311" s="112" t="s">
        <v>751</v>
      </c>
      <c r="J6311" s="112" t="s">
        <v>4645</v>
      </c>
      <c r="K6311" s="112" t="s">
        <v>5063</v>
      </c>
      <c r="L6311" s="116">
        <v>331.38</v>
      </c>
    </row>
    <row r="6312" spans="1:12" hidden="1" outlineLevel="1" collapsed="1" x14ac:dyDescent="0.35">
      <c r="A6312" s="112" t="s">
        <v>4632</v>
      </c>
      <c r="B6312" s="112" t="s">
        <v>4650</v>
      </c>
      <c r="C6312" s="112" t="s">
        <v>695</v>
      </c>
      <c r="D6312" s="113">
        <v>10348098</v>
      </c>
      <c r="E6312" s="115">
        <v>43929</v>
      </c>
      <c r="F6312" s="114">
        <v>202101</v>
      </c>
      <c r="G6312" s="112" t="s">
        <v>1091</v>
      </c>
      <c r="H6312" s="112" t="s">
        <v>1015</v>
      </c>
      <c r="I6312" s="112" t="s">
        <v>757</v>
      </c>
      <c r="J6312" s="112" t="s">
        <v>4651</v>
      </c>
      <c r="K6312" s="112" t="s">
        <v>5064</v>
      </c>
      <c r="L6312" s="116">
        <v>-57.14</v>
      </c>
    </row>
    <row r="6313" spans="1:12" hidden="1" outlineLevel="1" collapsed="1" x14ac:dyDescent="0.35">
      <c r="A6313" s="112" t="s">
        <v>4632</v>
      </c>
      <c r="B6313" s="112" t="s">
        <v>4644</v>
      </c>
      <c r="C6313" s="112" t="s">
        <v>695</v>
      </c>
      <c r="D6313" s="113">
        <v>10348098</v>
      </c>
      <c r="E6313" s="115">
        <v>43929</v>
      </c>
      <c r="F6313" s="114">
        <v>202101</v>
      </c>
      <c r="G6313" s="112" t="s">
        <v>1091</v>
      </c>
      <c r="H6313" s="112" t="s">
        <v>1015</v>
      </c>
      <c r="I6313" s="112" t="s">
        <v>757</v>
      </c>
      <c r="J6313" s="112" t="s">
        <v>4645</v>
      </c>
      <c r="K6313" s="112" t="s">
        <v>5065</v>
      </c>
      <c r="L6313" s="116">
        <v>504.53</v>
      </c>
    </row>
    <row r="6314" spans="1:12" hidden="1" outlineLevel="1" collapsed="1" x14ac:dyDescent="0.35">
      <c r="A6314" s="112" t="s">
        <v>4632</v>
      </c>
      <c r="B6314" s="112" t="s">
        <v>863</v>
      </c>
      <c r="C6314" s="112" t="s">
        <v>695</v>
      </c>
      <c r="D6314" s="113">
        <v>10348098</v>
      </c>
      <c r="E6314" s="115">
        <v>43929</v>
      </c>
      <c r="F6314" s="114">
        <v>202101</v>
      </c>
      <c r="G6314" s="112" t="s">
        <v>1091</v>
      </c>
      <c r="H6314" s="112" t="s">
        <v>1015</v>
      </c>
      <c r="I6314" s="112" t="s">
        <v>757</v>
      </c>
      <c r="J6314" s="112" t="s">
        <v>856</v>
      </c>
      <c r="K6314" s="112" t="s">
        <v>5066</v>
      </c>
      <c r="L6314" s="116">
        <v>473.92</v>
      </c>
    </row>
    <row r="6315" spans="1:12" hidden="1" outlineLevel="1" collapsed="1" x14ac:dyDescent="0.35">
      <c r="A6315" s="112" t="s">
        <v>4632</v>
      </c>
      <c r="B6315" s="112" t="s">
        <v>4644</v>
      </c>
      <c r="C6315" s="112" t="s">
        <v>695</v>
      </c>
      <c r="D6315" s="113">
        <v>10348098</v>
      </c>
      <c r="E6315" s="115">
        <v>43929</v>
      </c>
      <c r="F6315" s="114">
        <v>202101</v>
      </c>
      <c r="G6315" s="112" t="s">
        <v>1091</v>
      </c>
      <c r="H6315" s="112" t="s">
        <v>1015</v>
      </c>
      <c r="I6315" s="112" t="s">
        <v>757</v>
      </c>
      <c r="J6315" s="112" t="s">
        <v>4645</v>
      </c>
      <c r="K6315" s="112" t="s">
        <v>5067</v>
      </c>
      <c r="L6315" s="116">
        <v>2492.31</v>
      </c>
    </row>
    <row r="6316" spans="1:12" hidden="1" outlineLevel="1" collapsed="1" x14ac:dyDescent="0.35">
      <c r="A6316" s="112" t="s">
        <v>4632</v>
      </c>
      <c r="B6316" s="112" t="s">
        <v>4644</v>
      </c>
      <c r="C6316" s="112" t="s">
        <v>695</v>
      </c>
      <c r="D6316" s="113">
        <v>10348098</v>
      </c>
      <c r="E6316" s="115">
        <v>43929</v>
      </c>
      <c r="F6316" s="114">
        <v>202101</v>
      </c>
      <c r="G6316" s="112" t="s">
        <v>1091</v>
      </c>
      <c r="H6316" s="112" t="s">
        <v>1015</v>
      </c>
      <c r="I6316" s="112" t="s">
        <v>757</v>
      </c>
      <c r="J6316" s="112" t="s">
        <v>4645</v>
      </c>
      <c r="K6316" s="112" t="s">
        <v>5068</v>
      </c>
      <c r="L6316" s="116">
        <v>8.99</v>
      </c>
    </row>
    <row r="6317" spans="1:12" hidden="1" outlineLevel="1" collapsed="1" x14ac:dyDescent="0.35">
      <c r="A6317" s="112" t="s">
        <v>4632</v>
      </c>
      <c r="B6317" s="112" t="s">
        <v>4688</v>
      </c>
      <c r="C6317" s="112" t="s">
        <v>4695</v>
      </c>
      <c r="D6317" s="113">
        <v>30440685</v>
      </c>
      <c r="E6317" s="115">
        <v>43945</v>
      </c>
      <c r="F6317" s="114">
        <v>202101</v>
      </c>
      <c r="G6317" s="112" t="s">
        <v>1091</v>
      </c>
      <c r="H6317" s="112" t="s">
        <v>1016</v>
      </c>
      <c r="I6317" s="112" t="s">
        <v>4689</v>
      </c>
      <c r="J6317" s="112" t="s">
        <v>4690</v>
      </c>
      <c r="K6317" s="112" t="s">
        <v>5069</v>
      </c>
      <c r="L6317" s="116">
        <v>54</v>
      </c>
    </row>
    <row r="6318" spans="1:12" hidden="1" outlineLevel="1" collapsed="1" x14ac:dyDescent="0.35">
      <c r="A6318" s="112" t="s">
        <v>4632</v>
      </c>
      <c r="B6318" s="112" t="s">
        <v>4688</v>
      </c>
      <c r="C6318" s="112" t="s">
        <v>4695</v>
      </c>
      <c r="D6318" s="113">
        <v>30440685</v>
      </c>
      <c r="E6318" s="115">
        <v>43945</v>
      </c>
      <c r="F6318" s="114">
        <v>202101</v>
      </c>
      <c r="G6318" s="112" t="s">
        <v>1091</v>
      </c>
      <c r="H6318" s="112" t="s">
        <v>1016</v>
      </c>
      <c r="I6318" s="112" t="s">
        <v>4689</v>
      </c>
      <c r="J6318" s="112" t="s">
        <v>4690</v>
      </c>
      <c r="K6318" s="112" t="s">
        <v>5070</v>
      </c>
      <c r="L6318" s="116">
        <v>54</v>
      </c>
    </row>
    <row r="6319" spans="1:12" hidden="1" outlineLevel="1" collapsed="1" x14ac:dyDescent="0.35">
      <c r="A6319" s="112" t="s">
        <v>4632</v>
      </c>
      <c r="B6319" s="112" t="s">
        <v>4688</v>
      </c>
      <c r="C6319" s="112" t="s">
        <v>4695</v>
      </c>
      <c r="D6319" s="113">
        <v>30440685</v>
      </c>
      <c r="E6319" s="115">
        <v>43945</v>
      </c>
      <c r="F6319" s="114">
        <v>202101</v>
      </c>
      <c r="G6319" s="112" t="s">
        <v>1091</v>
      </c>
      <c r="H6319" s="112" t="s">
        <v>1016</v>
      </c>
      <c r="I6319" s="112" t="s">
        <v>4689</v>
      </c>
      <c r="J6319" s="112" t="s">
        <v>4690</v>
      </c>
      <c r="K6319" s="112" t="s">
        <v>5071</v>
      </c>
      <c r="L6319" s="116">
        <v>54</v>
      </c>
    </row>
    <row r="6320" spans="1:12" hidden="1" outlineLevel="1" collapsed="1" x14ac:dyDescent="0.35">
      <c r="A6320" s="112" t="s">
        <v>4632</v>
      </c>
      <c r="B6320" s="112" t="s">
        <v>4688</v>
      </c>
      <c r="C6320" s="112" t="s">
        <v>4695</v>
      </c>
      <c r="D6320" s="113">
        <v>30440685</v>
      </c>
      <c r="E6320" s="115">
        <v>43945</v>
      </c>
      <c r="F6320" s="114">
        <v>202101</v>
      </c>
      <c r="G6320" s="112" t="s">
        <v>1091</v>
      </c>
      <c r="H6320" s="112" t="s">
        <v>1016</v>
      </c>
      <c r="I6320" s="112" t="s">
        <v>4689</v>
      </c>
      <c r="J6320" s="112" t="s">
        <v>4690</v>
      </c>
      <c r="K6320" s="112" t="s">
        <v>5072</v>
      </c>
      <c r="L6320" s="116">
        <v>54</v>
      </c>
    </row>
    <row r="6321" spans="1:12" hidden="1" outlineLevel="1" collapsed="1" x14ac:dyDescent="0.35">
      <c r="A6321" s="112" t="s">
        <v>4632</v>
      </c>
      <c r="B6321" s="112" t="s">
        <v>4688</v>
      </c>
      <c r="C6321" s="112" t="s">
        <v>4695</v>
      </c>
      <c r="D6321" s="113">
        <v>30440685</v>
      </c>
      <c r="E6321" s="115">
        <v>43945</v>
      </c>
      <c r="F6321" s="114">
        <v>202101</v>
      </c>
      <c r="G6321" s="112" t="s">
        <v>1091</v>
      </c>
      <c r="H6321" s="112" t="s">
        <v>1016</v>
      </c>
      <c r="I6321" s="112" t="s">
        <v>4689</v>
      </c>
      <c r="J6321" s="112" t="s">
        <v>4690</v>
      </c>
      <c r="K6321" s="112" t="s">
        <v>5073</v>
      </c>
      <c r="L6321" s="116">
        <v>54</v>
      </c>
    </row>
    <row r="6322" spans="1:12" hidden="1" outlineLevel="1" collapsed="1" x14ac:dyDescent="0.35">
      <c r="A6322" s="112" t="s">
        <v>4632</v>
      </c>
      <c r="B6322" s="112" t="s">
        <v>4688</v>
      </c>
      <c r="C6322" s="112" t="s">
        <v>679</v>
      </c>
      <c r="D6322" s="113">
        <v>10348446</v>
      </c>
      <c r="E6322" s="115">
        <v>43945</v>
      </c>
      <c r="F6322" s="114">
        <v>202101</v>
      </c>
      <c r="G6322" s="112" t="s">
        <v>1091</v>
      </c>
      <c r="H6322" s="112" t="s">
        <v>1016</v>
      </c>
      <c r="I6322" s="112" t="s">
        <v>4689</v>
      </c>
      <c r="J6322" s="112" t="s">
        <v>4690</v>
      </c>
      <c r="K6322" s="112" t="s">
        <v>5069</v>
      </c>
      <c r="L6322" s="116">
        <v>-54</v>
      </c>
    </row>
    <row r="6323" spans="1:12" hidden="1" outlineLevel="1" collapsed="1" x14ac:dyDescent="0.35">
      <c r="A6323" s="112" t="s">
        <v>4632</v>
      </c>
      <c r="B6323" s="112" t="s">
        <v>4688</v>
      </c>
      <c r="C6323" s="112" t="s">
        <v>679</v>
      </c>
      <c r="D6323" s="113">
        <v>10348446</v>
      </c>
      <c r="E6323" s="115">
        <v>43945</v>
      </c>
      <c r="F6323" s="114">
        <v>202101</v>
      </c>
      <c r="G6323" s="112" t="s">
        <v>1091</v>
      </c>
      <c r="H6323" s="112" t="s">
        <v>1016</v>
      </c>
      <c r="I6323" s="112" t="s">
        <v>4689</v>
      </c>
      <c r="J6323" s="112" t="s">
        <v>4690</v>
      </c>
      <c r="K6323" s="112" t="s">
        <v>5070</v>
      </c>
      <c r="L6323" s="116">
        <v>-54</v>
      </c>
    </row>
    <row r="6324" spans="1:12" hidden="1" outlineLevel="1" collapsed="1" x14ac:dyDescent="0.35">
      <c r="A6324" s="112" t="s">
        <v>4632</v>
      </c>
      <c r="B6324" s="112" t="s">
        <v>4688</v>
      </c>
      <c r="C6324" s="112" t="s">
        <v>679</v>
      </c>
      <c r="D6324" s="113">
        <v>10348446</v>
      </c>
      <c r="E6324" s="115">
        <v>43945</v>
      </c>
      <c r="F6324" s="114">
        <v>202101</v>
      </c>
      <c r="G6324" s="112" t="s">
        <v>1091</v>
      </c>
      <c r="H6324" s="112" t="s">
        <v>1016</v>
      </c>
      <c r="I6324" s="112" t="s">
        <v>4689</v>
      </c>
      <c r="J6324" s="112" t="s">
        <v>4690</v>
      </c>
      <c r="K6324" s="112" t="s">
        <v>5071</v>
      </c>
      <c r="L6324" s="116">
        <v>-54</v>
      </c>
    </row>
    <row r="6325" spans="1:12" hidden="1" outlineLevel="1" collapsed="1" x14ac:dyDescent="0.35">
      <c r="A6325" s="112" t="s">
        <v>4632</v>
      </c>
      <c r="B6325" s="112" t="s">
        <v>4688</v>
      </c>
      <c r="C6325" s="112" t="s">
        <v>679</v>
      </c>
      <c r="D6325" s="113">
        <v>10348446</v>
      </c>
      <c r="E6325" s="115">
        <v>43945</v>
      </c>
      <c r="F6325" s="114">
        <v>202101</v>
      </c>
      <c r="G6325" s="112" t="s">
        <v>1091</v>
      </c>
      <c r="H6325" s="112" t="s">
        <v>1016</v>
      </c>
      <c r="I6325" s="112" t="s">
        <v>4689</v>
      </c>
      <c r="J6325" s="112" t="s">
        <v>4690</v>
      </c>
      <c r="K6325" s="112" t="s">
        <v>5072</v>
      </c>
      <c r="L6325" s="116">
        <v>-54</v>
      </c>
    </row>
    <row r="6326" spans="1:12" hidden="1" outlineLevel="1" collapsed="1" x14ac:dyDescent="0.35">
      <c r="A6326" s="112" t="s">
        <v>4632</v>
      </c>
      <c r="B6326" s="112" t="s">
        <v>4688</v>
      </c>
      <c r="C6326" s="112" t="s">
        <v>679</v>
      </c>
      <c r="D6326" s="113">
        <v>10348446</v>
      </c>
      <c r="E6326" s="115">
        <v>43945</v>
      </c>
      <c r="F6326" s="114">
        <v>202101</v>
      </c>
      <c r="G6326" s="112" t="s">
        <v>1091</v>
      </c>
      <c r="H6326" s="112" t="s">
        <v>1016</v>
      </c>
      <c r="I6326" s="112" t="s">
        <v>4689</v>
      </c>
      <c r="J6326" s="112" t="s">
        <v>4690</v>
      </c>
      <c r="K6326" s="112" t="s">
        <v>5073</v>
      </c>
      <c r="L6326" s="116">
        <v>-54</v>
      </c>
    </row>
    <row r="6327" spans="1:12" hidden="1" outlineLevel="1" collapsed="1" x14ac:dyDescent="0.35">
      <c r="A6327" s="112" t="s">
        <v>4632</v>
      </c>
      <c r="B6327" s="112" t="s">
        <v>4644</v>
      </c>
      <c r="C6327" s="112" t="s">
        <v>695</v>
      </c>
      <c r="D6327" s="113">
        <v>10348098</v>
      </c>
      <c r="E6327" s="115">
        <v>43929</v>
      </c>
      <c r="F6327" s="114">
        <v>202101</v>
      </c>
      <c r="G6327" s="112" t="s">
        <v>1091</v>
      </c>
      <c r="H6327" s="112" t="s">
        <v>1015</v>
      </c>
      <c r="I6327" s="112" t="s">
        <v>757</v>
      </c>
      <c r="J6327" s="112" t="s">
        <v>4645</v>
      </c>
      <c r="K6327" s="112" t="s">
        <v>5074</v>
      </c>
      <c r="L6327" s="116">
        <v>52.41</v>
      </c>
    </row>
    <row r="6328" spans="1:12" hidden="1" outlineLevel="1" collapsed="1" x14ac:dyDescent="0.35">
      <c r="A6328" s="112" t="s">
        <v>4632</v>
      </c>
      <c r="B6328" s="112" t="s">
        <v>4644</v>
      </c>
      <c r="C6328" s="112" t="s">
        <v>695</v>
      </c>
      <c r="D6328" s="113">
        <v>10348098</v>
      </c>
      <c r="E6328" s="115">
        <v>43929</v>
      </c>
      <c r="F6328" s="114">
        <v>202101</v>
      </c>
      <c r="G6328" s="112" t="s">
        <v>1091</v>
      </c>
      <c r="H6328" s="112" t="s">
        <v>1015</v>
      </c>
      <c r="I6328" s="112" t="s">
        <v>749</v>
      </c>
      <c r="J6328" s="112" t="s">
        <v>4645</v>
      </c>
      <c r="K6328" s="112" t="s">
        <v>5075</v>
      </c>
      <c r="L6328" s="116">
        <v>3857.55</v>
      </c>
    </row>
    <row r="6329" spans="1:12" hidden="1" outlineLevel="1" collapsed="1" x14ac:dyDescent="0.35">
      <c r="A6329" s="112" t="s">
        <v>4632</v>
      </c>
      <c r="B6329" s="112" t="s">
        <v>4644</v>
      </c>
      <c r="C6329" s="112" t="s">
        <v>695</v>
      </c>
      <c r="D6329" s="113">
        <v>10348098</v>
      </c>
      <c r="E6329" s="115">
        <v>43929</v>
      </c>
      <c r="F6329" s="114">
        <v>202101</v>
      </c>
      <c r="G6329" s="112" t="s">
        <v>1091</v>
      </c>
      <c r="H6329" s="112" t="s">
        <v>1015</v>
      </c>
      <c r="I6329" s="112" t="s">
        <v>749</v>
      </c>
      <c r="J6329" s="112" t="s">
        <v>4645</v>
      </c>
      <c r="K6329" s="112" t="s">
        <v>5076</v>
      </c>
      <c r="L6329" s="116">
        <v>228.96</v>
      </c>
    </row>
    <row r="6330" spans="1:12" hidden="1" outlineLevel="1" collapsed="1" x14ac:dyDescent="0.35">
      <c r="A6330" s="112" t="s">
        <v>4632</v>
      </c>
      <c r="B6330" s="112" t="s">
        <v>4644</v>
      </c>
      <c r="C6330" s="112" t="s">
        <v>695</v>
      </c>
      <c r="D6330" s="113">
        <v>10348098</v>
      </c>
      <c r="E6330" s="115">
        <v>43929</v>
      </c>
      <c r="F6330" s="114">
        <v>202101</v>
      </c>
      <c r="G6330" s="112" t="s">
        <v>1091</v>
      </c>
      <c r="H6330" s="112" t="s">
        <v>1015</v>
      </c>
      <c r="I6330" s="112" t="s">
        <v>749</v>
      </c>
      <c r="J6330" s="112" t="s">
        <v>4645</v>
      </c>
      <c r="K6330" s="112" t="s">
        <v>5077</v>
      </c>
      <c r="L6330" s="116">
        <v>1941.17</v>
      </c>
    </row>
    <row r="6331" spans="1:12" hidden="1" outlineLevel="1" collapsed="1" x14ac:dyDescent="0.35">
      <c r="A6331" s="112" t="s">
        <v>4632</v>
      </c>
      <c r="B6331" s="112" t="s">
        <v>863</v>
      </c>
      <c r="C6331" s="112" t="s">
        <v>695</v>
      </c>
      <c r="D6331" s="113">
        <v>10348429</v>
      </c>
      <c r="E6331" s="115">
        <v>43945</v>
      </c>
      <c r="F6331" s="114">
        <v>202101</v>
      </c>
      <c r="G6331" s="112" t="s">
        <v>1091</v>
      </c>
      <c r="H6331" s="112" t="s">
        <v>1016</v>
      </c>
      <c r="I6331" s="112" t="s">
        <v>860</v>
      </c>
      <c r="J6331" s="112" t="s">
        <v>861</v>
      </c>
      <c r="K6331" s="112" t="s">
        <v>5078</v>
      </c>
      <c r="L6331" s="116">
        <v>-9270</v>
      </c>
    </row>
    <row r="6332" spans="1:12" hidden="1" outlineLevel="1" collapsed="1" x14ac:dyDescent="0.35">
      <c r="A6332" s="112" t="s">
        <v>4632</v>
      </c>
      <c r="B6332" s="112" t="s">
        <v>863</v>
      </c>
      <c r="C6332" s="112" t="s">
        <v>695</v>
      </c>
      <c r="D6332" s="113">
        <v>10348429</v>
      </c>
      <c r="E6332" s="115">
        <v>43945</v>
      </c>
      <c r="F6332" s="114">
        <v>202101</v>
      </c>
      <c r="G6332" s="112" t="s">
        <v>1091</v>
      </c>
      <c r="H6332" s="112" t="s">
        <v>1016</v>
      </c>
      <c r="I6332" s="112" t="s">
        <v>860</v>
      </c>
      <c r="J6332" s="112" t="s">
        <v>861</v>
      </c>
      <c r="K6332" s="112" t="s">
        <v>5079</v>
      </c>
      <c r="L6332" s="116">
        <v>-6726</v>
      </c>
    </row>
    <row r="6333" spans="1:12" hidden="1" outlineLevel="1" collapsed="1" x14ac:dyDescent="0.35">
      <c r="A6333" s="112" t="s">
        <v>4632</v>
      </c>
      <c r="B6333" s="112" t="s">
        <v>863</v>
      </c>
      <c r="C6333" s="112" t="s">
        <v>679</v>
      </c>
      <c r="D6333" s="113">
        <v>10348418</v>
      </c>
      <c r="E6333" s="115">
        <v>43944</v>
      </c>
      <c r="F6333" s="114">
        <v>202101</v>
      </c>
      <c r="G6333" s="112" t="s">
        <v>1091</v>
      </c>
      <c r="H6333" s="112" t="s">
        <v>1016</v>
      </c>
      <c r="I6333" s="112" t="s">
        <v>781</v>
      </c>
      <c r="J6333" s="112" t="s">
        <v>852</v>
      </c>
      <c r="K6333" s="112" t="s">
        <v>5003</v>
      </c>
      <c r="L6333" s="116">
        <v>-11.14</v>
      </c>
    </row>
    <row r="6334" spans="1:12" hidden="1" outlineLevel="1" collapsed="1" x14ac:dyDescent="0.35">
      <c r="A6334" s="112" t="s">
        <v>4632</v>
      </c>
      <c r="B6334" s="112" t="s">
        <v>863</v>
      </c>
      <c r="C6334" s="112" t="s">
        <v>679</v>
      </c>
      <c r="D6334" s="113">
        <v>10348418</v>
      </c>
      <c r="E6334" s="115">
        <v>43944</v>
      </c>
      <c r="F6334" s="114">
        <v>202101</v>
      </c>
      <c r="G6334" s="112" t="s">
        <v>1091</v>
      </c>
      <c r="H6334" s="112" t="s">
        <v>1016</v>
      </c>
      <c r="I6334" s="112" t="s">
        <v>781</v>
      </c>
      <c r="J6334" s="112" t="s">
        <v>852</v>
      </c>
      <c r="K6334" s="112" t="s">
        <v>5003</v>
      </c>
      <c r="L6334" s="116">
        <v>-11.14</v>
      </c>
    </row>
    <row r="6335" spans="1:12" hidden="1" outlineLevel="1" collapsed="1" x14ac:dyDescent="0.35">
      <c r="A6335" s="112" t="s">
        <v>4632</v>
      </c>
      <c r="B6335" s="112" t="s">
        <v>863</v>
      </c>
      <c r="C6335" s="112" t="s">
        <v>679</v>
      </c>
      <c r="D6335" s="113">
        <v>10348418</v>
      </c>
      <c r="E6335" s="115">
        <v>43944</v>
      </c>
      <c r="F6335" s="114">
        <v>202101</v>
      </c>
      <c r="G6335" s="112" t="s">
        <v>1091</v>
      </c>
      <c r="H6335" s="112" t="s">
        <v>1016</v>
      </c>
      <c r="I6335" s="112" t="s">
        <v>781</v>
      </c>
      <c r="J6335" s="112" t="s">
        <v>854</v>
      </c>
      <c r="K6335" s="112" t="s">
        <v>706</v>
      </c>
      <c r="L6335" s="116">
        <v>-34.99</v>
      </c>
    </row>
    <row r="6336" spans="1:12" hidden="1" outlineLevel="1" collapsed="1" x14ac:dyDescent="0.35">
      <c r="A6336" s="112" t="s">
        <v>4632</v>
      </c>
      <c r="B6336" s="112" t="s">
        <v>863</v>
      </c>
      <c r="C6336" s="112" t="s">
        <v>679</v>
      </c>
      <c r="D6336" s="113">
        <v>10348418</v>
      </c>
      <c r="E6336" s="115">
        <v>43944</v>
      </c>
      <c r="F6336" s="114">
        <v>202101</v>
      </c>
      <c r="G6336" s="112" t="s">
        <v>1091</v>
      </c>
      <c r="H6336" s="112" t="s">
        <v>1016</v>
      </c>
      <c r="I6336" s="112" t="s">
        <v>781</v>
      </c>
      <c r="J6336" s="112" t="s">
        <v>856</v>
      </c>
      <c r="K6336" s="112" t="s">
        <v>5003</v>
      </c>
      <c r="L6336" s="116">
        <v>-4.78</v>
      </c>
    </row>
    <row r="6337" spans="1:12" hidden="1" outlineLevel="1" collapsed="1" x14ac:dyDescent="0.35">
      <c r="A6337" s="112" t="s">
        <v>4632</v>
      </c>
      <c r="B6337" s="112" t="s">
        <v>863</v>
      </c>
      <c r="C6337" s="112" t="s">
        <v>679</v>
      </c>
      <c r="D6337" s="113">
        <v>10348418</v>
      </c>
      <c r="E6337" s="115">
        <v>43944</v>
      </c>
      <c r="F6337" s="114">
        <v>202101</v>
      </c>
      <c r="G6337" s="112" t="s">
        <v>1091</v>
      </c>
      <c r="H6337" s="112" t="s">
        <v>1016</v>
      </c>
      <c r="I6337" s="112" t="s">
        <v>781</v>
      </c>
      <c r="J6337" s="112" t="s">
        <v>856</v>
      </c>
      <c r="K6337" s="112" t="s">
        <v>5003</v>
      </c>
      <c r="L6337" s="116">
        <v>-4.78</v>
      </c>
    </row>
    <row r="6338" spans="1:12" hidden="1" outlineLevel="1" collapsed="1" x14ac:dyDescent="0.35">
      <c r="A6338" s="112" t="s">
        <v>4632</v>
      </c>
      <c r="B6338" s="112" t="s">
        <v>863</v>
      </c>
      <c r="C6338" s="112" t="s">
        <v>679</v>
      </c>
      <c r="D6338" s="113">
        <v>10348418</v>
      </c>
      <c r="E6338" s="115">
        <v>43944</v>
      </c>
      <c r="F6338" s="114">
        <v>202101</v>
      </c>
      <c r="G6338" s="112" t="s">
        <v>1091</v>
      </c>
      <c r="H6338" s="112" t="s">
        <v>1016</v>
      </c>
      <c r="I6338" s="112" t="s">
        <v>781</v>
      </c>
      <c r="J6338" s="112" t="s">
        <v>856</v>
      </c>
      <c r="K6338" s="112" t="s">
        <v>5003</v>
      </c>
      <c r="L6338" s="116">
        <v>-25.44</v>
      </c>
    </row>
    <row r="6339" spans="1:12" hidden="1" outlineLevel="1" collapsed="1" x14ac:dyDescent="0.35">
      <c r="A6339" s="112" t="s">
        <v>4632</v>
      </c>
      <c r="B6339" s="112" t="s">
        <v>863</v>
      </c>
      <c r="C6339" s="112" t="s">
        <v>679</v>
      </c>
      <c r="D6339" s="113">
        <v>10348418</v>
      </c>
      <c r="E6339" s="115">
        <v>43944</v>
      </c>
      <c r="F6339" s="114">
        <v>202101</v>
      </c>
      <c r="G6339" s="112" t="s">
        <v>1091</v>
      </c>
      <c r="H6339" s="112" t="s">
        <v>1016</v>
      </c>
      <c r="I6339" s="112" t="s">
        <v>781</v>
      </c>
      <c r="J6339" s="112" t="s">
        <v>856</v>
      </c>
      <c r="K6339" s="112" t="s">
        <v>5003</v>
      </c>
      <c r="L6339" s="116">
        <v>-49.34</v>
      </c>
    </row>
    <row r="6340" spans="1:12" hidden="1" outlineLevel="1" collapsed="1" x14ac:dyDescent="0.35">
      <c r="A6340" s="112" t="s">
        <v>4632</v>
      </c>
      <c r="B6340" s="112" t="s">
        <v>863</v>
      </c>
      <c r="C6340" s="112" t="s">
        <v>679</v>
      </c>
      <c r="D6340" s="113">
        <v>10348418</v>
      </c>
      <c r="E6340" s="115">
        <v>43944</v>
      </c>
      <c r="F6340" s="114">
        <v>202101</v>
      </c>
      <c r="G6340" s="112" t="s">
        <v>1091</v>
      </c>
      <c r="H6340" s="112" t="s">
        <v>1016</v>
      </c>
      <c r="I6340" s="112" t="s">
        <v>781</v>
      </c>
      <c r="J6340" s="112" t="s">
        <v>856</v>
      </c>
      <c r="K6340" s="112" t="s">
        <v>5003</v>
      </c>
      <c r="L6340" s="116">
        <v>-41.38</v>
      </c>
    </row>
    <row r="6341" spans="1:12" hidden="1" outlineLevel="1" collapsed="1" x14ac:dyDescent="0.35">
      <c r="A6341" s="112" t="s">
        <v>4632</v>
      </c>
      <c r="B6341" s="112" t="s">
        <v>4644</v>
      </c>
      <c r="C6341" s="112" t="s">
        <v>695</v>
      </c>
      <c r="D6341" s="113">
        <v>10348098</v>
      </c>
      <c r="E6341" s="115">
        <v>43929</v>
      </c>
      <c r="F6341" s="114">
        <v>202101</v>
      </c>
      <c r="G6341" s="112" t="s">
        <v>1091</v>
      </c>
      <c r="H6341" s="112" t="s">
        <v>1015</v>
      </c>
      <c r="I6341" s="112" t="s">
        <v>749</v>
      </c>
      <c r="J6341" s="112" t="s">
        <v>4645</v>
      </c>
      <c r="K6341" s="112" t="s">
        <v>5080</v>
      </c>
      <c r="L6341" s="116">
        <v>-78.62</v>
      </c>
    </row>
    <row r="6342" spans="1:12" hidden="1" outlineLevel="1" collapsed="1" x14ac:dyDescent="0.35">
      <c r="A6342" s="112" t="s">
        <v>4632</v>
      </c>
      <c r="B6342" s="112" t="s">
        <v>4644</v>
      </c>
      <c r="C6342" s="112" t="s">
        <v>695</v>
      </c>
      <c r="D6342" s="113">
        <v>10348098</v>
      </c>
      <c r="E6342" s="115">
        <v>43929</v>
      </c>
      <c r="F6342" s="114">
        <v>202101</v>
      </c>
      <c r="G6342" s="112" t="s">
        <v>1091</v>
      </c>
      <c r="H6342" s="112" t="s">
        <v>1015</v>
      </c>
      <c r="I6342" s="112" t="s">
        <v>749</v>
      </c>
      <c r="J6342" s="112" t="s">
        <v>4645</v>
      </c>
      <c r="K6342" s="112" t="s">
        <v>5081</v>
      </c>
      <c r="L6342" s="116">
        <v>852.01</v>
      </c>
    </row>
    <row r="6343" spans="1:12" hidden="1" outlineLevel="1" collapsed="1" x14ac:dyDescent="0.35">
      <c r="A6343" s="112" t="s">
        <v>4632</v>
      </c>
      <c r="B6343" s="112" t="s">
        <v>863</v>
      </c>
      <c r="C6343" s="112" t="s">
        <v>695</v>
      </c>
      <c r="D6343" s="113">
        <v>10348098</v>
      </c>
      <c r="E6343" s="115">
        <v>43929</v>
      </c>
      <c r="F6343" s="114">
        <v>202101</v>
      </c>
      <c r="G6343" s="112" t="s">
        <v>1091</v>
      </c>
      <c r="H6343" s="112" t="s">
        <v>1015</v>
      </c>
      <c r="I6343" s="112" t="s">
        <v>749</v>
      </c>
      <c r="J6343" s="112" t="s">
        <v>815</v>
      </c>
      <c r="K6343" s="112" t="s">
        <v>5044</v>
      </c>
      <c r="L6343" s="116">
        <v>412.85</v>
      </c>
    </row>
    <row r="6344" spans="1:12" hidden="1" outlineLevel="1" collapsed="1" x14ac:dyDescent="0.35">
      <c r="A6344" s="112" t="s">
        <v>4632</v>
      </c>
      <c r="B6344" s="112" t="s">
        <v>4644</v>
      </c>
      <c r="C6344" s="112" t="s">
        <v>695</v>
      </c>
      <c r="D6344" s="113">
        <v>10348098</v>
      </c>
      <c r="E6344" s="115">
        <v>43929</v>
      </c>
      <c r="F6344" s="114">
        <v>202101</v>
      </c>
      <c r="G6344" s="112" t="s">
        <v>1091</v>
      </c>
      <c r="H6344" s="112" t="s">
        <v>1015</v>
      </c>
      <c r="I6344" s="112" t="s">
        <v>749</v>
      </c>
      <c r="J6344" s="112" t="s">
        <v>4645</v>
      </c>
      <c r="K6344" s="112" t="s">
        <v>5046</v>
      </c>
      <c r="L6344" s="116">
        <v>695.82</v>
      </c>
    </row>
    <row r="6345" spans="1:12" hidden="1" outlineLevel="1" collapsed="1" x14ac:dyDescent="0.35">
      <c r="A6345" s="112" t="s">
        <v>4632</v>
      </c>
      <c r="B6345" s="112" t="s">
        <v>4639</v>
      </c>
      <c r="C6345" s="112" t="s">
        <v>695</v>
      </c>
      <c r="D6345" s="113">
        <v>10348098</v>
      </c>
      <c r="E6345" s="115">
        <v>43929</v>
      </c>
      <c r="F6345" s="114">
        <v>202101</v>
      </c>
      <c r="G6345" s="112" t="s">
        <v>1091</v>
      </c>
      <c r="H6345" s="112" t="s">
        <v>1015</v>
      </c>
      <c r="I6345" s="112" t="s">
        <v>749</v>
      </c>
      <c r="J6345" s="112" t="s">
        <v>4640</v>
      </c>
      <c r="K6345" s="112" t="s">
        <v>5039</v>
      </c>
      <c r="L6345" s="116">
        <v>1848.27</v>
      </c>
    </row>
    <row r="6346" spans="1:12" hidden="1" outlineLevel="1" collapsed="1" x14ac:dyDescent="0.35">
      <c r="A6346" s="112" t="s">
        <v>4632</v>
      </c>
      <c r="B6346" s="112" t="s">
        <v>4650</v>
      </c>
      <c r="C6346" s="112" t="s">
        <v>695</v>
      </c>
      <c r="D6346" s="113">
        <v>10348098</v>
      </c>
      <c r="E6346" s="115">
        <v>43929</v>
      </c>
      <c r="F6346" s="114">
        <v>202101</v>
      </c>
      <c r="G6346" s="112" t="s">
        <v>1091</v>
      </c>
      <c r="H6346" s="112" t="s">
        <v>1015</v>
      </c>
      <c r="I6346" s="112" t="s">
        <v>749</v>
      </c>
      <c r="J6346" s="112" t="s">
        <v>4651</v>
      </c>
      <c r="K6346" s="112" t="s">
        <v>5038</v>
      </c>
      <c r="L6346" s="116">
        <v>-85.45</v>
      </c>
    </row>
    <row r="6347" spans="1:12" hidden="1" outlineLevel="1" collapsed="1" x14ac:dyDescent="0.35">
      <c r="A6347" s="112" t="s">
        <v>4632</v>
      </c>
      <c r="B6347" s="112" t="s">
        <v>4650</v>
      </c>
      <c r="C6347" s="112" t="s">
        <v>695</v>
      </c>
      <c r="D6347" s="113">
        <v>10348098</v>
      </c>
      <c r="E6347" s="115">
        <v>43929</v>
      </c>
      <c r="F6347" s="114">
        <v>202101</v>
      </c>
      <c r="G6347" s="112" t="s">
        <v>1091</v>
      </c>
      <c r="H6347" s="112" t="s">
        <v>1015</v>
      </c>
      <c r="I6347" s="112" t="s">
        <v>749</v>
      </c>
      <c r="J6347" s="112" t="s">
        <v>4651</v>
      </c>
      <c r="K6347" s="112" t="s">
        <v>5082</v>
      </c>
      <c r="L6347" s="116">
        <v>965.97</v>
      </c>
    </row>
    <row r="6348" spans="1:12" hidden="1" outlineLevel="1" collapsed="1" x14ac:dyDescent="0.35">
      <c r="A6348" s="112" t="s">
        <v>4632</v>
      </c>
      <c r="B6348" s="112" t="s">
        <v>4650</v>
      </c>
      <c r="C6348" s="112" t="s">
        <v>695</v>
      </c>
      <c r="D6348" s="113">
        <v>10348098</v>
      </c>
      <c r="E6348" s="115">
        <v>43929</v>
      </c>
      <c r="F6348" s="114">
        <v>202101</v>
      </c>
      <c r="G6348" s="112" t="s">
        <v>1091</v>
      </c>
      <c r="H6348" s="112" t="s">
        <v>1015</v>
      </c>
      <c r="I6348" s="112" t="s">
        <v>749</v>
      </c>
      <c r="J6348" s="112" t="s">
        <v>4651</v>
      </c>
      <c r="K6348" s="112" t="s">
        <v>5083</v>
      </c>
      <c r="L6348" s="116">
        <v>53.06</v>
      </c>
    </row>
    <row r="6349" spans="1:12" hidden="1" outlineLevel="1" collapsed="1" x14ac:dyDescent="0.35">
      <c r="A6349" s="112" t="s">
        <v>4632</v>
      </c>
      <c r="B6349" s="112" t="s">
        <v>4688</v>
      </c>
      <c r="C6349" s="112" t="s">
        <v>1518</v>
      </c>
      <c r="D6349" s="113">
        <v>51365695</v>
      </c>
      <c r="E6349" s="115">
        <v>43945</v>
      </c>
      <c r="F6349" s="114">
        <v>202101</v>
      </c>
      <c r="G6349" s="112" t="s">
        <v>1091</v>
      </c>
      <c r="H6349" s="112" t="s">
        <v>1016</v>
      </c>
      <c r="I6349" s="112" t="s">
        <v>2337</v>
      </c>
      <c r="J6349" s="112" t="s">
        <v>4690</v>
      </c>
      <c r="K6349" s="112" t="s">
        <v>5084</v>
      </c>
      <c r="L6349" s="116">
        <v>-51</v>
      </c>
    </row>
    <row r="6350" spans="1:12" hidden="1" outlineLevel="1" collapsed="1" x14ac:dyDescent="0.35">
      <c r="A6350" s="112" t="s">
        <v>4632</v>
      </c>
      <c r="B6350" s="112" t="s">
        <v>4644</v>
      </c>
      <c r="C6350" s="112" t="s">
        <v>695</v>
      </c>
      <c r="D6350" s="113">
        <v>10348098</v>
      </c>
      <c r="E6350" s="115">
        <v>43929</v>
      </c>
      <c r="F6350" s="114">
        <v>202101</v>
      </c>
      <c r="G6350" s="112" t="s">
        <v>1091</v>
      </c>
      <c r="H6350" s="112" t="s">
        <v>1015</v>
      </c>
      <c r="I6350" s="112" t="s">
        <v>749</v>
      </c>
      <c r="J6350" s="112" t="s">
        <v>4645</v>
      </c>
      <c r="K6350" s="112" t="s">
        <v>5085</v>
      </c>
      <c r="L6350" s="116">
        <v>536.41999999999996</v>
      </c>
    </row>
    <row r="6351" spans="1:12" hidden="1" outlineLevel="1" collapsed="1" x14ac:dyDescent="0.35">
      <c r="A6351" s="112" t="s">
        <v>4632</v>
      </c>
      <c r="B6351" s="112" t="s">
        <v>4688</v>
      </c>
      <c r="C6351" s="112" t="s">
        <v>1518</v>
      </c>
      <c r="D6351" s="113">
        <v>51365694</v>
      </c>
      <c r="E6351" s="115">
        <v>43945</v>
      </c>
      <c r="F6351" s="114">
        <v>202101</v>
      </c>
      <c r="G6351" s="112" t="s">
        <v>1091</v>
      </c>
      <c r="H6351" s="112" t="s">
        <v>1016</v>
      </c>
      <c r="I6351" s="112" t="s">
        <v>2337</v>
      </c>
      <c r="J6351" s="112" t="s">
        <v>4690</v>
      </c>
      <c r="K6351" s="112" t="s">
        <v>5086</v>
      </c>
      <c r="L6351" s="116">
        <v>-51</v>
      </c>
    </row>
    <row r="6352" spans="1:12" hidden="1" outlineLevel="1" collapsed="1" x14ac:dyDescent="0.35">
      <c r="A6352" s="112" t="s">
        <v>4632</v>
      </c>
      <c r="B6352" s="112" t="s">
        <v>863</v>
      </c>
      <c r="C6352" s="112" t="s">
        <v>1511</v>
      </c>
      <c r="D6352" s="113">
        <v>47036527</v>
      </c>
      <c r="E6352" s="115">
        <v>43928</v>
      </c>
      <c r="F6352" s="114">
        <v>202101</v>
      </c>
      <c r="G6352" s="112" t="s">
        <v>1091</v>
      </c>
      <c r="H6352" s="112" t="s">
        <v>1015</v>
      </c>
      <c r="I6352" s="112" t="s">
        <v>749</v>
      </c>
      <c r="J6352" s="112" t="s">
        <v>861</v>
      </c>
      <c r="K6352" s="112" t="s">
        <v>5087</v>
      </c>
      <c r="L6352" s="116">
        <v>1721.07</v>
      </c>
    </row>
    <row r="6353" spans="1:12" hidden="1" outlineLevel="1" collapsed="1" x14ac:dyDescent="0.35">
      <c r="A6353" s="112" t="s">
        <v>4632</v>
      </c>
      <c r="B6353" s="112" t="s">
        <v>4688</v>
      </c>
      <c r="C6353" s="112" t="s">
        <v>1518</v>
      </c>
      <c r="D6353" s="113">
        <v>51365739</v>
      </c>
      <c r="E6353" s="115">
        <v>43946</v>
      </c>
      <c r="F6353" s="114">
        <v>202101</v>
      </c>
      <c r="G6353" s="112" t="s">
        <v>1091</v>
      </c>
      <c r="H6353" s="112" t="s">
        <v>1016</v>
      </c>
      <c r="I6353" s="112" t="s">
        <v>2337</v>
      </c>
      <c r="J6353" s="112" t="s">
        <v>4690</v>
      </c>
      <c r="K6353" s="112" t="s">
        <v>5088</v>
      </c>
      <c r="L6353" s="116">
        <v>-108</v>
      </c>
    </row>
    <row r="6354" spans="1:12" hidden="1" outlineLevel="1" collapsed="1" x14ac:dyDescent="0.35">
      <c r="A6354" s="112" t="s">
        <v>4632</v>
      </c>
      <c r="B6354" s="112" t="s">
        <v>4688</v>
      </c>
      <c r="C6354" s="112" t="s">
        <v>1518</v>
      </c>
      <c r="D6354" s="113">
        <v>51365738</v>
      </c>
      <c r="E6354" s="115">
        <v>43948</v>
      </c>
      <c r="F6354" s="114">
        <v>202101</v>
      </c>
      <c r="G6354" s="112" t="s">
        <v>1091</v>
      </c>
      <c r="H6354" s="112" t="s">
        <v>1016</v>
      </c>
      <c r="I6354" s="112" t="s">
        <v>2337</v>
      </c>
      <c r="J6354" s="112" t="s">
        <v>4690</v>
      </c>
      <c r="K6354" s="112" t="s">
        <v>5089</v>
      </c>
      <c r="L6354" s="116">
        <v>-51</v>
      </c>
    </row>
    <row r="6355" spans="1:12" hidden="1" outlineLevel="1" collapsed="1" x14ac:dyDescent="0.35">
      <c r="A6355" s="112" t="s">
        <v>4632</v>
      </c>
      <c r="B6355" s="112" t="s">
        <v>4688</v>
      </c>
      <c r="C6355" s="112" t="s">
        <v>1518</v>
      </c>
      <c r="D6355" s="113">
        <v>51365737</v>
      </c>
      <c r="E6355" s="115">
        <v>43948</v>
      </c>
      <c r="F6355" s="114">
        <v>202101</v>
      </c>
      <c r="G6355" s="112" t="s">
        <v>1091</v>
      </c>
      <c r="H6355" s="112" t="s">
        <v>1016</v>
      </c>
      <c r="I6355" s="112" t="s">
        <v>2337</v>
      </c>
      <c r="J6355" s="112" t="s">
        <v>4690</v>
      </c>
      <c r="K6355" s="112" t="s">
        <v>5090</v>
      </c>
      <c r="L6355" s="116">
        <v>-51</v>
      </c>
    </row>
    <row r="6356" spans="1:12" hidden="1" outlineLevel="1" collapsed="1" x14ac:dyDescent="0.35">
      <c r="A6356" s="112" t="s">
        <v>4632</v>
      </c>
      <c r="B6356" s="112" t="s">
        <v>4688</v>
      </c>
      <c r="C6356" s="112" t="s">
        <v>1518</v>
      </c>
      <c r="D6356" s="113">
        <v>51365637</v>
      </c>
      <c r="E6356" s="115">
        <v>43943</v>
      </c>
      <c r="F6356" s="114">
        <v>202101</v>
      </c>
      <c r="G6356" s="112" t="s">
        <v>1091</v>
      </c>
      <c r="H6356" s="112" t="s">
        <v>1016</v>
      </c>
      <c r="I6356" s="112" t="s">
        <v>2337</v>
      </c>
      <c r="J6356" s="112" t="s">
        <v>4690</v>
      </c>
      <c r="K6356" s="112" t="s">
        <v>5091</v>
      </c>
      <c r="L6356" s="116">
        <v>-51</v>
      </c>
    </row>
    <row r="6357" spans="1:12" hidden="1" outlineLevel="1" collapsed="1" x14ac:dyDescent="0.35">
      <c r="A6357" s="112" t="s">
        <v>4632</v>
      </c>
      <c r="B6357" s="112" t="s">
        <v>4688</v>
      </c>
      <c r="C6357" s="112" t="s">
        <v>1518</v>
      </c>
      <c r="D6357" s="113">
        <v>51365636</v>
      </c>
      <c r="E6357" s="115">
        <v>43923</v>
      </c>
      <c r="F6357" s="114">
        <v>202101</v>
      </c>
      <c r="G6357" s="112" t="s">
        <v>1091</v>
      </c>
      <c r="H6357" s="112" t="s">
        <v>1016</v>
      </c>
      <c r="I6357" s="112" t="s">
        <v>2337</v>
      </c>
      <c r="J6357" s="112" t="s">
        <v>4690</v>
      </c>
      <c r="K6357" s="112" t="s">
        <v>5092</v>
      </c>
      <c r="L6357" s="116">
        <v>-54</v>
      </c>
    </row>
    <row r="6358" spans="1:12" hidden="1" outlineLevel="1" collapsed="1" x14ac:dyDescent="0.35">
      <c r="A6358" s="112" t="s">
        <v>4632</v>
      </c>
      <c r="B6358" s="112" t="s">
        <v>4688</v>
      </c>
      <c r="C6358" s="112" t="s">
        <v>1518</v>
      </c>
      <c r="D6358" s="113">
        <v>51365635</v>
      </c>
      <c r="E6358" s="115">
        <v>43943</v>
      </c>
      <c r="F6358" s="114">
        <v>202101</v>
      </c>
      <c r="G6358" s="112" t="s">
        <v>1091</v>
      </c>
      <c r="H6358" s="112" t="s">
        <v>1016</v>
      </c>
      <c r="I6358" s="112" t="s">
        <v>2337</v>
      </c>
      <c r="J6358" s="112" t="s">
        <v>4690</v>
      </c>
      <c r="K6358" s="112" t="s">
        <v>5093</v>
      </c>
      <c r="L6358" s="116">
        <v>-51</v>
      </c>
    </row>
    <row r="6359" spans="1:12" hidden="1" outlineLevel="1" collapsed="1" x14ac:dyDescent="0.35">
      <c r="A6359" s="112" t="s">
        <v>4632</v>
      </c>
      <c r="B6359" s="112" t="s">
        <v>4688</v>
      </c>
      <c r="C6359" s="112" t="s">
        <v>1518</v>
      </c>
      <c r="D6359" s="113">
        <v>51365634</v>
      </c>
      <c r="E6359" s="115">
        <v>43943</v>
      </c>
      <c r="F6359" s="114">
        <v>202101</v>
      </c>
      <c r="G6359" s="112" t="s">
        <v>1091</v>
      </c>
      <c r="H6359" s="112" t="s">
        <v>1016</v>
      </c>
      <c r="I6359" s="112" t="s">
        <v>2337</v>
      </c>
      <c r="J6359" s="112" t="s">
        <v>4690</v>
      </c>
      <c r="K6359" s="112" t="s">
        <v>5094</v>
      </c>
      <c r="L6359" s="116">
        <v>-51</v>
      </c>
    </row>
    <row r="6360" spans="1:12" hidden="1" outlineLevel="1" collapsed="1" x14ac:dyDescent="0.35">
      <c r="A6360" s="112" t="s">
        <v>4632</v>
      </c>
      <c r="B6360" s="112" t="s">
        <v>4688</v>
      </c>
      <c r="C6360" s="112" t="s">
        <v>1518</v>
      </c>
      <c r="D6360" s="113">
        <v>51365633</v>
      </c>
      <c r="E6360" s="115">
        <v>43943</v>
      </c>
      <c r="F6360" s="114">
        <v>202101</v>
      </c>
      <c r="G6360" s="112" t="s">
        <v>1091</v>
      </c>
      <c r="H6360" s="112" t="s">
        <v>1016</v>
      </c>
      <c r="I6360" s="112" t="s">
        <v>2337</v>
      </c>
      <c r="J6360" s="112" t="s">
        <v>4690</v>
      </c>
      <c r="K6360" s="112" t="s">
        <v>5095</v>
      </c>
      <c r="L6360" s="116">
        <v>-51</v>
      </c>
    </row>
    <row r="6361" spans="1:12" hidden="1" outlineLevel="1" collapsed="1" x14ac:dyDescent="0.35">
      <c r="A6361" s="112" t="s">
        <v>4632</v>
      </c>
      <c r="B6361" s="112" t="s">
        <v>4650</v>
      </c>
      <c r="C6361" s="112" t="s">
        <v>1511</v>
      </c>
      <c r="D6361" s="113">
        <v>47036568</v>
      </c>
      <c r="E6361" s="115">
        <v>43928</v>
      </c>
      <c r="F6361" s="114">
        <v>202101</v>
      </c>
      <c r="G6361" s="112" t="s">
        <v>1091</v>
      </c>
      <c r="H6361" s="112" t="s">
        <v>1015</v>
      </c>
      <c r="I6361" s="112" t="s">
        <v>749</v>
      </c>
      <c r="J6361" s="112" t="s">
        <v>4651</v>
      </c>
      <c r="K6361" s="112" t="s">
        <v>5096</v>
      </c>
      <c r="L6361" s="116">
        <v>73.900000000000006</v>
      </c>
    </row>
    <row r="6362" spans="1:12" hidden="1" outlineLevel="1" collapsed="1" x14ac:dyDescent="0.35">
      <c r="A6362" s="112" t="s">
        <v>4632</v>
      </c>
      <c r="B6362" s="112" t="s">
        <v>863</v>
      </c>
      <c r="C6362" s="112" t="s">
        <v>1511</v>
      </c>
      <c r="D6362" s="113">
        <v>47036566</v>
      </c>
      <c r="E6362" s="115">
        <v>43928</v>
      </c>
      <c r="F6362" s="114">
        <v>202101</v>
      </c>
      <c r="G6362" s="112" t="s">
        <v>1091</v>
      </c>
      <c r="H6362" s="112" t="s">
        <v>1015</v>
      </c>
      <c r="I6362" s="112" t="s">
        <v>749</v>
      </c>
      <c r="J6362" s="112" t="s">
        <v>856</v>
      </c>
      <c r="K6362" s="112" t="s">
        <v>5097</v>
      </c>
      <c r="L6362" s="116">
        <v>1188.72</v>
      </c>
    </row>
    <row r="6363" spans="1:12" hidden="1" outlineLevel="1" collapsed="1" x14ac:dyDescent="0.35">
      <c r="A6363" s="112" t="s">
        <v>4632</v>
      </c>
      <c r="B6363" s="112" t="s">
        <v>4639</v>
      </c>
      <c r="C6363" s="112" t="s">
        <v>1511</v>
      </c>
      <c r="D6363" s="113">
        <v>47036564</v>
      </c>
      <c r="E6363" s="115">
        <v>43928</v>
      </c>
      <c r="F6363" s="114">
        <v>202101</v>
      </c>
      <c r="G6363" s="112" t="s">
        <v>1091</v>
      </c>
      <c r="H6363" s="112" t="s">
        <v>1015</v>
      </c>
      <c r="I6363" s="112" t="s">
        <v>749</v>
      </c>
      <c r="J6363" s="112" t="s">
        <v>4640</v>
      </c>
      <c r="K6363" s="112" t="s">
        <v>5098</v>
      </c>
      <c r="L6363" s="116">
        <v>1347.16</v>
      </c>
    </row>
    <row r="6364" spans="1:12" hidden="1" outlineLevel="1" collapsed="1" x14ac:dyDescent="0.35">
      <c r="A6364" s="112" t="s">
        <v>4632</v>
      </c>
      <c r="B6364" s="112" t="s">
        <v>4650</v>
      </c>
      <c r="C6364" s="112" t="s">
        <v>1511</v>
      </c>
      <c r="D6364" s="113">
        <v>47036546</v>
      </c>
      <c r="E6364" s="115">
        <v>43928</v>
      </c>
      <c r="F6364" s="114">
        <v>202101</v>
      </c>
      <c r="G6364" s="112" t="s">
        <v>1091</v>
      </c>
      <c r="H6364" s="112" t="s">
        <v>1015</v>
      </c>
      <c r="I6364" s="112" t="s">
        <v>749</v>
      </c>
      <c r="J6364" s="112" t="s">
        <v>4651</v>
      </c>
      <c r="K6364" s="112" t="s">
        <v>5050</v>
      </c>
      <c r="L6364" s="116">
        <v>27.04</v>
      </c>
    </row>
    <row r="6365" spans="1:12" hidden="1" outlineLevel="1" collapsed="1" x14ac:dyDescent="0.35">
      <c r="A6365" s="112" t="s">
        <v>4632</v>
      </c>
      <c r="B6365" s="112" t="s">
        <v>4650</v>
      </c>
      <c r="C6365" s="112" t="s">
        <v>1511</v>
      </c>
      <c r="D6365" s="113">
        <v>47036535</v>
      </c>
      <c r="E6365" s="115">
        <v>43928</v>
      </c>
      <c r="F6365" s="114">
        <v>202101</v>
      </c>
      <c r="G6365" s="112" t="s">
        <v>1091</v>
      </c>
      <c r="H6365" s="112" t="s">
        <v>1015</v>
      </c>
      <c r="I6365" s="112" t="s">
        <v>749</v>
      </c>
      <c r="J6365" s="112" t="s">
        <v>4651</v>
      </c>
      <c r="K6365" s="112" t="s">
        <v>5099</v>
      </c>
      <c r="L6365" s="116">
        <v>38.47</v>
      </c>
    </row>
    <row r="6366" spans="1:12" hidden="1" outlineLevel="1" collapsed="1" x14ac:dyDescent="0.35">
      <c r="A6366" s="112" t="s">
        <v>4632</v>
      </c>
      <c r="B6366" s="112" t="s">
        <v>863</v>
      </c>
      <c r="C6366" s="112" t="s">
        <v>1511</v>
      </c>
      <c r="D6366" s="113">
        <v>47036528</v>
      </c>
      <c r="E6366" s="115">
        <v>43928</v>
      </c>
      <c r="F6366" s="114">
        <v>202101</v>
      </c>
      <c r="G6366" s="112" t="s">
        <v>1091</v>
      </c>
      <c r="H6366" s="112" t="s">
        <v>1015</v>
      </c>
      <c r="I6366" s="112" t="s">
        <v>749</v>
      </c>
      <c r="J6366" s="112" t="s">
        <v>821</v>
      </c>
      <c r="K6366" s="112" t="s">
        <v>5100</v>
      </c>
      <c r="L6366" s="116">
        <v>1301.49</v>
      </c>
    </row>
    <row r="6367" spans="1:12" hidden="1" outlineLevel="1" collapsed="1" x14ac:dyDescent="0.35">
      <c r="A6367" s="112" t="s">
        <v>4632</v>
      </c>
      <c r="B6367" s="112" t="s">
        <v>4650</v>
      </c>
      <c r="C6367" s="112" t="s">
        <v>1511</v>
      </c>
      <c r="D6367" s="113">
        <v>47036525</v>
      </c>
      <c r="E6367" s="115">
        <v>43928</v>
      </c>
      <c r="F6367" s="114">
        <v>202101</v>
      </c>
      <c r="G6367" s="112" t="s">
        <v>1091</v>
      </c>
      <c r="H6367" s="112" t="s">
        <v>1015</v>
      </c>
      <c r="I6367" s="112" t="s">
        <v>749</v>
      </c>
      <c r="J6367" s="112" t="s">
        <v>4651</v>
      </c>
      <c r="K6367" s="112" t="s">
        <v>5101</v>
      </c>
      <c r="L6367" s="116">
        <v>152.86000000000001</v>
      </c>
    </row>
    <row r="6368" spans="1:12" hidden="1" outlineLevel="1" collapsed="1" x14ac:dyDescent="0.35">
      <c r="A6368" s="112" t="s">
        <v>4632</v>
      </c>
      <c r="B6368" s="112" t="s">
        <v>4650</v>
      </c>
      <c r="C6368" s="112" t="s">
        <v>1511</v>
      </c>
      <c r="D6368" s="113">
        <v>47036524</v>
      </c>
      <c r="E6368" s="115">
        <v>43928</v>
      </c>
      <c r="F6368" s="114">
        <v>202101</v>
      </c>
      <c r="G6368" s="112" t="s">
        <v>1091</v>
      </c>
      <c r="H6368" s="112" t="s">
        <v>1015</v>
      </c>
      <c r="I6368" s="112" t="s">
        <v>749</v>
      </c>
      <c r="J6368" s="112" t="s">
        <v>4651</v>
      </c>
      <c r="K6368" s="112" t="s">
        <v>5102</v>
      </c>
      <c r="L6368" s="116">
        <v>38.85</v>
      </c>
    </row>
    <row r="6369" spans="1:12" hidden="1" outlineLevel="1" collapsed="1" x14ac:dyDescent="0.35">
      <c r="A6369" s="112" t="s">
        <v>4632</v>
      </c>
      <c r="B6369" s="112" t="s">
        <v>4650</v>
      </c>
      <c r="C6369" s="112" t="s">
        <v>1511</v>
      </c>
      <c r="D6369" s="113">
        <v>47036523</v>
      </c>
      <c r="E6369" s="115">
        <v>43928</v>
      </c>
      <c r="F6369" s="114">
        <v>202101</v>
      </c>
      <c r="G6369" s="112" t="s">
        <v>1091</v>
      </c>
      <c r="H6369" s="112" t="s">
        <v>1015</v>
      </c>
      <c r="I6369" s="112" t="s">
        <v>749</v>
      </c>
      <c r="J6369" s="112" t="s">
        <v>4651</v>
      </c>
      <c r="K6369" s="112" t="s">
        <v>5103</v>
      </c>
      <c r="L6369" s="116">
        <v>42.14</v>
      </c>
    </row>
    <row r="6370" spans="1:12" hidden="1" outlineLevel="1" collapsed="1" x14ac:dyDescent="0.35">
      <c r="A6370" s="112" t="s">
        <v>4632</v>
      </c>
      <c r="B6370" s="112" t="s">
        <v>4644</v>
      </c>
      <c r="C6370" s="112" t="s">
        <v>1511</v>
      </c>
      <c r="D6370" s="113">
        <v>47036526</v>
      </c>
      <c r="E6370" s="115">
        <v>43928</v>
      </c>
      <c r="F6370" s="114">
        <v>202101</v>
      </c>
      <c r="G6370" s="112" t="s">
        <v>1091</v>
      </c>
      <c r="H6370" s="112" t="s">
        <v>1015</v>
      </c>
      <c r="I6370" s="112" t="s">
        <v>749</v>
      </c>
      <c r="J6370" s="112" t="s">
        <v>4645</v>
      </c>
      <c r="K6370" s="112" t="s">
        <v>5104</v>
      </c>
      <c r="L6370" s="116">
        <v>233.15</v>
      </c>
    </row>
    <row r="6371" spans="1:12" hidden="1" outlineLevel="1" collapsed="1" x14ac:dyDescent="0.35">
      <c r="A6371" s="112" t="s">
        <v>4632</v>
      </c>
      <c r="B6371" s="112" t="s">
        <v>4688</v>
      </c>
      <c r="C6371" s="112" t="s">
        <v>1518</v>
      </c>
      <c r="D6371" s="113">
        <v>51365740</v>
      </c>
      <c r="E6371" s="115">
        <v>43946</v>
      </c>
      <c r="F6371" s="114">
        <v>202101</v>
      </c>
      <c r="G6371" s="112" t="s">
        <v>1091</v>
      </c>
      <c r="H6371" s="112" t="s">
        <v>1016</v>
      </c>
      <c r="I6371" s="112" t="s">
        <v>2337</v>
      </c>
      <c r="J6371" s="112" t="s">
        <v>4690</v>
      </c>
      <c r="K6371" s="112" t="s">
        <v>5105</v>
      </c>
      <c r="L6371" s="116">
        <v>-54</v>
      </c>
    </row>
    <row r="6372" spans="1:12" hidden="1" outlineLevel="1" collapsed="1" x14ac:dyDescent="0.35">
      <c r="A6372" s="112" t="s">
        <v>4632</v>
      </c>
      <c r="B6372" s="112" t="s">
        <v>863</v>
      </c>
      <c r="C6372" s="112" t="s">
        <v>1511</v>
      </c>
      <c r="D6372" s="113">
        <v>47036518</v>
      </c>
      <c r="E6372" s="115">
        <v>43928</v>
      </c>
      <c r="F6372" s="114">
        <v>202101</v>
      </c>
      <c r="G6372" s="112" t="s">
        <v>1091</v>
      </c>
      <c r="H6372" s="112" t="s">
        <v>1015</v>
      </c>
      <c r="I6372" s="112" t="s">
        <v>749</v>
      </c>
      <c r="J6372" s="112" t="s">
        <v>821</v>
      </c>
      <c r="K6372" s="112" t="s">
        <v>5106</v>
      </c>
      <c r="L6372" s="116">
        <v>4376.54</v>
      </c>
    </row>
    <row r="6373" spans="1:12" hidden="1" outlineLevel="1" collapsed="1" x14ac:dyDescent="0.35">
      <c r="A6373" s="112" t="s">
        <v>4632</v>
      </c>
      <c r="B6373" s="112" t="s">
        <v>4644</v>
      </c>
      <c r="C6373" s="112" t="s">
        <v>1511</v>
      </c>
      <c r="D6373" s="113">
        <v>47036504</v>
      </c>
      <c r="E6373" s="115">
        <v>43928</v>
      </c>
      <c r="F6373" s="114">
        <v>202101</v>
      </c>
      <c r="G6373" s="112" t="s">
        <v>1091</v>
      </c>
      <c r="H6373" s="112" t="s">
        <v>1015</v>
      </c>
      <c r="I6373" s="112" t="s">
        <v>749</v>
      </c>
      <c r="J6373" s="112" t="s">
        <v>4645</v>
      </c>
      <c r="K6373" s="112" t="s">
        <v>5107</v>
      </c>
      <c r="L6373" s="116">
        <v>56.06</v>
      </c>
    </row>
    <row r="6374" spans="1:12" hidden="1" outlineLevel="1" collapsed="1" x14ac:dyDescent="0.35">
      <c r="A6374" s="112" t="s">
        <v>4632</v>
      </c>
      <c r="B6374" s="112" t="s">
        <v>4644</v>
      </c>
      <c r="C6374" s="112" t="s">
        <v>1511</v>
      </c>
      <c r="D6374" s="113">
        <v>47036503</v>
      </c>
      <c r="E6374" s="115">
        <v>43928</v>
      </c>
      <c r="F6374" s="114">
        <v>202101</v>
      </c>
      <c r="G6374" s="112" t="s">
        <v>1091</v>
      </c>
      <c r="H6374" s="112" t="s">
        <v>1015</v>
      </c>
      <c r="I6374" s="112" t="s">
        <v>749</v>
      </c>
      <c r="J6374" s="112" t="s">
        <v>4645</v>
      </c>
      <c r="K6374" s="112" t="s">
        <v>5108</v>
      </c>
      <c r="L6374" s="116">
        <v>78.62</v>
      </c>
    </row>
    <row r="6375" spans="1:12" hidden="1" outlineLevel="1" collapsed="1" x14ac:dyDescent="0.35">
      <c r="A6375" s="112" t="s">
        <v>4632</v>
      </c>
      <c r="B6375" s="112" t="s">
        <v>4644</v>
      </c>
      <c r="C6375" s="112" t="s">
        <v>1511</v>
      </c>
      <c r="D6375" s="113">
        <v>47036501</v>
      </c>
      <c r="E6375" s="115">
        <v>43928</v>
      </c>
      <c r="F6375" s="114">
        <v>202101</v>
      </c>
      <c r="G6375" s="112" t="s">
        <v>1091</v>
      </c>
      <c r="H6375" s="112" t="s">
        <v>1015</v>
      </c>
      <c r="I6375" s="112" t="s">
        <v>749</v>
      </c>
      <c r="J6375" s="112" t="s">
        <v>4645</v>
      </c>
      <c r="K6375" s="112" t="s">
        <v>5109</v>
      </c>
      <c r="L6375" s="116">
        <v>112.55</v>
      </c>
    </row>
    <row r="6376" spans="1:12" hidden="1" outlineLevel="1" collapsed="1" x14ac:dyDescent="0.35">
      <c r="A6376" s="112" t="s">
        <v>4632</v>
      </c>
      <c r="B6376" s="112" t="s">
        <v>863</v>
      </c>
      <c r="C6376" s="112" t="s">
        <v>1511</v>
      </c>
      <c r="D6376" s="113">
        <v>47036487</v>
      </c>
      <c r="E6376" s="115">
        <v>43923</v>
      </c>
      <c r="F6376" s="114">
        <v>202101</v>
      </c>
      <c r="G6376" s="112" t="s">
        <v>1091</v>
      </c>
      <c r="H6376" s="112" t="s">
        <v>1015</v>
      </c>
      <c r="I6376" s="112" t="s">
        <v>749</v>
      </c>
      <c r="J6376" s="112" t="s">
        <v>787</v>
      </c>
      <c r="K6376" s="112" t="s">
        <v>5110</v>
      </c>
      <c r="L6376" s="116">
        <v>87.88</v>
      </c>
    </row>
    <row r="6377" spans="1:12" hidden="1" outlineLevel="1" collapsed="1" x14ac:dyDescent="0.35">
      <c r="A6377" s="112" t="s">
        <v>4632</v>
      </c>
      <c r="B6377" s="112" t="s">
        <v>863</v>
      </c>
      <c r="C6377" s="112" t="s">
        <v>1511</v>
      </c>
      <c r="D6377" s="113">
        <v>47036486</v>
      </c>
      <c r="E6377" s="115">
        <v>43923</v>
      </c>
      <c r="F6377" s="114">
        <v>202101</v>
      </c>
      <c r="G6377" s="112" t="s">
        <v>1091</v>
      </c>
      <c r="H6377" s="112" t="s">
        <v>1015</v>
      </c>
      <c r="I6377" s="112" t="s">
        <v>749</v>
      </c>
      <c r="J6377" s="112" t="s">
        <v>787</v>
      </c>
      <c r="K6377" s="112" t="s">
        <v>5111</v>
      </c>
      <c r="L6377" s="116">
        <v>1674.84</v>
      </c>
    </row>
    <row r="6378" spans="1:12" hidden="1" outlineLevel="1" collapsed="1" x14ac:dyDescent="0.35">
      <c r="A6378" s="112" t="s">
        <v>4632</v>
      </c>
      <c r="B6378" s="112" t="s">
        <v>4650</v>
      </c>
      <c r="C6378" s="112" t="s">
        <v>695</v>
      </c>
      <c r="D6378" s="113">
        <v>10348098</v>
      </c>
      <c r="E6378" s="115">
        <v>43929</v>
      </c>
      <c r="F6378" s="114">
        <v>202101</v>
      </c>
      <c r="G6378" s="112" t="s">
        <v>1091</v>
      </c>
      <c r="H6378" s="112" t="s">
        <v>1015</v>
      </c>
      <c r="I6378" s="112" t="s">
        <v>749</v>
      </c>
      <c r="J6378" s="112" t="s">
        <v>4651</v>
      </c>
      <c r="K6378" s="112" t="s">
        <v>5112</v>
      </c>
      <c r="L6378" s="116">
        <v>39.340000000000003</v>
      </c>
    </row>
    <row r="6379" spans="1:12" hidden="1" outlineLevel="1" collapsed="1" x14ac:dyDescent="0.35">
      <c r="A6379" s="112" t="s">
        <v>4632</v>
      </c>
      <c r="B6379" s="112" t="s">
        <v>4650</v>
      </c>
      <c r="C6379" s="112" t="s">
        <v>695</v>
      </c>
      <c r="D6379" s="113">
        <v>10348098</v>
      </c>
      <c r="E6379" s="115">
        <v>43929</v>
      </c>
      <c r="F6379" s="114">
        <v>202101</v>
      </c>
      <c r="G6379" s="112" t="s">
        <v>1091</v>
      </c>
      <c r="H6379" s="112" t="s">
        <v>1015</v>
      </c>
      <c r="I6379" s="112" t="s">
        <v>749</v>
      </c>
      <c r="J6379" s="112" t="s">
        <v>4651</v>
      </c>
      <c r="K6379" s="112" t="s">
        <v>5113</v>
      </c>
      <c r="L6379" s="116">
        <v>38.32</v>
      </c>
    </row>
    <row r="6380" spans="1:12" hidden="1" outlineLevel="1" collapsed="1" x14ac:dyDescent="0.35">
      <c r="A6380" s="112" t="s">
        <v>4632</v>
      </c>
      <c r="B6380" s="112" t="s">
        <v>4644</v>
      </c>
      <c r="C6380" s="112" t="s">
        <v>695</v>
      </c>
      <c r="D6380" s="113">
        <v>10348098</v>
      </c>
      <c r="E6380" s="115">
        <v>43929</v>
      </c>
      <c r="F6380" s="114">
        <v>202101</v>
      </c>
      <c r="G6380" s="112" t="s">
        <v>1091</v>
      </c>
      <c r="H6380" s="112" t="s">
        <v>1015</v>
      </c>
      <c r="I6380" s="112" t="s">
        <v>749</v>
      </c>
      <c r="J6380" s="112" t="s">
        <v>4645</v>
      </c>
      <c r="K6380" s="112" t="s">
        <v>5114</v>
      </c>
      <c r="L6380" s="116">
        <v>73.930000000000007</v>
      </c>
    </row>
    <row r="6381" spans="1:12" hidden="1" outlineLevel="1" collapsed="1" x14ac:dyDescent="0.35">
      <c r="A6381" s="112" t="s">
        <v>4632</v>
      </c>
      <c r="B6381" s="112" t="s">
        <v>4644</v>
      </c>
      <c r="C6381" s="112" t="s">
        <v>695</v>
      </c>
      <c r="D6381" s="113">
        <v>10348098</v>
      </c>
      <c r="E6381" s="115">
        <v>43929</v>
      </c>
      <c r="F6381" s="114">
        <v>202101</v>
      </c>
      <c r="G6381" s="112" t="s">
        <v>1091</v>
      </c>
      <c r="H6381" s="112" t="s">
        <v>1015</v>
      </c>
      <c r="I6381" s="112" t="s">
        <v>749</v>
      </c>
      <c r="J6381" s="112" t="s">
        <v>4645</v>
      </c>
      <c r="K6381" s="112" t="s">
        <v>5115</v>
      </c>
      <c r="L6381" s="116">
        <v>161.77000000000001</v>
      </c>
    </row>
    <row r="6382" spans="1:12" hidden="1" outlineLevel="1" collapsed="1" x14ac:dyDescent="0.35">
      <c r="A6382" s="112" t="s">
        <v>4632</v>
      </c>
      <c r="B6382" s="112" t="s">
        <v>4644</v>
      </c>
      <c r="C6382" s="112" t="s">
        <v>695</v>
      </c>
      <c r="D6382" s="113">
        <v>10348098</v>
      </c>
      <c r="E6382" s="115">
        <v>43929</v>
      </c>
      <c r="F6382" s="114">
        <v>202101</v>
      </c>
      <c r="G6382" s="112" t="s">
        <v>1091</v>
      </c>
      <c r="H6382" s="112" t="s">
        <v>1015</v>
      </c>
      <c r="I6382" s="112" t="s">
        <v>757</v>
      </c>
      <c r="J6382" s="112" t="s">
        <v>4645</v>
      </c>
      <c r="K6382" s="112" t="s">
        <v>5116</v>
      </c>
      <c r="L6382" s="116">
        <v>163.27000000000001</v>
      </c>
    </row>
    <row r="6383" spans="1:12" hidden="1" outlineLevel="1" collapsed="1" x14ac:dyDescent="0.35">
      <c r="A6383" s="112" t="s">
        <v>4632</v>
      </c>
      <c r="B6383" s="112" t="s">
        <v>4644</v>
      </c>
      <c r="C6383" s="112" t="s">
        <v>695</v>
      </c>
      <c r="D6383" s="113">
        <v>10348098</v>
      </c>
      <c r="E6383" s="115">
        <v>43929</v>
      </c>
      <c r="F6383" s="114">
        <v>202101</v>
      </c>
      <c r="G6383" s="112" t="s">
        <v>1091</v>
      </c>
      <c r="H6383" s="112" t="s">
        <v>1015</v>
      </c>
      <c r="I6383" s="112" t="s">
        <v>757</v>
      </c>
      <c r="J6383" s="112" t="s">
        <v>4645</v>
      </c>
      <c r="K6383" s="112" t="s">
        <v>5117</v>
      </c>
      <c r="L6383" s="116">
        <v>-487.66</v>
      </c>
    </row>
    <row r="6384" spans="1:12" hidden="1" outlineLevel="1" collapsed="1" x14ac:dyDescent="0.35">
      <c r="A6384" s="112" t="s">
        <v>4632</v>
      </c>
      <c r="B6384" s="112" t="s">
        <v>4644</v>
      </c>
      <c r="C6384" s="112" t="s">
        <v>695</v>
      </c>
      <c r="D6384" s="113">
        <v>10348098</v>
      </c>
      <c r="E6384" s="115">
        <v>43929</v>
      </c>
      <c r="F6384" s="114">
        <v>202101</v>
      </c>
      <c r="G6384" s="112" t="s">
        <v>1091</v>
      </c>
      <c r="H6384" s="112" t="s">
        <v>1015</v>
      </c>
      <c r="I6384" s="112" t="s">
        <v>751</v>
      </c>
      <c r="J6384" s="112" t="s">
        <v>4645</v>
      </c>
      <c r="K6384" s="112" t="s">
        <v>5118</v>
      </c>
      <c r="L6384" s="116">
        <v>554.55999999999995</v>
      </c>
    </row>
    <row r="6385" spans="1:12" hidden="1" outlineLevel="1" collapsed="1" x14ac:dyDescent="0.35">
      <c r="A6385" s="112" t="s">
        <v>4632</v>
      </c>
      <c r="B6385" s="112" t="s">
        <v>4644</v>
      </c>
      <c r="C6385" s="112" t="s">
        <v>695</v>
      </c>
      <c r="D6385" s="113">
        <v>10348098</v>
      </c>
      <c r="E6385" s="115">
        <v>43929</v>
      </c>
      <c r="F6385" s="114">
        <v>202101</v>
      </c>
      <c r="G6385" s="112" t="s">
        <v>1091</v>
      </c>
      <c r="H6385" s="112" t="s">
        <v>1015</v>
      </c>
      <c r="I6385" s="112" t="s">
        <v>751</v>
      </c>
      <c r="J6385" s="112" t="s">
        <v>4645</v>
      </c>
      <c r="K6385" s="112" t="s">
        <v>5118</v>
      </c>
      <c r="L6385" s="116">
        <v>-554.55999999999995</v>
      </c>
    </row>
    <row r="6386" spans="1:12" hidden="1" outlineLevel="1" collapsed="1" x14ac:dyDescent="0.35">
      <c r="A6386" s="112" t="s">
        <v>4632</v>
      </c>
      <c r="B6386" s="112" t="s">
        <v>4644</v>
      </c>
      <c r="C6386" s="112" t="s">
        <v>695</v>
      </c>
      <c r="D6386" s="113">
        <v>10348098</v>
      </c>
      <c r="E6386" s="115">
        <v>43929</v>
      </c>
      <c r="F6386" s="114">
        <v>202101</v>
      </c>
      <c r="G6386" s="112" t="s">
        <v>1091</v>
      </c>
      <c r="H6386" s="112" t="s">
        <v>1015</v>
      </c>
      <c r="I6386" s="112" t="s">
        <v>751</v>
      </c>
      <c r="J6386" s="112" t="s">
        <v>4645</v>
      </c>
      <c r="K6386" s="112" t="s">
        <v>5119</v>
      </c>
      <c r="L6386" s="116">
        <v>508.84</v>
      </c>
    </row>
    <row r="6387" spans="1:12" hidden="1" outlineLevel="1" collapsed="1" x14ac:dyDescent="0.35">
      <c r="A6387" s="112" t="s">
        <v>4632</v>
      </c>
      <c r="B6387" s="112" t="s">
        <v>4639</v>
      </c>
      <c r="C6387" s="112" t="s">
        <v>695</v>
      </c>
      <c r="D6387" s="113">
        <v>10348098</v>
      </c>
      <c r="E6387" s="115">
        <v>43929</v>
      </c>
      <c r="F6387" s="114">
        <v>202101</v>
      </c>
      <c r="G6387" s="112" t="s">
        <v>1091</v>
      </c>
      <c r="H6387" s="112" t="s">
        <v>1015</v>
      </c>
      <c r="I6387" s="112" t="s">
        <v>751</v>
      </c>
      <c r="J6387" s="112" t="s">
        <v>4640</v>
      </c>
      <c r="K6387" s="112" t="s">
        <v>5120</v>
      </c>
      <c r="L6387" s="116">
        <v>2862.58</v>
      </c>
    </row>
    <row r="6388" spans="1:12" hidden="1" outlineLevel="1" collapsed="1" x14ac:dyDescent="0.35">
      <c r="A6388" s="112" t="s">
        <v>4632</v>
      </c>
      <c r="B6388" s="112" t="s">
        <v>863</v>
      </c>
      <c r="C6388" s="112" t="s">
        <v>695</v>
      </c>
      <c r="D6388" s="113">
        <v>10348098</v>
      </c>
      <c r="E6388" s="115">
        <v>43929</v>
      </c>
      <c r="F6388" s="114">
        <v>202101</v>
      </c>
      <c r="G6388" s="112" t="s">
        <v>1091</v>
      </c>
      <c r="H6388" s="112" t="s">
        <v>1015</v>
      </c>
      <c r="I6388" s="112" t="s">
        <v>757</v>
      </c>
      <c r="J6388" s="112" t="s">
        <v>787</v>
      </c>
      <c r="K6388" s="112" t="s">
        <v>5121</v>
      </c>
      <c r="L6388" s="116">
        <v>1737.15</v>
      </c>
    </row>
    <row r="6389" spans="1:12" hidden="1" outlineLevel="1" collapsed="1" x14ac:dyDescent="0.35">
      <c r="A6389" s="112" t="s">
        <v>4632</v>
      </c>
      <c r="B6389" s="112" t="s">
        <v>863</v>
      </c>
      <c r="C6389" s="112" t="s">
        <v>695</v>
      </c>
      <c r="D6389" s="113">
        <v>10348098</v>
      </c>
      <c r="E6389" s="115">
        <v>43929</v>
      </c>
      <c r="F6389" s="114">
        <v>202101</v>
      </c>
      <c r="G6389" s="112" t="s">
        <v>1091</v>
      </c>
      <c r="H6389" s="112" t="s">
        <v>1015</v>
      </c>
      <c r="I6389" s="112" t="s">
        <v>749</v>
      </c>
      <c r="J6389" s="112" t="s">
        <v>821</v>
      </c>
      <c r="K6389" s="112" t="s">
        <v>5122</v>
      </c>
      <c r="L6389" s="116">
        <v>134.16999999999999</v>
      </c>
    </row>
    <row r="6390" spans="1:12" hidden="1" outlineLevel="1" collapsed="1" x14ac:dyDescent="0.35">
      <c r="A6390" s="112" t="s">
        <v>4632</v>
      </c>
      <c r="B6390" s="112" t="s">
        <v>863</v>
      </c>
      <c r="C6390" s="112" t="s">
        <v>695</v>
      </c>
      <c r="D6390" s="113">
        <v>10348098</v>
      </c>
      <c r="E6390" s="115">
        <v>43929</v>
      </c>
      <c r="F6390" s="114">
        <v>202101</v>
      </c>
      <c r="G6390" s="112" t="s">
        <v>1091</v>
      </c>
      <c r="H6390" s="112" t="s">
        <v>1015</v>
      </c>
      <c r="I6390" s="112" t="s">
        <v>749</v>
      </c>
      <c r="J6390" s="112" t="s">
        <v>821</v>
      </c>
      <c r="K6390" s="112" t="s">
        <v>5123</v>
      </c>
      <c r="L6390" s="116">
        <v>133.04</v>
      </c>
    </row>
    <row r="6391" spans="1:12" hidden="1" outlineLevel="1" collapsed="1" x14ac:dyDescent="0.35">
      <c r="A6391" s="112" t="s">
        <v>4632</v>
      </c>
      <c r="B6391" s="112" t="s">
        <v>4650</v>
      </c>
      <c r="C6391" s="112" t="s">
        <v>695</v>
      </c>
      <c r="D6391" s="113">
        <v>10348098</v>
      </c>
      <c r="E6391" s="115">
        <v>43929</v>
      </c>
      <c r="F6391" s="114">
        <v>202101</v>
      </c>
      <c r="G6391" s="112" t="s">
        <v>1091</v>
      </c>
      <c r="H6391" s="112" t="s">
        <v>1015</v>
      </c>
      <c r="I6391" s="112" t="s">
        <v>749</v>
      </c>
      <c r="J6391" s="112" t="s">
        <v>4651</v>
      </c>
      <c r="K6391" s="112" t="s">
        <v>5124</v>
      </c>
      <c r="L6391" s="116">
        <v>100.58</v>
      </c>
    </row>
    <row r="6392" spans="1:12" hidden="1" outlineLevel="1" collapsed="1" x14ac:dyDescent="0.35">
      <c r="A6392" s="112" t="s">
        <v>4632</v>
      </c>
      <c r="B6392" s="112" t="s">
        <v>4688</v>
      </c>
      <c r="C6392" s="112" t="s">
        <v>1518</v>
      </c>
      <c r="D6392" s="113">
        <v>51365741</v>
      </c>
      <c r="E6392" s="115">
        <v>43946</v>
      </c>
      <c r="F6392" s="114">
        <v>202101</v>
      </c>
      <c r="G6392" s="112" t="s">
        <v>1091</v>
      </c>
      <c r="H6392" s="112" t="s">
        <v>1016</v>
      </c>
      <c r="I6392" s="112" t="s">
        <v>2337</v>
      </c>
      <c r="J6392" s="112" t="s">
        <v>4690</v>
      </c>
      <c r="K6392" s="112" t="s">
        <v>5125</v>
      </c>
      <c r="L6392" s="116">
        <v>-54</v>
      </c>
    </row>
    <row r="6393" spans="1:12" hidden="1" outlineLevel="1" collapsed="1" x14ac:dyDescent="0.35">
      <c r="A6393" s="112" t="s">
        <v>4632</v>
      </c>
      <c r="B6393" s="112" t="s">
        <v>4644</v>
      </c>
      <c r="C6393" s="112" t="s">
        <v>695</v>
      </c>
      <c r="D6393" s="113">
        <v>10347950</v>
      </c>
      <c r="E6393" s="115">
        <v>43923</v>
      </c>
      <c r="F6393" s="114">
        <v>202101</v>
      </c>
      <c r="G6393" s="112" t="s">
        <v>1091</v>
      </c>
      <c r="H6393" s="112" t="s">
        <v>1015</v>
      </c>
      <c r="I6393" s="112" t="s">
        <v>757</v>
      </c>
      <c r="J6393" s="112" t="s">
        <v>4645</v>
      </c>
      <c r="K6393" s="112" t="s">
        <v>4681</v>
      </c>
      <c r="L6393" s="116">
        <v>-85.45</v>
      </c>
    </row>
    <row r="6394" spans="1:12" hidden="1" outlineLevel="1" collapsed="1" x14ac:dyDescent="0.35">
      <c r="A6394" s="112" t="s">
        <v>4632</v>
      </c>
      <c r="B6394" s="112" t="s">
        <v>4688</v>
      </c>
      <c r="C6394" s="112" t="s">
        <v>1518</v>
      </c>
      <c r="D6394" s="113">
        <v>51365693</v>
      </c>
      <c r="E6394" s="115">
        <v>43945</v>
      </c>
      <c r="F6394" s="114">
        <v>202101</v>
      </c>
      <c r="G6394" s="112" t="s">
        <v>1091</v>
      </c>
      <c r="H6394" s="112" t="s">
        <v>1016</v>
      </c>
      <c r="I6394" s="112" t="s">
        <v>2337</v>
      </c>
      <c r="J6394" s="112" t="s">
        <v>4690</v>
      </c>
      <c r="K6394" s="112" t="s">
        <v>5126</v>
      </c>
      <c r="L6394" s="116">
        <v>-54</v>
      </c>
    </row>
    <row r="6395" spans="1:12" hidden="1" outlineLevel="1" collapsed="1" x14ac:dyDescent="0.35">
      <c r="A6395" s="112" t="s">
        <v>4632</v>
      </c>
      <c r="B6395" s="112" t="s">
        <v>4650</v>
      </c>
      <c r="C6395" s="112" t="s">
        <v>695</v>
      </c>
      <c r="D6395" s="113">
        <v>10347950</v>
      </c>
      <c r="E6395" s="115">
        <v>43923</v>
      </c>
      <c r="F6395" s="114">
        <v>202101</v>
      </c>
      <c r="G6395" s="112" t="s">
        <v>1091</v>
      </c>
      <c r="H6395" s="112" t="s">
        <v>1015</v>
      </c>
      <c r="I6395" s="112" t="s">
        <v>749</v>
      </c>
      <c r="J6395" s="112" t="s">
        <v>4651</v>
      </c>
      <c r="K6395" s="112" t="s">
        <v>4683</v>
      </c>
      <c r="L6395" s="116">
        <v>463.44</v>
      </c>
    </row>
    <row r="6396" spans="1:12" hidden="1" outlineLevel="1" collapsed="1" x14ac:dyDescent="0.35">
      <c r="A6396" s="112" t="s">
        <v>4632</v>
      </c>
      <c r="B6396" s="112" t="s">
        <v>4644</v>
      </c>
      <c r="C6396" s="112" t="s">
        <v>695</v>
      </c>
      <c r="D6396" s="113">
        <v>10347950</v>
      </c>
      <c r="E6396" s="115">
        <v>43923</v>
      </c>
      <c r="F6396" s="114">
        <v>202101</v>
      </c>
      <c r="G6396" s="112" t="s">
        <v>1091</v>
      </c>
      <c r="H6396" s="112" t="s">
        <v>1015</v>
      </c>
      <c r="I6396" s="112" t="s">
        <v>751</v>
      </c>
      <c r="J6396" s="112" t="s">
        <v>4645</v>
      </c>
      <c r="K6396" s="112" t="s">
        <v>5063</v>
      </c>
      <c r="L6396" s="116">
        <v>124.52</v>
      </c>
    </row>
    <row r="6397" spans="1:12" hidden="1" outlineLevel="1" collapsed="1" x14ac:dyDescent="0.35">
      <c r="A6397" s="112" t="s">
        <v>4632</v>
      </c>
      <c r="B6397" s="112" t="s">
        <v>4644</v>
      </c>
      <c r="C6397" s="112" t="s">
        <v>695</v>
      </c>
      <c r="D6397" s="113">
        <v>10347950</v>
      </c>
      <c r="E6397" s="115">
        <v>43923</v>
      </c>
      <c r="F6397" s="114">
        <v>202101</v>
      </c>
      <c r="G6397" s="112" t="s">
        <v>1091</v>
      </c>
      <c r="H6397" s="112" t="s">
        <v>1015</v>
      </c>
      <c r="I6397" s="112" t="s">
        <v>757</v>
      </c>
      <c r="J6397" s="112" t="s">
        <v>4645</v>
      </c>
      <c r="K6397" s="112" t="s">
        <v>5065</v>
      </c>
      <c r="L6397" s="116">
        <v>49.46</v>
      </c>
    </row>
    <row r="6398" spans="1:12" hidden="1" outlineLevel="1" collapsed="1" x14ac:dyDescent="0.35">
      <c r="A6398" s="112" t="s">
        <v>4632</v>
      </c>
      <c r="B6398" s="112" t="s">
        <v>4644</v>
      </c>
      <c r="C6398" s="112" t="s">
        <v>695</v>
      </c>
      <c r="D6398" s="113">
        <v>10347950</v>
      </c>
      <c r="E6398" s="115">
        <v>43923</v>
      </c>
      <c r="F6398" s="114">
        <v>202101</v>
      </c>
      <c r="G6398" s="112" t="s">
        <v>1091</v>
      </c>
      <c r="H6398" s="112" t="s">
        <v>1015</v>
      </c>
      <c r="I6398" s="112" t="s">
        <v>757</v>
      </c>
      <c r="J6398" s="112" t="s">
        <v>4645</v>
      </c>
      <c r="K6398" s="112" t="s">
        <v>5067</v>
      </c>
      <c r="L6398" s="116">
        <v>1785.25</v>
      </c>
    </row>
    <row r="6399" spans="1:12" hidden="1" outlineLevel="1" collapsed="1" x14ac:dyDescent="0.35">
      <c r="A6399" s="112" t="s">
        <v>4632</v>
      </c>
      <c r="B6399" s="112" t="s">
        <v>4644</v>
      </c>
      <c r="C6399" s="112" t="s">
        <v>695</v>
      </c>
      <c r="D6399" s="113">
        <v>10347950</v>
      </c>
      <c r="E6399" s="115">
        <v>43923</v>
      </c>
      <c r="F6399" s="114">
        <v>202101</v>
      </c>
      <c r="G6399" s="112" t="s">
        <v>1091</v>
      </c>
      <c r="H6399" s="112" t="s">
        <v>1015</v>
      </c>
      <c r="I6399" s="112" t="s">
        <v>749</v>
      </c>
      <c r="J6399" s="112" t="s">
        <v>4645</v>
      </c>
      <c r="K6399" s="112" t="s">
        <v>5127</v>
      </c>
      <c r="L6399" s="116">
        <v>2175.81</v>
      </c>
    </row>
    <row r="6400" spans="1:12" hidden="1" outlineLevel="1" collapsed="1" x14ac:dyDescent="0.35">
      <c r="A6400" s="112" t="s">
        <v>4632</v>
      </c>
      <c r="B6400" s="112" t="s">
        <v>4644</v>
      </c>
      <c r="C6400" s="112" t="s">
        <v>695</v>
      </c>
      <c r="D6400" s="113">
        <v>10347950</v>
      </c>
      <c r="E6400" s="115">
        <v>43923</v>
      </c>
      <c r="F6400" s="114">
        <v>202101</v>
      </c>
      <c r="G6400" s="112" t="s">
        <v>1091</v>
      </c>
      <c r="H6400" s="112" t="s">
        <v>1015</v>
      </c>
      <c r="I6400" s="112" t="s">
        <v>749</v>
      </c>
      <c r="J6400" s="112" t="s">
        <v>4645</v>
      </c>
      <c r="K6400" s="112" t="s">
        <v>5127</v>
      </c>
      <c r="L6400" s="116">
        <v>444.33</v>
      </c>
    </row>
    <row r="6401" spans="1:12" hidden="1" outlineLevel="1" collapsed="1" x14ac:dyDescent="0.35">
      <c r="A6401" s="112" t="s">
        <v>4632</v>
      </c>
      <c r="B6401" s="112" t="s">
        <v>4644</v>
      </c>
      <c r="C6401" s="112" t="s">
        <v>695</v>
      </c>
      <c r="D6401" s="113">
        <v>10347950</v>
      </c>
      <c r="E6401" s="115">
        <v>43923</v>
      </c>
      <c r="F6401" s="114">
        <v>202101</v>
      </c>
      <c r="G6401" s="112" t="s">
        <v>1091</v>
      </c>
      <c r="H6401" s="112" t="s">
        <v>1015</v>
      </c>
      <c r="I6401" s="112" t="s">
        <v>749</v>
      </c>
      <c r="J6401" s="112" t="s">
        <v>4645</v>
      </c>
      <c r="K6401" s="112" t="s">
        <v>5085</v>
      </c>
      <c r="L6401" s="116">
        <v>-2347.7600000000002</v>
      </c>
    </row>
    <row r="6402" spans="1:12" hidden="1" outlineLevel="1" collapsed="1" x14ac:dyDescent="0.35">
      <c r="A6402" s="112" t="s">
        <v>4632</v>
      </c>
      <c r="B6402" s="112" t="s">
        <v>4644</v>
      </c>
      <c r="C6402" s="112" t="s">
        <v>695</v>
      </c>
      <c r="D6402" s="113">
        <v>10347950</v>
      </c>
      <c r="E6402" s="115">
        <v>43923</v>
      </c>
      <c r="F6402" s="114">
        <v>202101</v>
      </c>
      <c r="G6402" s="112" t="s">
        <v>1091</v>
      </c>
      <c r="H6402" s="112" t="s">
        <v>1015</v>
      </c>
      <c r="I6402" s="112" t="s">
        <v>749</v>
      </c>
      <c r="J6402" s="112" t="s">
        <v>4645</v>
      </c>
      <c r="K6402" s="112" t="s">
        <v>5077</v>
      </c>
      <c r="L6402" s="116">
        <v>-26004.02</v>
      </c>
    </row>
    <row r="6403" spans="1:12" hidden="1" outlineLevel="1" collapsed="1" x14ac:dyDescent="0.35">
      <c r="A6403" s="112" t="s">
        <v>4632</v>
      </c>
      <c r="B6403" s="112" t="s">
        <v>4644</v>
      </c>
      <c r="C6403" s="112" t="s">
        <v>695</v>
      </c>
      <c r="D6403" s="113">
        <v>10347950</v>
      </c>
      <c r="E6403" s="115">
        <v>43923</v>
      </c>
      <c r="F6403" s="114">
        <v>202101</v>
      </c>
      <c r="G6403" s="112" t="s">
        <v>1091</v>
      </c>
      <c r="H6403" s="112" t="s">
        <v>1015</v>
      </c>
      <c r="I6403" s="112" t="s">
        <v>749</v>
      </c>
      <c r="J6403" s="112" t="s">
        <v>4645</v>
      </c>
      <c r="K6403" s="112" t="s">
        <v>5075</v>
      </c>
      <c r="L6403" s="116">
        <v>578.07000000000005</v>
      </c>
    </row>
    <row r="6404" spans="1:12" hidden="1" outlineLevel="1" collapsed="1" x14ac:dyDescent="0.35">
      <c r="A6404" s="112" t="s">
        <v>4632</v>
      </c>
      <c r="B6404" s="112" t="s">
        <v>863</v>
      </c>
      <c r="C6404" s="112" t="s">
        <v>695</v>
      </c>
      <c r="D6404" s="113">
        <v>10347950</v>
      </c>
      <c r="E6404" s="115">
        <v>43923</v>
      </c>
      <c r="F6404" s="114">
        <v>202101</v>
      </c>
      <c r="G6404" s="112" t="s">
        <v>1091</v>
      </c>
      <c r="H6404" s="112" t="s">
        <v>1015</v>
      </c>
      <c r="I6404" s="112" t="s">
        <v>749</v>
      </c>
      <c r="J6404" s="112" t="s">
        <v>831</v>
      </c>
      <c r="K6404" s="112" t="s">
        <v>5128</v>
      </c>
      <c r="L6404" s="116">
        <v>52.41</v>
      </c>
    </row>
    <row r="6405" spans="1:12" hidden="1" outlineLevel="1" collapsed="1" x14ac:dyDescent="0.35">
      <c r="A6405" s="112" t="s">
        <v>4632</v>
      </c>
      <c r="B6405" s="112" t="s">
        <v>863</v>
      </c>
      <c r="C6405" s="112" t="s">
        <v>695</v>
      </c>
      <c r="D6405" s="113">
        <v>10347950</v>
      </c>
      <c r="E6405" s="115">
        <v>43923</v>
      </c>
      <c r="F6405" s="114">
        <v>202101</v>
      </c>
      <c r="G6405" s="112" t="s">
        <v>1091</v>
      </c>
      <c r="H6405" s="112" t="s">
        <v>1015</v>
      </c>
      <c r="I6405" s="112" t="s">
        <v>749</v>
      </c>
      <c r="J6405" s="112" t="s">
        <v>835</v>
      </c>
      <c r="K6405" s="112" t="s">
        <v>4850</v>
      </c>
      <c r="L6405" s="116">
        <v>423.45</v>
      </c>
    </row>
    <row r="6406" spans="1:12" hidden="1" outlineLevel="1" collapsed="1" x14ac:dyDescent="0.35">
      <c r="A6406" s="112" t="s">
        <v>4632</v>
      </c>
      <c r="B6406" s="112" t="s">
        <v>4639</v>
      </c>
      <c r="C6406" s="112" t="s">
        <v>695</v>
      </c>
      <c r="D6406" s="113">
        <v>10347950</v>
      </c>
      <c r="E6406" s="115">
        <v>43923</v>
      </c>
      <c r="F6406" s="114">
        <v>202101</v>
      </c>
      <c r="G6406" s="112" t="s">
        <v>1091</v>
      </c>
      <c r="H6406" s="112" t="s">
        <v>1015</v>
      </c>
      <c r="I6406" s="112" t="s">
        <v>749</v>
      </c>
      <c r="J6406" s="112" t="s">
        <v>4640</v>
      </c>
      <c r="K6406" s="112" t="s">
        <v>4845</v>
      </c>
      <c r="L6406" s="116">
        <v>115.22</v>
      </c>
    </row>
    <row r="6407" spans="1:12" hidden="1" outlineLevel="1" collapsed="1" x14ac:dyDescent="0.35">
      <c r="A6407" s="112" t="s">
        <v>4632</v>
      </c>
      <c r="B6407" s="112" t="s">
        <v>4644</v>
      </c>
      <c r="C6407" s="112" t="s">
        <v>695</v>
      </c>
      <c r="D6407" s="113">
        <v>10347950</v>
      </c>
      <c r="E6407" s="115">
        <v>43923</v>
      </c>
      <c r="F6407" s="114">
        <v>202101</v>
      </c>
      <c r="G6407" s="112" t="s">
        <v>1091</v>
      </c>
      <c r="H6407" s="112" t="s">
        <v>1015</v>
      </c>
      <c r="I6407" s="112" t="s">
        <v>749</v>
      </c>
      <c r="J6407" s="112" t="s">
        <v>4645</v>
      </c>
      <c r="K6407" s="112" t="s">
        <v>4669</v>
      </c>
      <c r="L6407" s="116">
        <v>-20.51</v>
      </c>
    </row>
    <row r="6408" spans="1:12" hidden="1" outlineLevel="1" collapsed="1" x14ac:dyDescent="0.35">
      <c r="A6408" s="112" t="s">
        <v>4632</v>
      </c>
      <c r="B6408" s="112" t="s">
        <v>4644</v>
      </c>
      <c r="C6408" s="112" t="s">
        <v>695</v>
      </c>
      <c r="D6408" s="113">
        <v>10347950</v>
      </c>
      <c r="E6408" s="115">
        <v>43923</v>
      </c>
      <c r="F6408" s="114">
        <v>202101</v>
      </c>
      <c r="G6408" s="112" t="s">
        <v>1091</v>
      </c>
      <c r="H6408" s="112" t="s">
        <v>1015</v>
      </c>
      <c r="I6408" s="112" t="s">
        <v>749</v>
      </c>
      <c r="J6408" s="112" t="s">
        <v>4645</v>
      </c>
      <c r="K6408" s="112" t="s">
        <v>4684</v>
      </c>
      <c r="L6408" s="116">
        <v>29.76</v>
      </c>
    </row>
    <row r="6409" spans="1:12" hidden="1" outlineLevel="1" collapsed="1" x14ac:dyDescent="0.35">
      <c r="A6409" s="112" t="s">
        <v>4632</v>
      </c>
      <c r="B6409" s="112" t="s">
        <v>4639</v>
      </c>
      <c r="C6409" s="112" t="s">
        <v>695</v>
      </c>
      <c r="D6409" s="113">
        <v>10347950</v>
      </c>
      <c r="E6409" s="115">
        <v>43923</v>
      </c>
      <c r="F6409" s="114">
        <v>202101</v>
      </c>
      <c r="G6409" s="112" t="s">
        <v>1091</v>
      </c>
      <c r="H6409" s="112" t="s">
        <v>1015</v>
      </c>
      <c r="I6409" s="112" t="s">
        <v>757</v>
      </c>
      <c r="J6409" s="112" t="s">
        <v>4640</v>
      </c>
      <c r="K6409" s="112" t="s">
        <v>4843</v>
      </c>
      <c r="L6409" s="116">
        <v>38.32</v>
      </c>
    </row>
    <row r="6410" spans="1:12" hidden="1" outlineLevel="1" collapsed="1" x14ac:dyDescent="0.35">
      <c r="A6410" s="112" t="s">
        <v>4632</v>
      </c>
      <c r="B6410" s="112" t="s">
        <v>4650</v>
      </c>
      <c r="C6410" s="112" t="s">
        <v>695</v>
      </c>
      <c r="D6410" s="113">
        <v>10347950</v>
      </c>
      <c r="E6410" s="115">
        <v>43923</v>
      </c>
      <c r="F6410" s="114">
        <v>202101</v>
      </c>
      <c r="G6410" s="112" t="s">
        <v>1091</v>
      </c>
      <c r="H6410" s="112" t="s">
        <v>1015</v>
      </c>
      <c r="I6410" s="112" t="s">
        <v>757</v>
      </c>
      <c r="J6410" s="112" t="s">
        <v>4651</v>
      </c>
      <c r="K6410" s="112" t="s">
        <v>4840</v>
      </c>
      <c r="L6410" s="116">
        <v>194.32</v>
      </c>
    </row>
    <row r="6411" spans="1:12" hidden="1" outlineLevel="1" collapsed="1" x14ac:dyDescent="0.35">
      <c r="A6411" s="112" t="s">
        <v>4632</v>
      </c>
      <c r="B6411" s="112" t="s">
        <v>4644</v>
      </c>
      <c r="C6411" s="112" t="s">
        <v>695</v>
      </c>
      <c r="D6411" s="113">
        <v>10347950</v>
      </c>
      <c r="E6411" s="115">
        <v>43923</v>
      </c>
      <c r="F6411" s="114">
        <v>202101</v>
      </c>
      <c r="G6411" s="112" t="s">
        <v>1091</v>
      </c>
      <c r="H6411" s="112" t="s">
        <v>1015</v>
      </c>
      <c r="I6411" s="112" t="s">
        <v>757</v>
      </c>
      <c r="J6411" s="112" t="s">
        <v>4645</v>
      </c>
      <c r="K6411" s="112" t="s">
        <v>4708</v>
      </c>
      <c r="L6411" s="116">
        <v>8.99</v>
      </c>
    </row>
    <row r="6412" spans="1:12" hidden="1" outlineLevel="1" collapsed="1" x14ac:dyDescent="0.35">
      <c r="A6412" s="112" t="s">
        <v>4632</v>
      </c>
      <c r="B6412" s="112" t="s">
        <v>4644</v>
      </c>
      <c r="C6412" s="112" t="s">
        <v>695</v>
      </c>
      <c r="D6412" s="113">
        <v>10347950</v>
      </c>
      <c r="E6412" s="115">
        <v>43923</v>
      </c>
      <c r="F6412" s="114">
        <v>202101</v>
      </c>
      <c r="G6412" s="112" t="s">
        <v>1091</v>
      </c>
      <c r="H6412" s="112" t="s">
        <v>1015</v>
      </c>
      <c r="I6412" s="112" t="s">
        <v>757</v>
      </c>
      <c r="J6412" s="112" t="s">
        <v>4645</v>
      </c>
      <c r="K6412" s="112" t="s">
        <v>4671</v>
      </c>
      <c r="L6412" s="116">
        <v>37.11</v>
      </c>
    </row>
    <row r="6413" spans="1:12" hidden="1" outlineLevel="1" collapsed="1" x14ac:dyDescent="0.35">
      <c r="A6413" s="112" t="s">
        <v>4632</v>
      </c>
      <c r="B6413" s="112" t="s">
        <v>4650</v>
      </c>
      <c r="C6413" s="112" t="s">
        <v>695</v>
      </c>
      <c r="D6413" s="113">
        <v>10347950</v>
      </c>
      <c r="E6413" s="115">
        <v>43923</v>
      </c>
      <c r="F6413" s="114">
        <v>202101</v>
      </c>
      <c r="G6413" s="112" t="s">
        <v>1091</v>
      </c>
      <c r="H6413" s="112" t="s">
        <v>1015</v>
      </c>
      <c r="I6413" s="112" t="s">
        <v>757</v>
      </c>
      <c r="J6413" s="112" t="s">
        <v>4651</v>
      </c>
      <c r="K6413" s="112" t="s">
        <v>4673</v>
      </c>
      <c r="L6413" s="116">
        <v>3858.36</v>
      </c>
    </row>
    <row r="6414" spans="1:12" hidden="1" outlineLevel="1" collapsed="1" x14ac:dyDescent="0.35">
      <c r="A6414" s="112" t="s">
        <v>4632</v>
      </c>
      <c r="B6414" s="112" t="s">
        <v>4650</v>
      </c>
      <c r="C6414" s="112" t="s">
        <v>695</v>
      </c>
      <c r="D6414" s="113">
        <v>10347950</v>
      </c>
      <c r="E6414" s="115">
        <v>43923</v>
      </c>
      <c r="F6414" s="114">
        <v>202101</v>
      </c>
      <c r="G6414" s="112" t="s">
        <v>1091</v>
      </c>
      <c r="H6414" s="112" t="s">
        <v>1015</v>
      </c>
      <c r="I6414" s="112" t="s">
        <v>757</v>
      </c>
      <c r="J6414" s="112" t="s">
        <v>4651</v>
      </c>
      <c r="K6414" s="112" t="s">
        <v>4685</v>
      </c>
      <c r="L6414" s="116">
        <v>-582.48</v>
      </c>
    </row>
    <row r="6415" spans="1:12" hidden="1" outlineLevel="1" collapsed="1" x14ac:dyDescent="0.35">
      <c r="A6415" s="112" t="s">
        <v>4632</v>
      </c>
      <c r="B6415" s="112" t="s">
        <v>4644</v>
      </c>
      <c r="C6415" s="112" t="s">
        <v>695</v>
      </c>
      <c r="D6415" s="113">
        <v>10347950</v>
      </c>
      <c r="E6415" s="115">
        <v>43923</v>
      </c>
      <c r="F6415" s="114">
        <v>202101</v>
      </c>
      <c r="G6415" s="112" t="s">
        <v>1091</v>
      </c>
      <c r="H6415" s="112" t="s">
        <v>1015</v>
      </c>
      <c r="I6415" s="112" t="s">
        <v>751</v>
      </c>
      <c r="J6415" s="112" t="s">
        <v>4645</v>
      </c>
      <c r="K6415" s="112" t="s">
        <v>4679</v>
      </c>
      <c r="L6415" s="116">
        <v>332.36</v>
      </c>
    </row>
    <row r="6416" spans="1:12" hidden="1" outlineLevel="1" collapsed="1" x14ac:dyDescent="0.35">
      <c r="A6416" s="112" t="s">
        <v>4632</v>
      </c>
      <c r="B6416" s="112" t="s">
        <v>4644</v>
      </c>
      <c r="C6416" s="112" t="s">
        <v>695</v>
      </c>
      <c r="D6416" s="113">
        <v>10347950</v>
      </c>
      <c r="E6416" s="115">
        <v>43923</v>
      </c>
      <c r="F6416" s="114">
        <v>202101</v>
      </c>
      <c r="G6416" s="112" t="s">
        <v>1091</v>
      </c>
      <c r="H6416" s="112" t="s">
        <v>1015</v>
      </c>
      <c r="I6416" s="112" t="s">
        <v>749</v>
      </c>
      <c r="J6416" s="112" t="s">
        <v>4645</v>
      </c>
      <c r="K6416" s="112" t="s">
        <v>4676</v>
      </c>
      <c r="L6416" s="116">
        <v>190.75</v>
      </c>
    </row>
    <row r="6417" spans="1:12" hidden="1" outlineLevel="1" collapsed="1" x14ac:dyDescent="0.35">
      <c r="A6417" s="112" t="s">
        <v>4632</v>
      </c>
      <c r="B6417" s="112" t="s">
        <v>4644</v>
      </c>
      <c r="C6417" s="112" t="s">
        <v>695</v>
      </c>
      <c r="D6417" s="113">
        <v>10347950</v>
      </c>
      <c r="E6417" s="115">
        <v>43923</v>
      </c>
      <c r="F6417" s="114">
        <v>202101</v>
      </c>
      <c r="G6417" s="112" t="s">
        <v>1091</v>
      </c>
      <c r="H6417" s="112" t="s">
        <v>1015</v>
      </c>
      <c r="I6417" s="112" t="s">
        <v>749</v>
      </c>
      <c r="J6417" s="112" t="s">
        <v>4645</v>
      </c>
      <c r="K6417" s="112" t="s">
        <v>5129</v>
      </c>
      <c r="L6417" s="116">
        <v>603.76</v>
      </c>
    </row>
    <row r="6418" spans="1:12" hidden="1" outlineLevel="1" collapsed="1" x14ac:dyDescent="0.35">
      <c r="A6418" s="112" t="s">
        <v>4632</v>
      </c>
      <c r="B6418" s="112" t="s">
        <v>4644</v>
      </c>
      <c r="C6418" s="112" t="s">
        <v>695</v>
      </c>
      <c r="D6418" s="113">
        <v>10347950</v>
      </c>
      <c r="E6418" s="115">
        <v>43923</v>
      </c>
      <c r="F6418" s="114">
        <v>202101</v>
      </c>
      <c r="G6418" s="112" t="s">
        <v>1091</v>
      </c>
      <c r="H6418" s="112" t="s">
        <v>1015</v>
      </c>
      <c r="I6418" s="112" t="s">
        <v>749</v>
      </c>
      <c r="J6418" s="112" t="s">
        <v>4645</v>
      </c>
      <c r="K6418" s="112" t="s">
        <v>5130</v>
      </c>
      <c r="L6418" s="116">
        <v>79.87</v>
      </c>
    </row>
    <row r="6419" spans="1:12" hidden="1" outlineLevel="1" collapsed="1" x14ac:dyDescent="0.35">
      <c r="A6419" s="112" t="s">
        <v>4632</v>
      </c>
      <c r="B6419" s="112" t="s">
        <v>4644</v>
      </c>
      <c r="C6419" s="112" t="s">
        <v>695</v>
      </c>
      <c r="D6419" s="113">
        <v>10347950</v>
      </c>
      <c r="E6419" s="115">
        <v>43923</v>
      </c>
      <c r="F6419" s="114">
        <v>202101</v>
      </c>
      <c r="G6419" s="112" t="s">
        <v>1091</v>
      </c>
      <c r="H6419" s="112" t="s">
        <v>1015</v>
      </c>
      <c r="I6419" s="112" t="s">
        <v>749</v>
      </c>
      <c r="J6419" s="112" t="s">
        <v>4645</v>
      </c>
      <c r="K6419" s="112" t="s">
        <v>4713</v>
      </c>
      <c r="L6419" s="116">
        <v>473.92</v>
      </c>
    </row>
    <row r="6420" spans="1:12" hidden="1" outlineLevel="1" collapsed="1" x14ac:dyDescent="0.35">
      <c r="A6420" s="112" t="s">
        <v>4632</v>
      </c>
      <c r="B6420" s="112" t="s">
        <v>4639</v>
      </c>
      <c r="C6420" s="112" t="s">
        <v>695</v>
      </c>
      <c r="D6420" s="113">
        <v>10347950</v>
      </c>
      <c r="E6420" s="115">
        <v>43923</v>
      </c>
      <c r="F6420" s="114">
        <v>202101</v>
      </c>
      <c r="G6420" s="112" t="s">
        <v>1091</v>
      </c>
      <c r="H6420" s="112" t="s">
        <v>1015</v>
      </c>
      <c r="I6420" s="112" t="s">
        <v>749</v>
      </c>
      <c r="J6420" s="112" t="s">
        <v>4640</v>
      </c>
      <c r="K6420" s="112" t="s">
        <v>4866</v>
      </c>
      <c r="L6420" s="116">
        <v>38.56</v>
      </c>
    </row>
    <row r="6421" spans="1:12" hidden="1" outlineLevel="1" collapsed="1" x14ac:dyDescent="0.35">
      <c r="A6421" s="112" t="s">
        <v>4632</v>
      </c>
      <c r="B6421" s="112" t="s">
        <v>4644</v>
      </c>
      <c r="C6421" s="112" t="s">
        <v>695</v>
      </c>
      <c r="D6421" s="113">
        <v>10347950</v>
      </c>
      <c r="E6421" s="115">
        <v>43923</v>
      </c>
      <c r="F6421" s="114">
        <v>202101</v>
      </c>
      <c r="G6421" s="112" t="s">
        <v>1091</v>
      </c>
      <c r="H6421" s="112" t="s">
        <v>1015</v>
      </c>
      <c r="I6421" s="112" t="s">
        <v>749</v>
      </c>
      <c r="J6421" s="112" t="s">
        <v>4645</v>
      </c>
      <c r="K6421" s="112" t="s">
        <v>4867</v>
      </c>
      <c r="L6421" s="116">
        <v>231.53</v>
      </c>
    </row>
    <row r="6422" spans="1:12" hidden="1" outlineLevel="1" collapsed="1" x14ac:dyDescent="0.35">
      <c r="A6422" s="112" t="s">
        <v>4632</v>
      </c>
      <c r="B6422" s="112" t="s">
        <v>4650</v>
      </c>
      <c r="C6422" s="112" t="s">
        <v>695</v>
      </c>
      <c r="D6422" s="113">
        <v>10347950</v>
      </c>
      <c r="E6422" s="115">
        <v>43923</v>
      </c>
      <c r="F6422" s="114">
        <v>202101</v>
      </c>
      <c r="G6422" s="112" t="s">
        <v>1091</v>
      </c>
      <c r="H6422" s="112" t="s">
        <v>1015</v>
      </c>
      <c r="I6422" s="112" t="s">
        <v>749</v>
      </c>
      <c r="J6422" s="112" t="s">
        <v>4651</v>
      </c>
      <c r="K6422" s="112" t="s">
        <v>4868</v>
      </c>
      <c r="L6422" s="116">
        <v>155.22</v>
      </c>
    </row>
    <row r="6423" spans="1:12" hidden="1" outlineLevel="1" collapsed="1" x14ac:dyDescent="0.35">
      <c r="A6423" s="112" t="s">
        <v>4632</v>
      </c>
      <c r="B6423" s="112" t="s">
        <v>4639</v>
      </c>
      <c r="C6423" s="112" t="s">
        <v>695</v>
      </c>
      <c r="D6423" s="113">
        <v>10347950</v>
      </c>
      <c r="E6423" s="115">
        <v>43923</v>
      </c>
      <c r="F6423" s="114">
        <v>202101</v>
      </c>
      <c r="G6423" s="112" t="s">
        <v>1091</v>
      </c>
      <c r="H6423" s="112" t="s">
        <v>1015</v>
      </c>
      <c r="I6423" s="112" t="s">
        <v>751</v>
      </c>
      <c r="J6423" s="112" t="s">
        <v>4640</v>
      </c>
      <c r="K6423" s="112" t="s">
        <v>4832</v>
      </c>
      <c r="L6423" s="116">
        <v>-692.25</v>
      </c>
    </row>
    <row r="6424" spans="1:12" hidden="1" outlineLevel="1" collapsed="1" x14ac:dyDescent="0.35">
      <c r="A6424" s="112" t="s">
        <v>4632</v>
      </c>
      <c r="B6424" s="112" t="s">
        <v>4644</v>
      </c>
      <c r="C6424" s="112" t="s">
        <v>695</v>
      </c>
      <c r="D6424" s="113">
        <v>10347950</v>
      </c>
      <c r="E6424" s="115">
        <v>43923</v>
      </c>
      <c r="F6424" s="114">
        <v>202101</v>
      </c>
      <c r="G6424" s="112" t="s">
        <v>1091</v>
      </c>
      <c r="H6424" s="112" t="s">
        <v>1015</v>
      </c>
      <c r="I6424" s="112" t="s">
        <v>751</v>
      </c>
      <c r="J6424" s="112" t="s">
        <v>4645</v>
      </c>
      <c r="K6424" s="112" t="s">
        <v>4862</v>
      </c>
      <c r="L6424" s="116">
        <v>66.81</v>
      </c>
    </row>
    <row r="6425" spans="1:12" hidden="1" outlineLevel="1" collapsed="1" x14ac:dyDescent="0.35">
      <c r="A6425" s="112" t="s">
        <v>4632</v>
      </c>
      <c r="B6425" s="112" t="s">
        <v>863</v>
      </c>
      <c r="C6425" s="112" t="s">
        <v>695</v>
      </c>
      <c r="D6425" s="113">
        <v>10347950</v>
      </c>
      <c r="E6425" s="115">
        <v>43923</v>
      </c>
      <c r="F6425" s="114">
        <v>202101</v>
      </c>
      <c r="G6425" s="112" t="s">
        <v>1091</v>
      </c>
      <c r="H6425" s="112" t="s">
        <v>1015</v>
      </c>
      <c r="I6425" s="112" t="s">
        <v>757</v>
      </c>
      <c r="J6425" s="112" t="s">
        <v>815</v>
      </c>
      <c r="K6425" s="112" t="s">
        <v>4857</v>
      </c>
      <c r="L6425" s="116">
        <v>695.82</v>
      </c>
    </row>
    <row r="6426" spans="1:12" hidden="1" outlineLevel="1" collapsed="1" x14ac:dyDescent="0.35">
      <c r="A6426" s="112" t="s">
        <v>4632</v>
      </c>
      <c r="B6426" s="112" t="s">
        <v>4688</v>
      </c>
      <c r="C6426" s="112" t="s">
        <v>4695</v>
      </c>
      <c r="D6426" s="113">
        <v>30440440</v>
      </c>
      <c r="E6426" s="115">
        <v>43937</v>
      </c>
      <c r="F6426" s="114">
        <v>202101</v>
      </c>
      <c r="G6426" s="112" t="s">
        <v>1091</v>
      </c>
      <c r="H6426" s="112" t="s">
        <v>1016</v>
      </c>
      <c r="I6426" s="112" t="s">
        <v>4689</v>
      </c>
      <c r="J6426" s="112" t="s">
        <v>4690</v>
      </c>
      <c r="K6426" s="112" t="s">
        <v>5131</v>
      </c>
      <c r="L6426" s="116">
        <v>54</v>
      </c>
    </row>
    <row r="6427" spans="1:12" hidden="1" outlineLevel="1" collapsed="1" x14ac:dyDescent="0.35">
      <c r="A6427" s="112" t="s">
        <v>4632</v>
      </c>
      <c r="B6427" s="112" t="s">
        <v>4688</v>
      </c>
      <c r="C6427" s="112" t="s">
        <v>679</v>
      </c>
      <c r="D6427" s="113">
        <v>10348271</v>
      </c>
      <c r="E6427" s="115">
        <v>43937</v>
      </c>
      <c r="F6427" s="114">
        <v>202101</v>
      </c>
      <c r="G6427" s="112" t="s">
        <v>1091</v>
      </c>
      <c r="H6427" s="112" t="s">
        <v>1016</v>
      </c>
      <c r="I6427" s="112" t="s">
        <v>4689</v>
      </c>
      <c r="J6427" s="112" t="s">
        <v>4690</v>
      </c>
      <c r="K6427" s="112" t="s">
        <v>5132</v>
      </c>
      <c r="L6427" s="116">
        <v>-54</v>
      </c>
    </row>
    <row r="6428" spans="1:12" hidden="1" outlineLevel="1" collapsed="1" x14ac:dyDescent="0.35">
      <c r="A6428" s="112" t="s">
        <v>4632</v>
      </c>
      <c r="B6428" s="112" t="s">
        <v>4688</v>
      </c>
      <c r="C6428" s="112" t="s">
        <v>679</v>
      </c>
      <c r="D6428" s="113">
        <v>10348271</v>
      </c>
      <c r="E6428" s="115">
        <v>43937</v>
      </c>
      <c r="F6428" s="114">
        <v>202101</v>
      </c>
      <c r="G6428" s="112" t="s">
        <v>1091</v>
      </c>
      <c r="H6428" s="112" t="s">
        <v>1016</v>
      </c>
      <c r="I6428" s="112" t="s">
        <v>4689</v>
      </c>
      <c r="J6428" s="112" t="s">
        <v>4690</v>
      </c>
      <c r="K6428" s="112" t="s">
        <v>5131</v>
      </c>
      <c r="L6428" s="116">
        <v>-54</v>
      </c>
    </row>
    <row r="6429" spans="1:12" hidden="1" outlineLevel="1" collapsed="1" x14ac:dyDescent="0.35">
      <c r="A6429" s="112" t="s">
        <v>4632</v>
      </c>
      <c r="B6429" s="112" t="s">
        <v>4635</v>
      </c>
      <c r="C6429" s="112" t="s">
        <v>695</v>
      </c>
      <c r="D6429" s="113">
        <v>10348270</v>
      </c>
      <c r="E6429" s="115">
        <v>43937</v>
      </c>
      <c r="F6429" s="114">
        <v>202101</v>
      </c>
      <c r="G6429" s="112" t="s">
        <v>1091</v>
      </c>
      <c r="H6429" s="112" t="s">
        <v>1016</v>
      </c>
      <c r="I6429" s="112" t="s">
        <v>779</v>
      </c>
      <c r="J6429" s="112" t="s">
        <v>5133</v>
      </c>
      <c r="K6429" s="112" t="s">
        <v>5134</v>
      </c>
      <c r="L6429" s="116">
        <v>380150.26</v>
      </c>
    </row>
    <row r="6430" spans="1:12" hidden="1" outlineLevel="1" collapsed="1" x14ac:dyDescent="0.35">
      <c r="A6430" s="112" t="s">
        <v>4632</v>
      </c>
      <c r="B6430" s="112" t="s">
        <v>863</v>
      </c>
      <c r="C6430" s="112" t="s">
        <v>695</v>
      </c>
      <c r="D6430" s="113">
        <v>10347950</v>
      </c>
      <c r="E6430" s="115">
        <v>43923</v>
      </c>
      <c r="F6430" s="114">
        <v>202101</v>
      </c>
      <c r="G6430" s="112" t="s">
        <v>1091</v>
      </c>
      <c r="H6430" s="112" t="s">
        <v>1015</v>
      </c>
      <c r="I6430" s="112" t="s">
        <v>757</v>
      </c>
      <c r="J6430" s="112" t="s">
        <v>815</v>
      </c>
      <c r="K6430" s="112" t="s">
        <v>4856</v>
      </c>
      <c r="L6430" s="116">
        <v>412.85</v>
      </c>
    </row>
    <row r="6431" spans="1:12" hidden="1" outlineLevel="1" collapsed="1" x14ac:dyDescent="0.35">
      <c r="A6431" s="112" t="s">
        <v>4632</v>
      </c>
      <c r="B6431" s="112" t="s">
        <v>4650</v>
      </c>
      <c r="C6431" s="112" t="s">
        <v>695</v>
      </c>
      <c r="D6431" s="113">
        <v>10347950</v>
      </c>
      <c r="E6431" s="115">
        <v>43923</v>
      </c>
      <c r="F6431" s="114">
        <v>202101</v>
      </c>
      <c r="G6431" s="112" t="s">
        <v>1091</v>
      </c>
      <c r="H6431" s="112" t="s">
        <v>1015</v>
      </c>
      <c r="I6431" s="112" t="s">
        <v>757</v>
      </c>
      <c r="J6431" s="112" t="s">
        <v>4651</v>
      </c>
      <c r="K6431" s="112" t="s">
        <v>5135</v>
      </c>
      <c r="L6431" s="116">
        <v>1083.52</v>
      </c>
    </row>
    <row r="6432" spans="1:12" hidden="1" outlineLevel="1" collapsed="1" x14ac:dyDescent="0.35">
      <c r="A6432" s="112" t="s">
        <v>4632</v>
      </c>
      <c r="B6432" s="112" t="s">
        <v>4644</v>
      </c>
      <c r="C6432" s="112" t="s">
        <v>695</v>
      </c>
      <c r="D6432" s="113">
        <v>10347950</v>
      </c>
      <c r="E6432" s="115">
        <v>43923</v>
      </c>
      <c r="F6432" s="114">
        <v>202101</v>
      </c>
      <c r="G6432" s="112" t="s">
        <v>1091</v>
      </c>
      <c r="H6432" s="112" t="s">
        <v>1015</v>
      </c>
      <c r="I6432" s="112" t="s">
        <v>757</v>
      </c>
      <c r="J6432" s="112" t="s">
        <v>4645</v>
      </c>
      <c r="K6432" s="112" t="s">
        <v>4841</v>
      </c>
      <c r="L6432" s="116">
        <v>206.91</v>
      </c>
    </row>
    <row r="6433" spans="1:12" hidden="1" outlineLevel="1" collapsed="1" x14ac:dyDescent="0.35">
      <c r="A6433" s="112" t="s">
        <v>4632</v>
      </c>
      <c r="B6433" s="112" t="s">
        <v>4650</v>
      </c>
      <c r="C6433" s="112" t="s">
        <v>695</v>
      </c>
      <c r="D6433" s="113">
        <v>10347950</v>
      </c>
      <c r="E6433" s="115">
        <v>43923</v>
      </c>
      <c r="F6433" s="114">
        <v>202101</v>
      </c>
      <c r="G6433" s="112" t="s">
        <v>1091</v>
      </c>
      <c r="H6433" s="112" t="s">
        <v>1015</v>
      </c>
      <c r="I6433" s="112" t="s">
        <v>749</v>
      </c>
      <c r="J6433" s="112" t="s">
        <v>4651</v>
      </c>
      <c r="K6433" s="112" t="s">
        <v>5136</v>
      </c>
      <c r="L6433" s="116">
        <v>754.39</v>
      </c>
    </row>
    <row r="6434" spans="1:12" hidden="1" outlineLevel="1" collapsed="1" x14ac:dyDescent="0.35">
      <c r="A6434" s="112" t="s">
        <v>4632</v>
      </c>
      <c r="B6434" s="112" t="s">
        <v>4650</v>
      </c>
      <c r="C6434" s="112" t="s">
        <v>695</v>
      </c>
      <c r="D6434" s="113">
        <v>10347950</v>
      </c>
      <c r="E6434" s="115">
        <v>43923</v>
      </c>
      <c r="F6434" s="114">
        <v>202101</v>
      </c>
      <c r="G6434" s="112" t="s">
        <v>1091</v>
      </c>
      <c r="H6434" s="112" t="s">
        <v>1015</v>
      </c>
      <c r="I6434" s="112" t="s">
        <v>749</v>
      </c>
      <c r="J6434" s="112" t="s">
        <v>4651</v>
      </c>
      <c r="K6434" s="112" t="s">
        <v>5137</v>
      </c>
      <c r="L6434" s="116">
        <v>292.85000000000002</v>
      </c>
    </row>
    <row r="6435" spans="1:12" hidden="1" outlineLevel="1" collapsed="1" x14ac:dyDescent="0.35">
      <c r="A6435" s="112" t="s">
        <v>4632</v>
      </c>
      <c r="B6435" s="112" t="s">
        <v>4650</v>
      </c>
      <c r="C6435" s="112" t="s">
        <v>695</v>
      </c>
      <c r="D6435" s="113">
        <v>10347950</v>
      </c>
      <c r="E6435" s="115">
        <v>43923</v>
      </c>
      <c r="F6435" s="114">
        <v>202101</v>
      </c>
      <c r="G6435" s="112" t="s">
        <v>1091</v>
      </c>
      <c r="H6435" s="112" t="s">
        <v>1015</v>
      </c>
      <c r="I6435" s="112" t="s">
        <v>757</v>
      </c>
      <c r="J6435" s="112" t="s">
        <v>4651</v>
      </c>
      <c r="K6435" s="112" t="s">
        <v>5138</v>
      </c>
      <c r="L6435" s="116">
        <v>100.58</v>
      </c>
    </row>
    <row r="6436" spans="1:12" hidden="1" outlineLevel="1" collapsed="1" x14ac:dyDescent="0.35">
      <c r="A6436" s="112" t="s">
        <v>4632</v>
      </c>
      <c r="B6436" s="112" t="s">
        <v>4650</v>
      </c>
      <c r="C6436" s="112" t="s">
        <v>695</v>
      </c>
      <c r="D6436" s="113">
        <v>10347950</v>
      </c>
      <c r="E6436" s="115">
        <v>43923</v>
      </c>
      <c r="F6436" s="114">
        <v>202101</v>
      </c>
      <c r="G6436" s="112" t="s">
        <v>1091</v>
      </c>
      <c r="H6436" s="112" t="s">
        <v>1015</v>
      </c>
      <c r="I6436" s="112" t="s">
        <v>749</v>
      </c>
      <c r="J6436" s="112" t="s">
        <v>4651</v>
      </c>
      <c r="K6436" s="112" t="s">
        <v>5139</v>
      </c>
      <c r="L6436" s="116">
        <v>233.99</v>
      </c>
    </row>
    <row r="6437" spans="1:12" hidden="1" outlineLevel="1" collapsed="1" x14ac:dyDescent="0.35">
      <c r="A6437" s="112" t="s">
        <v>4632</v>
      </c>
      <c r="B6437" s="112" t="s">
        <v>4650</v>
      </c>
      <c r="C6437" s="112" t="s">
        <v>695</v>
      </c>
      <c r="D6437" s="113">
        <v>10347950</v>
      </c>
      <c r="E6437" s="115">
        <v>43923</v>
      </c>
      <c r="F6437" s="114">
        <v>202101</v>
      </c>
      <c r="G6437" s="112" t="s">
        <v>1091</v>
      </c>
      <c r="H6437" s="112" t="s">
        <v>1015</v>
      </c>
      <c r="I6437" s="112" t="s">
        <v>757</v>
      </c>
      <c r="J6437" s="112" t="s">
        <v>4651</v>
      </c>
      <c r="K6437" s="112" t="s">
        <v>4698</v>
      </c>
      <c r="L6437" s="116">
        <v>64.42</v>
      </c>
    </row>
    <row r="6438" spans="1:12" hidden="1" outlineLevel="1" collapsed="1" x14ac:dyDescent="0.35">
      <c r="A6438" s="112" t="s">
        <v>4632</v>
      </c>
      <c r="B6438" s="112" t="s">
        <v>4644</v>
      </c>
      <c r="C6438" s="112" t="s">
        <v>695</v>
      </c>
      <c r="D6438" s="113">
        <v>10347950</v>
      </c>
      <c r="E6438" s="115">
        <v>43923</v>
      </c>
      <c r="F6438" s="114">
        <v>202101</v>
      </c>
      <c r="G6438" s="112" t="s">
        <v>1091</v>
      </c>
      <c r="H6438" s="112" t="s">
        <v>1015</v>
      </c>
      <c r="I6438" s="112" t="s">
        <v>749</v>
      </c>
      <c r="J6438" s="112" t="s">
        <v>4645</v>
      </c>
      <c r="K6438" s="112" t="s">
        <v>4871</v>
      </c>
      <c r="L6438" s="116">
        <v>163.27000000000001</v>
      </c>
    </row>
    <row r="6439" spans="1:12" hidden="1" outlineLevel="1" collapsed="1" x14ac:dyDescent="0.35">
      <c r="A6439" s="112" t="s">
        <v>4632</v>
      </c>
      <c r="B6439" s="112" t="s">
        <v>4644</v>
      </c>
      <c r="C6439" s="112" t="s">
        <v>695</v>
      </c>
      <c r="D6439" s="113">
        <v>10347950</v>
      </c>
      <c r="E6439" s="115">
        <v>43923</v>
      </c>
      <c r="F6439" s="114">
        <v>202101</v>
      </c>
      <c r="G6439" s="112" t="s">
        <v>1091</v>
      </c>
      <c r="H6439" s="112" t="s">
        <v>1015</v>
      </c>
      <c r="I6439" s="112" t="s">
        <v>749</v>
      </c>
      <c r="J6439" s="112" t="s">
        <v>4645</v>
      </c>
      <c r="K6439" s="112" t="s">
        <v>4870</v>
      </c>
      <c r="L6439" s="116">
        <v>-487.66</v>
      </c>
    </row>
    <row r="6440" spans="1:12" hidden="1" outlineLevel="1" collapsed="1" x14ac:dyDescent="0.35">
      <c r="A6440" s="112" t="s">
        <v>4632</v>
      </c>
      <c r="B6440" s="112" t="s">
        <v>4639</v>
      </c>
      <c r="C6440" s="112" t="s">
        <v>695</v>
      </c>
      <c r="D6440" s="113">
        <v>10347950</v>
      </c>
      <c r="E6440" s="115">
        <v>43923</v>
      </c>
      <c r="F6440" s="114">
        <v>202101</v>
      </c>
      <c r="G6440" s="112" t="s">
        <v>1091</v>
      </c>
      <c r="H6440" s="112" t="s">
        <v>1015</v>
      </c>
      <c r="I6440" s="112" t="s">
        <v>751</v>
      </c>
      <c r="J6440" s="112" t="s">
        <v>4640</v>
      </c>
      <c r="K6440" s="112" t="s">
        <v>5120</v>
      </c>
      <c r="L6440" s="116">
        <v>2492.31</v>
      </c>
    </row>
    <row r="6441" spans="1:12" hidden="1" outlineLevel="1" collapsed="1" x14ac:dyDescent="0.35">
      <c r="A6441" s="112" t="s">
        <v>4632</v>
      </c>
      <c r="B6441" s="112" t="s">
        <v>4639</v>
      </c>
      <c r="C6441" s="112" t="s">
        <v>695</v>
      </c>
      <c r="D6441" s="113">
        <v>10347950</v>
      </c>
      <c r="E6441" s="115">
        <v>43923</v>
      </c>
      <c r="F6441" s="114">
        <v>202101</v>
      </c>
      <c r="G6441" s="112" t="s">
        <v>1091</v>
      </c>
      <c r="H6441" s="112" t="s">
        <v>1015</v>
      </c>
      <c r="I6441" s="112" t="s">
        <v>757</v>
      </c>
      <c r="J6441" s="112" t="s">
        <v>4640</v>
      </c>
      <c r="K6441" s="112" t="s">
        <v>4861</v>
      </c>
      <c r="L6441" s="116">
        <v>82.28</v>
      </c>
    </row>
    <row r="6442" spans="1:12" hidden="1" outlineLevel="1" collapsed="1" x14ac:dyDescent="0.35">
      <c r="A6442" s="112" t="s">
        <v>4632</v>
      </c>
      <c r="B6442" s="112" t="s">
        <v>4644</v>
      </c>
      <c r="C6442" s="112" t="s">
        <v>695</v>
      </c>
      <c r="D6442" s="113">
        <v>10347950</v>
      </c>
      <c r="E6442" s="115">
        <v>43923</v>
      </c>
      <c r="F6442" s="114">
        <v>202101</v>
      </c>
      <c r="G6442" s="112" t="s">
        <v>1091</v>
      </c>
      <c r="H6442" s="112" t="s">
        <v>1015</v>
      </c>
      <c r="I6442" s="112" t="s">
        <v>757</v>
      </c>
      <c r="J6442" s="112" t="s">
        <v>4645</v>
      </c>
      <c r="K6442" s="112" t="s">
        <v>4860</v>
      </c>
      <c r="L6442" s="116">
        <v>374.62</v>
      </c>
    </row>
    <row r="6443" spans="1:12" hidden="1" outlineLevel="1" collapsed="1" x14ac:dyDescent="0.35">
      <c r="A6443" s="112" t="s">
        <v>4632</v>
      </c>
      <c r="B6443" s="112" t="s">
        <v>4644</v>
      </c>
      <c r="C6443" s="112" t="s">
        <v>695</v>
      </c>
      <c r="D6443" s="113">
        <v>10347950</v>
      </c>
      <c r="E6443" s="115">
        <v>43923</v>
      </c>
      <c r="F6443" s="114">
        <v>202101</v>
      </c>
      <c r="G6443" s="112" t="s">
        <v>1091</v>
      </c>
      <c r="H6443" s="112" t="s">
        <v>1015</v>
      </c>
      <c r="I6443" s="112" t="s">
        <v>757</v>
      </c>
      <c r="J6443" s="112" t="s">
        <v>4645</v>
      </c>
      <c r="K6443" s="112" t="s">
        <v>5140</v>
      </c>
      <c r="L6443" s="116">
        <v>18.13</v>
      </c>
    </row>
    <row r="6444" spans="1:12" hidden="1" outlineLevel="1" collapsed="1" x14ac:dyDescent="0.35">
      <c r="A6444" s="112" t="s">
        <v>4632</v>
      </c>
      <c r="B6444" s="112" t="s">
        <v>4650</v>
      </c>
      <c r="C6444" s="112" t="s">
        <v>695</v>
      </c>
      <c r="D6444" s="113">
        <v>10347950</v>
      </c>
      <c r="E6444" s="115">
        <v>43923</v>
      </c>
      <c r="F6444" s="114">
        <v>202101</v>
      </c>
      <c r="G6444" s="112" t="s">
        <v>1091</v>
      </c>
      <c r="H6444" s="112" t="s">
        <v>1015</v>
      </c>
      <c r="I6444" s="112" t="s">
        <v>757</v>
      </c>
      <c r="J6444" s="112" t="s">
        <v>4651</v>
      </c>
      <c r="K6444" s="112" t="s">
        <v>5141</v>
      </c>
      <c r="L6444" s="116">
        <v>2591.0300000000002</v>
      </c>
    </row>
    <row r="6445" spans="1:12" hidden="1" outlineLevel="1" collapsed="1" x14ac:dyDescent="0.35">
      <c r="A6445" s="112" t="s">
        <v>4632</v>
      </c>
      <c r="B6445" s="112" t="s">
        <v>4639</v>
      </c>
      <c r="C6445" s="112" t="s">
        <v>695</v>
      </c>
      <c r="D6445" s="113">
        <v>10347950</v>
      </c>
      <c r="E6445" s="115">
        <v>43923</v>
      </c>
      <c r="F6445" s="114">
        <v>202101</v>
      </c>
      <c r="G6445" s="112" t="s">
        <v>1091</v>
      </c>
      <c r="H6445" s="112" t="s">
        <v>1015</v>
      </c>
      <c r="I6445" s="112" t="s">
        <v>749</v>
      </c>
      <c r="J6445" s="112" t="s">
        <v>4640</v>
      </c>
      <c r="K6445" s="112" t="s">
        <v>4863</v>
      </c>
      <c r="L6445" s="116">
        <v>29.24</v>
      </c>
    </row>
    <row r="6446" spans="1:12" hidden="1" outlineLevel="1" collapsed="1" x14ac:dyDescent="0.35">
      <c r="A6446" s="112" t="s">
        <v>4632</v>
      </c>
      <c r="B6446" s="112" t="s">
        <v>4639</v>
      </c>
      <c r="C6446" s="112" t="s">
        <v>695</v>
      </c>
      <c r="D6446" s="113">
        <v>10347950</v>
      </c>
      <c r="E6446" s="115">
        <v>43923</v>
      </c>
      <c r="F6446" s="114">
        <v>202101</v>
      </c>
      <c r="G6446" s="112" t="s">
        <v>1091</v>
      </c>
      <c r="H6446" s="112" t="s">
        <v>1015</v>
      </c>
      <c r="I6446" s="112" t="s">
        <v>749</v>
      </c>
      <c r="J6446" s="112" t="s">
        <v>4640</v>
      </c>
      <c r="K6446" s="112" t="s">
        <v>4855</v>
      </c>
      <c r="L6446" s="116">
        <v>1049.0999999999999</v>
      </c>
    </row>
    <row r="6447" spans="1:12" hidden="1" outlineLevel="1" collapsed="1" x14ac:dyDescent="0.35">
      <c r="A6447" s="112" t="s">
        <v>4632</v>
      </c>
      <c r="B6447" s="112" t="s">
        <v>4650</v>
      </c>
      <c r="C6447" s="112" t="s">
        <v>695</v>
      </c>
      <c r="D6447" s="113">
        <v>10347950</v>
      </c>
      <c r="E6447" s="115">
        <v>43923</v>
      </c>
      <c r="F6447" s="114">
        <v>202101</v>
      </c>
      <c r="G6447" s="112" t="s">
        <v>1091</v>
      </c>
      <c r="H6447" s="112" t="s">
        <v>1015</v>
      </c>
      <c r="I6447" s="112" t="s">
        <v>749</v>
      </c>
      <c r="J6447" s="112" t="s">
        <v>4651</v>
      </c>
      <c r="K6447" s="112" t="s">
        <v>5142</v>
      </c>
      <c r="L6447" s="116">
        <v>554.55999999999995</v>
      </c>
    </row>
    <row r="6448" spans="1:12" hidden="1" outlineLevel="1" collapsed="1" x14ac:dyDescent="0.35">
      <c r="A6448" s="112" t="s">
        <v>4632</v>
      </c>
      <c r="B6448" s="112" t="s">
        <v>4650</v>
      </c>
      <c r="C6448" s="112" t="s">
        <v>695</v>
      </c>
      <c r="D6448" s="113">
        <v>10347950</v>
      </c>
      <c r="E6448" s="115">
        <v>43923</v>
      </c>
      <c r="F6448" s="114">
        <v>202101</v>
      </c>
      <c r="G6448" s="112" t="s">
        <v>1091</v>
      </c>
      <c r="H6448" s="112" t="s">
        <v>1015</v>
      </c>
      <c r="I6448" s="112" t="s">
        <v>749</v>
      </c>
      <c r="J6448" s="112" t="s">
        <v>4651</v>
      </c>
      <c r="K6448" s="112" t="s">
        <v>5143</v>
      </c>
      <c r="L6448" s="116">
        <v>-554.55999999999995</v>
      </c>
    </row>
    <row r="6449" spans="1:12" hidden="1" outlineLevel="1" collapsed="1" x14ac:dyDescent="0.35">
      <c r="A6449" s="112" t="s">
        <v>4632</v>
      </c>
      <c r="B6449" s="112" t="s">
        <v>4650</v>
      </c>
      <c r="C6449" s="112" t="s">
        <v>695</v>
      </c>
      <c r="D6449" s="113">
        <v>10347950</v>
      </c>
      <c r="E6449" s="115">
        <v>43923</v>
      </c>
      <c r="F6449" s="114">
        <v>202101</v>
      </c>
      <c r="G6449" s="112" t="s">
        <v>1091</v>
      </c>
      <c r="H6449" s="112" t="s">
        <v>1015</v>
      </c>
      <c r="I6449" s="112" t="s">
        <v>749</v>
      </c>
      <c r="J6449" s="112" t="s">
        <v>4651</v>
      </c>
      <c r="K6449" s="112" t="s">
        <v>5144</v>
      </c>
      <c r="L6449" s="116">
        <v>508.84</v>
      </c>
    </row>
    <row r="6450" spans="1:12" hidden="1" outlineLevel="1" collapsed="1" x14ac:dyDescent="0.35">
      <c r="A6450" s="112" t="s">
        <v>4632</v>
      </c>
      <c r="B6450" s="112" t="s">
        <v>4650</v>
      </c>
      <c r="C6450" s="112" t="s">
        <v>695</v>
      </c>
      <c r="D6450" s="113">
        <v>10347950</v>
      </c>
      <c r="E6450" s="115">
        <v>43923</v>
      </c>
      <c r="F6450" s="114">
        <v>202101</v>
      </c>
      <c r="G6450" s="112" t="s">
        <v>1091</v>
      </c>
      <c r="H6450" s="112" t="s">
        <v>1015</v>
      </c>
      <c r="I6450" s="112" t="s">
        <v>749</v>
      </c>
      <c r="J6450" s="112" t="s">
        <v>4651</v>
      </c>
      <c r="K6450" s="112" t="s">
        <v>5145</v>
      </c>
      <c r="L6450" s="116">
        <v>4066.18</v>
      </c>
    </row>
    <row r="6451" spans="1:12" hidden="1" outlineLevel="1" collapsed="1" x14ac:dyDescent="0.35">
      <c r="A6451" s="112" t="s">
        <v>4632</v>
      </c>
      <c r="B6451" s="112" t="s">
        <v>4644</v>
      </c>
      <c r="C6451" s="112" t="s">
        <v>695</v>
      </c>
      <c r="D6451" s="113">
        <v>10347950</v>
      </c>
      <c r="E6451" s="115">
        <v>43923</v>
      </c>
      <c r="F6451" s="114">
        <v>202101</v>
      </c>
      <c r="G6451" s="112" t="s">
        <v>1091</v>
      </c>
      <c r="H6451" s="112" t="s">
        <v>1015</v>
      </c>
      <c r="I6451" s="112" t="s">
        <v>749</v>
      </c>
      <c r="J6451" s="112" t="s">
        <v>4645</v>
      </c>
      <c r="K6451" s="112" t="s">
        <v>5080</v>
      </c>
      <c r="L6451" s="116">
        <v>109.92</v>
      </c>
    </row>
    <row r="6452" spans="1:12" hidden="1" outlineLevel="1" collapsed="1" x14ac:dyDescent="0.35">
      <c r="A6452" s="112" t="s">
        <v>4632</v>
      </c>
      <c r="B6452" s="112" t="s">
        <v>4644</v>
      </c>
      <c r="C6452" s="112" t="s">
        <v>695</v>
      </c>
      <c r="D6452" s="113">
        <v>10347950</v>
      </c>
      <c r="E6452" s="115">
        <v>43923</v>
      </c>
      <c r="F6452" s="114">
        <v>202101</v>
      </c>
      <c r="G6452" s="112" t="s">
        <v>1091</v>
      </c>
      <c r="H6452" s="112" t="s">
        <v>1015</v>
      </c>
      <c r="I6452" s="112" t="s">
        <v>749</v>
      </c>
      <c r="J6452" s="112" t="s">
        <v>4645</v>
      </c>
      <c r="K6452" s="112" t="s">
        <v>4714</v>
      </c>
      <c r="L6452" s="116">
        <v>64.55</v>
      </c>
    </row>
    <row r="6453" spans="1:12" hidden="1" outlineLevel="1" collapsed="1" x14ac:dyDescent="0.35">
      <c r="A6453" s="112" t="s">
        <v>4632</v>
      </c>
      <c r="B6453" s="112" t="s">
        <v>4644</v>
      </c>
      <c r="C6453" s="112" t="s">
        <v>695</v>
      </c>
      <c r="D6453" s="113">
        <v>10347950</v>
      </c>
      <c r="E6453" s="115">
        <v>43923</v>
      </c>
      <c r="F6453" s="114">
        <v>202101</v>
      </c>
      <c r="G6453" s="112" t="s">
        <v>1091</v>
      </c>
      <c r="H6453" s="112" t="s">
        <v>1015</v>
      </c>
      <c r="I6453" s="112" t="s">
        <v>749</v>
      </c>
      <c r="J6453" s="112" t="s">
        <v>4645</v>
      </c>
      <c r="K6453" s="112" t="s">
        <v>4715</v>
      </c>
      <c r="L6453" s="116">
        <v>1014.81</v>
      </c>
    </row>
    <row r="6454" spans="1:12" hidden="1" outlineLevel="1" collapsed="1" x14ac:dyDescent="0.35">
      <c r="A6454" s="112" t="s">
        <v>4632</v>
      </c>
      <c r="B6454" s="112" t="s">
        <v>4644</v>
      </c>
      <c r="C6454" s="112" t="s">
        <v>695</v>
      </c>
      <c r="D6454" s="113">
        <v>10347950</v>
      </c>
      <c r="E6454" s="115">
        <v>43923</v>
      </c>
      <c r="F6454" s="114">
        <v>202101</v>
      </c>
      <c r="G6454" s="112" t="s">
        <v>1091</v>
      </c>
      <c r="H6454" s="112" t="s">
        <v>1015</v>
      </c>
      <c r="I6454" s="112" t="s">
        <v>749</v>
      </c>
      <c r="J6454" s="112" t="s">
        <v>4645</v>
      </c>
      <c r="K6454" s="112" t="s">
        <v>4786</v>
      </c>
      <c r="L6454" s="116">
        <v>256.33</v>
      </c>
    </row>
    <row r="6455" spans="1:12" hidden="1" outlineLevel="1" collapsed="1" x14ac:dyDescent="0.35">
      <c r="A6455" s="112" t="s">
        <v>4632</v>
      </c>
      <c r="B6455" s="112" t="s">
        <v>4644</v>
      </c>
      <c r="C6455" s="112" t="s">
        <v>695</v>
      </c>
      <c r="D6455" s="113">
        <v>10347950</v>
      </c>
      <c r="E6455" s="115">
        <v>43923</v>
      </c>
      <c r="F6455" s="114">
        <v>202101</v>
      </c>
      <c r="G6455" s="112" t="s">
        <v>1091</v>
      </c>
      <c r="H6455" s="112" t="s">
        <v>1015</v>
      </c>
      <c r="I6455" s="112" t="s">
        <v>749</v>
      </c>
      <c r="J6455" s="112" t="s">
        <v>4645</v>
      </c>
      <c r="K6455" s="112" t="s">
        <v>5146</v>
      </c>
      <c r="L6455" s="116">
        <v>40.159999999999997</v>
      </c>
    </row>
    <row r="6456" spans="1:12" hidden="1" outlineLevel="1" collapsed="1" x14ac:dyDescent="0.35">
      <c r="A6456" s="112" t="s">
        <v>4632</v>
      </c>
      <c r="B6456" s="112" t="s">
        <v>4644</v>
      </c>
      <c r="C6456" s="112" t="s">
        <v>695</v>
      </c>
      <c r="D6456" s="113">
        <v>10347950</v>
      </c>
      <c r="E6456" s="115">
        <v>43923</v>
      </c>
      <c r="F6456" s="114">
        <v>202101</v>
      </c>
      <c r="G6456" s="112" t="s">
        <v>1091</v>
      </c>
      <c r="H6456" s="112" t="s">
        <v>1015</v>
      </c>
      <c r="I6456" s="112" t="s">
        <v>749</v>
      </c>
      <c r="J6456" s="112" t="s">
        <v>4645</v>
      </c>
      <c r="K6456" s="112" t="s">
        <v>5147</v>
      </c>
      <c r="L6456" s="116">
        <v>-78.62</v>
      </c>
    </row>
    <row r="6457" spans="1:12" hidden="1" outlineLevel="1" collapsed="1" x14ac:dyDescent="0.35">
      <c r="A6457" s="112" t="s">
        <v>4632</v>
      </c>
      <c r="B6457" s="112" t="s">
        <v>4639</v>
      </c>
      <c r="C6457" s="112" t="s">
        <v>695</v>
      </c>
      <c r="D6457" s="113">
        <v>10347950</v>
      </c>
      <c r="E6457" s="115">
        <v>43923</v>
      </c>
      <c r="F6457" s="114">
        <v>202101</v>
      </c>
      <c r="G6457" s="112" t="s">
        <v>1091</v>
      </c>
      <c r="H6457" s="112" t="s">
        <v>1015</v>
      </c>
      <c r="I6457" s="112" t="s">
        <v>751</v>
      </c>
      <c r="J6457" s="112" t="s">
        <v>4640</v>
      </c>
      <c r="K6457" s="112" t="s">
        <v>4835</v>
      </c>
      <c r="L6457" s="116">
        <v>145.91</v>
      </c>
    </row>
    <row r="6458" spans="1:12" hidden="1" outlineLevel="1" collapsed="1" x14ac:dyDescent="0.35">
      <c r="A6458" s="112" t="s">
        <v>4632</v>
      </c>
      <c r="B6458" s="112" t="s">
        <v>4639</v>
      </c>
      <c r="C6458" s="112" t="s">
        <v>695</v>
      </c>
      <c r="D6458" s="113">
        <v>10347950</v>
      </c>
      <c r="E6458" s="115">
        <v>43923</v>
      </c>
      <c r="F6458" s="114">
        <v>202101</v>
      </c>
      <c r="G6458" s="112" t="s">
        <v>1091</v>
      </c>
      <c r="H6458" s="112" t="s">
        <v>1015</v>
      </c>
      <c r="I6458" s="112" t="s">
        <v>751</v>
      </c>
      <c r="J6458" s="112" t="s">
        <v>4640</v>
      </c>
      <c r="K6458" s="112" t="s">
        <v>4834</v>
      </c>
      <c r="L6458" s="116">
        <v>91.16</v>
      </c>
    </row>
    <row r="6459" spans="1:12" hidden="1" outlineLevel="1" collapsed="1" x14ac:dyDescent="0.35">
      <c r="A6459" s="112" t="s">
        <v>4632</v>
      </c>
      <c r="B6459" s="112" t="s">
        <v>4639</v>
      </c>
      <c r="C6459" s="112" t="s">
        <v>695</v>
      </c>
      <c r="D6459" s="113">
        <v>10347950</v>
      </c>
      <c r="E6459" s="115">
        <v>43923</v>
      </c>
      <c r="F6459" s="114">
        <v>202101</v>
      </c>
      <c r="G6459" s="112" t="s">
        <v>1091</v>
      </c>
      <c r="H6459" s="112" t="s">
        <v>1015</v>
      </c>
      <c r="I6459" s="112" t="s">
        <v>751</v>
      </c>
      <c r="J6459" s="112" t="s">
        <v>4640</v>
      </c>
      <c r="K6459" s="112" t="s">
        <v>4833</v>
      </c>
      <c r="L6459" s="116">
        <v>-1323.69</v>
      </c>
    </row>
    <row r="6460" spans="1:12" hidden="1" outlineLevel="1" collapsed="1" x14ac:dyDescent="0.35">
      <c r="A6460" s="112" t="s">
        <v>4632</v>
      </c>
      <c r="B6460" s="112" t="s">
        <v>863</v>
      </c>
      <c r="C6460" s="112" t="s">
        <v>695</v>
      </c>
      <c r="D6460" s="113">
        <v>10347950</v>
      </c>
      <c r="E6460" s="115">
        <v>43923</v>
      </c>
      <c r="F6460" s="114">
        <v>202101</v>
      </c>
      <c r="G6460" s="112" t="s">
        <v>1091</v>
      </c>
      <c r="H6460" s="112" t="s">
        <v>1015</v>
      </c>
      <c r="I6460" s="112" t="s">
        <v>751</v>
      </c>
      <c r="J6460" s="112" t="s">
        <v>787</v>
      </c>
      <c r="K6460" s="112" t="s">
        <v>4686</v>
      </c>
      <c r="L6460" s="116">
        <v>3857.55</v>
      </c>
    </row>
    <row r="6461" spans="1:12" hidden="1" outlineLevel="1" collapsed="1" x14ac:dyDescent="0.35">
      <c r="A6461" s="112" t="s">
        <v>4632</v>
      </c>
      <c r="B6461" s="112" t="s">
        <v>863</v>
      </c>
      <c r="C6461" s="112" t="s">
        <v>695</v>
      </c>
      <c r="D6461" s="113">
        <v>10347950</v>
      </c>
      <c r="E6461" s="115">
        <v>43923</v>
      </c>
      <c r="F6461" s="114">
        <v>202101</v>
      </c>
      <c r="G6461" s="112" t="s">
        <v>1091</v>
      </c>
      <c r="H6461" s="112" t="s">
        <v>1015</v>
      </c>
      <c r="I6461" s="112" t="s">
        <v>749</v>
      </c>
      <c r="J6461" s="112" t="s">
        <v>787</v>
      </c>
      <c r="K6461" s="112" t="s">
        <v>5148</v>
      </c>
      <c r="L6461" s="116">
        <v>852.01</v>
      </c>
    </row>
    <row r="6462" spans="1:12" hidden="1" outlineLevel="1" collapsed="1" x14ac:dyDescent="0.35">
      <c r="A6462" s="112" t="s">
        <v>4632</v>
      </c>
      <c r="B6462" s="112" t="s">
        <v>4650</v>
      </c>
      <c r="C6462" s="112" t="s">
        <v>695</v>
      </c>
      <c r="D6462" s="113">
        <v>10347950</v>
      </c>
      <c r="E6462" s="115">
        <v>43923</v>
      </c>
      <c r="F6462" s="114">
        <v>202101</v>
      </c>
      <c r="G6462" s="112" t="s">
        <v>1091</v>
      </c>
      <c r="H6462" s="112" t="s">
        <v>1015</v>
      </c>
      <c r="I6462" s="112" t="s">
        <v>749</v>
      </c>
      <c r="J6462" s="112" t="s">
        <v>4651</v>
      </c>
      <c r="K6462" s="112" t="s">
        <v>5149</v>
      </c>
      <c r="L6462" s="116">
        <v>84.72</v>
      </c>
    </row>
    <row r="6463" spans="1:12" hidden="1" outlineLevel="1" collapsed="1" x14ac:dyDescent="0.35">
      <c r="A6463" s="112" t="s">
        <v>4632</v>
      </c>
      <c r="B6463" s="112" t="s">
        <v>4644</v>
      </c>
      <c r="C6463" s="112" t="s">
        <v>695</v>
      </c>
      <c r="D6463" s="113">
        <v>10347950</v>
      </c>
      <c r="E6463" s="115">
        <v>43923</v>
      </c>
      <c r="F6463" s="114">
        <v>202101</v>
      </c>
      <c r="G6463" s="112" t="s">
        <v>1091</v>
      </c>
      <c r="H6463" s="112" t="s">
        <v>1015</v>
      </c>
      <c r="I6463" s="112" t="s">
        <v>749</v>
      </c>
      <c r="J6463" s="112" t="s">
        <v>4645</v>
      </c>
      <c r="K6463" s="112" t="s">
        <v>5076</v>
      </c>
      <c r="L6463" s="116">
        <v>333.41</v>
      </c>
    </row>
    <row r="6464" spans="1:12" hidden="1" outlineLevel="1" collapsed="1" x14ac:dyDescent="0.35">
      <c r="A6464" s="112" t="s">
        <v>4632</v>
      </c>
      <c r="B6464" s="112" t="s">
        <v>4644</v>
      </c>
      <c r="C6464" s="112" t="s">
        <v>695</v>
      </c>
      <c r="D6464" s="113">
        <v>10347950</v>
      </c>
      <c r="E6464" s="115">
        <v>43923</v>
      </c>
      <c r="F6464" s="114">
        <v>202101</v>
      </c>
      <c r="G6464" s="112" t="s">
        <v>1091</v>
      </c>
      <c r="H6464" s="112" t="s">
        <v>1015</v>
      </c>
      <c r="I6464" s="112" t="s">
        <v>757</v>
      </c>
      <c r="J6464" s="112" t="s">
        <v>4645</v>
      </c>
      <c r="K6464" s="112" t="s">
        <v>5150</v>
      </c>
      <c r="L6464" s="116">
        <v>73.930000000000007</v>
      </c>
    </row>
    <row r="6465" spans="1:12" hidden="1" outlineLevel="1" collapsed="1" x14ac:dyDescent="0.35">
      <c r="A6465" s="112" t="s">
        <v>4632</v>
      </c>
      <c r="B6465" s="112" t="s">
        <v>4644</v>
      </c>
      <c r="C6465" s="112" t="s">
        <v>695</v>
      </c>
      <c r="D6465" s="113">
        <v>10347950</v>
      </c>
      <c r="E6465" s="115">
        <v>43923</v>
      </c>
      <c r="F6465" s="114">
        <v>202101</v>
      </c>
      <c r="G6465" s="112" t="s">
        <v>1091</v>
      </c>
      <c r="H6465" s="112" t="s">
        <v>1015</v>
      </c>
      <c r="I6465" s="112" t="s">
        <v>757</v>
      </c>
      <c r="J6465" s="112" t="s">
        <v>4645</v>
      </c>
      <c r="K6465" s="112" t="s">
        <v>5068</v>
      </c>
      <c r="L6465" s="116">
        <v>62.03</v>
      </c>
    </row>
    <row r="6466" spans="1:12" hidden="1" outlineLevel="1" collapsed="1" x14ac:dyDescent="0.35">
      <c r="A6466" s="112" t="s">
        <v>4632</v>
      </c>
      <c r="B6466" s="112" t="s">
        <v>863</v>
      </c>
      <c r="C6466" s="112" t="s">
        <v>695</v>
      </c>
      <c r="D6466" s="113">
        <v>10347950</v>
      </c>
      <c r="E6466" s="115">
        <v>43923</v>
      </c>
      <c r="F6466" s="114">
        <v>202101</v>
      </c>
      <c r="G6466" s="112" t="s">
        <v>1091</v>
      </c>
      <c r="H6466" s="112" t="s">
        <v>1015</v>
      </c>
      <c r="I6466" s="112" t="s">
        <v>757</v>
      </c>
      <c r="J6466" s="112" t="s">
        <v>856</v>
      </c>
      <c r="K6466" s="112" t="s">
        <v>5066</v>
      </c>
      <c r="L6466" s="116">
        <v>161.77000000000001</v>
      </c>
    </row>
    <row r="6467" spans="1:12" hidden="1" outlineLevel="1" collapsed="1" x14ac:dyDescent="0.35">
      <c r="A6467" s="112" t="s">
        <v>4632</v>
      </c>
      <c r="B6467" s="112" t="s">
        <v>4644</v>
      </c>
      <c r="C6467" s="112" t="s">
        <v>695</v>
      </c>
      <c r="D6467" s="113">
        <v>10347950</v>
      </c>
      <c r="E6467" s="115">
        <v>43923</v>
      </c>
      <c r="F6467" s="114">
        <v>202101</v>
      </c>
      <c r="G6467" s="112" t="s">
        <v>1091</v>
      </c>
      <c r="H6467" s="112" t="s">
        <v>1015</v>
      </c>
      <c r="I6467" s="112" t="s">
        <v>757</v>
      </c>
      <c r="J6467" s="112" t="s">
        <v>4645</v>
      </c>
      <c r="K6467" s="112" t="s">
        <v>5074</v>
      </c>
      <c r="L6467" s="116">
        <v>90.95</v>
      </c>
    </row>
    <row r="6468" spans="1:12" hidden="1" outlineLevel="1" collapsed="1" x14ac:dyDescent="0.35">
      <c r="A6468" s="112" t="s">
        <v>4632</v>
      </c>
      <c r="B6468" s="112" t="s">
        <v>4644</v>
      </c>
      <c r="C6468" s="112" t="s">
        <v>695</v>
      </c>
      <c r="D6468" s="113">
        <v>10347950</v>
      </c>
      <c r="E6468" s="115">
        <v>43923</v>
      </c>
      <c r="F6468" s="114">
        <v>202101</v>
      </c>
      <c r="G6468" s="112" t="s">
        <v>1091</v>
      </c>
      <c r="H6468" s="112" t="s">
        <v>1015</v>
      </c>
      <c r="I6468" s="112" t="s">
        <v>757</v>
      </c>
      <c r="J6468" s="112" t="s">
        <v>4645</v>
      </c>
      <c r="K6468" s="112" t="s">
        <v>5151</v>
      </c>
      <c r="L6468" s="116">
        <v>522.59</v>
      </c>
    </row>
    <row r="6469" spans="1:12" hidden="1" outlineLevel="1" collapsed="1" x14ac:dyDescent="0.35">
      <c r="A6469" s="112" t="s">
        <v>4632</v>
      </c>
      <c r="B6469" s="112" t="s">
        <v>4644</v>
      </c>
      <c r="C6469" s="112" t="s">
        <v>695</v>
      </c>
      <c r="D6469" s="113">
        <v>10347950</v>
      </c>
      <c r="E6469" s="115">
        <v>43923</v>
      </c>
      <c r="F6469" s="114">
        <v>202101</v>
      </c>
      <c r="G6469" s="112" t="s">
        <v>1091</v>
      </c>
      <c r="H6469" s="112" t="s">
        <v>1015</v>
      </c>
      <c r="I6469" s="112" t="s">
        <v>749</v>
      </c>
      <c r="J6469" s="112" t="s">
        <v>4645</v>
      </c>
      <c r="K6469" s="112" t="s">
        <v>5080</v>
      </c>
      <c r="L6469" s="116">
        <v>735.18</v>
      </c>
    </row>
    <row r="6470" spans="1:12" hidden="1" outlineLevel="1" collapsed="1" x14ac:dyDescent="0.35">
      <c r="A6470" s="112" t="s">
        <v>4632</v>
      </c>
      <c r="B6470" s="112" t="s">
        <v>4644</v>
      </c>
      <c r="C6470" s="112" t="s">
        <v>695</v>
      </c>
      <c r="D6470" s="113">
        <v>10347950</v>
      </c>
      <c r="E6470" s="115">
        <v>43923</v>
      </c>
      <c r="F6470" s="114">
        <v>202101</v>
      </c>
      <c r="G6470" s="112" t="s">
        <v>1091</v>
      </c>
      <c r="H6470" s="112" t="s">
        <v>1015</v>
      </c>
      <c r="I6470" s="112" t="s">
        <v>749</v>
      </c>
      <c r="J6470" s="112" t="s">
        <v>4645</v>
      </c>
      <c r="K6470" s="112" t="s">
        <v>5081</v>
      </c>
      <c r="L6470" s="116">
        <v>1499.15</v>
      </c>
    </row>
    <row r="6471" spans="1:12" hidden="1" outlineLevel="1" collapsed="1" x14ac:dyDescent="0.35">
      <c r="A6471" s="112" t="s">
        <v>4632</v>
      </c>
      <c r="B6471" s="112" t="s">
        <v>863</v>
      </c>
      <c r="C6471" s="112" t="s">
        <v>695</v>
      </c>
      <c r="D6471" s="113">
        <v>10347950</v>
      </c>
      <c r="E6471" s="115">
        <v>43923</v>
      </c>
      <c r="F6471" s="114">
        <v>202101</v>
      </c>
      <c r="G6471" s="112" t="s">
        <v>1091</v>
      </c>
      <c r="H6471" s="112" t="s">
        <v>1015</v>
      </c>
      <c r="I6471" s="112" t="s">
        <v>749</v>
      </c>
      <c r="J6471" s="112" t="s">
        <v>790</v>
      </c>
      <c r="K6471" s="112" t="s">
        <v>5152</v>
      </c>
      <c r="L6471" s="116">
        <v>360.95</v>
      </c>
    </row>
    <row r="6472" spans="1:12" hidden="1" outlineLevel="1" collapsed="1" x14ac:dyDescent="0.35">
      <c r="A6472" s="112" t="s">
        <v>4632</v>
      </c>
      <c r="B6472" s="112" t="s">
        <v>863</v>
      </c>
      <c r="C6472" s="112" t="s">
        <v>695</v>
      </c>
      <c r="D6472" s="113">
        <v>10347950</v>
      </c>
      <c r="E6472" s="115">
        <v>43923</v>
      </c>
      <c r="F6472" s="114">
        <v>202101</v>
      </c>
      <c r="G6472" s="112" t="s">
        <v>1091</v>
      </c>
      <c r="H6472" s="112" t="s">
        <v>1015</v>
      </c>
      <c r="I6472" s="112" t="s">
        <v>749</v>
      </c>
      <c r="J6472" s="112" t="s">
        <v>852</v>
      </c>
      <c r="K6472" s="112" t="s">
        <v>4677</v>
      </c>
      <c r="L6472" s="116">
        <v>39.340000000000003</v>
      </c>
    </row>
    <row r="6473" spans="1:12" hidden="1" outlineLevel="1" collapsed="1" x14ac:dyDescent="0.35">
      <c r="A6473" s="112" t="s">
        <v>4632</v>
      </c>
      <c r="B6473" s="112" t="s">
        <v>4650</v>
      </c>
      <c r="C6473" s="112" t="s">
        <v>695</v>
      </c>
      <c r="D6473" s="113">
        <v>10347950</v>
      </c>
      <c r="E6473" s="115">
        <v>43923</v>
      </c>
      <c r="F6473" s="114">
        <v>202101</v>
      </c>
      <c r="G6473" s="112" t="s">
        <v>1091</v>
      </c>
      <c r="H6473" s="112" t="s">
        <v>1015</v>
      </c>
      <c r="I6473" s="112" t="s">
        <v>749</v>
      </c>
      <c r="J6473" s="112" t="s">
        <v>4651</v>
      </c>
      <c r="K6473" s="112" t="s">
        <v>5038</v>
      </c>
      <c r="L6473" s="116">
        <v>39.409999999999997</v>
      </c>
    </row>
    <row r="6474" spans="1:12" hidden="1" outlineLevel="1" collapsed="1" x14ac:dyDescent="0.35">
      <c r="A6474" s="112" t="s">
        <v>4632</v>
      </c>
      <c r="B6474" s="112" t="s">
        <v>4644</v>
      </c>
      <c r="C6474" s="112" t="s">
        <v>695</v>
      </c>
      <c r="D6474" s="113">
        <v>10347950</v>
      </c>
      <c r="E6474" s="115">
        <v>43923</v>
      </c>
      <c r="F6474" s="114">
        <v>202101</v>
      </c>
      <c r="G6474" s="112" t="s">
        <v>1091</v>
      </c>
      <c r="H6474" s="112" t="s">
        <v>1015</v>
      </c>
      <c r="I6474" s="112" t="s">
        <v>749</v>
      </c>
      <c r="J6474" s="112" t="s">
        <v>4645</v>
      </c>
      <c r="K6474" s="112" t="s">
        <v>4675</v>
      </c>
      <c r="L6474" s="116">
        <v>73.930000000000007</v>
      </c>
    </row>
    <row r="6475" spans="1:12" hidden="1" outlineLevel="1" collapsed="1" x14ac:dyDescent="0.35">
      <c r="A6475" s="112" t="s">
        <v>4632</v>
      </c>
      <c r="B6475" s="112" t="s">
        <v>4644</v>
      </c>
      <c r="C6475" s="112" t="s">
        <v>695</v>
      </c>
      <c r="D6475" s="113">
        <v>10347950</v>
      </c>
      <c r="E6475" s="115">
        <v>43923</v>
      </c>
      <c r="F6475" s="114">
        <v>202101</v>
      </c>
      <c r="G6475" s="112" t="s">
        <v>1091</v>
      </c>
      <c r="H6475" s="112" t="s">
        <v>1015</v>
      </c>
      <c r="I6475" s="112" t="s">
        <v>749</v>
      </c>
      <c r="J6475" s="112" t="s">
        <v>4645</v>
      </c>
      <c r="K6475" s="112" t="s">
        <v>5076</v>
      </c>
      <c r="L6475" s="116">
        <v>133.04</v>
      </c>
    </row>
    <row r="6476" spans="1:12" hidden="1" outlineLevel="1" collapsed="1" x14ac:dyDescent="0.35">
      <c r="A6476" s="112" t="s">
        <v>4632</v>
      </c>
      <c r="B6476" s="112" t="s">
        <v>863</v>
      </c>
      <c r="C6476" s="112" t="s">
        <v>695</v>
      </c>
      <c r="D6476" s="113">
        <v>10347950</v>
      </c>
      <c r="E6476" s="115">
        <v>43923</v>
      </c>
      <c r="F6476" s="114">
        <v>202101</v>
      </c>
      <c r="G6476" s="112" t="s">
        <v>1091</v>
      </c>
      <c r="H6476" s="112" t="s">
        <v>1015</v>
      </c>
      <c r="I6476" s="112" t="s">
        <v>757</v>
      </c>
      <c r="J6476" s="112" t="s">
        <v>787</v>
      </c>
      <c r="K6476" s="112" t="s">
        <v>5121</v>
      </c>
      <c r="L6476" s="116">
        <v>1488.76</v>
      </c>
    </row>
    <row r="6477" spans="1:12" hidden="1" outlineLevel="1" collapsed="1" x14ac:dyDescent="0.35">
      <c r="A6477" s="112" t="s">
        <v>4632</v>
      </c>
      <c r="B6477" s="112" t="s">
        <v>4644</v>
      </c>
      <c r="C6477" s="112" t="s">
        <v>695</v>
      </c>
      <c r="D6477" s="113">
        <v>10347950</v>
      </c>
      <c r="E6477" s="115">
        <v>43923</v>
      </c>
      <c r="F6477" s="114">
        <v>202101</v>
      </c>
      <c r="G6477" s="112" t="s">
        <v>1091</v>
      </c>
      <c r="H6477" s="112" t="s">
        <v>1015</v>
      </c>
      <c r="I6477" s="112" t="s">
        <v>749</v>
      </c>
      <c r="J6477" s="112" t="s">
        <v>4645</v>
      </c>
      <c r="K6477" s="112" t="s">
        <v>4712</v>
      </c>
      <c r="L6477" s="116">
        <v>345.86</v>
      </c>
    </row>
    <row r="6478" spans="1:12" hidden="1" outlineLevel="1" collapsed="1" x14ac:dyDescent="0.35">
      <c r="A6478" s="112" t="s">
        <v>4632</v>
      </c>
      <c r="B6478" s="112" t="s">
        <v>4644</v>
      </c>
      <c r="C6478" s="112" t="s">
        <v>695</v>
      </c>
      <c r="D6478" s="113">
        <v>10347950</v>
      </c>
      <c r="E6478" s="115">
        <v>43923</v>
      </c>
      <c r="F6478" s="114">
        <v>202101</v>
      </c>
      <c r="G6478" s="112" t="s">
        <v>1091</v>
      </c>
      <c r="H6478" s="112" t="s">
        <v>1015</v>
      </c>
      <c r="I6478" s="112" t="s">
        <v>749</v>
      </c>
      <c r="J6478" s="112" t="s">
        <v>4645</v>
      </c>
      <c r="K6478" s="112" t="s">
        <v>5153</v>
      </c>
      <c r="L6478" s="116">
        <v>-85.45</v>
      </c>
    </row>
    <row r="6479" spans="1:12" hidden="1" outlineLevel="1" collapsed="1" x14ac:dyDescent="0.35">
      <c r="A6479" s="112" t="s">
        <v>4632</v>
      </c>
      <c r="B6479" s="112" t="s">
        <v>4635</v>
      </c>
      <c r="C6479" s="112" t="s">
        <v>679</v>
      </c>
      <c r="D6479" s="113">
        <v>10348340</v>
      </c>
      <c r="E6479" s="115">
        <v>43941</v>
      </c>
      <c r="F6479" s="114">
        <v>202101</v>
      </c>
      <c r="G6479" s="112" t="s">
        <v>1091</v>
      </c>
      <c r="H6479" s="112" t="s">
        <v>1016</v>
      </c>
      <c r="I6479" s="112" t="s">
        <v>779</v>
      </c>
      <c r="J6479" s="112" t="s">
        <v>5133</v>
      </c>
      <c r="K6479" s="112" t="s">
        <v>5154</v>
      </c>
      <c r="L6479" s="116">
        <v>-316791.88</v>
      </c>
    </row>
    <row r="6480" spans="1:12" hidden="1" outlineLevel="1" collapsed="1" x14ac:dyDescent="0.35">
      <c r="A6480" s="112" t="s">
        <v>4632</v>
      </c>
      <c r="B6480" s="112" t="s">
        <v>4688</v>
      </c>
      <c r="C6480" s="112" t="s">
        <v>679</v>
      </c>
      <c r="D6480" s="113">
        <v>10348297</v>
      </c>
      <c r="E6480" s="115">
        <v>43938</v>
      </c>
      <c r="F6480" s="114">
        <v>202101</v>
      </c>
      <c r="G6480" s="112" t="s">
        <v>1091</v>
      </c>
      <c r="H6480" s="112" t="s">
        <v>1016</v>
      </c>
      <c r="I6480" s="112" t="s">
        <v>4689</v>
      </c>
      <c r="J6480" s="112" t="s">
        <v>4690</v>
      </c>
      <c r="K6480" s="112" t="s">
        <v>5155</v>
      </c>
      <c r="L6480" s="116">
        <v>-52</v>
      </c>
    </row>
    <row r="6481" spans="1:12" hidden="1" outlineLevel="1" collapsed="1" x14ac:dyDescent="0.35">
      <c r="A6481" s="112" t="s">
        <v>4632</v>
      </c>
      <c r="B6481" s="112" t="s">
        <v>4688</v>
      </c>
      <c r="C6481" s="112" t="s">
        <v>679</v>
      </c>
      <c r="D6481" s="113">
        <v>10348297</v>
      </c>
      <c r="E6481" s="115">
        <v>43938</v>
      </c>
      <c r="F6481" s="114">
        <v>202101</v>
      </c>
      <c r="G6481" s="112" t="s">
        <v>1091</v>
      </c>
      <c r="H6481" s="112" t="s">
        <v>1016</v>
      </c>
      <c r="I6481" s="112" t="s">
        <v>4689</v>
      </c>
      <c r="J6481" s="112" t="s">
        <v>4690</v>
      </c>
      <c r="K6481" s="112" t="s">
        <v>5156</v>
      </c>
      <c r="L6481" s="116">
        <v>-52</v>
      </c>
    </row>
    <row r="6482" spans="1:12" hidden="1" outlineLevel="1" collapsed="1" x14ac:dyDescent="0.35">
      <c r="A6482" s="112" t="s">
        <v>4632</v>
      </c>
      <c r="B6482" s="112" t="s">
        <v>4639</v>
      </c>
      <c r="C6482" s="112" t="s">
        <v>695</v>
      </c>
      <c r="D6482" s="113">
        <v>10347950</v>
      </c>
      <c r="E6482" s="115">
        <v>43923</v>
      </c>
      <c r="F6482" s="114">
        <v>202101</v>
      </c>
      <c r="G6482" s="112" t="s">
        <v>1091</v>
      </c>
      <c r="H6482" s="112" t="s">
        <v>1015</v>
      </c>
      <c r="I6482" s="112" t="s">
        <v>749</v>
      </c>
      <c r="J6482" s="112" t="s">
        <v>4640</v>
      </c>
      <c r="K6482" s="112" t="s">
        <v>4831</v>
      </c>
      <c r="L6482" s="116">
        <v>-31.35</v>
      </c>
    </row>
    <row r="6483" spans="1:12" hidden="1" outlineLevel="1" collapsed="1" x14ac:dyDescent="0.35">
      <c r="A6483" s="112" t="s">
        <v>4632</v>
      </c>
      <c r="B6483" s="112" t="s">
        <v>4639</v>
      </c>
      <c r="C6483" s="112" t="s">
        <v>695</v>
      </c>
      <c r="D6483" s="113">
        <v>10347950</v>
      </c>
      <c r="E6483" s="115">
        <v>43923</v>
      </c>
      <c r="F6483" s="114">
        <v>202101</v>
      </c>
      <c r="G6483" s="112" t="s">
        <v>1091</v>
      </c>
      <c r="H6483" s="112" t="s">
        <v>1015</v>
      </c>
      <c r="I6483" s="112" t="s">
        <v>749</v>
      </c>
      <c r="J6483" s="112" t="s">
        <v>4640</v>
      </c>
      <c r="K6483" s="112" t="s">
        <v>5157</v>
      </c>
      <c r="L6483" s="116">
        <v>35.380000000000003</v>
      </c>
    </row>
    <row r="6484" spans="1:12" hidden="1" outlineLevel="1" collapsed="1" x14ac:dyDescent="0.35">
      <c r="A6484" s="112" t="s">
        <v>4632</v>
      </c>
      <c r="B6484" s="112" t="s">
        <v>863</v>
      </c>
      <c r="C6484" s="112" t="s">
        <v>695</v>
      </c>
      <c r="D6484" s="113">
        <v>10347950</v>
      </c>
      <c r="E6484" s="115">
        <v>43923</v>
      </c>
      <c r="F6484" s="114">
        <v>202101</v>
      </c>
      <c r="G6484" s="112" t="s">
        <v>1091</v>
      </c>
      <c r="H6484" s="112" t="s">
        <v>1015</v>
      </c>
      <c r="I6484" s="112" t="s">
        <v>749</v>
      </c>
      <c r="J6484" s="112" t="s">
        <v>787</v>
      </c>
      <c r="K6484" s="112" t="s">
        <v>4672</v>
      </c>
      <c r="L6484" s="116">
        <v>1941.17</v>
      </c>
    </row>
    <row r="6485" spans="1:12" hidden="1" outlineLevel="1" collapsed="1" x14ac:dyDescent="0.35">
      <c r="A6485" s="112" t="s">
        <v>4632</v>
      </c>
      <c r="B6485" s="112" t="s">
        <v>4644</v>
      </c>
      <c r="C6485" s="112" t="s">
        <v>695</v>
      </c>
      <c r="D6485" s="113">
        <v>10347950</v>
      </c>
      <c r="E6485" s="115">
        <v>43923</v>
      </c>
      <c r="F6485" s="114">
        <v>202101</v>
      </c>
      <c r="G6485" s="112" t="s">
        <v>1091</v>
      </c>
      <c r="H6485" s="112" t="s">
        <v>1015</v>
      </c>
      <c r="I6485" s="112" t="s">
        <v>749</v>
      </c>
      <c r="J6485" s="112" t="s">
        <v>4645</v>
      </c>
      <c r="K6485" s="112" t="s">
        <v>4785</v>
      </c>
      <c r="L6485" s="116">
        <v>2379.9299999999998</v>
      </c>
    </row>
    <row r="6486" spans="1:12" hidden="1" outlineLevel="1" collapsed="1" x14ac:dyDescent="0.35">
      <c r="A6486" s="112" t="s">
        <v>4632</v>
      </c>
      <c r="B6486" s="112" t="s">
        <v>4650</v>
      </c>
      <c r="C6486" s="112" t="s">
        <v>695</v>
      </c>
      <c r="D6486" s="113">
        <v>10347950</v>
      </c>
      <c r="E6486" s="115">
        <v>43923</v>
      </c>
      <c r="F6486" s="114">
        <v>202101</v>
      </c>
      <c r="G6486" s="112" t="s">
        <v>1091</v>
      </c>
      <c r="H6486" s="112" t="s">
        <v>1015</v>
      </c>
      <c r="I6486" s="112" t="s">
        <v>749</v>
      </c>
      <c r="J6486" s="112" t="s">
        <v>4651</v>
      </c>
      <c r="K6486" s="112" t="s">
        <v>5082</v>
      </c>
      <c r="L6486" s="116">
        <v>173.81</v>
      </c>
    </row>
    <row r="6487" spans="1:12" hidden="1" outlineLevel="1" collapsed="1" x14ac:dyDescent="0.35">
      <c r="A6487" s="112" t="s">
        <v>4632</v>
      </c>
      <c r="B6487" s="112" t="s">
        <v>4650</v>
      </c>
      <c r="C6487" s="112" t="s">
        <v>695</v>
      </c>
      <c r="D6487" s="113">
        <v>10347950</v>
      </c>
      <c r="E6487" s="115">
        <v>43923</v>
      </c>
      <c r="F6487" s="114">
        <v>202101</v>
      </c>
      <c r="G6487" s="112" t="s">
        <v>1091</v>
      </c>
      <c r="H6487" s="112" t="s">
        <v>1015</v>
      </c>
      <c r="I6487" s="112" t="s">
        <v>749</v>
      </c>
      <c r="J6487" s="112" t="s">
        <v>4651</v>
      </c>
      <c r="K6487" s="112" t="s">
        <v>5083</v>
      </c>
      <c r="L6487" s="116">
        <v>78.83</v>
      </c>
    </row>
    <row r="6488" spans="1:12" hidden="1" outlineLevel="1" collapsed="1" x14ac:dyDescent="0.35">
      <c r="A6488" s="112" t="s">
        <v>4632</v>
      </c>
      <c r="B6488" s="112" t="s">
        <v>4650</v>
      </c>
      <c r="C6488" s="112" t="s">
        <v>695</v>
      </c>
      <c r="D6488" s="113">
        <v>10347950</v>
      </c>
      <c r="E6488" s="115">
        <v>43923</v>
      </c>
      <c r="F6488" s="114">
        <v>202101</v>
      </c>
      <c r="G6488" s="112" t="s">
        <v>1091</v>
      </c>
      <c r="H6488" s="112" t="s">
        <v>1015</v>
      </c>
      <c r="I6488" s="112" t="s">
        <v>749</v>
      </c>
      <c r="J6488" s="112" t="s">
        <v>4651</v>
      </c>
      <c r="K6488" s="112" t="s">
        <v>5124</v>
      </c>
      <c r="L6488" s="116">
        <v>134.16999999999999</v>
      </c>
    </row>
    <row r="6489" spans="1:12" hidden="1" outlineLevel="1" collapsed="1" x14ac:dyDescent="0.35">
      <c r="A6489" s="112" t="s">
        <v>4632</v>
      </c>
      <c r="B6489" s="112" t="s">
        <v>4644</v>
      </c>
      <c r="C6489" s="112" t="s">
        <v>695</v>
      </c>
      <c r="D6489" s="113">
        <v>10347950</v>
      </c>
      <c r="E6489" s="115">
        <v>43923</v>
      </c>
      <c r="F6489" s="114">
        <v>202101</v>
      </c>
      <c r="G6489" s="112" t="s">
        <v>1091</v>
      </c>
      <c r="H6489" s="112" t="s">
        <v>1015</v>
      </c>
      <c r="I6489" s="112" t="s">
        <v>757</v>
      </c>
      <c r="J6489" s="112" t="s">
        <v>4645</v>
      </c>
      <c r="K6489" s="112" t="s">
        <v>4779</v>
      </c>
      <c r="L6489" s="116">
        <v>4684.2700000000004</v>
      </c>
    </row>
    <row r="6490" spans="1:12" hidden="1" outlineLevel="1" collapsed="1" x14ac:dyDescent="0.35">
      <c r="A6490" s="112" t="s">
        <v>4632</v>
      </c>
      <c r="B6490" s="112" t="s">
        <v>4650</v>
      </c>
      <c r="C6490" s="112" t="s">
        <v>695</v>
      </c>
      <c r="D6490" s="113">
        <v>10347950</v>
      </c>
      <c r="E6490" s="115">
        <v>43923</v>
      </c>
      <c r="F6490" s="114">
        <v>202101</v>
      </c>
      <c r="G6490" s="112" t="s">
        <v>1091</v>
      </c>
      <c r="H6490" s="112" t="s">
        <v>1015</v>
      </c>
      <c r="I6490" s="112" t="s">
        <v>757</v>
      </c>
      <c r="J6490" s="112" t="s">
        <v>4651</v>
      </c>
      <c r="K6490" s="112" t="s">
        <v>5064</v>
      </c>
      <c r="L6490" s="116">
        <v>2293.4899999999998</v>
      </c>
    </row>
    <row r="6491" spans="1:12" hidden="1" outlineLevel="1" collapsed="1" x14ac:dyDescent="0.35">
      <c r="A6491" s="112" t="s">
        <v>4632</v>
      </c>
      <c r="B6491" s="112" t="s">
        <v>4650</v>
      </c>
      <c r="C6491" s="112" t="s">
        <v>695</v>
      </c>
      <c r="D6491" s="113">
        <v>10347950</v>
      </c>
      <c r="E6491" s="115">
        <v>43923</v>
      </c>
      <c r="F6491" s="114">
        <v>202101</v>
      </c>
      <c r="G6491" s="112" t="s">
        <v>1091</v>
      </c>
      <c r="H6491" s="112" t="s">
        <v>1015</v>
      </c>
      <c r="I6491" s="112" t="s">
        <v>757</v>
      </c>
      <c r="J6491" s="112" t="s">
        <v>4651</v>
      </c>
      <c r="K6491" s="112" t="s">
        <v>5158</v>
      </c>
      <c r="L6491" s="116">
        <v>612.91</v>
      </c>
    </row>
    <row r="6492" spans="1:12" hidden="1" outlineLevel="1" collapsed="1" x14ac:dyDescent="0.35">
      <c r="A6492" s="112" t="s">
        <v>4632</v>
      </c>
      <c r="B6492" s="112" t="s">
        <v>4650</v>
      </c>
      <c r="C6492" s="112" t="s">
        <v>695</v>
      </c>
      <c r="D6492" s="113">
        <v>10347950</v>
      </c>
      <c r="E6492" s="115">
        <v>43923</v>
      </c>
      <c r="F6492" s="114">
        <v>202101</v>
      </c>
      <c r="G6492" s="112" t="s">
        <v>1091</v>
      </c>
      <c r="H6492" s="112" t="s">
        <v>1015</v>
      </c>
      <c r="I6492" s="112" t="s">
        <v>757</v>
      </c>
      <c r="J6492" s="112" t="s">
        <v>4651</v>
      </c>
      <c r="K6492" s="112" t="s">
        <v>5159</v>
      </c>
      <c r="L6492" s="116">
        <v>70.34</v>
      </c>
    </row>
    <row r="6493" spans="1:12" hidden="1" outlineLevel="1" collapsed="1" x14ac:dyDescent="0.35">
      <c r="A6493" s="112" t="s">
        <v>4632</v>
      </c>
      <c r="B6493" s="112" t="s">
        <v>863</v>
      </c>
      <c r="C6493" s="112" t="s">
        <v>1518</v>
      </c>
      <c r="D6493" s="113">
        <v>51366160</v>
      </c>
      <c r="E6493" s="115">
        <v>43938</v>
      </c>
      <c r="F6493" s="114">
        <v>202101</v>
      </c>
      <c r="G6493" s="112" t="s">
        <v>1091</v>
      </c>
      <c r="H6493" s="112" t="s">
        <v>1016</v>
      </c>
      <c r="I6493" s="112" t="s">
        <v>781</v>
      </c>
      <c r="J6493" s="112" t="s">
        <v>858</v>
      </c>
      <c r="K6493" s="112" t="s">
        <v>5160</v>
      </c>
      <c r="L6493" s="116">
        <v>-155</v>
      </c>
    </row>
    <row r="6494" spans="1:12" hidden="1" outlineLevel="1" collapsed="1" x14ac:dyDescent="0.35">
      <c r="A6494" s="112" t="s">
        <v>4632</v>
      </c>
      <c r="B6494" s="112" t="s">
        <v>4644</v>
      </c>
      <c r="C6494" s="112" t="s">
        <v>695</v>
      </c>
      <c r="D6494" s="113">
        <v>10347950</v>
      </c>
      <c r="E6494" s="115">
        <v>43923</v>
      </c>
      <c r="F6494" s="114">
        <v>202101</v>
      </c>
      <c r="G6494" s="112" t="s">
        <v>1091</v>
      </c>
      <c r="H6494" s="112" t="s">
        <v>1015</v>
      </c>
      <c r="I6494" s="112" t="s">
        <v>757</v>
      </c>
      <c r="J6494" s="112" t="s">
        <v>4645</v>
      </c>
      <c r="K6494" s="112" t="s">
        <v>4682</v>
      </c>
      <c r="L6494" s="116">
        <v>337.35</v>
      </c>
    </row>
    <row r="6495" spans="1:12" hidden="1" outlineLevel="1" collapsed="1" x14ac:dyDescent="0.35">
      <c r="A6495" s="112" t="s">
        <v>4632</v>
      </c>
      <c r="B6495" s="112" t="s">
        <v>4644</v>
      </c>
      <c r="C6495" s="112" t="s">
        <v>695</v>
      </c>
      <c r="D6495" s="113">
        <v>10347950</v>
      </c>
      <c r="E6495" s="115">
        <v>43923</v>
      </c>
      <c r="F6495" s="114">
        <v>202101</v>
      </c>
      <c r="G6495" s="112" t="s">
        <v>1091</v>
      </c>
      <c r="H6495" s="112" t="s">
        <v>1015</v>
      </c>
      <c r="I6495" s="112" t="s">
        <v>751</v>
      </c>
      <c r="J6495" s="112" t="s">
        <v>4645</v>
      </c>
      <c r="K6495" s="112" t="s">
        <v>5118</v>
      </c>
      <c r="L6495" s="116">
        <v>331.38</v>
      </c>
    </row>
    <row r="6496" spans="1:12" hidden="1" outlineLevel="1" collapsed="1" x14ac:dyDescent="0.35">
      <c r="A6496" s="112" t="s">
        <v>4632</v>
      </c>
      <c r="B6496" s="112" t="s">
        <v>4644</v>
      </c>
      <c r="C6496" s="112" t="s">
        <v>695</v>
      </c>
      <c r="D6496" s="113">
        <v>10347950</v>
      </c>
      <c r="E6496" s="115">
        <v>43923</v>
      </c>
      <c r="F6496" s="114">
        <v>202101</v>
      </c>
      <c r="G6496" s="112" t="s">
        <v>1091</v>
      </c>
      <c r="H6496" s="112" t="s">
        <v>1015</v>
      </c>
      <c r="I6496" s="112" t="s">
        <v>751</v>
      </c>
      <c r="J6496" s="112" t="s">
        <v>4645</v>
      </c>
      <c r="K6496" s="112" t="s">
        <v>5118</v>
      </c>
      <c r="L6496" s="116">
        <v>370.13</v>
      </c>
    </row>
    <row r="6497" spans="1:12" hidden="1" outlineLevel="1" collapsed="1" x14ac:dyDescent="0.35">
      <c r="A6497" s="112" t="s">
        <v>4632</v>
      </c>
      <c r="B6497" s="112" t="s">
        <v>4650</v>
      </c>
      <c r="C6497" s="112" t="s">
        <v>695</v>
      </c>
      <c r="D6497" s="113">
        <v>10347950</v>
      </c>
      <c r="E6497" s="115">
        <v>43923</v>
      </c>
      <c r="F6497" s="114">
        <v>202101</v>
      </c>
      <c r="G6497" s="112" t="s">
        <v>1091</v>
      </c>
      <c r="H6497" s="112" t="s">
        <v>1015</v>
      </c>
      <c r="I6497" s="112" t="s">
        <v>749</v>
      </c>
      <c r="J6497" s="112" t="s">
        <v>4651</v>
      </c>
      <c r="K6497" s="112" t="s">
        <v>5161</v>
      </c>
      <c r="L6497" s="116">
        <v>738.09</v>
      </c>
    </row>
    <row r="6498" spans="1:12" hidden="1" outlineLevel="1" collapsed="1" x14ac:dyDescent="0.35">
      <c r="A6498" s="112" t="s">
        <v>4632</v>
      </c>
      <c r="B6498" s="112" t="s">
        <v>4644</v>
      </c>
      <c r="C6498" s="112" t="s">
        <v>695</v>
      </c>
      <c r="D6498" s="113">
        <v>10347950</v>
      </c>
      <c r="E6498" s="115">
        <v>43923</v>
      </c>
      <c r="F6498" s="114">
        <v>202101</v>
      </c>
      <c r="G6498" s="112" t="s">
        <v>1091</v>
      </c>
      <c r="H6498" s="112" t="s">
        <v>1015</v>
      </c>
      <c r="I6498" s="112" t="s">
        <v>749</v>
      </c>
      <c r="J6498" s="112" t="s">
        <v>4645</v>
      </c>
      <c r="K6498" s="112" t="s">
        <v>4783</v>
      </c>
      <c r="L6498" s="116">
        <v>929.2</v>
      </c>
    </row>
    <row r="6499" spans="1:12" hidden="1" outlineLevel="1" collapsed="1" x14ac:dyDescent="0.35">
      <c r="A6499" s="112" t="s">
        <v>4632</v>
      </c>
      <c r="B6499" s="112" t="s">
        <v>4688</v>
      </c>
      <c r="C6499" s="112" t="s">
        <v>679</v>
      </c>
      <c r="D6499" s="113">
        <v>10348297</v>
      </c>
      <c r="E6499" s="115">
        <v>43938</v>
      </c>
      <c r="F6499" s="114">
        <v>202101</v>
      </c>
      <c r="G6499" s="112" t="s">
        <v>1091</v>
      </c>
      <c r="H6499" s="112" t="s">
        <v>1016</v>
      </c>
      <c r="I6499" s="112" t="s">
        <v>4689</v>
      </c>
      <c r="J6499" s="112" t="s">
        <v>4690</v>
      </c>
      <c r="K6499" s="112" t="s">
        <v>5162</v>
      </c>
      <c r="L6499" s="116">
        <v>-54</v>
      </c>
    </row>
    <row r="6500" spans="1:12" hidden="1" outlineLevel="1" collapsed="1" x14ac:dyDescent="0.35">
      <c r="A6500" s="112" t="s">
        <v>4632</v>
      </c>
      <c r="B6500" s="112" t="s">
        <v>4644</v>
      </c>
      <c r="C6500" s="112" t="s">
        <v>695</v>
      </c>
      <c r="D6500" s="113">
        <v>10347950</v>
      </c>
      <c r="E6500" s="115">
        <v>43923</v>
      </c>
      <c r="F6500" s="114">
        <v>202101</v>
      </c>
      <c r="G6500" s="112" t="s">
        <v>1091</v>
      </c>
      <c r="H6500" s="112" t="s">
        <v>1015</v>
      </c>
      <c r="I6500" s="112" t="s">
        <v>749</v>
      </c>
      <c r="J6500" s="112" t="s">
        <v>4645</v>
      </c>
      <c r="K6500" s="112" t="s">
        <v>5163</v>
      </c>
      <c r="L6500" s="116">
        <v>41.22</v>
      </c>
    </row>
    <row r="6501" spans="1:12" hidden="1" outlineLevel="1" collapsed="1" x14ac:dyDescent="0.35">
      <c r="A6501" s="112" t="s">
        <v>4632</v>
      </c>
      <c r="B6501" s="112" t="s">
        <v>4644</v>
      </c>
      <c r="C6501" s="112" t="s">
        <v>695</v>
      </c>
      <c r="D6501" s="113">
        <v>10347950</v>
      </c>
      <c r="E6501" s="115">
        <v>43923</v>
      </c>
      <c r="F6501" s="114">
        <v>202101</v>
      </c>
      <c r="G6501" s="112" t="s">
        <v>1091</v>
      </c>
      <c r="H6501" s="112" t="s">
        <v>1015</v>
      </c>
      <c r="I6501" s="112" t="s">
        <v>749</v>
      </c>
      <c r="J6501" s="112" t="s">
        <v>4645</v>
      </c>
      <c r="K6501" s="112" t="s">
        <v>4781</v>
      </c>
      <c r="L6501" s="116">
        <v>-18.61</v>
      </c>
    </row>
    <row r="6502" spans="1:12" hidden="1" outlineLevel="1" collapsed="1" x14ac:dyDescent="0.35">
      <c r="A6502" s="112" t="s">
        <v>4632</v>
      </c>
      <c r="B6502" s="112" t="s">
        <v>4644</v>
      </c>
      <c r="C6502" s="112" t="s">
        <v>695</v>
      </c>
      <c r="D6502" s="113">
        <v>10347950</v>
      </c>
      <c r="E6502" s="115">
        <v>43923</v>
      </c>
      <c r="F6502" s="114">
        <v>202101</v>
      </c>
      <c r="G6502" s="112" t="s">
        <v>1091</v>
      </c>
      <c r="H6502" s="112" t="s">
        <v>1015</v>
      </c>
      <c r="I6502" s="112" t="s">
        <v>751</v>
      </c>
      <c r="J6502" s="112" t="s">
        <v>4645</v>
      </c>
      <c r="K6502" s="112" t="s">
        <v>4826</v>
      </c>
      <c r="L6502" s="116">
        <v>29.62</v>
      </c>
    </row>
    <row r="6503" spans="1:12" hidden="1" outlineLevel="1" collapsed="1" x14ac:dyDescent="0.35">
      <c r="A6503" s="112" t="s">
        <v>4632</v>
      </c>
      <c r="B6503" s="112" t="s">
        <v>4644</v>
      </c>
      <c r="C6503" s="112" t="s">
        <v>695</v>
      </c>
      <c r="D6503" s="113">
        <v>10347950</v>
      </c>
      <c r="E6503" s="115">
        <v>43923</v>
      </c>
      <c r="F6503" s="114">
        <v>202101</v>
      </c>
      <c r="G6503" s="112" t="s">
        <v>1091</v>
      </c>
      <c r="H6503" s="112" t="s">
        <v>1015</v>
      </c>
      <c r="I6503" s="112" t="s">
        <v>757</v>
      </c>
      <c r="J6503" s="112" t="s">
        <v>4645</v>
      </c>
      <c r="K6503" s="112" t="s">
        <v>4803</v>
      </c>
      <c r="L6503" s="116">
        <v>-808.7</v>
      </c>
    </row>
    <row r="6504" spans="1:12" hidden="1" outlineLevel="1" collapsed="1" x14ac:dyDescent="0.35">
      <c r="A6504" s="112" t="s">
        <v>4632</v>
      </c>
      <c r="B6504" s="112" t="s">
        <v>4644</v>
      </c>
      <c r="C6504" s="112" t="s">
        <v>695</v>
      </c>
      <c r="D6504" s="113">
        <v>10347950</v>
      </c>
      <c r="E6504" s="115">
        <v>43923</v>
      </c>
      <c r="F6504" s="114">
        <v>202101</v>
      </c>
      <c r="G6504" s="112" t="s">
        <v>1091</v>
      </c>
      <c r="H6504" s="112" t="s">
        <v>1015</v>
      </c>
      <c r="I6504" s="112" t="s">
        <v>757</v>
      </c>
      <c r="J6504" s="112" t="s">
        <v>4645</v>
      </c>
      <c r="K6504" s="112" t="s">
        <v>5164</v>
      </c>
      <c r="L6504" s="116">
        <v>531.91</v>
      </c>
    </row>
    <row r="6505" spans="1:12" hidden="1" outlineLevel="1" collapsed="1" x14ac:dyDescent="0.35">
      <c r="A6505" s="112" t="s">
        <v>4632</v>
      </c>
      <c r="B6505" s="112" t="s">
        <v>4688</v>
      </c>
      <c r="C6505" s="112" t="s">
        <v>4695</v>
      </c>
      <c r="D6505" s="113">
        <v>30440482</v>
      </c>
      <c r="E6505" s="115">
        <v>43941</v>
      </c>
      <c r="F6505" s="114">
        <v>202101</v>
      </c>
      <c r="G6505" s="112" t="s">
        <v>1091</v>
      </c>
      <c r="H6505" s="112" t="s">
        <v>1016</v>
      </c>
      <c r="I6505" s="112" t="s">
        <v>4689</v>
      </c>
      <c r="J6505" s="112" t="s">
        <v>4690</v>
      </c>
      <c r="K6505" s="112" t="s">
        <v>5165</v>
      </c>
      <c r="L6505" s="116">
        <v>54</v>
      </c>
    </row>
    <row r="6506" spans="1:12" hidden="1" outlineLevel="1" collapsed="1" x14ac:dyDescent="0.35">
      <c r="A6506" s="112" t="s">
        <v>4632</v>
      </c>
      <c r="B6506" s="112" t="s">
        <v>4688</v>
      </c>
      <c r="C6506" s="112" t="s">
        <v>4695</v>
      </c>
      <c r="D6506" s="113">
        <v>30440482</v>
      </c>
      <c r="E6506" s="115">
        <v>43941</v>
      </c>
      <c r="F6506" s="114">
        <v>202101</v>
      </c>
      <c r="G6506" s="112" t="s">
        <v>1091</v>
      </c>
      <c r="H6506" s="112" t="s">
        <v>1016</v>
      </c>
      <c r="I6506" s="112" t="s">
        <v>4689</v>
      </c>
      <c r="J6506" s="112" t="s">
        <v>4690</v>
      </c>
      <c r="K6506" s="112" t="s">
        <v>5166</v>
      </c>
      <c r="L6506" s="116">
        <v>108</v>
      </c>
    </row>
    <row r="6507" spans="1:12" hidden="1" outlineLevel="1" collapsed="1" x14ac:dyDescent="0.35">
      <c r="A6507" s="112" t="s">
        <v>4632</v>
      </c>
      <c r="B6507" s="112" t="s">
        <v>4688</v>
      </c>
      <c r="C6507" s="112" t="s">
        <v>679</v>
      </c>
      <c r="D6507" s="113">
        <v>10348340</v>
      </c>
      <c r="E6507" s="115">
        <v>43941</v>
      </c>
      <c r="F6507" s="114">
        <v>202101</v>
      </c>
      <c r="G6507" s="112" t="s">
        <v>1091</v>
      </c>
      <c r="H6507" s="112" t="s">
        <v>1016</v>
      </c>
      <c r="I6507" s="112" t="s">
        <v>4689</v>
      </c>
      <c r="J6507" s="112" t="s">
        <v>4690</v>
      </c>
      <c r="K6507" s="112" t="s">
        <v>5165</v>
      </c>
      <c r="L6507" s="116">
        <v>-54</v>
      </c>
    </row>
    <row r="6508" spans="1:12" hidden="1" outlineLevel="1" collapsed="1" x14ac:dyDescent="0.35">
      <c r="A6508" s="112" t="s">
        <v>4632</v>
      </c>
      <c r="B6508" s="112" t="s">
        <v>4688</v>
      </c>
      <c r="C6508" s="112" t="s">
        <v>679</v>
      </c>
      <c r="D6508" s="113">
        <v>10348340</v>
      </c>
      <c r="E6508" s="115">
        <v>43941</v>
      </c>
      <c r="F6508" s="114">
        <v>202101</v>
      </c>
      <c r="G6508" s="112" t="s">
        <v>1091</v>
      </c>
      <c r="H6508" s="112" t="s">
        <v>1016</v>
      </c>
      <c r="I6508" s="112" t="s">
        <v>4689</v>
      </c>
      <c r="J6508" s="112" t="s">
        <v>4690</v>
      </c>
      <c r="K6508" s="112" t="s">
        <v>5167</v>
      </c>
      <c r="L6508" s="116">
        <v>-54</v>
      </c>
    </row>
    <row r="6509" spans="1:12" hidden="1" outlineLevel="1" collapsed="1" x14ac:dyDescent="0.35">
      <c r="A6509" s="112" t="s">
        <v>4632</v>
      </c>
      <c r="B6509" s="112" t="s">
        <v>4688</v>
      </c>
      <c r="C6509" s="112" t="s">
        <v>679</v>
      </c>
      <c r="D6509" s="113">
        <v>10348340</v>
      </c>
      <c r="E6509" s="115">
        <v>43941</v>
      </c>
      <c r="F6509" s="114">
        <v>202101</v>
      </c>
      <c r="G6509" s="112" t="s">
        <v>1091</v>
      </c>
      <c r="H6509" s="112" t="s">
        <v>1016</v>
      </c>
      <c r="I6509" s="112" t="s">
        <v>4689</v>
      </c>
      <c r="J6509" s="112" t="s">
        <v>4690</v>
      </c>
      <c r="K6509" s="112" t="s">
        <v>5166</v>
      </c>
      <c r="L6509" s="116">
        <v>-108</v>
      </c>
    </row>
    <row r="6510" spans="1:12" hidden="1" outlineLevel="1" collapsed="1" x14ac:dyDescent="0.35">
      <c r="A6510" s="112" t="s">
        <v>4632</v>
      </c>
      <c r="B6510" s="112" t="s">
        <v>4644</v>
      </c>
      <c r="C6510" s="112" t="s">
        <v>695</v>
      </c>
      <c r="D6510" s="113">
        <v>10347950</v>
      </c>
      <c r="E6510" s="115">
        <v>43923</v>
      </c>
      <c r="F6510" s="114">
        <v>202101</v>
      </c>
      <c r="G6510" s="112" t="s">
        <v>1091</v>
      </c>
      <c r="H6510" s="112" t="s">
        <v>1015</v>
      </c>
      <c r="I6510" s="112" t="s">
        <v>757</v>
      </c>
      <c r="J6510" s="112" t="s">
        <v>4645</v>
      </c>
      <c r="K6510" s="112" t="s">
        <v>4858</v>
      </c>
      <c r="L6510" s="116">
        <v>73.8</v>
      </c>
    </row>
    <row r="6511" spans="1:12" hidden="1" outlineLevel="1" collapsed="1" x14ac:dyDescent="0.35">
      <c r="A6511" s="112" t="s">
        <v>4632</v>
      </c>
      <c r="B6511" s="112" t="s">
        <v>863</v>
      </c>
      <c r="C6511" s="112" t="s">
        <v>695</v>
      </c>
      <c r="D6511" s="113">
        <v>10347950</v>
      </c>
      <c r="E6511" s="115">
        <v>43923</v>
      </c>
      <c r="F6511" s="114">
        <v>202101</v>
      </c>
      <c r="G6511" s="112" t="s">
        <v>1091</v>
      </c>
      <c r="H6511" s="112" t="s">
        <v>1015</v>
      </c>
      <c r="I6511" s="112" t="s">
        <v>749</v>
      </c>
      <c r="J6511" s="112" t="s">
        <v>821</v>
      </c>
      <c r="K6511" s="112" t="s">
        <v>4678</v>
      </c>
      <c r="L6511" s="116">
        <v>1737.15</v>
      </c>
    </row>
    <row r="6512" spans="1:12" hidden="1" outlineLevel="1" collapsed="1" x14ac:dyDescent="0.35">
      <c r="A6512" s="112" t="s">
        <v>4632</v>
      </c>
      <c r="B6512" s="112" t="s">
        <v>4644</v>
      </c>
      <c r="C6512" s="112" t="s">
        <v>695</v>
      </c>
      <c r="D6512" s="113">
        <v>10347950</v>
      </c>
      <c r="E6512" s="115">
        <v>43923</v>
      </c>
      <c r="F6512" s="114">
        <v>202101</v>
      </c>
      <c r="G6512" s="112" t="s">
        <v>1091</v>
      </c>
      <c r="H6512" s="112" t="s">
        <v>1015</v>
      </c>
      <c r="I6512" s="112" t="s">
        <v>749</v>
      </c>
      <c r="J6512" s="112" t="s">
        <v>4645</v>
      </c>
      <c r="K6512" s="112" t="s">
        <v>4663</v>
      </c>
      <c r="L6512" s="116">
        <v>-133.26</v>
      </c>
    </row>
    <row r="6513" spans="1:12" hidden="1" outlineLevel="1" collapsed="1" x14ac:dyDescent="0.35">
      <c r="A6513" s="112" t="s">
        <v>4632</v>
      </c>
      <c r="B6513" s="112" t="s">
        <v>4644</v>
      </c>
      <c r="C6513" s="112" t="s">
        <v>695</v>
      </c>
      <c r="D6513" s="113">
        <v>10347950</v>
      </c>
      <c r="E6513" s="115">
        <v>43923</v>
      </c>
      <c r="F6513" s="114">
        <v>202101</v>
      </c>
      <c r="G6513" s="112" t="s">
        <v>1091</v>
      </c>
      <c r="H6513" s="112" t="s">
        <v>1015</v>
      </c>
      <c r="I6513" s="112" t="s">
        <v>749</v>
      </c>
      <c r="J6513" s="112" t="s">
        <v>4645</v>
      </c>
      <c r="K6513" s="112" t="s">
        <v>4854</v>
      </c>
      <c r="L6513" s="116">
        <v>387.07</v>
      </c>
    </row>
    <row r="6514" spans="1:12" hidden="1" outlineLevel="1" collapsed="1" x14ac:dyDescent="0.35">
      <c r="A6514" s="112" t="s">
        <v>4632</v>
      </c>
      <c r="B6514" s="112" t="s">
        <v>4688</v>
      </c>
      <c r="C6514" s="112" t="s">
        <v>4695</v>
      </c>
      <c r="D6514" s="113">
        <v>30440482</v>
      </c>
      <c r="E6514" s="115">
        <v>43941</v>
      </c>
      <c r="F6514" s="114">
        <v>202101</v>
      </c>
      <c r="G6514" s="112" t="s">
        <v>1091</v>
      </c>
      <c r="H6514" s="112" t="s">
        <v>1016</v>
      </c>
      <c r="I6514" s="112" t="s">
        <v>4689</v>
      </c>
      <c r="J6514" s="112" t="s">
        <v>4690</v>
      </c>
      <c r="K6514" s="112" t="s">
        <v>5167</v>
      </c>
      <c r="L6514" s="116">
        <v>54</v>
      </c>
    </row>
    <row r="6515" spans="1:12" hidden="1" outlineLevel="1" collapsed="1" x14ac:dyDescent="0.35">
      <c r="A6515" s="112" t="s">
        <v>4632</v>
      </c>
      <c r="B6515" s="112" t="s">
        <v>4644</v>
      </c>
      <c r="C6515" s="112" t="s">
        <v>695</v>
      </c>
      <c r="D6515" s="113">
        <v>10347950</v>
      </c>
      <c r="E6515" s="115">
        <v>43923</v>
      </c>
      <c r="F6515" s="114">
        <v>202101</v>
      </c>
      <c r="G6515" s="112" t="s">
        <v>1091</v>
      </c>
      <c r="H6515" s="112" t="s">
        <v>1015</v>
      </c>
      <c r="I6515" s="112" t="s">
        <v>749</v>
      </c>
      <c r="J6515" s="112" t="s">
        <v>4645</v>
      </c>
      <c r="K6515" s="112" t="s">
        <v>4851</v>
      </c>
      <c r="L6515" s="116">
        <v>518.30999999999995</v>
      </c>
    </row>
    <row r="6516" spans="1:12" hidden="1" outlineLevel="1" collapsed="1" x14ac:dyDescent="0.35">
      <c r="A6516" s="112" t="s">
        <v>4632</v>
      </c>
      <c r="B6516" s="112" t="s">
        <v>4644</v>
      </c>
      <c r="C6516" s="112" t="s">
        <v>695</v>
      </c>
      <c r="D6516" s="113">
        <v>10347950</v>
      </c>
      <c r="E6516" s="115">
        <v>43923</v>
      </c>
      <c r="F6516" s="114">
        <v>202101</v>
      </c>
      <c r="G6516" s="112" t="s">
        <v>1091</v>
      </c>
      <c r="H6516" s="112" t="s">
        <v>1015</v>
      </c>
      <c r="I6516" s="112" t="s">
        <v>749</v>
      </c>
      <c r="J6516" s="112" t="s">
        <v>4645</v>
      </c>
      <c r="K6516" s="112" t="s">
        <v>4848</v>
      </c>
      <c r="L6516" s="116">
        <v>-57.14</v>
      </c>
    </row>
    <row r="6517" spans="1:12" hidden="1" outlineLevel="1" collapsed="1" x14ac:dyDescent="0.35">
      <c r="A6517" s="112" t="s">
        <v>4632</v>
      </c>
      <c r="B6517" s="112" t="s">
        <v>4644</v>
      </c>
      <c r="C6517" s="112" t="s">
        <v>695</v>
      </c>
      <c r="D6517" s="113">
        <v>10347950</v>
      </c>
      <c r="E6517" s="115">
        <v>43923</v>
      </c>
      <c r="F6517" s="114">
        <v>202101</v>
      </c>
      <c r="G6517" s="112" t="s">
        <v>1091</v>
      </c>
      <c r="H6517" s="112" t="s">
        <v>1015</v>
      </c>
      <c r="I6517" s="112" t="s">
        <v>749</v>
      </c>
      <c r="J6517" s="112" t="s">
        <v>4645</v>
      </c>
      <c r="K6517" s="112" t="s">
        <v>4846</v>
      </c>
      <c r="L6517" s="116">
        <v>504.53</v>
      </c>
    </row>
    <row r="6518" spans="1:12" hidden="1" outlineLevel="1" collapsed="1" x14ac:dyDescent="0.35">
      <c r="A6518" s="112" t="s">
        <v>4632</v>
      </c>
      <c r="B6518" s="112" t="s">
        <v>4644</v>
      </c>
      <c r="C6518" s="112" t="s">
        <v>695</v>
      </c>
      <c r="D6518" s="113">
        <v>10347950</v>
      </c>
      <c r="E6518" s="115">
        <v>43923</v>
      </c>
      <c r="F6518" s="114">
        <v>202101</v>
      </c>
      <c r="G6518" s="112" t="s">
        <v>1091</v>
      </c>
      <c r="H6518" s="112" t="s">
        <v>1015</v>
      </c>
      <c r="I6518" s="112" t="s">
        <v>749</v>
      </c>
      <c r="J6518" s="112" t="s">
        <v>4645</v>
      </c>
      <c r="K6518" s="112" t="s">
        <v>4674</v>
      </c>
      <c r="L6518" s="116">
        <v>53.2</v>
      </c>
    </row>
    <row r="6519" spans="1:12" hidden="1" outlineLevel="1" collapsed="1" x14ac:dyDescent="0.35">
      <c r="A6519" s="112" t="s">
        <v>4632</v>
      </c>
      <c r="B6519" s="112" t="s">
        <v>4688</v>
      </c>
      <c r="C6519" s="112" t="s">
        <v>4695</v>
      </c>
      <c r="D6519" s="113">
        <v>30440469</v>
      </c>
      <c r="E6519" s="115">
        <v>43938</v>
      </c>
      <c r="F6519" s="114">
        <v>202101</v>
      </c>
      <c r="G6519" s="112" t="s">
        <v>1091</v>
      </c>
      <c r="H6519" s="112" t="s">
        <v>1016</v>
      </c>
      <c r="I6519" s="112" t="s">
        <v>4689</v>
      </c>
      <c r="J6519" s="112" t="s">
        <v>4690</v>
      </c>
      <c r="K6519" s="112" t="s">
        <v>5156</v>
      </c>
      <c r="L6519" s="116">
        <v>52</v>
      </c>
    </row>
    <row r="6520" spans="1:12" hidden="1" outlineLevel="1" collapsed="1" x14ac:dyDescent="0.35">
      <c r="A6520" s="112" t="s">
        <v>4632</v>
      </c>
      <c r="B6520" s="112" t="s">
        <v>4650</v>
      </c>
      <c r="C6520" s="112" t="s">
        <v>695</v>
      </c>
      <c r="D6520" s="113">
        <v>10347950</v>
      </c>
      <c r="E6520" s="115">
        <v>43923</v>
      </c>
      <c r="F6520" s="114">
        <v>202101</v>
      </c>
      <c r="G6520" s="112" t="s">
        <v>1091</v>
      </c>
      <c r="H6520" s="112" t="s">
        <v>1015</v>
      </c>
      <c r="I6520" s="112" t="s">
        <v>749</v>
      </c>
      <c r="J6520" s="112" t="s">
        <v>4651</v>
      </c>
      <c r="K6520" s="112" t="s">
        <v>5083</v>
      </c>
      <c r="L6520" s="116">
        <v>67.209999999999994</v>
      </c>
    </row>
    <row r="6521" spans="1:12" hidden="1" outlineLevel="1" collapsed="1" x14ac:dyDescent="0.35">
      <c r="A6521" s="112" t="s">
        <v>4632</v>
      </c>
      <c r="B6521" s="112" t="s">
        <v>4688</v>
      </c>
      <c r="C6521" s="112" t="s">
        <v>4695</v>
      </c>
      <c r="D6521" s="113">
        <v>30440810</v>
      </c>
      <c r="E6521" s="115">
        <v>43951</v>
      </c>
      <c r="F6521" s="114">
        <v>202101</v>
      </c>
      <c r="G6521" s="112" t="s">
        <v>1091</v>
      </c>
      <c r="H6521" s="112" t="s">
        <v>1016</v>
      </c>
      <c r="I6521" s="112" t="s">
        <v>4689</v>
      </c>
      <c r="J6521" s="112" t="s">
        <v>4690</v>
      </c>
      <c r="K6521" s="112" t="s">
        <v>5168</v>
      </c>
      <c r="L6521" s="116">
        <v>54</v>
      </c>
    </row>
    <row r="6522" spans="1:12" hidden="1" outlineLevel="1" collapsed="1" x14ac:dyDescent="0.35">
      <c r="A6522" s="112" t="s">
        <v>4632</v>
      </c>
      <c r="B6522" s="112" t="s">
        <v>4650</v>
      </c>
      <c r="C6522" s="112" t="s">
        <v>695</v>
      </c>
      <c r="D6522" s="113">
        <v>10347950</v>
      </c>
      <c r="E6522" s="115">
        <v>43923</v>
      </c>
      <c r="F6522" s="114">
        <v>202101</v>
      </c>
      <c r="G6522" s="112" t="s">
        <v>1091</v>
      </c>
      <c r="H6522" s="112" t="s">
        <v>1015</v>
      </c>
      <c r="I6522" s="112" t="s">
        <v>749</v>
      </c>
      <c r="J6522" s="112" t="s">
        <v>4651</v>
      </c>
      <c r="K6522" s="112" t="s">
        <v>5169</v>
      </c>
      <c r="L6522" s="116">
        <v>228.96</v>
      </c>
    </row>
    <row r="6523" spans="1:12" hidden="1" outlineLevel="1" collapsed="1" x14ac:dyDescent="0.35">
      <c r="A6523" s="112" t="s">
        <v>4632</v>
      </c>
      <c r="B6523" s="112" t="s">
        <v>4688</v>
      </c>
      <c r="C6523" s="112" t="s">
        <v>4695</v>
      </c>
      <c r="D6523" s="113">
        <v>30440810</v>
      </c>
      <c r="E6523" s="115">
        <v>43951</v>
      </c>
      <c r="F6523" s="114">
        <v>202101</v>
      </c>
      <c r="G6523" s="112" t="s">
        <v>1091</v>
      </c>
      <c r="H6523" s="112" t="s">
        <v>1016</v>
      </c>
      <c r="I6523" s="112" t="s">
        <v>4689</v>
      </c>
      <c r="J6523" s="112" t="s">
        <v>4690</v>
      </c>
      <c r="K6523" s="112" t="s">
        <v>5170</v>
      </c>
      <c r="L6523" s="116">
        <v>54</v>
      </c>
    </row>
    <row r="6524" spans="1:12" hidden="1" outlineLevel="1" collapsed="1" x14ac:dyDescent="0.35">
      <c r="A6524" s="112" t="s">
        <v>4632</v>
      </c>
      <c r="B6524" s="112" t="s">
        <v>4688</v>
      </c>
      <c r="C6524" s="112" t="s">
        <v>679</v>
      </c>
      <c r="D6524" s="113">
        <v>10348543</v>
      </c>
      <c r="E6524" s="115">
        <v>43951</v>
      </c>
      <c r="F6524" s="114">
        <v>202101</v>
      </c>
      <c r="G6524" s="112" t="s">
        <v>1091</v>
      </c>
      <c r="H6524" s="112" t="s">
        <v>1016</v>
      </c>
      <c r="I6524" s="112" t="s">
        <v>4689</v>
      </c>
      <c r="J6524" s="112" t="s">
        <v>4690</v>
      </c>
      <c r="K6524" s="112" t="s">
        <v>5171</v>
      </c>
      <c r="L6524" s="116">
        <v>-54</v>
      </c>
    </row>
    <row r="6525" spans="1:12" hidden="1" outlineLevel="1" collapsed="1" x14ac:dyDescent="0.35">
      <c r="A6525" s="112" t="s">
        <v>4632</v>
      </c>
      <c r="B6525" s="112" t="s">
        <v>4688</v>
      </c>
      <c r="C6525" s="112" t="s">
        <v>679</v>
      </c>
      <c r="D6525" s="113">
        <v>10348543</v>
      </c>
      <c r="E6525" s="115">
        <v>43951</v>
      </c>
      <c r="F6525" s="114">
        <v>202101</v>
      </c>
      <c r="G6525" s="112" t="s">
        <v>1091</v>
      </c>
      <c r="H6525" s="112" t="s">
        <v>1016</v>
      </c>
      <c r="I6525" s="112" t="s">
        <v>4689</v>
      </c>
      <c r="J6525" s="112" t="s">
        <v>4690</v>
      </c>
      <c r="K6525" s="112" t="s">
        <v>5172</v>
      </c>
      <c r="L6525" s="116">
        <v>-54</v>
      </c>
    </row>
    <row r="6526" spans="1:12" hidden="1" outlineLevel="1" collapsed="1" x14ac:dyDescent="0.35">
      <c r="A6526" s="112" t="s">
        <v>4632</v>
      </c>
      <c r="B6526" s="112" t="s">
        <v>4688</v>
      </c>
      <c r="C6526" s="112" t="s">
        <v>679</v>
      </c>
      <c r="D6526" s="113">
        <v>10348543</v>
      </c>
      <c r="E6526" s="115">
        <v>43951</v>
      </c>
      <c r="F6526" s="114">
        <v>202101</v>
      </c>
      <c r="G6526" s="112" t="s">
        <v>1091</v>
      </c>
      <c r="H6526" s="112" t="s">
        <v>1016</v>
      </c>
      <c r="I6526" s="112" t="s">
        <v>4689</v>
      </c>
      <c r="J6526" s="112" t="s">
        <v>4690</v>
      </c>
      <c r="K6526" s="112" t="s">
        <v>5170</v>
      </c>
      <c r="L6526" s="116">
        <v>-54</v>
      </c>
    </row>
    <row r="6527" spans="1:12" hidden="1" outlineLevel="1" collapsed="1" x14ac:dyDescent="0.35">
      <c r="A6527" s="112" t="s">
        <v>4632</v>
      </c>
      <c r="B6527" s="112" t="s">
        <v>4650</v>
      </c>
      <c r="C6527" s="112" t="s">
        <v>695</v>
      </c>
      <c r="D6527" s="113">
        <v>10347950</v>
      </c>
      <c r="E6527" s="115">
        <v>43923</v>
      </c>
      <c r="F6527" s="114">
        <v>202101</v>
      </c>
      <c r="G6527" s="112" t="s">
        <v>1091</v>
      </c>
      <c r="H6527" s="112" t="s">
        <v>1015</v>
      </c>
      <c r="I6527" s="112" t="s">
        <v>749</v>
      </c>
      <c r="J6527" s="112" t="s">
        <v>4651</v>
      </c>
      <c r="K6527" s="112" t="s">
        <v>5112</v>
      </c>
      <c r="L6527" s="116">
        <v>809.43</v>
      </c>
    </row>
    <row r="6528" spans="1:12" hidden="1" outlineLevel="1" collapsed="1" x14ac:dyDescent="0.35">
      <c r="A6528" s="112" t="s">
        <v>4632</v>
      </c>
      <c r="B6528" s="112" t="s">
        <v>4650</v>
      </c>
      <c r="C6528" s="112" t="s">
        <v>695</v>
      </c>
      <c r="D6528" s="113">
        <v>10347950</v>
      </c>
      <c r="E6528" s="115">
        <v>43923</v>
      </c>
      <c r="F6528" s="114">
        <v>202101</v>
      </c>
      <c r="G6528" s="112" t="s">
        <v>1091</v>
      </c>
      <c r="H6528" s="112" t="s">
        <v>1015</v>
      </c>
      <c r="I6528" s="112" t="s">
        <v>749</v>
      </c>
      <c r="J6528" s="112" t="s">
        <v>4651</v>
      </c>
      <c r="K6528" s="112" t="s">
        <v>5113</v>
      </c>
      <c r="L6528" s="116">
        <v>1259.52</v>
      </c>
    </row>
    <row r="6529" spans="1:12" hidden="1" outlineLevel="1" collapsed="1" x14ac:dyDescent="0.35">
      <c r="A6529" s="112" t="s">
        <v>4632</v>
      </c>
      <c r="B6529" s="112" t="s">
        <v>4688</v>
      </c>
      <c r="C6529" s="112" t="s">
        <v>679</v>
      </c>
      <c r="D6529" s="113">
        <v>10348543</v>
      </c>
      <c r="E6529" s="115">
        <v>43951</v>
      </c>
      <c r="F6529" s="114">
        <v>202101</v>
      </c>
      <c r="G6529" s="112" t="s">
        <v>1091</v>
      </c>
      <c r="H6529" s="112" t="s">
        <v>1016</v>
      </c>
      <c r="I6529" s="112" t="s">
        <v>4689</v>
      </c>
      <c r="J6529" s="112" t="s">
        <v>4690</v>
      </c>
      <c r="K6529" s="112" t="s">
        <v>5168</v>
      </c>
      <c r="L6529" s="116">
        <v>-54</v>
      </c>
    </row>
    <row r="6530" spans="1:12" hidden="1" outlineLevel="1" collapsed="1" x14ac:dyDescent="0.35">
      <c r="A6530" s="112" t="s">
        <v>4632</v>
      </c>
      <c r="B6530" s="112" t="s">
        <v>4688</v>
      </c>
      <c r="C6530" s="112" t="s">
        <v>679</v>
      </c>
      <c r="D6530" s="113">
        <v>10348543</v>
      </c>
      <c r="E6530" s="115">
        <v>43951</v>
      </c>
      <c r="F6530" s="114">
        <v>202101</v>
      </c>
      <c r="G6530" s="112" t="s">
        <v>1091</v>
      </c>
      <c r="H6530" s="112" t="s">
        <v>1016</v>
      </c>
      <c r="I6530" s="112" t="s">
        <v>4689</v>
      </c>
      <c r="J6530" s="112" t="s">
        <v>4690</v>
      </c>
      <c r="K6530" s="112" t="s">
        <v>5173</v>
      </c>
      <c r="L6530" s="116">
        <v>-54</v>
      </c>
    </row>
    <row r="6531" spans="1:12" hidden="1" outlineLevel="1" collapsed="1" x14ac:dyDescent="0.35">
      <c r="A6531" s="112" t="s">
        <v>4632</v>
      </c>
      <c r="B6531" s="112" t="s">
        <v>4688</v>
      </c>
      <c r="C6531" s="112" t="s">
        <v>679</v>
      </c>
      <c r="D6531" s="113">
        <v>10348543</v>
      </c>
      <c r="E6531" s="115">
        <v>43951</v>
      </c>
      <c r="F6531" s="114">
        <v>202101</v>
      </c>
      <c r="G6531" s="112" t="s">
        <v>1091</v>
      </c>
      <c r="H6531" s="112" t="s">
        <v>1016</v>
      </c>
      <c r="I6531" s="112" t="s">
        <v>4689</v>
      </c>
      <c r="J6531" s="112" t="s">
        <v>4690</v>
      </c>
      <c r="K6531" s="112" t="s">
        <v>5174</v>
      </c>
      <c r="L6531" s="116">
        <v>-54</v>
      </c>
    </row>
    <row r="6532" spans="1:12" hidden="1" outlineLevel="1" collapsed="1" x14ac:dyDescent="0.35">
      <c r="A6532" s="112" t="s">
        <v>4632</v>
      </c>
      <c r="B6532" s="112" t="s">
        <v>4688</v>
      </c>
      <c r="C6532" s="112" t="s">
        <v>679</v>
      </c>
      <c r="D6532" s="113">
        <v>10348543</v>
      </c>
      <c r="E6532" s="115">
        <v>43951</v>
      </c>
      <c r="F6532" s="114">
        <v>202101</v>
      </c>
      <c r="G6532" s="112" t="s">
        <v>1091</v>
      </c>
      <c r="H6532" s="112" t="s">
        <v>1016</v>
      </c>
      <c r="I6532" s="112" t="s">
        <v>4689</v>
      </c>
      <c r="J6532" s="112" t="s">
        <v>4690</v>
      </c>
      <c r="K6532" s="112" t="s">
        <v>5175</v>
      </c>
      <c r="L6532" s="116">
        <v>-54</v>
      </c>
    </row>
    <row r="6533" spans="1:12" hidden="1" outlineLevel="1" collapsed="1" x14ac:dyDescent="0.35">
      <c r="A6533" s="112" t="s">
        <v>4632</v>
      </c>
      <c r="B6533" s="112" t="s">
        <v>4688</v>
      </c>
      <c r="C6533" s="112" t="s">
        <v>679</v>
      </c>
      <c r="D6533" s="113">
        <v>10348543</v>
      </c>
      <c r="E6533" s="115">
        <v>43951</v>
      </c>
      <c r="F6533" s="114">
        <v>202101</v>
      </c>
      <c r="G6533" s="112" t="s">
        <v>1091</v>
      </c>
      <c r="H6533" s="112" t="s">
        <v>1016</v>
      </c>
      <c r="I6533" s="112" t="s">
        <v>4689</v>
      </c>
      <c r="J6533" s="112" t="s">
        <v>4690</v>
      </c>
      <c r="K6533" s="112" t="s">
        <v>5176</v>
      </c>
      <c r="L6533" s="116">
        <v>-54</v>
      </c>
    </row>
    <row r="6534" spans="1:12" hidden="1" outlineLevel="1" collapsed="1" x14ac:dyDescent="0.35">
      <c r="A6534" s="112" t="s">
        <v>4632</v>
      </c>
      <c r="B6534" s="112" t="s">
        <v>4688</v>
      </c>
      <c r="C6534" s="112" t="s">
        <v>679</v>
      </c>
      <c r="D6534" s="113">
        <v>10348543</v>
      </c>
      <c r="E6534" s="115">
        <v>43951</v>
      </c>
      <c r="F6534" s="114">
        <v>202101</v>
      </c>
      <c r="G6534" s="112" t="s">
        <v>1091</v>
      </c>
      <c r="H6534" s="112" t="s">
        <v>1016</v>
      </c>
      <c r="I6534" s="112" t="s">
        <v>4689</v>
      </c>
      <c r="J6534" s="112" t="s">
        <v>4690</v>
      </c>
      <c r="K6534" s="112" t="s">
        <v>5177</v>
      </c>
      <c r="L6534" s="116">
        <v>-54</v>
      </c>
    </row>
    <row r="6535" spans="1:12" hidden="1" outlineLevel="1" collapsed="1" x14ac:dyDescent="0.35">
      <c r="A6535" s="112" t="s">
        <v>4632</v>
      </c>
      <c r="B6535" s="112" t="s">
        <v>4688</v>
      </c>
      <c r="C6535" s="112" t="s">
        <v>4695</v>
      </c>
      <c r="D6535" s="113">
        <v>30440810</v>
      </c>
      <c r="E6535" s="115">
        <v>43951</v>
      </c>
      <c r="F6535" s="114">
        <v>202101</v>
      </c>
      <c r="G6535" s="112" t="s">
        <v>1091</v>
      </c>
      <c r="H6535" s="112" t="s">
        <v>1016</v>
      </c>
      <c r="I6535" s="112" t="s">
        <v>4689</v>
      </c>
      <c r="J6535" s="112" t="s">
        <v>4690</v>
      </c>
      <c r="K6535" s="112" t="s">
        <v>5173</v>
      </c>
      <c r="L6535" s="116">
        <v>54</v>
      </c>
    </row>
    <row r="6536" spans="1:12" hidden="1" outlineLevel="1" collapsed="1" x14ac:dyDescent="0.35">
      <c r="A6536" s="112" t="s">
        <v>4632</v>
      </c>
      <c r="B6536" s="112" t="s">
        <v>4688</v>
      </c>
      <c r="C6536" s="112" t="s">
        <v>4695</v>
      </c>
      <c r="D6536" s="113">
        <v>30440810</v>
      </c>
      <c r="E6536" s="115">
        <v>43951</v>
      </c>
      <c r="F6536" s="114">
        <v>202101</v>
      </c>
      <c r="G6536" s="112" t="s">
        <v>1091</v>
      </c>
      <c r="H6536" s="112" t="s">
        <v>1016</v>
      </c>
      <c r="I6536" s="112" t="s">
        <v>4689</v>
      </c>
      <c r="J6536" s="112" t="s">
        <v>4690</v>
      </c>
      <c r="K6536" s="112" t="s">
        <v>5174</v>
      </c>
      <c r="L6536" s="116">
        <v>54</v>
      </c>
    </row>
    <row r="6537" spans="1:12" hidden="1" outlineLevel="1" collapsed="1" x14ac:dyDescent="0.35">
      <c r="A6537" s="112" t="s">
        <v>4632</v>
      </c>
      <c r="B6537" s="112" t="s">
        <v>4688</v>
      </c>
      <c r="C6537" s="112" t="s">
        <v>4695</v>
      </c>
      <c r="D6537" s="113">
        <v>30440810</v>
      </c>
      <c r="E6537" s="115">
        <v>43951</v>
      </c>
      <c r="F6537" s="114">
        <v>202101</v>
      </c>
      <c r="G6537" s="112" t="s">
        <v>1091</v>
      </c>
      <c r="H6537" s="112" t="s">
        <v>1016</v>
      </c>
      <c r="I6537" s="112" t="s">
        <v>4689</v>
      </c>
      <c r="J6537" s="112" t="s">
        <v>4690</v>
      </c>
      <c r="K6537" s="112" t="s">
        <v>5175</v>
      </c>
      <c r="L6537" s="116">
        <v>54</v>
      </c>
    </row>
    <row r="6538" spans="1:12" hidden="1" outlineLevel="1" collapsed="1" x14ac:dyDescent="0.35">
      <c r="A6538" s="112" t="s">
        <v>4632</v>
      </c>
      <c r="B6538" s="112" t="s">
        <v>4688</v>
      </c>
      <c r="C6538" s="112" t="s">
        <v>4695</v>
      </c>
      <c r="D6538" s="113">
        <v>30440810</v>
      </c>
      <c r="E6538" s="115">
        <v>43951</v>
      </c>
      <c r="F6538" s="114">
        <v>202101</v>
      </c>
      <c r="G6538" s="112" t="s">
        <v>1091</v>
      </c>
      <c r="H6538" s="112" t="s">
        <v>1016</v>
      </c>
      <c r="I6538" s="112" t="s">
        <v>4689</v>
      </c>
      <c r="J6538" s="112" t="s">
        <v>4690</v>
      </c>
      <c r="K6538" s="112" t="s">
        <v>5176</v>
      </c>
      <c r="L6538" s="116">
        <v>54</v>
      </c>
    </row>
    <row r="6539" spans="1:12" hidden="1" outlineLevel="1" collapsed="1" x14ac:dyDescent="0.35">
      <c r="A6539" s="112" t="s">
        <v>4632</v>
      </c>
      <c r="B6539" s="112" t="s">
        <v>4688</v>
      </c>
      <c r="C6539" s="112" t="s">
        <v>4695</v>
      </c>
      <c r="D6539" s="113">
        <v>30440810</v>
      </c>
      <c r="E6539" s="115">
        <v>43951</v>
      </c>
      <c r="F6539" s="114">
        <v>202101</v>
      </c>
      <c r="G6539" s="112" t="s">
        <v>1091</v>
      </c>
      <c r="H6539" s="112" t="s">
        <v>1016</v>
      </c>
      <c r="I6539" s="112" t="s">
        <v>4689</v>
      </c>
      <c r="J6539" s="112" t="s">
        <v>4690</v>
      </c>
      <c r="K6539" s="112" t="s">
        <v>5177</v>
      </c>
      <c r="L6539" s="116">
        <v>54</v>
      </c>
    </row>
    <row r="6540" spans="1:12" hidden="1" outlineLevel="1" collapsed="1" x14ac:dyDescent="0.35">
      <c r="A6540" s="112" t="s">
        <v>4632</v>
      </c>
      <c r="B6540" s="112" t="s">
        <v>4644</v>
      </c>
      <c r="C6540" s="112" t="s">
        <v>695</v>
      </c>
      <c r="D6540" s="113">
        <v>10347950</v>
      </c>
      <c r="E6540" s="115">
        <v>43923</v>
      </c>
      <c r="F6540" s="114">
        <v>202101</v>
      </c>
      <c r="G6540" s="112" t="s">
        <v>1091</v>
      </c>
      <c r="H6540" s="112" t="s">
        <v>1015</v>
      </c>
      <c r="I6540" s="112" t="s">
        <v>749</v>
      </c>
      <c r="J6540" s="112" t="s">
        <v>4645</v>
      </c>
      <c r="K6540" s="112" t="s">
        <v>5114</v>
      </c>
      <c r="L6540" s="116">
        <v>108.24</v>
      </c>
    </row>
    <row r="6541" spans="1:12" hidden="1" outlineLevel="1" collapsed="1" x14ac:dyDescent="0.35">
      <c r="A6541" s="112" t="s">
        <v>4632</v>
      </c>
      <c r="B6541" s="112" t="s">
        <v>4688</v>
      </c>
      <c r="C6541" s="112" t="s">
        <v>4695</v>
      </c>
      <c r="D6541" s="113">
        <v>30440810</v>
      </c>
      <c r="E6541" s="115">
        <v>43951</v>
      </c>
      <c r="F6541" s="114">
        <v>202101</v>
      </c>
      <c r="G6541" s="112" t="s">
        <v>1091</v>
      </c>
      <c r="H6541" s="112" t="s">
        <v>1016</v>
      </c>
      <c r="I6541" s="112" t="s">
        <v>4689</v>
      </c>
      <c r="J6541" s="112" t="s">
        <v>4690</v>
      </c>
      <c r="K6541" s="112" t="s">
        <v>5171</v>
      </c>
      <c r="L6541" s="116">
        <v>54</v>
      </c>
    </row>
    <row r="6542" spans="1:12" hidden="1" outlineLevel="1" collapsed="1" x14ac:dyDescent="0.35">
      <c r="A6542" s="112" t="s">
        <v>4632</v>
      </c>
      <c r="B6542" s="112" t="s">
        <v>4688</v>
      </c>
      <c r="C6542" s="112" t="s">
        <v>4695</v>
      </c>
      <c r="D6542" s="113">
        <v>30440810</v>
      </c>
      <c r="E6542" s="115">
        <v>43951</v>
      </c>
      <c r="F6542" s="114">
        <v>202101</v>
      </c>
      <c r="G6542" s="112" t="s">
        <v>1091</v>
      </c>
      <c r="H6542" s="112" t="s">
        <v>1016</v>
      </c>
      <c r="I6542" s="112" t="s">
        <v>4689</v>
      </c>
      <c r="J6542" s="112" t="s">
        <v>4690</v>
      </c>
      <c r="K6542" s="112" t="s">
        <v>5172</v>
      </c>
      <c r="L6542" s="116">
        <v>54</v>
      </c>
    </row>
    <row r="6543" spans="1:12" hidden="1" outlineLevel="1" collapsed="1" x14ac:dyDescent="0.35">
      <c r="A6543" s="112" t="s">
        <v>4632</v>
      </c>
      <c r="B6543" s="112" t="s">
        <v>863</v>
      </c>
      <c r="C6543" s="112" t="s">
        <v>1219</v>
      </c>
      <c r="D6543" s="113">
        <v>46307220</v>
      </c>
      <c r="E6543" s="115">
        <v>43937</v>
      </c>
      <c r="F6543" s="114">
        <v>202101</v>
      </c>
      <c r="G6543" s="112" t="s">
        <v>1091</v>
      </c>
      <c r="H6543" s="112" t="s">
        <v>1016</v>
      </c>
      <c r="I6543" s="112" t="s">
        <v>783</v>
      </c>
      <c r="J6543" s="112" t="s">
        <v>846</v>
      </c>
      <c r="K6543" s="112" t="s">
        <v>5178</v>
      </c>
      <c r="L6543" s="116">
        <v>1979.14</v>
      </c>
    </row>
    <row r="6544" spans="1:12" hidden="1" outlineLevel="1" collapsed="1" x14ac:dyDescent="0.35">
      <c r="A6544" s="112" t="s">
        <v>4632</v>
      </c>
      <c r="B6544" s="112" t="s">
        <v>863</v>
      </c>
      <c r="C6544" s="112" t="s">
        <v>1219</v>
      </c>
      <c r="D6544" s="113">
        <v>46307220</v>
      </c>
      <c r="E6544" s="115">
        <v>43937</v>
      </c>
      <c r="F6544" s="114">
        <v>202101</v>
      </c>
      <c r="G6544" s="112" t="s">
        <v>1091</v>
      </c>
      <c r="H6544" s="112" t="s">
        <v>1016</v>
      </c>
      <c r="I6544" s="112" t="s">
        <v>783</v>
      </c>
      <c r="J6544" s="112" t="s">
        <v>848</v>
      </c>
      <c r="K6544" s="112" t="s">
        <v>5179</v>
      </c>
      <c r="L6544" s="116">
        <v>864.16</v>
      </c>
    </row>
    <row r="6545" spans="1:12" hidden="1" outlineLevel="1" collapsed="1" x14ac:dyDescent="0.35">
      <c r="A6545" s="112" t="s">
        <v>4632</v>
      </c>
      <c r="B6545" s="112" t="s">
        <v>4644</v>
      </c>
      <c r="C6545" s="112" t="s">
        <v>695</v>
      </c>
      <c r="D6545" s="113">
        <v>10347950</v>
      </c>
      <c r="E6545" s="115">
        <v>43923</v>
      </c>
      <c r="F6545" s="114">
        <v>202101</v>
      </c>
      <c r="G6545" s="112" t="s">
        <v>1091</v>
      </c>
      <c r="H6545" s="112" t="s">
        <v>1015</v>
      </c>
      <c r="I6545" s="112" t="s">
        <v>751</v>
      </c>
      <c r="J6545" s="112" t="s">
        <v>4645</v>
      </c>
      <c r="K6545" s="112" t="s">
        <v>5119</v>
      </c>
      <c r="L6545" s="116">
        <v>1083.1500000000001</v>
      </c>
    </row>
    <row r="6546" spans="1:12" hidden="1" outlineLevel="1" collapsed="1" x14ac:dyDescent="0.35">
      <c r="A6546" s="112" t="s">
        <v>4632</v>
      </c>
      <c r="B6546" s="112" t="s">
        <v>4644</v>
      </c>
      <c r="C6546" s="112" t="s">
        <v>695</v>
      </c>
      <c r="D6546" s="113">
        <v>10347950</v>
      </c>
      <c r="E6546" s="115">
        <v>43923</v>
      </c>
      <c r="F6546" s="114">
        <v>202101</v>
      </c>
      <c r="G6546" s="112" t="s">
        <v>1091</v>
      </c>
      <c r="H6546" s="112" t="s">
        <v>1015</v>
      </c>
      <c r="I6546" s="112" t="s">
        <v>751</v>
      </c>
      <c r="J6546" s="112" t="s">
        <v>4645</v>
      </c>
      <c r="K6546" s="112" t="s">
        <v>4875</v>
      </c>
      <c r="L6546" s="116">
        <v>1848.27</v>
      </c>
    </row>
    <row r="6547" spans="1:12" hidden="1" outlineLevel="1" collapsed="1" x14ac:dyDescent="0.35">
      <c r="A6547" s="112" t="s">
        <v>4632</v>
      </c>
      <c r="B6547" s="112" t="s">
        <v>4644</v>
      </c>
      <c r="C6547" s="112" t="s">
        <v>695</v>
      </c>
      <c r="D6547" s="113">
        <v>10347950</v>
      </c>
      <c r="E6547" s="115">
        <v>43923</v>
      </c>
      <c r="F6547" s="114">
        <v>202101</v>
      </c>
      <c r="G6547" s="112" t="s">
        <v>1091</v>
      </c>
      <c r="H6547" s="112" t="s">
        <v>1015</v>
      </c>
      <c r="I6547" s="112" t="s">
        <v>757</v>
      </c>
      <c r="J6547" s="112" t="s">
        <v>4645</v>
      </c>
      <c r="K6547" s="112" t="s">
        <v>5116</v>
      </c>
      <c r="L6547" s="116">
        <v>140.81</v>
      </c>
    </row>
    <row r="6548" spans="1:12" hidden="1" outlineLevel="1" collapsed="1" x14ac:dyDescent="0.35">
      <c r="A6548" s="112" t="s">
        <v>4632</v>
      </c>
      <c r="B6548" s="112" t="s">
        <v>4688</v>
      </c>
      <c r="C6548" s="112" t="s">
        <v>4695</v>
      </c>
      <c r="D6548" s="113">
        <v>30440440</v>
      </c>
      <c r="E6548" s="115">
        <v>43937</v>
      </c>
      <c r="F6548" s="114">
        <v>202101</v>
      </c>
      <c r="G6548" s="112" t="s">
        <v>1091</v>
      </c>
      <c r="H6548" s="112" t="s">
        <v>1016</v>
      </c>
      <c r="I6548" s="112" t="s">
        <v>4689</v>
      </c>
      <c r="J6548" s="112" t="s">
        <v>4690</v>
      </c>
      <c r="K6548" s="112" t="s">
        <v>5132</v>
      </c>
      <c r="L6548" s="116">
        <v>54</v>
      </c>
    </row>
    <row r="6549" spans="1:12" hidden="1" outlineLevel="1" collapsed="1" x14ac:dyDescent="0.35">
      <c r="A6549" s="112" t="s">
        <v>4632</v>
      </c>
      <c r="B6549" s="112" t="s">
        <v>4650</v>
      </c>
      <c r="C6549" s="112" t="s">
        <v>695</v>
      </c>
      <c r="D6549" s="113">
        <v>10347950</v>
      </c>
      <c r="E6549" s="115">
        <v>43923</v>
      </c>
      <c r="F6549" s="114">
        <v>202101</v>
      </c>
      <c r="G6549" s="112" t="s">
        <v>1091</v>
      </c>
      <c r="H6549" s="112" t="s">
        <v>1015</v>
      </c>
      <c r="I6549" s="112" t="s">
        <v>757</v>
      </c>
      <c r="J6549" s="112" t="s">
        <v>4651</v>
      </c>
      <c r="K6549" s="112" t="s">
        <v>4876</v>
      </c>
      <c r="L6549" s="116">
        <v>266.64</v>
      </c>
    </row>
    <row r="6550" spans="1:12" hidden="1" outlineLevel="1" collapsed="1" x14ac:dyDescent="0.35">
      <c r="A6550" s="112" t="s">
        <v>4632</v>
      </c>
      <c r="B6550" s="112" t="s">
        <v>4650</v>
      </c>
      <c r="C6550" s="112" t="s">
        <v>695</v>
      </c>
      <c r="D6550" s="113">
        <v>10347950</v>
      </c>
      <c r="E6550" s="115">
        <v>43923</v>
      </c>
      <c r="F6550" s="114">
        <v>202101</v>
      </c>
      <c r="G6550" s="112" t="s">
        <v>1091</v>
      </c>
      <c r="H6550" s="112" t="s">
        <v>1015</v>
      </c>
      <c r="I6550" s="112" t="s">
        <v>757</v>
      </c>
      <c r="J6550" s="112" t="s">
        <v>4651</v>
      </c>
      <c r="K6550" s="112" t="s">
        <v>4664</v>
      </c>
      <c r="L6550" s="116">
        <v>536.41999999999996</v>
      </c>
    </row>
    <row r="6551" spans="1:12" hidden="1" outlineLevel="1" collapsed="1" x14ac:dyDescent="0.35">
      <c r="A6551" s="112" t="s">
        <v>4632</v>
      </c>
      <c r="B6551" s="112" t="s">
        <v>863</v>
      </c>
      <c r="C6551" s="112" t="s">
        <v>679</v>
      </c>
      <c r="D6551" s="113">
        <v>10348271</v>
      </c>
      <c r="E6551" s="115">
        <v>43937</v>
      </c>
      <c r="F6551" s="114">
        <v>202101</v>
      </c>
      <c r="G6551" s="112" t="s">
        <v>1091</v>
      </c>
      <c r="H6551" s="112" t="s">
        <v>1016</v>
      </c>
      <c r="I6551" s="112" t="s">
        <v>781</v>
      </c>
      <c r="J6551" s="112" t="s">
        <v>793</v>
      </c>
      <c r="K6551" s="112" t="s">
        <v>5180</v>
      </c>
      <c r="L6551" s="116">
        <v>-16.670000000000002</v>
      </c>
    </row>
    <row r="6552" spans="1:12" hidden="1" outlineLevel="1" collapsed="1" x14ac:dyDescent="0.35">
      <c r="A6552" s="112" t="s">
        <v>4632</v>
      </c>
      <c r="B6552" s="112" t="s">
        <v>4644</v>
      </c>
      <c r="C6552" s="112" t="s">
        <v>695</v>
      </c>
      <c r="D6552" s="113">
        <v>10347950</v>
      </c>
      <c r="E6552" s="115">
        <v>43923</v>
      </c>
      <c r="F6552" s="114">
        <v>202101</v>
      </c>
      <c r="G6552" s="112" t="s">
        <v>1091</v>
      </c>
      <c r="H6552" s="112" t="s">
        <v>1015</v>
      </c>
      <c r="I6552" s="112" t="s">
        <v>757</v>
      </c>
      <c r="J6552" s="112" t="s">
        <v>4645</v>
      </c>
      <c r="K6552" s="112" t="s">
        <v>5117</v>
      </c>
      <c r="L6552" s="116">
        <v>41.42</v>
      </c>
    </row>
    <row r="6553" spans="1:12" hidden="1" outlineLevel="1" collapsed="1" x14ac:dyDescent="0.35">
      <c r="A6553" s="112" t="s">
        <v>4632</v>
      </c>
      <c r="B6553" s="112" t="s">
        <v>4650</v>
      </c>
      <c r="C6553" s="112" t="s">
        <v>695</v>
      </c>
      <c r="D6553" s="113">
        <v>10347950</v>
      </c>
      <c r="E6553" s="115">
        <v>43923</v>
      </c>
      <c r="F6553" s="114">
        <v>202101</v>
      </c>
      <c r="G6553" s="112" t="s">
        <v>1091</v>
      </c>
      <c r="H6553" s="112" t="s">
        <v>1015</v>
      </c>
      <c r="I6553" s="112" t="s">
        <v>749</v>
      </c>
      <c r="J6553" s="112" t="s">
        <v>4651</v>
      </c>
      <c r="K6553" s="112" t="s">
        <v>4830</v>
      </c>
      <c r="L6553" s="116">
        <v>2862.58</v>
      </c>
    </row>
    <row r="6554" spans="1:12" hidden="1" outlineLevel="1" collapsed="1" x14ac:dyDescent="0.35">
      <c r="A6554" s="112" t="s">
        <v>4632</v>
      </c>
      <c r="B6554" s="112" t="s">
        <v>4644</v>
      </c>
      <c r="C6554" s="112" t="s">
        <v>695</v>
      </c>
      <c r="D6554" s="113">
        <v>10347950</v>
      </c>
      <c r="E6554" s="115">
        <v>43923</v>
      </c>
      <c r="F6554" s="114">
        <v>202101</v>
      </c>
      <c r="G6554" s="112" t="s">
        <v>1091</v>
      </c>
      <c r="H6554" s="112" t="s">
        <v>1015</v>
      </c>
      <c r="I6554" s="112" t="s">
        <v>749</v>
      </c>
      <c r="J6554" s="112" t="s">
        <v>4645</v>
      </c>
      <c r="K6554" s="112" t="s">
        <v>5115</v>
      </c>
      <c r="L6554" s="116">
        <v>190.11</v>
      </c>
    </row>
    <row r="6555" spans="1:12" hidden="1" outlineLevel="1" collapsed="1" x14ac:dyDescent="0.35">
      <c r="A6555" s="112" t="s">
        <v>4632</v>
      </c>
      <c r="B6555" s="112" t="s">
        <v>863</v>
      </c>
      <c r="C6555" s="112" t="s">
        <v>695</v>
      </c>
      <c r="D6555" s="113">
        <v>10347950</v>
      </c>
      <c r="E6555" s="115">
        <v>43923</v>
      </c>
      <c r="F6555" s="114">
        <v>202101</v>
      </c>
      <c r="G6555" s="112" t="s">
        <v>1091</v>
      </c>
      <c r="H6555" s="112" t="s">
        <v>1015</v>
      </c>
      <c r="I6555" s="112" t="s">
        <v>749</v>
      </c>
      <c r="J6555" s="112" t="s">
        <v>808</v>
      </c>
      <c r="K6555" s="112" t="s">
        <v>4874</v>
      </c>
      <c r="L6555" s="116">
        <v>337.34</v>
      </c>
    </row>
    <row r="6556" spans="1:12" hidden="1" outlineLevel="1" collapsed="1" x14ac:dyDescent="0.35">
      <c r="A6556" s="112" t="s">
        <v>4632</v>
      </c>
      <c r="B6556" s="112" t="s">
        <v>863</v>
      </c>
      <c r="C6556" s="112" t="s">
        <v>695</v>
      </c>
      <c r="D6556" s="113">
        <v>10347950</v>
      </c>
      <c r="E6556" s="115">
        <v>43923</v>
      </c>
      <c r="F6556" s="114">
        <v>202101</v>
      </c>
      <c r="G6556" s="112" t="s">
        <v>1091</v>
      </c>
      <c r="H6556" s="112" t="s">
        <v>1015</v>
      </c>
      <c r="I6556" s="112" t="s">
        <v>749</v>
      </c>
      <c r="J6556" s="112" t="s">
        <v>821</v>
      </c>
      <c r="K6556" s="112" t="s">
        <v>5122</v>
      </c>
      <c r="L6556" s="116">
        <v>2570.12</v>
      </c>
    </row>
    <row r="6557" spans="1:12" hidden="1" outlineLevel="1" collapsed="1" x14ac:dyDescent="0.35">
      <c r="A6557" s="112" t="s">
        <v>4632</v>
      </c>
      <c r="B6557" s="112" t="s">
        <v>863</v>
      </c>
      <c r="C6557" s="112" t="s">
        <v>695</v>
      </c>
      <c r="D6557" s="113">
        <v>10347950</v>
      </c>
      <c r="E6557" s="115">
        <v>43923</v>
      </c>
      <c r="F6557" s="114">
        <v>202101</v>
      </c>
      <c r="G6557" s="112" t="s">
        <v>1091</v>
      </c>
      <c r="H6557" s="112" t="s">
        <v>1015</v>
      </c>
      <c r="I6557" s="112" t="s">
        <v>749</v>
      </c>
      <c r="J6557" s="112" t="s">
        <v>821</v>
      </c>
      <c r="K6557" s="112" t="s">
        <v>5123</v>
      </c>
      <c r="L6557" s="116">
        <v>182.68</v>
      </c>
    </row>
    <row r="6558" spans="1:12" hidden="1" outlineLevel="1" collapsed="1" x14ac:dyDescent="0.35">
      <c r="A6558" s="112" t="s">
        <v>4632</v>
      </c>
      <c r="B6558" s="112" t="s">
        <v>863</v>
      </c>
      <c r="C6558" s="112" t="s">
        <v>695</v>
      </c>
      <c r="D6558" s="113">
        <v>10347950</v>
      </c>
      <c r="E6558" s="115">
        <v>43923</v>
      </c>
      <c r="F6558" s="114">
        <v>202101</v>
      </c>
      <c r="G6558" s="112" t="s">
        <v>1091</v>
      </c>
      <c r="H6558" s="112" t="s">
        <v>1015</v>
      </c>
      <c r="I6558" s="112" t="s">
        <v>749</v>
      </c>
      <c r="J6558" s="112" t="s">
        <v>821</v>
      </c>
      <c r="K6558" s="112" t="s">
        <v>4680</v>
      </c>
      <c r="L6558" s="116">
        <v>719.03</v>
      </c>
    </row>
    <row r="6559" spans="1:12" hidden="1" outlineLevel="1" collapsed="1" x14ac:dyDescent="0.35">
      <c r="A6559" s="112" t="s">
        <v>4632</v>
      </c>
      <c r="B6559" s="112" t="s">
        <v>4688</v>
      </c>
      <c r="C6559" s="112" t="s">
        <v>4695</v>
      </c>
      <c r="D6559" s="113">
        <v>30440469</v>
      </c>
      <c r="E6559" s="115">
        <v>43938</v>
      </c>
      <c r="F6559" s="114">
        <v>202101</v>
      </c>
      <c r="G6559" s="112" t="s">
        <v>1091</v>
      </c>
      <c r="H6559" s="112" t="s">
        <v>1016</v>
      </c>
      <c r="I6559" s="112" t="s">
        <v>4689</v>
      </c>
      <c r="J6559" s="112" t="s">
        <v>4690</v>
      </c>
      <c r="K6559" s="112" t="s">
        <v>5162</v>
      </c>
      <c r="L6559" s="116">
        <v>54</v>
      </c>
    </row>
    <row r="6560" spans="1:12" hidden="1" outlineLevel="1" collapsed="1" x14ac:dyDescent="0.35">
      <c r="A6560" s="112" t="s">
        <v>4632</v>
      </c>
      <c r="B6560" s="112" t="s">
        <v>4688</v>
      </c>
      <c r="C6560" s="112" t="s">
        <v>4695</v>
      </c>
      <c r="D6560" s="113">
        <v>30440469</v>
      </c>
      <c r="E6560" s="115">
        <v>43938</v>
      </c>
      <c r="F6560" s="114">
        <v>202101</v>
      </c>
      <c r="G6560" s="112" t="s">
        <v>1091</v>
      </c>
      <c r="H6560" s="112" t="s">
        <v>1016</v>
      </c>
      <c r="I6560" s="112" t="s">
        <v>4689</v>
      </c>
      <c r="J6560" s="112" t="s">
        <v>4690</v>
      </c>
      <c r="K6560" s="112" t="s">
        <v>5155</v>
      </c>
      <c r="L6560" s="116">
        <v>52</v>
      </c>
    </row>
    <row r="6561" spans="1:12" hidden="1" outlineLevel="1" collapsed="1" x14ac:dyDescent="0.35">
      <c r="A6561" s="112" t="s">
        <v>4632</v>
      </c>
      <c r="B6561" s="112" t="s">
        <v>863</v>
      </c>
      <c r="C6561" s="112" t="s">
        <v>695</v>
      </c>
      <c r="D6561" s="113">
        <v>10347950</v>
      </c>
      <c r="E6561" s="115">
        <v>43923</v>
      </c>
      <c r="F6561" s="114">
        <v>202101</v>
      </c>
      <c r="G6561" s="112" t="s">
        <v>1091</v>
      </c>
      <c r="H6561" s="112" t="s">
        <v>1015</v>
      </c>
      <c r="I6561" s="112" t="s">
        <v>749</v>
      </c>
      <c r="J6561" s="112" t="s">
        <v>854</v>
      </c>
      <c r="K6561" s="112" t="s">
        <v>5181</v>
      </c>
      <c r="L6561" s="116">
        <v>1640.43</v>
      </c>
    </row>
    <row r="6562" spans="1:12" hidden="1" outlineLevel="1" collapsed="1" x14ac:dyDescent="0.35">
      <c r="A6562" s="112" t="s">
        <v>4632</v>
      </c>
      <c r="B6562" s="112" t="s">
        <v>4639</v>
      </c>
      <c r="C6562" s="112" t="s">
        <v>695</v>
      </c>
      <c r="D6562" s="113">
        <v>10347950</v>
      </c>
      <c r="E6562" s="115">
        <v>43923</v>
      </c>
      <c r="F6562" s="114">
        <v>202101</v>
      </c>
      <c r="G6562" s="112" t="s">
        <v>1091</v>
      </c>
      <c r="H6562" s="112" t="s">
        <v>1015</v>
      </c>
      <c r="I6562" s="112" t="s">
        <v>757</v>
      </c>
      <c r="J6562" s="112" t="s">
        <v>4640</v>
      </c>
      <c r="K6562" s="112" t="s">
        <v>5182</v>
      </c>
      <c r="L6562" s="116">
        <v>370.74</v>
      </c>
    </row>
    <row r="6563" spans="1:12" hidden="1" outlineLevel="1" collapsed="1" x14ac:dyDescent="0.35">
      <c r="A6563" s="112" t="s">
        <v>4632</v>
      </c>
      <c r="B6563" s="112" t="s">
        <v>4688</v>
      </c>
      <c r="C6563" s="112" t="s">
        <v>1518</v>
      </c>
      <c r="D6563" s="113">
        <v>51365692</v>
      </c>
      <c r="E6563" s="115">
        <v>43945</v>
      </c>
      <c r="F6563" s="114">
        <v>202101</v>
      </c>
      <c r="G6563" s="112" t="s">
        <v>1091</v>
      </c>
      <c r="H6563" s="112" t="s">
        <v>1016</v>
      </c>
      <c r="I6563" s="112" t="s">
        <v>2337</v>
      </c>
      <c r="J6563" s="112" t="s">
        <v>4690</v>
      </c>
      <c r="K6563" s="112" t="s">
        <v>5183</v>
      </c>
      <c r="L6563" s="116">
        <v>-51</v>
      </c>
    </row>
    <row r="6564" spans="1:12" hidden="1" outlineLevel="1" collapsed="1" x14ac:dyDescent="0.35">
      <c r="A6564" s="112" t="s">
        <v>4632</v>
      </c>
      <c r="B6564" s="112" t="s">
        <v>4688</v>
      </c>
      <c r="C6564" s="112" t="s">
        <v>4695</v>
      </c>
      <c r="D6564" s="113">
        <v>30440783</v>
      </c>
      <c r="E6564" s="115">
        <v>43950</v>
      </c>
      <c r="F6564" s="114">
        <v>202101</v>
      </c>
      <c r="G6564" s="112" t="s">
        <v>1091</v>
      </c>
      <c r="H6564" s="112" t="s">
        <v>1016</v>
      </c>
      <c r="I6564" s="112" t="s">
        <v>4689</v>
      </c>
      <c r="J6564" s="112" t="s">
        <v>4690</v>
      </c>
      <c r="K6564" s="112" t="s">
        <v>5184</v>
      </c>
      <c r="L6564" s="116">
        <v>52</v>
      </c>
    </row>
    <row r="6565" spans="1:12" hidden="1" outlineLevel="1" collapsed="1" x14ac:dyDescent="0.35">
      <c r="A6565" s="112" t="s">
        <v>4632</v>
      </c>
      <c r="B6565" s="112" t="s">
        <v>4688</v>
      </c>
      <c r="C6565" s="112" t="s">
        <v>1518</v>
      </c>
      <c r="D6565" s="113">
        <v>51365937</v>
      </c>
      <c r="E6565" s="115">
        <v>43948</v>
      </c>
      <c r="F6565" s="114">
        <v>202101</v>
      </c>
      <c r="G6565" s="112" t="s">
        <v>1091</v>
      </c>
      <c r="H6565" s="112" t="s">
        <v>1016</v>
      </c>
      <c r="I6565" s="112" t="s">
        <v>2337</v>
      </c>
      <c r="J6565" s="112" t="s">
        <v>4690</v>
      </c>
      <c r="K6565" s="112" t="s">
        <v>5185</v>
      </c>
      <c r="L6565" s="116">
        <v>-51</v>
      </c>
    </row>
    <row r="6566" spans="1:12" hidden="1" outlineLevel="1" collapsed="1" x14ac:dyDescent="0.35">
      <c r="A6566" s="112" t="s">
        <v>4632</v>
      </c>
      <c r="B6566" s="112" t="s">
        <v>4688</v>
      </c>
      <c r="C6566" s="112" t="s">
        <v>1518</v>
      </c>
      <c r="D6566" s="113">
        <v>51365956</v>
      </c>
      <c r="E6566" s="115">
        <v>43948</v>
      </c>
      <c r="F6566" s="114">
        <v>202101</v>
      </c>
      <c r="G6566" s="112" t="s">
        <v>1091</v>
      </c>
      <c r="H6566" s="112" t="s">
        <v>1016</v>
      </c>
      <c r="I6566" s="112" t="s">
        <v>2337</v>
      </c>
      <c r="J6566" s="112" t="s">
        <v>4690</v>
      </c>
      <c r="K6566" s="112" t="s">
        <v>5186</v>
      </c>
      <c r="L6566" s="116">
        <v>-102</v>
      </c>
    </row>
    <row r="6567" spans="1:12" hidden="1" outlineLevel="1" collapsed="1" x14ac:dyDescent="0.35">
      <c r="A6567" s="112" t="s">
        <v>4632</v>
      </c>
      <c r="B6567" s="112" t="s">
        <v>4688</v>
      </c>
      <c r="C6567" s="112" t="s">
        <v>1518</v>
      </c>
      <c r="D6567" s="113">
        <v>51365955</v>
      </c>
      <c r="E6567" s="115">
        <v>43947</v>
      </c>
      <c r="F6567" s="114">
        <v>202101</v>
      </c>
      <c r="G6567" s="112" t="s">
        <v>1091</v>
      </c>
      <c r="H6567" s="112" t="s">
        <v>1016</v>
      </c>
      <c r="I6567" s="112" t="s">
        <v>2337</v>
      </c>
      <c r="J6567" s="112" t="s">
        <v>4690</v>
      </c>
      <c r="K6567" s="112" t="s">
        <v>5187</v>
      </c>
      <c r="L6567" s="116">
        <v>-51</v>
      </c>
    </row>
    <row r="6568" spans="1:12" hidden="1" outlineLevel="1" collapsed="1" x14ac:dyDescent="0.35">
      <c r="A6568" s="112" t="s">
        <v>4632</v>
      </c>
      <c r="B6568" s="112" t="s">
        <v>4688</v>
      </c>
      <c r="C6568" s="112" t="s">
        <v>1518</v>
      </c>
      <c r="D6568" s="113">
        <v>51365954</v>
      </c>
      <c r="E6568" s="115">
        <v>43947</v>
      </c>
      <c r="F6568" s="114">
        <v>202101</v>
      </c>
      <c r="G6568" s="112" t="s">
        <v>1091</v>
      </c>
      <c r="H6568" s="112" t="s">
        <v>1016</v>
      </c>
      <c r="I6568" s="112" t="s">
        <v>2337</v>
      </c>
      <c r="J6568" s="112" t="s">
        <v>4690</v>
      </c>
      <c r="K6568" s="112" t="s">
        <v>5188</v>
      </c>
      <c r="L6568" s="116">
        <v>-51</v>
      </c>
    </row>
    <row r="6569" spans="1:12" hidden="1" outlineLevel="1" collapsed="1" x14ac:dyDescent="0.35">
      <c r="A6569" s="112" t="s">
        <v>4632</v>
      </c>
      <c r="B6569" s="112" t="s">
        <v>4688</v>
      </c>
      <c r="C6569" s="112" t="s">
        <v>1518</v>
      </c>
      <c r="D6569" s="113">
        <v>51365953</v>
      </c>
      <c r="E6569" s="115">
        <v>43947</v>
      </c>
      <c r="F6569" s="114">
        <v>202101</v>
      </c>
      <c r="G6569" s="112" t="s">
        <v>1091</v>
      </c>
      <c r="H6569" s="112" t="s">
        <v>1016</v>
      </c>
      <c r="I6569" s="112" t="s">
        <v>2337</v>
      </c>
      <c r="J6569" s="112" t="s">
        <v>4690</v>
      </c>
      <c r="K6569" s="112" t="s">
        <v>5189</v>
      </c>
      <c r="L6569" s="116">
        <v>-51</v>
      </c>
    </row>
    <row r="6570" spans="1:12" hidden="1" outlineLevel="1" collapsed="1" x14ac:dyDescent="0.35">
      <c r="A6570" s="112" t="s">
        <v>4632</v>
      </c>
      <c r="B6570" s="112" t="s">
        <v>4688</v>
      </c>
      <c r="C6570" s="112" t="s">
        <v>1518</v>
      </c>
      <c r="D6570" s="113">
        <v>51365952</v>
      </c>
      <c r="E6570" s="115">
        <v>43948</v>
      </c>
      <c r="F6570" s="114">
        <v>202101</v>
      </c>
      <c r="G6570" s="112" t="s">
        <v>1091</v>
      </c>
      <c r="H6570" s="112" t="s">
        <v>1016</v>
      </c>
      <c r="I6570" s="112" t="s">
        <v>2337</v>
      </c>
      <c r="J6570" s="112" t="s">
        <v>4690</v>
      </c>
      <c r="K6570" s="112" t="s">
        <v>5190</v>
      </c>
      <c r="L6570" s="116">
        <v>-51</v>
      </c>
    </row>
    <row r="6571" spans="1:12" hidden="1" outlineLevel="1" collapsed="1" x14ac:dyDescent="0.35">
      <c r="A6571" s="112" t="s">
        <v>4632</v>
      </c>
      <c r="B6571" s="112" t="s">
        <v>4688</v>
      </c>
      <c r="C6571" s="112" t="s">
        <v>1518</v>
      </c>
      <c r="D6571" s="113">
        <v>51365951</v>
      </c>
      <c r="E6571" s="115">
        <v>43948</v>
      </c>
      <c r="F6571" s="114">
        <v>202101</v>
      </c>
      <c r="G6571" s="112" t="s">
        <v>1091</v>
      </c>
      <c r="H6571" s="112" t="s">
        <v>1016</v>
      </c>
      <c r="I6571" s="112" t="s">
        <v>2337</v>
      </c>
      <c r="J6571" s="112" t="s">
        <v>4690</v>
      </c>
      <c r="K6571" s="112" t="s">
        <v>5191</v>
      </c>
      <c r="L6571" s="116">
        <v>-51</v>
      </c>
    </row>
    <row r="6572" spans="1:12" hidden="1" outlineLevel="1" collapsed="1" x14ac:dyDescent="0.35">
      <c r="A6572" s="112" t="s">
        <v>4632</v>
      </c>
      <c r="B6572" s="112" t="s">
        <v>4688</v>
      </c>
      <c r="C6572" s="112" t="s">
        <v>1518</v>
      </c>
      <c r="D6572" s="113">
        <v>51365950</v>
      </c>
      <c r="E6572" s="115">
        <v>43948</v>
      </c>
      <c r="F6572" s="114">
        <v>202101</v>
      </c>
      <c r="G6572" s="112" t="s">
        <v>1091</v>
      </c>
      <c r="H6572" s="112" t="s">
        <v>1016</v>
      </c>
      <c r="I6572" s="112" t="s">
        <v>2337</v>
      </c>
      <c r="J6572" s="112" t="s">
        <v>4690</v>
      </c>
      <c r="K6572" s="112" t="s">
        <v>5192</v>
      </c>
      <c r="L6572" s="116">
        <v>-51</v>
      </c>
    </row>
    <row r="6573" spans="1:12" hidden="1" outlineLevel="1" collapsed="1" x14ac:dyDescent="0.35">
      <c r="A6573" s="112" t="s">
        <v>4632</v>
      </c>
      <c r="B6573" s="112" t="s">
        <v>4688</v>
      </c>
      <c r="C6573" s="112" t="s">
        <v>1518</v>
      </c>
      <c r="D6573" s="113">
        <v>51365949</v>
      </c>
      <c r="E6573" s="115">
        <v>43948</v>
      </c>
      <c r="F6573" s="114">
        <v>202101</v>
      </c>
      <c r="G6573" s="112" t="s">
        <v>1091</v>
      </c>
      <c r="H6573" s="112" t="s">
        <v>1016</v>
      </c>
      <c r="I6573" s="112" t="s">
        <v>2337</v>
      </c>
      <c r="J6573" s="112" t="s">
        <v>4690</v>
      </c>
      <c r="K6573" s="112" t="s">
        <v>5193</v>
      </c>
      <c r="L6573" s="116">
        <v>-51</v>
      </c>
    </row>
    <row r="6574" spans="1:12" hidden="1" outlineLevel="1" collapsed="1" x14ac:dyDescent="0.35">
      <c r="A6574" s="112" t="s">
        <v>4632</v>
      </c>
      <c r="B6574" s="112" t="s">
        <v>4688</v>
      </c>
      <c r="C6574" s="112" t="s">
        <v>1518</v>
      </c>
      <c r="D6574" s="113">
        <v>51365948</v>
      </c>
      <c r="E6574" s="115">
        <v>43948</v>
      </c>
      <c r="F6574" s="114">
        <v>202101</v>
      </c>
      <c r="G6574" s="112" t="s">
        <v>1091</v>
      </c>
      <c r="H6574" s="112" t="s">
        <v>1016</v>
      </c>
      <c r="I6574" s="112" t="s">
        <v>2337</v>
      </c>
      <c r="J6574" s="112" t="s">
        <v>4690</v>
      </c>
      <c r="K6574" s="112" t="s">
        <v>5194</v>
      </c>
      <c r="L6574" s="116">
        <v>-51</v>
      </c>
    </row>
    <row r="6575" spans="1:12" hidden="1" outlineLevel="1" collapsed="1" x14ac:dyDescent="0.35">
      <c r="A6575" s="112" t="s">
        <v>4632</v>
      </c>
      <c r="B6575" s="112" t="s">
        <v>4688</v>
      </c>
      <c r="C6575" s="112" t="s">
        <v>1518</v>
      </c>
      <c r="D6575" s="113">
        <v>51365947</v>
      </c>
      <c r="E6575" s="115">
        <v>43947</v>
      </c>
      <c r="F6575" s="114">
        <v>202101</v>
      </c>
      <c r="G6575" s="112" t="s">
        <v>1091</v>
      </c>
      <c r="H6575" s="112" t="s">
        <v>1016</v>
      </c>
      <c r="I6575" s="112" t="s">
        <v>2337</v>
      </c>
      <c r="J6575" s="112" t="s">
        <v>4690</v>
      </c>
      <c r="K6575" s="112" t="s">
        <v>5195</v>
      </c>
      <c r="L6575" s="116">
        <v>-51</v>
      </c>
    </row>
    <row r="6576" spans="1:12" hidden="1" outlineLevel="1" collapsed="1" x14ac:dyDescent="0.35">
      <c r="A6576" s="112" t="s">
        <v>4632</v>
      </c>
      <c r="B6576" s="112" t="s">
        <v>4688</v>
      </c>
      <c r="C6576" s="112" t="s">
        <v>1518</v>
      </c>
      <c r="D6576" s="113">
        <v>51365946</v>
      </c>
      <c r="E6576" s="115">
        <v>43947</v>
      </c>
      <c r="F6576" s="114">
        <v>202101</v>
      </c>
      <c r="G6576" s="112" t="s">
        <v>1091</v>
      </c>
      <c r="H6576" s="112" t="s">
        <v>1016</v>
      </c>
      <c r="I6576" s="112" t="s">
        <v>2337</v>
      </c>
      <c r="J6576" s="112" t="s">
        <v>4690</v>
      </c>
      <c r="K6576" s="112" t="s">
        <v>5196</v>
      </c>
      <c r="L6576" s="116">
        <v>-51</v>
      </c>
    </row>
    <row r="6577" spans="1:12" hidden="1" outlineLevel="1" collapsed="1" x14ac:dyDescent="0.35">
      <c r="A6577" s="112" t="s">
        <v>4632</v>
      </c>
      <c r="B6577" s="112" t="s">
        <v>4688</v>
      </c>
      <c r="C6577" s="112" t="s">
        <v>1518</v>
      </c>
      <c r="D6577" s="113">
        <v>51365945</v>
      </c>
      <c r="E6577" s="115">
        <v>43946</v>
      </c>
      <c r="F6577" s="114">
        <v>202101</v>
      </c>
      <c r="G6577" s="112" t="s">
        <v>1091</v>
      </c>
      <c r="H6577" s="112" t="s">
        <v>1016</v>
      </c>
      <c r="I6577" s="112" t="s">
        <v>2337</v>
      </c>
      <c r="J6577" s="112" t="s">
        <v>4690</v>
      </c>
      <c r="K6577" s="112" t="s">
        <v>5197</v>
      </c>
      <c r="L6577" s="116">
        <v>-51</v>
      </c>
    </row>
    <row r="6578" spans="1:12" hidden="1" outlineLevel="1" collapsed="1" x14ac:dyDescent="0.35">
      <c r="A6578" s="112" t="s">
        <v>4632</v>
      </c>
      <c r="B6578" s="112" t="s">
        <v>4688</v>
      </c>
      <c r="C6578" s="112" t="s">
        <v>1518</v>
      </c>
      <c r="D6578" s="113">
        <v>51365944</v>
      </c>
      <c r="E6578" s="115">
        <v>43947</v>
      </c>
      <c r="F6578" s="114">
        <v>202101</v>
      </c>
      <c r="G6578" s="112" t="s">
        <v>1091</v>
      </c>
      <c r="H6578" s="112" t="s">
        <v>1016</v>
      </c>
      <c r="I6578" s="112" t="s">
        <v>2337</v>
      </c>
      <c r="J6578" s="112" t="s">
        <v>4690</v>
      </c>
      <c r="K6578" s="112" t="s">
        <v>5198</v>
      </c>
      <c r="L6578" s="116">
        <v>-51</v>
      </c>
    </row>
    <row r="6579" spans="1:12" hidden="1" outlineLevel="1" collapsed="1" x14ac:dyDescent="0.35">
      <c r="A6579" s="112" t="s">
        <v>4632</v>
      </c>
      <c r="B6579" s="112" t="s">
        <v>4688</v>
      </c>
      <c r="C6579" s="112" t="s">
        <v>1518</v>
      </c>
      <c r="D6579" s="113">
        <v>51365943</v>
      </c>
      <c r="E6579" s="115">
        <v>43948</v>
      </c>
      <c r="F6579" s="114">
        <v>202101</v>
      </c>
      <c r="G6579" s="112" t="s">
        <v>1091</v>
      </c>
      <c r="H6579" s="112" t="s">
        <v>1016</v>
      </c>
      <c r="I6579" s="112" t="s">
        <v>2337</v>
      </c>
      <c r="J6579" s="112" t="s">
        <v>4690</v>
      </c>
      <c r="K6579" s="112" t="s">
        <v>5199</v>
      </c>
      <c r="L6579" s="116">
        <v>-51</v>
      </c>
    </row>
    <row r="6580" spans="1:12" hidden="1" outlineLevel="1" collapsed="1" x14ac:dyDescent="0.35">
      <c r="A6580" s="112" t="s">
        <v>4632</v>
      </c>
      <c r="B6580" s="112" t="s">
        <v>4688</v>
      </c>
      <c r="C6580" s="112" t="s">
        <v>1518</v>
      </c>
      <c r="D6580" s="113">
        <v>51365942</v>
      </c>
      <c r="E6580" s="115">
        <v>43946</v>
      </c>
      <c r="F6580" s="114">
        <v>202101</v>
      </c>
      <c r="G6580" s="112" t="s">
        <v>1091</v>
      </c>
      <c r="H6580" s="112" t="s">
        <v>1016</v>
      </c>
      <c r="I6580" s="112" t="s">
        <v>2337</v>
      </c>
      <c r="J6580" s="112" t="s">
        <v>4690</v>
      </c>
      <c r="K6580" s="112" t="s">
        <v>5200</v>
      </c>
      <c r="L6580" s="116">
        <v>-54</v>
      </c>
    </row>
    <row r="6581" spans="1:12" hidden="1" outlineLevel="1" collapsed="1" x14ac:dyDescent="0.35">
      <c r="A6581" s="112" t="s">
        <v>4632</v>
      </c>
      <c r="B6581" s="112" t="s">
        <v>4688</v>
      </c>
      <c r="C6581" s="112" t="s">
        <v>1518</v>
      </c>
      <c r="D6581" s="113">
        <v>51365941</v>
      </c>
      <c r="E6581" s="115">
        <v>43946</v>
      </c>
      <c r="F6581" s="114">
        <v>202101</v>
      </c>
      <c r="G6581" s="112" t="s">
        <v>1091</v>
      </c>
      <c r="H6581" s="112" t="s">
        <v>1016</v>
      </c>
      <c r="I6581" s="112" t="s">
        <v>2337</v>
      </c>
      <c r="J6581" s="112" t="s">
        <v>4690</v>
      </c>
      <c r="K6581" s="112" t="s">
        <v>5201</v>
      </c>
      <c r="L6581" s="116">
        <v>-51</v>
      </c>
    </row>
    <row r="6582" spans="1:12" hidden="1" outlineLevel="1" collapsed="1" x14ac:dyDescent="0.35">
      <c r="A6582" s="112" t="s">
        <v>4632</v>
      </c>
      <c r="B6582" s="112" t="s">
        <v>4688</v>
      </c>
      <c r="C6582" s="112" t="s">
        <v>1518</v>
      </c>
      <c r="D6582" s="113">
        <v>51365940</v>
      </c>
      <c r="E6582" s="115">
        <v>43948</v>
      </c>
      <c r="F6582" s="114">
        <v>202101</v>
      </c>
      <c r="G6582" s="112" t="s">
        <v>1091</v>
      </c>
      <c r="H6582" s="112" t="s">
        <v>1016</v>
      </c>
      <c r="I6582" s="112" t="s">
        <v>2337</v>
      </c>
      <c r="J6582" s="112" t="s">
        <v>4690</v>
      </c>
      <c r="K6582" s="112" t="s">
        <v>5202</v>
      </c>
      <c r="L6582" s="116">
        <v>-51</v>
      </c>
    </row>
    <row r="6583" spans="1:12" hidden="1" outlineLevel="1" collapsed="1" x14ac:dyDescent="0.35">
      <c r="A6583" s="112" t="s">
        <v>4632</v>
      </c>
      <c r="B6583" s="112" t="s">
        <v>4688</v>
      </c>
      <c r="C6583" s="112" t="s">
        <v>1518</v>
      </c>
      <c r="D6583" s="113">
        <v>51365939</v>
      </c>
      <c r="E6583" s="115">
        <v>43948</v>
      </c>
      <c r="F6583" s="114">
        <v>202101</v>
      </c>
      <c r="G6583" s="112" t="s">
        <v>1091</v>
      </c>
      <c r="H6583" s="112" t="s">
        <v>1016</v>
      </c>
      <c r="I6583" s="112" t="s">
        <v>2337</v>
      </c>
      <c r="J6583" s="112" t="s">
        <v>4690</v>
      </c>
      <c r="K6583" s="112" t="s">
        <v>5203</v>
      </c>
      <c r="L6583" s="116">
        <v>-51</v>
      </c>
    </row>
    <row r="6584" spans="1:12" hidden="1" outlineLevel="1" collapsed="1" x14ac:dyDescent="0.35">
      <c r="A6584" s="112" t="s">
        <v>4632</v>
      </c>
      <c r="B6584" s="112" t="s">
        <v>4635</v>
      </c>
      <c r="C6584" s="112" t="s">
        <v>695</v>
      </c>
      <c r="D6584" s="113">
        <v>10348130</v>
      </c>
      <c r="E6584" s="115">
        <v>43930</v>
      </c>
      <c r="F6584" s="114">
        <v>202101</v>
      </c>
      <c r="G6584" s="112" t="s">
        <v>1091</v>
      </c>
      <c r="H6584" s="112" t="s">
        <v>1015</v>
      </c>
      <c r="I6584" s="112" t="s">
        <v>740</v>
      </c>
      <c r="J6584" s="112" t="s">
        <v>4967</v>
      </c>
      <c r="K6584" s="112" t="s">
        <v>5204</v>
      </c>
      <c r="L6584" s="116">
        <v>-188.84</v>
      </c>
    </row>
    <row r="6585" spans="1:12" hidden="1" outlineLevel="1" collapsed="1" x14ac:dyDescent="0.35">
      <c r="A6585" s="112" t="s">
        <v>4632</v>
      </c>
      <c r="B6585" s="112" t="s">
        <v>4688</v>
      </c>
      <c r="C6585" s="112" t="s">
        <v>1518</v>
      </c>
      <c r="D6585" s="113">
        <v>51365957</v>
      </c>
      <c r="E6585" s="115">
        <v>43947</v>
      </c>
      <c r="F6585" s="114">
        <v>202101</v>
      </c>
      <c r="G6585" s="112" t="s">
        <v>1091</v>
      </c>
      <c r="H6585" s="112" t="s">
        <v>1016</v>
      </c>
      <c r="I6585" s="112" t="s">
        <v>2337</v>
      </c>
      <c r="J6585" s="112" t="s">
        <v>4690</v>
      </c>
      <c r="K6585" s="112" t="s">
        <v>5205</v>
      </c>
      <c r="L6585" s="116">
        <v>-54</v>
      </c>
    </row>
    <row r="6586" spans="1:12" hidden="1" outlineLevel="1" collapsed="1" x14ac:dyDescent="0.35">
      <c r="A6586" s="112" t="s">
        <v>4632</v>
      </c>
      <c r="B6586" s="112" t="s">
        <v>4688</v>
      </c>
      <c r="C6586" s="112" t="s">
        <v>1518</v>
      </c>
      <c r="D6586" s="113">
        <v>51365936</v>
      </c>
      <c r="E6586" s="115">
        <v>43948</v>
      </c>
      <c r="F6586" s="114">
        <v>202101</v>
      </c>
      <c r="G6586" s="112" t="s">
        <v>1091</v>
      </c>
      <c r="H6586" s="112" t="s">
        <v>1016</v>
      </c>
      <c r="I6586" s="112" t="s">
        <v>2337</v>
      </c>
      <c r="J6586" s="112" t="s">
        <v>4690</v>
      </c>
      <c r="K6586" s="112" t="s">
        <v>5206</v>
      </c>
      <c r="L6586" s="116">
        <v>-51</v>
      </c>
    </row>
    <row r="6587" spans="1:12" hidden="1" outlineLevel="1" collapsed="1" x14ac:dyDescent="0.35">
      <c r="A6587" s="112" t="s">
        <v>4632</v>
      </c>
      <c r="B6587" s="112" t="s">
        <v>4688</v>
      </c>
      <c r="C6587" s="112" t="s">
        <v>1518</v>
      </c>
      <c r="D6587" s="113">
        <v>51365935</v>
      </c>
      <c r="E6587" s="115">
        <v>43948</v>
      </c>
      <c r="F6587" s="114">
        <v>202101</v>
      </c>
      <c r="G6587" s="112" t="s">
        <v>1091</v>
      </c>
      <c r="H6587" s="112" t="s">
        <v>1016</v>
      </c>
      <c r="I6587" s="112" t="s">
        <v>2337</v>
      </c>
      <c r="J6587" s="112" t="s">
        <v>4690</v>
      </c>
      <c r="K6587" s="112" t="s">
        <v>5207</v>
      </c>
      <c r="L6587" s="116">
        <v>-51</v>
      </c>
    </row>
    <row r="6588" spans="1:12" hidden="1" outlineLevel="1" collapsed="1" x14ac:dyDescent="0.35">
      <c r="A6588" s="112" t="s">
        <v>4632</v>
      </c>
      <c r="B6588" s="112" t="s">
        <v>4688</v>
      </c>
      <c r="C6588" s="112" t="s">
        <v>1518</v>
      </c>
      <c r="D6588" s="113">
        <v>51365934</v>
      </c>
      <c r="E6588" s="115">
        <v>43948</v>
      </c>
      <c r="F6588" s="114">
        <v>202101</v>
      </c>
      <c r="G6588" s="112" t="s">
        <v>1091</v>
      </c>
      <c r="H6588" s="112" t="s">
        <v>1016</v>
      </c>
      <c r="I6588" s="112" t="s">
        <v>2337</v>
      </c>
      <c r="J6588" s="112" t="s">
        <v>4690</v>
      </c>
      <c r="K6588" s="112" t="s">
        <v>5208</v>
      </c>
      <c r="L6588" s="116">
        <v>-51</v>
      </c>
    </row>
    <row r="6589" spans="1:12" hidden="1" outlineLevel="1" collapsed="1" x14ac:dyDescent="0.35">
      <c r="A6589" s="112" t="s">
        <v>4632</v>
      </c>
      <c r="B6589" s="112" t="s">
        <v>4688</v>
      </c>
      <c r="C6589" s="112" t="s">
        <v>1518</v>
      </c>
      <c r="D6589" s="113">
        <v>51365933</v>
      </c>
      <c r="E6589" s="115">
        <v>43948</v>
      </c>
      <c r="F6589" s="114">
        <v>202101</v>
      </c>
      <c r="G6589" s="112" t="s">
        <v>1091</v>
      </c>
      <c r="H6589" s="112" t="s">
        <v>1016</v>
      </c>
      <c r="I6589" s="112" t="s">
        <v>2337</v>
      </c>
      <c r="J6589" s="112" t="s">
        <v>4690</v>
      </c>
      <c r="K6589" s="112" t="s">
        <v>5209</v>
      </c>
      <c r="L6589" s="116">
        <v>-51</v>
      </c>
    </row>
    <row r="6590" spans="1:12" hidden="1" outlineLevel="1" collapsed="1" x14ac:dyDescent="0.35">
      <c r="A6590" s="112" t="s">
        <v>4632</v>
      </c>
      <c r="B6590" s="112" t="s">
        <v>4688</v>
      </c>
      <c r="C6590" s="112" t="s">
        <v>1518</v>
      </c>
      <c r="D6590" s="113">
        <v>51365932</v>
      </c>
      <c r="E6590" s="115">
        <v>43948</v>
      </c>
      <c r="F6590" s="114">
        <v>202101</v>
      </c>
      <c r="G6590" s="112" t="s">
        <v>1091</v>
      </c>
      <c r="H6590" s="112" t="s">
        <v>1016</v>
      </c>
      <c r="I6590" s="112" t="s">
        <v>2337</v>
      </c>
      <c r="J6590" s="112" t="s">
        <v>4690</v>
      </c>
      <c r="K6590" s="112" t="s">
        <v>5210</v>
      </c>
      <c r="L6590" s="116">
        <v>-51</v>
      </c>
    </row>
    <row r="6591" spans="1:12" hidden="1" outlineLevel="1" collapsed="1" x14ac:dyDescent="0.35">
      <c r="A6591" s="112" t="s">
        <v>4632</v>
      </c>
      <c r="B6591" s="112" t="s">
        <v>4688</v>
      </c>
      <c r="C6591" s="112" t="s">
        <v>1518</v>
      </c>
      <c r="D6591" s="113">
        <v>51365931</v>
      </c>
      <c r="E6591" s="115">
        <v>43948</v>
      </c>
      <c r="F6591" s="114">
        <v>202101</v>
      </c>
      <c r="G6591" s="112" t="s">
        <v>1091</v>
      </c>
      <c r="H6591" s="112" t="s">
        <v>1016</v>
      </c>
      <c r="I6591" s="112" t="s">
        <v>2337</v>
      </c>
      <c r="J6591" s="112" t="s">
        <v>4690</v>
      </c>
      <c r="K6591" s="112" t="s">
        <v>5211</v>
      </c>
      <c r="L6591" s="116">
        <v>-51</v>
      </c>
    </row>
    <row r="6592" spans="1:12" hidden="1" outlineLevel="1" collapsed="1" x14ac:dyDescent="0.35">
      <c r="A6592" s="112" t="s">
        <v>4632</v>
      </c>
      <c r="B6592" s="112" t="s">
        <v>4688</v>
      </c>
      <c r="C6592" s="112" t="s">
        <v>1518</v>
      </c>
      <c r="D6592" s="113">
        <v>51365930</v>
      </c>
      <c r="E6592" s="115">
        <v>43948</v>
      </c>
      <c r="F6592" s="114">
        <v>202101</v>
      </c>
      <c r="G6592" s="112" t="s">
        <v>1091</v>
      </c>
      <c r="H6592" s="112" t="s">
        <v>1016</v>
      </c>
      <c r="I6592" s="112" t="s">
        <v>2337</v>
      </c>
      <c r="J6592" s="112" t="s">
        <v>4690</v>
      </c>
      <c r="K6592" s="112" t="s">
        <v>5212</v>
      </c>
      <c r="L6592" s="116">
        <v>-51</v>
      </c>
    </row>
    <row r="6593" spans="1:12" hidden="1" outlineLevel="1" collapsed="1" x14ac:dyDescent="0.35">
      <c r="A6593" s="112" t="s">
        <v>4632</v>
      </c>
      <c r="B6593" s="112" t="s">
        <v>4688</v>
      </c>
      <c r="C6593" s="112" t="s">
        <v>1518</v>
      </c>
      <c r="D6593" s="113">
        <v>51365929</v>
      </c>
      <c r="E6593" s="115">
        <v>43948</v>
      </c>
      <c r="F6593" s="114">
        <v>202101</v>
      </c>
      <c r="G6593" s="112" t="s">
        <v>1091</v>
      </c>
      <c r="H6593" s="112" t="s">
        <v>1016</v>
      </c>
      <c r="I6593" s="112" t="s">
        <v>2337</v>
      </c>
      <c r="J6593" s="112" t="s">
        <v>4690</v>
      </c>
      <c r="K6593" s="112" t="s">
        <v>5213</v>
      </c>
      <c r="L6593" s="116">
        <v>-51</v>
      </c>
    </row>
    <row r="6594" spans="1:12" hidden="1" outlineLevel="1" collapsed="1" x14ac:dyDescent="0.35">
      <c r="A6594" s="112" t="s">
        <v>4632</v>
      </c>
      <c r="B6594" s="112" t="s">
        <v>4688</v>
      </c>
      <c r="C6594" s="112" t="s">
        <v>1518</v>
      </c>
      <c r="D6594" s="113">
        <v>51365928</v>
      </c>
      <c r="E6594" s="115">
        <v>43948</v>
      </c>
      <c r="F6594" s="114">
        <v>202101</v>
      </c>
      <c r="G6594" s="112" t="s">
        <v>1091</v>
      </c>
      <c r="H6594" s="112" t="s">
        <v>1016</v>
      </c>
      <c r="I6594" s="112" t="s">
        <v>2337</v>
      </c>
      <c r="J6594" s="112" t="s">
        <v>4690</v>
      </c>
      <c r="K6594" s="112" t="s">
        <v>5214</v>
      </c>
      <c r="L6594" s="116">
        <v>-51</v>
      </c>
    </row>
    <row r="6595" spans="1:12" hidden="1" outlineLevel="1" collapsed="1" x14ac:dyDescent="0.35">
      <c r="A6595" s="112" t="s">
        <v>4632</v>
      </c>
      <c r="B6595" s="112" t="s">
        <v>4688</v>
      </c>
      <c r="C6595" s="112" t="s">
        <v>1518</v>
      </c>
      <c r="D6595" s="113">
        <v>51365927</v>
      </c>
      <c r="E6595" s="115">
        <v>43948</v>
      </c>
      <c r="F6595" s="114">
        <v>202101</v>
      </c>
      <c r="G6595" s="112" t="s">
        <v>1091</v>
      </c>
      <c r="H6595" s="112" t="s">
        <v>1016</v>
      </c>
      <c r="I6595" s="112" t="s">
        <v>2337</v>
      </c>
      <c r="J6595" s="112" t="s">
        <v>4690</v>
      </c>
      <c r="K6595" s="112" t="s">
        <v>5215</v>
      </c>
      <c r="L6595" s="116">
        <v>-51</v>
      </c>
    </row>
    <row r="6596" spans="1:12" hidden="1" outlineLevel="1" collapsed="1" x14ac:dyDescent="0.35">
      <c r="A6596" s="112" t="s">
        <v>4632</v>
      </c>
      <c r="B6596" s="112" t="s">
        <v>4688</v>
      </c>
      <c r="C6596" s="112" t="s">
        <v>1518</v>
      </c>
      <c r="D6596" s="113">
        <v>51365926</v>
      </c>
      <c r="E6596" s="115">
        <v>43948</v>
      </c>
      <c r="F6596" s="114">
        <v>202101</v>
      </c>
      <c r="G6596" s="112" t="s">
        <v>1091</v>
      </c>
      <c r="H6596" s="112" t="s">
        <v>1016</v>
      </c>
      <c r="I6596" s="112" t="s">
        <v>2337</v>
      </c>
      <c r="J6596" s="112" t="s">
        <v>4690</v>
      </c>
      <c r="K6596" s="112" t="s">
        <v>5216</v>
      </c>
      <c r="L6596" s="116">
        <v>-51</v>
      </c>
    </row>
    <row r="6597" spans="1:12" hidden="1" outlineLevel="1" collapsed="1" x14ac:dyDescent="0.35">
      <c r="A6597" s="112" t="s">
        <v>4632</v>
      </c>
      <c r="B6597" s="112" t="s">
        <v>4688</v>
      </c>
      <c r="C6597" s="112" t="s">
        <v>1518</v>
      </c>
      <c r="D6597" s="113">
        <v>51365925</v>
      </c>
      <c r="E6597" s="115">
        <v>43948</v>
      </c>
      <c r="F6597" s="114">
        <v>202101</v>
      </c>
      <c r="G6597" s="112" t="s">
        <v>1091</v>
      </c>
      <c r="H6597" s="112" t="s">
        <v>1016</v>
      </c>
      <c r="I6597" s="112" t="s">
        <v>2337</v>
      </c>
      <c r="J6597" s="112" t="s">
        <v>4690</v>
      </c>
      <c r="K6597" s="112" t="s">
        <v>5217</v>
      </c>
      <c r="L6597" s="116">
        <v>-51</v>
      </c>
    </row>
    <row r="6598" spans="1:12" hidden="1" outlineLevel="1" collapsed="1" x14ac:dyDescent="0.35">
      <c r="A6598" s="112" t="s">
        <v>4632</v>
      </c>
      <c r="B6598" s="112" t="s">
        <v>4688</v>
      </c>
      <c r="C6598" s="112" t="s">
        <v>1518</v>
      </c>
      <c r="D6598" s="113">
        <v>51365924</v>
      </c>
      <c r="E6598" s="115">
        <v>43927</v>
      </c>
      <c r="F6598" s="114">
        <v>202101</v>
      </c>
      <c r="G6598" s="112" t="s">
        <v>1091</v>
      </c>
      <c r="H6598" s="112" t="s">
        <v>1016</v>
      </c>
      <c r="I6598" s="112" t="s">
        <v>2337</v>
      </c>
      <c r="J6598" s="112" t="s">
        <v>4690</v>
      </c>
      <c r="K6598" s="112" t="s">
        <v>5218</v>
      </c>
      <c r="L6598" s="116">
        <v>-51</v>
      </c>
    </row>
    <row r="6599" spans="1:12" hidden="1" outlineLevel="1" collapsed="1" x14ac:dyDescent="0.35">
      <c r="A6599" s="112" t="s">
        <v>4632</v>
      </c>
      <c r="B6599" s="112" t="s">
        <v>4688</v>
      </c>
      <c r="C6599" s="112" t="s">
        <v>1518</v>
      </c>
      <c r="D6599" s="113">
        <v>51365923</v>
      </c>
      <c r="E6599" s="115">
        <v>43946</v>
      </c>
      <c r="F6599" s="114">
        <v>202101</v>
      </c>
      <c r="G6599" s="112" t="s">
        <v>1091</v>
      </c>
      <c r="H6599" s="112" t="s">
        <v>1016</v>
      </c>
      <c r="I6599" s="112" t="s">
        <v>2337</v>
      </c>
      <c r="J6599" s="112" t="s">
        <v>4690</v>
      </c>
      <c r="K6599" s="112" t="s">
        <v>5219</v>
      </c>
      <c r="L6599" s="116">
        <v>-51</v>
      </c>
    </row>
    <row r="6600" spans="1:12" hidden="1" outlineLevel="1" collapsed="1" x14ac:dyDescent="0.35">
      <c r="A6600" s="112" t="s">
        <v>4632</v>
      </c>
      <c r="B6600" s="112" t="s">
        <v>4688</v>
      </c>
      <c r="C6600" s="112" t="s">
        <v>1518</v>
      </c>
      <c r="D6600" s="113">
        <v>51365922</v>
      </c>
      <c r="E6600" s="115">
        <v>43947</v>
      </c>
      <c r="F6600" s="114">
        <v>202101</v>
      </c>
      <c r="G6600" s="112" t="s">
        <v>1091</v>
      </c>
      <c r="H6600" s="112" t="s">
        <v>1016</v>
      </c>
      <c r="I6600" s="112" t="s">
        <v>2337</v>
      </c>
      <c r="J6600" s="112" t="s">
        <v>4690</v>
      </c>
      <c r="K6600" s="112" t="s">
        <v>5220</v>
      </c>
      <c r="L6600" s="116">
        <v>-51</v>
      </c>
    </row>
    <row r="6601" spans="1:12" hidden="1" outlineLevel="1" collapsed="1" x14ac:dyDescent="0.35">
      <c r="A6601" s="112" t="s">
        <v>4632</v>
      </c>
      <c r="B6601" s="112" t="s">
        <v>4688</v>
      </c>
      <c r="C6601" s="112" t="s">
        <v>1518</v>
      </c>
      <c r="D6601" s="113">
        <v>51365921</v>
      </c>
      <c r="E6601" s="115">
        <v>43948</v>
      </c>
      <c r="F6601" s="114">
        <v>202101</v>
      </c>
      <c r="G6601" s="112" t="s">
        <v>1091</v>
      </c>
      <c r="H6601" s="112" t="s">
        <v>1016</v>
      </c>
      <c r="I6601" s="112" t="s">
        <v>2337</v>
      </c>
      <c r="J6601" s="112" t="s">
        <v>4690</v>
      </c>
      <c r="K6601" s="112" t="s">
        <v>5221</v>
      </c>
      <c r="L6601" s="116">
        <v>-51</v>
      </c>
    </row>
    <row r="6602" spans="1:12" hidden="1" outlineLevel="1" collapsed="1" x14ac:dyDescent="0.35">
      <c r="A6602" s="112" t="s">
        <v>4632</v>
      </c>
      <c r="B6602" s="112" t="s">
        <v>4688</v>
      </c>
      <c r="C6602" s="112" t="s">
        <v>1518</v>
      </c>
      <c r="D6602" s="113">
        <v>51365920</v>
      </c>
      <c r="E6602" s="115">
        <v>43948</v>
      </c>
      <c r="F6602" s="114">
        <v>202101</v>
      </c>
      <c r="G6602" s="112" t="s">
        <v>1091</v>
      </c>
      <c r="H6602" s="112" t="s">
        <v>1016</v>
      </c>
      <c r="I6602" s="112" t="s">
        <v>2337</v>
      </c>
      <c r="J6602" s="112" t="s">
        <v>4690</v>
      </c>
      <c r="K6602" s="112" t="s">
        <v>5222</v>
      </c>
      <c r="L6602" s="116">
        <v>-51</v>
      </c>
    </row>
    <row r="6603" spans="1:12" hidden="1" outlineLevel="1" collapsed="1" x14ac:dyDescent="0.35">
      <c r="A6603" s="112" t="s">
        <v>4632</v>
      </c>
      <c r="B6603" s="112" t="s">
        <v>4688</v>
      </c>
      <c r="C6603" s="112" t="s">
        <v>1518</v>
      </c>
      <c r="D6603" s="113">
        <v>51365919</v>
      </c>
      <c r="E6603" s="115">
        <v>43948</v>
      </c>
      <c r="F6603" s="114">
        <v>202101</v>
      </c>
      <c r="G6603" s="112" t="s">
        <v>1091</v>
      </c>
      <c r="H6603" s="112" t="s">
        <v>1016</v>
      </c>
      <c r="I6603" s="112" t="s">
        <v>2337</v>
      </c>
      <c r="J6603" s="112" t="s">
        <v>4690</v>
      </c>
      <c r="K6603" s="112" t="s">
        <v>5223</v>
      </c>
      <c r="L6603" s="116">
        <v>-51</v>
      </c>
    </row>
    <row r="6604" spans="1:12" hidden="1" outlineLevel="1" collapsed="1" x14ac:dyDescent="0.35">
      <c r="A6604" s="112" t="s">
        <v>4632</v>
      </c>
      <c r="B6604" s="112" t="s">
        <v>4688</v>
      </c>
      <c r="C6604" s="112" t="s">
        <v>1518</v>
      </c>
      <c r="D6604" s="113">
        <v>51365918</v>
      </c>
      <c r="E6604" s="115">
        <v>43947</v>
      </c>
      <c r="F6604" s="114">
        <v>202101</v>
      </c>
      <c r="G6604" s="112" t="s">
        <v>1091</v>
      </c>
      <c r="H6604" s="112" t="s">
        <v>1016</v>
      </c>
      <c r="I6604" s="112" t="s">
        <v>2337</v>
      </c>
      <c r="J6604" s="112" t="s">
        <v>4690</v>
      </c>
      <c r="K6604" s="112" t="s">
        <v>5224</v>
      </c>
      <c r="L6604" s="116">
        <v>-51</v>
      </c>
    </row>
    <row r="6605" spans="1:12" hidden="1" outlineLevel="1" collapsed="1" x14ac:dyDescent="0.35">
      <c r="A6605" s="112" t="s">
        <v>4632</v>
      </c>
      <c r="B6605" s="112" t="s">
        <v>4688</v>
      </c>
      <c r="C6605" s="112" t="s">
        <v>1518</v>
      </c>
      <c r="D6605" s="113">
        <v>51365958</v>
      </c>
      <c r="E6605" s="115">
        <v>43947</v>
      </c>
      <c r="F6605" s="114">
        <v>202101</v>
      </c>
      <c r="G6605" s="112" t="s">
        <v>1091</v>
      </c>
      <c r="H6605" s="112" t="s">
        <v>1016</v>
      </c>
      <c r="I6605" s="112" t="s">
        <v>2337</v>
      </c>
      <c r="J6605" s="112" t="s">
        <v>4690</v>
      </c>
      <c r="K6605" s="112" t="s">
        <v>5225</v>
      </c>
      <c r="L6605" s="116">
        <v>-51</v>
      </c>
    </row>
    <row r="6606" spans="1:12" hidden="1" outlineLevel="1" collapsed="1" x14ac:dyDescent="0.35">
      <c r="A6606" s="112" t="s">
        <v>4632</v>
      </c>
      <c r="B6606" s="112" t="s">
        <v>4688</v>
      </c>
      <c r="C6606" s="112" t="s">
        <v>1518</v>
      </c>
      <c r="D6606" s="113">
        <v>51365917</v>
      </c>
      <c r="E6606" s="115">
        <v>43948</v>
      </c>
      <c r="F6606" s="114">
        <v>202101</v>
      </c>
      <c r="G6606" s="112" t="s">
        <v>1091</v>
      </c>
      <c r="H6606" s="112" t="s">
        <v>1016</v>
      </c>
      <c r="I6606" s="112" t="s">
        <v>2337</v>
      </c>
      <c r="J6606" s="112" t="s">
        <v>4690</v>
      </c>
      <c r="K6606" s="112" t="s">
        <v>5226</v>
      </c>
      <c r="L6606" s="116">
        <v>-51</v>
      </c>
    </row>
    <row r="6607" spans="1:12" hidden="1" outlineLevel="1" collapsed="1" x14ac:dyDescent="0.35">
      <c r="A6607" s="112" t="s">
        <v>4632</v>
      </c>
      <c r="B6607" s="112" t="s">
        <v>4688</v>
      </c>
      <c r="C6607" s="112" t="s">
        <v>1518</v>
      </c>
      <c r="D6607" s="113">
        <v>51365979</v>
      </c>
      <c r="E6607" s="115">
        <v>43947</v>
      </c>
      <c r="F6607" s="114">
        <v>202101</v>
      </c>
      <c r="G6607" s="112" t="s">
        <v>1091</v>
      </c>
      <c r="H6607" s="112" t="s">
        <v>1016</v>
      </c>
      <c r="I6607" s="112" t="s">
        <v>2337</v>
      </c>
      <c r="J6607" s="112" t="s">
        <v>4690</v>
      </c>
      <c r="K6607" s="112" t="s">
        <v>5227</v>
      </c>
      <c r="L6607" s="116">
        <v>-51</v>
      </c>
    </row>
    <row r="6608" spans="1:12" hidden="1" outlineLevel="1" collapsed="1" x14ac:dyDescent="0.35">
      <c r="A6608" s="112" t="s">
        <v>4632</v>
      </c>
      <c r="B6608" s="112" t="s">
        <v>4644</v>
      </c>
      <c r="C6608" s="112" t="s">
        <v>695</v>
      </c>
      <c r="D6608" s="113">
        <v>10348098</v>
      </c>
      <c r="E6608" s="115">
        <v>43929</v>
      </c>
      <c r="F6608" s="114">
        <v>202101</v>
      </c>
      <c r="G6608" s="112" t="s">
        <v>1091</v>
      </c>
      <c r="H6608" s="112" t="s">
        <v>1015</v>
      </c>
      <c r="I6608" s="112" t="s">
        <v>749</v>
      </c>
      <c r="J6608" s="112" t="s">
        <v>4645</v>
      </c>
      <c r="K6608" s="112" t="s">
        <v>5147</v>
      </c>
      <c r="L6608" s="116">
        <v>370.74</v>
      </c>
    </row>
    <row r="6609" spans="1:12" hidden="1" outlineLevel="1" collapsed="1" x14ac:dyDescent="0.35">
      <c r="A6609" s="112" t="s">
        <v>4632</v>
      </c>
      <c r="B6609" s="112" t="s">
        <v>4644</v>
      </c>
      <c r="C6609" s="112" t="s">
        <v>1758</v>
      </c>
      <c r="D6609" s="113">
        <v>51366035</v>
      </c>
      <c r="E6609" s="115">
        <v>43928</v>
      </c>
      <c r="F6609" s="114">
        <v>202101</v>
      </c>
      <c r="G6609" s="112" t="s">
        <v>1091</v>
      </c>
      <c r="H6609" s="112" t="s">
        <v>1016</v>
      </c>
      <c r="I6609" s="112" t="s">
        <v>779</v>
      </c>
      <c r="J6609" s="112" t="s">
        <v>4645</v>
      </c>
      <c r="K6609" s="112" t="s">
        <v>5228</v>
      </c>
      <c r="L6609" s="116">
        <v>692.25</v>
      </c>
    </row>
    <row r="6610" spans="1:12" hidden="1" outlineLevel="1" collapsed="1" x14ac:dyDescent="0.35">
      <c r="A6610" s="112" t="s">
        <v>4632</v>
      </c>
      <c r="B6610" s="112" t="s">
        <v>4644</v>
      </c>
      <c r="C6610" s="112" t="s">
        <v>1758</v>
      </c>
      <c r="D6610" s="113">
        <v>51366034</v>
      </c>
      <c r="E6610" s="115">
        <v>43928</v>
      </c>
      <c r="F6610" s="114">
        <v>202101</v>
      </c>
      <c r="G6610" s="112" t="s">
        <v>1091</v>
      </c>
      <c r="H6610" s="112" t="s">
        <v>1016</v>
      </c>
      <c r="I6610" s="112" t="s">
        <v>779</v>
      </c>
      <c r="J6610" s="112" t="s">
        <v>4645</v>
      </c>
      <c r="K6610" s="112" t="s">
        <v>5229</v>
      </c>
      <c r="L6610" s="116">
        <v>1323.69</v>
      </c>
    </row>
    <row r="6611" spans="1:12" hidden="1" outlineLevel="1" collapsed="1" x14ac:dyDescent="0.35">
      <c r="A6611" s="112" t="s">
        <v>4632</v>
      </c>
      <c r="B6611" s="112" t="s">
        <v>4644</v>
      </c>
      <c r="C6611" s="112" t="s">
        <v>1518</v>
      </c>
      <c r="D6611" s="113">
        <v>51366033</v>
      </c>
      <c r="E6611" s="115">
        <v>43928</v>
      </c>
      <c r="F6611" s="114">
        <v>202101</v>
      </c>
      <c r="G6611" s="112" t="s">
        <v>1091</v>
      </c>
      <c r="H6611" s="112" t="s">
        <v>1016</v>
      </c>
      <c r="I6611" s="112" t="s">
        <v>779</v>
      </c>
      <c r="J6611" s="112" t="s">
        <v>4645</v>
      </c>
      <c r="K6611" s="112" t="s">
        <v>5230</v>
      </c>
      <c r="L6611" s="116">
        <v>-17.010000000000002</v>
      </c>
    </row>
    <row r="6612" spans="1:12" hidden="1" outlineLevel="1" collapsed="1" x14ac:dyDescent="0.35">
      <c r="A6612" s="112" t="s">
        <v>4632</v>
      </c>
      <c r="B6612" s="112" t="s">
        <v>863</v>
      </c>
      <c r="C6612" s="112" t="s">
        <v>695</v>
      </c>
      <c r="D6612" s="113">
        <v>10348098</v>
      </c>
      <c r="E6612" s="115">
        <v>43929</v>
      </c>
      <c r="F6612" s="114">
        <v>202101</v>
      </c>
      <c r="G6612" s="112" t="s">
        <v>1091</v>
      </c>
      <c r="H6612" s="112" t="s">
        <v>1015</v>
      </c>
      <c r="I6612" s="112" t="s">
        <v>749</v>
      </c>
      <c r="J6612" s="112" t="s">
        <v>790</v>
      </c>
      <c r="K6612" s="112" t="s">
        <v>5152</v>
      </c>
      <c r="L6612" s="116">
        <v>67.209999999999994</v>
      </c>
    </row>
    <row r="6613" spans="1:12" hidden="1" outlineLevel="1" collapsed="1" x14ac:dyDescent="0.35">
      <c r="A6613" s="112" t="s">
        <v>4632</v>
      </c>
      <c r="B6613" s="112" t="s">
        <v>863</v>
      </c>
      <c r="C6613" s="112" t="s">
        <v>695</v>
      </c>
      <c r="D6613" s="113">
        <v>10348098</v>
      </c>
      <c r="E6613" s="115">
        <v>43929</v>
      </c>
      <c r="F6613" s="114">
        <v>202101</v>
      </c>
      <c r="G6613" s="112" t="s">
        <v>1091</v>
      </c>
      <c r="H6613" s="112" t="s">
        <v>1015</v>
      </c>
      <c r="I6613" s="112" t="s">
        <v>749</v>
      </c>
      <c r="J6613" s="112" t="s">
        <v>787</v>
      </c>
      <c r="K6613" s="112" t="s">
        <v>5148</v>
      </c>
      <c r="L6613" s="116">
        <v>1786.33</v>
      </c>
    </row>
    <row r="6614" spans="1:12" hidden="1" outlineLevel="1" collapsed="1" x14ac:dyDescent="0.35">
      <c r="A6614" s="112" t="s">
        <v>4632</v>
      </c>
      <c r="B6614" s="112" t="s">
        <v>4644</v>
      </c>
      <c r="C6614" s="112" t="s">
        <v>695</v>
      </c>
      <c r="D6614" s="113">
        <v>10348098</v>
      </c>
      <c r="E6614" s="115">
        <v>43929</v>
      </c>
      <c r="F6614" s="114">
        <v>202101</v>
      </c>
      <c r="G6614" s="112" t="s">
        <v>1091</v>
      </c>
      <c r="H6614" s="112" t="s">
        <v>1015</v>
      </c>
      <c r="I6614" s="112" t="s">
        <v>757</v>
      </c>
      <c r="J6614" s="112" t="s">
        <v>4645</v>
      </c>
      <c r="K6614" s="112" t="s">
        <v>5150</v>
      </c>
      <c r="L6614" s="116">
        <v>-582.48</v>
      </c>
    </row>
    <row r="6615" spans="1:12" hidden="1" outlineLevel="1" collapsed="1" x14ac:dyDescent="0.35">
      <c r="A6615" s="112" t="s">
        <v>4632</v>
      </c>
      <c r="B6615" s="112" t="s">
        <v>863</v>
      </c>
      <c r="C6615" s="112" t="s">
        <v>1518</v>
      </c>
      <c r="D6615" s="113">
        <v>51366032</v>
      </c>
      <c r="E6615" s="115">
        <v>43928</v>
      </c>
      <c r="F6615" s="114">
        <v>202101</v>
      </c>
      <c r="G6615" s="112" t="s">
        <v>1091</v>
      </c>
      <c r="H6615" s="112" t="s">
        <v>1016</v>
      </c>
      <c r="I6615" s="112" t="s">
        <v>779</v>
      </c>
      <c r="J6615" s="112" t="s">
        <v>787</v>
      </c>
      <c r="K6615" s="112" t="s">
        <v>5231</v>
      </c>
      <c r="L6615" s="116">
        <v>-93.41</v>
      </c>
    </row>
    <row r="6616" spans="1:12" hidden="1" outlineLevel="1" collapsed="1" x14ac:dyDescent="0.35">
      <c r="A6616" s="112" t="s">
        <v>4632</v>
      </c>
      <c r="B6616" s="112" t="s">
        <v>4650</v>
      </c>
      <c r="C6616" s="112" t="s">
        <v>695</v>
      </c>
      <c r="D6616" s="113">
        <v>10348098</v>
      </c>
      <c r="E6616" s="115">
        <v>43929</v>
      </c>
      <c r="F6616" s="114">
        <v>202101</v>
      </c>
      <c r="G6616" s="112" t="s">
        <v>1091</v>
      </c>
      <c r="H6616" s="112" t="s">
        <v>1015</v>
      </c>
      <c r="I6616" s="112" t="s">
        <v>757</v>
      </c>
      <c r="J6616" s="112" t="s">
        <v>4651</v>
      </c>
      <c r="K6616" s="112" t="s">
        <v>5135</v>
      </c>
      <c r="L6616" s="116">
        <v>145.91</v>
      </c>
    </row>
    <row r="6617" spans="1:12" hidden="1" outlineLevel="1" collapsed="1" x14ac:dyDescent="0.35">
      <c r="A6617" s="112" t="s">
        <v>4632</v>
      </c>
      <c r="B6617" s="112" t="s">
        <v>4688</v>
      </c>
      <c r="C6617" s="112" t="s">
        <v>1518</v>
      </c>
      <c r="D6617" s="113">
        <v>51365736</v>
      </c>
      <c r="E6617" s="115">
        <v>43948</v>
      </c>
      <c r="F6617" s="114">
        <v>202101</v>
      </c>
      <c r="G6617" s="112" t="s">
        <v>1091</v>
      </c>
      <c r="H6617" s="112" t="s">
        <v>1016</v>
      </c>
      <c r="I6617" s="112" t="s">
        <v>2337</v>
      </c>
      <c r="J6617" s="112" t="s">
        <v>4690</v>
      </c>
      <c r="K6617" s="112" t="s">
        <v>5232</v>
      </c>
      <c r="L6617" s="116">
        <v>-51</v>
      </c>
    </row>
    <row r="6618" spans="1:12" hidden="1" outlineLevel="1" collapsed="1" x14ac:dyDescent="0.35">
      <c r="A6618" s="112" t="s">
        <v>4632</v>
      </c>
      <c r="B6618" s="112" t="s">
        <v>4688</v>
      </c>
      <c r="C6618" s="112" t="s">
        <v>1518</v>
      </c>
      <c r="D6618" s="113">
        <v>51365735</v>
      </c>
      <c r="E6618" s="115">
        <v>43948</v>
      </c>
      <c r="F6618" s="114">
        <v>202101</v>
      </c>
      <c r="G6618" s="112" t="s">
        <v>1091</v>
      </c>
      <c r="H6618" s="112" t="s">
        <v>1016</v>
      </c>
      <c r="I6618" s="112" t="s">
        <v>2337</v>
      </c>
      <c r="J6618" s="112" t="s">
        <v>4690</v>
      </c>
      <c r="K6618" s="112" t="s">
        <v>5233</v>
      </c>
      <c r="L6618" s="116">
        <v>-51</v>
      </c>
    </row>
    <row r="6619" spans="1:12" hidden="1" outlineLevel="1" collapsed="1" x14ac:dyDescent="0.35">
      <c r="A6619" s="112" t="s">
        <v>4632</v>
      </c>
      <c r="B6619" s="112" t="s">
        <v>4688</v>
      </c>
      <c r="C6619" s="112" t="s">
        <v>1518</v>
      </c>
      <c r="D6619" s="113">
        <v>51365734</v>
      </c>
      <c r="E6619" s="115">
        <v>43948</v>
      </c>
      <c r="F6619" s="114">
        <v>202101</v>
      </c>
      <c r="G6619" s="112" t="s">
        <v>1091</v>
      </c>
      <c r="H6619" s="112" t="s">
        <v>1016</v>
      </c>
      <c r="I6619" s="112" t="s">
        <v>2337</v>
      </c>
      <c r="J6619" s="112" t="s">
        <v>4690</v>
      </c>
      <c r="K6619" s="112" t="s">
        <v>5234</v>
      </c>
      <c r="L6619" s="116">
        <v>-51</v>
      </c>
    </row>
    <row r="6620" spans="1:12" hidden="1" outlineLevel="1" collapsed="1" x14ac:dyDescent="0.35">
      <c r="A6620" s="112" t="s">
        <v>4632</v>
      </c>
      <c r="B6620" s="112" t="s">
        <v>4688</v>
      </c>
      <c r="C6620" s="112" t="s">
        <v>1518</v>
      </c>
      <c r="D6620" s="113">
        <v>51365733</v>
      </c>
      <c r="E6620" s="115">
        <v>43948</v>
      </c>
      <c r="F6620" s="114">
        <v>202101</v>
      </c>
      <c r="G6620" s="112" t="s">
        <v>1091</v>
      </c>
      <c r="H6620" s="112" t="s">
        <v>1016</v>
      </c>
      <c r="I6620" s="112" t="s">
        <v>2337</v>
      </c>
      <c r="J6620" s="112" t="s">
        <v>4690</v>
      </c>
      <c r="K6620" s="112" t="s">
        <v>5235</v>
      </c>
      <c r="L6620" s="116">
        <v>-51</v>
      </c>
    </row>
    <row r="6621" spans="1:12" hidden="1" outlineLevel="1" collapsed="1" x14ac:dyDescent="0.35">
      <c r="A6621" s="112" t="s">
        <v>4632</v>
      </c>
      <c r="B6621" s="112" t="s">
        <v>4688</v>
      </c>
      <c r="C6621" s="112" t="s">
        <v>1518</v>
      </c>
      <c r="D6621" s="113">
        <v>51365732</v>
      </c>
      <c r="E6621" s="115">
        <v>43948</v>
      </c>
      <c r="F6621" s="114">
        <v>202101</v>
      </c>
      <c r="G6621" s="112" t="s">
        <v>1091</v>
      </c>
      <c r="H6621" s="112" t="s">
        <v>1016</v>
      </c>
      <c r="I6621" s="112" t="s">
        <v>2337</v>
      </c>
      <c r="J6621" s="112" t="s">
        <v>4690</v>
      </c>
      <c r="K6621" s="112" t="s">
        <v>5236</v>
      </c>
      <c r="L6621" s="116">
        <v>-51</v>
      </c>
    </row>
    <row r="6622" spans="1:12" hidden="1" outlineLevel="1" collapsed="1" x14ac:dyDescent="0.35">
      <c r="A6622" s="112" t="s">
        <v>4632</v>
      </c>
      <c r="B6622" s="112" t="s">
        <v>4688</v>
      </c>
      <c r="C6622" s="112" t="s">
        <v>1518</v>
      </c>
      <c r="D6622" s="113">
        <v>51365731</v>
      </c>
      <c r="E6622" s="115">
        <v>43947</v>
      </c>
      <c r="F6622" s="114">
        <v>202101</v>
      </c>
      <c r="G6622" s="112" t="s">
        <v>1091</v>
      </c>
      <c r="H6622" s="112" t="s">
        <v>1016</v>
      </c>
      <c r="I6622" s="112" t="s">
        <v>2337</v>
      </c>
      <c r="J6622" s="112" t="s">
        <v>4690</v>
      </c>
      <c r="K6622" s="112" t="s">
        <v>5237</v>
      </c>
      <c r="L6622" s="116">
        <v>-51</v>
      </c>
    </row>
    <row r="6623" spans="1:12" hidden="1" outlineLevel="1" collapsed="1" x14ac:dyDescent="0.35">
      <c r="A6623" s="112" t="s">
        <v>4632</v>
      </c>
      <c r="B6623" s="112" t="s">
        <v>4688</v>
      </c>
      <c r="C6623" s="112" t="s">
        <v>1518</v>
      </c>
      <c r="D6623" s="113">
        <v>51365730</v>
      </c>
      <c r="E6623" s="115">
        <v>43947</v>
      </c>
      <c r="F6623" s="114">
        <v>202101</v>
      </c>
      <c r="G6623" s="112" t="s">
        <v>1091</v>
      </c>
      <c r="H6623" s="112" t="s">
        <v>1016</v>
      </c>
      <c r="I6623" s="112" t="s">
        <v>2337</v>
      </c>
      <c r="J6623" s="112" t="s">
        <v>4690</v>
      </c>
      <c r="K6623" s="112" t="s">
        <v>5238</v>
      </c>
      <c r="L6623" s="116">
        <v>-51</v>
      </c>
    </row>
    <row r="6624" spans="1:12" hidden="1" outlineLevel="1" collapsed="1" x14ac:dyDescent="0.35">
      <c r="A6624" s="112" t="s">
        <v>4632</v>
      </c>
      <c r="B6624" s="112" t="s">
        <v>4688</v>
      </c>
      <c r="C6624" s="112" t="s">
        <v>1518</v>
      </c>
      <c r="D6624" s="113">
        <v>51365729</v>
      </c>
      <c r="E6624" s="115">
        <v>43947</v>
      </c>
      <c r="F6624" s="114">
        <v>202101</v>
      </c>
      <c r="G6624" s="112" t="s">
        <v>1091</v>
      </c>
      <c r="H6624" s="112" t="s">
        <v>1016</v>
      </c>
      <c r="I6624" s="112" t="s">
        <v>2337</v>
      </c>
      <c r="J6624" s="112" t="s">
        <v>4690</v>
      </c>
      <c r="K6624" s="112" t="s">
        <v>5239</v>
      </c>
      <c r="L6624" s="116">
        <v>-51</v>
      </c>
    </row>
    <row r="6625" spans="1:12" hidden="1" outlineLevel="1" collapsed="1" x14ac:dyDescent="0.35">
      <c r="A6625" s="112" t="s">
        <v>4632</v>
      </c>
      <c r="B6625" s="112" t="s">
        <v>4688</v>
      </c>
      <c r="C6625" s="112" t="s">
        <v>1518</v>
      </c>
      <c r="D6625" s="113">
        <v>51365981</v>
      </c>
      <c r="E6625" s="115">
        <v>43948</v>
      </c>
      <c r="F6625" s="114">
        <v>202101</v>
      </c>
      <c r="G6625" s="112" t="s">
        <v>1091</v>
      </c>
      <c r="H6625" s="112" t="s">
        <v>1016</v>
      </c>
      <c r="I6625" s="112" t="s">
        <v>2337</v>
      </c>
      <c r="J6625" s="112" t="s">
        <v>4690</v>
      </c>
      <c r="K6625" s="112" t="s">
        <v>5240</v>
      </c>
      <c r="L6625" s="116">
        <v>-54</v>
      </c>
    </row>
    <row r="6626" spans="1:12" hidden="1" outlineLevel="1" collapsed="1" x14ac:dyDescent="0.35">
      <c r="A6626" s="112" t="s">
        <v>4632</v>
      </c>
      <c r="B6626" s="112" t="s">
        <v>4688</v>
      </c>
      <c r="C6626" s="112" t="s">
        <v>1518</v>
      </c>
      <c r="D6626" s="113">
        <v>51365980</v>
      </c>
      <c r="E6626" s="115">
        <v>43948</v>
      </c>
      <c r="F6626" s="114">
        <v>202101</v>
      </c>
      <c r="G6626" s="112" t="s">
        <v>1091</v>
      </c>
      <c r="H6626" s="112" t="s">
        <v>1016</v>
      </c>
      <c r="I6626" s="112" t="s">
        <v>2337</v>
      </c>
      <c r="J6626" s="112" t="s">
        <v>4690</v>
      </c>
      <c r="K6626" s="112" t="s">
        <v>5241</v>
      </c>
      <c r="L6626" s="116">
        <v>-51</v>
      </c>
    </row>
    <row r="6627" spans="1:12" hidden="1" outlineLevel="1" collapsed="1" x14ac:dyDescent="0.35">
      <c r="A6627" s="112" t="s">
        <v>4632</v>
      </c>
      <c r="B6627" s="112" t="s">
        <v>4688</v>
      </c>
      <c r="C6627" s="112" t="s">
        <v>679</v>
      </c>
      <c r="D6627" s="113">
        <v>10348027</v>
      </c>
      <c r="E6627" s="115">
        <v>43927</v>
      </c>
      <c r="F6627" s="114">
        <v>202101</v>
      </c>
      <c r="G6627" s="112" t="s">
        <v>1091</v>
      </c>
      <c r="H6627" s="112" t="s">
        <v>1016</v>
      </c>
      <c r="I6627" s="112" t="s">
        <v>4689</v>
      </c>
      <c r="J6627" s="112" t="s">
        <v>4690</v>
      </c>
      <c r="K6627" s="112" t="s">
        <v>5242</v>
      </c>
      <c r="L6627" s="116">
        <v>-108</v>
      </c>
    </row>
    <row r="6628" spans="1:12" hidden="1" outlineLevel="1" collapsed="1" x14ac:dyDescent="0.35">
      <c r="A6628" s="112" t="s">
        <v>4632</v>
      </c>
      <c r="B6628" s="112" t="s">
        <v>4688</v>
      </c>
      <c r="C6628" s="112" t="s">
        <v>1518</v>
      </c>
      <c r="D6628" s="113">
        <v>51365978</v>
      </c>
      <c r="E6628" s="115">
        <v>43947</v>
      </c>
      <c r="F6628" s="114">
        <v>202101</v>
      </c>
      <c r="G6628" s="112" t="s">
        <v>1091</v>
      </c>
      <c r="H6628" s="112" t="s">
        <v>1016</v>
      </c>
      <c r="I6628" s="112" t="s">
        <v>2337</v>
      </c>
      <c r="J6628" s="112" t="s">
        <v>4690</v>
      </c>
      <c r="K6628" s="112" t="s">
        <v>5243</v>
      </c>
      <c r="L6628" s="116">
        <v>-51</v>
      </c>
    </row>
    <row r="6629" spans="1:12" hidden="1" outlineLevel="1" collapsed="1" x14ac:dyDescent="0.35">
      <c r="A6629" s="112" t="s">
        <v>4632</v>
      </c>
      <c r="B6629" s="112" t="s">
        <v>4688</v>
      </c>
      <c r="C6629" s="112" t="s">
        <v>1518</v>
      </c>
      <c r="D6629" s="113">
        <v>51365977</v>
      </c>
      <c r="E6629" s="115">
        <v>43948</v>
      </c>
      <c r="F6629" s="114">
        <v>202101</v>
      </c>
      <c r="G6629" s="112" t="s">
        <v>1091</v>
      </c>
      <c r="H6629" s="112" t="s">
        <v>1016</v>
      </c>
      <c r="I6629" s="112" t="s">
        <v>2337</v>
      </c>
      <c r="J6629" s="112" t="s">
        <v>4690</v>
      </c>
      <c r="K6629" s="112" t="s">
        <v>5244</v>
      </c>
      <c r="L6629" s="116">
        <v>-51</v>
      </c>
    </row>
    <row r="6630" spans="1:12" hidden="1" outlineLevel="1" collapsed="1" x14ac:dyDescent="0.35">
      <c r="A6630" s="112" t="s">
        <v>4632</v>
      </c>
      <c r="B6630" s="112" t="s">
        <v>4688</v>
      </c>
      <c r="C6630" s="112" t="s">
        <v>1518</v>
      </c>
      <c r="D6630" s="113">
        <v>51365976</v>
      </c>
      <c r="E6630" s="115">
        <v>43948</v>
      </c>
      <c r="F6630" s="114">
        <v>202101</v>
      </c>
      <c r="G6630" s="112" t="s">
        <v>1091</v>
      </c>
      <c r="H6630" s="112" t="s">
        <v>1016</v>
      </c>
      <c r="I6630" s="112" t="s">
        <v>2337</v>
      </c>
      <c r="J6630" s="112" t="s">
        <v>4690</v>
      </c>
      <c r="K6630" s="112" t="s">
        <v>5245</v>
      </c>
      <c r="L6630" s="116">
        <v>-51</v>
      </c>
    </row>
    <row r="6631" spans="1:12" hidden="1" outlineLevel="1" collapsed="1" x14ac:dyDescent="0.35">
      <c r="A6631" s="112" t="s">
        <v>4632</v>
      </c>
      <c r="B6631" s="112" t="s">
        <v>4688</v>
      </c>
      <c r="C6631" s="112" t="s">
        <v>1518</v>
      </c>
      <c r="D6631" s="113">
        <v>51365975</v>
      </c>
      <c r="E6631" s="115">
        <v>43948</v>
      </c>
      <c r="F6631" s="114">
        <v>202101</v>
      </c>
      <c r="G6631" s="112" t="s">
        <v>1091</v>
      </c>
      <c r="H6631" s="112" t="s">
        <v>1016</v>
      </c>
      <c r="I6631" s="112" t="s">
        <v>2337</v>
      </c>
      <c r="J6631" s="112" t="s">
        <v>4690</v>
      </c>
      <c r="K6631" s="112" t="s">
        <v>5246</v>
      </c>
      <c r="L6631" s="116">
        <v>-51</v>
      </c>
    </row>
    <row r="6632" spans="1:12" hidden="1" outlineLevel="1" collapsed="1" x14ac:dyDescent="0.35">
      <c r="A6632" s="112" t="s">
        <v>4632</v>
      </c>
      <c r="B6632" s="112" t="s">
        <v>4688</v>
      </c>
      <c r="C6632" s="112" t="s">
        <v>1518</v>
      </c>
      <c r="D6632" s="113">
        <v>51365974</v>
      </c>
      <c r="E6632" s="115">
        <v>43948</v>
      </c>
      <c r="F6632" s="114">
        <v>202101</v>
      </c>
      <c r="G6632" s="112" t="s">
        <v>1091</v>
      </c>
      <c r="H6632" s="112" t="s">
        <v>1016</v>
      </c>
      <c r="I6632" s="112" t="s">
        <v>2337</v>
      </c>
      <c r="J6632" s="112" t="s">
        <v>4690</v>
      </c>
      <c r="K6632" s="112" t="s">
        <v>5247</v>
      </c>
      <c r="L6632" s="116">
        <v>-51</v>
      </c>
    </row>
    <row r="6633" spans="1:12" hidden="1" outlineLevel="1" collapsed="1" x14ac:dyDescent="0.35">
      <c r="A6633" s="112" t="s">
        <v>4632</v>
      </c>
      <c r="B6633" s="112" t="s">
        <v>4688</v>
      </c>
      <c r="C6633" s="112" t="s">
        <v>1518</v>
      </c>
      <c r="D6633" s="113">
        <v>51365973</v>
      </c>
      <c r="E6633" s="115">
        <v>43947</v>
      </c>
      <c r="F6633" s="114">
        <v>202101</v>
      </c>
      <c r="G6633" s="112" t="s">
        <v>1091</v>
      </c>
      <c r="H6633" s="112" t="s">
        <v>1016</v>
      </c>
      <c r="I6633" s="112" t="s">
        <v>2337</v>
      </c>
      <c r="J6633" s="112" t="s">
        <v>4690</v>
      </c>
      <c r="K6633" s="112" t="s">
        <v>5248</v>
      </c>
      <c r="L6633" s="116">
        <v>-51</v>
      </c>
    </row>
    <row r="6634" spans="1:12" hidden="1" outlineLevel="1" collapsed="1" x14ac:dyDescent="0.35">
      <c r="A6634" s="112" t="s">
        <v>4632</v>
      </c>
      <c r="B6634" s="112" t="s">
        <v>4688</v>
      </c>
      <c r="C6634" s="112" t="s">
        <v>1518</v>
      </c>
      <c r="D6634" s="113">
        <v>51365972</v>
      </c>
      <c r="E6634" s="115">
        <v>43948</v>
      </c>
      <c r="F6634" s="114">
        <v>202101</v>
      </c>
      <c r="G6634" s="112" t="s">
        <v>1091</v>
      </c>
      <c r="H6634" s="112" t="s">
        <v>1016</v>
      </c>
      <c r="I6634" s="112" t="s">
        <v>2337</v>
      </c>
      <c r="J6634" s="112" t="s">
        <v>4690</v>
      </c>
      <c r="K6634" s="112" t="s">
        <v>5249</v>
      </c>
      <c r="L6634" s="116">
        <v>-51</v>
      </c>
    </row>
    <row r="6635" spans="1:12" hidden="1" outlineLevel="1" collapsed="1" x14ac:dyDescent="0.35">
      <c r="A6635" s="112" t="s">
        <v>4632</v>
      </c>
      <c r="B6635" s="112" t="s">
        <v>4688</v>
      </c>
      <c r="C6635" s="112" t="s">
        <v>1518</v>
      </c>
      <c r="D6635" s="113">
        <v>51365971</v>
      </c>
      <c r="E6635" s="115">
        <v>43948</v>
      </c>
      <c r="F6635" s="114">
        <v>202101</v>
      </c>
      <c r="G6635" s="112" t="s">
        <v>1091</v>
      </c>
      <c r="H6635" s="112" t="s">
        <v>1016</v>
      </c>
      <c r="I6635" s="112" t="s">
        <v>2337</v>
      </c>
      <c r="J6635" s="112" t="s">
        <v>4690</v>
      </c>
      <c r="K6635" s="112" t="s">
        <v>5250</v>
      </c>
      <c r="L6635" s="116">
        <v>-51</v>
      </c>
    </row>
    <row r="6636" spans="1:12" hidden="1" outlineLevel="1" collapsed="1" x14ac:dyDescent="0.35">
      <c r="A6636" s="112" t="s">
        <v>4632</v>
      </c>
      <c r="B6636" s="112" t="s">
        <v>4688</v>
      </c>
      <c r="C6636" s="112" t="s">
        <v>1518</v>
      </c>
      <c r="D6636" s="113">
        <v>51365970</v>
      </c>
      <c r="E6636" s="115">
        <v>43948</v>
      </c>
      <c r="F6636" s="114">
        <v>202101</v>
      </c>
      <c r="G6636" s="112" t="s">
        <v>1091</v>
      </c>
      <c r="H6636" s="112" t="s">
        <v>1016</v>
      </c>
      <c r="I6636" s="112" t="s">
        <v>2337</v>
      </c>
      <c r="J6636" s="112" t="s">
        <v>4690</v>
      </c>
      <c r="K6636" s="112" t="s">
        <v>5251</v>
      </c>
      <c r="L6636" s="116">
        <v>-51</v>
      </c>
    </row>
    <row r="6637" spans="1:12" hidden="1" outlineLevel="1" collapsed="1" x14ac:dyDescent="0.35">
      <c r="A6637" s="112" t="s">
        <v>4632</v>
      </c>
      <c r="B6637" s="112" t="s">
        <v>4688</v>
      </c>
      <c r="C6637" s="112" t="s">
        <v>1518</v>
      </c>
      <c r="D6637" s="113">
        <v>51365969</v>
      </c>
      <c r="E6637" s="115">
        <v>43948</v>
      </c>
      <c r="F6637" s="114">
        <v>202101</v>
      </c>
      <c r="G6637" s="112" t="s">
        <v>1091</v>
      </c>
      <c r="H6637" s="112" t="s">
        <v>1016</v>
      </c>
      <c r="I6637" s="112" t="s">
        <v>2337</v>
      </c>
      <c r="J6637" s="112" t="s">
        <v>4690</v>
      </c>
      <c r="K6637" s="112" t="s">
        <v>5252</v>
      </c>
      <c r="L6637" s="116">
        <v>-51</v>
      </c>
    </row>
    <row r="6638" spans="1:12" hidden="1" outlineLevel="1" collapsed="1" x14ac:dyDescent="0.35">
      <c r="A6638" s="112" t="s">
        <v>4632</v>
      </c>
      <c r="B6638" s="112" t="s">
        <v>4688</v>
      </c>
      <c r="C6638" s="112" t="s">
        <v>1518</v>
      </c>
      <c r="D6638" s="113">
        <v>51365968</v>
      </c>
      <c r="E6638" s="115">
        <v>43947</v>
      </c>
      <c r="F6638" s="114">
        <v>202101</v>
      </c>
      <c r="G6638" s="112" t="s">
        <v>1091</v>
      </c>
      <c r="H6638" s="112" t="s">
        <v>1016</v>
      </c>
      <c r="I6638" s="112" t="s">
        <v>2337</v>
      </c>
      <c r="J6638" s="112" t="s">
        <v>4690</v>
      </c>
      <c r="K6638" s="112" t="s">
        <v>5253</v>
      </c>
      <c r="L6638" s="116">
        <v>-51</v>
      </c>
    </row>
    <row r="6639" spans="1:12" hidden="1" outlineLevel="1" collapsed="1" x14ac:dyDescent="0.35">
      <c r="A6639" s="112" t="s">
        <v>4632</v>
      </c>
      <c r="B6639" s="112" t="s">
        <v>4688</v>
      </c>
      <c r="C6639" s="112" t="s">
        <v>1518</v>
      </c>
      <c r="D6639" s="113">
        <v>51365967</v>
      </c>
      <c r="E6639" s="115">
        <v>43948</v>
      </c>
      <c r="F6639" s="114">
        <v>202101</v>
      </c>
      <c r="G6639" s="112" t="s">
        <v>1091</v>
      </c>
      <c r="H6639" s="112" t="s">
        <v>1016</v>
      </c>
      <c r="I6639" s="112" t="s">
        <v>2337</v>
      </c>
      <c r="J6639" s="112" t="s">
        <v>4690</v>
      </c>
      <c r="K6639" s="112" t="s">
        <v>5254</v>
      </c>
      <c r="L6639" s="116">
        <v>-54</v>
      </c>
    </row>
    <row r="6640" spans="1:12" hidden="1" outlineLevel="1" collapsed="1" x14ac:dyDescent="0.35">
      <c r="A6640" s="112" t="s">
        <v>4632</v>
      </c>
      <c r="B6640" s="112" t="s">
        <v>4688</v>
      </c>
      <c r="C6640" s="112" t="s">
        <v>1518</v>
      </c>
      <c r="D6640" s="113">
        <v>51365966</v>
      </c>
      <c r="E6640" s="115">
        <v>43947</v>
      </c>
      <c r="F6640" s="114">
        <v>202101</v>
      </c>
      <c r="G6640" s="112" t="s">
        <v>1091</v>
      </c>
      <c r="H6640" s="112" t="s">
        <v>1016</v>
      </c>
      <c r="I6640" s="112" t="s">
        <v>2337</v>
      </c>
      <c r="J6640" s="112" t="s">
        <v>4690</v>
      </c>
      <c r="K6640" s="112" t="s">
        <v>5255</v>
      </c>
      <c r="L6640" s="116">
        <v>-51</v>
      </c>
    </row>
    <row r="6641" spans="1:12" hidden="1" outlineLevel="1" collapsed="1" x14ac:dyDescent="0.35">
      <c r="A6641" s="112" t="s">
        <v>4632</v>
      </c>
      <c r="B6641" s="112" t="s">
        <v>4688</v>
      </c>
      <c r="C6641" s="112" t="s">
        <v>1518</v>
      </c>
      <c r="D6641" s="113">
        <v>51365965</v>
      </c>
      <c r="E6641" s="115">
        <v>43947</v>
      </c>
      <c r="F6641" s="114">
        <v>202101</v>
      </c>
      <c r="G6641" s="112" t="s">
        <v>1091</v>
      </c>
      <c r="H6641" s="112" t="s">
        <v>1016</v>
      </c>
      <c r="I6641" s="112" t="s">
        <v>2337</v>
      </c>
      <c r="J6641" s="112" t="s">
        <v>4690</v>
      </c>
      <c r="K6641" s="112" t="s">
        <v>5256</v>
      </c>
      <c r="L6641" s="116">
        <v>-54</v>
      </c>
    </row>
    <row r="6642" spans="1:12" hidden="1" outlineLevel="1" collapsed="1" x14ac:dyDescent="0.35">
      <c r="A6642" s="112" t="s">
        <v>4632</v>
      </c>
      <c r="B6642" s="112" t="s">
        <v>4688</v>
      </c>
      <c r="C6642" s="112" t="s">
        <v>1518</v>
      </c>
      <c r="D6642" s="113">
        <v>51365964</v>
      </c>
      <c r="E6642" s="115">
        <v>43947</v>
      </c>
      <c r="F6642" s="114">
        <v>202101</v>
      </c>
      <c r="G6642" s="112" t="s">
        <v>1091</v>
      </c>
      <c r="H6642" s="112" t="s">
        <v>1016</v>
      </c>
      <c r="I6642" s="112" t="s">
        <v>2337</v>
      </c>
      <c r="J6642" s="112" t="s">
        <v>4690</v>
      </c>
      <c r="K6642" s="112" t="s">
        <v>5257</v>
      </c>
      <c r="L6642" s="116">
        <v>-51</v>
      </c>
    </row>
    <row r="6643" spans="1:12" hidden="1" outlineLevel="1" collapsed="1" x14ac:dyDescent="0.35">
      <c r="A6643" s="112" t="s">
        <v>4632</v>
      </c>
      <c r="B6643" s="112" t="s">
        <v>4688</v>
      </c>
      <c r="C6643" s="112" t="s">
        <v>1518</v>
      </c>
      <c r="D6643" s="113">
        <v>51365963</v>
      </c>
      <c r="E6643" s="115">
        <v>43948</v>
      </c>
      <c r="F6643" s="114">
        <v>202101</v>
      </c>
      <c r="G6643" s="112" t="s">
        <v>1091</v>
      </c>
      <c r="H6643" s="112" t="s">
        <v>1016</v>
      </c>
      <c r="I6643" s="112" t="s">
        <v>2337</v>
      </c>
      <c r="J6643" s="112" t="s">
        <v>4690</v>
      </c>
      <c r="K6643" s="112" t="s">
        <v>5258</v>
      </c>
      <c r="L6643" s="116">
        <v>-51</v>
      </c>
    </row>
    <row r="6644" spans="1:12" hidden="1" outlineLevel="1" collapsed="1" x14ac:dyDescent="0.35">
      <c r="A6644" s="112" t="s">
        <v>4632</v>
      </c>
      <c r="B6644" s="112" t="s">
        <v>4688</v>
      </c>
      <c r="C6644" s="112" t="s">
        <v>1518</v>
      </c>
      <c r="D6644" s="113">
        <v>51365962</v>
      </c>
      <c r="E6644" s="115">
        <v>43948</v>
      </c>
      <c r="F6644" s="114">
        <v>202101</v>
      </c>
      <c r="G6644" s="112" t="s">
        <v>1091</v>
      </c>
      <c r="H6644" s="112" t="s">
        <v>1016</v>
      </c>
      <c r="I6644" s="112" t="s">
        <v>2337</v>
      </c>
      <c r="J6644" s="112" t="s">
        <v>4690</v>
      </c>
      <c r="K6644" s="112" t="s">
        <v>5259</v>
      </c>
      <c r="L6644" s="116">
        <v>-51</v>
      </c>
    </row>
    <row r="6645" spans="1:12" hidden="1" outlineLevel="1" collapsed="1" x14ac:dyDescent="0.35">
      <c r="A6645" s="112" t="s">
        <v>4632</v>
      </c>
      <c r="B6645" s="112" t="s">
        <v>4688</v>
      </c>
      <c r="C6645" s="112" t="s">
        <v>1518</v>
      </c>
      <c r="D6645" s="113">
        <v>51365961</v>
      </c>
      <c r="E6645" s="115">
        <v>43947</v>
      </c>
      <c r="F6645" s="114">
        <v>202101</v>
      </c>
      <c r="G6645" s="112" t="s">
        <v>1091</v>
      </c>
      <c r="H6645" s="112" t="s">
        <v>1016</v>
      </c>
      <c r="I6645" s="112" t="s">
        <v>2337</v>
      </c>
      <c r="J6645" s="112" t="s">
        <v>4690</v>
      </c>
      <c r="K6645" s="112" t="s">
        <v>5260</v>
      </c>
      <c r="L6645" s="116">
        <v>-54</v>
      </c>
    </row>
    <row r="6646" spans="1:12" hidden="1" outlineLevel="1" collapsed="1" x14ac:dyDescent="0.35">
      <c r="A6646" s="112" t="s">
        <v>4632</v>
      </c>
      <c r="B6646" s="112" t="s">
        <v>4688</v>
      </c>
      <c r="C6646" s="112" t="s">
        <v>1518</v>
      </c>
      <c r="D6646" s="113">
        <v>51365960</v>
      </c>
      <c r="E6646" s="115">
        <v>43948</v>
      </c>
      <c r="F6646" s="114">
        <v>202101</v>
      </c>
      <c r="G6646" s="112" t="s">
        <v>1091</v>
      </c>
      <c r="H6646" s="112" t="s">
        <v>1016</v>
      </c>
      <c r="I6646" s="112" t="s">
        <v>2337</v>
      </c>
      <c r="J6646" s="112" t="s">
        <v>4690</v>
      </c>
      <c r="K6646" s="112" t="s">
        <v>5261</v>
      </c>
      <c r="L6646" s="116">
        <v>-51</v>
      </c>
    </row>
    <row r="6647" spans="1:12" hidden="1" outlineLevel="1" collapsed="1" x14ac:dyDescent="0.35">
      <c r="A6647" s="112" t="s">
        <v>4632</v>
      </c>
      <c r="B6647" s="112" t="s">
        <v>4688</v>
      </c>
      <c r="C6647" s="112" t="s">
        <v>1518</v>
      </c>
      <c r="D6647" s="113">
        <v>51365959</v>
      </c>
      <c r="E6647" s="115">
        <v>43946</v>
      </c>
      <c r="F6647" s="114">
        <v>202101</v>
      </c>
      <c r="G6647" s="112" t="s">
        <v>1091</v>
      </c>
      <c r="H6647" s="112" t="s">
        <v>1016</v>
      </c>
      <c r="I6647" s="112" t="s">
        <v>2337</v>
      </c>
      <c r="J6647" s="112" t="s">
        <v>4690</v>
      </c>
      <c r="K6647" s="112" t="s">
        <v>5262</v>
      </c>
      <c r="L6647" s="116">
        <v>-51</v>
      </c>
    </row>
    <row r="6648" spans="1:12" hidden="1" outlineLevel="1" collapsed="1" x14ac:dyDescent="0.35">
      <c r="A6648" s="112" t="s">
        <v>4632</v>
      </c>
      <c r="B6648" s="112" t="s">
        <v>4688</v>
      </c>
      <c r="C6648" s="112" t="s">
        <v>1518</v>
      </c>
      <c r="D6648" s="113">
        <v>51365916</v>
      </c>
      <c r="E6648" s="115">
        <v>43947</v>
      </c>
      <c r="F6648" s="114">
        <v>202101</v>
      </c>
      <c r="G6648" s="112" t="s">
        <v>1091</v>
      </c>
      <c r="H6648" s="112" t="s">
        <v>1016</v>
      </c>
      <c r="I6648" s="112" t="s">
        <v>2337</v>
      </c>
      <c r="J6648" s="112" t="s">
        <v>4690</v>
      </c>
      <c r="K6648" s="112" t="s">
        <v>5263</v>
      </c>
      <c r="L6648" s="116">
        <v>-54</v>
      </c>
    </row>
    <row r="6649" spans="1:12" hidden="1" outlineLevel="1" collapsed="1" x14ac:dyDescent="0.35">
      <c r="A6649" s="112" t="s">
        <v>4632</v>
      </c>
      <c r="B6649" s="112" t="s">
        <v>4688</v>
      </c>
      <c r="C6649" s="112" t="s">
        <v>679</v>
      </c>
      <c r="D6649" s="113">
        <v>10348027</v>
      </c>
      <c r="E6649" s="115">
        <v>43927</v>
      </c>
      <c r="F6649" s="114">
        <v>202101</v>
      </c>
      <c r="G6649" s="112" t="s">
        <v>1091</v>
      </c>
      <c r="H6649" s="112" t="s">
        <v>1016</v>
      </c>
      <c r="I6649" s="112" t="s">
        <v>4689</v>
      </c>
      <c r="J6649" s="112" t="s">
        <v>4690</v>
      </c>
      <c r="K6649" s="112" t="s">
        <v>5264</v>
      </c>
      <c r="L6649" s="116">
        <v>-54</v>
      </c>
    </row>
    <row r="6650" spans="1:12" hidden="1" outlineLevel="1" collapsed="1" x14ac:dyDescent="0.35">
      <c r="A6650" s="112" t="s">
        <v>4632</v>
      </c>
      <c r="B6650" s="112" t="s">
        <v>4688</v>
      </c>
      <c r="C6650" s="112" t="s">
        <v>1518</v>
      </c>
      <c r="D6650" s="113">
        <v>51365853</v>
      </c>
      <c r="E6650" s="115">
        <v>43948</v>
      </c>
      <c r="F6650" s="114">
        <v>202101</v>
      </c>
      <c r="G6650" s="112" t="s">
        <v>1091</v>
      </c>
      <c r="H6650" s="112" t="s">
        <v>1016</v>
      </c>
      <c r="I6650" s="112" t="s">
        <v>2337</v>
      </c>
      <c r="J6650" s="112" t="s">
        <v>4690</v>
      </c>
      <c r="K6650" s="112" t="s">
        <v>5265</v>
      </c>
      <c r="L6650" s="116">
        <v>-51</v>
      </c>
    </row>
    <row r="6651" spans="1:12" hidden="1" outlineLevel="1" collapsed="1" x14ac:dyDescent="0.35">
      <c r="A6651" s="112" t="s">
        <v>4632</v>
      </c>
      <c r="B6651" s="112" t="s">
        <v>4688</v>
      </c>
      <c r="C6651" s="112" t="s">
        <v>1518</v>
      </c>
      <c r="D6651" s="113">
        <v>51365872</v>
      </c>
      <c r="E6651" s="115">
        <v>43948</v>
      </c>
      <c r="F6651" s="114">
        <v>202101</v>
      </c>
      <c r="G6651" s="112" t="s">
        <v>1091</v>
      </c>
      <c r="H6651" s="112" t="s">
        <v>1016</v>
      </c>
      <c r="I6651" s="112" t="s">
        <v>2337</v>
      </c>
      <c r="J6651" s="112" t="s">
        <v>4690</v>
      </c>
      <c r="K6651" s="112" t="s">
        <v>5266</v>
      </c>
      <c r="L6651" s="116">
        <v>-51</v>
      </c>
    </row>
    <row r="6652" spans="1:12" hidden="1" outlineLevel="1" collapsed="1" x14ac:dyDescent="0.35">
      <c r="A6652" s="112" t="s">
        <v>4632</v>
      </c>
      <c r="B6652" s="112" t="s">
        <v>4688</v>
      </c>
      <c r="C6652" s="112" t="s">
        <v>1518</v>
      </c>
      <c r="D6652" s="113">
        <v>51365871</v>
      </c>
      <c r="E6652" s="115">
        <v>43947</v>
      </c>
      <c r="F6652" s="114">
        <v>202101</v>
      </c>
      <c r="G6652" s="112" t="s">
        <v>1091</v>
      </c>
      <c r="H6652" s="112" t="s">
        <v>1016</v>
      </c>
      <c r="I6652" s="112" t="s">
        <v>2337</v>
      </c>
      <c r="J6652" s="112" t="s">
        <v>4690</v>
      </c>
      <c r="K6652" s="112" t="s">
        <v>5267</v>
      </c>
      <c r="L6652" s="116">
        <v>-51</v>
      </c>
    </row>
    <row r="6653" spans="1:12" hidden="1" outlineLevel="1" collapsed="1" x14ac:dyDescent="0.35">
      <c r="A6653" s="112" t="s">
        <v>4632</v>
      </c>
      <c r="B6653" s="112" t="s">
        <v>4688</v>
      </c>
      <c r="C6653" s="112" t="s">
        <v>1518</v>
      </c>
      <c r="D6653" s="113">
        <v>51365870</v>
      </c>
      <c r="E6653" s="115">
        <v>43947</v>
      </c>
      <c r="F6653" s="114">
        <v>202101</v>
      </c>
      <c r="G6653" s="112" t="s">
        <v>1091</v>
      </c>
      <c r="H6653" s="112" t="s">
        <v>1016</v>
      </c>
      <c r="I6653" s="112" t="s">
        <v>2337</v>
      </c>
      <c r="J6653" s="112" t="s">
        <v>4690</v>
      </c>
      <c r="K6653" s="112" t="s">
        <v>5268</v>
      </c>
      <c r="L6653" s="116">
        <v>-51</v>
      </c>
    </row>
    <row r="6654" spans="1:12" hidden="1" outlineLevel="1" collapsed="1" x14ac:dyDescent="0.35">
      <c r="A6654" s="112" t="s">
        <v>4632</v>
      </c>
      <c r="B6654" s="112" t="s">
        <v>4688</v>
      </c>
      <c r="C6654" s="112" t="s">
        <v>1518</v>
      </c>
      <c r="D6654" s="113">
        <v>51365869</v>
      </c>
      <c r="E6654" s="115">
        <v>43947</v>
      </c>
      <c r="F6654" s="114">
        <v>202101</v>
      </c>
      <c r="G6654" s="112" t="s">
        <v>1091</v>
      </c>
      <c r="H6654" s="112" t="s">
        <v>1016</v>
      </c>
      <c r="I6654" s="112" t="s">
        <v>2337</v>
      </c>
      <c r="J6654" s="112" t="s">
        <v>4690</v>
      </c>
      <c r="K6654" s="112" t="s">
        <v>5269</v>
      </c>
      <c r="L6654" s="116">
        <v>-51</v>
      </c>
    </row>
    <row r="6655" spans="1:12" hidden="1" outlineLevel="1" collapsed="1" x14ac:dyDescent="0.35">
      <c r="A6655" s="112" t="s">
        <v>4632</v>
      </c>
      <c r="B6655" s="112" t="s">
        <v>4688</v>
      </c>
      <c r="C6655" s="112" t="s">
        <v>1518</v>
      </c>
      <c r="D6655" s="113">
        <v>51365868</v>
      </c>
      <c r="E6655" s="115">
        <v>43948</v>
      </c>
      <c r="F6655" s="114">
        <v>202101</v>
      </c>
      <c r="G6655" s="112" t="s">
        <v>1091</v>
      </c>
      <c r="H6655" s="112" t="s">
        <v>1016</v>
      </c>
      <c r="I6655" s="112" t="s">
        <v>2337</v>
      </c>
      <c r="J6655" s="112" t="s">
        <v>4690</v>
      </c>
      <c r="K6655" s="112" t="s">
        <v>5270</v>
      </c>
      <c r="L6655" s="116">
        <v>-51</v>
      </c>
    </row>
    <row r="6656" spans="1:12" hidden="1" outlineLevel="1" collapsed="1" x14ac:dyDescent="0.35">
      <c r="A6656" s="112" t="s">
        <v>4632</v>
      </c>
      <c r="B6656" s="112" t="s">
        <v>4688</v>
      </c>
      <c r="C6656" s="112" t="s">
        <v>1518</v>
      </c>
      <c r="D6656" s="113">
        <v>51365867</v>
      </c>
      <c r="E6656" s="115">
        <v>43948</v>
      </c>
      <c r="F6656" s="114">
        <v>202101</v>
      </c>
      <c r="G6656" s="112" t="s">
        <v>1091</v>
      </c>
      <c r="H6656" s="112" t="s">
        <v>1016</v>
      </c>
      <c r="I6656" s="112" t="s">
        <v>2337</v>
      </c>
      <c r="J6656" s="112" t="s">
        <v>4690</v>
      </c>
      <c r="K6656" s="112" t="s">
        <v>5271</v>
      </c>
      <c r="L6656" s="116">
        <v>-51</v>
      </c>
    </row>
    <row r="6657" spans="1:12" hidden="1" outlineLevel="1" collapsed="1" x14ac:dyDescent="0.35">
      <c r="A6657" s="112" t="s">
        <v>4632</v>
      </c>
      <c r="B6657" s="112" t="s">
        <v>4688</v>
      </c>
      <c r="C6657" s="112" t="s">
        <v>1518</v>
      </c>
      <c r="D6657" s="113">
        <v>51365866</v>
      </c>
      <c r="E6657" s="115">
        <v>43947</v>
      </c>
      <c r="F6657" s="114">
        <v>202101</v>
      </c>
      <c r="G6657" s="112" t="s">
        <v>1091</v>
      </c>
      <c r="H6657" s="112" t="s">
        <v>1016</v>
      </c>
      <c r="I6657" s="112" t="s">
        <v>2337</v>
      </c>
      <c r="J6657" s="112" t="s">
        <v>4690</v>
      </c>
      <c r="K6657" s="112" t="s">
        <v>5272</v>
      </c>
      <c r="L6657" s="116">
        <v>-51</v>
      </c>
    </row>
    <row r="6658" spans="1:12" hidden="1" outlineLevel="1" collapsed="1" x14ac:dyDescent="0.35">
      <c r="A6658" s="112" t="s">
        <v>4632</v>
      </c>
      <c r="B6658" s="112" t="s">
        <v>4688</v>
      </c>
      <c r="C6658" s="112" t="s">
        <v>1518</v>
      </c>
      <c r="D6658" s="113">
        <v>51365865</v>
      </c>
      <c r="E6658" s="115">
        <v>43948</v>
      </c>
      <c r="F6658" s="114">
        <v>202101</v>
      </c>
      <c r="G6658" s="112" t="s">
        <v>1091</v>
      </c>
      <c r="H6658" s="112" t="s">
        <v>1016</v>
      </c>
      <c r="I6658" s="112" t="s">
        <v>2337</v>
      </c>
      <c r="J6658" s="112" t="s">
        <v>4690</v>
      </c>
      <c r="K6658" s="112" t="s">
        <v>5273</v>
      </c>
      <c r="L6658" s="116">
        <v>-51</v>
      </c>
    </row>
    <row r="6659" spans="1:12" hidden="1" outlineLevel="1" collapsed="1" x14ac:dyDescent="0.35">
      <c r="A6659" s="112" t="s">
        <v>4632</v>
      </c>
      <c r="B6659" s="112" t="s">
        <v>4688</v>
      </c>
      <c r="C6659" s="112" t="s">
        <v>1518</v>
      </c>
      <c r="D6659" s="113">
        <v>51365864</v>
      </c>
      <c r="E6659" s="115">
        <v>43946</v>
      </c>
      <c r="F6659" s="114">
        <v>202101</v>
      </c>
      <c r="G6659" s="112" t="s">
        <v>1091</v>
      </c>
      <c r="H6659" s="112" t="s">
        <v>1016</v>
      </c>
      <c r="I6659" s="112" t="s">
        <v>2337</v>
      </c>
      <c r="J6659" s="112" t="s">
        <v>4690</v>
      </c>
      <c r="K6659" s="112" t="s">
        <v>5274</v>
      </c>
      <c r="L6659" s="116">
        <v>-51</v>
      </c>
    </row>
    <row r="6660" spans="1:12" hidden="1" outlineLevel="1" collapsed="1" x14ac:dyDescent="0.35">
      <c r="A6660" s="112" t="s">
        <v>4632</v>
      </c>
      <c r="B6660" s="112" t="s">
        <v>4688</v>
      </c>
      <c r="C6660" s="112" t="s">
        <v>1518</v>
      </c>
      <c r="D6660" s="113">
        <v>51365863</v>
      </c>
      <c r="E6660" s="115">
        <v>43948</v>
      </c>
      <c r="F6660" s="114">
        <v>202101</v>
      </c>
      <c r="G6660" s="112" t="s">
        <v>1091</v>
      </c>
      <c r="H6660" s="112" t="s">
        <v>1016</v>
      </c>
      <c r="I6660" s="112" t="s">
        <v>2337</v>
      </c>
      <c r="J6660" s="112" t="s">
        <v>4690</v>
      </c>
      <c r="K6660" s="112" t="s">
        <v>5275</v>
      </c>
      <c r="L6660" s="116">
        <v>-51</v>
      </c>
    </row>
    <row r="6661" spans="1:12" hidden="1" outlineLevel="1" collapsed="1" x14ac:dyDescent="0.35">
      <c r="A6661" s="112" t="s">
        <v>4632</v>
      </c>
      <c r="B6661" s="112" t="s">
        <v>4688</v>
      </c>
      <c r="C6661" s="112" t="s">
        <v>1518</v>
      </c>
      <c r="D6661" s="113">
        <v>51365862</v>
      </c>
      <c r="E6661" s="115">
        <v>43948</v>
      </c>
      <c r="F6661" s="114">
        <v>202101</v>
      </c>
      <c r="G6661" s="112" t="s">
        <v>1091</v>
      </c>
      <c r="H6661" s="112" t="s">
        <v>1016</v>
      </c>
      <c r="I6661" s="112" t="s">
        <v>2337</v>
      </c>
      <c r="J6661" s="112" t="s">
        <v>4690</v>
      </c>
      <c r="K6661" s="112" t="s">
        <v>5276</v>
      </c>
      <c r="L6661" s="116">
        <v>-54</v>
      </c>
    </row>
    <row r="6662" spans="1:12" hidden="1" outlineLevel="1" collapsed="1" x14ac:dyDescent="0.35">
      <c r="A6662" s="112" t="s">
        <v>4632</v>
      </c>
      <c r="B6662" s="112" t="s">
        <v>4688</v>
      </c>
      <c r="C6662" s="112" t="s">
        <v>1518</v>
      </c>
      <c r="D6662" s="113">
        <v>51365861</v>
      </c>
      <c r="E6662" s="115">
        <v>43948</v>
      </c>
      <c r="F6662" s="114">
        <v>202101</v>
      </c>
      <c r="G6662" s="112" t="s">
        <v>1091</v>
      </c>
      <c r="H6662" s="112" t="s">
        <v>1016</v>
      </c>
      <c r="I6662" s="112" t="s">
        <v>2337</v>
      </c>
      <c r="J6662" s="112" t="s">
        <v>4690</v>
      </c>
      <c r="K6662" s="112" t="s">
        <v>5277</v>
      </c>
      <c r="L6662" s="116">
        <v>-51</v>
      </c>
    </row>
    <row r="6663" spans="1:12" hidden="1" outlineLevel="1" collapsed="1" x14ac:dyDescent="0.35">
      <c r="A6663" s="112" t="s">
        <v>4632</v>
      </c>
      <c r="B6663" s="112" t="s">
        <v>4688</v>
      </c>
      <c r="C6663" s="112" t="s">
        <v>1518</v>
      </c>
      <c r="D6663" s="113">
        <v>51365860</v>
      </c>
      <c r="E6663" s="115">
        <v>43948</v>
      </c>
      <c r="F6663" s="114">
        <v>202101</v>
      </c>
      <c r="G6663" s="112" t="s">
        <v>1091</v>
      </c>
      <c r="H6663" s="112" t="s">
        <v>1016</v>
      </c>
      <c r="I6663" s="112" t="s">
        <v>2337</v>
      </c>
      <c r="J6663" s="112" t="s">
        <v>4690</v>
      </c>
      <c r="K6663" s="112" t="s">
        <v>5278</v>
      </c>
      <c r="L6663" s="116">
        <v>-51</v>
      </c>
    </row>
    <row r="6664" spans="1:12" hidden="1" outlineLevel="1" collapsed="1" x14ac:dyDescent="0.35">
      <c r="A6664" s="112" t="s">
        <v>4632</v>
      </c>
      <c r="B6664" s="112" t="s">
        <v>4688</v>
      </c>
      <c r="C6664" s="112" t="s">
        <v>1518</v>
      </c>
      <c r="D6664" s="113">
        <v>51365859</v>
      </c>
      <c r="E6664" s="115">
        <v>43948</v>
      </c>
      <c r="F6664" s="114">
        <v>202101</v>
      </c>
      <c r="G6664" s="112" t="s">
        <v>1091</v>
      </c>
      <c r="H6664" s="112" t="s">
        <v>1016</v>
      </c>
      <c r="I6664" s="112" t="s">
        <v>2337</v>
      </c>
      <c r="J6664" s="112" t="s">
        <v>4690</v>
      </c>
      <c r="K6664" s="112" t="s">
        <v>5279</v>
      </c>
      <c r="L6664" s="116">
        <v>-51</v>
      </c>
    </row>
    <row r="6665" spans="1:12" hidden="1" outlineLevel="1" collapsed="1" x14ac:dyDescent="0.35">
      <c r="A6665" s="112" t="s">
        <v>4632</v>
      </c>
      <c r="B6665" s="112" t="s">
        <v>4688</v>
      </c>
      <c r="C6665" s="112" t="s">
        <v>1518</v>
      </c>
      <c r="D6665" s="113">
        <v>51365858</v>
      </c>
      <c r="E6665" s="115">
        <v>43948</v>
      </c>
      <c r="F6665" s="114">
        <v>202101</v>
      </c>
      <c r="G6665" s="112" t="s">
        <v>1091</v>
      </c>
      <c r="H6665" s="112" t="s">
        <v>1016</v>
      </c>
      <c r="I6665" s="112" t="s">
        <v>2337</v>
      </c>
      <c r="J6665" s="112" t="s">
        <v>4690</v>
      </c>
      <c r="K6665" s="112" t="s">
        <v>5280</v>
      </c>
      <c r="L6665" s="116">
        <v>-51</v>
      </c>
    </row>
    <row r="6666" spans="1:12" hidden="1" outlineLevel="1" collapsed="1" x14ac:dyDescent="0.35">
      <c r="A6666" s="112" t="s">
        <v>4632</v>
      </c>
      <c r="B6666" s="112" t="s">
        <v>4688</v>
      </c>
      <c r="C6666" s="112" t="s">
        <v>1518</v>
      </c>
      <c r="D6666" s="113">
        <v>51365857</v>
      </c>
      <c r="E6666" s="115">
        <v>43948</v>
      </c>
      <c r="F6666" s="114">
        <v>202101</v>
      </c>
      <c r="G6666" s="112" t="s">
        <v>1091</v>
      </c>
      <c r="H6666" s="112" t="s">
        <v>1016</v>
      </c>
      <c r="I6666" s="112" t="s">
        <v>2337</v>
      </c>
      <c r="J6666" s="112" t="s">
        <v>4690</v>
      </c>
      <c r="K6666" s="112" t="s">
        <v>5281</v>
      </c>
      <c r="L6666" s="116">
        <v>-51</v>
      </c>
    </row>
    <row r="6667" spans="1:12" hidden="1" outlineLevel="1" collapsed="1" x14ac:dyDescent="0.35">
      <c r="A6667" s="112" t="s">
        <v>4632</v>
      </c>
      <c r="B6667" s="112" t="s">
        <v>4688</v>
      </c>
      <c r="C6667" s="112" t="s">
        <v>1518</v>
      </c>
      <c r="D6667" s="113">
        <v>51365856</v>
      </c>
      <c r="E6667" s="115">
        <v>43948</v>
      </c>
      <c r="F6667" s="114">
        <v>202101</v>
      </c>
      <c r="G6667" s="112" t="s">
        <v>1091</v>
      </c>
      <c r="H6667" s="112" t="s">
        <v>1016</v>
      </c>
      <c r="I6667" s="112" t="s">
        <v>2337</v>
      </c>
      <c r="J6667" s="112" t="s">
        <v>4690</v>
      </c>
      <c r="K6667" s="112" t="s">
        <v>5282</v>
      </c>
      <c r="L6667" s="116">
        <v>-54</v>
      </c>
    </row>
    <row r="6668" spans="1:12" hidden="1" outlineLevel="1" collapsed="1" x14ac:dyDescent="0.35">
      <c r="A6668" s="112" t="s">
        <v>4632</v>
      </c>
      <c r="B6668" s="112" t="s">
        <v>4688</v>
      </c>
      <c r="C6668" s="112" t="s">
        <v>1518</v>
      </c>
      <c r="D6668" s="113">
        <v>51365855</v>
      </c>
      <c r="E6668" s="115">
        <v>43948</v>
      </c>
      <c r="F6668" s="114">
        <v>202101</v>
      </c>
      <c r="G6668" s="112" t="s">
        <v>1091</v>
      </c>
      <c r="H6668" s="112" t="s">
        <v>1016</v>
      </c>
      <c r="I6668" s="112" t="s">
        <v>2337</v>
      </c>
      <c r="J6668" s="112" t="s">
        <v>4690</v>
      </c>
      <c r="K6668" s="112" t="s">
        <v>5283</v>
      </c>
      <c r="L6668" s="116">
        <v>-51</v>
      </c>
    </row>
    <row r="6669" spans="1:12" hidden="1" outlineLevel="1" collapsed="1" x14ac:dyDescent="0.35">
      <c r="A6669" s="112" t="s">
        <v>4632</v>
      </c>
      <c r="B6669" s="112" t="s">
        <v>4688</v>
      </c>
      <c r="C6669" s="112" t="s">
        <v>1518</v>
      </c>
      <c r="D6669" s="113">
        <v>51365854</v>
      </c>
      <c r="E6669" s="115">
        <v>43948</v>
      </c>
      <c r="F6669" s="114">
        <v>202101</v>
      </c>
      <c r="G6669" s="112" t="s">
        <v>1091</v>
      </c>
      <c r="H6669" s="112" t="s">
        <v>1016</v>
      </c>
      <c r="I6669" s="112" t="s">
        <v>2337</v>
      </c>
      <c r="J6669" s="112" t="s">
        <v>4690</v>
      </c>
      <c r="K6669" s="112" t="s">
        <v>5284</v>
      </c>
      <c r="L6669" s="116">
        <v>-51</v>
      </c>
    </row>
    <row r="6670" spans="1:12" hidden="1" outlineLevel="1" collapsed="1" x14ac:dyDescent="0.35">
      <c r="A6670" s="112" t="s">
        <v>4632</v>
      </c>
      <c r="B6670" s="112" t="s">
        <v>4688</v>
      </c>
      <c r="C6670" s="112" t="s">
        <v>1518</v>
      </c>
      <c r="D6670" s="113">
        <v>51365873</v>
      </c>
      <c r="E6670" s="115">
        <v>43946</v>
      </c>
      <c r="F6670" s="114">
        <v>202101</v>
      </c>
      <c r="G6670" s="112" t="s">
        <v>1091</v>
      </c>
      <c r="H6670" s="112" t="s">
        <v>1016</v>
      </c>
      <c r="I6670" s="112" t="s">
        <v>2337</v>
      </c>
      <c r="J6670" s="112" t="s">
        <v>4690</v>
      </c>
      <c r="K6670" s="112" t="s">
        <v>5285</v>
      </c>
      <c r="L6670" s="116">
        <v>-51</v>
      </c>
    </row>
    <row r="6671" spans="1:12" hidden="1" outlineLevel="1" collapsed="1" x14ac:dyDescent="0.35">
      <c r="A6671" s="112" t="s">
        <v>4632</v>
      </c>
      <c r="B6671" s="112" t="s">
        <v>4688</v>
      </c>
      <c r="C6671" s="112" t="s">
        <v>1518</v>
      </c>
      <c r="D6671" s="113">
        <v>51365852</v>
      </c>
      <c r="E6671" s="115">
        <v>43948</v>
      </c>
      <c r="F6671" s="114">
        <v>202101</v>
      </c>
      <c r="G6671" s="112" t="s">
        <v>1091</v>
      </c>
      <c r="H6671" s="112" t="s">
        <v>1016</v>
      </c>
      <c r="I6671" s="112" t="s">
        <v>2337</v>
      </c>
      <c r="J6671" s="112" t="s">
        <v>4690</v>
      </c>
      <c r="K6671" s="112" t="s">
        <v>5286</v>
      </c>
      <c r="L6671" s="116">
        <v>-51</v>
      </c>
    </row>
    <row r="6672" spans="1:12" hidden="1" outlineLevel="1" collapsed="1" x14ac:dyDescent="0.35">
      <c r="A6672" s="112" t="s">
        <v>4632</v>
      </c>
      <c r="B6672" s="112" t="s">
        <v>4688</v>
      </c>
      <c r="C6672" s="112" t="s">
        <v>1518</v>
      </c>
      <c r="D6672" s="113">
        <v>51365851</v>
      </c>
      <c r="E6672" s="115">
        <v>43946</v>
      </c>
      <c r="F6672" s="114">
        <v>202101</v>
      </c>
      <c r="G6672" s="112" t="s">
        <v>1091</v>
      </c>
      <c r="H6672" s="112" t="s">
        <v>1016</v>
      </c>
      <c r="I6672" s="112" t="s">
        <v>2337</v>
      </c>
      <c r="J6672" s="112" t="s">
        <v>4690</v>
      </c>
      <c r="K6672" s="112" t="s">
        <v>5287</v>
      </c>
      <c r="L6672" s="116">
        <v>-54</v>
      </c>
    </row>
    <row r="6673" spans="1:12" hidden="1" outlineLevel="1" collapsed="1" x14ac:dyDescent="0.35">
      <c r="A6673" s="112" t="s">
        <v>4632</v>
      </c>
      <c r="B6673" s="112" t="s">
        <v>4688</v>
      </c>
      <c r="C6673" s="112" t="s">
        <v>1518</v>
      </c>
      <c r="D6673" s="113">
        <v>51365850</v>
      </c>
      <c r="E6673" s="115">
        <v>43947</v>
      </c>
      <c r="F6673" s="114">
        <v>202101</v>
      </c>
      <c r="G6673" s="112" t="s">
        <v>1091</v>
      </c>
      <c r="H6673" s="112" t="s">
        <v>1016</v>
      </c>
      <c r="I6673" s="112" t="s">
        <v>2337</v>
      </c>
      <c r="J6673" s="112" t="s">
        <v>4690</v>
      </c>
      <c r="K6673" s="112" t="s">
        <v>5288</v>
      </c>
      <c r="L6673" s="116">
        <v>-54</v>
      </c>
    </row>
    <row r="6674" spans="1:12" hidden="1" outlineLevel="1" collapsed="1" x14ac:dyDescent="0.35">
      <c r="A6674" s="112" t="s">
        <v>4632</v>
      </c>
      <c r="B6674" s="112" t="s">
        <v>4688</v>
      </c>
      <c r="C6674" s="112" t="s">
        <v>1518</v>
      </c>
      <c r="D6674" s="113">
        <v>51365849</v>
      </c>
      <c r="E6674" s="115">
        <v>43947</v>
      </c>
      <c r="F6674" s="114">
        <v>202101</v>
      </c>
      <c r="G6674" s="112" t="s">
        <v>1091</v>
      </c>
      <c r="H6674" s="112" t="s">
        <v>1016</v>
      </c>
      <c r="I6674" s="112" t="s">
        <v>2337</v>
      </c>
      <c r="J6674" s="112" t="s">
        <v>4690</v>
      </c>
      <c r="K6674" s="112" t="s">
        <v>5289</v>
      </c>
      <c r="L6674" s="116">
        <v>-51</v>
      </c>
    </row>
    <row r="6675" spans="1:12" hidden="1" outlineLevel="1" collapsed="1" x14ac:dyDescent="0.35">
      <c r="A6675" s="112" t="s">
        <v>4632</v>
      </c>
      <c r="B6675" s="112" t="s">
        <v>4688</v>
      </c>
      <c r="C6675" s="112" t="s">
        <v>1518</v>
      </c>
      <c r="D6675" s="113">
        <v>51365848</v>
      </c>
      <c r="E6675" s="115">
        <v>43947</v>
      </c>
      <c r="F6675" s="114">
        <v>202101</v>
      </c>
      <c r="G6675" s="112" t="s">
        <v>1091</v>
      </c>
      <c r="H6675" s="112" t="s">
        <v>1016</v>
      </c>
      <c r="I6675" s="112" t="s">
        <v>2337</v>
      </c>
      <c r="J6675" s="112" t="s">
        <v>4690</v>
      </c>
      <c r="K6675" s="112" t="s">
        <v>5290</v>
      </c>
      <c r="L6675" s="116">
        <v>-51</v>
      </c>
    </row>
    <row r="6676" spans="1:12" hidden="1" outlineLevel="1" collapsed="1" x14ac:dyDescent="0.35">
      <c r="A6676" s="112" t="s">
        <v>4632</v>
      </c>
      <c r="B6676" s="112" t="s">
        <v>4688</v>
      </c>
      <c r="C6676" s="112" t="s">
        <v>1518</v>
      </c>
      <c r="D6676" s="113">
        <v>51365847</v>
      </c>
      <c r="E6676" s="115">
        <v>43947</v>
      </c>
      <c r="F6676" s="114">
        <v>202101</v>
      </c>
      <c r="G6676" s="112" t="s">
        <v>1091</v>
      </c>
      <c r="H6676" s="112" t="s">
        <v>1016</v>
      </c>
      <c r="I6676" s="112" t="s">
        <v>2337</v>
      </c>
      <c r="J6676" s="112" t="s">
        <v>4690</v>
      </c>
      <c r="K6676" s="112" t="s">
        <v>5291</v>
      </c>
      <c r="L6676" s="116">
        <v>-54</v>
      </c>
    </row>
    <row r="6677" spans="1:12" hidden="1" outlineLevel="1" collapsed="1" x14ac:dyDescent="0.35">
      <c r="A6677" s="112" t="s">
        <v>4632</v>
      </c>
      <c r="B6677" s="112" t="s">
        <v>4688</v>
      </c>
      <c r="C6677" s="112" t="s">
        <v>1518</v>
      </c>
      <c r="D6677" s="113">
        <v>51365846</v>
      </c>
      <c r="E6677" s="115">
        <v>43947</v>
      </c>
      <c r="F6677" s="114">
        <v>202101</v>
      </c>
      <c r="G6677" s="112" t="s">
        <v>1091</v>
      </c>
      <c r="H6677" s="112" t="s">
        <v>1016</v>
      </c>
      <c r="I6677" s="112" t="s">
        <v>2337</v>
      </c>
      <c r="J6677" s="112" t="s">
        <v>4690</v>
      </c>
      <c r="K6677" s="112" t="s">
        <v>5292</v>
      </c>
      <c r="L6677" s="116">
        <v>-51</v>
      </c>
    </row>
    <row r="6678" spans="1:12" hidden="1" outlineLevel="1" collapsed="1" x14ac:dyDescent="0.35">
      <c r="A6678" s="112" t="s">
        <v>4632</v>
      </c>
      <c r="B6678" s="112" t="s">
        <v>4688</v>
      </c>
      <c r="C6678" s="112" t="s">
        <v>1518</v>
      </c>
      <c r="D6678" s="113">
        <v>51365845</v>
      </c>
      <c r="E6678" s="115">
        <v>43947</v>
      </c>
      <c r="F6678" s="114">
        <v>202101</v>
      </c>
      <c r="G6678" s="112" t="s">
        <v>1091</v>
      </c>
      <c r="H6678" s="112" t="s">
        <v>1016</v>
      </c>
      <c r="I6678" s="112" t="s">
        <v>2337</v>
      </c>
      <c r="J6678" s="112" t="s">
        <v>4690</v>
      </c>
      <c r="K6678" s="112" t="s">
        <v>5293</v>
      </c>
      <c r="L6678" s="116">
        <v>-51</v>
      </c>
    </row>
    <row r="6679" spans="1:12" hidden="1" outlineLevel="1" collapsed="1" x14ac:dyDescent="0.35">
      <c r="A6679" s="112" t="s">
        <v>4632</v>
      </c>
      <c r="B6679" s="112" t="s">
        <v>4688</v>
      </c>
      <c r="C6679" s="112" t="s">
        <v>1518</v>
      </c>
      <c r="D6679" s="113">
        <v>51365844</v>
      </c>
      <c r="E6679" s="115">
        <v>43947</v>
      </c>
      <c r="F6679" s="114">
        <v>202101</v>
      </c>
      <c r="G6679" s="112" t="s">
        <v>1091</v>
      </c>
      <c r="H6679" s="112" t="s">
        <v>1016</v>
      </c>
      <c r="I6679" s="112" t="s">
        <v>2337</v>
      </c>
      <c r="J6679" s="112" t="s">
        <v>4690</v>
      </c>
      <c r="K6679" s="112" t="s">
        <v>5294</v>
      </c>
      <c r="L6679" s="116">
        <v>-54</v>
      </c>
    </row>
    <row r="6680" spans="1:12" hidden="1" outlineLevel="1" collapsed="1" x14ac:dyDescent="0.35">
      <c r="A6680" s="112" t="s">
        <v>4632</v>
      </c>
      <c r="B6680" s="112" t="s">
        <v>4688</v>
      </c>
      <c r="C6680" s="112" t="s">
        <v>1518</v>
      </c>
      <c r="D6680" s="113">
        <v>51365843</v>
      </c>
      <c r="E6680" s="115">
        <v>43947</v>
      </c>
      <c r="F6680" s="114">
        <v>202101</v>
      </c>
      <c r="G6680" s="112" t="s">
        <v>1091</v>
      </c>
      <c r="H6680" s="112" t="s">
        <v>1016</v>
      </c>
      <c r="I6680" s="112" t="s">
        <v>2337</v>
      </c>
      <c r="J6680" s="112" t="s">
        <v>4690</v>
      </c>
      <c r="K6680" s="112" t="s">
        <v>5295</v>
      </c>
      <c r="L6680" s="116">
        <v>-51</v>
      </c>
    </row>
    <row r="6681" spans="1:12" hidden="1" outlineLevel="1" collapsed="1" x14ac:dyDescent="0.35">
      <c r="A6681" s="112" t="s">
        <v>4632</v>
      </c>
      <c r="B6681" s="112" t="s">
        <v>4688</v>
      </c>
      <c r="C6681" s="112" t="s">
        <v>1518</v>
      </c>
      <c r="D6681" s="113">
        <v>51365842</v>
      </c>
      <c r="E6681" s="115">
        <v>43947</v>
      </c>
      <c r="F6681" s="114">
        <v>202101</v>
      </c>
      <c r="G6681" s="112" t="s">
        <v>1091</v>
      </c>
      <c r="H6681" s="112" t="s">
        <v>1016</v>
      </c>
      <c r="I6681" s="112" t="s">
        <v>2337</v>
      </c>
      <c r="J6681" s="112" t="s">
        <v>4690</v>
      </c>
      <c r="K6681" s="112" t="s">
        <v>5296</v>
      </c>
      <c r="L6681" s="116">
        <v>-51</v>
      </c>
    </row>
    <row r="6682" spans="1:12" hidden="1" outlineLevel="1" collapsed="1" x14ac:dyDescent="0.35">
      <c r="A6682" s="112" t="s">
        <v>4632</v>
      </c>
      <c r="B6682" s="112" t="s">
        <v>4688</v>
      </c>
      <c r="C6682" s="112" t="s">
        <v>1518</v>
      </c>
      <c r="D6682" s="113">
        <v>51365841</v>
      </c>
      <c r="E6682" s="115">
        <v>43947</v>
      </c>
      <c r="F6682" s="114">
        <v>202101</v>
      </c>
      <c r="G6682" s="112" t="s">
        <v>1091</v>
      </c>
      <c r="H6682" s="112" t="s">
        <v>1016</v>
      </c>
      <c r="I6682" s="112" t="s">
        <v>2337</v>
      </c>
      <c r="J6682" s="112" t="s">
        <v>4690</v>
      </c>
      <c r="K6682" s="112" t="s">
        <v>5297</v>
      </c>
      <c r="L6682" s="116">
        <v>-54</v>
      </c>
    </row>
    <row r="6683" spans="1:12" hidden="1" outlineLevel="1" collapsed="1" x14ac:dyDescent="0.35">
      <c r="A6683" s="112" t="s">
        <v>4632</v>
      </c>
      <c r="B6683" s="112" t="s">
        <v>4688</v>
      </c>
      <c r="C6683" s="112" t="s">
        <v>1518</v>
      </c>
      <c r="D6683" s="113">
        <v>51365840</v>
      </c>
      <c r="E6683" s="115">
        <v>43947</v>
      </c>
      <c r="F6683" s="114">
        <v>202101</v>
      </c>
      <c r="G6683" s="112" t="s">
        <v>1091</v>
      </c>
      <c r="H6683" s="112" t="s">
        <v>1016</v>
      </c>
      <c r="I6683" s="112" t="s">
        <v>2337</v>
      </c>
      <c r="J6683" s="112" t="s">
        <v>4690</v>
      </c>
      <c r="K6683" s="112" t="s">
        <v>5298</v>
      </c>
      <c r="L6683" s="116">
        <v>-54</v>
      </c>
    </row>
    <row r="6684" spans="1:12" hidden="1" outlineLevel="1" collapsed="1" x14ac:dyDescent="0.35">
      <c r="A6684" s="112" t="s">
        <v>4632</v>
      </c>
      <c r="B6684" s="112" t="s">
        <v>4688</v>
      </c>
      <c r="C6684" s="112" t="s">
        <v>1518</v>
      </c>
      <c r="D6684" s="113">
        <v>51365839</v>
      </c>
      <c r="E6684" s="115">
        <v>43947</v>
      </c>
      <c r="F6684" s="114">
        <v>202101</v>
      </c>
      <c r="G6684" s="112" t="s">
        <v>1091</v>
      </c>
      <c r="H6684" s="112" t="s">
        <v>1016</v>
      </c>
      <c r="I6684" s="112" t="s">
        <v>2337</v>
      </c>
      <c r="J6684" s="112" t="s">
        <v>4690</v>
      </c>
      <c r="K6684" s="112" t="s">
        <v>5299</v>
      </c>
      <c r="L6684" s="116">
        <v>-54</v>
      </c>
    </row>
    <row r="6685" spans="1:12" hidden="1" outlineLevel="1" collapsed="1" x14ac:dyDescent="0.35">
      <c r="A6685" s="112" t="s">
        <v>4632</v>
      </c>
      <c r="B6685" s="112" t="s">
        <v>4688</v>
      </c>
      <c r="C6685" s="112" t="s">
        <v>1518</v>
      </c>
      <c r="D6685" s="113">
        <v>51365838</v>
      </c>
      <c r="E6685" s="115">
        <v>43947</v>
      </c>
      <c r="F6685" s="114">
        <v>202101</v>
      </c>
      <c r="G6685" s="112" t="s">
        <v>1091</v>
      </c>
      <c r="H6685" s="112" t="s">
        <v>1016</v>
      </c>
      <c r="I6685" s="112" t="s">
        <v>2337</v>
      </c>
      <c r="J6685" s="112" t="s">
        <v>4690</v>
      </c>
      <c r="K6685" s="112" t="s">
        <v>5300</v>
      </c>
      <c r="L6685" s="116">
        <v>-51</v>
      </c>
    </row>
    <row r="6686" spans="1:12" hidden="1" outlineLevel="1" collapsed="1" x14ac:dyDescent="0.35">
      <c r="A6686" s="112" t="s">
        <v>4632</v>
      </c>
      <c r="B6686" s="112" t="s">
        <v>4688</v>
      </c>
      <c r="C6686" s="112" t="s">
        <v>1518</v>
      </c>
      <c r="D6686" s="113">
        <v>51365837</v>
      </c>
      <c r="E6686" s="115">
        <v>43947</v>
      </c>
      <c r="F6686" s="114">
        <v>202101</v>
      </c>
      <c r="G6686" s="112" t="s">
        <v>1091</v>
      </c>
      <c r="H6686" s="112" t="s">
        <v>1016</v>
      </c>
      <c r="I6686" s="112" t="s">
        <v>2337</v>
      </c>
      <c r="J6686" s="112" t="s">
        <v>4690</v>
      </c>
      <c r="K6686" s="112" t="s">
        <v>5301</v>
      </c>
      <c r="L6686" s="116">
        <v>-54</v>
      </c>
    </row>
    <row r="6687" spans="1:12" hidden="1" outlineLevel="1" collapsed="1" x14ac:dyDescent="0.35">
      <c r="A6687" s="112" t="s">
        <v>4632</v>
      </c>
      <c r="B6687" s="112" t="s">
        <v>4688</v>
      </c>
      <c r="C6687" s="112" t="s">
        <v>1518</v>
      </c>
      <c r="D6687" s="113">
        <v>51365836</v>
      </c>
      <c r="E6687" s="115">
        <v>43947</v>
      </c>
      <c r="F6687" s="114">
        <v>202101</v>
      </c>
      <c r="G6687" s="112" t="s">
        <v>1091</v>
      </c>
      <c r="H6687" s="112" t="s">
        <v>1016</v>
      </c>
      <c r="I6687" s="112" t="s">
        <v>2337</v>
      </c>
      <c r="J6687" s="112" t="s">
        <v>4690</v>
      </c>
      <c r="K6687" s="112" t="s">
        <v>5302</v>
      </c>
      <c r="L6687" s="116">
        <v>-51</v>
      </c>
    </row>
    <row r="6688" spans="1:12" hidden="1" outlineLevel="1" collapsed="1" x14ac:dyDescent="0.35">
      <c r="A6688" s="112" t="s">
        <v>4632</v>
      </c>
      <c r="B6688" s="112" t="s">
        <v>4688</v>
      </c>
      <c r="C6688" s="112" t="s">
        <v>1518</v>
      </c>
      <c r="D6688" s="113">
        <v>51365835</v>
      </c>
      <c r="E6688" s="115">
        <v>43947</v>
      </c>
      <c r="F6688" s="114">
        <v>202101</v>
      </c>
      <c r="G6688" s="112" t="s">
        <v>1091</v>
      </c>
      <c r="H6688" s="112" t="s">
        <v>1016</v>
      </c>
      <c r="I6688" s="112" t="s">
        <v>2337</v>
      </c>
      <c r="J6688" s="112" t="s">
        <v>4690</v>
      </c>
      <c r="K6688" s="112" t="s">
        <v>5303</v>
      </c>
      <c r="L6688" s="116">
        <v>-54</v>
      </c>
    </row>
    <row r="6689" spans="1:12" hidden="1" outlineLevel="1" collapsed="1" x14ac:dyDescent="0.35">
      <c r="A6689" s="112" t="s">
        <v>4632</v>
      </c>
      <c r="B6689" s="112" t="s">
        <v>4688</v>
      </c>
      <c r="C6689" s="112" t="s">
        <v>1518</v>
      </c>
      <c r="D6689" s="113">
        <v>51365834</v>
      </c>
      <c r="E6689" s="115">
        <v>43947</v>
      </c>
      <c r="F6689" s="114">
        <v>202101</v>
      </c>
      <c r="G6689" s="112" t="s">
        <v>1091</v>
      </c>
      <c r="H6689" s="112" t="s">
        <v>1016</v>
      </c>
      <c r="I6689" s="112" t="s">
        <v>2337</v>
      </c>
      <c r="J6689" s="112" t="s">
        <v>4690</v>
      </c>
      <c r="K6689" s="112" t="s">
        <v>5304</v>
      </c>
      <c r="L6689" s="116">
        <v>-51</v>
      </c>
    </row>
    <row r="6690" spans="1:12" hidden="1" outlineLevel="1" collapsed="1" x14ac:dyDescent="0.35">
      <c r="A6690" s="112" t="s">
        <v>4632</v>
      </c>
      <c r="B6690" s="112" t="s">
        <v>4688</v>
      </c>
      <c r="C6690" s="112" t="s">
        <v>1518</v>
      </c>
      <c r="D6690" s="113">
        <v>51365874</v>
      </c>
      <c r="E6690" s="115">
        <v>43948</v>
      </c>
      <c r="F6690" s="114">
        <v>202101</v>
      </c>
      <c r="G6690" s="112" t="s">
        <v>1091</v>
      </c>
      <c r="H6690" s="112" t="s">
        <v>1016</v>
      </c>
      <c r="I6690" s="112" t="s">
        <v>2337</v>
      </c>
      <c r="J6690" s="112" t="s">
        <v>4690</v>
      </c>
      <c r="K6690" s="112" t="s">
        <v>5305</v>
      </c>
      <c r="L6690" s="116">
        <v>-51</v>
      </c>
    </row>
    <row r="6691" spans="1:12" hidden="1" outlineLevel="1" collapsed="1" x14ac:dyDescent="0.35">
      <c r="A6691" s="112" t="s">
        <v>4632</v>
      </c>
      <c r="B6691" s="112" t="s">
        <v>4688</v>
      </c>
      <c r="C6691" s="112" t="s">
        <v>1518</v>
      </c>
      <c r="D6691" s="113">
        <v>51365833</v>
      </c>
      <c r="E6691" s="115">
        <v>43947</v>
      </c>
      <c r="F6691" s="114">
        <v>202101</v>
      </c>
      <c r="G6691" s="112" t="s">
        <v>1091</v>
      </c>
      <c r="H6691" s="112" t="s">
        <v>1016</v>
      </c>
      <c r="I6691" s="112" t="s">
        <v>2337</v>
      </c>
      <c r="J6691" s="112" t="s">
        <v>4690</v>
      </c>
      <c r="K6691" s="112" t="s">
        <v>5306</v>
      </c>
      <c r="L6691" s="116">
        <v>-51</v>
      </c>
    </row>
    <row r="6692" spans="1:12" hidden="1" outlineLevel="1" collapsed="1" x14ac:dyDescent="0.35">
      <c r="A6692" s="112" t="s">
        <v>4632</v>
      </c>
      <c r="B6692" s="112" t="s">
        <v>4688</v>
      </c>
      <c r="C6692" s="112" t="s">
        <v>1518</v>
      </c>
      <c r="D6692" s="113">
        <v>51365895</v>
      </c>
      <c r="E6692" s="115">
        <v>43947</v>
      </c>
      <c r="F6692" s="114">
        <v>202101</v>
      </c>
      <c r="G6692" s="112" t="s">
        <v>1091</v>
      </c>
      <c r="H6692" s="112" t="s">
        <v>1016</v>
      </c>
      <c r="I6692" s="112" t="s">
        <v>2337</v>
      </c>
      <c r="J6692" s="112" t="s">
        <v>4690</v>
      </c>
      <c r="K6692" s="112" t="s">
        <v>5307</v>
      </c>
      <c r="L6692" s="116">
        <v>-51</v>
      </c>
    </row>
    <row r="6693" spans="1:12" hidden="1" outlineLevel="1" collapsed="1" x14ac:dyDescent="0.35">
      <c r="A6693" s="112" t="s">
        <v>4632</v>
      </c>
      <c r="B6693" s="112" t="s">
        <v>4688</v>
      </c>
      <c r="C6693" s="112" t="s">
        <v>1518</v>
      </c>
      <c r="D6693" s="113">
        <v>51365913</v>
      </c>
      <c r="E6693" s="115">
        <v>43947</v>
      </c>
      <c r="F6693" s="114">
        <v>202101</v>
      </c>
      <c r="G6693" s="112" t="s">
        <v>1091</v>
      </c>
      <c r="H6693" s="112" t="s">
        <v>1016</v>
      </c>
      <c r="I6693" s="112" t="s">
        <v>2337</v>
      </c>
      <c r="J6693" s="112" t="s">
        <v>4690</v>
      </c>
      <c r="K6693" s="112" t="s">
        <v>5308</v>
      </c>
      <c r="L6693" s="116">
        <v>-54</v>
      </c>
    </row>
    <row r="6694" spans="1:12" hidden="1" outlineLevel="1" collapsed="1" x14ac:dyDescent="0.35">
      <c r="A6694" s="112" t="s">
        <v>4632</v>
      </c>
      <c r="B6694" s="112" t="s">
        <v>4688</v>
      </c>
      <c r="C6694" s="112" t="s">
        <v>1518</v>
      </c>
      <c r="D6694" s="113">
        <v>51365912</v>
      </c>
      <c r="E6694" s="115">
        <v>43947</v>
      </c>
      <c r="F6694" s="114">
        <v>202101</v>
      </c>
      <c r="G6694" s="112" t="s">
        <v>1091</v>
      </c>
      <c r="H6694" s="112" t="s">
        <v>1016</v>
      </c>
      <c r="I6694" s="112" t="s">
        <v>2337</v>
      </c>
      <c r="J6694" s="112" t="s">
        <v>4690</v>
      </c>
      <c r="K6694" s="112" t="s">
        <v>5309</v>
      </c>
      <c r="L6694" s="116">
        <v>-54</v>
      </c>
    </row>
    <row r="6695" spans="1:12" hidden="1" outlineLevel="1" collapsed="1" x14ac:dyDescent="0.35">
      <c r="A6695" s="112" t="s">
        <v>4632</v>
      </c>
      <c r="B6695" s="112" t="s">
        <v>4688</v>
      </c>
      <c r="C6695" s="112" t="s">
        <v>1518</v>
      </c>
      <c r="D6695" s="113">
        <v>51365911</v>
      </c>
      <c r="E6695" s="115">
        <v>43946</v>
      </c>
      <c r="F6695" s="114">
        <v>202101</v>
      </c>
      <c r="G6695" s="112" t="s">
        <v>1091</v>
      </c>
      <c r="H6695" s="112" t="s">
        <v>1016</v>
      </c>
      <c r="I6695" s="112" t="s">
        <v>2337</v>
      </c>
      <c r="J6695" s="112" t="s">
        <v>4690</v>
      </c>
      <c r="K6695" s="112" t="s">
        <v>5310</v>
      </c>
      <c r="L6695" s="116">
        <v>-54</v>
      </c>
    </row>
    <row r="6696" spans="1:12" hidden="1" outlineLevel="1" collapsed="1" x14ac:dyDescent="0.35">
      <c r="A6696" s="112" t="s">
        <v>4632</v>
      </c>
      <c r="B6696" s="112" t="s">
        <v>4688</v>
      </c>
      <c r="C6696" s="112" t="s">
        <v>1518</v>
      </c>
      <c r="D6696" s="113">
        <v>51365910</v>
      </c>
      <c r="E6696" s="115">
        <v>43946</v>
      </c>
      <c r="F6696" s="114">
        <v>202101</v>
      </c>
      <c r="G6696" s="112" t="s">
        <v>1091</v>
      </c>
      <c r="H6696" s="112" t="s">
        <v>1016</v>
      </c>
      <c r="I6696" s="112" t="s">
        <v>2337</v>
      </c>
      <c r="J6696" s="112" t="s">
        <v>4690</v>
      </c>
      <c r="K6696" s="112" t="s">
        <v>5311</v>
      </c>
      <c r="L6696" s="116">
        <v>-54</v>
      </c>
    </row>
    <row r="6697" spans="1:12" hidden="1" outlineLevel="1" collapsed="1" x14ac:dyDescent="0.35">
      <c r="A6697" s="112" t="s">
        <v>4632</v>
      </c>
      <c r="B6697" s="112" t="s">
        <v>4688</v>
      </c>
      <c r="C6697" s="112" t="s">
        <v>1518</v>
      </c>
      <c r="D6697" s="113">
        <v>51365909</v>
      </c>
      <c r="E6697" s="115">
        <v>43947</v>
      </c>
      <c r="F6697" s="114">
        <v>202101</v>
      </c>
      <c r="G6697" s="112" t="s">
        <v>1091</v>
      </c>
      <c r="H6697" s="112" t="s">
        <v>1016</v>
      </c>
      <c r="I6697" s="112" t="s">
        <v>2337</v>
      </c>
      <c r="J6697" s="112" t="s">
        <v>4690</v>
      </c>
      <c r="K6697" s="112" t="s">
        <v>5312</v>
      </c>
      <c r="L6697" s="116">
        <v>-51</v>
      </c>
    </row>
    <row r="6698" spans="1:12" hidden="1" outlineLevel="1" collapsed="1" x14ac:dyDescent="0.35">
      <c r="A6698" s="112" t="s">
        <v>4632</v>
      </c>
      <c r="B6698" s="112" t="s">
        <v>4688</v>
      </c>
      <c r="C6698" s="112" t="s">
        <v>1518</v>
      </c>
      <c r="D6698" s="113">
        <v>51365908</v>
      </c>
      <c r="E6698" s="115">
        <v>43946</v>
      </c>
      <c r="F6698" s="114">
        <v>202101</v>
      </c>
      <c r="G6698" s="112" t="s">
        <v>1091</v>
      </c>
      <c r="H6698" s="112" t="s">
        <v>1016</v>
      </c>
      <c r="I6698" s="112" t="s">
        <v>2337</v>
      </c>
      <c r="J6698" s="112" t="s">
        <v>4690</v>
      </c>
      <c r="K6698" s="112" t="s">
        <v>5313</v>
      </c>
      <c r="L6698" s="116">
        <v>-51</v>
      </c>
    </row>
    <row r="6699" spans="1:12" hidden="1" outlineLevel="1" collapsed="1" x14ac:dyDescent="0.35">
      <c r="A6699" s="112" t="s">
        <v>4632</v>
      </c>
      <c r="B6699" s="112" t="s">
        <v>4688</v>
      </c>
      <c r="C6699" s="112" t="s">
        <v>1518</v>
      </c>
      <c r="D6699" s="113">
        <v>51365907</v>
      </c>
      <c r="E6699" s="115">
        <v>43947</v>
      </c>
      <c r="F6699" s="114">
        <v>202101</v>
      </c>
      <c r="G6699" s="112" t="s">
        <v>1091</v>
      </c>
      <c r="H6699" s="112" t="s">
        <v>1016</v>
      </c>
      <c r="I6699" s="112" t="s">
        <v>2337</v>
      </c>
      <c r="J6699" s="112" t="s">
        <v>4690</v>
      </c>
      <c r="K6699" s="112" t="s">
        <v>5314</v>
      </c>
      <c r="L6699" s="116">
        <v>-51</v>
      </c>
    </row>
    <row r="6700" spans="1:12" hidden="1" outlineLevel="1" collapsed="1" x14ac:dyDescent="0.35">
      <c r="A6700" s="112" t="s">
        <v>4632</v>
      </c>
      <c r="B6700" s="112" t="s">
        <v>4688</v>
      </c>
      <c r="C6700" s="112" t="s">
        <v>1518</v>
      </c>
      <c r="D6700" s="113">
        <v>51365906</v>
      </c>
      <c r="E6700" s="115">
        <v>43947</v>
      </c>
      <c r="F6700" s="114">
        <v>202101</v>
      </c>
      <c r="G6700" s="112" t="s">
        <v>1091</v>
      </c>
      <c r="H6700" s="112" t="s">
        <v>1016</v>
      </c>
      <c r="I6700" s="112" t="s">
        <v>2337</v>
      </c>
      <c r="J6700" s="112" t="s">
        <v>4690</v>
      </c>
      <c r="K6700" s="112" t="s">
        <v>5315</v>
      </c>
      <c r="L6700" s="116">
        <v>-51</v>
      </c>
    </row>
    <row r="6701" spans="1:12" hidden="1" outlineLevel="1" collapsed="1" x14ac:dyDescent="0.35">
      <c r="A6701" s="112" t="s">
        <v>4632</v>
      </c>
      <c r="B6701" s="112" t="s">
        <v>4688</v>
      </c>
      <c r="C6701" s="112" t="s">
        <v>1518</v>
      </c>
      <c r="D6701" s="113">
        <v>51365905</v>
      </c>
      <c r="E6701" s="115">
        <v>43947</v>
      </c>
      <c r="F6701" s="114">
        <v>202101</v>
      </c>
      <c r="G6701" s="112" t="s">
        <v>1091</v>
      </c>
      <c r="H6701" s="112" t="s">
        <v>1016</v>
      </c>
      <c r="I6701" s="112" t="s">
        <v>2337</v>
      </c>
      <c r="J6701" s="112" t="s">
        <v>4690</v>
      </c>
      <c r="K6701" s="112" t="s">
        <v>5316</v>
      </c>
      <c r="L6701" s="116">
        <v>-51</v>
      </c>
    </row>
    <row r="6702" spans="1:12" hidden="1" outlineLevel="1" collapsed="1" x14ac:dyDescent="0.35">
      <c r="A6702" s="112" t="s">
        <v>4632</v>
      </c>
      <c r="B6702" s="112" t="s">
        <v>4688</v>
      </c>
      <c r="C6702" s="112" t="s">
        <v>1518</v>
      </c>
      <c r="D6702" s="113">
        <v>51365904</v>
      </c>
      <c r="E6702" s="115">
        <v>43947</v>
      </c>
      <c r="F6702" s="114">
        <v>202101</v>
      </c>
      <c r="G6702" s="112" t="s">
        <v>1091</v>
      </c>
      <c r="H6702" s="112" t="s">
        <v>1016</v>
      </c>
      <c r="I6702" s="112" t="s">
        <v>2337</v>
      </c>
      <c r="J6702" s="112" t="s">
        <v>4690</v>
      </c>
      <c r="K6702" s="112" t="s">
        <v>5317</v>
      </c>
      <c r="L6702" s="116">
        <v>-51</v>
      </c>
    </row>
    <row r="6703" spans="1:12" hidden="1" outlineLevel="1" collapsed="1" x14ac:dyDescent="0.35">
      <c r="A6703" s="112" t="s">
        <v>4632</v>
      </c>
      <c r="B6703" s="112" t="s">
        <v>4688</v>
      </c>
      <c r="C6703" s="112" t="s">
        <v>1518</v>
      </c>
      <c r="D6703" s="113">
        <v>51365903</v>
      </c>
      <c r="E6703" s="115">
        <v>43947</v>
      </c>
      <c r="F6703" s="114">
        <v>202101</v>
      </c>
      <c r="G6703" s="112" t="s">
        <v>1091</v>
      </c>
      <c r="H6703" s="112" t="s">
        <v>1016</v>
      </c>
      <c r="I6703" s="112" t="s">
        <v>2337</v>
      </c>
      <c r="J6703" s="112" t="s">
        <v>4690</v>
      </c>
      <c r="K6703" s="112" t="s">
        <v>5318</v>
      </c>
      <c r="L6703" s="116">
        <v>-51</v>
      </c>
    </row>
    <row r="6704" spans="1:12" hidden="1" outlineLevel="1" collapsed="1" x14ac:dyDescent="0.35">
      <c r="A6704" s="112" t="s">
        <v>4632</v>
      </c>
      <c r="B6704" s="112" t="s">
        <v>4688</v>
      </c>
      <c r="C6704" s="112" t="s">
        <v>1518</v>
      </c>
      <c r="D6704" s="113">
        <v>51365902</v>
      </c>
      <c r="E6704" s="115">
        <v>43948</v>
      </c>
      <c r="F6704" s="114">
        <v>202101</v>
      </c>
      <c r="G6704" s="112" t="s">
        <v>1091</v>
      </c>
      <c r="H6704" s="112" t="s">
        <v>1016</v>
      </c>
      <c r="I6704" s="112" t="s">
        <v>2337</v>
      </c>
      <c r="J6704" s="112" t="s">
        <v>4690</v>
      </c>
      <c r="K6704" s="112" t="s">
        <v>5319</v>
      </c>
      <c r="L6704" s="116">
        <v>-51</v>
      </c>
    </row>
    <row r="6705" spans="1:12" hidden="1" outlineLevel="1" collapsed="1" x14ac:dyDescent="0.35">
      <c r="A6705" s="112" t="s">
        <v>4632</v>
      </c>
      <c r="B6705" s="112" t="s">
        <v>4688</v>
      </c>
      <c r="C6705" s="112" t="s">
        <v>1518</v>
      </c>
      <c r="D6705" s="113">
        <v>51365901</v>
      </c>
      <c r="E6705" s="115">
        <v>43946</v>
      </c>
      <c r="F6705" s="114">
        <v>202101</v>
      </c>
      <c r="G6705" s="112" t="s">
        <v>1091</v>
      </c>
      <c r="H6705" s="112" t="s">
        <v>1016</v>
      </c>
      <c r="I6705" s="112" t="s">
        <v>2337</v>
      </c>
      <c r="J6705" s="112" t="s">
        <v>4690</v>
      </c>
      <c r="K6705" s="112" t="s">
        <v>5320</v>
      </c>
      <c r="L6705" s="116">
        <v>-51</v>
      </c>
    </row>
    <row r="6706" spans="1:12" hidden="1" outlineLevel="1" collapsed="1" x14ac:dyDescent="0.35">
      <c r="A6706" s="112" t="s">
        <v>4632</v>
      </c>
      <c r="B6706" s="112" t="s">
        <v>4688</v>
      </c>
      <c r="C6706" s="112" t="s">
        <v>1518</v>
      </c>
      <c r="D6706" s="113">
        <v>51365900</v>
      </c>
      <c r="E6706" s="115">
        <v>43948</v>
      </c>
      <c r="F6706" s="114">
        <v>202101</v>
      </c>
      <c r="G6706" s="112" t="s">
        <v>1091</v>
      </c>
      <c r="H6706" s="112" t="s">
        <v>1016</v>
      </c>
      <c r="I6706" s="112" t="s">
        <v>2337</v>
      </c>
      <c r="J6706" s="112" t="s">
        <v>4690</v>
      </c>
      <c r="K6706" s="112" t="s">
        <v>5321</v>
      </c>
      <c r="L6706" s="116">
        <v>-51</v>
      </c>
    </row>
    <row r="6707" spans="1:12" hidden="1" outlineLevel="1" collapsed="1" x14ac:dyDescent="0.35">
      <c r="A6707" s="112" t="s">
        <v>4632</v>
      </c>
      <c r="B6707" s="112" t="s">
        <v>4688</v>
      </c>
      <c r="C6707" s="112" t="s">
        <v>1518</v>
      </c>
      <c r="D6707" s="113">
        <v>51365899</v>
      </c>
      <c r="E6707" s="115">
        <v>43948</v>
      </c>
      <c r="F6707" s="114">
        <v>202101</v>
      </c>
      <c r="G6707" s="112" t="s">
        <v>1091</v>
      </c>
      <c r="H6707" s="112" t="s">
        <v>1016</v>
      </c>
      <c r="I6707" s="112" t="s">
        <v>2337</v>
      </c>
      <c r="J6707" s="112" t="s">
        <v>4690</v>
      </c>
      <c r="K6707" s="112" t="s">
        <v>5322</v>
      </c>
      <c r="L6707" s="116">
        <v>-51</v>
      </c>
    </row>
    <row r="6708" spans="1:12" hidden="1" outlineLevel="1" collapsed="1" x14ac:dyDescent="0.35">
      <c r="A6708" s="112" t="s">
        <v>4632</v>
      </c>
      <c r="B6708" s="112" t="s">
        <v>4688</v>
      </c>
      <c r="C6708" s="112" t="s">
        <v>1518</v>
      </c>
      <c r="D6708" s="113">
        <v>51365898</v>
      </c>
      <c r="E6708" s="115">
        <v>43947</v>
      </c>
      <c r="F6708" s="114">
        <v>202101</v>
      </c>
      <c r="G6708" s="112" t="s">
        <v>1091</v>
      </c>
      <c r="H6708" s="112" t="s">
        <v>1016</v>
      </c>
      <c r="I6708" s="112" t="s">
        <v>2337</v>
      </c>
      <c r="J6708" s="112" t="s">
        <v>4690</v>
      </c>
      <c r="K6708" s="112" t="s">
        <v>5323</v>
      </c>
      <c r="L6708" s="116">
        <v>-51</v>
      </c>
    </row>
    <row r="6709" spans="1:12" hidden="1" outlineLevel="1" collapsed="1" x14ac:dyDescent="0.35">
      <c r="A6709" s="112" t="s">
        <v>4632</v>
      </c>
      <c r="B6709" s="112" t="s">
        <v>4688</v>
      </c>
      <c r="C6709" s="112" t="s">
        <v>1518</v>
      </c>
      <c r="D6709" s="113">
        <v>51365897</v>
      </c>
      <c r="E6709" s="115">
        <v>43947</v>
      </c>
      <c r="F6709" s="114">
        <v>202101</v>
      </c>
      <c r="G6709" s="112" t="s">
        <v>1091</v>
      </c>
      <c r="H6709" s="112" t="s">
        <v>1016</v>
      </c>
      <c r="I6709" s="112" t="s">
        <v>2337</v>
      </c>
      <c r="J6709" s="112" t="s">
        <v>4690</v>
      </c>
      <c r="K6709" s="112" t="s">
        <v>5324</v>
      </c>
      <c r="L6709" s="116">
        <v>-51</v>
      </c>
    </row>
    <row r="6710" spans="1:12" hidden="1" outlineLevel="1" collapsed="1" x14ac:dyDescent="0.35">
      <c r="A6710" s="112" t="s">
        <v>4632</v>
      </c>
      <c r="B6710" s="112" t="s">
        <v>4688</v>
      </c>
      <c r="C6710" s="112" t="s">
        <v>1518</v>
      </c>
      <c r="D6710" s="113">
        <v>51365896</v>
      </c>
      <c r="E6710" s="115">
        <v>43947</v>
      </c>
      <c r="F6710" s="114">
        <v>202101</v>
      </c>
      <c r="G6710" s="112" t="s">
        <v>1091</v>
      </c>
      <c r="H6710" s="112" t="s">
        <v>1016</v>
      </c>
      <c r="I6710" s="112" t="s">
        <v>2337</v>
      </c>
      <c r="J6710" s="112" t="s">
        <v>4690</v>
      </c>
      <c r="K6710" s="112" t="s">
        <v>5325</v>
      </c>
      <c r="L6710" s="116">
        <v>-51</v>
      </c>
    </row>
    <row r="6711" spans="1:12" hidden="1" outlineLevel="1" collapsed="1" x14ac:dyDescent="0.35">
      <c r="A6711" s="112" t="s">
        <v>4632</v>
      </c>
      <c r="B6711" s="112" t="s">
        <v>4688</v>
      </c>
      <c r="C6711" s="112" t="s">
        <v>1518</v>
      </c>
      <c r="D6711" s="113">
        <v>51365914</v>
      </c>
      <c r="E6711" s="115">
        <v>43947</v>
      </c>
      <c r="F6711" s="114">
        <v>202101</v>
      </c>
      <c r="G6711" s="112" t="s">
        <v>1091</v>
      </c>
      <c r="H6711" s="112" t="s">
        <v>1016</v>
      </c>
      <c r="I6711" s="112" t="s">
        <v>2337</v>
      </c>
      <c r="J6711" s="112" t="s">
        <v>4690</v>
      </c>
      <c r="K6711" s="112" t="s">
        <v>5326</v>
      </c>
      <c r="L6711" s="116">
        <v>-54</v>
      </c>
    </row>
    <row r="6712" spans="1:12" hidden="1" outlineLevel="1" collapsed="1" x14ac:dyDescent="0.35">
      <c r="A6712" s="112" t="s">
        <v>4632</v>
      </c>
      <c r="B6712" s="112" t="s">
        <v>4688</v>
      </c>
      <c r="C6712" s="112" t="s">
        <v>1518</v>
      </c>
      <c r="D6712" s="113">
        <v>51365894</v>
      </c>
      <c r="E6712" s="115">
        <v>43946</v>
      </c>
      <c r="F6712" s="114">
        <v>202101</v>
      </c>
      <c r="G6712" s="112" t="s">
        <v>1091</v>
      </c>
      <c r="H6712" s="112" t="s">
        <v>1016</v>
      </c>
      <c r="I6712" s="112" t="s">
        <v>2337</v>
      </c>
      <c r="J6712" s="112" t="s">
        <v>4690</v>
      </c>
      <c r="K6712" s="112" t="s">
        <v>5327</v>
      </c>
      <c r="L6712" s="116">
        <v>-51</v>
      </c>
    </row>
    <row r="6713" spans="1:12" hidden="1" outlineLevel="1" collapsed="1" x14ac:dyDescent="0.35">
      <c r="A6713" s="112" t="s">
        <v>4632</v>
      </c>
      <c r="B6713" s="112" t="s">
        <v>4688</v>
      </c>
      <c r="C6713" s="112" t="s">
        <v>1518</v>
      </c>
      <c r="D6713" s="113">
        <v>51365893</v>
      </c>
      <c r="E6713" s="115">
        <v>43946</v>
      </c>
      <c r="F6713" s="114">
        <v>202101</v>
      </c>
      <c r="G6713" s="112" t="s">
        <v>1091</v>
      </c>
      <c r="H6713" s="112" t="s">
        <v>1016</v>
      </c>
      <c r="I6713" s="112" t="s">
        <v>2337</v>
      </c>
      <c r="J6713" s="112" t="s">
        <v>4690</v>
      </c>
      <c r="K6713" s="112" t="s">
        <v>5328</v>
      </c>
      <c r="L6713" s="116">
        <v>-51</v>
      </c>
    </row>
    <row r="6714" spans="1:12" hidden="1" outlineLevel="1" collapsed="1" x14ac:dyDescent="0.35">
      <c r="A6714" s="112" t="s">
        <v>4632</v>
      </c>
      <c r="B6714" s="112" t="s">
        <v>4688</v>
      </c>
      <c r="C6714" s="112" t="s">
        <v>1518</v>
      </c>
      <c r="D6714" s="113">
        <v>51365892</v>
      </c>
      <c r="E6714" s="115">
        <v>43946</v>
      </c>
      <c r="F6714" s="114">
        <v>202101</v>
      </c>
      <c r="G6714" s="112" t="s">
        <v>1091</v>
      </c>
      <c r="H6714" s="112" t="s">
        <v>1016</v>
      </c>
      <c r="I6714" s="112" t="s">
        <v>2337</v>
      </c>
      <c r="J6714" s="112" t="s">
        <v>4690</v>
      </c>
      <c r="K6714" s="112" t="s">
        <v>5329</v>
      </c>
      <c r="L6714" s="116">
        <v>-51</v>
      </c>
    </row>
    <row r="6715" spans="1:12" hidden="1" outlineLevel="1" collapsed="1" x14ac:dyDescent="0.35">
      <c r="A6715" s="112" t="s">
        <v>4632</v>
      </c>
      <c r="B6715" s="112" t="s">
        <v>4688</v>
      </c>
      <c r="C6715" s="112" t="s">
        <v>1518</v>
      </c>
      <c r="D6715" s="113">
        <v>51365891</v>
      </c>
      <c r="E6715" s="115">
        <v>43947</v>
      </c>
      <c r="F6715" s="114">
        <v>202101</v>
      </c>
      <c r="G6715" s="112" t="s">
        <v>1091</v>
      </c>
      <c r="H6715" s="112" t="s">
        <v>1016</v>
      </c>
      <c r="I6715" s="112" t="s">
        <v>2337</v>
      </c>
      <c r="J6715" s="112" t="s">
        <v>4690</v>
      </c>
      <c r="K6715" s="112" t="s">
        <v>5330</v>
      </c>
      <c r="L6715" s="116">
        <v>-51</v>
      </c>
    </row>
    <row r="6716" spans="1:12" hidden="1" outlineLevel="1" collapsed="1" x14ac:dyDescent="0.35">
      <c r="A6716" s="112" t="s">
        <v>4632</v>
      </c>
      <c r="B6716" s="112" t="s">
        <v>4688</v>
      </c>
      <c r="C6716" s="112" t="s">
        <v>1518</v>
      </c>
      <c r="D6716" s="113">
        <v>51365890</v>
      </c>
      <c r="E6716" s="115">
        <v>43947</v>
      </c>
      <c r="F6716" s="114">
        <v>202101</v>
      </c>
      <c r="G6716" s="112" t="s">
        <v>1091</v>
      </c>
      <c r="H6716" s="112" t="s">
        <v>1016</v>
      </c>
      <c r="I6716" s="112" t="s">
        <v>2337</v>
      </c>
      <c r="J6716" s="112" t="s">
        <v>4690</v>
      </c>
      <c r="K6716" s="112" t="s">
        <v>5331</v>
      </c>
      <c r="L6716" s="116">
        <v>-51</v>
      </c>
    </row>
    <row r="6717" spans="1:12" hidden="1" outlineLevel="1" collapsed="1" x14ac:dyDescent="0.35">
      <c r="A6717" s="112" t="s">
        <v>4632</v>
      </c>
      <c r="B6717" s="112" t="s">
        <v>4688</v>
      </c>
      <c r="C6717" s="112" t="s">
        <v>1518</v>
      </c>
      <c r="D6717" s="113">
        <v>51365889</v>
      </c>
      <c r="E6717" s="115">
        <v>43946</v>
      </c>
      <c r="F6717" s="114">
        <v>202101</v>
      </c>
      <c r="G6717" s="112" t="s">
        <v>1091</v>
      </c>
      <c r="H6717" s="112" t="s">
        <v>1016</v>
      </c>
      <c r="I6717" s="112" t="s">
        <v>2337</v>
      </c>
      <c r="J6717" s="112" t="s">
        <v>4690</v>
      </c>
      <c r="K6717" s="112" t="s">
        <v>5332</v>
      </c>
      <c r="L6717" s="116">
        <v>-54</v>
      </c>
    </row>
    <row r="6718" spans="1:12" hidden="1" outlineLevel="1" collapsed="1" x14ac:dyDescent="0.35">
      <c r="A6718" s="112" t="s">
        <v>4632</v>
      </c>
      <c r="B6718" s="112" t="s">
        <v>4688</v>
      </c>
      <c r="C6718" s="112" t="s">
        <v>1518</v>
      </c>
      <c r="D6718" s="113">
        <v>51365888</v>
      </c>
      <c r="E6718" s="115">
        <v>43947</v>
      </c>
      <c r="F6718" s="114">
        <v>202101</v>
      </c>
      <c r="G6718" s="112" t="s">
        <v>1091</v>
      </c>
      <c r="H6718" s="112" t="s">
        <v>1016</v>
      </c>
      <c r="I6718" s="112" t="s">
        <v>2337</v>
      </c>
      <c r="J6718" s="112" t="s">
        <v>4690</v>
      </c>
      <c r="K6718" s="112" t="s">
        <v>5333</v>
      </c>
      <c r="L6718" s="116">
        <v>-51</v>
      </c>
    </row>
    <row r="6719" spans="1:12" hidden="1" outlineLevel="1" collapsed="1" x14ac:dyDescent="0.35">
      <c r="A6719" s="112" t="s">
        <v>4632</v>
      </c>
      <c r="B6719" s="112" t="s">
        <v>4688</v>
      </c>
      <c r="C6719" s="112" t="s">
        <v>1518</v>
      </c>
      <c r="D6719" s="113">
        <v>51365887</v>
      </c>
      <c r="E6719" s="115">
        <v>43947</v>
      </c>
      <c r="F6719" s="114">
        <v>202101</v>
      </c>
      <c r="G6719" s="112" t="s">
        <v>1091</v>
      </c>
      <c r="H6719" s="112" t="s">
        <v>1016</v>
      </c>
      <c r="I6719" s="112" t="s">
        <v>2337</v>
      </c>
      <c r="J6719" s="112" t="s">
        <v>4690</v>
      </c>
      <c r="K6719" s="112" t="s">
        <v>5334</v>
      </c>
      <c r="L6719" s="116">
        <v>-54</v>
      </c>
    </row>
    <row r="6720" spans="1:12" hidden="1" outlineLevel="1" collapsed="1" x14ac:dyDescent="0.35">
      <c r="A6720" s="112" t="s">
        <v>4632</v>
      </c>
      <c r="B6720" s="112" t="s">
        <v>4688</v>
      </c>
      <c r="C6720" s="112" t="s">
        <v>1518</v>
      </c>
      <c r="D6720" s="113">
        <v>51365886</v>
      </c>
      <c r="E6720" s="115">
        <v>43946</v>
      </c>
      <c r="F6720" s="114">
        <v>202101</v>
      </c>
      <c r="G6720" s="112" t="s">
        <v>1091</v>
      </c>
      <c r="H6720" s="112" t="s">
        <v>1016</v>
      </c>
      <c r="I6720" s="112" t="s">
        <v>2337</v>
      </c>
      <c r="J6720" s="112" t="s">
        <v>4690</v>
      </c>
      <c r="K6720" s="112" t="s">
        <v>5335</v>
      </c>
      <c r="L6720" s="116">
        <v>-51</v>
      </c>
    </row>
    <row r="6721" spans="1:12" hidden="1" outlineLevel="1" collapsed="1" x14ac:dyDescent="0.35">
      <c r="A6721" s="112" t="s">
        <v>4632</v>
      </c>
      <c r="B6721" s="112" t="s">
        <v>4688</v>
      </c>
      <c r="C6721" s="112" t="s">
        <v>1518</v>
      </c>
      <c r="D6721" s="113">
        <v>51365885</v>
      </c>
      <c r="E6721" s="115">
        <v>43946</v>
      </c>
      <c r="F6721" s="114">
        <v>202101</v>
      </c>
      <c r="G6721" s="112" t="s">
        <v>1091</v>
      </c>
      <c r="H6721" s="112" t="s">
        <v>1016</v>
      </c>
      <c r="I6721" s="112" t="s">
        <v>2337</v>
      </c>
      <c r="J6721" s="112" t="s">
        <v>4690</v>
      </c>
      <c r="K6721" s="112" t="s">
        <v>5336</v>
      </c>
      <c r="L6721" s="116">
        <v>-51</v>
      </c>
    </row>
    <row r="6722" spans="1:12" hidden="1" outlineLevel="1" collapsed="1" x14ac:dyDescent="0.35">
      <c r="A6722" s="112" t="s">
        <v>4632</v>
      </c>
      <c r="B6722" s="112" t="s">
        <v>4688</v>
      </c>
      <c r="C6722" s="112" t="s">
        <v>1518</v>
      </c>
      <c r="D6722" s="113">
        <v>51365884</v>
      </c>
      <c r="E6722" s="115">
        <v>43947</v>
      </c>
      <c r="F6722" s="114">
        <v>202101</v>
      </c>
      <c r="G6722" s="112" t="s">
        <v>1091</v>
      </c>
      <c r="H6722" s="112" t="s">
        <v>1016</v>
      </c>
      <c r="I6722" s="112" t="s">
        <v>2337</v>
      </c>
      <c r="J6722" s="112" t="s">
        <v>4690</v>
      </c>
      <c r="K6722" s="112" t="s">
        <v>5337</v>
      </c>
      <c r="L6722" s="116">
        <v>-51</v>
      </c>
    </row>
    <row r="6723" spans="1:12" hidden="1" outlineLevel="1" collapsed="1" x14ac:dyDescent="0.35">
      <c r="A6723" s="112" t="s">
        <v>4632</v>
      </c>
      <c r="B6723" s="112" t="s">
        <v>4688</v>
      </c>
      <c r="C6723" s="112" t="s">
        <v>1518</v>
      </c>
      <c r="D6723" s="113">
        <v>51365883</v>
      </c>
      <c r="E6723" s="115">
        <v>43946</v>
      </c>
      <c r="F6723" s="114">
        <v>202101</v>
      </c>
      <c r="G6723" s="112" t="s">
        <v>1091</v>
      </c>
      <c r="H6723" s="112" t="s">
        <v>1016</v>
      </c>
      <c r="I6723" s="112" t="s">
        <v>2337</v>
      </c>
      <c r="J6723" s="112" t="s">
        <v>4690</v>
      </c>
      <c r="K6723" s="112" t="s">
        <v>5338</v>
      </c>
      <c r="L6723" s="116">
        <v>-54</v>
      </c>
    </row>
    <row r="6724" spans="1:12" hidden="1" outlineLevel="1" collapsed="1" x14ac:dyDescent="0.35">
      <c r="A6724" s="112" t="s">
        <v>4632</v>
      </c>
      <c r="B6724" s="112" t="s">
        <v>4688</v>
      </c>
      <c r="C6724" s="112" t="s">
        <v>1518</v>
      </c>
      <c r="D6724" s="113">
        <v>51365882</v>
      </c>
      <c r="E6724" s="115">
        <v>43947</v>
      </c>
      <c r="F6724" s="114">
        <v>202101</v>
      </c>
      <c r="G6724" s="112" t="s">
        <v>1091</v>
      </c>
      <c r="H6724" s="112" t="s">
        <v>1016</v>
      </c>
      <c r="I6724" s="112" t="s">
        <v>2337</v>
      </c>
      <c r="J6724" s="112" t="s">
        <v>4690</v>
      </c>
      <c r="K6724" s="112" t="s">
        <v>5339</v>
      </c>
      <c r="L6724" s="116">
        <v>-51</v>
      </c>
    </row>
    <row r="6725" spans="1:12" hidden="1" outlineLevel="1" collapsed="1" x14ac:dyDescent="0.35">
      <c r="A6725" s="112" t="s">
        <v>4632</v>
      </c>
      <c r="B6725" s="112" t="s">
        <v>4688</v>
      </c>
      <c r="C6725" s="112" t="s">
        <v>1518</v>
      </c>
      <c r="D6725" s="113">
        <v>51365881</v>
      </c>
      <c r="E6725" s="115">
        <v>43948</v>
      </c>
      <c r="F6725" s="114">
        <v>202101</v>
      </c>
      <c r="G6725" s="112" t="s">
        <v>1091</v>
      </c>
      <c r="H6725" s="112" t="s">
        <v>1016</v>
      </c>
      <c r="I6725" s="112" t="s">
        <v>2337</v>
      </c>
      <c r="J6725" s="112" t="s">
        <v>4690</v>
      </c>
      <c r="K6725" s="112" t="s">
        <v>5340</v>
      </c>
      <c r="L6725" s="116">
        <v>-51</v>
      </c>
    </row>
    <row r="6726" spans="1:12" hidden="1" outlineLevel="1" collapsed="1" x14ac:dyDescent="0.35">
      <c r="A6726" s="112" t="s">
        <v>4632</v>
      </c>
      <c r="B6726" s="112" t="s">
        <v>4688</v>
      </c>
      <c r="C6726" s="112" t="s">
        <v>1518</v>
      </c>
      <c r="D6726" s="113">
        <v>51365880</v>
      </c>
      <c r="E6726" s="115">
        <v>43948</v>
      </c>
      <c r="F6726" s="114">
        <v>202101</v>
      </c>
      <c r="G6726" s="112" t="s">
        <v>1091</v>
      </c>
      <c r="H6726" s="112" t="s">
        <v>1016</v>
      </c>
      <c r="I6726" s="112" t="s">
        <v>2337</v>
      </c>
      <c r="J6726" s="112" t="s">
        <v>4690</v>
      </c>
      <c r="K6726" s="112" t="s">
        <v>5341</v>
      </c>
      <c r="L6726" s="116">
        <v>-51</v>
      </c>
    </row>
    <row r="6727" spans="1:12" hidden="1" outlineLevel="1" collapsed="1" x14ac:dyDescent="0.35">
      <c r="A6727" s="112" t="s">
        <v>4632</v>
      </c>
      <c r="B6727" s="112" t="s">
        <v>4688</v>
      </c>
      <c r="C6727" s="112" t="s">
        <v>1518</v>
      </c>
      <c r="D6727" s="113">
        <v>51365879</v>
      </c>
      <c r="E6727" s="115">
        <v>43948</v>
      </c>
      <c r="F6727" s="114">
        <v>202101</v>
      </c>
      <c r="G6727" s="112" t="s">
        <v>1091</v>
      </c>
      <c r="H6727" s="112" t="s">
        <v>1016</v>
      </c>
      <c r="I6727" s="112" t="s">
        <v>2337</v>
      </c>
      <c r="J6727" s="112" t="s">
        <v>4690</v>
      </c>
      <c r="K6727" s="112" t="s">
        <v>5342</v>
      </c>
      <c r="L6727" s="116">
        <v>-51</v>
      </c>
    </row>
    <row r="6728" spans="1:12" hidden="1" outlineLevel="1" collapsed="1" x14ac:dyDescent="0.35">
      <c r="A6728" s="112" t="s">
        <v>4632</v>
      </c>
      <c r="B6728" s="112" t="s">
        <v>4688</v>
      </c>
      <c r="C6728" s="112" t="s">
        <v>1518</v>
      </c>
      <c r="D6728" s="113">
        <v>51365878</v>
      </c>
      <c r="E6728" s="115">
        <v>43947</v>
      </c>
      <c r="F6728" s="114">
        <v>202101</v>
      </c>
      <c r="G6728" s="112" t="s">
        <v>1091</v>
      </c>
      <c r="H6728" s="112" t="s">
        <v>1016</v>
      </c>
      <c r="I6728" s="112" t="s">
        <v>2337</v>
      </c>
      <c r="J6728" s="112" t="s">
        <v>4690</v>
      </c>
      <c r="K6728" s="112" t="s">
        <v>5343</v>
      </c>
      <c r="L6728" s="116">
        <v>-51</v>
      </c>
    </row>
    <row r="6729" spans="1:12" hidden="1" outlineLevel="1" collapsed="1" x14ac:dyDescent="0.35">
      <c r="A6729" s="112" t="s">
        <v>4632</v>
      </c>
      <c r="B6729" s="112" t="s">
        <v>4688</v>
      </c>
      <c r="C6729" s="112" t="s">
        <v>1518</v>
      </c>
      <c r="D6729" s="113">
        <v>51365877</v>
      </c>
      <c r="E6729" s="115">
        <v>43948</v>
      </c>
      <c r="F6729" s="114">
        <v>202101</v>
      </c>
      <c r="G6729" s="112" t="s">
        <v>1091</v>
      </c>
      <c r="H6729" s="112" t="s">
        <v>1016</v>
      </c>
      <c r="I6729" s="112" t="s">
        <v>2337</v>
      </c>
      <c r="J6729" s="112" t="s">
        <v>4690</v>
      </c>
      <c r="K6729" s="112" t="s">
        <v>5344</v>
      </c>
      <c r="L6729" s="116">
        <v>-51</v>
      </c>
    </row>
    <row r="6730" spans="1:12" hidden="1" outlineLevel="1" collapsed="1" x14ac:dyDescent="0.35">
      <c r="A6730" s="112" t="s">
        <v>4632</v>
      </c>
      <c r="B6730" s="112" t="s">
        <v>4688</v>
      </c>
      <c r="C6730" s="112" t="s">
        <v>1518</v>
      </c>
      <c r="D6730" s="113">
        <v>51365876</v>
      </c>
      <c r="E6730" s="115">
        <v>43948</v>
      </c>
      <c r="F6730" s="114">
        <v>202101</v>
      </c>
      <c r="G6730" s="112" t="s">
        <v>1091</v>
      </c>
      <c r="H6730" s="112" t="s">
        <v>1016</v>
      </c>
      <c r="I6730" s="112" t="s">
        <v>2337</v>
      </c>
      <c r="J6730" s="112" t="s">
        <v>4690</v>
      </c>
      <c r="K6730" s="112" t="s">
        <v>5345</v>
      </c>
      <c r="L6730" s="116">
        <v>-51</v>
      </c>
    </row>
    <row r="6731" spans="1:12" hidden="1" outlineLevel="1" collapsed="1" x14ac:dyDescent="0.35">
      <c r="A6731" s="112" t="s">
        <v>4632</v>
      </c>
      <c r="B6731" s="112" t="s">
        <v>4688</v>
      </c>
      <c r="C6731" s="112" t="s">
        <v>1518</v>
      </c>
      <c r="D6731" s="113">
        <v>51365875</v>
      </c>
      <c r="E6731" s="115">
        <v>43948</v>
      </c>
      <c r="F6731" s="114">
        <v>202101</v>
      </c>
      <c r="G6731" s="112" t="s">
        <v>1091</v>
      </c>
      <c r="H6731" s="112" t="s">
        <v>1016</v>
      </c>
      <c r="I6731" s="112" t="s">
        <v>2337</v>
      </c>
      <c r="J6731" s="112" t="s">
        <v>4690</v>
      </c>
      <c r="K6731" s="112" t="s">
        <v>5346</v>
      </c>
      <c r="L6731" s="116">
        <v>-51</v>
      </c>
    </row>
    <row r="6732" spans="1:12" hidden="1" outlineLevel="1" collapsed="1" x14ac:dyDescent="0.35">
      <c r="A6732" s="112" t="s">
        <v>4632</v>
      </c>
      <c r="B6732" s="112" t="s">
        <v>4688</v>
      </c>
      <c r="C6732" s="112" t="s">
        <v>1518</v>
      </c>
      <c r="D6732" s="113">
        <v>51365915</v>
      </c>
      <c r="E6732" s="115">
        <v>43947</v>
      </c>
      <c r="F6732" s="114">
        <v>202101</v>
      </c>
      <c r="G6732" s="112" t="s">
        <v>1091</v>
      </c>
      <c r="H6732" s="112" t="s">
        <v>1016</v>
      </c>
      <c r="I6732" s="112" t="s">
        <v>2337</v>
      </c>
      <c r="J6732" s="112" t="s">
        <v>4690</v>
      </c>
      <c r="K6732" s="112" t="s">
        <v>5347</v>
      </c>
      <c r="L6732" s="116">
        <v>-54</v>
      </c>
    </row>
    <row r="6733" spans="1:12" hidden="1" outlineLevel="1" collapsed="1" x14ac:dyDescent="0.35">
      <c r="A6733" s="112" t="s">
        <v>4632</v>
      </c>
      <c r="B6733" s="112" t="s">
        <v>4688</v>
      </c>
      <c r="C6733" s="112" t="s">
        <v>679</v>
      </c>
      <c r="D6733" s="113">
        <v>10348027</v>
      </c>
      <c r="E6733" s="115">
        <v>43927</v>
      </c>
      <c r="F6733" s="114">
        <v>202101</v>
      </c>
      <c r="G6733" s="112" t="s">
        <v>1091</v>
      </c>
      <c r="H6733" s="112" t="s">
        <v>1016</v>
      </c>
      <c r="I6733" s="112" t="s">
        <v>4689</v>
      </c>
      <c r="J6733" s="112" t="s">
        <v>4690</v>
      </c>
      <c r="K6733" s="112" t="s">
        <v>5348</v>
      </c>
      <c r="L6733" s="116">
        <v>-54</v>
      </c>
    </row>
    <row r="6734" spans="1:12" hidden="1" outlineLevel="1" collapsed="1" x14ac:dyDescent="0.35">
      <c r="A6734" s="112" t="s">
        <v>4632</v>
      </c>
      <c r="B6734" s="112" t="s">
        <v>4688</v>
      </c>
      <c r="C6734" s="112" t="s">
        <v>1518</v>
      </c>
      <c r="D6734" s="113">
        <v>51365832</v>
      </c>
      <c r="E6734" s="115">
        <v>43947</v>
      </c>
      <c r="F6734" s="114">
        <v>202101</v>
      </c>
      <c r="G6734" s="112" t="s">
        <v>1091</v>
      </c>
      <c r="H6734" s="112" t="s">
        <v>1016</v>
      </c>
      <c r="I6734" s="112" t="s">
        <v>2337</v>
      </c>
      <c r="J6734" s="112" t="s">
        <v>4690</v>
      </c>
      <c r="K6734" s="112" t="s">
        <v>5349</v>
      </c>
      <c r="L6734" s="116">
        <v>-51</v>
      </c>
    </row>
    <row r="6735" spans="1:12" hidden="1" outlineLevel="1" collapsed="1" x14ac:dyDescent="0.35">
      <c r="A6735" s="112" t="s">
        <v>4632</v>
      </c>
      <c r="B6735" s="112" t="s">
        <v>4688</v>
      </c>
      <c r="C6735" s="112" t="s">
        <v>4695</v>
      </c>
      <c r="D6735" s="113">
        <v>30440244</v>
      </c>
      <c r="E6735" s="115">
        <v>43924</v>
      </c>
      <c r="F6735" s="114">
        <v>202101</v>
      </c>
      <c r="G6735" s="112" t="s">
        <v>1091</v>
      </c>
      <c r="H6735" s="112" t="s">
        <v>1016</v>
      </c>
      <c r="I6735" s="112" t="s">
        <v>4689</v>
      </c>
      <c r="J6735" s="112" t="s">
        <v>4690</v>
      </c>
      <c r="K6735" s="112" t="s">
        <v>5350</v>
      </c>
      <c r="L6735" s="116">
        <v>54</v>
      </c>
    </row>
    <row r="6736" spans="1:12" hidden="1" outlineLevel="1" collapsed="1" x14ac:dyDescent="0.35">
      <c r="A6736" s="112" t="s">
        <v>4632</v>
      </c>
      <c r="B6736" s="112" t="s">
        <v>4688</v>
      </c>
      <c r="C6736" s="112" t="s">
        <v>1518</v>
      </c>
      <c r="D6736" s="113">
        <v>51365663</v>
      </c>
      <c r="E6736" s="115">
        <v>43944</v>
      </c>
      <c r="F6736" s="114">
        <v>202101</v>
      </c>
      <c r="G6736" s="112" t="s">
        <v>1091</v>
      </c>
      <c r="H6736" s="112" t="s">
        <v>1016</v>
      </c>
      <c r="I6736" s="112" t="s">
        <v>2337</v>
      </c>
      <c r="J6736" s="112" t="s">
        <v>4690</v>
      </c>
      <c r="K6736" s="112" t="s">
        <v>5351</v>
      </c>
      <c r="L6736" s="116">
        <v>-51</v>
      </c>
    </row>
    <row r="6737" spans="1:12" hidden="1" outlineLevel="1" collapsed="1" x14ac:dyDescent="0.35">
      <c r="A6737" s="112" t="s">
        <v>4632</v>
      </c>
      <c r="B6737" s="112" t="s">
        <v>4688</v>
      </c>
      <c r="C6737" s="112" t="s">
        <v>1518</v>
      </c>
      <c r="D6737" s="113">
        <v>51365662</v>
      </c>
      <c r="E6737" s="115">
        <v>43944</v>
      </c>
      <c r="F6737" s="114">
        <v>202101</v>
      </c>
      <c r="G6737" s="112" t="s">
        <v>1091</v>
      </c>
      <c r="H6737" s="112" t="s">
        <v>1016</v>
      </c>
      <c r="I6737" s="112" t="s">
        <v>2337</v>
      </c>
      <c r="J6737" s="112" t="s">
        <v>4690</v>
      </c>
      <c r="K6737" s="112" t="s">
        <v>5352</v>
      </c>
      <c r="L6737" s="116">
        <v>-51</v>
      </c>
    </row>
    <row r="6738" spans="1:12" hidden="1" outlineLevel="1" collapsed="1" x14ac:dyDescent="0.35">
      <c r="A6738" s="112" t="s">
        <v>4632</v>
      </c>
      <c r="B6738" s="112" t="s">
        <v>4688</v>
      </c>
      <c r="C6738" s="112" t="s">
        <v>1518</v>
      </c>
      <c r="D6738" s="113">
        <v>51365661</v>
      </c>
      <c r="E6738" s="115">
        <v>43944</v>
      </c>
      <c r="F6738" s="114">
        <v>202101</v>
      </c>
      <c r="G6738" s="112" t="s">
        <v>1091</v>
      </c>
      <c r="H6738" s="112" t="s">
        <v>1016</v>
      </c>
      <c r="I6738" s="112" t="s">
        <v>2337</v>
      </c>
      <c r="J6738" s="112" t="s">
        <v>4690</v>
      </c>
      <c r="K6738" s="112" t="s">
        <v>5353</v>
      </c>
      <c r="L6738" s="116">
        <v>-51</v>
      </c>
    </row>
    <row r="6739" spans="1:12" hidden="1" outlineLevel="1" collapsed="1" x14ac:dyDescent="0.35">
      <c r="A6739" s="112" t="s">
        <v>4632</v>
      </c>
      <c r="B6739" s="112" t="s">
        <v>4688</v>
      </c>
      <c r="C6739" s="112" t="s">
        <v>1518</v>
      </c>
      <c r="D6739" s="113">
        <v>51365660</v>
      </c>
      <c r="E6739" s="115">
        <v>43944</v>
      </c>
      <c r="F6739" s="114">
        <v>202101</v>
      </c>
      <c r="G6739" s="112" t="s">
        <v>1091</v>
      </c>
      <c r="H6739" s="112" t="s">
        <v>1016</v>
      </c>
      <c r="I6739" s="112" t="s">
        <v>2337</v>
      </c>
      <c r="J6739" s="112" t="s">
        <v>4690</v>
      </c>
      <c r="K6739" s="112" t="s">
        <v>5354</v>
      </c>
      <c r="L6739" s="116">
        <v>-54</v>
      </c>
    </row>
    <row r="6740" spans="1:12" hidden="1" outlineLevel="1" collapsed="1" x14ac:dyDescent="0.35">
      <c r="A6740" s="112" t="s">
        <v>4632</v>
      </c>
      <c r="B6740" s="112" t="s">
        <v>4688</v>
      </c>
      <c r="C6740" s="112" t="s">
        <v>1518</v>
      </c>
      <c r="D6740" s="113">
        <v>51365659</v>
      </c>
      <c r="E6740" s="115">
        <v>43944</v>
      </c>
      <c r="F6740" s="114">
        <v>202101</v>
      </c>
      <c r="G6740" s="112" t="s">
        <v>1091</v>
      </c>
      <c r="H6740" s="112" t="s">
        <v>1016</v>
      </c>
      <c r="I6740" s="112" t="s">
        <v>2337</v>
      </c>
      <c r="J6740" s="112" t="s">
        <v>4690</v>
      </c>
      <c r="K6740" s="112" t="s">
        <v>5355</v>
      </c>
      <c r="L6740" s="116">
        <v>-54</v>
      </c>
    </row>
    <row r="6741" spans="1:12" hidden="1" outlineLevel="1" collapsed="1" x14ac:dyDescent="0.35">
      <c r="A6741" s="112" t="s">
        <v>4632</v>
      </c>
      <c r="B6741" s="112" t="s">
        <v>4688</v>
      </c>
      <c r="C6741" s="112" t="s">
        <v>1518</v>
      </c>
      <c r="D6741" s="113">
        <v>51365658</v>
      </c>
      <c r="E6741" s="115">
        <v>43944</v>
      </c>
      <c r="F6741" s="114">
        <v>202101</v>
      </c>
      <c r="G6741" s="112" t="s">
        <v>1091</v>
      </c>
      <c r="H6741" s="112" t="s">
        <v>1016</v>
      </c>
      <c r="I6741" s="112" t="s">
        <v>2337</v>
      </c>
      <c r="J6741" s="112" t="s">
        <v>4690</v>
      </c>
      <c r="K6741" s="112" t="s">
        <v>5356</v>
      </c>
      <c r="L6741" s="116">
        <v>-51</v>
      </c>
    </row>
    <row r="6742" spans="1:12" hidden="1" outlineLevel="1" collapsed="1" x14ac:dyDescent="0.35">
      <c r="A6742" s="112" t="s">
        <v>4632</v>
      </c>
      <c r="B6742" s="112" t="s">
        <v>4688</v>
      </c>
      <c r="C6742" s="112" t="s">
        <v>1518</v>
      </c>
      <c r="D6742" s="113">
        <v>51365657</v>
      </c>
      <c r="E6742" s="115">
        <v>43944</v>
      </c>
      <c r="F6742" s="114">
        <v>202101</v>
      </c>
      <c r="G6742" s="112" t="s">
        <v>1091</v>
      </c>
      <c r="H6742" s="112" t="s">
        <v>1016</v>
      </c>
      <c r="I6742" s="112" t="s">
        <v>2337</v>
      </c>
      <c r="J6742" s="112" t="s">
        <v>4690</v>
      </c>
      <c r="K6742" s="112" t="s">
        <v>5357</v>
      </c>
      <c r="L6742" s="116">
        <v>-51</v>
      </c>
    </row>
    <row r="6743" spans="1:12" hidden="1" outlineLevel="1" collapsed="1" x14ac:dyDescent="0.35">
      <c r="A6743" s="112" t="s">
        <v>4632</v>
      </c>
      <c r="B6743" s="112" t="s">
        <v>4688</v>
      </c>
      <c r="C6743" s="112" t="s">
        <v>1518</v>
      </c>
      <c r="D6743" s="113">
        <v>51365656</v>
      </c>
      <c r="E6743" s="115">
        <v>43944</v>
      </c>
      <c r="F6743" s="114">
        <v>202101</v>
      </c>
      <c r="G6743" s="112" t="s">
        <v>1091</v>
      </c>
      <c r="H6743" s="112" t="s">
        <v>1016</v>
      </c>
      <c r="I6743" s="112" t="s">
        <v>2337</v>
      </c>
      <c r="J6743" s="112" t="s">
        <v>4690</v>
      </c>
      <c r="K6743" s="112" t="s">
        <v>5358</v>
      </c>
      <c r="L6743" s="116">
        <v>-51</v>
      </c>
    </row>
    <row r="6744" spans="1:12" hidden="1" outlineLevel="1" collapsed="1" x14ac:dyDescent="0.35">
      <c r="A6744" s="112" t="s">
        <v>4632</v>
      </c>
      <c r="B6744" s="112" t="s">
        <v>4688</v>
      </c>
      <c r="C6744" s="112" t="s">
        <v>1518</v>
      </c>
      <c r="D6744" s="113">
        <v>51365655</v>
      </c>
      <c r="E6744" s="115">
        <v>43944</v>
      </c>
      <c r="F6744" s="114">
        <v>202101</v>
      </c>
      <c r="G6744" s="112" t="s">
        <v>1091</v>
      </c>
      <c r="H6744" s="112" t="s">
        <v>1016</v>
      </c>
      <c r="I6744" s="112" t="s">
        <v>2337</v>
      </c>
      <c r="J6744" s="112" t="s">
        <v>4690</v>
      </c>
      <c r="K6744" s="112" t="s">
        <v>5359</v>
      </c>
      <c r="L6744" s="116">
        <v>-51</v>
      </c>
    </row>
    <row r="6745" spans="1:12" hidden="1" outlineLevel="1" collapsed="1" x14ac:dyDescent="0.35">
      <c r="A6745" s="112" t="s">
        <v>4632</v>
      </c>
      <c r="B6745" s="112" t="s">
        <v>4688</v>
      </c>
      <c r="C6745" s="112" t="s">
        <v>1518</v>
      </c>
      <c r="D6745" s="113">
        <v>51365654</v>
      </c>
      <c r="E6745" s="115">
        <v>43944</v>
      </c>
      <c r="F6745" s="114">
        <v>202101</v>
      </c>
      <c r="G6745" s="112" t="s">
        <v>1091</v>
      </c>
      <c r="H6745" s="112" t="s">
        <v>1016</v>
      </c>
      <c r="I6745" s="112" t="s">
        <v>2337</v>
      </c>
      <c r="J6745" s="112" t="s">
        <v>4690</v>
      </c>
      <c r="K6745" s="112" t="s">
        <v>5360</v>
      </c>
      <c r="L6745" s="116">
        <v>-51</v>
      </c>
    </row>
    <row r="6746" spans="1:12" hidden="1" outlineLevel="1" collapsed="1" x14ac:dyDescent="0.35">
      <c r="A6746" s="112" t="s">
        <v>4632</v>
      </c>
      <c r="B6746" s="112" t="s">
        <v>4688</v>
      </c>
      <c r="C6746" s="112" t="s">
        <v>1518</v>
      </c>
      <c r="D6746" s="113">
        <v>51365653</v>
      </c>
      <c r="E6746" s="115">
        <v>43944</v>
      </c>
      <c r="F6746" s="114">
        <v>202101</v>
      </c>
      <c r="G6746" s="112" t="s">
        <v>1091</v>
      </c>
      <c r="H6746" s="112" t="s">
        <v>1016</v>
      </c>
      <c r="I6746" s="112" t="s">
        <v>2337</v>
      </c>
      <c r="J6746" s="112" t="s">
        <v>4690</v>
      </c>
      <c r="K6746" s="112" t="s">
        <v>5361</v>
      </c>
      <c r="L6746" s="116">
        <v>-51</v>
      </c>
    </row>
    <row r="6747" spans="1:12" hidden="1" outlineLevel="1" collapsed="1" x14ac:dyDescent="0.35">
      <c r="A6747" s="112" t="s">
        <v>4632</v>
      </c>
      <c r="B6747" s="112" t="s">
        <v>4688</v>
      </c>
      <c r="C6747" s="112" t="s">
        <v>1518</v>
      </c>
      <c r="D6747" s="113">
        <v>51365652</v>
      </c>
      <c r="E6747" s="115">
        <v>43944</v>
      </c>
      <c r="F6747" s="114">
        <v>202101</v>
      </c>
      <c r="G6747" s="112" t="s">
        <v>1091</v>
      </c>
      <c r="H6747" s="112" t="s">
        <v>1016</v>
      </c>
      <c r="I6747" s="112" t="s">
        <v>2337</v>
      </c>
      <c r="J6747" s="112" t="s">
        <v>4690</v>
      </c>
      <c r="K6747" s="112" t="s">
        <v>5362</v>
      </c>
      <c r="L6747" s="116">
        <v>-51</v>
      </c>
    </row>
    <row r="6748" spans="1:12" hidden="1" outlineLevel="1" collapsed="1" x14ac:dyDescent="0.35">
      <c r="A6748" s="112" t="s">
        <v>4632</v>
      </c>
      <c r="B6748" s="112" t="s">
        <v>4688</v>
      </c>
      <c r="C6748" s="112" t="s">
        <v>1518</v>
      </c>
      <c r="D6748" s="113">
        <v>51365651</v>
      </c>
      <c r="E6748" s="115">
        <v>43944</v>
      </c>
      <c r="F6748" s="114">
        <v>202101</v>
      </c>
      <c r="G6748" s="112" t="s">
        <v>1091</v>
      </c>
      <c r="H6748" s="112" t="s">
        <v>1016</v>
      </c>
      <c r="I6748" s="112" t="s">
        <v>2337</v>
      </c>
      <c r="J6748" s="112" t="s">
        <v>4690</v>
      </c>
      <c r="K6748" s="112" t="s">
        <v>5363</v>
      </c>
      <c r="L6748" s="116">
        <v>-51</v>
      </c>
    </row>
    <row r="6749" spans="1:12" hidden="1" outlineLevel="1" collapsed="1" x14ac:dyDescent="0.35">
      <c r="A6749" s="112" t="s">
        <v>4632</v>
      </c>
      <c r="B6749" s="112" t="s">
        <v>863</v>
      </c>
      <c r="C6749" s="112" t="s">
        <v>679</v>
      </c>
      <c r="D6749" s="113">
        <v>10347984</v>
      </c>
      <c r="E6749" s="115">
        <v>43924</v>
      </c>
      <c r="F6749" s="114">
        <v>202101</v>
      </c>
      <c r="G6749" s="112" t="s">
        <v>1091</v>
      </c>
      <c r="H6749" s="112" t="s">
        <v>1016</v>
      </c>
      <c r="I6749" s="112" t="s">
        <v>781</v>
      </c>
      <c r="J6749" s="112" t="s">
        <v>831</v>
      </c>
      <c r="K6749" s="112" t="s">
        <v>5364</v>
      </c>
      <c r="L6749" s="116">
        <v>-92.5</v>
      </c>
    </row>
    <row r="6750" spans="1:12" hidden="1" outlineLevel="1" collapsed="1" x14ac:dyDescent="0.35">
      <c r="A6750" s="112" t="s">
        <v>4632</v>
      </c>
      <c r="B6750" s="112" t="s">
        <v>863</v>
      </c>
      <c r="C6750" s="112" t="s">
        <v>679</v>
      </c>
      <c r="D6750" s="113">
        <v>10347984</v>
      </c>
      <c r="E6750" s="115">
        <v>43924</v>
      </c>
      <c r="F6750" s="114">
        <v>202101</v>
      </c>
      <c r="G6750" s="112" t="s">
        <v>1091</v>
      </c>
      <c r="H6750" s="112" t="s">
        <v>1016</v>
      </c>
      <c r="I6750" s="112" t="s">
        <v>781</v>
      </c>
      <c r="J6750" s="112" t="s">
        <v>796</v>
      </c>
      <c r="K6750" s="112" t="s">
        <v>5364</v>
      </c>
      <c r="L6750" s="116">
        <v>-8.42</v>
      </c>
    </row>
    <row r="6751" spans="1:12" hidden="1" outlineLevel="1" collapsed="1" x14ac:dyDescent="0.35">
      <c r="A6751" s="112" t="s">
        <v>4632</v>
      </c>
      <c r="B6751" s="112" t="s">
        <v>4650</v>
      </c>
      <c r="C6751" s="112" t="s">
        <v>695</v>
      </c>
      <c r="D6751" s="113">
        <v>10348098</v>
      </c>
      <c r="E6751" s="115">
        <v>43929</v>
      </c>
      <c r="F6751" s="114">
        <v>202101</v>
      </c>
      <c r="G6751" s="112" t="s">
        <v>1091</v>
      </c>
      <c r="H6751" s="112" t="s">
        <v>1015</v>
      </c>
      <c r="I6751" s="112" t="s">
        <v>749</v>
      </c>
      <c r="J6751" s="112" t="s">
        <v>4651</v>
      </c>
      <c r="K6751" s="112" t="s">
        <v>5161</v>
      </c>
      <c r="L6751" s="116">
        <v>37.11</v>
      </c>
    </row>
    <row r="6752" spans="1:12" hidden="1" outlineLevel="1" collapsed="1" x14ac:dyDescent="0.35">
      <c r="A6752" s="112" t="s">
        <v>4632</v>
      </c>
      <c r="B6752" s="112" t="s">
        <v>4639</v>
      </c>
      <c r="C6752" s="112" t="s">
        <v>695</v>
      </c>
      <c r="D6752" s="113">
        <v>10348098</v>
      </c>
      <c r="E6752" s="115">
        <v>43929</v>
      </c>
      <c r="F6752" s="114">
        <v>202101</v>
      </c>
      <c r="G6752" s="112" t="s">
        <v>1091</v>
      </c>
      <c r="H6752" s="112" t="s">
        <v>1015</v>
      </c>
      <c r="I6752" s="112" t="s">
        <v>749</v>
      </c>
      <c r="J6752" s="112" t="s">
        <v>4640</v>
      </c>
      <c r="K6752" s="112" t="s">
        <v>5157</v>
      </c>
      <c r="L6752" s="116">
        <v>1259.52</v>
      </c>
    </row>
    <row r="6753" spans="1:12" hidden="1" outlineLevel="1" collapsed="1" x14ac:dyDescent="0.35">
      <c r="A6753" s="112" t="s">
        <v>4632</v>
      </c>
      <c r="B6753" s="112" t="s">
        <v>4688</v>
      </c>
      <c r="C6753" s="112" t="s">
        <v>4695</v>
      </c>
      <c r="D6753" s="113">
        <v>30440244</v>
      </c>
      <c r="E6753" s="115">
        <v>43924</v>
      </c>
      <c r="F6753" s="114">
        <v>202101</v>
      </c>
      <c r="G6753" s="112" t="s">
        <v>1091</v>
      </c>
      <c r="H6753" s="112" t="s">
        <v>1016</v>
      </c>
      <c r="I6753" s="112" t="s">
        <v>4689</v>
      </c>
      <c r="J6753" s="112" t="s">
        <v>4690</v>
      </c>
      <c r="K6753" s="112" t="s">
        <v>5365</v>
      </c>
      <c r="L6753" s="116">
        <v>54</v>
      </c>
    </row>
    <row r="6754" spans="1:12" hidden="1" outlineLevel="1" collapsed="1" x14ac:dyDescent="0.35">
      <c r="A6754" s="112" t="s">
        <v>4632</v>
      </c>
      <c r="B6754" s="112" t="s">
        <v>4688</v>
      </c>
      <c r="C6754" s="112" t="s">
        <v>4695</v>
      </c>
      <c r="D6754" s="113">
        <v>30440244</v>
      </c>
      <c r="E6754" s="115">
        <v>43924</v>
      </c>
      <c r="F6754" s="114">
        <v>202101</v>
      </c>
      <c r="G6754" s="112" t="s">
        <v>1091</v>
      </c>
      <c r="H6754" s="112" t="s">
        <v>1016</v>
      </c>
      <c r="I6754" s="112" t="s">
        <v>4689</v>
      </c>
      <c r="J6754" s="112" t="s">
        <v>4690</v>
      </c>
      <c r="K6754" s="112" t="s">
        <v>5366</v>
      </c>
      <c r="L6754" s="116">
        <v>54</v>
      </c>
    </row>
    <row r="6755" spans="1:12" hidden="1" outlineLevel="1" collapsed="1" x14ac:dyDescent="0.35">
      <c r="A6755" s="112" t="s">
        <v>4632</v>
      </c>
      <c r="B6755" s="112" t="s">
        <v>4688</v>
      </c>
      <c r="C6755" s="112" t="s">
        <v>1518</v>
      </c>
      <c r="D6755" s="113">
        <v>51365664</v>
      </c>
      <c r="E6755" s="115">
        <v>43944</v>
      </c>
      <c r="F6755" s="114">
        <v>202101</v>
      </c>
      <c r="G6755" s="112" t="s">
        <v>1091</v>
      </c>
      <c r="H6755" s="112" t="s">
        <v>1016</v>
      </c>
      <c r="I6755" s="112" t="s">
        <v>2337</v>
      </c>
      <c r="J6755" s="112" t="s">
        <v>4690</v>
      </c>
      <c r="K6755" s="112" t="s">
        <v>5367</v>
      </c>
      <c r="L6755" s="116">
        <v>-51</v>
      </c>
    </row>
    <row r="6756" spans="1:12" hidden="1" outlineLevel="1" collapsed="1" x14ac:dyDescent="0.35">
      <c r="A6756" s="112" t="s">
        <v>4632</v>
      </c>
      <c r="B6756" s="112" t="s">
        <v>4688</v>
      </c>
      <c r="C6756" s="112" t="s">
        <v>4695</v>
      </c>
      <c r="D6756" s="113">
        <v>30440244</v>
      </c>
      <c r="E6756" s="115">
        <v>43924</v>
      </c>
      <c r="F6756" s="114">
        <v>202101</v>
      </c>
      <c r="G6756" s="112" t="s">
        <v>1091</v>
      </c>
      <c r="H6756" s="112" t="s">
        <v>1016</v>
      </c>
      <c r="I6756" s="112" t="s">
        <v>4689</v>
      </c>
      <c r="J6756" s="112" t="s">
        <v>4690</v>
      </c>
      <c r="K6756" s="112" t="s">
        <v>5368</v>
      </c>
      <c r="L6756" s="116">
        <v>54</v>
      </c>
    </row>
    <row r="6757" spans="1:12" hidden="1" outlineLevel="1" collapsed="1" x14ac:dyDescent="0.35">
      <c r="A6757" s="112" t="s">
        <v>4632</v>
      </c>
      <c r="B6757" s="112" t="s">
        <v>4688</v>
      </c>
      <c r="C6757" s="112" t="s">
        <v>4695</v>
      </c>
      <c r="D6757" s="113">
        <v>30440244</v>
      </c>
      <c r="E6757" s="115">
        <v>43924</v>
      </c>
      <c r="F6757" s="114">
        <v>202101</v>
      </c>
      <c r="G6757" s="112" t="s">
        <v>1091</v>
      </c>
      <c r="H6757" s="112" t="s">
        <v>1016</v>
      </c>
      <c r="I6757" s="112" t="s">
        <v>4689</v>
      </c>
      <c r="J6757" s="112" t="s">
        <v>4690</v>
      </c>
      <c r="K6757" s="112" t="s">
        <v>5369</v>
      </c>
      <c r="L6757" s="116">
        <v>54</v>
      </c>
    </row>
    <row r="6758" spans="1:12" hidden="1" outlineLevel="1" collapsed="1" x14ac:dyDescent="0.35">
      <c r="A6758" s="112" t="s">
        <v>4632</v>
      </c>
      <c r="B6758" s="112" t="s">
        <v>4688</v>
      </c>
      <c r="C6758" s="112" t="s">
        <v>679</v>
      </c>
      <c r="D6758" s="113">
        <v>10347984</v>
      </c>
      <c r="E6758" s="115">
        <v>43924</v>
      </c>
      <c r="F6758" s="114">
        <v>202101</v>
      </c>
      <c r="G6758" s="112" t="s">
        <v>1091</v>
      </c>
      <c r="H6758" s="112" t="s">
        <v>1016</v>
      </c>
      <c r="I6758" s="112" t="s">
        <v>4689</v>
      </c>
      <c r="J6758" s="112" t="s">
        <v>4690</v>
      </c>
      <c r="K6758" s="112" t="s">
        <v>5370</v>
      </c>
      <c r="L6758" s="116">
        <v>-54</v>
      </c>
    </row>
    <row r="6759" spans="1:12" hidden="1" outlineLevel="1" collapsed="1" x14ac:dyDescent="0.35">
      <c r="A6759" s="112" t="s">
        <v>4632</v>
      </c>
      <c r="B6759" s="112" t="s">
        <v>4644</v>
      </c>
      <c r="C6759" s="112" t="s">
        <v>695</v>
      </c>
      <c r="D6759" s="113">
        <v>10348098</v>
      </c>
      <c r="E6759" s="115">
        <v>43929</v>
      </c>
      <c r="F6759" s="114">
        <v>202101</v>
      </c>
      <c r="G6759" s="112" t="s">
        <v>1091</v>
      </c>
      <c r="H6759" s="112" t="s">
        <v>1015</v>
      </c>
      <c r="I6759" s="112" t="s">
        <v>749</v>
      </c>
      <c r="J6759" s="112" t="s">
        <v>4645</v>
      </c>
      <c r="K6759" s="112" t="s">
        <v>5130</v>
      </c>
      <c r="L6759" s="116">
        <v>333.41</v>
      </c>
    </row>
    <row r="6760" spans="1:12" hidden="1" outlineLevel="1" collapsed="1" x14ac:dyDescent="0.35">
      <c r="A6760" s="112" t="s">
        <v>4632</v>
      </c>
      <c r="B6760" s="112" t="s">
        <v>4644</v>
      </c>
      <c r="C6760" s="112" t="s">
        <v>695</v>
      </c>
      <c r="D6760" s="113">
        <v>10348098</v>
      </c>
      <c r="E6760" s="115">
        <v>43929</v>
      </c>
      <c r="F6760" s="114">
        <v>202101</v>
      </c>
      <c r="G6760" s="112" t="s">
        <v>1091</v>
      </c>
      <c r="H6760" s="112" t="s">
        <v>1015</v>
      </c>
      <c r="I6760" s="112" t="s">
        <v>749</v>
      </c>
      <c r="J6760" s="112" t="s">
        <v>4645</v>
      </c>
      <c r="K6760" s="112" t="s">
        <v>5045</v>
      </c>
      <c r="L6760" s="116">
        <v>345.86</v>
      </c>
    </row>
    <row r="6761" spans="1:12" hidden="1" outlineLevel="1" collapsed="1" x14ac:dyDescent="0.35">
      <c r="A6761" s="112" t="s">
        <v>4632</v>
      </c>
      <c r="B6761" s="112" t="s">
        <v>863</v>
      </c>
      <c r="C6761" s="112" t="s">
        <v>695</v>
      </c>
      <c r="D6761" s="113">
        <v>10348098</v>
      </c>
      <c r="E6761" s="115">
        <v>43929</v>
      </c>
      <c r="F6761" s="114">
        <v>202101</v>
      </c>
      <c r="G6761" s="112" t="s">
        <v>1091</v>
      </c>
      <c r="H6761" s="112" t="s">
        <v>1015</v>
      </c>
      <c r="I6761" s="112" t="s">
        <v>749</v>
      </c>
      <c r="J6761" s="112" t="s">
        <v>833</v>
      </c>
      <c r="K6761" s="112" t="s">
        <v>5040</v>
      </c>
      <c r="L6761" s="116">
        <v>206.91</v>
      </c>
    </row>
    <row r="6762" spans="1:12" hidden="1" outlineLevel="1" collapsed="1" x14ac:dyDescent="0.35">
      <c r="A6762" s="112" t="s">
        <v>4632</v>
      </c>
      <c r="B6762" s="112" t="s">
        <v>863</v>
      </c>
      <c r="C6762" s="112" t="s">
        <v>695</v>
      </c>
      <c r="D6762" s="113">
        <v>10348098</v>
      </c>
      <c r="E6762" s="115">
        <v>43929</v>
      </c>
      <c r="F6762" s="114">
        <v>202101</v>
      </c>
      <c r="G6762" s="112" t="s">
        <v>1091</v>
      </c>
      <c r="H6762" s="112" t="s">
        <v>1015</v>
      </c>
      <c r="I6762" s="112" t="s">
        <v>749</v>
      </c>
      <c r="J6762" s="112" t="s">
        <v>829</v>
      </c>
      <c r="K6762" s="112" t="s">
        <v>5041</v>
      </c>
      <c r="L6762" s="116">
        <v>531.91</v>
      </c>
    </row>
    <row r="6763" spans="1:12" hidden="1" outlineLevel="1" collapsed="1" x14ac:dyDescent="0.35">
      <c r="A6763" s="112" t="s">
        <v>4632</v>
      </c>
      <c r="B6763" s="112" t="s">
        <v>863</v>
      </c>
      <c r="C6763" s="112" t="s">
        <v>695</v>
      </c>
      <c r="D6763" s="113">
        <v>10348098</v>
      </c>
      <c r="E6763" s="115">
        <v>43929</v>
      </c>
      <c r="F6763" s="114">
        <v>202101</v>
      </c>
      <c r="G6763" s="112" t="s">
        <v>1091</v>
      </c>
      <c r="H6763" s="112" t="s">
        <v>1015</v>
      </c>
      <c r="I6763" s="112" t="s">
        <v>749</v>
      </c>
      <c r="J6763" s="112" t="s">
        <v>787</v>
      </c>
      <c r="K6763" s="112" t="s">
        <v>5042</v>
      </c>
      <c r="L6763" s="116">
        <v>82.35</v>
      </c>
    </row>
    <row r="6764" spans="1:12" hidden="1" outlineLevel="1" collapsed="1" x14ac:dyDescent="0.35">
      <c r="A6764" s="112" t="s">
        <v>4632</v>
      </c>
      <c r="B6764" s="112" t="s">
        <v>4644</v>
      </c>
      <c r="C6764" s="112" t="s">
        <v>695</v>
      </c>
      <c r="D6764" s="113">
        <v>10348098</v>
      </c>
      <c r="E6764" s="115">
        <v>43929</v>
      </c>
      <c r="F6764" s="114">
        <v>202101</v>
      </c>
      <c r="G6764" s="112" t="s">
        <v>1091</v>
      </c>
      <c r="H6764" s="112" t="s">
        <v>1015</v>
      </c>
      <c r="I6764" s="112" t="s">
        <v>749</v>
      </c>
      <c r="J6764" s="112" t="s">
        <v>4645</v>
      </c>
      <c r="K6764" s="112" t="s">
        <v>5076</v>
      </c>
      <c r="L6764" s="116">
        <v>-78.62</v>
      </c>
    </row>
    <row r="6765" spans="1:12" hidden="1" outlineLevel="1" collapsed="1" x14ac:dyDescent="0.35">
      <c r="A6765" s="112" t="s">
        <v>4632</v>
      </c>
      <c r="B6765" s="112" t="s">
        <v>4688</v>
      </c>
      <c r="C6765" s="112" t="s">
        <v>679</v>
      </c>
      <c r="D6765" s="113">
        <v>10347984</v>
      </c>
      <c r="E6765" s="115">
        <v>43924</v>
      </c>
      <c r="F6765" s="114">
        <v>202101</v>
      </c>
      <c r="G6765" s="112" t="s">
        <v>1091</v>
      </c>
      <c r="H6765" s="112" t="s">
        <v>1016</v>
      </c>
      <c r="I6765" s="112" t="s">
        <v>4689</v>
      </c>
      <c r="J6765" s="112" t="s">
        <v>4690</v>
      </c>
      <c r="K6765" s="112" t="s">
        <v>5365</v>
      </c>
      <c r="L6765" s="116">
        <v>-54</v>
      </c>
    </row>
    <row r="6766" spans="1:12" hidden="1" outlineLevel="1" collapsed="1" x14ac:dyDescent="0.35">
      <c r="A6766" s="112" t="s">
        <v>4632</v>
      </c>
      <c r="B6766" s="112" t="s">
        <v>4688</v>
      </c>
      <c r="C6766" s="112" t="s">
        <v>679</v>
      </c>
      <c r="D6766" s="113">
        <v>10347984</v>
      </c>
      <c r="E6766" s="115">
        <v>43924</v>
      </c>
      <c r="F6766" s="114">
        <v>202101</v>
      </c>
      <c r="G6766" s="112" t="s">
        <v>1091</v>
      </c>
      <c r="H6766" s="112" t="s">
        <v>1016</v>
      </c>
      <c r="I6766" s="112" t="s">
        <v>4689</v>
      </c>
      <c r="J6766" s="112" t="s">
        <v>4690</v>
      </c>
      <c r="K6766" s="112" t="s">
        <v>5366</v>
      </c>
      <c r="L6766" s="116">
        <v>-54</v>
      </c>
    </row>
    <row r="6767" spans="1:12" hidden="1" outlineLevel="1" collapsed="1" x14ac:dyDescent="0.35">
      <c r="A6767" s="112" t="s">
        <v>4632</v>
      </c>
      <c r="B6767" s="112" t="s">
        <v>4688</v>
      </c>
      <c r="C6767" s="112" t="s">
        <v>679</v>
      </c>
      <c r="D6767" s="113">
        <v>10347984</v>
      </c>
      <c r="E6767" s="115">
        <v>43924</v>
      </c>
      <c r="F6767" s="114">
        <v>202101</v>
      </c>
      <c r="G6767" s="112" t="s">
        <v>1091</v>
      </c>
      <c r="H6767" s="112" t="s">
        <v>1016</v>
      </c>
      <c r="I6767" s="112" t="s">
        <v>4689</v>
      </c>
      <c r="J6767" s="112" t="s">
        <v>4690</v>
      </c>
      <c r="K6767" s="112" t="s">
        <v>5350</v>
      </c>
      <c r="L6767" s="116">
        <v>-54</v>
      </c>
    </row>
    <row r="6768" spans="1:12" hidden="1" outlineLevel="1" collapsed="1" x14ac:dyDescent="0.35">
      <c r="A6768" s="112" t="s">
        <v>4632</v>
      </c>
      <c r="B6768" s="112" t="s">
        <v>4688</v>
      </c>
      <c r="C6768" s="112" t="s">
        <v>679</v>
      </c>
      <c r="D6768" s="113">
        <v>10347984</v>
      </c>
      <c r="E6768" s="115">
        <v>43924</v>
      </c>
      <c r="F6768" s="114">
        <v>202101</v>
      </c>
      <c r="G6768" s="112" t="s">
        <v>1091</v>
      </c>
      <c r="H6768" s="112" t="s">
        <v>1016</v>
      </c>
      <c r="I6768" s="112" t="s">
        <v>4689</v>
      </c>
      <c r="J6768" s="112" t="s">
        <v>4690</v>
      </c>
      <c r="K6768" s="112" t="s">
        <v>5368</v>
      </c>
      <c r="L6768" s="116">
        <v>-54</v>
      </c>
    </row>
    <row r="6769" spans="1:12" hidden="1" outlineLevel="1" collapsed="1" x14ac:dyDescent="0.35">
      <c r="A6769" s="112" t="s">
        <v>4632</v>
      </c>
      <c r="B6769" s="112" t="s">
        <v>4688</v>
      </c>
      <c r="C6769" s="112" t="s">
        <v>679</v>
      </c>
      <c r="D6769" s="113">
        <v>10347984</v>
      </c>
      <c r="E6769" s="115">
        <v>43924</v>
      </c>
      <c r="F6769" s="114">
        <v>202101</v>
      </c>
      <c r="G6769" s="112" t="s">
        <v>1091</v>
      </c>
      <c r="H6769" s="112" t="s">
        <v>1016</v>
      </c>
      <c r="I6769" s="112" t="s">
        <v>4689</v>
      </c>
      <c r="J6769" s="112" t="s">
        <v>4690</v>
      </c>
      <c r="K6769" s="112" t="s">
        <v>5369</v>
      </c>
      <c r="L6769" s="116">
        <v>-54</v>
      </c>
    </row>
    <row r="6770" spans="1:12" hidden="1" outlineLevel="1" collapsed="1" x14ac:dyDescent="0.35">
      <c r="A6770" s="112" t="s">
        <v>4632</v>
      </c>
      <c r="B6770" s="112" t="s">
        <v>4644</v>
      </c>
      <c r="C6770" s="112" t="s">
        <v>695</v>
      </c>
      <c r="D6770" s="113">
        <v>10348098</v>
      </c>
      <c r="E6770" s="115">
        <v>43929</v>
      </c>
      <c r="F6770" s="114">
        <v>202101</v>
      </c>
      <c r="G6770" s="112" t="s">
        <v>1091</v>
      </c>
      <c r="H6770" s="112" t="s">
        <v>1015</v>
      </c>
      <c r="I6770" s="112" t="s">
        <v>749</v>
      </c>
      <c r="J6770" s="112" t="s">
        <v>4645</v>
      </c>
      <c r="K6770" s="112" t="s">
        <v>5127</v>
      </c>
      <c r="L6770" s="116">
        <v>266.37</v>
      </c>
    </row>
    <row r="6771" spans="1:12" hidden="1" outlineLevel="1" collapsed="1" x14ac:dyDescent="0.35">
      <c r="A6771" s="112" t="s">
        <v>4632</v>
      </c>
      <c r="B6771" s="112" t="s">
        <v>4650</v>
      </c>
      <c r="C6771" s="112" t="s">
        <v>1518</v>
      </c>
      <c r="D6771" s="113">
        <v>51366052</v>
      </c>
      <c r="E6771" s="115">
        <v>43928</v>
      </c>
      <c r="F6771" s="114">
        <v>202101</v>
      </c>
      <c r="G6771" s="112" t="s">
        <v>1091</v>
      </c>
      <c r="H6771" s="112" t="s">
        <v>1016</v>
      </c>
      <c r="I6771" s="112" t="s">
        <v>779</v>
      </c>
      <c r="J6771" s="112" t="s">
        <v>4651</v>
      </c>
      <c r="K6771" s="112" t="s">
        <v>5371</v>
      </c>
      <c r="L6771" s="116">
        <v>-140.81</v>
      </c>
    </row>
    <row r="6772" spans="1:12" hidden="1" outlineLevel="1" collapsed="1" x14ac:dyDescent="0.35">
      <c r="A6772" s="112" t="s">
        <v>4632</v>
      </c>
      <c r="B6772" s="112" t="s">
        <v>4688</v>
      </c>
      <c r="C6772" s="112" t="s">
        <v>4695</v>
      </c>
      <c r="D6772" s="113">
        <v>30440244</v>
      </c>
      <c r="E6772" s="115">
        <v>43924</v>
      </c>
      <c r="F6772" s="114">
        <v>202101</v>
      </c>
      <c r="G6772" s="112" t="s">
        <v>1091</v>
      </c>
      <c r="H6772" s="112" t="s">
        <v>1016</v>
      </c>
      <c r="I6772" s="112" t="s">
        <v>4689</v>
      </c>
      <c r="J6772" s="112" t="s">
        <v>4690</v>
      </c>
      <c r="K6772" s="112" t="s">
        <v>5370</v>
      </c>
      <c r="L6772" s="116">
        <v>54</v>
      </c>
    </row>
    <row r="6773" spans="1:12" hidden="1" outlineLevel="1" collapsed="1" x14ac:dyDescent="0.35">
      <c r="A6773" s="112" t="s">
        <v>4632</v>
      </c>
      <c r="B6773" s="112" t="s">
        <v>863</v>
      </c>
      <c r="C6773" s="112" t="s">
        <v>679</v>
      </c>
      <c r="D6773" s="113">
        <v>10347984</v>
      </c>
      <c r="E6773" s="115">
        <v>43924</v>
      </c>
      <c r="F6773" s="114">
        <v>202101</v>
      </c>
      <c r="G6773" s="112" t="s">
        <v>1091</v>
      </c>
      <c r="H6773" s="112" t="s">
        <v>1016</v>
      </c>
      <c r="I6773" s="112" t="s">
        <v>781</v>
      </c>
      <c r="J6773" s="112" t="s">
        <v>798</v>
      </c>
      <c r="K6773" s="112" t="s">
        <v>5364</v>
      </c>
      <c r="L6773" s="116">
        <v>-19</v>
      </c>
    </row>
    <row r="6774" spans="1:12" hidden="1" outlineLevel="1" collapsed="1" x14ac:dyDescent="0.35">
      <c r="A6774" s="112" t="s">
        <v>4632</v>
      </c>
      <c r="B6774" s="112" t="s">
        <v>863</v>
      </c>
      <c r="C6774" s="112" t="s">
        <v>679</v>
      </c>
      <c r="D6774" s="113">
        <v>10347984</v>
      </c>
      <c r="E6774" s="115">
        <v>43924</v>
      </c>
      <c r="F6774" s="114">
        <v>202101</v>
      </c>
      <c r="G6774" s="112" t="s">
        <v>1091</v>
      </c>
      <c r="H6774" s="112" t="s">
        <v>1016</v>
      </c>
      <c r="I6774" s="112" t="s">
        <v>781</v>
      </c>
      <c r="J6774" s="112" t="s">
        <v>854</v>
      </c>
      <c r="K6774" s="112" t="s">
        <v>5364</v>
      </c>
      <c r="L6774" s="116">
        <v>-360</v>
      </c>
    </row>
    <row r="6775" spans="1:12" hidden="1" outlineLevel="1" collapsed="1" x14ac:dyDescent="0.35">
      <c r="A6775" s="112" t="s">
        <v>4632</v>
      </c>
      <c r="B6775" s="112" t="s">
        <v>4688</v>
      </c>
      <c r="C6775" s="112" t="s">
        <v>1518</v>
      </c>
      <c r="D6775" s="113">
        <v>51365665</v>
      </c>
      <c r="E6775" s="115">
        <v>43944</v>
      </c>
      <c r="F6775" s="114">
        <v>202101</v>
      </c>
      <c r="G6775" s="112" t="s">
        <v>1091</v>
      </c>
      <c r="H6775" s="112" t="s">
        <v>1016</v>
      </c>
      <c r="I6775" s="112" t="s">
        <v>2337</v>
      </c>
      <c r="J6775" s="112" t="s">
        <v>4690</v>
      </c>
      <c r="K6775" s="112" t="s">
        <v>5372</v>
      </c>
      <c r="L6775" s="116">
        <v>-51</v>
      </c>
    </row>
    <row r="6776" spans="1:12" hidden="1" outlineLevel="1" collapsed="1" x14ac:dyDescent="0.35">
      <c r="A6776" s="112" t="s">
        <v>4632</v>
      </c>
      <c r="B6776" s="112" t="s">
        <v>863</v>
      </c>
      <c r="C6776" s="112" t="s">
        <v>679</v>
      </c>
      <c r="D6776" s="113">
        <v>10347984</v>
      </c>
      <c r="E6776" s="115">
        <v>43924</v>
      </c>
      <c r="F6776" s="114">
        <v>202101</v>
      </c>
      <c r="G6776" s="112" t="s">
        <v>1091</v>
      </c>
      <c r="H6776" s="112" t="s">
        <v>1016</v>
      </c>
      <c r="I6776" s="112" t="s">
        <v>781</v>
      </c>
      <c r="J6776" s="112" t="s">
        <v>793</v>
      </c>
      <c r="K6776" s="112" t="s">
        <v>5364</v>
      </c>
      <c r="L6776" s="116">
        <v>-107.08</v>
      </c>
    </row>
    <row r="6777" spans="1:12" hidden="1" outlineLevel="1" collapsed="1" x14ac:dyDescent="0.35">
      <c r="A6777" s="112" t="s">
        <v>4632</v>
      </c>
      <c r="B6777" s="112" t="s">
        <v>863</v>
      </c>
      <c r="C6777" s="112" t="s">
        <v>679</v>
      </c>
      <c r="D6777" s="113">
        <v>10347962</v>
      </c>
      <c r="E6777" s="115">
        <v>43923</v>
      </c>
      <c r="F6777" s="114">
        <v>202101</v>
      </c>
      <c r="G6777" s="112" t="s">
        <v>1091</v>
      </c>
      <c r="H6777" s="112" t="s">
        <v>1016</v>
      </c>
      <c r="I6777" s="112" t="s">
        <v>781</v>
      </c>
      <c r="J6777" s="112" t="s">
        <v>852</v>
      </c>
      <c r="K6777" s="112" t="s">
        <v>5373</v>
      </c>
      <c r="L6777" s="116">
        <v>-93.8</v>
      </c>
    </row>
    <row r="6778" spans="1:12" hidden="1" outlineLevel="1" collapsed="1" x14ac:dyDescent="0.35">
      <c r="A6778" s="112" t="s">
        <v>4632</v>
      </c>
      <c r="B6778" s="112" t="s">
        <v>4688</v>
      </c>
      <c r="C6778" s="112" t="s">
        <v>1518</v>
      </c>
      <c r="D6778" s="113">
        <v>51365688</v>
      </c>
      <c r="E6778" s="115">
        <v>43945</v>
      </c>
      <c r="F6778" s="114">
        <v>202101</v>
      </c>
      <c r="G6778" s="112" t="s">
        <v>1091</v>
      </c>
      <c r="H6778" s="112" t="s">
        <v>1016</v>
      </c>
      <c r="I6778" s="112" t="s">
        <v>2337</v>
      </c>
      <c r="J6778" s="112" t="s">
        <v>4690</v>
      </c>
      <c r="K6778" s="112" t="s">
        <v>5374</v>
      </c>
      <c r="L6778" s="116">
        <v>-51</v>
      </c>
    </row>
    <row r="6779" spans="1:12" hidden="1" outlineLevel="1" collapsed="1" x14ac:dyDescent="0.35">
      <c r="A6779" s="112" t="s">
        <v>4632</v>
      </c>
      <c r="B6779" s="112" t="s">
        <v>4688</v>
      </c>
      <c r="C6779" s="112" t="s">
        <v>1518</v>
      </c>
      <c r="D6779" s="113">
        <v>51365687</v>
      </c>
      <c r="E6779" s="115">
        <v>43945</v>
      </c>
      <c r="F6779" s="114">
        <v>202101</v>
      </c>
      <c r="G6779" s="112" t="s">
        <v>1091</v>
      </c>
      <c r="H6779" s="112" t="s">
        <v>1016</v>
      </c>
      <c r="I6779" s="112" t="s">
        <v>2337</v>
      </c>
      <c r="J6779" s="112" t="s">
        <v>4690</v>
      </c>
      <c r="K6779" s="112" t="s">
        <v>5375</v>
      </c>
      <c r="L6779" s="116">
        <v>-51</v>
      </c>
    </row>
    <row r="6780" spans="1:12" hidden="1" outlineLevel="1" collapsed="1" x14ac:dyDescent="0.35">
      <c r="A6780" s="112" t="s">
        <v>4632</v>
      </c>
      <c r="B6780" s="112" t="s">
        <v>863</v>
      </c>
      <c r="C6780" s="112" t="s">
        <v>679</v>
      </c>
      <c r="D6780" s="113">
        <v>10347962</v>
      </c>
      <c r="E6780" s="115">
        <v>43923</v>
      </c>
      <c r="F6780" s="114">
        <v>202101</v>
      </c>
      <c r="G6780" s="112" t="s">
        <v>1091</v>
      </c>
      <c r="H6780" s="112" t="s">
        <v>1016</v>
      </c>
      <c r="I6780" s="112" t="s">
        <v>781</v>
      </c>
      <c r="J6780" s="112" t="s">
        <v>854</v>
      </c>
      <c r="K6780" s="112" t="s">
        <v>5373</v>
      </c>
      <c r="L6780" s="116">
        <v>-68.44</v>
      </c>
    </row>
    <row r="6781" spans="1:12" hidden="1" outlineLevel="1" collapsed="1" x14ac:dyDescent="0.35">
      <c r="A6781" s="112" t="s">
        <v>4632</v>
      </c>
      <c r="B6781" s="112" t="s">
        <v>863</v>
      </c>
      <c r="C6781" s="112" t="s">
        <v>679</v>
      </c>
      <c r="D6781" s="113">
        <v>10347962</v>
      </c>
      <c r="E6781" s="115">
        <v>43923</v>
      </c>
      <c r="F6781" s="114">
        <v>202101</v>
      </c>
      <c r="G6781" s="112" t="s">
        <v>1091</v>
      </c>
      <c r="H6781" s="112" t="s">
        <v>1016</v>
      </c>
      <c r="I6781" s="112" t="s">
        <v>781</v>
      </c>
      <c r="J6781" s="112" t="s">
        <v>854</v>
      </c>
      <c r="K6781" s="112" t="s">
        <v>5373</v>
      </c>
      <c r="L6781" s="116">
        <v>-50.91</v>
      </c>
    </row>
    <row r="6782" spans="1:12" hidden="1" outlineLevel="1" collapsed="1" x14ac:dyDescent="0.35">
      <c r="A6782" s="112" t="s">
        <v>4632</v>
      </c>
      <c r="B6782" s="112" t="s">
        <v>4688</v>
      </c>
      <c r="C6782" s="112" t="s">
        <v>679</v>
      </c>
      <c r="D6782" s="113">
        <v>10347962</v>
      </c>
      <c r="E6782" s="115">
        <v>43923</v>
      </c>
      <c r="F6782" s="114">
        <v>202101</v>
      </c>
      <c r="G6782" s="112" t="s">
        <v>1091</v>
      </c>
      <c r="H6782" s="112" t="s">
        <v>1016</v>
      </c>
      <c r="I6782" s="112" t="s">
        <v>4689</v>
      </c>
      <c r="J6782" s="112" t="s">
        <v>4690</v>
      </c>
      <c r="K6782" s="112" t="s">
        <v>5376</v>
      </c>
      <c r="L6782" s="116">
        <v>-54</v>
      </c>
    </row>
    <row r="6783" spans="1:12" hidden="1" outlineLevel="1" collapsed="1" x14ac:dyDescent="0.35">
      <c r="A6783" s="112" t="s">
        <v>4632</v>
      </c>
      <c r="B6783" s="112" t="s">
        <v>4688</v>
      </c>
      <c r="C6783" s="112" t="s">
        <v>679</v>
      </c>
      <c r="D6783" s="113">
        <v>10347962</v>
      </c>
      <c r="E6783" s="115">
        <v>43923</v>
      </c>
      <c r="F6783" s="114">
        <v>202101</v>
      </c>
      <c r="G6783" s="112" t="s">
        <v>1091</v>
      </c>
      <c r="H6783" s="112" t="s">
        <v>1016</v>
      </c>
      <c r="I6783" s="112" t="s">
        <v>4689</v>
      </c>
      <c r="J6783" s="112" t="s">
        <v>4690</v>
      </c>
      <c r="K6783" s="112" t="s">
        <v>5377</v>
      </c>
      <c r="L6783" s="116">
        <v>-54</v>
      </c>
    </row>
    <row r="6784" spans="1:12" hidden="1" outlineLevel="1" collapsed="1" x14ac:dyDescent="0.35">
      <c r="A6784" s="112" t="s">
        <v>4632</v>
      </c>
      <c r="B6784" s="112" t="s">
        <v>863</v>
      </c>
      <c r="C6784" s="112" t="s">
        <v>679</v>
      </c>
      <c r="D6784" s="113">
        <v>10347962</v>
      </c>
      <c r="E6784" s="115">
        <v>43923</v>
      </c>
      <c r="F6784" s="114">
        <v>202101</v>
      </c>
      <c r="G6784" s="112" t="s">
        <v>1091</v>
      </c>
      <c r="H6784" s="112" t="s">
        <v>1016</v>
      </c>
      <c r="I6784" s="112" t="s">
        <v>781</v>
      </c>
      <c r="J6784" s="112" t="s">
        <v>854</v>
      </c>
      <c r="K6784" s="112" t="s">
        <v>5373</v>
      </c>
      <c r="L6784" s="116">
        <v>-14.29</v>
      </c>
    </row>
    <row r="6785" spans="1:12" hidden="1" outlineLevel="1" collapsed="1" x14ac:dyDescent="0.35">
      <c r="A6785" s="112" t="s">
        <v>4632</v>
      </c>
      <c r="B6785" s="112" t="s">
        <v>863</v>
      </c>
      <c r="C6785" s="112" t="s">
        <v>679</v>
      </c>
      <c r="D6785" s="113">
        <v>10347962</v>
      </c>
      <c r="E6785" s="115">
        <v>43923</v>
      </c>
      <c r="F6785" s="114">
        <v>202101</v>
      </c>
      <c r="G6785" s="112" t="s">
        <v>1091</v>
      </c>
      <c r="H6785" s="112" t="s">
        <v>1016</v>
      </c>
      <c r="I6785" s="112" t="s">
        <v>781</v>
      </c>
      <c r="J6785" s="112" t="s">
        <v>852</v>
      </c>
      <c r="K6785" s="112" t="s">
        <v>5373</v>
      </c>
      <c r="L6785" s="116">
        <v>-63.68</v>
      </c>
    </row>
    <row r="6786" spans="1:12" hidden="1" outlineLevel="1" collapsed="1" x14ac:dyDescent="0.35">
      <c r="A6786" s="112" t="s">
        <v>4632</v>
      </c>
      <c r="B6786" s="112" t="s">
        <v>4688</v>
      </c>
      <c r="C6786" s="112" t="s">
        <v>4695</v>
      </c>
      <c r="D6786" s="113">
        <v>30440223</v>
      </c>
      <c r="E6786" s="115">
        <v>43923</v>
      </c>
      <c r="F6786" s="114">
        <v>202101</v>
      </c>
      <c r="G6786" s="112" t="s">
        <v>1091</v>
      </c>
      <c r="H6786" s="112" t="s">
        <v>1016</v>
      </c>
      <c r="I6786" s="112" t="s">
        <v>4689</v>
      </c>
      <c r="J6786" s="112" t="s">
        <v>4690</v>
      </c>
      <c r="K6786" s="112" t="s">
        <v>5378</v>
      </c>
      <c r="L6786" s="116">
        <v>54</v>
      </c>
    </row>
    <row r="6787" spans="1:12" hidden="1" outlineLevel="1" collapsed="1" x14ac:dyDescent="0.35">
      <c r="A6787" s="112" t="s">
        <v>4632</v>
      </c>
      <c r="B6787" s="112" t="s">
        <v>4688</v>
      </c>
      <c r="C6787" s="112" t="s">
        <v>4695</v>
      </c>
      <c r="D6787" s="113">
        <v>30440223</v>
      </c>
      <c r="E6787" s="115">
        <v>43923</v>
      </c>
      <c r="F6787" s="114">
        <v>202101</v>
      </c>
      <c r="G6787" s="112" t="s">
        <v>1091</v>
      </c>
      <c r="H6787" s="112" t="s">
        <v>1016</v>
      </c>
      <c r="I6787" s="112" t="s">
        <v>4689</v>
      </c>
      <c r="J6787" s="112" t="s">
        <v>4690</v>
      </c>
      <c r="K6787" s="112" t="s">
        <v>5376</v>
      </c>
      <c r="L6787" s="116">
        <v>54</v>
      </c>
    </row>
    <row r="6788" spans="1:12" hidden="1" outlineLevel="1" collapsed="1" x14ac:dyDescent="0.35">
      <c r="A6788" s="112" t="s">
        <v>4632</v>
      </c>
      <c r="B6788" s="112" t="s">
        <v>4688</v>
      </c>
      <c r="C6788" s="112" t="s">
        <v>4695</v>
      </c>
      <c r="D6788" s="113">
        <v>30440223</v>
      </c>
      <c r="E6788" s="115">
        <v>43923</v>
      </c>
      <c r="F6788" s="114">
        <v>202101</v>
      </c>
      <c r="G6788" s="112" t="s">
        <v>1091</v>
      </c>
      <c r="H6788" s="112" t="s">
        <v>1016</v>
      </c>
      <c r="I6788" s="112" t="s">
        <v>4689</v>
      </c>
      <c r="J6788" s="112" t="s">
        <v>4690</v>
      </c>
      <c r="K6788" s="112" t="s">
        <v>5377</v>
      </c>
      <c r="L6788" s="116">
        <v>54</v>
      </c>
    </row>
    <row r="6789" spans="1:12" hidden="1" outlineLevel="1" collapsed="1" x14ac:dyDescent="0.35">
      <c r="A6789" s="112" t="s">
        <v>4632</v>
      </c>
      <c r="B6789" s="112" t="s">
        <v>4650</v>
      </c>
      <c r="C6789" s="112" t="s">
        <v>695</v>
      </c>
      <c r="D6789" s="113">
        <v>10348098</v>
      </c>
      <c r="E6789" s="115">
        <v>43929</v>
      </c>
      <c r="F6789" s="114">
        <v>202101</v>
      </c>
      <c r="G6789" s="112" t="s">
        <v>1091</v>
      </c>
      <c r="H6789" s="112" t="s">
        <v>1015</v>
      </c>
      <c r="I6789" s="112" t="s">
        <v>749</v>
      </c>
      <c r="J6789" s="112" t="s">
        <v>4651</v>
      </c>
      <c r="K6789" s="112" t="s">
        <v>5145</v>
      </c>
      <c r="L6789" s="116">
        <v>78.83</v>
      </c>
    </row>
    <row r="6790" spans="1:12" hidden="1" outlineLevel="1" collapsed="1" x14ac:dyDescent="0.35">
      <c r="A6790" s="112" t="s">
        <v>4632</v>
      </c>
      <c r="B6790" s="112" t="s">
        <v>4644</v>
      </c>
      <c r="C6790" s="112" t="s">
        <v>695</v>
      </c>
      <c r="D6790" s="113">
        <v>10348098</v>
      </c>
      <c r="E6790" s="115">
        <v>43929</v>
      </c>
      <c r="F6790" s="114">
        <v>202101</v>
      </c>
      <c r="G6790" s="112" t="s">
        <v>1091</v>
      </c>
      <c r="H6790" s="112" t="s">
        <v>1015</v>
      </c>
      <c r="I6790" s="112" t="s">
        <v>757</v>
      </c>
      <c r="J6790" s="112" t="s">
        <v>4645</v>
      </c>
      <c r="K6790" s="112" t="s">
        <v>5151</v>
      </c>
      <c r="L6790" s="116">
        <v>-20.51</v>
      </c>
    </row>
    <row r="6791" spans="1:12" hidden="1" outlineLevel="1" collapsed="1" x14ac:dyDescent="0.35">
      <c r="A6791" s="112" t="s">
        <v>4632</v>
      </c>
      <c r="B6791" s="112" t="s">
        <v>4650</v>
      </c>
      <c r="C6791" s="112" t="s">
        <v>695</v>
      </c>
      <c r="D6791" s="113">
        <v>10348098</v>
      </c>
      <c r="E6791" s="115">
        <v>43929</v>
      </c>
      <c r="F6791" s="114">
        <v>202101</v>
      </c>
      <c r="G6791" s="112" t="s">
        <v>1091</v>
      </c>
      <c r="H6791" s="112" t="s">
        <v>1015</v>
      </c>
      <c r="I6791" s="112" t="s">
        <v>757</v>
      </c>
      <c r="J6791" s="112" t="s">
        <v>4651</v>
      </c>
      <c r="K6791" s="112" t="s">
        <v>5037</v>
      </c>
      <c r="L6791" s="116">
        <v>91.16</v>
      </c>
    </row>
    <row r="6792" spans="1:12" hidden="1" outlineLevel="1" collapsed="1" x14ac:dyDescent="0.35">
      <c r="A6792" s="112" t="s">
        <v>4632</v>
      </c>
      <c r="B6792" s="112" t="s">
        <v>4650</v>
      </c>
      <c r="C6792" s="112" t="s">
        <v>695</v>
      </c>
      <c r="D6792" s="113">
        <v>10348098</v>
      </c>
      <c r="E6792" s="115">
        <v>43929</v>
      </c>
      <c r="F6792" s="114">
        <v>202101</v>
      </c>
      <c r="G6792" s="112" t="s">
        <v>1091</v>
      </c>
      <c r="H6792" s="112" t="s">
        <v>1015</v>
      </c>
      <c r="I6792" s="112" t="s">
        <v>757</v>
      </c>
      <c r="J6792" s="112" t="s">
        <v>4651</v>
      </c>
      <c r="K6792" s="112" t="s">
        <v>5138</v>
      </c>
      <c r="L6792" s="116">
        <v>3858.36</v>
      </c>
    </row>
    <row r="6793" spans="1:12" hidden="1" outlineLevel="1" collapsed="1" x14ac:dyDescent="0.35">
      <c r="A6793" s="112" t="s">
        <v>4632</v>
      </c>
      <c r="B6793" s="112" t="s">
        <v>4650</v>
      </c>
      <c r="C6793" s="112" t="s">
        <v>695</v>
      </c>
      <c r="D6793" s="113">
        <v>10348098</v>
      </c>
      <c r="E6793" s="115">
        <v>43929</v>
      </c>
      <c r="F6793" s="114">
        <v>202101</v>
      </c>
      <c r="G6793" s="112" t="s">
        <v>1091</v>
      </c>
      <c r="H6793" s="112" t="s">
        <v>1015</v>
      </c>
      <c r="I6793" s="112" t="s">
        <v>749</v>
      </c>
      <c r="J6793" s="112" t="s">
        <v>4651</v>
      </c>
      <c r="K6793" s="112" t="s">
        <v>5136</v>
      </c>
      <c r="L6793" s="116">
        <v>79.87</v>
      </c>
    </row>
    <row r="6794" spans="1:12" hidden="1" outlineLevel="1" collapsed="1" x14ac:dyDescent="0.35">
      <c r="A6794" s="112" t="s">
        <v>4632</v>
      </c>
      <c r="B6794" s="112" t="s">
        <v>863</v>
      </c>
      <c r="C6794" s="112" t="s">
        <v>679</v>
      </c>
      <c r="D6794" s="113">
        <v>10347962</v>
      </c>
      <c r="E6794" s="115">
        <v>43923</v>
      </c>
      <c r="F6794" s="114">
        <v>202101</v>
      </c>
      <c r="G6794" s="112" t="s">
        <v>1091</v>
      </c>
      <c r="H6794" s="112" t="s">
        <v>1016</v>
      </c>
      <c r="I6794" s="112" t="s">
        <v>781</v>
      </c>
      <c r="J6794" s="112" t="s">
        <v>856</v>
      </c>
      <c r="K6794" s="112" t="s">
        <v>5373</v>
      </c>
      <c r="L6794" s="116">
        <v>-101.85</v>
      </c>
    </row>
    <row r="6795" spans="1:12" hidden="1" outlineLevel="1" collapsed="1" x14ac:dyDescent="0.35">
      <c r="A6795" s="112" t="s">
        <v>4632</v>
      </c>
      <c r="B6795" s="112" t="s">
        <v>863</v>
      </c>
      <c r="C6795" s="112" t="s">
        <v>679</v>
      </c>
      <c r="D6795" s="113">
        <v>10347962</v>
      </c>
      <c r="E6795" s="115">
        <v>43923</v>
      </c>
      <c r="F6795" s="114">
        <v>202101</v>
      </c>
      <c r="G6795" s="112" t="s">
        <v>1091</v>
      </c>
      <c r="H6795" s="112" t="s">
        <v>1016</v>
      </c>
      <c r="I6795" s="112" t="s">
        <v>781</v>
      </c>
      <c r="J6795" s="112" t="s">
        <v>856</v>
      </c>
      <c r="K6795" s="112" t="s">
        <v>5373</v>
      </c>
      <c r="L6795" s="116">
        <v>-74.790000000000006</v>
      </c>
    </row>
    <row r="6796" spans="1:12" hidden="1" outlineLevel="1" collapsed="1" x14ac:dyDescent="0.35">
      <c r="A6796" s="112" t="s">
        <v>4632</v>
      </c>
      <c r="B6796" s="112" t="s">
        <v>4688</v>
      </c>
      <c r="C6796" s="112" t="s">
        <v>1518</v>
      </c>
      <c r="D6796" s="113">
        <v>51365689</v>
      </c>
      <c r="E6796" s="115">
        <v>43945</v>
      </c>
      <c r="F6796" s="114">
        <v>202101</v>
      </c>
      <c r="G6796" s="112" t="s">
        <v>1091</v>
      </c>
      <c r="H6796" s="112" t="s">
        <v>1016</v>
      </c>
      <c r="I6796" s="112" t="s">
        <v>2337</v>
      </c>
      <c r="J6796" s="112" t="s">
        <v>4690</v>
      </c>
      <c r="K6796" s="112" t="s">
        <v>5379</v>
      </c>
      <c r="L6796" s="116">
        <v>-51</v>
      </c>
    </row>
    <row r="6797" spans="1:12" hidden="1" outlineLevel="1" collapsed="1" x14ac:dyDescent="0.35">
      <c r="A6797" s="112" t="s">
        <v>4632</v>
      </c>
      <c r="B6797" s="112" t="s">
        <v>863</v>
      </c>
      <c r="C6797" s="112" t="s">
        <v>679</v>
      </c>
      <c r="D6797" s="113">
        <v>10347962</v>
      </c>
      <c r="E6797" s="115">
        <v>43923</v>
      </c>
      <c r="F6797" s="114">
        <v>202101</v>
      </c>
      <c r="G6797" s="112" t="s">
        <v>1091</v>
      </c>
      <c r="H6797" s="112" t="s">
        <v>1016</v>
      </c>
      <c r="I6797" s="112" t="s">
        <v>781</v>
      </c>
      <c r="J6797" s="112" t="s">
        <v>856</v>
      </c>
      <c r="K6797" s="112" t="s">
        <v>5373</v>
      </c>
      <c r="L6797" s="116">
        <v>-25.48</v>
      </c>
    </row>
    <row r="6798" spans="1:12" hidden="1" outlineLevel="1" collapsed="1" x14ac:dyDescent="0.35">
      <c r="A6798" s="112" t="s">
        <v>4632</v>
      </c>
      <c r="B6798" s="112" t="s">
        <v>863</v>
      </c>
      <c r="C6798" s="112" t="s">
        <v>679</v>
      </c>
      <c r="D6798" s="113">
        <v>10347962</v>
      </c>
      <c r="E6798" s="115">
        <v>43923</v>
      </c>
      <c r="F6798" s="114">
        <v>202101</v>
      </c>
      <c r="G6798" s="112" t="s">
        <v>1091</v>
      </c>
      <c r="H6798" s="112" t="s">
        <v>1016</v>
      </c>
      <c r="I6798" s="112" t="s">
        <v>781</v>
      </c>
      <c r="J6798" s="112" t="s">
        <v>856</v>
      </c>
      <c r="K6798" s="112" t="s">
        <v>5373</v>
      </c>
      <c r="L6798" s="116">
        <v>-133.66</v>
      </c>
    </row>
    <row r="6799" spans="1:12" hidden="1" outlineLevel="1" collapsed="1" x14ac:dyDescent="0.35">
      <c r="A6799" s="112" t="s">
        <v>4632</v>
      </c>
      <c r="B6799" s="112" t="s">
        <v>4688</v>
      </c>
      <c r="C6799" s="112" t="s">
        <v>679</v>
      </c>
      <c r="D6799" s="113">
        <v>10347962</v>
      </c>
      <c r="E6799" s="115">
        <v>43923</v>
      </c>
      <c r="F6799" s="114">
        <v>202101</v>
      </c>
      <c r="G6799" s="112" t="s">
        <v>1091</v>
      </c>
      <c r="H6799" s="112" t="s">
        <v>1016</v>
      </c>
      <c r="I6799" s="112" t="s">
        <v>4689</v>
      </c>
      <c r="J6799" s="112" t="s">
        <v>4690</v>
      </c>
      <c r="K6799" s="112" t="s">
        <v>5378</v>
      </c>
      <c r="L6799" s="116">
        <v>-54</v>
      </c>
    </row>
    <row r="6800" spans="1:12" hidden="1" outlineLevel="1" collapsed="1" x14ac:dyDescent="0.35">
      <c r="A6800" s="112" t="s">
        <v>4632</v>
      </c>
      <c r="B6800" s="112" t="s">
        <v>4688</v>
      </c>
      <c r="C6800" s="112" t="s">
        <v>4695</v>
      </c>
      <c r="D6800" s="113">
        <v>30440223</v>
      </c>
      <c r="E6800" s="115">
        <v>43923</v>
      </c>
      <c r="F6800" s="114">
        <v>202101</v>
      </c>
      <c r="G6800" s="112" t="s">
        <v>1091</v>
      </c>
      <c r="H6800" s="112" t="s">
        <v>1016</v>
      </c>
      <c r="I6800" s="112" t="s">
        <v>4689</v>
      </c>
      <c r="J6800" s="112" t="s">
        <v>4690</v>
      </c>
      <c r="K6800" s="112" t="s">
        <v>5380</v>
      </c>
      <c r="L6800" s="116">
        <v>54</v>
      </c>
    </row>
    <row r="6801" spans="1:12" hidden="1" outlineLevel="1" collapsed="1" x14ac:dyDescent="0.35">
      <c r="A6801" s="112" t="s">
        <v>4632</v>
      </c>
      <c r="B6801" s="112" t="s">
        <v>4688</v>
      </c>
      <c r="C6801" s="112" t="s">
        <v>4695</v>
      </c>
      <c r="D6801" s="113">
        <v>30440223</v>
      </c>
      <c r="E6801" s="115">
        <v>43923</v>
      </c>
      <c r="F6801" s="114">
        <v>202101</v>
      </c>
      <c r="G6801" s="112" t="s">
        <v>1091</v>
      </c>
      <c r="H6801" s="112" t="s">
        <v>1016</v>
      </c>
      <c r="I6801" s="112" t="s">
        <v>4689</v>
      </c>
      <c r="J6801" s="112" t="s">
        <v>4690</v>
      </c>
      <c r="K6801" s="112" t="s">
        <v>5381</v>
      </c>
      <c r="L6801" s="116">
        <v>54</v>
      </c>
    </row>
    <row r="6802" spans="1:12" hidden="1" outlineLevel="1" collapsed="1" x14ac:dyDescent="0.35">
      <c r="A6802" s="112" t="s">
        <v>4632</v>
      </c>
      <c r="B6802" s="112" t="s">
        <v>4688</v>
      </c>
      <c r="C6802" s="112" t="s">
        <v>679</v>
      </c>
      <c r="D6802" s="113">
        <v>10347962</v>
      </c>
      <c r="E6802" s="115">
        <v>43923</v>
      </c>
      <c r="F6802" s="114">
        <v>202101</v>
      </c>
      <c r="G6802" s="112" t="s">
        <v>1091</v>
      </c>
      <c r="H6802" s="112" t="s">
        <v>1016</v>
      </c>
      <c r="I6802" s="112" t="s">
        <v>4689</v>
      </c>
      <c r="J6802" s="112" t="s">
        <v>4690</v>
      </c>
      <c r="K6802" s="112" t="s">
        <v>5380</v>
      </c>
      <c r="L6802" s="116">
        <v>-54</v>
      </c>
    </row>
    <row r="6803" spans="1:12" hidden="1" outlineLevel="1" collapsed="1" x14ac:dyDescent="0.35">
      <c r="A6803" s="112" t="s">
        <v>4632</v>
      </c>
      <c r="B6803" s="112" t="s">
        <v>4688</v>
      </c>
      <c r="C6803" s="112" t="s">
        <v>679</v>
      </c>
      <c r="D6803" s="113">
        <v>10347962</v>
      </c>
      <c r="E6803" s="115">
        <v>43923</v>
      </c>
      <c r="F6803" s="114">
        <v>202101</v>
      </c>
      <c r="G6803" s="112" t="s">
        <v>1091</v>
      </c>
      <c r="H6803" s="112" t="s">
        <v>1016</v>
      </c>
      <c r="I6803" s="112" t="s">
        <v>4689</v>
      </c>
      <c r="J6803" s="112" t="s">
        <v>4690</v>
      </c>
      <c r="K6803" s="112" t="s">
        <v>5381</v>
      </c>
      <c r="L6803" s="116">
        <v>-54</v>
      </c>
    </row>
    <row r="6804" spans="1:12" hidden="1" outlineLevel="1" collapsed="1" x14ac:dyDescent="0.35">
      <c r="A6804" s="112" t="s">
        <v>4632</v>
      </c>
      <c r="B6804" s="112" t="s">
        <v>4688</v>
      </c>
      <c r="C6804" s="112" t="s">
        <v>1518</v>
      </c>
      <c r="D6804" s="113">
        <v>51365650</v>
      </c>
      <c r="E6804" s="115">
        <v>43944</v>
      </c>
      <c r="F6804" s="114">
        <v>202101</v>
      </c>
      <c r="G6804" s="112" t="s">
        <v>1091</v>
      </c>
      <c r="H6804" s="112" t="s">
        <v>1016</v>
      </c>
      <c r="I6804" s="112" t="s">
        <v>2337</v>
      </c>
      <c r="J6804" s="112" t="s">
        <v>4690</v>
      </c>
      <c r="K6804" s="112" t="s">
        <v>5382</v>
      </c>
      <c r="L6804" s="116">
        <v>-51</v>
      </c>
    </row>
    <row r="6805" spans="1:12" hidden="1" outlineLevel="1" collapsed="1" x14ac:dyDescent="0.35">
      <c r="A6805" s="112" t="s">
        <v>4632</v>
      </c>
      <c r="B6805" s="112" t="s">
        <v>4688</v>
      </c>
      <c r="C6805" s="112" t="s">
        <v>1518</v>
      </c>
      <c r="D6805" s="113">
        <v>51365649</v>
      </c>
      <c r="E6805" s="115">
        <v>43944</v>
      </c>
      <c r="F6805" s="114">
        <v>202101</v>
      </c>
      <c r="G6805" s="112" t="s">
        <v>1091</v>
      </c>
      <c r="H6805" s="112" t="s">
        <v>1016</v>
      </c>
      <c r="I6805" s="112" t="s">
        <v>2337</v>
      </c>
      <c r="J6805" s="112" t="s">
        <v>4690</v>
      </c>
      <c r="K6805" s="112" t="s">
        <v>5383</v>
      </c>
      <c r="L6805" s="116">
        <v>-51</v>
      </c>
    </row>
    <row r="6806" spans="1:12" hidden="1" outlineLevel="1" collapsed="1" x14ac:dyDescent="0.35">
      <c r="A6806" s="112" t="s">
        <v>4632</v>
      </c>
      <c r="B6806" s="112" t="s">
        <v>4688</v>
      </c>
      <c r="C6806" s="112" t="s">
        <v>1518</v>
      </c>
      <c r="D6806" s="113">
        <v>51365648</v>
      </c>
      <c r="E6806" s="115">
        <v>43944</v>
      </c>
      <c r="F6806" s="114">
        <v>202101</v>
      </c>
      <c r="G6806" s="112" t="s">
        <v>1091</v>
      </c>
      <c r="H6806" s="112" t="s">
        <v>1016</v>
      </c>
      <c r="I6806" s="112" t="s">
        <v>2337</v>
      </c>
      <c r="J6806" s="112" t="s">
        <v>4690</v>
      </c>
      <c r="K6806" s="112" t="s">
        <v>5384</v>
      </c>
      <c r="L6806" s="116">
        <v>-54</v>
      </c>
    </row>
    <row r="6807" spans="1:12" hidden="1" outlineLevel="1" collapsed="1" x14ac:dyDescent="0.35">
      <c r="A6807" s="112" t="s">
        <v>4632</v>
      </c>
      <c r="B6807" s="112" t="s">
        <v>4688</v>
      </c>
      <c r="C6807" s="112" t="s">
        <v>1518</v>
      </c>
      <c r="D6807" s="113">
        <v>51365647</v>
      </c>
      <c r="E6807" s="115">
        <v>43944</v>
      </c>
      <c r="F6807" s="114">
        <v>202101</v>
      </c>
      <c r="G6807" s="112" t="s">
        <v>1091</v>
      </c>
      <c r="H6807" s="112" t="s">
        <v>1016</v>
      </c>
      <c r="I6807" s="112" t="s">
        <v>2337</v>
      </c>
      <c r="J6807" s="112" t="s">
        <v>4690</v>
      </c>
      <c r="K6807" s="112" t="s">
        <v>5385</v>
      </c>
      <c r="L6807" s="116">
        <v>-54</v>
      </c>
    </row>
    <row r="6808" spans="1:12" hidden="1" outlineLevel="1" collapsed="1" x14ac:dyDescent="0.35">
      <c r="A6808" s="112" t="s">
        <v>4632</v>
      </c>
      <c r="B6808" s="112" t="s">
        <v>4688</v>
      </c>
      <c r="C6808" s="112" t="s">
        <v>1518</v>
      </c>
      <c r="D6808" s="113">
        <v>51365646</v>
      </c>
      <c r="E6808" s="115">
        <v>43944</v>
      </c>
      <c r="F6808" s="114">
        <v>202101</v>
      </c>
      <c r="G6808" s="112" t="s">
        <v>1091</v>
      </c>
      <c r="H6808" s="112" t="s">
        <v>1016</v>
      </c>
      <c r="I6808" s="112" t="s">
        <v>2337</v>
      </c>
      <c r="J6808" s="112" t="s">
        <v>4690</v>
      </c>
      <c r="K6808" s="112" t="s">
        <v>5386</v>
      </c>
      <c r="L6808" s="116">
        <v>-51</v>
      </c>
    </row>
    <row r="6809" spans="1:12" hidden="1" outlineLevel="1" collapsed="1" x14ac:dyDescent="0.35">
      <c r="A6809" s="112" t="s">
        <v>4632</v>
      </c>
      <c r="B6809" s="112" t="s">
        <v>4688</v>
      </c>
      <c r="C6809" s="112" t="s">
        <v>1518</v>
      </c>
      <c r="D6809" s="113">
        <v>51365645</v>
      </c>
      <c r="E6809" s="115">
        <v>43944</v>
      </c>
      <c r="F6809" s="114">
        <v>202101</v>
      </c>
      <c r="G6809" s="112" t="s">
        <v>1091</v>
      </c>
      <c r="H6809" s="112" t="s">
        <v>1016</v>
      </c>
      <c r="I6809" s="112" t="s">
        <v>2337</v>
      </c>
      <c r="J6809" s="112" t="s">
        <v>4690</v>
      </c>
      <c r="K6809" s="112" t="s">
        <v>5387</v>
      </c>
      <c r="L6809" s="116">
        <v>-51</v>
      </c>
    </row>
    <row r="6810" spans="1:12" hidden="1" outlineLevel="1" collapsed="1" x14ac:dyDescent="0.35">
      <c r="A6810" s="112" t="s">
        <v>4632</v>
      </c>
      <c r="B6810" s="112" t="s">
        <v>4688</v>
      </c>
      <c r="C6810" s="112" t="s">
        <v>1518</v>
      </c>
      <c r="D6810" s="113">
        <v>51365644</v>
      </c>
      <c r="E6810" s="115">
        <v>43944</v>
      </c>
      <c r="F6810" s="114">
        <v>202101</v>
      </c>
      <c r="G6810" s="112" t="s">
        <v>1091</v>
      </c>
      <c r="H6810" s="112" t="s">
        <v>1016</v>
      </c>
      <c r="I6810" s="112" t="s">
        <v>2337</v>
      </c>
      <c r="J6810" s="112" t="s">
        <v>4690</v>
      </c>
      <c r="K6810" s="112" t="s">
        <v>5388</v>
      </c>
      <c r="L6810" s="116">
        <v>-51</v>
      </c>
    </row>
    <row r="6811" spans="1:12" hidden="1" outlineLevel="1" collapsed="1" x14ac:dyDescent="0.35">
      <c r="A6811" s="112" t="s">
        <v>4632</v>
      </c>
      <c r="B6811" s="112" t="s">
        <v>4688</v>
      </c>
      <c r="C6811" s="112" t="s">
        <v>1518</v>
      </c>
      <c r="D6811" s="113">
        <v>51365671</v>
      </c>
      <c r="E6811" s="115">
        <v>43944</v>
      </c>
      <c r="F6811" s="114">
        <v>202101</v>
      </c>
      <c r="G6811" s="112" t="s">
        <v>1091</v>
      </c>
      <c r="H6811" s="112" t="s">
        <v>1016</v>
      </c>
      <c r="I6811" s="112" t="s">
        <v>2337</v>
      </c>
      <c r="J6811" s="112" t="s">
        <v>4690</v>
      </c>
      <c r="K6811" s="112" t="s">
        <v>5389</v>
      </c>
      <c r="L6811" s="116">
        <v>-51</v>
      </c>
    </row>
    <row r="6812" spans="1:12" hidden="1" outlineLevel="1" collapsed="1" x14ac:dyDescent="0.35">
      <c r="A6812" s="112" t="s">
        <v>4632</v>
      </c>
      <c r="B6812" s="112" t="s">
        <v>4688</v>
      </c>
      <c r="C6812" s="112" t="s">
        <v>1518</v>
      </c>
      <c r="D6812" s="113">
        <v>51365670</v>
      </c>
      <c r="E6812" s="115">
        <v>43944</v>
      </c>
      <c r="F6812" s="114">
        <v>202101</v>
      </c>
      <c r="G6812" s="112" t="s">
        <v>1091</v>
      </c>
      <c r="H6812" s="112" t="s">
        <v>1016</v>
      </c>
      <c r="I6812" s="112" t="s">
        <v>2337</v>
      </c>
      <c r="J6812" s="112" t="s">
        <v>4690</v>
      </c>
      <c r="K6812" s="112" t="s">
        <v>5390</v>
      </c>
      <c r="L6812" s="116">
        <v>-54</v>
      </c>
    </row>
    <row r="6813" spans="1:12" hidden="1" outlineLevel="1" collapsed="1" x14ac:dyDescent="0.35">
      <c r="A6813" s="112" t="s">
        <v>4632</v>
      </c>
      <c r="B6813" s="112" t="s">
        <v>4688</v>
      </c>
      <c r="C6813" s="112" t="s">
        <v>1518</v>
      </c>
      <c r="D6813" s="113">
        <v>51365669</v>
      </c>
      <c r="E6813" s="115">
        <v>43944</v>
      </c>
      <c r="F6813" s="114">
        <v>202101</v>
      </c>
      <c r="G6813" s="112" t="s">
        <v>1091</v>
      </c>
      <c r="H6813" s="112" t="s">
        <v>1016</v>
      </c>
      <c r="I6813" s="112" t="s">
        <v>2337</v>
      </c>
      <c r="J6813" s="112" t="s">
        <v>4690</v>
      </c>
      <c r="K6813" s="112" t="s">
        <v>5391</v>
      </c>
      <c r="L6813" s="116">
        <v>-51</v>
      </c>
    </row>
    <row r="6814" spans="1:12" hidden="1" outlineLevel="1" collapsed="1" x14ac:dyDescent="0.35">
      <c r="A6814" s="112" t="s">
        <v>4632</v>
      </c>
      <c r="B6814" s="112" t="s">
        <v>4688</v>
      </c>
      <c r="C6814" s="112" t="s">
        <v>1518</v>
      </c>
      <c r="D6814" s="113">
        <v>51365668</v>
      </c>
      <c r="E6814" s="115">
        <v>43944</v>
      </c>
      <c r="F6814" s="114">
        <v>202101</v>
      </c>
      <c r="G6814" s="112" t="s">
        <v>1091</v>
      </c>
      <c r="H6814" s="112" t="s">
        <v>1016</v>
      </c>
      <c r="I6814" s="112" t="s">
        <v>2337</v>
      </c>
      <c r="J6814" s="112" t="s">
        <v>4690</v>
      </c>
      <c r="K6814" s="112" t="s">
        <v>5392</v>
      </c>
      <c r="L6814" s="116">
        <v>-51</v>
      </c>
    </row>
    <row r="6815" spans="1:12" hidden="1" outlineLevel="1" collapsed="1" x14ac:dyDescent="0.35">
      <c r="A6815" s="112" t="s">
        <v>4632</v>
      </c>
      <c r="B6815" s="112" t="s">
        <v>4688</v>
      </c>
      <c r="C6815" s="112" t="s">
        <v>1518</v>
      </c>
      <c r="D6815" s="113">
        <v>51365667</v>
      </c>
      <c r="E6815" s="115">
        <v>43944</v>
      </c>
      <c r="F6815" s="114">
        <v>202101</v>
      </c>
      <c r="G6815" s="112" t="s">
        <v>1091</v>
      </c>
      <c r="H6815" s="112" t="s">
        <v>1016</v>
      </c>
      <c r="I6815" s="112" t="s">
        <v>2337</v>
      </c>
      <c r="J6815" s="112" t="s">
        <v>4690</v>
      </c>
      <c r="K6815" s="112" t="s">
        <v>5393</v>
      </c>
      <c r="L6815" s="116">
        <v>-51</v>
      </c>
    </row>
    <row r="6816" spans="1:12" hidden="1" outlineLevel="1" collapsed="1" x14ac:dyDescent="0.35">
      <c r="A6816" s="112" t="s">
        <v>4632</v>
      </c>
      <c r="B6816" s="112" t="s">
        <v>4688</v>
      </c>
      <c r="C6816" s="112" t="s">
        <v>1518</v>
      </c>
      <c r="D6816" s="113">
        <v>51365666</v>
      </c>
      <c r="E6816" s="115">
        <v>43944</v>
      </c>
      <c r="F6816" s="114">
        <v>202101</v>
      </c>
      <c r="G6816" s="112" t="s">
        <v>1091</v>
      </c>
      <c r="H6816" s="112" t="s">
        <v>1016</v>
      </c>
      <c r="I6816" s="112" t="s">
        <v>2337</v>
      </c>
      <c r="J6816" s="112" t="s">
        <v>4690</v>
      </c>
      <c r="K6816" s="112" t="s">
        <v>5394</v>
      </c>
      <c r="L6816" s="116">
        <v>-51</v>
      </c>
    </row>
    <row r="6817" spans="1:12" hidden="1" outlineLevel="1" collapsed="1" x14ac:dyDescent="0.35">
      <c r="A6817" s="112" t="s">
        <v>4632</v>
      </c>
      <c r="B6817" s="112" t="s">
        <v>4644</v>
      </c>
      <c r="C6817" s="112" t="s">
        <v>695</v>
      </c>
      <c r="D6817" s="113">
        <v>10348098</v>
      </c>
      <c r="E6817" s="115">
        <v>43929</v>
      </c>
      <c r="F6817" s="114">
        <v>202101</v>
      </c>
      <c r="G6817" s="112" t="s">
        <v>1091</v>
      </c>
      <c r="H6817" s="112" t="s">
        <v>1015</v>
      </c>
      <c r="I6817" s="112" t="s">
        <v>749</v>
      </c>
      <c r="J6817" s="112" t="s">
        <v>4645</v>
      </c>
      <c r="K6817" s="112" t="s">
        <v>5163</v>
      </c>
      <c r="L6817" s="116">
        <v>29.62</v>
      </c>
    </row>
    <row r="6818" spans="1:12" hidden="1" outlineLevel="1" collapsed="1" x14ac:dyDescent="0.35">
      <c r="A6818" s="112" t="s">
        <v>4632</v>
      </c>
      <c r="B6818" s="112" t="s">
        <v>4688</v>
      </c>
      <c r="C6818" s="112" t="s">
        <v>1518</v>
      </c>
      <c r="D6818" s="113">
        <v>51365690</v>
      </c>
      <c r="E6818" s="115">
        <v>43945</v>
      </c>
      <c r="F6818" s="114">
        <v>202101</v>
      </c>
      <c r="G6818" s="112" t="s">
        <v>1091</v>
      </c>
      <c r="H6818" s="112" t="s">
        <v>1016</v>
      </c>
      <c r="I6818" s="112" t="s">
        <v>2337</v>
      </c>
      <c r="J6818" s="112" t="s">
        <v>4690</v>
      </c>
      <c r="K6818" s="112" t="s">
        <v>5395</v>
      </c>
      <c r="L6818" s="116">
        <v>-51</v>
      </c>
    </row>
    <row r="6819" spans="1:12" hidden="1" outlineLevel="1" collapsed="1" x14ac:dyDescent="0.35">
      <c r="A6819" s="112" t="s">
        <v>4632</v>
      </c>
      <c r="B6819" s="112" t="s">
        <v>4688</v>
      </c>
      <c r="C6819" s="112" t="s">
        <v>4695</v>
      </c>
      <c r="D6819" s="113">
        <v>30440263</v>
      </c>
      <c r="E6819" s="115">
        <v>43927</v>
      </c>
      <c r="F6819" s="114">
        <v>202101</v>
      </c>
      <c r="G6819" s="112" t="s">
        <v>1091</v>
      </c>
      <c r="H6819" s="112" t="s">
        <v>1016</v>
      </c>
      <c r="I6819" s="112" t="s">
        <v>4689</v>
      </c>
      <c r="J6819" s="112" t="s">
        <v>4690</v>
      </c>
      <c r="K6819" s="112" t="s">
        <v>5242</v>
      </c>
      <c r="L6819" s="116">
        <v>108</v>
      </c>
    </row>
    <row r="6820" spans="1:12" hidden="1" outlineLevel="1" collapsed="1" x14ac:dyDescent="0.35">
      <c r="A6820" s="112" t="s">
        <v>4632</v>
      </c>
      <c r="B6820" s="112" t="s">
        <v>4688</v>
      </c>
      <c r="C6820" s="112" t="s">
        <v>1518</v>
      </c>
      <c r="D6820" s="113">
        <v>51365697</v>
      </c>
      <c r="E6820" s="115">
        <v>43945</v>
      </c>
      <c r="F6820" s="114">
        <v>202101</v>
      </c>
      <c r="G6820" s="112" t="s">
        <v>1091</v>
      </c>
      <c r="H6820" s="112" t="s">
        <v>1016</v>
      </c>
      <c r="I6820" s="112" t="s">
        <v>2337</v>
      </c>
      <c r="J6820" s="112" t="s">
        <v>4690</v>
      </c>
      <c r="K6820" s="112" t="s">
        <v>5396</v>
      </c>
      <c r="L6820" s="116">
        <v>-51</v>
      </c>
    </row>
    <row r="6821" spans="1:12" hidden="1" outlineLevel="1" collapsed="1" x14ac:dyDescent="0.35">
      <c r="A6821" s="112" t="s">
        <v>4632</v>
      </c>
      <c r="B6821" s="112" t="s">
        <v>4688</v>
      </c>
      <c r="C6821" s="112" t="s">
        <v>1518</v>
      </c>
      <c r="D6821" s="113">
        <v>51365696</v>
      </c>
      <c r="E6821" s="115">
        <v>43945</v>
      </c>
      <c r="F6821" s="114">
        <v>202101</v>
      </c>
      <c r="G6821" s="112" t="s">
        <v>1091</v>
      </c>
      <c r="H6821" s="112" t="s">
        <v>1016</v>
      </c>
      <c r="I6821" s="112" t="s">
        <v>2337</v>
      </c>
      <c r="J6821" s="112" t="s">
        <v>4690</v>
      </c>
      <c r="K6821" s="112" t="s">
        <v>5397</v>
      </c>
      <c r="L6821" s="116">
        <v>-54</v>
      </c>
    </row>
    <row r="6822" spans="1:12" hidden="1" outlineLevel="1" collapsed="1" x14ac:dyDescent="0.35">
      <c r="A6822" s="112" t="s">
        <v>4632</v>
      </c>
      <c r="B6822" s="112" t="s">
        <v>4644</v>
      </c>
      <c r="C6822" s="112" t="s">
        <v>1518</v>
      </c>
      <c r="D6822" s="113">
        <v>51366004</v>
      </c>
      <c r="E6822" s="115">
        <v>43928</v>
      </c>
      <c r="F6822" s="114">
        <v>202101</v>
      </c>
      <c r="G6822" s="112" t="s">
        <v>1091</v>
      </c>
      <c r="H6822" s="112" t="s">
        <v>1016</v>
      </c>
      <c r="I6822" s="112" t="s">
        <v>779</v>
      </c>
      <c r="J6822" s="112" t="s">
        <v>4645</v>
      </c>
      <c r="K6822" s="112" t="s">
        <v>5398</v>
      </c>
      <c r="L6822" s="116">
        <v>-2492.31</v>
      </c>
    </row>
    <row r="6823" spans="1:12" hidden="1" outlineLevel="1" collapsed="1" x14ac:dyDescent="0.35">
      <c r="A6823" s="112" t="s">
        <v>4632</v>
      </c>
      <c r="B6823" s="112" t="s">
        <v>863</v>
      </c>
      <c r="C6823" s="112" t="s">
        <v>1518</v>
      </c>
      <c r="D6823" s="113">
        <v>51366037</v>
      </c>
      <c r="E6823" s="115">
        <v>43928</v>
      </c>
      <c r="F6823" s="114">
        <v>202101</v>
      </c>
      <c r="G6823" s="112" t="s">
        <v>1091</v>
      </c>
      <c r="H6823" s="112" t="s">
        <v>1016</v>
      </c>
      <c r="I6823" s="112" t="s">
        <v>779</v>
      </c>
      <c r="J6823" s="112" t="s">
        <v>815</v>
      </c>
      <c r="K6823" s="112" t="s">
        <v>5399</v>
      </c>
      <c r="L6823" s="116">
        <v>-35.380000000000003</v>
      </c>
    </row>
    <row r="6824" spans="1:12" hidden="1" outlineLevel="1" collapsed="1" x14ac:dyDescent="0.35">
      <c r="A6824" s="112" t="s">
        <v>4632</v>
      </c>
      <c r="B6824" s="112" t="s">
        <v>863</v>
      </c>
      <c r="C6824" s="112" t="s">
        <v>1518</v>
      </c>
      <c r="D6824" s="113">
        <v>51366036</v>
      </c>
      <c r="E6824" s="115">
        <v>43928</v>
      </c>
      <c r="F6824" s="114">
        <v>202101</v>
      </c>
      <c r="G6824" s="112" t="s">
        <v>1091</v>
      </c>
      <c r="H6824" s="112" t="s">
        <v>1016</v>
      </c>
      <c r="I6824" s="112" t="s">
        <v>779</v>
      </c>
      <c r="J6824" s="112" t="s">
        <v>815</v>
      </c>
      <c r="K6824" s="112" t="s">
        <v>5400</v>
      </c>
      <c r="L6824" s="116">
        <v>-38.56</v>
      </c>
    </row>
    <row r="6825" spans="1:12" hidden="1" outlineLevel="1" collapsed="1" x14ac:dyDescent="0.35">
      <c r="A6825" s="112" t="s">
        <v>4632</v>
      </c>
      <c r="B6825" s="112" t="s">
        <v>4688</v>
      </c>
      <c r="C6825" s="112" t="s">
        <v>679</v>
      </c>
      <c r="D6825" s="113">
        <v>10348027</v>
      </c>
      <c r="E6825" s="115">
        <v>43927</v>
      </c>
      <c r="F6825" s="114">
        <v>202101</v>
      </c>
      <c r="G6825" s="112" t="s">
        <v>1091</v>
      </c>
      <c r="H6825" s="112" t="s">
        <v>1016</v>
      </c>
      <c r="I6825" s="112" t="s">
        <v>4689</v>
      </c>
      <c r="J6825" s="112" t="s">
        <v>4690</v>
      </c>
      <c r="K6825" s="112" t="s">
        <v>5401</v>
      </c>
      <c r="L6825" s="116">
        <v>-54</v>
      </c>
    </row>
    <row r="6826" spans="1:12" hidden="1" outlineLevel="1" collapsed="1" x14ac:dyDescent="0.35">
      <c r="A6826" s="112" t="s">
        <v>4632</v>
      </c>
      <c r="B6826" s="112" t="s">
        <v>4688</v>
      </c>
      <c r="C6826" s="112" t="s">
        <v>679</v>
      </c>
      <c r="D6826" s="113">
        <v>10348027</v>
      </c>
      <c r="E6826" s="115">
        <v>43927</v>
      </c>
      <c r="F6826" s="114">
        <v>202101</v>
      </c>
      <c r="G6826" s="112" t="s">
        <v>1091</v>
      </c>
      <c r="H6826" s="112" t="s">
        <v>1016</v>
      </c>
      <c r="I6826" s="112" t="s">
        <v>4689</v>
      </c>
      <c r="J6826" s="112" t="s">
        <v>4690</v>
      </c>
      <c r="K6826" s="112" t="s">
        <v>5402</v>
      </c>
      <c r="L6826" s="116">
        <v>-54</v>
      </c>
    </row>
    <row r="6827" spans="1:12" hidden="1" outlineLevel="1" collapsed="1" x14ac:dyDescent="0.35">
      <c r="A6827" s="112" t="s">
        <v>4632</v>
      </c>
      <c r="B6827" s="112" t="s">
        <v>4688</v>
      </c>
      <c r="C6827" s="112" t="s">
        <v>679</v>
      </c>
      <c r="D6827" s="113">
        <v>10348027</v>
      </c>
      <c r="E6827" s="115">
        <v>43927</v>
      </c>
      <c r="F6827" s="114">
        <v>202101</v>
      </c>
      <c r="G6827" s="112" t="s">
        <v>1091</v>
      </c>
      <c r="H6827" s="112" t="s">
        <v>1016</v>
      </c>
      <c r="I6827" s="112" t="s">
        <v>4689</v>
      </c>
      <c r="J6827" s="112" t="s">
        <v>4690</v>
      </c>
      <c r="K6827" s="112" t="s">
        <v>5403</v>
      </c>
      <c r="L6827" s="116">
        <v>-54</v>
      </c>
    </row>
    <row r="6828" spans="1:12" hidden="1" outlineLevel="1" collapsed="1" x14ac:dyDescent="0.35">
      <c r="A6828" s="112" t="s">
        <v>4632</v>
      </c>
      <c r="B6828" s="112" t="s">
        <v>4644</v>
      </c>
      <c r="C6828" s="112" t="s">
        <v>695</v>
      </c>
      <c r="D6828" s="113">
        <v>10348098</v>
      </c>
      <c r="E6828" s="115">
        <v>43929</v>
      </c>
      <c r="F6828" s="114">
        <v>202101</v>
      </c>
      <c r="G6828" s="112" t="s">
        <v>1091</v>
      </c>
      <c r="H6828" s="112" t="s">
        <v>1015</v>
      </c>
      <c r="I6828" s="112" t="s">
        <v>749</v>
      </c>
      <c r="J6828" s="112" t="s">
        <v>4645</v>
      </c>
      <c r="K6828" s="112" t="s">
        <v>5153</v>
      </c>
      <c r="L6828" s="116">
        <v>1785.25</v>
      </c>
    </row>
    <row r="6829" spans="1:12" hidden="1" outlineLevel="1" collapsed="1" x14ac:dyDescent="0.35">
      <c r="A6829" s="112" t="s">
        <v>4632</v>
      </c>
      <c r="B6829" s="112" t="s">
        <v>4644</v>
      </c>
      <c r="C6829" s="112" t="s">
        <v>695</v>
      </c>
      <c r="D6829" s="113">
        <v>10348098</v>
      </c>
      <c r="E6829" s="115">
        <v>43929</v>
      </c>
      <c r="F6829" s="114">
        <v>202101</v>
      </c>
      <c r="G6829" s="112" t="s">
        <v>1091</v>
      </c>
      <c r="H6829" s="112" t="s">
        <v>1015</v>
      </c>
      <c r="I6829" s="112" t="s">
        <v>749</v>
      </c>
      <c r="J6829" s="112" t="s">
        <v>4645</v>
      </c>
      <c r="K6829" s="112" t="s">
        <v>5146</v>
      </c>
      <c r="L6829" s="116">
        <v>1499.15</v>
      </c>
    </row>
    <row r="6830" spans="1:12" hidden="1" outlineLevel="1" collapsed="1" x14ac:dyDescent="0.35">
      <c r="A6830" s="112" t="s">
        <v>4632</v>
      </c>
      <c r="B6830" s="112" t="s">
        <v>4650</v>
      </c>
      <c r="C6830" s="112" t="s">
        <v>695</v>
      </c>
      <c r="D6830" s="113">
        <v>10348098</v>
      </c>
      <c r="E6830" s="115">
        <v>43929</v>
      </c>
      <c r="F6830" s="114">
        <v>202101</v>
      </c>
      <c r="G6830" s="112" t="s">
        <v>1091</v>
      </c>
      <c r="H6830" s="112" t="s">
        <v>1015</v>
      </c>
      <c r="I6830" s="112" t="s">
        <v>749</v>
      </c>
      <c r="J6830" s="112" t="s">
        <v>4651</v>
      </c>
      <c r="K6830" s="112" t="s">
        <v>5142</v>
      </c>
      <c r="L6830" s="116">
        <v>173.81</v>
      </c>
    </row>
    <row r="6831" spans="1:12" hidden="1" outlineLevel="1" collapsed="1" x14ac:dyDescent="0.35">
      <c r="A6831" s="112" t="s">
        <v>4632</v>
      </c>
      <c r="B6831" s="112" t="s">
        <v>4650</v>
      </c>
      <c r="C6831" s="112" t="s">
        <v>695</v>
      </c>
      <c r="D6831" s="113">
        <v>10348098</v>
      </c>
      <c r="E6831" s="115">
        <v>43929</v>
      </c>
      <c r="F6831" s="114">
        <v>202101</v>
      </c>
      <c r="G6831" s="112" t="s">
        <v>1091</v>
      </c>
      <c r="H6831" s="112" t="s">
        <v>1015</v>
      </c>
      <c r="I6831" s="112" t="s">
        <v>749</v>
      </c>
      <c r="J6831" s="112" t="s">
        <v>4651</v>
      </c>
      <c r="K6831" s="112" t="s">
        <v>5143</v>
      </c>
      <c r="L6831" s="116">
        <v>41.42</v>
      </c>
    </row>
    <row r="6832" spans="1:12" hidden="1" outlineLevel="1" collapsed="1" x14ac:dyDescent="0.35">
      <c r="A6832" s="112" t="s">
        <v>4632</v>
      </c>
      <c r="B6832" s="112" t="s">
        <v>4650</v>
      </c>
      <c r="C6832" s="112" t="s">
        <v>695</v>
      </c>
      <c r="D6832" s="113">
        <v>10348098</v>
      </c>
      <c r="E6832" s="115">
        <v>43929</v>
      </c>
      <c r="F6832" s="114">
        <v>202101</v>
      </c>
      <c r="G6832" s="112" t="s">
        <v>1091</v>
      </c>
      <c r="H6832" s="112" t="s">
        <v>1015</v>
      </c>
      <c r="I6832" s="112" t="s">
        <v>749</v>
      </c>
      <c r="J6832" s="112" t="s">
        <v>4651</v>
      </c>
      <c r="K6832" s="112" t="s">
        <v>5144</v>
      </c>
      <c r="L6832" s="116">
        <v>190.75</v>
      </c>
    </row>
    <row r="6833" spans="1:12" hidden="1" outlineLevel="1" collapsed="1" x14ac:dyDescent="0.35">
      <c r="A6833" s="112" t="s">
        <v>4632</v>
      </c>
      <c r="B6833" s="112" t="s">
        <v>4644</v>
      </c>
      <c r="C6833" s="112" t="s">
        <v>695</v>
      </c>
      <c r="D6833" s="113">
        <v>10348098</v>
      </c>
      <c r="E6833" s="115">
        <v>43929</v>
      </c>
      <c r="F6833" s="114">
        <v>202101</v>
      </c>
      <c r="G6833" s="112" t="s">
        <v>1091</v>
      </c>
      <c r="H6833" s="112" t="s">
        <v>1015</v>
      </c>
      <c r="I6833" s="112" t="s">
        <v>757</v>
      </c>
      <c r="J6833" s="112" t="s">
        <v>4645</v>
      </c>
      <c r="K6833" s="112" t="s">
        <v>5140</v>
      </c>
      <c r="L6833" s="116">
        <v>29.76</v>
      </c>
    </row>
    <row r="6834" spans="1:12" hidden="1" outlineLevel="1" collapsed="1" x14ac:dyDescent="0.35">
      <c r="A6834" s="112" t="s">
        <v>4632</v>
      </c>
      <c r="B6834" s="112" t="s">
        <v>4650</v>
      </c>
      <c r="C6834" s="112" t="s">
        <v>695</v>
      </c>
      <c r="D6834" s="113">
        <v>10348098</v>
      </c>
      <c r="E6834" s="115">
        <v>43929</v>
      </c>
      <c r="F6834" s="114">
        <v>202101</v>
      </c>
      <c r="G6834" s="112" t="s">
        <v>1091</v>
      </c>
      <c r="H6834" s="112" t="s">
        <v>1015</v>
      </c>
      <c r="I6834" s="112" t="s">
        <v>757</v>
      </c>
      <c r="J6834" s="112" t="s">
        <v>4651</v>
      </c>
      <c r="K6834" s="112" t="s">
        <v>5141</v>
      </c>
      <c r="L6834" s="116">
        <v>603.76</v>
      </c>
    </row>
    <row r="6835" spans="1:12" hidden="1" outlineLevel="1" collapsed="1" x14ac:dyDescent="0.35">
      <c r="A6835" s="112" t="s">
        <v>4632</v>
      </c>
      <c r="B6835" s="112" t="s">
        <v>4650</v>
      </c>
      <c r="C6835" s="112" t="s">
        <v>695</v>
      </c>
      <c r="D6835" s="113">
        <v>10348098</v>
      </c>
      <c r="E6835" s="115">
        <v>43929</v>
      </c>
      <c r="F6835" s="114">
        <v>202101</v>
      </c>
      <c r="G6835" s="112" t="s">
        <v>1091</v>
      </c>
      <c r="H6835" s="112" t="s">
        <v>1015</v>
      </c>
      <c r="I6835" s="112" t="s">
        <v>757</v>
      </c>
      <c r="J6835" s="112" t="s">
        <v>4651</v>
      </c>
      <c r="K6835" s="112" t="s">
        <v>5028</v>
      </c>
      <c r="L6835" s="116">
        <v>41.22</v>
      </c>
    </row>
    <row r="6836" spans="1:12" hidden="1" outlineLevel="1" collapsed="1" x14ac:dyDescent="0.35">
      <c r="A6836" s="112" t="s">
        <v>4632</v>
      </c>
      <c r="B6836" s="112" t="s">
        <v>4688</v>
      </c>
      <c r="C6836" s="112" t="s">
        <v>4695</v>
      </c>
      <c r="D6836" s="113">
        <v>30440263</v>
      </c>
      <c r="E6836" s="115">
        <v>43927</v>
      </c>
      <c r="F6836" s="114">
        <v>202101</v>
      </c>
      <c r="G6836" s="112" t="s">
        <v>1091</v>
      </c>
      <c r="H6836" s="112" t="s">
        <v>1016</v>
      </c>
      <c r="I6836" s="112" t="s">
        <v>4689</v>
      </c>
      <c r="J6836" s="112" t="s">
        <v>4690</v>
      </c>
      <c r="K6836" s="112" t="s">
        <v>5402</v>
      </c>
      <c r="L6836" s="116">
        <v>54</v>
      </c>
    </row>
    <row r="6837" spans="1:12" hidden="1" outlineLevel="1" collapsed="1" x14ac:dyDescent="0.35">
      <c r="A6837" s="112" t="s">
        <v>4632</v>
      </c>
      <c r="B6837" s="112" t="s">
        <v>4688</v>
      </c>
      <c r="C6837" s="112" t="s">
        <v>4695</v>
      </c>
      <c r="D6837" s="113">
        <v>30440263</v>
      </c>
      <c r="E6837" s="115">
        <v>43927</v>
      </c>
      <c r="F6837" s="114">
        <v>202101</v>
      </c>
      <c r="G6837" s="112" t="s">
        <v>1091</v>
      </c>
      <c r="H6837" s="112" t="s">
        <v>1016</v>
      </c>
      <c r="I6837" s="112" t="s">
        <v>4689</v>
      </c>
      <c r="J6837" s="112" t="s">
        <v>4690</v>
      </c>
      <c r="K6837" s="112" t="s">
        <v>5403</v>
      </c>
      <c r="L6837" s="116">
        <v>54</v>
      </c>
    </row>
    <row r="6838" spans="1:12" hidden="1" outlineLevel="1" collapsed="1" x14ac:dyDescent="0.35">
      <c r="A6838" s="112" t="s">
        <v>4632</v>
      </c>
      <c r="B6838" s="112" t="s">
        <v>4688</v>
      </c>
      <c r="C6838" s="112" t="s">
        <v>679</v>
      </c>
      <c r="D6838" s="113">
        <v>10348027</v>
      </c>
      <c r="E6838" s="115">
        <v>43927</v>
      </c>
      <c r="F6838" s="114">
        <v>202101</v>
      </c>
      <c r="G6838" s="112" t="s">
        <v>1091</v>
      </c>
      <c r="H6838" s="112" t="s">
        <v>1016</v>
      </c>
      <c r="I6838" s="112" t="s">
        <v>4689</v>
      </c>
      <c r="J6838" s="112" t="s">
        <v>4690</v>
      </c>
      <c r="K6838" s="112" t="s">
        <v>5404</v>
      </c>
      <c r="L6838" s="116">
        <v>-54</v>
      </c>
    </row>
    <row r="6839" spans="1:12" hidden="1" outlineLevel="1" collapsed="1" x14ac:dyDescent="0.35">
      <c r="A6839" s="112" t="s">
        <v>4632</v>
      </c>
      <c r="B6839" s="112" t="s">
        <v>4688</v>
      </c>
      <c r="C6839" s="112" t="s">
        <v>1518</v>
      </c>
      <c r="D6839" s="113">
        <v>51365698</v>
      </c>
      <c r="E6839" s="115">
        <v>43945</v>
      </c>
      <c r="F6839" s="114">
        <v>202101</v>
      </c>
      <c r="G6839" s="112" t="s">
        <v>1091</v>
      </c>
      <c r="H6839" s="112" t="s">
        <v>1016</v>
      </c>
      <c r="I6839" s="112" t="s">
        <v>2337</v>
      </c>
      <c r="J6839" s="112" t="s">
        <v>4690</v>
      </c>
      <c r="K6839" s="112" t="s">
        <v>5405</v>
      </c>
      <c r="L6839" s="116">
        <v>-51</v>
      </c>
    </row>
    <row r="6840" spans="1:12" hidden="1" outlineLevel="1" collapsed="1" x14ac:dyDescent="0.35">
      <c r="A6840" s="112" t="s">
        <v>4632</v>
      </c>
      <c r="B6840" s="112" t="s">
        <v>4688</v>
      </c>
      <c r="C6840" s="112" t="s">
        <v>4695</v>
      </c>
      <c r="D6840" s="113">
        <v>30440263</v>
      </c>
      <c r="E6840" s="115">
        <v>43927</v>
      </c>
      <c r="F6840" s="114">
        <v>202101</v>
      </c>
      <c r="G6840" s="112" t="s">
        <v>1091</v>
      </c>
      <c r="H6840" s="112" t="s">
        <v>1016</v>
      </c>
      <c r="I6840" s="112" t="s">
        <v>4689</v>
      </c>
      <c r="J6840" s="112" t="s">
        <v>4690</v>
      </c>
      <c r="K6840" s="112" t="s">
        <v>5401</v>
      </c>
      <c r="L6840" s="116">
        <v>54</v>
      </c>
    </row>
    <row r="6841" spans="1:12" hidden="1" outlineLevel="1" collapsed="1" x14ac:dyDescent="0.35">
      <c r="A6841" s="112" t="s">
        <v>4632</v>
      </c>
      <c r="B6841" s="112" t="s">
        <v>4688</v>
      </c>
      <c r="C6841" s="112" t="s">
        <v>4695</v>
      </c>
      <c r="D6841" s="113">
        <v>30440263</v>
      </c>
      <c r="E6841" s="115">
        <v>43927</v>
      </c>
      <c r="F6841" s="114">
        <v>202101</v>
      </c>
      <c r="G6841" s="112" t="s">
        <v>1091</v>
      </c>
      <c r="H6841" s="112" t="s">
        <v>1016</v>
      </c>
      <c r="I6841" s="112" t="s">
        <v>4689</v>
      </c>
      <c r="J6841" s="112" t="s">
        <v>4690</v>
      </c>
      <c r="K6841" s="112" t="s">
        <v>5404</v>
      </c>
      <c r="L6841" s="116">
        <v>54</v>
      </c>
    </row>
    <row r="6842" spans="1:12" hidden="1" outlineLevel="1" collapsed="1" x14ac:dyDescent="0.35">
      <c r="A6842" s="112" t="s">
        <v>4632</v>
      </c>
      <c r="B6842" s="112" t="s">
        <v>4688</v>
      </c>
      <c r="C6842" s="112" t="s">
        <v>4695</v>
      </c>
      <c r="D6842" s="113">
        <v>30440263</v>
      </c>
      <c r="E6842" s="115">
        <v>43927</v>
      </c>
      <c r="F6842" s="114">
        <v>202101</v>
      </c>
      <c r="G6842" s="112" t="s">
        <v>1091</v>
      </c>
      <c r="H6842" s="112" t="s">
        <v>1016</v>
      </c>
      <c r="I6842" s="112" t="s">
        <v>4689</v>
      </c>
      <c r="J6842" s="112" t="s">
        <v>4690</v>
      </c>
      <c r="K6842" s="112" t="s">
        <v>5406</v>
      </c>
      <c r="L6842" s="116">
        <v>108</v>
      </c>
    </row>
    <row r="6843" spans="1:12" hidden="1" outlineLevel="1" collapsed="1" x14ac:dyDescent="0.35">
      <c r="A6843" s="112" t="s">
        <v>4632</v>
      </c>
      <c r="B6843" s="112" t="s">
        <v>4688</v>
      </c>
      <c r="C6843" s="112" t="s">
        <v>4695</v>
      </c>
      <c r="D6843" s="113">
        <v>30440263</v>
      </c>
      <c r="E6843" s="115">
        <v>43927</v>
      </c>
      <c r="F6843" s="114">
        <v>202101</v>
      </c>
      <c r="G6843" s="112" t="s">
        <v>1091</v>
      </c>
      <c r="H6843" s="112" t="s">
        <v>1016</v>
      </c>
      <c r="I6843" s="112" t="s">
        <v>4689</v>
      </c>
      <c r="J6843" s="112" t="s">
        <v>4690</v>
      </c>
      <c r="K6843" s="112" t="s">
        <v>5407</v>
      </c>
      <c r="L6843" s="116">
        <v>54</v>
      </c>
    </row>
    <row r="6844" spans="1:12" hidden="1" outlineLevel="1" collapsed="1" x14ac:dyDescent="0.35">
      <c r="A6844" s="112" t="s">
        <v>4632</v>
      </c>
      <c r="B6844" s="112" t="s">
        <v>4688</v>
      </c>
      <c r="C6844" s="112" t="s">
        <v>4695</v>
      </c>
      <c r="D6844" s="113">
        <v>30440263</v>
      </c>
      <c r="E6844" s="115">
        <v>43927</v>
      </c>
      <c r="F6844" s="114">
        <v>202101</v>
      </c>
      <c r="G6844" s="112" t="s">
        <v>1091</v>
      </c>
      <c r="H6844" s="112" t="s">
        <v>1016</v>
      </c>
      <c r="I6844" s="112" t="s">
        <v>4689</v>
      </c>
      <c r="J6844" s="112" t="s">
        <v>4690</v>
      </c>
      <c r="K6844" s="112" t="s">
        <v>5408</v>
      </c>
      <c r="L6844" s="116">
        <v>54</v>
      </c>
    </row>
    <row r="6845" spans="1:12" hidden="1" outlineLevel="1" collapsed="1" x14ac:dyDescent="0.35">
      <c r="A6845" s="112" t="s">
        <v>4632</v>
      </c>
      <c r="B6845" s="112" t="s">
        <v>4688</v>
      </c>
      <c r="C6845" s="112" t="s">
        <v>4695</v>
      </c>
      <c r="D6845" s="113">
        <v>30440263</v>
      </c>
      <c r="E6845" s="115">
        <v>43927</v>
      </c>
      <c r="F6845" s="114">
        <v>202101</v>
      </c>
      <c r="G6845" s="112" t="s">
        <v>1091</v>
      </c>
      <c r="H6845" s="112" t="s">
        <v>1016</v>
      </c>
      <c r="I6845" s="112" t="s">
        <v>4689</v>
      </c>
      <c r="J6845" s="112" t="s">
        <v>4690</v>
      </c>
      <c r="K6845" s="112" t="s">
        <v>5348</v>
      </c>
      <c r="L6845" s="116">
        <v>54</v>
      </c>
    </row>
    <row r="6846" spans="1:12" hidden="1" outlineLevel="1" collapsed="1" x14ac:dyDescent="0.35">
      <c r="A6846" s="112" t="s">
        <v>4632</v>
      </c>
      <c r="B6846" s="112" t="s">
        <v>4688</v>
      </c>
      <c r="C6846" s="112" t="s">
        <v>4695</v>
      </c>
      <c r="D6846" s="113">
        <v>30440263</v>
      </c>
      <c r="E6846" s="115">
        <v>43927</v>
      </c>
      <c r="F6846" s="114">
        <v>202101</v>
      </c>
      <c r="G6846" s="112" t="s">
        <v>1091</v>
      </c>
      <c r="H6846" s="112" t="s">
        <v>1016</v>
      </c>
      <c r="I6846" s="112" t="s">
        <v>4689</v>
      </c>
      <c r="J6846" s="112" t="s">
        <v>4690</v>
      </c>
      <c r="K6846" s="112" t="s">
        <v>5264</v>
      </c>
      <c r="L6846" s="116">
        <v>54</v>
      </c>
    </row>
    <row r="6847" spans="1:12" hidden="1" outlineLevel="1" collapsed="1" x14ac:dyDescent="0.35">
      <c r="A6847" s="112" t="s">
        <v>4632</v>
      </c>
      <c r="B6847" s="112" t="s">
        <v>863</v>
      </c>
      <c r="C6847" s="112" t="s">
        <v>695</v>
      </c>
      <c r="D6847" s="113">
        <v>10348098</v>
      </c>
      <c r="E6847" s="115">
        <v>43929</v>
      </c>
      <c r="F6847" s="114">
        <v>202101</v>
      </c>
      <c r="G6847" s="112" t="s">
        <v>1091</v>
      </c>
      <c r="H6847" s="112" t="s">
        <v>1015</v>
      </c>
      <c r="I6847" s="112" t="s">
        <v>749</v>
      </c>
      <c r="J6847" s="112" t="s">
        <v>831</v>
      </c>
      <c r="K6847" s="112" t="s">
        <v>5128</v>
      </c>
      <c r="L6847" s="116">
        <v>109.92</v>
      </c>
    </row>
    <row r="6848" spans="1:12" hidden="1" outlineLevel="1" collapsed="1" x14ac:dyDescent="0.35">
      <c r="A6848" s="112" t="s">
        <v>4632</v>
      </c>
      <c r="B6848" s="112" t="s">
        <v>863</v>
      </c>
      <c r="C6848" s="112" t="s">
        <v>695</v>
      </c>
      <c r="D6848" s="113">
        <v>10348098</v>
      </c>
      <c r="E6848" s="115">
        <v>43929</v>
      </c>
      <c r="F6848" s="114">
        <v>202101</v>
      </c>
      <c r="G6848" s="112" t="s">
        <v>1091</v>
      </c>
      <c r="H6848" s="112" t="s">
        <v>1015</v>
      </c>
      <c r="I6848" s="112" t="s">
        <v>749</v>
      </c>
      <c r="J6848" s="112" t="s">
        <v>854</v>
      </c>
      <c r="K6848" s="112" t="s">
        <v>5181</v>
      </c>
      <c r="L6848" s="116">
        <v>337.35</v>
      </c>
    </row>
    <row r="6849" spans="1:12" hidden="1" outlineLevel="1" collapsed="1" x14ac:dyDescent="0.35">
      <c r="A6849" s="112" t="s">
        <v>4632</v>
      </c>
      <c r="B6849" s="112" t="s">
        <v>4644</v>
      </c>
      <c r="C6849" s="112" t="s">
        <v>695</v>
      </c>
      <c r="D6849" s="113">
        <v>10348098</v>
      </c>
      <c r="E6849" s="115">
        <v>43929</v>
      </c>
      <c r="F6849" s="114">
        <v>202101</v>
      </c>
      <c r="G6849" s="112" t="s">
        <v>1091</v>
      </c>
      <c r="H6849" s="112" t="s">
        <v>1015</v>
      </c>
      <c r="I6849" s="112" t="s">
        <v>749</v>
      </c>
      <c r="J6849" s="112" t="s">
        <v>4645</v>
      </c>
      <c r="K6849" s="112" t="s">
        <v>5127</v>
      </c>
      <c r="L6849" s="116">
        <v>-78.62</v>
      </c>
    </row>
    <row r="6850" spans="1:12" hidden="1" outlineLevel="1" collapsed="1" x14ac:dyDescent="0.35">
      <c r="A6850" s="112" t="s">
        <v>4632</v>
      </c>
      <c r="B6850" s="112" t="s">
        <v>4644</v>
      </c>
      <c r="C6850" s="112" t="s">
        <v>695</v>
      </c>
      <c r="D6850" s="113">
        <v>10348098</v>
      </c>
      <c r="E6850" s="115">
        <v>43929</v>
      </c>
      <c r="F6850" s="114">
        <v>202101</v>
      </c>
      <c r="G6850" s="112" t="s">
        <v>1091</v>
      </c>
      <c r="H6850" s="112" t="s">
        <v>1015</v>
      </c>
      <c r="I6850" s="112" t="s">
        <v>749</v>
      </c>
      <c r="J6850" s="112" t="s">
        <v>4645</v>
      </c>
      <c r="K6850" s="112" t="s">
        <v>5080</v>
      </c>
      <c r="L6850" s="116">
        <v>251.38</v>
      </c>
    </row>
    <row r="6851" spans="1:12" hidden="1" outlineLevel="1" collapsed="1" x14ac:dyDescent="0.35">
      <c r="A6851" s="112" t="s">
        <v>4632</v>
      </c>
      <c r="B6851" s="112" t="s">
        <v>4650</v>
      </c>
      <c r="C6851" s="112" t="s">
        <v>695</v>
      </c>
      <c r="D6851" s="113">
        <v>10348098</v>
      </c>
      <c r="E6851" s="115">
        <v>43929</v>
      </c>
      <c r="F6851" s="114">
        <v>202101</v>
      </c>
      <c r="G6851" s="112" t="s">
        <v>1091</v>
      </c>
      <c r="H6851" s="112" t="s">
        <v>1015</v>
      </c>
      <c r="I6851" s="112" t="s">
        <v>749</v>
      </c>
      <c r="J6851" s="112" t="s">
        <v>4651</v>
      </c>
      <c r="K6851" s="112" t="s">
        <v>5149</v>
      </c>
      <c r="L6851" s="116">
        <v>53.69</v>
      </c>
    </row>
    <row r="6852" spans="1:12" hidden="1" outlineLevel="1" collapsed="1" x14ac:dyDescent="0.35">
      <c r="A6852" s="112" t="s">
        <v>4632</v>
      </c>
      <c r="B6852" s="112" t="s">
        <v>4650</v>
      </c>
      <c r="C6852" s="112" t="s">
        <v>695</v>
      </c>
      <c r="D6852" s="113">
        <v>10348098</v>
      </c>
      <c r="E6852" s="115">
        <v>43929</v>
      </c>
      <c r="F6852" s="114">
        <v>202101</v>
      </c>
      <c r="G6852" s="112" t="s">
        <v>1091</v>
      </c>
      <c r="H6852" s="112" t="s">
        <v>1015</v>
      </c>
      <c r="I6852" s="112" t="s">
        <v>749</v>
      </c>
      <c r="J6852" s="112" t="s">
        <v>4651</v>
      </c>
      <c r="K6852" s="112" t="s">
        <v>5038</v>
      </c>
      <c r="L6852" s="116">
        <v>53.2</v>
      </c>
    </row>
    <row r="6853" spans="1:12" hidden="1" outlineLevel="1" collapsed="1" x14ac:dyDescent="0.35">
      <c r="A6853" s="112" t="s">
        <v>4632</v>
      </c>
      <c r="B6853" s="112" t="s">
        <v>4650</v>
      </c>
      <c r="C6853" s="112" t="s">
        <v>695</v>
      </c>
      <c r="D6853" s="113">
        <v>10348098</v>
      </c>
      <c r="E6853" s="115">
        <v>43929</v>
      </c>
      <c r="F6853" s="114">
        <v>202101</v>
      </c>
      <c r="G6853" s="112" t="s">
        <v>1091</v>
      </c>
      <c r="H6853" s="112" t="s">
        <v>1015</v>
      </c>
      <c r="I6853" s="112" t="s">
        <v>749</v>
      </c>
      <c r="J6853" s="112" t="s">
        <v>4651</v>
      </c>
      <c r="K6853" s="112" t="s">
        <v>5137</v>
      </c>
      <c r="L6853" s="116">
        <v>40.159999999999997</v>
      </c>
    </row>
    <row r="6854" spans="1:12" hidden="1" outlineLevel="1" collapsed="1" x14ac:dyDescent="0.35">
      <c r="A6854" s="112" t="s">
        <v>4632</v>
      </c>
      <c r="B6854" s="112" t="s">
        <v>4650</v>
      </c>
      <c r="C6854" s="112" t="s">
        <v>695</v>
      </c>
      <c r="D6854" s="113">
        <v>10348098</v>
      </c>
      <c r="E6854" s="115">
        <v>43929</v>
      </c>
      <c r="F6854" s="114">
        <v>202101</v>
      </c>
      <c r="G6854" s="112" t="s">
        <v>1091</v>
      </c>
      <c r="H6854" s="112" t="s">
        <v>1015</v>
      </c>
      <c r="I6854" s="112" t="s">
        <v>749</v>
      </c>
      <c r="J6854" s="112" t="s">
        <v>4651</v>
      </c>
      <c r="K6854" s="112" t="s">
        <v>5083</v>
      </c>
      <c r="L6854" s="116">
        <v>-85.45</v>
      </c>
    </row>
    <row r="6855" spans="1:12" hidden="1" outlineLevel="1" collapsed="1" x14ac:dyDescent="0.35">
      <c r="A6855" s="112" t="s">
        <v>4632</v>
      </c>
      <c r="B6855" s="112" t="s">
        <v>4688</v>
      </c>
      <c r="C6855" s="112" t="s">
        <v>679</v>
      </c>
      <c r="D6855" s="113">
        <v>10348027</v>
      </c>
      <c r="E6855" s="115">
        <v>43927</v>
      </c>
      <c r="F6855" s="114">
        <v>202101</v>
      </c>
      <c r="G6855" s="112" t="s">
        <v>1091</v>
      </c>
      <c r="H6855" s="112" t="s">
        <v>1016</v>
      </c>
      <c r="I6855" s="112" t="s">
        <v>4689</v>
      </c>
      <c r="J6855" s="112" t="s">
        <v>4690</v>
      </c>
      <c r="K6855" s="112" t="s">
        <v>5406</v>
      </c>
      <c r="L6855" s="116">
        <v>-108</v>
      </c>
    </row>
    <row r="6856" spans="1:12" hidden="1" outlineLevel="1" collapsed="1" x14ac:dyDescent="0.35">
      <c r="A6856" s="112" t="s">
        <v>4632</v>
      </c>
      <c r="B6856" s="112" t="s">
        <v>4688</v>
      </c>
      <c r="C6856" s="112" t="s">
        <v>679</v>
      </c>
      <c r="D6856" s="113">
        <v>10348027</v>
      </c>
      <c r="E6856" s="115">
        <v>43927</v>
      </c>
      <c r="F6856" s="114">
        <v>202101</v>
      </c>
      <c r="G6856" s="112" t="s">
        <v>1091</v>
      </c>
      <c r="H6856" s="112" t="s">
        <v>1016</v>
      </c>
      <c r="I6856" s="112" t="s">
        <v>4689</v>
      </c>
      <c r="J6856" s="112" t="s">
        <v>4690</v>
      </c>
      <c r="K6856" s="112" t="s">
        <v>5407</v>
      </c>
      <c r="L6856" s="116">
        <v>-54</v>
      </c>
    </row>
    <row r="6857" spans="1:12" hidden="1" outlineLevel="1" collapsed="1" x14ac:dyDescent="0.35">
      <c r="A6857" s="112" t="s">
        <v>4632</v>
      </c>
      <c r="B6857" s="112" t="s">
        <v>4650</v>
      </c>
      <c r="C6857" s="112" t="s">
        <v>695</v>
      </c>
      <c r="D6857" s="113">
        <v>10348098</v>
      </c>
      <c r="E6857" s="115">
        <v>43929</v>
      </c>
      <c r="F6857" s="114">
        <v>202101</v>
      </c>
      <c r="G6857" s="112" t="s">
        <v>1091</v>
      </c>
      <c r="H6857" s="112" t="s">
        <v>1015</v>
      </c>
      <c r="I6857" s="112" t="s">
        <v>749</v>
      </c>
      <c r="J6857" s="112" t="s">
        <v>4651</v>
      </c>
      <c r="K6857" s="112" t="s">
        <v>5139</v>
      </c>
      <c r="L6857" s="116">
        <v>487.66</v>
      </c>
    </row>
    <row r="6858" spans="1:12" hidden="1" outlineLevel="1" collapsed="1" x14ac:dyDescent="0.35">
      <c r="A6858" s="112" t="s">
        <v>4632</v>
      </c>
      <c r="B6858" s="112" t="s">
        <v>863</v>
      </c>
      <c r="C6858" s="112" t="s">
        <v>679</v>
      </c>
      <c r="D6858" s="113">
        <v>10348027</v>
      </c>
      <c r="E6858" s="115">
        <v>43927</v>
      </c>
      <c r="F6858" s="114">
        <v>202101</v>
      </c>
      <c r="G6858" s="112" t="s">
        <v>1091</v>
      </c>
      <c r="H6858" s="112" t="s">
        <v>1016</v>
      </c>
      <c r="I6858" s="112" t="s">
        <v>781</v>
      </c>
      <c r="J6858" s="112" t="s">
        <v>846</v>
      </c>
      <c r="K6858" s="112" t="s">
        <v>5409</v>
      </c>
      <c r="L6858" s="116">
        <v>-25</v>
      </c>
    </row>
    <row r="6859" spans="1:12" hidden="1" outlineLevel="1" collapsed="1" x14ac:dyDescent="0.35">
      <c r="A6859" s="112" t="s">
        <v>4632</v>
      </c>
      <c r="B6859" s="112" t="s">
        <v>4688</v>
      </c>
      <c r="C6859" s="112" t="s">
        <v>1518</v>
      </c>
      <c r="D6859" s="113">
        <v>51365699</v>
      </c>
      <c r="E6859" s="115">
        <v>43945</v>
      </c>
      <c r="F6859" s="114">
        <v>202101</v>
      </c>
      <c r="G6859" s="112" t="s">
        <v>1091</v>
      </c>
      <c r="H6859" s="112" t="s">
        <v>1016</v>
      </c>
      <c r="I6859" s="112" t="s">
        <v>2337</v>
      </c>
      <c r="J6859" s="112" t="s">
        <v>4690</v>
      </c>
      <c r="K6859" s="112" t="s">
        <v>5410</v>
      </c>
      <c r="L6859" s="116">
        <v>-54</v>
      </c>
    </row>
    <row r="6860" spans="1:12" hidden="1" outlineLevel="1" collapsed="1" x14ac:dyDescent="0.35">
      <c r="A6860" s="112" t="s">
        <v>4632</v>
      </c>
      <c r="B6860" s="112" t="s">
        <v>4650</v>
      </c>
      <c r="C6860" s="112" t="s">
        <v>695</v>
      </c>
      <c r="D6860" s="113">
        <v>10348098</v>
      </c>
      <c r="E6860" s="115">
        <v>43929</v>
      </c>
      <c r="F6860" s="114">
        <v>202101</v>
      </c>
      <c r="G6860" s="112" t="s">
        <v>1091</v>
      </c>
      <c r="H6860" s="112" t="s">
        <v>1015</v>
      </c>
      <c r="I6860" s="112" t="s">
        <v>749</v>
      </c>
      <c r="J6860" s="112" t="s">
        <v>4651</v>
      </c>
      <c r="K6860" s="112" t="s">
        <v>5169</v>
      </c>
      <c r="L6860" s="116">
        <v>72.45</v>
      </c>
    </row>
    <row r="6861" spans="1:12" hidden="1" outlineLevel="1" collapsed="1" x14ac:dyDescent="0.35">
      <c r="A6861" s="112" t="s">
        <v>4632</v>
      </c>
      <c r="B6861" s="112" t="s">
        <v>4688</v>
      </c>
      <c r="C6861" s="112" t="s">
        <v>1518</v>
      </c>
      <c r="D6861" s="113">
        <v>51365720</v>
      </c>
      <c r="E6861" s="115">
        <v>43945</v>
      </c>
      <c r="F6861" s="114">
        <v>202101</v>
      </c>
      <c r="G6861" s="112" t="s">
        <v>1091</v>
      </c>
      <c r="H6861" s="112" t="s">
        <v>1016</v>
      </c>
      <c r="I6861" s="112" t="s">
        <v>2337</v>
      </c>
      <c r="J6861" s="112" t="s">
        <v>4690</v>
      </c>
      <c r="K6861" s="112" t="s">
        <v>5411</v>
      </c>
      <c r="L6861" s="116">
        <v>-51</v>
      </c>
    </row>
    <row r="6862" spans="1:12" hidden="1" outlineLevel="1" collapsed="1" x14ac:dyDescent="0.35">
      <c r="A6862" s="112" t="s">
        <v>4632</v>
      </c>
      <c r="B6862" s="112" t="s">
        <v>4639</v>
      </c>
      <c r="C6862" s="112" t="s">
        <v>695</v>
      </c>
      <c r="D6862" s="113">
        <v>10348098</v>
      </c>
      <c r="E6862" s="115">
        <v>43929</v>
      </c>
      <c r="F6862" s="114">
        <v>202101</v>
      </c>
      <c r="G6862" s="112" t="s">
        <v>1091</v>
      </c>
      <c r="H6862" s="112" t="s">
        <v>1015</v>
      </c>
      <c r="I6862" s="112" t="s">
        <v>757</v>
      </c>
      <c r="J6862" s="112" t="s">
        <v>4640</v>
      </c>
      <c r="K6862" s="112" t="s">
        <v>5182</v>
      </c>
      <c r="L6862" s="116">
        <v>-18.61</v>
      </c>
    </row>
    <row r="6863" spans="1:12" hidden="1" outlineLevel="1" collapsed="1" x14ac:dyDescent="0.35">
      <c r="A6863" s="112" t="s">
        <v>4632</v>
      </c>
      <c r="B6863" s="112" t="s">
        <v>4688</v>
      </c>
      <c r="C6863" s="112" t="s">
        <v>695</v>
      </c>
      <c r="D6863" s="113">
        <v>10347979</v>
      </c>
      <c r="E6863" s="115">
        <v>43924</v>
      </c>
      <c r="F6863" s="114">
        <v>202101</v>
      </c>
      <c r="G6863" s="112" t="s">
        <v>1091</v>
      </c>
      <c r="H6863" s="112" t="s">
        <v>1016</v>
      </c>
      <c r="I6863" s="112" t="s">
        <v>2337</v>
      </c>
      <c r="J6863" s="112" t="s">
        <v>4690</v>
      </c>
      <c r="K6863" s="112" t="s">
        <v>1698</v>
      </c>
      <c r="L6863" s="116">
        <v>108</v>
      </c>
    </row>
    <row r="6864" spans="1:12" hidden="1" outlineLevel="1" collapsed="1" x14ac:dyDescent="0.35">
      <c r="A6864" s="112" t="s">
        <v>4632</v>
      </c>
      <c r="B6864" s="112" t="s">
        <v>4644</v>
      </c>
      <c r="C6864" s="112" t="s">
        <v>695</v>
      </c>
      <c r="D6864" s="113">
        <v>10348098</v>
      </c>
      <c r="E6864" s="115">
        <v>43929</v>
      </c>
      <c r="F6864" s="114">
        <v>202101</v>
      </c>
      <c r="G6864" s="112" t="s">
        <v>1091</v>
      </c>
      <c r="H6864" s="112" t="s">
        <v>1015</v>
      </c>
      <c r="I6864" s="112" t="s">
        <v>757</v>
      </c>
      <c r="J6864" s="112" t="s">
        <v>4645</v>
      </c>
      <c r="K6864" s="112" t="s">
        <v>5164</v>
      </c>
      <c r="L6864" s="116">
        <v>17.010000000000002</v>
      </c>
    </row>
    <row r="6865" spans="1:12" hidden="1" outlineLevel="1" collapsed="1" x14ac:dyDescent="0.35">
      <c r="A6865" s="112" t="s">
        <v>4632</v>
      </c>
      <c r="B6865" s="112" t="s">
        <v>4644</v>
      </c>
      <c r="C6865" s="112" t="s">
        <v>695</v>
      </c>
      <c r="D6865" s="113">
        <v>10348098</v>
      </c>
      <c r="E6865" s="115">
        <v>43929</v>
      </c>
      <c r="F6865" s="114">
        <v>202101</v>
      </c>
      <c r="G6865" s="112" t="s">
        <v>1091</v>
      </c>
      <c r="H6865" s="112" t="s">
        <v>1015</v>
      </c>
      <c r="I6865" s="112" t="s">
        <v>757</v>
      </c>
      <c r="J6865" s="112" t="s">
        <v>4645</v>
      </c>
      <c r="K6865" s="112" t="s">
        <v>5061</v>
      </c>
      <c r="L6865" s="116">
        <v>-2347.7600000000002</v>
      </c>
    </row>
    <row r="6866" spans="1:12" hidden="1" outlineLevel="1" collapsed="1" x14ac:dyDescent="0.35">
      <c r="A6866" s="112" t="s">
        <v>4632</v>
      </c>
      <c r="B6866" s="112" t="s">
        <v>4644</v>
      </c>
      <c r="C6866" s="112" t="s">
        <v>1518</v>
      </c>
      <c r="D6866" s="113">
        <v>51366049</v>
      </c>
      <c r="E6866" s="115">
        <v>43928</v>
      </c>
      <c r="F6866" s="114">
        <v>202101</v>
      </c>
      <c r="G6866" s="112" t="s">
        <v>1091</v>
      </c>
      <c r="H6866" s="112" t="s">
        <v>1016</v>
      </c>
      <c r="I6866" s="112" t="s">
        <v>779</v>
      </c>
      <c r="J6866" s="112" t="s">
        <v>4645</v>
      </c>
      <c r="K6866" s="112" t="s">
        <v>5412</v>
      </c>
      <c r="L6866" s="116">
        <v>-29.76</v>
      </c>
    </row>
    <row r="6867" spans="1:12" hidden="1" outlineLevel="1" collapsed="1" x14ac:dyDescent="0.35">
      <c r="A6867" s="112" t="s">
        <v>4632</v>
      </c>
      <c r="B6867" s="112" t="s">
        <v>4644</v>
      </c>
      <c r="C6867" s="112" t="s">
        <v>695</v>
      </c>
      <c r="D6867" s="113">
        <v>10348098</v>
      </c>
      <c r="E6867" s="115">
        <v>43929</v>
      </c>
      <c r="F6867" s="114">
        <v>202101</v>
      </c>
      <c r="G6867" s="112" t="s">
        <v>1091</v>
      </c>
      <c r="H6867" s="112" t="s">
        <v>1015</v>
      </c>
      <c r="I6867" s="112" t="s">
        <v>757</v>
      </c>
      <c r="J6867" s="112" t="s">
        <v>4645</v>
      </c>
      <c r="K6867" s="112" t="s">
        <v>5043</v>
      </c>
      <c r="L6867" s="116">
        <v>-26004.02</v>
      </c>
    </row>
    <row r="6868" spans="1:12" hidden="1" outlineLevel="1" collapsed="1" x14ac:dyDescent="0.35">
      <c r="A6868" s="112" t="s">
        <v>4632</v>
      </c>
      <c r="B6868" s="112" t="s">
        <v>4639</v>
      </c>
      <c r="C6868" s="112" t="s">
        <v>1518</v>
      </c>
      <c r="D6868" s="113">
        <v>51366048</v>
      </c>
      <c r="E6868" s="115">
        <v>43928</v>
      </c>
      <c r="F6868" s="114">
        <v>202101</v>
      </c>
      <c r="G6868" s="112" t="s">
        <v>1091</v>
      </c>
      <c r="H6868" s="112" t="s">
        <v>1016</v>
      </c>
      <c r="I6868" s="112" t="s">
        <v>779</v>
      </c>
      <c r="J6868" s="112" t="s">
        <v>4640</v>
      </c>
      <c r="K6868" s="112" t="s">
        <v>5413</v>
      </c>
      <c r="L6868" s="116">
        <v>-423.45</v>
      </c>
    </row>
    <row r="6869" spans="1:12" hidden="1" outlineLevel="1" collapsed="1" x14ac:dyDescent="0.35">
      <c r="A6869" s="112" t="s">
        <v>4632</v>
      </c>
      <c r="B6869" s="112" t="s">
        <v>863</v>
      </c>
      <c r="C6869" s="112" t="s">
        <v>695</v>
      </c>
      <c r="D6869" s="113">
        <v>10347966</v>
      </c>
      <c r="E6869" s="115">
        <v>43924</v>
      </c>
      <c r="F6869" s="114">
        <v>202101</v>
      </c>
      <c r="G6869" s="112" t="s">
        <v>1091</v>
      </c>
      <c r="H6869" s="112" t="s">
        <v>1016</v>
      </c>
      <c r="I6869" s="112" t="s">
        <v>781</v>
      </c>
      <c r="J6869" s="112" t="s">
        <v>856</v>
      </c>
      <c r="K6869" s="112" t="s">
        <v>5414</v>
      </c>
      <c r="L6869" s="116">
        <v>2097.17</v>
      </c>
    </row>
    <row r="6870" spans="1:12" hidden="1" outlineLevel="1" collapsed="1" x14ac:dyDescent="0.35">
      <c r="A6870" s="112" t="s">
        <v>4632</v>
      </c>
      <c r="B6870" s="112" t="s">
        <v>863</v>
      </c>
      <c r="C6870" s="112" t="s">
        <v>695</v>
      </c>
      <c r="D6870" s="113">
        <v>10347966</v>
      </c>
      <c r="E6870" s="115">
        <v>43924</v>
      </c>
      <c r="F6870" s="114">
        <v>202101</v>
      </c>
      <c r="G6870" s="112" t="s">
        <v>1091</v>
      </c>
      <c r="H6870" s="112" t="s">
        <v>1016</v>
      </c>
      <c r="I6870" s="112" t="s">
        <v>781</v>
      </c>
      <c r="J6870" s="112" t="s">
        <v>829</v>
      </c>
      <c r="K6870" s="112" t="s">
        <v>5414</v>
      </c>
      <c r="L6870" s="116">
        <v>802.83</v>
      </c>
    </row>
    <row r="6871" spans="1:12" hidden="1" outlineLevel="1" collapsed="1" x14ac:dyDescent="0.35">
      <c r="A6871" s="112" t="s">
        <v>4632</v>
      </c>
      <c r="B6871" s="112" t="s">
        <v>863</v>
      </c>
      <c r="C6871" s="112" t="s">
        <v>695</v>
      </c>
      <c r="D6871" s="113">
        <v>10347966</v>
      </c>
      <c r="E6871" s="115">
        <v>43924</v>
      </c>
      <c r="F6871" s="114">
        <v>202101</v>
      </c>
      <c r="G6871" s="112" t="s">
        <v>1091</v>
      </c>
      <c r="H6871" s="112" t="s">
        <v>1016</v>
      </c>
      <c r="I6871" s="112" t="s">
        <v>781</v>
      </c>
      <c r="J6871" s="112" t="s">
        <v>815</v>
      </c>
      <c r="K6871" s="112" t="s">
        <v>5414</v>
      </c>
      <c r="L6871" s="116">
        <v>2507.08</v>
      </c>
    </row>
    <row r="6872" spans="1:12" hidden="1" outlineLevel="1" collapsed="1" x14ac:dyDescent="0.35">
      <c r="A6872" s="112" t="s">
        <v>4632</v>
      </c>
      <c r="B6872" s="112" t="s">
        <v>863</v>
      </c>
      <c r="C6872" s="112" t="s">
        <v>695</v>
      </c>
      <c r="D6872" s="113">
        <v>10347966</v>
      </c>
      <c r="E6872" s="115">
        <v>43924</v>
      </c>
      <c r="F6872" s="114">
        <v>202101</v>
      </c>
      <c r="G6872" s="112" t="s">
        <v>1091</v>
      </c>
      <c r="H6872" s="112" t="s">
        <v>1016</v>
      </c>
      <c r="I6872" s="112" t="s">
        <v>781</v>
      </c>
      <c r="J6872" s="112" t="s">
        <v>821</v>
      </c>
      <c r="K6872" s="112" t="s">
        <v>5414</v>
      </c>
      <c r="L6872" s="116">
        <v>2137</v>
      </c>
    </row>
    <row r="6873" spans="1:12" hidden="1" outlineLevel="1" collapsed="1" x14ac:dyDescent="0.35">
      <c r="A6873" s="112" t="s">
        <v>4632</v>
      </c>
      <c r="B6873" s="112" t="s">
        <v>863</v>
      </c>
      <c r="C6873" s="112" t="s">
        <v>695</v>
      </c>
      <c r="D6873" s="113">
        <v>10347966</v>
      </c>
      <c r="E6873" s="115">
        <v>43924</v>
      </c>
      <c r="F6873" s="114">
        <v>202101</v>
      </c>
      <c r="G6873" s="112" t="s">
        <v>1091</v>
      </c>
      <c r="H6873" s="112" t="s">
        <v>1016</v>
      </c>
      <c r="I6873" s="112" t="s">
        <v>781</v>
      </c>
      <c r="J6873" s="112" t="s">
        <v>833</v>
      </c>
      <c r="K6873" s="112" t="s">
        <v>5414</v>
      </c>
      <c r="L6873" s="116">
        <v>1755</v>
      </c>
    </row>
    <row r="6874" spans="1:12" hidden="1" outlineLevel="1" collapsed="1" x14ac:dyDescent="0.35">
      <c r="A6874" s="112" t="s">
        <v>4632</v>
      </c>
      <c r="B6874" s="112" t="s">
        <v>863</v>
      </c>
      <c r="C6874" s="112" t="s">
        <v>695</v>
      </c>
      <c r="D6874" s="113">
        <v>10347966</v>
      </c>
      <c r="E6874" s="115">
        <v>43924</v>
      </c>
      <c r="F6874" s="114">
        <v>202101</v>
      </c>
      <c r="G6874" s="112" t="s">
        <v>1091</v>
      </c>
      <c r="H6874" s="112" t="s">
        <v>1016</v>
      </c>
      <c r="I6874" s="112" t="s">
        <v>781</v>
      </c>
      <c r="J6874" s="112" t="s">
        <v>831</v>
      </c>
      <c r="K6874" s="112" t="s">
        <v>5414</v>
      </c>
      <c r="L6874" s="116">
        <v>1294.42</v>
      </c>
    </row>
    <row r="6875" spans="1:12" hidden="1" outlineLevel="1" collapsed="1" x14ac:dyDescent="0.35">
      <c r="A6875" s="112" t="s">
        <v>4632</v>
      </c>
      <c r="B6875" s="112" t="s">
        <v>863</v>
      </c>
      <c r="C6875" s="112" t="s">
        <v>695</v>
      </c>
      <c r="D6875" s="113">
        <v>10347966</v>
      </c>
      <c r="E6875" s="115">
        <v>43924</v>
      </c>
      <c r="F6875" s="114">
        <v>202101</v>
      </c>
      <c r="G6875" s="112" t="s">
        <v>1091</v>
      </c>
      <c r="H6875" s="112" t="s">
        <v>1016</v>
      </c>
      <c r="I6875" s="112" t="s">
        <v>781</v>
      </c>
      <c r="J6875" s="112" t="s">
        <v>835</v>
      </c>
      <c r="K6875" s="112" t="s">
        <v>5414</v>
      </c>
      <c r="L6875" s="116">
        <v>1368.83</v>
      </c>
    </row>
    <row r="6876" spans="1:12" hidden="1" outlineLevel="1" collapsed="1" x14ac:dyDescent="0.35">
      <c r="A6876" s="112" t="s">
        <v>4632</v>
      </c>
      <c r="B6876" s="112" t="s">
        <v>4650</v>
      </c>
      <c r="C6876" s="112" t="s">
        <v>695</v>
      </c>
      <c r="D6876" s="113">
        <v>10348098</v>
      </c>
      <c r="E6876" s="115">
        <v>43929</v>
      </c>
      <c r="F6876" s="114">
        <v>202101</v>
      </c>
      <c r="G6876" s="112" t="s">
        <v>1091</v>
      </c>
      <c r="H6876" s="112" t="s">
        <v>1015</v>
      </c>
      <c r="I6876" s="112" t="s">
        <v>757</v>
      </c>
      <c r="J6876" s="112" t="s">
        <v>4651</v>
      </c>
      <c r="K6876" s="112" t="s">
        <v>5158</v>
      </c>
      <c r="L6876" s="116">
        <v>108.24</v>
      </c>
    </row>
    <row r="6877" spans="1:12" hidden="1" outlineLevel="1" collapsed="1" x14ac:dyDescent="0.35">
      <c r="A6877" s="112" t="s">
        <v>4632</v>
      </c>
      <c r="B6877" s="112" t="s">
        <v>4650</v>
      </c>
      <c r="C6877" s="112" t="s">
        <v>695</v>
      </c>
      <c r="D6877" s="113">
        <v>10348098</v>
      </c>
      <c r="E6877" s="115">
        <v>43929</v>
      </c>
      <c r="F6877" s="114">
        <v>202101</v>
      </c>
      <c r="G6877" s="112" t="s">
        <v>1091</v>
      </c>
      <c r="H6877" s="112" t="s">
        <v>1015</v>
      </c>
      <c r="I6877" s="112" t="s">
        <v>757</v>
      </c>
      <c r="J6877" s="112" t="s">
        <v>4651</v>
      </c>
      <c r="K6877" s="112" t="s">
        <v>5159</v>
      </c>
      <c r="L6877" s="116">
        <v>140.81</v>
      </c>
    </row>
    <row r="6878" spans="1:12" hidden="1" outlineLevel="1" collapsed="1" x14ac:dyDescent="0.35">
      <c r="A6878" s="112" t="s">
        <v>4632</v>
      </c>
      <c r="B6878" s="112" t="s">
        <v>4644</v>
      </c>
      <c r="C6878" s="112" t="s">
        <v>695</v>
      </c>
      <c r="D6878" s="113">
        <v>10348098</v>
      </c>
      <c r="E6878" s="115">
        <v>43929</v>
      </c>
      <c r="F6878" s="114">
        <v>202101</v>
      </c>
      <c r="G6878" s="112" t="s">
        <v>1091</v>
      </c>
      <c r="H6878" s="112" t="s">
        <v>1015</v>
      </c>
      <c r="I6878" s="112" t="s">
        <v>749</v>
      </c>
      <c r="J6878" s="112" t="s">
        <v>4645</v>
      </c>
      <c r="K6878" s="112" t="s">
        <v>5129</v>
      </c>
      <c r="L6878" s="116">
        <v>374.62</v>
      </c>
    </row>
    <row r="6879" spans="1:12" hidden="1" outlineLevel="1" collapsed="1" x14ac:dyDescent="0.35">
      <c r="A6879" s="112" t="s">
        <v>4632</v>
      </c>
      <c r="B6879" s="112" t="s">
        <v>4688</v>
      </c>
      <c r="C6879" s="112" t="s">
        <v>1518</v>
      </c>
      <c r="D6879" s="113">
        <v>51365721</v>
      </c>
      <c r="E6879" s="115">
        <v>43945</v>
      </c>
      <c r="F6879" s="114">
        <v>202101</v>
      </c>
      <c r="G6879" s="112" t="s">
        <v>1091</v>
      </c>
      <c r="H6879" s="112" t="s">
        <v>1016</v>
      </c>
      <c r="I6879" s="112" t="s">
        <v>2337</v>
      </c>
      <c r="J6879" s="112" t="s">
        <v>4690</v>
      </c>
      <c r="K6879" s="112" t="s">
        <v>5415</v>
      </c>
      <c r="L6879" s="116">
        <v>-51</v>
      </c>
    </row>
    <row r="6880" spans="1:12" hidden="1" outlineLevel="1" collapsed="1" x14ac:dyDescent="0.35">
      <c r="A6880" s="112" t="s">
        <v>4632</v>
      </c>
      <c r="B6880" s="112" t="s">
        <v>4650</v>
      </c>
      <c r="C6880" s="112" t="s">
        <v>1518</v>
      </c>
      <c r="D6880" s="113">
        <v>51366050</v>
      </c>
      <c r="E6880" s="115">
        <v>43928</v>
      </c>
      <c r="F6880" s="114">
        <v>202101</v>
      </c>
      <c r="G6880" s="112" t="s">
        <v>1091</v>
      </c>
      <c r="H6880" s="112" t="s">
        <v>1016</v>
      </c>
      <c r="I6880" s="112" t="s">
        <v>779</v>
      </c>
      <c r="J6880" s="112" t="s">
        <v>4651</v>
      </c>
      <c r="K6880" s="112" t="s">
        <v>5416</v>
      </c>
      <c r="L6880" s="116">
        <v>-37.11</v>
      </c>
    </row>
    <row r="6881" spans="1:12" hidden="1" outlineLevel="1" collapsed="1" x14ac:dyDescent="0.35">
      <c r="A6881" s="112" t="s">
        <v>4632</v>
      </c>
      <c r="B6881" s="112" t="s">
        <v>4688</v>
      </c>
      <c r="C6881" s="112" t="s">
        <v>1518</v>
      </c>
      <c r="D6881" s="113">
        <v>51365719</v>
      </c>
      <c r="E6881" s="115">
        <v>43945</v>
      </c>
      <c r="F6881" s="114">
        <v>202101</v>
      </c>
      <c r="G6881" s="112" t="s">
        <v>1091</v>
      </c>
      <c r="H6881" s="112" t="s">
        <v>1016</v>
      </c>
      <c r="I6881" s="112" t="s">
        <v>2337</v>
      </c>
      <c r="J6881" s="112" t="s">
        <v>4690</v>
      </c>
      <c r="K6881" s="112" t="s">
        <v>5417</v>
      </c>
      <c r="L6881" s="116">
        <v>-51</v>
      </c>
    </row>
    <row r="6882" spans="1:12" hidden="1" outlineLevel="1" collapsed="1" x14ac:dyDescent="0.35">
      <c r="A6882" s="112" t="s">
        <v>4632</v>
      </c>
      <c r="B6882" s="112" t="s">
        <v>4688</v>
      </c>
      <c r="C6882" s="112" t="s">
        <v>1518</v>
      </c>
      <c r="D6882" s="113">
        <v>51365718</v>
      </c>
      <c r="E6882" s="115">
        <v>43945</v>
      </c>
      <c r="F6882" s="114">
        <v>202101</v>
      </c>
      <c r="G6882" s="112" t="s">
        <v>1091</v>
      </c>
      <c r="H6882" s="112" t="s">
        <v>1016</v>
      </c>
      <c r="I6882" s="112" t="s">
        <v>2337</v>
      </c>
      <c r="J6882" s="112" t="s">
        <v>4690</v>
      </c>
      <c r="K6882" s="112" t="s">
        <v>5418</v>
      </c>
      <c r="L6882" s="116">
        <v>-51</v>
      </c>
    </row>
    <row r="6883" spans="1:12" hidden="1" outlineLevel="1" collapsed="1" x14ac:dyDescent="0.35">
      <c r="A6883" s="112" t="s">
        <v>4632</v>
      </c>
      <c r="B6883" s="112" t="s">
        <v>4688</v>
      </c>
      <c r="C6883" s="112" t="s">
        <v>1518</v>
      </c>
      <c r="D6883" s="113">
        <v>51365717</v>
      </c>
      <c r="E6883" s="115">
        <v>43945</v>
      </c>
      <c r="F6883" s="114">
        <v>202101</v>
      </c>
      <c r="G6883" s="112" t="s">
        <v>1091</v>
      </c>
      <c r="H6883" s="112" t="s">
        <v>1016</v>
      </c>
      <c r="I6883" s="112" t="s">
        <v>2337</v>
      </c>
      <c r="J6883" s="112" t="s">
        <v>4690</v>
      </c>
      <c r="K6883" s="112" t="s">
        <v>5419</v>
      </c>
      <c r="L6883" s="116">
        <v>-51</v>
      </c>
    </row>
    <row r="6884" spans="1:12" hidden="1" outlineLevel="1" collapsed="1" x14ac:dyDescent="0.35">
      <c r="A6884" s="112" t="s">
        <v>4632</v>
      </c>
      <c r="B6884" s="112" t="s">
        <v>4688</v>
      </c>
      <c r="C6884" s="112" t="s">
        <v>1518</v>
      </c>
      <c r="D6884" s="113">
        <v>51365716</v>
      </c>
      <c r="E6884" s="115">
        <v>43945</v>
      </c>
      <c r="F6884" s="114">
        <v>202101</v>
      </c>
      <c r="G6884" s="112" t="s">
        <v>1091</v>
      </c>
      <c r="H6884" s="112" t="s">
        <v>1016</v>
      </c>
      <c r="I6884" s="112" t="s">
        <v>2337</v>
      </c>
      <c r="J6884" s="112" t="s">
        <v>4690</v>
      </c>
      <c r="K6884" s="112" t="s">
        <v>5420</v>
      </c>
      <c r="L6884" s="116">
        <v>-51</v>
      </c>
    </row>
    <row r="6885" spans="1:12" hidden="1" outlineLevel="1" collapsed="1" x14ac:dyDescent="0.35">
      <c r="A6885" s="112" t="s">
        <v>4632</v>
      </c>
      <c r="B6885" s="112" t="s">
        <v>4688</v>
      </c>
      <c r="C6885" s="112" t="s">
        <v>1518</v>
      </c>
      <c r="D6885" s="113">
        <v>51365715</v>
      </c>
      <c r="E6885" s="115">
        <v>43945</v>
      </c>
      <c r="F6885" s="114">
        <v>202101</v>
      </c>
      <c r="G6885" s="112" t="s">
        <v>1091</v>
      </c>
      <c r="H6885" s="112" t="s">
        <v>1016</v>
      </c>
      <c r="I6885" s="112" t="s">
        <v>2337</v>
      </c>
      <c r="J6885" s="112" t="s">
        <v>4690</v>
      </c>
      <c r="K6885" s="112" t="s">
        <v>5421</v>
      </c>
      <c r="L6885" s="116">
        <v>-51</v>
      </c>
    </row>
    <row r="6886" spans="1:12" hidden="1" outlineLevel="1" collapsed="1" x14ac:dyDescent="0.35">
      <c r="A6886" s="112" t="s">
        <v>4632</v>
      </c>
      <c r="B6886" s="112" t="s">
        <v>4688</v>
      </c>
      <c r="C6886" s="112" t="s">
        <v>1518</v>
      </c>
      <c r="D6886" s="113">
        <v>51365714</v>
      </c>
      <c r="E6886" s="115">
        <v>43945</v>
      </c>
      <c r="F6886" s="114">
        <v>202101</v>
      </c>
      <c r="G6886" s="112" t="s">
        <v>1091</v>
      </c>
      <c r="H6886" s="112" t="s">
        <v>1016</v>
      </c>
      <c r="I6886" s="112" t="s">
        <v>2337</v>
      </c>
      <c r="J6886" s="112" t="s">
        <v>4690</v>
      </c>
      <c r="K6886" s="112" t="s">
        <v>5422</v>
      </c>
      <c r="L6886" s="116">
        <v>-54</v>
      </c>
    </row>
    <row r="6887" spans="1:12" hidden="1" outlineLevel="1" collapsed="1" x14ac:dyDescent="0.35">
      <c r="A6887" s="112" t="s">
        <v>4632</v>
      </c>
      <c r="B6887" s="112" t="s">
        <v>4688</v>
      </c>
      <c r="C6887" s="112" t="s">
        <v>1518</v>
      </c>
      <c r="D6887" s="113">
        <v>51365713</v>
      </c>
      <c r="E6887" s="115">
        <v>43945</v>
      </c>
      <c r="F6887" s="114">
        <v>202101</v>
      </c>
      <c r="G6887" s="112" t="s">
        <v>1091</v>
      </c>
      <c r="H6887" s="112" t="s">
        <v>1016</v>
      </c>
      <c r="I6887" s="112" t="s">
        <v>2337</v>
      </c>
      <c r="J6887" s="112" t="s">
        <v>4690</v>
      </c>
      <c r="K6887" s="112" t="s">
        <v>5423</v>
      </c>
      <c r="L6887" s="116">
        <v>-51</v>
      </c>
    </row>
    <row r="6888" spans="1:12" hidden="1" outlineLevel="1" collapsed="1" x14ac:dyDescent="0.35">
      <c r="A6888" s="112" t="s">
        <v>4632</v>
      </c>
      <c r="B6888" s="112" t="s">
        <v>4688</v>
      </c>
      <c r="C6888" s="112" t="s">
        <v>1518</v>
      </c>
      <c r="D6888" s="113">
        <v>51365712</v>
      </c>
      <c r="E6888" s="115">
        <v>43945</v>
      </c>
      <c r="F6888" s="114">
        <v>202101</v>
      </c>
      <c r="G6888" s="112" t="s">
        <v>1091</v>
      </c>
      <c r="H6888" s="112" t="s">
        <v>1016</v>
      </c>
      <c r="I6888" s="112" t="s">
        <v>2337</v>
      </c>
      <c r="J6888" s="112" t="s">
        <v>4690</v>
      </c>
      <c r="K6888" s="112" t="s">
        <v>5424</v>
      </c>
      <c r="L6888" s="116">
        <v>-51</v>
      </c>
    </row>
    <row r="6889" spans="1:12" hidden="1" outlineLevel="1" collapsed="1" x14ac:dyDescent="0.35">
      <c r="A6889" s="112" t="s">
        <v>4632</v>
      </c>
      <c r="B6889" s="112" t="s">
        <v>4688</v>
      </c>
      <c r="C6889" s="112" t="s">
        <v>1518</v>
      </c>
      <c r="D6889" s="113">
        <v>51365711</v>
      </c>
      <c r="E6889" s="115">
        <v>43945</v>
      </c>
      <c r="F6889" s="114">
        <v>202101</v>
      </c>
      <c r="G6889" s="112" t="s">
        <v>1091</v>
      </c>
      <c r="H6889" s="112" t="s">
        <v>1016</v>
      </c>
      <c r="I6889" s="112" t="s">
        <v>2337</v>
      </c>
      <c r="J6889" s="112" t="s">
        <v>4690</v>
      </c>
      <c r="K6889" s="112" t="s">
        <v>5425</v>
      </c>
      <c r="L6889" s="116">
        <v>-54</v>
      </c>
    </row>
    <row r="6890" spans="1:12" hidden="1" outlineLevel="1" collapsed="1" x14ac:dyDescent="0.35">
      <c r="A6890" s="112" t="s">
        <v>4632</v>
      </c>
      <c r="B6890" s="112" t="s">
        <v>4688</v>
      </c>
      <c r="C6890" s="112" t="s">
        <v>1518</v>
      </c>
      <c r="D6890" s="113">
        <v>51365710</v>
      </c>
      <c r="E6890" s="115">
        <v>43945</v>
      </c>
      <c r="F6890" s="114">
        <v>202101</v>
      </c>
      <c r="G6890" s="112" t="s">
        <v>1091</v>
      </c>
      <c r="H6890" s="112" t="s">
        <v>1016</v>
      </c>
      <c r="I6890" s="112" t="s">
        <v>2337</v>
      </c>
      <c r="J6890" s="112" t="s">
        <v>4690</v>
      </c>
      <c r="K6890" s="112" t="s">
        <v>5426</v>
      </c>
      <c r="L6890" s="116">
        <v>-51</v>
      </c>
    </row>
    <row r="6891" spans="1:12" hidden="1" outlineLevel="1" collapsed="1" x14ac:dyDescent="0.35">
      <c r="A6891" s="112" t="s">
        <v>4632</v>
      </c>
      <c r="B6891" s="112" t="s">
        <v>4688</v>
      </c>
      <c r="C6891" s="112" t="s">
        <v>1518</v>
      </c>
      <c r="D6891" s="113">
        <v>51365709</v>
      </c>
      <c r="E6891" s="115">
        <v>43945</v>
      </c>
      <c r="F6891" s="114">
        <v>202101</v>
      </c>
      <c r="G6891" s="112" t="s">
        <v>1091</v>
      </c>
      <c r="H6891" s="112" t="s">
        <v>1016</v>
      </c>
      <c r="I6891" s="112" t="s">
        <v>2337</v>
      </c>
      <c r="J6891" s="112" t="s">
        <v>4690</v>
      </c>
      <c r="K6891" s="112" t="s">
        <v>5427</v>
      </c>
      <c r="L6891" s="116">
        <v>-51</v>
      </c>
    </row>
    <row r="6892" spans="1:12" hidden="1" outlineLevel="1" collapsed="1" x14ac:dyDescent="0.35">
      <c r="A6892" s="112" t="s">
        <v>4632</v>
      </c>
      <c r="B6892" s="112" t="s">
        <v>4688</v>
      </c>
      <c r="C6892" s="112" t="s">
        <v>1518</v>
      </c>
      <c r="D6892" s="113">
        <v>51365708</v>
      </c>
      <c r="E6892" s="115">
        <v>43945</v>
      </c>
      <c r="F6892" s="114">
        <v>202101</v>
      </c>
      <c r="G6892" s="112" t="s">
        <v>1091</v>
      </c>
      <c r="H6892" s="112" t="s">
        <v>1016</v>
      </c>
      <c r="I6892" s="112" t="s">
        <v>2337</v>
      </c>
      <c r="J6892" s="112" t="s">
        <v>4690</v>
      </c>
      <c r="K6892" s="112" t="s">
        <v>5428</v>
      </c>
      <c r="L6892" s="116">
        <v>-51</v>
      </c>
    </row>
    <row r="6893" spans="1:12" hidden="1" outlineLevel="1" collapsed="1" x14ac:dyDescent="0.35">
      <c r="A6893" s="112" t="s">
        <v>4632</v>
      </c>
      <c r="B6893" s="112" t="s">
        <v>4688</v>
      </c>
      <c r="C6893" s="112" t="s">
        <v>1518</v>
      </c>
      <c r="D6893" s="113">
        <v>51365707</v>
      </c>
      <c r="E6893" s="115">
        <v>43945</v>
      </c>
      <c r="F6893" s="114">
        <v>202101</v>
      </c>
      <c r="G6893" s="112" t="s">
        <v>1091</v>
      </c>
      <c r="H6893" s="112" t="s">
        <v>1016</v>
      </c>
      <c r="I6893" s="112" t="s">
        <v>2337</v>
      </c>
      <c r="J6893" s="112" t="s">
        <v>4690</v>
      </c>
      <c r="K6893" s="112" t="s">
        <v>5429</v>
      </c>
      <c r="L6893" s="116">
        <v>-54</v>
      </c>
    </row>
    <row r="6894" spans="1:12" hidden="1" outlineLevel="1" collapsed="1" x14ac:dyDescent="0.35">
      <c r="A6894" s="112" t="s">
        <v>4632</v>
      </c>
      <c r="B6894" s="112" t="s">
        <v>4688</v>
      </c>
      <c r="C6894" s="112" t="s">
        <v>1518</v>
      </c>
      <c r="D6894" s="113">
        <v>51365706</v>
      </c>
      <c r="E6894" s="115">
        <v>43945</v>
      </c>
      <c r="F6894" s="114">
        <v>202101</v>
      </c>
      <c r="G6894" s="112" t="s">
        <v>1091</v>
      </c>
      <c r="H6894" s="112" t="s">
        <v>1016</v>
      </c>
      <c r="I6894" s="112" t="s">
        <v>2337</v>
      </c>
      <c r="J6894" s="112" t="s">
        <v>4690</v>
      </c>
      <c r="K6894" s="112" t="s">
        <v>5430</v>
      </c>
      <c r="L6894" s="116">
        <v>-54</v>
      </c>
    </row>
    <row r="6895" spans="1:12" hidden="1" outlineLevel="1" collapsed="1" x14ac:dyDescent="0.35">
      <c r="A6895" s="112" t="s">
        <v>4632</v>
      </c>
      <c r="B6895" s="112" t="s">
        <v>4688</v>
      </c>
      <c r="C6895" s="112" t="s">
        <v>1518</v>
      </c>
      <c r="D6895" s="113">
        <v>51365705</v>
      </c>
      <c r="E6895" s="115">
        <v>43945</v>
      </c>
      <c r="F6895" s="114">
        <v>202101</v>
      </c>
      <c r="G6895" s="112" t="s">
        <v>1091</v>
      </c>
      <c r="H6895" s="112" t="s">
        <v>1016</v>
      </c>
      <c r="I6895" s="112" t="s">
        <v>2337</v>
      </c>
      <c r="J6895" s="112" t="s">
        <v>4690</v>
      </c>
      <c r="K6895" s="112" t="s">
        <v>5431</v>
      </c>
      <c r="L6895" s="116">
        <v>-51</v>
      </c>
    </row>
    <row r="6896" spans="1:12" hidden="1" outlineLevel="1" collapsed="1" x14ac:dyDescent="0.35">
      <c r="A6896" s="112" t="s">
        <v>4632</v>
      </c>
      <c r="B6896" s="112" t="s">
        <v>4688</v>
      </c>
      <c r="C6896" s="112" t="s">
        <v>1518</v>
      </c>
      <c r="D6896" s="113">
        <v>51365704</v>
      </c>
      <c r="E6896" s="115">
        <v>43945</v>
      </c>
      <c r="F6896" s="114">
        <v>202101</v>
      </c>
      <c r="G6896" s="112" t="s">
        <v>1091</v>
      </c>
      <c r="H6896" s="112" t="s">
        <v>1016</v>
      </c>
      <c r="I6896" s="112" t="s">
        <v>2337</v>
      </c>
      <c r="J6896" s="112" t="s">
        <v>4690</v>
      </c>
      <c r="K6896" s="112" t="s">
        <v>5432</v>
      </c>
      <c r="L6896" s="116">
        <v>-51</v>
      </c>
    </row>
    <row r="6897" spans="1:12" hidden="1" outlineLevel="1" collapsed="1" x14ac:dyDescent="0.35">
      <c r="A6897" s="112" t="s">
        <v>4632</v>
      </c>
      <c r="B6897" s="112" t="s">
        <v>4688</v>
      </c>
      <c r="C6897" s="112" t="s">
        <v>1518</v>
      </c>
      <c r="D6897" s="113">
        <v>51365703</v>
      </c>
      <c r="E6897" s="115">
        <v>43945</v>
      </c>
      <c r="F6897" s="114">
        <v>202101</v>
      </c>
      <c r="G6897" s="112" t="s">
        <v>1091</v>
      </c>
      <c r="H6897" s="112" t="s">
        <v>1016</v>
      </c>
      <c r="I6897" s="112" t="s">
        <v>2337</v>
      </c>
      <c r="J6897" s="112" t="s">
        <v>4690</v>
      </c>
      <c r="K6897" s="112" t="s">
        <v>5433</v>
      </c>
      <c r="L6897" s="116">
        <v>-51</v>
      </c>
    </row>
    <row r="6898" spans="1:12" hidden="1" outlineLevel="1" collapsed="1" x14ac:dyDescent="0.35">
      <c r="A6898" s="112" t="s">
        <v>4632</v>
      </c>
      <c r="B6898" s="112" t="s">
        <v>4688</v>
      </c>
      <c r="C6898" s="112" t="s">
        <v>1518</v>
      </c>
      <c r="D6898" s="113">
        <v>51365702</v>
      </c>
      <c r="E6898" s="115">
        <v>43945</v>
      </c>
      <c r="F6898" s="114">
        <v>202101</v>
      </c>
      <c r="G6898" s="112" t="s">
        <v>1091</v>
      </c>
      <c r="H6898" s="112" t="s">
        <v>1016</v>
      </c>
      <c r="I6898" s="112" t="s">
        <v>2337</v>
      </c>
      <c r="J6898" s="112" t="s">
        <v>4690</v>
      </c>
      <c r="K6898" s="112" t="s">
        <v>5434</v>
      </c>
      <c r="L6898" s="116">
        <v>-51</v>
      </c>
    </row>
    <row r="6899" spans="1:12" hidden="1" outlineLevel="1" collapsed="1" x14ac:dyDescent="0.35">
      <c r="A6899" s="112" t="s">
        <v>4632</v>
      </c>
      <c r="B6899" s="112" t="s">
        <v>4688</v>
      </c>
      <c r="C6899" s="112" t="s">
        <v>1518</v>
      </c>
      <c r="D6899" s="113">
        <v>51365701</v>
      </c>
      <c r="E6899" s="115">
        <v>43945</v>
      </c>
      <c r="F6899" s="114">
        <v>202101</v>
      </c>
      <c r="G6899" s="112" t="s">
        <v>1091</v>
      </c>
      <c r="H6899" s="112" t="s">
        <v>1016</v>
      </c>
      <c r="I6899" s="112" t="s">
        <v>2337</v>
      </c>
      <c r="J6899" s="112" t="s">
        <v>4690</v>
      </c>
      <c r="K6899" s="112" t="s">
        <v>5435</v>
      </c>
      <c r="L6899" s="116">
        <v>-51</v>
      </c>
    </row>
    <row r="6900" spans="1:12" hidden="1" outlineLevel="1" collapsed="1" x14ac:dyDescent="0.35">
      <c r="A6900" s="112" t="s">
        <v>4632</v>
      </c>
      <c r="B6900" s="112" t="s">
        <v>4688</v>
      </c>
      <c r="C6900" s="112" t="s">
        <v>1518</v>
      </c>
      <c r="D6900" s="113">
        <v>51365700</v>
      </c>
      <c r="E6900" s="115">
        <v>43945</v>
      </c>
      <c r="F6900" s="114">
        <v>202101</v>
      </c>
      <c r="G6900" s="112" t="s">
        <v>1091</v>
      </c>
      <c r="H6900" s="112" t="s">
        <v>1016</v>
      </c>
      <c r="I6900" s="112" t="s">
        <v>2337</v>
      </c>
      <c r="J6900" s="112" t="s">
        <v>4690</v>
      </c>
      <c r="K6900" s="112" t="s">
        <v>5436</v>
      </c>
      <c r="L6900" s="116">
        <v>-51</v>
      </c>
    </row>
    <row r="6901" spans="1:12" hidden="1" outlineLevel="1" collapsed="1" x14ac:dyDescent="0.35">
      <c r="A6901" s="112" t="s">
        <v>4632</v>
      </c>
      <c r="B6901" s="112" t="s">
        <v>4650</v>
      </c>
      <c r="C6901" s="112" t="s">
        <v>1518</v>
      </c>
      <c r="D6901" s="113">
        <v>51366051</v>
      </c>
      <c r="E6901" s="115">
        <v>43928</v>
      </c>
      <c r="F6901" s="114">
        <v>202101</v>
      </c>
      <c r="G6901" s="112" t="s">
        <v>1091</v>
      </c>
      <c r="H6901" s="112" t="s">
        <v>1016</v>
      </c>
      <c r="I6901" s="112" t="s">
        <v>779</v>
      </c>
      <c r="J6901" s="112" t="s">
        <v>4651</v>
      </c>
      <c r="K6901" s="112" t="s">
        <v>5437</v>
      </c>
      <c r="L6901" s="116">
        <v>-108.24</v>
      </c>
    </row>
    <row r="6902" spans="1:12" hidden="1" outlineLevel="1" collapsed="1" x14ac:dyDescent="0.35">
      <c r="A6902" s="112" t="s">
        <v>4632</v>
      </c>
      <c r="B6902" s="112" t="s">
        <v>4688</v>
      </c>
      <c r="C6902" s="112" t="s">
        <v>679</v>
      </c>
      <c r="D6902" s="113">
        <v>10348027</v>
      </c>
      <c r="E6902" s="115">
        <v>43927</v>
      </c>
      <c r="F6902" s="114">
        <v>202101</v>
      </c>
      <c r="G6902" s="112" t="s">
        <v>1091</v>
      </c>
      <c r="H6902" s="112" t="s">
        <v>1016</v>
      </c>
      <c r="I6902" s="112" t="s">
        <v>4689</v>
      </c>
      <c r="J6902" s="112" t="s">
        <v>4690</v>
      </c>
      <c r="K6902" s="112" t="s">
        <v>5408</v>
      </c>
      <c r="L6902" s="116">
        <v>-54</v>
      </c>
    </row>
    <row r="6903" spans="1:12" hidden="1" outlineLevel="1" collapsed="1" x14ac:dyDescent="0.35">
      <c r="A6903" s="112" t="s">
        <v>4632</v>
      </c>
      <c r="B6903" s="112" t="s">
        <v>4688</v>
      </c>
      <c r="C6903" s="112" t="s">
        <v>1518</v>
      </c>
      <c r="D6903" s="113">
        <v>51365691</v>
      </c>
      <c r="E6903" s="115">
        <v>43945</v>
      </c>
      <c r="F6903" s="114">
        <v>202101</v>
      </c>
      <c r="G6903" s="112" t="s">
        <v>1091</v>
      </c>
      <c r="H6903" s="112" t="s">
        <v>1016</v>
      </c>
      <c r="I6903" s="112" t="s">
        <v>2337</v>
      </c>
      <c r="J6903" s="112" t="s">
        <v>4690</v>
      </c>
      <c r="K6903" s="112" t="s">
        <v>5438</v>
      </c>
      <c r="L6903" s="116">
        <v>-51</v>
      </c>
    </row>
    <row r="6904" spans="1:12" hidden="1" outlineLevel="1" collapsed="1" x14ac:dyDescent="0.35">
      <c r="A6904" s="112" t="s">
        <v>4632</v>
      </c>
      <c r="B6904" s="112" t="s">
        <v>4688</v>
      </c>
      <c r="C6904" s="112" t="s">
        <v>1518</v>
      </c>
      <c r="D6904" s="113">
        <v>51365831</v>
      </c>
      <c r="E6904" s="115">
        <v>43947</v>
      </c>
      <c r="F6904" s="114">
        <v>202101</v>
      </c>
      <c r="G6904" s="112" t="s">
        <v>1091</v>
      </c>
      <c r="H6904" s="112" t="s">
        <v>1016</v>
      </c>
      <c r="I6904" s="112" t="s">
        <v>2337</v>
      </c>
      <c r="J6904" s="112" t="s">
        <v>4690</v>
      </c>
      <c r="K6904" s="112" t="s">
        <v>5439</v>
      </c>
      <c r="L6904" s="116">
        <v>-51</v>
      </c>
    </row>
    <row r="6905" spans="1:12" hidden="1" outlineLevel="1" collapsed="1" x14ac:dyDescent="0.35">
      <c r="A6905" s="112" t="s">
        <v>4632</v>
      </c>
      <c r="B6905" s="112" t="s">
        <v>863</v>
      </c>
      <c r="C6905" s="112" t="s">
        <v>1150</v>
      </c>
      <c r="D6905" s="113">
        <v>10348606</v>
      </c>
      <c r="E6905" s="115">
        <v>43964</v>
      </c>
      <c r="F6905" s="114">
        <v>202101</v>
      </c>
      <c r="G6905" s="112" t="s">
        <v>1091</v>
      </c>
      <c r="H6905" s="112" t="s">
        <v>1016</v>
      </c>
      <c r="I6905" s="112" t="s">
        <v>781</v>
      </c>
      <c r="J6905" s="112" t="s">
        <v>802</v>
      </c>
      <c r="K6905" s="112" t="s">
        <v>4896</v>
      </c>
      <c r="L6905" s="116">
        <v>-853.92</v>
      </c>
    </row>
    <row r="6906" spans="1:12" hidden="1" outlineLevel="1" collapsed="1" x14ac:dyDescent="0.35">
      <c r="A6906" s="112" t="s">
        <v>4632</v>
      </c>
      <c r="B6906" s="112" t="s">
        <v>863</v>
      </c>
      <c r="C6906" s="112" t="s">
        <v>1150</v>
      </c>
      <c r="D6906" s="113">
        <v>10348606</v>
      </c>
      <c r="E6906" s="115">
        <v>43964</v>
      </c>
      <c r="F6906" s="114">
        <v>202101</v>
      </c>
      <c r="G6906" s="112" t="s">
        <v>1091</v>
      </c>
      <c r="H6906" s="112" t="s">
        <v>1016</v>
      </c>
      <c r="I6906" s="112" t="s">
        <v>781</v>
      </c>
      <c r="J6906" s="112" t="s">
        <v>793</v>
      </c>
      <c r="K6906" s="112" t="s">
        <v>4896</v>
      </c>
      <c r="L6906" s="116">
        <v>-1869.6</v>
      </c>
    </row>
    <row r="6907" spans="1:12" hidden="1" outlineLevel="1" collapsed="1" x14ac:dyDescent="0.35">
      <c r="A6907" s="112" t="s">
        <v>4632</v>
      </c>
      <c r="B6907" s="112" t="s">
        <v>863</v>
      </c>
      <c r="C6907" s="112" t="s">
        <v>1150</v>
      </c>
      <c r="D6907" s="113">
        <v>10348606</v>
      </c>
      <c r="E6907" s="115">
        <v>43964</v>
      </c>
      <c r="F6907" s="114">
        <v>202101</v>
      </c>
      <c r="G6907" s="112" t="s">
        <v>1091</v>
      </c>
      <c r="H6907" s="112" t="s">
        <v>1016</v>
      </c>
      <c r="I6907" s="112" t="s">
        <v>781</v>
      </c>
      <c r="J6907" s="112" t="s">
        <v>796</v>
      </c>
      <c r="K6907" s="112" t="s">
        <v>4896</v>
      </c>
      <c r="L6907" s="116">
        <v>-4242.24</v>
      </c>
    </row>
    <row r="6908" spans="1:12" hidden="1" outlineLevel="1" collapsed="1" x14ac:dyDescent="0.35">
      <c r="A6908" s="112" t="s">
        <v>4632</v>
      </c>
      <c r="B6908" s="112" t="s">
        <v>4688</v>
      </c>
      <c r="C6908" s="112" t="s">
        <v>679</v>
      </c>
      <c r="D6908" s="113">
        <v>10347933</v>
      </c>
      <c r="E6908" s="115">
        <v>43922</v>
      </c>
      <c r="F6908" s="114">
        <v>202101</v>
      </c>
      <c r="G6908" s="112" t="s">
        <v>1091</v>
      </c>
      <c r="H6908" s="112" t="s">
        <v>1016</v>
      </c>
      <c r="I6908" s="112" t="s">
        <v>4689</v>
      </c>
      <c r="J6908" s="112" t="s">
        <v>4690</v>
      </c>
      <c r="K6908" s="112" t="s">
        <v>5034</v>
      </c>
      <c r="L6908" s="116">
        <v>-54</v>
      </c>
    </row>
    <row r="6909" spans="1:12" hidden="1" outlineLevel="1" collapsed="1" x14ac:dyDescent="0.35">
      <c r="A6909" s="112" t="s">
        <v>4632</v>
      </c>
      <c r="B6909" s="112" t="s">
        <v>4688</v>
      </c>
      <c r="C6909" s="112" t="s">
        <v>679</v>
      </c>
      <c r="D6909" s="113">
        <v>10347933</v>
      </c>
      <c r="E6909" s="115">
        <v>43922</v>
      </c>
      <c r="F6909" s="114">
        <v>202101</v>
      </c>
      <c r="G6909" s="112" t="s">
        <v>1091</v>
      </c>
      <c r="H6909" s="112" t="s">
        <v>1016</v>
      </c>
      <c r="I6909" s="112" t="s">
        <v>4689</v>
      </c>
      <c r="J6909" s="112" t="s">
        <v>4690</v>
      </c>
      <c r="K6909" s="112" t="s">
        <v>5033</v>
      </c>
      <c r="L6909" s="116">
        <v>-54</v>
      </c>
    </row>
    <row r="6910" spans="1:12" hidden="1" outlineLevel="1" collapsed="1" x14ac:dyDescent="0.35">
      <c r="A6910" s="112" t="s">
        <v>4632</v>
      </c>
      <c r="B6910" s="112" t="s">
        <v>4688</v>
      </c>
      <c r="C6910" s="112" t="s">
        <v>679</v>
      </c>
      <c r="D6910" s="113">
        <v>10347933</v>
      </c>
      <c r="E6910" s="115">
        <v>43922</v>
      </c>
      <c r="F6910" s="114">
        <v>202101</v>
      </c>
      <c r="G6910" s="112" t="s">
        <v>1091</v>
      </c>
      <c r="H6910" s="112" t="s">
        <v>1016</v>
      </c>
      <c r="I6910" s="112" t="s">
        <v>4689</v>
      </c>
      <c r="J6910" s="112" t="s">
        <v>4690</v>
      </c>
      <c r="K6910" s="112" t="s">
        <v>5032</v>
      </c>
      <c r="L6910" s="116">
        <v>-54</v>
      </c>
    </row>
    <row r="6911" spans="1:12" hidden="1" outlineLevel="1" collapsed="1" x14ac:dyDescent="0.35">
      <c r="A6911" s="112" t="s">
        <v>4632</v>
      </c>
      <c r="B6911" s="112" t="s">
        <v>863</v>
      </c>
      <c r="C6911" s="112" t="s">
        <v>679</v>
      </c>
      <c r="D6911" s="113">
        <v>10348411</v>
      </c>
      <c r="E6911" s="115">
        <v>43943</v>
      </c>
      <c r="F6911" s="114">
        <v>202101</v>
      </c>
      <c r="G6911" s="112" t="s">
        <v>1091</v>
      </c>
      <c r="H6911" s="112" t="s">
        <v>1015</v>
      </c>
      <c r="I6911" s="112" t="s">
        <v>736</v>
      </c>
      <c r="J6911" s="112" t="s">
        <v>831</v>
      </c>
      <c r="K6911" s="112" t="s">
        <v>5440</v>
      </c>
      <c r="L6911" s="116">
        <v>30720</v>
      </c>
    </row>
    <row r="6912" spans="1:12" hidden="1" outlineLevel="1" collapsed="1" x14ac:dyDescent="0.35">
      <c r="A6912" s="112" t="s">
        <v>4632</v>
      </c>
      <c r="B6912" s="112" t="s">
        <v>4688</v>
      </c>
      <c r="C6912" s="112" t="s">
        <v>679</v>
      </c>
      <c r="D6912" s="113">
        <v>10347933</v>
      </c>
      <c r="E6912" s="115">
        <v>43922</v>
      </c>
      <c r="F6912" s="114">
        <v>202101</v>
      </c>
      <c r="G6912" s="112" t="s">
        <v>1091</v>
      </c>
      <c r="H6912" s="112" t="s">
        <v>1016</v>
      </c>
      <c r="I6912" s="112" t="s">
        <v>4689</v>
      </c>
      <c r="J6912" s="112" t="s">
        <v>4690</v>
      </c>
      <c r="K6912" s="112" t="s">
        <v>5031</v>
      </c>
      <c r="L6912" s="116">
        <v>-54</v>
      </c>
    </row>
    <row r="6913" spans="1:12" hidden="1" outlineLevel="1" collapsed="1" x14ac:dyDescent="0.35">
      <c r="A6913" s="112" t="s">
        <v>4632</v>
      </c>
      <c r="B6913" s="112" t="s">
        <v>863</v>
      </c>
      <c r="C6913" s="112" t="s">
        <v>1150</v>
      </c>
      <c r="D6913" s="113">
        <v>10348606</v>
      </c>
      <c r="E6913" s="115">
        <v>43964</v>
      </c>
      <c r="F6913" s="114">
        <v>202101</v>
      </c>
      <c r="G6913" s="112" t="s">
        <v>1091</v>
      </c>
      <c r="H6913" s="112" t="s">
        <v>1016</v>
      </c>
      <c r="I6913" s="112" t="s">
        <v>781</v>
      </c>
      <c r="J6913" s="112" t="s">
        <v>798</v>
      </c>
      <c r="K6913" s="112" t="s">
        <v>4896</v>
      </c>
      <c r="L6913" s="116">
        <v>-617.28</v>
      </c>
    </row>
    <row r="6914" spans="1:12" hidden="1" outlineLevel="1" collapsed="1" x14ac:dyDescent="0.35">
      <c r="A6914" s="112" t="s">
        <v>4632</v>
      </c>
      <c r="B6914" s="112" t="s">
        <v>4635</v>
      </c>
      <c r="C6914" s="112" t="s">
        <v>679</v>
      </c>
      <c r="D6914" s="113">
        <v>10348411</v>
      </c>
      <c r="E6914" s="115">
        <v>43943</v>
      </c>
      <c r="F6914" s="114">
        <v>202101</v>
      </c>
      <c r="G6914" s="112" t="s">
        <v>1091</v>
      </c>
      <c r="H6914" s="112" t="s">
        <v>1015</v>
      </c>
      <c r="I6914" s="112" t="s">
        <v>736</v>
      </c>
      <c r="J6914" s="112" t="s">
        <v>4636</v>
      </c>
      <c r="K6914" s="112" t="s">
        <v>5441</v>
      </c>
      <c r="L6914" s="116">
        <v>4592</v>
      </c>
    </row>
    <row r="6915" spans="1:12" hidden="1" outlineLevel="1" collapsed="1" x14ac:dyDescent="0.35">
      <c r="A6915" s="112" t="s">
        <v>4632</v>
      </c>
      <c r="B6915" s="112" t="s">
        <v>4688</v>
      </c>
      <c r="C6915" s="112" t="s">
        <v>679</v>
      </c>
      <c r="D6915" s="113">
        <v>10347933</v>
      </c>
      <c r="E6915" s="115">
        <v>43922</v>
      </c>
      <c r="F6915" s="114">
        <v>202101</v>
      </c>
      <c r="G6915" s="112" t="s">
        <v>1091</v>
      </c>
      <c r="H6915" s="112" t="s">
        <v>1016</v>
      </c>
      <c r="I6915" s="112" t="s">
        <v>4689</v>
      </c>
      <c r="J6915" s="112" t="s">
        <v>4690</v>
      </c>
      <c r="K6915" s="112" t="s">
        <v>5030</v>
      </c>
      <c r="L6915" s="116">
        <v>-54</v>
      </c>
    </row>
    <row r="6916" spans="1:12" hidden="1" outlineLevel="1" collapsed="1" x14ac:dyDescent="0.35">
      <c r="A6916" s="112" t="s">
        <v>4632</v>
      </c>
      <c r="B6916" s="112" t="s">
        <v>4688</v>
      </c>
      <c r="C6916" s="112" t="s">
        <v>679</v>
      </c>
      <c r="D6916" s="113">
        <v>10347933</v>
      </c>
      <c r="E6916" s="115">
        <v>43922</v>
      </c>
      <c r="F6916" s="114">
        <v>202101</v>
      </c>
      <c r="G6916" s="112" t="s">
        <v>1091</v>
      </c>
      <c r="H6916" s="112" t="s">
        <v>1016</v>
      </c>
      <c r="I6916" s="112" t="s">
        <v>4689</v>
      </c>
      <c r="J6916" s="112" t="s">
        <v>4690</v>
      </c>
      <c r="K6916" s="112" t="s">
        <v>5029</v>
      </c>
      <c r="L6916" s="116">
        <v>-52</v>
      </c>
    </row>
    <row r="6917" spans="1:12" hidden="1" outlineLevel="1" collapsed="1" x14ac:dyDescent="0.35">
      <c r="A6917" s="112" t="s">
        <v>4632</v>
      </c>
      <c r="B6917" s="112" t="s">
        <v>4688</v>
      </c>
      <c r="C6917" s="112" t="s">
        <v>679</v>
      </c>
      <c r="D6917" s="113">
        <v>10347933</v>
      </c>
      <c r="E6917" s="115">
        <v>43922</v>
      </c>
      <c r="F6917" s="114">
        <v>202101</v>
      </c>
      <c r="G6917" s="112" t="s">
        <v>1091</v>
      </c>
      <c r="H6917" s="112" t="s">
        <v>1016</v>
      </c>
      <c r="I6917" s="112" t="s">
        <v>4689</v>
      </c>
      <c r="J6917" s="112" t="s">
        <v>4690</v>
      </c>
      <c r="K6917" s="112" t="s">
        <v>5442</v>
      </c>
      <c r="L6917" s="116">
        <v>-52</v>
      </c>
    </row>
    <row r="6918" spans="1:12" hidden="1" outlineLevel="1" collapsed="1" x14ac:dyDescent="0.35">
      <c r="A6918" s="112" t="s">
        <v>4632</v>
      </c>
      <c r="B6918" s="112" t="s">
        <v>863</v>
      </c>
      <c r="C6918" s="112" t="s">
        <v>1150</v>
      </c>
      <c r="D6918" s="113">
        <v>10348606</v>
      </c>
      <c r="E6918" s="115">
        <v>43964</v>
      </c>
      <c r="F6918" s="114">
        <v>202101</v>
      </c>
      <c r="G6918" s="112" t="s">
        <v>1091</v>
      </c>
      <c r="H6918" s="112" t="s">
        <v>1016</v>
      </c>
      <c r="I6918" s="112" t="s">
        <v>781</v>
      </c>
      <c r="J6918" s="112" t="s">
        <v>835</v>
      </c>
      <c r="K6918" s="112" t="s">
        <v>5443</v>
      </c>
      <c r="L6918" s="116">
        <v>-280.08</v>
      </c>
    </row>
    <row r="6919" spans="1:12" hidden="1" outlineLevel="1" collapsed="1" x14ac:dyDescent="0.35">
      <c r="A6919" s="112" t="s">
        <v>4632</v>
      </c>
      <c r="B6919" s="112" t="s">
        <v>4688</v>
      </c>
      <c r="C6919" s="112" t="s">
        <v>4695</v>
      </c>
      <c r="D6919" s="113">
        <v>30440184</v>
      </c>
      <c r="E6919" s="115">
        <v>43922</v>
      </c>
      <c r="F6919" s="114">
        <v>202101</v>
      </c>
      <c r="G6919" s="112" t="s">
        <v>1091</v>
      </c>
      <c r="H6919" s="112" t="s">
        <v>1016</v>
      </c>
      <c r="I6919" s="112" t="s">
        <v>4689</v>
      </c>
      <c r="J6919" s="112" t="s">
        <v>4690</v>
      </c>
      <c r="K6919" s="112" t="s">
        <v>5442</v>
      </c>
      <c r="L6919" s="116">
        <v>52</v>
      </c>
    </row>
    <row r="6920" spans="1:12" hidden="1" outlineLevel="1" collapsed="1" x14ac:dyDescent="0.35">
      <c r="A6920" s="112" t="s">
        <v>4632</v>
      </c>
      <c r="B6920" s="112" t="s">
        <v>4644</v>
      </c>
      <c r="C6920" s="112" t="s">
        <v>1511</v>
      </c>
      <c r="D6920" s="113">
        <v>47036965</v>
      </c>
      <c r="E6920" s="115">
        <v>43915</v>
      </c>
      <c r="F6920" s="114">
        <v>202101</v>
      </c>
      <c r="G6920" s="112" t="s">
        <v>1091</v>
      </c>
      <c r="H6920" s="112" t="s">
        <v>1015</v>
      </c>
      <c r="I6920" s="112" t="s">
        <v>757</v>
      </c>
      <c r="J6920" s="112" t="s">
        <v>4645</v>
      </c>
      <c r="K6920" s="112" t="s">
        <v>5444</v>
      </c>
      <c r="L6920" s="116">
        <v>52.4</v>
      </c>
    </row>
    <row r="6921" spans="1:12" hidden="1" outlineLevel="1" collapsed="1" x14ac:dyDescent="0.35">
      <c r="A6921" s="112" t="s">
        <v>4632</v>
      </c>
      <c r="B6921" s="112" t="s">
        <v>4650</v>
      </c>
      <c r="C6921" s="112" t="s">
        <v>1511</v>
      </c>
      <c r="D6921" s="113">
        <v>47036963</v>
      </c>
      <c r="E6921" s="115">
        <v>43915</v>
      </c>
      <c r="F6921" s="114">
        <v>202101</v>
      </c>
      <c r="G6921" s="112" t="s">
        <v>1091</v>
      </c>
      <c r="H6921" s="112" t="s">
        <v>1015</v>
      </c>
      <c r="I6921" s="112" t="s">
        <v>757</v>
      </c>
      <c r="J6921" s="112" t="s">
        <v>4651</v>
      </c>
      <c r="K6921" s="112" t="s">
        <v>5445</v>
      </c>
      <c r="L6921" s="116">
        <v>190.11</v>
      </c>
    </row>
    <row r="6922" spans="1:12" hidden="1" outlineLevel="1" collapsed="1" x14ac:dyDescent="0.35">
      <c r="A6922" s="112" t="s">
        <v>4632</v>
      </c>
      <c r="B6922" s="112" t="s">
        <v>4635</v>
      </c>
      <c r="C6922" s="112" t="s">
        <v>679</v>
      </c>
      <c r="D6922" s="113">
        <v>10348411</v>
      </c>
      <c r="E6922" s="115">
        <v>43943</v>
      </c>
      <c r="F6922" s="114">
        <v>202101</v>
      </c>
      <c r="G6922" s="112" t="s">
        <v>1091</v>
      </c>
      <c r="H6922" s="112" t="s">
        <v>1015</v>
      </c>
      <c r="I6922" s="112" t="s">
        <v>736</v>
      </c>
      <c r="J6922" s="112" t="s">
        <v>4969</v>
      </c>
      <c r="K6922" s="112" t="s">
        <v>5446</v>
      </c>
      <c r="L6922" s="116">
        <v>445.24</v>
      </c>
    </row>
    <row r="6923" spans="1:12" hidden="1" outlineLevel="1" collapsed="1" x14ac:dyDescent="0.35">
      <c r="A6923" s="112" t="s">
        <v>4632</v>
      </c>
      <c r="B6923" s="112" t="s">
        <v>863</v>
      </c>
      <c r="C6923" s="112" t="s">
        <v>1150</v>
      </c>
      <c r="D6923" s="113">
        <v>10348606</v>
      </c>
      <c r="E6923" s="115">
        <v>43964</v>
      </c>
      <c r="F6923" s="114">
        <v>202101</v>
      </c>
      <c r="G6923" s="112" t="s">
        <v>1091</v>
      </c>
      <c r="H6923" s="112" t="s">
        <v>1016</v>
      </c>
      <c r="I6923" s="112" t="s">
        <v>781</v>
      </c>
      <c r="J6923" s="112" t="s">
        <v>833</v>
      </c>
      <c r="K6923" s="112" t="s">
        <v>5443</v>
      </c>
      <c r="L6923" s="116">
        <v>-100.17</v>
      </c>
    </row>
    <row r="6924" spans="1:12" hidden="1" outlineLevel="1" collapsed="1" x14ac:dyDescent="0.35">
      <c r="A6924" s="112" t="s">
        <v>4632</v>
      </c>
      <c r="B6924" s="112" t="s">
        <v>4644</v>
      </c>
      <c r="C6924" s="112" t="s">
        <v>1511</v>
      </c>
      <c r="D6924" s="113">
        <v>47036975</v>
      </c>
      <c r="E6924" s="115">
        <v>43915</v>
      </c>
      <c r="F6924" s="114">
        <v>202101</v>
      </c>
      <c r="G6924" s="112" t="s">
        <v>1091</v>
      </c>
      <c r="H6924" s="112" t="s">
        <v>1015</v>
      </c>
      <c r="I6924" s="112" t="s">
        <v>757</v>
      </c>
      <c r="J6924" s="112" t="s">
        <v>4645</v>
      </c>
      <c r="K6924" s="112" t="s">
        <v>5447</v>
      </c>
      <c r="L6924" s="116">
        <v>-203.1</v>
      </c>
    </row>
    <row r="6925" spans="1:12" hidden="1" outlineLevel="1" collapsed="1" x14ac:dyDescent="0.35">
      <c r="A6925" s="112" t="s">
        <v>4632</v>
      </c>
      <c r="B6925" s="112" t="s">
        <v>4644</v>
      </c>
      <c r="C6925" s="112" t="s">
        <v>1511</v>
      </c>
      <c r="D6925" s="113">
        <v>47036974</v>
      </c>
      <c r="E6925" s="115">
        <v>43915</v>
      </c>
      <c r="F6925" s="114">
        <v>202101</v>
      </c>
      <c r="G6925" s="112" t="s">
        <v>1091</v>
      </c>
      <c r="H6925" s="112" t="s">
        <v>1015</v>
      </c>
      <c r="I6925" s="112" t="s">
        <v>757</v>
      </c>
      <c r="J6925" s="112" t="s">
        <v>4645</v>
      </c>
      <c r="K6925" s="112" t="s">
        <v>5448</v>
      </c>
      <c r="L6925" s="116">
        <v>17.010000000000002</v>
      </c>
    </row>
    <row r="6926" spans="1:12" hidden="1" outlineLevel="1" collapsed="1" x14ac:dyDescent="0.35">
      <c r="A6926" s="112" t="s">
        <v>4632</v>
      </c>
      <c r="B6926" s="112" t="s">
        <v>863</v>
      </c>
      <c r="C6926" s="112" t="s">
        <v>1150</v>
      </c>
      <c r="D6926" s="113">
        <v>10348606</v>
      </c>
      <c r="E6926" s="115">
        <v>43964</v>
      </c>
      <c r="F6926" s="114">
        <v>202101</v>
      </c>
      <c r="G6926" s="112" t="s">
        <v>1091</v>
      </c>
      <c r="H6926" s="112" t="s">
        <v>1016</v>
      </c>
      <c r="I6926" s="112" t="s">
        <v>781</v>
      </c>
      <c r="J6926" s="112" t="s">
        <v>815</v>
      </c>
      <c r="K6926" s="112" t="s">
        <v>4896</v>
      </c>
      <c r="L6926" s="116">
        <v>-60360.72</v>
      </c>
    </row>
    <row r="6927" spans="1:12" hidden="1" outlineLevel="1" collapsed="1" x14ac:dyDescent="0.35">
      <c r="A6927" s="112" t="s">
        <v>4632</v>
      </c>
      <c r="B6927" s="112" t="s">
        <v>863</v>
      </c>
      <c r="C6927" s="112" t="s">
        <v>1150</v>
      </c>
      <c r="D6927" s="113">
        <v>10348606</v>
      </c>
      <c r="E6927" s="115">
        <v>43964</v>
      </c>
      <c r="F6927" s="114">
        <v>202101</v>
      </c>
      <c r="G6927" s="112" t="s">
        <v>1091</v>
      </c>
      <c r="H6927" s="112" t="s">
        <v>1016</v>
      </c>
      <c r="I6927" s="112" t="s">
        <v>781</v>
      </c>
      <c r="J6927" s="112" t="s">
        <v>821</v>
      </c>
      <c r="K6927" s="112" t="s">
        <v>4896</v>
      </c>
      <c r="L6927" s="116">
        <v>-35634</v>
      </c>
    </row>
    <row r="6928" spans="1:12" hidden="1" outlineLevel="1" collapsed="1" x14ac:dyDescent="0.35">
      <c r="A6928" s="112" t="s">
        <v>4632</v>
      </c>
      <c r="B6928" s="112" t="s">
        <v>863</v>
      </c>
      <c r="C6928" s="112" t="s">
        <v>1150</v>
      </c>
      <c r="D6928" s="113">
        <v>10348606</v>
      </c>
      <c r="E6928" s="115">
        <v>43964</v>
      </c>
      <c r="F6928" s="114">
        <v>202101</v>
      </c>
      <c r="G6928" s="112" t="s">
        <v>1091</v>
      </c>
      <c r="H6928" s="112" t="s">
        <v>1016</v>
      </c>
      <c r="I6928" s="112" t="s">
        <v>781</v>
      </c>
      <c r="J6928" s="112" t="s">
        <v>800</v>
      </c>
      <c r="K6928" s="112" t="s">
        <v>4896</v>
      </c>
      <c r="L6928" s="116">
        <v>-31.2</v>
      </c>
    </row>
    <row r="6929" spans="1:12" hidden="1" outlineLevel="1" collapsed="1" x14ac:dyDescent="0.35">
      <c r="A6929" s="112" t="s">
        <v>4632</v>
      </c>
      <c r="B6929" s="112" t="s">
        <v>863</v>
      </c>
      <c r="C6929" s="112" t="s">
        <v>1150</v>
      </c>
      <c r="D6929" s="113">
        <v>10348606</v>
      </c>
      <c r="E6929" s="115">
        <v>43964</v>
      </c>
      <c r="F6929" s="114">
        <v>202101</v>
      </c>
      <c r="G6929" s="112" t="s">
        <v>1091</v>
      </c>
      <c r="H6929" s="112" t="s">
        <v>1016</v>
      </c>
      <c r="I6929" s="112" t="s">
        <v>781</v>
      </c>
      <c r="J6929" s="112" t="s">
        <v>808</v>
      </c>
      <c r="K6929" s="112" t="s">
        <v>4896</v>
      </c>
      <c r="L6929" s="116">
        <v>-22321.919999999998</v>
      </c>
    </row>
    <row r="6930" spans="1:12" hidden="1" outlineLevel="1" collapsed="1" x14ac:dyDescent="0.35">
      <c r="A6930" s="112" t="s">
        <v>4632</v>
      </c>
      <c r="B6930" s="112" t="s">
        <v>863</v>
      </c>
      <c r="C6930" s="112" t="s">
        <v>1150</v>
      </c>
      <c r="D6930" s="113">
        <v>10348606</v>
      </c>
      <c r="E6930" s="115">
        <v>43964</v>
      </c>
      <c r="F6930" s="114">
        <v>202101</v>
      </c>
      <c r="G6930" s="112" t="s">
        <v>1091</v>
      </c>
      <c r="H6930" s="112" t="s">
        <v>1016</v>
      </c>
      <c r="I6930" s="112" t="s">
        <v>781</v>
      </c>
      <c r="J6930" s="112" t="s">
        <v>790</v>
      </c>
      <c r="K6930" s="112" t="s">
        <v>4896</v>
      </c>
      <c r="L6930" s="116">
        <v>-1536.24</v>
      </c>
    </row>
    <row r="6931" spans="1:12" hidden="1" outlineLevel="1" collapsed="1" x14ac:dyDescent="0.35">
      <c r="A6931" s="112" t="s">
        <v>4632</v>
      </c>
      <c r="B6931" s="112" t="s">
        <v>863</v>
      </c>
      <c r="C6931" s="112" t="s">
        <v>1150</v>
      </c>
      <c r="D6931" s="113">
        <v>10348606</v>
      </c>
      <c r="E6931" s="115">
        <v>43964</v>
      </c>
      <c r="F6931" s="114">
        <v>202101</v>
      </c>
      <c r="G6931" s="112" t="s">
        <v>1091</v>
      </c>
      <c r="H6931" s="112" t="s">
        <v>1016</v>
      </c>
      <c r="I6931" s="112" t="s">
        <v>781</v>
      </c>
      <c r="J6931" s="112" t="s">
        <v>829</v>
      </c>
      <c r="K6931" s="112" t="s">
        <v>4896</v>
      </c>
      <c r="L6931" s="116">
        <v>-21919.919999999998</v>
      </c>
    </row>
    <row r="6932" spans="1:12" hidden="1" outlineLevel="1" collapsed="1" x14ac:dyDescent="0.35">
      <c r="A6932" s="112" t="s">
        <v>4632</v>
      </c>
      <c r="B6932" s="112" t="s">
        <v>863</v>
      </c>
      <c r="C6932" s="112" t="s">
        <v>1150</v>
      </c>
      <c r="D6932" s="113">
        <v>10348606</v>
      </c>
      <c r="E6932" s="115">
        <v>43964</v>
      </c>
      <c r="F6932" s="114">
        <v>202101</v>
      </c>
      <c r="G6932" s="112" t="s">
        <v>1091</v>
      </c>
      <c r="H6932" s="112" t="s">
        <v>1016</v>
      </c>
      <c r="I6932" s="112" t="s">
        <v>781</v>
      </c>
      <c r="J6932" s="112" t="s">
        <v>833</v>
      </c>
      <c r="K6932" s="112" t="s">
        <v>4896</v>
      </c>
      <c r="L6932" s="116">
        <v>-11185.2</v>
      </c>
    </row>
    <row r="6933" spans="1:12" hidden="1" outlineLevel="1" collapsed="1" x14ac:dyDescent="0.35">
      <c r="A6933" s="112" t="s">
        <v>4632</v>
      </c>
      <c r="B6933" s="112" t="s">
        <v>4650</v>
      </c>
      <c r="C6933" s="112" t="s">
        <v>1511</v>
      </c>
      <c r="D6933" s="113">
        <v>47036972</v>
      </c>
      <c r="E6933" s="115">
        <v>43915</v>
      </c>
      <c r="F6933" s="114">
        <v>202101</v>
      </c>
      <c r="G6933" s="112" t="s">
        <v>1091</v>
      </c>
      <c r="H6933" s="112" t="s">
        <v>1015</v>
      </c>
      <c r="I6933" s="112" t="s">
        <v>757</v>
      </c>
      <c r="J6933" s="112" t="s">
        <v>4651</v>
      </c>
      <c r="K6933" s="112" t="s">
        <v>5449</v>
      </c>
      <c r="L6933" s="116">
        <v>108.22</v>
      </c>
    </row>
    <row r="6934" spans="1:12" hidden="1" outlineLevel="1" collapsed="1" x14ac:dyDescent="0.35">
      <c r="A6934" s="112" t="s">
        <v>4632</v>
      </c>
      <c r="B6934" s="112" t="s">
        <v>863</v>
      </c>
      <c r="C6934" s="112" t="s">
        <v>679</v>
      </c>
      <c r="D6934" s="113">
        <v>10348411</v>
      </c>
      <c r="E6934" s="115">
        <v>43943</v>
      </c>
      <c r="F6934" s="114">
        <v>202101</v>
      </c>
      <c r="G6934" s="112" t="s">
        <v>1091</v>
      </c>
      <c r="H6934" s="112" t="s">
        <v>1015</v>
      </c>
      <c r="I6934" s="112" t="s">
        <v>736</v>
      </c>
      <c r="J6934" s="112" t="s">
        <v>838</v>
      </c>
      <c r="K6934" s="112" t="s">
        <v>5450</v>
      </c>
      <c r="L6934" s="116">
        <v>11726.5</v>
      </c>
    </row>
    <row r="6935" spans="1:12" hidden="1" outlineLevel="1" collapsed="1" x14ac:dyDescent="0.35">
      <c r="A6935" s="112" t="s">
        <v>4632</v>
      </c>
      <c r="B6935" s="112" t="s">
        <v>863</v>
      </c>
      <c r="C6935" s="112" t="s">
        <v>679</v>
      </c>
      <c r="D6935" s="113">
        <v>10348411</v>
      </c>
      <c r="E6935" s="115">
        <v>43943</v>
      </c>
      <c r="F6935" s="114">
        <v>202101</v>
      </c>
      <c r="G6935" s="112" t="s">
        <v>1091</v>
      </c>
      <c r="H6935" s="112" t="s">
        <v>1015</v>
      </c>
      <c r="I6935" s="112" t="s">
        <v>736</v>
      </c>
      <c r="J6935" s="112" t="s">
        <v>833</v>
      </c>
      <c r="K6935" s="112" t="s">
        <v>5451</v>
      </c>
      <c r="L6935" s="116">
        <v>14720.5</v>
      </c>
    </row>
    <row r="6936" spans="1:12" hidden="1" outlineLevel="1" collapsed="1" x14ac:dyDescent="0.35">
      <c r="A6936" s="112" t="s">
        <v>4632</v>
      </c>
      <c r="B6936" s="112" t="s">
        <v>863</v>
      </c>
      <c r="C6936" s="112" t="s">
        <v>679</v>
      </c>
      <c r="D6936" s="113">
        <v>10348411</v>
      </c>
      <c r="E6936" s="115">
        <v>43943</v>
      </c>
      <c r="F6936" s="114">
        <v>202101</v>
      </c>
      <c r="G6936" s="112" t="s">
        <v>1091</v>
      </c>
      <c r="H6936" s="112" t="s">
        <v>1015</v>
      </c>
      <c r="I6936" s="112" t="s">
        <v>736</v>
      </c>
      <c r="J6936" s="112" t="s">
        <v>808</v>
      </c>
      <c r="K6936" s="112" t="s">
        <v>5452</v>
      </c>
      <c r="L6936" s="116">
        <v>322560</v>
      </c>
    </row>
    <row r="6937" spans="1:12" hidden="1" outlineLevel="1" collapsed="1" x14ac:dyDescent="0.35">
      <c r="A6937" s="112" t="s">
        <v>4632</v>
      </c>
      <c r="B6937" s="112" t="s">
        <v>863</v>
      </c>
      <c r="C6937" s="112" t="s">
        <v>679</v>
      </c>
      <c r="D6937" s="113">
        <v>10348411</v>
      </c>
      <c r="E6937" s="115">
        <v>43943</v>
      </c>
      <c r="F6937" s="114">
        <v>202101</v>
      </c>
      <c r="G6937" s="112" t="s">
        <v>1091</v>
      </c>
      <c r="H6937" s="112" t="s">
        <v>1015</v>
      </c>
      <c r="I6937" s="112" t="s">
        <v>736</v>
      </c>
      <c r="J6937" s="112" t="s">
        <v>842</v>
      </c>
      <c r="K6937" s="112" t="s">
        <v>5453</v>
      </c>
      <c r="L6937" s="116">
        <v>7546.42</v>
      </c>
    </row>
    <row r="6938" spans="1:12" hidden="1" outlineLevel="1" collapsed="1" x14ac:dyDescent="0.35">
      <c r="A6938" s="112" t="s">
        <v>4632</v>
      </c>
      <c r="B6938" s="112" t="s">
        <v>863</v>
      </c>
      <c r="C6938" s="112" t="s">
        <v>679</v>
      </c>
      <c r="D6938" s="113">
        <v>10348411</v>
      </c>
      <c r="E6938" s="115">
        <v>43943</v>
      </c>
      <c r="F6938" s="114">
        <v>202101</v>
      </c>
      <c r="G6938" s="112" t="s">
        <v>1091</v>
      </c>
      <c r="H6938" s="112" t="s">
        <v>1015</v>
      </c>
      <c r="I6938" s="112" t="s">
        <v>736</v>
      </c>
      <c r="J6938" s="112" t="s">
        <v>852</v>
      </c>
      <c r="K6938" s="112" t="s">
        <v>5454</v>
      </c>
      <c r="L6938" s="116">
        <v>68608</v>
      </c>
    </row>
    <row r="6939" spans="1:12" hidden="1" outlineLevel="1" collapsed="1" x14ac:dyDescent="0.35">
      <c r="A6939" s="112" t="s">
        <v>4632</v>
      </c>
      <c r="B6939" s="112" t="s">
        <v>863</v>
      </c>
      <c r="C6939" s="112" t="s">
        <v>679</v>
      </c>
      <c r="D6939" s="113">
        <v>10348375</v>
      </c>
      <c r="E6939" s="115">
        <v>43942</v>
      </c>
      <c r="F6939" s="114">
        <v>202101</v>
      </c>
      <c r="G6939" s="112" t="s">
        <v>1091</v>
      </c>
      <c r="H6939" s="112" t="s">
        <v>1015</v>
      </c>
      <c r="I6939" s="112" t="s">
        <v>738</v>
      </c>
      <c r="J6939" s="112" t="s">
        <v>787</v>
      </c>
      <c r="K6939" s="112" t="s">
        <v>706</v>
      </c>
      <c r="L6939" s="116">
        <v>604.78</v>
      </c>
    </row>
    <row r="6940" spans="1:12" hidden="1" outlineLevel="1" collapsed="1" x14ac:dyDescent="0.35">
      <c r="A6940" s="112" t="s">
        <v>4632</v>
      </c>
      <c r="B6940" s="112" t="s">
        <v>863</v>
      </c>
      <c r="C6940" s="112" t="s">
        <v>679</v>
      </c>
      <c r="D6940" s="113">
        <v>10348411</v>
      </c>
      <c r="E6940" s="115">
        <v>43943</v>
      </c>
      <c r="F6940" s="114">
        <v>202101</v>
      </c>
      <c r="G6940" s="112" t="s">
        <v>1091</v>
      </c>
      <c r="H6940" s="112" t="s">
        <v>1015</v>
      </c>
      <c r="I6940" s="112" t="s">
        <v>736</v>
      </c>
      <c r="J6940" s="112" t="s">
        <v>815</v>
      </c>
      <c r="K6940" s="112" t="s">
        <v>5455</v>
      </c>
      <c r="L6940" s="116">
        <v>32256</v>
      </c>
    </row>
    <row r="6941" spans="1:12" hidden="1" outlineLevel="1" collapsed="1" x14ac:dyDescent="0.35">
      <c r="A6941" s="112" t="s">
        <v>4632</v>
      </c>
      <c r="B6941" s="112" t="s">
        <v>4635</v>
      </c>
      <c r="C6941" s="112" t="s">
        <v>679</v>
      </c>
      <c r="D6941" s="113">
        <v>10348115</v>
      </c>
      <c r="E6941" s="115">
        <v>43929</v>
      </c>
      <c r="F6941" s="114">
        <v>202101</v>
      </c>
      <c r="G6941" s="112" t="s">
        <v>1091</v>
      </c>
      <c r="H6941" s="112" t="s">
        <v>1015</v>
      </c>
      <c r="I6941" s="112" t="s">
        <v>1699</v>
      </c>
      <c r="J6941" s="112" t="s">
        <v>4987</v>
      </c>
      <c r="K6941" s="112" t="s">
        <v>5456</v>
      </c>
      <c r="L6941" s="116">
        <v>92.89</v>
      </c>
    </row>
    <row r="6942" spans="1:12" hidden="1" outlineLevel="1" collapsed="1" x14ac:dyDescent="0.35">
      <c r="A6942" s="112" t="s">
        <v>4632</v>
      </c>
      <c r="B6942" s="112" t="s">
        <v>863</v>
      </c>
      <c r="C6942" s="112" t="s">
        <v>679</v>
      </c>
      <c r="D6942" s="113">
        <v>10348375</v>
      </c>
      <c r="E6942" s="115">
        <v>43942</v>
      </c>
      <c r="F6942" s="114">
        <v>202101</v>
      </c>
      <c r="G6942" s="112" t="s">
        <v>1091</v>
      </c>
      <c r="H6942" s="112" t="s">
        <v>1015</v>
      </c>
      <c r="I6942" s="112" t="s">
        <v>738</v>
      </c>
      <c r="J6942" s="112" t="s">
        <v>787</v>
      </c>
      <c r="K6942" s="112" t="s">
        <v>706</v>
      </c>
      <c r="L6942" s="116">
        <v>297.32</v>
      </c>
    </row>
    <row r="6943" spans="1:12" hidden="1" outlineLevel="1" collapsed="1" x14ac:dyDescent="0.35">
      <c r="A6943" s="112" t="s">
        <v>4632</v>
      </c>
      <c r="B6943" s="112" t="s">
        <v>4635</v>
      </c>
      <c r="C6943" s="112" t="s">
        <v>679</v>
      </c>
      <c r="D6943" s="113">
        <v>10348411</v>
      </c>
      <c r="E6943" s="115">
        <v>43943</v>
      </c>
      <c r="F6943" s="114">
        <v>202101</v>
      </c>
      <c r="G6943" s="112" t="s">
        <v>1091</v>
      </c>
      <c r="H6943" s="112" t="s">
        <v>1015</v>
      </c>
      <c r="I6943" s="112" t="s">
        <v>736</v>
      </c>
      <c r="J6943" s="112" t="s">
        <v>4969</v>
      </c>
      <c r="K6943" s="112" t="s">
        <v>5457</v>
      </c>
      <c r="L6943" s="116">
        <v>134.72999999999999</v>
      </c>
    </row>
    <row r="6944" spans="1:12" hidden="1" outlineLevel="1" collapsed="1" x14ac:dyDescent="0.35">
      <c r="A6944" s="112" t="s">
        <v>4632</v>
      </c>
      <c r="B6944" s="112" t="s">
        <v>863</v>
      </c>
      <c r="C6944" s="112" t="s">
        <v>679</v>
      </c>
      <c r="D6944" s="113">
        <v>10348411</v>
      </c>
      <c r="E6944" s="115">
        <v>43943</v>
      </c>
      <c r="F6944" s="114">
        <v>202101</v>
      </c>
      <c r="G6944" s="112" t="s">
        <v>1091</v>
      </c>
      <c r="H6944" s="112" t="s">
        <v>1015</v>
      </c>
      <c r="I6944" s="112" t="s">
        <v>736</v>
      </c>
      <c r="J6944" s="112" t="s">
        <v>835</v>
      </c>
      <c r="K6944" s="112" t="s">
        <v>5458</v>
      </c>
      <c r="L6944" s="116">
        <v>19710.5</v>
      </c>
    </row>
    <row r="6945" spans="1:12" hidden="1" outlineLevel="1" collapsed="1" x14ac:dyDescent="0.35">
      <c r="A6945" s="112" t="s">
        <v>4632</v>
      </c>
      <c r="B6945" s="112" t="s">
        <v>863</v>
      </c>
      <c r="C6945" s="112" t="s">
        <v>679</v>
      </c>
      <c r="D6945" s="113">
        <v>10348411</v>
      </c>
      <c r="E6945" s="115">
        <v>43943</v>
      </c>
      <c r="F6945" s="114">
        <v>202101</v>
      </c>
      <c r="G6945" s="112" t="s">
        <v>1091</v>
      </c>
      <c r="H6945" s="112" t="s">
        <v>1015</v>
      </c>
      <c r="I6945" s="112" t="s">
        <v>736</v>
      </c>
      <c r="J6945" s="112" t="s">
        <v>815</v>
      </c>
      <c r="K6945" s="112" t="s">
        <v>5441</v>
      </c>
      <c r="L6945" s="116">
        <v>70432</v>
      </c>
    </row>
    <row r="6946" spans="1:12" hidden="1" outlineLevel="1" collapsed="1" x14ac:dyDescent="0.35">
      <c r="A6946" s="112" t="s">
        <v>4632</v>
      </c>
      <c r="B6946" s="112" t="s">
        <v>863</v>
      </c>
      <c r="C6946" s="112" t="s">
        <v>679</v>
      </c>
      <c r="D6946" s="113">
        <v>10348411</v>
      </c>
      <c r="E6946" s="115">
        <v>43943</v>
      </c>
      <c r="F6946" s="114">
        <v>202101</v>
      </c>
      <c r="G6946" s="112" t="s">
        <v>1091</v>
      </c>
      <c r="H6946" s="112" t="s">
        <v>1015</v>
      </c>
      <c r="I6946" s="112" t="s">
        <v>736</v>
      </c>
      <c r="J6946" s="112" t="s">
        <v>815</v>
      </c>
      <c r="K6946" s="112" t="s">
        <v>5459</v>
      </c>
      <c r="L6946" s="116">
        <v>230400</v>
      </c>
    </row>
    <row r="6947" spans="1:12" hidden="1" outlineLevel="1" collapsed="1" x14ac:dyDescent="0.35">
      <c r="A6947" s="112" t="s">
        <v>4632</v>
      </c>
      <c r="B6947" s="112" t="s">
        <v>863</v>
      </c>
      <c r="C6947" s="112" t="s">
        <v>679</v>
      </c>
      <c r="D6947" s="113">
        <v>10348411</v>
      </c>
      <c r="E6947" s="115">
        <v>43943</v>
      </c>
      <c r="F6947" s="114">
        <v>202101</v>
      </c>
      <c r="G6947" s="112" t="s">
        <v>1091</v>
      </c>
      <c r="H6947" s="112" t="s">
        <v>1015</v>
      </c>
      <c r="I6947" s="112" t="s">
        <v>736</v>
      </c>
      <c r="J6947" s="112" t="s">
        <v>825</v>
      </c>
      <c r="K6947" s="112" t="s">
        <v>5460</v>
      </c>
      <c r="L6947" s="116">
        <v>20958.66</v>
      </c>
    </row>
    <row r="6948" spans="1:12" hidden="1" outlineLevel="1" collapsed="1" x14ac:dyDescent="0.35">
      <c r="A6948" s="112" t="s">
        <v>4632</v>
      </c>
      <c r="B6948" s="112" t="s">
        <v>863</v>
      </c>
      <c r="C6948" s="112" t="s">
        <v>679</v>
      </c>
      <c r="D6948" s="113">
        <v>10348411</v>
      </c>
      <c r="E6948" s="115">
        <v>43943</v>
      </c>
      <c r="F6948" s="114">
        <v>202101</v>
      </c>
      <c r="G6948" s="112" t="s">
        <v>1091</v>
      </c>
      <c r="H6948" s="112" t="s">
        <v>1015</v>
      </c>
      <c r="I6948" s="112" t="s">
        <v>736</v>
      </c>
      <c r="J6948" s="112" t="s">
        <v>856</v>
      </c>
      <c r="K6948" s="112" t="s">
        <v>5461</v>
      </c>
      <c r="L6948" s="116">
        <v>111616</v>
      </c>
    </row>
    <row r="6949" spans="1:12" hidden="1" outlineLevel="1" collapsed="1" x14ac:dyDescent="0.35">
      <c r="A6949" s="112" t="s">
        <v>4632</v>
      </c>
      <c r="B6949" s="112" t="s">
        <v>863</v>
      </c>
      <c r="C6949" s="112" t="s">
        <v>679</v>
      </c>
      <c r="D6949" s="113">
        <v>10348411</v>
      </c>
      <c r="E6949" s="115">
        <v>43943</v>
      </c>
      <c r="F6949" s="114">
        <v>202101</v>
      </c>
      <c r="G6949" s="112" t="s">
        <v>1091</v>
      </c>
      <c r="H6949" s="112" t="s">
        <v>1015</v>
      </c>
      <c r="I6949" s="112" t="s">
        <v>736</v>
      </c>
      <c r="J6949" s="112" t="s">
        <v>854</v>
      </c>
      <c r="K6949" s="112" t="s">
        <v>5462</v>
      </c>
      <c r="L6949" s="116">
        <v>58368</v>
      </c>
    </row>
    <row r="6950" spans="1:12" hidden="1" outlineLevel="1" collapsed="1" x14ac:dyDescent="0.35">
      <c r="A6950" s="112" t="s">
        <v>4632</v>
      </c>
      <c r="B6950" s="112" t="s">
        <v>863</v>
      </c>
      <c r="C6950" s="112" t="s">
        <v>679</v>
      </c>
      <c r="D6950" s="113">
        <v>10348411</v>
      </c>
      <c r="E6950" s="115">
        <v>43943</v>
      </c>
      <c r="F6950" s="114">
        <v>202101</v>
      </c>
      <c r="G6950" s="112" t="s">
        <v>1091</v>
      </c>
      <c r="H6950" s="112" t="s">
        <v>1015</v>
      </c>
      <c r="I6950" s="112" t="s">
        <v>736</v>
      </c>
      <c r="J6950" s="112" t="s">
        <v>796</v>
      </c>
      <c r="K6950" s="112" t="s">
        <v>5463</v>
      </c>
      <c r="L6950" s="116">
        <v>4905.17</v>
      </c>
    </row>
    <row r="6951" spans="1:12" hidden="1" outlineLevel="1" collapsed="1" x14ac:dyDescent="0.35">
      <c r="A6951" s="112" t="s">
        <v>4632</v>
      </c>
      <c r="B6951" s="112" t="s">
        <v>863</v>
      </c>
      <c r="C6951" s="112" t="s">
        <v>1099</v>
      </c>
      <c r="D6951" s="113">
        <v>1069603</v>
      </c>
      <c r="E6951" s="115">
        <v>43938</v>
      </c>
      <c r="F6951" s="114">
        <v>202101</v>
      </c>
      <c r="G6951" s="112" t="s">
        <v>1091</v>
      </c>
      <c r="H6951" s="112" t="s">
        <v>1015</v>
      </c>
      <c r="I6951" s="112" t="s">
        <v>740</v>
      </c>
      <c r="J6951" s="112" t="s">
        <v>742</v>
      </c>
      <c r="K6951" s="112" t="s">
        <v>5464</v>
      </c>
      <c r="L6951" s="116">
        <v>166256.42000000001</v>
      </c>
    </row>
    <row r="6952" spans="1:12" hidden="1" outlineLevel="1" collapsed="1" x14ac:dyDescent="0.35">
      <c r="A6952" s="112" t="s">
        <v>4632</v>
      </c>
      <c r="B6952" s="112" t="s">
        <v>4688</v>
      </c>
      <c r="C6952" s="112" t="s">
        <v>1099</v>
      </c>
      <c r="D6952" s="113">
        <v>1069602</v>
      </c>
      <c r="E6952" s="115">
        <v>43938</v>
      </c>
      <c r="F6952" s="114">
        <v>202101</v>
      </c>
      <c r="G6952" s="112" t="s">
        <v>1091</v>
      </c>
      <c r="H6952" s="112" t="s">
        <v>1015</v>
      </c>
      <c r="I6952" s="112" t="s">
        <v>740</v>
      </c>
      <c r="J6952" s="112" t="s">
        <v>5465</v>
      </c>
      <c r="K6952" s="112" t="s">
        <v>5466</v>
      </c>
      <c r="L6952" s="116">
        <v>658469.67000000004</v>
      </c>
    </row>
    <row r="6953" spans="1:12" hidden="1" outlineLevel="1" collapsed="1" x14ac:dyDescent="0.35">
      <c r="A6953" s="112" t="s">
        <v>4632</v>
      </c>
      <c r="B6953" s="112" t="s">
        <v>4639</v>
      </c>
      <c r="C6953" s="112" t="s">
        <v>1511</v>
      </c>
      <c r="D6953" s="113">
        <v>47036641</v>
      </c>
      <c r="E6953" s="115">
        <v>43935</v>
      </c>
      <c r="F6953" s="114">
        <v>202101</v>
      </c>
      <c r="G6953" s="112" t="s">
        <v>1091</v>
      </c>
      <c r="H6953" s="112" t="s">
        <v>1015</v>
      </c>
      <c r="I6953" s="112" t="s">
        <v>751</v>
      </c>
      <c r="J6953" s="112" t="s">
        <v>4640</v>
      </c>
      <c r="K6953" s="112" t="s">
        <v>5467</v>
      </c>
      <c r="L6953" s="116">
        <v>727.35</v>
      </c>
    </row>
    <row r="6954" spans="1:12" hidden="1" outlineLevel="1" collapsed="1" x14ac:dyDescent="0.35">
      <c r="A6954" s="112" t="s">
        <v>4632</v>
      </c>
      <c r="B6954" s="112" t="s">
        <v>863</v>
      </c>
      <c r="C6954" s="112" t="s">
        <v>679</v>
      </c>
      <c r="D6954" s="113">
        <v>10348375</v>
      </c>
      <c r="E6954" s="115">
        <v>43942</v>
      </c>
      <c r="F6954" s="114">
        <v>202101</v>
      </c>
      <c r="G6954" s="112" t="s">
        <v>1091</v>
      </c>
      <c r="H6954" s="112" t="s">
        <v>1015</v>
      </c>
      <c r="I6954" s="112" t="s">
        <v>738</v>
      </c>
      <c r="J6954" s="112" t="s">
        <v>787</v>
      </c>
      <c r="K6954" s="112" t="s">
        <v>706</v>
      </c>
      <c r="L6954" s="116">
        <v>218.86</v>
      </c>
    </row>
    <row r="6955" spans="1:12" hidden="1" outlineLevel="1" collapsed="1" x14ac:dyDescent="0.35">
      <c r="A6955" s="112" t="s">
        <v>4632</v>
      </c>
      <c r="B6955" s="112" t="s">
        <v>863</v>
      </c>
      <c r="C6955" s="112" t="s">
        <v>679</v>
      </c>
      <c r="D6955" s="113">
        <v>10348375</v>
      </c>
      <c r="E6955" s="115">
        <v>43942</v>
      </c>
      <c r="F6955" s="114">
        <v>202101</v>
      </c>
      <c r="G6955" s="112" t="s">
        <v>1091</v>
      </c>
      <c r="H6955" s="112" t="s">
        <v>1015</v>
      </c>
      <c r="I6955" s="112" t="s">
        <v>738</v>
      </c>
      <c r="J6955" s="112" t="s">
        <v>787</v>
      </c>
      <c r="K6955" s="112" t="s">
        <v>706</v>
      </c>
      <c r="L6955" s="116">
        <v>178.37</v>
      </c>
    </row>
    <row r="6956" spans="1:12" hidden="1" outlineLevel="1" collapsed="1" x14ac:dyDescent="0.35">
      <c r="A6956" s="112" t="s">
        <v>4632</v>
      </c>
      <c r="B6956" s="112" t="s">
        <v>863</v>
      </c>
      <c r="C6956" s="112" t="s">
        <v>1150</v>
      </c>
      <c r="D6956" s="113">
        <v>10348606</v>
      </c>
      <c r="E6956" s="115">
        <v>43964</v>
      </c>
      <c r="F6956" s="114">
        <v>202101</v>
      </c>
      <c r="G6956" s="112" t="s">
        <v>1091</v>
      </c>
      <c r="H6956" s="112" t="s">
        <v>1016</v>
      </c>
      <c r="I6956" s="112" t="s">
        <v>781</v>
      </c>
      <c r="J6956" s="112" t="s">
        <v>856</v>
      </c>
      <c r="K6956" s="112" t="s">
        <v>4896</v>
      </c>
      <c r="L6956" s="116">
        <v>-24395.040000000001</v>
      </c>
    </row>
    <row r="6957" spans="1:12" hidden="1" outlineLevel="1" collapsed="1" x14ac:dyDescent="0.35">
      <c r="A6957" s="112" t="s">
        <v>4632</v>
      </c>
      <c r="B6957" s="112" t="s">
        <v>5468</v>
      </c>
      <c r="C6957" s="112" t="s">
        <v>1099</v>
      </c>
      <c r="D6957" s="113">
        <v>1069531</v>
      </c>
      <c r="E6957" s="115">
        <v>43936</v>
      </c>
      <c r="F6957" s="114">
        <v>202101</v>
      </c>
      <c r="G6957" s="112" t="s">
        <v>1091</v>
      </c>
      <c r="H6957" s="112" t="s">
        <v>1015</v>
      </c>
      <c r="I6957" s="112" t="s">
        <v>740</v>
      </c>
      <c r="J6957" s="112" t="s">
        <v>5469</v>
      </c>
      <c r="K6957" s="112" t="s">
        <v>5470</v>
      </c>
      <c r="L6957" s="116">
        <v>21881</v>
      </c>
    </row>
    <row r="6958" spans="1:12" hidden="1" outlineLevel="1" collapsed="1" x14ac:dyDescent="0.35">
      <c r="A6958" s="112" t="s">
        <v>4632</v>
      </c>
      <c r="B6958" s="112" t="s">
        <v>863</v>
      </c>
      <c r="C6958" s="112" t="s">
        <v>1150</v>
      </c>
      <c r="D6958" s="113">
        <v>10348606</v>
      </c>
      <c r="E6958" s="115">
        <v>43964</v>
      </c>
      <c r="F6958" s="114">
        <v>202101</v>
      </c>
      <c r="G6958" s="112" t="s">
        <v>1091</v>
      </c>
      <c r="H6958" s="112" t="s">
        <v>1016</v>
      </c>
      <c r="I6958" s="112" t="s">
        <v>781</v>
      </c>
      <c r="J6958" s="112" t="s">
        <v>842</v>
      </c>
      <c r="K6958" s="112" t="s">
        <v>4896</v>
      </c>
      <c r="L6958" s="116">
        <v>-1671.36</v>
      </c>
    </row>
    <row r="6959" spans="1:12" hidden="1" outlineLevel="1" collapsed="1" x14ac:dyDescent="0.35">
      <c r="A6959" s="112" t="s">
        <v>4632</v>
      </c>
      <c r="B6959" s="112" t="s">
        <v>863</v>
      </c>
      <c r="C6959" s="112" t="s">
        <v>203</v>
      </c>
      <c r="D6959" s="113">
        <v>10348605</v>
      </c>
      <c r="E6959" s="115">
        <v>43964</v>
      </c>
      <c r="F6959" s="114">
        <v>202101</v>
      </c>
      <c r="G6959" s="112" t="s">
        <v>1091</v>
      </c>
      <c r="H6959" s="112" t="s">
        <v>1016</v>
      </c>
      <c r="I6959" s="112" t="s">
        <v>783</v>
      </c>
      <c r="J6959" s="112" t="s">
        <v>796</v>
      </c>
      <c r="K6959" s="112" t="s">
        <v>5471</v>
      </c>
      <c r="L6959" s="116">
        <v>-100</v>
      </c>
    </row>
    <row r="6960" spans="1:12" hidden="1" outlineLevel="1" collapsed="1" x14ac:dyDescent="0.35">
      <c r="A6960" s="112" t="s">
        <v>4632</v>
      </c>
      <c r="B6960" s="112" t="s">
        <v>863</v>
      </c>
      <c r="C6960" s="112" t="s">
        <v>203</v>
      </c>
      <c r="D6960" s="113">
        <v>10348605</v>
      </c>
      <c r="E6960" s="115">
        <v>43964</v>
      </c>
      <c r="F6960" s="114">
        <v>202101</v>
      </c>
      <c r="G6960" s="112" t="s">
        <v>1091</v>
      </c>
      <c r="H6960" s="112" t="s">
        <v>1016</v>
      </c>
      <c r="I6960" s="112" t="s">
        <v>783</v>
      </c>
      <c r="J6960" s="112" t="s">
        <v>798</v>
      </c>
      <c r="K6960" s="112" t="s">
        <v>5472</v>
      </c>
      <c r="L6960" s="116">
        <v>-50</v>
      </c>
    </row>
    <row r="6961" spans="1:12" hidden="1" outlineLevel="1" collapsed="1" x14ac:dyDescent="0.35">
      <c r="A6961" s="112" t="s">
        <v>4632</v>
      </c>
      <c r="B6961" s="112" t="s">
        <v>863</v>
      </c>
      <c r="C6961" s="112" t="s">
        <v>203</v>
      </c>
      <c r="D6961" s="113">
        <v>10348605</v>
      </c>
      <c r="E6961" s="115">
        <v>43964</v>
      </c>
      <c r="F6961" s="114">
        <v>202101</v>
      </c>
      <c r="G6961" s="112" t="s">
        <v>1091</v>
      </c>
      <c r="H6961" s="112" t="s">
        <v>1016</v>
      </c>
      <c r="I6961" s="112" t="s">
        <v>783</v>
      </c>
      <c r="J6961" s="112" t="s">
        <v>802</v>
      </c>
      <c r="K6961" s="112" t="s">
        <v>5473</v>
      </c>
      <c r="L6961" s="116">
        <v>-2</v>
      </c>
    </row>
    <row r="6962" spans="1:12" hidden="1" outlineLevel="1" collapsed="1" x14ac:dyDescent="0.35">
      <c r="A6962" s="112" t="s">
        <v>4632</v>
      </c>
      <c r="B6962" s="112" t="s">
        <v>863</v>
      </c>
      <c r="C6962" s="112" t="s">
        <v>203</v>
      </c>
      <c r="D6962" s="113">
        <v>10348605</v>
      </c>
      <c r="E6962" s="115">
        <v>43964</v>
      </c>
      <c r="F6962" s="114">
        <v>202101</v>
      </c>
      <c r="G6962" s="112" t="s">
        <v>1091</v>
      </c>
      <c r="H6962" s="112" t="s">
        <v>1016</v>
      </c>
      <c r="I6962" s="112" t="s">
        <v>783</v>
      </c>
      <c r="J6962" s="112" t="s">
        <v>808</v>
      </c>
      <c r="K6962" s="112" t="s">
        <v>5474</v>
      </c>
      <c r="L6962" s="116">
        <v>-150</v>
      </c>
    </row>
    <row r="6963" spans="1:12" hidden="1" outlineLevel="1" collapsed="1" x14ac:dyDescent="0.35">
      <c r="A6963" s="112" t="s">
        <v>4632</v>
      </c>
      <c r="B6963" s="112" t="s">
        <v>863</v>
      </c>
      <c r="C6963" s="112" t="s">
        <v>203</v>
      </c>
      <c r="D6963" s="113">
        <v>10348605</v>
      </c>
      <c r="E6963" s="115">
        <v>43964</v>
      </c>
      <c r="F6963" s="114">
        <v>202101</v>
      </c>
      <c r="G6963" s="112" t="s">
        <v>1091</v>
      </c>
      <c r="H6963" s="112" t="s">
        <v>1016</v>
      </c>
      <c r="I6963" s="112" t="s">
        <v>783</v>
      </c>
      <c r="J6963" s="112" t="s">
        <v>815</v>
      </c>
      <c r="K6963" s="112" t="s">
        <v>5475</v>
      </c>
      <c r="L6963" s="116">
        <v>-590</v>
      </c>
    </row>
    <row r="6964" spans="1:12" hidden="1" outlineLevel="1" collapsed="1" x14ac:dyDescent="0.35">
      <c r="A6964" s="112" t="s">
        <v>4632</v>
      </c>
      <c r="B6964" s="112" t="s">
        <v>863</v>
      </c>
      <c r="C6964" s="112" t="s">
        <v>203</v>
      </c>
      <c r="D6964" s="113">
        <v>10348605</v>
      </c>
      <c r="E6964" s="115">
        <v>43964</v>
      </c>
      <c r="F6964" s="114">
        <v>202101</v>
      </c>
      <c r="G6964" s="112" t="s">
        <v>1091</v>
      </c>
      <c r="H6964" s="112" t="s">
        <v>1016</v>
      </c>
      <c r="I6964" s="112" t="s">
        <v>783</v>
      </c>
      <c r="J6964" s="112" t="s">
        <v>821</v>
      </c>
      <c r="K6964" s="112" t="s">
        <v>5476</v>
      </c>
      <c r="L6964" s="116">
        <v>-700</v>
      </c>
    </row>
    <row r="6965" spans="1:12" hidden="1" outlineLevel="1" collapsed="1" x14ac:dyDescent="0.35">
      <c r="A6965" s="112" t="s">
        <v>4632</v>
      </c>
      <c r="B6965" s="112" t="s">
        <v>863</v>
      </c>
      <c r="C6965" s="112" t="s">
        <v>203</v>
      </c>
      <c r="D6965" s="113">
        <v>10348605</v>
      </c>
      <c r="E6965" s="115">
        <v>43964</v>
      </c>
      <c r="F6965" s="114">
        <v>202101</v>
      </c>
      <c r="G6965" s="112" t="s">
        <v>1091</v>
      </c>
      <c r="H6965" s="112" t="s">
        <v>1016</v>
      </c>
      <c r="I6965" s="112" t="s">
        <v>783</v>
      </c>
      <c r="J6965" s="112" t="s">
        <v>825</v>
      </c>
      <c r="K6965" s="112" t="s">
        <v>5477</v>
      </c>
      <c r="L6965" s="116">
        <v>-52.5</v>
      </c>
    </row>
    <row r="6966" spans="1:12" hidden="1" outlineLevel="1" collapsed="1" x14ac:dyDescent="0.35">
      <c r="A6966" s="112" t="s">
        <v>4632</v>
      </c>
      <c r="B6966" s="112" t="s">
        <v>863</v>
      </c>
      <c r="C6966" s="112" t="s">
        <v>203</v>
      </c>
      <c r="D6966" s="113">
        <v>10348605</v>
      </c>
      <c r="E6966" s="115">
        <v>43964</v>
      </c>
      <c r="F6966" s="114">
        <v>202101</v>
      </c>
      <c r="G6966" s="112" t="s">
        <v>1091</v>
      </c>
      <c r="H6966" s="112" t="s">
        <v>1016</v>
      </c>
      <c r="I6966" s="112" t="s">
        <v>783</v>
      </c>
      <c r="J6966" s="112" t="s">
        <v>846</v>
      </c>
      <c r="K6966" s="112" t="s">
        <v>5478</v>
      </c>
      <c r="L6966" s="116">
        <v>-279</v>
      </c>
    </row>
    <row r="6967" spans="1:12" hidden="1" outlineLevel="1" collapsed="1" x14ac:dyDescent="0.35">
      <c r="A6967" s="112" t="s">
        <v>4632</v>
      </c>
      <c r="B6967" s="112" t="s">
        <v>863</v>
      </c>
      <c r="C6967" s="112" t="s">
        <v>203</v>
      </c>
      <c r="D6967" s="113">
        <v>10348605</v>
      </c>
      <c r="E6967" s="115">
        <v>43964</v>
      </c>
      <c r="F6967" s="114">
        <v>202101</v>
      </c>
      <c r="G6967" s="112" t="s">
        <v>1091</v>
      </c>
      <c r="H6967" s="112" t="s">
        <v>1016</v>
      </c>
      <c r="I6967" s="112" t="s">
        <v>783</v>
      </c>
      <c r="J6967" s="112" t="s">
        <v>848</v>
      </c>
      <c r="K6967" s="112" t="s">
        <v>5479</v>
      </c>
      <c r="L6967" s="116">
        <v>-368</v>
      </c>
    </row>
    <row r="6968" spans="1:12" hidden="1" outlineLevel="1" collapsed="1" x14ac:dyDescent="0.35">
      <c r="A6968" s="112" t="s">
        <v>4632</v>
      </c>
      <c r="B6968" s="112" t="s">
        <v>863</v>
      </c>
      <c r="C6968" s="112" t="s">
        <v>203</v>
      </c>
      <c r="D6968" s="113">
        <v>10348605</v>
      </c>
      <c r="E6968" s="115">
        <v>43964</v>
      </c>
      <c r="F6968" s="114">
        <v>202101</v>
      </c>
      <c r="G6968" s="112" t="s">
        <v>1091</v>
      </c>
      <c r="H6968" s="112" t="s">
        <v>1016</v>
      </c>
      <c r="I6968" s="112" t="s">
        <v>783</v>
      </c>
      <c r="J6968" s="112" t="s">
        <v>852</v>
      </c>
      <c r="K6968" s="112" t="s">
        <v>5480</v>
      </c>
      <c r="L6968" s="116">
        <v>-250</v>
      </c>
    </row>
    <row r="6969" spans="1:12" hidden="1" outlineLevel="1" collapsed="1" x14ac:dyDescent="0.35">
      <c r="A6969" s="112" t="s">
        <v>4632</v>
      </c>
      <c r="B6969" s="112" t="s">
        <v>863</v>
      </c>
      <c r="C6969" s="112" t="s">
        <v>203</v>
      </c>
      <c r="D6969" s="113">
        <v>10348605</v>
      </c>
      <c r="E6969" s="115">
        <v>43964</v>
      </c>
      <c r="F6969" s="114">
        <v>202101</v>
      </c>
      <c r="G6969" s="112" t="s">
        <v>1091</v>
      </c>
      <c r="H6969" s="112" t="s">
        <v>1016</v>
      </c>
      <c r="I6969" s="112" t="s">
        <v>783</v>
      </c>
      <c r="J6969" s="112" t="s">
        <v>854</v>
      </c>
      <c r="K6969" s="112" t="s">
        <v>5481</v>
      </c>
      <c r="L6969" s="116">
        <v>-100</v>
      </c>
    </row>
    <row r="6970" spans="1:12" hidden="1" outlineLevel="1" collapsed="1" x14ac:dyDescent="0.35">
      <c r="A6970" s="112" t="s">
        <v>4632</v>
      </c>
      <c r="B6970" s="112" t="s">
        <v>863</v>
      </c>
      <c r="C6970" s="112" t="s">
        <v>203</v>
      </c>
      <c r="D6970" s="113">
        <v>10348605</v>
      </c>
      <c r="E6970" s="115">
        <v>43964</v>
      </c>
      <c r="F6970" s="114">
        <v>202101</v>
      </c>
      <c r="G6970" s="112" t="s">
        <v>1091</v>
      </c>
      <c r="H6970" s="112" t="s">
        <v>1016</v>
      </c>
      <c r="I6970" s="112" t="s">
        <v>783</v>
      </c>
      <c r="J6970" s="112" t="s">
        <v>856</v>
      </c>
      <c r="K6970" s="112" t="s">
        <v>5482</v>
      </c>
      <c r="L6970" s="116">
        <v>-150</v>
      </c>
    </row>
    <row r="6971" spans="1:12" hidden="1" outlineLevel="1" collapsed="1" x14ac:dyDescent="0.35">
      <c r="A6971" s="112" t="s">
        <v>4632</v>
      </c>
      <c r="B6971" s="112" t="s">
        <v>863</v>
      </c>
      <c r="C6971" s="112" t="s">
        <v>203</v>
      </c>
      <c r="D6971" s="113">
        <v>10348605</v>
      </c>
      <c r="E6971" s="115">
        <v>43964</v>
      </c>
      <c r="F6971" s="114">
        <v>202101</v>
      </c>
      <c r="G6971" s="112" t="s">
        <v>1091</v>
      </c>
      <c r="H6971" s="112" t="s">
        <v>1016</v>
      </c>
      <c r="I6971" s="112" t="s">
        <v>783</v>
      </c>
      <c r="J6971" s="112" t="s">
        <v>829</v>
      </c>
      <c r="K6971" s="112" t="s">
        <v>5483</v>
      </c>
      <c r="L6971" s="116">
        <v>-270</v>
      </c>
    </row>
    <row r="6972" spans="1:12" hidden="1" outlineLevel="1" collapsed="1" x14ac:dyDescent="0.35">
      <c r="A6972" s="112" t="s">
        <v>4632</v>
      </c>
      <c r="B6972" s="112" t="s">
        <v>863</v>
      </c>
      <c r="C6972" s="112" t="s">
        <v>203</v>
      </c>
      <c r="D6972" s="113">
        <v>10348605</v>
      </c>
      <c r="E6972" s="115">
        <v>43964</v>
      </c>
      <c r="F6972" s="114">
        <v>202101</v>
      </c>
      <c r="G6972" s="112" t="s">
        <v>1091</v>
      </c>
      <c r="H6972" s="112" t="s">
        <v>1016</v>
      </c>
      <c r="I6972" s="112" t="s">
        <v>783</v>
      </c>
      <c r="J6972" s="112" t="s">
        <v>831</v>
      </c>
      <c r="K6972" s="112" t="s">
        <v>5484</v>
      </c>
      <c r="L6972" s="116">
        <v>-223.5</v>
      </c>
    </row>
    <row r="6973" spans="1:12" hidden="1" outlineLevel="1" collapsed="1" x14ac:dyDescent="0.35">
      <c r="A6973" s="112" t="s">
        <v>4632</v>
      </c>
      <c r="B6973" s="112" t="s">
        <v>863</v>
      </c>
      <c r="C6973" s="112" t="s">
        <v>203</v>
      </c>
      <c r="D6973" s="113">
        <v>10348605</v>
      </c>
      <c r="E6973" s="115">
        <v>43964</v>
      </c>
      <c r="F6973" s="114">
        <v>202101</v>
      </c>
      <c r="G6973" s="112" t="s">
        <v>1091</v>
      </c>
      <c r="H6973" s="112" t="s">
        <v>1016</v>
      </c>
      <c r="I6973" s="112" t="s">
        <v>783</v>
      </c>
      <c r="J6973" s="112" t="s">
        <v>833</v>
      </c>
      <c r="K6973" s="112" t="s">
        <v>5485</v>
      </c>
      <c r="L6973" s="116">
        <v>-500</v>
      </c>
    </row>
    <row r="6974" spans="1:12" hidden="1" outlineLevel="1" collapsed="1" x14ac:dyDescent="0.35">
      <c r="A6974" s="112" t="s">
        <v>4632</v>
      </c>
      <c r="B6974" s="112" t="s">
        <v>863</v>
      </c>
      <c r="C6974" s="112" t="s">
        <v>203</v>
      </c>
      <c r="D6974" s="113">
        <v>10348605</v>
      </c>
      <c r="E6974" s="115">
        <v>43964</v>
      </c>
      <c r="F6974" s="114">
        <v>202101</v>
      </c>
      <c r="G6974" s="112" t="s">
        <v>1091</v>
      </c>
      <c r="H6974" s="112" t="s">
        <v>1016</v>
      </c>
      <c r="I6974" s="112" t="s">
        <v>783</v>
      </c>
      <c r="J6974" s="112" t="s">
        <v>838</v>
      </c>
      <c r="K6974" s="112" t="s">
        <v>5486</v>
      </c>
      <c r="L6974" s="116">
        <v>-50</v>
      </c>
    </row>
    <row r="6975" spans="1:12" hidden="1" outlineLevel="1" collapsed="1" x14ac:dyDescent="0.35">
      <c r="A6975" s="112" t="s">
        <v>4632</v>
      </c>
      <c r="B6975" s="112" t="s">
        <v>863</v>
      </c>
      <c r="C6975" s="112" t="s">
        <v>203</v>
      </c>
      <c r="D6975" s="113">
        <v>10348605</v>
      </c>
      <c r="E6975" s="115">
        <v>43964</v>
      </c>
      <c r="F6975" s="114">
        <v>202101</v>
      </c>
      <c r="G6975" s="112" t="s">
        <v>1091</v>
      </c>
      <c r="H6975" s="112" t="s">
        <v>1016</v>
      </c>
      <c r="I6975" s="112" t="s">
        <v>783</v>
      </c>
      <c r="J6975" s="112" t="s">
        <v>840</v>
      </c>
      <c r="K6975" s="112" t="s">
        <v>5487</v>
      </c>
      <c r="L6975" s="116">
        <v>-150</v>
      </c>
    </row>
    <row r="6976" spans="1:12" hidden="1" outlineLevel="1" collapsed="1" x14ac:dyDescent="0.35">
      <c r="A6976" s="112" t="s">
        <v>4632</v>
      </c>
      <c r="B6976" s="112" t="s">
        <v>863</v>
      </c>
      <c r="C6976" s="112" t="s">
        <v>203</v>
      </c>
      <c r="D6976" s="113">
        <v>10348605</v>
      </c>
      <c r="E6976" s="115">
        <v>43964</v>
      </c>
      <c r="F6976" s="114">
        <v>202101</v>
      </c>
      <c r="G6976" s="112" t="s">
        <v>1091</v>
      </c>
      <c r="H6976" s="112" t="s">
        <v>1016</v>
      </c>
      <c r="I6976" s="112" t="s">
        <v>783</v>
      </c>
      <c r="J6976" s="112" t="s">
        <v>842</v>
      </c>
      <c r="K6976" s="112" t="s">
        <v>5488</v>
      </c>
      <c r="L6976" s="116">
        <v>-150</v>
      </c>
    </row>
    <row r="6977" spans="1:12" hidden="1" outlineLevel="1" collapsed="1" x14ac:dyDescent="0.35">
      <c r="A6977" s="112" t="s">
        <v>4632</v>
      </c>
      <c r="B6977" s="112" t="s">
        <v>863</v>
      </c>
      <c r="C6977" s="112" t="s">
        <v>203</v>
      </c>
      <c r="D6977" s="113">
        <v>10348605</v>
      </c>
      <c r="E6977" s="115">
        <v>43964</v>
      </c>
      <c r="F6977" s="114">
        <v>202101</v>
      </c>
      <c r="G6977" s="112" t="s">
        <v>1091</v>
      </c>
      <c r="H6977" s="112" t="s">
        <v>1016</v>
      </c>
      <c r="I6977" s="112" t="s">
        <v>783</v>
      </c>
      <c r="J6977" s="112" t="s">
        <v>844</v>
      </c>
      <c r="K6977" s="112" t="s">
        <v>5489</v>
      </c>
      <c r="L6977" s="116">
        <v>-100</v>
      </c>
    </row>
    <row r="6978" spans="1:12" hidden="1" outlineLevel="1" collapsed="1" x14ac:dyDescent="0.35">
      <c r="A6978" s="112" t="s">
        <v>4632</v>
      </c>
      <c r="B6978" s="112" t="s">
        <v>863</v>
      </c>
      <c r="C6978" s="112" t="s">
        <v>1150</v>
      </c>
      <c r="D6978" s="113">
        <v>10348606</v>
      </c>
      <c r="E6978" s="115">
        <v>43964</v>
      </c>
      <c r="F6978" s="114">
        <v>202101</v>
      </c>
      <c r="G6978" s="112" t="s">
        <v>1091</v>
      </c>
      <c r="H6978" s="112" t="s">
        <v>1016</v>
      </c>
      <c r="I6978" s="112" t="s">
        <v>781</v>
      </c>
      <c r="J6978" s="112" t="s">
        <v>854</v>
      </c>
      <c r="K6978" s="112" t="s">
        <v>4896</v>
      </c>
      <c r="L6978" s="116">
        <v>-28409.759999999998</v>
      </c>
    </row>
    <row r="6979" spans="1:12" hidden="1" outlineLevel="1" collapsed="1" x14ac:dyDescent="0.35">
      <c r="A6979" s="112" t="s">
        <v>4632</v>
      </c>
      <c r="B6979" s="112" t="s">
        <v>863</v>
      </c>
      <c r="C6979" s="112" t="s">
        <v>1150</v>
      </c>
      <c r="D6979" s="113">
        <v>10348606</v>
      </c>
      <c r="E6979" s="115">
        <v>43964</v>
      </c>
      <c r="F6979" s="114">
        <v>202101</v>
      </c>
      <c r="G6979" s="112" t="s">
        <v>1091</v>
      </c>
      <c r="H6979" s="112" t="s">
        <v>1016</v>
      </c>
      <c r="I6979" s="112" t="s">
        <v>781</v>
      </c>
      <c r="J6979" s="112" t="s">
        <v>825</v>
      </c>
      <c r="K6979" s="112" t="s">
        <v>4896</v>
      </c>
      <c r="L6979" s="116">
        <v>-17899.2</v>
      </c>
    </row>
    <row r="6980" spans="1:12" hidden="1" outlineLevel="1" collapsed="1" x14ac:dyDescent="0.35">
      <c r="A6980" s="112" t="s">
        <v>4632</v>
      </c>
      <c r="B6980" s="112" t="s">
        <v>863</v>
      </c>
      <c r="C6980" s="112" t="s">
        <v>1150</v>
      </c>
      <c r="D6980" s="113">
        <v>10348606</v>
      </c>
      <c r="E6980" s="115">
        <v>43964</v>
      </c>
      <c r="F6980" s="114">
        <v>202101</v>
      </c>
      <c r="G6980" s="112" t="s">
        <v>1091</v>
      </c>
      <c r="H6980" s="112" t="s">
        <v>1016</v>
      </c>
      <c r="I6980" s="112" t="s">
        <v>781</v>
      </c>
      <c r="J6980" s="112" t="s">
        <v>835</v>
      </c>
      <c r="K6980" s="112" t="s">
        <v>4896</v>
      </c>
      <c r="L6980" s="116">
        <v>-4538.6400000000003</v>
      </c>
    </row>
    <row r="6981" spans="1:12" hidden="1" outlineLevel="1" collapsed="1" x14ac:dyDescent="0.35">
      <c r="A6981" s="112" t="s">
        <v>4632</v>
      </c>
      <c r="B6981" s="112" t="s">
        <v>863</v>
      </c>
      <c r="C6981" s="112" t="s">
        <v>1150</v>
      </c>
      <c r="D6981" s="113">
        <v>10348606</v>
      </c>
      <c r="E6981" s="115">
        <v>43964</v>
      </c>
      <c r="F6981" s="114">
        <v>202101</v>
      </c>
      <c r="G6981" s="112" t="s">
        <v>1091</v>
      </c>
      <c r="H6981" s="112" t="s">
        <v>1016</v>
      </c>
      <c r="I6981" s="112" t="s">
        <v>781</v>
      </c>
      <c r="J6981" s="112" t="s">
        <v>838</v>
      </c>
      <c r="K6981" s="112" t="s">
        <v>4896</v>
      </c>
      <c r="L6981" s="116">
        <v>-6907.92</v>
      </c>
    </row>
    <row r="6982" spans="1:12" hidden="1" outlineLevel="1" collapsed="1" x14ac:dyDescent="0.35">
      <c r="A6982" s="112" t="s">
        <v>4632</v>
      </c>
      <c r="B6982" s="112" t="s">
        <v>863</v>
      </c>
      <c r="C6982" s="112" t="s">
        <v>1150</v>
      </c>
      <c r="D6982" s="113">
        <v>10348606</v>
      </c>
      <c r="E6982" s="115">
        <v>43964</v>
      </c>
      <c r="F6982" s="114">
        <v>202101</v>
      </c>
      <c r="G6982" s="112" t="s">
        <v>1091</v>
      </c>
      <c r="H6982" s="112" t="s">
        <v>1016</v>
      </c>
      <c r="I6982" s="112" t="s">
        <v>781</v>
      </c>
      <c r="J6982" s="112" t="s">
        <v>840</v>
      </c>
      <c r="K6982" s="112" t="s">
        <v>4896</v>
      </c>
      <c r="L6982" s="116">
        <v>-6036.48</v>
      </c>
    </row>
    <row r="6983" spans="1:12" hidden="1" outlineLevel="1" collapsed="1" x14ac:dyDescent="0.35">
      <c r="A6983" s="112" t="s">
        <v>4632</v>
      </c>
      <c r="B6983" s="112" t="s">
        <v>4639</v>
      </c>
      <c r="C6983" s="112" t="s">
        <v>1511</v>
      </c>
      <c r="D6983" s="113">
        <v>47036656</v>
      </c>
      <c r="E6983" s="115">
        <v>43935</v>
      </c>
      <c r="F6983" s="114">
        <v>202101</v>
      </c>
      <c r="G6983" s="112" t="s">
        <v>1091</v>
      </c>
      <c r="H6983" s="112" t="s">
        <v>1015</v>
      </c>
      <c r="I6983" s="112" t="s">
        <v>751</v>
      </c>
      <c r="J6983" s="112" t="s">
        <v>4640</v>
      </c>
      <c r="K6983" s="112" t="s">
        <v>5490</v>
      </c>
      <c r="L6983" s="116">
        <v>2577.23</v>
      </c>
    </row>
    <row r="6984" spans="1:12" hidden="1" outlineLevel="1" collapsed="1" x14ac:dyDescent="0.35">
      <c r="A6984" s="112" t="s">
        <v>4632</v>
      </c>
      <c r="B6984" s="112" t="s">
        <v>863</v>
      </c>
      <c r="C6984" s="112" t="s">
        <v>1150</v>
      </c>
      <c r="D6984" s="113">
        <v>10348606</v>
      </c>
      <c r="E6984" s="115">
        <v>43964</v>
      </c>
      <c r="F6984" s="114">
        <v>202101</v>
      </c>
      <c r="G6984" s="112" t="s">
        <v>1091</v>
      </c>
      <c r="H6984" s="112" t="s">
        <v>1016</v>
      </c>
      <c r="I6984" s="112" t="s">
        <v>781</v>
      </c>
      <c r="J6984" s="112" t="s">
        <v>852</v>
      </c>
      <c r="K6984" s="112" t="s">
        <v>4896</v>
      </c>
      <c r="L6984" s="116">
        <v>-17650.080000000002</v>
      </c>
    </row>
    <row r="6985" spans="1:12" hidden="1" outlineLevel="1" collapsed="1" x14ac:dyDescent="0.35">
      <c r="A6985" s="112" t="s">
        <v>4632</v>
      </c>
      <c r="B6985" s="112" t="s">
        <v>863</v>
      </c>
      <c r="C6985" s="112" t="s">
        <v>679</v>
      </c>
      <c r="D6985" s="113">
        <v>10348241</v>
      </c>
      <c r="E6985" s="115">
        <v>43936</v>
      </c>
      <c r="F6985" s="114">
        <v>202101</v>
      </c>
      <c r="G6985" s="112" t="s">
        <v>1091</v>
      </c>
      <c r="H6985" s="112" t="s">
        <v>1016</v>
      </c>
      <c r="I6985" s="112" t="s">
        <v>781</v>
      </c>
      <c r="J6985" s="112" t="s">
        <v>854</v>
      </c>
      <c r="K6985" s="112" t="s">
        <v>5491</v>
      </c>
      <c r="L6985" s="116">
        <v>-338.5</v>
      </c>
    </row>
    <row r="6986" spans="1:12" hidden="1" outlineLevel="1" collapsed="1" x14ac:dyDescent="0.35">
      <c r="A6986" s="112" t="s">
        <v>4632</v>
      </c>
      <c r="B6986" s="112" t="s">
        <v>4688</v>
      </c>
      <c r="C6986" s="112" t="s">
        <v>4695</v>
      </c>
      <c r="D6986" s="113">
        <v>30440426</v>
      </c>
      <c r="E6986" s="115">
        <v>43936</v>
      </c>
      <c r="F6986" s="114">
        <v>202101</v>
      </c>
      <c r="G6986" s="112" t="s">
        <v>1091</v>
      </c>
      <c r="H6986" s="112" t="s">
        <v>1016</v>
      </c>
      <c r="I6986" s="112" t="s">
        <v>4689</v>
      </c>
      <c r="J6986" s="112" t="s">
        <v>4690</v>
      </c>
      <c r="K6986" s="112" t="s">
        <v>5492</v>
      </c>
      <c r="L6986" s="116">
        <v>54</v>
      </c>
    </row>
    <row r="6987" spans="1:12" hidden="1" outlineLevel="1" collapsed="1" x14ac:dyDescent="0.35">
      <c r="A6987" s="112" t="s">
        <v>4632</v>
      </c>
      <c r="B6987" s="112" t="s">
        <v>4688</v>
      </c>
      <c r="C6987" s="112" t="s">
        <v>679</v>
      </c>
      <c r="D6987" s="113">
        <v>10348241</v>
      </c>
      <c r="E6987" s="115">
        <v>43936</v>
      </c>
      <c r="F6987" s="114">
        <v>202101</v>
      </c>
      <c r="G6987" s="112" t="s">
        <v>1091</v>
      </c>
      <c r="H6987" s="112" t="s">
        <v>1016</v>
      </c>
      <c r="I6987" s="112" t="s">
        <v>4689</v>
      </c>
      <c r="J6987" s="112" t="s">
        <v>4690</v>
      </c>
      <c r="K6987" s="112" t="s">
        <v>5493</v>
      </c>
      <c r="L6987" s="116">
        <v>-54</v>
      </c>
    </row>
    <row r="6988" spans="1:12" hidden="1" outlineLevel="1" collapsed="1" x14ac:dyDescent="0.35">
      <c r="A6988" s="112" t="s">
        <v>4632</v>
      </c>
      <c r="B6988" s="112" t="s">
        <v>4688</v>
      </c>
      <c r="C6988" s="112" t="s">
        <v>679</v>
      </c>
      <c r="D6988" s="113">
        <v>10348241</v>
      </c>
      <c r="E6988" s="115">
        <v>43936</v>
      </c>
      <c r="F6988" s="114">
        <v>202101</v>
      </c>
      <c r="G6988" s="112" t="s">
        <v>1091</v>
      </c>
      <c r="H6988" s="112" t="s">
        <v>1016</v>
      </c>
      <c r="I6988" s="112" t="s">
        <v>4689</v>
      </c>
      <c r="J6988" s="112" t="s">
        <v>4690</v>
      </c>
      <c r="K6988" s="112" t="s">
        <v>5494</v>
      </c>
      <c r="L6988" s="116">
        <v>-54</v>
      </c>
    </row>
    <row r="6989" spans="1:12" hidden="1" outlineLevel="1" collapsed="1" x14ac:dyDescent="0.35">
      <c r="A6989" s="112" t="s">
        <v>4632</v>
      </c>
      <c r="B6989" s="112" t="s">
        <v>4688</v>
      </c>
      <c r="C6989" s="112" t="s">
        <v>679</v>
      </c>
      <c r="D6989" s="113">
        <v>10348241</v>
      </c>
      <c r="E6989" s="115">
        <v>43936</v>
      </c>
      <c r="F6989" s="114">
        <v>202101</v>
      </c>
      <c r="G6989" s="112" t="s">
        <v>1091</v>
      </c>
      <c r="H6989" s="112" t="s">
        <v>1016</v>
      </c>
      <c r="I6989" s="112" t="s">
        <v>4689</v>
      </c>
      <c r="J6989" s="112" t="s">
        <v>4690</v>
      </c>
      <c r="K6989" s="112" t="s">
        <v>5495</v>
      </c>
      <c r="L6989" s="116">
        <v>-54</v>
      </c>
    </row>
    <row r="6990" spans="1:12" hidden="1" outlineLevel="1" collapsed="1" x14ac:dyDescent="0.35">
      <c r="A6990" s="112" t="s">
        <v>4632</v>
      </c>
      <c r="B6990" s="112" t="s">
        <v>4688</v>
      </c>
      <c r="C6990" s="112" t="s">
        <v>679</v>
      </c>
      <c r="D6990" s="113">
        <v>10348241</v>
      </c>
      <c r="E6990" s="115">
        <v>43936</v>
      </c>
      <c r="F6990" s="114">
        <v>202101</v>
      </c>
      <c r="G6990" s="112" t="s">
        <v>1091</v>
      </c>
      <c r="H6990" s="112" t="s">
        <v>1016</v>
      </c>
      <c r="I6990" s="112" t="s">
        <v>4689</v>
      </c>
      <c r="J6990" s="112" t="s">
        <v>4690</v>
      </c>
      <c r="K6990" s="112" t="s">
        <v>5496</v>
      </c>
      <c r="L6990" s="116">
        <v>-54</v>
      </c>
    </row>
    <row r="6991" spans="1:12" hidden="1" outlineLevel="1" collapsed="1" x14ac:dyDescent="0.35">
      <c r="A6991" s="112" t="s">
        <v>4632</v>
      </c>
      <c r="B6991" s="112" t="s">
        <v>4688</v>
      </c>
      <c r="C6991" s="112" t="s">
        <v>679</v>
      </c>
      <c r="D6991" s="113">
        <v>10348241</v>
      </c>
      <c r="E6991" s="115">
        <v>43936</v>
      </c>
      <c r="F6991" s="114">
        <v>202101</v>
      </c>
      <c r="G6991" s="112" t="s">
        <v>1091</v>
      </c>
      <c r="H6991" s="112" t="s">
        <v>1016</v>
      </c>
      <c r="I6991" s="112" t="s">
        <v>4689</v>
      </c>
      <c r="J6991" s="112" t="s">
        <v>4690</v>
      </c>
      <c r="K6991" s="112" t="s">
        <v>5492</v>
      </c>
      <c r="L6991" s="116">
        <v>-54</v>
      </c>
    </row>
    <row r="6992" spans="1:12" hidden="1" outlineLevel="1" collapsed="1" x14ac:dyDescent="0.35">
      <c r="A6992" s="112" t="s">
        <v>4632</v>
      </c>
      <c r="B6992" s="112" t="s">
        <v>4644</v>
      </c>
      <c r="C6992" s="112" t="s">
        <v>1511</v>
      </c>
      <c r="D6992" s="113">
        <v>47036651</v>
      </c>
      <c r="E6992" s="115">
        <v>43935</v>
      </c>
      <c r="F6992" s="114">
        <v>202101</v>
      </c>
      <c r="G6992" s="112" t="s">
        <v>1091</v>
      </c>
      <c r="H6992" s="112" t="s">
        <v>1015</v>
      </c>
      <c r="I6992" s="112" t="s">
        <v>751</v>
      </c>
      <c r="J6992" s="112" t="s">
        <v>4645</v>
      </c>
      <c r="K6992" s="112" t="s">
        <v>5497</v>
      </c>
      <c r="L6992" s="116">
        <v>347.15</v>
      </c>
    </row>
    <row r="6993" spans="1:12" hidden="1" outlineLevel="1" collapsed="1" x14ac:dyDescent="0.35">
      <c r="A6993" s="112" t="s">
        <v>4632</v>
      </c>
      <c r="B6993" s="112" t="s">
        <v>4688</v>
      </c>
      <c r="C6993" s="112" t="s">
        <v>4695</v>
      </c>
      <c r="D6993" s="113">
        <v>30440426</v>
      </c>
      <c r="E6993" s="115">
        <v>43936</v>
      </c>
      <c r="F6993" s="114">
        <v>202101</v>
      </c>
      <c r="G6993" s="112" t="s">
        <v>1091</v>
      </c>
      <c r="H6993" s="112" t="s">
        <v>1016</v>
      </c>
      <c r="I6993" s="112" t="s">
        <v>4689</v>
      </c>
      <c r="J6993" s="112" t="s">
        <v>4690</v>
      </c>
      <c r="K6993" s="112" t="s">
        <v>5493</v>
      </c>
      <c r="L6993" s="116">
        <v>54</v>
      </c>
    </row>
    <row r="6994" spans="1:12" hidden="1" outlineLevel="1" collapsed="1" x14ac:dyDescent="0.35">
      <c r="A6994" s="112" t="s">
        <v>4632</v>
      </c>
      <c r="B6994" s="112" t="s">
        <v>4639</v>
      </c>
      <c r="C6994" s="112" t="s">
        <v>1511</v>
      </c>
      <c r="D6994" s="113">
        <v>47036659</v>
      </c>
      <c r="E6994" s="115">
        <v>43935</v>
      </c>
      <c r="F6994" s="114">
        <v>202101</v>
      </c>
      <c r="G6994" s="112" t="s">
        <v>1091</v>
      </c>
      <c r="H6994" s="112" t="s">
        <v>1015</v>
      </c>
      <c r="I6994" s="112" t="s">
        <v>751</v>
      </c>
      <c r="J6994" s="112" t="s">
        <v>4640</v>
      </c>
      <c r="K6994" s="112" t="s">
        <v>5498</v>
      </c>
      <c r="L6994" s="116">
        <v>519.24</v>
      </c>
    </row>
    <row r="6995" spans="1:12" hidden="1" outlineLevel="1" collapsed="1" x14ac:dyDescent="0.35">
      <c r="A6995" s="112" t="s">
        <v>4632</v>
      </c>
      <c r="B6995" s="112" t="s">
        <v>4688</v>
      </c>
      <c r="C6995" s="112" t="s">
        <v>4695</v>
      </c>
      <c r="D6995" s="113">
        <v>30440426</v>
      </c>
      <c r="E6995" s="115">
        <v>43936</v>
      </c>
      <c r="F6995" s="114">
        <v>202101</v>
      </c>
      <c r="G6995" s="112" t="s">
        <v>1091</v>
      </c>
      <c r="H6995" s="112" t="s">
        <v>1016</v>
      </c>
      <c r="I6995" s="112" t="s">
        <v>4689</v>
      </c>
      <c r="J6995" s="112" t="s">
        <v>4690</v>
      </c>
      <c r="K6995" s="112" t="s">
        <v>5494</v>
      </c>
      <c r="L6995" s="116">
        <v>54</v>
      </c>
    </row>
    <row r="6996" spans="1:12" hidden="1" outlineLevel="1" collapsed="1" x14ac:dyDescent="0.35">
      <c r="A6996" s="112" t="s">
        <v>4632</v>
      </c>
      <c r="B6996" s="112" t="s">
        <v>4688</v>
      </c>
      <c r="C6996" s="112" t="s">
        <v>4695</v>
      </c>
      <c r="D6996" s="113">
        <v>30440426</v>
      </c>
      <c r="E6996" s="115">
        <v>43936</v>
      </c>
      <c r="F6996" s="114">
        <v>202101</v>
      </c>
      <c r="G6996" s="112" t="s">
        <v>1091</v>
      </c>
      <c r="H6996" s="112" t="s">
        <v>1016</v>
      </c>
      <c r="I6996" s="112" t="s">
        <v>4689</v>
      </c>
      <c r="J6996" s="112" t="s">
        <v>4690</v>
      </c>
      <c r="K6996" s="112" t="s">
        <v>5495</v>
      </c>
      <c r="L6996" s="116">
        <v>54</v>
      </c>
    </row>
    <row r="6997" spans="1:12" hidden="1" outlineLevel="1" collapsed="1" x14ac:dyDescent="0.35">
      <c r="A6997" s="112" t="s">
        <v>4632</v>
      </c>
      <c r="B6997" s="112" t="s">
        <v>4644</v>
      </c>
      <c r="C6997" s="112" t="s">
        <v>1511</v>
      </c>
      <c r="D6997" s="113">
        <v>47036601</v>
      </c>
      <c r="E6997" s="115">
        <v>43930</v>
      </c>
      <c r="F6997" s="114">
        <v>202101</v>
      </c>
      <c r="G6997" s="112" t="s">
        <v>1091</v>
      </c>
      <c r="H6997" s="112" t="s">
        <v>1015</v>
      </c>
      <c r="I6997" s="112" t="s">
        <v>751</v>
      </c>
      <c r="J6997" s="112" t="s">
        <v>4645</v>
      </c>
      <c r="K6997" s="112" t="s">
        <v>5499</v>
      </c>
      <c r="L6997" s="116">
        <v>237.7</v>
      </c>
    </row>
    <row r="6998" spans="1:12" hidden="1" outlineLevel="1" collapsed="1" x14ac:dyDescent="0.35">
      <c r="A6998" s="112" t="s">
        <v>4632</v>
      </c>
      <c r="B6998" s="112" t="s">
        <v>4644</v>
      </c>
      <c r="C6998" s="112" t="s">
        <v>1511</v>
      </c>
      <c r="D6998" s="113">
        <v>47036605</v>
      </c>
      <c r="E6998" s="115">
        <v>43930</v>
      </c>
      <c r="F6998" s="114">
        <v>202101</v>
      </c>
      <c r="G6998" s="112" t="s">
        <v>1091</v>
      </c>
      <c r="H6998" s="112" t="s">
        <v>1015</v>
      </c>
      <c r="I6998" s="112" t="s">
        <v>751</v>
      </c>
      <c r="J6998" s="112" t="s">
        <v>4645</v>
      </c>
      <c r="K6998" s="112" t="s">
        <v>5500</v>
      </c>
      <c r="L6998" s="116">
        <v>546.91999999999996</v>
      </c>
    </row>
    <row r="6999" spans="1:12" hidden="1" outlineLevel="1" collapsed="1" x14ac:dyDescent="0.35">
      <c r="A6999" s="112" t="s">
        <v>4632</v>
      </c>
      <c r="B6999" s="112" t="s">
        <v>4644</v>
      </c>
      <c r="C6999" s="112" t="s">
        <v>1511</v>
      </c>
      <c r="D6999" s="113">
        <v>47036616</v>
      </c>
      <c r="E6999" s="115">
        <v>43930</v>
      </c>
      <c r="F6999" s="114">
        <v>202101</v>
      </c>
      <c r="G6999" s="112" t="s">
        <v>1091</v>
      </c>
      <c r="H6999" s="112" t="s">
        <v>1015</v>
      </c>
      <c r="I6999" s="112" t="s">
        <v>751</v>
      </c>
      <c r="J6999" s="112" t="s">
        <v>4645</v>
      </c>
      <c r="K6999" s="112" t="s">
        <v>5501</v>
      </c>
      <c r="L6999" s="116">
        <v>153.72999999999999</v>
      </c>
    </row>
    <row r="7000" spans="1:12" hidden="1" outlineLevel="1" collapsed="1" x14ac:dyDescent="0.35">
      <c r="A7000" s="112" t="s">
        <v>4632</v>
      </c>
      <c r="B7000" s="112" t="s">
        <v>863</v>
      </c>
      <c r="C7000" s="112" t="s">
        <v>1150</v>
      </c>
      <c r="D7000" s="113">
        <v>10348606</v>
      </c>
      <c r="E7000" s="115">
        <v>43964</v>
      </c>
      <c r="F7000" s="114">
        <v>202101</v>
      </c>
      <c r="G7000" s="112" t="s">
        <v>1091</v>
      </c>
      <c r="H7000" s="112" t="s">
        <v>1016</v>
      </c>
      <c r="I7000" s="112" t="s">
        <v>781</v>
      </c>
      <c r="J7000" s="112" t="s">
        <v>858</v>
      </c>
      <c r="K7000" s="112" t="s">
        <v>4896</v>
      </c>
      <c r="L7000" s="116">
        <v>-1469.04</v>
      </c>
    </row>
    <row r="7001" spans="1:12" hidden="1" outlineLevel="1" collapsed="1" x14ac:dyDescent="0.35">
      <c r="A7001" s="112" t="s">
        <v>4632</v>
      </c>
      <c r="B7001" s="112" t="s">
        <v>4688</v>
      </c>
      <c r="C7001" s="112" t="s">
        <v>4695</v>
      </c>
      <c r="D7001" s="113">
        <v>30440426</v>
      </c>
      <c r="E7001" s="115">
        <v>43936</v>
      </c>
      <c r="F7001" s="114">
        <v>202101</v>
      </c>
      <c r="G7001" s="112" t="s">
        <v>1091</v>
      </c>
      <c r="H7001" s="112" t="s">
        <v>1016</v>
      </c>
      <c r="I7001" s="112" t="s">
        <v>4689</v>
      </c>
      <c r="J7001" s="112" t="s">
        <v>4690</v>
      </c>
      <c r="K7001" s="112" t="s">
        <v>5496</v>
      </c>
      <c r="L7001" s="116">
        <v>54</v>
      </c>
    </row>
    <row r="7002" spans="1:12" hidden="1" outlineLevel="1" collapsed="1" x14ac:dyDescent="0.35">
      <c r="A7002" s="112" t="s">
        <v>4632</v>
      </c>
      <c r="B7002" s="112" t="s">
        <v>4650</v>
      </c>
      <c r="C7002" s="112" t="s">
        <v>1511</v>
      </c>
      <c r="D7002" s="113">
        <v>47036667</v>
      </c>
      <c r="E7002" s="115">
        <v>43936</v>
      </c>
      <c r="F7002" s="114">
        <v>202101</v>
      </c>
      <c r="G7002" s="112" t="s">
        <v>1091</v>
      </c>
      <c r="H7002" s="112" t="s">
        <v>1015</v>
      </c>
      <c r="I7002" s="112" t="s">
        <v>749</v>
      </c>
      <c r="J7002" s="112" t="s">
        <v>4651</v>
      </c>
      <c r="K7002" s="112" t="s">
        <v>5502</v>
      </c>
      <c r="L7002" s="116">
        <v>42.16</v>
      </c>
    </row>
    <row r="7003" spans="1:12" hidden="1" outlineLevel="1" collapsed="1" x14ac:dyDescent="0.35">
      <c r="A7003" s="112" t="s">
        <v>4632</v>
      </c>
      <c r="B7003" s="112" t="s">
        <v>4650</v>
      </c>
      <c r="C7003" s="112" t="s">
        <v>1511</v>
      </c>
      <c r="D7003" s="113">
        <v>47036668</v>
      </c>
      <c r="E7003" s="115">
        <v>43936</v>
      </c>
      <c r="F7003" s="114">
        <v>202101</v>
      </c>
      <c r="G7003" s="112" t="s">
        <v>1091</v>
      </c>
      <c r="H7003" s="112" t="s">
        <v>1015</v>
      </c>
      <c r="I7003" s="112" t="s">
        <v>749</v>
      </c>
      <c r="J7003" s="112" t="s">
        <v>4651</v>
      </c>
      <c r="K7003" s="112" t="s">
        <v>5502</v>
      </c>
      <c r="L7003" s="116">
        <v>-460.41</v>
      </c>
    </row>
    <row r="7004" spans="1:12" hidden="1" outlineLevel="1" collapsed="1" x14ac:dyDescent="0.35">
      <c r="A7004" s="112" t="s">
        <v>4632</v>
      </c>
      <c r="B7004" s="112" t="s">
        <v>4650</v>
      </c>
      <c r="C7004" s="112" t="s">
        <v>679</v>
      </c>
      <c r="D7004" s="113">
        <v>10348411</v>
      </c>
      <c r="E7004" s="115">
        <v>43943</v>
      </c>
      <c r="F7004" s="114">
        <v>202101</v>
      </c>
      <c r="G7004" s="112" t="s">
        <v>1091</v>
      </c>
      <c r="H7004" s="112" t="s">
        <v>1015</v>
      </c>
      <c r="I7004" s="112" t="s">
        <v>736</v>
      </c>
      <c r="J7004" s="112" t="s">
        <v>4651</v>
      </c>
      <c r="K7004" s="112" t="s">
        <v>5503</v>
      </c>
      <c r="L7004" s="116">
        <v>636.23</v>
      </c>
    </row>
    <row r="7005" spans="1:12" hidden="1" outlineLevel="1" collapsed="1" x14ac:dyDescent="0.35">
      <c r="A7005" s="112" t="s">
        <v>4632</v>
      </c>
      <c r="B7005" s="112" t="s">
        <v>863</v>
      </c>
      <c r="C7005" s="112" t="s">
        <v>679</v>
      </c>
      <c r="D7005" s="113">
        <v>10348411</v>
      </c>
      <c r="E7005" s="115">
        <v>43943</v>
      </c>
      <c r="F7005" s="114">
        <v>202101</v>
      </c>
      <c r="G7005" s="112" t="s">
        <v>1091</v>
      </c>
      <c r="H7005" s="112" t="s">
        <v>1015</v>
      </c>
      <c r="I7005" s="112" t="s">
        <v>736</v>
      </c>
      <c r="J7005" s="112" t="s">
        <v>815</v>
      </c>
      <c r="K7005" s="112" t="s">
        <v>5441</v>
      </c>
      <c r="L7005" s="116">
        <v>84976</v>
      </c>
    </row>
    <row r="7006" spans="1:12" hidden="1" outlineLevel="1" collapsed="1" x14ac:dyDescent="0.35">
      <c r="A7006" s="112" t="s">
        <v>4632</v>
      </c>
      <c r="B7006" s="112" t="s">
        <v>4688</v>
      </c>
      <c r="C7006" s="112" t="s">
        <v>679</v>
      </c>
      <c r="D7006" s="113">
        <v>10347933</v>
      </c>
      <c r="E7006" s="115">
        <v>43922</v>
      </c>
      <c r="F7006" s="114">
        <v>202101</v>
      </c>
      <c r="G7006" s="112" t="s">
        <v>1091</v>
      </c>
      <c r="H7006" s="112" t="s">
        <v>1016</v>
      </c>
      <c r="I7006" s="112" t="s">
        <v>4689</v>
      </c>
      <c r="J7006" s="112" t="s">
        <v>4690</v>
      </c>
      <c r="K7006" s="112" t="s">
        <v>5036</v>
      </c>
      <c r="L7006" s="116">
        <v>-54</v>
      </c>
    </row>
    <row r="7007" spans="1:12" hidden="1" outlineLevel="1" collapsed="1" x14ac:dyDescent="0.35">
      <c r="A7007" s="112" t="s">
        <v>4632</v>
      </c>
      <c r="B7007" s="112" t="s">
        <v>4644</v>
      </c>
      <c r="C7007" s="112" t="s">
        <v>1511</v>
      </c>
      <c r="D7007" s="113">
        <v>47036617</v>
      </c>
      <c r="E7007" s="115">
        <v>43930</v>
      </c>
      <c r="F7007" s="114">
        <v>202101</v>
      </c>
      <c r="G7007" s="112" t="s">
        <v>1091</v>
      </c>
      <c r="H7007" s="112" t="s">
        <v>1015</v>
      </c>
      <c r="I7007" s="112" t="s">
        <v>751</v>
      </c>
      <c r="J7007" s="112" t="s">
        <v>4645</v>
      </c>
      <c r="K7007" s="112" t="s">
        <v>5501</v>
      </c>
      <c r="L7007" s="116">
        <v>-155.32</v>
      </c>
    </row>
    <row r="7008" spans="1:12" hidden="1" outlineLevel="1" collapsed="1" x14ac:dyDescent="0.35">
      <c r="A7008" s="112" t="s">
        <v>4632</v>
      </c>
      <c r="B7008" s="112" t="s">
        <v>4688</v>
      </c>
      <c r="C7008" s="112" t="s">
        <v>679</v>
      </c>
      <c r="D7008" s="113">
        <v>10347933</v>
      </c>
      <c r="E7008" s="115">
        <v>43922</v>
      </c>
      <c r="F7008" s="114">
        <v>202101</v>
      </c>
      <c r="G7008" s="112" t="s">
        <v>1091</v>
      </c>
      <c r="H7008" s="112" t="s">
        <v>1016</v>
      </c>
      <c r="I7008" s="112" t="s">
        <v>4689</v>
      </c>
      <c r="J7008" s="112" t="s">
        <v>4690</v>
      </c>
      <c r="K7008" s="112" t="s">
        <v>5035</v>
      </c>
      <c r="L7008" s="116">
        <v>-54</v>
      </c>
    </row>
    <row r="7009" spans="1:12" hidden="1" outlineLevel="1" collapsed="1" x14ac:dyDescent="0.35">
      <c r="A7009" s="112" t="s">
        <v>4632</v>
      </c>
      <c r="B7009" s="112" t="s">
        <v>4644</v>
      </c>
      <c r="C7009" s="112" t="s">
        <v>1099</v>
      </c>
      <c r="D7009" s="113">
        <v>1069532</v>
      </c>
      <c r="E7009" s="115">
        <v>43936</v>
      </c>
      <c r="F7009" s="114">
        <v>202101</v>
      </c>
      <c r="G7009" s="112" t="s">
        <v>1091</v>
      </c>
      <c r="H7009" s="112" t="s">
        <v>1015</v>
      </c>
      <c r="I7009" s="112" t="s">
        <v>740</v>
      </c>
      <c r="J7009" s="112" t="s">
        <v>4645</v>
      </c>
      <c r="K7009" s="112" t="s">
        <v>5504</v>
      </c>
      <c r="L7009" s="116">
        <v>267641.58</v>
      </c>
    </row>
    <row r="7010" spans="1:12" hidden="1" outlineLevel="1" collapsed="1" x14ac:dyDescent="0.35">
      <c r="A7010" s="112" t="s">
        <v>4632</v>
      </c>
      <c r="B7010" s="112" t="s">
        <v>4644</v>
      </c>
      <c r="C7010" s="112" t="s">
        <v>1511</v>
      </c>
      <c r="D7010" s="113">
        <v>47036966</v>
      </c>
      <c r="E7010" s="115">
        <v>43915</v>
      </c>
      <c r="F7010" s="114">
        <v>202101</v>
      </c>
      <c r="G7010" s="112" t="s">
        <v>1091</v>
      </c>
      <c r="H7010" s="112" t="s">
        <v>1015</v>
      </c>
      <c r="I7010" s="112" t="s">
        <v>757</v>
      </c>
      <c r="J7010" s="112" t="s">
        <v>4645</v>
      </c>
      <c r="K7010" s="112" t="s">
        <v>5505</v>
      </c>
      <c r="L7010" s="116">
        <v>597.23</v>
      </c>
    </row>
    <row r="7011" spans="1:12" hidden="1" outlineLevel="1" collapsed="1" x14ac:dyDescent="0.35">
      <c r="A7011" s="112" t="s">
        <v>4632</v>
      </c>
      <c r="B7011" s="112" t="s">
        <v>4644</v>
      </c>
      <c r="C7011" s="112" t="s">
        <v>1511</v>
      </c>
      <c r="D7011" s="113">
        <v>47036627</v>
      </c>
      <c r="E7011" s="115">
        <v>43930</v>
      </c>
      <c r="F7011" s="114">
        <v>202101</v>
      </c>
      <c r="G7011" s="112" t="s">
        <v>1091</v>
      </c>
      <c r="H7011" s="112" t="s">
        <v>1015</v>
      </c>
      <c r="I7011" s="112" t="s">
        <v>751</v>
      </c>
      <c r="J7011" s="112" t="s">
        <v>4645</v>
      </c>
      <c r="K7011" s="112" t="s">
        <v>5506</v>
      </c>
      <c r="L7011" s="116">
        <v>70.62</v>
      </c>
    </row>
    <row r="7012" spans="1:12" hidden="1" outlineLevel="1" collapsed="1" x14ac:dyDescent="0.35">
      <c r="A7012" s="112" t="s">
        <v>4632</v>
      </c>
      <c r="B7012" s="112" t="s">
        <v>863</v>
      </c>
      <c r="C7012" s="112" t="s">
        <v>679</v>
      </c>
      <c r="D7012" s="113">
        <v>10348411</v>
      </c>
      <c r="E7012" s="115">
        <v>43943</v>
      </c>
      <c r="F7012" s="114">
        <v>202101</v>
      </c>
      <c r="G7012" s="112" t="s">
        <v>1091</v>
      </c>
      <c r="H7012" s="112" t="s">
        <v>1015</v>
      </c>
      <c r="I7012" s="112" t="s">
        <v>736</v>
      </c>
      <c r="J7012" s="112" t="s">
        <v>829</v>
      </c>
      <c r="K7012" s="112" t="s">
        <v>5507</v>
      </c>
      <c r="L7012" s="116">
        <v>29696</v>
      </c>
    </row>
    <row r="7013" spans="1:12" hidden="1" outlineLevel="1" collapsed="1" x14ac:dyDescent="0.35">
      <c r="A7013" s="112" t="s">
        <v>4632</v>
      </c>
      <c r="B7013" s="112" t="s">
        <v>4688</v>
      </c>
      <c r="C7013" s="112" t="s">
        <v>4695</v>
      </c>
      <c r="D7013" s="113">
        <v>30440708</v>
      </c>
      <c r="E7013" s="115">
        <v>43948</v>
      </c>
      <c r="F7013" s="114">
        <v>202101</v>
      </c>
      <c r="G7013" s="112" t="s">
        <v>1091</v>
      </c>
      <c r="H7013" s="112" t="s">
        <v>1016</v>
      </c>
      <c r="I7013" s="112" t="s">
        <v>4689</v>
      </c>
      <c r="J7013" s="112" t="s">
        <v>4690</v>
      </c>
      <c r="K7013" s="112" t="s">
        <v>5508</v>
      </c>
      <c r="L7013" s="116">
        <v>54</v>
      </c>
    </row>
    <row r="7014" spans="1:12" hidden="1" outlineLevel="1" collapsed="1" x14ac:dyDescent="0.35">
      <c r="A7014" s="112" t="s">
        <v>4632</v>
      </c>
      <c r="B7014" s="112" t="s">
        <v>4688</v>
      </c>
      <c r="C7014" s="112" t="s">
        <v>679</v>
      </c>
      <c r="D7014" s="113">
        <v>10347933</v>
      </c>
      <c r="E7014" s="115">
        <v>43922</v>
      </c>
      <c r="F7014" s="114">
        <v>202101</v>
      </c>
      <c r="G7014" s="112" t="s">
        <v>1091</v>
      </c>
      <c r="H7014" s="112" t="s">
        <v>1016</v>
      </c>
      <c r="I7014" s="112" t="s">
        <v>4689</v>
      </c>
      <c r="J7014" s="112" t="s">
        <v>4690</v>
      </c>
      <c r="K7014" s="112" t="s">
        <v>5509</v>
      </c>
      <c r="L7014" s="116">
        <v>-54</v>
      </c>
    </row>
    <row r="7015" spans="1:12" hidden="1" outlineLevel="1" collapsed="1" x14ac:dyDescent="0.35">
      <c r="A7015" s="112" t="s">
        <v>4632</v>
      </c>
      <c r="B7015" s="112" t="s">
        <v>4688</v>
      </c>
      <c r="C7015" s="112" t="s">
        <v>679</v>
      </c>
      <c r="D7015" s="113">
        <v>10348476</v>
      </c>
      <c r="E7015" s="115">
        <v>43948</v>
      </c>
      <c r="F7015" s="114">
        <v>202101</v>
      </c>
      <c r="G7015" s="112" t="s">
        <v>1091</v>
      </c>
      <c r="H7015" s="112" t="s">
        <v>1016</v>
      </c>
      <c r="I7015" s="112" t="s">
        <v>4689</v>
      </c>
      <c r="J7015" s="112" t="s">
        <v>4690</v>
      </c>
      <c r="K7015" s="112" t="s">
        <v>5510</v>
      </c>
      <c r="L7015" s="116">
        <v>-102</v>
      </c>
    </row>
    <row r="7016" spans="1:12" hidden="1" outlineLevel="1" collapsed="1" x14ac:dyDescent="0.35">
      <c r="A7016" s="112" t="s">
        <v>4632</v>
      </c>
      <c r="B7016" s="112" t="s">
        <v>4688</v>
      </c>
      <c r="C7016" s="112" t="s">
        <v>679</v>
      </c>
      <c r="D7016" s="113">
        <v>10348476</v>
      </c>
      <c r="E7016" s="115">
        <v>43948</v>
      </c>
      <c r="F7016" s="114">
        <v>202101</v>
      </c>
      <c r="G7016" s="112" t="s">
        <v>1091</v>
      </c>
      <c r="H7016" s="112" t="s">
        <v>1016</v>
      </c>
      <c r="I7016" s="112" t="s">
        <v>4689</v>
      </c>
      <c r="J7016" s="112" t="s">
        <v>4690</v>
      </c>
      <c r="K7016" s="112" t="s">
        <v>5511</v>
      </c>
      <c r="L7016" s="116">
        <v>-54</v>
      </c>
    </row>
    <row r="7017" spans="1:12" hidden="1" outlineLevel="1" collapsed="1" x14ac:dyDescent="0.35">
      <c r="A7017" s="112" t="s">
        <v>4632</v>
      </c>
      <c r="B7017" s="112" t="s">
        <v>4688</v>
      </c>
      <c r="C7017" s="112" t="s">
        <v>4695</v>
      </c>
      <c r="D7017" s="113">
        <v>30440708</v>
      </c>
      <c r="E7017" s="115">
        <v>43948</v>
      </c>
      <c r="F7017" s="114">
        <v>202101</v>
      </c>
      <c r="G7017" s="112" t="s">
        <v>1091</v>
      </c>
      <c r="H7017" s="112" t="s">
        <v>1016</v>
      </c>
      <c r="I7017" s="112" t="s">
        <v>4689</v>
      </c>
      <c r="J7017" s="112" t="s">
        <v>4690</v>
      </c>
      <c r="K7017" s="112" t="s">
        <v>5512</v>
      </c>
      <c r="L7017" s="116">
        <v>54</v>
      </c>
    </row>
    <row r="7018" spans="1:12" hidden="1" outlineLevel="1" collapsed="1" x14ac:dyDescent="0.35">
      <c r="A7018" s="112" t="s">
        <v>4632</v>
      </c>
      <c r="B7018" s="112" t="s">
        <v>4688</v>
      </c>
      <c r="C7018" s="112" t="s">
        <v>4695</v>
      </c>
      <c r="D7018" s="113">
        <v>30440708</v>
      </c>
      <c r="E7018" s="115">
        <v>43948</v>
      </c>
      <c r="F7018" s="114">
        <v>202101</v>
      </c>
      <c r="G7018" s="112" t="s">
        <v>1091</v>
      </c>
      <c r="H7018" s="112" t="s">
        <v>1016</v>
      </c>
      <c r="I7018" s="112" t="s">
        <v>4689</v>
      </c>
      <c r="J7018" s="112" t="s">
        <v>4690</v>
      </c>
      <c r="K7018" s="112" t="s">
        <v>5513</v>
      </c>
      <c r="L7018" s="116">
        <v>54</v>
      </c>
    </row>
    <row r="7019" spans="1:12" hidden="1" outlineLevel="1" collapsed="1" x14ac:dyDescent="0.35">
      <c r="A7019" s="112" t="s">
        <v>4632</v>
      </c>
      <c r="B7019" s="112" t="s">
        <v>863</v>
      </c>
      <c r="C7019" s="112" t="s">
        <v>695</v>
      </c>
      <c r="D7019" s="113">
        <v>10347981</v>
      </c>
      <c r="E7019" s="115">
        <v>43924</v>
      </c>
      <c r="F7019" s="114">
        <v>202101</v>
      </c>
      <c r="G7019" s="112" t="s">
        <v>1091</v>
      </c>
      <c r="H7019" s="112" t="s">
        <v>1015</v>
      </c>
      <c r="I7019" s="112" t="s">
        <v>1182</v>
      </c>
      <c r="J7019" s="112" t="s">
        <v>808</v>
      </c>
      <c r="K7019" s="112" t="s">
        <v>5514</v>
      </c>
      <c r="L7019" s="116">
        <v>-2000</v>
      </c>
    </row>
    <row r="7020" spans="1:12" hidden="1" outlineLevel="1" collapsed="1" x14ac:dyDescent="0.35">
      <c r="A7020" s="112" t="s">
        <v>4632</v>
      </c>
      <c r="B7020" s="112" t="s">
        <v>4688</v>
      </c>
      <c r="C7020" s="112" t="s">
        <v>4695</v>
      </c>
      <c r="D7020" s="113">
        <v>30440708</v>
      </c>
      <c r="E7020" s="115">
        <v>43948</v>
      </c>
      <c r="F7020" s="114">
        <v>202101</v>
      </c>
      <c r="G7020" s="112" t="s">
        <v>1091</v>
      </c>
      <c r="H7020" s="112" t="s">
        <v>1016</v>
      </c>
      <c r="I7020" s="112" t="s">
        <v>4689</v>
      </c>
      <c r="J7020" s="112" t="s">
        <v>4690</v>
      </c>
      <c r="K7020" s="112" t="s">
        <v>5515</v>
      </c>
      <c r="L7020" s="116">
        <v>54</v>
      </c>
    </row>
    <row r="7021" spans="1:12" hidden="1" outlineLevel="1" collapsed="1" x14ac:dyDescent="0.35">
      <c r="A7021" s="112" t="s">
        <v>4632</v>
      </c>
      <c r="B7021" s="112" t="s">
        <v>4688</v>
      </c>
      <c r="C7021" s="112" t="s">
        <v>4695</v>
      </c>
      <c r="D7021" s="113">
        <v>30440708</v>
      </c>
      <c r="E7021" s="115">
        <v>43948</v>
      </c>
      <c r="F7021" s="114">
        <v>202101</v>
      </c>
      <c r="G7021" s="112" t="s">
        <v>1091</v>
      </c>
      <c r="H7021" s="112" t="s">
        <v>1016</v>
      </c>
      <c r="I7021" s="112" t="s">
        <v>4689</v>
      </c>
      <c r="J7021" s="112" t="s">
        <v>4690</v>
      </c>
      <c r="K7021" s="112" t="s">
        <v>5516</v>
      </c>
      <c r="L7021" s="116">
        <v>54</v>
      </c>
    </row>
    <row r="7022" spans="1:12" hidden="1" outlineLevel="1" collapsed="1" x14ac:dyDescent="0.35">
      <c r="A7022" s="112" t="s">
        <v>4632</v>
      </c>
      <c r="B7022" s="112" t="s">
        <v>4688</v>
      </c>
      <c r="C7022" s="112" t="s">
        <v>4695</v>
      </c>
      <c r="D7022" s="113">
        <v>30440708</v>
      </c>
      <c r="E7022" s="115">
        <v>43948</v>
      </c>
      <c r="F7022" s="114">
        <v>202101</v>
      </c>
      <c r="G7022" s="112" t="s">
        <v>1091</v>
      </c>
      <c r="H7022" s="112" t="s">
        <v>1016</v>
      </c>
      <c r="I7022" s="112" t="s">
        <v>4689</v>
      </c>
      <c r="J7022" s="112" t="s">
        <v>4690</v>
      </c>
      <c r="K7022" s="112" t="s">
        <v>5517</v>
      </c>
      <c r="L7022" s="116">
        <v>54</v>
      </c>
    </row>
    <row r="7023" spans="1:12" hidden="1" outlineLevel="1" collapsed="1" x14ac:dyDescent="0.35">
      <c r="A7023" s="112" t="s">
        <v>4632</v>
      </c>
      <c r="B7023" s="112" t="s">
        <v>863</v>
      </c>
      <c r="C7023" s="112" t="s">
        <v>695</v>
      </c>
      <c r="D7023" s="113">
        <v>10347981</v>
      </c>
      <c r="E7023" s="115">
        <v>43924</v>
      </c>
      <c r="F7023" s="114">
        <v>202101</v>
      </c>
      <c r="G7023" s="112" t="s">
        <v>1091</v>
      </c>
      <c r="H7023" s="112" t="s">
        <v>1015</v>
      </c>
      <c r="I7023" s="112" t="s">
        <v>740</v>
      </c>
      <c r="J7023" s="112" t="s">
        <v>742</v>
      </c>
      <c r="K7023" s="112" t="s">
        <v>5518</v>
      </c>
      <c r="L7023" s="116">
        <v>-164771.75</v>
      </c>
    </row>
    <row r="7024" spans="1:12" hidden="1" outlineLevel="1" collapsed="1" x14ac:dyDescent="0.35">
      <c r="A7024" s="112" t="s">
        <v>4632</v>
      </c>
      <c r="B7024" s="112" t="s">
        <v>863</v>
      </c>
      <c r="C7024" s="112" t="s">
        <v>695</v>
      </c>
      <c r="D7024" s="113">
        <v>10347981</v>
      </c>
      <c r="E7024" s="115">
        <v>43924</v>
      </c>
      <c r="F7024" s="114">
        <v>202101</v>
      </c>
      <c r="G7024" s="112" t="s">
        <v>1091</v>
      </c>
      <c r="H7024" s="112" t="s">
        <v>1015</v>
      </c>
      <c r="I7024" s="112" t="s">
        <v>767</v>
      </c>
      <c r="J7024" s="112" t="s">
        <v>787</v>
      </c>
      <c r="K7024" s="112" t="s">
        <v>5519</v>
      </c>
      <c r="L7024" s="116">
        <v>-26.25</v>
      </c>
    </row>
    <row r="7025" spans="1:12" hidden="1" outlineLevel="1" collapsed="1" x14ac:dyDescent="0.35">
      <c r="A7025" s="112" t="s">
        <v>4632</v>
      </c>
      <c r="B7025" s="112" t="s">
        <v>863</v>
      </c>
      <c r="C7025" s="112" t="s">
        <v>1219</v>
      </c>
      <c r="D7025" s="113">
        <v>46308027</v>
      </c>
      <c r="E7025" s="115">
        <v>43950</v>
      </c>
      <c r="F7025" s="114">
        <v>202101</v>
      </c>
      <c r="G7025" s="112" t="s">
        <v>1091</v>
      </c>
      <c r="H7025" s="112" t="s">
        <v>1016</v>
      </c>
      <c r="I7025" s="112" t="s">
        <v>781</v>
      </c>
      <c r="J7025" s="112" t="s">
        <v>856</v>
      </c>
      <c r="K7025" s="112" t="s">
        <v>5520</v>
      </c>
      <c r="L7025" s="116">
        <v>125</v>
      </c>
    </row>
    <row r="7026" spans="1:12" hidden="1" outlineLevel="1" collapsed="1" x14ac:dyDescent="0.35">
      <c r="A7026" s="112" t="s">
        <v>4632</v>
      </c>
      <c r="B7026" s="112" t="s">
        <v>863</v>
      </c>
      <c r="C7026" s="112" t="s">
        <v>1219</v>
      </c>
      <c r="D7026" s="113">
        <v>46308028</v>
      </c>
      <c r="E7026" s="115">
        <v>43950</v>
      </c>
      <c r="F7026" s="114">
        <v>202101</v>
      </c>
      <c r="G7026" s="112" t="s">
        <v>1091</v>
      </c>
      <c r="H7026" s="112" t="s">
        <v>1016</v>
      </c>
      <c r="I7026" s="112" t="s">
        <v>781</v>
      </c>
      <c r="J7026" s="112" t="s">
        <v>856</v>
      </c>
      <c r="K7026" s="112" t="s">
        <v>5521</v>
      </c>
      <c r="L7026" s="116">
        <v>25</v>
      </c>
    </row>
    <row r="7027" spans="1:12" hidden="1" outlineLevel="1" collapsed="1" x14ac:dyDescent="0.35">
      <c r="A7027" s="112" t="s">
        <v>4632</v>
      </c>
      <c r="B7027" s="112" t="s">
        <v>863</v>
      </c>
      <c r="C7027" s="112" t="s">
        <v>1219</v>
      </c>
      <c r="D7027" s="113">
        <v>46308029</v>
      </c>
      <c r="E7027" s="115">
        <v>43950</v>
      </c>
      <c r="F7027" s="114">
        <v>202101</v>
      </c>
      <c r="G7027" s="112" t="s">
        <v>1091</v>
      </c>
      <c r="H7027" s="112" t="s">
        <v>1016</v>
      </c>
      <c r="I7027" s="112" t="s">
        <v>781</v>
      </c>
      <c r="J7027" s="112" t="s">
        <v>854</v>
      </c>
      <c r="K7027" s="112" t="s">
        <v>5522</v>
      </c>
      <c r="L7027" s="116">
        <v>25</v>
      </c>
    </row>
    <row r="7028" spans="1:12" hidden="1" outlineLevel="1" collapsed="1" x14ac:dyDescent="0.35">
      <c r="A7028" s="112" t="s">
        <v>4632</v>
      </c>
      <c r="B7028" s="112" t="s">
        <v>4650</v>
      </c>
      <c r="C7028" s="112" t="s">
        <v>695</v>
      </c>
      <c r="D7028" s="113">
        <v>10348085</v>
      </c>
      <c r="E7028" s="115">
        <v>43923</v>
      </c>
      <c r="F7028" s="114">
        <v>202101</v>
      </c>
      <c r="G7028" s="112" t="s">
        <v>1091</v>
      </c>
      <c r="H7028" s="112" t="s">
        <v>1015</v>
      </c>
      <c r="I7028" s="112" t="s">
        <v>749</v>
      </c>
      <c r="J7028" s="112" t="s">
        <v>4651</v>
      </c>
      <c r="K7028" s="112" t="s">
        <v>4662</v>
      </c>
      <c r="L7028" s="116">
        <v>-1465.21</v>
      </c>
    </row>
    <row r="7029" spans="1:12" hidden="1" outlineLevel="1" collapsed="1" x14ac:dyDescent="0.35">
      <c r="A7029" s="112" t="s">
        <v>4632</v>
      </c>
      <c r="B7029" s="112" t="s">
        <v>4644</v>
      </c>
      <c r="C7029" s="112" t="s">
        <v>1511</v>
      </c>
      <c r="D7029" s="113">
        <v>47036976</v>
      </c>
      <c r="E7029" s="115">
        <v>43915</v>
      </c>
      <c r="F7029" s="114">
        <v>202101</v>
      </c>
      <c r="G7029" s="112" t="s">
        <v>1091</v>
      </c>
      <c r="H7029" s="112" t="s">
        <v>1015</v>
      </c>
      <c r="I7029" s="112" t="s">
        <v>757</v>
      </c>
      <c r="J7029" s="112" t="s">
        <v>4645</v>
      </c>
      <c r="K7029" s="112" t="s">
        <v>5523</v>
      </c>
      <c r="L7029" s="116">
        <v>-194.03</v>
      </c>
    </row>
    <row r="7030" spans="1:12" hidden="1" outlineLevel="1" collapsed="1" x14ac:dyDescent="0.35">
      <c r="A7030" s="112" t="s">
        <v>4632</v>
      </c>
      <c r="B7030" s="112" t="s">
        <v>4688</v>
      </c>
      <c r="C7030" s="112" t="s">
        <v>679</v>
      </c>
      <c r="D7030" s="113">
        <v>10348532</v>
      </c>
      <c r="E7030" s="115">
        <v>43950</v>
      </c>
      <c r="F7030" s="114">
        <v>202101</v>
      </c>
      <c r="G7030" s="112" t="s">
        <v>1091</v>
      </c>
      <c r="H7030" s="112" t="s">
        <v>1016</v>
      </c>
      <c r="I7030" s="112" t="s">
        <v>4689</v>
      </c>
      <c r="J7030" s="112" t="s">
        <v>4690</v>
      </c>
      <c r="K7030" s="112" t="s">
        <v>5524</v>
      </c>
      <c r="L7030" s="116">
        <v>-54</v>
      </c>
    </row>
    <row r="7031" spans="1:12" hidden="1" outlineLevel="1" collapsed="1" x14ac:dyDescent="0.35">
      <c r="A7031" s="112" t="s">
        <v>4632</v>
      </c>
      <c r="B7031" s="112" t="s">
        <v>4644</v>
      </c>
      <c r="C7031" s="112" t="s">
        <v>1511</v>
      </c>
      <c r="D7031" s="113">
        <v>47036977</v>
      </c>
      <c r="E7031" s="115">
        <v>43915</v>
      </c>
      <c r="F7031" s="114">
        <v>202101</v>
      </c>
      <c r="G7031" s="112" t="s">
        <v>1091</v>
      </c>
      <c r="H7031" s="112" t="s">
        <v>1015</v>
      </c>
      <c r="I7031" s="112" t="s">
        <v>757</v>
      </c>
      <c r="J7031" s="112" t="s">
        <v>4645</v>
      </c>
      <c r="K7031" s="112" t="s">
        <v>5525</v>
      </c>
      <c r="L7031" s="116">
        <v>-561.25</v>
      </c>
    </row>
    <row r="7032" spans="1:12" hidden="1" outlineLevel="1" collapsed="1" x14ac:dyDescent="0.35">
      <c r="A7032" s="112" t="s">
        <v>4632</v>
      </c>
      <c r="B7032" s="112" t="s">
        <v>4644</v>
      </c>
      <c r="C7032" s="112" t="s">
        <v>1511</v>
      </c>
      <c r="D7032" s="113">
        <v>47036979</v>
      </c>
      <c r="E7032" s="115">
        <v>43915</v>
      </c>
      <c r="F7032" s="114">
        <v>202101</v>
      </c>
      <c r="G7032" s="112" t="s">
        <v>1091</v>
      </c>
      <c r="H7032" s="112" t="s">
        <v>1015</v>
      </c>
      <c r="I7032" s="112" t="s">
        <v>757</v>
      </c>
      <c r="J7032" s="112" t="s">
        <v>4645</v>
      </c>
      <c r="K7032" s="112" t="s">
        <v>5526</v>
      </c>
      <c r="L7032" s="116">
        <v>33.79</v>
      </c>
    </row>
    <row r="7033" spans="1:12" hidden="1" outlineLevel="1" collapsed="1" x14ac:dyDescent="0.35">
      <c r="A7033" s="112" t="s">
        <v>4632</v>
      </c>
      <c r="B7033" s="112" t="s">
        <v>4644</v>
      </c>
      <c r="C7033" s="112" t="s">
        <v>1511</v>
      </c>
      <c r="D7033" s="113">
        <v>47036983</v>
      </c>
      <c r="E7033" s="115">
        <v>43915</v>
      </c>
      <c r="F7033" s="114">
        <v>202101</v>
      </c>
      <c r="G7033" s="112" t="s">
        <v>1091</v>
      </c>
      <c r="H7033" s="112" t="s">
        <v>1015</v>
      </c>
      <c r="I7033" s="112" t="s">
        <v>757</v>
      </c>
      <c r="J7033" s="112" t="s">
        <v>4645</v>
      </c>
      <c r="K7033" s="112" t="s">
        <v>5527</v>
      </c>
      <c r="L7033" s="116">
        <v>155.21</v>
      </c>
    </row>
    <row r="7034" spans="1:12" hidden="1" outlineLevel="1" collapsed="1" x14ac:dyDescent="0.35">
      <c r="A7034" s="112" t="s">
        <v>4632</v>
      </c>
      <c r="B7034" s="112" t="s">
        <v>863</v>
      </c>
      <c r="C7034" s="112" t="s">
        <v>679</v>
      </c>
      <c r="D7034" s="113">
        <v>10348411</v>
      </c>
      <c r="E7034" s="115">
        <v>43943</v>
      </c>
      <c r="F7034" s="114">
        <v>202101</v>
      </c>
      <c r="G7034" s="112" t="s">
        <v>1091</v>
      </c>
      <c r="H7034" s="112" t="s">
        <v>1015</v>
      </c>
      <c r="I7034" s="112" t="s">
        <v>736</v>
      </c>
      <c r="J7034" s="112" t="s">
        <v>808</v>
      </c>
      <c r="K7034" s="112" t="s">
        <v>5528</v>
      </c>
      <c r="L7034" s="116">
        <v>22080.75</v>
      </c>
    </row>
    <row r="7035" spans="1:12" hidden="1" outlineLevel="1" collapsed="1" x14ac:dyDescent="0.35">
      <c r="A7035" s="112" t="s">
        <v>4632</v>
      </c>
      <c r="B7035" s="112" t="s">
        <v>4644</v>
      </c>
      <c r="C7035" s="112" t="s">
        <v>1511</v>
      </c>
      <c r="D7035" s="113">
        <v>47036984</v>
      </c>
      <c r="E7035" s="115">
        <v>43915</v>
      </c>
      <c r="F7035" s="114">
        <v>202101</v>
      </c>
      <c r="G7035" s="112" t="s">
        <v>1091</v>
      </c>
      <c r="H7035" s="112" t="s">
        <v>1015</v>
      </c>
      <c r="I7035" s="112" t="s">
        <v>757</v>
      </c>
      <c r="J7035" s="112" t="s">
        <v>4645</v>
      </c>
      <c r="K7035" s="112" t="s">
        <v>5529</v>
      </c>
      <c r="L7035" s="116">
        <v>4388.3100000000004</v>
      </c>
    </row>
    <row r="7036" spans="1:12" hidden="1" outlineLevel="1" collapsed="1" x14ac:dyDescent="0.35">
      <c r="A7036" s="112" t="s">
        <v>4632</v>
      </c>
      <c r="B7036" s="112" t="s">
        <v>4644</v>
      </c>
      <c r="C7036" s="112" t="s">
        <v>1511</v>
      </c>
      <c r="D7036" s="113">
        <v>47036985</v>
      </c>
      <c r="E7036" s="115">
        <v>43915</v>
      </c>
      <c r="F7036" s="114">
        <v>202101</v>
      </c>
      <c r="G7036" s="112" t="s">
        <v>1091</v>
      </c>
      <c r="H7036" s="112" t="s">
        <v>1015</v>
      </c>
      <c r="I7036" s="112" t="s">
        <v>757</v>
      </c>
      <c r="J7036" s="112" t="s">
        <v>4645</v>
      </c>
      <c r="K7036" s="112" t="s">
        <v>5530</v>
      </c>
      <c r="L7036" s="116">
        <v>29.76</v>
      </c>
    </row>
    <row r="7037" spans="1:12" hidden="1" outlineLevel="1" collapsed="1" x14ac:dyDescent="0.35">
      <c r="A7037" s="112" t="s">
        <v>4632</v>
      </c>
      <c r="B7037" s="112" t="s">
        <v>4688</v>
      </c>
      <c r="C7037" s="112" t="s">
        <v>679</v>
      </c>
      <c r="D7037" s="113">
        <v>10348476</v>
      </c>
      <c r="E7037" s="115">
        <v>43948</v>
      </c>
      <c r="F7037" s="114">
        <v>202101</v>
      </c>
      <c r="G7037" s="112" t="s">
        <v>1091</v>
      </c>
      <c r="H7037" s="112" t="s">
        <v>1016</v>
      </c>
      <c r="I7037" s="112" t="s">
        <v>4689</v>
      </c>
      <c r="J7037" s="112" t="s">
        <v>4690</v>
      </c>
      <c r="K7037" s="112" t="s">
        <v>5531</v>
      </c>
      <c r="L7037" s="116">
        <v>-54</v>
      </c>
    </row>
    <row r="7038" spans="1:12" hidden="1" outlineLevel="1" collapsed="1" x14ac:dyDescent="0.35">
      <c r="A7038" s="112" t="s">
        <v>4632</v>
      </c>
      <c r="B7038" s="112" t="s">
        <v>4688</v>
      </c>
      <c r="C7038" s="112" t="s">
        <v>679</v>
      </c>
      <c r="D7038" s="113">
        <v>10348532</v>
      </c>
      <c r="E7038" s="115">
        <v>43950</v>
      </c>
      <c r="F7038" s="114">
        <v>202101</v>
      </c>
      <c r="G7038" s="112" t="s">
        <v>1091</v>
      </c>
      <c r="H7038" s="112" t="s">
        <v>1016</v>
      </c>
      <c r="I7038" s="112" t="s">
        <v>4689</v>
      </c>
      <c r="J7038" s="112" t="s">
        <v>4690</v>
      </c>
      <c r="K7038" s="112" t="s">
        <v>5532</v>
      </c>
      <c r="L7038" s="116">
        <v>-54</v>
      </c>
    </row>
    <row r="7039" spans="1:12" hidden="1" outlineLevel="1" collapsed="1" x14ac:dyDescent="0.35">
      <c r="A7039" s="112" t="s">
        <v>4632</v>
      </c>
      <c r="B7039" s="112" t="s">
        <v>4688</v>
      </c>
      <c r="C7039" s="112" t="s">
        <v>679</v>
      </c>
      <c r="D7039" s="113">
        <v>10348532</v>
      </c>
      <c r="E7039" s="115">
        <v>43950</v>
      </c>
      <c r="F7039" s="114">
        <v>202101</v>
      </c>
      <c r="G7039" s="112" t="s">
        <v>1091</v>
      </c>
      <c r="H7039" s="112" t="s">
        <v>1016</v>
      </c>
      <c r="I7039" s="112" t="s">
        <v>4689</v>
      </c>
      <c r="J7039" s="112" t="s">
        <v>4690</v>
      </c>
      <c r="K7039" s="112" t="s">
        <v>4934</v>
      </c>
      <c r="L7039" s="116">
        <v>-52</v>
      </c>
    </row>
    <row r="7040" spans="1:12" hidden="1" outlineLevel="1" collapsed="1" x14ac:dyDescent="0.35">
      <c r="A7040" s="112" t="s">
        <v>4632</v>
      </c>
      <c r="B7040" s="112" t="s">
        <v>4688</v>
      </c>
      <c r="C7040" s="112" t="s">
        <v>679</v>
      </c>
      <c r="D7040" s="113">
        <v>10348532</v>
      </c>
      <c r="E7040" s="115">
        <v>43950</v>
      </c>
      <c r="F7040" s="114">
        <v>202101</v>
      </c>
      <c r="G7040" s="112" t="s">
        <v>1091</v>
      </c>
      <c r="H7040" s="112" t="s">
        <v>1016</v>
      </c>
      <c r="I7040" s="112" t="s">
        <v>4689</v>
      </c>
      <c r="J7040" s="112" t="s">
        <v>4690</v>
      </c>
      <c r="K7040" s="112" t="s">
        <v>4931</v>
      </c>
      <c r="L7040" s="116">
        <v>-54</v>
      </c>
    </row>
    <row r="7041" spans="1:12" hidden="1" outlineLevel="1" collapsed="1" x14ac:dyDescent="0.35">
      <c r="A7041" s="112" t="s">
        <v>4632</v>
      </c>
      <c r="B7041" s="112" t="s">
        <v>4688</v>
      </c>
      <c r="C7041" s="112" t="s">
        <v>679</v>
      </c>
      <c r="D7041" s="113">
        <v>10348532</v>
      </c>
      <c r="E7041" s="115">
        <v>43950</v>
      </c>
      <c r="F7041" s="114">
        <v>202101</v>
      </c>
      <c r="G7041" s="112" t="s">
        <v>1091</v>
      </c>
      <c r="H7041" s="112" t="s">
        <v>1016</v>
      </c>
      <c r="I7041" s="112" t="s">
        <v>4689</v>
      </c>
      <c r="J7041" s="112" t="s">
        <v>4690</v>
      </c>
      <c r="K7041" s="112" t="s">
        <v>4930</v>
      </c>
      <c r="L7041" s="116">
        <v>-54</v>
      </c>
    </row>
    <row r="7042" spans="1:12" hidden="1" outlineLevel="1" collapsed="1" x14ac:dyDescent="0.35">
      <c r="A7042" s="112" t="s">
        <v>4632</v>
      </c>
      <c r="B7042" s="112" t="s">
        <v>4688</v>
      </c>
      <c r="C7042" s="112" t="s">
        <v>4695</v>
      </c>
      <c r="D7042" s="113">
        <v>30440783</v>
      </c>
      <c r="E7042" s="115">
        <v>43950</v>
      </c>
      <c r="F7042" s="114">
        <v>202101</v>
      </c>
      <c r="G7042" s="112" t="s">
        <v>1091</v>
      </c>
      <c r="H7042" s="112" t="s">
        <v>1016</v>
      </c>
      <c r="I7042" s="112" t="s">
        <v>4689</v>
      </c>
      <c r="J7042" s="112" t="s">
        <v>4690</v>
      </c>
      <c r="K7042" s="112" t="s">
        <v>5532</v>
      </c>
      <c r="L7042" s="116">
        <v>54</v>
      </c>
    </row>
    <row r="7043" spans="1:12" hidden="1" outlineLevel="1" collapsed="1" x14ac:dyDescent="0.35">
      <c r="A7043" s="112" t="s">
        <v>4632</v>
      </c>
      <c r="B7043" s="112" t="s">
        <v>4688</v>
      </c>
      <c r="C7043" s="112" t="s">
        <v>4695</v>
      </c>
      <c r="D7043" s="113">
        <v>30440783</v>
      </c>
      <c r="E7043" s="115">
        <v>43950</v>
      </c>
      <c r="F7043" s="114">
        <v>202101</v>
      </c>
      <c r="G7043" s="112" t="s">
        <v>1091</v>
      </c>
      <c r="H7043" s="112" t="s">
        <v>1016</v>
      </c>
      <c r="I7043" s="112" t="s">
        <v>4689</v>
      </c>
      <c r="J7043" s="112" t="s">
        <v>4690</v>
      </c>
      <c r="K7043" s="112" t="s">
        <v>5533</v>
      </c>
      <c r="L7043" s="116">
        <v>54</v>
      </c>
    </row>
    <row r="7044" spans="1:12" hidden="1" outlineLevel="1" collapsed="1" x14ac:dyDescent="0.35">
      <c r="A7044" s="112" t="s">
        <v>4632</v>
      </c>
      <c r="B7044" s="112" t="s">
        <v>4688</v>
      </c>
      <c r="C7044" s="112" t="s">
        <v>4695</v>
      </c>
      <c r="D7044" s="113">
        <v>30440783</v>
      </c>
      <c r="E7044" s="115">
        <v>43950</v>
      </c>
      <c r="F7044" s="114">
        <v>202101</v>
      </c>
      <c r="G7044" s="112" t="s">
        <v>1091</v>
      </c>
      <c r="H7044" s="112" t="s">
        <v>1016</v>
      </c>
      <c r="I7044" s="112" t="s">
        <v>4689</v>
      </c>
      <c r="J7044" s="112" t="s">
        <v>4690</v>
      </c>
      <c r="K7044" s="112" t="s">
        <v>5534</v>
      </c>
      <c r="L7044" s="116">
        <v>54</v>
      </c>
    </row>
    <row r="7045" spans="1:12" hidden="1" outlineLevel="1" collapsed="1" x14ac:dyDescent="0.35">
      <c r="A7045" s="112" t="s">
        <v>4632</v>
      </c>
      <c r="B7045" s="112" t="s">
        <v>4644</v>
      </c>
      <c r="C7045" s="112" t="s">
        <v>1511</v>
      </c>
      <c r="D7045" s="113">
        <v>47036986</v>
      </c>
      <c r="E7045" s="115">
        <v>43915</v>
      </c>
      <c r="F7045" s="114">
        <v>202101</v>
      </c>
      <c r="G7045" s="112" t="s">
        <v>1091</v>
      </c>
      <c r="H7045" s="112" t="s">
        <v>1015</v>
      </c>
      <c r="I7045" s="112" t="s">
        <v>757</v>
      </c>
      <c r="J7045" s="112" t="s">
        <v>4645</v>
      </c>
      <c r="K7045" s="112" t="s">
        <v>5535</v>
      </c>
      <c r="L7045" s="116">
        <v>191.19</v>
      </c>
    </row>
    <row r="7046" spans="1:12" hidden="1" outlineLevel="1" collapsed="1" x14ac:dyDescent="0.35">
      <c r="A7046" s="112" t="s">
        <v>4632</v>
      </c>
      <c r="B7046" s="112" t="s">
        <v>4644</v>
      </c>
      <c r="C7046" s="112" t="s">
        <v>1511</v>
      </c>
      <c r="D7046" s="113">
        <v>47036987</v>
      </c>
      <c r="E7046" s="115">
        <v>43915</v>
      </c>
      <c r="F7046" s="114">
        <v>202101</v>
      </c>
      <c r="G7046" s="112" t="s">
        <v>1091</v>
      </c>
      <c r="H7046" s="112" t="s">
        <v>1015</v>
      </c>
      <c r="I7046" s="112" t="s">
        <v>757</v>
      </c>
      <c r="J7046" s="112" t="s">
        <v>4645</v>
      </c>
      <c r="K7046" s="112" t="s">
        <v>5536</v>
      </c>
      <c r="L7046" s="116">
        <v>172.71</v>
      </c>
    </row>
    <row r="7047" spans="1:12" hidden="1" outlineLevel="1" collapsed="1" x14ac:dyDescent="0.35">
      <c r="A7047" s="112" t="s">
        <v>4632</v>
      </c>
      <c r="B7047" s="112" t="s">
        <v>4644</v>
      </c>
      <c r="C7047" s="112" t="s">
        <v>1511</v>
      </c>
      <c r="D7047" s="113">
        <v>47036988</v>
      </c>
      <c r="E7047" s="115">
        <v>43915</v>
      </c>
      <c r="F7047" s="114">
        <v>202101</v>
      </c>
      <c r="G7047" s="112" t="s">
        <v>1091</v>
      </c>
      <c r="H7047" s="112" t="s">
        <v>1015</v>
      </c>
      <c r="I7047" s="112" t="s">
        <v>757</v>
      </c>
      <c r="J7047" s="112" t="s">
        <v>4645</v>
      </c>
      <c r="K7047" s="112" t="s">
        <v>5537</v>
      </c>
      <c r="L7047" s="116">
        <v>76.12</v>
      </c>
    </row>
    <row r="7048" spans="1:12" hidden="1" outlineLevel="1" collapsed="1" x14ac:dyDescent="0.35">
      <c r="A7048" s="112" t="s">
        <v>4632</v>
      </c>
      <c r="B7048" s="112" t="s">
        <v>4644</v>
      </c>
      <c r="C7048" s="112" t="s">
        <v>1511</v>
      </c>
      <c r="D7048" s="113">
        <v>47036630</v>
      </c>
      <c r="E7048" s="115">
        <v>43930</v>
      </c>
      <c r="F7048" s="114">
        <v>202101</v>
      </c>
      <c r="G7048" s="112" t="s">
        <v>1091</v>
      </c>
      <c r="H7048" s="112" t="s">
        <v>1015</v>
      </c>
      <c r="I7048" s="112" t="s">
        <v>751</v>
      </c>
      <c r="J7048" s="112" t="s">
        <v>4645</v>
      </c>
      <c r="K7048" s="112" t="s">
        <v>5538</v>
      </c>
      <c r="L7048" s="116">
        <v>70.62</v>
      </c>
    </row>
    <row r="7049" spans="1:12" hidden="1" outlineLevel="1" collapsed="1" x14ac:dyDescent="0.35">
      <c r="A7049" s="112" t="s">
        <v>4632</v>
      </c>
      <c r="B7049" s="112" t="s">
        <v>4688</v>
      </c>
      <c r="C7049" s="112" t="s">
        <v>679</v>
      </c>
      <c r="D7049" s="113">
        <v>10348476</v>
      </c>
      <c r="E7049" s="115">
        <v>43948</v>
      </c>
      <c r="F7049" s="114">
        <v>202101</v>
      </c>
      <c r="G7049" s="112" t="s">
        <v>1091</v>
      </c>
      <c r="H7049" s="112" t="s">
        <v>1016</v>
      </c>
      <c r="I7049" s="112" t="s">
        <v>4689</v>
      </c>
      <c r="J7049" s="112" t="s">
        <v>4690</v>
      </c>
      <c r="K7049" s="112" t="s">
        <v>5539</v>
      </c>
      <c r="L7049" s="116">
        <v>-54</v>
      </c>
    </row>
    <row r="7050" spans="1:12" hidden="1" outlineLevel="1" collapsed="1" x14ac:dyDescent="0.35">
      <c r="A7050" s="112" t="s">
        <v>4632</v>
      </c>
      <c r="B7050" s="112" t="s">
        <v>4688</v>
      </c>
      <c r="C7050" s="112" t="s">
        <v>679</v>
      </c>
      <c r="D7050" s="113">
        <v>10348532</v>
      </c>
      <c r="E7050" s="115">
        <v>43950</v>
      </c>
      <c r="F7050" s="114">
        <v>202101</v>
      </c>
      <c r="G7050" s="112" t="s">
        <v>1091</v>
      </c>
      <c r="H7050" s="112" t="s">
        <v>1016</v>
      </c>
      <c r="I7050" s="112" t="s">
        <v>4689</v>
      </c>
      <c r="J7050" s="112" t="s">
        <v>4690</v>
      </c>
      <c r="K7050" s="112" t="s">
        <v>5533</v>
      </c>
      <c r="L7050" s="116">
        <v>-54</v>
      </c>
    </row>
    <row r="7051" spans="1:12" hidden="1" outlineLevel="1" collapsed="1" x14ac:dyDescent="0.35">
      <c r="A7051" s="112" t="s">
        <v>4632</v>
      </c>
      <c r="B7051" s="112" t="s">
        <v>4688</v>
      </c>
      <c r="C7051" s="112" t="s">
        <v>679</v>
      </c>
      <c r="D7051" s="113">
        <v>10348532</v>
      </c>
      <c r="E7051" s="115">
        <v>43950</v>
      </c>
      <c r="F7051" s="114">
        <v>202101</v>
      </c>
      <c r="G7051" s="112" t="s">
        <v>1091</v>
      </c>
      <c r="H7051" s="112" t="s">
        <v>1016</v>
      </c>
      <c r="I7051" s="112" t="s">
        <v>4689</v>
      </c>
      <c r="J7051" s="112" t="s">
        <v>4690</v>
      </c>
      <c r="K7051" s="112" t="s">
        <v>5534</v>
      </c>
      <c r="L7051" s="116">
        <v>-54</v>
      </c>
    </row>
    <row r="7052" spans="1:12" hidden="1" outlineLevel="1" collapsed="1" x14ac:dyDescent="0.35">
      <c r="A7052" s="112" t="s">
        <v>4632</v>
      </c>
      <c r="B7052" s="112" t="s">
        <v>4688</v>
      </c>
      <c r="C7052" s="112" t="s">
        <v>679</v>
      </c>
      <c r="D7052" s="113">
        <v>10348532</v>
      </c>
      <c r="E7052" s="115">
        <v>43950</v>
      </c>
      <c r="F7052" s="114">
        <v>202101</v>
      </c>
      <c r="G7052" s="112" t="s">
        <v>1091</v>
      </c>
      <c r="H7052" s="112" t="s">
        <v>1016</v>
      </c>
      <c r="I7052" s="112" t="s">
        <v>4689</v>
      </c>
      <c r="J7052" s="112" t="s">
        <v>4690</v>
      </c>
      <c r="K7052" s="112" t="s">
        <v>5540</v>
      </c>
      <c r="L7052" s="116">
        <v>-54</v>
      </c>
    </row>
    <row r="7053" spans="1:12" hidden="1" outlineLevel="1" collapsed="1" x14ac:dyDescent="0.35">
      <c r="A7053" s="112" t="s">
        <v>4632</v>
      </c>
      <c r="B7053" s="112" t="s">
        <v>4644</v>
      </c>
      <c r="C7053" s="112" t="s">
        <v>1511</v>
      </c>
      <c r="D7053" s="113">
        <v>47036631</v>
      </c>
      <c r="E7053" s="115">
        <v>43930</v>
      </c>
      <c r="F7053" s="114">
        <v>202101</v>
      </c>
      <c r="G7053" s="112" t="s">
        <v>1091</v>
      </c>
      <c r="H7053" s="112" t="s">
        <v>1015</v>
      </c>
      <c r="I7053" s="112" t="s">
        <v>751</v>
      </c>
      <c r="J7053" s="112" t="s">
        <v>4645</v>
      </c>
      <c r="K7053" s="112" t="s">
        <v>5538</v>
      </c>
      <c r="L7053" s="116">
        <v>-640.48</v>
      </c>
    </row>
    <row r="7054" spans="1:12" hidden="1" outlineLevel="1" collapsed="1" x14ac:dyDescent="0.35">
      <c r="A7054" s="112" t="s">
        <v>4632</v>
      </c>
      <c r="B7054" s="112" t="s">
        <v>4688</v>
      </c>
      <c r="C7054" s="112" t="s">
        <v>679</v>
      </c>
      <c r="D7054" s="113">
        <v>10348532</v>
      </c>
      <c r="E7054" s="115">
        <v>43950</v>
      </c>
      <c r="F7054" s="114">
        <v>202101</v>
      </c>
      <c r="G7054" s="112" t="s">
        <v>1091</v>
      </c>
      <c r="H7054" s="112" t="s">
        <v>1016</v>
      </c>
      <c r="I7054" s="112" t="s">
        <v>4689</v>
      </c>
      <c r="J7054" s="112" t="s">
        <v>4690</v>
      </c>
      <c r="K7054" s="112" t="s">
        <v>5184</v>
      </c>
      <c r="L7054" s="116">
        <v>-52</v>
      </c>
    </row>
    <row r="7055" spans="1:12" hidden="1" outlineLevel="1" collapsed="1" x14ac:dyDescent="0.35">
      <c r="A7055" s="112" t="s">
        <v>4632</v>
      </c>
      <c r="B7055" s="112" t="s">
        <v>4688</v>
      </c>
      <c r="C7055" s="112" t="s">
        <v>679</v>
      </c>
      <c r="D7055" s="113">
        <v>10348532</v>
      </c>
      <c r="E7055" s="115">
        <v>43950</v>
      </c>
      <c r="F7055" s="114">
        <v>202101</v>
      </c>
      <c r="G7055" s="112" t="s">
        <v>1091</v>
      </c>
      <c r="H7055" s="112" t="s">
        <v>1016</v>
      </c>
      <c r="I7055" s="112" t="s">
        <v>4689</v>
      </c>
      <c r="J7055" s="112" t="s">
        <v>4690</v>
      </c>
      <c r="K7055" s="112" t="s">
        <v>4994</v>
      </c>
      <c r="L7055" s="116">
        <v>-54</v>
      </c>
    </row>
    <row r="7056" spans="1:12" hidden="1" outlineLevel="1" collapsed="1" x14ac:dyDescent="0.35">
      <c r="A7056" s="112" t="s">
        <v>4632</v>
      </c>
      <c r="B7056" s="112" t="s">
        <v>4688</v>
      </c>
      <c r="C7056" s="112" t="s">
        <v>679</v>
      </c>
      <c r="D7056" s="113">
        <v>10348532</v>
      </c>
      <c r="E7056" s="115">
        <v>43950</v>
      </c>
      <c r="F7056" s="114">
        <v>202101</v>
      </c>
      <c r="G7056" s="112" t="s">
        <v>1091</v>
      </c>
      <c r="H7056" s="112" t="s">
        <v>1016</v>
      </c>
      <c r="I7056" s="112" t="s">
        <v>4689</v>
      </c>
      <c r="J7056" s="112" t="s">
        <v>4690</v>
      </c>
      <c r="K7056" s="112" t="s">
        <v>4945</v>
      </c>
      <c r="L7056" s="116">
        <v>-52</v>
      </c>
    </row>
    <row r="7057" spans="1:12" hidden="1" outlineLevel="1" collapsed="1" x14ac:dyDescent="0.35">
      <c r="A7057" s="112" t="s">
        <v>4632</v>
      </c>
      <c r="B7057" s="112" t="s">
        <v>4688</v>
      </c>
      <c r="C7057" s="112" t="s">
        <v>4695</v>
      </c>
      <c r="D7057" s="113">
        <v>30440783</v>
      </c>
      <c r="E7057" s="115">
        <v>43950</v>
      </c>
      <c r="F7057" s="114">
        <v>202101</v>
      </c>
      <c r="G7057" s="112" t="s">
        <v>1091</v>
      </c>
      <c r="H7057" s="112" t="s">
        <v>1016</v>
      </c>
      <c r="I7057" s="112" t="s">
        <v>4689</v>
      </c>
      <c r="J7057" s="112" t="s">
        <v>4690</v>
      </c>
      <c r="K7057" s="112" t="s">
        <v>5524</v>
      </c>
      <c r="L7057" s="116">
        <v>54</v>
      </c>
    </row>
    <row r="7058" spans="1:12" hidden="1" outlineLevel="1" collapsed="1" x14ac:dyDescent="0.35">
      <c r="A7058" s="112" t="s">
        <v>4632</v>
      </c>
      <c r="B7058" s="112" t="s">
        <v>4635</v>
      </c>
      <c r="C7058" s="112" t="s">
        <v>679</v>
      </c>
      <c r="D7058" s="113">
        <v>10348411</v>
      </c>
      <c r="E7058" s="115">
        <v>43943</v>
      </c>
      <c r="F7058" s="114">
        <v>202101</v>
      </c>
      <c r="G7058" s="112" t="s">
        <v>1091</v>
      </c>
      <c r="H7058" s="112" t="s">
        <v>1015</v>
      </c>
      <c r="I7058" s="112" t="s">
        <v>736</v>
      </c>
      <c r="J7058" s="112" t="s">
        <v>4969</v>
      </c>
      <c r="K7058" s="112" t="s">
        <v>5541</v>
      </c>
      <c r="L7058" s="116">
        <v>134.72999999999999</v>
      </c>
    </row>
    <row r="7059" spans="1:12" hidden="1" outlineLevel="1" collapsed="1" x14ac:dyDescent="0.35">
      <c r="A7059" s="112" t="s">
        <v>4632</v>
      </c>
      <c r="B7059" s="112" t="s">
        <v>4688</v>
      </c>
      <c r="C7059" s="112" t="s">
        <v>679</v>
      </c>
      <c r="D7059" s="113">
        <v>10348476</v>
      </c>
      <c r="E7059" s="115">
        <v>43948</v>
      </c>
      <c r="F7059" s="114">
        <v>202101</v>
      </c>
      <c r="G7059" s="112" t="s">
        <v>1091</v>
      </c>
      <c r="H7059" s="112" t="s">
        <v>1016</v>
      </c>
      <c r="I7059" s="112" t="s">
        <v>4689</v>
      </c>
      <c r="J7059" s="112" t="s">
        <v>4690</v>
      </c>
      <c r="K7059" s="112" t="s">
        <v>5517</v>
      </c>
      <c r="L7059" s="116">
        <v>-54</v>
      </c>
    </row>
    <row r="7060" spans="1:12" hidden="1" outlineLevel="1" collapsed="1" x14ac:dyDescent="0.35">
      <c r="A7060" s="112" t="s">
        <v>4632</v>
      </c>
      <c r="B7060" s="112" t="s">
        <v>4688</v>
      </c>
      <c r="C7060" s="112" t="s">
        <v>4695</v>
      </c>
      <c r="D7060" s="113">
        <v>30440708</v>
      </c>
      <c r="E7060" s="115">
        <v>43948</v>
      </c>
      <c r="F7060" s="114">
        <v>202101</v>
      </c>
      <c r="G7060" s="112" t="s">
        <v>1091</v>
      </c>
      <c r="H7060" s="112" t="s">
        <v>1016</v>
      </c>
      <c r="I7060" s="112" t="s">
        <v>4689</v>
      </c>
      <c r="J7060" s="112" t="s">
        <v>4690</v>
      </c>
      <c r="K7060" s="112" t="s">
        <v>5539</v>
      </c>
      <c r="L7060" s="116">
        <v>54</v>
      </c>
    </row>
    <row r="7061" spans="1:12" hidden="1" outlineLevel="1" collapsed="1" x14ac:dyDescent="0.35">
      <c r="A7061" s="112" t="s">
        <v>4632</v>
      </c>
      <c r="B7061" s="112" t="s">
        <v>863</v>
      </c>
      <c r="C7061" s="112" t="s">
        <v>1150</v>
      </c>
      <c r="D7061" s="113">
        <v>10348606</v>
      </c>
      <c r="E7061" s="115">
        <v>43964</v>
      </c>
      <c r="F7061" s="114">
        <v>202101</v>
      </c>
      <c r="G7061" s="112" t="s">
        <v>1091</v>
      </c>
      <c r="H7061" s="112" t="s">
        <v>1016</v>
      </c>
      <c r="I7061" s="112" t="s">
        <v>781</v>
      </c>
      <c r="J7061" s="112" t="s">
        <v>831</v>
      </c>
      <c r="K7061" s="112" t="s">
        <v>4896</v>
      </c>
      <c r="L7061" s="116">
        <v>-20773.439999999999</v>
      </c>
    </row>
    <row r="7062" spans="1:12" hidden="1" outlineLevel="1" collapsed="1" x14ac:dyDescent="0.35">
      <c r="A7062" s="112" t="s">
        <v>4632</v>
      </c>
      <c r="B7062" s="112" t="s">
        <v>863</v>
      </c>
      <c r="C7062" s="112" t="s">
        <v>1150</v>
      </c>
      <c r="D7062" s="113">
        <v>10348606</v>
      </c>
      <c r="E7062" s="115">
        <v>43964</v>
      </c>
      <c r="F7062" s="114">
        <v>202101</v>
      </c>
      <c r="G7062" s="112" t="s">
        <v>1091</v>
      </c>
      <c r="H7062" s="112" t="s">
        <v>1016</v>
      </c>
      <c r="I7062" s="112" t="s">
        <v>781</v>
      </c>
      <c r="J7062" s="112" t="s">
        <v>831</v>
      </c>
      <c r="K7062" s="112" t="s">
        <v>5443</v>
      </c>
      <c r="L7062" s="116">
        <v>-451.08</v>
      </c>
    </row>
    <row r="7063" spans="1:12" hidden="1" outlineLevel="1" collapsed="1" x14ac:dyDescent="0.35">
      <c r="A7063" s="112" t="s">
        <v>4632</v>
      </c>
      <c r="B7063" s="112" t="s">
        <v>863</v>
      </c>
      <c r="C7063" s="112" t="s">
        <v>1150</v>
      </c>
      <c r="D7063" s="113">
        <v>10348606</v>
      </c>
      <c r="E7063" s="115">
        <v>43964</v>
      </c>
      <c r="F7063" s="114">
        <v>202101</v>
      </c>
      <c r="G7063" s="112" t="s">
        <v>1091</v>
      </c>
      <c r="H7063" s="112" t="s">
        <v>1016</v>
      </c>
      <c r="I7063" s="112" t="s">
        <v>781</v>
      </c>
      <c r="J7063" s="112" t="s">
        <v>829</v>
      </c>
      <c r="K7063" s="112" t="s">
        <v>5443</v>
      </c>
      <c r="L7063" s="116">
        <v>-274.92</v>
      </c>
    </row>
    <row r="7064" spans="1:12" hidden="1" outlineLevel="1" collapsed="1" x14ac:dyDescent="0.35">
      <c r="A7064" s="112" t="s">
        <v>4632</v>
      </c>
      <c r="B7064" s="112" t="s">
        <v>4688</v>
      </c>
      <c r="C7064" s="112" t="s">
        <v>4695</v>
      </c>
      <c r="D7064" s="113">
        <v>30440708</v>
      </c>
      <c r="E7064" s="115">
        <v>43948</v>
      </c>
      <c r="F7064" s="114">
        <v>202101</v>
      </c>
      <c r="G7064" s="112" t="s">
        <v>1091</v>
      </c>
      <c r="H7064" s="112" t="s">
        <v>1016</v>
      </c>
      <c r="I7064" s="112" t="s">
        <v>4689</v>
      </c>
      <c r="J7064" s="112" t="s">
        <v>4690</v>
      </c>
      <c r="K7064" s="112" t="s">
        <v>5511</v>
      </c>
      <c r="L7064" s="116">
        <v>54</v>
      </c>
    </row>
    <row r="7065" spans="1:12" hidden="1" outlineLevel="1" collapsed="1" x14ac:dyDescent="0.35">
      <c r="A7065" s="112" t="s">
        <v>4632</v>
      </c>
      <c r="B7065" s="112" t="s">
        <v>4635</v>
      </c>
      <c r="C7065" s="112" t="s">
        <v>679</v>
      </c>
      <c r="D7065" s="113">
        <v>10348411</v>
      </c>
      <c r="E7065" s="115">
        <v>43943</v>
      </c>
      <c r="F7065" s="114">
        <v>202101</v>
      </c>
      <c r="G7065" s="112" t="s">
        <v>1091</v>
      </c>
      <c r="H7065" s="112" t="s">
        <v>1015</v>
      </c>
      <c r="I7065" s="112" t="s">
        <v>736</v>
      </c>
      <c r="J7065" s="112" t="s">
        <v>4969</v>
      </c>
      <c r="K7065" s="112" t="s">
        <v>5542</v>
      </c>
      <c r="L7065" s="116">
        <v>1696.6</v>
      </c>
    </row>
    <row r="7066" spans="1:12" hidden="1" outlineLevel="1" collapsed="1" x14ac:dyDescent="0.35">
      <c r="A7066" s="112" t="s">
        <v>4632</v>
      </c>
      <c r="B7066" s="112" t="s">
        <v>863</v>
      </c>
      <c r="C7066" s="112" t="s">
        <v>1150</v>
      </c>
      <c r="D7066" s="113">
        <v>10348606</v>
      </c>
      <c r="E7066" s="115">
        <v>43964</v>
      </c>
      <c r="F7066" s="114">
        <v>202101</v>
      </c>
      <c r="G7066" s="112" t="s">
        <v>1091</v>
      </c>
      <c r="H7066" s="112" t="s">
        <v>1016</v>
      </c>
      <c r="I7066" s="112" t="s">
        <v>781</v>
      </c>
      <c r="J7066" s="112" t="s">
        <v>825</v>
      </c>
      <c r="K7066" s="112" t="s">
        <v>5443</v>
      </c>
      <c r="L7066" s="116">
        <v>-19.170000000000002</v>
      </c>
    </row>
    <row r="7067" spans="1:12" hidden="1" outlineLevel="1" collapsed="1" x14ac:dyDescent="0.35">
      <c r="A7067" s="112" t="s">
        <v>4632</v>
      </c>
      <c r="B7067" s="112" t="s">
        <v>863</v>
      </c>
      <c r="C7067" s="112" t="s">
        <v>1150</v>
      </c>
      <c r="D7067" s="113">
        <v>10348606</v>
      </c>
      <c r="E7067" s="115">
        <v>43964</v>
      </c>
      <c r="F7067" s="114">
        <v>202101</v>
      </c>
      <c r="G7067" s="112" t="s">
        <v>1091</v>
      </c>
      <c r="H7067" s="112" t="s">
        <v>1016</v>
      </c>
      <c r="I7067" s="112" t="s">
        <v>781</v>
      </c>
      <c r="J7067" s="112" t="s">
        <v>852</v>
      </c>
      <c r="K7067" s="112" t="s">
        <v>5443</v>
      </c>
      <c r="L7067" s="116">
        <v>-497.04</v>
      </c>
    </row>
    <row r="7068" spans="1:12" hidden="1" outlineLevel="1" collapsed="1" x14ac:dyDescent="0.35">
      <c r="A7068" s="112" t="s">
        <v>4632</v>
      </c>
      <c r="B7068" s="112" t="s">
        <v>4688</v>
      </c>
      <c r="C7068" s="112" t="s">
        <v>679</v>
      </c>
      <c r="D7068" s="113">
        <v>10348476</v>
      </c>
      <c r="E7068" s="115">
        <v>43948</v>
      </c>
      <c r="F7068" s="114">
        <v>202101</v>
      </c>
      <c r="G7068" s="112" t="s">
        <v>1091</v>
      </c>
      <c r="H7068" s="112" t="s">
        <v>1016</v>
      </c>
      <c r="I7068" s="112" t="s">
        <v>4689</v>
      </c>
      <c r="J7068" s="112" t="s">
        <v>4690</v>
      </c>
      <c r="K7068" s="112" t="s">
        <v>5515</v>
      </c>
      <c r="L7068" s="116">
        <v>-54</v>
      </c>
    </row>
    <row r="7069" spans="1:12" hidden="1" outlineLevel="1" collapsed="1" x14ac:dyDescent="0.35">
      <c r="A7069" s="112" t="s">
        <v>4632</v>
      </c>
      <c r="B7069" s="112" t="s">
        <v>4688</v>
      </c>
      <c r="C7069" s="112" t="s">
        <v>679</v>
      </c>
      <c r="D7069" s="113">
        <v>10348476</v>
      </c>
      <c r="E7069" s="115">
        <v>43948</v>
      </c>
      <c r="F7069" s="114">
        <v>202101</v>
      </c>
      <c r="G7069" s="112" t="s">
        <v>1091</v>
      </c>
      <c r="H7069" s="112" t="s">
        <v>1016</v>
      </c>
      <c r="I7069" s="112" t="s">
        <v>4689</v>
      </c>
      <c r="J7069" s="112" t="s">
        <v>4690</v>
      </c>
      <c r="K7069" s="112" t="s">
        <v>5513</v>
      </c>
      <c r="L7069" s="116">
        <v>-54</v>
      </c>
    </row>
    <row r="7070" spans="1:12" hidden="1" outlineLevel="1" collapsed="1" x14ac:dyDescent="0.35">
      <c r="A7070" s="112" t="s">
        <v>4632</v>
      </c>
      <c r="B7070" s="112" t="s">
        <v>4688</v>
      </c>
      <c r="C7070" s="112" t="s">
        <v>679</v>
      </c>
      <c r="D7070" s="113">
        <v>10348476</v>
      </c>
      <c r="E7070" s="115">
        <v>43948</v>
      </c>
      <c r="F7070" s="114">
        <v>202101</v>
      </c>
      <c r="G7070" s="112" t="s">
        <v>1091</v>
      </c>
      <c r="H7070" s="112" t="s">
        <v>1016</v>
      </c>
      <c r="I7070" s="112" t="s">
        <v>4689</v>
      </c>
      <c r="J7070" s="112" t="s">
        <v>4690</v>
      </c>
      <c r="K7070" s="112" t="s">
        <v>5512</v>
      </c>
      <c r="L7070" s="116">
        <v>-54</v>
      </c>
    </row>
    <row r="7071" spans="1:12" hidden="1" outlineLevel="1" collapsed="1" x14ac:dyDescent="0.35">
      <c r="A7071" s="112" t="s">
        <v>4632</v>
      </c>
      <c r="B7071" s="112" t="s">
        <v>4688</v>
      </c>
      <c r="C7071" s="112" t="s">
        <v>679</v>
      </c>
      <c r="D7071" s="113">
        <v>10348476</v>
      </c>
      <c r="E7071" s="115">
        <v>43948</v>
      </c>
      <c r="F7071" s="114">
        <v>202101</v>
      </c>
      <c r="G7071" s="112" t="s">
        <v>1091</v>
      </c>
      <c r="H7071" s="112" t="s">
        <v>1016</v>
      </c>
      <c r="I7071" s="112" t="s">
        <v>4689</v>
      </c>
      <c r="J7071" s="112" t="s">
        <v>4690</v>
      </c>
      <c r="K7071" s="112" t="s">
        <v>5508</v>
      </c>
      <c r="L7071" s="116">
        <v>-54</v>
      </c>
    </row>
    <row r="7072" spans="1:12" hidden="1" outlineLevel="1" collapsed="1" x14ac:dyDescent="0.35">
      <c r="A7072" s="112" t="s">
        <v>4632</v>
      </c>
      <c r="B7072" s="112" t="s">
        <v>4688</v>
      </c>
      <c r="C7072" s="112" t="s">
        <v>4695</v>
      </c>
      <c r="D7072" s="113">
        <v>30440708</v>
      </c>
      <c r="E7072" s="115">
        <v>43948</v>
      </c>
      <c r="F7072" s="114">
        <v>202101</v>
      </c>
      <c r="G7072" s="112" t="s">
        <v>1091</v>
      </c>
      <c r="H7072" s="112" t="s">
        <v>1016</v>
      </c>
      <c r="I7072" s="112" t="s">
        <v>4689</v>
      </c>
      <c r="J7072" s="112" t="s">
        <v>4690</v>
      </c>
      <c r="K7072" s="112" t="s">
        <v>5510</v>
      </c>
      <c r="L7072" s="116">
        <v>102</v>
      </c>
    </row>
    <row r="7073" spans="1:12" hidden="1" outlineLevel="1" collapsed="1" x14ac:dyDescent="0.35">
      <c r="A7073" s="112" t="s">
        <v>4632</v>
      </c>
      <c r="B7073" s="112" t="s">
        <v>4688</v>
      </c>
      <c r="C7073" s="112" t="s">
        <v>4695</v>
      </c>
      <c r="D7073" s="113">
        <v>30440708</v>
      </c>
      <c r="E7073" s="115">
        <v>43948</v>
      </c>
      <c r="F7073" s="114">
        <v>202101</v>
      </c>
      <c r="G7073" s="112" t="s">
        <v>1091</v>
      </c>
      <c r="H7073" s="112" t="s">
        <v>1016</v>
      </c>
      <c r="I7073" s="112" t="s">
        <v>4689</v>
      </c>
      <c r="J7073" s="112" t="s">
        <v>4690</v>
      </c>
      <c r="K7073" s="112" t="s">
        <v>5531</v>
      </c>
      <c r="L7073" s="116">
        <v>54</v>
      </c>
    </row>
    <row r="7074" spans="1:12" hidden="1" outlineLevel="1" collapsed="1" x14ac:dyDescent="0.35">
      <c r="A7074" s="112" t="s">
        <v>4632</v>
      </c>
      <c r="B7074" s="112" t="s">
        <v>4635</v>
      </c>
      <c r="C7074" s="112" t="s">
        <v>679</v>
      </c>
      <c r="D7074" s="113">
        <v>10348411</v>
      </c>
      <c r="E7074" s="115">
        <v>43943</v>
      </c>
      <c r="F7074" s="114">
        <v>202101</v>
      </c>
      <c r="G7074" s="112" t="s">
        <v>1091</v>
      </c>
      <c r="H7074" s="112" t="s">
        <v>1015</v>
      </c>
      <c r="I7074" s="112" t="s">
        <v>736</v>
      </c>
      <c r="J7074" s="112" t="s">
        <v>4978</v>
      </c>
      <c r="K7074" s="112" t="s">
        <v>5543</v>
      </c>
      <c r="L7074" s="116">
        <v>6037.13</v>
      </c>
    </row>
    <row r="7075" spans="1:12" hidden="1" outlineLevel="1" collapsed="1" x14ac:dyDescent="0.35">
      <c r="A7075" s="112" t="s">
        <v>4632</v>
      </c>
      <c r="B7075" s="112" t="s">
        <v>4635</v>
      </c>
      <c r="C7075" s="112" t="s">
        <v>679</v>
      </c>
      <c r="D7075" s="113">
        <v>10348411</v>
      </c>
      <c r="E7075" s="115">
        <v>43943</v>
      </c>
      <c r="F7075" s="114">
        <v>202101</v>
      </c>
      <c r="G7075" s="112" t="s">
        <v>1091</v>
      </c>
      <c r="H7075" s="112" t="s">
        <v>1015</v>
      </c>
      <c r="I7075" s="112" t="s">
        <v>736</v>
      </c>
      <c r="J7075" s="112" t="s">
        <v>4978</v>
      </c>
      <c r="K7075" s="112" t="s">
        <v>5544</v>
      </c>
      <c r="L7075" s="116">
        <v>9221.81</v>
      </c>
    </row>
    <row r="7076" spans="1:12" hidden="1" outlineLevel="1" collapsed="1" x14ac:dyDescent="0.35">
      <c r="A7076" s="112" t="s">
        <v>4632</v>
      </c>
      <c r="B7076" s="112" t="s">
        <v>4635</v>
      </c>
      <c r="C7076" s="112" t="s">
        <v>679</v>
      </c>
      <c r="D7076" s="113">
        <v>10348411</v>
      </c>
      <c r="E7076" s="115">
        <v>43943</v>
      </c>
      <c r="F7076" s="114">
        <v>202101</v>
      </c>
      <c r="G7076" s="112" t="s">
        <v>1091</v>
      </c>
      <c r="H7076" s="112" t="s">
        <v>1015</v>
      </c>
      <c r="I7076" s="112" t="s">
        <v>736</v>
      </c>
      <c r="J7076" s="112" t="s">
        <v>4978</v>
      </c>
      <c r="K7076" s="112" t="s">
        <v>5545</v>
      </c>
      <c r="L7076" s="116">
        <v>3131.77</v>
      </c>
    </row>
    <row r="7077" spans="1:12" hidden="1" outlineLevel="1" collapsed="1" x14ac:dyDescent="0.35">
      <c r="A7077" s="112" t="s">
        <v>4632</v>
      </c>
      <c r="B7077" s="112" t="s">
        <v>863</v>
      </c>
      <c r="C7077" s="112" t="s">
        <v>679</v>
      </c>
      <c r="D7077" s="113">
        <v>10348375</v>
      </c>
      <c r="E7077" s="115">
        <v>43942</v>
      </c>
      <c r="F7077" s="114">
        <v>202101</v>
      </c>
      <c r="G7077" s="112" t="s">
        <v>1091</v>
      </c>
      <c r="H7077" s="112" t="s">
        <v>1015</v>
      </c>
      <c r="I7077" s="112" t="s">
        <v>738</v>
      </c>
      <c r="J7077" s="112" t="s">
        <v>787</v>
      </c>
      <c r="K7077" s="112" t="s">
        <v>706</v>
      </c>
      <c r="L7077" s="116">
        <v>257.82</v>
      </c>
    </row>
    <row r="7078" spans="1:12" hidden="1" outlineLevel="1" collapsed="1" x14ac:dyDescent="0.35">
      <c r="A7078" s="112" t="s">
        <v>4632</v>
      </c>
      <c r="B7078" s="112" t="s">
        <v>863</v>
      </c>
      <c r="C7078" s="112" t="s">
        <v>679</v>
      </c>
      <c r="D7078" s="113">
        <v>10348375</v>
      </c>
      <c r="E7078" s="115">
        <v>43942</v>
      </c>
      <c r="F7078" s="114">
        <v>202101</v>
      </c>
      <c r="G7078" s="112" t="s">
        <v>1091</v>
      </c>
      <c r="H7078" s="112" t="s">
        <v>1015</v>
      </c>
      <c r="I7078" s="112" t="s">
        <v>738</v>
      </c>
      <c r="J7078" s="112" t="s">
        <v>787</v>
      </c>
      <c r="K7078" s="112" t="s">
        <v>706</v>
      </c>
      <c r="L7078" s="116">
        <v>778.4</v>
      </c>
    </row>
    <row r="7079" spans="1:12" hidden="1" outlineLevel="1" collapsed="1" x14ac:dyDescent="0.35">
      <c r="A7079" s="112" t="s">
        <v>4632</v>
      </c>
      <c r="B7079" s="112" t="s">
        <v>863</v>
      </c>
      <c r="C7079" s="112" t="s">
        <v>679</v>
      </c>
      <c r="D7079" s="113">
        <v>10348375</v>
      </c>
      <c r="E7079" s="115">
        <v>43942</v>
      </c>
      <c r="F7079" s="114">
        <v>202101</v>
      </c>
      <c r="G7079" s="112" t="s">
        <v>1091</v>
      </c>
      <c r="H7079" s="112" t="s">
        <v>1015</v>
      </c>
      <c r="I7079" s="112" t="s">
        <v>738</v>
      </c>
      <c r="J7079" s="112" t="s">
        <v>787</v>
      </c>
      <c r="K7079" s="112" t="s">
        <v>706</v>
      </c>
      <c r="L7079" s="116">
        <v>289.14</v>
      </c>
    </row>
    <row r="7080" spans="1:12" hidden="1" outlineLevel="1" collapsed="1" x14ac:dyDescent="0.35">
      <c r="A7080" s="112" t="s">
        <v>4632</v>
      </c>
      <c r="B7080" s="112" t="s">
        <v>863</v>
      </c>
      <c r="C7080" s="112" t="s">
        <v>679</v>
      </c>
      <c r="D7080" s="113">
        <v>10348411</v>
      </c>
      <c r="E7080" s="115">
        <v>43943</v>
      </c>
      <c r="F7080" s="114">
        <v>202101</v>
      </c>
      <c r="G7080" s="112" t="s">
        <v>1091</v>
      </c>
      <c r="H7080" s="112" t="s">
        <v>1015</v>
      </c>
      <c r="I7080" s="112" t="s">
        <v>736</v>
      </c>
      <c r="J7080" s="112" t="s">
        <v>840</v>
      </c>
      <c r="K7080" s="112" t="s">
        <v>5546</v>
      </c>
      <c r="L7080" s="116">
        <v>5056.09</v>
      </c>
    </row>
    <row r="7081" spans="1:12" hidden="1" outlineLevel="1" collapsed="1" x14ac:dyDescent="0.35">
      <c r="A7081" s="112" t="s">
        <v>4632</v>
      </c>
      <c r="B7081" s="112" t="s">
        <v>863</v>
      </c>
      <c r="C7081" s="112" t="s">
        <v>679</v>
      </c>
      <c r="D7081" s="113">
        <v>10348375</v>
      </c>
      <c r="E7081" s="115">
        <v>43942</v>
      </c>
      <c r="F7081" s="114">
        <v>202101</v>
      </c>
      <c r="G7081" s="112" t="s">
        <v>1091</v>
      </c>
      <c r="H7081" s="112" t="s">
        <v>1015</v>
      </c>
      <c r="I7081" s="112" t="s">
        <v>738</v>
      </c>
      <c r="J7081" s="112" t="s">
        <v>787</v>
      </c>
      <c r="K7081" s="112" t="s">
        <v>706</v>
      </c>
      <c r="L7081" s="116">
        <v>432.71</v>
      </c>
    </row>
    <row r="7082" spans="1:12" hidden="1" outlineLevel="1" collapsed="1" x14ac:dyDescent="0.35">
      <c r="A7082" s="112" t="s">
        <v>4632</v>
      </c>
      <c r="B7082" s="112" t="s">
        <v>863</v>
      </c>
      <c r="C7082" s="112" t="s">
        <v>679</v>
      </c>
      <c r="D7082" s="113">
        <v>10348375</v>
      </c>
      <c r="E7082" s="115">
        <v>43942</v>
      </c>
      <c r="F7082" s="114">
        <v>202101</v>
      </c>
      <c r="G7082" s="112" t="s">
        <v>1091</v>
      </c>
      <c r="H7082" s="112" t="s">
        <v>1015</v>
      </c>
      <c r="I7082" s="112" t="s">
        <v>738</v>
      </c>
      <c r="J7082" s="112" t="s">
        <v>787</v>
      </c>
      <c r="K7082" s="112" t="s">
        <v>706</v>
      </c>
      <c r="L7082" s="116">
        <v>92.1</v>
      </c>
    </row>
    <row r="7083" spans="1:12" hidden="1" outlineLevel="1" collapsed="1" x14ac:dyDescent="0.35">
      <c r="A7083" s="112" t="s">
        <v>4632</v>
      </c>
      <c r="B7083" s="112" t="s">
        <v>863</v>
      </c>
      <c r="C7083" s="112" t="s">
        <v>679</v>
      </c>
      <c r="D7083" s="113">
        <v>10348375</v>
      </c>
      <c r="E7083" s="115">
        <v>43942</v>
      </c>
      <c r="F7083" s="114">
        <v>202101</v>
      </c>
      <c r="G7083" s="112" t="s">
        <v>1091</v>
      </c>
      <c r="H7083" s="112" t="s">
        <v>1015</v>
      </c>
      <c r="I7083" s="112" t="s">
        <v>738</v>
      </c>
      <c r="J7083" s="112" t="s">
        <v>787</v>
      </c>
      <c r="K7083" s="112" t="s">
        <v>706</v>
      </c>
      <c r="L7083" s="116">
        <v>529.62</v>
      </c>
    </row>
    <row r="7084" spans="1:12" hidden="1" outlineLevel="1" collapsed="1" x14ac:dyDescent="0.35">
      <c r="A7084" s="112" t="s">
        <v>4632</v>
      </c>
      <c r="B7084" s="112" t="s">
        <v>863</v>
      </c>
      <c r="C7084" s="112" t="s">
        <v>679</v>
      </c>
      <c r="D7084" s="113">
        <v>10348375</v>
      </c>
      <c r="E7084" s="115">
        <v>43942</v>
      </c>
      <c r="F7084" s="114">
        <v>202101</v>
      </c>
      <c r="G7084" s="112" t="s">
        <v>1091</v>
      </c>
      <c r="H7084" s="112" t="s">
        <v>1015</v>
      </c>
      <c r="I7084" s="112" t="s">
        <v>738</v>
      </c>
      <c r="J7084" s="112" t="s">
        <v>787</v>
      </c>
      <c r="K7084" s="112" t="s">
        <v>706</v>
      </c>
      <c r="L7084" s="116">
        <v>408.5</v>
      </c>
    </row>
    <row r="7085" spans="1:12" hidden="1" outlineLevel="1" collapsed="1" x14ac:dyDescent="0.35">
      <c r="A7085" s="112" t="s">
        <v>4632</v>
      </c>
      <c r="B7085" s="112" t="s">
        <v>4688</v>
      </c>
      <c r="C7085" s="112" t="s">
        <v>679</v>
      </c>
      <c r="D7085" s="113">
        <v>10348476</v>
      </c>
      <c r="E7085" s="115">
        <v>43948</v>
      </c>
      <c r="F7085" s="114">
        <v>202101</v>
      </c>
      <c r="G7085" s="112" t="s">
        <v>1091</v>
      </c>
      <c r="H7085" s="112" t="s">
        <v>1016</v>
      </c>
      <c r="I7085" s="112" t="s">
        <v>4689</v>
      </c>
      <c r="J7085" s="112" t="s">
        <v>4690</v>
      </c>
      <c r="K7085" s="112" t="s">
        <v>5516</v>
      </c>
      <c r="L7085" s="116">
        <v>-54</v>
      </c>
    </row>
    <row r="7086" spans="1:12" hidden="1" outlineLevel="1" collapsed="1" x14ac:dyDescent="0.35">
      <c r="A7086" s="112" t="s">
        <v>4632</v>
      </c>
      <c r="B7086" s="112" t="s">
        <v>863</v>
      </c>
      <c r="C7086" s="112" t="s">
        <v>679</v>
      </c>
      <c r="D7086" s="113">
        <v>10348375</v>
      </c>
      <c r="E7086" s="115">
        <v>43942</v>
      </c>
      <c r="F7086" s="114">
        <v>202101</v>
      </c>
      <c r="G7086" s="112" t="s">
        <v>1091</v>
      </c>
      <c r="H7086" s="112" t="s">
        <v>1015</v>
      </c>
      <c r="I7086" s="112" t="s">
        <v>738</v>
      </c>
      <c r="J7086" s="112" t="s">
        <v>787</v>
      </c>
      <c r="K7086" s="112" t="s">
        <v>706</v>
      </c>
      <c r="L7086" s="116">
        <v>398.29</v>
      </c>
    </row>
    <row r="7087" spans="1:12" hidden="1" outlineLevel="1" collapsed="1" x14ac:dyDescent="0.35">
      <c r="A7087" s="112" t="s">
        <v>4632</v>
      </c>
      <c r="B7087" s="112" t="s">
        <v>863</v>
      </c>
      <c r="C7087" s="112" t="s">
        <v>1150</v>
      </c>
      <c r="D7087" s="113">
        <v>10348606</v>
      </c>
      <c r="E7087" s="115">
        <v>43964</v>
      </c>
      <c r="F7087" s="114">
        <v>202101</v>
      </c>
      <c r="G7087" s="112" t="s">
        <v>1091</v>
      </c>
      <c r="H7087" s="112" t="s">
        <v>1016</v>
      </c>
      <c r="I7087" s="112" t="s">
        <v>781</v>
      </c>
      <c r="J7087" s="112" t="s">
        <v>856</v>
      </c>
      <c r="K7087" s="112" t="s">
        <v>5443</v>
      </c>
      <c r="L7087" s="116">
        <v>-115.29</v>
      </c>
    </row>
    <row r="7088" spans="1:12" hidden="1" outlineLevel="1" collapsed="1" x14ac:dyDescent="0.35">
      <c r="A7088" s="112" t="s">
        <v>4632</v>
      </c>
      <c r="B7088" s="112" t="s">
        <v>863</v>
      </c>
      <c r="C7088" s="112" t="s">
        <v>1150</v>
      </c>
      <c r="D7088" s="113">
        <v>10348606</v>
      </c>
      <c r="E7088" s="115">
        <v>43964</v>
      </c>
      <c r="F7088" s="114">
        <v>202101</v>
      </c>
      <c r="G7088" s="112" t="s">
        <v>1091</v>
      </c>
      <c r="H7088" s="112" t="s">
        <v>1016</v>
      </c>
      <c r="I7088" s="112" t="s">
        <v>783</v>
      </c>
      <c r="J7088" s="112" t="s">
        <v>787</v>
      </c>
      <c r="K7088" s="112" t="s">
        <v>5547</v>
      </c>
      <c r="L7088" s="116">
        <v>-17085</v>
      </c>
    </row>
    <row r="7089" spans="1:12" hidden="1" outlineLevel="1" collapsed="1" x14ac:dyDescent="0.35">
      <c r="A7089" s="112" t="s">
        <v>4632</v>
      </c>
      <c r="B7089" s="112" t="s">
        <v>4635</v>
      </c>
      <c r="C7089" s="112" t="s">
        <v>679</v>
      </c>
      <c r="D7089" s="113">
        <v>10348411</v>
      </c>
      <c r="E7089" s="115">
        <v>43943</v>
      </c>
      <c r="F7089" s="114">
        <v>202101</v>
      </c>
      <c r="G7089" s="112" t="s">
        <v>1091</v>
      </c>
      <c r="H7089" s="112" t="s">
        <v>1015</v>
      </c>
      <c r="I7089" s="112" t="s">
        <v>736</v>
      </c>
      <c r="J7089" s="112" t="s">
        <v>4969</v>
      </c>
      <c r="K7089" s="112" t="s">
        <v>5548</v>
      </c>
      <c r="L7089" s="116">
        <v>67.37</v>
      </c>
    </row>
    <row r="7090" spans="1:12" hidden="1" outlineLevel="1" collapsed="1" x14ac:dyDescent="0.35">
      <c r="A7090" s="112" t="s">
        <v>4632</v>
      </c>
      <c r="B7090" s="112" t="s">
        <v>4644</v>
      </c>
      <c r="C7090" s="112" t="s">
        <v>1511</v>
      </c>
      <c r="D7090" s="113">
        <v>47036955</v>
      </c>
      <c r="E7090" s="115">
        <v>43915</v>
      </c>
      <c r="F7090" s="114">
        <v>202101</v>
      </c>
      <c r="G7090" s="112" t="s">
        <v>1091</v>
      </c>
      <c r="H7090" s="112" t="s">
        <v>1015</v>
      </c>
      <c r="I7090" s="112" t="s">
        <v>757</v>
      </c>
      <c r="J7090" s="112" t="s">
        <v>4645</v>
      </c>
      <c r="K7090" s="112" t="s">
        <v>5549</v>
      </c>
      <c r="L7090" s="116">
        <v>8.7899999999999991</v>
      </c>
    </row>
    <row r="7091" spans="1:12" hidden="1" outlineLevel="1" collapsed="1" x14ac:dyDescent="0.35">
      <c r="A7091" s="112" t="s">
        <v>4632</v>
      </c>
      <c r="B7091" s="112" t="s">
        <v>863</v>
      </c>
      <c r="C7091" s="112" t="s">
        <v>695</v>
      </c>
      <c r="D7091" s="113">
        <v>10347979</v>
      </c>
      <c r="E7091" s="115">
        <v>43924</v>
      </c>
      <c r="F7091" s="114">
        <v>202101</v>
      </c>
      <c r="G7091" s="112" t="s">
        <v>1091</v>
      </c>
      <c r="H7091" s="112" t="s">
        <v>1015</v>
      </c>
      <c r="I7091" s="112" t="s">
        <v>738</v>
      </c>
      <c r="J7091" s="112" t="s">
        <v>787</v>
      </c>
      <c r="K7091" s="112" t="s">
        <v>1698</v>
      </c>
      <c r="L7091" s="116">
        <v>-2048.8000000000002</v>
      </c>
    </row>
    <row r="7092" spans="1:12" hidden="1" outlineLevel="1" collapsed="1" x14ac:dyDescent="0.35">
      <c r="A7092" s="112" t="s">
        <v>4632</v>
      </c>
      <c r="B7092" s="112" t="s">
        <v>863</v>
      </c>
      <c r="C7092" s="112" t="s">
        <v>1150</v>
      </c>
      <c r="D7092" s="113">
        <v>10348606</v>
      </c>
      <c r="E7092" s="115">
        <v>43964</v>
      </c>
      <c r="F7092" s="114">
        <v>202101</v>
      </c>
      <c r="G7092" s="112" t="s">
        <v>1091</v>
      </c>
      <c r="H7092" s="112" t="s">
        <v>1016</v>
      </c>
      <c r="I7092" s="112" t="s">
        <v>785</v>
      </c>
      <c r="J7092" s="112" t="s">
        <v>787</v>
      </c>
      <c r="K7092" s="112" t="s">
        <v>5550</v>
      </c>
      <c r="L7092" s="116">
        <v>9590</v>
      </c>
    </row>
    <row r="7093" spans="1:12" hidden="1" outlineLevel="1" collapsed="1" x14ac:dyDescent="0.35">
      <c r="A7093" s="112" t="s">
        <v>4632</v>
      </c>
      <c r="B7093" s="112" t="s">
        <v>4635</v>
      </c>
      <c r="C7093" s="112" t="s">
        <v>679</v>
      </c>
      <c r="D7093" s="113">
        <v>10348411</v>
      </c>
      <c r="E7093" s="115">
        <v>43943</v>
      </c>
      <c r="F7093" s="114">
        <v>202101</v>
      </c>
      <c r="G7093" s="112" t="s">
        <v>1091</v>
      </c>
      <c r="H7093" s="112" t="s">
        <v>1015</v>
      </c>
      <c r="I7093" s="112" t="s">
        <v>736</v>
      </c>
      <c r="J7093" s="112" t="s">
        <v>4969</v>
      </c>
      <c r="K7093" s="112" t="s">
        <v>5551</v>
      </c>
      <c r="L7093" s="116">
        <v>134.72999999999999</v>
      </c>
    </row>
    <row r="7094" spans="1:12" hidden="1" outlineLevel="1" collapsed="1" x14ac:dyDescent="0.35">
      <c r="A7094" s="112" t="s">
        <v>4632</v>
      </c>
      <c r="B7094" s="112" t="s">
        <v>4688</v>
      </c>
      <c r="C7094" s="112" t="s">
        <v>4695</v>
      </c>
      <c r="D7094" s="113">
        <v>30440184</v>
      </c>
      <c r="E7094" s="115">
        <v>43922</v>
      </c>
      <c r="F7094" s="114">
        <v>202101</v>
      </c>
      <c r="G7094" s="112" t="s">
        <v>1091</v>
      </c>
      <c r="H7094" s="112" t="s">
        <v>1016</v>
      </c>
      <c r="I7094" s="112" t="s">
        <v>4689</v>
      </c>
      <c r="J7094" s="112" t="s">
        <v>4690</v>
      </c>
      <c r="K7094" s="112" t="s">
        <v>5509</v>
      </c>
      <c r="L7094" s="116">
        <v>54</v>
      </c>
    </row>
    <row r="7095" spans="1:12" hidden="1" outlineLevel="1" collapsed="1" x14ac:dyDescent="0.35">
      <c r="A7095" s="112" t="s">
        <v>4632</v>
      </c>
      <c r="B7095" s="112" t="s">
        <v>863</v>
      </c>
      <c r="C7095" s="112" t="s">
        <v>679</v>
      </c>
      <c r="D7095" s="113">
        <v>10347933</v>
      </c>
      <c r="E7095" s="115">
        <v>43922</v>
      </c>
      <c r="F7095" s="114">
        <v>202101</v>
      </c>
      <c r="G7095" s="112" t="s">
        <v>1091</v>
      </c>
      <c r="H7095" s="112" t="s">
        <v>1016</v>
      </c>
      <c r="I7095" s="112" t="s">
        <v>781</v>
      </c>
      <c r="J7095" s="112" t="s">
        <v>854</v>
      </c>
      <c r="K7095" s="112" t="s">
        <v>5552</v>
      </c>
      <c r="L7095" s="116">
        <v>-250</v>
      </c>
    </row>
    <row r="7096" spans="1:12" hidden="1" outlineLevel="1" collapsed="1" x14ac:dyDescent="0.35">
      <c r="A7096" s="112" t="s">
        <v>4632</v>
      </c>
      <c r="B7096" s="112" t="s">
        <v>4688</v>
      </c>
      <c r="C7096" s="112" t="s">
        <v>4695</v>
      </c>
      <c r="D7096" s="113">
        <v>30440783</v>
      </c>
      <c r="E7096" s="115">
        <v>43950</v>
      </c>
      <c r="F7096" s="114">
        <v>202101</v>
      </c>
      <c r="G7096" s="112" t="s">
        <v>1091</v>
      </c>
      <c r="H7096" s="112" t="s">
        <v>1016</v>
      </c>
      <c r="I7096" s="112" t="s">
        <v>4689</v>
      </c>
      <c r="J7096" s="112" t="s">
        <v>4690</v>
      </c>
      <c r="K7096" s="112" t="s">
        <v>5540</v>
      </c>
      <c r="L7096" s="116">
        <v>54</v>
      </c>
    </row>
    <row r="7097" spans="1:12" hidden="1" outlineLevel="1" collapsed="1" x14ac:dyDescent="0.35">
      <c r="A7097" s="112" t="s">
        <v>5553</v>
      </c>
      <c r="B7097" s="112" t="s">
        <v>927</v>
      </c>
      <c r="C7097" s="112" t="s">
        <v>1219</v>
      </c>
      <c r="D7097" s="113">
        <v>46307520</v>
      </c>
      <c r="E7097" s="115">
        <v>43942</v>
      </c>
      <c r="F7097" s="114">
        <v>202101</v>
      </c>
      <c r="G7097" s="112" t="s">
        <v>1091</v>
      </c>
      <c r="H7097" s="112" t="s">
        <v>1015</v>
      </c>
      <c r="I7097" s="112" t="s">
        <v>1605</v>
      </c>
      <c r="J7097" s="112" t="s">
        <v>5554</v>
      </c>
      <c r="K7097" s="112" t="s">
        <v>5555</v>
      </c>
      <c r="L7097" s="116">
        <v>25000</v>
      </c>
    </row>
    <row r="7098" spans="1:12" hidden="1" outlineLevel="1" collapsed="1" x14ac:dyDescent="0.35">
      <c r="A7098" s="112" t="s">
        <v>5553</v>
      </c>
      <c r="B7098" s="112" t="s">
        <v>927</v>
      </c>
      <c r="C7098" s="112" t="s">
        <v>1219</v>
      </c>
      <c r="D7098" s="113">
        <v>46307131</v>
      </c>
      <c r="E7098" s="115">
        <v>43936</v>
      </c>
      <c r="F7098" s="114">
        <v>202101</v>
      </c>
      <c r="G7098" s="112" t="s">
        <v>1091</v>
      </c>
      <c r="H7098" s="112" t="s">
        <v>1015</v>
      </c>
      <c r="I7098" s="112" t="s">
        <v>1605</v>
      </c>
      <c r="J7098" s="112" t="s">
        <v>5554</v>
      </c>
      <c r="K7098" s="112" t="s">
        <v>5555</v>
      </c>
      <c r="L7098" s="116">
        <v>25000</v>
      </c>
    </row>
    <row r="7099" spans="1:12" hidden="1" outlineLevel="1" collapsed="1" x14ac:dyDescent="0.35">
      <c r="A7099" s="112" t="s">
        <v>5553</v>
      </c>
      <c r="B7099" s="112" t="s">
        <v>927</v>
      </c>
      <c r="C7099" s="112" t="s">
        <v>1219</v>
      </c>
      <c r="D7099" s="113">
        <v>46307132</v>
      </c>
      <c r="E7099" s="115">
        <v>43936</v>
      </c>
      <c r="F7099" s="114">
        <v>202101</v>
      </c>
      <c r="G7099" s="112" t="s">
        <v>1091</v>
      </c>
      <c r="H7099" s="112" t="s">
        <v>1015</v>
      </c>
      <c r="I7099" s="112" t="s">
        <v>1605</v>
      </c>
      <c r="J7099" s="112" t="s">
        <v>5554</v>
      </c>
      <c r="K7099" s="112" t="s">
        <v>5555</v>
      </c>
      <c r="L7099" s="116">
        <v>25000</v>
      </c>
    </row>
    <row r="7100" spans="1:12" hidden="1" outlineLevel="1" collapsed="1" x14ac:dyDescent="0.35">
      <c r="A7100" s="112" t="s">
        <v>5553</v>
      </c>
      <c r="B7100" s="112" t="s">
        <v>927</v>
      </c>
      <c r="C7100" s="112" t="s">
        <v>1219</v>
      </c>
      <c r="D7100" s="113">
        <v>46307133</v>
      </c>
      <c r="E7100" s="115">
        <v>43936</v>
      </c>
      <c r="F7100" s="114">
        <v>202101</v>
      </c>
      <c r="G7100" s="112" t="s">
        <v>1091</v>
      </c>
      <c r="H7100" s="112" t="s">
        <v>1015</v>
      </c>
      <c r="I7100" s="112" t="s">
        <v>1605</v>
      </c>
      <c r="J7100" s="112" t="s">
        <v>5554</v>
      </c>
      <c r="K7100" s="112" t="s">
        <v>5555</v>
      </c>
      <c r="L7100" s="116">
        <v>25000</v>
      </c>
    </row>
    <row r="7101" spans="1:12" hidden="1" outlineLevel="1" collapsed="1" x14ac:dyDescent="0.35">
      <c r="A7101" s="112" t="s">
        <v>5553</v>
      </c>
      <c r="B7101" s="112" t="s">
        <v>927</v>
      </c>
      <c r="C7101" s="112" t="s">
        <v>1219</v>
      </c>
      <c r="D7101" s="113">
        <v>46307512</v>
      </c>
      <c r="E7101" s="115">
        <v>43942</v>
      </c>
      <c r="F7101" s="114">
        <v>202101</v>
      </c>
      <c r="G7101" s="112" t="s">
        <v>1091</v>
      </c>
      <c r="H7101" s="112" t="s">
        <v>1015</v>
      </c>
      <c r="I7101" s="112" t="s">
        <v>1605</v>
      </c>
      <c r="J7101" s="112" t="s">
        <v>5554</v>
      </c>
      <c r="K7101" s="112" t="s">
        <v>5556</v>
      </c>
      <c r="L7101" s="116">
        <v>10000</v>
      </c>
    </row>
    <row r="7102" spans="1:12" hidden="1" outlineLevel="1" collapsed="1" x14ac:dyDescent="0.35">
      <c r="A7102" s="112" t="s">
        <v>5553</v>
      </c>
      <c r="B7102" s="112" t="s">
        <v>927</v>
      </c>
      <c r="C7102" s="112" t="s">
        <v>1219</v>
      </c>
      <c r="D7102" s="113">
        <v>46307502</v>
      </c>
      <c r="E7102" s="115">
        <v>43942</v>
      </c>
      <c r="F7102" s="114">
        <v>202101</v>
      </c>
      <c r="G7102" s="112" t="s">
        <v>1091</v>
      </c>
      <c r="H7102" s="112" t="s">
        <v>1015</v>
      </c>
      <c r="I7102" s="112" t="s">
        <v>1605</v>
      </c>
      <c r="J7102" s="112" t="s">
        <v>5554</v>
      </c>
      <c r="K7102" s="112" t="s">
        <v>5556</v>
      </c>
      <c r="L7102" s="116">
        <v>10000</v>
      </c>
    </row>
    <row r="7103" spans="1:12" hidden="1" outlineLevel="1" collapsed="1" x14ac:dyDescent="0.35">
      <c r="A7103" s="112" t="s">
        <v>5553</v>
      </c>
      <c r="B7103" s="112" t="s">
        <v>927</v>
      </c>
      <c r="C7103" s="112" t="s">
        <v>1219</v>
      </c>
      <c r="D7103" s="113">
        <v>46307821</v>
      </c>
      <c r="E7103" s="115">
        <v>43945</v>
      </c>
      <c r="F7103" s="114">
        <v>202101</v>
      </c>
      <c r="G7103" s="112" t="s">
        <v>1091</v>
      </c>
      <c r="H7103" s="112" t="s">
        <v>1015</v>
      </c>
      <c r="I7103" s="112" t="s">
        <v>1605</v>
      </c>
      <c r="J7103" s="112" t="s">
        <v>5554</v>
      </c>
      <c r="K7103" s="112" t="s">
        <v>5555</v>
      </c>
      <c r="L7103" s="116">
        <v>25000</v>
      </c>
    </row>
    <row r="7104" spans="1:12" hidden="1" outlineLevel="1" collapsed="1" x14ac:dyDescent="0.35">
      <c r="A7104" s="112" t="s">
        <v>5553</v>
      </c>
      <c r="B7104" s="112" t="s">
        <v>927</v>
      </c>
      <c r="C7104" s="112" t="s">
        <v>1219</v>
      </c>
      <c r="D7104" s="113">
        <v>46307129</v>
      </c>
      <c r="E7104" s="115">
        <v>43936</v>
      </c>
      <c r="F7104" s="114">
        <v>202101</v>
      </c>
      <c r="G7104" s="112" t="s">
        <v>1091</v>
      </c>
      <c r="H7104" s="112" t="s">
        <v>1015</v>
      </c>
      <c r="I7104" s="112" t="s">
        <v>1605</v>
      </c>
      <c r="J7104" s="112" t="s">
        <v>5554</v>
      </c>
      <c r="K7104" s="112" t="s">
        <v>5556</v>
      </c>
      <c r="L7104" s="116">
        <v>10000</v>
      </c>
    </row>
    <row r="7105" spans="1:12" hidden="1" outlineLevel="1" collapsed="1" x14ac:dyDescent="0.35">
      <c r="A7105" s="112" t="s">
        <v>5553</v>
      </c>
      <c r="B7105" s="112" t="s">
        <v>927</v>
      </c>
      <c r="C7105" s="112" t="s">
        <v>1219</v>
      </c>
      <c r="D7105" s="113">
        <v>46307130</v>
      </c>
      <c r="E7105" s="115">
        <v>43936</v>
      </c>
      <c r="F7105" s="114">
        <v>202101</v>
      </c>
      <c r="G7105" s="112" t="s">
        <v>1091</v>
      </c>
      <c r="H7105" s="112" t="s">
        <v>1015</v>
      </c>
      <c r="I7105" s="112" t="s">
        <v>1605</v>
      </c>
      <c r="J7105" s="112" t="s">
        <v>5554</v>
      </c>
      <c r="K7105" s="112" t="s">
        <v>5556</v>
      </c>
      <c r="L7105" s="116">
        <v>10000</v>
      </c>
    </row>
    <row r="7106" spans="1:12" hidden="1" outlineLevel="1" collapsed="1" x14ac:dyDescent="0.35">
      <c r="A7106" s="112" t="s">
        <v>5553</v>
      </c>
      <c r="B7106" s="112" t="s">
        <v>927</v>
      </c>
      <c r="C7106" s="112" t="s">
        <v>1219</v>
      </c>
      <c r="D7106" s="113">
        <v>46307528</v>
      </c>
      <c r="E7106" s="115">
        <v>43942</v>
      </c>
      <c r="F7106" s="114">
        <v>202101</v>
      </c>
      <c r="G7106" s="112" t="s">
        <v>1091</v>
      </c>
      <c r="H7106" s="112" t="s">
        <v>1015</v>
      </c>
      <c r="I7106" s="112" t="s">
        <v>1605</v>
      </c>
      <c r="J7106" s="112" t="s">
        <v>5554</v>
      </c>
      <c r="K7106" s="112" t="s">
        <v>5556</v>
      </c>
      <c r="L7106" s="116">
        <v>10000</v>
      </c>
    </row>
    <row r="7107" spans="1:12" hidden="1" outlineLevel="1" collapsed="1" x14ac:dyDescent="0.35">
      <c r="A7107" s="112" t="s">
        <v>5553</v>
      </c>
      <c r="B7107" s="112" t="s">
        <v>927</v>
      </c>
      <c r="C7107" s="112" t="s">
        <v>1219</v>
      </c>
      <c r="D7107" s="113">
        <v>46307513</v>
      </c>
      <c r="E7107" s="115">
        <v>43942</v>
      </c>
      <c r="F7107" s="114">
        <v>202101</v>
      </c>
      <c r="G7107" s="112" t="s">
        <v>1091</v>
      </c>
      <c r="H7107" s="112" t="s">
        <v>1015</v>
      </c>
      <c r="I7107" s="112" t="s">
        <v>1605</v>
      </c>
      <c r="J7107" s="112" t="s">
        <v>5554</v>
      </c>
      <c r="K7107" s="112" t="s">
        <v>5555</v>
      </c>
      <c r="L7107" s="116">
        <v>10000</v>
      </c>
    </row>
    <row r="7108" spans="1:12" hidden="1" outlineLevel="1" collapsed="1" x14ac:dyDescent="0.35">
      <c r="A7108" s="112" t="s">
        <v>5553</v>
      </c>
      <c r="B7108" s="112" t="s">
        <v>927</v>
      </c>
      <c r="C7108" s="112" t="s">
        <v>1219</v>
      </c>
      <c r="D7108" s="113">
        <v>46307527</v>
      </c>
      <c r="E7108" s="115">
        <v>43942</v>
      </c>
      <c r="F7108" s="114">
        <v>202101</v>
      </c>
      <c r="G7108" s="112" t="s">
        <v>1091</v>
      </c>
      <c r="H7108" s="112" t="s">
        <v>1015</v>
      </c>
      <c r="I7108" s="112" t="s">
        <v>1605</v>
      </c>
      <c r="J7108" s="112" t="s">
        <v>5554</v>
      </c>
      <c r="K7108" s="112" t="s">
        <v>5556</v>
      </c>
      <c r="L7108" s="116">
        <v>10000</v>
      </c>
    </row>
    <row r="7109" spans="1:12" hidden="1" outlineLevel="1" collapsed="1" x14ac:dyDescent="0.35">
      <c r="A7109" s="112" t="s">
        <v>5553</v>
      </c>
      <c r="B7109" s="112" t="s">
        <v>927</v>
      </c>
      <c r="C7109" s="112" t="s">
        <v>1219</v>
      </c>
      <c r="D7109" s="113">
        <v>46307526</v>
      </c>
      <c r="E7109" s="115">
        <v>43942</v>
      </c>
      <c r="F7109" s="114">
        <v>202101</v>
      </c>
      <c r="G7109" s="112" t="s">
        <v>1091</v>
      </c>
      <c r="H7109" s="112" t="s">
        <v>1015</v>
      </c>
      <c r="I7109" s="112" t="s">
        <v>1605</v>
      </c>
      <c r="J7109" s="112" t="s">
        <v>5554</v>
      </c>
      <c r="K7109" s="112" t="s">
        <v>5555</v>
      </c>
      <c r="L7109" s="116">
        <v>10000</v>
      </c>
    </row>
    <row r="7110" spans="1:12" hidden="1" outlineLevel="1" collapsed="1" x14ac:dyDescent="0.35">
      <c r="A7110" s="112" t="s">
        <v>5553</v>
      </c>
      <c r="B7110" s="112" t="s">
        <v>927</v>
      </c>
      <c r="C7110" s="112" t="s">
        <v>1219</v>
      </c>
      <c r="D7110" s="113">
        <v>46307525</v>
      </c>
      <c r="E7110" s="115">
        <v>43942</v>
      </c>
      <c r="F7110" s="114">
        <v>202101</v>
      </c>
      <c r="G7110" s="112" t="s">
        <v>1091</v>
      </c>
      <c r="H7110" s="112" t="s">
        <v>1015</v>
      </c>
      <c r="I7110" s="112" t="s">
        <v>1605</v>
      </c>
      <c r="J7110" s="112" t="s">
        <v>5554</v>
      </c>
      <c r="K7110" s="112" t="s">
        <v>5556</v>
      </c>
      <c r="L7110" s="116">
        <v>10000</v>
      </c>
    </row>
    <row r="7111" spans="1:12" hidden="1" outlineLevel="1" collapsed="1" x14ac:dyDescent="0.35">
      <c r="A7111" s="112" t="s">
        <v>5553</v>
      </c>
      <c r="B7111" s="112" t="s">
        <v>927</v>
      </c>
      <c r="C7111" s="112" t="s">
        <v>1219</v>
      </c>
      <c r="D7111" s="113">
        <v>46307524</v>
      </c>
      <c r="E7111" s="115">
        <v>43942</v>
      </c>
      <c r="F7111" s="114">
        <v>202101</v>
      </c>
      <c r="G7111" s="112" t="s">
        <v>1091</v>
      </c>
      <c r="H7111" s="112" t="s">
        <v>1015</v>
      </c>
      <c r="I7111" s="112" t="s">
        <v>1605</v>
      </c>
      <c r="J7111" s="112" t="s">
        <v>5554</v>
      </c>
      <c r="K7111" s="112" t="s">
        <v>5556</v>
      </c>
      <c r="L7111" s="116">
        <v>10000</v>
      </c>
    </row>
    <row r="7112" spans="1:12" hidden="1" outlineLevel="1" collapsed="1" x14ac:dyDescent="0.35">
      <c r="A7112" s="112" t="s">
        <v>5553</v>
      </c>
      <c r="B7112" s="112" t="s">
        <v>927</v>
      </c>
      <c r="C7112" s="112" t="s">
        <v>1219</v>
      </c>
      <c r="D7112" s="113">
        <v>46307514</v>
      </c>
      <c r="E7112" s="115">
        <v>43942</v>
      </c>
      <c r="F7112" s="114">
        <v>202101</v>
      </c>
      <c r="G7112" s="112" t="s">
        <v>1091</v>
      </c>
      <c r="H7112" s="112" t="s">
        <v>1015</v>
      </c>
      <c r="I7112" s="112" t="s">
        <v>1605</v>
      </c>
      <c r="J7112" s="112" t="s">
        <v>5554</v>
      </c>
      <c r="K7112" s="112" t="s">
        <v>5555</v>
      </c>
      <c r="L7112" s="116">
        <v>25000</v>
      </c>
    </row>
    <row r="7113" spans="1:12" hidden="1" outlineLevel="1" collapsed="1" x14ac:dyDescent="0.35">
      <c r="A7113" s="112" t="s">
        <v>5553</v>
      </c>
      <c r="B7113" s="112" t="s">
        <v>927</v>
      </c>
      <c r="C7113" s="112" t="s">
        <v>1219</v>
      </c>
      <c r="D7113" s="113">
        <v>46307523</v>
      </c>
      <c r="E7113" s="115">
        <v>43942</v>
      </c>
      <c r="F7113" s="114">
        <v>202101</v>
      </c>
      <c r="G7113" s="112" t="s">
        <v>1091</v>
      </c>
      <c r="H7113" s="112" t="s">
        <v>1015</v>
      </c>
      <c r="I7113" s="112" t="s">
        <v>1605</v>
      </c>
      <c r="J7113" s="112" t="s">
        <v>5554</v>
      </c>
      <c r="K7113" s="112" t="s">
        <v>5555</v>
      </c>
      <c r="L7113" s="116">
        <v>25000</v>
      </c>
    </row>
    <row r="7114" spans="1:12" hidden="1" outlineLevel="1" collapsed="1" x14ac:dyDescent="0.35">
      <c r="A7114" s="112" t="s">
        <v>5553</v>
      </c>
      <c r="B7114" s="112" t="s">
        <v>927</v>
      </c>
      <c r="C7114" s="112" t="s">
        <v>1219</v>
      </c>
      <c r="D7114" s="113">
        <v>46307506</v>
      </c>
      <c r="E7114" s="115">
        <v>43942</v>
      </c>
      <c r="F7114" s="114">
        <v>202101</v>
      </c>
      <c r="G7114" s="112" t="s">
        <v>1091</v>
      </c>
      <c r="H7114" s="112" t="s">
        <v>1015</v>
      </c>
      <c r="I7114" s="112" t="s">
        <v>1605</v>
      </c>
      <c r="J7114" s="112" t="s">
        <v>5554</v>
      </c>
      <c r="K7114" s="112" t="s">
        <v>5555</v>
      </c>
      <c r="L7114" s="116">
        <v>25000</v>
      </c>
    </row>
    <row r="7115" spans="1:12" hidden="1" outlineLevel="1" collapsed="1" x14ac:dyDescent="0.35">
      <c r="A7115" s="112" t="s">
        <v>5553</v>
      </c>
      <c r="B7115" s="112" t="s">
        <v>927</v>
      </c>
      <c r="C7115" s="112" t="s">
        <v>1219</v>
      </c>
      <c r="D7115" s="113">
        <v>46307505</v>
      </c>
      <c r="E7115" s="115">
        <v>43942</v>
      </c>
      <c r="F7115" s="114">
        <v>202101</v>
      </c>
      <c r="G7115" s="112" t="s">
        <v>1091</v>
      </c>
      <c r="H7115" s="112" t="s">
        <v>1015</v>
      </c>
      <c r="I7115" s="112" t="s">
        <v>1605</v>
      </c>
      <c r="J7115" s="112" t="s">
        <v>5554</v>
      </c>
      <c r="K7115" s="112" t="s">
        <v>5555</v>
      </c>
      <c r="L7115" s="116">
        <v>25000</v>
      </c>
    </row>
    <row r="7116" spans="1:12" hidden="1" outlineLevel="1" collapsed="1" x14ac:dyDescent="0.35">
      <c r="A7116" s="112" t="s">
        <v>5553</v>
      </c>
      <c r="B7116" s="112" t="s">
        <v>927</v>
      </c>
      <c r="C7116" s="112" t="s">
        <v>1219</v>
      </c>
      <c r="D7116" s="113">
        <v>46307504</v>
      </c>
      <c r="E7116" s="115">
        <v>43942</v>
      </c>
      <c r="F7116" s="114">
        <v>202101</v>
      </c>
      <c r="G7116" s="112" t="s">
        <v>1091</v>
      </c>
      <c r="H7116" s="112" t="s">
        <v>1015</v>
      </c>
      <c r="I7116" s="112" t="s">
        <v>1605</v>
      </c>
      <c r="J7116" s="112" t="s">
        <v>5554</v>
      </c>
      <c r="K7116" s="112" t="s">
        <v>5555</v>
      </c>
      <c r="L7116" s="116">
        <v>25000</v>
      </c>
    </row>
    <row r="7117" spans="1:12" hidden="1" outlineLevel="1" collapsed="1" x14ac:dyDescent="0.35">
      <c r="A7117" s="112" t="s">
        <v>5553</v>
      </c>
      <c r="B7117" s="112" t="s">
        <v>927</v>
      </c>
      <c r="C7117" s="112" t="s">
        <v>1219</v>
      </c>
      <c r="D7117" s="113">
        <v>46307522</v>
      </c>
      <c r="E7117" s="115">
        <v>43942</v>
      </c>
      <c r="F7117" s="114">
        <v>202101</v>
      </c>
      <c r="G7117" s="112" t="s">
        <v>1091</v>
      </c>
      <c r="H7117" s="112" t="s">
        <v>1015</v>
      </c>
      <c r="I7117" s="112" t="s">
        <v>1605</v>
      </c>
      <c r="J7117" s="112" t="s">
        <v>5554</v>
      </c>
      <c r="K7117" s="112" t="s">
        <v>5555</v>
      </c>
      <c r="L7117" s="116">
        <v>25000</v>
      </c>
    </row>
    <row r="7118" spans="1:12" hidden="1" outlineLevel="1" collapsed="1" x14ac:dyDescent="0.35">
      <c r="A7118" s="112" t="s">
        <v>5553</v>
      </c>
      <c r="B7118" s="112" t="s">
        <v>927</v>
      </c>
      <c r="C7118" s="112" t="s">
        <v>1219</v>
      </c>
      <c r="D7118" s="113">
        <v>46307503</v>
      </c>
      <c r="E7118" s="115">
        <v>43942</v>
      </c>
      <c r="F7118" s="114">
        <v>202101</v>
      </c>
      <c r="G7118" s="112" t="s">
        <v>1091</v>
      </c>
      <c r="H7118" s="112" t="s">
        <v>1015</v>
      </c>
      <c r="I7118" s="112" t="s">
        <v>1605</v>
      </c>
      <c r="J7118" s="112" t="s">
        <v>5554</v>
      </c>
      <c r="K7118" s="112" t="s">
        <v>5555</v>
      </c>
      <c r="L7118" s="116">
        <v>10000</v>
      </c>
    </row>
    <row r="7119" spans="1:12" hidden="1" outlineLevel="1" collapsed="1" x14ac:dyDescent="0.35">
      <c r="A7119" s="112" t="s">
        <v>5553</v>
      </c>
      <c r="B7119" s="112" t="s">
        <v>927</v>
      </c>
      <c r="C7119" s="112" t="s">
        <v>1219</v>
      </c>
      <c r="D7119" s="113">
        <v>46307521</v>
      </c>
      <c r="E7119" s="115">
        <v>43942</v>
      </c>
      <c r="F7119" s="114">
        <v>202101</v>
      </c>
      <c r="G7119" s="112" t="s">
        <v>1091</v>
      </c>
      <c r="H7119" s="112" t="s">
        <v>1015</v>
      </c>
      <c r="I7119" s="112" t="s">
        <v>1605</v>
      </c>
      <c r="J7119" s="112" t="s">
        <v>5554</v>
      </c>
      <c r="K7119" s="112" t="s">
        <v>5555</v>
      </c>
      <c r="L7119" s="116">
        <v>25000</v>
      </c>
    </row>
    <row r="7120" spans="1:12" hidden="1" outlineLevel="1" collapsed="1" x14ac:dyDescent="0.35">
      <c r="A7120" s="112" t="s">
        <v>5553</v>
      </c>
      <c r="B7120" s="112" t="s">
        <v>927</v>
      </c>
      <c r="C7120" s="112" t="s">
        <v>1219</v>
      </c>
      <c r="D7120" s="113">
        <v>46307499</v>
      </c>
      <c r="E7120" s="115">
        <v>43942</v>
      </c>
      <c r="F7120" s="114">
        <v>202101</v>
      </c>
      <c r="G7120" s="112" t="s">
        <v>1091</v>
      </c>
      <c r="H7120" s="112" t="s">
        <v>1015</v>
      </c>
      <c r="I7120" s="112" t="s">
        <v>1605</v>
      </c>
      <c r="J7120" s="112" t="s">
        <v>5554</v>
      </c>
      <c r="K7120" s="112" t="s">
        <v>5555</v>
      </c>
      <c r="L7120" s="116">
        <v>10000</v>
      </c>
    </row>
    <row r="7121" spans="1:12" hidden="1" outlineLevel="1" collapsed="1" x14ac:dyDescent="0.35">
      <c r="A7121" s="112" t="s">
        <v>5553</v>
      </c>
      <c r="B7121" s="112" t="s">
        <v>927</v>
      </c>
      <c r="C7121" s="112" t="s">
        <v>1219</v>
      </c>
      <c r="D7121" s="113">
        <v>46307501</v>
      </c>
      <c r="E7121" s="115">
        <v>43942</v>
      </c>
      <c r="F7121" s="114">
        <v>202101</v>
      </c>
      <c r="G7121" s="112" t="s">
        <v>1091</v>
      </c>
      <c r="H7121" s="112" t="s">
        <v>1015</v>
      </c>
      <c r="I7121" s="112" t="s">
        <v>1605</v>
      </c>
      <c r="J7121" s="112" t="s">
        <v>5554</v>
      </c>
      <c r="K7121" s="112" t="s">
        <v>5556</v>
      </c>
      <c r="L7121" s="116">
        <v>10000</v>
      </c>
    </row>
    <row r="7122" spans="1:12" hidden="1" outlineLevel="1" collapsed="1" x14ac:dyDescent="0.35">
      <c r="A7122" s="112" t="s">
        <v>5553</v>
      </c>
      <c r="B7122" s="112" t="s">
        <v>927</v>
      </c>
      <c r="C7122" s="112" t="s">
        <v>1095</v>
      </c>
      <c r="D7122" s="113">
        <v>10348451</v>
      </c>
      <c r="E7122" s="115">
        <v>43949</v>
      </c>
      <c r="F7122" s="114">
        <v>202101</v>
      </c>
      <c r="G7122" s="112" t="s">
        <v>1091</v>
      </c>
      <c r="H7122" s="112" t="s">
        <v>1015</v>
      </c>
      <c r="I7122" s="112" t="s">
        <v>1190</v>
      </c>
      <c r="J7122" s="112" t="s">
        <v>5557</v>
      </c>
      <c r="K7122" s="112" t="s">
        <v>1098</v>
      </c>
      <c r="L7122" s="116">
        <v>32.21</v>
      </c>
    </row>
    <row r="7123" spans="1:12" hidden="1" outlineLevel="1" collapsed="1" x14ac:dyDescent="0.35">
      <c r="A7123" s="112" t="s">
        <v>5553</v>
      </c>
      <c r="B7123" s="112" t="s">
        <v>927</v>
      </c>
      <c r="C7123" s="112" t="s">
        <v>1219</v>
      </c>
      <c r="D7123" s="113">
        <v>46307500</v>
      </c>
      <c r="E7123" s="115">
        <v>43942</v>
      </c>
      <c r="F7123" s="114">
        <v>202101</v>
      </c>
      <c r="G7123" s="112" t="s">
        <v>1091</v>
      </c>
      <c r="H7123" s="112" t="s">
        <v>1015</v>
      </c>
      <c r="I7123" s="112" t="s">
        <v>1605</v>
      </c>
      <c r="J7123" s="112" t="s">
        <v>5554</v>
      </c>
      <c r="K7123" s="112" t="s">
        <v>5555</v>
      </c>
      <c r="L7123" s="116">
        <v>25000</v>
      </c>
    </row>
    <row r="7124" spans="1:12" hidden="1" outlineLevel="1" collapsed="1" x14ac:dyDescent="0.35">
      <c r="A7124" s="112" t="s">
        <v>5553</v>
      </c>
      <c r="B7124" s="112" t="s">
        <v>927</v>
      </c>
      <c r="C7124" s="112" t="s">
        <v>1219</v>
      </c>
      <c r="D7124" s="113">
        <v>46307515</v>
      </c>
      <c r="E7124" s="115">
        <v>43942</v>
      </c>
      <c r="F7124" s="114">
        <v>202101</v>
      </c>
      <c r="G7124" s="112" t="s">
        <v>1091</v>
      </c>
      <c r="H7124" s="112" t="s">
        <v>1015</v>
      </c>
      <c r="I7124" s="112" t="s">
        <v>1605</v>
      </c>
      <c r="J7124" s="112" t="s">
        <v>5554</v>
      </c>
      <c r="K7124" s="112" t="s">
        <v>5556</v>
      </c>
      <c r="L7124" s="116">
        <v>10000</v>
      </c>
    </row>
    <row r="7125" spans="1:12" hidden="1" outlineLevel="1" collapsed="1" x14ac:dyDescent="0.35">
      <c r="A7125" s="112" t="s">
        <v>5553</v>
      </c>
      <c r="B7125" s="112" t="s">
        <v>927</v>
      </c>
      <c r="C7125" s="112" t="s">
        <v>1219</v>
      </c>
      <c r="D7125" s="113">
        <v>46307529</v>
      </c>
      <c r="E7125" s="115">
        <v>43942</v>
      </c>
      <c r="F7125" s="114">
        <v>202101</v>
      </c>
      <c r="G7125" s="112" t="s">
        <v>1091</v>
      </c>
      <c r="H7125" s="112" t="s">
        <v>1015</v>
      </c>
      <c r="I7125" s="112" t="s">
        <v>1605</v>
      </c>
      <c r="J7125" s="112" t="s">
        <v>5554</v>
      </c>
      <c r="K7125" s="112" t="s">
        <v>5556</v>
      </c>
      <c r="L7125" s="116">
        <v>10000</v>
      </c>
    </row>
    <row r="7126" spans="1:12" hidden="1" outlineLevel="1" collapsed="1" x14ac:dyDescent="0.35">
      <c r="A7126" s="112" t="s">
        <v>5553</v>
      </c>
      <c r="B7126" s="112" t="s">
        <v>927</v>
      </c>
      <c r="C7126" s="112" t="s">
        <v>1219</v>
      </c>
      <c r="D7126" s="113">
        <v>46307516</v>
      </c>
      <c r="E7126" s="115">
        <v>43942</v>
      </c>
      <c r="F7126" s="114">
        <v>202101</v>
      </c>
      <c r="G7126" s="112" t="s">
        <v>1091</v>
      </c>
      <c r="H7126" s="112" t="s">
        <v>1015</v>
      </c>
      <c r="I7126" s="112" t="s">
        <v>1605</v>
      </c>
      <c r="J7126" s="112" t="s">
        <v>5554</v>
      </c>
      <c r="K7126" s="112" t="s">
        <v>5556</v>
      </c>
      <c r="L7126" s="116">
        <v>10000</v>
      </c>
    </row>
    <row r="7127" spans="1:12" hidden="1" outlineLevel="1" collapsed="1" x14ac:dyDescent="0.35">
      <c r="A7127" s="112" t="s">
        <v>5553</v>
      </c>
      <c r="B7127" s="112" t="s">
        <v>927</v>
      </c>
      <c r="C7127" s="112" t="s">
        <v>1219</v>
      </c>
      <c r="D7127" s="113">
        <v>46307517</v>
      </c>
      <c r="E7127" s="115">
        <v>43942</v>
      </c>
      <c r="F7127" s="114">
        <v>202101</v>
      </c>
      <c r="G7127" s="112" t="s">
        <v>1091</v>
      </c>
      <c r="H7127" s="112" t="s">
        <v>1015</v>
      </c>
      <c r="I7127" s="112" t="s">
        <v>1605</v>
      </c>
      <c r="J7127" s="112" t="s">
        <v>5554</v>
      </c>
      <c r="K7127" s="112" t="s">
        <v>5555</v>
      </c>
      <c r="L7127" s="116">
        <v>25000</v>
      </c>
    </row>
    <row r="7128" spans="1:12" hidden="1" outlineLevel="1" collapsed="1" x14ac:dyDescent="0.35">
      <c r="A7128" s="112" t="s">
        <v>5553</v>
      </c>
      <c r="B7128" s="112" t="s">
        <v>927</v>
      </c>
      <c r="C7128" s="112" t="s">
        <v>1219</v>
      </c>
      <c r="D7128" s="113">
        <v>46307507</v>
      </c>
      <c r="E7128" s="115">
        <v>43942</v>
      </c>
      <c r="F7128" s="114">
        <v>202101</v>
      </c>
      <c r="G7128" s="112" t="s">
        <v>1091</v>
      </c>
      <c r="H7128" s="112" t="s">
        <v>1015</v>
      </c>
      <c r="I7128" s="112" t="s">
        <v>1605</v>
      </c>
      <c r="J7128" s="112" t="s">
        <v>5554</v>
      </c>
      <c r="K7128" s="112" t="s">
        <v>5555</v>
      </c>
      <c r="L7128" s="116">
        <v>25000</v>
      </c>
    </row>
    <row r="7129" spans="1:12" hidden="1" outlineLevel="1" collapsed="1" x14ac:dyDescent="0.35">
      <c r="A7129" s="112" t="s">
        <v>5553</v>
      </c>
      <c r="B7129" s="112" t="s">
        <v>927</v>
      </c>
      <c r="C7129" s="112" t="s">
        <v>1219</v>
      </c>
      <c r="D7129" s="113">
        <v>46307508</v>
      </c>
      <c r="E7129" s="115">
        <v>43942</v>
      </c>
      <c r="F7129" s="114">
        <v>202101</v>
      </c>
      <c r="G7129" s="112" t="s">
        <v>1091</v>
      </c>
      <c r="H7129" s="112" t="s">
        <v>1015</v>
      </c>
      <c r="I7129" s="112" t="s">
        <v>1605</v>
      </c>
      <c r="J7129" s="112" t="s">
        <v>5554</v>
      </c>
      <c r="K7129" s="112" t="s">
        <v>5556</v>
      </c>
      <c r="L7129" s="116">
        <v>10000</v>
      </c>
    </row>
    <row r="7130" spans="1:12" hidden="1" outlineLevel="1" collapsed="1" x14ac:dyDescent="0.35">
      <c r="A7130" s="112" t="s">
        <v>5553</v>
      </c>
      <c r="B7130" s="112" t="s">
        <v>927</v>
      </c>
      <c r="C7130" s="112" t="s">
        <v>1219</v>
      </c>
      <c r="D7130" s="113">
        <v>46307509</v>
      </c>
      <c r="E7130" s="115">
        <v>43942</v>
      </c>
      <c r="F7130" s="114">
        <v>202101</v>
      </c>
      <c r="G7130" s="112" t="s">
        <v>1091</v>
      </c>
      <c r="H7130" s="112" t="s">
        <v>1015</v>
      </c>
      <c r="I7130" s="112" t="s">
        <v>1605</v>
      </c>
      <c r="J7130" s="112" t="s">
        <v>5554</v>
      </c>
      <c r="K7130" s="112" t="s">
        <v>5556</v>
      </c>
      <c r="L7130" s="116">
        <v>10000</v>
      </c>
    </row>
    <row r="7131" spans="1:12" hidden="1" outlineLevel="1" collapsed="1" x14ac:dyDescent="0.35">
      <c r="A7131" s="112" t="s">
        <v>5553</v>
      </c>
      <c r="B7131" s="112" t="s">
        <v>927</v>
      </c>
      <c r="C7131" s="112" t="s">
        <v>1219</v>
      </c>
      <c r="D7131" s="113">
        <v>46307511</v>
      </c>
      <c r="E7131" s="115">
        <v>43942</v>
      </c>
      <c r="F7131" s="114">
        <v>202101</v>
      </c>
      <c r="G7131" s="112" t="s">
        <v>1091</v>
      </c>
      <c r="H7131" s="112" t="s">
        <v>1015</v>
      </c>
      <c r="I7131" s="112" t="s">
        <v>1605</v>
      </c>
      <c r="J7131" s="112" t="s">
        <v>5554</v>
      </c>
      <c r="K7131" s="112" t="s">
        <v>5555</v>
      </c>
      <c r="L7131" s="116">
        <v>25000</v>
      </c>
    </row>
    <row r="7132" spans="1:12" hidden="1" outlineLevel="1" collapsed="1" x14ac:dyDescent="0.35">
      <c r="A7132" s="112" t="s">
        <v>5553</v>
      </c>
      <c r="B7132" s="112" t="s">
        <v>927</v>
      </c>
      <c r="C7132" s="112" t="s">
        <v>1219</v>
      </c>
      <c r="D7132" s="113">
        <v>46307496</v>
      </c>
      <c r="E7132" s="115">
        <v>43942</v>
      </c>
      <c r="F7132" s="114">
        <v>202101</v>
      </c>
      <c r="G7132" s="112" t="s">
        <v>1091</v>
      </c>
      <c r="H7132" s="112" t="s">
        <v>1015</v>
      </c>
      <c r="I7132" s="112" t="s">
        <v>1605</v>
      </c>
      <c r="J7132" s="112" t="s">
        <v>5554</v>
      </c>
      <c r="K7132" s="112" t="s">
        <v>5555</v>
      </c>
      <c r="L7132" s="116">
        <v>10000</v>
      </c>
    </row>
    <row r="7133" spans="1:12" hidden="1" outlineLevel="1" collapsed="1" x14ac:dyDescent="0.35">
      <c r="A7133" s="112" t="s">
        <v>5553</v>
      </c>
      <c r="B7133" s="112" t="s">
        <v>927</v>
      </c>
      <c r="C7133" s="112" t="s">
        <v>1219</v>
      </c>
      <c r="D7133" s="113">
        <v>46307498</v>
      </c>
      <c r="E7133" s="115">
        <v>43942</v>
      </c>
      <c r="F7133" s="114">
        <v>202101</v>
      </c>
      <c r="G7133" s="112" t="s">
        <v>1091</v>
      </c>
      <c r="H7133" s="112" t="s">
        <v>1015</v>
      </c>
      <c r="I7133" s="112" t="s">
        <v>1605</v>
      </c>
      <c r="J7133" s="112" t="s">
        <v>5554</v>
      </c>
      <c r="K7133" s="112" t="s">
        <v>5556</v>
      </c>
      <c r="L7133" s="116">
        <v>10000</v>
      </c>
    </row>
    <row r="7134" spans="1:12" hidden="1" outlineLevel="1" collapsed="1" x14ac:dyDescent="0.35">
      <c r="A7134" s="112" t="s">
        <v>5553</v>
      </c>
      <c r="B7134" s="112" t="s">
        <v>927</v>
      </c>
      <c r="C7134" s="112" t="s">
        <v>1219</v>
      </c>
      <c r="D7134" s="113">
        <v>46307510</v>
      </c>
      <c r="E7134" s="115">
        <v>43942</v>
      </c>
      <c r="F7134" s="114">
        <v>202101</v>
      </c>
      <c r="G7134" s="112" t="s">
        <v>1091</v>
      </c>
      <c r="H7134" s="112" t="s">
        <v>1015</v>
      </c>
      <c r="I7134" s="112" t="s">
        <v>1605</v>
      </c>
      <c r="J7134" s="112" t="s">
        <v>5554</v>
      </c>
      <c r="K7134" s="112" t="s">
        <v>5556</v>
      </c>
      <c r="L7134" s="116">
        <v>10000</v>
      </c>
    </row>
    <row r="7135" spans="1:12" hidden="1" outlineLevel="1" collapsed="1" x14ac:dyDescent="0.35">
      <c r="A7135" s="112" t="s">
        <v>5553</v>
      </c>
      <c r="B7135" s="112" t="s">
        <v>927</v>
      </c>
      <c r="C7135" s="112" t="s">
        <v>1219</v>
      </c>
      <c r="D7135" s="113">
        <v>46307518</v>
      </c>
      <c r="E7135" s="115">
        <v>43942</v>
      </c>
      <c r="F7135" s="114">
        <v>202101</v>
      </c>
      <c r="G7135" s="112" t="s">
        <v>1091</v>
      </c>
      <c r="H7135" s="112" t="s">
        <v>1015</v>
      </c>
      <c r="I7135" s="112" t="s">
        <v>1605</v>
      </c>
      <c r="J7135" s="112" t="s">
        <v>5554</v>
      </c>
      <c r="K7135" s="112" t="s">
        <v>5556</v>
      </c>
      <c r="L7135" s="116">
        <v>10000</v>
      </c>
    </row>
    <row r="7136" spans="1:12" hidden="1" outlineLevel="1" collapsed="1" x14ac:dyDescent="0.35">
      <c r="A7136" s="112" t="s">
        <v>5553</v>
      </c>
      <c r="B7136" s="112" t="s">
        <v>927</v>
      </c>
      <c r="C7136" s="112" t="s">
        <v>1219</v>
      </c>
      <c r="D7136" s="113">
        <v>46307519</v>
      </c>
      <c r="E7136" s="115">
        <v>43942</v>
      </c>
      <c r="F7136" s="114">
        <v>202101</v>
      </c>
      <c r="G7136" s="112" t="s">
        <v>1091</v>
      </c>
      <c r="H7136" s="112" t="s">
        <v>1015</v>
      </c>
      <c r="I7136" s="112" t="s">
        <v>1605</v>
      </c>
      <c r="J7136" s="112" t="s">
        <v>5554</v>
      </c>
      <c r="K7136" s="112" t="s">
        <v>5555</v>
      </c>
      <c r="L7136" s="116">
        <v>10000</v>
      </c>
    </row>
    <row r="7137" spans="1:12" hidden="1" outlineLevel="1" collapsed="1" x14ac:dyDescent="0.35">
      <c r="A7137" s="112" t="s">
        <v>5553</v>
      </c>
      <c r="B7137" s="112" t="s">
        <v>927</v>
      </c>
      <c r="C7137" s="112" t="s">
        <v>1219</v>
      </c>
      <c r="D7137" s="113">
        <v>46307497</v>
      </c>
      <c r="E7137" s="115">
        <v>43942</v>
      </c>
      <c r="F7137" s="114">
        <v>202101</v>
      </c>
      <c r="G7137" s="112" t="s">
        <v>1091</v>
      </c>
      <c r="H7137" s="112" t="s">
        <v>1015</v>
      </c>
      <c r="I7137" s="112" t="s">
        <v>1605</v>
      </c>
      <c r="J7137" s="112" t="s">
        <v>5554</v>
      </c>
      <c r="K7137" s="112" t="s">
        <v>5556</v>
      </c>
      <c r="L7137" s="116">
        <v>10000</v>
      </c>
    </row>
    <row r="7138" spans="1:12" hidden="1" outlineLevel="1" collapsed="1" x14ac:dyDescent="0.35">
      <c r="A7138" s="112" t="s">
        <v>5553</v>
      </c>
      <c r="B7138" s="112" t="s">
        <v>927</v>
      </c>
      <c r="C7138" s="112" t="s">
        <v>1219</v>
      </c>
      <c r="D7138" s="113">
        <v>46307128</v>
      </c>
      <c r="E7138" s="115">
        <v>43936</v>
      </c>
      <c r="F7138" s="114">
        <v>202101</v>
      </c>
      <c r="G7138" s="112" t="s">
        <v>1091</v>
      </c>
      <c r="H7138" s="112" t="s">
        <v>1015</v>
      </c>
      <c r="I7138" s="112" t="s">
        <v>1605</v>
      </c>
      <c r="J7138" s="112" t="s">
        <v>5554</v>
      </c>
      <c r="K7138" s="112" t="s">
        <v>5556</v>
      </c>
      <c r="L7138" s="116">
        <v>10000</v>
      </c>
    </row>
    <row r="7139" spans="1:12" hidden="1" outlineLevel="1" collapsed="1" x14ac:dyDescent="0.35">
      <c r="A7139" s="112" t="s">
        <v>5553</v>
      </c>
      <c r="B7139" s="112" t="s">
        <v>927</v>
      </c>
      <c r="C7139" s="112" t="s">
        <v>1219</v>
      </c>
      <c r="D7139" s="113">
        <v>46307127</v>
      </c>
      <c r="E7139" s="115">
        <v>43936</v>
      </c>
      <c r="F7139" s="114">
        <v>202101</v>
      </c>
      <c r="G7139" s="112" t="s">
        <v>1091</v>
      </c>
      <c r="H7139" s="112" t="s">
        <v>1015</v>
      </c>
      <c r="I7139" s="112" t="s">
        <v>1605</v>
      </c>
      <c r="J7139" s="112" t="s">
        <v>5554</v>
      </c>
      <c r="K7139" s="112" t="s">
        <v>5555</v>
      </c>
      <c r="L7139" s="116">
        <v>25000</v>
      </c>
    </row>
    <row r="7140" spans="1:12" hidden="1" outlineLevel="1" collapsed="1" x14ac:dyDescent="0.35">
      <c r="A7140" s="112" t="s">
        <v>5553</v>
      </c>
      <c r="B7140" s="112" t="s">
        <v>927</v>
      </c>
      <c r="C7140" s="112" t="s">
        <v>1219</v>
      </c>
      <c r="D7140" s="113">
        <v>46307098</v>
      </c>
      <c r="E7140" s="115">
        <v>43936</v>
      </c>
      <c r="F7140" s="114">
        <v>202101</v>
      </c>
      <c r="G7140" s="112" t="s">
        <v>1091</v>
      </c>
      <c r="H7140" s="112" t="s">
        <v>1015</v>
      </c>
      <c r="I7140" s="112" t="s">
        <v>1605</v>
      </c>
      <c r="J7140" s="112" t="s">
        <v>5554</v>
      </c>
      <c r="K7140" s="112" t="s">
        <v>5556</v>
      </c>
      <c r="L7140" s="116">
        <v>10000</v>
      </c>
    </row>
    <row r="7141" spans="1:12" hidden="1" outlineLevel="1" collapsed="1" x14ac:dyDescent="0.35">
      <c r="A7141" s="112" t="s">
        <v>5553</v>
      </c>
      <c r="B7141" s="112" t="s">
        <v>927</v>
      </c>
      <c r="C7141" s="112" t="s">
        <v>1095</v>
      </c>
      <c r="D7141" s="113">
        <v>10348451</v>
      </c>
      <c r="E7141" s="115">
        <v>43949</v>
      </c>
      <c r="F7141" s="114">
        <v>202101</v>
      </c>
      <c r="G7141" s="112" t="s">
        <v>1091</v>
      </c>
      <c r="H7141" s="112" t="s">
        <v>1015</v>
      </c>
      <c r="I7141" s="112" t="s">
        <v>1096</v>
      </c>
      <c r="J7141" s="112" t="s">
        <v>5557</v>
      </c>
      <c r="K7141" s="112" t="s">
        <v>1098</v>
      </c>
      <c r="L7141" s="116">
        <v>210.79</v>
      </c>
    </row>
    <row r="7142" spans="1:12" hidden="1" outlineLevel="1" collapsed="1" x14ac:dyDescent="0.35">
      <c r="A7142" s="112" t="s">
        <v>5553</v>
      </c>
      <c r="B7142" s="112" t="s">
        <v>927</v>
      </c>
      <c r="C7142" s="112" t="s">
        <v>1219</v>
      </c>
      <c r="D7142" s="113">
        <v>46306744</v>
      </c>
      <c r="E7142" s="115">
        <v>43922</v>
      </c>
      <c r="F7142" s="114">
        <v>202101</v>
      </c>
      <c r="G7142" s="112" t="s">
        <v>1091</v>
      </c>
      <c r="H7142" s="112" t="s">
        <v>1015</v>
      </c>
      <c r="I7142" s="112" t="s">
        <v>1605</v>
      </c>
      <c r="J7142" s="112" t="s">
        <v>5554</v>
      </c>
      <c r="K7142" s="112" t="s">
        <v>5556</v>
      </c>
      <c r="L7142" s="116">
        <v>10000</v>
      </c>
    </row>
    <row r="7143" spans="1:12" hidden="1" outlineLevel="1" collapsed="1" x14ac:dyDescent="0.35">
      <c r="A7143" s="112" t="s">
        <v>5553</v>
      </c>
      <c r="B7143" s="112" t="s">
        <v>927</v>
      </c>
      <c r="C7143" s="112" t="s">
        <v>1219</v>
      </c>
      <c r="D7143" s="113">
        <v>46306745</v>
      </c>
      <c r="E7143" s="115">
        <v>43922</v>
      </c>
      <c r="F7143" s="114">
        <v>202101</v>
      </c>
      <c r="G7143" s="112" t="s">
        <v>1091</v>
      </c>
      <c r="H7143" s="112" t="s">
        <v>1015</v>
      </c>
      <c r="I7143" s="112" t="s">
        <v>1605</v>
      </c>
      <c r="J7143" s="112" t="s">
        <v>5554</v>
      </c>
      <c r="K7143" s="112" t="s">
        <v>5556</v>
      </c>
      <c r="L7143" s="116">
        <v>10000</v>
      </c>
    </row>
    <row r="7144" spans="1:12" hidden="1" outlineLevel="1" collapsed="1" x14ac:dyDescent="0.35">
      <c r="A7144" s="112" t="s">
        <v>5553</v>
      </c>
      <c r="B7144" s="112" t="s">
        <v>927</v>
      </c>
      <c r="C7144" s="112" t="s">
        <v>1095</v>
      </c>
      <c r="D7144" s="113">
        <v>10348451</v>
      </c>
      <c r="E7144" s="115">
        <v>43949</v>
      </c>
      <c r="F7144" s="114">
        <v>202101</v>
      </c>
      <c r="G7144" s="112" t="s">
        <v>1091</v>
      </c>
      <c r="H7144" s="112" t="s">
        <v>1015</v>
      </c>
      <c r="I7144" s="112" t="s">
        <v>1096</v>
      </c>
      <c r="J7144" s="112" t="s">
        <v>5554</v>
      </c>
      <c r="K7144" s="112" t="s">
        <v>1098</v>
      </c>
      <c r="L7144" s="116">
        <v>252.23</v>
      </c>
    </row>
    <row r="7145" spans="1:12" hidden="1" outlineLevel="1" collapsed="1" x14ac:dyDescent="0.35">
      <c r="A7145" s="112" t="s">
        <v>5553</v>
      </c>
      <c r="B7145" s="112" t="s">
        <v>924</v>
      </c>
      <c r="C7145" s="112" t="s">
        <v>1095</v>
      </c>
      <c r="D7145" s="113">
        <v>10348451</v>
      </c>
      <c r="E7145" s="115">
        <v>43949</v>
      </c>
      <c r="F7145" s="114">
        <v>202101</v>
      </c>
      <c r="G7145" s="112" t="s">
        <v>1091</v>
      </c>
      <c r="H7145" s="112" t="s">
        <v>1015</v>
      </c>
      <c r="I7145" s="112" t="s">
        <v>1101</v>
      </c>
      <c r="J7145" s="112" t="s">
        <v>5558</v>
      </c>
      <c r="K7145" s="112" t="s">
        <v>1098</v>
      </c>
      <c r="L7145" s="116">
        <v>679.08</v>
      </c>
    </row>
    <row r="7146" spans="1:12" hidden="1" outlineLevel="1" collapsed="1" x14ac:dyDescent="0.35">
      <c r="A7146" s="112" t="s">
        <v>5553</v>
      </c>
      <c r="B7146" s="112" t="s">
        <v>927</v>
      </c>
      <c r="C7146" s="112" t="s">
        <v>1219</v>
      </c>
      <c r="D7146" s="113">
        <v>46306748</v>
      </c>
      <c r="E7146" s="115">
        <v>43922</v>
      </c>
      <c r="F7146" s="114">
        <v>202101</v>
      </c>
      <c r="G7146" s="112" t="s">
        <v>1091</v>
      </c>
      <c r="H7146" s="112" t="s">
        <v>1015</v>
      </c>
      <c r="I7146" s="112" t="s">
        <v>1605</v>
      </c>
      <c r="J7146" s="112" t="s">
        <v>5554</v>
      </c>
      <c r="K7146" s="112" t="s">
        <v>5556</v>
      </c>
      <c r="L7146" s="116">
        <v>10000</v>
      </c>
    </row>
    <row r="7147" spans="1:12" hidden="1" outlineLevel="1" collapsed="1" x14ac:dyDescent="0.35">
      <c r="A7147" s="112" t="s">
        <v>5553</v>
      </c>
      <c r="B7147" s="112" t="s">
        <v>927</v>
      </c>
      <c r="C7147" s="112" t="s">
        <v>1219</v>
      </c>
      <c r="D7147" s="113">
        <v>46306749</v>
      </c>
      <c r="E7147" s="115">
        <v>43922</v>
      </c>
      <c r="F7147" s="114">
        <v>202101</v>
      </c>
      <c r="G7147" s="112" t="s">
        <v>1091</v>
      </c>
      <c r="H7147" s="112" t="s">
        <v>1015</v>
      </c>
      <c r="I7147" s="112" t="s">
        <v>1605</v>
      </c>
      <c r="J7147" s="112" t="s">
        <v>5554</v>
      </c>
      <c r="K7147" s="112" t="s">
        <v>5556</v>
      </c>
      <c r="L7147" s="116">
        <v>10000</v>
      </c>
    </row>
    <row r="7148" spans="1:12" hidden="1" outlineLevel="1" collapsed="1" x14ac:dyDescent="0.35">
      <c r="A7148" s="112" t="s">
        <v>5553</v>
      </c>
      <c r="B7148" s="112" t="s">
        <v>925</v>
      </c>
      <c r="C7148" s="112" t="s">
        <v>695</v>
      </c>
      <c r="D7148" s="113">
        <v>10347981</v>
      </c>
      <c r="E7148" s="115">
        <v>43924</v>
      </c>
      <c r="F7148" s="114">
        <v>202101</v>
      </c>
      <c r="G7148" s="112" t="s">
        <v>1091</v>
      </c>
      <c r="H7148" s="112" t="s">
        <v>1015</v>
      </c>
      <c r="I7148" s="112" t="s">
        <v>1092</v>
      </c>
      <c r="J7148" s="112" t="s">
        <v>5559</v>
      </c>
      <c r="K7148" s="112" t="s">
        <v>1094</v>
      </c>
      <c r="L7148" s="116">
        <v>-32</v>
      </c>
    </row>
    <row r="7149" spans="1:12" hidden="1" outlineLevel="1" collapsed="1" x14ac:dyDescent="0.35">
      <c r="A7149" s="112" t="s">
        <v>5553</v>
      </c>
      <c r="B7149" s="112" t="s">
        <v>927</v>
      </c>
      <c r="C7149" s="112" t="s">
        <v>695</v>
      </c>
      <c r="D7149" s="113">
        <v>10347981</v>
      </c>
      <c r="E7149" s="115">
        <v>43924</v>
      </c>
      <c r="F7149" s="114">
        <v>202101</v>
      </c>
      <c r="G7149" s="112" t="s">
        <v>1091</v>
      </c>
      <c r="H7149" s="112" t="s">
        <v>1015</v>
      </c>
      <c r="I7149" s="112" t="s">
        <v>1092</v>
      </c>
      <c r="J7149" s="112" t="s">
        <v>5557</v>
      </c>
      <c r="K7149" s="112" t="s">
        <v>1262</v>
      </c>
      <c r="L7149" s="116">
        <v>-90</v>
      </c>
    </row>
    <row r="7150" spans="1:12" hidden="1" outlineLevel="1" collapsed="1" x14ac:dyDescent="0.35">
      <c r="A7150" s="112" t="s">
        <v>5553</v>
      </c>
      <c r="B7150" s="112" t="s">
        <v>927</v>
      </c>
      <c r="C7150" s="112" t="s">
        <v>1095</v>
      </c>
      <c r="D7150" s="113">
        <v>10348451</v>
      </c>
      <c r="E7150" s="115">
        <v>43949</v>
      </c>
      <c r="F7150" s="114">
        <v>202101</v>
      </c>
      <c r="G7150" s="112" t="s">
        <v>1091</v>
      </c>
      <c r="H7150" s="112" t="s">
        <v>1015</v>
      </c>
      <c r="I7150" s="112" t="s">
        <v>1096</v>
      </c>
      <c r="J7150" s="112" t="s">
        <v>5554</v>
      </c>
      <c r="K7150" s="112" t="s">
        <v>1098</v>
      </c>
      <c r="L7150" s="116">
        <v>148.41999999999999</v>
      </c>
    </row>
    <row r="7151" spans="1:12" hidden="1" outlineLevel="1" collapsed="1" x14ac:dyDescent="0.35">
      <c r="A7151" s="112" t="s">
        <v>5553</v>
      </c>
      <c r="B7151" s="112" t="s">
        <v>924</v>
      </c>
      <c r="C7151" s="112" t="s">
        <v>695</v>
      </c>
      <c r="D7151" s="113">
        <v>10347981</v>
      </c>
      <c r="E7151" s="115">
        <v>43924</v>
      </c>
      <c r="F7151" s="114">
        <v>202101</v>
      </c>
      <c r="G7151" s="112" t="s">
        <v>1091</v>
      </c>
      <c r="H7151" s="112" t="s">
        <v>1015</v>
      </c>
      <c r="I7151" s="112" t="s">
        <v>763</v>
      </c>
      <c r="J7151" s="112" t="s">
        <v>5558</v>
      </c>
      <c r="K7151" s="112" t="s">
        <v>5560</v>
      </c>
      <c r="L7151" s="116">
        <v>-4980</v>
      </c>
    </row>
    <row r="7152" spans="1:12" hidden="1" outlineLevel="1" collapsed="1" x14ac:dyDescent="0.35">
      <c r="A7152" s="112" t="s">
        <v>5553</v>
      </c>
      <c r="B7152" s="112" t="s">
        <v>5561</v>
      </c>
      <c r="C7152" s="112" t="s">
        <v>695</v>
      </c>
      <c r="D7152" s="113">
        <v>10347981</v>
      </c>
      <c r="E7152" s="115">
        <v>43924</v>
      </c>
      <c r="F7152" s="114">
        <v>202101</v>
      </c>
      <c r="G7152" s="112" t="s">
        <v>1091</v>
      </c>
      <c r="H7152" s="112" t="s">
        <v>1015</v>
      </c>
      <c r="I7152" s="112" t="s">
        <v>1092</v>
      </c>
      <c r="J7152" s="112" t="s">
        <v>5562</v>
      </c>
      <c r="K7152" s="112" t="s">
        <v>1208</v>
      </c>
      <c r="L7152" s="116">
        <v>-30</v>
      </c>
    </row>
    <row r="7153" spans="1:12" hidden="1" outlineLevel="1" collapsed="1" x14ac:dyDescent="0.35">
      <c r="A7153" s="112" t="s">
        <v>5553</v>
      </c>
      <c r="B7153" s="112" t="s">
        <v>927</v>
      </c>
      <c r="C7153" s="112" t="s">
        <v>1219</v>
      </c>
      <c r="D7153" s="113">
        <v>46306779</v>
      </c>
      <c r="E7153" s="115">
        <v>43922</v>
      </c>
      <c r="F7153" s="114">
        <v>202101</v>
      </c>
      <c r="G7153" s="112" t="s">
        <v>1091</v>
      </c>
      <c r="H7153" s="112" t="s">
        <v>1015</v>
      </c>
      <c r="I7153" s="112" t="s">
        <v>1605</v>
      </c>
      <c r="J7153" s="112" t="s">
        <v>5554</v>
      </c>
      <c r="K7153" s="112" t="s">
        <v>5556</v>
      </c>
      <c r="L7153" s="116">
        <v>10000</v>
      </c>
    </row>
    <row r="7154" spans="1:12" hidden="1" outlineLevel="1" collapsed="1" x14ac:dyDescent="0.35">
      <c r="A7154" s="112" t="s">
        <v>5553</v>
      </c>
      <c r="B7154" s="112" t="s">
        <v>925</v>
      </c>
      <c r="C7154" s="112" t="s">
        <v>695</v>
      </c>
      <c r="D7154" s="113">
        <v>10347981</v>
      </c>
      <c r="E7154" s="115">
        <v>43924</v>
      </c>
      <c r="F7154" s="114">
        <v>202101</v>
      </c>
      <c r="G7154" s="112" t="s">
        <v>1091</v>
      </c>
      <c r="H7154" s="112" t="s">
        <v>1015</v>
      </c>
      <c r="I7154" s="112" t="s">
        <v>1102</v>
      </c>
      <c r="J7154" s="112" t="s">
        <v>5559</v>
      </c>
      <c r="K7154" s="112" t="s">
        <v>5563</v>
      </c>
      <c r="L7154" s="116">
        <v>-1600</v>
      </c>
    </row>
    <row r="7155" spans="1:12" hidden="1" outlineLevel="1" collapsed="1" x14ac:dyDescent="0.35">
      <c r="A7155" s="112" t="s">
        <v>5553</v>
      </c>
      <c r="B7155" s="112" t="s">
        <v>927</v>
      </c>
      <c r="C7155" s="112" t="s">
        <v>1219</v>
      </c>
      <c r="D7155" s="113">
        <v>46307097</v>
      </c>
      <c r="E7155" s="115">
        <v>43936</v>
      </c>
      <c r="F7155" s="114">
        <v>202101</v>
      </c>
      <c r="G7155" s="112" t="s">
        <v>1091</v>
      </c>
      <c r="H7155" s="112" t="s">
        <v>1015</v>
      </c>
      <c r="I7155" s="112" t="s">
        <v>1605</v>
      </c>
      <c r="J7155" s="112" t="s">
        <v>5554</v>
      </c>
      <c r="K7155" s="112" t="s">
        <v>5555</v>
      </c>
      <c r="L7155" s="116">
        <v>25000</v>
      </c>
    </row>
    <row r="7156" spans="1:12" hidden="1" outlineLevel="1" collapsed="1" x14ac:dyDescent="0.35">
      <c r="A7156" s="112" t="s">
        <v>5553</v>
      </c>
      <c r="B7156" s="112" t="s">
        <v>924</v>
      </c>
      <c r="C7156" s="112" t="s">
        <v>1266</v>
      </c>
      <c r="D7156" s="113">
        <v>1069313</v>
      </c>
      <c r="E7156" s="115">
        <v>43885</v>
      </c>
      <c r="F7156" s="114">
        <v>202101</v>
      </c>
      <c r="G7156" s="112" t="s">
        <v>1091</v>
      </c>
      <c r="H7156" s="112" t="s">
        <v>1015</v>
      </c>
      <c r="I7156" s="112" t="s">
        <v>1102</v>
      </c>
      <c r="J7156" s="112" t="s">
        <v>5558</v>
      </c>
      <c r="K7156" s="112" t="s">
        <v>5564</v>
      </c>
      <c r="L7156" s="116">
        <v>4340</v>
      </c>
    </row>
    <row r="7157" spans="1:12" hidden="1" outlineLevel="1" collapsed="1" x14ac:dyDescent="0.35">
      <c r="A7157" s="112" t="s">
        <v>5553</v>
      </c>
      <c r="B7157" s="112" t="s">
        <v>927</v>
      </c>
      <c r="C7157" s="112" t="s">
        <v>1219</v>
      </c>
      <c r="D7157" s="113">
        <v>46307099</v>
      </c>
      <c r="E7157" s="115">
        <v>43936</v>
      </c>
      <c r="F7157" s="114">
        <v>202101</v>
      </c>
      <c r="G7157" s="112" t="s">
        <v>1091</v>
      </c>
      <c r="H7157" s="112" t="s">
        <v>1015</v>
      </c>
      <c r="I7157" s="112" t="s">
        <v>1605</v>
      </c>
      <c r="J7157" s="112" t="s">
        <v>5554</v>
      </c>
      <c r="K7157" s="112" t="s">
        <v>5556</v>
      </c>
      <c r="L7157" s="116">
        <v>10000</v>
      </c>
    </row>
    <row r="7158" spans="1:12" hidden="1" outlineLevel="1" collapsed="1" x14ac:dyDescent="0.35">
      <c r="A7158" s="112" t="s">
        <v>5553</v>
      </c>
      <c r="B7158" s="112" t="s">
        <v>927</v>
      </c>
      <c r="C7158" s="112" t="s">
        <v>1219</v>
      </c>
      <c r="D7158" s="113">
        <v>46307100</v>
      </c>
      <c r="E7158" s="115">
        <v>43936</v>
      </c>
      <c r="F7158" s="114">
        <v>202101</v>
      </c>
      <c r="G7158" s="112" t="s">
        <v>1091</v>
      </c>
      <c r="H7158" s="112" t="s">
        <v>1015</v>
      </c>
      <c r="I7158" s="112" t="s">
        <v>1605</v>
      </c>
      <c r="J7158" s="112" t="s">
        <v>5554</v>
      </c>
      <c r="K7158" s="112" t="s">
        <v>5555</v>
      </c>
      <c r="L7158" s="116">
        <v>25000</v>
      </c>
    </row>
    <row r="7159" spans="1:12" hidden="1" outlineLevel="1" collapsed="1" x14ac:dyDescent="0.35">
      <c r="A7159" s="112" t="s">
        <v>5553</v>
      </c>
      <c r="B7159" s="112" t="s">
        <v>927</v>
      </c>
      <c r="C7159" s="112" t="s">
        <v>1219</v>
      </c>
      <c r="D7159" s="113">
        <v>46307101</v>
      </c>
      <c r="E7159" s="115">
        <v>43936</v>
      </c>
      <c r="F7159" s="114">
        <v>202101</v>
      </c>
      <c r="G7159" s="112" t="s">
        <v>1091</v>
      </c>
      <c r="H7159" s="112" t="s">
        <v>1015</v>
      </c>
      <c r="I7159" s="112" t="s">
        <v>1605</v>
      </c>
      <c r="J7159" s="112" t="s">
        <v>5554</v>
      </c>
      <c r="K7159" s="112" t="s">
        <v>5555</v>
      </c>
      <c r="L7159" s="116">
        <v>25000</v>
      </c>
    </row>
    <row r="7160" spans="1:12" hidden="1" outlineLevel="1" collapsed="1" x14ac:dyDescent="0.35">
      <c r="A7160" s="112" t="s">
        <v>5553</v>
      </c>
      <c r="B7160" s="112" t="s">
        <v>927</v>
      </c>
      <c r="C7160" s="112" t="s">
        <v>1219</v>
      </c>
      <c r="D7160" s="113">
        <v>46307102</v>
      </c>
      <c r="E7160" s="115">
        <v>43936</v>
      </c>
      <c r="F7160" s="114">
        <v>202101</v>
      </c>
      <c r="G7160" s="112" t="s">
        <v>1091</v>
      </c>
      <c r="H7160" s="112" t="s">
        <v>1015</v>
      </c>
      <c r="I7160" s="112" t="s">
        <v>1605</v>
      </c>
      <c r="J7160" s="112" t="s">
        <v>5554</v>
      </c>
      <c r="K7160" s="112" t="s">
        <v>5556</v>
      </c>
      <c r="L7160" s="116">
        <v>10000</v>
      </c>
    </row>
    <row r="7161" spans="1:12" hidden="1" outlineLevel="1" collapsed="1" x14ac:dyDescent="0.35">
      <c r="A7161" s="112" t="s">
        <v>5553</v>
      </c>
      <c r="B7161" s="112" t="s">
        <v>5561</v>
      </c>
      <c r="C7161" s="112" t="s">
        <v>1095</v>
      </c>
      <c r="D7161" s="113">
        <v>10348451</v>
      </c>
      <c r="E7161" s="115">
        <v>43949</v>
      </c>
      <c r="F7161" s="114">
        <v>202101</v>
      </c>
      <c r="G7161" s="112" t="s">
        <v>1091</v>
      </c>
      <c r="H7161" s="112" t="s">
        <v>1015</v>
      </c>
      <c r="I7161" s="112" t="s">
        <v>1096</v>
      </c>
      <c r="J7161" s="112" t="s">
        <v>5562</v>
      </c>
      <c r="K7161" s="112" t="s">
        <v>1098</v>
      </c>
      <c r="L7161" s="116">
        <v>262.10000000000002</v>
      </c>
    </row>
    <row r="7162" spans="1:12" hidden="1" outlineLevel="1" collapsed="1" x14ac:dyDescent="0.35">
      <c r="A7162" s="112" t="s">
        <v>5553</v>
      </c>
      <c r="B7162" s="112" t="s">
        <v>927</v>
      </c>
      <c r="C7162" s="112" t="s">
        <v>1095</v>
      </c>
      <c r="D7162" s="113">
        <v>10348451</v>
      </c>
      <c r="E7162" s="115">
        <v>43949</v>
      </c>
      <c r="F7162" s="114">
        <v>202101</v>
      </c>
      <c r="G7162" s="112" t="s">
        <v>1091</v>
      </c>
      <c r="H7162" s="112" t="s">
        <v>1015</v>
      </c>
      <c r="I7162" s="112" t="s">
        <v>1096</v>
      </c>
      <c r="J7162" s="112" t="s">
        <v>5557</v>
      </c>
      <c r="K7162" s="112" t="s">
        <v>1098</v>
      </c>
      <c r="L7162" s="116">
        <v>210.79</v>
      </c>
    </row>
    <row r="7163" spans="1:12" hidden="1" outlineLevel="1" collapsed="1" x14ac:dyDescent="0.35">
      <c r="A7163" s="112" t="s">
        <v>5553</v>
      </c>
      <c r="B7163" s="112" t="s">
        <v>928</v>
      </c>
      <c r="C7163" s="112" t="s">
        <v>1095</v>
      </c>
      <c r="D7163" s="113">
        <v>10348451</v>
      </c>
      <c r="E7163" s="115">
        <v>43949</v>
      </c>
      <c r="F7163" s="114">
        <v>202101</v>
      </c>
      <c r="G7163" s="112" t="s">
        <v>1091</v>
      </c>
      <c r="H7163" s="112" t="s">
        <v>1015</v>
      </c>
      <c r="I7163" s="112" t="s">
        <v>1101</v>
      </c>
      <c r="J7163" s="112" t="s">
        <v>5565</v>
      </c>
      <c r="K7163" s="112" t="s">
        <v>1098</v>
      </c>
      <c r="L7163" s="116">
        <v>366.04</v>
      </c>
    </row>
    <row r="7164" spans="1:12" hidden="1" outlineLevel="1" collapsed="1" x14ac:dyDescent="0.35">
      <c r="A7164" s="112" t="s">
        <v>5553</v>
      </c>
      <c r="B7164" s="112" t="s">
        <v>5561</v>
      </c>
      <c r="C7164" s="112" t="s">
        <v>695</v>
      </c>
      <c r="D7164" s="113">
        <v>10347981</v>
      </c>
      <c r="E7164" s="115">
        <v>43924</v>
      </c>
      <c r="F7164" s="114">
        <v>202101</v>
      </c>
      <c r="G7164" s="112" t="s">
        <v>1091</v>
      </c>
      <c r="H7164" s="112" t="s">
        <v>1015</v>
      </c>
      <c r="I7164" s="112" t="s">
        <v>1102</v>
      </c>
      <c r="J7164" s="112" t="s">
        <v>5562</v>
      </c>
      <c r="K7164" s="112" t="s">
        <v>5566</v>
      </c>
      <c r="L7164" s="116">
        <v>-385</v>
      </c>
    </row>
    <row r="7165" spans="1:12" hidden="1" outlineLevel="1" collapsed="1" x14ac:dyDescent="0.35">
      <c r="A7165" s="112" t="s">
        <v>5553</v>
      </c>
      <c r="B7165" s="112" t="s">
        <v>924</v>
      </c>
      <c r="C7165" s="112" t="s">
        <v>1095</v>
      </c>
      <c r="D7165" s="113">
        <v>10348451</v>
      </c>
      <c r="E7165" s="115">
        <v>43949</v>
      </c>
      <c r="F7165" s="114">
        <v>202101</v>
      </c>
      <c r="G7165" s="112" t="s">
        <v>1091</v>
      </c>
      <c r="H7165" s="112" t="s">
        <v>1015</v>
      </c>
      <c r="I7165" s="112" t="s">
        <v>1101</v>
      </c>
      <c r="J7165" s="112" t="s">
        <v>5558</v>
      </c>
      <c r="K7165" s="112" t="s">
        <v>1098</v>
      </c>
      <c r="L7165" s="116">
        <v>379.69</v>
      </c>
    </row>
    <row r="7166" spans="1:12" hidden="1" outlineLevel="1" collapsed="1" x14ac:dyDescent="0.35">
      <c r="A7166" s="112" t="s">
        <v>5553</v>
      </c>
      <c r="B7166" s="112" t="s">
        <v>927</v>
      </c>
      <c r="C7166" s="112" t="s">
        <v>1095</v>
      </c>
      <c r="D7166" s="113">
        <v>10348451</v>
      </c>
      <c r="E7166" s="115">
        <v>43949</v>
      </c>
      <c r="F7166" s="114">
        <v>202101</v>
      </c>
      <c r="G7166" s="112" t="s">
        <v>1091</v>
      </c>
      <c r="H7166" s="112" t="s">
        <v>1015</v>
      </c>
      <c r="I7166" s="112" t="s">
        <v>1096</v>
      </c>
      <c r="J7166" s="112" t="s">
        <v>5557</v>
      </c>
      <c r="K7166" s="112" t="s">
        <v>1098</v>
      </c>
      <c r="L7166" s="116">
        <v>262.10000000000002</v>
      </c>
    </row>
    <row r="7167" spans="1:12" hidden="1" outlineLevel="1" collapsed="1" x14ac:dyDescent="0.35">
      <c r="A7167" s="112" t="s">
        <v>5553</v>
      </c>
      <c r="B7167" s="112" t="s">
        <v>927</v>
      </c>
      <c r="C7167" s="112" t="s">
        <v>1219</v>
      </c>
      <c r="D7167" s="113">
        <v>46307103</v>
      </c>
      <c r="E7167" s="115">
        <v>43936</v>
      </c>
      <c r="F7167" s="114">
        <v>202101</v>
      </c>
      <c r="G7167" s="112" t="s">
        <v>1091</v>
      </c>
      <c r="H7167" s="112" t="s">
        <v>1015</v>
      </c>
      <c r="I7167" s="112" t="s">
        <v>1605</v>
      </c>
      <c r="J7167" s="112" t="s">
        <v>5554</v>
      </c>
      <c r="K7167" s="112" t="s">
        <v>5556</v>
      </c>
      <c r="L7167" s="116">
        <v>10000</v>
      </c>
    </row>
    <row r="7168" spans="1:12" hidden="1" outlineLevel="1" collapsed="1" x14ac:dyDescent="0.35">
      <c r="A7168" s="112" t="s">
        <v>5553</v>
      </c>
      <c r="B7168" s="112" t="s">
        <v>927</v>
      </c>
      <c r="C7168" s="112" t="s">
        <v>1219</v>
      </c>
      <c r="D7168" s="113">
        <v>46307104</v>
      </c>
      <c r="E7168" s="115">
        <v>43936</v>
      </c>
      <c r="F7168" s="114">
        <v>202101</v>
      </c>
      <c r="G7168" s="112" t="s">
        <v>1091</v>
      </c>
      <c r="H7168" s="112" t="s">
        <v>1015</v>
      </c>
      <c r="I7168" s="112" t="s">
        <v>1605</v>
      </c>
      <c r="J7168" s="112" t="s">
        <v>5554</v>
      </c>
      <c r="K7168" s="112" t="s">
        <v>5555</v>
      </c>
      <c r="L7168" s="116">
        <v>25000</v>
      </c>
    </row>
    <row r="7169" spans="1:12" hidden="1" outlineLevel="1" collapsed="1" x14ac:dyDescent="0.35">
      <c r="A7169" s="112" t="s">
        <v>5553</v>
      </c>
      <c r="B7169" s="112" t="s">
        <v>927</v>
      </c>
      <c r="C7169" s="112" t="s">
        <v>1219</v>
      </c>
      <c r="D7169" s="113">
        <v>46307105</v>
      </c>
      <c r="E7169" s="115">
        <v>43936</v>
      </c>
      <c r="F7169" s="114">
        <v>202101</v>
      </c>
      <c r="G7169" s="112" t="s">
        <v>1091</v>
      </c>
      <c r="H7169" s="112" t="s">
        <v>1015</v>
      </c>
      <c r="I7169" s="112" t="s">
        <v>1605</v>
      </c>
      <c r="J7169" s="112" t="s">
        <v>5554</v>
      </c>
      <c r="K7169" s="112" t="s">
        <v>5556</v>
      </c>
      <c r="L7169" s="116">
        <v>10000</v>
      </c>
    </row>
    <row r="7170" spans="1:12" hidden="1" outlineLevel="1" collapsed="1" x14ac:dyDescent="0.35">
      <c r="A7170" s="112" t="s">
        <v>5553</v>
      </c>
      <c r="B7170" s="112" t="s">
        <v>926</v>
      </c>
      <c r="C7170" s="112" t="s">
        <v>1095</v>
      </c>
      <c r="D7170" s="113">
        <v>10348451</v>
      </c>
      <c r="E7170" s="115">
        <v>43949</v>
      </c>
      <c r="F7170" s="114">
        <v>202101</v>
      </c>
      <c r="G7170" s="112" t="s">
        <v>1091</v>
      </c>
      <c r="H7170" s="112" t="s">
        <v>1015</v>
      </c>
      <c r="I7170" s="112" t="s">
        <v>1096</v>
      </c>
      <c r="J7170" s="112" t="s">
        <v>5567</v>
      </c>
      <c r="K7170" s="112" t="s">
        <v>1098</v>
      </c>
      <c r="L7170" s="116">
        <v>423.19</v>
      </c>
    </row>
    <row r="7171" spans="1:12" hidden="1" outlineLevel="1" collapsed="1" x14ac:dyDescent="0.35">
      <c r="A7171" s="112" t="s">
        <v>5553</v>
      </c>
      <c r="B7171" s="112" t="s">
        <v>926</v>
      </c>
      <c r="C7171" s="112" t="s">
        <v>1095</v>
      </c>
      <c r="D7171" s="113">
        <v>10348451</v>
      </c>
      <c r="E7171" s="115">
        <v>43949</v>
      </c>
      <c r="F7171" s="114">
        <v>202101</v>
      </c>
      <c r="G7171" s="112" t="s">
        <v>1091</v>
      </c>
      <c r="H7171" s="112" t="s">
        <v>1015</v>
      </c>
      <c r="I7171" s="112" t="s">
        <v>1116</v>
      </c>
      <c r="J7171" s="112" t="s">
        <v>5567</v>
      </c>
      <c r="K7171" s="112" t="s">
        <v>1098</v>
      </c>
      <c r="L7171" s="116">
        <v>3717</v>
      </c>
    </row>
    <row r="7172" spans="1:12" hidden="1" outlineLevel="1" collapsed="1" x14ac:dyDescent="0.35">
      <c r="A7172" s="112" t="s">
        <v>5553</v>
      </c>
      <c r="B7172" s="112" t="s">
        <v>924</v>
      </c>
      <c r="C7172" s="112" t="s">
        <v>695</v>
      </c>
      <c r="D7172" s="113">
        <v>10348435</v>
      </c>
      <c r="E7172" s="115">
        <v>43945</v>
      </c>
      <c r="F7172" s="114">
        <v>202101</v>
      </c>
      <c r="G7172" s="112" t="s">
        <v>1091</v>
      </c>
      <c r="H7172" s="112" t="s">
        <v>1016</v>
      </c>
      <c r="I7172" s="112" t="s">
        <v>1328</v>
      </c>
      <c r="J7172" s="112" t="s">
        <v>5558</v>
      </c>
      <c r="K7172" s="112" t="s">
        <v>5568</v>
      </c>
      <c r="L7172" s="116">
        <v>-112000</v>
      </c>
    </row>
    <row r="7173" spans="1:12" hidden="1" outlineLevel="1" collapsed="1" x14ac:dyDescent="0.35">
      <c r="A7173" s="112" t="s">
        <v>5553</v>
      </c>
      <c r="B7173" s="112" t="s">
        <v>926</v>
      </c>
      <c r="C7173" s="112" t="s">
        <v>1095</v>
      </c>
      <c r="D7173" s="113">
        <v>10348451</v>
      </c>
      <c r="E7173" s="115">
        <v>43949</v>
      </c>
      <c r="F7173" s="114">
        <v>202101</v>
      </c>
      <c r="G7173" s="112" t="s">
        <v>1091</v>
      </c>
      <c r="H7173" s="112" t="s">
        <v>1015</v>
      </c>
      <c r="I7173" s="112" t="s">
        <v>1116</v>
      </c>
      <c r="J7173" s="112" t="s">
        <v>5567</v>
      </c>
      <c r="K7173" s="112" t="s">
        <v>1098</v>
      </c>
      <c r="L7173" s="116">
        <v>2631.25</v>
      </c>
    </row>
    <row r="7174" spans="1:12" hidden="1" outlineLevel="1" collapsed="1" x14ac:dyDescent="0.35">
      <c r="A7174" s="112" t="s">
        <v>5553</v>
      </c>
      <c r="B7174" s="112" t="s">
        <v>927</v>
      </c>
      <c r="C7174" s="112" t="s">
        <v>1219</v>
      </c>
      <c r="D7174" s="113">
        <v>46307838</v>
      </c>
      <c r="E7174" s="115">
        <v>43945</v>
      </c>
      <c r="F7174" s="114">
        <v>202101</v>
      </c>
      <c r="G7174" s="112" t="s">
        <v>1091</v>
      </c>
      <c r="H7174" s="112" t="s">
        <v>1015</v>
      </c>
      <c r="I7174" s="112" t="s">
        <v>1605</v>
      </c>
      <c r="J7174" s="112" t="s">
        <v>5554</v>
      </c>
      <c r="K7174" s="112" t="s">
        <v>5556</v>
      </c>
      <c r="L7174" s="116">
        <v>10000</v>
      </c>
    </row>
    <row r="7175" spans="1:12" hidden="1" outlineLevel="1" collapsed="1" x14ac:dyDescent="0.35">
      <c r="A7175" s="112" t="s">
        <v>5553</v>
      </c>
      <c r="B7175" s="112" t="s">
        <v>927</v>
      </c>
      <c r="C7175" s="112" t="s">
        <v>1219</v>
      </c>
      <c r="D7175" s="113">
        <v>46307824</v>
      </c>
      <c r="E7175" s="115">
        <v>43945</v>
      </c>
      <c r="F7175" s="114">
        <v>202101</v>
      </c>
      <c r="G7175" s="112" t="s">
        <v>1091</v>
      </c>
      <c r="H7175" s="112" t="s">
        <v>1015</v>
      </c>
      <c r="I7175" s="112" t="s">
        <v>1605</v>
      </c>
      <c r="J7175" s="112" t="s">
        <v>5554</v>
      </c>
      <c r="K7175" s="112" t="s">
        <v>5555</v>
      </c>
      <c r="L7175" s="116">
        <v>25000</v>
      </c>
    </row>
    <row r="7176" spans="1:12" hidden="1" outlineLevel="1" collapsed="1" x14ac:dyDescent="0.35">
      <c r="A7176" s="112" t="s">
        <v>5553</v>
      </c>
      <c r="B7176" s="112" t="s">
        <v>927</v>
      </c>
      <c r="C7176" s="112" t="s">
        <v>1219</v>
      </c>
      <c r="D7176" s="113">
        <v>46307825</v>
      </c>
      <c r="E7176" s="115">
        <v>43945</v>
      </c>
      <c r="F7176" s="114">
        <v>202101</v>
      </c>
      <c r="G7176" s="112" t="s">
        <v>1091</v>
      </c>
      <c r="H7176" s="112" t="s">
        <v>1015</v>
      </c>
      <c r="I7176" s="112" t="s">
        <v>1605</v>
      </c>
      <c r="J7176" s="112" t="s">
        <v>5554</v>
      </c>
      <c r="K7176" s="112" t="s">
        <v>5556</v>
      </c>
      <c r="L7176" s="116">
        <v>10000</v>
      </c>
    </row>
    <row r="7177" spans="1:12" hidden="1" outlineLevel="1" collapsed="1" x14ac:dyDescent="0.35">
      <c r="A7177" s="112" t="s">
        <v>5553</v>
      </c>
      <c r="B7177" s="112" t="s">
        <v>924</v>
      </c>
      <c r="C7177" s="112" t="s">
        <v>695</v>
      </c>
      <c r="D7177" s="113">
        <v>10348220</v>
      </c>
      <c r="E7177" s="115">
        <v>43936</v>
      </c>
      <c r="F7177" s="114">
        <v>202101</v>
      </c>
      <c r="G7177" s="112" t="s">
        <v>1091</v>
      </c>
      <c r="H7177" s="112" t="s">
        <v>1015</v>
      </c>
      <c r="I7177" s="112" t="s">
        <v>763</v>
      </c>
      <c r="J7177" s="112" t="s">
        <v>5558</v>
      </c>
      <c r="K7177" s="112" t="s">
        <v>5569</v>
      </c>
      <c r="L7177" s="116">
        <v>-2557.5</v>
      </c>
    </row>
    <row r="7178" spans="1:12" hidden="1" outlineLevel="1" collapsed="1" x14ac:dyDescent="0.35">
      <c r="A7178" s="112" t="s">
        <v>5553</v>
      </c>
      <c r="B7178" s="112" t="s">
        <v>927</v>
      </c>
      <c r="C7178" s="112" t="s">
        <v>1219</v>
      </c>
      <c r="D7178" s="113">
        <v>46307826</v>
      </c>
      <c r="E7178" s="115">
        <v>43945</v>
      </c>
      <c r="F7178" s="114">
        <v>202101</v>
      </c>
      <c r="G7178" s="112" t="s">
        <v>1091</v>
      </c>
      <c r="H7178" s="112" t="s">
        <v>1015</v>
      </c>
      <c r="I7178" s="112" t="s">
        <v>1605</v>
      </c>
      <c r="J7178" s="112" t="s">
        <v>5554</v>
      </c>
      <c r="K7178" s="112" t="s">
        <v>5555</v>
      </c>
      <c r="L7178" s="116">
        <v>25000</v>
      </c>
    </row>
    <row r="7179" spans="1:12" hidden="1" outlineLevel="1" collapsed="1" x14ac:dyDescent="0.35">
      <c r="A7179" s="112" t="s">
        <v>5553</v>
      </c>
      <c r="B7179" s="112" t="s">
        <v>927</v>
      </c>
      <c r="C7179" s="112" t="s">
        <v>1219</v>
      </c>
      <c r="D7179" s="113">
        <v>46307827</v>
      </c>
      <c r="E7179" s="115">
        <v>43945</v>
      </c>
      <c r="F7179" s="114">
        <v>202101</v>
      </c>
      <c r="G7179" s="112" t="s">
        <v>1091</v>
      </c>
      <c r="H7179" s="112" t="s">
        <v>1015</v>
      </c>
      <c r="I7179" s="112" t="s">
        <v>1605</v>
      </c>
      <c r="J7179" s="112" t="s">
        <v>5554</v>
      </c>
      <c r="K7179" s="112" t="s">
        <v>5556</v>
      </c>
      <c r="L7179" s="116">
        <v>10000</v>
      </c>
    </row>
    <row r="7180" spans="1:12" hidden="1" outlineLevel="1" collapsed="1" x14ac:dyDescent="0.35">
      <c r="A7180" s="112" t="s">
        <v>5553</v>
      </c>
      <c r="B7180" s="112" t="s">
        <v>927</v>
      </c>
      <c r="C7180" s="112" t="s">
        <v>1219</v>
      </c>
      <c r="D7180" s="113">
        <v>46307828</v>
      </c>
      <c r="E7180" s="115">
        <v>43945</v>
      </c>
      <c r="F7180" s="114">
        <v>202101</v>
      </c>
      <c r="G7180" s="112" t="s">
        <v>1091</v>
      </c>
      <c r="H7180" s="112" t="s">
        <v>1015</v>
      </c>
      <c r="I7180" s="112" t="s">
        <v>1605</v>
      </c>
      <c r="J7180" s="112" t="s">
        <v>5554</v>
      </c>
      <c r="K7180" s="112" t="s">
        <v>5556</v>
      </c>
      <c r="L7180" s="116">
        <v>10000</v>
      </c>
    </row>
    <row r="7181" spans="1:12" hidden="1" outlineLevel="1" collapsed="1" x14ac:dyDescent="0.35">
      <c r="A7181" s="112" t="s">
        <v>5553</v>
      </c>
      <c r="B7181" s="112" t="s">
        <v>927</v>
      </c>
      <c r="C7181" s="112" t="s">
        <v>1219</v>
      </c>
      <c r="D7181" s="113">
        <v>46307829</v>
      </c>
      <c r="E7181" s="115">
        <v>43945</v>
      </c>
      <c r="F7181" s="114">
        <v>202101</v>
      </c>
      <c r="G7181" s="112" t="s">
        <v>1091</v>
      </c>
      <c r="H7181" s="112" t="s">
        <v>1015</v>
      </c>
      <c r="I7181" s="112" t="s">
        <v>1605</v>
      </c>
      <c r="J7181" s="112" t="s">
        <v>5554</v>
      </c>
      <c r="K7181" s="112" t="s">
        <v>5556</v>
      </c>
      <c r="L7181" s="116">
        <v>10000</v>
      </c>
    </row>
    <row r="7182" spans="1:12" hidden="1" outlineLevel="1" collapsed="1" x14ac:dyDescent="0.35">
      <c r="A7182" s="112" t="s">
        <v>5553</v>
      </c>
      <c r="B7182" s="112" t="s">
        <v>927</v>
      </c>
      <c r="C7182" s="112" t="s">
        <v>1219</v>
      </c>
      <c r="D7182" s="113">
        <v>46307830</v>
      </c>
      <c r="E7182" s="115">
        <v>43945</v>
      </c>
      <c r="F7182" s="114">
        <v>202101</v>
      </c>
      <c r="G7182" s="112" t="s">
        <v>1091</v>
      </c>
      <c r="H7182" s="112" t="s">
        <v>1015</v>
      </c>
      <c r="I7182" s="112" t="s">
        <v>1605</v>
      </c>
      <c r="J7182" s="112" t="s">
        <v>5554</v>
      </c>
      <c r="K7182" s="112" t="s">
        <v>5555</v>
      </c>
      <c r="L7182" s="116">
        <v>25000</v>
      </c>
    </row>
    <row r="7183" spans="1:12" hidden="1" outlineLevel="1" collapsed="1" x14ac:dyDescent="0.35">
      <c r="A7183" s="112" t="s">
        <v>5553</v>
      </c>
      <c r="B7183" s="112" t="s">
        <v>927</v>
      </c>
      <c r="C7183" s="112" t="s">
        <v>1219</v>
      </c>
      <c r="D7183" s="113">
        <v>46307831</v>
      </c>
      <c r="E7183" s="115">
        <v>43945</v>
      </c>
      <c r="F7183" s="114">
        <v>202101</v>
      </c>
      <c r="G7183" s="112" t="s">
        <v>1091</v>
      </c>
      <c r="H7183" s="112" t="s">
        <v>1015</v>
      </c>
      <c r="I7183" s="112" t="s">
        <v>1605</v>
      </c>
      <c r="J7183" s="112" t="s">
        <v>5554</v>
      </c>
      <c r="K7183" s="112" t="s">
        <v>5555</v>
      </c>
      <c r="L7183" s="116">
        <v>25000</v>
      </c>
    </row>
    <row r="7184" spans="1:12" hidden="1" outlineLevel="1" collapsed="1" x14ac:dyDescent="0.35">
      <c r="A7184" s="112" t="s">
        <v>5553</v>
      </c>
      <c r="B7184" s="112" t="s">
        <v>927</v>
      </c>
      <c r="C7184" s="112" t="s">
        <v>1219</v>
      </c>
      <c r="D7184" s="113">
        <v>46307832</v>
      </c>
      <c r="E7184" s="115">
        <v>43945</v>
      </c>
      <c r="F7184" s="114">
        <v>202101</v>
      </c>
      <c r="G7184" s="112" t="s">
        <v>1091</v>
      </c>
      <c r="H7184" s="112" t="s">
        <v>1015</v>
      </c>
      <c r="I7184" s="112" t="s">
        <v>1605</v>
      </c>
      <c r="J7184" s="112" t="s">
        <v>5554</v>
      </c>
      <c r="K7184" s="112" t="s">
        <v>5556</v>
      </c>
      <c r="L7184" s="116">
        <v>10000</v>
      </c>
    </row>
    <row r="7185" spans="1:12" hidden="1" outlineLevel="1" collapsed="1" x14ac:dyDescent="0.35">
      <c r="A7185" s="112" t="s">
        <v>5553</v>
      </c>
      <c r="B7185" s="112" t="s">
        <v>927</v>
      </c>
      <c r="C7185" s="112" t="s">
        <v>1219</v>
      </c>
      <c r="D7185" s="113">
        <v>46307833</v>
      </c>
      <c r="E7185" s="115">
        <v>43945</v>
      </c>
      <c r="F7185" s="114">
        <v>202101</v>
      </c>
      <c r="G7185" s="112" t="s">
        <v>1091</v>
      </c>
      <c r="H7185" s="112" t="s">
        <v>1015</v>
      </c>
      <c r="I7185" s="112" t="s">
        <v>1605</v>
      </c>
      <c r="J7185" s="112" t="s">
        <v>5554</v>
      </c>
      <c r="K7185" s="112" t="s">
        <v>5555</v>
      </c>
      <c r="L7185" s="116">
        <v>10000</v>
      </c>
    </row>
    <row r="7186" spans="1:12" hidden="1" outlineLevel="1" collapsed="1" x14ac:dyDescent="0.35">
      <c r="A7186" s="112" t="s">
        <v>5553</v>
      </c>
      <c r="B7186" s="112" t="s">
        <v>927</v>
      </c>
      <c r="C7186" s="112" t="s">
        <v>1219</v>
      </c>
      <c r="D7186" s="113">
        <v>46307834</v>
      </c>
      <c r="E7186" s="115">
        <v>43945</v>
      </c>
      <c r="F7186" s="114">
        <v>202101</v>
      </c>
      <c r="G7186" s="112" t="s">
        <v>1091</v>
      </c>
      <c r="H7186" s="112" t="s">
        <v>1015</v>
      </c>
      <c r="I7186" s="112" t="s">
        <v>1605</v>
      </c>
      <c r="J7186" s="112" t="s">
        <v>5554</v>
      </c>
      <c r="K7186" s="112" t="s">
        <v>5555</v>
      </c>
      <c r="L7186" s="116">
        <v>25000</v>
      </c>
    </row>
    <row r="7187" spans="1:12" hidden="1" outlineLevel="1" collapsed="1" x14ac:dyDescent="0.35">
      <c r="A7187" s="112" t="s">
        <v>5553</v>
      </c>
      <c r="B7187" s="112" t="s">
        <v>927</v>
      </c>
      <c r="C7187" s="112" t="s">
        <v>1219</v>
      </c>
      <c r="D7187" s="113">
        <v>46307835</v>
      </c>
      <c r="E7187" s="115">
        <v>43945</v>
      </c>
      <c r="F7187" s="114">
        <v>202101</v>
      </c>
      <c r="G7187" s="112" t="s">
        <v>1091</v>
      </c>
      <c r="H7187" s="112" t="s">
        <v>1015</v>
      </c>
      <c r="I7187" s="112" t="s">
        <v>1605</v>
      </c>
      <c r="J7187" s="112" t="s">
        <v>5554</v>
      </c>
      <c r="K7187" s="112" t="s">
        <v>5556</v>
      </c>
      <c r="L7187" s="116">
        <v>10000</v>
      </c>
    </row>
    <row r="7188" spans="1:12" hidden="1" outlineLevel="1" collapsed="1" x14ac:dyDescent="0.35">
      <c r="A7188" s="112" t="s">
        <v>5553</v>
      </c>
      <c r="B7188" s="112" t="s">
        <v>927</v>
      </c>
      <c r="C7188" s="112" t="s">
        <v>1219</v>
      </c>
      <c r="D7188" s="113">
        <v>46307836</v>
      </c>
      <c r="E7188" s="115">
        <v>43945</v>
      </c>
      <c r="F7188" s="114">
        <v>202101</v>
      </c>
      <c r="G7188" s="112" t="s">
        <v>1091</v>
      </c>
      <c r="H7188" s="112" t="s">
        <v>1015</v>
      </c>
      <c r="I7188" s="112" t="s">
        <v>1605</v>
      </c>
      <c r="J7188" s="112" t="s">
        <v>5554</v>
      </c>
      <c r="K7188" s="112" t="s">
        <v>5556</v>
      </c>
      <c r="L7188" s="116">
        <v>10000</v>
      </c>
    </row>
    <row r="7189" spans="1:12" hidden="1" outlineLevel="1" collapsed="1" x14ac:dyDescent="0.35">
      <c r="A7189" s="112" t="s">
        <v>5553</v>
      </c>
      <c r="B7189" s="112" t="s">
        <v>927</v>
      </c>
      <c r="C7189" s="112" t="s">
        <v>1219</v>
      </c>
      <c r="D7189" s="113">
        <v>46307837</v>
      </c>
      <c r="E7189" s="115">
        <v>43945</v>
      </c>
      <c r="F7189" s="114">
        <v>202101</v>
      </c>
      <c r="G7189" s="112" t="s">
        <v>1091</v>
      </c>
      <c r="H7189" s="112" t="s">
        <v>1015</v>
      </c>
      <c r="I7189" s="112" t="s">
        <v>1605</v>
      </c>
      <c r="J7189" s="112" t="s">
        <v>5554</v>
      </c>
      <c r="K7189" s="112" t="s">
        <v>5556</v>
      </c>
      <c r="L7189" s="116">
        <v>10000</v>
      </c>
    </row>
    <row r="7190" spans="1:12" hidden="1" outlineLevel="1" collapsed="1" x14ac:dyDescent="0.35">
      <c r="A7190" s="112" t="s">
        <v>5553</v>
      </c>
      <c r="B7190" s="112" t="s">
        <v>927</v>
      </c>
      <c r="C7190" s="112" t="s">
        <v>1219</v>
      </c>
      <c r="D7190" s="113">
        <v>46307823</v>
      </c>
      <c r="E7190" s="115">
        <v>43945</v>
      </c>
      <c r="F7190" s="114">
        <v>202101</v>
      </c>
      <c r="G7190" s="112" t="s">
        <v>1091</v>
      </c>
      <c r="H7190" s="112" t="s">
        <v>1015</v>
      </c>
      <c r="I7190" s="112" t="s">
        <v>1605</v>
      </c>
      <c r="J7190" s="112" t="s">
        <v>5554</v>
      </c>
      <c r="K7190" s="112" t="s">
        <v>5556</v>
      </c>
      <c r="L7190" s="116">
        <v>10000</v>
      </c>
    </row>
    <row r="7191" spans="1:12" hidden="1" outlineLevel="1" collapsed="1" x14ac:dyDescent="0.35">
      <c r="A7191" s="112" t="s">
        <v>5553</v>
      </c>
      <c r="B7191" s="112" t="s">
        <v>927</v>
      </c>
      <c r="C7191" s="112" t="s">
        <v>1219</v>
      </c>
      <c r="D7191" s="113">
        <v>46307839</v>
      </c>
      <c r="E7191" s="115">
        <v>43945</v>
      </c>
      <c r="F7191" s="114">
        <v>202101</v>
      </c>
      <c r="G7191" s="112" t="s">
        <v>1091</v>
      </c>
      <c r="H7191" s="112" t="s">
        <v>1015</v>
      </c>
      <c r="I7191" s="112" t="s">
        <v>1605</v>
      </c>
      <c r="J7191" s="112" t="s">
        <v>5554</v>
      </c>
      <c r="K7191" s="112" t="s">
        <v>5555</v>
      </c>
      <c r="L7191" s="116">
        <v>10000</v>
      </c>
    </row>
    <row r="7192" spans="1:12" hidden="1" outlineLevel="1" collapsed="1" x14ac:dyDescent="0.35">
      <c r="A7192" s="112" t="s">
        <v>5553</v>
      </c>
      <c r="B7192" s="112" t="s">
        <v>927</v>
      </c>
      <c r="C7192" s="112" t="s">
        <v>1219</v>
      </c>
      <c r="D7192" s="113">
        <v>46307840</v>
      </c>
      <c r="E7192" s="115">
        <v>43945</v>
      </c>
      <c r="F7192" s="114">
        <v>202101</v>
      </c>
      <c r="G7192" s="112" t="s">
        <v>1091</v>
      </c>
      <c r="H7192" s="112" t="s">
        <v>1015</v>
      </c>
      <c r="I7192" s="112" t="s">
        <v>1605</v>
      </c>
      <c r="J7192" s="112" t="s">
        <v>5554</v>
      </c>
      <c r="K7192" s="112" t="s">
        <v>5555</v>
      </c>
      <c r="L7192" s="116">
        <v>10000</v>
      </c>
    </row>
    <row r="7193" spans="1:12" hidden="1" outlineLevel="1" collapsed="1" x14ac:dyDescent="0.35">
      <c r="A7193" s="112" t="s">
        <v>5553</v>
      </c>
      <c r="B7193" s="112" t="s">
        <v>927</v>
      </c>
      <c r="C7193" s="112" t="s">
        <v>1219</v>
      </c>
      <c r="D7193" s="113">
        <v>46307841</v>
      </c>
      <c r="E7193" s="115">
        <v>43945</v>
      </c>
      <c r="F7193" s="114">
        <v>202101</v>
      </c>
      <c r="G7193" s="112" t="s">
        <v>1091</v>
      </c>
      <c r="H7193" s="112" t="s">
        <v>1015</v>
      </c>
      <c r="I7193" s="112" t="s">
        <v>1605</v>
      </c>
      <c r="J7193" s="112" t="s">
        <v>5554</v>
      </c>
      <c r="K7193" s="112" t="s">
        <v>5556</v>
      </c>
      <c r="L7193" s="116">
        <v>10000</v>
      </c>
    </row>
    <row r="7194" spans="1:12" hidden="1" outlineLevel="1" collapsed="1" x14ac:dyDescent="0.35">
      <c r="A7194" s="112" t="s">
        <v>5553</v>
      </c>
      <c r="B7194" s="112" t="s">
        <v>927</v>
      </c>
      <c r="C7194" s="112" t="s">
        <v>1219</v>
      </c>
      <c r="D7194" s="113">
        <v>46307858</v>
      </c>
      <c r="E7194" s="115">
        <v>43945</v>
      </c>
      <c r="F7194" s="114">
        <v>202101</v>
      </c>
      <c r="G7194" s="112" t="s">
        <v>1091</v>
      </c>
      <c r="H7194" s="112" t="s">
        <v>1015</v>
      </c>
      <c r="I7194" s="112" t="s">
        <v>1605</v>
      </c>
      <c r="J7194" s="112" t="s">
        <v>5554</v>
      </c>
      <c r="K7194" s="112" t="s">
        <v>5556</v>
      </c>
      <c r="L7194" s="116">
        <v>10000</v>
      </c>
    </row>
    <row r="7195" spans="1:12" hidden="1" outlineLevel="1" collapsed="1" x14ac:dyDescent="0.35">
      <c r="A7195" s="112" t="s">
        <v>5553</v>
      </c>
      <c r="B7195" s="112" t="s">
        <v>927</v>
      </c>
      <c r="C7195" s="112" t="s">
        <v>1219</v>
      </c>
      <c r="D7195" s="113">
        <v>46307859</v>
      </c>
      <c r="E7195" s="115">
        <v>43945</v>
      </c>
      <c r="F7195" s="114">
        <v>202101</v>
      </c>
      <c r="G7195" s="112" t="s">
        <v>1091</v>
      </c>
      <c r="H7195" s="112" t="s">
        <v>1015</v>
      </c>
      <c r="I7195" s="112" t="s">
        <v>1605</v>
      </c>
      <c r="J7195" s="112" t="s">
        <v>5554</v>
      </c>
      <c r="K7195" s="112" t="s">
        <v>5556</v>
      </c>
      <c r="L7195" s="116">
        <v>10000</v>
      </c>
    </row>
    <row r="7196" spans="1:12" hidden="1" outlineLevel="1" collapsed="1" x14ac:dyDescent="0.35">
      <c r="A7196" s="112" t="s">
        <v>5553</v>
      </c>
      <c r="B7196" s="112" t="s">
        <v>927</v>
      </c>
      <c r="C7196" s="112" t="s">
        <v>1219</v>
      </c>
      <c r="D7196" s="113">
        <v>46307860</v>
      </c>
      <c r="E7196" s="115">
        <v>43945</v>
      </c>
      <c r="F7196" s="114">
        <v>202101</v>
      </c>
      <c r="G7196" s="112" t="s">
        <v>1091</v>
      </c>
      <c r="H7196" s="112" t="s">
        <v>1015</v>
      </c>
      <c r="I7196" s="112" t="s">
        <v>1605</v>
      </c>
      <c r="J7196" s="112" t="s">
        <v>5554</v>
      </c>
      <c r="K7196" s="112" t="s">
        <v>5556</v>
      </c>
      <c r="L7196" s="116">
        <v>10000</v>
      </c>
    </row>
    <row r="7197" spans="1:12" hidden="1" outlineLevel="1" collapsed="1" x14ac:dyDescent="0.35">
      <c r="A7197" s="112" t="s">
        <v>5553</v>
      </c>
      <c r="B7197" s="112" t="s">
        <v>927</v>
      </c>
      <c r="C7197" s="112" t="s">
        <v>1219</v>
      </c>
      <c r="D7197" s="113">
        <v>46307055</v>
      </c>
      <c r="E7197" s="115">
        <v>43935</v>
      </c>
      <c r="F7197" s="114">
        <v>202101</v>
      </c>
      <c r="G7197" s="112" t="s">
        <v>1091</v>
      </c>
      <c r="H7197" s="112" t="s">
        <v>1015</v>
      </c>
      <c r="I7197" s="112" t="s">
        <v>2997</v>
      </c>
      <c r="J7197" s="112" t="s">
        <v>5554</v>
      </c>
      <c r="K7197" s="112" t="s">
        <v>5570</v>
      </c>
      <c r="L7197" s="116">
        <v>42.36</v>
      </c>
    </row>
    <row r="7198" spans="1:12" hidden="1" outlineLevel="1" collapsed="1" x14ac:dyDescent="0.35">
      <c r="A7198" s="112" t="s">
        <v>5553</v>
      </c>
      <c r="B7198" s="112" t="s">
        <v>927</v>
      </c>
      <c r="C7198" s="112" t="s">
        <v>1219</v>
      </c>
      <c r="D7198" s="113">
        <v>46307056</v>
      </c>
      <c r="E7198" s="115">
        <v>43935</v>
      </c>
      <c r="F7198" s="114">
        <v>202101</v>
      </c>
      <c r="G7198" s="112" t="s">
        <v>1091</v>
      </c>
      <c r="H7198" s="112" t="s">
        <v>1015</v>
      </c>
      <c r="I7198" s="112" t="s">
        <v>2997</v>
      </c>
      <c r="J7198" s="112" t="s">
        <v>5554</v>
      </c>
      <c r="K7198" s="112" t="s">
        <v>5570</v>
      </c>
      <c r="L7198" s="116">
        <v>75</v>
      </c>
    </row>
    <row r="7199" spans="1:12" hidden="1" outlineLevel="1" collapsed="1" x14ac:dyDescent="0.35">
      <c r="A7199" s="112" t="s">
        <v>5553</v>
      </c>
      <c r="B7199" s="112" t="s">
        <v>927</v>
      </c>
      <c r="C7199" s="112" t="s">
        <v>1219</v>
      </c>
      <c r="D7199" s="113">
        <v>46307861</v>
      </c>
      <c r="E7199" s="115">
        <v>43945</v>
      </c>
      <c r="F7199" s="114">
        <v>202101</v>
      </c>
      <c r="G7199" s="112" t="s">
        <v>1091</v>
      </c>
      <c r="H7199" s="112" t="s">
        <v>1015</v>
      </c>
      <c r="I7199" s="112" t="s">
        <v>1605</v>
      </c>
      <c r="J7199" s="112" t="s">
        <v>5554</v>
      </c>
      <c r="K7199" s="112" t="s">
        <v>5555</v>
      </c>
      <c r="L7199" s="116">
        <v>10000</v>
      </c>
    </row>
    <row r="7200" spans="1:12" hidden="1" outlineLevel="1" collapsed="1" x14ac:dyDescent="0.35">
      <c r="A7200" s="112" t="s">
        <v>5553</v>
      </c>
      <c r="B7200" s="112" t="s">
        <v>927</v>
      </c>
      <c r="C7200" s="112" t="s">
        <v>1219</v>
      </c>
      <c r="D7200" s="113">
        <v>46307862</v>
      </c>
      <c r="E7200" s="115">
        <v>43945</v>
      </c>
      <c r="F7200" s="114">
        <v>202101</v>
      </c>
      <c r="G7200" s="112" t="s">
        <v>1091</v>
      </c>
      <c r="H7200" s="112" t="s">
        <v>1015</v>
      </c>
      <c r="I7200" s="112" t="s">
        <v>1605</v>
      </c>
      <c r="J7200" s="112" t="s">
        <v>5554</v>
      </c>
      <c r="K7200" s="112" t="s">
        <v>5556</v>
      </c>
      <c r="L7200" s="116">
        <v>10000</v>
      </c>
    </row>
    <row r="7201" spans="1:12" hidden="1" outlineLevel="1" collapsed="1" x14ac:dyDescent="0.35">
      <c r="A7201" s="112" t="s">
        <v>5553</v>
      </c>
      <c r="B7201" s="112" t="s">
        <v>927</v>
      </c>
      <c r="C7201" s="112" t="s">
        <v>1219</v>
      </c>
      <c r="D7201" s="113">
        <v>46307863</v>
      </c>
      <c r="E7201" s="115">
        <v>43945</v>
      </c>
      <c r="F7201" s="114">
        <v>202101</v>
      </c>
      <c r="G7201" s="112" t="s">
        <v>1091</v>
      </c>
      <c r="H7201" s="112" t="s">
        <v>1015</v>
      </c>
      <c r="I7201" s="112" t="s">
        <v>1605</v>
      </c>
      <c r="J7201" s="112" t="s">
        <v>5554</v>
      </c>
      <c r="K7201" s="112" t="s">
        <v>5555</v>
      </c>
      <c r="L7201" s="116">
        <v>25000</v>
      </c>
    </row>
    <row r="7202" spans="1:12" hidden="1" outlineLevel="1" collapsed="1" x14ac:dyDescent="0.35">
      <c r="A7202" s="112" t="s">
        <v>5553</v>
      </c>
      <c r="B7202" s="112" t="s">
        <v>927</v>
      </c>
      <c r="C7202" s="112" t="s">
        <v>1219</v>
      </c>
      <c r="D7202" s="113">
        <v>46307864</v>
      </c>
      <c r="E7202" s="115">
        <v>43945</v>
      </c>
      <c r="F7202" s="114">
        <v>202101</v>
      </c>
      <c r="G7202" s="112" t="s">
        <v>1091</v>
      </c>
      <c r="H7202" s="112" t="s">
        <v>1015</v>
      </c>
      <c r="I7202" s="112" t="s">
        <v>1605</v>
      </c>
      <c r="J7202" s="112" t="s">
        <v>5554</v>
      </c>
      <c r="K7202" s="112" t="s">
        <v>5555</v>
      </c>
      <c r="L7202" s="116">
        <v>10000</v>
      </c>
    </row>
    <row r="7203" spans="1:12" hidden="1" outlineLevel="1" collapsed="1" x14ac:dyDescent="0.35">
      <c r="A7203" s="112" t="s">
        <v>5553</v>
      </c>
      <c r="B7203" s="112" t="s">
        <v>927</v>
      </c>
      <c r="C7203" s="112" t="s">
        <v>1095</v>
      </c>
      <c r="D7203" s="113">
        <v>10348451</v>
      </c>
      <c r="E7203" s="115">
        <v>43949</v>
      </c>
      <c r="F7203" s="114">
        <v>202101</v>
      </c>
      <c r="G7203" s="112" t="s">
        <v>1091</v>
      </c>
      <c r="H7203" s="112" t="s">
        <v>1015</v>
      </c>
      <c r="I7203" s="112" t="s">
        <v>1101</v>
      </c>
      <c r="J7203" s="112" t="s">
        <v>5557</v>
      </c>
      <c r="K7203" s="112" t="s">
        <v>1098</v>
      </c>
      <c r="L7203" s="116">
        <v>498.28</v>
      </c>
    </row>
    <row r="7204" spans="1:12" hidden="1" outlineLevel="1" collapsed="1" x14ac:dyDescent="0.35">
      <c r="A7204" s="112" t="s">
        <v>5553</v>
      </c>
      <c r="B7204" s="112" t="s">
        <v>927</v>
      </c>
      <c r="C7204" s="112" t="s">
        <v>1095</v>
      </c>
      <c r="D7204" s="113">
        <v>10348451</v>
      </c>
      <c r="E7204" s="115">
        <v>43949</v>
      </c>
      <c r="F7204" s="114">
        <v>202101</v>
      </c>
      <c r="G7204" s="112" t="s">
        <v>1091</v>
      </c>
      <c r="H7204" s="112" t="s">
        <v>1015</v>
      </c>
      <c r="I7204" s="112" t="s">
        <v>1101</v>
      </c>
      <c r="J7204" s="112" t="s">
        <v>5554</v>
      </c>
      <c r="K7204" s="112" t="s">
        <v>1098</v>
      </c>
      <c r="L7204" s="116">
        <v>483.07</v>
      </c>
    </row>
    <row r="7205" spans="1:12" hidden="1" outlineLevel="1" collapsed="1" x14ac:dyDescent="0.35">
      <c r="A7205" s="112" t="s">
        <v>5553</v>
      </c>
      <c r="B7205" s="112" t="s">
        <v>927</v>
      </c>
      <c r="C7205" s="112" t="s">
        <v>1095</v>
      </c>
      <c r="D7205" s="113">
        <v>10348451</v>
      </c>
      <c r="E7205" s="115">
        <v>43949</v>
      </c>
      <c r="F7205" s="114">
        <v>202101</v>
      </c>
      <c r="G7205" s="112" t="s">
        <v>1091</v>
      </c>
      <c r="H7205" s="112" t="s">
        <v>1015</v>
      </c>
      <c r="I7205" s="112" t="s">
        <v>1096</v>
      </c>
      <c r="J7205" s="112" t="s">
        <v>5554</v>
      </c>
      <c r="K7205" s="112" t="s">
        <v>1098</v>
      </c>
      <c r="L7205" s="116">
        <v>310.49</v>
      </c>
    </row>
    <row r="7206" spans="1:12" hidden="1" outlineLevel="1" collapsed="1" x14ac:dyDescent="0.35">
      <c r="A7206" s="112" t="s">
        <v>5553</v>
      </c>
      <c r="B7206" s="112" t="s">
        <v>927</v>
      </c>
      <c r="C7206" s="112" t="s">
        <v>1095</v>
      </c>
      <c r="D7206" s="113">
        <v>10348451</v>
      </c>
      <c r="E7206" s="115">
        <v>43949</v>
      </c>
      <c r="F7206" s="114">
        <v>202101</v>
      </c>
      <c r="G7206" s="112" t="s">
        <v>1091</v>
      </c>
      <c r="H7206" s="112" t="s">
        <v>1015</v>
      </c>
      <c r="I7206" s="112" t="s">
        <v>1101</v>
      </c>
      <c r="J7206" s="112" t="s">
        <v>5557</v>
      </c>
      <c r="K7206" s="112" t="s">
        <v>1098</v>
      </c>
      <c r="L7206" s="116">
        <v>366.04</v>
      </c>
    </row>
    <row r="7207" spans="1:12" hidden="1" outlineLevel="1" collapsed="1" x14ac:dyDescent="0.35">
      <c r="A7207" s="112" t="s">
        <v>5553</v>
      </c>
      <c r="B7207" s="112" t="s">
        <v>926</v>
      </c>
      <c r="C7207" s="112" t="s">
        <v>1095</v>
      </c>
      <c r="D7207" s="113">
        <v>10348451</v>
      </c>
      <c r="E7207" s="115">
        <v>43949</v>
      </c>
      <c r="F7207" s="114">
        <v>202101</v>
      </c>
      <c r="G7207" s="112" t="s">
        <v>1091</v>
      </c>
      <c r="H7207" s="112" t="s">
        <v>1015</v>
      </c>
      <c r="I7207" s="112" t="s">
        <v>1116</v>
      </c>
      <c r="J7207" s="112" t="s">
        <v>5567</v>
      </c>
      <c r="K7207" s="112" t="s">
        <v>1098</v>
      </c>
      <c r="L7207" s="116">
        <v>2981.92</v>
      </c>
    </row>
    <row r="7208" spans="1:12" hidden="1" outlineLevel="1" collapsed="1" x14ac:dyDescent="0.35">
      <c r="A7208" s="112" t="s">
        <v>5553</v>
      </c>
      <c r="B7208" s="112" t="s">
        <v>927</v>
      </c>
      <c r="C7208" s="112" t="s">
        <v>1219</v>
      </c>
      <c r="D7208" s="113">
        <v>46307822</v>
      </c>
      <c r="E7208" s="115">
        <v>43945</v>
      </c>
      <c r="F7208" s="114">
        <v>202101</v>
      </c>
      <c r="G7208" s="112" t="s">
        <v>1091</v>
      </c>
      <c r="H7208" s="112" t="s">
        <v>1015</v>
      </c>
      <c r="I7208" s="112" t="s">
        <v>1605</v>
      </c>
      <c r="J7208" s="112" t="s">
        <v>5554</v>
      </c>
      <c r="K7208" s="112" t="s">
        <v>5556</v>
      </c>
      <c r="L7208" s="116">
        <v>10000</v>
      </c>
    </row>
    <row r="7209" spans="1:12" hidden="1" outlineLevel="1" collapsed="1" x14ac:dyDescent="0.35">
      <c r="A7209" s="112" t="s">
        <v>5553</v>
      </c>
      <c r="B7209" s="112" t="s">
        <v>927</v>
      </c>
      <c r="C7209" s="112" t="s">
        <v>695</v>
      </c>
      <c r="D7209" s="113">
        <v>10347981</v>
      </c>
      <c r="E7209" s="115">
        <v>43924</v>
      </c>
      <c r="F7209" s="114">
        <v>202101</v>
      </c>
      <c r="G7209" s="112" t="s">
        <v>1091</v>
      </c>
      <c r="H7209" s="112" t="s">
        <v>1015</v>
      </c>
      <c r="I7209" s="112" t="s">
        <v>761</v>
      </c>
      <c r="J7209" s="112" t="s">
        <v>5557</v>
      </c>
      <c r="K7209" s="112" t="s">
        <v>5571</v>
      </c>
      <c r="L7209" s="116">
        <v>-70</v>
      </c>
    </row>
    <row r="7210" spans="1:12" hidden="1" outlineLevel="1" collapsed="1" x14ac:dyDescent="0.35">
      <c r="A7210" s="112" t="s">
        <v>5553</v>
      </c>
      <c r="B7210" s="112" t="s">
        <v>927</v>
      </c>
      <c r="C7210" s="112" t="s">
        <v>1219</v>
      </c>
      <c r="D7210" s="113">
        <v>46307117</v>
      </c>
      <c r="E7210" s="115">
        <v>43936</v>
      </c>
      <c r="F7210" s="114">
        <v>202101</v>
      </c>
      <c r="G7210" s="112" t="s">
        <v>1091</v>
      </c>
      <c r="H7210" s="112" t="s">
        <v>1015</v>
      </c>
      <c r="I7210" s="112" t="s">
        <v>1605</v>
      </c>
      <c r="J7210" s="112" t="s">
        <v>5554</v>
      </c>
      <c r="K7210" s="112" t="s">
        <v>5555</v>
      </c>
      <c r="L7210" s="116">
        <v>25000</v>
      </c>
    </row>
    <row r="7211" spans="1:12" hidden="1" outlineLevel="1" collapsed="1" x14ac:dyDescent="0.35">
      <c r="A7211" s="112" t="s">
        <v>5553</v>
      </c>
      <c r="B7211" s="112" t="s">
        <v>5561</v>
      </c>
      <c r="C7211" s="112" t="s">
        <v>1095</v>
      </c>
      <c r="D7211" s="113">
        <v>10348451</v>
      </c>
      <c r="E7211" s="115">
        <v>43949</v>
      </c>
      <c r="F7211" s="114">
        <v>202101</v>
      </c>
      <c r="G7211" s="112" t="s">
        <v>1091</v>
      </c>
      <c r="H7211" s="112" t="s">
        <v>1015</v>
      </c>
      <c r="I7211" s="112" t="s">
        <v>1101</v>
      </c>
      <c r="J7211" s="112" t="s">
        <v>5562</v>
      </c>
      <c r="K7211" s="112" t="s">
        <v>1098</v>
      </c>
      <c r="L7211" s="116">
        <v>345.62</v>
      </c>
    </row>
    <row r="7212" spans="1:12" hidden="1" outlineLevel="1" collapsed="1" x14ac:dyDescent="0.35">
      <c r="A7212" s="112" t="s">
        <v>5553</v>
      </c>
      <c r="B7212" s="112" t="s">
        <v>927</v>
      </c>
      <c r="C7212" s="112" t="s">
        <v>1219</v>
      </c>
      <c r="D7212" s="113">
        <v>46307118</v>
      </c>
      <c r="E7212" s="115">
        <v>43936</v>
      </c>
      <c r="F7212" s="114">
        <v>202101</v>
      </c>
      <c r="G7212" s="112" t="s">
        <v>1091</v>
      </c>
      <c r="H7212" s="112" t="s">
        <v>1015</v>
      </c>
      <c r="I7212" s="112" t="s">
        <v>1605</v>
      </c>
      <c r="J7212" s="112" t="s">
        <v>5554</v>
      </c>
      <c r="K7212" s="112" t="s">
        <v>5555</v>
      </c>
      <c r="L7212" s="116">
        <v>10000</v>
      </c>
    </row>
    <row r="7213" spans="1:12" hidden="1" outlineLevel="1" collapsed="1" x14ac:dyDescent="0.35">
      <c r="A7213" s="112" t="s">
        <v>5553</v>
      </c>
      <c r="B7213" s="112" t="s">
        <v>5572</v>
      </c>
      <c r="C7213" s="112" t="s">
        <v>1099</v>
      </c>
      <c r="D7213" s="113">
        <v>1069468</v>
      </c>
      <c r="E7213" s="115">
        <v>43929</v>
      </c>
      <c r="F7213" s="114">
        <v>202101</v>
      </c>
      <c r="G7213" s="112" t="s">
        <v>1091</v>
      </c>
      <c r="H7213" s="112" t="s">
        <v>1015</v>
      </c>
      <c r="I7213" s="112" t="s">
        <v>763</v>
      </c>
      <c r="J7213" s="112" t="s">
        <v>5573</v>
      </c>
      <c r="K7213" s="112" t="s">
        <v>5574</v>
      </c>
      <c r="L7213" s="116">
        <v>20000</v>
      </c>
    </row>
    <row r="7214" spans="1:12" hidden="1" outlineLevel="1" collapsed="1" x14ac:dyDescent="0.35">
      <c r="A7214" s="112" t="s">
        <v>5553</v>
      </c>
      <c r="B7214" s="112" t="s">
        <v>926</v>
      </c>
      <c r="C7214" s="112" t="s">
        <v>1095</v>
      </c>
      <c r="D7214" s="113">
        <v>10348451</v>
      </c>
      <c r="E7214" s="115">
        <v>43949</v>
      </c>
      <c r="F7214" s="114">
        <v>202101</v>
      </c>
      <c r="G7214" s="112" t="s">
        <v>1091</v>
      </c>
      <c r="H7214" s="112" t="s">
        <v>1015</v>
      </c>
      <c r="I7214" s="112" t="s">
        <v>1101</v>
      </c>
      <c r="J7214" s="112" t="s">
        <v>5567</v>
      </c>
      <c r="K7214" s="112" t="s">
        <v>1098</v>
      </c>
      <c r="L7214" s="116">
        <v>483.07</v>
      </c>
    </row>
    <row r="7215" spans="1:12" hidden="1" outlineLevel="1" collapsed="1" x14ac:dyDescent="0.35">
      <c r="A7215" s="112" t="s">
        <v>5553</v>
      </c>
      <c r="B7215" s="112" t="s">
        <v>927</v>
      </c>
      <c r="C7215" s="112" t="s">
        <v>1219</v>
      </c>
      <c r="D7215" s="113">
        <v>46307119</v>
      </c>
      <c r="E7215" s="115">
        <v>43936</v>
      </c>
      <c r="F7215" s="114">
        <v>202101</v>
      </c>
      <c r="G7215" s="112" t="s">
        <v>1091</v>
      </c>
      <c r="H7215" s="112" t="s">
        <v>1015</v>
      </c>
      <c r="I7215" s="112" t="s">
        <v>1605</v>
      </c>
      <c r="J7215" s="112" t="s">
        <v>5554</v>
      </c>
      <c r="K7215" s="112" t="s">
        <v>5555</v>
      </c>
      <c r="L7215" s="116">
        <v>10000</v>
      </c>
    </row>
    <row r="7216" spans="1:12" hidden="1" outlineLevel="1" collapsed="1" x14ac:dyDescent="0.35">
      <c r="A7216" s="112" t="s">
        <v>5553</v>
      </c>
      <c r="B7216" s="112" t="s">
        <v>927</v>
      </c>
      <c r="C7216" s="112" t="s">
        <v>1219</v>
      </c>
      <c r="D7216" s="113">
        <v>46307120</v>
      </c>
      <c r="E7216" s="115">
        <v>43936</v>
      </c>
      <c r="F7216" s="114">
        <v>202101</v>
      </c>
      <c r="G7216" s="112" t="s">
        <v>1091</v>
      </c>
      <c r="H7216" s="112" t="s">
        <v>1015</v>
      </c>
      <c r="I7216" s="112" t="s">
        <v>1605</v>
      </c>
      <c r="J7216" s="112" t="s">
        <v>5554</v>
      </c>
      <c r="K7216" s="112" t="s">
        <v>5556</v>
      </c>
      <c r="L7216" s="116">
        <v>10000</v>
      </c>
    </row>
    <row r="7217" spans="1:12" hidden="1" outlineLevel="1" collapsed="1" x14ac:dyDescent="0.35">
      <c r="A7217" s="112" t="s">
        <v>5553</v>
      </c>
      <c r="B7217" s="112" t="s">
        <v>927</v>
      </c>
      <c r="C7217" s="112" t="s">
        <v>1219</v>
      </c>
      <c r="D7217" s="113">
        <v>46307121</v>
      </c>
      <c r="E7217" s="115">
        <v>43936</v>
      </c>
      <c r="F7217" s="114">
        <v>202101</v>
      </c>
      <c r="G7217" s="112" t="s">
        <v>1091</v>
      </c>
      <c r="H7217" s="112" t="s">
        <v>1015</v>
      </c>
      <c r="I7217" s="112" t="s">
        <v>1605</v>
      </c>
      <c r="J7217" s="112" t="s">
        <v>5554</v>
      </c>
      <c r="K7217" s="112" t="s">
        <v>5555</v>
      </c>
      <c r="L7217" s="116">
        <v>25000</v>
      </c>
    </row>
    <row r="7218" spans="1:12" hidden="1" outlineLevel="1" collapsed="1" x14ac:dyDescent="0.35">
      <c r="A7218" s="112" t="s">
        <v>5553</v>
      </c>
      <c r="B7218" s="112" t="s">
        <v>927</v>
      </c>
      <c r="C7218" s="112" t="s">
        <v>1095</v>
      </c>
      <c r="D7218" s="113">
        <v>10348451</v>
      </c>
      <c r="E7218" s="115">
        <v>43949</v>
      </c>
      <c r="F7218" s="114">
        <v>202101</v>
      </c>
      <c r="G7218" s="112" t="s">
        <v>1091</v>
      </c>
      <c r="H7218" s="112" t="s">
        <v>1015</v>
      </c>
      <c r="I7218" s="112" t="s">
        <v>1096</v>
      </c>
      <c r="J7218" s="112" t="s">
        <v>5557</v>
      </c>
      <c r="K7218" s="112" t="s">
        <v>1098</v>
      </c>
      <c r="L7218" s="116">
        <v>210.79</v>
      </c>
    </row>
    <row r="7219" spans="1:12" hidden="1" outlineLevel="1" collapsed="1" x14ac:dyDescent="0.35">
      <c r="A7219" s="112" t="s">
        <v>5553</v>
      </c>
      <c r="B7219" s="112" t="s">
        <v>927</v>
      </c>
      <c r="C7219" s="112" t="s">
        <v>1099</v>
      </c>
      <c r="D7219" s="113">
        <v>1069633</v>
      </c>
      <c r="E7219" s="115">
        <v>43938</v>
      </c>
      <c r="F7219" s="114">
        <v>202101</v>
      </c>
      <c r="G7219" s="112" t="s">
        <v>1091</v>
      </c>
      <c r="H7219" s="112" t="s">
        <v>1015</v>
      </c>
      <c r="I7219" s="112" t="s">
        <v>763</v>
      </c>
      <c r="J7219" s="112" t="s">
        <v>5557</v>
      </c>
      <c r="K7219" s="112" t="s">
        <v>5575</v>
      </c>
      <c r="L7219" s="116">
        <v>1800</v>
      </c>
    </row>
    <row r="7220" spans="1:12" hidden="1" outlineLevel="1" collapsed="1" x14ac:dyDescent="0.35">
      <c r="A7220" s="112" t="s">
        <v>5553</v>
      </c>
      <c r="B7220" s="112" t="s">
        <v>927</v>
      </c>
      <c r="C7220" s="112" t="s">
        <v>1099</v>
      </c>
      <c r="D7220" s="113">
        <v>1069633</v>
      </c>
      <c r="E7220" s="115">
        <v>43938</v>
      </c>
      <c r="F7220" s="114">
        <v>202101</v>
      </c>
      <c r="G7220" s="112" t="s">
        <v>1091</v>
      </c>
      <c r="H7220" s="112" t="s">
        <v>1015</v>
      </c>
      <c r="I7220" s="112" t="s">
        <v>763</v>
      </c>
      <c r="J7220" s="112" t="s">
        <v>5557</v>
      </c>
      <c r="K7220" s="112" t="s">
        <v>5575</v>
      </c>
      <c r="L7220" s="116">
        <v>2500</v>
      </c>
    </row>
    <row r="7221" spans="1:12" hidden="1" outlineLevel="1" collapsed="1" x14ac:dyDescent="0.35">
      <c r="A7221" s="112" t="s">
        <v>5553</v>
      </c>
      <c r="B7221" s="112" t="s">
        <v>926</v>
      </c>
      <c r="C7221" s="112" t="s">
        <v>1095</v>
      </c>
      <c r="D7221" s="113">
        <v>10348451</v>
      </c>
      <c r="E7221" s="115">
        <v>43949</v>
      </c>
      <c r="F7221" s="114">
        <v>202101</v>
      </c>
      <c r="G7221" s="112" t="s">
        <v>1091</v>
      </c>
      <c r="H7221" s="112" t="s">
        <v>1015</v>
      </c>
      <c r="I7221" s="112" t="s">
        <v>1101</v>
      </c>
      <c r="J7221" s="112" t="s">
        <v>5567</v>
      </c>
      <c r="K7221" s="112" t="s">
        <v>1098</v>
      </c>
      <c r="L7221" s="116">
        <v>615.37</v>
      </c>
    </row>
    <row r="7222" spans="1:12" hidden="1" outlineLevel="1" collapsed="1" x14ac:dyDescent="0.35">
      <c r="A7222" s="112" t="s">
        <v>5553</v>
      </c>
      <c r="B7222" s="112" t="s">
        <v>927</v>
      </c>
      <c r="C7222" s="112" t="s">
        <v>1095</v>
      </c>
      <c r="D7222" s="113">
        <v>10348451</v>
      </c>
      <c r="E7222" s="115">
        <v>43949</v>
      </c>
      <c r="F7222" s="114">
        <v>202101</v>
      </c>
      <c r="G7222" s="112" t="s">
        <v>1091</v>
      </c>
      <c r="H7222" s="112" t="s">
        <v>1015</v>
      </c>
      <c r="I7222" s="112" t="s">
        <v>1096</v>
      </c>
      <c r="J7222" s="112" t="s">
        <v>5557</v>
      </c>
      <c r="K7222" s="112" t="s">
        <v>1098</v>
      </c>
      <c r="L7222" s="116">
        <v>323.45</v>
      </c>
    </row>
    <row r="7223" spans="1:12" hidden="1" outlineLevel="1" collapsed="1" x14ac:dyDescent="0.35">
      <c r="A7223" s="112" t="s">
        <v>5553</v>
      </c>
      <c r="B7223" s="112" t="s">
        <v>924</v>
      </c>
      <c r="C7223" s="112" t="s">
        <v>1095</v>
      </c>
      <c r="D7223" s="113">
        <v>10348451</v>
      </c>
      <c r="E7223" s="115">
        <v>43949</v>
      </c>
      <c r="F7223" s="114">
        <v>202101</v>
      </c>
      <c r="G7223" s="112" t="s">
        <v>1091</v>
      </c>
      <c r="H7223" s="112" t="s">
        <v>1015</v>
      </c>
      <c r="I7223" s="112" t="s">
        <v>1113</v>
      </c>
      <c r="J7223" s="112" t="s">
        <v>5558</v>
      </c>
      <c r="K7223" s="112" t="s">
        <v>1098</v>
      </c>
      <c r="L7223" s="116">
        <v>55.56</v>
      </c>
    </row>
    <row r="7224" spans="1:12" hidden="1" outlineLevel="1" collapsed="1" x14ac:dyDescent="0.35">
      <c r="A7224" s="112" t="s">
        <v>5553</v>
      </c>
      <c r="B7224" s="112" t="s">
        <v>925</v>
      </c>
      <c r="C7224" s="112" t="s">
        <v>695</v>
      </c>
      <c r="D7224" s="113">
        <v>10347981</v>
      </c>
      <c r="E7224" s="115">
        <v>43924</v>
      </c>
      <c r="F7224" s="114">
        <v>202101</v>
      </c>
      <c r="G7224" s="112" t="s">
        <v>1091</v>
      </c>
      <c r="H7224" s="112" t="s">
        <v>1015</v>
      </c>
      <c r="I7224" s="112" t="s">
        <v>761</v>
      </c>
      <c r="J7224" s="112" t="s">
        <v>5559</v>
      </c>
      <c r="K7224" s="112" t="s">
        <v>5576</v>
      </c>
      <c r="L7224" s="116">
        <v>-6</v>
      </c>
    </row>
    <row r="7225" spans="1:12" hidden="1" outlineLevel="1" collapsed="1" x14ac:dyDescent="0.35">
      <c r="A7225" s="112" t="s">
        <v>5553</v>
      </c>
      <c r="B7225" s="112" t="s">
        <v>927</v>
      </c>
      <c r="C7225" s="112" t="s">
        <v>1219</v>
      </c>
      <c r="D7225" s="113">
        <v>46307116</v>
      </c>
      <c r="E7225" s="115">
        <v>43936</v>
      </c>
      <c r="F7225" s="114">
        <v>202101</v>
      </c>
      <c r="G7225" s="112" t="s">
        <v>1091</v>
      </c>
      <c r="H7225" s="112" t="s">
        <v>1015</v>
      </c>
      <c r="I7225" s="112" t="s">
        <v>1605</v>
      </c>
      <c r="J7225" s="112" t="s">
        <v>5554</v>
      </c>
      <c r="K7225" s="112" t="s">
        <v>5555</v>
      </c>
      <c r="L7225" s="116">
        <v>25000</v>
      </c>
    </row>
    <row r="7226" spans="1:12" hidden="1" outlineLevel="1" collapsed="1" x14ac:dyDescent="0.35">
      <c r="A7226" s="112" t="s">
        <v>5553</v>
      </c>
      <c r="B7226" s="112" t="s">
        <v>925</v>
      </c>
      <c r="C7226" s="112" t="s">
        <v>1219</v>
      </c>
      <c r="D7226" s="113">
        <v>46307575</v>
      </c>
      <c r="E7226" s="115">
        <v>43859</v>
      </c>
      <c r="F7226" s="114">
        <v>202101</v>
      </c>
      <c r="G7226" s="112" t="s">
        <v>1091</v>
      </c>
      <c r="H7226" s="112" t="s">
        <v>1015</v>
      </c>
      <c r="I7226" s="112" t="s">
        <v>5577</v>
      </c>
      <c r="J7226" s="112" t="s">
        <v>5559</v>
      </c>
      <c r="K7226" s="112" t="s">
        <v>5578</v>
      </c>
      <c r="L7226" s="116">
        <v>889.26</v>
      </c>
    </row>
    <row r="7227" spans="1:12" hidden="1" outlineLevel="1" collapsed="1" x14ac:dyDescent="0.35">
      <c r="A7227" s="112" t="s">
        <v>5553</v>
      </c>
      <c r="B7227" s="112" t="s">
        <v>5561</v>
      </c>
      <c r="C7227" s="112" t="s">
        <v>1095</v>
      </c>
      <c r="D7227" s="113">
        <v>10348451</v>
      </c>
      <c r="E7227" s="115">
        <v>43949</v>
      </c>
      <c r="F7227" s="114">
        <v>202101</v>
      </c>
      <c r="G7227" s="112" t="s">
        <v>1091</v>
      </c>
      <c r="H7227" s="112" t="s">
        <v>1015</v>
      </c>
      <c r="I7227" s="112" t="s">
        <v>1096</v>
      </c>
      <c r="J7227" s="112" t="s">
        <v>5562</v>
      </c>
      <c r="K7227" s="112" t="s">
        <v>1098</v>
      </c>
      <c r="L7227" s="116">
        <v>499.16</v>
      </c>
    </row>
    <row r="7228" spans="1:12" hidden="1" outlineLevel="1" collapsed="1" x14ac:dyDescent="0.35">
      <c r="A7228" s="112" t="s">
        <v>5553</v>
      </c>
      <c r="B7228" s="112" t="s">
        <v>927</v>
      </c>
      <c r="C7228" s="112" t="s">
        <v>1219</v>
      </c>
      <c r="D7228" s="113">
        <v>46307486</v>
      </c>
      <c r="E7228" s="115">
        <v>43942</v>
      </c>
      <c r="F7228" s="114">
        <v>202101</v>
      </c>
      <c r="G7228" s="112" t="s">
        <v>1091</v>
      </c>
      <c r="H7228" s="112" t="s">
        <v>1015</v>
      </c>
      <c r="I7228" s="112" t="s">
        <v>1605</v>
      </c>
      <c r="J7228" s="112" t="s">
        <v>5554</v>
      </c>
      <c r="K7228" s="112" t="s">
        <v>5555</v>
      </c>
      <c r="L7228" s="116">
        <v>25000</v>
      </c>
    </row>
    <row r="7229" spans="1:12" hidden="1" outlineLevel="1" collapsed="1" x14ac:dyDescent="0.35">
      <c r="A7229" s="112" t="s">
        <v>5553</v>
      </c>
      <c r="B7229" s="112" t="s">
        <v>927</v>
      </c>
      <c r="C7229" s="112" t="s">
        <v>1219</v>
      </c>
      <c r="D7229" s="113">
        <v>46307487</v>
      </c>
      <c r="E7229" s="115">
        <v>43942</v>
      </c>
      <c r="F7229" s="114">
        <v>202101</v>
      </c>
      <c r="G7229" s="112" t="s">
        <v>1091</v>
      </c>
      <c r="H7229" s="112" t="s">
        <v>1015</v>
      </c>
      <c r="I7229" s="112" t="s">
        <v>1605</v>
      </c>
      <c r="J7229" s="112" t="s">
        <v>5554</v>
      </c>
      <c r="K7229" s="112" t="s">
        <v>5555</v>
      </c>
      <c r="L7229" s="116">
        <v>25000</v>
      </c>
    </row>
    <row r="7230" spans="1:12" hidden="1" outlineLevel="1" collapsed="1" x14ac:dyDescent="0.35">
      <c r="A7230" s="112" t="s">
        <v>5553</v>
      </c>
      <c r="B7230" s="112" t="s">
        <v>927</v>
      </c>
      <c r="C7230" s="112" t="s">
        <v>1219</v>
      </c>
      <c r="D7230" s="113">
        <v>46307488</v>
      </c>
      <c r="E7230" s="115">
        <v>43942</v>
      </c>
      <c r="F7230" s="114">
        <v>202101</v>
      </c>
      <c r="G7230" s="112" t="s">
        <v>1091</v>
      </c>
      <c r="H7230" s="112" t="s">
        <v>1015</v>
      </c>
      <c r="I7230" s="112" t="s">
        <v>1605</v>
      </c>
      <c r="J7230" s="112" t="s">
        <v>5554</v>
      </c>
      <c r="K7230" s="112" t="s">
        <v>5556</v>
      </c>
      <c r="L7230" s="116">
        <v>10000</v>
      </c>
    </row>
    <row r="7231" spans="1:12" hidden="1" outlineLevel="1" collapsed="1" x14ac:dyDescent="0.35">
      <c r="A7231" s="112" t="s">
        <v>5553</v>
      </c>
      <c r="B7231" s="112" t="s">
        <v>927</v>
      </c>
      <c r="C7231" s="112" t="s">
        <v>1219</v>
      </c>
      <c r="D7231" s="113">
        <v>46307489</v>
      </c>
      <c r="E7231" s="115">
        <v>43942</v>
      </c>
      <c r="F7231" s="114">
        <v>202101</v>
      </c>
      <c r="G7231" s="112" t="s">
        <v>1091</v>
      </c>
      <c r="H7231" s="112" t="s">
        <v>1015</v>
      </c>
      <c r="I7231" s="112" t="s">
        <v>1605</v>
      </c>
      <c r="J7231" s="112" t="s">
        <v>5554</v>
      </c>
      <c r="K7231" s="112" t="s">
        <v>5556</v>
      </c>
      <c r="L7231" s="116">
        <v>10000</v>
      </c>
    </row>
    <row r="7232" spans="1:12" hidden="1" outlineLevel="1" collapsed="1" x14ac:dyDescent="0.35">
      <c r="A7232" s="112" t="s">
        <v>5553</v>
      </c>
      <c r="B7232" s="112" t="s">
        <v>927</v>
      </c>
      <c r="C7232" s="112" t="s">
        <v>1219</v>
      </c>
      <c r="D7232" s="113">
        <v>46307490</v>
      </c>
      <c r="E7232" s="115">
        <v>43942</v>
      </c>
      <c r="F7232" s="114">
        <v>202101</v>
      </c>
      <c r="G7232" s="112" t="s">
        <v>1091</v>
      </c>
      <c r="H7232" s="112" t="s">
        <v>1015</v>
      </c>
      <c r="I7232" s="112" t="s">
        <v>1605</v>
      </c>
      <c r="J7232" s="112" t="s">
        <v>5554</v>
      </c>
      <c r="K7232" s="112" t="s">
        <v>5556</v>
      </c>
      <c r="L7232" s="116">
        <v>10000</v>
      </c>
    </row>
    <row r="7233" spans="1:12" hidden="1" outlineLevel="1" collapsed="1" x14ac:dyDescent="0.35">
      <c r="A7233" s="112" t="s">
        <v>5553</v>
      </c>
      <c r="B7233" s="112" t="s">
        <v>927</v>
      </c>
      <c r="C7233" s="112" t="s">
        <v>1219</v>
      </c>
      <c r="D7233" s="113">
        <v>46307491</v>
      </c>
      <c r="E7233" s="115">
        <v>43942</v>
      </c>
      <c r="F7233" s="114">
        <v>202101</v>
      </c>
      <c r="G7233" s="112" t="s">
        <v>1091</v>
      </c>
      <c r="H7233" s="112" t="s">
        <v>1015</v>
      </c>
      <c r="I7233" s="112" t="s">
        <v>1605</v>
      </c>
      <c r="J7233" s="112" t="s">
        <v>5554</v>
      </c>
      <c r="K7233" s="112" t="s">
        <v>5555</v>
      </c>
      <c r="L7233" s="116">
        <v>25000</v>
      </c>
    </row>
    <row r="7234" spans="1:12" hidden="1" outlineLevel="1" collapsed="1" x14ac:dyDescent="0.35">
      <c r="A7234" s="112" t="s">
        <v>5553</v>
      </c>
      <c r="B7234" s="112" t="s">
        <v>927</v>
      </c>
      <c r="C7234" s="112" t="s">
        <v>1219</v>
      </c>
      <c r="D7234" s="113">
        <v>46307492</v>
      </c>
      <c r="E7234" s="115">
        <v>43942</v>
      </c>
      <c r="F7234" s="114">
        <v>202101</v>
      </c>
      <c r="G7234" s="112" t="s">
        <v>1091</v>
      </c>
      <c r="H7234" s="112" t="s">
        <v>1015</v>
      </c>
      <c r="I7234" s="112" t="s">
        <v>1605</v>
      </c>
      <c r="J7234" s="112" t="s">
        <v>5554</v>
      </c>
      <c r="K7234" s="112" t="s">
        <v>5556</v>
      </c>
      <c r="L7234" s="116">
        <v>10000</v>
      </c>
    </row>
    <row r="7235" spans="1:12" hidden="1" outlineLevel="1" collapsed="1" x14ac:dyDescent="0.35">
      <c r="A7235" s="112" t="s">
        <v>5553</v>
      </c>
      <c r="B7235" s="112" t="s">
        <v>927</v>
      </c>
      <c r="C7235" s="112" t="s">
        <v>1219</v>
      </c>
      <c r="D7235" s="113">
        <v>46307493</v>
      </c>
      <c r="E7235" s="115">
        <v>43942</v>
      </c>
      <c r="F7235" s="114">
        <v>202101</v>
      </c>
      <c r="G7235" s="112" t="s">
        <v>1091</v>
      </c>
      <c r="H7235" s="112" t="s">
        <v>1015</v>
      </c>
      <c r="I7235" s="112" t="s">
        <v>1605</v>
      </c>
      <c r="J7235" s="112" t="s">
        <v>5554</v>
      </c>
      <c r="K7235" s="112" t="s">
        <v>5555</v>
      </c>
      <c r="L7235" s="116">
        <v>25000</v>
      </c>
    </row>
    <row r="7236" spans="1:12" hidden="1" outlineLevel="1" collapsed="1" x14ac:dyDescent="0.35">
      <c r="A7236" s="112" t="s">
        <v>5553</v>
      </c>
      <c r="B7236" s="112" t="s">
        <v>927</v>
      </c>
      <c r="C7236" s="112" t="s">
        <v>1219</v>
      </c>
      <c r="D7236" s="113">
        <v>46307494</v>
      </c>
      <c r="E7236" s="115">
        <v>43942</v>
      </c>
      <c r="F7236" s="114">
        <v>202101</v>
      </c>
      <c r="G7236" s="112" t="s">
        <v>1091</v>
      </c>
      <c r="H7236" s="112" t="s">
        <v>1015</v>
      </c>
      <c r="I7236" s="112" t="s">
        <v>1605</v>
      </c>
      <c r="J7236" s="112" t="s">
        <v>5554</v>
      </c>
      <c r="K7236" s="112" t="s">
        <v>5556</v>
      </c>
      <c r="L7236" s="116">
        <v>10000</v>
      </c>
    </row>
    <row r="7237" spans="1:12" hidden="1" outlineLevel="1" collapsed="1" x14ac:dyDescent="0.35">
      <c r="A7237" s="112" t="s">
        <v>5553</v>
      </c>
      <c r="B7237" s="112" t="s">
        <v>927</v>
      </c>
      <c r="C7237" s="112" t="s">
        <v>1219</v>
      </c>
      <c r="D7237" s="113">
        <v>46307122</v>
      </c>
      <c r="E7237" s="115">
        <v>43936</v>
      </c>
      <c r="F7237" s="114">
        <v>202101</v>
      </c>
      <c r="G7237" s="112" t="s">
        <v>1091</v>
      </c>
      <c r="H7237" s="112" t="s">
        <v>1015</v>
      </c>
      <c r="I7237" s="112" t="s">
        <v>1605</v>
      </c>
      <c r="J7237" s="112" t="s">
        <v>5554</v>
      </c>
      <c r="K7237" s="112" t="s">
        <v>5555</v>
      </c>
      <c r="L7237" s="116">
        <v>25000</v>
      </c>
    </row>
    <row r="7238" spans="1:12" hidden="1" outlineLevel="1" collapsed="1" x14ac:dyDescent="0.35">
      <c r="A7238" s="112" t="s">
        <v>5553</v>
      </c>
      <c r="B7238" s="112" t="s">
        <v>927</v>
      </c>
      <c r="C7238" s="112" t="s">
        <v>1219</v>
      </c>
      <c r="D7238" s="113">
        <v>46307123</v>
      </c>
      <c r="E7238" s="115">
        <v>43936</v>
      </c>
      <c r="F7238" s="114">
        <v>202101</v>
      </c>
      <c r="G7238" s="112" t="s">
        <v>1091</v>
      </c>
      <c r="H7238" s="112" t="s">
        <v>1015</v>
      </c>
      <c r="I7238" s="112" t="s">
        <v>1605</v>
      </c>
      <c r="J7238" s="112" t="s">
        <v>5554</v>
      </c>
      <c r="K7238" s="112" t="s">
        <v>5555</v>
      </c>
      <c r="L7238" s="116">
        <v>10000</v>
      </c>
    </row>
    <row r="7239" spans="1:12" hidden="1" outlineLevel="1" collapsed="1" x14ac:dyDescent="0.35">
      <c r="A7239" s="112" t="s">
        <v>5553</v>
      </c>
      <c r="B7239" s="112" t="s">
        <v>927</v>
      </c>
      <c r="C7239" s="112" t="s">
        <v>1219</v>
      </c>
      <c r="D7239" s="113">
        <v>46307124</v>
      </c>
      <c r="E7239" s="115">
        <v>43936</v>
      </c>
      <c r="F7239" s="114">
        <v>202101</v>
      </c>
      <c r="G7239" s="112" t="s">
        <v>1091</v>
      </c>
      <c r="H7239" s="112" t="s">
        <v>1015</v>
      </c>
      <c r="I7239" s="112" t="s">
        <v>1605</v>
      </c>
      <c r="J7239" s="112" t="s">
        <v>5554</v>
      </c>
      <c r="K7239" s="112" t="s">
        <v>5555</v>
      </c>
      <c r="L7239" s="116">
        <v>25000</v>
      </c>
    </row>
    <row r="7240" spans="1:12" hidden="1" outlineLevel="1" collapsed="1" x14ac:dyDescent="0.35">
      <c r="A7240" s="112" t="s">
        <v>5553</v>
      </c>
      <c r="B7240" s="112" t="s">
        <v>927</v>
      </c>
      <c r="C7240" s="112" t="s">
        <v>1219</v>
      </c>
      <c r="D7240" s="113">
        <v>46307125</v>
      </c>
      <c r="E7240" s="115">
        <v>43936</v>
      </c>
      <c r="F7240" s="114">
        <v>202101</v>
      </c>
      <c r="G7240" s="112" t="s">
        <v>1091</v>
      </c>
      <c r="H7240" s="112" t="s">
        <v>1015</v>
      </c>
      <c r="I7240" s="112" t="s">
        <v>1605</v>
      </c>
      <c r="J7240" s="112" t="s">
        <v>5554</v>
      </c>
      <c r="K7240" s="112" t="s">
        <v>5556</v>
      </c>
      <c r="L7240" s="116">
        <v>10000</v>
      </c>
    </row>
    <row r="7241" spans="1:12" hidden="1" outlineLevel="1" collapsed="1" x14ac:dyDescent="0.35">
      <c r="A7241" s="112" t="s">
        <v>5553</v>
      </c>
      <c r="B7241" s="112" t="s">
        <v>927</v>
      </c>
      <c r="C7241" s="112" t="s">
        <v>1219</v>
      </c>
      <c r="D7241" s="113">
        <v>46307096</v>
      </c>
      <c r="E7241" s="115">
        <v>43936</v>
      </c>
      <c r="F7241" s="114">
        <v>202101</v>
      </c>
      <c r="G7241" s="112" t="s">
        <v>1091</v>
      </c>
      <c r="H7241" s="112" t="s">
        <v>1015</v>
      </c>
      <c r="I7241" s="112" t="s">
        <v>1605</v>
      </c>
      <c r="J7241" s="112" t="s">
        <v>5554</v>
      </c>
      <c r="K7241" s="112" t="s">
        <v>5555</v>
      </c>
      <c r="L7241" s="116">
        <v>25000</v>
      </c>
    </row>
    <row r="7242" spans="1:12" hidden="1" outlineLevel="1" collapsed="1" x14ac:dyDescent="0.35">
      <c r="A7242" s="112" t="s">
        <v>5553</v>
      </c>
      <c r="B7242" s="112" t="s">
        <v>927</v>
      </c>
      <c r="C7242" s="112" t="s">
        <v>1219</v>
      </c>
      <c r="D7242" s="113">
        <v>46307126</v>
      </c>
      <c r="E7242" s="115">
        <v>43936</v>
      </c>
      <c r="F7242" s="114">
        <v>202101</v>
      </c>
      <c r="G7242" s="112" t="s">
        <v>1091</v>
      </c>
      <c r="H7242" s="112" t="s">
        <v>1015</v>
      </c>
      <c r="I7242" s="112" t="s">
        <v>1605</v>
      </c>
      <c r="J7242" s="112" t="s">
        <v>5554</v>
      </c>
      <c r="K7242" s="112" t="s">
        <v>5555</v>
      </c>
      <c r="L7242" s="116">
        <v>25000</v>
      </c>
    </row>
    <row r="7243" spans="1:12" hidden="1" outlineLevel="1" collapsed="1" x14ac:dyDescent="0.35">
      <c r="A7243" s="112" t="s">
        <v>5553</v>
      </c>
      <c r="B7243" s="112" t="s">
        <v>927</v>
      </c>
      <c r="C7243" s="112" t="s">
        <v>1219</v>
      </c>
      <c r="D7243" s="113">
        <v>46307081</v>
      </c>
      <c r="E7243" s="115">
        <v>43936</v>
      </c>
      <c r="F7243" s="114">
        <v>202101</v>
      </c>
      <c r="G7243" s="112" t="s">
        <v>1091</v>
      </c>
      <c r="H7243" s="112" t="s">
        <v>1015</v>
      </c>
      <c r="I7243" s="112" t="s">
        <v>1605</v>
      </c>
      <c r="J7243" s="112" t="s">
        <v>5554</v>
      </c>
      <c r="K7243" s="112" t="s">
        <v>5556</v>
      </c>
      <c r="L7243" s="116">
        <v>10000</v>
      </c>
    </row>
    <row r="7244" spans="1:12" hidden="1" outlineLevel="1" collapsed="1" x14ac:dyDescent="0.35">
      <c r="A7244" s="112" t="s">
        <v>5553</v>
      </c>
      <c r="B7244" s="112" t="s">
        <v>926</v>
      </c>
      <c r="C7244" s="112" t="s">
        <v>1095</v>
      </c>
      <c r="D7244" s="113">
        <v>10348451</v>
      </c>
      <c r="E7244" s="115">
        <v>43949</v>
      </c>
      <c r="F7244" s="114">
        <v>202101</v>
      </c>
      <c r="G7244" s="112" t="s">
        <v>1091</v>
      </c>
      <c r="H7244" s="112" t="s">
        <v>1015</v>
      </c>
      <c r="I7244" s="112" t="s">
        <v>1116</v>
      </c>
      <c r="J7244" s="112" t="s">
        <v>5567</v>
      </c>
      <c r="K7244" s="112" t="s">
        <v>1098</v>
      </c>
      <c r="L7244" s="116">
        <v>3717</v>
      </c>
    </row>
    <row r="7245" spans="1:12" hidden="1" outlineLevel="1" collapsed="1" x14ac:dyDescent="0.35">
      <c r="A7245" s="112" t="s">
        <v>5553</v>
      </c>
      <c r="B7245" s="112" t="s">
        <v>927</v>
      </c>
      <c r="C7245" s="112" t="s">
        <v>1095</v>
      </c>
      <c r="D7245" s="113">
        <v>10348451</v>
      </c>
      <c r="E7245" s="115">
        <v>43949</v>
      </c>
      <c r="F7245" s="114">
        <v>202101</v>
      </c>
      <c r="G7245" s="112" t="s">
        <v>1091</v>
      </c>
      <c r="H7245" s="112" t="s">
        <v>1015</v>
      </c>
      <c r="I7245" s="112" t="s">
        <v>1101</v>
      </c>
      <c r="J7245" s="112" t="s">
        <v>5554</v>
      </c>
      <c r="K7245" s="112" t="s">
        <v>1098</v>
      </c>
      <c r="L7245" s="116">
        <v>366.04</v>
      </c>
    </row>
    <row r="7246" spans="1:12" hidden="1" outlineLevel="1" collapsed="1" x14ac:dyDescent="0.35">
      <c r="A7246" s="112" t="s">
        <v>5553</v>
      </c>
      <c r="B7246" s="112" t="s">
        <v>927</v>
      </c>
      <c r="C7246" s="112" t="s">
        <v>1095</v>
      </c>
      <c r="D7246" s="113">
        <v>10348451</v>
      </c>
      <c r="E7246" s="115">
        <v>43949</v>
      </c>
      <c r="F7246" s="114">
        <v>202101</v>
      </c>
      <c r="G7246" s="112" t="s">
        <v>1091</v>
      </c>
      <c r="H7246" s="112" t="s">
        <v>1015</v>
      </c>
      <c r="I7246" s="112" t="s">
        <v>1101</v>
      </c>
      <c r="J7246" s="112" t="s">
        <v>5554</v>
      </c>
      <c r="K7246" s="112" t="s">
        <v>1098</v>
      </c>
      <c r="L7246" s="116">
        <v>366.04</v>
      </c>
    </row>
    <row r="7247" spans="1:12" hidden="1" outlineLevel="1" collapsed="1" x14ac:dyDescent="0.35">
      <c r="A7247" s="112" t="s">
        <v>5553</v>
      </c>
      <c r="B7247" s="112" t="s">
        <v>927</v>
      </c>
      <c r="C7247" s="112" t="s">
        <v>1219</v>
      </c>
      <c r="D7247" s="113">
        <v>46307107</v>
      </c>
      <c r="E7247" s="115">
        <v>43936</v>
      </c>
      <c r="F7247" s="114">
        <v>202101</v>
      </c>
      <c r="G7247" s="112" t="s">
        <v>1091</v>
      </c>
      <c r="H7247" s="112" t="s">
        <v>1015</v>
      </c>
      <c r="I7247" s="112" t="s">
        <v>1605</v>
      </c>
      <c r="J7247" s="112" t="s">
        <v>5554</v>
      </c>
      <c r="K7247" s="112" t="s">
        <v>5555</v>
      </c>
      <c r="L7247" s="116">
        <v>25000</v>
      </c>
    </row>
    <row r="7248" spans="1:12" hidden="1" outlineLevel="1" collapsed="1" x14ac:dyDescent="0.35">
      <c r="A7248" s="112" t="s">
        <v>5553</v>
      </c>
      <c r="B7248" s="112" t="s">
        <v>927</v>
      </c>
      <c r="C7248" s="112" t="s">
        <v>1219</v>
      </c>
      <c r="D7248" s="113">
        <v>46307108</v>
      </c>
      <c r="E7248" s="115">
        <v>43936</v>
      </c>
      <c r="F7248" s="114">
        <v>202101</v>
      </c>
      <c r="G7248" s="112" t="s">
        <v>1091</v>
      </c>
      <c r="H7248" s="112" t="s">
        <v>1015</v>
      </c>
      <c r="I7248" s="112" t="s">
        <v>1605</v>
      </c>
      <c r="J7248" s="112" t="s">
        <v>5554</v>
      </c>
      <c r="K7248" s="112" t="s">
        <v>5556</v>
      </c>
      <c r="L7248" s="116">
        <v>10000</v>
      </c>
    </row>
    <row r="7249" spans="1:12" hidden="1" outlineLevel="1" collapsed="1" x14ac:dyDescent="0.35">
      <c r="A7249" s="112" t="s">
        <v>5553</v>
      </c>
      <c r="B7249" s="112" t="s">
        <v>927</v>
      </c>
      <c r="C7249" s="112" t="s">
        <v>1219</v>
      </c>
      <c r="D7249" s="113">
        <v>46307109</v>
      </c>
      <c r="E7249" s="115">
        <v>43936</v>
      </c>
      <c r="F7249" s="114">
        <v>202101</v>
      </c>
      <c r="G7249" s="112" t="s">
        <v>1091</v>
      </c>
      <c r="H7249" s="112" t="s">
        <v>1015</v>
      </c>
      <c r="I7249" s="112" t="s">
        <v>1605</v>
      </c>
      <c r="J7249" s="112" t="s">
        <v>5554</v>
      </c>
      <c r="K7249" s="112" t="s">
        <v>5556</v>
      </c>
      <c r="L7249" s="116">
        <v>10000</v>
      </c>
    </row>
    <row r="7250" spans="1:12" hidden="1" outlineLevel="1" collapsed="1" x14ac:dyDescent="0.35">
      <c r="A7250" s="112" t="s">
        <v>5553</v>
      </c>
      <c r="B7250" s="112" t="s">
        <v>927</v>
      </c>
      <c r="C7250" s="112" t="s">
        <v>1219</v>
      </c>
      <c r="D7250" s="113">
        <v>46307110</v>
      </c>
      <c r="E7250" s="115">
        <v>43936</v>
      </c>
      <c r="F7250" s="114">
        <v>202101</v>
      </c>
      <c r="G7250" s="112" t="s">
        <v>1091</v>
      </c>
      <c r="H7250" s="112" t="s">
        <v>1015</v>
      </c>
      <c r="I7250" s="112" t="s">
        <v>1605</v>
      </c>
      <c r="J7250" s="112" t="s">
        <v>5554</v>
      </c>
      <c r="K7250" s="112" t="s">
        <v>5555</v>
      </c>
      <c r="L7250" s="116">
        <v>25000</v>
      </c>
    </row>
    <row r="7251" spans="1:12" hidden="1" outlineLevel="1" collapsed="1" x14ac:dyDescent="0.35">
      <c r="A7251" s="112" t="s">
        <v>5553</v>
      </c>
      <c r="B7251" s="112" t="s">
        <v>927</v>
      </c>
      <c r="C7251" s="112" t="s">
        <v>1219</v>
      </c>
      <c r="D7251" s="113">
        <v>46307111</v>
      </c>
      <c r="E7251" s="115">
        <v>43936</v>
      </c>
      <c r="F7251" s="114">
        <v>202101</v>
      </c>
      <c r="G7251" s="112" t="s">
        <v>1091</v>
      </c>
      <c r="H7251" s="112" t="s">
        <v>1015</v>
      </c>
      <c r="I7251" s="112" t="s">
        <v>1605</v>
      </c>
      <c r="J7251" s="112" t="s">
        <v>5554</v>
      </c>
      <c r="K7251" s="112" t="s">
        <v>5555</v>
      </c>
      <c r="L7251" s="116">
        <v>10000</v>
      </c>
    </row>
    <row r="7252" spans="1:12" hidden="1" outlineLevel="1" collapsed="1" x14ac:dyDescent="0.35">
      <c r="A7252" s="112" t="s">
        <v>5553</v>
      </c>
      <c r="B7252" s="112" t="s">
        <v>927</v>
      </c>
      <c r="C7252" s="112" t="s">
        <v>1095</v>
      </c>
      <c r="D7252" s="113">
        <v>10348451</v>
      </c>
      <c r="E7252" s="115">
        <v>43949</v>
      </c>
      <c r="F7252" s="114">
        <v>202101</v>
      </c>
      <c r="G7252" s="112" t="s">
        <v>1091</v>
      </c>
      <c r="H7252" s="112" t="s">
        <v>1015</v>
      </c>
      <c r="I7252" s="112" t="s">
        <v>1101</v>
      </c>
      <c r="J7252" s="112" t="s">
        <v>5557</v>
      </c>
      <c r="K7252" s="112" t="s">
        <v>1098</v>
      </c>
      <c r="L7252" s="116">
        <v>426.26</v>
      </c>
    </row>
    <row r="7253" spans="1:12" hidden="1" outlineLevel="1" collapsed="1" x14ac:dyDescent="0.35">
      <c r="A7253" s="112" t="s">
        <v>5553</v>
      </c>
      <c r="B7253" s="112" t="s">
        <v>924</v>
      </c>
      <c r="C7253" s="112" t="s">
        <v>1095</v>
      </c>
      <c r="D7253" s="113">
        <v>10348451</v>
      </c>
      <c r="E7253" s="115">
        <v>43949</v>
      </c>
      <c r="F7253" s="114">
        <v>202101</v>
      </c>
      <c r="G7253" s="112" t="s">
        <v>1091</v>
      </c>
      <c r="H7253" s="112" t="s">
        <v>1015</v>
      </c>
      <c r="I7253" s="112" t="s">
        <v>1128</v>
      </c>
      <c r="J7253" s="112" t="s">
        <v>5558</v>
      </c>
      <c r="K7253" s="112" t="s">
        <v>1098</v>
      </c>
      <c r="L7253" s="116">
        <v>100</v>
      </c>
    </row>
    <row r="7254" spans="1:12" hidden="1" outlineLevel="1" collapsed="1" x14ac:dyDescent="0.35">
      <c r="A7254" s="112" t="s">
        <v>5553</v>
      </c>
      <c r="B7254" s="112" t="s">
        <v>927</v>
      </c>
      <c r="C7254" s="112" t="s">
        <v>1219</v>
      </c>
      <c r="D7254" s="113">
        <v>46307112</v>
      </c>
      <c r="E7254" s="115">
        <v>43936</v>
      </c>
      <c r="F7254" s="114">
        <v>202101</v>
      </c>
      <c r="G7254" s="112" t="s">
        <v>1091</v>
      </c>
      <c r="H7254" s="112" t="s">
        <v>1015</v>
      </c>
      <c r="I7254" s="112" t="s">
        <v>1605</v>
      </c>
      <c r="J7254" s="112" t="s">
        <v>5554</v>
      </c>
      <c r="K7254" s="112" t="s">
        <v>5555</v>
      </c>
      <c r="L7254" s="116">
        <v>25000</v>
      </c>
    </row>
    <row r="7255" spans="1:12" hidden="1" outlineLevel="1" collapsed="1" x14ac:dyDescent="0.35">
      <c r="A7255" s="112" t="s">
        <v>5553</v>
      </c>
      <c r="B7255" s="112" t="s">
        <v>927</v>
      </c>
      <c r="C7255" s="112" t="s">
        <v>1219</v>
      </c>
      <c r="D7255" s="113">
        <v>46307113</v>
      </c>
      <c r="E7255" s="115">
        <v>43936</v>
      </c>
      <c r="F7255" s="114">
        <v>202101</v>
      </c>
      <c r="G7255" s="112" t="s">
        <v>1091</v>
      </c>
      <c r="H7255" s="112" t="s">
        <v>1015</v>
      </c>
      <c r="I7255" s="112" t="s">
        <v>1605</v>
      </c>
      <c r="J7255" s="112" t="s">
        <v>5554</v>
      </c>
      <c r="K7255" s="112" t="s">
        <v>5555</v>
      </c>
      <c r="L7255" s="116">
        <v>25000</v>
      </c>
    </row>
    <row r="7256" spans="1:12" hidden="1" outlineLevel="1" collapsed="1" x14ac:dyDescent="0.35">
      <c r="A7256" s="112" t="s">
        <v>5553</v>
      </c>
      <c r="B7256" s="112" t="s">
        <v>927</v>
      </c>
      <c r="C7256" s="112" t="s">
        <v>1219</v>
      </c>
      <c r="D7256" s="113">
        <v>46307114</v>
      </c>
      <c r="E7256" s="115">
        <v>43936</v>
      </c>
      <c r="F7256" s="114">
        <v>202101</v>
      </c>
      <c r="G7256" s="112" t="s">
        <v>1091</v>
      </c>
      <c r="H7256" s="112" t="s">
        <v>1015</v>
      </c>
      <c r="I7256" s="112" t="s">
        <v>1605</v>
      </c>
      <c r="J7256" s="112" t="s">
        <v>5554</v>
      </c>
      <c r="K7256" s="112" t="s">
        <v>5555</v>
      </c>
      <c r="L7256" s="116">
        <v>25000</v>
      </c>
    </row>
    <row r="7257" spans="1:12" hidden="1" outlineLevel="1" collapsed="1" x14ac:dyDescent="0.35">
      <c r="A7257" s="112" t="s">
        <v>5553</v>
      </c>
      <c r="B7257" s="112" t="s">
        <v>927</v>
      </c>
      <c r="C7257" s="112" t="s">
        <v>1219</v>
      </c>
      <c r="D7257" s="113">
        <v>46307115</v>
      </c>
      <c r="E7257" s="115">
        <v>43936</v>
      </c>
      <c r="F7257" s="114">
        <v>202101</v>
      </c>
      <c r="G7257" s="112" t="s">
        <v>1091</v>
      </c>
      <c r="H7257" s="112" t="s">
        <v>1015</v>
      </c>
      <c r="I7257" s="112" t="s">
        <v>1605</v>
      </c>
      <c r="J7257" s="112" t="s">
        <v>5554</v>
      </c>
      <c r="K7257" s="112" t="s">
        <v>5555</v>
      </c>
      <c r="L7257" s="116">
        <v>25000</v>
      </c>
    </row>
    <row r="7258" spans="1:12" hidden="1" outlineLevel="1" collapsed="1" x14ac:dyDescent="0.35">
      <c r="A7258" s="112" t="s">
        <v>5553</v>
      </c>
      <c r="B7258" s="112" t="s">
        <v>927</v>
      </c>
      <c r="C7258" s="112" t="s">
        <v>1219</v>
      </c>
      <c r="D7258" s="113">
        <v>46307106</v>
      </c>
      <c r="E7258" s="115">
        <v>43936</v>
      </c>
      <c r="F7258" s="114">
        <v>202101</v>
      </c>
      <c r="G7258" s="112" t="s">
        <v>1091</v>
      </c>
      <c r="H7258" s="112" t="s">
        <v>1015</v>
      </c>
      <c r="I7258" s="112" t="s">
        <v>1605</v>
      </c>
      <c r="J7258" s="112" t="s">
        <v>5554</v>
      </c>
      <c r="K7258" s="112" t="s">
        <v>5555</v>
      </c>
      <c r="L7258" s="116">
        <v>25000</v>
      </c>
    </row>
    <row r="7259" spans="1:12" hidden="1" outlineLevel="1" collapsed="1" x14ac:dyDescent="0.35">
      <c r="A7259" s="112" t="s">
        <v>5553</v>
      </c>
      <c r="B7259" s="112" t="s">
        <v>927</v>
      </c>
      <c r="C7259" s="112" t="s">
        <v>1219</v>
      </c>
      <c r="D7259" s="113">
        <v>46307082</v>
      </c>
      <c r="E7259" s="115">
        <v>43936</v>
      </c>
      <c r="F7259" s="114">
        <v>202101</v>
      </c>
      <c r="G7259" s="112" t="s">
        <v>1091</v>
      </c>
      <c r="H7259" s="112" t="s">
        <v>1015</v>
      </c>
      <c r="I7259" s="112" t="s">
        <v>1605</v>
      </c>
      <c r="J7259" s="112" t="s">
        <v>5554</v>
      </c>
      <c r="K7259" s="112" t="s">
        <v>5555</v>
      </c>
      <c r="L7259" s="116">
        <v>25000</v>
      </c>
    </row>
    <row r="7260" spans="1:12" hidden="1" outlineLevel="1" collapsed="1" x14ac:dyDescent="0.35">
      <c r="A7260" s="112" t="s">
        <v>5553</v>
      </c>
      <c r="B7260" s="112" t="s">
        <v>927</v>
      </c>
      <c r="C7260" s="112" t="s">
        <v>1219</v>
      </c>
      <c r="D7260" s="113">
        <v>46307083</v>
      </c>
      <c r="E7260" s="115">
        <v>43936</v>
      </c>
      <c r="F7260" s="114">
        <v>202101</v>
      </c>
      <c r="G7260" s="112" t="s">
        <v>1091</v>
      </c>
      <c r="H7260" s="112" t="s">
        <v>1015</v>
      </c>
      <c r="I7260" s="112" t="s">
        <v>1605</v>
      </c>
      <c r="J7260" s="112" t="s">
        <v>5554</v>
      </c>
      <c r="K7260" s="112" t="s">
        <v>5555</v>
      </c>
      <c r="L7260" s="116">
        <v>10000</v>
      </c>
    </row>
    <row r="7261" spans="1:12" hidden="1" outlineLevel="1" collapsed="1" x14ac:dyDescent="0.35">
      <c r="A7261" s="112" t="s">
        <v>5553</v>
      </c>
      <c r="B7261" s="112" t="s">
        <v>927</v>
      </c>
      <c r="C7261" s="112" t="s">
        <v>1095</v>
      </c>
      <c r="D7261" s="113">
        <v>10348451</v>
      </c>
      <c r="E7261" s="115">
        <v>43949</v>
      </c>
      <c r="F7261" s="114">
        <v>202101</v>
      </c>
      <c r="G7261" s="112" t="s">
        <v>1091</v>
      </c>
      <c r="H7261" s="112" t="s">
        <v>1015</v>
      </c>
      <c r="I7261" s="112" t="s">
        <v>1096</v>
      </c>
      <c r="J7261" s="112" t="s">
        <v>5554</v>
      </c>
      <c r="K7261" s="112" t="s">
        <v>1098</v>
      </c>
      <c r="L7261" s="116">
        <v>210.79</v>
      </c>
    </row>
    <row r="7262" spans="1:12" hidden="1" outlineLevel="1" collapsed="1" x14ac:dyDescent="0.35">
      <c r="A7262" s="112" t="s">
        <v>5553</v>
      </c>
      <c r="B7262" s="112" t="s">
        <v>927</v>
      </c>
      <c r="C7262" s="112" t="s">
        <v>1219</v>
      </c>
      <c r="D7262" s="113">
        <v>46307084</v>
      </c>
      <c r="E7262" s="115">
        <v>43936</v>
      </c>
      <c r="F7262" s="114">
        <v>202101</v>
      </c>
      <c r="G7262" s="112" t="s">
        <v>1091</v>
      </c>
      <c r="H7262" s="112" t="s">
        <v>1015</v>
      </c>
      <c r="I7262" s="112" t="s">
        <v>1605</v>
      </c>
      <c r="J7262" s="112" t="s">
        <v>5554</v>
      </c>
      <c r="K7262" s="112" t="s">
        <v>5555</v>
      </c>
      <c r="L7262" s="116">
        <v>10000</v>
      </c>
    </row>
    <row r="7263" spans="1:12" hidden="1" outlineLevel="1" collapsed="1" x14ac:dyDescent="0.35">
      <c r="A7263" s="112" t="s">
        <v>5553</v>
      </c>
      <c r="B7263" s="112" t="s">
        <v>927</v>
      </c>
      <c r="C7263" s="112" t="s">
        <v>1219</v>
      </c>
      <c r="D7263" s="113">
        <v>46307085</v>
      </c>
      <c r="E7263" s="115">
        <v>43936</v>
      </c>
      <c r="F7263" s="114">
        <v>202101</v>
      </c>
      <c r="G7263" s="112" t="s">
        <v>1091</v>
      </c>
      <c r="H7263" s="112" t="s">
        <v>1015</v>
      </c>
      <c r="I7263" s="112" t="s">
        <v>1605</v>
      </c>
      <c r="J7263" s="112" t="s">
        <v>5554</v>
      </c>
      <c r="K7263" s="112" t="s">
        <v>5555</v>
      </c>
      <c r="L7263" s="116">
        <v>25000</v>
      </c>
    </row>
    <row r="7264" spans="1:12" hidden="1" outlineLevel="1" collapsed="1" x14ac:dyDescent="0.35">
      <c r="A7264" s="112" t="s">
        <v>5553</v>
      </c>
      <c r="B7264" s="112" t="s">
        <v>927</v>
      </c>
      <c r="C7264" s="112" t="s">
        <v>1219</v>
      </c>
      <c r="D7264" s="113">
        <v>46307086</v>
      </c>
      <c r="E7264" s="115">
        <v>43936</v>
      </c>
      <c r="F7264" s="114">
        <v>202101</v>
      </c>
      <c r="G7264" s="112" t="s">
        <v>1091</v>
      </c>
      <c r="H7264" s="112" t="s">
        <v>1015</v>
      </c>
      <c r="I7264" s="112" t="s">
        <v>1605</v>
      </c>
      <c r="J7264" s="112" t="s">
        <v>5554</v>
      </c>
      <c r="K7264" s="112" t="s">
        <v>5555</v>
      </c>
      <c r="L7264" s="116">
        <v>25000</v>
      </c>
    </row>
    <row r="7265" spans="1:12" hidden="1" outlineLevel="1" collapsed="1" x14ac:dyDescent="0.35">
      <c r="A7265" s="112" t="s">
        <v>5553</v>
      </c>
      <c r="B7265" s="112" t="s">
        <v>927</v>
      </c>
      <c r="C7265" s="112" t="s">
        <v>1219</v>
      </c>
      <c r="D7265" s="113">
        <v>46307087</v>
      </c>
      <c r="E7265" s="115">
        <v>43936</v>
      </c>
      <c r="F7265" s="114">
        <v>202101</v>
      </c>
      <c r="G7265" s="112" t="s">
        <v>1091</v>
      </c>
      <c r="H7265" s="112" t="s">
        <v>1015</v>
      </c>
      <c r="I7265" s="112" t="s">
        <v>1605</v>
      </c>
      <c r="J7265" s="112" t="s">
        <v>5554</v>
      </c>
      <c r="K7265" s="112" t="s">
        <v>5555</v>
      </c>
      <c r="L7265" s="116">
        <v>25000</v>
      </c>
    </row>
    <row r="7266" spans="1:12" hidden="1" outlineLevel="1" collapsed="1" x14ac:dyDescent="0.35">
      <c r="A7266" s="112" t="s">
        <v>5553</v>
      </c>
      <c r="B7266" s="112" t="s">
        <v>927</v>
      </c>
      <c r="C7266" s="112" t="s">
        <v>1219</v>
      </c>
      <c r="D7266" s="113">
        <v>46307088</v>
      </c>
      <c r="E7266" s="115">
        <v>43936</v>
      </c>
      <c r="F7266" s="114">
        <v>202101</v>
      </c>
      <c r="G7266" s="112" t="s">
        <v>1091</v>
      </c>
      <c r="H7266" s="112" t="s">
        <v>1015</v>
      </c>
      <c r="I7266" s="112" t="s">
        <v>1605</v>
      </c>
      <c r="J7266" s="112" t="s">
        <v>5554</v>
      </c>
      <c r="K7266" s="112" t="s">
        <v>5555</v>
      </c>
      <c r="L7266" s="116">
        <v>25000</v>
      </c>
    </row>
    <row r="7267" spans="1:12" hidden="1" outlineLevel="1" collapsed="1" x14ac:dyDescent="0.35">
      <c r="A7267" s="112" t="s">
        <v>5553</v>
      </c>
      <c r="B7267" s="112" t="s">
        <v>927</v>
      </c>
      <c r="C7267" s="112" t="s">
        <v>1219</v>
      </c>
      <c r="D7267" s="113">
        <v>46307089</v>
      </c>
      <c r="E7267" s="115">
        <v>43936</v>
      </c>
      <c r="F7267" s="114">
        <v>202101</v>
      </c>
      <c r="G7267" s="112" t="s">
        <v>1091</v>
      </c>
      <c r="H7267" s="112" t="s">
        <v>1015</v>
      </c>
      <c r="I7267" s="112" t="s">
        <v>1605</v>
      </c>
      <c r="J7267" s="112" t="s">
        <v>5554</v>
      </c>
      <c r="K7267" s="112" t="s">
        <v>5555</v>
      </c>
      <c r="L7267" s="116">
        <v>25000</v>
      </c>
    </row>
    <row r="7268" spans="1:12" hidden="1" outlineLevel="1" collapsed="1" x14ac:dyDescent="0.35">
      <c r="A7268" s="112" t="s">
        <v>5553</v>
      </c>
      <c r="B7268" s="112" t="s">
        <v>927</v>
      </c>
      <c r="C7268" s="112" t="s">
        <v>1219</v>
      </c>
      <c r="D7268" s="113">
        <v>46307090</v>
      </c>
      <c r="E7268" s="115">
        <v>43936</v>
      </c>
      <c r="F7268" s="114">
        <v>202101</v>
      </c>
      <c r="G7268" s="112" t="s">
        <v>1091</v>
      </c>
      <c r="H7268" s="112" t="s">
        <v>1015</v>
      </c>
      <c r="I7268" s="112" t="s">
        <v>1605</v>
      </c>
      <c r="J7268" s="112" t="s">
        <v>5554</v>
      </c>
      <c r="K7268" s="112" t="s">
        <v>5555</v>
      </c>
      <c r="L7268" s="116">
        <v>25000</v>
      </c>
    </row>
    <row r="7269" spans="1:12" hidden="1" outlineLevel="1" collapsed="1" x14ac:dyDescent="0.35">
      <c r="A7269" s="112" t="s">
        <v>5553</v>
      </c>
      <c r="B7269" s="112" t="s">
        <v>927</v>
      </c>
      <c r="C7269" s="112" t="s">
        <v>1219</v>
      </c>
      <c r="D7269" s="113">
        <v>46307091</v>
      </c>
      <c r="E7269" s="115">
        <v>43936</v>
      </c>
      <c r="F7269" s="114">
        <v>202101</v>
      </c>
      <c r="G7269" s="112" t="s">
        <v>1091</v>
      </c>
      <c r="H7269" s="112" t="s">
        <v>1015</v>
      </c>
      <c r="I7269" s="112" t="s">
        <v>1605</v>
      </c>
      <c r="J7269" s="112" t="s">
        <v>5554</v>
      </c>
      <c r="K7269" s="112" t="s">
        <v>5555</v>
      </c>
      <c r="L7269" s="116">
        <v>25000</v>
      </c>
    </row>
    <row r="7270" spans="1:12" hidden="1" outlineLevel="1" collapsed="1" x14ac:dyDescent="0.35">
      <c r="A7270" s="112" t="s">
        <v>5553</v>
      </c>
      <c r="B7270" s="112" t="s">
        <v>927</v>
      </c>
      <c r="C7270" s="112" t="s">
        <v>1095</v>
      </c>
      <c r="D7270" s="113">
        <v>10348451</v>
      </c>
      <c r="E7270" s="115">
        <v>43949</v>
      </c>
      <c r="F7270" s="114">
        <v>202101</v>
      </c>
      <c r="G7270" s="112" t="s">
        <v>1091</v>
      </c>
      <c r="H7270" s="112" t="s">
        <v>1015</v>
      </c>
      <c r="I7270" s="112" t="s">
        <v>1101</v>
      </c>
      <c r="J7270" s="112" t="s">
        <v>5557</v>
      </c>
      <c r="K7270" s="112" t="s">
        <v>1098</v>
      </c>
      <c r="L7270" s="116">
        <v>789.11</v>
      </c>
    </row>
    <row r="7271" spans="1:12" hidden="1" outlineLevel="1" collapsed="1" x14ac:dyDescent="0.35">
      <c r="A7271" s="112" t="s">
        <v>5553</v>
      </c>
      <c r="B7271" s="112" t="s">
        <v>927</v>
      </c>
      <c r="C7271" s="112" t="s">
        <v>1219</v>
      </c>
      <c r="D7271" s="113">
        <v>46307092</v>
      </c>
      <c r="E7271" s="115">
        <v>43936</v>
      </c>
      <c r="F7271" s="114">
        <v>202101</v>
      </c>
      <c r="G7271" s="112" t="s">
        <v>1091</v>
      </c>
      <c r="H7271" s="112" t="s">
        <v>1015</v>
      </c>
      <c r="I7271" s="112" t="s">
        <v>1605</v>
      </c>
      <c r="J7271" s="112" t="s">
        <v>5554</v>
      </c>
      <c r="K7271" s="112" t="s">
        <v>5555</v>
      </c>
      <c r="L7271" s="116">
        <v>25000</v>
      </c>
    </row>
    <row r="7272" spans="1:12" hidden="1" outlineLevel="1" collapsed="1" x14ac:dyDescent="0.35">
      <c r="A7272" s="112" t="s">
        <v>5553</v>
      </c>
      <c r="B7272" s="112" t="s">
        <v>927</v>
      </c>
      <c r="C7272" s="112" t="s">
        <v>1219</v>
      </c>
      <c r="D7272" s="113">
        <v>46307093</v>
      </c>
      <c r="E7272" s="115">
        <v>43936</v>
      </c>
      <c r="F7272" s="114">
        <v>202101</v>
      </c>
      <c r="G7272" s="112" t="s">
        <v>1091</v>
      </c>
      <c r="H7272" s="112" t="s">
        <v>1015</v>
      </c>
      <c r="I7272" s="112" t="s">
        <v>1605</v>
      </c>
      <c r="J7272" s="112" t="s">
        <v>5554</v>
      </c>
      <c r="K7272" s="112" t="s">
        <v>5555</v>
      </c>
      <c r="L7272" s="116">
        <v>10000</v>
      </c>
    </row>
    <row r="7273" spans="1:12" hidden="1" outlineLevel="1" collapsed="1" x14ac:dyDescent="0.35">
      <c r="A7273" s="112" t="s">
        <v>5553</v>
      </c>
      <c r="B7273" s="112" t="s">
        <v>927</v>
      </c>
      <c r="C7273" s="112" t="s">
        <v>1219</v>
      </c>
      <c r="D7273" s="113">
        <v>46307094</v>
      </c>
      <c r="E7273" s="115">
        <v>43936</v>
      </c>
      <c r="F7273" s="114">
        <v>202101</v>
      </c>
      <c r="G7273" s="112" t="s">
        <v>1091</v>
      </c>
      <c r="H7273" s="112" t="s">
        <v>1015</v>
      </c>
      <c r="I7273" s="112" t="s">
        <v>1605</v>
      </c>
      <c r="J7273" s="112" t="s">
        <v>5554</v>
      </c>
      <c r="K7273" s="112" t="s">
        <v>5555</v>
      </c>
      <c r="L7273" s="116">
        <v>25000</v>
      </c>
    </row>
    <row r="7274" spans="1:12" hidden="1" outlineLevel="1" collapsed="1" x14ac:dyDescent="0.35">
      <c r="A7274" s="112" t="s">
        <v>5553</v>
      </c>
      <c r="B7274" s="112" t="s">
        <v>927</v>
      </c>
      <c r="C7274" s="112" t="s">
        <v>1219</v>
      </c>
      <c r="D7274" s="113">
        <v>46307095</v>
      </c>
      <c r="E7274" s="115">
        <v>43936</v>
      </c>
      <c r="F7274" s="114">
        <v>202101</v>
      </c>
      <c r="G7274" s="112" t="s">
        <v>1091</v>
      </c>
      <c r="H7274" s="112" t="s">
        <v>1015</v>
      </c>
      <c r="I7274" s="112" t="s">
        <v>1605</v>
      </c>
      <c r="J7274" s="112" t="s">
        <v>5554</v>
      </c>
      <c r="K7274" s="112" t="s">
        <v>5555</v>
      </c>
      <c r="L7274" s="116">
        <v>25000</v>
      </c>
    </row>
    <row r="7275" spans="1:12" hidden="1" outlineLevel="1" collapsed="1" x14ac:dyDescent="0.35">
      <c r="A7275" s="112" t="s">
        <v>5553</v>
      </c>
      <c r="B7275" s="112" t="s">
        <v>925</v>
      </c>
      <c r="C7275" s="112" t="s">
        <v>1099</v>
      </c>
      <c r="D7275" s="113">
        <v>1069601</v>
      </c>
      <c r="E7275" s="115">
        <v>43891</v>
      </c>
      <c r="F7275" s="114">
        <v>202101</v>
      </c>
      <c r="G7275" s="112" t="s">
        <v>1091</v>
      </c>
      <c r="H7275" s="112" t="s">
        <v>1015</v>
      </c>
      <c r="I7275" s="112" t="s">
        <v>1102</v>
      </c>
      <c r="J7275" s="112" t="s">
        <v>5559</v>
      </c>
      <c r="K7275" s="112" t="s">
        <v>5579</v>
      </c>
      <c r="L7275" s="116">
        <v>4700</v>
      </c>
    </row>
    <row r="7276" spans="1:12" hidden="1" outlineLevel="1" collapsed="1" x14ac:dyDescent="0.35">
      <c r="A7276" s="112" t="s">
        <v>5553</v>
      </c>
      <c r="B7276" s="112" t="s">
        <v>927</v>
      </c>
      <c r="C7276" s="112" t="s">
        <v>1219</v>
      </c>
      <c r="D7276" s="113">
        <v>46307495</v>
      </c>
      <c r="E7276" s="115">
        <v>43942</v>
      </c>
      <c r="F7276" s="114">
        <v>202101</v>
      </c>
      <c r="G7276" s="112" t="s">
        <v>1091</v>
      </c>
      <c r="H7276" s="112" t="s">
        <v>1015</v>
      </c>
      <c r="I7276" s="112" t="s">
        <v>1605</v>
      </c>
      <c r="J7276" s="112" t="s">
        <v>5554</v>
      </c>
      <c r="K7276" s="112" t="s">
        <v>5555</v>
      </c>
      <c r="L7276" s="116">
        <v>25000</v>
      </c>
    </row>
    <row r="7277" spans="1:12" hidden="1" outlineLevel="1" collapsed="1" x14ac:dyDescent="0.35">
      <c r="A7277" s="112" t="s">
        <v>5553</v>
      </c>
      <c r="B7277" s="112" t="s">
        <v>927</v>
      </c>
      <c r="C7277" s="112" t="s">
        <v>1219</v>
      </c>
      <c r="D7277" s="113">
        <v>46307452</v>
      </c>
      <c r="E7277" s="115">
        <v>43941</v>
      </c>
      <c r="F7277" s="114">
        <v>202101</v>
      </c>
      <c r="G7277" s="112" t="s">
        <v>1091</v>
      </c>
      <c r="H7277" s="112" t="s">
        <v>1015</v>
      </c>
      <c r="I7277" s="112" t="s">
        <v>1605</v>
      </c>
      <c r="J7277" s="112" t="s">
        <v>5554</v>
      </c>
      <c r="K7277" s="112" t="s">
        <v>5555</v>
      </c>
      <c r="L7277" s="116">
        <v>25000</v>
      </c>
    </row>
    <row r="7278" spans="1:12" hidden="1" outlineLevel="1" collapsed="1" x14ac:dyDescent="0.35">
      <c r="A7278" s="112" t="s">
        <v>5553</v>
      </c>
      <c r="B7278" s="112" t="s">
        <v>927</v>
      </c>
      <c r="C7278" s="112" t="s">
        <v>1219</v>
      </c>
      <c r="D7278" s="113">
        <v>46307440</v>
      </c>
      <c r="E7278" s="115">
        <v>43941</v>
      </c>
      <c r="F7278" s="114">
        <v>202101</v>
      </c>
      <c r="G7278" s="112" t="s">
        <v>1091</v>
      </c>
      <c r="H7278" s="112" t="s">
        <v>1015</v>
      </c>
      <c r="I7278" s="112" t="s">
        <v>1605</v>
      </c>
      <c r="J7278" s="112" t="s">
        <v>5554</v>
      </c>
      <c r="K7278" s="112" t="s">
        <v>5555</v>
      </c>
      <c r="L7278" s="116">
        <v>10000</v>
      </c>
    </row>
    <row r="7279" spans="1:12" hidden="1" outlineLevel="1" collapsed="1" x14ac:dyDescent="0.35">
      <c r="A7279" s="112" t="s">
        <v>5553</v>
      </c>
      <c r="B7279" s="112" t="s">
        <v>927</v>
      </c>
      <c r="C7279" s="112" t="s">
        <v>1219</v>
      </c>
      <c r="D7279" s="113">
        <v>46307441</v>
      </c>
      <c r="E7279" s="115">
        <v>43941</v>
      </c>
      <c r="F7279" s="114">
        <v>202101</v>
      </c>
      <c r="G7279" s="112" t="s">
        <v>1091</v>
      </c>
      <c r="H7279" s="112" t="s">
        <v>1015</v>
      </c>
      <c r="I7279" s="112" t="s">
        <v>1605</v>
      </c>
      <c r="J7279" s="112" t="s">
        <v>5554</v>
      </c>
      <c r="K7279" s="112" t="s">
        <v>5555</v>
      </c>
      <c r="L7279" s="116">
        <v>25000</v>
      </c>
    </row>
    <row r="7280" spans="1:12" hidden="1" outlineLevel="1" collapsed="1" x14ac:dyDescent="0.35">
      <c r="A7280" s="112" t="s">
        <v>5553</v>
      </c>
      <c r="B7280" s="112" t="s">
        <v>927</v>
      </c>
      <c r="C7280" s="112" t="s">
        <v>1219</v>
      </c>
      <c r="D7280" s="113">
        <v>46307442</v>
      </c>
      <c r="E7280" s="115">
        <v>43941</v>
      </c>
      <c r="F7280" s="114">
        <v>202101</v>
      </c>
      <c r="G7280" s="112" t="s">
        <v>1091</v>
      </c>
      <c r="H7280" s="112" t="s">
        <v>1015</v>
      </c>
      <c r="I7280" s="112" t="s">
        <v>1605</v>
      </c>
      <c r="J7280" s="112" t="s">
        <v>5554</v>
      </c>
      <c r="K7280" s="112" t="s">
        <v>5556</v>
      </c>
      <c r="L7280" s="116">
        <v>10000</v>
      </c>
    </row>
    <row r="7281" spans="1:12" hidden="1" outlineLevel="1" collapsed="1" x14ac:dyDescent="0.35">
      <c r="A7281" s="112" t="s">
        <v>5553</v>
      </c>
      <c r="B7281" s="112" t="s">
        <v>927</v>
      </c>
      <c r="C7281" s="112" t="s">
        <v>1219</v>
      </c>
      <c r="D7281" s="113">
        <v>46307443</v>
      </c>
      <c r="E7281" s="115">
        <v>43941</v>
      </c>
      <c r="F7281" s="114">
        <v>202101</v>
      </c>
      <c r="G7281" s="112" t="s">
        <v>1091</v>
      </c>
      <c r="H7281" s="112" t="s">
        <v>1015</v>
      </c>
      <c r="I7281" s="112" t="s">
        <v>1605</v>
      </c>
      <c r="J7281" s="112" t="s">
        <v>5554</v>
      </c>
      <c r="K7281" s="112" t="s">
        <v>5555</v>
      </c>
      <c r="L7281" s="116">
        <v>25000</v>
      </c>
    </row>
    <row r="7282" spans="1:12" hidden="1" outlineLevel="1" collapsed="1" x14ac:dyDescent="0.35">
      <c r="A7282" s="112" t="s">
        <v>5553</v>
      </c>
      <c r="B7282" s="112" t="s">
        <v>927</v>
      </c>
      <c r="C7282" s="112" t="s">
        <v>1219</v>
      </c>
      <c r="D7282" s="113">
        <v>46307444</v>
      </c>
      <c r="E7282" s="115">
        <v>43941</v>
      </c>
      <c r="F7282" s="114">
        <v>202101</v>
      </c>
      <c r="G7282" s="112" t="s">
        <v>1091</v>
      </c>
      <c r="H7282" s="112" t="s">
        <v>1015</v>
      </c>
      <c r="I7282" s="112" t="s">
        <v>1605</v>
      </c>
      <c r="J7282" s="112" t="s">
        <v>5554</v>
      </c>
      <c r="K7282" s="112" t="s">
        <v>5555</v>
      </c>
      <c r="L7282" s="116">
        <v>25000</v>
      </c>
    </row>
    <row r="7283" spans="1:12" hidden="1" outlineLevel="1" collapsed="1" x14ac:dyDescent="0.35">
      <c r="A7283" s="112" t="s">
        <v>5553</v>
      </c>
      <c r="B7283" s="112" t="s">
        <v>927</v>
      </c>
      <c r="C7283" s="112" t="s">
        <v>1219</v>
      </c>
      <c r="D7283" s="113">
        <v>46307445</v>
      </c>
      <c r="E7283" s="115">
        <v>43941</v>
      </c>
      <c r="F7283" s="114">
        <v>202101</v>
      </c>
      <c r="G7283" s="112" t="s">
        <v>1091</v>
      </c>
      <c r="H7283" s="112" t="s">
        <v>1015</v>
      </c>
      <c r="I7283" s="112" t="s">
        <v>1605</v>
      </c>
      <c r="J7283" s="112" t="s">
        <v>5554</v>
      </c>
      <c r="K7283" s="112" t="s">
        <v>5555</v>
      </c>
      <c r="L7283" s="116">
        <v>25000</v>
      </c>
    </row>
    <row r="7284" spans="1:12" hidden="1" outlineLevel="1" collapsed="1" x14ac:dyDescent="0.35">
      <c r="A7284" s="112" t="s">
        <v>5553</v>
      </c>
      <c r="B7284" s="112" t="s">
        <v>927</v>
      </c>
      <c r="C7284" s="112" t="s">
        <v>1219</v>
      </c>
      <c r="D7284" s="113">
        <v>46307446</v>
      </c>
      <c r="E7284" s="115">
        <v>43941</v>
      </c>
      <c r="F7284" s="114">
        <v>202101</v>
      </c>
      <c r="G7284" s="112" t="s">
        <v>1091</v>
      </c>
      <c r="H7284" s="112" t="s">
        <v>1015</v>
      </c>
      <c r="I7284" s="112" t="s">
        <v>1605</v>
      </c>
      <c r="J7284" s="112" t="s">
        <v>5554</v>
      </c>
      <c r="K7284" s="112" t="s">
        <v>5555</v>
      </c>
      <c r="L7284" s="116">
        <v>25000</v>
      </c>
    </row>
    <row r="7285" spans="1:12" hidden="1" outlineLevel="1" collapsed="1" x14ac:dyDescent="0.35">
      <c r="A7285" s="112" t="s">
        <v>5553</v>
      </c>
      <c r="B7285" s="112" t="s">
        <v>927</v>
      </c>
      <c r="C7285" s="112" t="s">
        <v>1219</v>
      </c>
      <c r="D7285" s="113">
        <v>46307447</v>
      </c>
      <c r="E7285" s="115">
        <v>43941</v>
      </c>
      <c r="F7285" s="114">
        <v>202101</v>
      </c>
      <c r="G7285" s="112" t="s">
        <v>1091</v>
      </c>
      <c r="H7285" s="112" t="s">
        <v>1015</v>
      </c>
      <c r="I7285" s="112" t="s">
        <v>1605</v>
      </c>
      <c r="J7285" s="112" t="s">
        <v>5554</v>
      </c>
      <c r="K7285" s="112" t="s">
        <v>5556</v>
      </c>
      <c r="L7285" s="116">
        <v>10000</v>
      </c>
    </row>
    <row r="7286" spans="1:12" hidden="1" outlineLevel="1" collapsed="1" x14ac:dyDescent="0.35">
      <c r="A7286" s="112" t="s">
        <v>5553</v>
      </c>
      <c r="B7286" s="112" t="s">
        <v>927</v>
      </c>
      <c r="C7286" s="112" t="s">
        <v>1219</v>
      </c>
      <c r="D7286" s="113">
        <v>46307448</v>
      </c>
      <c r="E7286" s="115">
        <v>43941</v>
      </c>
      <c r="F7286" s="114">
        <v>202101</v>
      </c>
      <c r="G7286" s="112" t="s">
        <v>1091</v>
      </c>
      <c r="H7286" s="112" t="s">
        <v>1015</v>
      </c>
      <c r="I7286" s="112" t="s">
        <v>1605</v>
      </c>
      <c r="J7286" s="112" t="s">
        <v>5554</v>
      </c>
      <c r="K7286" s="112" t="s">
        <v>5556</v>
      </c>
      <c r="L7286" s="116">
        <v>10000</v>
      </c>
    </row>
    <row r="7287" spans="1:12" hidden="1" outlineLevel="1" collapsed="1" x14ac:dyDescent="0.35">
      <c r="A7287" s="112" t="s">
        <v>5553</v>
      </c>
      <c r="B7287" s="112" t="s">
        <v>927</v>
      </c>
      <c r="C7287" s="112" t="s">
        <v>1219</v>
      </c>
      <c r="D7287" s="113">
        <v>46307449</v>
      </c>
      <c r="E7287" s="115">
        <v>43941</v>
      </c>
      <c r="F7287" s="114">
        <v>202101</v>
      </c>
      <c r="G7287" s="112" t="s">
        <v>1091</v>
      </c>
      <c r="H7287" s="112" t="s">
        <v>1015</v>
      </c>
      <c r="I7287" s="112" t="s">
        <v>1605</v>
      </c>
      <c r="J7287" s="112" t="s">
        <v>5554</v>
      </c>
      <c r="K7287" s="112" t="s">
        <v>5556</v>
      </c>
      <c r="L7287" s="116">
        <v>10000</v>
      </c>
    </row>
    <row r="7288" spans="1:12" hidden="1" outlineLevel="1" collapsed="1" x14ac:dyDescent="0.35">
      <c r="A7288" s="112" t="s">
        <v>5553</v>
      </c>
      <c r="B7288" s="112" t="s">
        <v>927</v>
      </c>
      <c r="C7288" s="112" t="s">
        <v>1219</v>
      </c>
      <c r="D7288" s="113">
        <v>46307450</v>
      </c>
      <c r="E7288" s="115">
        <v>43941</v>
      </c>
      <c r="F7288" s="114">
        <v>202101</v>
      </c>
      <c r="G7288" s="112" t="s">
        <v>1091</v>
      </c>
      <c r="H7288" s="112" t="s">
        <v>1015</v>
      </c>
      <c r="I7288" s="112" t="s">
        <v>1605</v>
      </c>
      <c r="J7288" s="112" t="s">
        <v>5554</v>
      </c>
      <c r="K7288" s="112" t="s">
        <v>5555</v>
      </c>
      <c r="L7288" s="116">
        <v>25000</v>
      </c>
    </row>
    <row r="7289" spans="1:12" hidden="1" outlineLevel="1" collapsed="1" x14ac:dyDescent="0.35">
      <c r="A7289" s="112" t="s">
        <v>5553</v>
      </c>
      <c r="B7289" s="112" t="s">
        <v>927</v>
      </c>
      <c r="C7289" s="112" t="s">
        <v>1219</v>
      </c>
      <c r="D7289" s="113">
        <v>46307451</v>
      </c>
      <c r="E7289" s="115">
        <v>43941</v>
      </c>
      <c r="F7289" s="114">
        <v>202101</v>
      </c>
      <c r="G7289" s="112" t="s">
        <v>1091</v>
      </c>
      <c r="H7289" s="112" t="s">
        <v>1015</v>
      </c>
      <c r="I7289" s="112" t="s">
        <v>1605</v>
      </c>
      <c r="J7289" s="112" t="s">
        <v>5554</v>
      </c>
      <c r="K7289" s="112" t="s">
        <v>5555</v>
      </c>
      <c r="L7289" s="116">
        <v>25000</v>
      </c>
    </row>
    <row r="7290" spans="1:12" hidden="1" outlineLevel="1" collapsed="1" x14ac:dyDescent="0.35">
      <c r="A7290" s="112" t="s">
        <v>5553</v>
      </c>
      <c r="B7290" s="112" t="s">
        <v>927</v>
      </c>
      <c r="C7290" s="112" t="s">
        <v>1219</v>
      </c>
      <c r="D7290" s="113">
        <v>46307439</v>
      </c>
      <c r="E7290" s="115">
        <v>43941</v>
      </c>
      <c r="F7290" s="114">
        <v>202101</v>
      </c>
      <c r="G7290" s="112" t="s">
        <v>1091</v>
      </c>
      <c r="H7290" s="112" t="s">
        <v>1015</v>
      </c>
      <c r="I7290" s="112" t="s">
        <v>1605</v>
      </c>
      <c r="J7290" s="112" t="s">
        <v>5554</v>
      </c>
      <c r="K7290" s="112" t="s">
        <v>5556</v>
      </c>
      <c r="L7290" s="116">
        <v>10000</v>
      </c>
    </row>
    <row r="7291" spans="1:12" hidden="1" outlineLevel="1" collapsed="1" x14ac:dyDescent="0.35">
      <c r="A7291" s="112" t="s">
        <v>5553</v>
      </c>
      <c r="B7291" s="112" t="s">
        <v>927</v>
      </c>
      <c r="C7291" s="112" t="s">
        <v>1219</v>
      </c>
      <c r="D7291" s="113">
        <v>46307453</v>
      </c>
      <c r="E7291" s="115">
        <v>43941</v>
      </c>
      <c r="F7291" s="114">
        <v>202101</v>
      </c>
      <c r="G7291" s="112" t="s">
        <v>1091</v>
      </c>
      <c r="H7291" s="112" t="s">
        <v>1015</v>
      </c>
      <c r="I7291" s="112" t="s">
        <v>1605</v>
      </c>
      <c r="J7291" s="112" t="s">
        <v>5554</v>
      </c>
      <c r="K7291" s="112" t="s">
        <v>5555</v>
      </c>
      <c r="L7291" s="116">
        <v>25000</v>
      </c>
    </row>
    <row r="7292" spans="1:12" hidden="1" outlineLevel="1" collapsed="1" x14ac:dyDescent="0.35">
      <c r="A7292" s="112" t="s">
        <v>5553</v>
      </c>
      <c r="B7292" s="112" t="s">
        <v>927</v>
      </c>
      <c r="C7292" s="112" t="s">
        <v>1219</v>
      </c>
      <c r="D7292" s="113">
        <v>46307454</v>
      </c>
      <c r="E7292" s="115">
        <v>43941</v>
      </c>
      <c r="F7292" s="114">
        <v>202101</v>
      </c>
      <c r="G7292" s="112" t="s">
        <v>1091</v>
      </c>
      <c r="H7292" s="112" t="s">
        <v>1015</v>
      </c>
      <c r="I7292" s="112" t="s">
        <v>1605</v>
      </c>
      <c r="J7292" s="112" t="s">
        <v>5554</v>
      </c>
      <c r="K7292" s="112" t="s">
        <v>5555</v>
      </c>
      <c r="L7292" s="116">
        <v>25000</v>
      </c>
    </row>
    <row r="7293" spans="1:12" hidden="1" outlineLevel="1" collapsed="1" x14ac:dyDescent="0.35">
      <c r="A7293" s="112" t="s">
        <v>5553</v>
      </c>
      <c r="B7293" s="112" t="s">
        <v>927</v>
      </c>
      <c r="C7293" s="112" t="s">
        <v>1219</v>
      </c>
      <c r="D7293" s="113">
        <v>46307455</v>
      </c>
      <c r="E7293" s="115">
        <v>43941</v>
      </c>
      <c r="F7293" s="114">
        <v>202101</v>
      </c>
      <c r="G7293" s="112" t="s">
        <v>1091</v>
      </c>
      <c r="H7293" s="112" t="s">
        <v>1015</v>
      </c>
      <c r="I7293" s="112" t="s">
        <v>1605</v>
      </c>
      <c r="J7293" s="112" t="s">
        <v>5554</v>
      </c>
      <c r="K7293" s="112" t="s">
        <v>5555</v>
      </c>
      <c r="L7293" s="116">
        <v>25000</v>
      </c>
    </row>
    <row r="7294" spans="1:12" hidden="1" outlineLevel="1" collapsed="1" x14ac:dyDescent="0.35">
      <c r="A7294" s="112" t="s">
        <v>5553</v>
      </c>
      <c r="B7294" s="112" t="s">
        <v>927</v>
      </c>
      <c r="C7294" s="112" t="s">
        <v>1219</v>
      </c>
      <c r="D7294" s="113">
        <v>46307456</v>
      </c>
      <c r="E7294" s="115">
        <v>43941</v>
      </c>
      <c r="F7294" s="114">
        <v>202101</v>
      </c>
      <c r="G7294" s="112" t="s">
        <v>1091</v>
      </c>
      <c r="H7294" s="112" t="s">
        <v>1015</v>
      </c>
      <c r="I7294" s="112" t="s">
        <v>1605</v>
      </c>
      <c r="J7294" s="112" t="s">
        <v>5554</v>
      </c>
      <c r="K7294" s="112" t="s">
        <v>5555</v>
      </c>
      <c r="L7294" s="116">
        <v>10000</v>
      </c>
    </row>
    <row r="7295" spans="1:12" hidden="1" outlineLevel="1" collapsed="1" x14ac:dyDescent="0.35">
      <c r="A7295" s="112" t="s">
        <v>5553</v>
      </c>
      <c r="B7295" s="112" t="s">
        <v>927</v>
      </c>
      <c r="C7295" s="112" t="s">
        <v>1219</v>
      </c>
      <c r="D7295" s="113">
        <v>46307457</v>
      </c>
      <c r="E7295" s="115">
        <v>43941</v>
      </c>
      <c r="F7295" s="114">
        <v>202101</v>
      </c>
      <c r="G7295" s="112" t="s">
        <v>1091</v>
      </c>
      <c r="H7295" s="112" t="s">
        <v>1015</v>
      </c>
      <c r="I7295" s="112" t="s">
        <v>1605</v>
      </c>
      <c r="J7295" s="112" t="s">
        <v>5554</v>
      </c>
      <c r="K7295" s="112" t="s">
        <v>5556</v>
      </c>
      <c r="L7295" s="116">
        <v>10000</v>
      </c>
    </row>
    <row r="7296" spans="1:12" hidden="1" outlineLevel="1" collapsed="1" x14ac:dyDescent="0.35">
      <c r="A7296" s="112" t="s">
        <v>5553</v>
      </c>
      <c r="B7296" s="112" t="s">
        <v>927</v>
      </c>
      <c r="C7296" s="112" t="s">
        <v>1219</v>
      </c>
      <c r="D7296" s="113">
        <v>46307458</v>
      </c>
      <c r="E7296" s="115">
        <v>43941</v>
      </c>
      <c r="F7296" s="114">
        <v>202101</v>
      </c>
      <c r="G7296" s="112" t="s">
        <v>1091</v>
      </c>
      <c r="H7296" s="112" t="s">
        <v>1015</v>
      </c>
      <c r="I7296" s="112" t="s">
        <v>1605</v>
      </c>
      <c r="J7296" s="112" t="s">
        <v>5554</v>
      </c>
      <c r="K7296" s="112" t="s">
        <v>5556</v>
      </c>
      <c r="L7296" s="116">
        <v>10000</v>
      </c>
    </row>
    <row r="7297" spans="1:12" hidden="1" outlineLevel="1" collapsed="1" x14ac:dyDescent="0.35">
      <c r="A7297" s="112" t="s">
        <v>5553</v>
      </c>
      <c r="B7297" s="112" t="s">
        <v>927</v>
      </c>
      <c r="C7297" s="112" t="s">
        <v>1219</v>
      </c>
      <c r="D7297" s="113">
        <v>46307459</v>
      </c>
      <c r="E7297" s="115">
        <v>43941</v>
      </c>
      <c r="F7297" s="114">
        <v>202101</v>
      </c>
      <c r="G7297" s="112" t="s">
        <v>1091</v>
      </c>
      <c r="H7297" s="112" t="s">
        <v>1015</v>
      </c>
      <c r="I7297" s="112" t="s">
        <v>1605</v>
      </c>
      <c r="J7297" s="112" t="s">
        <v>5554</v>
      </c>
      <c r="K7297" s="112" t="s">
        <v>5555</v>
      </c>
      <c r="L7297" s="116">
        <v>10000</v>
      </c>
    </row>
    <row r="7298" spans="1:12" hidden="1" outlineLevel="1" collapsed="1" x14ac:dyDescent="0.35">
      <c r="A7298" s="112" t="s">
        <v>5553</v>
      </c>
      <c r="B7298" s="112" t="s">
        <v>927</v>
      </c>
      <c r="C7298" s="112" t="s">
        <v>1219</v>
      </c>
      <c r="D7298" s="113">
        <v>46307460</v>
      </c>
      <c r="E7298" s="115">
        <v>43941</v>
      </c>
      <c r="F7298" s="114">
        <v>202101</v>
      </c>
      <c r="G7298" s="112" t="s">
        <v>1091</v>
      </c>
      <c r="H7298" s="112" t="s">
        <v>1015</v>
      </c>
      <c r="I7298" s="112" t="s">
        <v>1605</v>
      </c>
      <c r="J7298" s="112" t="s">
        <v>5554</v>
      </c>
      <c r="K7298" s="112" t="s">
        <v>5555</v>
      </c>
      <c r="L7298" s="116">
        <v>25000</v>
      </c>
    </row>
    <row r="7299" spans="1:12" hidden="1" outlineLevel="1" collapsed="1" x14ac:dyDescent="0.35">
      <c r="A7299" s="112" t="s">
        <v>5553</v>
      </c>
      <c r="B7299" s="112" t="s">
        <v>927</v>
      </c>
      <c r="C7299" s="112" t="s">
        <v>1219</v>
      </c>
      <c r="D7299" s="113">
        <v>46307461</v>
      </c>
      <c r="E7299" s="115">
        <v>43941</v>
      </c>
      <c r="F7299" s="114">
        <v>202101</v>
      </c>
      <c r="G7299" s="112" t="s">
        <v>1091</v>
      </c>
      <c r="H7299" s="112" t="s">
        <v>1015</v>
      </c>
      <c r="I7299" s="112" t="s">
        <v>1605</v>
      </c>
      <c r="J7299" s="112" t="s">
        <v>5554</v>
      </c>
      <c r="K7299" s="112" t="s">
        <v>5555</v>
      </c>
      <c r="L7299" s="116">
        <v>25000</v>
      </c>
    </row>
    <row r="7300" spans="1:12" hidden="1" outlineLevel="1" collapsed="1" x14ac:dyDescent="0.35">
      <c r="A7300" s="112" t="s">
        <v>5553</v>
      </c>
      <c r="B7300" s="112" t="s">
        <v>927</v>
      </c>
      <c r="C7300" s="112" t="s">
        <v>1219</v>
      </c>
      <c r="D7300" s="113">
        <v>46307462</v>
      </c>
      <c r="E7300" s="115">
        <v>43941</v>
      </c>
      <c r="F7300" s="114">
        <v>202101</v>
      </c>
      <c r="G7300" s="112" t="s">
        <v>1091</v>
      </c>
      <c r="H7300" s="112" t="s">
        <v>1015</v>
      </c>
      <c r="I7300" s="112" t="s">
        <v>1605</v>
      </c>
      <c r="J7300" s="112" t="s">
        <v>5554</v>
      </c>
      <c r="K7300" s="112" t="s">
        <v>5555</v>
      </c>
      <c r="L7300" s="116">
        <v>25000</v>
      </c>
    </row>
    <row r="7301" spans="1:12" hidden="1" outlineLevel="1" collapsed="1" x14ac:dyDescent="0.35">
      <c r="A7301" s="112" t="s">
        <v>5553</v>
      </c>
      <c r="B7301" s="112" t="s">
        <v>927</v>
      </c>
      <c r="C7301" s="112" t="s">
        <v>1219</v>
      </c>
      <c r="D7301" s="113">
        <v>46307463</v>
      </c>
      <c r="E7301" s="115">
        <v>43941</v>
      </c>
      <c r="F7301" s="114">
        <v>202101</v>
      </c>
      <c r="G7301" s="112" t="s">
        <v>1091</v>
      </c>
      <c r="H7301" s="112" t="s">
        <v>1015</v>
      </c>
      <c r="I7301" s="112" t="s">
        <v>1605</v>
      </c>
      <c r="J7301" s="112" t="s">
        <v>5554</v>
      </c>
      <c r="K7301" s="112" t="s">
        <v>5556</v>
      </c>
      <c r="L7301" s="116">
        <v>10000</v>
      </c>
    </row>
    <row r="7302" spans="1:12" hidden="1" outlineLevel="1" collapsed="1" x14ac:dyDescent="0.35">
      <c r="A7302" s="112" t="s">
        <v>5553</v>
      </c>
      <c r="B7302" s="112" t="s">
        <v>927</v>
      </c>
      <c r="C7302" s="112" t="s">
        <v>1219</v>
      </c>
      <c r="D7302" s="113">
        <v>46307464</v>
      </c>
      <c r="E7302" s="115">
        <v>43941</v>
      </c>
      <c r="F7302" s="114">
        <v>202101</v>
      </c>
      <c r="G7302" s="112" t="s">
        <v>1091</v>
      </c>
      <c r="H7302" s="112" t="s">
        <v>1015</v>
      </c>
      <c r="I7302" s="112" t="s">
        <v>1605</v>
      </c>
      <c r="J7302" s="112" t="s">
        <v>5554</v>
      </c>
      <c r="K7302" s="112" t="s">
        <v>5556</v>
      </c>
      <c r="L7302" s="116">
        <v>10000</v>
      </c>
    </row>
    <row r="7303" spans="1:12" hidden="1" outlineLevel="1" collapsed="1" x14ac:dyDescent="0.35">
      <c r="A7303" s="112" t="s">
        <v>5553</v>
      </c>
      <c r="B7303" s="112" t="s">
        <v>927</v>
      </c>
      <c r="C7303" s="112" t="s">
        <v>1219</v>
      </c>
      <c r="D7303" s="113">
        <v>46307465</v>
      </c>
      <c r="E7303" s="115">
        <v>43941</v>
      </c>
      <c r="F7303" s="114">
        <v>202101</v>
      </c>
      <c r="G7303" s="112" t="s">
        <v>1091</v>
      </c>
      <c r="H7303" s="112" t="s">
        <v>1015</v>
      </c>
      <c r="I7303" s="112" t="s">
        <v>1605</v>
      </c>
      <c r="J7303" s="112" t="s">
        <v>5554</v>
      </c>
      <c r="K7303" s="112" t="s">
        <v>5555</v>
      </c>
      <c r="L7303" s="116">
        <v>25000</v>
      </c>
    </row>
    <row r="7304" spans="1:12" hidden="1" outlineLevel="1" collapsed="1" x14ac:dyDescent="0.35">
      <c r="A7304" s="112" t="s">
        <v>5553</v>
      </c>
      <c r="B7304" s="112" t="s">
        <v>927</v>
      </c>
      <c r="C7304" s="112" t="s">
        <v>1219</v>
      </c>
      <c r="D7304" s="113">
        <v>46307438</v>
      </c>
      <c r="E7304" s="115">
        <v>43941</v>
      </c>
      <c r="F7304" s="114">
        <v>202101</v>
      </c>
      <c r="G7304" s="112" t="s">
        <v>1091</v>
      </c>
      <c r="H7304" s="112" t="s">
        <v>1015</v>
      </c>
      <c r="I7304" s="112" t="s">
        <v>1605</v>
      </c>
      <c r="J7304" s="112" t="s">
        <v>5554</v>
      </c>
      <c r="K7304" s="112" t="s">
        <v>5555</v>
      </c>
      <c r="L7304" s="116">
        <v>25000</v>
      </c>
    </row>
    <row r="7305" spans="1:12" hidden="1" outlineLevel="1" collapsed="1" x14ac:dyDescent="0.35">
      <c r="A7305" s="112" t="s">
        <v>5553</v>
      </c>
      <c r="B7305" s="112" t="s">
        <v>927</v>
      </c>
      <c r="C7305" s="112" t="s">
        <v>1219</v>
      </c>
      <c r="D7305" s="113">
        <v>46307466</v>
      </c>
      <c r="E7305" s="115">
        <v>43941</v>
      </c>
      <c r="F7305" s="114">
        <v>202101</v>
      </c>
      <c r="G7305" s="112" t="s">
        <v>1091</v>
      </c>
      <c r="H7305" s="112" t="s">
        <v>1015</v>
      </c>
      <c r="I7305" s="112" t="s">
        <v>1605</v>
      </c>
      <c r="J7305" s="112" t="s">
        <v>5554</v>
      </c>
      <c r="K7305" s="112" t="s">
        <v>5556</v>
      </c>
      <c r="L7305" s="116">
        <v>10000</v>
      </c>
    </row>
    <row r="7306" spans="1:12" hidden="1" outlineLevel="1" collapsed="1" x14ac:dyDescent="0.35">
      <c r="A7306" s="112" t="s">
        <v>5553</v>
      </c>
      <c r="B7306" s="112" t="s">
        <v>927</v>
      </c>
      <c r="C7306" s="112" t="s">
        <v>1219</v>
      </c>
      <c r="D7306" s="113">
        <v>46307424</v>
      </c>
      <c r="E7306" s="115">
        <v>43941</v>
      </c>
      <c r="F7306" s="114">
        <v>202101</v>
      </c>
      <c r="G7306" s="112" t="s">
        <v>1091</v>
      </c>
      <c r="H7306" s="112" t="s">
        <v>1015</v>
      </c>
      <c r="I7306" s="112" t="s">
        <v>1605</v>
      </c>
      <c r="J7306" s="112" t="s">
        <v>5554</v>
      </c>
      <c r="K7306" s="112" t="s">
        <v>5556</v>
      </c>
      <c r="L7306" s="116">
        <v>10000</v>
      </c>
    </row>
    <row r="7307" spans="1:12" hidden="1" outlineLevel="1" collapsed="1" x14ac:dyDescent="0.35">
      <c r="A7307" s="112" t="s">
        <v>5553</v>
      </c>
      <c r="B7307" s="112" t="s">
        <v>927</v>
      </c>
      <c r="C7307" s="112" t="s">
        <v>1219</v>
      </c>
      <c r="D7307" s="113">
        <v>46307412</v>
      </c>
      <c r="E7307" s="115">
        <v>43941</v>
      </c>
      <c r="F7307" s="114">
        <v>202101</v>
      </c>
      <c r="G7307" s="112" t="s">
        <v>1091</v>
      </c>
      <c r="H7307" s="112" t="s">
        <v>1015</v>
      </c>
      <c r="I7307" s="112" t="s">
        <v>1605</v>
      </c>
      <c r="J7307" s="112" t="s">
        <v>5554</v>
      </c>
      <c r="K7307" s="112" t="s">
        <v>5556</v>
      </c>
      <c r="L7307" s="116">
        <v>10000</v>
      </c>
    </row>
    <row r="7308" spans="1:12" hidden="1" outlineLevel="1" collapsed="1" x14ac:dyDescent="0.35">
      <c r="A7308" s="112" t="s">
        <v>5553</v>
      </c>
      <c r="B7308" s="112" t="s">
        <v>927</v>
      </c>
      <c r="C7308" s="112" t="s">
        <v>1219</v>
      </c>
      <c r="D7308" s="113">
        <v>46307413</v>
      </c>
      <c r="E7308" s="115">
        <v>43941</v>
      </c>
      <c r="F7308" s="114">
        <v>202101</v>
      </c>
      <c r="G7308" s="112" t="s">
        <v>1091</v>
      </c>
      <c r="H7308" s="112" t="s">
        <v>1015</v>
      </c>
      <c r="I7308" s="112" t="s">
        <v>1605</v>
      </c>
      <c r="J7308" s="112" t="s">
        <v>5554</v>
      </c>
      <c r="K7308" s="112" t="s">
        <v>5556</v>
      </c>
      <c r="L7308" s="116">
        <v>10000</v>
      </c>
    </row>
    <row r="7309" spans="1:12" hidden="1" outlineLevel="1" collapsed="1" x14ac:dyDescent="0.35">
      <c r="A7309" s="112" t="s">
        <v>5553</v>
      </c>
      <c r="B7309" s="112" t="s">
        <v>927</v>
      </c>
      <c r="C7309" s="112" t="s">
        <v>1219</v>
      </c>
      <c r="D7309" s="113">
        <v>46307414</v>
      </c>
      <c r="E7309" s="115">
        <v>43941</v>
      </c>
      <c r="F7309" s="114">
        <v>202101</v>
      </c>
      <c r="G7309" s="112" t="s">
        <v>1091</v>
      </c>
      <c r="H7309" s="112" t="s">
        <v>1015</v>
      </c>
      <c r="I7309" s="112" t="s">
        <v>1605</v>
      </c>
      <c r="J7309" s="112" t="s">
        <v>5554</v>
      </c>
      <c r="K7309" s="112" t="s">
        <v>5556</v>
      </c>
      <c r="L7309" s="116">
        <v>10000</v>
      </c>
    </row>
    <row r="7310" spans="1:12" hidden="1" outlineLevel="1" collapsed="1" x14ac:dyDescent="0.35">
      <c r="A7310" s="112" t="s">
        <v>5553</v>
      </c>
      <c r="B7310" s="112" t="s">
        <v>927</v>
      </c>
      <c r="C7310" s="112" t="s">
        <v>1219</v>
      </c>
      <c r="D7310" s="113">
        <v>46307415</v>
      </c>
      <c r="E7310" s="115">
        <v>43941</v>
      </c>
      <c r="F7310" s="114">
        <v>202101</v>
      </c>
      <c r="G7310" s="112" t="s">
        <v>1091</v>
      </c>
      <c r="H7310" s="112" t="s">
        <v>1015</v>
      </c>
      <c r="I7310" s="112" t="s">
        <v>1605</v>
      </c>
      <c r="J7310" s="112" t="s">
        <v>5554</v>
      </c>
      <c r="K7310" s="112" t="s">
        <v>5555</v>
      </c>
      <c r="L7310" s="116">
        <v>10000</v>
      </c>
    </row>
    <row r="7311" spans="1:12" hidden="1" outlineLevel="1" collapsed="1" x14ac:dyDescent="0.35">
      <c r="A7311" s="112" t="s">
        <v>5553</v>
      </c>
      <c r="B7311" s="112" t="s">
        <v>927</v>
      </c>
      <c r="C7311" s="112" t="s">
        <v>1219</v>
      </c>
      <c r="D7311" s="113">
        <v>46307416</v>
      </c>
      <c r="E7311" s="115">
        <v>43941</v>
      </c>
      <c r="F7311" s="114">
        <v>202101</v>
      </c>
      <c r="G7311" s="112" t="s">
        <v>1091</v>
      </c>
      <c r="H7311" s="112" t="s">
        <v>1015</v>
      </c>
      <c r="I7311" s="112" t="s">
        <v>1605</v>
      </c>
      <c r="J7311" s="112" t="s">
        <v>5554</v>
      </c>
      <c r="K7311" s="112" t="s">
        <v>5556</v>
      </c>
      <c r="L7311" s="116">
        <v>10000</v>
      </c>
    </row>
    <row r="7312" spans="1:12" hidden="1" outlineLevel="1" collapsed="1" x14ac:dyDescent="0.35">
      <c r="A7312" s="112" t="s">
        <v>5553</v>
      </c>
      <c r="B7312" s="112" t="s">
        <v>927</v>
      </c>
      <c r="C7312" s="112" t="s">
        <v>1219</v>
      </c>
      <c r="D7312" s="113">
        <v>46307417</v>
      </c>
      <c r="E7312" s="115">
        <v>43941</v>
      </c>
      <c r="F7312" s="114">
        <v>202101</v>
      </c>
      <c r="G7312" s="112" t="s">
        <v>1091</v>
      </c>
      <c r="H7312" s="112" t="s">
        <v>1015</v>
      </c>
      <c r="I7312" s="112" t="s">
        <v>1605</v>
      </c>
      <c r="J7312" s="112" t="s">
        <v>5554</v>
      </c>
      <c r="K7312" s="112" t="s">
        <v>5556</v>
      </c>
      <c r="L7312" s="116">
        <v>10000</v>
      </c>
    </row>
    <row r="7313" spans="1:12" hidden="1" outlineLevel="1" collapsed="1" x14ac:dyDescent="0.35">
      <c r="A7313" s="112" t="s">
        <v>5553</v>
      </c>
      <c r="B7313" s="112" t="s">
        <v>927</v>
      </c>
      <c r="C7313" s="112" t="s">
        <v>1219</v>
      </c>
      <c r="D7313" s="113">
        <v>46307418</v>
      </c>
      <c r="E7313" s="115">
        <v>43941</v>
      </c>
      <c r="F7313" s="114">
        <v>202101</v>
      </c>
      <c r="G7313" s="112" t="s">
        <v>1091</v>
      </c>
      <c r="H7313" s="112" t="s">
        <v>1015</v>
      </c>
      <c r="I7313" s="112" t="s">
        <v>1605</v>
      </c>
      <c r="J7313" s="112" t="s">
        <v>5554</v>
      </c>
      <c r="K7313" s="112" t="s">
        <v>5556</v>
      </c>
      <c r="L7313" s="116">
        <v>10000</v>
      </c>
    </row>
    <row r="7314" spans="1:12" hidden="1" outlineLevel="1" collapsed="1" x14ac:dyDescent="0.35">
      <c r="A7314" s="112" t="s">
        <v>5553</v>
      </c>
      <c r="B7314" s="112" t="s">
        <v>927</v>
      </c>
      <c r="C7314" s="112" t="s">
        <v>1219</v>
      </c>
      <c r="D7314" s="113">
        <v>46307419</v>
      </c>
      <c r="E7314" s="115">
        <v>43941</v>
      </c>
      <c r="F7314" s="114">
        <v>202101</v>
      </c>
      <c r="G7314" s="112" t="s">
        <v>1091</v>
      </c>
      <c r="H7314" s="112" t="s">
        <v>1015</v>
      </c>
      <c r="I7314" s="112" t="s">
        <v>1605</v>
      </c>
      <c r="J7314" s="112" t="s">
        <v>5554</v>
      </c>
      <c r="K7314" s="112" t="s">
        <v>5555</v>
      </c>
      <c r="L7314" s="116">
        <v>25000</v>
      </c>
    </row>
    <row r="7315" spans="1:12" hidden="1" outlineLevel="1" collapsed="1" x14ac:dyDescent="0.35">
      <c r="A7315" s="112" t="s">
        <v>5553</v>
      </c>
      <c r="B7315" s="112" t="s">
        <v>927</v>
      </c>
      <c r="C7315" s="112" t="s">
        <v>1219</v>
      </c>
      <c r="D7315" s="113">
        <v>46307420</v>
      </c>
      <c r="E7315" s="115">
        <v>43941</v>
      </c>
      <c r="F7315" s="114">
        <v>202101</v>
      </c>
      <c r="G7315" s="112" t="s">
        <v>1091</v>
      </c>
      <c r="H7315" s="112" t="s">
        <v>1015</v>
      </c>
      <c r="I7315" s="112" t="s">
        <v>1605</v>
      </c>
      <c r="J7315" s="112" t="s">
        <v>5554</v>
      </c>
      <c r="K7315" s="112" t="s">
        <v>5555</v>
      </c>
      <c r="L7315" s="116">
        <v>25000</v>
      </c>
    </row>
    <row r="7316" spans="1:12" hidden="1" outlineLevel="1" collapsed="1" x14ac:dyDescent="0.35">
      <c r="A7316" s="112" t="s">
        <v>5553</v>
      </c>
      <c r="B7316" s="112" t="s">
        <v>927</v>
      </c>
      <c r="C7316" s="112" t="s">
        <v>1219</v>
      </c>
      <c r="D7316" s="113">
        <v>46307421</v>
      </c>
      <c r="E7316" s="115">
        <v>43941</v>
      </c>
      <c r="F7316" s="114">
        <v>202101</v>
      </c>
      <c r="G7316" s="112" t="s">
        <v>1091</v>
      </c>
      <c r="H7316" s="112" t="s">
        <v>1015</v>
      </c>
      <c r="I7316" s="112" t="s">
        <v>1605</v>
      </c>
      <c r="J7316" s="112" t="s">
        <v>5554</v>
      </c>
      <c r="K7316" s="112" t="s">
        <v>5555</v>
      </c>
      <c r="L7316" s="116">
        <v>10000</v>
      </c>
    </row>
    <row r="7317" spans="1:12" hidden="1" outlineLevel="1" collapsed="1" x14ac:dyDescent="0.35">
      <c r="A7317" s="112" t="s">
        <v>5553</v>
      </c>
      <c r="B7317" s="112" t="s">
        <v>927</v>
      </c>
      <c r="C7317" s="112" t="s">
        <v>1219</v>
      </c>
      <c r="D7317" s="113">
        <v>46307422</v>
      </c>
      <c r="E7317" s="115">
        <v>43941</v>
      </c>
      <c r="F7317" s="114">
        <v>202101</v>
      </c>
      <c r="G7317" s="112" t="s">
        <v>1091</v>
      </c>
      <c r="H7317" s="112" t="s">
        <v>1015</v>
      </c>
      <c r="I7317" s="112" t="s">
        <v>1605</v>
      </c>
      <c r="J7317" s="112" t="s">
        <v>5554</v>
      </c>
      <c r="K7317" s="112" t="s">
        <v>5555</v>
      </c>
      <c r="L7317" s="116">
        <v>25000</v>
      </c>
    </row>
    <row r="7318" spans="1:12" hidden="1" outlineLevel="1" collapsed="1" x14ac:dyDescent="0.35">
      <c r="A7318" s="112" t="s">
        <v>5553</v>
      </c>
      <c r="B7318" s="112" t="s">
        <v>927</v>
      </c>
      <c r="C7318" s="112" t="s">
        <v>1219</v>
      </c>
      <c r="D7318" s="113">
        <v>46307423</v>
      </c>
      <c r="E7318" s="115">
        <v>43941</v>
      </c>
      <c r="F7318" s="114">
        <v>202101</v>
      </c>
      <c r="G7318" s="112" t="s">
        <v>1091</v>
      </c>
      <c r="H7318" s="112" t="s">
        <v>1015</v>
      </c>
      <c r="I7318" s="112" t="s">
        <v>1605</v>
      </c>
      <c r="J7318" s="112" t="s">
        <v>5554</v>
      </c>
      <c r="K7318" s="112" t="s">
        <v>5556</v>
      </c>
      <c r="L7318" s="116">
        <v>10000</v>
      </c>
    </row>
    <row r="7319" spans="1:12" hidden="1" outlineLevel="1" collapsed="1" x14ac:dyDescent="0.35">
      <c r="A7319" s="112" t="s">
        <v>5553</v>
      </c>
      <c r="B7319" s="112" t="s">
        <v>927</v>
      </c>
      <c r="C7319" s="112" t="s">
        <v>1219</v>
      </c>
      <c r="D7319" s="113">
        <v>46307411</v>
      </c>
      <c r="E7319" s="115">
        <v>43941</v>
      </c>
      <c r="F7319" s="114">
        <v>202101</v>
      </c>
      <c r="G7319" s="112" t="s">
        <v>1091</v>
      </c>
      <c r="H7319" s="112" t="s">
        <v>1015</v>
      </c>
      <c r="I7319" s="112" t="s">
        <v>1605</v>
      </c>
      <c r="J7319" s="112" t="s">
        <v>5554</v>
      </c>
      <c r="K7319" s="112" t="s">
        <v>5556</v>
      </c>
      <c r="L7319" s="116">
        <v>10000</v>
      </c>
    </row>
    <row r="7320" spans="1:12" hidden="1" outlineLevel="1" collapsed="1" x14ac:dyDescent="0.35">
      <c r="A7320" s="112" t="s">
        <v>5553</v>
      </c>
      <c r="B7320" s="112" t="s">
        <v>927</v>
      </c>
      <c r="C7320" s="112" t="s">
        <v>1219</v>
      </c>
      <c r="D7320" s="113">
        <v>46307425</v>
      </c>
      <c r="E7320" s="115">
        <v>43941</v>
      </c>
      <c r="F7320" s="114">
        <v>202101</v>
      </c>
      <c r="G7320" s="112" t="s">
        <v>1091</v>
      </c>
      <c r="H7320" s="112" t="s">
        <v>1015</v>
      </c>
      <c r="I7320" s="112" t="s">
        <v>1605</v>
      </c>
      <c r="J7320" s="112" t="s">
        <v>5554</v>
      </c>
      <c r="K7320" s="112" t="s">
        <v>5555</v>
      </c>
      <c r="L7320" s="116">
        <v>25000</v>
      </c>
    </row>
    <row r="7321" spans="1:12" hidden="1" outlineLevel="1" collapsed="1" x14ac:dyDescent="0.35">
      <c r="A7321" s="112" t="s">
        <v>5553</v>
      </c>
      <c r="B7321" s="112" t="s">
        <v>927</v>
      </c>
      <c r="C7321" s="112" t="s">
        <v>1219</v>
      </c>
      <c r="D7321" s="113">
        <v>46307426</v>
      </c>
      <c r="E7321" s="115">
        <v>43941</v>
      </c>
      <c r="F7321" s="114">
        <v>202101</v>
      </c>
      <c r="G7321" s="112" t="s">
        <v>1091</v>
      </c>
      <c r="H7321" s="112" t="s">
        <v>1015</v>
      </c>
      <c r="I7321" s="112" t="s">
        <v>1605</v>
      </c>
      <c r="J7321" s="112" t="s">
        <v>5554</v>
      </c>
      <c r="K7321" s="112" t="s">
        <v>5555</v>
      </c>
      <c r="L7321" s="116">
        <v>25000</v>
      </c>
    </row>
    <row r="7322" spans="1:12" hidden="1" outlineLevel="1" collapsed="1" x14ac:dyDescent="0.35">
      <c r="A7322" s="112" t="s">
        <v>5553</v>
      </c>
      <c r="B7322" s="112" t="s">
        <v>927</v>
      </c>
      <c r="C7322" s="112" t="s">
        <v>1219</v>
      </c>
      <c r="D7322" s="113">
        <v>46307427</v>
      </c>
      <c r="E7322" s="115">
        <v>43941</v>
      </c>
      <c r="F7322" s="114">
        <v>202101</v>
      </c>
      <c r="G7322" s="112" t="s">
        <v>1091</v>
      </c>
      <c r="H7322" s="112" t="s">
        <v>1015</v>
      </c>
      <c r="I7322" s="112" t="s">
        <v>1605</v>
      </c>
      <c r="J7322" s="112" t="s">
        <v>5554</v>
      </c>
      <c r="K7322" s="112" t="s">
        <v>5555</v>
      </c>
      <c r="L7322" s="116">
        <v>25000</v>
      </c>
    </row>
    <row r="7323" spans="1:12" hidden="1" outlineLevel="1" collapsed="1" x14ac:dyDescent="0.35">
      <c r="A7323" s="112" t="s">
        <v>5553</v>
      </c>
      <c r="B7323" s="112" t="s">
        <v>927</v>
      </c>
      <c r="C7323" s="112" t="s">
        <v>1219</v>
      </c>
      <c r="D7323" s="113">
        <v>46307428</v>
      </c>
      <c r="E7323" s="115">
        <v>43941</v>
      </c>
      <c r="F7323" s="114">
        <v>202101</v>
      </c>
      <c r="G7323" s="112" t="s">
        <v>1091</v>
      </c>
      <c r="H7323" s="112" t="s">
        <v>1015</v>
      </c>
      <c r="I7323" s="112" t="s">
        <v>1605</v>
      </c>
      <c r="J7323" s="112" t="s">
        <v>5554</v>
      </c>
      <c r="K7323" s="112" t="s">
        <v>5555</v>
      </c>
      <c r="L7323" s="116">
        <v>25000</v>
      </c>
    </row>
    <row r="7324" spans="1:12" hidden="1" outlineLevel="1" collapsed="1" x14ac:dyDescent="0.35">
      <c r="A7324" s="112" t="s">
        <v>5553</v>
      </c>
      <c r="B7324" s="112" t="s">
        <v>927</v>
      </c>
      <c r="C7324" s="112" t="s">
        <v>1219</v>
      </c>
      <c r="D7324" s="113">
        <v>46307429</v>
      </c>
      <c r="E7324" s="115">
        <v>43941</v>
      </c>
      <c r="F7324" s="114">
        <v>202101</v>
      </c>
      <c r="G7324" s="112" t="s">
        <v>1091</v>
      </c>
      <c r="H7324" s="112" t="s">
        <v>1015</v>
      </c>
      <c r="I7324" s="112" t="s">
        <v>1605</v>
      </c>
      <c r="J7324" s="112" t="s">
        <v>5554</v>
      </c>
      <c r="K7324" s="112" t="s">
        <v>5556</v>
      </c>
      <c r="L7324" s="116">
        <v>10000</v>
      </c>
    </row>
    <row r="7325" spans="1:12" hidden="1" outlineLevel="1" collapsed="1" x14ac:dyDescent="0.35">
      <c r="A7325" s="112" t="s">
        <v>5553</v>
      </c>
      <c r="B7325" s="112" t="s">
        <v>927</v>
      </c>
      <c r="C7325" s="112" t="s">
        <v>1219</v>
      </c>
      <c r="D7325" s="113">
        <v>46307430</v>
      </c>
      <c r="E7325" s="115">
        <v>43941</v>
      </c>
      <c r="F7325" s="114">
        <v>202101</v>
      </c>
      <c r="G7325" s="112" t="s">
        <v>1091</v>
      </c>
      <c r="H7325" s="112" t="s">
        <v>1015</v>
      </c>
      <c r="I7325" s="112" t="s">
        <v>1605</v>
      </c>
      <c r="J7325" s="112" t="s">
        <v>5554</v>
      </c>
      <c r="K7325" s="112" t="s">
        <v>5555</v>
      </c>
      <c r="L7325" s="116">
        <v>25000</v>
      </c>
    </row>
    <row r="7326" spans="1:12" hidden="1" outlineLevel="1" collapsed="1" x14ac:dyDescent="0.35">
      <c r="A7326" s="112" t="s">
        <v>5553</v>
      </c>
      <c r="B7326" s="112" t="s">
        <v>927</v>
      </c>
      <c r="C7326" s="112" t="s">
        <v>1219</v>
      </c>
      <c r="D7326" s="113">
        <v>46307431</v>
      </c>
      <c r="E7326" s="115">
        <v>43941</v>
      </c>
      <c r="F7326" s="114">
        <v>202101</v>
      </c>
      <c r="G7326" s="112" t="s">
        <v>1091</v>
      </c>
      <c r="H7326" s="112" t="s">
        <v>1015</v>
      </c>
      <c r="I7326" s="112" t="s">
        <v>1605</v>
      </c>
      <c r="J7326" s="112" t="s">
        <v>5554</v>
      </c>
      <c r="K7326" s="112" t="s">
        <v>5555</v>
      </c>
      <c r="L7326" s="116">
        <v>25000</v>
      </c>
    </row>
    <row r="7327" spans="1:12" hidden="1" outlineLevel="1" collapsed="1" x14ac:dyDescent="0.35">
      <c r="A7327" s="112" t="s">
        <v>5553</v>
      </c>
      <c r="B7327" s="112" t="s">
        <v>927</v>
      </c>
      <c r="C7327" s="112" t="s">
        <v>1219</v>
      </c>
      <c r="D7327" s="113">
        <v>46307432</v>
      </c>
      <c r="E7327" s="115">
        <v>43941</v>
      </c>
      <c r="F7327" s="114">
        <v>202101</v>
      </c>
      <c r="G7327" s="112" t="s">
        <v>1091</v>
      </c>
      <c r="H7327" s="112" t="s">
        <v>1015</v>
      </c>
      <c r="I7327" s="112" t="s">
        <v>1605</v>
      </c>
      <c r="J7327" s="112" t="s">
        <v>5554</v>
      </c>
      <c r="K7327" s="112" t="s">
        <v>5555</v>
      </c>
      <c r="L7327" s="116">
        <v>25000</v>
      </c>
    </row>
    <row r="7328" spans="1:12" hidden="1" outlineLevel="1" collapsed="1" x14ac:dyDescent="0.35">
      <c r="A7328" s="112" t="s">
        <v>5553</v>
      </c>
      <c r="B7328" s="112" t="s">
        <v>927</v>
      </c>
      <c r="C7328" s="112" t="s">
        <v>1219</v>
      </c>
      <c r="D7328" s="113">
        <v>46307433</v>
      </c>
      <c r="E7328" s="115">
        <v>43941</v>
      </c>
      <c r="F7328" s="114">
        <v>202101</v>
      </c>
      <c r="G7328" s="112" t="s">
        <v>1091</v>
      </c>
      <c r="H7328" s="112" t="s">
        <v>1015</v>
      </c>
      <c r="I7328" s="112" t="s">
        <v>1605</v>
      </c>
      <c r="J7328" s="112" t="s">
        <v>5554</v>
      </c>
      <c r="K7328" s="112" t="s">
        <v>5555</v>
      </c>
      <c r="L7328" s="116">
        <v>25000</v>
      </c>
    </row>
    <row r="7329" spans="1:12" hidden="1" outlineLevel="1" collapsed="1" x14ac:dyDescent="0.35">
      <c r="A7329" s="112" t="s">
        <v>5553</v>
      </c>
      <c r="B7329" s="112" t="s">
        <v>927</v>
      </c>
      <c r="C7329" s="112" t="s">
        <v>1219</v>
      </c>
      <c r="D7329" s="113">
        <v>46307434</v>
      </c>
      <c r="E7329" s="115">
        <v>43941</v>
      </c>
      <c r="F7329" s="114">
        <v>202101</v>
      </c>
      <c r="G7329" s="112" t="s">
        <v>1091</v>
      </c>
      <c r="H7329" s="112" t="s">
        <v>1015</v>
      </c>
      <c r="I7329" s="112" t="s">
        <v>1605</v>
      </c>
      <c r="J7329" s="112" t="s">
        <v>5554</v>
      </c>
      <c r="K7329" s="112" t="s">
        <v>5556</v>
      </c>
      <c r="L7329" s="116">
        <v>10000</v>
      </c>
    </row>
    <row r="7330" spans="1:12" hidden="1" outlineLevel="1" collapsed="1" x14ac:dyDescent="0.35">
      <c r="A7330" s="112" t="s">
        <v>5553</v>
      </c>
      <c r="B7330" s="112" t="s">
        <v>927</v>
      </c>
      <c r="C7330" s="112" t="s">
        <v>1219</v>
      </c>
      <c r="D7330" s="113">
        <v>46307435</v>
      </c>
      <c r="E7330" s="115">
        <v>43941</v>
      </c>
      <c r="F7330" s="114">
        <v>202101</v>
      </c>
      <c r="G7330" s="112" t="s">
        <v>1091</v>
      </c>
      <c r="H7330" s="112" t="s">
        <v>1015</v>
      </c>
      <c r="I7330" s="112" t="s">
        <v>1605</v>
      </c>
      <c r="J7330" s="112" t="s">
        <v>5554</v>
      </c>
      <c r="K7330" s="112" t="s">
        <v>5555</v>
      </c>
      <c r="L7330" s="116">
        <v>25000</v>
      </c>
    </row>
    <row r="7331" spans="1:12" hidden="1" outlineLevel="1" collapsed="1" x14ac:dyDescent="0.35">
      <c r="A7331" s="112" t="s">
        <v>5553</v>
      </c>
      <c r="B7331" s="112" t="s">
        <v>927</v>
      </c>
      <c r="C7331" s="112" t="s">
        <v>1219</v>
      </c>
      <c r="D7331" s="113">
        <v>46307436</v>
      </c>
      <c r="E7331" s="115">
        <v>43941</v>
      </c>
      <c r="F7331" s="114">
        <v>202101</v>
      </c>
      <c r="G7331" s="112" t="s">
        <v>1091</v>
      </c>
      <c r="H7331" s="112" t="s">
        <v>1015</v>
      </c>
      <c r="I7331" s="112" t="s">
        <v>1605</v>
      </c>
      <c r="J7331" s="112" t="s">
        <v>5554</v>
      </c>
      <c r="K7331" s="112" t="s">
        <v>5556</v>
      </c>
      <c r="L7331" s="116">
        <v>10000</v>
      </c>
    </row>
    <row r="7332" spans="1:12" hidden="1" outlineLevel="1" collapsed="1" x14ac:dyDescent="0.35">
      <c r="A7332" s="112" t="s">
        <v>5553</v>
      </c>
      <c r="B7332" s="112" t="s">
        <v>927</v>
      </c>
      <c r="C7332" s="112" t="s">
        <v>1219</v>
      </c>
      <c r="D7332" s="113">
        <v>46307437</v>
      </c>
      <c r="E7332" s="115">
        <v>43941</v>
      </c>
      <c r="F7332" s="114">
        <v>202101</v>
      </c>
      <c r="G7332" s="112" t="s">
        <v>1091</v>
      </c>
      <c r="H7332" s="112" t="s">
        <v>1015</v>
      </c>
      <c r="I7332" s="112" t="s">
        <v>1605</v>
      </c>
      <c r="J7332" s="112" t="s">
        <v>5554</v>
      </c>
      <c r="K7332" s="112" t="s">
        <v>5556</v>
      </c>
      <c r="L7332" s="116">
        <v>10000</v>
      </c>
    </row>
    <row r="7333" spans="1:12" hidden="1" outlineLevel="1" collapsed="1" x14ac:dyDescent="0.35">
      <c r="A7333" s="112" t="s">
        <v>5553</v>
      </c>
      <c r="B7333" s="112" t="s">
        <v>927</v>
      </c>
      <c r="C7333" s="112" t="s">
        <v>1219</v>
      </c>
      <c r="D7333" s="113">
        <v>46307467</v>
      </c>
      <c r="E7333" s="115">
        <v>43941</v>
      </c>
      <c r="F7333" s="114">
        <v>202101</v>
      </c>
      <c r="G7333" s="112" t="s">
        <v>1091</v>
      </c>
      <c r="H7333" s="112" t="s">
        <v>1015</v>
      </c>
      <c r="I7333" s="112" t="s">
        <v>1605</v>
      </c>
      <c r="J7333" s="112" t="s">
        <v>5554</v>
      </c>
      <c r="K7333" s="112" t="s">
        <v>5555</v>
      </c>
      <c r="L7333" s="116">
        <v>25000</v>
      </c>
    </row>
    <row r="7334" spans="1:12" hidden="1" outlineLevel="1" collapsed="1" x14ac:dyDescent="0.35">
      <c r="A7334" s="112" t="s">
        <v>5553</v>
      </c>
      <c r="B7334" s="112" t="s">
        <v>927</v>
      </c>
      <c r="C7334" s="112" t="s">
        <v>1219</v>
      </c>
      <c r="D7334" s="113">
        <v>46307410</v>
      </c>
      <c r="E7334" s="115">
        <v>43941</v>
      </c>
      <c r="F7334" s="114">
        <v>202101</v>
      </c>
      <c r="G7334" s="112" t="s">
        <v>1091</v>
      </c>
      <c r="H7334" s="112" t="s">
        <v>1015</v>
      </c>
      <c r="I7334" s="112" t="s">
        <v>1605</v>
      </c>
      <c r="J7334" s="112" t="s">
        <v>5554</v>
      </c>
      <c r="K7334" s="112" t="s">
        <v>5555</v>
      </c>
      <c r="L7334" s="116">
        <v>25000</v>
      </c>
    </row>
    <row r="7335" spans="1:12" hidden="1" outlineLevel="1" collapsed="1" x14ac:dyDescent="0.35">
      <c r="A7335" s="112" t="s">
        <v>5553</v>
      </c>
      <c r="B7335" s="112" t="s">
        <v>927</v>
      </c>
      <c r="C7335" s="112" t="s">
        <v>1219</v>
      </c>
      <c r="D7335" s="113">
        <v>46306834</v>
      </c>
      <c r="E7335" s="115">
        <v>43924</v>
      </c>
      <c r="F7335" s="114">
        <v>202101</v>
      </c>
      <c r="G7335" s="112" t="s">
        <v>1091</v>
      </c>
      <c r="H7335" s="112" t="s">
        <v>1015</v>
      </c>
      <c r="I7335" s="112" t="s">
        <v>1605</v>
      </c>
      <c r="J7335" s="112" t="s">
        <v>5554</v>
      </c>
      <c r="K7335" s="112" t="s">
        <v>5556</v>
      </c>
      <c r="L7335" s="116">
        <v>10000</v>
      </c>
    </row>
    <row r="7336" spans="1:12" hidden="1" outlineLevel="1" collapsed="1" x14ac:dyDescent="0.35">
      <c r="A7336" s="112" t="s">
        <v>5553</v>
      </c>
      <c r="B7336" s="112" t="s">
        <v>927</v>
      </c>
      <c r="C7336" s="112" t="s">
        <v>1219</v>
      </c>
      <c r="D7336" s="113">
        <v>46307324</v>
      </c>
      <c r="E7336" s="115">
        <v>43938</v>
      </c>
      <c r="F7336" s="114">
        <v>202101</v>
      </c>
      <c r="G7336" s="112" t="s">
        <v>1091</v>
      </c>
      <c r="H7336" s="112" t="s">
        <v>1015</v>
      </c>
      <c r="I7336" s="112" t="s">
        <v>1605</v>
      </c>
      <c r="J7336" s="112" t="s">
        <v>5554</v>
      </c>
      <c r="K7336" s="112" t="s">
        <v>5556</v>
      </c>
      <c r="L7336" s="116">
        <v>10000</v>
      </c>
    </row>
    <row r="7337" spans="1:12" hidden="1" outlineLevel="1" collapsed="1" x14ac:dyDescent="0.35">
      <c r="A7337" s="112" t="s">
        <v>5553</v>
      </c>
      <c r="B7337" s="112" t="s">
        <v>927</v>
      </c>
      <c r="C7337" s="112" t="s">
        <v>1219</v>
      </c>
      <c r="D7337" s="113">
        <v>46307323</v>
      </c>
      <c r="E7337" s="115">
        <v>43938</v>
      </c>
      <c r="F7337" s="114">
        <v>202101</v>
      </c>
      <c r="G7337" s="112" t="s">
        <v>1091</v>
      </c>
      <c r="H7337" s="112" t="s">
        <v>1015</v>
      </c>
      <c r="I7337" s="112" t="s">
        <v>1605</v>
      </c>
      <c r="J7337" s="112" t="s">
        <v>5554</v>
      </c>
      <c r="K7337" s="112" t="s">
        <v>5556</v>
      </c>
      <c r="L7337" s="116">
        <v>10000</v>
      </c>
    </row>
    <row r="7338" spans="1:12" hidden="1" outlineLevel="1" collapsed="1" x14ac:dyDescent="0.35">
      <c r="A7338" s="112" t="s">
        <v>5553</v>
      </c>
      <c r="B7338" s="112" t="s">
        <v>927</v>
      </c>
      <c r="C7338" s="112" t="s">
        <v>1219</v>
      </c>
      <c r="D7338" s="113">
        <v>46307322</v>
      </c>
      <c r="E7338" s="115">
        <v>43938</v>
      </c>
      <c r="F7338" s="114">
        <v>202101</v>
      </c>
      <c r="G7338" s="112" t="s">
        <v>1091</v>
      </c>
      <c r="H7338" s="112" t="s">
        <v>1015</v>
      </c>
      <c r="I7338" s="112" t="s">
        <v>1605</v>
      </c>
      <c r="J7338" s="112" t="s">
        <v>5554</v>
      </c>
      <c r="K7338" s="112" t="s">
        <v>5556</v>
      </c>
      <c r="L7338" s="116">
        <v>10000</v>
      </c>
    </row>
    <row r="7339" spans="1:12" hidden="1" outlineLevel="1" collapsed="1" x14ac:dyDescent="0.35">
      <c r="A7339" s="112" t="s">
        <v>5553</v>
      </c>
      <c r="B7339" s="112" t="s">
        <v>927</v>
      </c>
      <c r="C7339" s="112" t="s">
        <v>1219</v>
      </c>
      <c r="D7339" s="113">
        <v>46307321</v>
      </c>
      <c r="E7339" s="115">
        <v>43938</v>
      </c>
      <c r="F7339" s="114">
        <v>202101</v>
      </c>
      <c r="G7339" s="112" t="s">
        <v>1091</v>
      </c>
      <c r="H7339" s="112" t="s">
        <v>1015</v>
      </c>
      <c r="I7339" s="112" t="s">
        <v>1605</v>
      </c>
      <c r="J7339" s="112" t="s">
        <v>5554</v>
      </c>
      <c r="K7339" s="112" t="s">
        <v>5556</v>
      </c>
      <c r="L7339" s="116">
        <v>10000</v>
      </c>
    </row>
    <row r="7340" spans="1:12" hidden="1" outlineLevel="1" collapsed="1" x14ac:dyDescent="0.35">
      <c r="A7340" s="112" t="s">
        <v>5553</v>
      </c>
      <c r="B7340" s="112" t="s">
        <v>927</v>
      </c>
      <c r="C7340" s="112" t="s">
        <v>1219</v>
      </c>
      <c r="D7340" s="113">
        <v>46307320</v>
      </c>
      <c r="E7340" s="115">
        <v>43938</v>
      </c>
      <c r="F7340" s="114">
        <v>202101</v>
      </c>
      <c r="G7340" s="112" t="s">
        <v>1091</v>
      </c>
      <c r="H7340" s="112" t="s">
        <v>1015</v>
      </c>
      <c r="I7340" s="112" t="s">
        <v>1605</v>
      </c>
      <c r="J7340" s="112" t="s">
        <v>5554</v>
      </c>
      <c r="K7340" s="112" t="s">
        <v>5555</v>
      </c>
      <c r="L7340" s="116">
        <v>25000</v>
      </c>
    </row>
    <row r="7341" spans="1:12" hidden="1" outlineLevel="1" collapsed="1" x14ac:dyDescent="0.35">
      <c r="A7341" s="112" t="s">
        <v>5553</v>
      </c>
      <c r="B7341" s="112" t="s">
        <v>927</v>
      </c>
      <c r="C7341" s="112" t="s">
        <v>1219</v>
      </c>
      <c r="D7341" s="113">
        <v>46307319</v>
      </c>
      <c r="E7341" s="115">
        <v>43938</v>
      </c>
      <c r="F7341" s="114">
        <v>202101</v>
      </c>
      <c r="G7341" s="112" t="s">
        <v>1091</v>
      </c>
      <c r="H7341" s="112" t="s">
        <v>1015</v>
      </c>
      <c r="I7341" s="112" t="s">
        <v>1605</v>
      </c>
      <c r="J7341" s="112" t="s">
        <v>5554</v>
      </c>
      <c r="K7341" s="112" t="s">
        <v>5556</v>
      </c>
      <c r="L7341" s="116">
        <v>10000</v>
      </c>
    </row>
    <row r="7342" spans="1:12" hidden="1" outlineLevel="1" collapsed="1" x14ac:dyDescent="0.35">
      <c r="A7342" s="112" t="s">
        <v>5553</v>
      </c>
      <c r="B7342" s="112" t="s">
        <v>927</v>
      </c>
      <c r="C7342" s="112" t="s">
        <v>1219</v>
      </c>
      <c r="D7342" s="113">
        <v>46307318</v>
      </c>
      <c r="E7342" s="115">
        <v>43938</v>
      </c>
      <c r="F7342" s="114">
        <v>202101</v>
      </c>
      <c r="G7342" s="112" t="s">
        <v>1091</v>
      </c>
      <c r="H7342" s="112" t="s">
        <v>1015</v>
      </c>
      <c r="I7342" s="112" t="s">
        <v>1605</v>
      </c>
      <c r="J7342" s="112" t="s">
        <v>5554</v>
      </c>
      <c r="K7342" s="112" t="s">
        <v>5555</v>
      </c>
      <c r="L7342" s="116">
        <v>25000</v>
      </c>
    </row>
    <row r="7343" spans="1:12" hidden="1" outlineLevel="1" collapsed="1" x14ac:dyDescent="0.35">
      <c r="A7343" s="112" t="s">
        <v>5553</v>
      </c>
      <c r="B7343" s="112" t="s">
        <v>927</v>
      </c>
      <c r="C7343" s="112" t="s">
        <v>1219</v>
      </c>
      <c r="D7343" s="113">
        <v>46307317</v>
      </c>
      <c r="E7343" s="115">
        <v>43938</v>
      </c>
      <c r="F7343" s="114">
        <v>202101</v>
      </c>
      <c r="G7343" s="112" t="s">
        <v>1091</v>
      </c>
      <c r="H7343" s="112" t="s">
        <v>1015</v>
      </c>
      <c r="I7343" s="112" t="s">
        <v>1605</v>
      </c>
      <c r="J7343" s="112" t="s">
        <v>5554</v>
      </c>
      <c r="K7343" s="112" t="s">
        <v>5555</v>
      </c>
      <c r="L7343" s="116">
        <v>25000</v>
      </c>
    </row>
    <row r="7344" spans="1:12" hidden="1" outlineLevel="1" collapsed="1" x14ac:dyDescent="0.35">
      <c r="A7344" s="112" t="s">
        <v>5553</v>
      </c>
      <c r="B7344" s="112" t="s">
        <v>927</v>
      </c>
      <c r="C7344" s="112" t="s">
        <v>1219</v>
      </c>
      <c r="D7344" s="113">
        <v>46307316</v>
      </c>
      <c r="E7344" s="115">
        <v>43938</v>
      </c>
      <c r="F7344" s="114">
        <v>202101</v>
      </c>
      <c r="G7344" s="112" t="s">
        <v>1091</v>
      </c>
      <c r="H7344" s="112" t="s">
        <v>1015</v>
      </c>
      <c r="I7344" s="112" t="s">
        <v>1605</v>
      </c>
      <c r="J7344" s="112" t="s">
        <v>5554</v>
      </c>
      <c r="K7344" s="112" t="s">
        <v>5555</v>
      </c>
      <c r="L7344" s="116">
        <v>25000</v>
      </c>
    </row>
    <row r="7345" spans="1:12" hidden="1" outlineLevel="1" collapsed="1" x14ac:dyDescent="0.35">
      <c r="A7345" s="112" t="s">
        <v>5553</v>
      </c>
      <c r="B7345" s="112" t="s">
        <v>927</v>
      </c>
      <c r="C7345" s="112" t="s">
        <v>1219</v>
      </c>
      <c r="D7345" s="113">
        <v>46307315</v>
      </c>
      <c r="E7345" s="115">
        <v>43938</v>
      </c>
      <c r="F7345" s="114">
        <v>202101</v>
      </c>
      <c r="G7345" s="112" t="s">
        <v>1091</v>
      </c>
      <c r="H7345" s="112" t="s">
        <v>1015</v>
      </c>
      <c r="I7345" s="112" t="s">
        <v>1605</v>
      </c>
      <c r="J7345" s="112" t="s">
        <v>5554</v>
      </c>
      <c r="K7345" s="112" t="s">
        <v>5556</v>
      </c>
      <c r="L7345" s="116">
        <v>10000</v>
      </c>
    </row>
    <row r="7346" spans="1:12" hidden="1" outlineLevel="1" collapsed="1" x14ac:dyDescent="0.35">
      <c r="A7346" s="112" t="s">
        <v>5553</v>
      </c>
      <c r="B7346" s="112" t="s">
        <v>927</v>
      </c>
      <c r="C7346" s="112" t="s">
        <v>1095</v>
      </c>
      <c r="D7346" s="113">
        <v>10348451</v>
      </c>
      <c r="E7346" s="115">
        <v>43949</v>
      </c>
      <c r="F7346" s="114">
        <v>202101</v>
      </c>
      <c r="G7346" s="112" t="s">
        <v>1091</v>
      </c>
      <c r="H7346" s="112" t="s">
        <v>1015</v>
      </c>
      <c r="I7346" s="112" t="s">
        <v>1096</v>
      </c>
      <c r="J7346" s="112" t="s">
        <v>5554</v>
      </c>
      <c r="K7346" s="112" t="s">
        <v>1098</v>
      </c>
      <c r="L7346" s="116">
        <v>210.79</v>
      </c>
    </row>
    <row r="7347" spans="1:12" hidden="1" outlineLevel="1" collapsed="1" x14ac:dyDescent="0.35">
      <c r="A7347" s="112" t="s">
        <v>5553</v>
      </c>
      <c r="B7347" s="112" t="s">
        <v>927</v>
      </c>
      <c r="C7347" s="112" t="s">
        <v>1219</v>
      </c>
      <c r="D7347" s="113">
        <v>46306823</v>
      </c>
      <c r="E7347" s="115">
        <v>43924</v>
      </c>
      <c r="F7347" s="114">
        <v>202101</v>
      </c>
      <c r="G7347" s="112" t="s">
        <v>1091</v>
      </c>
      <c r="H7347" s="112" t="s">
        <v>1015</v>
      </c>
      <c r="I7347" s="112" t="s">
        <v>1605</v>
      </c>
      <c r="J7347" s="112" t="s">
        <v>5554</v>
      </c>
      <c r="K7347" s="112" t="s">
        <v>5556</v>
      </c>
      <c r="L7347" s="116">
        <v>10000</v>
      </c>
    </row>
    <row r="7348" spans="1:12" hidden="1" outlineLevel="1" collapsed="1" x14ac:dyDescent="0.35">
      <c r="A7348" s="112" t="s">
        <v>5553</v>
      </c>
      <c r="B7348" s="112" t="s">
        <v>924</v>
      </c>
      <c r="C7348" s="112" t="s">
        <v>1095</v>
      </c>
      <c r="D7348" s="113">
        <v>10348451</v>
      </c>
      <c r="E7348" s="115">
        <v>43949</v>
      </c>
      <c r="F7348" s="114">
        <v>202101</v>
      </c>
      <c r="G7348" s="112" t="s">
        <v>1091</v>
      </c>
      <c r="H7348" s="112" t="s">
        <v>1015</v>
      </c>
      <c r="I7348" s="112" t="s">
        <v>1101</v>
      </c>
      <c r="J7348" s="112" t="s">
        <v>5558</v>
      </c>
      <c r="K7348" s="112" t="s">
        <v>1098</v>
      </c>
      <c r="L7348" s="116">
        <v>384.49</v>
      </c>
    </row>
    <row r="7349" spans="1:12" hidden="1" outlineLevel="1" collapsed="1" x14ac:dyDescent="0.35">
      <c r="A7349" s="112" t="s">
        <v>5553</v>
      </c>
      <c r="B7349" s="112" t="s">
        <v>927</v>
      </c>
      <c r="C7349" s="112" t="s">
        <v>1219</v>
      </c>
      <c r="D7349" s="113">
        <v>46306824</v>
      </c>
      <c r="E7349" s="115">
        <v>43924</v>
      </c>
      <c r="F7349" s="114">
        <v>202101</v>
      </c>
      <c r="G7349" s="112" t="s">
        <v>1091</v>
      </c>
      <c r="H7349" s="112" t="s">
        <v>1015</v>
      </c>
      <c r="I7349" s="112" t="s">
        <v>1605</v>
      </c>
      <c r="J7349" s="112" t="s">
        <v>5554</v>
      </c>
      <c r="K7349" s="112" t="s">
        <v>5556</v>
      </c>
      <c r="L7349" s="116">
        <v>10000</v>
      </c>
    </row>
    <row r="7350" spans="1:12" hidden="1" outlineLevel="1" collapsed="1" x14ac:dyDescent="0.35">
      <c r="A7350" s="112" t="s">
        <v>5553</v>
      </c>
      <c r="B7350" s="112" t="s">
        <v>927</v>
      </c>
      <c r="C7350" s="112" t="s">
        <v>1219</v>
      </c>
      <c r="D7350" s="113">
        <v>46306825</v>
      </c>
      <c r="E7350" s="115">
        <v>43924</v>
      </c>
      <c r="F7350" s="114">
        <v>202101</v>
      </c>
      <c r="G7350" s="112" t="s">
        <v>1091</v>
      </c>
      <c r="H7350" s="112" t="s">
        <v>1015</v>
      </c>
      <c r="I7350" s="112" t="s">
        <v>1605</v>
      </c>
      <c r="J7350" s="112" t="s">
        <v>5554</v>
      </c>
      <c r="K7350" s="112" t="s">
        <v>5556</v>
      </c>
      <c r="L7350" s="116">
        <v>10000</v>
      </c>
    </row>
    <row r="7351" spans="1:12" hidden="1" outlineLevel="1" collapsed="1" x14ac:dyDescent="0.35">
      <c r="A7351" s="112" t="s">
        <v>5553</v>
      </c>
      <c r="B7351" s="112" t="s">
        <v>927</v>
      </c>
      <c r="C7351" s="112" t="s">
        <v>1095</v>
      </c>
      <c r="D7351" s="113">
        <v>10348451</v>
      </c>
      <c r="E7351" s="115">
        <v>43949</v>
      </c>
      <c r="F7351" s="114">
        <v>202101</v>
      </c>
      <c r="G7351" s="112" t="s">
        <v>1091</v>
      </c>
      <c r="H7351" s="112" t="s">
        <v>1015</v>
      </c>
      <c r="I7351" s="112" t="s">
        <v>1263</v>
      </c>
      <c r="J7351" s="112" t="s">
        <v>5554</v>
      </c>
      <c r="K7351" s="112" t="s">
        <v>1098</v>
      </c>
      <c r="L7351" s="116">
        <v>399.02</v>
      </c>
    </row>
    <row r="7352" spans="1:12" hidden="1" outlineLevel="1" collapsed="1" x14ac:dyDescent="0.35">
      <c r="A7352" s="112" t="s">
        <v>5553</v>
      </c>
      <c r="B7352" s="112" t="s">
        <v>927</v>
      </c>
      <c r="C7352" s="112" t="s">
        <v>1219</v>
      </c>
      <c r="D7352" s="113">
        <v>46306826</v>
      </c>
      <c r="E7352" s="115">
        <v>43924</v>
      </c>
      <c r="F7352" s="114">
        <v>202101</v>
      </c>
      <c r="G7352" s="112" t="s">
        <v>1091</v>
      </c>
      <c r="H7352" s="112" t="s">
        <v>1015</v>
      </c>
      <c r="I7352" s="112" t="s">
        <v>1605</v>
      </c>
      <c r="J7352" s="112" t="s">
        <v>5554</v>
      </c>
      <c r="K7352" s="112" t="s">
        <v>5556</v>
      </c>
      <c r="L7352" s="116">
        <v>10000</v>
      </c>
    </row>
    <row r="7353" spans="1:12" hidden="1" outlineLevel="1" collapsed="1" x14ac:dyDescent="0.35">
      <c r="A7353" s="112" t="s">
        <v>5553</v>
      </c>
      <c r="B7353" s="112" t="s">
        <v>927</v>
      </c>
      <c r="C7353" s="112" t="s">
        <v>1219</v>
      </c>
      <c r="D7353" s="113">
        <v>46306827</v>
      </c>
      <c r="E7353" s="115">
        <v>43924</v>
      </c>
      <c r="F7353" s="114">
        <v>202101</v>
      </c>
      <c r="G7353" s="112" t="s">
        <v>1091</v>
      </c>
      <c r="H7353" s="112" t="s">
        <v>1015</v>
      </c>
      <c r="I7353" s="112" t="s">
        <v>1605</v>
      </c>
      <c r="J7353" s="112" t="s">
        <v>5554</v>
      </c>
      <c r="K7353" s="112" t="s">
        <v>5556</v>
      </c>
      <c r="L7353" s="116">
        <v>10000</v>
      </c>
    </row>
    <row r="7354" spans="1:12" hidden="1" outlineLevel="1" collapsed="1" x14ac:dyDescent="0.35">
      <c r="A7354" s="112" t="s">
        <v>5553</v>
      </c>
      <c r="B7354" s="112" t="s">
        <v>927</v>
      </c>
      <c r="C7354" s="112" t="s">
        <v>1219</v>
      </c>
      <c r="D7354" s="113">
        <v>46306828</v>
      </c>
      <c r="E7354" s="115">
        <v>43924</v>
      </c>
      <c r="F7354" s="114">
        <v>202101</v>
      </c>
      <c r="G7354" s="112" t="s">
        <v>1091</v>
      </c>
      <c r="H7354" s="112" t="s">
        <v>1015</v>
      </c>
      <c r="I7354" s="112" t="s">
        <v>1605</v>
      </c>
      <c r="J7354" s="112" t="s">
        <v>5554</v>
      </c>
      <c r="K7354" s="112" t="s">
        <v>5556</v>
      </c>
      <c r="L7354" s="116">
        <v>10000</v>
      </c>
    </row>
    <row r="7355" spans="1:12" hidden="1" outlineLevel="1" collapsed="1" x14ac:dyDescent="0.35">
      <c r="A7355" s="112" t="s">
        <v>5553</v>
      </c>
      <c r="B7355" s="112" t="s">
        <v>927</v>
      </c>
      <c r="C7355" s="112" t="s">
        <v>1219</v>
      </c>
      <c r="D7355" s="113">
        <v>46306829</v>
      </c>
      <c r="E7355" s="115">
        <v>43924</v>
      </c>
      <c r="F7355" s="114">
        <v>202101</v>
      </c>
      <c r="G7355" s="112" t="s">
        <v>1091</v>
      </c>
      <c r="H7355" s="112" t="s">
        <v>1015</v>
      </c>
      <c r="I7355" s="112" t="s">
        <v>1605</v>
      </c>
      <c r="J7355" s="112" t="s">
        <v>5554</v>
      </c>
      <c r="K7355" s="112" t="s">
        <v>5580</v>
      </c>
      <c r="L7355" s="116">
        <v>10000</v>
      </c>
    </row>
    <row r="7356" spans="1:12" hidden="1" outlineLevel="1" collapsed="1" x14ac:dyDescent="0.35">
      <c r="A7356" s="112" t="s">
        <v>5553</v>
      </c>
      <c r="B7356" s="112" t="s">
        <v>927</v>
      </c>
      <c r="C7356" s="112" t="s">
        <v>1095</v>
      </c>
      <c r="D7356" s="113">
        <v>10348451</v>
      </c>
      <c r="E7356" s="115">
        <v>43949</v>
      </c>
      <c r="F7356" s="114">
        <v>202101</v>
      </c>
      <c r="G7356" s="112" t="s">
        <v>1091</v>
      </c>
      <c r="H7356" s="112" t="s">
        <v>1015</v>
      </c>
      <c r="I7356" s="112" t="s">
        <v>1101</v>
      </c>
      <c r="J7356" s="112" t="s">
        <v>5557</v>
      </c>
      <c r="K7356" s="112" t="s">
        <v>1098</v>
      </c>
      <c r="L7356" s="116">
        <v>426.26</v>
      </c>
    </row>
    <row r="7357" spans="1:12" hidden="1" outlineLevel="1" collapsed="1" x14ac:dyDescent="0.35">
      <c r="A7357" s="112" t="s">
        <v>5553</v>
      </c>
      <c r="B7357" s="112" t="s">
        <v>5561</v>
      </c>
      <c r="C7357" s="112" t="s">
        <v>1095</v>
      </c>
      <c r="D7357" s="113">
        <v>10348451</v>
      </c>
      <c r="E7357" s="115">
        <v>43949</v>
      </c>
      <c r="F7357" s="114">
        <v>202101</v>
      </c>
      <c r="G7357" s="112" t="s">
        <v>1091</v>
      </c>
      <c r="H7357" s="112" t="s">
        <v>1015</v>
      </c>
      <c r="I7357" s="112" t="s">
        <v>1101</v>
      </c>
      <c r="J7357" s="112" t="s">
        <v>5562</v>
      </c>
      <c r="K7357" s="112" t="s">
        <v>1098</v>
      </c>
      <c r="L7357" s="116">
        <v>704.55</v>
      </c>
    </row>
    <row r="7358" spans="1:12" hidden="1" outlineLevel="1" collapsed="1" x14ac:dyDescent="0.35">
      <c r="A7358" s="112" t="s">
        <v>5553</v>
      </c>
      <c r="B7358" s="112" t="s">
        <v>927</v>
      </c>
      <c r="C7358" s="112" t="s">
        <v>1219</v>
      </c>
      <c r="D7358" s="113">
        <v>46306830</v>
      </c>
      <c r="E7358" s="115">
        <v>43924</v>
      </c>
      <c r="F7358" s="114">
        <v>202101</v>
      </c>
      <c r="G7358" s="112" t="s">
        <v>1091</v>
      </c>
      <c r="H7358" s="112" t="s">
        <v>1015</v>
      </c>
      <c r="I7358" s="112" t="s">
        <v>1605</v>
      </c>
      <c r="J7358" s="112" t="s">
        <v>5554</v>
      </c>
      <c r="K7358" s="112" t="s">
        <v>5556</v>
      </c>
      <c r="L7358" s="116">
        <v>10000</v>
      </c>
    </row>
    <row r="7359" spans="1:12" hidden="1" outlineLevel="1" collapsed="1" x14ac:dyDescent="0.35">
      <c r="A7359" s="112" t="s">
        <v>5553</v>
      </c>
      <c r="B7359" s="112" t="s">
        <v>927</v>
      </c>
      <c r="C7359" s="112" t="s">
        <v>1219</v>
      </c>
      <c r="D7359" s="113">
        <v>46306831</v>
      </c>
      <c r="E7359" s="115">
        <v>43924</v>
      </c>
      <c r="F7359" s="114">
        <v>202101</v>
      </c>
      <c r="G7359" s="112" t="s">
        <v>1091</v>
      </c>
      <c r="H7359" s="112" t="s">
        <v>1015</v>
      </c>
      <c r="I7359" s="112" t="s">
        <v>1605</v>
      </c>
      <c r="J7359" s="112" t="s">
        <v>5554</v>
      </c>
      <c r="K7359" s="112" t="s">
        <v>5556</v>
      </c>
      <c r="L7359" s="116">
        <v>10000</v>
      </c>
    </row>
    <row r="7360" spans="1:12" hidden="1" outlineLevel="1" collapsed="1" x14ac:dyDescent="0.35">
      <c r="A7360" s="112" t="s">
        <v>5553</v>
      </c>
      <c r="B7360" s="112" t="s">
        <v>927</v>
      </c>
      <c r="C7360" s="112" t="s">
        <v>1219</v>
      </c>
      <c r="D7360" s="113">
        <v>46306832</v>
      </c>
      <c r="E7360" s="115">
        <v>43924</v>
      </c>
      <c r="F7360" s="114">
        <v>202101</v>
      </c>
      <c r="G7360" s="112" t="s">
        <v>1091</v>
      </c>
      <c r="H7360" s="112" t="s">
        <v>1015</v>
      </c>
      <c r="I7360" s="112" t="s">
        <v>1605</v>
      </c>
      <c r="J7360" s="112" t="s">
        <v>5554</v>
      </c>
      <c r="K7360" s="112" t="s">
        <v>5580</v>
      </c>
      <c r="L7360" s="116">
        <v>10000</v>
      </c>
    </row>
    <row r="7361" spans="1:12" hidden="1" outlineLevel="1" collapsed="1" x14ac:dyDescent="0.35">
      <c r="A7361" s="112" t="s">
        <v>5553</v>
      </c>
      <c r="B7361" s="112" t="s">
        <v>927</v>
      </c>
      <c r="C7361" s="112" t="s">
        <v>1219</v>
      </c>
      <c r="D7361" s="113">
        <v>46306833</v>
      </c>
      <c r="E7361" s="115">
        <v>43924</v>
      </c>
      <c r="F7361" s="114">
        <v>202101</v>
      </c>
      <c r="G7361" s="112" t="s">
        <v>1091</v>
      </c>
      <c r="H7361" s="112" t="s">
        <v>1015</v>
      </c>
      <c r="I7361" s="112" t="s">
        <v>1605</v>
      </c>
      <c r="J7361" s="112" t="s">
        <v>5554</v>
      </c>
      <c r="K7361" s="112" t="s">
        <v>5556</v>
      </c>
      <c r="L7361" s="116">
        <v>25000</v>
      </c>
    </row>
    <row r="7362" spans="1:12" hidden="1" outlineLevel="1" collapsed="1" x14ac:dyDescent="0.35">
      <c r="A7362" s="112" t="s">
        <v>5553</v>
      </c>
      <c r="B7362" s="112" t="s">
        <v>927</v>
      </c>
      <c r="C7362" s="112" t="s">
        <v>1219</v>
      </c>
      <c r="D7362" s="113">
        <v>46307304</v>
      </c>
      <c r="E7362" s="115">
        <v>43938</v>
      </c>
      <c r="F7362" s="114">
        <v>202101</v>
      </c>
      <c r="G7362" s="112" t="s">
        <v>1091</v>
      </c>
      <c r="H7362" s="112" t="s">
        <v>1015</v>
      </c>
      <c r="I7362" s="112" t="s">
        <v>1605</v>
      </c>
      <c r="J7362" s="112" t="s">
        <v>5554</v>
      </c>
      <c r="K7362" s="112" t="s">
        <v>5555</v>
      </c>
      <c r="L7362" s="116">
        <v>25000</v>
      </c>
    </row>
    <row r="7363" spans="1:12" hidden="1" outlineLevel="1" collapsed="1" x14ac:dyDescent="0.35">
      <c r="A7363" s="112" t="s">
        <v>5553</v>
      </c>
      <c r="B7363" s="112" t="s">
        <v>927</v>
      </c>
      <c r="C7363" s="112" t="s">
        <v>1219</v>
      </c>
      <c r="D7363" s="113">
        <v>46307482</v>
      </c>
      <c r="E7363" s="115">
        <v>43941</v>
      </c>
      <c r="F7363" s="114">
        <v>202101</v>
      </c>
      <c r="G7363" s="112" t="s">
        <v>1091</v>
      </c>
      <c r="H7363" s="112" t="s">
        <v>1015</v>
      </c>
      <c r="I7363" s="112" t="s">
        <v>1605</v>
      </c>
      <c r="J7363" s="112" t="s">
        <v>5554</v>
      </c>
      <c r="K7363" s="112" t="s">
        <v>5555</v>
      </c>
      <c r="L7363" s="116">
        <v>25000</v>
      </c>
    </row>
    <row r="7364" spans="1:12" hidden="1" outlineLevel="1" collapsed="1" x14ac:dyDescent="0.35">
      <c r="A7364" s="112" t="s">
        <v>5553</v>
      </c>
      <c r="B7364" s="112" t="s">
        <v>927</v>
      </c>
      <c r="C7364" s="112" t="s">
        <v>1219</v>
      </c>
      <c r="D7364" s="113">
        <v>46307470</v>
      </c>
      <c r="E7364" s="115">
        <v>43941</v>
      </c>
      <c r="F7364" s="114">
        <v>202101</v>
      </c>
      <c r="G7364" s="112" t="s">
        <v>1091</v>
      </c>
      <c r="H7364" s="112" t="s">
        <v>1015</v>
      </c>
      <c r="I7364" s="112" t="s">
        <v>1605</v>
      </c>
      <c r="J7364" s="112" t="s">
        <v>5554</v>
      </c>
      <c r="K7364" s="112" t="s">
        <v>5556</v>
      </c>
      <c r="L7364" s="116">
        <v>10000</v>
      </c>
    </row>
    <row r="7365" spans="1:12" hidden="1" outlineLevel="1" collapsed="1" x14ac:dyDescent="0.35">
      <c r="A7365" s="112" t="s">
        <v>5553</v>
      </c>
      <c r="B7365" s="112" t="s">
        <v>927</v>
      </c>
      <c r="C7365" s="112" t="s">
        <v>1219</v>
      </c>
      <c r="D7365" s="113">
        <v>46307471</v>
      </c>
      <c r="E7365" s="115">
        <v>43941</v>
      </c>
      <c r="F7365" s="114">
        <v>202101</v>
      </c>
      <c r="G7365" s="112" t="s">
        <v>1091</v>
      </c>
      <c r="H7365" s="112" t="s">
        <v>1015</v>
      </c>
      <c r="I7365" s="112" t="s">
        <v>1605</v>
      </c>
      <c r="J7365" s="112" t="s">
        <v>5554</v>
      </c>
      <c r="K7365" s="112" t="s">
        <v>5555</v>
      </c>
      <c r="L7365" s="116">
        <v>25000</v>
      </c>
    </row>
    <row r="7366" spans="1:12" hidden="1" outlineLevel="1" collapsed="1" x14ac:dyDescent="0.35">
      <c r="A7366" s="112" t="s">
        <v>5553</v>
      </c>
      <c r="B7366" s="112" t="s">
        <v>927</v>
      </c>
      <c r="C7366" s="112" t="s">
        <v>1219</v>
      </c>
      <c r="D7366" s="113">
        <v>46307472</v>
      </c>
      <c r="E7366" s="115">
        <v>43941</v>
      </c>
      <c r="F7366" s="114">
        <v>202101</v>
      </c>
      <c r="G7366" s="112" t="s">
        <v>1091</v>
      </c>
      <c r="H7366" s="112" t="s">
        <v>1015</v>
      </c>
      <c r="I7366" s="112" t="s">
        <v>1605</v>
      </c>
      <c r="J7366" s="112" t="s">
        <v>5554</v>
      </c>
      <c r="K7366" s="112" t="s">
        <v>5555</v>
      </c>
      <c r="L7366" s="116">
        <v>25000</v>
      </c>
    </row>
    <row r="7367" spans="1:12" hidden="1" outlineLevel="1" collapsed="1" x14ac:dyDescent="0.35">
      <c r="A7367" s="112" t="s">
        <v>5553</v>
      </c>
      <c r="B7367" s="112" t="s">
        <v>927</v>
      </c>
      <c r="C7367" s="112" t="s">
        <v>1219</v>
      </c>
      <c r="D7367" s="113">
        <v>46307473</v>
      </c>
      <c r="E7367" s="115">
        <v>43941</v>
      </c>
      <c r="F7367" s="114">
        <v>202101</v>
      </c>
      <c r="G7367" s="112" t="s">
        <v>1091</v>
      </c>
      <c r="H7367" s="112" t="s">
        <v>1015</v>
      </c>
      <c r="I7367" s="112" t="s">
        <v>1605</v>
      </c>
      <c r="J7367" s="112" t="s">
        <v>5554</v>
      </c>
      <c r="K7367" s="112" t="s">
        <v>5555</v>
      </c>
      <c r="L7367" s="116">
        <v>25000</v>
      </c>
    </row>
    <row r="7368" spans="1:12" hidden="1" outlineLevel="1" collapsed="1" x14ac:dyDescent="0.35">
      <c r="A7368" s="112" t="s">
        <v>5553</v>
      </c>
      <c r="B7368" s="112" t="s">
        <v>927</v>
      </c>
      <c r="C7368" s="112" t="s">
        <v>1219</v>
      </c>
      <c r="D7368" s="113">
        <v>46307474</v>
      </c>
      <c r="E7368" s="115">
        <v>43941</v>
      </c>
      <c r="F7368" s="114">
        <v>202101</v>
      </c>
      <c r="G7368" s="112" t="s">
        <v>1091</v>
      </c>
      <c r="H7368" s="112" t="s">
        <v>1015</v>
      </c>
      <c r="I7368" s="112" t="s">
        <v>1605</v>
      </c>
      <c r="J7368" s="112" t="s">
        <v>5554</v>
      </c>
      <c r="K7368" s="112" t="s">
        <v>5555</v>
      </c>
      <c r="L7368" s="116">
        <v>10000</v>
      </c>
    </row>
    <row r="7369" spans="1:12" hidden="1" outlineLevel="1" collapsed="1" x14ac:dyDescent="0.35">
      <c r="A7369" s="112" t="s">
        <v>5553</v>
      </c>
      <c r="B7369" s="112" t="s">
        <v>927</v>
      </c>
      <c r="C7369" s="112" t="s">
        <v>1219</v>
      </c>
      <c r="D7369" s="113">
        <v>46307475</v>
      </c>
      <c r="E7369" s="115">
        <v>43941</v>
      </c>
      <c r="F7369" s="114">
        <v>202101</v>
      </c>
      <c r="G7369" s="112" t="s">
        <v>1091</v>
      </c>
      <c r="H7369" s="112" t="s">
        <v>1015</v>
      </c>
      <c r="I7369" s="112" t="s">
        <v>1605</v>
      </c>
      <c r="J7369" s="112" t="s">
        <v>5554</v>
      </c>
      <c r="K7369" s="112" t="s">
        <v>5555</v>
      </c>
      <c r="L7369" s="116">
        <v>25000</v>
      </c>
    </row>
    <row r="7370" spans="1:12" hidden="1" outlineLevel="1" collapsed="1" x14ac:dyDescent="0.35">
      <c r="A7370" s="112" t="s">
        <v>5553</v>
      </c>
      <c r="B7370" s="112" t="s">
        <v>927</v>
      </c>
      <c r="C7370" s="112" t="s">
        <v>1219</v>
      </c>
      <c r="D7370" s="113">
        <v>46307476</v>
      </c>
      <c r="E7370" s="115">
        <v>43941</v>
      </c>
      <c r="F7370" s="114">
        <v>202101</v>
      </c>
      <c r="G7370" s="112" t="s">
        <v>1091</v>
      </c>
      <c r="H7370" s="112" t="s">
        <v>1015</v>
      </c>
      <c r="I7370" s="112" t="s">
        <v>1605</v>
      </c>
      <c r="J7370" s="112" t="s">
        <v>5554</v>
      </c>
      <c r="K7370" s="112" t="s">
        <v>5556</v>
      </c>
      <c r="L7370" s="116">
        <v>10000</v>
      </c>
    </row>
    <row r="7371" spans="1:12" hidden="1" outlineLevel="1" collapsed="1" x14ac:dyDescent="0.35">
      <c r="A7371" s="112" t="s">
        <v>5553</v>
      </c>
      <c r="B7371" s="112" t="s">
        <v>927</v>
      </c>
      <c r="C7371" s="112" t="s">
        <v>1219</v>
      </c>
      <c r="D7371" s="113">
        <v>46307477</v>
      </c>
      <c r="E7371" s="115">
        <v>43941</v>
      </c>
      <c r="F7371" s="114">
        <v>202101</v>
      </c>
      <c r="G7371" s="112" t="s">
        <v>1091</v>
      </c>
      <c r="H7371" s="112" t="s">
        <v>1015</v>
      </c>
      <c r="I7371" s="112" t="s">
        <v>1605</v>
      </c>
      <c r="J7371" s="112" t="s">
        <v>5554</v>
      </c>
      <c r="K7371" s="112" t="s">
        <v>5555</v>
      </c>
      <c r="L7371" s="116">
        <v>25000</v>
      </c>
    </row>
    <row r="7372" spans="1:12" hidden="1" outlineLevel="1" collapsed="1" x14ac:dyDescent="0.35">
      <c r="A7372" s="112" t="s">
        <v>5553</v>
      </c>
      <c r="B7372" s="112" t="s">
        <v>927</v>
      </c>
      <c r="C7372" s="112" t="s">
        <v>1219</v>
      </c>
      <c r="D7372" s="113">
        <v>46307478</v>
      </c>
      <c r="E7372" s="115">
        <v>43941</v>
      </c>
      <c r="F7372" s="114">
        <v>202101</v>
      </c>
      <c r="G7372" s="112" t="s">
        <v>1091</v>
      </c>
      <c r="H7372" s="112" t="s">
        <v>1015</v>
      </c>
      <c r="I7372" s="112" t="s">
        <v>1605</v>
      </c>
      <c r="J7372" s="112" t="s">
        <v>5554</v>
      </c>
      <c r="K7372" s="112" t="s">
        <v>5556</v>
      </c>
      <c r="L7372" s="116">
        <v>10000</v>
      </c>
    </row>
    <row r="7373" spans="1:12" hidden="1" outlineLevel="1" collapsed="1" x14ac:dyDescent="0.35">
      <c r="A7373" s="112" t="s">
        <v>5553</v>
      </c>
      <c r="B7373" s="112" t="s">
        <v>927</v>
      </c>
      <c r="C7373" s="112" t="s">
        <v>1219</v>
      </c>
      <c r="D7373" s="113">
        <v>46307479</v>
      </c>
      <c r="E7373" s="115">
        <v>43941</v>
      </c>
      <c r="F7373" s="114">
        <v>202101</v>
      </c>
      <c r="G7373" s="112" t="s">
        <v>1091</v>
      </c>
      <c r="H7373" s="112" t="s">
        <v>1015</v>
      </c>
      <c r="I7373" s="112" t="s">
        <v>1605</v>
      </c>
      <c r="J7373" s="112" t="s">
        <v>5554</v>
      </c>
      <c r="K7373" s="112" t="s">
        <v>5555</v>
      </c>
      <c r="L7373" s="116">
        <v>25000</v>
      </c>
    </row>
    <row r="7374" spans="1:12" hidden="1" outlineLevel="1" collapsed="1" x14ac:dyDescent="0.35">
      <c r="A7374" s="112" t="s">
        <v>5553</v>
      </c>
      <c r="B7374" s="112" t="s">
        <v>927</v>
      </c>
      <c r="C7374" s="112" t="s">
        <v>1219</v>
      </c>
      <c r="D7374" s="113">
        <v>46307480</v>
      </c>
      <c r="E7374" s="115">
        <v>43941</v>
      </c>
      <c r="F7374" s="114">
        <v>202101</v>
      </c>
      <c r="G7374" s="112" t="s">
        <v>1091</v>
      </c>
      <c r="H7374" s="112" t="s">
        <v>1015</v>
      </c>
      <c r="I7374" s="112" t="s">
        <v>1605</v>
      </c>
      <c r="J7374" s="112" t="s">
        <v>5554</v>
      </c>
      <c r="K7374" s="112" t="s">
        <v>5556</v>
      </c>
      <c r="L7374" s="116">
        <v>10000</v>
      </c>
    </row>
    <row r="7375" spans="1:12" hidden="1" outlineLevel="1" collapsed="1" x14ac:dyDescent="0.35">
      <c r="A7375" s="112" t="s">
        <v>5553</v>
      </c>
      <c r="B7375" s="112" t="s">
        <v>927</v>
      </c>
      <c r="C7375" s="112" t="s">
        <v>1219</v>
      </c>
      <c r="D7375" s="113">
        <v>46307481</v>
      </c>
      <c r="E7375" s="115">
        <v>43941</v>
      </c>
      <c r="F7375" s="114">
        <v>202101</v>
      </c>
      <c r="G7375" s="112" t="s">
        <v>1091</v>
      </c>
      <c r="H7375" s="112" t="s">
        <v>1015</v>
      </c>
      <c r="I7375" s="112" t="s">
        <v>1605</v>
      </c>
      <c r="J7375" s="112" t="s">
        <v>5554</v>
      </c>
      <c r="K7375" s="112" t="s">
        <v>5556</v>
      </c>
      <c r="L7375" s="116">
        <v>10000</v>
      </c>
    </row>
    <row r="7376" spans="1:12" hidden="1" outlineLevel="1" collapsed="1" x14ac:dyDescent="0.35">
      <c r="A7376" s="112" t="s">
        <v>5553</v>
      </c>
      <c r="B7376" s="112" t="s">
        <v>927</v>
      </c>
      <c r="C7376" s="112" t="s">
        <v>1219</v>
      </c>
      <c r="D7376" s="113">
        <v>46307469</v>
      </c>
      <c r="E7376" s="115">
        <v>43941</v>
      </c>
      <c r="F7376" s="114">
        <v>202101</v>
      </c>
      <c r="G7376" s="112" t="s">
        <v>1091</v>
      </c>
      <c r="H7376" s="112" t="s">
        <v>1015</v>
      </c>
      <c r="I7376" s="112" t="s">
        <v>1605</v>
      </c>
      <c r="J7376" s="112" t="s">
        <v>5554</v>
      </c>
      <c r="K7376" s="112" t="s">
        <v>5555</v>
      </c>
      <c r="L7376" s="116">
        <v>10000</v>
      </c>
    </row>
    <row r="7377" spans="1:12" hidden="1" outlineLevel="1" collapsed="1" x14ac:dyDescent="0.35">
      <c r="A7377" s="112" t="s">
        <v>5553</v>
      </c>
      <c r="B7377" s="112" t="s">
        <v>927</v>
      </c>
      <c r="C7377" s="112" t="s">
        <v>1219</v>
      </c>
      <c r="D7377" s="113">
        <v>46307483</v>
      </c>
      <c r="E7377" s="115">
        <v>43941</v>
      </c>
      <c r="F7377" s="114">
        <v>202101</v>
      </c>
      <c r="G7377" s="112" t="s">
        <v>1091</v>
      </c>
      <c r="H7377" s="112" t="s">
        <v>1015</v>
      </c>
      <c r="I7377" s="112" t="s">
        <v>1605</v>
      </c>
      <c r="J7377" s="112" t="s">
        <v>5554</v>
      </c>
      <c r="K7377" s="112" t="s">
        <v>5555</v>
      </c>
      <c r="L7377" s="116">
        <v>25000</v>
      </c>
    </row>
    <row r="7378" spans="1:12" hidden="1" outlineLevel="1" collapsed="1" x14ac:dyDescent="0.35">
      <c r="A7378" s="112" t="s">
        <v>5553</v>
      </c>
      <c r="B7378" s="112" t="s">
        <v>927</v>
      </c>
      <c r="C7378" s="112" t="s">
        <v>1219</v>
      </c>
      <c r="D7378" s="113">
        <v>46307484</v>
      </c>
      <c r="E7378" s="115">
        <v>43941</v>
      </c>
      <c r="F7378" s="114">
        <v>202101</v>
      </c>
      <c r="G7378" s="112" t="s">
        <v>1091</v>
      </c>
      <c r="H7378" s="112" t="s">
        <v>1015</v>
      </c>
      <c r="I7378" s="112" t="s">
        <v>1605</v>
      </c>
      <c r="J7378" s="112" t="s">
        <v>5554</v>
      </c>
      <c r="K7378" s="112" t="s">
        <v>5555</v>
      </c>
      <c r="L7378" s="116">
        <v>25000</v>
      </c>
    </row>
    <row r="7379" spans="1:12" hidden="1" outlineLevel="1" collapsed="1" x14ac:dyDescent="0.35">
      <c r="A7379" s="112" t="s">
        <v>5553</v>
      </c>
      <c r="B7379" s="112" t="s">
        <v>927</v>
      </c>
      <c r="C7379" s="112" t="s">
        <v>1219</v>
      </c>
      <c r="D7379" s="113">
        <v>46307485</v>
      </c>
      <c r="E7379" s="115">
        <v>43941</v>
      </c>
      <c r="F7379" s="114">
        <v>202101</v>
      </c>
      <c r="G7379" s="112" t="s">
        <v>1091</v>
      </c>
      <c r="H7379" s="112" t="s">
        <v>1015</v>
      </c>
      <c r="I7379" s="112" t="s">
        <v>1605</v>
      </c>
      <c r="J7379" s="112" t="s">
        <v>5554</v>
      </c>
      <c r="K7379" s="112" t="s">
        <v>5556</v>
      </c>
      <c r="L7379" s="116">
        <v>10000</v>
      </c>
    </row>
    <row r="7380" spans="1:12" hidden="1" outlineLevel="1" collapsed="1" x14ac:dyDescent="0.35">
      <c r="A7380" s="112" t="s">
        <v>5553</v>
      </c>
      <c r="B7380" s="112" t="s">
        <v>5561</v>
      </c>
      <c r="C7380" s="112" t="s">
        <v>1095</v>
      </c>
      <c r="D7380" s="113">
        <v>10348451</v>
      </c>
      <c r="E7380" s="115">
        <v>43949</v>
      </c>
      <c r="F7380" s="114">
        <v>202101</v>
      </c>
      <c r="G7380" s="112" t="s">
        <v>1091</v>
      </c>
      <c r="H7380" s="112" t="s">
        <v>1015</v>
      </c>
      <c r="I7380" s="112" t="s">
        <v>1101</v>
      </c>
      <c r="J7380" s="112" t="s">
        <v>5562</v>
      </c>
      <c r="K7380" s="112" t="s">
        <v>1098</v>
      </c>
      <c r="L7380" s="116">
        <v>426.26</v>
      </c>
    </row>
    <row r="7381" spans="1:12" hidden="1" outlineLevel="1" collapsed="1" x14ac:dyDescent="0.35">
      <c r="A7381" s="112" t="s">
        <v>5553</v>
      </c>
      <c r="B7381" s="112" t="s">
        <v>924</v>
      </c>
      <c r="C7381" s="112" t="s">
        <v>695</v>
      </c>
      <c r="D7381" s="113">
        <v>10347981</v>
      </c>
      <c r="E7381" s="115">
        <v>43924</v>
      </c>
      <c r="F7381" s="114">
        <v>202101</v>
      </c>
      <c r="G7381" s="112" t="s">
        <v>1091</v>
      </c>
      <c r="H7381" s="112" t="s">
        <v>1015</v>
      </c>
      <c r="I7381" s="112" t="s">
        <v>1471</v>
      </c>
      <c r="J7381" s="112" t="s">
        <v>5558</v>
      </c>
      <c r="K7381" s="112" t="s">
        <v>5581</v>
      </c>
      <c r="L7381" s="116">
        <v>-1104.17</v>
      </c>
    </row>
    <row r="7382" spans="1:12" hidden="1" outlineLevel="1" collapsed="1" x14ac:dyDescent="0.35">
      <c r="A7382" s="112" t="s">
        <v>5553</v>
      </c>
      <c r="B7382" s="112" t="s">
        <v>924</v>
      </c>
      <c r="C7382" s="112" t="s">
        <v>1095</v>
      </c>
      <c r="D7382" s="113">
        <v>10348451</v>
      </c>
      <c r="E7382" s="115">
        <v>43949</v>
      </c>
      <c r="F7382" s="114">
        <v>202101</v>
      </c>
      <c r="G7382" s="112" t="s">
        <v>1091</v>
      </c>
      <c r="H7382" s="112" t="s">
        <v>1015</v>
      </c>
      <c r="I7382" s="112" t="s">
        <v>1101</v>
      </c>
      <c r="J7382" s="112" t="s">
        <v>5558</v>
      </c>
      <c r="K7382" s="112" t="s">
        <v>1098</v>
      </c>
      <c r="L7382" s="116">
        <v>562.66999999999996</v>
      </c>
    </row>
    <row r="7383" spans="1:12" hidden="1" outlineLevel="1" collapsed="1" x14ac:dyDescent="0.35">
      <c r="A7383" s="112" t="s">
        <v>5553</v>
      </c>
      <c r="B7383" s="112" t="s">
        <v>927</v>
      </c>
      <c r="C7383" s="112" t="s">
        <v>695</v>
      </c>
      <c r="D7383" s="113">
        <v>10347979</v>
      </c>
      <c r="E7383" s="115">
        <v>43924</v>
      </c>
      <c r="F7383" s="114">
        <v>202101</v>
      </c>
      <c r="G7383" s="112" t="s">
        <v>1091</v>
      </c>
      <c r="H7383" s="112" t="s">
        <v>1015</v>
      </c>
      <c r="I7383" s="112" t="s">
        <v>1536</v>
      </c>
      <c r="J7383" s="112" t="s">
        <v>5554</v>
      </c>
      <c r="K7383" s="112" t="s">
        <v>1698</v>
      </c>
      <c r="L7383" s="116">
        <v>-39</v>
      </c>
    </row>
    <row r="7384" spans="1:12" hidden="1" outlineLevel="1" collapsed="1" x14ac:dyDescent="0.35">
      <c r="A7384" s="112" t="s">
        <v>5553</v>
      </c>
      <c r="B7384" s="112" t="s">
        <v>927</v>
      </c>
      <c r="C7384" s="112" t="s">
        <v>1219</v>
      </c>
      <c r="D7384" s="113">
        <v>46306839</v>
      </c>
      <c r="E7384" s="115">
        <v>43924</v>
      </c>
      <c r="F7384" s="114">
        <v>202101</v>
      </c>
      <c r="G7384" s="112" t="s">
        <v>1091</v>
      </c>
      <c r="H7384" s="112" t="s">
        <v>1015</v>
      </c>
      <c r="I7384" s="112" t="s">
        <v>1605</v>
      </c>
      <c r="J7384" s="112" t="s">
        <v>5554</v>
      </c>
      <c r="K7384" s="112" t="s">
        <v>5556</v>
      </c>
      <c r="L7384" s="116">
        <v>25000</v>
      </c>
    </row>
    <row r="7385" spans="1:12" hidden="1" outlineLevel="1" collapsed="1" x14ac:dyDescent="0.35">
      <c r="A7385" s="112" t="s">
        <v>5553</v>
      </c>
      <c r="B7385" s="112" t="s">
        <v>927</v>
      </c>
      <c r="C7385" s="112" t="s">
        <v>1219</v>
      </c>
      <c r="D7385" s="113">
        <v>46306838</v>
      </c>
      <c r="E7385" s="115">
        <v>43924</v>
      </c>
      <c r="F7385" s="114">
        <v>202101</v>
      </c>
      <c r="G7385" s="112" t="s">
        <v>1091</v>
      </c>
      <c r="H7385" s="112" t="s">
        <v>1015</v>
      </c>
      <c r="I7385" s="112" t="s">
        <v>1605</v>
      </c>
      <c r="J7385" s="112" t="s">
        <v>5554</v>
      </c>
      <c r="K7385" s="112" t="s">
        <v>5556</v>
      </c>
      <c r="L7385" s="116">
        <v>25000</v>
      </c>
    </row>
    <row r="7386" spans="1:12" hidden="1" outlineLevel="1" collapsed="1" x14ac:dyDescent="0.35">
      <c r="A7386" s="112" t="s">
        <v>5553</v>
      </c>
      <c r="B7386" s="112" t="s">
        <v>927</v>
      </c>
      <c r="C7386" s="112" t="s">
        <v>1219</v>
      </c>
      <c r="D7386" s="113">
        <v>46306837</v>
      </c>
      <c r="E7386" s="115">
        <v>43924</v>
      </c>
      <c r="F7386" s="114">
        <v>202101</v>
      </c>
      <c r="G7386" s="112" t="s">
        <v>1091</v>
      </c>
      <c r="H7386" s="112" t="s">
        <v>1015</v>
      </c>
      <c r="I7386" s="112" t="s">
        <v>1605</v>
      </c>
      <c r="J7386" s="112" t="s">
        <v>5554</v>
      </c>
      <c r="K7386" s="112" t="s">
        <v>5556</v>
      </c>
      <c r="L7386" s="116">
        <v>10000</v>
      </c>
    </row>
    <row r="7387" spans="1:12" hidden="1" outlineLevel="1" collapsed="1" x14ac:dyDescent="0.35">
      <c r="A7387" s="112" t="s">
        <v>5553</v>
      </c>
      <c r="B7387" s="112" t="s">
        <v>927</v>
      </c>
      <c r="C7387" s="112" t="s">
        <v>1219</v>
      </c>
      <c r="D7387" s="113">
        <v>46306836</v>
      </c>
      <c r="E7387" s="115">
        <v>43924</v>
      </c>
      <c r="F7387" s="114">
        <v>202101</v>
      </c>
      <c r="G7387" s="112" t="s">
        <v>1091</v>
      </c>
      <c r="H7387" s="112" t="s">
        <v>1015</v>
      </c>
      <c r="I7387" s="112" t="s">
        <v>1605</v>
      </c>
      <c r="J7387" s="112" t="s">
        <v>5554</v>
      </c>
      <c r="K7387" s="112" t="s">
        <v>5580</v>
      </c>
      <c r="L7387" s="116">
        <v>10000</v>
      </c>
    </row>
    <row r="7388" spans="1:12" hidden="1" outlineLevel="1" collapsed="1" x14ac:dyDescent="0.35">
      <c r="A7388" s="112" t="s">
        <v>5553</v>
      </c>
      <c r="B7388" s="112" t="s">
        <v>927</v>
      </c>
      <c r="C7388" s="112" t="s">
        <v>1219</v>
      </c>
      <c r="D7388" s="113">
        <v>46306835</v>
      </c>
      <c r="E7388" s="115">
        <v>43924</v>
      </c>
      <c r="F7388" s="114">
        <v>202101</v>
      </c>
      <c r="G7388" s="112" t="s">
        <v>1091</v>
      </c>
      <c r="H7388" s="112" t="s">
        <v>1015</v>
      </c>
      <c r="I7388" s="112" t="s">
        <v>1605</v>
      </c>
      <c r="J7388" s="112" t="s">
        <v>5554</v>
      </c>
      <c r="K7388" s="112" t="s">
        <v>5556</v>
      </c>
      <c r="L7388" s="116">
        <v>10000</v>
      </c>
    </row>
    <row r="7389" spans="1:12" hidden="1" outlineLevel="1" collapsed="1" x14ac:dyDescent="0.35">
      <c r="A7389" s="112" t="s">
        <v>5553</v>
      </c>
      <c r="B7389" s="112" t="s">
        <v>927</v>
      </c>
      <c r="C7389" s="112" t="s">
        <v>1095</v>
      </c>
      <c r="D7389" s="113">
        <v>10348451</v>
      </c>
      <c r="E7389" s="115">
        <v>43949</v>
      </c>
      <c r="F7389" s="114">
        <v>202101</v>
      </c>
      <c r="G7389" s="112" t="s">
        <v>1091</v>
      </c>
      <c r="H7389" s="112" t="s">
        <v>1015</v>
      </c>
      <c r="I7389" s="112" t="s">
        <v>1096</v>
      </c>
      <c r="J7389" s="112" t="s">
        <v>5554</v>
      </c>
      <c r="K7389" s="112" t="s">
        <v>1098</v>
      </c>
      <c r="L7389" s="116">
        <v>210.79</v>
      </c>
    </row>
    <row r="7390" spans="1:12" hidden="1" outlineLevel="1" collapsed="1" x14ac:dyDescent="0.35">
      <c r="A7390" s="112" t="s">
        <v>5553</v>
      </c>
      <c r="B7390" s="112" t="s">
        <v>927</v>
      </c>
      <c r="C7390" s="112" t="s">
        <v>1219</v>
      </c>
      <c r="D7390" s="113">
        <v>46307468</v>
      </c>
      <c r="E7390" s="115">
        <v>43941</v>
      </c>
      <c r="F7390" s="114">
        <v>202101</v>
      </c>
      <c r="G7390" s="112" t="s">
        <v>1091</v>
      </c>
      <c r="H7390" s="112" t="s">
        <v>1015</v>
      </c>
      <c r="I7390" s="112" t="s">
        <v>1605</v>
      </c>
      <c r="J7390" s="112" t="s">
        <v>5554</v>
      </c>
      <c r="K7390" s="112" t="s">
        <v>5555</v>
      </c>
      <c r="L7390" s="116">
        <v>10000</v>
      </c>
    </row>
    <row r="7391" spans="1:12" hidden="1" outlineLevel="1" collapsed="1" x14ac:dyDescent="0.35">
      <c r="A7391" s="112" t="s">
        <v>5553</v>
      </c>
      <c r="B7391" s="112" t="s">
        <v>927</v>
      </c>
      <c r="C7391" s="112" t="s">
        <v>1219</v>
      </c>
      <c r="D7391" s="113">
        <v>46307409</v>
      </c>
      <c r="E7391" s="115">
        <v>43941</v>
      </c>
      <c r="F7391" s="114">
        <v>202101</v>
      </c>
      <c r="G7391" s="112" t="s">
        <v>1091</v>
      </c>
      <c r="H7391" s="112" t="s">
        <v>1015</v>
      </c>
      <c r="I7391" s="112" t="s">
        <v>1605</v>
      </c>
      <c r="J7391" s="112" t="s">
        <v>5554</v>
      </c>
      <c r="K7391" s="112" t="s">
        <v>5556</v>
      </c>
      <c r="L7391" s="116">
        <v>10000</v>
      </c>
    </row>
    <row r="7392" spans="1:12" hidden="1" outlineLevel="1" collapsed="1" x14ac:dyDescent="0.35">
      <c r="A7392" s="112" t="s">
        <v>5553</v>
      </c>
      <c r="B7392" s="112" t="s">
        <v>927</v>
      </c>
      <c r="C7392" s="112" t="s">
        <v>1219</v>
      </c>
      <c r="D7392" s="113">
        <v>46307305</v>
      </c>
      <c r="E7392" s="115">
        <v>43938</v>
      </c>
      <c r="F7392" s="114">
        <v>202101</v>
      </c>
      <c r="G7392" s="112" t="s">
        <v>1091</v>
      </c>
      <c r="H7392" s="112" t="s">
        <v>1015</v>
      </c>
      <c r="I7392" s="112" t="s">
        <v>1605</v>
      </c>
      <c r="J7392" s="112" t="s">
        <v>5554</v>
      </c>
      <c r="K7392" s="112" t="s">
        <v>5555</v>
      </c>
      <c r="L7392" s="116">
        <v>25000</v>
      </c>
    </row>
    <row r="7393" spans="1:12" hidden="1" outlineLevel="1" collapsed="1" x14ac:dyDescent="0.35">
      <c r="A7393" s="112" t="s">
        <v>5553</v>
      </c>
      <c r="B7393" s="112" t="s">
        <v>925</v>
      </c>
      <c r="C7393" s="112" t="s">
        <v>1095</v>
      </c>
      <c r="D7393" s="113">
        <v>10348451</v>
      </c>
      <c r="E7393" s="115">
        <v>43949</v>
      </c>
      <c r="F7393" s="114">
        <v>202101</v>
      </c>
      <c r="G7393" s="112" t="s">
        <v>1091</v>
      </c>
      <c r="H7393" s="112" t="s">
        <v>1015</v>
      </c>
      <c r="I7393" s="112" t="s">
        <v>1205</v>
      </c>
      <c r="J7393" s="112" t="s">
        <v>5559</v>
      </c>
      <c r="K7393" s="112" t="s">
        <v>1098</v>
      </c>
      <c r="L7393" s="116">
        <v>13</v>
      </c>
    </row>
    <row r="7394" spans="1:12" hidden="1" outlineLevel="1" collapsed="1" x14ac:dyDescent="0.35">
      <c r="A7394" s="112" t="s">
        <v>5553</v>
      </c>
      <c r="B7394" s="112" t="s">
        <v>924</v>
      </c>
      <c r="C7394" s="112" t="s">
        <v>695</v>
      </c>
      <c r="D7394" s="113">
        <v>10347981</v>
      </c>
      <c r="E7394" s="115">
        <v>43924</v>
      </c>
      <c r="F7394" s="114">
        <v>202101</v>
      </c>
      <c r="G7394" s="112" t="s">
        <v>1091</v>
      </c>
      <c r="H7394" s="112" t="s">
        <v>1015</v>
      </c>
      <c r="I7394" s="112" t="s">
        <v>1148</v>
      </c>
      <c r="J7394" s="112" t="s">
        <v>5558</v>
      </c>
      <c r="K7394" s="112" t="s">
        <v>5582</v>
      </c>
      <c r="L7394" s="116">
        <v>-295</v>
      </c>
    </row>
    <row r="7395" spans="1:12" hidden="1" outlineLevel="1" collapsed="1" x14ac:dyDescent="0.35">
      <c r="A7395" s="112" t="s">
        <v>5553</v>
      </c>
      <c r="B7395" s="112" t="s">
        <v>925</v>
      </c>
      <c r="C7395" s="112" t="s">
        <v>1095</v>
      </c>
      <c r="D7395" s="113">
        <v>10348451</v>
      </c>
      <c r="E7395" s="115">
        <v>43949</v>
      </c>
      <c r="F7395" s="114">
        <v>202101</v>
      </c>
      <c r="G7395" s="112" t="s">
        <v>1091</v>
      </c>
      <c r="H7395" s="112" t="s">
        <v>1015</v>
      </c>
      <c r="I7395" s="112" t="s">
        <v>1101</v>
      </c>
      <c r="J7395" s="112" t="s">
        <v>5559</v>
      </c>
      <c r="K7395" s="112" t="s">
        <v>1098</v>
      </c>
      <c r="L7395" s="116">
        <v>426.26</v>
      </c>
    </row>
    <row r="7396" spans="1:12" hidden="1" outlineLevel="1" collapsed="1" x14ac:dyDescent="0.35">
      <c r="A7396" s="112" t="s">
        <v>5553</v>
      </c>
      <c r="B7396" s="112" t="s">
        <v>5572</v>
      </c>
      <c r="C7396" s="112" t="s">
        <v>679</v>
      </c>
      <c r="D7396" s="113">
        <v>10348375</v>
      </c>
      <c r="E7396" s="115">
        <v>43942</v>
      </c>
      <c r="F7396" s="114">
        <v>202101</v>
      </c>
      <c r="G7396" s="112" t="s">
        <v>1091</v>
      </c>
      <c r="H7396" s="112" t="s">
        <v>1015</v>
      </c>
      <c r="I7396" s="112" t="s">
        <v>738</v>
      </c>
      <c r="J7396" s="112" t="s">
        <v>5583</v>
      </c>
      <c r="K7396" s="112" t="s">
        <v>706</v>
      </c>
      <c r="L7396" s="116">
        <v>6072.17</v>
      </c>
    </row>
    <row r="7397" spans="1:12" hidden="1" outlineLevel="1" collapsed="1" x14ac:dyDescent="0.35">
      <c r="A7397" s="112" t="s">
        <v>5553</v>
      </c>
      <c r="B7397" s="112" t="s">
        <v>5572</v>
      </c>
      <c r="C7397" s="112" t="s">
        <v>679</v>
      </c>
      <c r="D7397" s="113">
        <v>10348375</v>
      </c>
      <c r="E7397" s="115">
        <v>43942</v>
      </c>
      <c r="F7397" s="114">
        <v>202101</v>
      </c>
      <c r="G7397" s="112" t="s">
        <v>1091</v>
      </c>
      <c r="H7397" s="112" t="s">
        <v>1015</v>
      </c>
      <c r="I7397" s="112" t="s">
        <v>738</v>
      </c>
      <c r="J7397" s="112" t="s">
        <v>5583</v>
      </c>
      <c r="K7397" s="112" t="s">
        <v>5584</v>
      </c>
      <c r="L7397" s="116">
        <v>7136.54</v>
      </c>
    </row>
    <row r="7398" spans="1:12" hidden="1" outlineLevel="1" collapsed="1" x14ac:dyDescent="0.35">
      <c r="A7398" s="112" t="s">
        <v>5553</v>
      </c>
      <c r="B7398" s="112" t="s">
        <v>5572</v>
      </c>
      <c r="C7398" s="112" t="s">
        <v>679</v>
      </c>
      <c r="D7398" s="113">
        <v>10348375</v>
      </c>
      <c r="E7398" s="115">
        <v>43942</v>
      </c>
      <c r="F7398" s="114">
        <v>202101</v>
      </c>
      <c r="G7398" s="112" t="s">
        <v>1091</v>
      </c>
      <c r="H7398" s="112" t="s">
        <v>1015</v>
      </c>
      <c r="I7398" s="112" t="s">
        <v>738</v>
      </c>
      <c r="J7398" s="112" t="s">
        <v>5583</v>
      </c>
      <c r="K7398" s="112" t="s">
        <v>5585</v>
      </c>
      <c r="L7398" s="116">
        <v>3097.38</v>
      </c>
    </row>
    <row r="7399" spans="1:12" hidden="1" outlineLevel="1" collapsed="1" x14ac:dyDescent="0.35">
      <c r="A7399" s="112" t="s">
        <v>5553</v>
      </c>
      <c r="B7399" s="112" t="s">
        <v>5572</v>
      </c>
      <c r="C7399" s="112" t="s">
        <v>679</v>
      </c>
      <c r="D7399" s="113">
        <v>10348375</v>
      </c>
      <c r="E7399" s="115">
        <v>43942</v>
      </c>
      <c r="F7399" s="114">
        <v>202101</v>
      </c>
      <c r="G7399" s="112" t="s">
        <v>1091</v>
      </c>
      <c r="H7399" s="112" t="s">
        <v>1015</v>
      </c>
      <c r="I7399" s="112" t="s">
        <v>738</v>
      </c>
      <c r="J7399" s="112" t="s">
        <v>5583</v>
      </c>
      <c r="K7399" s="112" t="s">
        <v>5586</v>
      </c>
      <c r="L7399" s="116">
        <v>1065.6099999999999</v>
      </c>
    </row>
    <row r="7400" spans="1:12" hidden="1" outlineLevel="1" collapsed="1" x14ac:dyDescent="0.35">
      <c r="A7400" s="112" t="s">
        <v>5553</v>
      </c>
      <c r="B7400" s="112" t="s">
        <v>5572</v>
      </c>
      <c r="C7400" s="112" t="s">
        <v>679</v>
      </c>
      <c r="D7400" s="113">
        <v>10348375</v>
      </c>
      <c r="E7400" s="115">
        <v>43942</v>
      </c>
      <c r="F7400" s="114">
        <v>202101</v>
      </c>
      <c r="G7400" s="112" t="s">
        <v>1091</v>
      </c>
      <c r="H7400" s="112" t="s">
        <v>1015</v>
      </c>
      <c r="I7400" s="112" t="s">
        <v>738</v>
      </c>
      <c r="J7400" s="112" t="s">
        <v>5583</v>
      </c>
      <c r="K7400" s="112" t="s">
        <v>5587</v>
      </c>
      <c r="L7400" s="116">
        <v>587.03</v>
      </c>
    </row>
    <row r="7401" spans="1:12" hidden="1" outlineLevel="1" collapsed="1" x14ac:dyDescent="0.35">
      <c r="A7401" s="112" t="s">
        <v>5553</v>
      </c>
      <c r="B7401" s="112" t="s">
        <v>5572</v>
      </c>
      <c r="C7401" s="112" t="s">
        <v>679</v>
      </c>
      <c r="D7401" s="113">
        <v>10348375</v>
      </c>
      <c r="E7401" s="115">
        <v>43942</v>
      </c>
      <c r="F7401" s="114">
        <v>202101</v>
      </c>
      <c r="G7401" s="112" t="s">
        <v>1091</v>
      </c>
      <c r="H7401" s="112" t="s">
        <v>1015</v>
      </c>
      <c r="I7401" s="112" t="s">
        <v>738</v>
      </c>
      <c r="J7401" s="112" t="s">
        <v>5583</v>
      </c>
      <c r="K7401" s="112" t="s">
        <v>5588</v>
      </c>
      <c r="L7401" s="116">
        <v>521.36</v>
      </c>
    </row>
    <row r="7402" spans="1:12" hidden="1" outlineLevel="1" collapsed="1" x14ac:dyDescent="0.35">
      <c r="A7402" s="112" t="s">
        <v>5553</v>
      </c>
      <c r="B7402" s="112" t="s">
        <v>5572</v>
      </c>
      <c r="C7402" s="112" t="s">
        <v>679</v>
      </c>
      <c r="D7402" s="113">
        <v>10348375</v>
      </c>
      <c r="E7402" s="115">
        <v>43942</v>
      </c>
      <c r="F7402" s="114">
        <v>202101</v>
      </c>
      <c r="G7402" s="112" t="s">
        <v>1091</v>
      </c>
      <c r="H7402" s="112" t="s">
        <v>1015</v>
      </c>
      <c r="I7402" s="112" t="s">
        <v>738</v>
      </c>
      <c r="J7402" s="112" t="s">
        <v>5583</v>
      </c>
      <c r="K7402" s="112" t="s">
        <v>5589</v>
      </c>
      <c r="L7402" s="116">
        <v>432.98</v>
      </c>
    </row>
    <row r="7403" spans="1:12" hidden="1" outlineLevel="1" collapsed="1" x14ac:dyDescent="0.35">
      <c r="A7403" s="112" t="s">
        <v>5553</v>
      </c>
      <c r="B7403" s="112" t="s">
        <v>5572</v>
      </c>
      <c r="C7403" s="112" t="s">
        <v>679</v>
      </c>
      <c r="D7403" s="113">
        <v>10348375</v>
      </c>
      <c r="E7403" s="115">
        <v>43942</v>
      </c>
      <c r="F7403" s="114">
        <v>202101</v>
      </c>
      <c r="G7403" s="112" t="s">
        <v>1091</v>
      </c>
      <c r="H7403" s="112" t="s">
        <v>1015</v>
      </c>
      <c r="I7403" s="112" t="s">
        <v>738</v>
      </c>
      <c r="J7403" s="112" t="s">
        <v>5583</v>
      </c>
      <c r="K7403" s="112" t="s">
        <v>5590</v>
      </c>
      <c r="L7403" s="116">
        <v>259.82</v>
      </c>
    </row>
    <row r="7404" spans="1:12" hidden="1" outlineLevel="1" collapsed="1" x14ac:dyDescent="0.35">
      <c r="A7404" s="112" t="s">
        <v>5553</v>
      </c>
      <c r="B7404" s="112" t="s">
        <v>926</v>
      </c>
      <c r="C7404" s="112" t="s">
        <v>1095</v>
      </c>
      <c r="D7404" s="113">
        <v>10348451</v>
      </c>
      <c r="E7404" s="115">
        <v>43949</v>
      </c>
      <c r="F7404" s="114">
        <v>202101</v>
      </c>
      <c r="G7404" s="112" t="s">
        <v>1091</v>
      </c>
      <c r="H7404" s="112" t="s">
        <v>1015</v>
      </c>
      <c r="I7404" s="112" t="s">
        <v>1205</v>
      </c>
      <c r="J7404" s="112" t="s">
        <v>5591</v>
      </c>
      <c r="K7404" s="112" t="s">
        <v>1098</v>
      </c>
      <c r="L7404" s="116">
        <v>76.72</v>
      </c>
    </row>
    <row r="7405" spans="1:12" hidden="1" outlineLevel="1" collapsed="1" x14ac:dyDescent="0.35">
      <c r="A7405" s="112" t="s">
        <v>5553</v>
      </c>
      <c r="B7405" s="112" t="s">
        <v>925</v>
      </c>
      <c r="C7405" s="112" t="s">
        <v>1095</v>
      </c>
      <c r="D7405" s="113">
        <v>10348451</v>
      </c>
      <c r="E7405" s="115">
        <v>43949</v>
      </c>
      <c r="F7405" s="114">
        <v>202101</v>
      </c>
      <c r="G7405" s="112" t="s">
        <v>1091</v>
      </c>
      <c r="H7405" s="112" t="s">
        <v>1015</v>
      </c>
      <c r="I7405" s="112" t="s">
        <v>1205</v>
      </c>
      <c r="J7405" s="112" t="s">
        <v>5559</v>
      </c>
      <c r="K7405" s="112" t="s">
        <v>1098</v>
      </c>
      <c r="L7405" s="116">
        <v>114.58</v>
      </c>
    </row>
    <row r="7406" spans="1:12" hidden="1" outlineLevel="1" collapsed="1" x14ac:dyDescent="0.35">
      <c r="A7406" s="112" t="s">
        <v>5553</v>
      </c>
      <c r="B7406" s="112" t="s">
        <v>927</v>
      </c>
      <c r="C7406" s="112" t="s">
        <v>1219</v>
      </c>
      <c r="D7406" s="113">
        <v>46307560</v>
      </c>
      <c r="E7406" s="115">
        <v>43942</v>
      </c>
      <c r="F7406" s="114">
        <v>202101</v>
      </c>
      <c r="G7406" s="112" t="s">
        <v>1091</v>
      </c>
      <c r="H7406" s="112" t="s">
        <v>1015</v>
      </c>
      <c r="I7406" s="112" t="s">
        <v>1605</v>
      </c>
      <c r="J7406" s="112" t="s">
        <v>5554</v>
      </c>
      <c r="K7406" s="112" t="s">
        <v>5555</v>
      </c>
      <c r="L7406" s="116">
        <v>25000</v>
      </c>
    </row>
    <row r="7407" spans="1:12" hidden="1" outlineLevel="1" collapsed="1" x14ac:dyDescent="0.35">
      <c r="A7407" s="112" t="s">
        <v>5553</v>
      </c>
      <c r="B7407" s="112" t="s">
        <v>927</v>
      </c>
      <c r="C7407" s="112" t="s">
        <v>1095</v>
      </c>
      <c r="D7407" s="113">
        <v>10348451</v>
      </c>
      <c r="E7407" s="115">
        <v>43949</v>
      </c>
      <c r="F7407" s="114">
        <v>202101</v>
      </c>
      <c r="G7407" s="112" t="s">
        <v>1091</v>
      </c>
      <c r="H7407" s="112" t="s">
        <v>1015</v>
      </c>
      <c r="I7407" s="112" t="s">
        <v>1205</v>
      </c>
      <c r="J7407" s="112" t="s">
        <v>5557</v>
      </c>
      <c r="K7407" s="112" t="s">
        <v>1098</v>
      </c>
      <c r="L7407" s="116">
        <v>18</v>
      </c>
    </row>
    <row r="7408" spans="1:12" hidden="1" outlineLevel="1" collapsed="1" x14ac:dyDescent="0.35">
      <c r="A7408" s="112" t="s">
        <v>5553</v>
      </c>
      <c r="B7408" s="112" t="s">
        <v>927</v>
      </c>
      <c r="C7408" s="112" t="s">
        <v>1095</v>
      </c>
      <c r="D7408" s="113">
        <v>10348451</v>
      </c>
      <c r="E7408" s="115">
        <v>43949</v>
      </c>
      <c r="F7408" s="114">
        <v>202101</v>
      </c>
      <c r="G7408" s="112" t="s">
        <v>1091</v>
      </c>
      <c r="H7408" s="112" t="s">
        <v>1015</v>
      </c>
      <c r="I7408" s="112" t="s">
        <v>1205</v>
      </c>
      <c r="J7408" s="112" t="s">
        <v>5557</v>
      </c>
      <c r="K7408" s="112" t="s">
        <v>1098</v>
      </c>
      <c r="L7408" s="116">
        <v>18</v>
      </c>
    </row>
    <row r="7409" spans="1:12" hidden="1" outlineLevel="1" collapsed="1" x14ac:dyDescent="0.35">
      <c r="A7409" s="112" t="s">
        <v>5553</v>
      </c>
      <c r="B7409" s="112" t="s">
        <v>927</v>
      </c>
      <c r="C7409" s="112" t="s">
        <v>1095</v>
      </c>
      <c r="D7409" s="113">
        <v>10348451</v>
      </c>
      <c r="E7409" s="115">
        <v>43949</v>
      </c>
      <c r="F7409" s="114">
        <v>202101</v>
      </c>
      <c r="G7409" s="112" t="s">
        <v>1091</v>
      </c>
      <c r="H7409" s="112" t="s">
        <v>1015</v>
      </c>
      <c r="I7409" s="112" t="s">
        <v>1205</v>
      </c>
      <c r="J7409" s="112" t="s">
        <v>5557</v>
      </c>
      <c r="K7409" s="112" t="s">
        <v>1098</v>
      </c>
      <c r="L7409" s="116">
        <v>18</v>
      </c>
    </row>
    <row r="7410" spans="1:12" hidden="1" outlineLevel="1" collapsed="1" x14ac:dyDescent="0.35">
      <c r="A7410" s="112" t="s">
        <v>5553</v>
      </c>
      <c r="B7410" s="112" t="s">
        <v>927</v>
      </c>
      <c r="C7410" s="112" t="s">
        <v>1095</v>
      </c>
      <c r="D7410" s="113">
        <v>10348451</v>
      </c>
      <c r="E7410" s="115">
        <v>43949</v>
      </c>
      <c r="F7410" s="114">
        <v>202101</v>
      </c>
      <c r="G7410" s="112" t="s">
        <v>1091</v>
      </c>
      <c r="H7410" s="112" t="s">
        <v>1015</v>
      </c>
      <c r="I7410" s="112" t="s">
        <v>1205</v>
      </c>
      <c r="J7410" s="112" t="s">
        <v>5557</v>
      </c>
      <c r="K7410" s="112" t="s">
        <v>1098</v>
      </c>
      <c r="L7410" s="116">
        <v>18</v>
      </c>
    </row>
    <row r="7411" spans="1:12" hidden="1" outlineLevel="1" collapsed="1" x14ac:dyDescent="0.35">
      <c r="A7411" s="112" t="s">
        <v>5553</v>
      </c>
      <c r="B7411" s="112" t="s">
        <v>927</v>
      </c>
      <c r="C7411" s="112" t="s">
        <v>1095</v>
      </c>
      <c r="D7411" s="113">
        <v>10348451</v>
      </c>
      <c r="E7411" s="115">
        <v>43949</v>
      </c>
      <c r="F7411" s="114">
        <v>202101</v>
      </c>
      <c r="G7411" s="112" t="s">
        <v>1091</v>
      </c>
      <c r="H7411" s="112" t="s">
        <v>1015</v>
      </c>
      <c r="I7411" s="112" t="s">
        <v>1205</v>
      </c>
      <c r="J7411" s="112" t="s">
        <v>5557</v>
      </c>
      <c r="K7411" s="112" t="s">
        <v>1098</v>
      </c>
      <c r="L7411" s="116">
        <v>18</v>
      </c>
    </row>
    <row r="7412" spans="1:12" hidden="1" outlineLevel="1" collapsed="1" x14ac:dyDescent="0.35">
      <c r="A7412" s="112" t="s">
        <v>5553</v>
      </c>
      <c r="B7412" s="112" t="s">
        <v>924</v>
      </c>
      <c r="C7412" s="112" t="s">
        <v>1095</v>
      </c>
      <c r="D7412" s="113">
        <v>10348451</v>
      </c>
      <c r="E7412" s="115">
        <v>43949</v>
      </c>
      <c r="F7412" s="114">
        <v>202101</v>
      </c>
      <c r="G7412" s="112" t="s">
        <v>1091</v>
      </c>
      <c r="H7412" s="112" t="s">
        <v>1015</v>
      </c>
      <c r="I7412" s="112" t="s">
        <v>1128</v>
      </c>
      <c r="J7412" s="112" t="s">
        <v>5558</v>
      </c>
      <c r="K7412" s="112" t="s">
        <v>1098</v>
      </c>
      <c r="L7412" s="116">
        <v>243</v>
      </c>
    </row>
    <row r="7413" spans="1:12" hidden="1" outlineLevel="1" collapsed="1" x14ac:dyDescent="0.35">
      <c r="A7413" s="112" t="s">
        <v>5553</v>
      </c>
      <c r="B7413" s="112" t="s">
        <v>927</v>
      </c>
      <c r="C7413" s="112" t="s">
        <v>1219</v>
      </c>
      <c r="D7413" s="113">
        <v>46306780</v>
      </c>
      <c r="E7413" s="115">
        <v>43922</v>
      </c>
      <c r="F7413" s="114">
        <v>202101</v>
      </c>
      <c r="G7413" s="112" t="s">
        <v>1091</v>
      </c>
      <c r="H7413" s="112" t="s">
        <v>1015</v>
      </c>
      <c r="I7413" s="112" t="s">
        <v>1605</v>
      </c>
      <c r="J7413" s="112" t="s">
        <v>5554</v>
      </c>
      <c r="K7413" s="112" t="s">
        <v>5556</v>
      </c>
      <c r="L7413" s="116">
        <v>10000</v>
      </c>
    </row>
    <row r="7414" spans="1:12" hidden="1" outlineLevel="1" collapsed="1" x14ac:dyDescent="0.35">
      <c r="A7414" s="112" t="s">
        <v>5553</v>
      </c>
      <c r="B7414" s="112" t="s">
        <v>927</v>
      </c>
      <c r="C7414" s="112" t="s">
        <v>1219</v>
      </c>
      <c r="D7414" s="113">
        <v>46306781</v>
      </c>
      <c r="E7414" s="115">
        <v>43922</v>
      </c>
      <c r="F7414" s="114">
        <v>202101</v>
      </c>
      <c r="G7414" s="112" t="s">
        <v>1091</v>
      </c>
      <c r="H7414" s="112" t="s">
        <v>1015</v>
      </c>
      <c r="I7414" s="112" t="s">
        <v>1605</v>
      </c>
      <c r="J7414" s="112" t="s">
        <v>5554</v>
      </c>
      <c r="K7414" s="112" t="s">
        <v>5556</v>
      </c>
      <c r="L7414" s="116">
        <v>10000</v>
      </c>
    </row>
    <row r="7415" spans="1:12" hidden="1" outlineLevel="1" collapsed="1" x14ac:dyDescent="0.35">
      <c r="A7415" s="112" t="s">
        <v>5553</v>
      </c>
      <c r="B7415" s="112" t="s">
        <v>927</v>
      </c>
      <c r="C7415" s="112" t="s">
        <v>1219</v>
      </c>
      <c r="D7415" s="113">
        <v>46306782</v>
      </c>
      <c r="E7415" s="115">
        <v>43922</v>
      </c>
      <c r="F7415" s="114">
        <v>202101</v>
      </c>
      <c r="G7415" s="112" t="s">
        <v>1091</v>
      </c>
      <c r="H7415" s="112" t="s">
        <v>1015</v>
      </c>
      <c r="I7415" s="112" t="s">
        <v>1605</v>
      </c>
      <c r="J7415" s="112" t="s">
        <v>5554</v>
      </c>
      <c r="K7415" s="112" t="s">
        <v>5556</v>
      </c>
      <c r="L7415" s="116">
        <v>10000</v>
      </c>
    </row>
    <row r="7416" spans="1:12" hidden="1" outlineLevel="1" collapsed="1" x14ac:dyDescent="0.35">
      <c r="A7416" s="112" t="s">
        <v>5553</v>
      </c>
      <c r="B7416" s="112" t="s">
        <v>927</v>
      </c>
      <c r="C7416" s="112" t="s">
        <v>1219</v>
      </c>
      <c r="D7416" s="113">
        <v>46306783</v>
      </c>
      <c r="E7416" s="115">
        <v>43922</v>
      </c>
      <c r="F7416" s="114">
        <v>202101</v>
      </c>
      <c r="G7416" s="112" t="s">
        <v>1091</v>
      </c>
      <c r="H7416" s="112" t="s">
        <v>1015</v>
      </c>
      <c r="I7416" s="112" t="s">
        <v>1605</v>
      </c>
      <c r="J7416" s="112" t="s">
        <v>5554</v>
      </c>
      <c r="K7416" s="112" t="s">
        <v>5556</v>
      </c>
      <c r="L7416" s="116">
        <v>10000</v>
      </c>
    </row>
    <row r="7417" spans="1:12" hidden="1" outlineLevel="1" collapsed="1" x14ac:dyDescent="0.35">
      <c r="A7417" s="112" t="s">
        <v>5553</v>
      </c>
      <c r="B7417" s="112" t="s">
        <v>927</v>
      </c>
      <c r="C7417" s="112" t="s">
        <v>1219</v>
      </c>
      <c r="D7417" s="113">
        <v>46306784</v>
      </c>
      <c r="E7417" s="115">
        <v>43922</v>
      </c>
      <c r="F7417" s="114">
        <v>202101</v>
      </c>
      <c r="G7417" s="112" t="s">
        <v>1091</v>
      </c>
      <c r="H7417" s="112" t="s">
        <v>1015</v>
      </c>
      <c r="I7417" s="112" t="s">
        <v>1605</v>
      </c>
      <c r="J7417" s="112" t="s">
        <v>5554</v>
      </c>
      <c r="K7417" s="112" t="s">
        <v>5556</v>
      </c>
      <c r="L7417" s="116">
        <v>10000</v>
      </c>
    </row>
    <row r="7418" spans="1:12" hidden="1" outlineLevel="1" collapsed="1" x14ac:dyDescent="0.35">
      <c r="A7418" s="112" t="s">
        <v>5553</v>
      </c>
      <c r="B7418" s="112" t="s">
        <v>925</v>
      </c>
      <c r="C7418" s="112" t="s">
        <v>695</v>
      </c>
      <c r="D7418" s="113">
        <v>10347981</v>
      </c>
      <c r="E7418" s="115">
        <v>43924</v>
      </c>
      <c r="F7418" s="114">
        <v>202101</v>
      </c>
      <c r="G7418" s="112" t="s">
        <v>1091</v>
      </c>
      <c r="H7418" s="112" t="s">
        <v>1015</v>
      </c>
      <c r="I7418" s="112" t="s">
        <v>1102</v>
      </c>
      <c r="J7418" s="112" t="s">
        <v>5559</v>
      </c>
      <c r="K7418" s="112" t="s">
        <v>5592</v>
      </c>
      <c r="L7418" s="116">
        <v>-400</v>
      </c>
    </row>
    <row r="7419" spans="1:12" hidden="1" outlineLevel="1" collapsed="1" x14ac:dyDescent="0.35">
      <c r="A7419" s="112" t="s">
        <v>5553</v>
      </c>
      <c r="B7419" s="112" t="s">
        <v>927</v>
      </c>
      <c r="C7419" s="112" t="s">
        <v>1099</v>
      </c>
      <c r="D7419" s="113">
        <v>1069338</v>
      </c>
      <c r="E7419" s="115">
        <v>43921</v>
      </c>
      <c r="F7419" s="114">
        <v>202101</v>
      </c>
      <c r="G7419" s="112" t="s">
        <v>1091</v>
      </c>
      <c r="H7419" s="112" t="s">
        <v>1015</v>
      </c>
      <c r="I7419" s="112" t="s">
        <v>4453</v>
      </c>
      <c r="J7419" s="112" t="s">
        <v>5557</v>
      </c>
      <c r="K7419" s="112" t="s">
        <v>5593</v>
      </c>
      <c r="L7419" s="116">
        <v>360</v>
      </c>
    </row>
    <row r="7420" spans="1:12" hidden="1" outlineLevel="1" collapsed="1" x14ac:dyDescent="0.35">
      <c r="A7420" s="112" t="s">
        <v>5553</v>
      </c>
      <c r="B7420" s="112" t="s">
        <v>927</v>
      </c>
      <c r="C7420" s="112" t="s">
        <v>1219</v>
      </c>
      <c r="D7420" s="113">
        <v>46307559</v>
      </c>
      <c r="E7420" s="115">
        <v>43942</v>
      </c>
      <c r="F7420" s="114">
        <v>202101</v>
      </c>
      <c r="G7420" s="112" t="s">
        <v>1091</v>
      </c>
      <c r="H7420" s="112" t="s">
        <v>1015</v>
      </c>
      <c r="I7420" s="112" t="s">
        <v>1605</v>
      </c>
      <c r="J7420" s="112" t="s">
        <v>5554</v>
      </c>
      <c r="K7420" s="112" t="s">
        <v>5556</v>
      </c>
      <c r="L7420" s="116">
        <v>10000</v>
      </c>
    </row>
    <row r="7421" spans="1:12" hidden="1" outlineLevel="1" collapsed="1" x14ac:dyDescent="0.35">
      <c r="A7421" s="112" t="s">
        <v>5553</v>
      </c>
      <c r="B7421" s="112" t="s">
        <v>927</v>
      </c>
      <c r="C7421" s="112" t="s">
        <v>1095</v>
      </c>
      <c r="D7421" s="113">
        <v>10348451</v>
      </c>
      <c r="E7421" s="115">
        <v>43949</v>
      </c>
      <c r="F7421" s="114">
        <v>202101</v>
      </c>
      <c r="G7421" s="112" t="s">
        <v>1091</v>
      </c>
      <c r="H7421" s="112" t="s">
        <v>1015</v>
      </c>
      <c r="I7421" s="112" t="s">
        <v>1205</v>
      </c>
      <c r="J7421" s="112" t="s">
        <v>5557</v>
      </c>
      <c r="K7421" s="112" t="s">
        <v>1098</v>
      </c>
      <c r="L7421" s="116">
        <v>18</v>
      </c>
    </row>
    <row r="7422" spans="1:12" hidden="1" outlineLevel="1" collapsed="1" x14ac:dyDescent="0.35">
      <c r="A7422" s="112" t="s">
        <v>5553</v>
      </c>
      <c r="B7422" s="112" t="s">
        <v>927</v>
      </c>
      <c r="C7422" s="112" t="s">
        <v>1219</v>
      </c>
      <c r="D7422" s="113">
        <v>46307545</v>
      </c>
      <c r="E7422" s="115">
        <v>43942</v>
      </c>
      <c r="F7422" s="114">
        <v>202101</v>
      </c>
      <c r="G7422" s="112" t="s">
        <v>1091</v>
      </c>
      <c r="H7422" s="112" t="s">
        <v>1015</v>
      </c>
      <c r="I7422" s="112" t="s">
        <v>1605</v>
      </c>
      <c r="J7422" s="112" t="s">
        <v>5554</v>
      </c>
      <c r="K7422" s="112" t="s">
        <v>5555</v>
      </c>
      <c r="L7422" s="116">
        <v>10000</v>
      </c>
    </row>
    <row r="7423" spans="1:12" hidden="1" outlineLevel="1" collapsed="1" x14ac:dyDescent="0.35">
      <c r="A7423" s="112" t="s">
        <v>5553</v>
      </c>
      <c r="B7423" s="112" t="s">
        <v>927</v>
      </c>
      <c r="C7423" s="112" t="s">
        <v>1219</v>
      </c>
      <c r="D7423" s="113">
        <v>46307533</v>
      </c>
      <c r="E7423" s="115">
        <v>43942</v>
      </c>
      <c r="F7423" s="114">
        <v>202101</v>
      </c>
      <c r="G7423" s="112" t="s">
        <v>1091</v>
      </c>
      <c r="H7423" s="112" t="s">
        <v>1015</v>
      </c>
      <c r="I7423" s="112" t="s">
        <v>1605</v>
      </c>
      <c r="J7423" s="112" t="s">
        <v>5554</v>
      </c>
      <c r="K7423" s="112" t="s">
        <v>5556</v>
      </c>
      <c r="L7423" s="116">
        <v>10000</v>
      </c>
    </row>
    <row r="7424" spans="1:12" hidden="1" outlineLevel="1" collapsed="1" x14ac:dyDescent="0.35">
      <c r="A7424" s="112" t="s">
        <v>5553</v>
      </c>
      <c r="B7424" s="112" t="s">
        <v>927</v>
      </c>
      <c r="C7424" s="112" t="s">
        <v>1219</v>
      </c>
      <c r="D7424" s="113">
        <v>46307534</v>
      </c>
      <c r="E7424" s="115">
        <v>43942</v>
      </c>
      <c r="F7424" s="114">
        <v>202101</v>
      </c>
      <c r="G7424" s="112" t="s">
        <v>1091</v>
      </c>
      <c r="H7424" s="112" t="s">
        <v>1015</v>
      </c>
      <c r="I7424" s="112" t="s">
        <v>1605</v>
      </c>
      <c r="J7424" s="112" t="s">
        <v>5554</v>
      </c>
      <c r="K7424" s="112" t="s">
        <v>5555</v>
      </c>
      <c r="L7424" s="116">
        <v>25000</v>
      </c>
    </row>
    <row r="7425" spans="1:12" hidden="1" outlineLevel="1" collapsed="1" x14ac:dyDescent="0.35">
      <c r="A7425" s="112" t="s">
        <v>5553</v>
      </c>
      <c r="B7425" s="112" t="s">
        <v>927</v>
      </c>
      <c r="C7425" s="112" t="s">
        <v>1219</v>
      </c>
      <c r="D7425" s="113">
        <v>46307535</v>
      </c>
      <c r="E7425" s="115">
        <v>43942</v>
      </c>
      <c r="F7425" s="114">
        <v>202101</v>
      </c>
      <c r="G7425" s="112" t="s">
        <v>1091</v>
      </c>
      <c r="H7425" s="112" t="s">
        <v>1015</v>
      </c>
      <c r="I7425" s="112" t="s">
        <v>1605</v>
      </c>
      <c r="J7425" s="112" t="s">
        <v>5554</v>
      </c>
      <c r="K7425" s="112" t="s">
        <v>5556</v>
      </c>
      <c r="L7425" s="116">
        <v>10000</v>
      </c>
    </row>
    <row r="7426" spans="1:12" hidden="1" outlineLevel="1" collapsed="1" x14ac:dyDescent="0.35">
      <c r="A7426" s="112" t="s">
        <v>5553</v>
      </c>
      <c r="B7426" s="112" t="s">
        <v>927</v>
      </c>
      <c r="C7426" s="112" t="s">
        <v>1219</v>
      </c>
      <c r="D7426" s="113">
        <v>46307536</v>
      </c>
      <c r="E7426" s="115">
        <v>43942</v>
      </c>
      <c r="F7426" s="114">
        <v>202101</v>
      </c>
      <c r="G7426" s="112" t="s">
        <v>1091</v>
      </c>
      <c r="H7426" s="112" t="s">
        <v>1015</v>
      </c>
      <c r="I7426" s="112" t="s">
        <v>1605</v>
      </c>
      <c r="J7426" s="112" t="s">
        <v>5554</v>
      </c>
      <c r="K7426" s="112" t="s">
        <v>5555</v>
      </c>
      <c r="L7426" s="116">
        <v>10000</v>
      </c>
    </row>
    <row r="7427" spans="1:12" hidden="1" outlineLevel="1" collapsed="1" x14ac:dyDescent="0.35">
      <c r="A7427" s="112" t="s">
        <v>5553</v>
      </c>
      <c r="B7427" s="112" t="s">
        <v>927</v>
      </c>
      <c r="C7427" s="112" t="s">
        <v>1219</v>
      </c>
      <c r="D7427" s="113">
        <v>46307537</v>
      </c>
      <c r="E7427" s="115">
        <v>43942</v>
      </c>
      <c r="F7427" s="114">
        <v>202101</v>
      </c>
      <c r="G7427" s="112" t="s">
        <v>1091</v>
      </c>
      <c r="H7427" s="112" t="s">
        <v>1015</v>
      </c>
      <c r="I7427" s="112" t="s">
        <v>1605</v>
      </c>
      <c r="J7427" s="112" t="s">
        <v>5554</v>
      </c>
      <c r="K7427" s="112" t="s">
        <v>5555</v>
      </c>
      <c r="L7427" s="116">
        <v>25000</v>
      </c>
    </row>
    <row r="7428" spans="1:12" hidden="1" outlineLevel="1" collapsed="1" x14ac:dyDescent="0.35">
      <c r="A7428" s="112" t="s">
        <v>5553</v>
      </c>
      <c r="B7428" s="112" t="s">
        <v>927</v>
      </c>
      <c r="C7428" s="112" t="s">
        <v>1219</v>
      </c>
      <c r="D7428" s="113">
        <v>46307538</v>
      </c>
      <c r="E7428" s="115">
        <v>43942</v>
      </c>
      <c r="F7428" s="114">
        <v>202101</v>
      </c>
      <c r="G7428" s="112" t="s">
        <v>1091</v>
      </c>
      <c r="H7428" s="112" t="s">
        <v>1015</v>
      </c>
      <c r="I7428" s="112" t="s">
        <v>1605</v>
      </c>
      <c r="J7428" s="112" t="s">
        <v>5554</v>
      </c>
      <c r="K7428" s="112" t="s">
        <v>5556</v>
      </c>
      <c r="L7428" s="116">
        <v>10000</v>
      </c>
    </row>
    <row r="7429" spans="1:12" hidden="1" outlineLevel="1" collapsed="1" x14ac:dyDescent="0.35">
      <c r="A7429" s="112" t="s">
        <v>5553</v>
      </c>
      <c r="B7429" s="112" t="s">
        <v>927</v>
      </c>
      <c r="C7429" s="112" t="s">
        <v>1219</v>
      </c>
      <c r="D7429" s="113">
        <v>46307539</v>
      </c>
      <c r="E7429" s="115">
        <v>43942</v>
      </c>
      <c r="F7429" s="114">
        <v>202101</v>
      </c>
      <c r="G7429" s="112" t="s">
        <v>1091</v>
      </c>
      <c r="H7429" s="112" t="s">
        <v>1015</v>
      </c>
      <c r="I7429" s="112" t="s">
        <v>1605</v>
      </c>
      <c r="J7429" s="112" t="s">
        <v>5554</v>
      </c>
      <c r="K7429" s="112" t="s">
        <v>5555</v>
      </c>
      <c r="L7429" s="116">
        <v>10000</v>
      </c>
    </row>
    <row r="7430" spans="1:12" hidden="1" outlineLevel="1" collapsed="1" x14ac:dyDescent="0.35">
      <c r="A7430" s="112" t="s">
        <v>5553</v>
      </c>
      <c r="B7430" s="112" t="s">
        <v>927</v>
      </c>
      <c r="C7430" s="112" t="s">
        <v>1219</v>
      </c>
      <c r="D7430" s="113">
        <v>46307540</v>
      </c>
      <c r="E7430" s="115">
        <v>43942</v>
      </c>
      <c r="F7430" s="114">
        <v>202101</v>
      </c>
      <c r="G7430" s="112" t="s">
        <v>1091</v>
      </c>
      <c r="H7430" s="112" t="s">
        <v>1015</v>
      </c>
      <c r="I7430" s="112" t="s">
        <v>1605</v>
      </c>
      <c r="J7430" s="112" t="s">
        <v>5554</v>
      </c>
      <c r="K7430" s="112" t="s">
        <v>5555</v>
      </c>
      <c r="L7430" s="116">
        <v>10000</v>
      </c>
    </row>
    <row r="7431" spans="1:12" hidden="1" outlineLevel="1" collapsed="1" x14ac:dyDescent="0.35">
      <c r="A7431" s="112" t="s">
        <v>5553</v>
      </c>
      <c r="B7431" s="112" t="s">
        <v>927</v>
      </c>
      <c r="C7431" s="112" t="s">
        <v>1219</v>
      </c>
      <c r="D7431" s="113">
        <v>46307541</v>
      </c>
      <c r="E7431" s="115">
        <v>43942</v>
      </c>
      <c r="F7431" s="114">
        <v>202101</v>
      </c>
      <c r="G7431" s="112" t="s">
        <v>1091</v>
      </c>
      <c r="H7431" s="112" t="s">
        <v>1015</v>
      </c>
      <c r="I7431" s="112" t="s">
        <v>1605</v>
      </c>
      <c r="J7431" s="112" t="s">
        <v>5554</v>
      </c>
      <c r="K7431" s="112" t="s">
        <v>5556</v>
      </c>
      <c r="L7431" s="116">
        <v>10000</v>
      </c>
    </row>
    <row r="7432" spans="1:12" hidden="1" outlineLevel="1" collapsed="1" x14ac:dyDescent="0.35">
      <c r="A7432" s="112" t="s">
        <v>5553</v>
      </c>
      <c r="B7432" s="112" t="s">
        <v>927</v>
      </c>
      <c r="C7432" s="112" t="s">
        <v>1219</v>
      </c>
      <c r="D7432" s="113">
        <v>46307542</v>
      </c>
      <c r="E7432" s="115">
        <v>43942</v>
      </c>
      <c r="F7432" s="114">
        <v>202101</v>
      </c>
      <c r="G7432" s="112" t="s">
        <v>1091</v>
      </c>
      <c r="H7432" s="112" t="s">
        <v>1015</v>
      </c>
      <c r="I7432" s="112" t="s">
        <v>1605</v>
      </c>
      <c r="J7432" s="112" t="s">
        <v>5554</v>
      </c>
      <c r="K7432" s="112" t="s">
        <v>5556</v>
      </c>
      <c r="L7432" s="116">
        <v>10000</v>
      </c>
    </row>
    <row r="7433" spans="1:12" hidden="1" outlineLevel="1" collapsed="1" x14ac:dyDescent="0.35">
      <c r="A7433" s="112" t="s">
        <v>5553</v>
      </c>
      <c r="B7433" s="112" t="s">
        <v>927</v>
      </c>
      <c r="C7433" s="112" t="s">
        <v>1219</v>
      </c>
      <c r="D7433" s="113">
        <v>46307543</v>
      </c>
      <c r="E7433" s="115">
        <v>43942</v>
      </c>
      <c r="F7433" s="114">
        <v>202101</v>
      </c>
      <c r="G7433" s="112" t="s">
        <v>1091</v>
      </c>
      <c r="H7433" s="112" t="s">
        <v>1015</v>
      </c>
      <c r="I7433" s="112" t="s">
        <v>1605</v>
      </c>
      <c r="J7433" s="112" t="s">
        <v>5554</v>
      </c>
      <c r="K7433" s="112" t="s">
        <v>5555</v>
      </c>
      <c r="L7433" s="116">
        <v>25000</v>
      </c>
    </row>
    <row r="7434" spans="1:12" hidden="1" outlineLevel="1" collapsed="1" x14ac:dyDescent="0.35">
      <c r="A7434" s="112" t="s">
        <v>5553</v>
      </c>
      <c r="B7434" s="112" t="s">
        <v>927</v>
      </c>
      <c r="C7434" s="112" t="s">
        <v>1219</v>
      </c>
      <c r="D7434" s="113">
        <v>46307544</v>
      </c>
      <c r="E7434" s="115">
        <v>43942</v>
      </c>
      <c r="F7434" s="114">
        <v>202101</v>
      </c>
      <c r="G7434" s="112" t="s">
        <v>1091</v>
      </c>
      <c r="H7434" s="112" t="s">
        <v>1015</v>
      </c>
      <c r="I7434" s="112" t="s">
        <v>1605</v>
      </c>
      <c r="J7434" s="112" t="s">
        <v>5554</v>
      </c>
      <c r="K7434" s="112" t="s">
        <v>5556</v>
      </c>
      <c r="L7434" s="116">
        <v>10000</v>
      </c>
    </row>
    <row r="7435" spans="1:12" hidden="1" outlineLevel="1" collapsed="1" x14ac:dyDescent="0.35">
      <c r="A7435" s="112" t="s">
        <v>5553</v>
      </c>
      <c r="B7435" s="112" t="s">
        <v>927</v>
      </c>
      <c r="C7435" s="112" t="s">
        <v>1219</v>
      </c>
      <c r="D7435" s="113">
        <v>46307532</v>
      </c>
      <c r="E7435" s="115">
        <v>43942</v>
      </c>
      <c r="F7435" s="114">
        <v>202101</v>
      </c>
      <c r="G7435" s="112" t="s">
        <v>1091</v>
      </c>
      <c r="H7435" s="112" t="s">
        <v>1015</v>
      </c>
      <c r="I7435" s="112" t="s">
        <v>1605</v>
      </c>
      <c r="J7435" s="112" t="s">
        <v>5554</v>
      </c>
      <c r="K7435" s="112" t="s">
        <v>5556</v>
      </c>
      <c r="L7435" s="116">
        <v>10000</v>
      </c>
    </row>
    <row r="7436" spans="1:12" hidden="1" outlineLevel="1" collapsed="1" x14ac:dyDescent="0.35">
      <c r="A7436" s="112" t="s">
        <v>5553</v>
      </c>
      <c r="B7436" s="112" t="s">
        <v>927</v>
      </c>
      <c r="C7436" s="112" t="s">
        <v>1219</v>
      </c>
      <c r="D7436" s="113">
        <v>46307546</v>
      </c>
      <c r="E7436" s="115">
        <v>43942</v>
      </c>
      <c r="F7436" s="114">
        <v>202101</v>
      </c>
      <c r="G7436" s="112" t="s">
        <v>1091</v>
      </c>
      <c r="H7436" s="112" t="s">
        <v>1015</v>
      </c>
      <c r="I7436" s="112" t="s">
        <v>1605</v>
      </c>
      <c r="J7436" s="112" t="s">
        <v>5554</v>
      </c>
      <c r="K7436" s="112" t="s">
        <v>5555</v>
      </c>
      <c r="L7436" s="116">
        <v>25000</v>
      </c>
    </row>
    <row r="7437" spans="1:12" hidden="1" outlineLevel="1" collapsed="1" x14ac:dyDescent="0.35">
      <c r="A7437" s="112" t="s">
        <v>5553</v>
      </c>
      <c r="B7437" s="112" t="s">
        <v>927</v>
      </c>
      <c r="C7437" s="112" t="s">
        <v>1219</v>
      </c>
      <c r="D7437" s="113">
        <v>46307547</v>
      </c>
      <c r="E7437" s="115">
        <v>43942</v>
      </c>
      <c r="F7437" s="114">
        <v>202101</v>
      </c>
      <c r="G7437" s="112" t="s">
        <v>1091</v>
      </c>
      <c r="H7437" s="112" t="s">
        <v>1015</v>
      </c>
      <c r="I7437" s="112" t="s">
        <v>1605</v>
      </c>
      <c r="J7437" s="112" t="s">
        <v>5554</v>
      </c>
      <c r="K7437" s="112" t="s">
        <v>5556</v>
      </c>
      <c r="L7437" s="116">
        <v>10000</v>
      </c>
    </row>
    <row r="7438" spans="1:12" hidden="1" outlineLevel="1" collapsed="1" x14ac:dyDescent="0.35">
      <c r="A7438" s="112" t="s">
        <v>5553</v>
      </c>
      <c r="B7438" s="112" t="s">
        <v>927</v>
      </c>
      <c r="C7438" s="112" t="s">
        <v>1219</v>
      </c>
      <c r="D7438" s="113">
        <v>46307548</v>
      </c>
      <c r="E7438" s="115">
        <v>43942</v>
      </c>
      <c r="F7438" s="114">
        <v>202101</v>
      </c>
      <c r="G7438" s="112" t="s">
        <v>1091</v>
      </c>
      <c r="H7438" s="112" t="s">
        <v>1015</v>
      </c>
      <c r="I7438" s="112" t="s">
        <v>1605</v>
      </c>
      <c r="J7438" s="112" t="s">
        <v>5554</v>
      </c>
      <c r="K7438" s="112" t="s">
        <v>5556</v>
      </c>
      <c r="L7438" s="116">
        <v>10000</v>
      </c>
    </row>
    <row r="7439" spans="1:12" hidden="1" outlineLevel="1" collapsed="1" x14ac:dyDescent="0.35">
      <c r="A7439" s="112" t="s">
        <v>5553</v>
      </c>
      <c r="B7439" s="112" t="s">
        <v>927</v>
      </c>
      <c r="C7439" s="112" t="s">
        <v>1219</v>
      </c>
      <c r="D7439" s="113">
        <v>46307549</v>
      </c>
      <c r="E7439" s="115">
        <v>43942</v>
      </c>
      <c r="F7439" s="114">
        <v>202101</v>
      </c>
      <c r="G7439" s="112" t="s">
        <v>1091</v>
      </c>
      <c r="H7439" s="112" t="s">
        <v>1015</v>
      </c>
      <c r="I7439" s="112" t="s">
        <v>1605</v>
      </c>
      <c r="J7439" s="112" t="s">
        <v>5554</v>
      </c>
      <c r="K7439" s="112" t="s">
        <v>5555</v>
      </c>
      <c r="L7439" s="116">
        <v>25000</v>
      </c>
    </row>
    <row r="7440" spans="1:12" hidden="1" outlineLevel="1" collapsed="1" x14ac:dyDescent="0.35">
      <c r="A7440" s="112" t="s">
        <v>5553</v>
      </c>
      <c r="B7440" s="112" t="s">
        <v>927</v>
      </c>
      <c r="C7440" s="112" t="s">
        <v>1219</v>
      </c>
      <c r="D7440" s="113">
        <v>46307550</v>
      </c>
      <c r="E7440" s="115">
        <v>43942</v>
      </c>
      <c r="F7440" s="114">
        <v>202101</v>
      </c>
      <c r="G7440" s="112" t="s">
        <v>1091</v>
      </c>
      <c r="H7440" s="112" t="s">
        <v>1015</v>
      </c>
      <c r="I7440" s="112" t="s">
        <v>1605</v>
      </c>
      <c r="J7440" s="112" t="s">
        <v>5554</v>
      </c>
      <c r="K7440" s="112" t="s">
        <v>5555</v>
      </c>
      <c r="L7440" s="116">
        <v>25000</v>
      </c>
    </row>
    <row r="7441" spans="1:12" hidden="1" outlineLevel="1" collapsed="1" x14ac:dyDescent="0.35">
      <c r="A7441" s="112" t="s">
        <v>5553</v>
      </c>
      <c r="B7441" s="112" t="s">
        <v>927</v>
      </c>
      <c r="C7441" s="112" t="s">
        <v>1219</v>
      </c>
      <c r="D7441" s="113">
        <v>46307551</v>
      </c>
      <c r="E7441" s="115">
        <v>43942</v>
      </c>
      <c r="F7441" s="114">
        <v>202101</v>
      </c>
      <c r="G7441" s="112" t="s">
        <v>1091</v>
      </c>
      <c r="H7441" s="112" t="s">
        <v>1015</v>
      </c>
      <c r="I7441" s="112" t="s">
        <v>1605</v>
      </c>
      <c r="J7441" s="112" t="s">
        <v>5554</v>
      </c>
      <c r="K7441" s="112" t="s">
        <v>5556</v>
      </c>
      <c r="L7441" s="116">
        <v>10000</v>
      </c>
    </row>
    <row r="7442" spans="1:12" hidden="1" outlineLevel="1" collapsed="1" x14ac:dyDescent="0.35">
      <c r="A7442" s="112" t="s">
        <v>5553</v>
      </c>
      <c r="B7442" s="112" t="s">
        <v>927</v>
      </c>
      <c r="C7442" s="112" t="s">
        <v>1219</v>
      </c>
      <c r="D7442" s="113">
        <v>46307552</v>
      </c>
      <c r="E7442" s="115">
        <v>43942</v>
      </c>
      <c r="F7442" s="114">
        <v>202101</v>
      </c>
      <c r="G7442" s="112" t="s">
        <v>1091</v>
      </c>
      <c r="H7442" s="112" t="s">
        <v>1015</v>
      </c>
      <c r="I7442" s="112" t="s">
        <v>1605</v>
      </c>
      <c r="J7442" s="112" t="s">
        <v>5554</v>
      </c>
      <c r="K7442" s="112" t="s">
        <v>5555</v>
      </c>
      <c r="L7442" s="116">
        <v>25000</v>
      </c>
    </row>
    <row r="7443" spans="1:12" hidden="1" outlineLevel="1" collapsed="1" x14ac:dyDescent="0.35">
      <c r="A7443" s="112" t="s">
        <v>5553</v>
      </c>
      <c r="B7443" s="112" t="s">
        <v>927</v>
      </c>
      <c r="C7443" s="112" t="s">
        <v>1219</v>
      </c>
      <c r="D7443" s="113">
        <v>46307553</v>
      </c>
      <c r="E7443" s="115">
        <v>43942</v>
      </c>
      <c r="F7443" s="114">
        <v>202101</v>
      </c>
      <c r="G7443" s="112" t="s">
        <v>1091</v>
      </c>
      <c r="H7443" s="112" t="s">
        <v>1015</v>
      </c>
      <c r="I7443" s="112" t="s">
        <v>1605</v>
      </c>
      <c r="J7443" s="112" t="s">
        <v>5554</v>
      </c>
      <c r="K7443" s="112" t="s">
        <v>5555</v>
      </c>
      <c r="L7443" s="116">
        <v>25000</v>
      </c>
    </row>
    <row r="7444" spans="1:12" hidden="1" outlineLevel="1" collapsed="1" x14ac:dyDescent="0.35">
      <c r="A7444" s="112" t="s">
        <v>5553</v>
      </c>
      <c r="B7444" s="112" t="s">
        <v>927</v>
      </c>
      <c r="C7444" s="112" t="s">
        <v>1219</v>
      </c>
      <c r="D7444" s="113">
        <v>46307554</v>
      </c>
      <c r="E7444" s="115">
        <v>43942</v>
      </c>
      <c r="F7444" s="114">
        <v>202101</v>
      </c>
      <c r="G7444" s="112" t="s">
        <v>1091</v>
      </c>
      <c r="H7444" s="112" t="s">
        <v>1015</v>
      </c>
      <c r="I7444" s="112" t="s">
        <v>1605</v>
      </c>
      <c r="J7444" s="112" t="s">
        <v>5554</v>
      </c>
      <c r="K7444" s="112" t="s">
        <v>5555</v>
      </c>
      <c r="L7444" s="116">
        <v>25000</v>
      </c>
    </row>
    <row r="7445" spans="1:12" hidden="1" outlineLevel="1" collapsed="1" x14ac:dyDescent="0.35">
      <c r="A7445" s="112" t="s">
        <v>5553</v>
      </c>
      <c r="B7445" s="112" t="s">
        <v>927</v>
      </c>
      <c r="C7445" s="112" t="s">
        <v>1219</v>
      </c>
      <c r="D7445" s="113">
        <v>46307555</v>
      </c>
      <c r="E7445" s="115">
        <v>43942</v>
      </c>
      <c r="F7445" s="114">
        <v>202101</v>
      </c>
      <c r="G7445" s="112" t="s">
        <v>1091</v>
      </c>
      <c r="H7445" s="112" t="s">
        <v>1015</v>
      </c>
      <c r="I7445" s="112" t="s">
        <v>1605</v>
      </c>
      <c r="J7445" s="112" t="s">
        <v>5554</v>
      </c>
      <c r="K7445" s="112" t="s">
        <v>5556</v>
      </c>
      <c r="L7445" s="116">
        <v>10000</v>
      </c>
    </row>
    <row r="7446" spans="1:12" hidden="1" outlineLevel="1" collapsed="1" x14ac:dyDescent="0.35">
      <c r="A7446" s="112" t="s">
        <v>5553</v>
      </c>
      <c r="B7446" s="112" t="s">
        <v>927</v>
      </c>
      <c r="C7446" s="112" t="s">
        <v>1219</v>
      </c>
      <c r="D7446" s="113">
        <v>46307556</v>
      </c>
      <c r="E7446" s="115">
        <v>43942</v>
      </c>
      <c r="F7446" s="114">
        <v>202101</v>
      </c>
      <c r="G7446" s="112" t="s">
        <v>1091</v>
      </c>
      <c r="H7446" s="112" t="s">
        <v>1015</v>
      </c>
      <c r="I7446" s="112" t="s">
        <v>1605</v>
      </c>
      <c r="J7446" s="112" t="s">
        <v>5554</v>
      </c>
      <c r="K7446" s="112" t="s">
        <v>5556</v>
      </c>
      <c r="L7446" s="116">
        <v>10000</v>
      </c>
    </row>
    <row r="7447" spans="1:12" hidden="1" outlineLevel="1" collapsed="1" x14ac:dyDescent="0.35">
      <c r="A7447" s="112" t="s">
        <v>5553</v>
      </c>
      <c r="B7447" s="112" t="s">
        <v>927</v>
      </c>
      <c r="C7447" s="112" t="s">
        <v>1219</v>
      </c>
      <c r="D7447" s="113">
        <v>46307557</v>
      </c>
      <c r="E7447" s="115">
        <v>43942</v>
      </c>
      <c r="F7447" s="114">
        <v>202101</v>
      </c>
      <c r="G7447" s="112" t="s">
        <v>1091</v>
      </c>
      <c r="H7447" s="112" t="s">
        <v>1015</v>
      </c>
      <c r="I7447" s="112" t="s">
        <v>1605</v>
      </c>
      <c r="J7447" s="112" t="s">
        <v>5554</v>
      </c>
      <c r="K7447" s="112" t="s">
        <v>5556</v>
      </c>
      <c r="L7447" s="116">
        <v>10000</v>
      </c>
    </row>
    <row r="7448" spans="1:12" hidden="1" outlineLevel="1" collapsed="1" x14ac:dyDescent="0.35">
      <c r="A7448" s="112" t="s">
        <v>5553</v>
      </c>
      <c r="B7448" s="112" t="s">
        <v>927</v>
      </c>
      <c r="C7448" s="112" t="s">
        <v>1219</v>
      </c>
      <c r="D7448" s="113">
        <v>46307558</v>
      </c>
      <c r="E7448" s="115">
        <v>43942</v>
      </c>
      <c r="F7448" s="114">
        <v>202101</v>
      </c>
      <c r="G7448" s="112" t="s">
        <v>1091</v>
      </c>
      <c r="H7448" s="112" t="s">
        <v>1015</v>
      </c>
      <c r="I7448" s="112" t="s">
        <v>1605</v>
      </c>
      <c r="J7448" s="112" t="s">
        <v>5554</v>
      </c>
      <c r="K7448" s="112" t="s">
        <v>5556</v>
      </c>
      <c r="L7448" s="116">
        <v>10000</v>
      </c>
    </row>
    <row r="7449" spans="1:12" hidden="1" outlineLevel="1" collapsed="1" x14ac:dyDescent="0.35">
      <c r="A7449" s="112" t="s">
        <v>5553</v>
      </c>
      <c r="B7449" s="112" t="s">
        <v>927</v>
      </c>
      <c r="C7449" s="112" t="s">
        <v>1095</v>
      </c>
      <c r="D7449" s="113">
        <v>10348451</v>
      </c>
      <c r="E7449" s="115">
        <v>43949</v>
      </c>
      <c r="F7449" s="114">
        <v>202101</v>
      </c>
      <c r="G7449" s="112" t="s">
        <v>1091</v>
      </c>
      <c r="H7449" s="112" t="s">
        <v>1015</v>
      </c>
      <c r="I7449" s="112" t="s">
        <v>1205</v>
      </c>
      <c r="J7449" s="112" t="s">
        <v>5557</v>
      </c>
      <c r="K7449" s="112" t="s">
        <v>1098</v>
      </c>
      <c r="L7449" s="116">
        <v>18</v>
      </c>
    </row>
    <row r="7450" spans="1:12" hidden="1" outlineLevel="1" collapsed="1" x14ac:dyDescent="0.35">
      <c r="A7450" s="112" t="s">
        <v>5553</v>
      </c>
      <c r="B7450" s="112" t="s">
        <v>927</v>
      </c>
      <c r="C7450" s="112" t="s">
        <v>1219</v>
      </c>
      <c r="D7450" s="113">
        <v>46307531</v>
      </c>
      <c r="E7450" s="115">
        <v>43942</v>
      </c>
      <c r="F7450" s="114">
        <v>202101</v>
      </c>
      <c r="G7450" s="112" t="s">
        <v>1091</v>
      </c>
      <c r="H7450" s="112" t="s">
        <v>1015</v>
      </c>
      <c r="I7450" s="112" t="s">
        <v>1605</v>
      </c>
      <c r="J7450" s="112" t="s">
        <v>5554</v>
      </c>
      <c r="K7450" s="112" t="s">
        <v>5556</v>
      </c>
      <c r="L7450" s="116">
        <v>10000</v>
      </c>
    </row>
    <row r="7451" spans="1:12" hidden="1" outlineLevel="1" collapsed="1" x14ac:dyDescent="0.35">
      <c r="A7451" s="112" t="s">
        <v>5553</v>
      </c>
      <c r="B7451" s="112" t="s">
        <v>927</v>
      </c>
      <c r="C7451" s="112" t="s">
        <v>1219</v>
      </c>
      <c r="D7451" s="113">
        <v>46307380</v>
      </c>
      <c r="E7451" s="115">
        <v>43941</v>
      </c>
      <c r="F7451" s="114">
        <v>202101</v>
      </c>
      <c r="G7451" s="112" t="s">
        <v>1091</v>
      </c>
      <c r="H7451" s="112" t="s">
        <v>1015</v>
      </c>
      <c r="I7451" s="112" t="s">
        <v>1605</v>
      </c>
      <c r="J7451" s="112" t="s">
        <v>5554</v>
      </c>
      <c r="K7451" s="112" t="s">
        <v>5556</v>
      </c>
      <c r="L7451" s="116">
        <v>10000</v>
      </c>
    </row>
    <row r="7452" spans="1:12" hidden="1" outlineLevel="1" collapsed="1" x14ac:dyDescent="0.35">
      <c r="A7452" s="112" t="s">
        <v>5553</v>
      </c>
      <c r="B7452" s="112" t="s">
        <v>927</v>
      </c>
      <c r="C7452" s="112" t="s">
        <v>1219</v>
      </c>
      <c r="D7452" s="113">
        <v>46307406</v>
      </c>
      <c r="E7452" s="115">
        <v>43941</v>
      </c>
      <c r="F7452" s="114">
        <v>202101</v>
      </c>
      <c r="G7452" s="112" t="s">
        <v>1091</v>
      </c>
      <c r="H7452" s="112" t="s">
        <v>1015</v>
      </c>
      <c r="I7452" s="112" t="s">
        <v>1605</v>
      </c>
      <c r="J7452" s="112" t="s">
        <v>5554</v>
      </c>
      <c r="K7452" s="112" t="s">
        <v>5556</v>
      </c>
      <c r="L7452" s="116">
        <v>10000</v>
      </c>
    </row>
    <row r="7453" spans="1:12" hidden="1" outlineLevel="1" collapsed="1" x14ac:dyDescent="0.35">
      <c r="A7453" s="112" t="s">
        <v>5553</v>
      </c>
      <c r="B7453" s="112" t="s">
        <v>927</v>
      </c>
      <c r="C7453" s="112" t="s">
        <v>1219</v>
      </c>
      <c r="D7453" s="113">
        <v>46307405</v>
      </c>
      <c r="E7453" s="115">
        <v>43941</v>
      </c>
      <c r="F7453" s="114">
        <v>202101</v>
      </c>
      <c r="G7453" s="112" t="s">
        <v>1091</v>
      </c>
      <c r="H7453" s="112" t="s">
        <v>1015</v>
      </c>
      <c r="I7453" s="112" t="s">
        <v>1605</v>
      </c>
      <c r="J7453" s="112" t="s">
        <v>5554</v>
      </c>
      <c r="K7453" s="112" t="s">
        <v>5555</v>
      </c>
      <c r="L7453" s="116">
        <v>10000</v>
      </c>
    </row>
    <row r="7454" spans="1:12" hidden="1" outlineLevel="1" collapsed="1" x14ac:dyDescent="0.35">
      <c r="A7454" s="112" t="s">
        <v>5553</v>
      </c>
      <c r="B7454" s="112" t="s">
        <v>927</v>
      </c>
      <c r="C7454" s="112" t="s">
        <v>1219</v>
      </c>
      <c r="D7454" s="113">
        <v>46307404</v>
      </c>
      <c r="E7454" s="115">
        <v>43941</v>
      </c>
      <c r="F7454" s="114">
        <v>202101</v>
      </c>
      <c r="G7454" s="112" t="s">
        <v>1091</v>
      </c>
      <c r="H7454" s="112" t="s">
        <v>1015</v>
      </c>
      <c r="I7454" s="112" t="s">
        <v>1605</v>
      </c>
      <c r="J7454" s="112" t="s">
        <v>5554</v>
      </c>
      <c r="K7454" s="112" t="s">
        <v>5556</v>
      </c>
      <c r="L7454" s="116">
        <v>10000</v>
      </c>
    </row>
    <row r="7455" spans="1:12" hidden="1" outlineLevel="1" collapsed="1" x14ac:dyDescent="0.35">
      <c r="A7455" s="112" t="s">
        <v>5553</v>
      </c>
      <c r="B7455" s="112" t="s">
        <v>927</v>
      </c>
      <c r="C7455" s="112" t="s">
        <v>1219</v>
      </c>
      <c r="D7455" s="113">
        <v>46307403</v>
      </c>
      <c r="E7455" s="115">
        <v>43941</v>
      </c>
      <c r="F7455" s="114">
        <v>202101</v>
      </c>
      <c r="G7455" s="112" t="s">
        <v>1091</v>
      </c>
      <c r="H7455" s="112" t="s">
        <v>1015</v>
      </c>
      <c r="I7455" s="112" t="s">
        <v>1605</v>
      </c>
      <c r="J7455" s="112" t="s">
        <v>5554</v>
      </c>
      <c r="K7455" s="112" t="s">
        <v>5555</v>
      </c>
      <c r="L7455" s="116">
        <v>25000</v>
      </c>
    </row>
    <row r="7456" spans="1:12" hidden="1" outlineLevel="1" collapsed="1" x14ac:dyDescent="0.35">
      <c r="A7456" s="112" t="s">
        <v>5553</v>
      </c>
      <c r="B7456" s="112" t="s">
        <v>927</v>
      </c>
      <c r="C7456" s="112" t="s">
        <v>1219</v>
      </c>
      <c r="D7456" s="113">
        <v>46307402</v>
      </c>
      <c r="E7456" s="115">
        <v>43941</v>
      </c>
      <c r="F7456" s="114">
        <v>202101</v>
      </c>
      <c r="G7456" s="112" t="s">
        <v>1091</v>
      </c>
      <c r="H7456" s="112" t="s">
        <v>1015</v>
      </c>
      <c r="I7456" s="112" t="s">
        <v>1605</v>
      </c>
      <c r="J7456" s="112" t="s">
        <v>5554</v>
      </c>
      <c r="K7456" s="112" t="s">
        <v>5555</v>
      </c>
      <c r="L7456" s="116">
        <v>25000</v>
      </c>
    </row>
    <row r="7457" spans="1:12" hidden="1" outlineLevel="1" collapsed="1" x14ac:dyDescent="0.35">
      <c r="A7457" s="112" t="s">
        <v>5553</v>
      </c>
      <c r="B7457" s="112" t="s">
        <v>927</v>
      </c>
      <c r="C7457" s="112" t="s">
        <v>1219</v>
      </c>
      <c r="D7457" s="113">
        <v>46307401</v>
      </c>
      <c r="E7457" s="115">
        <v>43941</v>
      </c>
      <c r="F7457" s="114">
        <v>202101</v>
      </c>
      <c r="G7457" s="112" t="s">
        <v>1091</v>
      </c>
      <c r="H7457" s="112" t="s">
        <v>1015</v>
      </c>
      <c r="I7457" s="112" t="s">
        <v>1605</v>
      </c>
      <c r="J7457" s="112" t="s">
        <v>5554</v>
      </c>
      <c r="K7457" s="112" t="s">
        <v>5555</v>
      </c>
      <c r="L7457" s="116">
        <v>10000</v>
      </c>
    </row>
    <row r="7458" spans="1:12" hidden="1" outlineLevel="1" collapsed="1" x14ac:dyDescent="0.35">
      <c r="A7458" s="112" t="s">
        <v>5553</v>
      </c>
      <c r="B7458" s="112" t="s">
        <v>927</v>
      </c>
      <c r="C7458" s="112" t="s">
        <v>1219</v>
      </c>
      <c r="D7458" s="113">
        <v>46307400</v>
      </c>
      <c r="E7458" s="115">
        <v>43941</v>
      </c>
      <c r="F7458" s="114">
        <v>202101</v>
      </c>
      <c r="G7458" s="112" t="s">
        <v>1091</v>
      </c>
      <c r="H7458" s="112" t="s">
        <v>1015</v>
      </c>
      <c r="I7458" s="112" t="s">
        <v>1605</v>
      </c>
      <c r="J7458" s="112" t="s">
        <v>5554</v>
      </c>
      <c r="K7458" s="112" t="s">
        <v>5556</v>
      </c>
      <c r="L7458" s="116">
        <v>10000</v>
      </c>
    </row>
    <row r="7459" spans="1:12" hidden="1" outlineLevel="1" collapsed="1" x14ac:dyDescent="0.35">
      <c r="A7459" s="112" t="s">
        <v>5553</v>
      </c>
      <c r="B7459" s="112" t="s">
        <v>927</v>
      </c>
      <c r="C7459" s="112" t="s">
        <v>1219</v>
      </c>
      <c r="D7459" s="113">
        <v>46307399</v>
      </c>
      <c r="E7459" s="115">
        <v>43941</v>
      </c>
      <c r="F7459" s="114">
        <v>202101</v>
      </c>
      <c r="G7459" s="112" t="s">
        <v>1091</v>
      </c>
      <c r="H7459" s="112" t="s">
        <v>1015</v>
      </c>
      <c r="I7459" s="112" t="s">
        <v>1605</v>
      </c>
      <c r="J7459" s="112" t="s">
        <v>5554</v>
      </c>
      <c r="K7459" s="112" t="s">
        <v>5555</v>
      </c>
      <c r="L7459" s="116">
        <v>25000</v>
      </c>
    </row>
    <row r="7460" spans="1:12" hidden="1" outlineLevel="1" collapsed="1" x14ac:dyDescent="0.35">
      <c r="A7460" s="112" t="s">
        <v>5553</v>
      </c>
      <c r="B7460" s="112" t="s">
        <v>927</v>
      </c>
      <c r="C7460" s="112" t="s">
        <v>1219</v>
      </c>
      <c r="D7460" s="113">
        <v>46307398</v>
      </c>
      <c r="E7460" s="115">
        <v>43941</v>
      </c>
      <c r="F7460" s="114">
        <v>202101</v>
      </c>
      <c r="G7460" s="112" t="s">
        <v>1091</v>
      </c>
      <c r="H7460" s="112" t="s">
        <v>1015</v>
      </c>
      <c r="I7460" s="112" t="s">
        <v>1605</v>
      </c>
      <c r="J7460" s="112" t="s">
        <v>5554</v>
      </c>
      <c r="K7460" s="112" t="s">
        <v>5555</v>
      </c>
      <c r="L7460" s="116">
        <v>25000</v>
      </c>
    </row>
    <row r="7461" spans="1:12" hidden="1" outlineLevel="1" collapsed="1" x14ac:dyDescent="0.35">
      <c r="A7461" s="112" t="s">
        <v>5553</v>
      </c>
      <c r="B7461" s="112" t="s">
        <v>927</v>
      </c>
      <c r="C7461" s="112" t="s">
        <v>1219</v>
      </c>
      <c r="D7461" s="113">
        <v>46307397</v>
      </c>
      <c r="E7461" s="115">
        <v>43941</v>
      </c>
      <c r="F7461" s="114">
        <v>202101</v>
      </c>
      <c r="G7461" s="112" t="s">
        <v>1091</v>
      </c>
      <c r="H7461" s="112" t="s">
        <v>1015</v>
      </c>
      <c r="I7461" s="112" t="s">
        <v>1605</v>
      </c>
      <c r="J7461" s="112" t="s">
        <v>5554</v>
      </c>
      <c r="K7461" s="112" t="s">
        <v>5555</v>
      </c>
      <c r="L7461" s="116">
        <v>25000</v>
      </c>
    </row>
    <row r="7462" spans="1:12" hidden="1" outlineLevel="1" collapsed="1" x14ac:dyDescent="0.35">
      <c r="A7462" s="112" t="s">
        <v>5553</v>
      </c>
      <c r="B7462" s="112" t="s">
        <v>927</v>
      </c>
      <c r="C7462" s="112" t="s">
        <v>1219</v>
      </c>
      <c r="D7462" s="113">
        <v>46307396</v>
      </c>
      <c r="E7462" s="115">
        <v>43941</v>
      </c>
      <c r="F7462" s="114">
        <v>202101</v>
      </c>
      <c r="G7462" s="112" t="s">
        <v>1091</v>
      </c>
      <c r="H7462" s="112" t="s">
        <v>1015</v>
      </c>
      <c r="I7462" s="112" t="s">
        <v>1605</v>
      </c>
      <c r="J7462" s="112" t="s">
        <v>5554</v>
      </c>
      <c r="K7462" s="112" t="s">
        <v>5555</v>
      </c>
      <c r="L7462" s="116">
        <v>25000</v>
      </c>
    </row>
    <row r="7463" spans="1:12" hidden="1" outlineLevel="1" collapsed="1" x14ac:dyDescent="0.35">
      <c r="A7463" s="112" t="s">
        <v>5553</v>
      </c>
      <c r="B7463" s="112" t="s">
        <v>927</v>
      </c>
      <c r="C7463" s="112" t="s">
        <v>1219</v>
      </c>
      <c r="D7463" s="113">
        <v>46307395</v>
      </c>
      <c r="E7463" s="115">
        <v>43941</v>
      </c>
      <c r="F7463" s="114">
        <v>202101</v>
      </c>
      <c r="G7463" s="112" t="s">
        <v>1091</v>
      </c>
      <c r="H7463" s="112" t="s">
        <v>1015</v>
      </c>
      <c r="I7463" s="112" t="s">
        <v>1605</v>
      </c>
      <c r="J7463" s="112" t="s">
        <v>5554</v>
      </c>
      <c r="K7463" s="112" t="s">
        <v>5556</v>
      </c>
      <c r="L7463" s="116">
        <v>10000</v>
      </c>
    </row>
    <row r="7464" spans="1:12" hidden="1" outlineLevel="1" collapsed="1" x14ac:dyDescent="0.35">
      <c r="A7464" s="112" t="s">
        <v>5553</v>
      </c>
      <c r="B7464" s="112" t="s">
        <v>927</v>
      </c>
      <c r="C7464" s="112" t="s">
        <v>1219</v>
      </c>
      <c r="D7464" s="113">
        <v>46307394</v>
      </c>
      <c r="E7464" s="115">
        <v>43941</v>
      </c>
      <c r="F7464" s="114">
        <v>202101</v>
      </c>
      <c r="G7464" s="112" t="s">
        <v>1091</v>
      </c>
      <c r="H7464" s="112" t="s">
        <v>1015</v>
      </c>
      <c r="I7464" s="112" t="s">
        <v>1605</v>
      </c>
      <c r="J7464" s="112" t="s">
        <v>5554</v>
      </c>
      <c r="K7464" s="112" t="s">
        <v>5555</v>
      </c>
      <c r="L7464" s="116">
        <v>10000</v>
      </c>
    </row>
    <row r="7465" spans="1:12" hidden="1" outlineLevel="1" collapsed="1" x14ac:dyDescent="0.35">
      <c r="A7465" s="112" t="s">
        <v>5553</v>
      </c>
      <c r="B7465" s="112" t="s">
        <v>927</v>
      </c>
      <c r="C7465" s="112" t="s">
        <v>1219</v>
      </c>
      <c r="D7465" s="113">
        <v>46307393</v>
      </c>
      <c r="E7465" s="115">
        <v>43941</v>
      </c>
      <c r="F7465" s="114">
        <v>202101</v>
      </c>
      <c r="G7465" s="112" t="s">
        <v>1091</v>
      </c>
      <c r="H7465" s="112" t="s">
        <v>1015</v>
      </c>
      <c r="I7465" s="112" t="s">
        <v>1605</v>
      </c>
      <c r="J7465" s="112" t="s">
        <v>5554</v>
      </c>
      <c r="K7465" s="112" t="s">
        <v>5555</v>
      </c>
      <c r="L7465" s="116">
        <v>10000</v>
      </c>
    </row>
    <row r="7466" spans="1:12" hidden="1" outlineLevel="1" collapsed="1" x14ac:dyDescent="0.35">
      <c r="A7466" s="112" t="s">
        <v>5553</v>
      </c>
      <c r="B7466" s="112" t="s">
        <v>927</v>
      </c>
      <c r="C7466" s="112" t="s">
        <v>1219</v>
      </c>
      <c r="D7466" s="113">
        <v>46307392</v>
      </c>
      <c r="E7466" s="115">
        <v>43941</v>
      </c>
      <c r="F7466" s="114">
        <v>202101</v>
      </c>
      <c r="G7466" s="112" t="s">
        <v>1091</v>
      </c>
      <c r="H7466" s="112" t="s">
        <v>1015</v>
      </c>
      <c r="I7466" s="112" t="s">
        <v>1605</v>
      </c>
      <c r="J7466" s="112" t="s">
        <v>5554</v>
      </c>
      <c r="K7466" s="112" t="s">
        <v>5555</v>
      </c>
      <c r="L7466" s="116">
        <v>10000</v>
      </c>
    </row>
    <row r="7467" spans="1:12" hidden="1" outlineLevel="1" collapsed="1" x14ac:dyDescent="0.35">
      <c r="A7467" s="112" t="s">
        <v>5553</v>
      </c>
      <c r="B7467" s="112" t="s">
        <v>927</v>
      </c>
      <c r="C7467" s="112" t="s">
        <v>1219</v>
      </c>
      <c r="D7467" s="113">
        <v>46307391</v>
      </c>
      <c r="E7467" s="115">
        <v>43941</v>
      </c>
      <c r="F7467" s="114">
        <v>202101</v>
      </c>
      <c r="G7467" s="112" t="s">
        <v>1091</v>
      </c>
      <c r="H7467" s="112" t="s">
        <v>1015</v>
      </c>
      <c r="I7467" s="112" t="s">
        <v>1605</v>
      </c>
      <c r="J7467" s="112" t="s">
        <v>5554</v>
      </c>
      <c r="K7467" s="112" t="s">
        <v>5556</v>
      </c>
      <c r="L7467" s="116">
        <v>10000</v>
      </c>
    </row>
    <row r="7468" spans="1:12" hidden="1" outlineLevel="1" collapsed="1" x14ac:dyDescent="0.35">
      <c r="A7468" s="112" t="s">
        <v>5553</v>
      </c>
      <c r="B7468" s="112" t="s">
        <v>927</v>
      </c>
      <c r="C7468" s="112" t="s">
        <v>1219</v>
      </c>
      <c r="D7468" s="113">
        <v>46307390</v>
      </c>
      <c r="E7468" s="115">
        <v>43941</v>
      </c>
      <c r="F7468" s="114">
        <v>202101</v>
      </c>
      <c r="G7468" s="112" t="s">
        <v>1091</v>
      </c>
      <c r="H7468" s="112" t="s">
        <v>1015</v>
      </c>
      <c r="I7468" s="112" t="s">
        <v>1605</v>
      </c>
      <c r="J7468" s="112" t="s">
        <v>5554</v>
      </c>
      <c r="K7468" s="112" t="s">
        <v>5556</v>
      </c>
      <c r="L7468" s="116">
        <v>10000</v>
      </c>
    </row>
    <row r="7469" spans="1:12" hidden="1" outlineLevel="1" collapsed="1" x14ac:dyDescent="0.35">
      <c r="A7469" s="112" t="s">
        <v>5553</v>
      </c>
      <c r="B7469" s="112" t="s">
        <v>927</v>
      </c>
      <c r="C7469" s="112" t="s">
        <v>1219</v>
      </c>
      <c r="D7469" s="113">
        <v>46307389</v>
      </c>
      <c r="E7469" s="115">
        <v>43941</v>
      </c>
      <c r="F7469" s="114">
        <v>202101</v>
      </c>
      <c r="G7469" s="112" t="s">
        <v>1091</v>
      </c>
      <c r="H7469" s="112" t="s">
        <v>1015</v>
      </c>
      <c r="I7469" s="112" t="s">
        <v>1605</v>
      </c>
      <c r="J7469" s="112" t="s">
        <v>5554</v>
      </c>
      <c r="K7469" s="112" t="s">
        <v>5555</v>
      </c>
      <c r="L7469" s="116">
        <v>10000</v>
      </c>
    </row>
    <row r="7470" spans="1:12" hidden="1" outlineLevel="1" collapsed="1" x14ac:dyDescent="0.35">
      <c r="A7470" s="112" t="s">
        <v>5553</v>
      </c>
      <c r="B7470" s="112" t="s">
        <v>927</v>
      </c>
      <c r="C7470" s="112" t="s">
        <v>1219</v>
      </c>
      <c r="D7470" s="113">
        <v>46307388</v>
      </c>
      <c r="E7470" s="115">
        <v>43941</v>
      </c>
      <c r="F7470" s="114">
        <v>202101</v>
      </c>
      <c r="G7470" s="112" t="s">
        <v>1091</v>
      </c>
      <c r="H7470" s="112" t="s">
        <v>1015</v>
      </c>
      <c r="I7470" s="112" t="s">
        <v>1605</v>
      </c>
      <c r="J7470" s="112" t="s">
        <v>5554</v>
      </c>
      <c r="K7470" s="112" t="s">
        <v>5555</v>
      </c>
      <c r="L7470" s="116">
        <v>25000</v>
      </c>
    </row>
    <row r="7471" spans="1:12" hidden="1" outlineLevel="1" collapsed="1" x14ac:dyDescent="0.35">
      <c r="A7471" s="112" t="s">
        <v>5553</v>
      </c>
      <c r="B7471" s="112" t="s">
        <v>927</v>
      </c>
      <c r="C7471" s="112" t="s">
        <v>1219</v>
      </c>
      <c r="D7471" s="113">
        <v>46307387</v>
      </c>
      <c r="E7471" s="115">
        <v>43941</v>
      </c>
      <c r="F7471" s="114">
        <v>202101</v>
      </c>
      <c r="G7471" s="112" t="s">
        <v>1091</v>
      </c>
      <c r="H7471" s="112" t="s">
        <v>1015</v>
      </c>
      <c r="I7471" s="112" t="s">
        <v>1605</v>
      </c>
      <c r="J7471" s="112" t="s">
        <v>5554</v>
      </c>
      <c r="K7471" s="112" t="s">
        <v>5555</v>
      </c>
      <c r="L7471" s="116">
        <v>25000</v>
      </c>
    </row>
    <row r="7472" spans="1:12" hidden="1" outlineLevel="1" collapsed="1" x14ac:dyDescent="0.35">
      <c r="A7472" s="112" t="s">
        <v>5553</v>
      </c>
      <c r="B7472" s="112" t="s">
        <v>927</v>
      </c>
      <c r="C7472" s="112" t="s">
        <v>1219</v>
      </c>
      <c r="D7472" s="113">
        <v>46307386</v>
      </c>
      <c r="E7472" s="115">
        <v>43941</v>
      </c>
      <c r="F7472" s="114">
        <v>202101</v>
      </c>
      <c r="G7472" s="112" t="s">
        <v>1091</v>
      </c>
      <c r="H7472" s="112" t="s">
        <v>1015</v>
      </c>
      <c r="I7472" s="112" t="s">
        <v>1605</v>
      </c>
      <c r="J7472" s="112" t="s">
        <v>5554</v>
      </c>
      <c r="K7472" s="112" t="s">
        <v>5555</v>
      </c>
      <c r="L7472" s="116">
        <v>25000</v>
      </c>
    </row>
    <row r="7473" spans="1:12" hidden="1" outlineLevel="1" collapsed="1" x14ac:dyDescent="0.35">
      <c r="A7473" s="112" t="s">
        <v>5553</v>
      </c>
      <c r="B7473" s="112" t="s">
        <v>927</v>
      </c>
      <c r="C7473" s="112" t="s">
        <v>1219</v>
      </c>
      <c r="D7473" s="113">
        <v>46307385</v>
      </c>
      <c r="E7473" s="115">
        <v>43941</v>
      </c>
      <c r="F7473" s="114">
        <v>202101</v>
      </c>
      <c r="G7473" s="112" t="s">
        <v>1091</v>
      </c>
      <c r="H7473" s="112" t="s">
        <v>1015</v>
      </c>
      <c r="I7473" s="112" t="s">
        <v>1605</v>
      </c>
      <c r="J7473" s="112" t="s">
        <v>5554</v>
      </c>
      <c r="K7473" s="112" t="s">
        <v>5555</v>
      </c>
      <c r="L7473" s="116">
        <v>25000</v>
      </c>
    </row>
    <row r="7474" spans="1:12" hidden="1" outlineLevel="1" collapsed="1" x14ac:dyDescent="0.35">
      <c r="A7474" s="112" t="s">
        <v>5553</v>
      </c>
      <c r="B7474" s="112" t="s">
        <v>927</v>
      </c>
      <c r="C7474" s="112" t="s">
        <v>1219</v>
      </c>
      <c r="D7474" s="113">
        <v>46307384</v>
      </c>
      <c r="E7474" s="115">
        <v>43941</v>
      </c>
      <c r="F7474" s="114">
        <v>202101</v>
      </c>
      <c r="G7474" s="112" t="s">
        <v>1091</v>
      </c>
      <c r="H7474" s="112" t="s">
        <v>1015</v>
      </c>
      <c r="I7474" s="112" t="s">
        <v>1605</v>
      </c>
      <c r="J7474" s="112" t="s">
        <v>5554</v>
      </c>
      <c r="K7474" s="112" t="s">
        <v>5555</v>
      </c>
      <c r="L7474" s="116">
        <v>10000</v>
      </c>
    </row>
    <row r="7475" spans="1:12" hidden="1" outlineLevel="1" collapsed="1" x14ac:dyDescent="0.35">
      <c r="A7475" s="112" t="s">
        <v>5553</v>
      </c>
      <c r="B7475" s="112" t="s">
        <v>927</v>
      </c>
      <c r="C7475" s="112" t="s">
        <v>1219</v>
      </c>
      <c r="D7475" s="113">
        <v>46307383</v>
      </c>
      <c r="E7475" s="115">
        <v>43941</v>
      </c>
      <c r="F7475" s="114">
        <v>202101</v>
      </c>
      <c r="G7475" s="112" t="s">
        <v>1091</v>
      </c>
      <c r="H7475" s="112" t="s">
        <v>1015</v>
      </c>
      <c r="I7475" s="112" t="s">
        <v>1605</v>
      </c>
      <c r="J7475" s="112" t="s">
        <v>5554</v>
      </c>
      <c r="K7475" s="112" t="s">
        <v>5555</v>
      </c>
      <c r="L7475" s="116">
        <v>10000</v>
      </c>
    </row>
    <row r="7476" spans="1:12" hidden="1" outlineLevel="1" collapsed="1" x14ac:dyDescent="0.35">
      <c r="A7476" s="112" t="s">
        <v>5553</v>
      </c>
      <c r="B7476" s="112" t="s">
        <v>927</v>
      </c>
      <c r="C7476" s="112" t="s">
        <v>1219</v>
      </c>
      <c r="D7476" s="113">
        <v>46307382</v>
      </c>
      <c r="E7476" s="115">
        <v>43941</v>
      </c>
      <c r="F7476" s="114">
        <v>202101</v>
      </c>
      <c r="G7476" s="112" t="s">
        <v>1091</v>
      </c>
      <c r="H7476" s="112" t="s">
        <v>1015</v>
      </c>
      <c r="I7476" s="112" t="s">
        <v>1605</v>
      </c>
      <c r="J7476" s="112" t="s">
        <v>5554</v>
      </c>
      <c r="K7476" s="112" t="s">
        <v>5555</v>
      </c>
      <c r="L7476" s="116">
        <v>10000</v>
      </c>
    </row>
    <row r="7477" spans="1:12" hidden="1" outlineLevel="1" collapsed="1" x14ac:dyDescent="0.35">
      <c r="A7477" s="112" t="s">
        <v>5553</v>
      </c>
      <c r="B7477" s="112" t="s">
        <v>927</v>
      </c>
      <c r="C7477" s="112" t="s">
        <v>1219</v>
      </c>
      <c r="D7477" s="113">
        <v>46307381</v>
      </c>
      <c r="E7477" s="115">
        <v>43941</v>
      </c>
      <c r="F7477" s="114">
        <v>202101</v>
      </c>
      <c r="G7477" s="112" t="s">
        <v>1091</v>
      </c>
      <c r="H7477" s="112" t="s">
        <v>1015</v>
      </c>
      <c r="I7477" s="112" t="s">
        <v>1605</v>
      </c>
      <c r="J7477" s="112" t="s">
        <v>5554</v>
      </c>
      <c r="K7477" s="112" t="s">
        <v>5556</v>
      </c>
      <c r="L7477" s="116">
        <v>10000</v>
      </c>
    </row>
    <row r="7478" spans="1:12" hidden="1" outlineLevel="1" collapsed="1" x14ac:dyDescent="0.35">
      <c r="A7478" s="112" t="s">
        <v>5553</v>
      </c>
      <c r="B7478" s="112" t="s">
        <v>927</v>
      </c>
      <c r="C7478" s="112" t="s">
        <v>1219</v>
      </c>
      <c r="D7478" s="113">
        <v>46307407</v>
      </c>
      <c r="E7478" s="115">
        <v>43941</v>
      </c>
      <c r="F7478" s="114">
        <v>202101</v>
      </c>
      <c r="G7478" s="112" t="s">
        <v>1091</v>
      </c>
      <c r="H7478" s="112" t="s">
        <v>1015</v>
      </c>
      <c r="I7478" s="112" t="s">
        <v>1605</v>
      </c>
      <c r="J7478" s="112" t="s">
        <v>5554</v>
      </c>
      <c r="K7478" s="112" t="s">
        <v>5555</v>
      </c>
      <c r="L7478" s="116">
        <v>25000</v>
      </c>
    </row>
    <row r="7479" spans="1:12" hidden="1" outlineLevel="1" collapsed="1" x14ac:dyDescent="0.35">
      <c r="A7479" s="112" t="s">
        <v>5553</v>
      </c>
      <c r="B7479" s="112" t="s">
        <v>927</v>
      </c>
      <c r="C7479" s="112" t="s">
        <v>1095</v>
      </c>
      <c r="D7479" s="113">
        <v>10348451</v>
      </c>
      <c r="E7479" s="115">
        <v>43949</v>
      </c>
      <c r="F7479" s="114">
        <v>202101</v>
      </c>
      <c r="G7479" s="112" t="s">
        <v>1091</v>
      </c>
      <c r="H7479" s="112" t="s">
        <v>1015</v>
      </c>
      <c r="I7479" s="112" t="s">
        <v>1101</v>
      </c>
      <c r="J7479" s="112" t="s">
        <v>5554</v>
      </c>
      <c r="K7479" s="112" t="s">
        <v>1098</v>
      </c>
      <c r="L7479" s="116">
        <v>366.04</v>
      </c>
    </row>
    <row r="7480" spans="1:12" hidden="1" outlineLevel="1" collapsed="1" x14ac:dyDescent="0.35">
      <c r="A7480" s="112" t="s">
        <v>5553</v>
      </c>
      <c r="B7480" s="112" t="s">
        <v>927</v>
      </c>
      <c r="C7480" s="112" t="s">
        <v>1095</v>
      </c>
      <c r="D7480" s="113">
        <v>10348451</v>
      </c>
      <c r="E7480" s="115">
        <v>43949</v>
      </c>
      <c r="F7480" s="114">
        <v>202101</v>
      </c>
      <c r="G7480" s="112" t="s">
        <v>1091</v>
      </c>
      <c r="H7480" s="112" t="s">
        <v>1015</v>
      </c>
      <c r="I7480" s="112" t="s">
        <v>1205</v>
      </c>
      <c r="J7480" s="112" t="s">
        <v>5557</v>
      </c>
      <c r="K7480" s="112" t="s">
        <v>1098</v>
      </c>
      <c r="L7480" s="116">
        <v>18</v>
      </c>
    </row>
    <row r="7481" spans="1:12" hidden="1" outlineLevel="1" collapsed="1" x14ac:dyDescent="0.35">
      <c r="A7481" s="112" t="s">
        <v>5553</v>
      </c>
      <c r="B7481" s="112" t="s">
        <v>927</v>
      </c>
      <c r="C7481" s="112" t="s">
        <v>1095</v>
      </c>
      <c r="D7481" s="113">
        <v>10348451</v>
      </c>
      <c r="E7481" s="115">
        <v>43949</v>
      </c>
      <c r="F7481" s="114">
        <v>202101</v>
      </c>
      <c r="G7481" s="112" t="s">
        <v>1091</v>
      </c>
      <c r="H7481" s="112" t="s">
        <v>1015</v>
      </c>
      <c r="I7481" s="112" t="s">
        <v>1096</v>
      </c>
      <c r="J7481" s="112" t="s">
        <v>5557</v>
      </c>
      <c r="K7481" s="112" t="s">
        <v>1098</v>
      </c>
      <c r="L7481" s="116">
        <v>187.45</v>
      </c>
    </row>
    <row r="7482" spans="1:12" hidden="1" outlineLevel="1" collapsed="1" x14ac:dyDescent="0.35">
      <c r="A7482" s="112" t="s">
        <v>5553</v>
      </c>
      <c r="B7482" s="112" t="s">
        <v>926</v>
      </c>
      <c r="C7482" s="112" t="s">
        <v>1095</v>
      </c>
      <c r="D7482" s="113">
        <v>10348451</v>
      </c>
      <c r="E7482" s="115">
        <v>43949</v>
      </c>
      <c r="F7482" s="114">
        <v>202101</v>
      </c>
      <c r="G7482" s="112" t="s">
        <v>1091</v>
      </c>
      <c r="H7482" s="112" t="s">
        <v>1015</v>
      </c>
      <c r="I7482" s="112" t="s">
        <v>1101</v>
      </c>
      <c r="J7482" s="112" t="s">
        <v>5591</v>
      </c>
      <c r="K7482" s="112" t="s">
        <v>1098</v>
      </c>
      <c r="L7482" s="116">
        <v>498.28</v>
      </c>
    </row>
    <row r="7483" spans="1:12" hidden="1" outlineLevel="1" collapsed="1" x14ac:dyDescent="0.35">
      <c r="A7483" s="112" t="s">
        <v>5553</v>
      </c>
      <c r="B7483" s="112" t="s">
        <v>927</v>
      </c>
      <c r="C7483" s="112" t="s">
        <v>1095</v>
      </c>
      <c r="D7483" s="113">
        <v>10348451</v>
      </c>
      <c r="E7483" s="115">
        <v>43949</v>
      </c>
      <c r="F7483" s="114">
        <v>202101</v>
      </c>
      <c r="G7483" s="112" t="s">
        <v>1091</v>
      </c>
      <c r="H7483" s="112" t="s">
        <v>1015</v>
      </c>
      <c r="I7483" s="112" t="s">
        <v>1101</v>
      </c>
      <c r="J7483" s="112" t="s">
        <v>5557</v>
      </c>
      <c r="K7483" s="112" t="s">
        <v>1098</v>
      </c>
      <c r="L7483" s="116">
        <v>338.64</v>
      </c>
    </row>
    <row r="7484" spans="1:12" hidden="1" outlineLevel="1" collapsed="1" x14ac:dyDescent="0.35">
      <c r="A7484" s="112" t="s">
        <v>5553</v>
      </c>
      <c r="B7484" s="112" t="s">
        <v>927</v>
      </c>
      <c r="C7484" s="112" t="s">
        <v>695</v>
      </c>
      <c r="D7484" s="113">
        <v>10347981</v>
      </c>
      <c r="E7484" s="115">
        <v>43924</v>
      </c>
      <c r="F7484" s="114">
        <v>202101</v>
      </c>
      <c r="G7484" s="112" t="s">
        <v>1091</v>
      </c>
      <c r="H7484" s="112" t="s">
        <v>1015</v>
      </c>
      <c r="I7484" s="112" t="s">
        <v>769</v>
      </c>
      <c r="J7484" s="112" t="s">
        <v>5554</v>
      </c>
      <c r="K7484" s="112" t="s">
        <v>5594</v>
      </c>
      <c r="L7484" s="116">
        <v>-228.04</v>
      </c>
    </row>
    <row r="7485" spans="1:12" hidden="1" outlineLevel="1" collapsed="1" x14ac:dyDescent="0.35">
      <c r="A7485" s="112" t="s">
        <v>5553</v>
      </c>
      <c r="B7485" s="112" t="s">
        <v>927</v>
      </c>
      <c r="C7485" s="112" t="s">
        <v>1095</v>
      </c>
      <c r="D7485" s="113">
        <v>10348451</v>
      </c>
      <c r="E7485" s="115">
        <v>43949</v>
      </c>
      <c r="F7485" s="114">
        <v>202101</v>
      </c>
      <c r="G7485" s="112" t="s">
        <v>1091</v>
      </c>
      <c r="H7485" s="112" t="s">
        <v>1015</v>
      </c>
      <c r="I7485" s="112" t="s">
        <v>1205</v>
      </c>
      <c r="J7485" s="112" t="s">
        <v>5557</v>
      </c>
      <c r="K7485" s="112" t="s">
        <v>1098</v>
      </c>
      <c r="L7485" s="116">
        <v>18</v>
      </c>
    </row>
    <row r="7486" spans="1:12" hidden="1" outlineLevel="1" collapsed="1" x14ac:dyDescent="0.35">
      <c r="A7486" s="112" t="s">
        <v>5553</v>
      </c>
      <c r="B7486" s="112" t="s">
        <v>927</v>
      </c>
      <c r="C7486" s="112" t="s">
        <v>1219</v>
      </c>
      <c r="D7486" s="113">
        <v>46307368</v>
      </c>
      <c r="E7486" s="115">
        <v>43941</v>
      </c>
      <c r="F7486" s="114">
        <v>202101</v>
      </c>
      <c r="G7486" s="112" t="s">
        <v>1091</v>
      </c>
      <c r="H7486" s="112" t="s">
        <v>1015</v>
      </c>
      <c r="I7486" s="112" t="s">
        <v>1605</v>
      </c>
      <c r="J7486" s="112" t="s">
        <v>5554</v>
      </c>
      <c r="K7486" s="112" t="s">
        <v>5556</v>
      </c>
      <c r="L7486" s="116">
        <v>10000</v>
      </c>
    </row>
    <row r="7487" spans="1:12" hidden="1" outlineLevel="1" collapsed="1" x14ac:dyDescent="0.35">
      <c r="A7487" s="112" t="s">
        <v>5553</v>
      </c>
      <c r="B7487" s="112" t="s">
        <v>927</v>
      </c>
      <c r="C7487" s="112" t="s">
        <v>1219</v>
      </c>
      <c r="D7487" s="113">
        <v>46307369</v>
      </c>
      <c r="E7487" s="115">
        <v>43941</v>
      </c>
      <c r="F7487" s="114">
        <v>202101</v>
      </c>
      <c r="G7487" s="112" t="s">
        <v>1091</v>
      </c>
      <c r="H7487" s="112" t="s">
        <v>1015</v>
      </c>
      <c r="I7487" s="112" t="s">
        <v>1605</v>
      </c>
      <c r="J7487" s="112" t="s">
        <v>5554</v>
      </c>
      <c r="K7487" s="112" t="s">
        <v>5555</v>
      </c>
      <c r="L7487" s="116">
        <v>25000</v>
      </c>
    </row>
    <row r="7488" spans="1:12" hidden="1" outlineLevel="1" collapsed="1" x14ac:dyDescent="0.35">
      <c r="A7488" s="112" t="s">
        <v>5553</v>
      </c>
      <c r="B7488" s="112" t="s">
        <v>927</v>
      </c>
      <c r="C7488" s="112" t="s">
        <v>1219</v>
      </c>
      <c r="D7488" s="113">
        <v>46307370</v>
      </c>
      <c r="E7488" s="115">
        <v>43941</v>
      </c>
      <c r="F7488" s="114">
        <v>202101</v>
      </c>
      <c r="G7488" s="112" t="s">
        <v>1091</v>
      </c>
      <c r="H7488" s="112" t="s">
        <v>1015</v>
      </c>
      <c r="I7488" s="112" t="s">
        <v>1605</v>
      </c>
      <c r="J7488" s="112" t="s">
        <v>5554</v>
      </c>
      <c r="K7488" s="112" t="s">
        <v>5556</v>
      </c>
      <c r="L7488" s="116">
        <v>10000</v>
      </c>
    </row>
    <row r="7489" spans="1:12" hidden="1" outlineLevel="1" collapsed="1" x14ac:dyDescent="0.35">
      <c r="A7489" s="112" t="s">
        <v>5553</v>
      </c>
      <c r="B7489" s="112" t="s">
        <v>927</v>
      </c>
      <c r="C7489" s="112" t="s">
        <v>1219</v>
      </c>
      <c r="D7489" s="113">
        <v>46307371</v>
      </c>
      <c r="E7489" s="115">
        <v>43941</v>
      </c>
      <c r="F7489" s="114">
        <v>202101</v>
      </c>
      <c r="G7489" s="112" t="s">
        <v>1091</v>
      </c>
      <c r="H7489" s="112" t="s">
        <v>1015</v>
      </c>
      <c r="I7489" s="112" t="s">
        <v>1605</v>
      </c>
      <c r="J7489" s="112" t="s">
        <v>5554</v>
      </c>
      <c r="K7489" s="112" t="s">
        <v>5556</v>
      </c>
      <c r="L7489" s="116">
        <v>10000</v>
      </c>
    </row>
    <row r="7490" spans="1:12" hidden="1" outlineLevel="1" collapsed="1" x14ac:dyDescent="0.35">
      <c r="A7490" s="112" t="s">
        <v>5553</v>
      </c>
      <c r="B7490" s="112" t="s">
        <v>927</v>
      </c>
      <c r="C7490" s="112" t="s">
        <v>1219</v>
      </c>
      <c r="D7490" s="113">
        <v>46308051</v>
      </c>
      <c r="E7490" s="115">
        <v>43950</v>
      </c>
      <c r="F7490" s="114">
        <v>202101</v>
      </c>
      <c r="G7490" s="112" t="s">
        <v>1091</v>
      </c>
      <c r="H7490" s="112" t="s">
        <v>1015</v>
      </c>
      <c r="I7490" s="112" t="s">
        <v>1605</v>
      </c>
      <c r="J7490" s="112" t="s">
        <v>5554</v>
      </c>
      <c r="K7490" s="112" t="s">
        <v>5556</v>
      </c>
      <c r="L7490" s="116">
        <v>10000</v>
      </c>
    </row>
    <row r="7491" spans="1:12" hidden="1" outlineLevel="1" collapsed="1" x14ac:dyDescent="0.35">
      <c r="A7491" s="112" t="s">
        <v>5553</v>
      </c>
      <c r="B7491" s="112" t="s">
        <v>927</v>
      </c>
      <c r="C7491" s="112" t="s">
        <v>1219</v>
      </c>
      <c r="D7491" s="113">
        <v>46308052</v>
      </c>
      <c r="E7491" s="115">
        <v>43950</v>
      </c>
      <c r="F7491" s="114">
        <v>202101</v>
      </c>
      <c r="G7491" s="112" t="s">
        <v>1091</v>
      </c>
      <c r="H7491" s="112" t="s">
        <v>1015</v>
      </c>
      <c r="I7491" s="112" t="s">
        <v>1605</v>
      </c>
      <c r="J7491" s="112" t="s">
        <v>5554</v>
      </c>
      <c r="K7491" s="112" t="s">
        <v>5555</v>
      </c>
      <c r="L7491" s="116">
        <v>10000</v>
      </c>
    </row>
    <row r="7492" spans="1:12" hidden="1" outlineLevel="1" collapsed="1" x14ac:dyDescent="0.35">
      <c r="A7492" s="112" t="s">
        <v>5553</v>
      </c>
      <c r="B7492" s="112" t="s">
        <v>927</v>
      </c>
      <c r="C7492" s="112" t="s">
        <v>1095</v>
      </c>
      <c r="D7492" s="113">
        <v>10348451</v>
      </c>
      <c r="E7492" s="115">
        <v>43949</v>
      </c>
      <c r="F7492" s="114">
        <v>202101</v>
      </c>
      <c r="G7492" s="112" t="s">
        <v>1091</v>
      </c>
      <c r="H7492" s="112" t="s">
        <v>1015</v>
      </c>
      <c r="I7492" s="112" t="s">
        <v>1205</v>
      </c>
      <c r="J7492" s="112" t="s">
        <v>5557</v>
      </c>
      <c r="K7492" s="112" t="s">
        <v>1098</v>
      </c>
      <c r="L7492" s="116">
        <v>18</v>
      </c>
    </row>
    <row r="7493" spans="1:12" hidden="1" outlineLevel="1" collapsed="1" x14ac:dyDescent="0.35">
      <c r="A7493" s="112" t="s">
        <v>5553</v>
      </c>
      <c r="B7493" s="112" t="s">
        <v>927</v>
      </c>
      <c r="C7493" s="112" t="s">
        <v>1219</v>
      </c>
      <c r="D7493" s="113">
        <v>46307363</v>
      </c>
      <c r="E7493" s="115">
        <v>43941</v>
      </c>
      <c r="F7493" s="114">
        <v>202101</v>
      </c>
      <c r="G7493" s="112" t="s">
        <v>1091</v>
      </c>
      <c r="H7493" s="112" t="s">
        <v>1015</v>
      </c>
      <c r="I7493" s="112" t="s">
        <v>1605</v>
      </c>
      <c r="J7493" s="112" t="s">
        <v>5554</v>
      </c>
      <c r="K7493" s="112" t="s">
        <v>5556</v>
      </c>
      <c r="L7493" s="116">
        <v>10000</v>
      </c>
    </row>
    <row r="7494" spans="1:12" hidden="1" outlineLevel="1" collapsed="1" x14ac:dyDescent="0.35">
      <c r="A7494" s="112" t="s">
        <v>5553</v>
      </c>
      <c r="B7494" s="112" t="s">
        <v>927</v>
      </c>
      <c r="C7494" s="112" t="s">
        <v>1219</v>
      </c>
      <c r="D7494" s="113">
        <v>46307364</v>
      </c>
      <c r="E7494" s="115">
        <v>43941</v>
      </c>
      <c r="F7494" s="114">
        <v>202101</v>
      </c>
      <c r="G7494" s="112" t="s">
        <v>1091</v>
      </c>
      <c r="H7494" s="112" t="s">
        <v>1015</v>
      </c>
      <c r="I7494" s="112" t="s">
        <v>1605</v>
      </c>
      <c r="J7494" s="112" t="s">
        <v>5554</v>
      </c>
      <c r="K7494" s="112" t="s">
        <v>5555</v>
      </c>
      <c r="L7494" s="116">
        <v>10000</v>
      </c>
    </row>
    <row r="7495" spans="1:12" hidden="1" outlineLevel="1" collapsed="1" x14ac:dyDescent="0.35">
      <c r="A7495" s="112" t="s">
        <v>5553</v>
      </c>
      <c r="B7495" s="112" t="s">
        <v>927</v>
      </c>
      <c r="C7495" s="112" t="s">
        <v>1219</v>
      </c>
      <c r="D7495" s="113">
        <v>46307365</v>
      </c>
      <c r="E7495" s="115">
        <v>43941</v>
      </c>
      <c r="F7495" s="114">
        <v>202101</v>
      </c>
      <c r="G7495" s="112" t="s">
        <v>1091</v>
      </c>
      <c r="H7495" s="112" t="s">
        <v>1015</v>
      </c>
      <c r="I7495" s="112" t="s">
        <v>1605</v>
      </c>
      <c r="J7495" s="112" t="s">
        <v>5554</v>
      </c>
      <c r="K7495" s="112" t="s">
        <v>5556</v>
      </c>
      <c r="L7495" s="116">
        <v>10000</v>
      </c>
    </row>
    <row r="7496" spans="1:12" hidden="1" outlineLevel="1" collapsed="1" x14ac:dyDescent="0.35">
      <c r="A7496" s="112" t="s">
        <v>5553</v>
      </c>
      <c r="B7496" s="112" t="s">
        <v>927</v>
      </c>
      <c r="C7496" s="112" t="s">
        <v>1219</v>
      </c>
      <c r="D7496" s="113">
        <v>46307366</v>
      </c>
      <c r="E7496" s="115">
        <v>43941</v>
      </c>
      <c r="F7496" s="114">
        <v>202101</v>
      </c>
      <c r="G7496" s="112" t="s">
        <v>1091</v>
      </c>
      <c r="H7496" s="112" t="s">
        <v>1015</v>
      </c>
      <c r="I7496" s="112" t="s">
        <v>1605</v>
      </c>
      <c r="J7496" s="112" t="s">
        <v>5554</v>
      </c>
      <c r="K7496" s="112" t="s">
        <v>5556</v>
      </c>
      <c r="L7496" s="116">
        <v>10000</v>
      </c>
    </row>
    <row r="7497" spans="1:12" hidden="1" outlineLevel="1" collapsed="1" x14ac:dyDescent="0.35">
      <c r="A7497" s="112" t="s">
        <v>5553</v>
      </c>
      <c r="B7497" s="112" t="s">
        <v>927</v>
      </c>
      <c r="C7497" s="112" t="s">
        <v>1219</v>
      </c>
      <c r="D7497" s="113">
        <v>46307367</v>
      </c>
      <c r="E7497" s="115">
        <v>43941</v>
      </c>
      <c r="F7497" s="114">
        <v>202101</v>
      </c>
      <c r="G7497" s="112" t="s">
        <v>1091</v>
      </c>
      <c r="H7497" s="112" t="s">
        <v>1015</v>
      </c>
      <c r="I7497" s="112" t="s">
        <v>1605</v>
      </c>
      <c r="J7497" s="112" t="s">
        <v>5554</v>
      </c>
      <c r="K7497" s="112" t="s">
        <v>5556</v>
      </c>
      <c r="L7497" s="116">
        <v>10000</v>
      </c>
    </row>
    <row r="7498" spans="1:12" hidden="1" outlineLevel="1" collapsed="1" x14ac:dyDescent="0.35">
      <c r="A7498" s="112" t="s">
        <v>5553</v>
      </c>
      <c r="B7498" s="112" t="s">
        <v>927</v>
      </c>
      <c r="C7498" s="112" t="s">
        <v>1219</v>
      </c>
      <c r="D7498" s="113">
        <v>46307372</v>
      </c>
      <c r="E7498" s="115">
        <v>43941</v>
      </c>
      <c r="F7498" s="114">
        <v>202101</v>
      </c>
      <c r="G7498" s="112" t="s">
        <v>1091</v>
      </c>
      <c r="H7498" s="112" t="s">
        <v>1015</v>
      </c>
      <c r="I7498" s="112" t="s">
        <v>1605</v>
      </c>
      <c r="J7498" s="112" t="s">
        <v>5554</v>
      </c>
      <c r="K7498" s="112" t="s">
        <v>5556</v>
      </c>
      <c r="L7498" s="116">
        <v>10000</v>
      </c>
    </row>
    <row r="7499" spans="1:12" hidden="1" outlineLevel="1" collapsed="1" x14ac:dyDescent="0.35">
      <c r="A7499" s="112" t="s">
        <v>5553</v>
      </c>
      <c r="B7499" s="112" t="s">
        <v>927</v>
      </c>
      <c r="C7499" s="112" t="s">
        <v>1219</v>
      </c>
      <c r="D7499" s="113">
        <v>46307373</v>
      </c>
      <c r="E7499" s="115">
        <v>43941</v>
      </c>
      <c r="F7499" s="114">
        <v>202101</v>
      </c>
      <c r="G7499" s="112" t="s">
        <v>1091</v>
      </c>
      <c r="H7499" s="112" t="s">
        <v>1015</v>
      </c>
      <c r="I7499" s="112" t="s">
        <v>1605</v>
      </c>
      <c r="J7499" s="112" t="s">
        <v>5554</v>
      </c>
      <c r="K7499" s="112" t="s">
        <v>5555</v>
      </c>
      <c r="L7499" s="116">
        <v>25000</v>
      </c>
    </row>
    <row r="7500" spans="1:12" hidden="1" outlineLevel="1" collapsed="1" x14ac:dyDescent="0.35">
      <c r="A7500" s="112" t="s">
        <v>5553</v>
      </c>
      <c r="B7500" s="112" t="s">
        <v>927</v>
      </c>
      <c r="C7500" s="112" t="s">
        <v>1219</v>
      </c>
      <c r="D7500" s="113">
        <v>46307374</v>
      </c>
      <c r="E7500" s="115">
        <v>43941</v>
      </c>
      <c r="F7500" s="114">
        <v>202101</v>
      </c>
      <c r="G7500" s="112" t="s">
        <v>1091</v>
      </c>
      <c r="H7500" s="112" t="s">
        <v>1015</v>
      </c>
      <c r="I7500" s="112" t="s">
        <v>1605</v>
      </c>
      <c r="J7500" s="112" t="s">
        <v>5554</v>
      </c>
      <c r="K7500" s="112" t="s">
        <v>5555</v>
      </c>
      <c r="L7500" s="116">
        <v>25000</v>
      </c>
    </row>
    <row r="7501" spans="1:12" hidden="1" outlineLevel="1" collapsed="1" x14ac:dyDescent="0.35">
      <c r="A7501" s="112" t="s">
        <v>5553</v>
      </c>
      <c r="B7501" s="112" t="s">
        <v>927</v>
      </c>
      <c r="C7501" s="112" t="s">
        <v>1219</v>
      </c>
      <c r="D7501" s="113">
        <v>46307375</v>
      </c>
      <c r="E7501" s="115">
        <v>43941</v>
      </c>
      <c r="F7501" s="114">
        <v>202101</v>
      </c>
      <c r="G7501" s="112" t="s">
        <v>1091</v>
      </c>
      <c r="H7501" s="112" t="s">
        <v>1015</v>
      </c>
      <c r="I7501" s="112" t="s">
        <v>1605</v>
      </c>
      <c r="J7501" s="112" t="s">
        <v>5554</v>
      </c>
      <c r="K7501" s="112" t="s">
        <v>5556</v>
      </c>
      <c r="L7501" s="116">
        <v>10000</v>
      </c>
    </row>
    <row r="7502" spans="1:12" hidden="1" outlineLevel="1" collapsed="1" x14ac:dyDescent="0.35">
      <c r="A7502" s="112" t="s">
        <v>5553</v>
      </c>
      <c r="B7502" s="112" t="s">
        <v>927</v>
      </c>
      <c r="C7502" s="112" t="s">
        <v>1219</v>
      </c>
      <c r="D7502" s="113">
        <v>46307376</v>
      </c>
      <c r="E7502" s="115">
        <v>43941</v>
      </c>
      <c r="F7502" s="114">
        <v>202101</v>
      </c>
      <c r="G7502" s="112" t="s">
        <v>1091</v>
      </c>
      <c r="H7502" s="112" t="s">
        <v>1015</v>
      </c>
      <c r="I7502" s="112" t="s">
        <v>1605</v>
      </c>
      <c r="J7502" s="112" t="s">
        <v>5554</v>
      </c>
      <c r="K7502" s="112" t="s">
        <v>5556</v>
      </c>
      <c r="L7502" s="116">
        <v>10000</v>
      </c>
    </row>
    <row r="7503" spans="1:12" hidden="1" outlineLevel="1" collapsed="1" x14ac:dyDescent="0.35">
      <c r="A7503" s="112" t="s">
        <v>5553</v>
      </c>
      <c r="B7503" s="112" t="s">
        <v>927</v>
      </c>
      <c r="C7503" s="112" t="s">
        <v>1219</v>
      </c>
      <c r="D7503" s="113">
        <v>46307377</v>
      </c>
      <c r="E7503" s="115">
        <v>43941</v>
      </c>
      <c r="F7503" s="114">
        <v>202101</v>
      </c>
      <c r="G7503" s="112" t="s">
        <v>1091</v>
      </c>
      <c r="H7503" s="112" t="s">
        <v>1015</v>
      </c>
      <c r="I7503" s="112" t="s">
        <v>1605</v>
      </c>
      <c r="J7503" s="112" t="s">
        <v>5554</v>
      </c>
      <c r="K7503" s="112" t="s">
        <v>5555</v>
      </c>
      <c r="L7503" s="116">
        <v>25000</v>
      </c>
    </row>
    <row r="7504" spans="1:12" hidden="1" outlineLevel="1" collapsed="1" x14ac:dyDescent="0.35">
      <c r="A7504" s="112" t="s">
        <v>5553</v>
      </c>
      <c r="B7504" s="112" t="s">
        <v>927</v>
      </c>
      <c r="C7504" s="112" t="s">
        <v>1219</v>
      </c>
      <c r="D7504" s="113">
        <v>46307378</v>
      </c>
      <c r="E7504" s="115">
        <v>43941</v>
      </c>
      <c r="F7504" s="114">
        <v>202101</v>
      </c>
      <c r="G7504" s="112" t="s">
        <v>1091</v>
      </c>
      <c r="H7504" s="112" t="s">
        <v>1015</v>
      </c>
      <c r="I7504" s="112" t="s">
        <v>1605</v>
      </c>
      <c r="J7504" s="112" t="s">
        <v>5554</v>
      </c>
      <c r="K7504" s="112" t="s">
        <v>5555</v>
      </c>
      <c r="L7504" s="116">
        <v>25000</v>
      </c>
    </row>
    <row r="7505" spans="1:12" hidden="1" outlineLevel="1" collapsed="1" x14ac:dyDescent="0.35">
      <c r="A7505" s="112" t="s">
        <v>5553</v>
      </c>
      <c r="B7505" s="112" t="s">
        <v>927</v>
      </c>
      <c r="C7505" s="112" t="s">
        <v>1219</v>
      </c>
      <c r="D7505" s="113">
        <v>46307379</v>
      </c>
      <c r="E7505" s="115">
        <v>43941</v>
      </c>
      <c r="F7505" s="114">
        <v>202101</v>
      </c>
      <c r="G7505" s="112" t="s">
        <v>1091</v>
      </c>
      <c r="H7505" s="112" t="s">
        <v>1015</v>
      </c>
      <c r="I7505" s="112" t="s">
        <v>1605</v>
      </c>
      <c r="J7505" s="112" t="s">
        <v>5554</v>
      </c>
      <c r="K7505" s="112" t="s">
        <v>5556</v>
      </c>
      <c r="L7505" s="116">
        <v>10000</v>
      </c>
    </row>
    <row r="7506" spans="1:12" hidden="1" outlineLevel="1" collapsed="1" x14ac:dyDescent="0.35">
      <c r="A7506" s="112" t="s">
        <v>5553</v>
      </c>
      <c r="B7506" s="112" t="s">
        <v>927</v>
      </c>
      <c r="C7506" s="112" t="s">
        <v>1095</v>
      </c>
      <c r="D7506" s="113">
        <v>10348451</v>
      </c>
      <c r="E7506" s="115">
        <v>43949</v>
      </c>
      <c r="F7506" s="114">
        <v>202101</v>
      </c>
      <c r="G7506" s="112" t="s">
        <v>1091</v>
      </c>
      <c r="H7506" s="112" t="s">
        <v>1015</v>
      </c>
      <c r="I7506" s="112" t="s">
        <v>1205</v>
      </c>
      <c r="J7506" s="112" t="s">
        <v>5557</v>
      </c>
      <c r="K7506" s="112" t="s">
        <v>1098</v>
      </c>
      <c r="L7506" s="116">
        <v>18</v>
      </c>
    </row>
    <row r="7507" spans="1:12" hidden="1" outlineLevel="1" collapsed="1" x14ac:dyDescent="0.35">
      <c r="A7507" s="112" t="s">
        <v>5553</v>
      </c>
      <c r="B7507" s="112" t="s">
        <v>927</v>
      </c>
      <c r="C7507" s="112" t="s">
        <v>1219</v>
      </c>
      <c r="D7507" s="113">
        <v>46307408</v>
      </c>
      <c r="E7507" s="115">
        <v>43941</v>
      </c>
      <c r="F7507" s="114">
        <v>202101</v>
      </c>
      <c r="G7507" s="112" t="s">
        <v>1091</v>
      </c>
      <c r="H7507" s="112" t="s">
        <v>1015</v>
      </c>
      <c r="I7507" s="112" t="s">
        <v>1605</v>
      </c>
      <c r="J7507" s="112" t="s">
        <v>5554</v>
      </c>
      <c r="K7507" s="112" t="s">
        <v>5555</v>
      </c>
      <c r="L7507" s="116">
        <v>25000</v>
      </c>
    </row>
    <row r="7508" spans="1:12" hidden="1" outlineLevel="1" collapsed="1" x14ac:dyDescent="0.35">
      <c r="A7508" s="112" t="s">
        <v>5553</v>
      </c>
      <c r="B7508" s="112" t="s">
        <v>927</v>
      </c>
      <c r="C7508" s="112" t="s">
        <v>1219</v>
      </c>
      <c r="D7508" s="113">
        <v>46307530</v>
      </c>
      <c r="E7508" s="115">
        <v>43942</v>
      </c>
      <c r="F7508" s="114">
        <v>202101</v>
      </c>
      <c r="G7508" s="112" t="s">
        <v>1091</v>
      </c>
      <c r="H7508" s="112" t="s">
        <v>1015</v>
      </c>
      <c r="I7508" s="112" t="s">
        <v>1605</v>
      </c>
      <c r="J7508" s="112" t="s">
        <v>5554</v>
      </c>
      <c r="K7508" s="112" t="s">
        <v>5556</v>
      </c>
      <c r="L7508" s="116">
        <v>10000</v>
      </c>
    </row>
    <row r="7509" spans="1:12" hidden="1" outlineLevel="1" collapsed="1" x14ac:dyDescent="0.35">
      <c r="A7509" s="112" t="s">
        <v>5553</v>
      </c>
      <c r="B7509" s="112" t="s">
        <v>927</v>
      </c>
      <c r="C7509" s="112" t="s">
        <v>1219</v>
      </c>
      <c r="D7509" s="113">
        <v>46307306</v>
      </c>
      <c r="E7509" s="115">
        <v>43938</v>
      </c>
      <c r="F7509" s="114">
        <v>202101</v>
      </c>
      <c r="G7509" s="112" t="s">
        <v>1091</v>
      </c>
      <c r="H7509" s="112" t="s">
        <v>1015</v>
      </c>
      <c r="I7509" s="112" t="s">
        <v>1605</v>
      </c>
      <c r="J7509" s="112" t="s">
        <v>5554</v>
      </c>
      <c r="K7509" s="112" t="s">
        <v>5556</v>
      </c>
      <c r="L7509" s="116">
        <v>10000</v>
      </c>
    </row>
    <row r="7510" spans="1:12" hidden="1" outlineLevel="1" collapsed="1" x14ac:dyDescent="0.35">
      <c r="A7510" s="112" t="s">
        <v>5553</v>
      </c>
      <c r="B7510" s="112" t="s">
        <v>927</v>
      </c>
      <c r="C7510" s="112" t="s">
        <v>1095</v>
      </c>
      <c r="D7510" s="113">
        <v>10348451</v>
      </c>
      <c r="E7510" s="115">
        <v>43949</v>
      </c>
      <c r="F7510" s="114">
        <v>202101</v>
      </c>
      <c r="G7510" s="112" t="s">
        <v>1091</v>
      </c>
      <c r="H7510" s="112" t="s">
        <v>1015</v>
      </c>
      <c r="I7510" s="112" t="s">
        <v>1116</v>
      </c>
      <c r="J7510" s="112" t="s">
        <v>5554</v>
      </c>
      <c r="K7510" s="112" t="s">
        <v>1098</v>
      </c>
      <c r="L7510" s="116">
        <v>2559.75</v>
      </c>
    </row>
    <row r="7511" spans="1:12" hidden="1" outlineLevel="1" collapsed="1" x14ac:dyDescent="0.35">
      <c r="A7511" s="112" t="s">
        <v>5553</v>
      </c>
      <c r="B7511" s="112" t="s">
        <v>927</v>
      </c>
      <c r="C7511" s="112" t="s">
        <v>1095</v>
      </c>
      <c r="D7511" s="113">
        <v>10348451</v>
      </c>
      <c r="E7511" s="115">
        <v>43949</v>
      </c>
      <c r="F7511" s="114">
        <v>202101</v>
      </c>
      <c r="G7511" s="112" t="s">
        <v>1091</v>
      </c>
      <c r="H7511" s="112" t="s">
        <v>1015</v>
      </c>
      <c r="I7511" s="112" t="s">
        <v>1116</v>
      </c>
      <c r="J7511" s="112" t="s">
        <v>5557</v>
      </c>
      <c r="K7511" s="112" t="s">
        <v>1098</v>
      </c>
      <c r="L7511" s="116">
        <v>2090.37</v>
      </c>
    </row>
    <row r="7512" spans="1:12" hidden="1" outlineLevel="1" collapsed="1" x14ac:dyDescent="0.35">
      <c r="A7512" s="112" t="s">
        <v>5553</v>
      </c>
      <c r="B7512" s="112" t="s">
        <v>927</v>
      </c>
      <c r="C7512" s="112" t="s">
        <v>1095</v>
      </c>
      <c r="D7512" s="113">
        <v>10348451</v>
      </c>
      <c r="E7512" s="115">
        <v>43949</v>
      </c>
      <c r="F7512" s="114">
        <v>202101</v>
      </c>
      <c r="G7512" s="112" t="s">
        <v>1091</v>
      </c>
      <c r="H7512" s="112" t="s">
        <v>1015</v>
      </c>
      <c r="I7512" s="112" t="s">
        <v>1116</v>
      </c>
      <c r="J7512" s="112" t="s">
        <v>5557</v>
      </c>
      <c r="K7512" s="112" t="s">
        <v>1098</v>
      </c>
      <c r="L7512" s="116">
        <v>2343.75</v>
      </c>
    </row>
    <row r="7513" spans="1:12" hidden="1" outlineLevel="1" collapsed="1" x14ac:dyDescent="0.35">
      <c r="A7513" s="112" t="s">
        <v>5553</v>
      </c>
      <c r="B7513" s="112" t="s">
        <v>927</v>
      </c>
      <c r="C7513" s="112" t="s">
        <v>1095</v>
      </c>
      <c r="D7513" s="113">
        <v>10348451</v>
      </c>
      <c r="E7513" s="115">
        <v>43949</v>
      </c>
      <c r="F7513" s="114">
        <v>202101</v>
      </c>
      <c r="G7513" s="112" t="s">
        <v>1091</v>
      </c>
      <c r="H7513" s="112" t="s">
        <v>1015</v>
      </c>
      <c r="I7513" s="112" t="s">
        <v>1116</v>
      </c>
      <c r="J7513" s="112" t="s">
        <v>5557</v>
      </c>
      <c r="K7513" s="112" t="s">
        <v>1098</v>
      </c>
      <c r="L7513" s="116">
        <v>1900.34</v>
      </c>
    </row>
    <row r="7514" spans="1:12" hidden="1" outlineLevel="1" collapsed="1" x14ac:dyDescent="0.35">
      <c r="A7514" s="112" t="s">
        <v>5553</v>
      </c>
      <c r="B7514" s="112" t="s">
        <v>927</v>
      </c>
      <c r="C7514" s="112" t="s">
        <v>1095</v>
      </c>
      <c r="D7514" s="113">
        <v>10348451</v>
      </c>
      <c r="E7514" s="115">
        <v>43949</v>
      </c>
      <c r="F7514" s="114">
        <v>202101</v>
      </c>
      <c r="G7514" s="112" t="s">
        <v>1091</v>
      </c>
      <c r="H7514" s="112" t="s">
        <v>1015</v>
      </c>
      <c r="I7514" s="112" t="s">
        <v>1116</v>
      </c>
      <c r="J7514" s="112" t="s">
        <v>5557</v>
      </c>
      <c r="K7514" s="112" t="s">
        <v>1098</v>
      </c>
      <c r="L7514" s="116">
        <v>2259.5</v>
      </c>
    </row>
    <row r="7515" spans="1:12" hidden="1" outlineLevel="1" collapsed="1" x14ac:dyDescent="0.35">
      <c r="A7515" s="112" t="s">
        <v>5553</v>
      </c>
      <c r="B7515" s="112" t="s">
        <v>927</v>
      </c>
      <c r="C7515" s="112" t="s">
        <v>1095</v>
      </c>
      <c r="D7515" s="113">
        <v>10348451</v>
      </c>
      <c r="E7515" s="115">
        <v>43949</v>
      </c>
      <c r="F7515" s="114">
        <v>202101</v>
      </c>
      <c r="G7515" s="112" t="s">
        <v>1091</v>
      </c>
      <c r="H7515" s="112" t="s">
        <v>1015</v>
      </c>
      <c r="I7515" s="112" t="s">
        <v>1116</v>
      </c>
      <c r="J7515" s="112" t="s">
        <v>5554</v>
      </c>
      <c r="K7515" s="112" t="s">
        <v>1098</v>
      </c>
      <c r="L7515" s="116">
        <v>2259.5</v>
      </c>
    </row>
    <row r="7516" spans="1:12" hidden="1" outlineLevel="1" collapsed="1" x14ac:dyDescent="0.35">
      <c r="A7516" s="112" t="s">
        <v>5553</v>
      </c>
      <c r="B7516" s="112" t="s">
        <v>927</v>
      </c>
      <c r="C7516" s="112" t="s">
        <v>1095</v>
      </c>
      <c r="D7516" s="113">
        <v>10348451</v>
      </c>
      <c r="E7516" s="115">
        <v>43949</v>
      </c>
      <c r="F7516" s="114">
        <v>202101</v>
      </c>
      <c r="G7516" s="112" t="s">
        <v>1091</v>
      </c>
      <c r="H7516" s="112" t="s">
        <v>1015</v>
      </c>
      <c r="I7516" s="112" t="s">
        <v>1116</v>
      </c>
      <c r="J7516" s="112" t="s">
        <v>5554</v>
      </c>
      <c r="K7516" s="112" t="s">
        <v>1098</v>
      </c>
      <c r="L7516" s="116">
        <v>2259.5</v>
      </c>
    </row>
    <row r="7517" spans="1:12" hidden="1" outlineLevel="1" collapsed="1" x14ac:dyDescent="0.35">
      <c r="A7517" s="112" t="s">
        <v>5553</v>
      </c>
      <c r="B7517" s="112" t="s">
        <v>927</v>
      </c>
      <c r="C7517" s="112" t="s">
        <v>1095</v>
      </c>
      <c r="D7517" s="113">
        <v>10348451</v>
      </c>
      <c r="E7517" s="115">
        <v>43949</v>
      </c>
      <c r="F7517" s="114">
        <v>202101</v>
      </c>
      <c r="G7517" s="112" t="s">
        <v>1091</v>
      </c>
      <c r="H7517" s="112" t="s">
        <v>1015</v>
      </c>
      <c r="I7517" s="112" t="s">
        <v>1116</v>
      </c>
      <c r="J7517" s="112" t="s">
        <v>5554</v>
      </c>
      <c r="K7517" s="112" t="s">
        <v>1098</v>
      </c>
      <c r="L7517" s="116">
        <v>1899.29</v>
      </c>
    </row>
    <row r="7518" spans="1:12" hidden="1" outlineLevel="1" collapsed="1" x14ac:dyDescent="0.35">
      <c r="A7518" s="112" t="s">
        <v>5553</v>
      </c>
      <c r="B7518" s="112" t="s">
        <v>927</v>
      </c>
      <c r="C7518" s="112" t="s">
        <v>1095</v>
      </c>
      <c r="D7518" s="113">
        <v>10348451</v>
      </c>
      <c r="E7518" s="115">
        <v>43949</v>
      </c>
      <c r="F7518" s="114">
        <v>202101</v>
      </c>
      <c r="G7518" s="112" t="s">
        <v>1091</v>
      </c>
      <c r="H7518" s="112" t="s">
        <v>1015</v>
      </c>
      <c r="I7518" s="112" t="s">
        <v>1116</v>
      </c>
      <c r="J7518" s="112" t="s">
        <v>5554</v>
      </c>
      <c r="K7518" s="112" t="s">
        <v>1098</v>
      </c>
      <c r="L7518" s="116">
        <v>1262.42</v>
      </c>
    </row>
    <row r="7519" spans="1:12" hidden="1" outlineLevel="1" collapsed="1" x14ac:dyDescent="0.35">
      <c r="A7519" s="112" t="s">
        <v>5553</v>
      </c>
      <c r="B7519" s="112" t="s">
        <v>927</v>
      </c>
      <c r="C7519" s="112" t="s">
        <v>1095</v>
      </c>
      <c r="D7519" s="113">
        <v>10348451</v>
      </c>
      <c r="E7519" s="115">
        <v>43949</v>
      </c>
      <c r="F7519" s="114">
        <v>202101</v>
      </c>
      <c r="G7519" s="112" t="s">
        <v>1091</v>
      </c>
      <c r="H7519" s="112" t="s">
        <v>1015</v>
      </c>
      <c r="I7519" s="112" t="s">
        <v>1116</v>
      </c>
      <c r="J7519" s="112" t="s">
        <v>5554</v>
      </c>
      <c r="K7519" s="112" t="s">
        <v>1098</v>
      </c>
      <c r="L7519" s="116">
        <v>2259.5</v>
      </c>
    </row>
    <row r="7520" spans="1:12" hidden="1" outlineLevel="1" collapsed="1" x14ac:dyDescent="0.35">
      <c r="A7520" s="112" t="s">
        <v>5553</v>
      </c>
      <c r="B7520" s="112" t="s">
        <v>927</v>
      </c>
      <c r="C7520" s="112" t="s">
        <v>1219</v>
      </c>
      <c r="D7520" s="113">
        <v>46307768</v>
      </c>
      <c r="E7520" s="115">
        <v>43944</v>
      </c>
      <c r="F7520" s="114">
        <v>202101</v>
      </c>
      <c r="G7520" s="112" t="s">
        <v>1091</v>
      </c>
      <c r="H7520" s="112" t="s">
        <v>1015</v>
      </c>
      <c r="I7520" s="112" t="s">
        <v>1605</v>
      </c>
      <c r="J7520" s="112" t="s">
        <v>5554</v>
      </c>
      <c r="K7520" s="112" t="s">
        <v>5555</v>
      </c>
      <c r="L7520" s="116">
        <v>25000</v>
      </c>
    </row>
    <row r="7521" spans="1:12" hidden="1" outlineLevel="1" collapsed="1" x14ac:dyDescent="0.35">
      <c r="A7521" s="112" t="s">
        <v>5553</v>
      </c>
      <c r="B7521" s="112" t="s">
        <v>926</v>
      </c>
      <c r="C7521" s="112" t="s">
        <v>1095</v>
      </c>
      <c r="D7521" s="113">
        <v>10348451</v>
      </c>
      <c r="E7521" s="115">
        <v>43949</v>
      </c>
      <c r="F7521" s="114">
        <v>202101</v>
      </c>
      <c r="G7521" s="112" t="s">
        <v>1091</v>
      </c>
      <c r="H7521" s="112" t="s">
        <v>1015</v>
      </c>
      <c r="I7521" s="112" t="s">
        <v>1096</v>
      </c>
      <c r="J7521" s="112" t="s">
        <v>5567</v>
      </c>
      <c r="K7521" s="112" t="s">
        <v>1098</v>
      </c>
      <c r="L7521" s="116">
        <v>411.93</v>
      </c>
    </row>
    <row r="7522" spans="1:12" hidden="1" outlineLevel="1" collapsed="1" x14ac:dyDescent="0.35">
      <c r="A7522" s="112" t="s">
        <v>5553</v>
      </c>
      <c r="B7522" s="112" t="s">
        <v>924</v>
      </c>
      <c r="C7522" s="112" t="s">
        <v>1099</v>
      </c>
      <c r="D7522" s="113">
        <v>1069378</v>
      </c>
      <c r="E7522" s="115">
        <v>43922</v>
      </c>
      <c r="F7522" s="114">
        <v>202101</v>
      </c>
      <c r="G7522" s="112" t="s">
        <v>1091</v>
      </c>
      <c r="H7522" s="112" t="s">
        <v>1015</v>
      </c>
      <c r="I7522" s="112" t="s">
        <v>763</v>
      </c>
      <c r="J7522" s="112" t="s">
        <v>5558</v>
      </c>
      <c r="K7522" s="112" t="s">
        <v>5595</v>
      </c>
      <c r="L7522" s="116">
        <v>2557.5</v>
      </c>
    </row>
    <row r="7523" spans="1:12" hidden="1" outlineLevel="1" collapsed="1" x14ac:dyDescent="0.35">
      <c r="A7523" s="112" t="s">
        <v>5553</v>
      </c>
      <c r="B7523" s="112" t="s">
        <v>927</v>
      </c>
      <c r="C7523" s="112" t="s">
        <v>1095</v>
      </c>
      <c r="D7523" s="113">
        <v>10348451</v>
      </c>
      <c r="E7523" s="115">
        <v>43949</v>
      </c>
      <c r="F7523" s="114">
        <v>202101</v>
      </c>
      <c r="G7523" s="112" t="s">
        <v>1091</v>
      </c>
      <c r="H7523" s="112" t="s">
        <v>1015</v>
      </c>
      <c r="I7523" s="112" t="s">
        <v>1116</v>
      </c>
      <c r="J7523" s="112" t="s">
        <v>5554</v>
      </c>
      <c r="K7523" s="112" t="s">
        <v>1098</v>
      </c>
      <c r="L7523" s="116">
        <v>2259.5</v>
      </c>
    </row>
    <row r="7524" spans="1:12" hidden="1" outlineLevel="1" collapsed="1" x14ac:dyDescent="0.35">
      <c r="A7524" s="112" t="s">
        <v>5553</v>
      </c>
      <c r="B7524" s="112" t="s">
        <v>926</v>
      </c>
      <c r="C7524" s="112" t="s">
        <v>1095</v>
      </c>
      <c r="D7524" s="113">
        <v>10348451</v>
      </c>
      <c r="E7524" s="115">
        <v>43949</v>
      </c>
      <c r="F7524" s="114">
        <v>202101</v>
      </c>
      <c r="G7524" s="112" t="s">
        <v>1091</v>
      </c>
      <c r="H7524" s="112" t="s">
        <v>1015</v>
      </c>
      <c r="I7524" s="112" t="s">
        <v>1101</v>
      </c>
      <c r="J7524" s="112" t="s">
        <v>5567</v>
      </c>
      <c r="K7524" s="112" t="s">
        <v>1098</v>
      </c>
      <c r="L7524" s="116">
        <v>602.15</v>
      </c>
    </row>
    <row r="7525" spans="1:12" hidden="1" outlineLevel="1" collapsed="1" x14ac:dyDescent="0.35">
      <c r="A7525" s="112" t="s">
        <v>5553</v>
      </c>
      <c r="B7525" s="112" t="s">
        <v>927</v>
      </c>
      <c r="C7525" s="112" t="s">
        <v>1095</v>
      </c>
      <c r="D7525" s="113">
        <v>10348451</v>
      </c>
      <c r="E7525" s="115">
        <v>43949</v>
      </c>
      <c r="F7525" s="114">
        <v>202101</v>
      </c>
      <c r="G7525" s="112" t="s">
        <v>1091</v>
      </c>
      <c r="H7525" s="112" t="s">
        <v>1015</v>
      </c>
      <c r="I7525" s="112" t="s">
        <v>1116</v>
      </c>
      <c r="J7525" s="112" t="s">
        <v>5554</v>
      </c>
      <c r="K7525" s="112" t="s">
        <v>1098</v>
      </c>
      <c r="L7525" s="116">
        <v>2259.5</v>
      </c>
    </row>
    <row r="7526" spans="1:12" hidden="1" outlineLevel="1" collapsed="1" x14ac:dyDescent="0.35">
      <c r="A7526" s="112" t="s">
        <v>5553</v>
      </c>
      <c r="B7526" s="112" t="s">
        <v>927</v>
      </c>
      <c r="C7526" s="112" t="s">
        <v>1095</v>
      </c>
      <c r="D7526" s="113">
        <v>10348451</v>
      </c>
      <c r="E7526" s="115">
        <v>43949</v>
      </c>
      <c r="F7526" s="114">
        <v>202101</v>
      </c>
      <c r="G7526" s="112" t="s">
        <v>1091</v>
      </c>
      <c r="H7526" s="112" t="s">
        <v>1015</v>
      </c>
      <c r="I7526" s="112" t="s">
        <v>1116</v>
      </c>
      <c r="J7526" s="112" t="s">
        <v>5554</v>
      </c>
      <c r="K7526" s="112" t="s">
        <v>1098</v>
      </c>
      <c r="L7526" s="116">
        <v>2259.5</v>
      </c>
    </row>
    <row r="7527" spans="1:12" hidden="1" outlineLevel="1" collapsed="1" x14ac:dyDescent="0.35">
      <c r="A7527" s="112" t="s">
        <v>5553</v>
      </c>
      <c r="B7527" s="112" t="s">
        <v>924</v>
      </c>
      <c r="C7527" s="112" t="s">
        <v>1099</v>
      </c>
      <c r="D7527" s="113">
        <v>1069371</v>
      </c>
      <c r="E7527" s="115">
        <v>43880</v>
      </c>
      <c r="F7527" s="114">
        <v>202101</v>
      </c>
      <c r="G7527" s="112" t="s">
        <v>1091</v>
      </c>
      <c r="H7527" s="112" t="s">
        <v>1015</v>
      </c>
      <c r="I7527" s="112" t="s">
        <v>763</v>
      </c>
      <c r="J7527" s="112" t="s">
        <v>5558</v>
      </c>
      <c r="K7527" s="112" t="s">
        <v>5596</v>
      </c>
      <c r="L7527" s="116">
        <v>14.85</v>
      </c>
    </row>
    <row r="7528" spans="1:12" hidden="1" outlineLevel="1" collapsed="1" x14ac:dyDescent="0.35">
      <c r="A7528" s="112" t="s">
        <v>5553</v>
      </c>
      <c r="B7528" s="112" t="s">
        <v>927</v>
      </c>
      <c r="C7528" s="112" t="s">
        <v>1095</v>
      </c>
      <c r="D7528" s="113">
        <v>10348451</v>
      </c>
      <c r="E7528" s="115">
        <v>43949</v>
      </c>
      <c r="F7528" s="114">
        <v>202101</v>
      </c>
      <c r="G7528" s="112" t="s">
        <v>1091</v>
      </c>
      <c r="H7528" s="112" t="s">
        <v>1015</v>
      </c>
      <c r="I7528" s="112" t="s">
        <v>1096</v>
      </c>
      <c r="J7528" s="112" t="s">
        <v>5554</v>
      </c>
      <c r="K7528" s="112" t="s">
        <v>1098</v>
      </c>
      <c r="L7528" s="116">
        <v>75.959999999999994</v>
      </c>
    </row>
    <row r="7529" spans="1:12" hidden="1" outlineLevel="1" collapsed="1" x14ac:dyDescent="0.35">
      <c r="A7529" s="112" t="s">
        <v>5553</v>
      </c>
      <c r="B7529" s="112" t="s">
        <v>927</v>
      </c>
      <c r="C7529" s="112" t="s">
        <v>1095</v>
      </c>
      <c r="D7529" s="113">
        <v>10348451</v>
      </c>
      <c r="E7529" s="115">
        <v>43949</v>
      </c>
      <c r="F7529" s="114">
        <v>202101</v>
      </c>
      <c r="G7529" s="112" t="s">
        <v>1091</v>
      </c>
      <c r="H7529" s="112" t="s">
        <v>1015</v>
      </c>
      <c r="I7529" s="112" t="s">
        <v>1101</v>
      </c>
      <c r="J7529" s="112" t="s">
        <v>5554</v>
      </c>
      <c r="K7529" s="112" t="s">
        <v>1098</v>
      </c>
      <c r="L7529" s="116">
        <v>207.75</v>
      </c>
    </row>
    <row r="7530" spans="1:12" hidden="1" outlineLevel="1" collapsed="1" x14ac:dyDescent="0.35">
      <c r="A7530" s="112" t="s">
        <v>5553</v>
      </c>
      <c r="B7530" s="112" t="s">
        <v>927</v>
      </c>
      <c r="C7530" s="112" t="s">
        <v>1095</v>
      </c>
      <c r="D7530" s="113">
        <v>10348451</v>
      </c>
      <c r="E7530" s="115">
        <v>43949</v>
      </c>
      <c r="F7530" s="114">
        <v>202101</v>
      </c>
      <c r="G7530" s="112" t="s">
        <v>1091</v>
      </c>
      <c r="H7530" s="112" t="s">
        <v>1015</v>
      </c>
      <c r="I7530" s="112" t="s">
        <v>1101</v>
      </c>
      <c r="J7530" s="112" t="s">
        <v>5557</v>
      </c>
      <c r="K7530" s="112" t="s">
        <v>1098</v>
      </c>
      <c r="L7530" s="116">
        <v>379.69</v>
      </c>
    </row>
    <row r="7531" spans="1:12" hidden="1" outlineLevel="1" collapsed="1" x14ac:dyDescent="0.35">
      <c r="A7531" s="112" t="s">
        <v>5553</v>
      </c>
      <c r="B7531" s="112" t="s">
        <v>927</v>
      </c>
      <c r="C7531" s="112" t="s">
        <v>1095</v>
      </c>
      <c r="D7531" s="113">
        <v>10348451</v>
      </c>
      <c r="E7531" s="115">
        <v>43949</v>
      </c>
      <c r="F7531" s="114">
        <v>202101</v>
      </c>
      <c r="G7531" s="112" t="s">
        <v>1091</v>
      </c>
      <c r="H7531" s="112" t="s">
        <v>1015</v>
      </c>
      <c r="I7531" s="112" t="s">
        <v>1116</v>
      </c>
      <c r="J7531" s="112" t="s">
        <v>5554</v>
      </c>
      <c r="K7531" s="112" t="s">
        <v>1098</v>
      </c>
      <c r="L7531" s="116">
        <v>3075.83</v>
      </c>
    </row>
    <row r="7532" spans="1:12" hidden="1" outlineLevel="1" collapsed="1" x14ac:dyDescent="0.35">
      <c r="A7532" s="112" t="s">
        <v>5553</v>
      </c>
      <c r="B7532" s="112" t="s">
        <v>927</v>
      </c>
      <c r="C7532" s="112" t="s">
        <v>1095</v>
      </c>
      <c r="D7532" s="113">
        <v>10348451</v>
      </c>
      <c r="E7532" s="115">
        <v>43949</v>
      </c>
      <c r="F7532" s="114">
        <v>202101</v>
      </c>
      <c r="G7532" s="112" t="s">
        <v>1091</v>
      </c>
      <c r="H7532" s="112" t="s">
        <v>1015</v>
      </c>
      <c r="I7532" s="112" t="s">
        <v>1116</v>
      </c>
      <c r="J7532" s="112" t="s">
        <v>5554</v>
      </c>
      <c r="K7532" s="112" t="s">
        <v>1098</v>
      </c>
      <c r="L7532" s="116">
        <v>1079.22</v>
      </c>
    </row>
    <row r="7533" spans="1:12" hidden="1" outlineLevel="1" collapsed="1" x14ac:dyDescent="0.35">
      <c r="A7533" s="112" t="s">
        <v>5553</v>
      </c>
      <c r="B7533" s="112" t="s">
        <v>927</v>
      </c>
      <c r="C7533" s="112" t="s">
        <v>1095</v>
      </c>
      <c r="D7533" s="113">
        <v>10348451</v>
      </c>
      <c r="E7533" s="115">
        <v>43949</v>
      </c>
      <c r="F7533" s="114">
        <v>202101</v>
      </c>
      <c r="G7533" s="112" t="s">
        <v>1091</v>
      </c>
      <c r="H7533" s="112" t="s">
        <v>1015</v>
      </c>
      <c r="I7533" s="112" t="s">
        <v>1116</v>
      </c>
      <c r="J7533" s="112" t="s">
        <v>5554</v>
      </c>
      <c r="K7533" s="112" t="s">
        <v>1098</v>
      </c>
      <c r="L7533" s="116">
        <v>2631.25</v>
      </c>
    </row>
    <row r="7534" spans="1:12" hidden="1" outlineLevel="1" collapsed="1" x14ac:dyDescent="0.35">
      <c r="A7534" s="112" t="s">
        <v>5553</v>
      </c>
      <c r="B7534" s="112" t="s">
        <v>927</v>
      </c>
      <c r="C7534" s="112" t="s">
        <v>1095</v>
      </c>
      <c r="D7534" s="113">
        <v>10348451</v>
      </c>
      <c r="E7534" s="115">
        <v>43949</v>
      </c>
      <c r="F7534" s="114">
        <v>202101</v>
      </c>
      <c r="G7534" s="112" t="s">
        <v>1091</v>
      </c>
      <c r="H7534" s="112" t="s">
        <v>1015</v>
      </c>
      <c r="I7534" s="112" t="s">
        <v>1116</v>
      </c>
      <c r="J7534" s="112" t="s">
        <v>5554</v>
      </c>
      <c r="K7534" s="112" t="s">
        <v>1098</v>
      </c>
      <c r="L7534" s="116">
        <v>2559.75</v>
      </c>
    </row>
    <row r="7535" spans="1:12" hidden="1" outlineLevel="1" collapsed="1" x14ac:dyDescent="0.35">
      <c r="A7535" s="112" t="s">
        <v>5553</v>
      </c>
      <c r="B7535" s="112" t="s">
        <v>927</v>
      </c>
      <c r="C7535" s="112" t="s">
        <v>1095</v>
      </c>
      <c r="D7535" s="113">
        <v>10348451</v>
      </c>
      <c r="E7535" s="115">
        <v>43949</v>
      </c>
      <c r="F7535" s="114">
        <v>202101</v>
      </c>
      <c r="G7535" s="112" t="s">
        <v>1091</v>
      </c>
      <c r="H7535" s="112" t="s">
        <v>1015</v>
      </c>
      <c r="I7535" s="112" t="s">
        <v>1116</v>
      </c>
      <c r="J7535" s="112" t="s">
        <v>5554</v>
      </c>
      <c r="K7535" s="112" t="s">
        <v>1098</v>
      </c>
      <c r="L7535" s="116">
        <v>2259.5</v>
      </c>
    </row>
    <row r="7536" spans="1:12" hidden="1" outlineLevel="1" collapsed="1" x14ac:dyDescent="0.35">
      <c r="A7536" s="112" t="s">
        <v>5553</v>
      </c>
      <c r="B7536" s="112" t="s">
        <v>927</v>
      </c>
      <c r="C7536" s="112" t="s">
        <v>1219</v>
      </c>
      <c r="D7536" s="113">
        <v>46307769</v>
      </c>
      <c r="E7536" s="115">
        <v>43944</v>
      </c>
      <c r="F7536" s="114">
        <v>202101</v>
      </c>
      <c r="G7536" s="112" t="s">
        <v>1091</v>
      </c>
      <c r="H7536" s="112" t="s">
        <v>1015</v>
      </c>
      <c r="I7536" s="112" t="s">
        <v>1605</v>
      </c>
      <c r="J7536" s="112" t="s">
        <v>5554</v>
      </c>
      <c r="K7536" s="112" t="s">
        <v>5555</v>
      </c>
      <c r="L7536" s="116">
        <v>25000</v>
      </c>
    </row>
    <row r="7537" spans="1:12" hidden="1" outlineLevel="1" collapsed="1" x14ac:dyDescent="0.35">
      <c r="A7537" s="112" t="s">
        <v>5553</v>
      </c>
      <c r="B7537" s="112" t="s">
        <v>927</v>
      </c>
      <c r="C7537" s="112" t="s">
        <v>1095</v>
      </c>
      <c r="D7537" s="113">
        <v>10348451</v>
      </c>
      <c r="E7537" s="115">
        <v>43949</v>
      </c>
      <c r="F7537" s="114">
        <v>202101</v>
      </c>
      <c r="G7537" s="112" t="s">
        <v>1091</v>
      </c>
      <c r="H7537" s="112" t="s">
        <v>1015</v>
      </c>
      <c r="I7537" s="112" t="s">
        <v>1116</v>
      </c>
      <c r="J7537" s="112" t="s">
        <v>5554</v>
      </c>
      <c r="K7537" s="112" t="s">
        <v>1098</v>
      </c>
      <c r="L7537" s="116">
        <v>1860.48</v>
      </c>
    </row>
    <row r="7538" spans="1:12" hidden="1" outlineLevel="1" collapsed="1" x14ac:dyDescent="0.35">
      <c r="A7538" s="112" t="s">
        <v>5553</v>
      </c>
      <c r="B7538" s="112" t="s">
        <v>927</v>
      </c>
      <c r="C7538" s="112" t="s">
        <v>1095</v>
      </c>
      <c r="D7538" s="113">
        <v>10348451</v>
      </c>
      <c r="E7538" s="115">
        <v>43949</v>
      </c>
      <c r="F7538" s="114">
        <v>202101</v>
      </c>
      <c r="G7538" s="112" t="s">
        <v>1091</v>
      </c>
      <c r="H7538" s="112" t="s">
        <v>1015</v>
      </c>
      <c r="I7538" s="112" t="s">
        <v>1096</v>
      </c>
      <c r="J7538" s="112" t="s">
        <v>5557</v>
      </c>
      <c r="K7538" s="112" t="s">
        <v>1098</v>
      </c>
      <c r="L7538" s="116">
        <v>222.42</v>
      </c>
    </row>
    <row r="7539" spans="1:12" hidden="1" outlineLevel="1" collapsed="1" x14ac:dyDescent="0.35">
      <c r="A7539" s="112" t="s">
        <v>5553</v>
      </c>
      <c r="B7539" s="112" t="s">
        <v>927</v>
      </c>
      <c r="C7539" s="112" t="s">
        <v>1095</v>
      </c>
      <c r="D7539" s="113">
        <v>10348451</v>
      </c>
      <c r="E7539" s="115">
        <v>43949</v>
      </c>
      <c r="F7539" s="114">
        <v>202101</v>
      </c>
      <c r="G7539" s="112" t="s">
        <v>1091</v>
      </c>
      <c r="H7539" s="112" t="s">
        <v>1015</v>
      </c>
      <c r="I7539" s="112" t="s">
        <v>1096</v>
      </c>
      <c r="J7539" s="112" t="s">
        <v>5554</v>
      </c>
      <c r="K7539" s="112" t="s">
        <v>1098</v>
      </c>
      <c r="L7539" s="116">
        <v>134.94999999999999</v>
      </c>
    </row>
    <row r="7540" spans="1:12" hidden="1" outlineLevel="1" collapsed="1" x14ac:dyDescent="0.35">
      <c r="A7540" s="112" t="s">
        <v>5553</v>
      </c>
      <c r="B7540" s="112" t="s">
        <v>925</v>
      </c>
      <c r="C7540" s="112" t="s">
        <v>1095</v>
      </c>
      <c r="D7540" s="113">
        <v>10348451</v>
      </c>
      <c r="E7540" s="115">
        <v>43949</v>
      </c>
      <c r="F7540" s="114">
        <v>202101</v>
      </c>
      <c r="G7540" s="112" t="s">
        <v>1091</v>
      </c>
      <c r="H7540" s="112" t="s">
        <v>1015</v>
      </c>
      <c r="I7540" s="112" t="s">
        <v>1399</v>
      </c>
      <c r="J7540" s="112" t="s">
        <v>5559</v>
      </c>
      <c r="K7540" s="112" t="s">
        <v>1098</v>
      </c>
      <c r="L7540" s="116">
        <v>87.2</v>
      </c>
    </row>
    <row r="7541" spans="1:12" hidden="1" outlineLevel="1" collapsed="1" x14ac:dyDescent="0.35">
      <c r="A7541" s="112" t="s">
        <v>5553</v>
      </c>
      <c r="B7541" s="112" t="s">
        <v>927</v>
      </c>
      <c r="C7541" s="112" t="s">
        <v>1095</v>
      </c>
      <c r="D7541" s="113">
        <v>10348451</v>
      </c>
      <c r="E7541" s="115">
        <v>43949</v>
      </c>
      <c r="F7541" s="114">
        <v>202101</v>
      </c>
      <c r="G7541" s="112" t="s">
        <v>1091</v>
      </c>
      <c r="H7541" s="112" t="s">
        <v>1015</v>
      </c>
      <c r="I7541" s="112" t="s">
        <v>1096</v>
      </c>
      <c r="J7541" s="112" t="s">
        <v>5557</v>
      </c>
      <c r="K7541" s="112" t="s">
        <v>1098</v>
      </c>
      <c r="L7541" s="116">
        <v>144.9</v>
      </c>
    </row>
    <row r="7542" spans="1:12" hidden="1" outlineLevel="1" collapsed="1" x14ac:dyDescent="0.35">
      <c r="A7542" s="112" t="s">
        <v>5553</v>
      </c>
      <c r="B7542" s="112" t="s">
        <v>927</v>
      </c>
      <c r="C7542" s="112" t="s">
        <v>1095</v>
      </c>
      <c r="D7542" s="113">
        <v>10348451</v>
      </c>
      <c r="E7542" s="115">
        <v>43949</v>
      </c>
      <c r="F7542" s="114">
        <v>202101</v>
      </c>
      <c r="G7542" s="112" t="s">
        <v>1091</v>
      </c>
      <c r="H7542" s="112" t="s">
        <v>1015</v>
      </c>
      <c r="I7542" s="112" t="s">
        <v>1116</v>
      </c>
      <c r="J7542" s="112" t="s">
        <v>5554</v>
      </c>
      <c r="K7542" s="112" t="s">
        <v>1098</v>
      </c>
      <c r="L7542" s="116">
        <v>2981.92</v>
      </c>
    </row>
    <row r="7543" spans="1:12" hidden="1" outlineLevel="1" collapsed="1" x14ac:dyDescent="0.35">
      <c r="A7543" s="112" t="s">
        <v>5553</v>
      </c>
      <c r="B7543" s="112" t="s">
        <v>927</v>
      </c>
      <c r="C7543" s="112" t="s">
        <v>1095</v>
      </c>
      <c r="D7543" s="113">
        <v>10348451</v>
      </c>
      <c r="E7543" s="115">
        <v>43949</v>
      </c>
      <c r="F7543" s="114">
        <v>202101</v>
      </c>
      <c r="G7543" s="112" t="s">
        <v>1091</v>
      </c>
      <c r="H7543" s="112" t="s">
        <v>1015</v>
      </c>
      <c r="I7543" s="112" t="s">
        <v>1116</v>
      </c>
      <c r="J7543" s="112" t="s">
        <v>5554</v>
      </c>
      <c r="K7543" s="112" t="s">
        <v>1098</v>
      </c>
      <c r="L7543" s="116">
        <v>1282.42</v>
      </c>
    </row>
    <row r="7544" spans="1:12" hidden="1" outlineLevel="1" collapsed="1" x14ac:dyDescent="0.35">
      <c r="A7544" s="112" t="s">
        <v>5553</v>
      </c>
      <c r="B7544" s="112" t="s">
        <v>927</v>
      </c>
      <c r="C7544" s="112" t="s">
        <v>1095</v>
      </c>
      <c r="D7544" s="113">
        <v>10348451</v>
      </c>
      <c r="E7544" s="115">
        <v>43949</v>
      </c>
      <c r="F7544" s="114">
        <v>202101</v>
      </c>
      <c r="G7544" s="112" t="s">
        <v>1091</v>
      </c>
      <c r="H7544" s="112" t="s">
        <v>1015</v>
      </c>
      <c r="I7544" s="112" t="s">
        <v>1116</v>
      </c>
      <c r="J7544" s="112" t="s">
        <v>5554</v>
      </c>
      <c r="K7544" s="112" t="s">
        <v>1098</v>
      </c>
      <c r="L7544" s="116">
        <v>2259.5</v>
      </c>
    </row>
    <row r="7545" spans="1:12" hidden="1" outlineLevel="1" collapsed="1" x14ac:dyDescent="0.35">
      <c r="A7545" s="112" t="s">
        <v>5553</v>
      </c>
      <c r="B7545" s="112" t="s">
        <v>927</v>
      </c>
      <c r="C7545" s="112" t="s">
        <v>1095</v>
      </c>
      <c r="D7545" s="113">
        <v>10348451</v>
      </c>
      <c r="E7545" s="115">
        <v>43949</v>
      </c>
      <c r="F7545" s="114">
        <v>202101</v>
      </c>
      <c r="G7545" s="112" t="s">
        <v>1091</v>
      </c>
      <c r="H7545" s="112" t="s">
        <v>1015</v>
      </c>
      <c r="I7545" s="112" t="s">
        <v>1116</v>
      </c>
      <c r="J7545" s="112" t="s">
        <v>5554</v>
      </c>
      <c r="K7545" s="112" t="s">
        <v>1098</v>
      </c>
      <c r="L7545" s="116">
        <v>2631.25</v>
      </c>
    </row>
    <row r="7546" spans="1:12" hidden="1" outlineLevel="1" collapsed="1" x14ac:dyDescent="0.35">
      <c r="A7546" s="112" t="s">
        <v>5553</v>
      </c>
      <c r="B7546" s="112" t="s">
        <v>927</v>
      </c>
      <c r="C7546" s="112" t="s">
        <v>1095</v>
      </c>
      <c r="D7546" s="113">
        <v>10348451</v>
      </c>
      <c r="E7546" s="115">
        <v>43949</v>
      </c>
      <c r="F7546" s="114">
        <v>202101</v>
      </c>
      <c r="G7546" s="112" t="s">
        <v>1091</v>
      </c>
      <c r="H7546" s="112" t="s">
        <v>1015</v>
      </c>
      <c r="I7546" s="112" t="s">
        <v>1116</v>
      </c>
      <c r="J7546" s="112" t="s">
        <v>5554</v>
      </c>
      <c r="K7546" s="112" t="s">
        <v>1098</v>
      </c>
      <c r="L7546" s="116">
        <v>2259.5</v>
      </c>
    </row>
    <row r="7547" spans="1:12" hidden="1" outlineLevel="1" collapsed="1" x14ac:dyDescent="0.35">
      <c r="A7547" s="112" t="s">
        <v>5553</v>
      </c>
      <c r="B7547" s="112" t="s">
        <v>927</v>
      </c>
      <c r="C7547" s="112" t="s">
        <v>1095</v>
      </c>
      <c r="D7547" s="113">
        <v>10348451</v>
      </c>
      <c r="E7547" s="115">
        <v>43949</v>
      </c>
      <c r="F7547" s="114">
        <v>202101</v>
      </c>
      <c r="G7547" s="112" t="s">
        <v>1091</v>
      </c>
      <c r="H7547" s="112" t="s">
        <v>1015</v>
      </c>
      <c r="I7547" s="112" t="s">
        <v>1116</v>
      </c>
      <c r="J7547" s="112" t="s">
        <v>5554</v>
      </c>
      <c r="K7547" s="112" t="s">
        <v>1098</v>
      </c>
      <c r="L7547" s="116">
        <v>1807.48</v>
      </c>
    </row>
    <row r="7548" spans="1:12" hidden="1" outlineLevel="1" collapsed="1" x14ac:dyDescent="0.35">
      <c r="A7548" s="112" t="s">
        <v>5553</v>
      </c>
      <c r="B7548" s="112" t="s">
        <v>927</v>
      </c>
      <c r="C7548" s="112" t="s">
        <v>1095</v>
      </c>
      <c r="D7548" s="113">
        <v>10348451</v>
      </c>
      <c r="E7548" s="115">
        <v>43949</v>
      </c>
      <c r="F7548" s="114">
        <v>202101</v>
      </c>
      <c r="G7548" s="112" t="s">
        <v>1091</v>
      </c>
      <c r="H7548" s="112" t="s">
        <v>1015</v>
      </c>
      <c r="I7548" s="112" t="s">
        <v>1116</v>
      </c>
      <c r="J7548" s="112" t="s">
        <v>5554</v>
      </c>
      <c r="K7548" s="112" t="s">
        <v>1098</v>
      </c>
      <c r="L7548" s="116">
        <v>2259.5</v>
      </c>
    </row>
    <row r="7549" spans="1:12" hidden="1" outlineLevel="1" collapsed="1" x14ac:dyDescent="0.35">
      <c r="A7549" s="112" t="s">
        <v>5553</v>
      </c>
      <c r="B7549" s="112" t="s">
        <v>927</v>
      </c>
      <c r="C7549" s="112" t="s">
        <v>1095</v>
      </c>
      <c r="D7549" s="113">
        <v>10348451</v>
      </c>
      <c r="E7549" s="115">
        <v>43949</v>
      </c>
      <c r="F7549" s="114">
        <v>202101</v>
      </c>
      <c r="G7549" s="112" t="s">
        <v>1091</v>
      </c>
      <c r="H7549" s="112" t="s">
        <v>1015</v>
      </c>
      <c r="I7549" s="112" t="s">
        <v>1116</v>
      </c>
      <c r="J7549" s="112" t="s">
        <v>5554</v>
      </c>
      <c r="K7549" s="112" t="s">
        <v>1098</v>
      </c>
      <c r="L7549" s="116">
        <v>2259.5</v>
      </c>
    </row>
    <row r="7550" spans="1:12" hidden="1" outlineLevel="1" collapsed="1" x14ac:dyDescent="0.35">
      <c r="A7550" s="112" t="s">
        <v>5553</v>
      </c>
      <c r="B7550" s="112" t="s">
        <v>927</v>
      </c>
      <c r="C7550" s="112" t="s">
        <v>1095</v>
      </c>
      <c r="D7550" s="113">
        <v>10348451</v>
      </c>
      <c r="E7550" s="115">
        <v>43949</v>
      </c>
      <c r="F7550" s="114">
        <v>202101</v>
      </c>
      <c r="G7550" s="112" t="s">
        <v>1091</v>
      </c>
      <c r="H7550" s="112" t="s">
        <v>1015</v>
      </c>
      <c r="I7550" s="112" t="s">
        <v>1116</v>
      </c>
      <c r="J7550" s="112" t="s">
        <v>5554</v>
      </c>
      <c r="K7550" s="112" t="s">
        <v>1098</v>
      </c>
      <c r="L7550" s="116">
        <v>1709.89</v>
      </c>
    </row>
    <row r="7551" spans="1:12" hidden="1" outlineLevel="1" collapsed="1" x14ac:dyDescent="0.35">
      <c r="A7551" s="112" t="s">
        <v>5553</v>
      </c>
      <c r="B7551" s="112" t="s">
        <v>925</v>
      </c>
      <c r="C7551" s="112" t="s">
        <v>1095</v>
      </c>
      <c r="D7551" s="113">
        <v>10348451</v>
      </c>
      <c r="E7551" s="115">
        <v>43949</v>
      </c>
      <c r="F7551" s="114">
        <v>202101</v>
      </c>
      <c r="G7551" s="112" t="s">
        <v>1091</v>
      </c>
      <c r="H7551" s="112" t="s">
        <v>1015</v>
      </c>
      <c r="I7551" s="112" t="s">
        <v>1116</v>
      </c>
      <c r="J7551" s="112" t="s">
        <v>5559</v>
      </c>
      <c r="K7551" s="112" t="s">
        <v>1098</v>
      </c>
      <c r="L7551" s="116">
        <v>2259.5</v>
      </c>
    </row>
    <row r="7552" spans="1:12" hidden="1" outlineLevel="1" collapsed="1" x14ac:dyDescent="0.35">
      <c r="A7552" s="112" t="s">
        <v>5553</v>
      </c>
      <c r="B7552" s="112" t="s">
        <v>927</v>
      </c>
      <c r="C7552" s="112" t="s">
        <v>1095</v>
      </c>
      <c r="D7552" s="113">
        <v>10348451</v>
      </c>
      <c r="E7552" s="115">
        <v>43949</v>
      </c>
      <c r="F7552" s="114">
        <v>202101</v>
      </c>
      <c r="G7552" s="112" t="s">
        <v>1091</v>
      </c>
      <c r="H7552" s="112" t="s">
        <v>1015</v>
      </c>
      <c r="I7552" s="112" t="s">
        <v>1128</v>
      </c>
      <c r="J7552" s="112" t="s">
        <v>5557</v>
      </c>
      <c r="K7552" s="112" t="s">
        <v>1098</v>
      </c>
      <c r="L7552" s="116">
        <v>50</v>
      </c>
    </row>
    <row r="7553" spans="1:12" hidden="1" outlineLevel="1" collapsed="1" x14ac:dyDescent="0.35">
      <c r="A7553" s="112" t="s">
        <v>5553</v>
      </c>
      <c r="B7553" s="112" t="s">
        <v>927</v>
      </c>
      <c r="C7553" s="112" t="s">
        <v>1095</v>
      </c>
      <c r="D7553" s="113">
        <v>10348451</v>
      </c>
      <c r="E7553" s="115">
        <v>43949</v>
      </c>
      <c r="F7553" s="114">
        <v>202101</v>
      </c>
      <c r="G7553" s="112" t="s">
        <v>1091</v>
      </c>
      <c r="H7553" s="112" t="s">
        <v>1015</v>
      </c>
      <c r="I7553" s="112" t="s">
        <v>1101</v>
      </c>
      <c r="J7553" s="112" t="s">
        <v>5554</v>
      </c>
      <c r="K7553" s="112" t="s">
        <v>1098</v>
      </c>
      <c r="L7553" s="116">
        <v>366.04</v>
      </c>
    </row>
    <row r="7554" spans="1:12" hidden="1" outlineLevel="1" collapsed="1" x14ac:dyDescent="0.35">
      <c r="A7554" s="112" t="s">
        <v>5553</v>
      </c>
      <c r="B7554" s="112" t="s">
        <v>927</v>
      </c>
      <c r="C7554" s="112" t="s">
        <v>1095</v>
      </c>
      <c r="D7554" s="113">
        <v>10348451</v>
      </c>
      <c r="E7554" s="115">
        <v>43949</v>
      </c>
      <c r="F7554" s="114">
        <v>202101</v>
      </c>
      <c r="G7554" s="112" t="s">
        <v>1091</v>
      </c>
      <c r="H7554" s="112" t="s">
        <v>1015</v>
      </c>
      <c r="I7554" s="112" t="s">
        <v>1096</v>
      </c>
      <c r="J7554" s="112" t="s">
        <v>5554</v>
      </c>
      <c r="K7554" s="112" t="s">
        <v>1098</v>
      </c>
      <c r="L7554" s="116">
        <v>210.79</v>
      </c>
    </row>
    <row r="7555" spans="1:12" hidden="1" outlineLevel="1" collapsed="1" x14ac:dyDescent="0.35">
      <c r="A7555" s="112" t="s">
        <v>5553</v>
      </c>
      <c r="B7555" s="112" t="s">
        <v>5561</v>
      </c>
      <c r="C7555" s="112" t="s">
        <v>1095</v>
      </c>
      <c r="D7555" s="113">
        <v>10348451</v>
      </c>
      <c r="E7555" s="115">
        <v>43949</v>
      </c>
      <c r="F7555" s="114">
        <v>202101</v>
      </c>
      <c r="G7555" s="112" t="s">
        <v>1091</v>
      </c>
      <c r="H7555" s="112" t="s">
        <v>1015</v>
      </c>
      <c r="I7555" s="112" t="s">
        <v>1096</v>
      </c>
      <c r="J7555" s="112" t="s">
        <v>5562</v>
      </c>
      <c r="K7555" s="112" t="s">
        <v>1098</v>
      </c>
      <c r="L7555" s="116">
        <v>193.4</v>
      </c>
    </row>
    <row r="7556" spans="1:12" hidden="1" outlineLevel="1" collapsed="1" x14ac:dyDescent="0.35">
      <c r="A7556" s="112" t="s">
        <v>5553</v>
      </c>
      <c r="B7556" s="112" t="s">
        <v>928</v>
      </c>
      <c r="C7556" s="112" t="s">
        <v>1095</v>
      </c>
      <c r="D7556" s="113">
        <v>10348451</v>
      </c>
      <c r="E7556" s="115">
        <v>43949</v>
      </c>
      <c r="F7556" s="114">
        <v>202101</v>
      </c>
      <c r="G7556" s="112" t="s">
        <v>1091</v>
      </c>
      <c r="H7556" s="112" t="s">
        <v>1015</v>
      </c>
      <c r="I7556" s="112" t="s">
        <v>1101</v>
      </c>
      <c r="J7556" s="112" t="s">
        <v>5565</v>
      </c>
      <c r="K7556" s="112" t="s">
        <v>1098</v>
      </c>
      <c r="L7556" s="116">
        <v>315</v>
      </c>
    </row>
    <row r="7557" spans="1:12" hidden="1" outlineLevel="1" collapsed="1" x14ac:dyDescent="0.35">
      <c r="A7557" s="112" t="s">
        <v>5553</v>
      </c>
      <c r="B7557" s="112" t="s">
        <v>925</v>
      </c>
      <c r="C7557" s="112" t="s">
        <v>1095</v>
      </c>
      <c r="D7557" s="113">
        <v>10348451</v>
      </c>
      <c r="E7557" s="115">
        <v>43949</v>
      </c>
      <c r="F7557" s="114">
        <v>202101</v>
      </c>
      <c r="G7557" s="112" t="s">
        <v>1091</v>
      </c>
      <c r="H7557" s="112" t="s">
        <v>1015</v>
      </c>
      <c r="I7557" s="112" t="s">
        <v>1116</v>
      </c>
      <c r="J7557" s="112" t="s">
        <v>5559</v>
      </c>
      <c r="K7557" s="112" t="s">
        <v>1098</v>
      </c>
      <c r="L7557" s="116">
        <v>2631.25</v>
      </c>
    </row>
    <row r="7558" spans="1:12" hidden="1" outlineLevel="1" collapsed="1" x14ac:dyDescent="0.35">
      <c r="A7558" s="112" t="s">
        <v>5553</v>
      </c>
      <c r="B7558" s="112" t="s">
        <v>927</v>
      </c>
      <c r="C7558" s="112" t="s">
        <v>1095</v>
      </c>
      <c r="D7558" s="113">
        <v>10348451</v>
      </c>
      <c r="E7558" s="115">
        <v>43949</v>
      </c>
      <c r="F7558" s="114">
        <v>202101</v>
      </c>
      <c r="G7558" s="112" t="s">
        <v>1091</v>
      </c>
      <c r="H7558" s="112" t="s">
        <v>1015</v>
      </c>
      <c r="I7558" s="112" t="s">
        <v>1101</v>
      </c>
      <c r="J7558" s="112" t="s">
        <v>5557</v>
      </c>
      <c r="K7558" s="112" t="s">
        <v>1098</v>
      </c>
      <c r="L7558" s="116">
        <v>327.8</v>
      </c>
    </row>
    <row r="7559" spans="1:12" hidden="1" outlineLevel="1" collapsed="1" x14ac:dyDescent="0.35">
      <c r="A7559" s="112" t="s">
        <v>5553</v>
      </c>
      <c r="B7559" s="112" t="s">
        <v>925</v>
      </c>
      <c r="C7559" s="112" t="s">
        <v>1095</v>
      </c>
      <c r="D7559" s="113">
        <v>10348451</v>
      </c>
      <c r="E7559" s="115">
        <v>43949</v>
      </c>
      <c r="F7559" s="114">
        <v>202101</v>
      </c>
      <c r="G7559" s="112" t="s">
        <v>1091</v>
      </c>
      <c r="H7559" s="112" t="s">
        <v>1015</v>
      </c>
      <c r="I7559" s="112" t="s">
        <v>1116</v>
      </c>
      <c r="J7559" s="112" t="s">
        <v>5559</v>
      </c>
      <c r="K7559" s="112" t="s">
        <v>1098</v>
      </c>
      <c r="L7559" s="116">
        <v>3798.58</v>
      </c>
    </row>
    <row r="7560" spans="1:12" hidden="1" outlineLevel="1" collapsed="1" x14ac:dyDescent="0.35">
      <c r="A7560" s="112" t="s">
        <v>5553</v>
      </c>
      <c r="B7560" s="112" t="s">
        <v>925</v>
      </c>
      <c r="C7560" s="112" t="s">
        <v>1095</v>
      </c>
      <c r="D7560" s="113">
        <v>10348451</v>
      </c>
      <c r="E7560" s="115">
        <v>43949</v>
      </c>
      <c r="F7560" s="114">
        <v>202101</v>
      </c>
      <c r="G7560" s="112" t="s">
        <v>1091</v>
      </c>
      <c r="H7560" s="112" t="s">
        <v>1015</v>
      </c>
      <c r="I7560" s="112" t="s">
        <v>1116</v>
      </c>
      <c r="J7560" s="112" t="s">
        <v>5559</v>
      </c>
      <c r="K7560" s="112" t="s">
        <v>1098</v>
      </c>
      <c r="L7560" s="116">
        <v>2981.92</v>
      </c>
    </row>
    <row r="7561" spans="1:12" hidden="1" outlineLevel="1" collapsed="1" x14ac:dyDescent="0.35">
      <c r="A7561" s="112" t="s">
        <v>5553</v>
      </c>
      <c r="B7561" s="112" t="s">
        <v>925</v>
      </c>
      <c r="C7561" s="112" t="s">
        <v>1095</v>
      </c>
      <c r="D7561" s="113">
        <v>10348451</v>
      </c>
      <c r="E7561" s="115">
        <v>43949</v>
      </c>
      <c r="F7561" s="114">
        <v>202101</v>
      </c>
      <c r="G7561" s="112" t="s">
        <v>1091</v>
      </c>
      <c r="H7561" s="112" t="s">
        <v>1015</v>
      </c>
      <c r="I7561" s="112" t="s">
        <v>1116</v>
      </c>
      <c r="J7561" s="112" t="s">
        <v>5559</v>
      </c>
      <c r="K7561" s="112" t="s">
        <v>1098</v>
      </c>
      <c r="L7561" s="116">
        <v>2702</v>
      </c>
    </row>
    <row r="7562" spans="1:12" hidden="1" outlineLevel="1" collapsed="1" x14ac:dyDescent="0.35">
      <c r="A7562" s="112" t="s">
        <v>5553</v>
      </c>
      <c r="B7562" s="112" t="s">
        <v>927</v>
      </c>
      <c r="C7562" s="112" t="s">
        <v>1219</v>
      </c>
      <c r="D7562" s="113">
        <v>46307770</v>
      </c>
      <c r="E7562" s="115">
        <v>43944</v>
      </c>
      <c r="F7562" s="114">
        <v>202101</v>
      </c>
      <c r="G7562" s="112" t="s">
        <v>1091</v>
      </c>
      <c r="H7562" s="112" t="s">
        <v>1015</v>
      </c>
      <c r="I7562" s="112" t="s">
        <v>1605</v>
      </c>
      <c r="J7562" s="112" t="s">
        <v>5554</v>
      </c>
      <c r="K7562" s="112" t="s">
        <v>5555</v>
      </c>
      <c r="L7562" s="116">
        <v>25000</v>
      </c>
    </row>
    <row r="7563" spans="1:12" hidden="1" outlineLevel="1" collapsed="1" x14ac:dyDescent="0.35">
      <c r="A7563" s="112" t="s">
        <v>5553</v>
      </c>
      <c r="B7563" s="112" t="s">
        <v>925</v>
      </c>
      <c r="C7563" s="112" t="s">
        <v>1095</v>
      </c>
      <c r="D7563" s="113">
        <v>10348451</v>
      </c>
      <c r="E7563" s="115">
        <v>43949</v>
      </c>
      <c r="F7563" s="114">
        <v>202101</v>
      </c>
      <c r="G7563" s="112" t="s">
        <v>1091</v>
      </c>
      <c r="H7563" s="112" t="s">
        <v>1015</v>
      </c>
      <c r="I7563" s="112" t="s">
        <v>1116</v>
      </c>
      <c r="J7563" s="112" t="s">
        <v>5559</v>
      </c>
      <c r="K7563" s="112" t="s">
        <v>1098</v>
      </c>
      <c r="L7563" s="116">
        <v>2259.5</v>
      </c>
    </row>
    <row r="7564" spans="1:12" hidden="1" outlineLevel="1" collapsed="1" x14ac:dyDescent="0.35">
      <c r="A7564" s="112" t="s">
        <v>5553</v>
      </c>
      <c r="B7564" s="112" t="s">
        <v>927</v>
      </c>
      <c r="C7564" s="112" t="s">
        <v>1095</v>
      </c>
      <c r="D7564" s="113">
        <v>10348451</v>
      </c>
      <c r="E7564" s="115">
        <v>43949</v>
      </c>
      <c r="F7564" s="114">
        <v>202101</v>
      </c>
      <c r="G7564" s="112" t="s">
        <v>1091</v>
      </c>
      <c r="H7564" s="112" t="s">
        <v>1015</v>
      </c>
      <c r="I7564" s="112" t="s">
        <v>1116</v>
      </c>
      <c r="J7564" s="112" t="s">
        <v>5557</v>
      </c>
      <c r="K7564" s="112" t="s">
        <v>1098</v>
      </c>
      <c r="L7564" s="116">
        <v>2588.4499999999998</v>
      </c>
    </row>
    <row r="7565" spans="1:12" hidden="1" outlineLevel="1" collapsed="1" x14ac:dyDescent="0.35">
      <c r="A7565" s="112" t="s">
        <v>5553</v>
      </c>
      <c r="B7565" s="112" t="s">
        <v>925</v>
      </c>
      <c r="C7565" s="112" t="s">
        <v>1095</v>
      </c>
      <c r="D7565" s="113">
        <v>10348451</v>
      </c>
      <c r="E7565" s="115">
        <v>43949</v>
      </c>
      <c r="F7565" s="114">
        <v>202101</v>
      </c>
      <c r="G7565" s="112" t="s">
        <v>1091</v>
      </c>
      <c r="H7565" s="112" t="s">
        <v>1015</v>
      </c>
      <c r="I7565" s="112" t="s">
        <v>1516</v>
      </c>
      <c r="J7565" s="112" t="s">
        <v>5559</v>
      </c>
      <c r="K7565" s="112" t="s">
        <v>1098</v>
      </c>
      <c r="L7565" s="116">
        <v>12.25</v>
      </c>
    </row>
    <row r="7566" spans="1:12" hidden="1" outlineLevel="1" collapsed="1" x14ac:dyDescent="0.35">
      <c r="A7566" s="112" t="s">
        <v>5553</v>
      </c>
      <c r="B7566" s="112" t="s">
        <v>927</v>
      </c>
      <c r="C7566" s="112" t="s">
        <v>1219</v>
      </c>
      <c r="D7566" s="113">
        <v>46307747</v>
      </c>
      <c r="E7566" s="115">
        <v>43944</v>
      </c>
      <c r="F7566" s="114">
        <v>202101</v>
      </c>
      <c r="G7566" s="112" t="s">
        <v>1091</v>
      </c>
      <c r="H7566" s="112" t="s">
        <v>1015</v>
      </c>
      <c r="I7566" s="112" t="s">
        <v>1605</v>
      </c>
      <c r="J7566" s="112" t="s">
        <v>5554</v>
      </c>
      <c r="K7566" s="112" t="s">
        <v>5555</v>
      </c>
      <c r="L7566" s="116">
        <v>25000</v>
      </c>
    </row>
    <row r="7567" spans="1:12" hidden="1" outlineLevel="1" collapsed="1" x14ac:dyDescent="0.35">
      <c r="A7567" s="112" t="s">
        <v>5553</v>
      </c>
      <c r="B7567" s="112" t="s">
        <v>927</v>
      </c>
      <c r="C7567" s="112" t="s">
        <v>1219</v>
      </c>
      <c r="D7567" s="113">
        <v>46307746</v>
      </c>
      <c r="E7567" s="115">
        <v>43944</v>
      </c>
      <c r="F7567" s="114">
        <v>202101</v>
      </c>
      <c r="G7567" s="112" t="s">
        <v>1091</v>
      </c>
      <c r="H7567" s="112" t="s">
        <v>1015</v>
      </c>
      <c r="I7567" s="112" t="s">
        <v>1605</v>
      </c>
      <c r="J7567" s="112" t="s">
        <v>5554</v>
      </c>
      <c r="K7567" s="112" t="s">
        <v>5555</v>
      </c>
      <c r="L7567" s="116">
        <v>25000</v>
      </c>
    </row>
    <row r="7568" spans="1:12" hidden="1" outlineLevel="1" collapsed="1" x14ac:dyDescent="0.35">
      <c r="A7568" s="112" t="s">
        <v>5553</v>
      </c>
      <c r="B7568" s="112" t="s">
        <v>5561</v>
      </c>
      <c r="C7568" s="112" t="s">
        <v>1095</v>
      </c>
      <c r="D7568" s="113">
        <v>10348451</v>
      </c>
      <c r="E7568" s="115">
        <v>43949</v>
      </c>
      <c r="F7568" s="114">
        <v>202101</v>
      </c>
      <c r="G7568" s="112" t="s">
        <v>1091</v>
      </c>
      <c r="H7568" s="112" t="s">
        <v>1015</v>
      </c>
      <c r="I7568" s="112" t="s">
        <v>1116</v>
      </c>
      <c r="J7568" s="112" t="s">
        <v>5562</v>
      </c>
      <c r="K7568" s="112" t="s">
        <v>1098</v>
      </c>
      <c r="L7568" s="116">
        <v>2631.25</v>
      </c>
    </row>
    <row r="7569" spans="1:12" hidden="1" outlineLevel="1" collapsed="1" x14ac:dyDescent="0.35">
      <c r="A7569" s="112" t="s">
        <v>5553</v>
      </c>
      <c r="B7569" s="112" t="s">
        <v>5561</v>
      </c>
      <c r="C7569" s="112" t="s">
        <v>1095</v>
      </c>
      <c r="D7569" s="113">
        <v>10348451</v>
      </c>
      <c r="E7569" s="115">
        <v>43949</v>
      </c>
      <c r="F7569" s="114">
        <v>202101</v>
      </c>
      <c r="G7569" s="112" t="s">
        <v>1091</v>
      </c>
      <c r="H7569" s="112" t="s">
        <v>1015</v>
      </c>
      <c r="I7569" s="112" t="s">
        <v>1116</v>
      </c>
      <c r="J7569" s="112" t="s">
        <v>5562</v>
      </c>
      <c r="K7569" s="112" t="s">
        <v>1098</v>
      </c>
      <c r="L7569" s="116">
        <v>1813.33</v>
      </c>
    </row>
    <row r="7570" spans="1:12" hidden="1" outlineLevel="1" collapsed="1" x14ac:dyDescent="0.35">
      <c r="A7570" s="112" t="s">
        <v>5553</v>
      </c>
      <c r="B7570" s="112" t="s">
        <v>5561</v>
      </c>
      <c r="C7570" s="112" t="s">
        <v>1095</v>
      </c>
      <c r="D7570" s="113">
        <v>10348451</v>
      </c>
      <c r="E7570" s="115">
        <v>43949</v>
      </c>
      <c r="F7570" s="114">
        <v>202101</v>
      </c>
      <c r="G7570" s="112" t="s">
        <v>1091</v>
      </c>
      <c r="H7570" s="112" t="s">
        <v>1015</v>
      </c>
      <c r="I7570" s="112" t="s">
        <v>1116</v>
      </c>
      <c r="J7570" s="112" t="s">
        <v>5562</v>
      </c>
      <c r="K7570" s="112" t="s">
        <v>1098</v>
      </c>
      <c r="L7570" s="116">
        <v>4349.08</v>
      </c>
    </row>
    <row r="7571" spans="1:12" hidden="1" outlineLevel="1" collapsed="1" x14ac:dyDescent="0.35">
      <c r="A7571" s="112" t="s">
        <v>5553</v>
      </c>
      <c r="B7571" s="112" t="s">
        <v>5561</v>
      </c>
      <c r="C7571" s="112" t="s">
        <v>1095</v>
      </c>
      <c r="D7571" s="113">
        <v>10348451</v>
      </c>
      <c r="E7571" s="115">
        <v>43949</v>
      </c>
      <c r="F7571" s="114">
        <v>202101</v>
      </c>
      <c r="G7571" s="112" t="s">
        <v>1091</v>
      </c>
      <c r="H7571" s="112" t="s">
        <v>1015</v>
      </c>
      <c r="I7571" s="112" t="s">
        <v>1116</v>
      </c>
      <c r="J7571" s="112" t="s">
        <v>5562</v>
      </c>
      <c r="K7571" s="112" t="s">
        <v>1098</v>
      </c>
      <c r="L7571" s="116">
        <v>3004.54</v>
      </c>
    </row>
    <row r="7572" spans="1:12" hidden="1" outlineLevel="1" collapsed="1" x14ac:dyDescent="0.35">
      <c r="A7572" s="112" t="s">
        <v>5553</v>
      </c>
      <c r="B7572" s="112" t="s">
        <v>5561</v>
      </c>
      <c r="C7572" s="112" t="s">
        <v>1095</v>
      </c>
      <c r="D7572" s="113">
        <v>10348451</v>
      </c>
      <c r="E7572" s="115">
        <v>43949</v>
      </c>
      <c r="F7572" s="114">
        <v>202101</v>
      </c>
      <c r="G7572" s="112" t="s">
        <v>1091</v>
      </c>
      <c r="H7572" s="112" t="s">
        <v>1015</v>
      </c>
      <c r="I7572" s="112" t="s">
        <v>1116</v>
      </c>
      <c r="J7572" s="112" t="s">
        <v>5562</v>
      </c>
      <c r="K7572" s="112" t="s">
        <v>1098</v>
      </c>
      <c r="L7572" s="116">
        <v>2702</v>
      </c>
    </row>
    <row r="7573" spans="1:12" hidden="1" outlineLevel="1" collapsed="1" x14ac:dyDescent="0.35">
      <c r="A7573" s="112" t="s">
        <v>5553</v>
      </c>
      <c r="B7573" s="112" t="s">
        <v>5561</v>
      </c>
      <c r="C7573" s="112" t="s">
        <v>1095</v>
      </c>
      <c r="D7573" s="113">
        <v>10348451</v>
      </c>
      <c r="E7573" s="115">
        <v>43949</v>
      </c>
      <c r="F7573" s="114">
        <v>202101</v>
      </c>
      <c r="G7573" s="112" t="s">
        <v>1091</v>
      </c>
      <c r="H7573" s="112" t="s">
        <v>1015</v>
      </c>
      <c r="I7573" s="112" t="s">
        <v>1116</v>
      </c>
      <c r="J7573" s="112" t="s">
        <v>5562</v>
      </c>
      <c r="K7573" s="112" t="s">
        <v>1098</v>
      </c>
      <c r="L7573" s="116">
        <v>2133.4499999999998</v>
      </c>
    </row>
    <row r="7574" spans="1:12" hidden="1" outlineLevel="1" collapsed="1" x14ac:dyDescent="0.35">
      <c r="A7574" s="112" t="s">
        <v>5553</v>
      </c>
      <c r="B7574" s="112" t="s">
        <v>5561</v>
      </c>
      <c r="C7574" s="112" t="s">
        <v>1095</v>
      </c>
      <c r="D7574" s="113">
        <v>10348451</v>
      </c>
      <c r="E7574" s="115">
        <v>43949</v>
      </c>
      <c r="F7574" s="114">
        <v>202101</v>
      </c>
      <c r="G7574" s="112" t="s">
        <v>1091</v>
      </c>
      <c r="H7574" s="112" t="s">
        <v>1015</v>
      </c>
      <c r="I7574" s="112" t="s">
        <v>1116</v>
      </c>
      <c r="J7574" s="112" t="s">
        <v>5562</v>
      </c>
      <c r="K7574" s="112" t="s">
        <v>1098</v>
      </c>
      <c r="L7574" s="116">
        <v>2631.25</v>
      </c>
    </row>
    <row r="7575" spans="1:12" hidden="1" outlineLevel="1" collapsed="1" x14ac:dyDescent="0.35">
      <c r="A7575" s="112" t="s">
        <v>5553</v>
      </c>
      <c r="B7575" s="112" t="s">
        <v>927</v>
      </c>
      <c r="C7575" s="112" t="s">
        <v>1095</v>
      </c>
      <c r="D7575" s="113">
        <v>10348451</v>
      </c>
      <c r="E7575" s="115">
        <v>43949</v>
      </c>
      <c r="F7575" s="114">
        <v>202101</v>
      </c>
      <c r="G7575" s="112" t="s">
        <v>1091</v>
      </c>
      <c r="H7575" s="112" t="s">
        <v>1015</v>
      </c>
      <c r="I7575" s="112" t="s">
        <v>1116</v>
      </c>
      <c r="J7575" s="112" t="s">
        <v>5557</v>
      </c>
      <c r="K7575" s="112" t="s">
        <v>1098</v>
      </c>
      <c r="L7575" s="116">
        <v>1944.42</v>
      </c>
    </row>
    <row r="7576" spans="1:12" hidden="1" outlineLevel="1" collapsed="1" x14ac:dyDescent="0.35">
      <c r="A7576" s="112" t="s">
        <v>5553</v>
      </c>
      <c r="B7576" s="112" t="s">
        <v>927</v>
      </c>
      <c r="C7576" s="112" t="s">
        <v>1095</v>
      </c>
      <c r="D7576" s="113">
        <v>10348451</v>
      </c>
      <c r="E7576" s="115">
        <v>43949</v>
      </c>
      <c r="F7576" s="114">
        <v>202101</v>
      </c>
      <c r="G7576" s="112" t="s">
        <v>1091</v>
      </c>
      <c r="H7576" s="112" t="s">
        <v>1015</v>
      </c>
      <c r="I7576" s="112" t="s">
        <v>1116</v>
      </c>
      <c r="J7576" s="112" t="s">
        <v>5557</v>
      </c>
      <c r="K7576" s="112" t="s">
        <v>1098</v>
      </c>
      <c r="L7576" s="116">
        <v>2343.75</v>
      </c>
    </row>
    <row r="7577" spans="1:12" hidden="1" outlineLevel="1" collapsed="1" x14ac:dyDescent="0.35">
      <c r="A7577" s="112" t="s">
        <v>5553</v>
      </c>
      <c r="B7577" s="112" t="s">
        <v>927</v>
      </c>
      <c r="C7577" s="112" t="s">
        <v>1095</v>
      </c>
      <c r="D7577" s="113">
        <v>10348451</v>
      </c>
      <c r="E7577" s="115">
        <v>43949</v>
      </c>
      <c r="F7577" s="114">
        <v>202101</v>
      </c>
      <c r="G7577" s="112" t="s">
        <v>1091</v>
      </c>
      <c r="H7577" s="112" t="s">
        <v>1015</v>
      </c>
      <c r="I7577" s="112" t="s">
        <v>1116</v>
      </c>
      <c r="J7577" s="112" t="s">
        <v>5557</v>
      </c>
      <c r="K7577" s="112" t="s">
        <v>1098</v>
      </c>
      <c r="L7577" s="116">
        <v>1425.25</v>
      </c>
    </row>
    <row r="7578" spans="1:12" hidden="1" outlineLevel="1" collapsed="1" x14ac:dyDescent="0.35">
      <c r="A7578" s="112" t="s">
        <v>5553</v>
      </c>
      <c r="B7578" s="112" t="s">
        <v>927</v>
      </c>
      <c r="C7578" s="112" t="s">
        <v>1095</v>
      </c>
      <c r="D7578" s="113">
        <v>10348451</v>
      </c>
      <c r="E7578" s="115">
        <v>43949</v>
      </c>
      <c r="F7578" s="114">
        <v>202101</v>
      </c>
      <c r="G7578" s="112" t="s">
        <v>1091</v>
      </c>
      <c r="H7578" s="112" t="s">
        <v>1015</v>
      </c>
      <c r="I7578" s="112" t="s">
        <v>1116</v>
      </c>
      <c r="J7578" s="112" t="s">
        <v>5557</v>
      </c>
      <c r="K7578" s="112" t="s">
        <v>1098</v>
      </c>
      <c r="L7578" s="116">
        <v>2631.25</v>
      </c>
    </row>
    <row r="7579" spans="1:12" hidden="1" outlineLevel="1" collapsed="1" x14ac:dyDescent="0.35">
      <c r="A7579" s="112" t="s">
        <v>5553</v>
      </c>
      <c r="B7579" s="112" t="s">
        <v>924</v>
      </c>
      <c r="C7579" s="112" t="s">
        <v>1095</v>
      </c>
      <c r="D7579" s="113">
        <v>10348451</v>
      </c>
      <c r="E7579" s="115">
        <v>43949</v>
      </c>
      <c r="F7579" s="114">
        <v>202101</v>
      </c>
      <c r="G7579" s="112" t="s">
        <v>1091</v>
      </c>
      <c r="H7579" s="112" t="s">
        <v>1015</v>
      </c>
      <c r="I7579" s="112" t="s">
        <v>1137</v>
      </c>
      <c r="J7579" s="112" t="s">
        <v>5558</v>
      </c>
      <c r="K7579" s="112" t="s">
        <v>1098</v>
      </c>
      <c r="L7579" s="116">
        <v>5.49</v>
      </c>
    </row>
    <row r="7580" spans="1:12" hidden="1" outlineLevel="1" collapsed="1" x14ac:dyDescent="0.35">
      <c r="A7580" s="112" t="s">
        <v>5553</v>
      </c>
      <c r="B7580" s="112" t="s">
        <v>927</v>
      </c>
      <c r="C7580" s="112" t="s">
        <v>1219</v>
      </c>
      <c r="D7580" s="113">
        <v>46307745</v>
      </c>
      <c r="E7580" s="115">
        <v>43944</v>
      </c>
      <c r="F7580" s="114">
        <v>202101</v>
      </c>
      <c r="G7580" s="112" t="s">
        <v>1091</v>
      </c>
      <c r="H7580" s="112" t="s">
        <v>1015</v>
      </c>
      <c r="I7580" s="112" t="s">
        <v>1605</v>
      </c>
      <c r="J7580" s="112" t="s">
        <v>5554</v>
      </c>
      <c r="K7580" s="112" t="s">
        <v>5556</v>
      </c>
      <c r="L7580" s="116">
        <v>10000</v>
      </c>
    </row>
    <row r="7581" spans="1:12" hidden="1" outlineLevel="1" collapsed="1" x14ac:dyDescent="0.35">
      <c r="A7581" s="112" t="s">
        <v>5553</v>
      </c>
      <c r="B7581" s="112" t="s">
        <v>927</v>
      </c>
      <c r="C7581" s="112" t="s">
        <v>1219</v>
      </c>
      <c r="D7581" s="113">
        <v>46307744</v>
      </c>
      <c r="E7581" s="115">
        <v>43944</v>
      </c>
      <c r="F7581" s="114">
        <v>202101</v>
      </c>
      <c r="G7581" s="112" t="s">
        <v>1091</v>
      </c>
      <c r="H7581" s="112" t="s">
        <v>1015</v>
      </c>
      <c r="I7581" s="112" t="s">
        <v>1605</v>
      </c>
      <c r="J7581" s="112" t="s">
        <v>5554</v>
      </c>
      <c r="K7581" s="112" t="s">
        <v>5556</v>
      </c>
      <c r="L7581" s="116">
        <v>10000</v>
      </c>
    </row>
    <row r="7582" spans="1:12" hidden="1" outlineLevel="1" collapsed="1" x14ac:dyDescent="0.35">
      <c r="A7582" s="112" t="s">
        <v>5553</v>
      </c>
      <c r="B7582" s="112" t="s">
        <v>927</v>
      </c>
      <c r="C7582" s="112" t="s">
        <v>1095</v>
      </c>
      <c r="D7582" s="113">
        <v>10348451</v>
      </c>
      <c r="E7582" s="115">
        <v>43949</v>
      </c>
      <c r="F7582" s="114">
        <v>202101</v>
      </c>
      <c r="G7582" s="112" t="s">
        <v>1091</v>
      </c>
      <c r="H7582" s="112" t="s">
        <v>1015</v>
      </c>
      <c r="I7582" s="112" t="s">
        <v>1116</v>
      </c>
      <c r="J7582" s="112" t="s">
        <v>5557</v>
      </c>
      <c r="K7582" s="112" t="s">
        <v>1098</v>
      </c>
      <c r="L7582" s="116">
        <v>2597.9699999999998</v>
      </c>
    </row>
    <row r="7583" spans="1:12" hidden="1" outlineLevel="1" collapsed="1" x14ac:dyDescent="0.35">
      <c r="A7583" s="112" t="s">
        <v>5553</v>
      </c>
      <c r="B7583" s="112" t="s">
        <v>927</v>
      </c>
      <c r="C7583" s="112" t="s">
        <v>1095</v>
      </c>
      <c r="D7583" s="113">
        <v>10348451</v>
      </c>
      <c r="E7583" s="115">
        <v>43949</v>
      </c>
      <c r="F7583" s="114">
        <v>202101</v>
      </c>
      <c r="G7583" s="112" t="s">
        <v>1091</v>
      </c>
      <c r="H7583" s="112" t="s">
        <v>1015</v>
      </c>
      <c r="I7583" s="112" t="s">
        <v>1116</v>
      </c>
      <c r="J7583" s="112" t="s">
        <v>5557</v>
      </c>
      <c r="K7583" s="112" t="s">
        <v>1098</v>
      </c>
      <c r="L7583" s="116">
        <v>4871.08</v>
      </c>
    </row>
    <row r="7584" spans="1:12" hidden="1" outlineLevel="1" collapsed="1" x14ac:dyDescent="0.35">
      <c r="A7584" s="112" t="s">
        <v>5553</v>
      </c>
      <c r="B7584" s="112" t="s">
        <v>927</v>
      </c>
      <c r="C7584" s="112" t="s">
        <v>1095</v>
      </c>
      <c r="D7584" s="113">
        <v>10348451</v>
      </c>
      <c r="E7584" s="115">
        <v>43949</v>
      </c>
      <c r="F7584" s="114">
        <v>202101</v>
      </c>
      <c r="G7584" s="112" t="s">
        <v>1091</v>
      </c>
      <c r="H7584" s="112" t="s">
        <v>1015</v>
      </c>
      <c r="I7584" s="112" t="s">
        <v>1116</v>
      </c>
      <c r="J7584" s="112" t="s">
        <v>5557</v>
      </c>
      <c r="K7584" s="112" t="s">
        <v>1098</v>
      </c>
      <c r="L7584" s="116">
        <v>2259.5</v>
      </c>
    </row>
    <row r="7585" spans="1:12" hidden="1" outlineLevel="1" collapsed="1" x14ac:dyDescent="0.35">
      <c r="A7585" s="112" t="s">
        <v>5553</v>
      </c>
      <c r="B7585" s="112" t="s">
        <v>927</v>
      </c>
      <c r="C7585" s="112" t="s">
        <v>1095</v>
      </c>
      <c r="D7585" s="113">
        <v>10348451</v>
      </c>
      <c r="E7585" s="115">
        <v>43949</v>
      </c>
      <c r="F7585" s="114">
        <v>202101</v>
      </c>
      <c r="G7585" s="112" t="s">
        <v>1091</v>
      </c>
      <c r="H7585" s="112" t="s">
        <v>1015</v>
      </c>
      <c r="I7585" s="112" t="s">
        <v>1116</v>
      </c>
      <c r="J7585" s="112" t="s">
        <v>5557</v>
      </c>
      <c r="K7585" s="112" t="s">
        <v>1098</v>
      </c>
      <c r="L7585" s="116">
        <v>1991.22</v>
      </c>
    </row>
    <row r="7586" spans="1:12" hidden="1" outlineLevel="1" collapsed="1" x14ac:dyDescent="0.35">
      <c r="A7586" s="112" t="s">
        <v>5553</v>
      </c>
      <c r="B7586" s="112" t="s">
        <v>927</v>
      </c>
      <c r="C7586" s="112" t="s">
        <v>1095</v>
      </c>
      <c r="D7586" s="113">
        <v>10348451</v>
      </c>
      <c r="E7586" s="115">
        <v>43949</v>
      </c>
      <c r="F7586" s="114">
        <v>202101</v>
      </c>
      <c r="G7586" s="112" t="s">
        <v>1091</v>
      </c>
      <c r="H7586" s="112" t="s">
        <v>1015</v>
      </c>
      <c r="I7586" s="112" t="s">
        <v>1116</v>
      </c>
      <c r="J7586" s="112" t="s">
        <v>5557</v>
      </c>
      <c r="K7586" s="112" t="s">
        <v>1098</v>
      </c>
      <c r="L7586" s="116">
        <v>2631.25</v>
      </c>
    </row>
    <row r="7587" spans="1:12" hidden="1" outlineLevel="1" collapsed="1" x14ac:dyDescent="0.35">
      <c r="A7587" s="112" t="s">
        <v>5553</v>
      </c>
      <c r="B7587" s="112" t="s">
        <v>927</v>
      </c>
      <c r="C7587" s="112" t="s">
        <v>1095</v>
      </c>
      <c r="D7587" s="113">
        <v>10348451</v>
      </c>
      <c r="E7587" s="115">
        <v>43949</v>
      </c>
      <c r="F7587" s="114">
        <v>202101</v>
      </c>
      <c r="G7587" s="112" t="s">
        <v>1091</v>
      </c>
      <c r="H7587" s="112" t="s">
        <v>1015</v>
      </c>
      <c r="I7587" s="112" t="s">
        <v>1116</v>
      </c>
      <c r="J7587" s="112" t="s">
        <v>5557</v>
      </c>
      <c r="K7587" s="112" t="s">
        <v>1098</v>
      </c>
      <c r="L7587" s="116">
        <v>2981.92</v>
      </c>
    </row>
    <row r="7588" spans="1:12" hidden="1" outlineLevel="1" collapsed="1" x14ac:dyDescent="0.35">
      <c r="A7588" s="112" t="s">
        <v>5553</v>
      </c>
      <c r="B7588" s="112" t="s">
        <v>927</v>
      </c>
      <c r="C7588" s="112" t="s">
        <v>1095</v>
      </c>
      <c r="D7588" s="113">
        <v>10348451</v>
      </c>
      <c r="E7588" s="115">
        <v>43949</v>
      </c>
      <c r="F7588" s="114">
        <v>202101</v>
      </c>
      <c r="G7588" s="112" t="s">
        <v>1091</v>
      </c>
      <c r="H7588" s="112" t="s">
        <v>1015</v>
      </c>
      <c r="I7588" s="112" t="s">
        <v>1116</v>
      </c>
      <c r="J7588" s="112" t="s">
        <v>5557</v>
      </c>
      <c r="K7588" s="112" t="s">
        <v>1098</v>
      </c>
      <c r="L7588" s="116">
        <v>2631.25</v>
      </c>
    </row>
    <row r="7589" spans="1:12" hidden="1" outlineLevel="1" collapsed="1" x14ac:dyDescent="0.35">
      <c r="A7589" s="112" t="s">
        <v>5553</v>
      </c>
      <c r="B7589" s="112" t="s">
        <v>927</v>
      </c>
      <c r="C7589" s="112" t="s">
        <v>1095</v>
      </c>
      <c r="D7589" s="113">
        <v>10348451</v>
      </c>
      <c r="E7589" s="115">
        <v>43949</v>
      </c>
      <c r="F7589" s="114">
        <v>202101</v>
      </c>
      <c r="G7589" s="112" t="s">
        <v>1091</v>
      </c>
      <c r="H7589" s="112" t="s">
        <v>1015</v>
      </c>
      <c r="I7589" s="112" t="s">
        <v>1116</v>
      </c>
      <c r="J7589" s="112" t="s">
        <v>5557</v>
      </c>
      <c r="K7589" s="112" t="s">
        <v>1098</v>
      </c>
      <c r="L7589" s="116">
        <v>2343.75</v>
      </c>
    </row>
    <row r="7590" spans="1:12" hidden="1" outlineLevel="1" collapsed="1" x14ac:dyDescent="0.35">
      <c r="A7590" s="112" t="s">
        <v>5553</v>
      </c>
      <c r="B7590" s="112" t="s">
        <v>927</v>
      </c>
      <c r="C7590" s="112" t="s">
        <v>1219</v>
      </c>
      <c r="D7590" s="113">
        <v>46307748</v>
      </c>
      <c r="E7590" s="115">
        <v>43944</v>
      </c>
      <c r="F7590" s="114">
        <v>202101</v>
      </c>
      <c r="G7590" s="112" t="s">
        <v>1091</v>
      </c>
      <c r="H7590" s="112" t="s">
        <v>1015</v>
      </c>
      <c r="I7590" s="112" t="s">
        <v>1605</v>
      </c>
      <c r="J7590" s="112" t="s">
        <v>5554</v>
      </c>
      <c r="K7590" s="112" t="s">
        <v>5555</v>
      </c>
      <c r="L7590" s="116">
        <v>10000</v>
      </c>
    </row>
    <row r="7591" spans="1:12" hidden="1" outlineLevel="1" collapsed="1" x14ac:dyDescent="0.35">
      <c r="A7591" s="112" t="s">
        <v>5553</v>
      </c>
      <c r="B7591" s="112" t="s">
        <v>927</v>
      </c>
      <c r="C7591" s="112" t="s">
        <v>1095</v>
      </c>
      <c r="D7591" s="113">
        <v>10348451</v>
      </c>
      <c r="E7591" s="115">
        <v>43949</v>
      </c>
      <c r="F7591" s="114">
        <v>202101</v>
      </c>
      <c r="G7591" s="112" t="s">
        <v>1091</v>
      </c>
      <c r="H7591" s="112" t="s">
        <v>1015</v>
      </c>
      <c r="I7591" s="112" t="s">
        <v>1116</v>
      </c>
      <c r="J7591" s="112" t="s">
        <v>5557</v>
      </c>
      <c r="K7591" s="112" t="s">
        <v>1098</v>
      </c>
      <c r="L7591" s="116">
        <v>2343.75</v>
      </c>
    </row>
    <row r="7592" spans="1:12" hidden="1" outlineLevel="1" collapsed="1" x14ac:dyDescent="0.35">
      <c r="A7592" s="112" t="s">
        <v>5553</v>
      </c>
      <c r="B7592" s="112" t="s">
        <v>927</v>
      </c>
      <c r="C7592" s="112" t="s">
        <v>1095</v>
      </c>
      <c r="D7592" s="113">
        <v>10348451</v>
      </c>
      <c r="E7592" s="115">
        <v>43949</v>
      </c>
      <c r="F7592" s="114">
        <v>202101</v>
      </c>
      <c r="G7592" s="112" t="s">
        <v>1091</v>
      </c>
      <c r="H7592" s="112" t="s">
        <v>1015</v>
      </c>
      <c r="I7592" s="112" t="s">
        <v>1116</v>
      </c>
      <c r="J7592" s="112" t="s">
        <v>5557</v>
      </c>
      <c r="K7592" s="112" t="s">
        <v>1098</v>
      </c>
      <c r="L7592" s="116">
        <v>1900.34</v>
      </c>
    </row>
    <row r="7593" spans="1:12" hidden="1" outlineLevel="1" collapsed="1" x14ac:dyDescent="0.35">
      <c r="A7593" s="112" t="s">
        <v>5553</v>
      </c>
      <c r="B7593" s="112" t="s">
        <v>927</v>
      </c>
      <c r="C7593" s="112" t="s">
        <v>1095</v>
      </c>
      <c r="D7593" s="113">
        <v>10348451</v>
      </c>
      <c r="E7593" s="115">
        <v>43949</v>
      </c>
      <c r="F7593" s="114">
        <v>202101</v>
      </c>
      <c r="G7593" s="112" t="s">
        <v>1091</v>
      </c>
      <c r="H7593" s="112" t="s">
        <v>1015</v>
      </c>
      <c r="I7593" s="112" t="s">
        <v>1116</v>
      </c>
      <c r="J7593" s="112" t="s">
        <v>5557</v>
      </c>
      <c r="K7593" s="112" t="s">
        <v>1098</v>
      </c>
      <c r="L7593" s="116">
        <v>1782.03</v>
      </c>
    </row>
    <row r="7594" spans="1:12" hidden="1" outlineLevel="1" collapsed="1" x14ac:dyDescent="0.35">
      <c r="A7594" s="112" t="s">
        <v>5553</v>
      </c>
      <c r="B7594" s="112" t="s">
        <v>927</v>
      </c>
      <c r="C7594" s="112" t="s">
        <v>1095</v>
      </c>
      <c r="D7594" s="113">
        <v>10348451</v>
      </c>
      <c r="E7594" s="115">
        <v>43949</v>
      </c>
      <c r="F7594" s="114">
        <v>202101</v>
      </c>
      <c r="G7594" s="112" t="s">
        <v>1091</v>
      </c>
      <c r="H7594" s="112" t="s">
        <v>1015</v>
      </c>
      <c r="I7594" s="112" t="s">
        <v>1116</v>
      </c>
      <c r="J7594" s="112" t="s">
        <v>5557</v>
      </c>
      <c r="K7594" s="112" t="s">
        <v>1098</v>
      </c>
      <c r="L7594" s="116">
        <v>2259.5</v>
      </c>
    </row>
    <row r="7595" spans="1:12" hidden="1" outlineLevel="1" collapsed="1" x14ac:dyDescent="0.35">
      <c r="A7595" s="112" t="s">
        <v>5553</v>
      </c>
      <c r="B7595" s="112" t="s">
        <v>927</v>
      </c>
      <c r="C7595" s="112" t="s">
        <v>1095</v>
      </c>
      <c r="D7595" s="113">
        <v>10348451</v>
      </c>
      <c r="E7595" s="115">
        <v>43949</v>
      </c>
      <c r="F7595" s="114">
        <v>202101</v>
      </c>
      <c r="G7595" s="112" t="s">
        <v>1091</v>
      </c>
      <c r="H7595" s="112" t="s">
        <v>1015</v>
      </c>
      <c r="I7595" s="112" t="s">
        <v>1116</v>
      </c>
      <c r="J7595" s="112" t="s">
        <v>5557</v>
      </c>
      <c r="K7595" s="112" t="s">
        <v>1098</v>
      </c>
      <c r="L7595" s="116">
        <v>1330.24</v>
      </c>
    </row>
    <row r="7596" spans="1:12" hidden="1" outlineLevel="1" collapsed="1" x14ac:dyDescent="0.35">
      <c r="A7596" s="112" t="s">
        <v>5553</v>
      </c>
      <c r="B7596" s="112" t="s">
        <v>927</v>
      </c>
      <c r="C7596" s="112" t="s">
        <v>1095</v>
      </c>
      <c r="D7596" s="113">
        <v>10348451</v>
      </c>
      <c r="E7596" s="115">
        <v>43949</v>
      </c>
      <c r="F7596" s="114">
        <v>202101</v>
      </c>
      <c r="G7596" s="112" t="s">
        <v>1091</v>
      </c>
      <c r="H7596" s="112" t="s">
        <v>1015</v>
      </c>
      <c r="I7596" s="112" t="s">
        <v>1116</v>
      </c>
      <c r="J7596" s="112" t="s">
        <v>5557</v>
      </c>
      <c r="K7596" s="112" t="s">
        <v>1098</v>
      </c>
      <c r="L7596" s="116">
        <v>2631.25</v>
      </c>
    </row>
    <row r="7597" spans="1:12" hidden="1" outlineLevel="1" collapsed="1" x14ac:dyDescent="0.35">
      <c r="A7597" s="112" t="s">
        <v>5553</v>
      </c>
      <c r="B7597" s="112" t="s">
        <v>927</v>
      </c>
      <c r="C7597" s="112" t="s">
        <v>1095</v>
      </c>
      <c r="D7597" s="113">
        <v>10348451</v>
      </c>
      <c r="E7597" s="115">
        <v>43949</v>
      </c>
      <c r="F7597" s="114">
        <v>202101</v>
      </c>
      <c r="G7597" s="112" t="s">
        <v>1091</v>
      </c>
      <c r="H7597" s="112" t="s">
        <v>1015</v>
      </c>
      <c r="I7597" s="112" t="s">
        <v>1116</v>
      </c>
      <c r="J7597" s="112" t="s">
        <v>5557</v>
      </c>
      <c r="K7597" s="112" t="s">
        <v>1098</v>
      </c>
      <c r="L7597" s="116">
        <v>3075.83</v>
      </c>
    </row>
    <row r="7598" spans="1:12" hidden="1" outlineLevel="1" collapsed="1" x14ac:dyDescent="0.35">
      <c r="A7598" s="112" t="s">
        <v>5553</v>
      </c>
      <c r="B7598" s="112" t="s">
        <v>927</v>
      </c>
      <c r="C7598" s="112" t="s">
        <v>1219</v>
      </c>
      <c r="D7598" s="113">
        <v>46307743</v>
      </c>
      <c r="E7598" s="115">
        <v>43944</v>
      </c>
      <c r="F7598" s="114">
        <v>202101</v>
      </c>
      <c r="G7598" s="112" t="s">
        <v>1091</v>
      </c>
      <c r="H7598" s="112" t="s">
        <v>1015</v>
      </c>
      <c r="I7598" s="112" t="s">
        <v>1605</v>
      </c>
      <c r="J7598" s="112" t="s">
        <v>5554</v>
      </c>
      <c r="K7598" s="112" t="s">
        <v>5555</v>
      </c>
      <c r="L7598" s="116">
        <v>10000</v>
      </c>
    </row>
    <row r="7599" spans="1:12" hidden="1" outlineLevel="1" collapsed="1" x14ac:dyDescent="0.35">
      <c r="A7599" s="112" t="s">
        <v>5553</v>
      </c>
      <c r="B7599" s="112" t="s">
        <v>927</v>
      </c>
      <c r="C7599" s="112" t="s">
        <v>1219</v>
      </c>
      <c r="D7599" s="113">
        <v>46307742</v>
      </c>
      <c r="E7599" s="115">
        <v>43944</v>
      </c>
      <c r="F7599" s="114">
        <v>202101</v>
      </c>
      <c r="G7599" s="112" t="s">
        <v>1091</v>
      </c>
      <c r="H7599" s="112" t="s">
        <v>1015</v>
      </c>
      <c r="I7599" s="112" t="s">
        <v>1605</v>
      </c>
      <c r="J7599" s="112" t="s">
        <v>5554</v>
      </c>
      <c r="K7599" s="112" t="s">
        <v>5556</v>
      </c>
      <c r="L7599" s="116">
        <v>10000</v>
      </c>
    </row>
    <row r="7600" spans="1:12" hidden="1" outlineLevel="1" collapsed="1" x14ac:dyDescent="0.35">
      <c r="A7600" s="112" t="s">
        <v>5553</v>
      </c>
      <c r="B7600" s="112" t="s">
        <v>927</v>
      </c>
      <c r="C7600" s="112" t="s">
        <v>1095</v>
      </c>
      <c r="D7600" s="113">
        <v>10348451</v>
      </c>
      <c r="E7600" s="115">
        <v>43949</v>
      </c>
      <c r="F7600" s="114">
        <v>202101</v>
      </c>
      <c r="G7600" s="112" t="s">
        <v>1091</v>
      </c>
      <c r="H7600" s="112" t="s">
        <v>1015</v>
      </c>
      <c r="I7600" s="112" t="s">
        <v>1116</v>
      </c>
      <c r="J7600" s="112" t="s">
        <v>5557</v>
      </c>
      <c r="K7600" s="112" t="s">
        <v>1098</v>
      </c>
      <c r="L7600" s="116">
        <v>3644.08</v>
      </c>
    </row>
    <row r="7601" spans="1:12" hidden="1" outlineLevel="1" collapsed="1" x14ac:dyDescent="0.35">
      <c r="A7601" s="112" t="s">
        <v>5553</v>
      </c>
      <c r="B7601" s="112" t="s">
        <v>927</v>
      </c>
      <c r="C7601" s="112" t="s">
        <v>1095</v>
      </c>
      <c r="D7601" s="113">
        <v>10348451</v>
      </c>
      <c r="E7601" s="115">
        <v>43949</v>
      </c>
      <c r="F7601" s="114">
        <v>202101</v>
      </c>
      <c r="G7601" s="112" t="s">
        <v>1091</v>
      </c>
      <c r="H7601" s="112" t="s">
        <v>1015</v>
      </c>
      <c r="I7601" s="112" t="s">
        <v>1116</v>
      </c>
      <c r="J7601" s="112" t="s">
        <v>5557</v>
      </c>
      <c r="K7601" s="112" t="s">
        <v>1098</v>
      </c>
      <c r="L7601" s="116">
        <v>2259.5</v>
      </c>
    </row>
    <row r="7602" spans="1:12" hidden="1" outlineLevel="1" collapsed="1" x14ac:dyDescent="0.35">
      <c r="A7602" s="112" t="s">
        <v>5553</v>
      </c>
      <c r="B7602" s="112" t="s">
        <v>927</v>
      </c>
      <c r="C7602" s="112" t="s">
        <v>1095</v>
      </c>
      <c r="D7602" s="113">
        <v>10348451</v>
      </c>
      <c r="E7602" s="115">
        <v>43949</v>
      </c>
      <c r="F7602" s="114">
        <v>202101</v>
      </c>
      <c r="G7602" s="112" t="s">
        <v>1091</v>
      </c>
      <c r="H7602" s="112" t="s">
        <v>1015</v>
      </c>
      <c r="I7602" s="112" t="s">
        <v>1116</v>
      </c>
      <c r="J7602" s="112" t="s">
        <v>5557</v>
      </c>
      <c r="K7602" s="112" t="s">
        <v>1098</v>
      </c>
      <c r="L7602" s="116">
        <v>1355.7</v>
      </c>
    </row>
    <row r="7603" spans="1:12" hidden="1" outlineLevel="1" collapsed="1" x14ac:dyDescent="0.35">
      <c r="A7603" s="112" t="s">
        <v>5553</v>
      </c>
      <c r="B7603" s="112" t="s">
        <v>927</v>
      </c>
      <c r="C7603" s="112" t="s">
        <v>1219</v>
      </c>
      <c r="D7603" s="113">
        <v>46307741</v>
      </c>
      <c r="E7603" s="115">
        <v>43944</v>
      </c>
      <c r="F7603" s="114">
        <v>202101</v>
      </c>
      <c r="G7603" s="112" t="s">
        <v>1091</v>
      </c>
      <c r="H7603" s="112" t="s">
        <v>1015</v>
      </c>
      <c r="I7603" s="112" t="s">
        <v>1605</v>
      </c>
      <c r="J7603" s="112" t="s">
        <v>5554</v>
      </c>
      <c r="K7603" s="112" t="s">
        <v>5556</v>
      </c>
      <c r="L7603" s="116">
        <v>10000</v>
      </c>
    </row>
    <row r="7604" spans="1:12" hidden="1" outlineLevel="1" collapsed="1" x14ac:dyDescent="0.35">
      <c r="A7604" s="112" t="s">
        <v>5553</v>
      </c>
      <c r="B7604" s="112" t="s">
        <v>927</v>
      </c>
      <c r="C7604" s="112" t="s">
        <v>1219</v>
      </c>
      <c r="D7604" s="113">
        <v>46307740</v>
      </c>
      <c r="E7604" s="115">
        <v>43944</v>
      </c>
      <c r="F7604" s="114">
        <v>202101</v>
      </c>
      <c r="G7604" s="112" t="s">
        <v>1091</v>
      </c>
      <c r="H7604" s="112" t="s">
        <v>1015</v>
      </c>
      <c r="I7604" s="112" t="s">
        <v>1605</v>
      </c>
      <c r="J7604" s="112" t="s">
        <v>5554</v>
      </c>
      <c r="K7604" s="112" t="s">
        <v>5556</v>
      </c>
      <c r="L7604" s="116">
        <v>10000</v>
      </c>
    </row>
    <row r="7605" spans="1:12" hidden="1" outlineLevel="1" collapsed="1" x14ac:dyDescent="0.35">
      <c r="A7605" s="112" t="s">
        <v>5553</v>
      </c>
      <c r="B7605" s="112" t="s">
        <v>927</v>
      </c>
      <c r="C7605" s="112" t="s">
        <v>1219</v>
      </c>
      <c r="D7605" s="113">
        <v>46307739</v>
      </c>
      <c r="E7605" s="115">
        <v>43944</v>
      </c>
      <c r="F7605" s="114">
        <v>202101</v>
      </c>
      <c r="G7605" s="112" t="s">
        <v>1091</v>
      </c>
      <c r="H7605" s="112" t="s">
        <v>1015</v>
      </c>
      <c r="I7605" s="112" t="s">
        <v>1605</v>
      </c>
      <c r="J7605" s="112" t="s">
        <v>5554</v>
      </c>
      <c r="K7605" s="112" t="s">
        <v>5555</v>
      </c>
      <c r="L7605" s="116">
        <v>25000</v>
      </c>
    </row>
    <row r="7606" spans="1:12" hidden="1" outlineLevel="1" collapsed="1" x14ac:dyDescent="0.35">
      <c r="A7606" s="112" t="s">
        <v>5553</v>
      </c>
      <c r="B7606" s="112" t="s">
        <v>927</v>
      </c>
      <c r="C7606" s="112" t="s">
        <v>1219</v>
      </c>
      <c r="D7606" s="113">
        <v>46307775</v>
      </c>
      <c r="E7606" s="115">
        <v>43944</v>
      </c>
      <c r="F7606" s="114">
        <v>202101</v>
      </c>
      <c r="G7606" s="112" t="s">
        <v>1091</v>
      </c>
      <c r="H7606" s="112" t="s">
        <v>1015</v>
      </c>
      <c r="I7606" s="112" t="s">
        <v>1605</v>
      </c>
      <c r="J7606" s="112" t="s">
        <v>5554</v>
      </c>
      <c r="K7606" s="112" t="s">
        <v>5556</v>
      </c>
      <c r="L7606" s="116">
        <v>10000</v>
      </c>
    </row>
    <row r="7607" spans="1:12" hidden="1" outlineLevel="1" collapsed="1" x14ac:dyDescent="0.35">
      <c r="A7607" s="112" t="s">
        <v>5553</v>
      </c>
      <c r="B7607" s="112" t="s">
        <v>927</v>
      </c>
      <c r="C7607" s="112" t="s">
        <v>1219</v>
      </c>
      <c r="D7607" s="113">
        <v>46307774</v>
      </c>
      <c r="E7607" s="115">
        <v>43944</v>
      </c>
      <c r="F7607" s="114">
        <v>202101</v>
      </c>
      <c r="G7607" s="112" t="s">
        <v>1091</v>
      </c>
      <c r="H7607" s="112" t="s">
        <v>1015</v>
      </c>
      <c r="I7607" s="112" t="s">
        <v>1605</v>
      </c>
      <c r="J7607" s="112" t="s">
        <v>5554</v>
      </c>
      <c r="K7607" s="112" t="s">
        <v>5555</v>
      </c>
      <c r="L7607" s="116">
        <v>25000</v>
      </c>
    </row>
    <row r="7608" spans="1:12" hidden="1" outlineLevel="1" collapsed="1" x14ac:dyDescent="0.35">
      <c r="A7608" s="112" t="s">
        <v>5553</v>
      </c>
      <c r="B7608" s="112" t="s">
        <v>927</v>
      </c>
      <c r="C7608" s="112" t="s">
        <v>1219</v>
      </c>
      <c r="D7608" s="113">
        <v>46307773</v>
      </c>
      <c r="E7608" s="115">
        <v>43944</v>
      </c>
      <c r="F7608" s="114">
        <v>202101</v>
      </c>
      <c r="G7608" s="112" t="s">
        <v>1091</v>
      </c>
      <c r="H7608" s="112" t="s">
        <v>1015</v>
      </c>
      <c r="I7608" s="112" t="s">
        <v>1605</v>
      </c>
      <c r="J7608" s="112" t="s">
        <v>5554</v>
      </c>
      <c r="K7608" s="112" t="s">
        <v>5555</v>
      </c>
      <c r="L7608" s="116">
        <v>25000</v>
      </c>
    </row>
    <row r="7609" spans="1:12" hidden="1" outlineLevel="1" collapsed="1" x14ac:dyDescent="0.35">
      <c r="A7609" s="112" t="s">
        <v>5553</v>
      </c>
      <c r="B7609" s="112" t="s">
        <v>927</v>
      </c>
      <c r="C7609" s="112" t="s">
        <v>1095</v>
      </c>
      <c r="D7609" s="113">
        <v>10348451</v>
      </c>
      <c r="E7609" s="115">
        <v>43949</v>
      </c>
      <c r="F7609" s="114">
        <v>202101</v>
      </c>
      <c r="G7609" s="112" t="s">
        <v>1091</v>
      </c>
      <c r="H7609" s="112" t="s">
        <v>1015</v>
      </c>
      <c r="I7609" s="112" t="s">
        <v>1116</v>
      </c>
      <c r="J7609" s="112" t="s">
        <v>5557</v>
      </c>
      <c r="K7609" s="112" t="s">
        <v>1098</v>
      </c>
      <c r="L7609" s="116">
        <v>2259.5</v>
      </c>
    </row>
    <row r="7610" spans="1:12" hidden="1" outlineLevel="1" collapsed="1" x14ac:dyDescent="0.35">
      <c r="A7610" s="112" t="s">
        <v>5553</v>
      </c>
      <c r="B7610" s="112" t="s">
        <v>927</v>
      </c>
      <c r="C7610" s="112" t="s">
        <v>1095</v>
      </c>
      <c r="D7610" s="113">
        <v>10348451</v>
      </c>
      <c r="E7610" s="115">
        <v>43949</v>
      </c>
      <c r="F7610" s="114">
        <v>202101</v>
      </c>
      <c r="G7610" s="112" t="s">
        <v>1091</v>
      </c>
      <c r="H7610" s="112" t="s">
        <v>1015</v>
      </c>
      <c r="I7610" s="112" t="s">
        <v>1116</v>
      </c>
      <c r="J7610" s="112" t="s">
        <v>5557</v>
      </c>
      <c r="K7610" s="112" t="s">
        <v>1098</v>
      </c>
      <c r="L7610" s="116">
        <v>2981.92</v>
      </c>
    </row>
    <row r="7611" spans="1:12" hidden="1" outlineLevel="1" collapsed="1" x14ac:dyDescent="0.35">
      <c r="A7611" s="112" t="s">
        <v>5553</v>
      </c>
      <c r="B7611" s="112" t="s">
        <v>927</v>
      </c>
      <c r="C7611" s="112" t="s">
        <v>1219</v>
      </c>
      <c r="D7611" s="113">
        <v>46307772</v>
      </c>
      <c r="E7611" s="115">
        <v>43944</v>
      </c>
      <c r="F7611" s="114">
        <v>202101</v>
      </c>
      <c r="G7611" s="112" t="s">
        <v>1091</v>
      </c>
      <c r="H7611" s="112" t="s">
        <v>1015</v>
      </c>
      <c r="I7611" s="112" t="s">
        <v>1605</v>
      </c>
      <c r="J7611" s="112" t="s">
        <v>5554</v>
      </c>
      <c r="K7611" s="112" t="s">
        <v>5555</v>
      </c>
      <c r="L7611" s="116">
        <v>25000</v>
      </c>
    </row>
    <row r="7612" spans="1:12" hidden="1" outlineLevel="1" collapsed="1" x14ac:dyDescent="0.35">
      <c r="A7612" s="112" t="s">
        <v>5553</v>
      </c>
      <c r="B7612" s="112" t="s">
        <v>927</v>
      </c>
      <c r="C7612" s="112" t="s">
        <v>1095</v>
      </c>
      <c r="D7612" s="113">
        <v>10348451</v>
      </c>
      <c r="E7612" s="115">
        <v>43949</v>
      </c>
      <c r="F7612" s="114">
        <v>202101</v>
      </c>
      <c r="G7612" s="112" t="s">
        <v>1091</v>
      </c>
      <c r="H7612" s="112" t="s">
        <v>1015</v>
      </c>
      <c r="I7612" s="112" t="s">
        <v>1116</v>
      </c>
      <c r="J7612" s="112" t="s">
        <v>5557</v>
      </c>
      <c r="K7612" s="112" t="s">
        <v>1098</v>
      </c>
      <c r="L7612" s="116">
        <v>2106.59</v>
      </c>
    </row>
    <row r="7613" spans="1:12" hidden="1" outlineLevel="1" collapsed="1" x14ac:dyDescent="0.35">
      <c r="A7613" s="112" t="s">
        <v>5553</v>
      </c>
      <c r="B7613" s="112" t="s">
        <v>927</v>
      </c>
      <c r="C7613" s="112" t="s">
        <v>1095</v>
      </c>
      <c r="D7613" s="113">
        <v>10348451</v>
      </c>
      <c r="E7613" s="115">
        <v>43949</v>
      </c>
      <c r="F7613" s="114">
        <v>202101</v>
      </c>
      <c r="G7613" s="112" t="s">
        <v>1091</v>
      </c>
      <c r="H7613" s="112" t="s">
        <v>1015</v>
      </c>
      <c r="I7613" s="112" t="s">
        <v>1116</v>
      </c>
      <c r="J7613" s="112" t="s">
        <v>5557</v>
      </c>
      <c r="K7613" s="112" t="s">
        <v>1098</v>
      </c>
      <c r="L7613" s="116">
        <v>2631.25</v>
      </c>
    </row>
    <row r="7614" spans="1:12" hidden="1" outlineLevel="1" collapsed="1" x14ac:dyDescent="0.35">
      <c r="A7614" s="112" t="s">
        <v>5553</v>
      </c>
      <c r="B7614" s="112" t="s">
        <v>927</v>
      </c>
      <c r="C7614" s="112" t="s">
        <v>1095</v>
      </c>
      <c r="D7614" s="113">
        <v>10348451</v>
      </c>
      <c r="E7614" s="115">
        <v>43949</v>
      </c>
      <c r="F7614" s="114">
        <v>202101</v>
      </c>
      <c r="G7614" s="112" t="s">
        <v>1091</v>
      </c>
      <c r="H7614" s="112" t="s">
        <v>1015</v>
      </c>
      <c r="I7614" s="112" t="s">
        <v>1116</v>
      </c>
      <c r="J7614" s="112" t="s">
        <v>5557</v>
      </c>
      <c r="K7614" s="112" t="s">
        <v>1098</v>
      </c>
      <c r="L7614" s="116">
        <v>1441.81</v>
      </c>
    </row>
    <row r="7615" spans="1:12" hidden="1" outlineLevel="1" collapsed="1" x14ac:dyDescent="0.35">
      <c r="A7615" s="112" t="s">
        <v>5553</v>
      </c>
      <c r="B7615" s="112" t="s">
        <v>927</v>
      </c>
      <c r="C7615" s="112" t="s">
        <v>1095</v>
      </c>
      <c r="D7615" s="113">
        <v>10348451</v>
      </c>
      <c r="E7615" s="115">
        <v>43949</v>
      </c>
      <c r="F7615" s="114">
        <v>202101</v>
      </c>
      <c r="G7615" s="112" t="s">
        <v>1091</v>
      </c>
      <c r="H7615" s="112" t="s">
        <v>1015</v>
      </c>
      <c r="I7615" s="112" t="s">
        <v>1116</v>
      </c>
      <c r="J7615" s="112" t="s">
        <v>5557</v>
      </c>
      <c r="K7615" s="112" t="s">
        <v>1098</v>
      </c>
      <c r="L7615" s="116">
        <v>2259.5</v>
      </c>
    </row>
    <row r="7616" spans="1:12" hidden="1" outlineLevel="1" collapsed="1" x14ac:dyDescent="0.35">
      <c r="A7616" s="112" t="s">
        <v>5553</v>
      </c>
      <c r="B7616" s="112" t="s">
        <v>927</v>
      </c>
      <c r="C7616" s="112" t="s">
        <v>1219</v>
      </c>
      <c r="D7616" s="113">
        <v>46307771</v>
      </c>
      <c r="E7616" s="115">
        <v>43944</v>
      </c>
      <c r="F7616" s="114">
        <v>202101</v>
      </c>
      <c r="G7616" s="112" t="s">
        <v>1091</v>
      </c>
      <c r="H7616" s="112" t="s">
        <v>1015</v>
      </c>
      <c r="I7616" s="112" t="s">
        <v>1605</v>
      </c>
      <c r="J7616" s="112" t="s">
        <v>5554</v>
      </c>
      <c r="K7616" s="112" t="s">
        <v>5555</v>
      </c>
      <c r="L7616" s="116">
        <v>25000</v>
      </c>
    </row>
    <row r="7617" spans="1:12" hidden="1" outlineLevel="1" collapsed="1" x14ac:dyDescent="0.35">
      <c r="A7617" s="112" t="s">
        <v>5553</v>
      </c>
      <c r="B7617" s="112" t="s">
        <v>925</v>
      </c>
      <c r="C7617" s="112" t="s">
        <v>1095</v>
      </c>
      <c r="D7617" s="113">
        <v>10348451</v>
      </c>
      <c r="E7617" s="115">
        <v>43949</v>
      </c>
      <c r="F7617" s="114">
        <v>202101</v>
      </c>
      <c r="G7617" s="112" t="s">
        <v>1091</v>
      </c>
      <c r="H7617" s="112" t="s">
        <v>1015</v>
      </c>
      <c r="I7617" s="112" t="s">
        <v>1116</v>
      </c>
      <c r="J7617" s="112" t="s">
        <v>5559</v>
      </c>
      <c r="K7617" s="112" t="s">
        <v>1098</v>
      </c>
      <c r="L7617" s="116">
        <v>3965.5</v>
      </c>
    </row>
    <row r="7618" spans="1:12" hidden="1" outlineLevel="1" collapsed="1" x14ac:dyDescent="0.35">
      <c r="A7618" s="112" t="s">
        <v>5553</v>
      </c>
      <c r="B7618" s="112" t="s">
        <v>927</v>
      </c>
      <c r="C7618" s="112" t="s">
        <v>1219</v>
      </c>
      <c r="D7618" s="113">
        <v>46307749</v>
      </c>
      <c r="E7618" s="115">
        <v>43944</v>
      </c>
      <c r="F7618" s="114">
        <v>202101</v>
      </c>
      <c r="G7618" s="112" t="s">
        <v>1091</v>
      </c>
      <c r="H7618" s="112" t="s">
        <v>1015</v>
      </c>
      <c r="I7618" s="112" t="s">
        <v>1605</v>
      </c>
      <c r="J7618" s="112" t="s">
        <v>5554</v>
      </c>
      <c r="K7618" s="112" t="s">
        <v>5555</v>
      </c>
      <c r="L7618" s="116">
        <v>25000</v>
      </c>
    </row>
    <row r="7619" spans="1:12" hidden="1" outlineLevel="1" collapsed="1" x14ac:dyDescent="0.35">
      <c r="A7619" s="112" t="s">
        <v>5553</v>
      </c>
      <c r="B7619" s="112" t="s">
        <v>927</v>
      </c>
      <c r="C7619" s="112" t="s">
        <v>1095</v>
      </c>
      <c r="D7619" s="113">
        <v>10348451</v>
      </c>
      <c r="E7619" s="115">
        <v>43949</v>
      </c>
      <c r="F7619" s="114">
        <v>202101</v>
      </c>
      <c r="G7619" s="112" t="s">
        <v>1091</v>
      </c>
      <c r="H7619" s="112" t="s">
        <v>1015</v>
      </c>
      <c r="I7619" s="112" t="s">
        <v>1096</v>
      </c>
      <c r="J7619" s="112" t="s">
        <v>5557</v>
      </c>
      <c r="K7619" s="112" t="s">
        <v>1098</v>
      </c>
      <c r="L7619" s="116">
        <v>189.69</v>
      </c>
    </row>
    <row r="7620" spans="1:12" hidden="1" outlineLevel="1" collapsed="1" x14ac:dyDescent="0.35">
      <c r="A7620" s="112" t="s">
        <v>5553</v>
      </c>
      <c r="B7620" s="112" t="s">
        <v>926</v>
      </c>
      <c r="C7620" s="112" t="s">
        <v>1095</v>
      </c>
      <c r="D7620" s="113">
        <v>10348451</v>
      </c>
      <c r="E7620" s="115">
        <v>43949</v>
      </c>
      <c r="F7620" s="114">
        <v>202101</v>
      </c>
      <c r="G7620" s="112" t="s">
        <v>1091</v>
      </c>
      <c r="H7620" s="112" t="s">
        <v>1015</v>
      </c>
      <c r="I7620" s="112" t="s">
        <v>1116</v>
      </c>
      <c r="J7620" s="112" t="s">
        <v>5591</v>
      </c>
      <c r="K7620" s="112" t="s">
        <v>1098</v>
      </c>
      <c r="L7620" s="116">
        <v>3075.83</v>
      </c>
    </row>
    <row r="7621" spans="1:12" hidden="1" outlineLevel="1" collapsed="1" x14ac:dyDescent="0.35">
      <c r="A7621" s="112" t="s">
        <v>5553</v>
      </c>
      <c r="B7621" s="112" t="s">
        <v>927</v>
      </c>
      <c r="C7621" s="112" t="s">
        <v>1095</v>
      </c>
      <c r="D7621" s="113">
        <v>10348451</v>
      </c>
      <c r="E7621" s="115">
        <v>43949</v>
      </c>
      <c r="F7621" s="114">
        <v>202101</v>
      </c>
      <c r="G7621" s="112" t="s">
        <v>1091</v>
      </c>
      <c r="H7621" s="112" t="s">
        <v>1015</v>
      </c>
      <c r="I7621" s="112" t="s">
        <v>1096</v>
      </c>
      <c r="J7621" s="112" t="s">
        <v>5554</v>
      </c>
      <c r="K7621" s="112" t="s">
        <v>1098</v>
      </c>
      <c r="L7621" s="116">
        <v>262.10000000000002</v>
      </c>
    </row>
    <row r="7622" spans="1:12" hidden="1" outlineLevel="1" collapsed="1" x14ac:dyDescent="0.35">
      <c r="A7622" s="112" t="s">
        <v>5553</v>
      </c>
      <c r="B7622" s="112" t="s">
        <v>927</v>
      </c>
      <c r="C7622" s="112" t="s">
        <v>1095</v>
      </c>
      <c r="D7622" s="113">
        <v>10348451</v>
      </c>
      <c r="E7622" s="115">
        <v>43949</v>
      </c>
      <c r="F7622" s="114">
        <v>202101</v>
      </c>
      <c r="G7622" s="112" t="s">
        <v>1091</v>
      </c>
      <c r="H7622" s="112" t="s">
        <v>1015</v>
      </c>
      <c r="I7622" s="112" t="s">
        <v>1128</v>
      </c>
      <c r="J7622" s="112" t="s">
        <v>5554</v>
      </c>
      <c r="K7622" s="112" t="s">
        <v>1098</v>
      </c>
      <c r="L7622" s="116">
        <v>20</v>
      </c>
    </row>
    <row r="7623" spans="1:12" hidden="1" outlineLevel="1" collapsed="1" x14ac:dyDescent="0.35">
      <c r="A7623" s="112" t="s">
        <v>5553</v>
      </c>
      <c r="B7623" s="112" t="s">
        <v>927</v>
      </c>
      <c r="C7623" s="112" t="s">
        <v>1095</v>
      </c>
      <c r="D7623" s="113">
        <v>10348451</v>
      </c>
      <c r="E7623" s="115">
        <v>43949</v>
      </c>
      <c r="F7623" s="114">
        <v>202101</v>
      </c>
      <c r="G7623" s="112" t="s">
        <v>1091</v>
      </c>
      <c r="H7623" s="112" t="s">
        <v>1015</v>
      </c>
      <c r="I7623" s="112" t="s">
        <v>1096</v>
      </c>
      <c r="J7623" s="112" t="s">
        <v>5554</v>
      </c>
      <c r="K7623" s="112" t="s">
        <v>1098</v>
      </c>
      <c r="L7623" s="116">
        <v>47.92</v>
      </c>
    </row>
    <row r="7624" spans="1:12" hidden="1" outlineLevel="1" collapsed="1" x14ac:dyDescent="0.35">
      <c r="A7624" s="112" t="s">
        <v>5553</v>
      </c>
      <c r="B7624" s="112" t="s">
        <v>925</v>
      </c>
      <c r="C7624" s="112" t="s">
        <v>695</v>
      </c>
      <c r="D7624" s="113">
        <v>10347981</v>
      </c>
      <c r="E7624" s="115">
        <v>43924</v>
      </c>
      <c r="F7624" s="114">
        <v>202101</v>
      </c>
      <c r="G7624" s="112" t="s">
        <v>1091</v>
      </c>
      <c r="H7624" s="112" t="s">
        <v>1015</v>
      </c>
      <c r="I7624" s="112" t="s">
        <v>761</v>
      </c>
      <c r="J7624" s="112" t="s">
        <v>5559</v>
      </c>
      <c r="K7624" s="112" t="s">
        <v>5597</v>
      </c>
      <c r="L7624" s="116">
        <v>-8000</v>
      </c>
    </row>
    <row r="7625" spans="1:12" hidden="1" outlineLevel="1" collapsed="1" x14ac:dyDescent="0.35">
      <c r="A7625" s="112" t="s">
        <v>5553</v>
      </c>
      <c r="B7625" s="112" t="s">
        <v>927</v>
      </c>
      <c r="C7625" s="112" t="s">
        <v>1095</v>
      </c>
      <c r="D7625" s="113">
        <v>10348451</v>
      </c>
      <c r="E7625" s="115">
        <v>43949</v>
      </c>
      <c r="F7625" s="114">
        <v>202101</v>
      </c>
      <c r="G7625" s="112" t="s">
        <v>1091</v>
      </c>
      <c r="H7625" s="112" t="s">
        <v>1015</v>
      </c>
      <c r="I7625" s="112" t="s">
        <v>1113</v>
      </c>
      <c r="J7625" s="112" t="s">
        <v>5557</v>
      </c>
      <c r="K7625" s="112" t="s">
        <v>1098</v>
      </c>
      <c r="L7625" s="116">
        <v>72.92</v>
      </c>
    </row>
    <row r="7626" spans="1:12" hidden="1" outlineLevel="1" collapsed="1" x14ac:dyDescent="0.35">
      <c r="A7626" s="112" t="s">
        <v>5553</v>
      </c>
      <c r="B7626" s="112" t="s">
        <v>5561</v>
      </c>
      <c r="C7626" s="112" t="s">
        <v>1095</v>
      </c>
      <c r="D7626" s="113">
        <v>10348451</v>
      </c>
      <c r="E7626" s="115">
        <v>43949</v>
      </c>
      <c r="F7626" s="114">
        <v>202101</v>
      </c>
      <c r="G7626" s="112" t="s">
        <v>1091</v>
      </c>
      <c r="H7626" s="112" t="s">
        <v>1015</v>
      </c>
      <c r="I7626" s="112" t="s">
        <v>1101</v>
      </c>
      <c r="J7626" s="112" t="s">
        <v>5562</v>
      </c>
      <c r="K7626" s="112" t="s">
        <v>1098</v>
      </c>
      <c r="L7626" s="116">
        <v>486.73</v>
      </c>
    </row>
    <row r="7627" spans="1:12" hidden="1" outlineLevel="1" collapsed="1" x14ac:dyDescent="0.35">
      <c r="A7627" s="112" t="s">
        <v>5553</v>
      </c>
      <c r="B7627" s="112" t="s">
        <v>5561</v>
      </c>
      <c r="C7627" s="112" t="s">
        <v>1095</v>
      </c>
      <c r="D7627" s="113">
        <v>10348451</v>
      </c>
      <c r="E7627" s="115">
        <v>43949</v>
      </c>
      <c r="F7627" s="114">
        <v>202101</v>
      </c>
      <c r="G7627" s="112" t="s">
        <v>1091</v>
      </c>
      <c r="H7627" s="112" t="s">
        <v>1015</v>
      </c>
      <c r="I7627" s="112" t="s">
        <v>1096</v>
      </c>
      <c r="J7627" s="112" t="s">
        <v>5562</v>
      </c>
      <c r="K7627" s="112" t="s">
        <v>1098</v>
      </c>
      <c r="L7627" s="116">
        <v>313.61</v>
      </c>
    </row>
    <row r="7628" spans="1:12" hidden="1" outlineLevel="1" collapsed="1" x14ac:dyDescent="0.35">
      <c r="A7628" s="112" t="s">
        <v>5553</v>
      </c>
      <c r="B7628" s="112" t="s">
        <v>927</v>
      </c>
      <c r="C7628" s="112" t="s">
        <v>1095</v>
      </c>
      <c r="D7628" s="113">
        <v>10348451</v>
      </c>
      <c r="E7628" s="115">
        <v>43949</v>
      </c>
      <c r="F7628" s="114">
        <v>202101</v>
      </c>
      <c r="G7628" s="112" t="s">
        <v>1091</v>
      </c>
      <c r="H7628" s="112" t="s">
        <v>1015</v>
      </c>
      <c r="I7628" s="112" t="s">
        <v>1096</v>
      </c>
      <c r="J7628" s="112" t="s">
        <v>5554</v>
      </c>
      <c r="K7628" s="112" t="s">
        <v>1098</v>
      </c>
      <c r="L7628" s="116">
        <v>211.59</v>
      </c>
    </row>
    <row r="7629" spans="1:12" hidden="1" outlineLevel="1" collapsed="1" x14ac:dyDescent="0.35">
      <c r="A7629" s="112" t="s">
        <v>5553</v>
      </c>
      <c r="B7629" s="112" t="s">
        <v>926</v>
      </c>
      <c r="C7629" s="112" t="s">
        <v>1095</v>
      </c>
      <c r="D7629" s="113">
        <v>10348451</v>
      </c>
      <c r="E7629" s="115">
        <v>43949</v>
      </c>
      <c r="F7629" s="114">
        <v>202101</v>
      </c>
      <c r="G7629" s="112" t="s">
        <v>1091</v>
      </c>
      <c r="H7629" s="112" t="s">
        <v>1015</v>
      </c>
      <c r="I7629" s="112" t="s">
        <v>1101</v>
      </c>
      <c r="J7629" s="112" t="s">
        <v>5591</v>
      </c>
      <c r="K7629" s="112" t="s">
        <v>1098</v>
      </c>
      <c r="L7629" s="116">
        <v>215.5</v>
      </c>
    </row>
    <row r="7630" spans="1:12" hidden="1" outlineLevel="1" collapsed="1" x14ac:dyDescent="0.35">
      <c r="A7630" s="112" t="s">
        <v>5553</v>
      </c>
      <c r="B7630" s="112" t="s">
        <v>925</v>
      </c>
      <c r="C7630" s="112" t="s">
        <v>1095</v>
      </c>
      <c r="D7630" s="113">
        <v>10348451</v>
      </c>
      <c r="E7630" s="115">
        <v>43949</v>
      </c>
      <c r="F7630" s="114">
        <v>202101</v>
      </c>
      <c r="G7630" s="112" t="s">
        <v>1091</v>
      </c>
      <c r="H7630" s="112" t="s">
        <v>1015</v>
      </c>
      <c r="I7630" s="112" t="s">
        <v>1101</v>
      </c>
      <c r="J7630" s="112" t="s">
        <v>5559</v>
      </c>
      <c r="K7630" s="112" t="s">
        <v>1098</v>
      </c>
      <c r="L7630" s="116">
        <v>366.04</v>
      </c>
    </row>
    <row r="7631" spans="1:12" hidden="1" outlineLevel="1" collapsed="1" x14ac:dyDescent="0.35">
      <c r="A7631" s="112" t="s">
        <v>5553</v>
      </c>
      <c r="B7631" s="112" t="s">
        <v>927</v>
      </c>
      <c r="C7631" s="112" t="s">
        <v>1095</v>
      </c>
      <c r="D7631" s="113">
        <v>10348451</v>
      </c>
      <c r="E7631" s="115">
        <v>43949</v>
      </c>
      <c r="F7631" s="114">
        <v>202101</v>
      </c>
      <c r="G7631" s="112" t="s">
        <v>1091</v>
      </c>
      <c r="H7631" s="112" t="s">
        <v>1015</v>
      </c>
      <c r="I7631" s="112" t="s">
        <v>1101</v>
      </c>
      <c r="J7631" s="112" t="s">
        <v>5557</v>
      </c>
      <c r="K7631" s="112" t="s">
        <v>1098</v>
      </c>
      <c r="L7631" s="116">
        <v>366.04</v>
      </c>
    </row>
    <row r="7632" spans="1:12" hidden="1" outlineLevel="1" collapsed="1" x14ac:dyDescent="0.35">
      <c r="A7632" s="112" t="s">
        <v>5553</v>
      </c>
      <c r="B7632" s="112" t="s">
        <v>924</v>
      </c>
      <c r="C7632" s="112" t="s">
        <v>1095</v>
      </c>
      <c r="D7632" s="113">
        <v>10348451</v>
      </c>
      <c r="E7632" s="115">
        <v>43949</v>
      </c>
      <c r="F7632" s="114">
        <v>202101</v>
      </c>
      <c r="G7632" s="112" t="s">
        <v>1091</v>
      </c>
      <c r="H7632" s="112" t="s">
        <v>1015</v>
      </c>
      <c r="I7632" s="112" t="s">
        <v>1128</v>
      </c>
      <c r="J7632" s="112" t="s">
        <v>5558</v>
      </c>
      <c r="K7632" s="112" t="s">
        <v>1098</v>
      </c>
      <c r="L7632" s="116">
        <v>243</v>
      </c>
    </row>
    <row r="7633" spans="1:12" hidden="1" outlineLevel="1" collapsed="1" x14ac:dyDescent="0.35">
      <c r="A7633" s="112" t="s">
        <v>5553</v>
      </c>
      <c r="B7633" s="112" t="s">
        <v>927</v>
      </c>
      <c r="C7633" s="112" t="s">
        <v>1095</v>
      </c>
      <c r="D7633" s="113">
        <v>10348451</v>
      </c>
      <c r="E7633" s="115">
        <v>43949</v>
      </c>
      <c r="F7633" s="114">
        <v>202101</v>
      </c>
      <c r="G7633" s="112" t="s">
        <v>1091</v>
      </c>
      <c r="H7633" s="112" t="s">
        <v>1015</v>
      </c>
      <c r="I7633" s="112" t="s">
        <v>1096</v>
      </c>
      <c r="J7633" s="112" t="s">
        <v>5554</v>
      </c>
      <c r="K7633" s="112" t="s">
        <v>1098</v>
      </c>
      <c r="L7633" s="116">
        <v>210.79</v>
      </c>
    </row>
    <row r="7634" spans="1:12" hidden="1" outlineLevel="1" collapsed="1" x14ac:dyDescent="0.35">
      <c r="A7634" s="112" t="s">
        <v>5553</v>
      </c>
      <c r="B7634" s="112" t="s">
        <v>927</v>
      </c>
      <c r="C7634" s="112" t="s">
        <v>1219</v>
      </c>
      <c r="D7634" s="113">
        <v>46306818</v>
      </c>
      <c r="E7634" s="115">
        <v>43923</v>
      </c>
      <c r="F7634" s="114">
        <v>202101</v>
      </c>
      <c r="G7634" s="112" t="s">
        <v>1091</v>
      </c>
      <c r="H7634" s="112" t="s">
        <v>1015</v>
      </c>
      <c r="I7634" s="112" t="s">
        <v>1605</v>
      </c>
      <c r="J7634" s="112" t="s">
        <v>5554</v>
      </c>
      <c r="K7634" s="112" t="s">
        <v>5556</v>
      </c>
      <c r="L7634" s="116">
        <v>10000</v>
      </c>
    </row>
    <row r="7635" spans="1:12" hidden="1" outlineLevel="1" collapsed="1" x14ac:dyDescent="0.35">
      <c r="A7635" s="112" t="s">
        <v>5553</v>
      </c>
      <c r="B7635" s="112" t="s">
        <v>927</v>
      </c>
      <c r="C7635" s="112" t="s">
        <v>1219</v>
      </c>
      <c r="D7635" s="113">
        <v>46306817</v>
      </c>
      <c r="E7635" s="115">
        <v>43923</v>
      </c>
      <c r="F7635" s="114">
        <v>202101</v>
      </c>
      <c r="G7635" s="112" t="s">
        <v>1091</v>
      </c>
      <c r="H7635" s="112" t="s">
        <v>1015</v>
      </c>
      <c r="I7635" s="112" t="s">
        <v>1605</v>
      </c>
      <c r="J7635" s="112" t="s">
        <v>5554</v>
      </c>
      <c r="K7635" s="112" t="s">
        <v>5556</v>
      </c>
      <c r="L7635" s="116">
        <v>10000</v>
      </c>
    </row>
    <row r="7636" spans="1:12" hidden="1" outlineLevel="1" collapsed="1" x14ac:dyDescent="0.35">
      <c r="A7636" s="112" t="s">
        <v>5553</v>
      </c>
      <c r="B7636" s="112" t="s">
        <v>927</v>
      </c>
      <c r="C7636" s="112" t="s">
        <v>1219</v>
      </c>
      <c r="D7636" s="113">
        <v>46306816</v>
      </c>
      <c r="E7636" s="115">
        <v>43923</v>
      </c>
      <c r="F7636" s="114">
        <v>202101</v>
      </c>
      <c r="G7636" s="112" t="s">
        <v>1091</v>
      </c>
      <c r="H7636" s="112" t="s">
        <v>1015</v>
      </c>
      <c r="I7636" s="112" t="s">
        <v>1605</v>
      </c>
      <c r="J7636" s="112" t="s">
        <v>5554</v>
      </c>
      <c r="K7636" s="112" t="s">
        <v>5556</v>
      </c>
      <c r="L7636" s="116">
        <v>10000</v>
      </c>
    </row>
    <row r="7637" spans="1:12" hidden="1" outlineLevel="1" collapsed="1" x14ac:dyDescent="0.35">
      <c r="A7637" s="112" t="s">
        <v>5553</v>
      </c>
      <c r="B7637" s="112" t="s">
        <v>927</v>
      </c>
      <c r="C7637" s="112" t="s">
        <v>1219</v>
      </c>
      <c r="D7637" s="113">
        <v>46306815</v>
      </c>
      <c r="E7637" s="115">
        <v>43923</v>
      </c>
      <c r="F7637" s="114">
        <v>202101</v>
      </c>
      <c r="G7637" s="112" t="s">
        <v>1091</v>
      </c>
      <c r="H7637" s="112" t="s">
        <v>1015</v>
      </c>
      <c r="I7637" s="112" t="s">
        <v>1605</v>
      </c>
      <c r="J7637" s="112" t="s">
        <v>5554</v>
      </c>
      <c r="K7637" s="112" t="s">
        <v>5556</v>
      </c>
      <c r="L7637" s="116">
        <v>10000</v>
      </c>
    </row>
    <row r="7638" spans="1:12" hidden="1" outlineLevel="1" collapsed="1" x14ac:dyDescent="0.35">
      <c r="A7638" s="112" t="s">
        <v>5553</v>
      </c>
      <c r="B7638" s="112" t="s">
        <v>927</v>
      </c>
      <c r="C7638" s="112" t="s">
        <v>1219</v>
      </c>
      <c r="D7638" s="113">
        <v>46306814</v>
      </c>
      <c r="E7638" s="115">
        <v>43923</v>
      </c>
      <c r="F7638" s="114">
        <v>202101</v>
      </c>
      <c r="G7638" s="112" t="s">
        <v>1091</v>
      </c>
      <c r="H7638" s="112" t="s">
        <v>1015</v>
      </c>
      <c r="I7638" s="112" t="s">
        <v>1605</v>
      </c>
      <c r="J7638" s="112" t="s">
        <v>5554</v>
      </c>
      <c r="K7638" s="112" t="s">
        <v>5556</v>
      </c>
      <c r="L7638" s="116">
        <v>10000</v>
      </c>
    </row>
    <row r="7639" spans="1:12" hidden="1" outlineLevel="1" collapsed="1" x14ac:dyDescent="0.35">
      <c r="A7639" s="112" t="s">
        <v>5553</v>
      </c>
      <c r="B7639" s="112" t="s">
        <v>927</v>
      </c>
      <c r="C7639" s="112" t="s">
        <v>1219</v>
      </c>
      <c r="D7639" s="113">
        <v>46306813</v>
      </c>
      <c r="E7639" s="115">
        <v>43923</v>
      </c>
      <c r="F7639" s="114">
        <v>202101</v>
      </c>
      <c r="G7639" s="112" t="s">
        <v>1091</v>
      </c>
      <c r="H7639" s="112" t="s">
        <v>1015</v>
      </c>
      <c r="I7639" s="112" t="s">
        <v>1605</v>
      </c>
      <c r="J7639" s="112" t="s">
        <v>5554</v>
      </c>
      <c r="K7639" s="112" t="s">
        <v>5556</v>
      </c>
      <c r="L7639" s="116">
        <v>10000</v>
      </c>
    </row>
    <row r="7640" spans="1:12" hidden="1" outlineLevel="1" collapsed="1" x14ac:dyDescent="0.35">
      <c r="A7640" s="112" t="s">
        <v>5553</v>
      </c>
      <c r="B7640" s="112" t="s">
        <v>927</v>
      </c>
      <c r="C7640" s="112" t="s">
        <v>1219</v>
      </c>
      <c r="D7640" s="113">
        <v>46306812</v>
      </c>
      <c r="E7640" s="115">
        <v>43923</v>
      </c>
      <c r="F7640" s="114">
        <v>202101</v>
      </c>
      <c r="G7640" s="112" t="s">
        <v>1091</v>
      </c>
      <c r="H7640" s="112" t="s">
        <v>1015</v>
      </c>
      <c r="I7640" s="112" t="s">
        <v>1605</v>
      </c>
      <c r="J7640" s="112" t="s">
        <v>5554</v>
      </c>
      <c r="K7640" s="112" t="s">
        <v>5556</v>
      </c>
      <c r="L7640" s="116">
        <v>10000</v>
      </c>
    </row>
    <row r="7641" spans="1:12" hidden="1" outlineLevel="1" collapsed="1" x14ac:dyDescent="0.35">
      <c r="A7641" s="112" t="s">
        <v>5553</v>
      </c>
      <c r="B7641" s="112" t="s">
        <v>927</v>
      </c>
      <c r="C7641" s="112" t="s">
        <v>1095</v>
      </c>
      <c r="D7641" s="113">
        <v>10348451</v>
      </c>
      <c r="E7641" s="115">
        <v>43949</v>
      </c>
      <c r="F7641" s="114">
        <v>202101</v>
      </c>
      <c r="G7641" s="112" t="s">
        <v>1091</v>
      </c>
      <c r="H7641" s="112" t="s">
        <v>1015</v>
      </c>
      <c r="I7641" s="112" t="s">
        <v>1128</v>
      </c>
      <c r="J7641" s="112" t="s">
        <v>5557</v>
      </c>
      <c r="K7641" s="112" t="s">
        <v>1098</v>
      </c>
      <c r="L7641" s="116">
        <v>150</v>
      </c>
    </row>
    <row r="7642" spans="1:12" hidden="1" outlineLevel="1" collapsed="1" x14ac:dyDescent="0.35">
      <c r="A7642" s="112" t="s">
        <v>5553</v>
      </c>
      <c r="B7642" s="112" t="s">
        <v>926</v>
      </c>
      <c r="C7642" s="112" t="s">
        <v>1095</v>
      </c>
      <c r="D7642" s="113">
        <v>10348451</v>
      </c>
      <c r="E7642" s="115">
        <v>43949</v>
      </c>
      <c r="F7642" s="114">
        <v>202101</v>
      </c>
      <c r="G7642" s="112" t="s">
        <v>1091</v>
      </c>
      <c r="H7642" s="112" t="s">
        <v>1015</v>
      </c>
      <c r="I7642" s="112" t="s">
        <v>1096</v>
      </c>
      <c r="J7642" s="112" t="s">
        <v>5567</v>
      </c>
      <c r="K7642" s="112" t="s">
        <v>1098</v>
      </c>
      <c r="L7642" s="116">
        <v>262.10000000000002</v>
      </c>
    </row>
    <row r="7643" spans="1:12" hidden="1" outlineLevel="1" collapsed="1" x14ac:dyDescent="0.35">
      <c r="A7643" s="112" t="s">
        <v>5553</v>
      </c>
      <c r="B7643" s="112" t="s">
        <v>927</v>
      </c>
      <c r="C7643" s="112" t="s">
        <v>695</v>
      </c>
      <c r="D7643" s="113">
        <v>10347981</v>
      </c>
      <c r="E7643" s="115">
        <v>43924</v>
      </c>
      <c r="F7643" s="114">
        <v>202101</v>
      </c>
      <c r="G7643" s="112" t="s">
        <v>1091</v>
      </c>
      <c r="H7643" s="112" t="s">
        <v>1015</v>
      </c>
      <c r="I7643" s="112" t="s">
        <v>775</v>
      </c>
      <c r="J7643" s="112" t="s">
        <v>5598</v>
      </c>
      <c r="K7643" s="112" t="s">
        <v>5599</v>
      </c>
      <c r="L7643" s="116">
        <v>-60</v>
      </c>
    </row>
    <row r="7644" spans="1:12" hidden="1" outlineLevel="1" collapsed="1" x14ac:dyDescent="0.35">
      <c r="A7644" s="112" t="s">
        <v>5553</v>
      </c>
      <c r="B7644" s="112" t="s">
        <v>926</v>
      </c>
      <c r="C7644" s="112" t="s">
        <v>1095</v>
      </c>
      <c r="D7644" s="113">
        <v>10348451</v>
      </c>
      <c r="E7644" s="115">
        <v>43949</v>
      </c>
      <c r="F7644" s="114">
        <v>202101</v>
      </c>
      <c r="G7644" s="112" t="s">
        <v>1091</v>
      </c>
      <c r="H7644" s="112" t="s">
        <v>1015</v>
      </c>
      <c r="I7644" s="112" t="s">
        <v>1101</v>
      </c>
      <c r="J7644" s="112" t="s">
        <v>5567</v>
      </c>
      <c r="K7644" s="112" t="s">
        <v>1098</v>
      </c>
      <c r="L7644" s="116">
        <v>426.26</v>
      </c>
    </row>
    <row r="7645" spans="1:12" hidden="1" outlineLevel="1" collapsed="1" x14ac:dyDescent="0.35">
      <c r="A7645" s="112" t="s">
        <v>5553</v>
      </c>
      <c r="B7645" s="112" t="s">
        <v>926</v>
      </c>
      <c r="C7645" s="112" t="s">
        <v>203</v>
      </c>
      <c r="D7645" s="113">
        <v>10348453</v>
      </c>
      <c r="E7645" s="115">
        <v>43948</v>
      </c>
      <c r="F7645" s="114">
        <v>202101</v>
      </c>
      <c r="G7645" s="112" t="s">
        <v>1091</v>
      </c>
      <c r="H7645" s="112" t="s">
        <v>1015</v>
      </c>
      <c r="I7645" s="112" t="s">
        <v>1116</v>
      </c>
      <c r="J7645" s="112" t="s">
        <v>5591</v>
      </c>
      <c r="K7645" s="112" t="s">
        <v>1098</v>
      </c>
      <c r="L7645" s="116">
        <v>60.08</v>
      </c>
    </row>
    <row r="7646" spans="1:12" hidden="1" outlineLevel="1" collapsed="1" x14ac:dyDescent="0.35">
      <c r="A7646" s="112" t="s">
        <v>5553</v>
      </c>
      <c r="B7646" s="112" t="s">
        <v>924</v>
      </c>
      <c r="C7646" s="112" t="s">
        <v>1095</v>
      </c>
      <c r="D7646" s="113">
        <v>10348451</v>
      </c>
      <c r="E7646" s="115">
        <v>43949</v>
      </c>
      <c r="F7646" s="114">
        <v>202101</v>
      </c>
      <c r="G7646" s="112" t="s">
        <v>1091</v>
      </c>
      <c r="H7646" s="112" t="s">
        <v>1015</v>
      </c>
      <c r="I7646" s="112" t="s">
        <v>1101</v>
      </c>
      <c r="J7646" s="112" t="s">
        <v>5558</v>
      </c>
      <c r="K7646" s="112" t="s">
        <v>1098</v>
      </c>
      <c r="L7646" s="116">
        <v>426.26</v>
      </c>
    </row>
    <row r="7647" spans="1:12" hidden="1" outlineLevel="1" collapsed="1" x14ac:dyDescent="0.35">
      <c r="A7647" s="112" t="s">
        <v>5553</v>
      </c>
      <c r="B7647" s="112" t="s">
        <v>924</v>
      </c>
      <c r="C7647" s="112" t="s">
        <v>1095</v>
      </c>
      <c r="D7647" s="113">
        <v>10348451</v>
      </c>
      <c r="E7647" s="115">
        <v>43949</v>
      </c>
      <c r="F7647" s="114">
        <v>202101</v>
      </c>
      <c r="G7647" s="112" t="s">
        <v>1091</v>
      </c>
      <c r="H7647" s="112" t="s">
        <v>1015</v>
      </c>
      <c r="I7647" s="112" t="s">
        <v>1101</v>
      </c>
      <c r="J7647" s="112" t="s">
        <v>5558</v>
      </c>
      <c r="K7647" s="112" t="s">
        <v>1098</v>
      </c>
      <c r="L7647" s="116">
        <v>602.15</v>
      </c>
    </row>
    <row r="7648" spans="1:12" hidden="1" outlineLevel="1" collapsed="1" x14ac:dyDescent="0.35">
      <c r="A7648" s="112" t="s">
        <v>5553</v>
      </c>
      <c r="B7648" s="112" t="s">
        <v>927</v>
      </c>
      <c r="C7648" s="112" t="s">
        <v>1095</v>
      </c>
      <c r="D7648" s="113">
        <v>10348451</v>
      </c>
      <c r="E7648" s="115">
        <v>43949</v>
      </c>
      <c r="F7648" s="114">
        <v>202101</v>
      </c>
      <c r="G7648" s="112" t="s">
        <v>1091</v>
      </c>
      <c r="H7648" s="112" t="s">
        <v>1015</v>
      </c>
      <c r="I7648" s="112" t="s">
        <v>1096</v>
      </c>
      <c r="J7648" s="112" t="s">
        <v>5554</v>
      </c>
      <c r="K7648" s="112" t="s">
        <v>1098</v>
      </c>
      <c r="L7648" s="116">
        <v>210.79</v>
      </c>
    </row>
    <row r="7649" spans="1:12" hidden="1" outlineLevel="1" collapsed="1" x14ac:dyDescent="0.35">
      <c r="A7649" s="112" t="s">
        <v>5553</v>
      </c>
      <c r="B7649" s="112" t="s">
        <v>927</v>
      </c>
      <c r="C7649" s="112" t="s">
        <v>695</v>
      </c>
      <c r="D7649" s="113">
        <v>10347981</v>
      </c>
      <c r="E7649" s="115">
        <v>43924</v>
      </c>
      <c r="F7649" s="114">
        <v>202101</v>
      </c>
      <c r="G7649" s="112" t="s">
        <v>1091</v>
      </c>
      <c r="H7649" s="112" t="s">
        <v>1015</v>
      </c>
      <c r="I7649" s="112" t="s">
        <v>769</v>
      </c>
      <c r="J7649" s="112" t="s">
        <v>5557</v>
      </c>
      <c r="K7649" s="112" t="s">
        <v>5594</v>
      </c>
      <c r="L7649" s="116">
        <v>-114.02</v>
      </c>
    </row>
    <row r="7650" spans="1:12" hidden="1" outlineLevel="1" collapsed="1" x14ac:dyDescent="0.35">
      <c r="A7650" s="112" t="s">
        <v>5553</v>
      </c>
      <c r="B7650" s="112" t="s">
        <v>926</v>
      </c>
      <c r="C7650" s="112" t="s">
        <v>695</v>
      </c>
      <c r="D7650" s="113">
        <v>10347981</v>
      </c>
      <c r="E7650" s="115">
        <v>43924</v>
      </c>
      <c r="F7650" s="114">
        <v>202101</v>
      </c>
      <c r="G7650" s="112" t="s">
        <v>1091</v>
      </c>
      <c r="H7650" s="112" t="s">
        <v>1015</v>
      </c>
      <c r="I7650" s="112" t="s">
        <v>761</v>
      </c>
      <c r="J7650" s="112" t="s">
        <v>5591</v>
      </c>
      <c r="K7650" s="112" t="s">
        <v>5600</v>
      </c>
      <c r="L7650" s="116">
        <v>-222.1</v>
      </c>
    </row>
    <row r="7651" spans="1:12" hidden="1" outlineLevel="1" collapsed="1" x14ac:dyDescent="0.35">
      <c r="A7651" s="112" t="s">
        <v>5553</v>
      </c>
      <c r="B7651" s="112" t="s">
        <v>926</v>
      </c>
      <c r="C7651" s="112" t="s">
        <v>1095</v>
      </c>
      <c r="D7651" s="113">
        <v>10348451</v>
      </c>
      <c r="E7651" s="115">
        <v>43949</v>
      </c>
      <c r="F7651" s="114">
        <v>202101</v>
      </c>
      <c r="G7651" s="112" t="s">
        <v>1091</v>
      </c>
      <c r="H7651" s="112" t="s">
        <v>1015</v>
      </c>
      <c r="I7651" s="112" t="s">
        <v>1101</v>
      </c>
      <c r="J7651" s="112" t="s">
        <v>5591</v>
      </c>
      <c r="K7651" s="112" t="s">
        <v>1098</v>
      </c>
      <c r="L7651" s="116">
        <v>131.91999999999999</v>
      </c>
    </row>
    <row r="7652" spans="1:12" hidden="1" outlineLevel="1" collapsed="1" x14ac:dyDescent="0.35">
      <c r="A7652" s="112" t="s">
        <v>5553</v>
      </c>
      <c r="B7652" s="112" t="s">
        <v>928</v>
      </c>
      <c r="C7652" s="112" t="s">
        <v>1095</v>
      </c>
      <c r="D7652" s="113">
        <v>10348451</v>
      </c>
      <c r="E7652" s="115">
        <v>43949</v>
      </c>
      <c r="F7652" s="114">
        <v>202101</v>
      </c>
      <c r="G7652" s="112" t="s">
        <v>1091</v>
      </c>
      <c r="H7652" s="112" t="s">
        <v>1015</v>
      </c>
      <c r="I7652" s="112" t="s">
        <v>1101</v>
      </c>
      <c r="J7652" s="112" t="s">
        <v>5565</v>
      </c>
      <c r="K7652" s="112" t="s">
        <v>1098</v>
      </c>
      <c r="L7652" s="116">
        <v>276.5</v>
      </c>
    </row>
    <row r="7653" spans="1:12" hidden="1" outlineLevel="1" collapsed="1" x14ac:dyDescent="0.35">
      <c r="A7653" s="112" t="s">
        <v>5553</v>
      </c>
      <c r="B7653" s="112" t="s">
        <v>924</v>
      </c>
      <c r="C7653" s="112" t="s">
        <v>695</v>
      </c>
      <c r="D7653" s="113">
        <v>10347981</v>
      </c>
      <c r="E7653" s="115">
        <v>43924</v>
      </c>
      <c r="F7653" s="114">
        <v>202101</v>
      </c>
      <c r="G7653" s="112" t="s">
        <v>1091</v>
      </c>
      <c r="H7653" s="112" t="s">
        <v>1015</v>
      </c>
      <c r="I7653" s="112" t="s">
        <v>1599</v>
      </c>
      <c r="J7653" s="112" t="s">
        <v>5558</v>
      </c>
      <c r="K7653" s="112" t="s">
        <v>5601</v>
      </c>
      <c r="L7653" s="116">
        <v>-7500</v>
      </c>
    </row>
    <row r="7654" spans="1:12" hidden="1" outlineLevel="1" collapsed="1" x14ac:dyDescent="0.35">
      <c r="A7654" s="112" t="s">
        <v>5553</v>
      </c>
      <c r="B7654" s="112" t="s">
        <v>926</v>
      </c>
      <c r="C7654" s="112" t="s">
        <v>1095</v>
      </c>
      <c r="D7654" s="113">
        <v>10348451</v>
      </c>
      <c r="E7654" s="115">
        <v>43949</v>
      </c>
      <c r="F7654" s="114">
        <v>202101</v>
      </c>
      <c r="G7654" s="112" t="s">
        <v>1091</v>
      </c>
      <c r="H7654" s="112" t="s">
        <v>1015</v>
      </c>
      <c r="I7654" s="112" t="s">
        <v>1096</v>
      </c>
      <c r="J7654" s="112" t="s">
        <v>5567</v>
      </c>
      <c r="K7654" s="112" t="s">
        <v>1098</v>
      </c>
      <c r="L7654" s="116">
        <v>310.49</v>
      </c>
    </row>
    <row r="7655" spans="1:12" hidden="1" outlineLevel="1" collapsed="1" x14ac:dyDescent="0.35">
      <c r="A7655" s="112" t="s">
        <v>5553</v>
      </c>
      <c r="B7655" s="112" t="s">
        <v>5572</v>
      </c>
      <c r="C7655" s="112" t="s">
        <v>695</v>
      </c>
      <c r="D7655" s="113">
        <v>10347981</v>
      </c>
      <c r="E7655" s="115">
        <v>43924</v>
      </c>
      <c r="F7655" s="114">
        <v>202101</v>
      </c>
      <c r="G7655" s="112" t="s">
        <v>1091</v>
      </c>
      <c r="H7655" s="112" t="s">
        <v>1015</v>
      </c>
      <c r="I7655" s="112" t="s">
        <v>763</v>
      </c>
      <c r="J7655" s="112" t="s">
        <v>5573</v>
      </c>
      <c r="K7655" s="112" t="s">
        <v>5602</v>
      </c>
      <c r="L7655" s="116">
        <v>-16589</v>
      </c>
    </row>
    <row r="7656" spans="1:12" hidden="1" outlineLevel="1" collapsed="1" x14ac:dyDescent="0.35">
      <c r="A7656" s="112" t="s">
        <v>5553</v>
      </c>
      <c r="B7656" s="112" t="s">
        <v>927</v>
      </c>
      <c r="C7656" s="112" t="s">
        <v>1095</v>
      </c>
      <c r="D7656" s="113">
        <v>10348451</v>
      </c>
      <c r="E7656" s="115">
        <v>43949</v>
      </c>
      <c r="F7656" s="114">
        <v>202101</v>
      </c>
      <c r="G7656" s="112" t="s">
        <v>1091</v>
      </c>
      <c r="H7656" s="112" t="s">
        <v>1015</v>
      </c>
      <c r="I7656" s="112" t="s">
        <v>1101</v>
      </c>
      <c r="J7656" s="112" t="s">
        <v>5557</v>
      </c>
      <c r="K7656" s="112" t="s">
        <v>1098</v>
      </c>
      <c r="L7656" s="116">
        <v>365.57</v>
      </c>
    </row>
    <row r="7657" spans="1:12" hidden="1" outlineLevel="1" collapsed="1" x14ac:dyDescent="0.35">
      <c r="A7657" s="112" t="s">
        <v>5553</v>
      </c>
      <c r="B7657" s="112" t="s">
        <v>927</v>
      </c>
      <c r="C7657" s="112" t="s">
        <v>1095</v>
      </c>
      <c r="D7657" s="113">
        <v>10348451</v>
      </c>
      <c r="E7657" s="115">
        <v>43949</v>
      </c>
      <c r="F7657" s="114">
        <v>202101</v>
      </c>
      <c r="G7657" s="112" t="s">
        <v>1091</v>
      </c>
      <c r="H7657" s="112" t="s">
        <v>1015</v>
      </c>
      <c r="I7657" s="112" t="s">
        <v>1101</v>
      </c>
      <c r="J7657" s="112" t="s">
        <v>5557</v>
      </c>
      <c r="K7657" s="112" t="s">
        <v>1098</v>
      </c>
      <c r="L7657" s="116">
        <v>296.79000000000002</v>
      </c>
    </row>
    <row r="7658" spans="1:12" hidden="1" outlineLevel="1" collapsed="1" x14ac:dyDescent="0.35">
      <c r="A7658" s="112" t="s">
        <v>5553</v>
      </c>
      <c r="B7658" s="112" t="s">
        <v>924</v>
      </c>
      <c r="C7658" s="112" t="s">
        <v>1095</v>
      </c>
      <c r="D7658" s="113">
        <v>10348451</v>
      </c>
      <c r="E7658" s="115">
        <v>43949</v>
      </c>
      <c r="F7658" s="114">
        <v>202101</v>
      </c>
      <c r="G7658" s="112" t="s">
        <v>1091</v>
      </c>
      <c r="H7658" s="112" t="s">
        <v>1015</v>
      </c>
      <c r="I7658" s="112" t="s">
        <v>1101</v>
      </c>
      <c r="J7658" s="112" t="s">
        <v>5558</v>
      </c>
      <c r="K7658" s="112" t="s">
        <v>1098</v>
      </c>
      <c r="L7658" s="116">
        <v>816.49</v>
      </c>
    </row>
    <row r="7659" spans="1:12" hidden="1" outlineLevel="1" collapsed="1" x14ac:dyDescent="0.35">
      <c r="A7659" s="112" t="s">
        <v>5553</v>
      </c>
      <c r="B7659" s="112" t="s">
        <v>924</v>
      </c>
      <c r="C7659" s="112" t="s">
        <v>695</v>
      </c>
      <c r="D7659" s="113">
        <v>10347981</v>
      </c>
      <c r="E7659" s="115">
        <v>43924</v>
      </c>
      <c r="F7659" s="114">
        <v>202101</v>
      </c>
      <c r="G7659" s="112" t="s">
        <v>1091</v>
      </c>
      <c r="H7659" s="112" t="s">
        <v>1015</v>
      </c>
      <c r="I7659" s="112" t="s">
        <v>769</v>
      </c>
      <c r="J7659" s="112" t="s">
        <v>5558</v>
      </c>
      <c r="K7659" s="112" t="s">
        <v>5603</v>
      </c>
      <c r="L7659" s="116">
        <v>-117.03</v>
      </c>
    </row>
    <row r="7660" spans="1:12" hidden="1" outlineLevel="1" collapsed="1" x14ac:dyDescent="0.35">
      <c r="A7660" s="112" t="s">
        <v>5553</v>
      </c>
      <c r="B7660" s="112" t="s">
        <v>5561</v>
      </c>
      <c r="C7660" s="112" t="s">
        <v>1095</v>
      </c>
      <c r="D7660" s="113">
        <v>10348451</v>
      </c>
      <c r="E7660" s="115">
        <v>43949</v>
      </c>
      <c r="F7660" s="114">
        <v>202101</v>
      </c>
      <c r="G7660" s="112" t="s">
        <v>1091</v>
      </c>
      <c r="H7660" s="112" t="s">
        <v>1015</v>
      </c>
      <c r="I7660" s="112" t="s">
        <v>1096</v>
      </c>
      <c r="J7660" s="112" t="s">
        <v>5562</v>
      </c>
      <c r="K7660" s="112" t="s">
        <v>1098</v>
      </c>
      <c r="L7660" s="116">
        <v>149.22</v>
      </c>
    </row>
    <row r="7661" spans="1:12" hidden="1" outlineLevel="1" collapsed="1" x14ac:dyDescent="0.35">
      <c r="A7661" s="112" t="s">
        <v>5553</v>
      </c>
      <c r="B7661" s="112" t="s">
        <v>927</v>
      </c>
      <c r="C7661" s="112" t="s">
        <v>1095</v>
      </c>
      <c r="D7661" s="113">
        <v>10348451</v>
      </c>
      <c r="E7661" s="115">
        <v>43949</v>
      </c>
      <c r="F7661" s="114">
        <v>202101</v>
      </c>
      <c r="G7661" s="112" t="s">
        <v>1091</v>
      </c>
      <c r="H7661" s="112" t="s">
        <v>1015</v>
      </c>
      <c r="I7661" s="112" t="s">
        <v>1101</v>
      </c>
      <c r="J7661" s="112" t="s">
        <v>5554</v>
      </c>
      <c r="K7661" s="112" t="s">
        <v>1098</v>
      </c>
      <c r="L7661" s="116">
        <v>178.07</v>
      </c>
    </row>
    <row r="7662" spans="1:12" hidden="1" outlineLevel="1" collapsed="1" x14ac:dyDescent="0.35">
      <c r="A7662" s="112" t="s">
        <v>5553</v>
      </c>
      <c r="B7662" s="112" t="s">
        <v>927</v>
      </c>
      <c r="C7662" s="112" t="s">
        <v>1095</v>
      </c>
      <c r="D7662" s="113">
        <v>10348451</v>
      </c>
      <c r="E7662" s="115">
        <v>43949</v>
      </c>
      <c r="F7662" s="114">
        <v>202101</v>
      </c>
      <c r="G7662" s="112" t="s">
        <v>1091</v>
      </c>
      <c r="H7662" s="112" t="s">
        <v>1015</v>
      </c>
      <c r="I7662" s="112" t="s">
        <v>1096</v>
      </c>
      <c r="J7662" s="112" t="s">
        <v>5554</v>
      </c>
      <c r="K7662" s="112" t="s">
        <v>1098</v>
      </c>
      <c r="L7662" s="116">
        <v>155.72999999999999</v>
      </c>
    </row>
    <row r="7663" spans="1:12" hidden="1" outlineLevel="1" collapsed="1" x14ac:dyDescent="0.35">
      <c r="A7663" s="112" t="s">
        <v>5553</v>
      </c>
      <c r="B7663" s="112" t="s">
        <v>927</v>
      </c>
      <c r="C7663" s="112" t="s">
        <v>1095</v>
      </c>
      <c r="D7663" s="113">
        <v>10348451</v>
      </c>
      <c r="E7663" s="115">
        <v>43949</v>
      </c>
      <c r="F7663" s="114">
        <v>202101</v>
      </c>
      <c r="G7663" s="112" t="s">
        <v>1091</v>
      </c>
      <c r="H7663" s="112" t="s">
        <v>1015</v>
      </c>
      <c r="I7663" s="112" t="s">
        <v>1101</v>
      </c>
      <c r="J7663" s="112" t="s">
        <v>5554</v>
      </c>
      <c r="K7663" s="112" t="s">
        <v>1098</v>
      </c>
      <c r="L7663" s="116">
        <v>366.04</v>
      </c>
    </row>
    <row r="7664" spans="1:12" hidden="1" outlineLevel="1" collapsed="1" x14ac:dyDescent="0.35">
      <c r="A7664" s="112" t="s">
        <v>5553</v>
      </c>
      <c r="B7664" s="112" t="s">
        <v>926</v>
      </c>
      <c r="C7664" s="112" t="s">
        <v>695</v>
      </c>
      <c r="D7664" s="113">
        <v>10347981</v>
      </c>
      <c r="E7664" s="115">
        <v>43924</v>
      </c>
      <c r="F7664" s="114">
        <v>202101</v>
      </c>
      <c r="G7664" s="112" t="s">
        <v>1091</v>
      </c>
      <c r="H7664" s="112" t="s">
        <v>1015</v>
      </c>
      <c r="I7664" s="112" t="s">
        <v>763</v>
      </c>
      <c r="J7664" s="112" t="s">
        <v>5591</v>
      </c>
      <c r="K7664" s="112" t="s">
        <v>5604</v>
      </c>
      <c r="L7664" s="116">
        <v>-1050</v>
      </c>
    </row>
    <row r="7665" spans="1:12" hidden="1" outlineLevel="1" collapsed="1" x14ac:dyDescent="0.35">
      <c r="A7665" s="112" t="s">
        <v>5553</v>
      </c>
      <c r="B7665" s="112" t="s">
        <v>5572</v>
      </c>
      <c r="C7665" s="112" t="s">
        <v>695</v>
      </c>
      <c r="D7665" s="113">
        <v>10347981</v>
      </c>
      <c r="E7665" s="115">
        <v>43924</v>
      </c>
      <c r="F7665" s="114">
        <v>202101</v>
      </c>
      <c r="G7665" s="112" t="s">
        <v>1091</v>
      </c>
      <c r="H7665" s="112" t="s">
        <v>1015</v>
      </c>
      <c r="I7665" s="112" t="s">
        <v>763</v>
      </c>
      <c r="J7665" s="112" t="s">
        <v>5605</v>
      </c>
      <c r="K7665" s="112" t="s">
        <v>5606</v>
      </c>
      <c r="L7665" s="116">
        <v>-1993.75</v>
      </c>
    </row>
    <row r="7666" spans="1:12" hidden="1" outlineLevel="1" collapsed="1" x14ac:dyDescent="0.35">
      <c r="A7666" s="112" t="s">
        <v>5553</v>
      </c>
      <c r="B7666" s="112" t="s">
        <v>925</v>
      </c>
      <c r="C7666" s="112" t="s">
        <v>695</v>
      </c>
      <c r="D7666" s="113">
        <v>10347981</v>
      </c>
      <c r="E7666" s="115">
        <v>43924</v>
      </c>
      <c r="F7666" s="114">
        <v>202101</v>
      </c>
      <c r="G7666" s="112" t="s">
        <v>1091</v>
      </c>
      <c r="H7666" s="112" t="s">
        <v>1015</v>
      </c>
      <c r="I7666" s="112" t="s">
        <v>1102</v>
      </c>
      <c r="J7666" s="112" t="s">
        <v>5559</v>
      </c>
      <c r="K7666" s="112" t="s">
        <v>5607</v>
      </c>
      <c r="L7666" s="116">
        <v>-4700</v>
      </c>
    </row>
    <row r="7667" spans="1:12" hidden="1" outlineLevel="1" collapsed="1" x14ac:dyDescent="0.35">
      <c r="A7667" s="112" t="s">
        <v>5553</v>
      </c>
      <c r="B7667" s="112" t="s">
        <v>927</v>
      </c>
      <c r="C7667" s="112" t="s">
        <v>1095</v>
      </c>
      <c r="D7667" s="113">
        <v>10348451</v>
      </c>
      <c r="E7667" s="115">
        <v>43949</v>
      </c>
      <c r="F7667" s="114">
        <v>202101</v>
      </c>
      <c r="G7667" s="112" t="s">
        <v>1091</v>
      </c>
      <c r="H7667" s="112" t="s">
        <v>1015</v>
      </c>
      <c r="I7667" s="112" t="s">
        <v>1101</v>
      </c>
      <c r="J7667" s="112" t="s">
        <v>5557</v>
      </c>
      <c r="K7667" s="112" t="s">
        <v>1098</v>
      </c>
      <c r="L7667" s="116">
        <v>366.04</v>
      </c>
    </row>
    <row r="7668" spans="1:12" hidden="1" outlineLevel="1" collapsed="1" x14ac:dyDescent="0.35">
      <c r="A7668" s="112" t="s">
        <v>5553</v>
      </c>
      <c r="B7668" s="112" t="s">
        <v>927</v>
      </c>
      <c r="C7668" s="112" t="s">
        <v>1095</v>
      </c>
      <c r="D7668" s="113">
        <v>10348451</v>
      </c>
      <c r="E7668" s="115">
        <v>43949</v>
      </c>
      <c r="F7668" s="114">
        <v>202101</v>
      </c>
      <c r="G7668" s="112" t="s">
        <v>1091</v>
      </c>
      <c r="H7668" s="112" t="s">
        <v>1015</v>
      </c>
      <c r="I7668" s="112" t="s">
        <v>1101</v>
      </c>
      <c r="J7668" s="112" t="s">
        <v>5557</v>
      </c>
      <c r="K7668" s="112" t="s">
        <v>1098</v>
      </c>
      <c r="L7668" s="116">
        <v>379.69</v>
      </c>
    </row>
    <row r="7669" spans="1:12" hidden="1" outlineLevel="1" collapsed="1" x14ac:dyDescent="0.35">
      <c r="A7669" s="112" t="s">
        <v>5553</v>
      </c>
      <c r="B7669" s="112" t="s">
        <v>927</v>
      </c>
      <c r="C7669" s="112" t="s">
        <v>1095</v>
      </c>
      <c r="D7669" s="113">
        <v>10348451</v>
      </c>
      <c r="E7669" s="115">
        <v>43949</v>
      </c>
      <c r="F7669" s="114">
        <v>202101</v>
      </c>
      <c r="G7669" s="112" t="s">
        <v>1091</v>
      </c>
      <c r="H7669" s="112" t="s">
        <v>1015</v>
      </c>
      <c r="I7669" s="112" t="s">
        <v>1096</v>
      </c>
      <c r="J7669" s="112" t="s">
        <v>5557</v>
      </c>
      <c r="K7669" s="112" t="s">
        <v>1098</v>
      </c>
      <c r="L7669" s="116">
        <v>161.22999999999999</v>
      </c>
    </row>
    <row r="7670" spans="1:12" hidden="1" outlineLevel="1" collapsed="1" x14ac:dyDescent="0.35">
      <c r="A7670" s="112" t="s">
        <v>5553</v>
      </c>
      <c r="B7670" s="112" t="s">
        <v>925</v>
      </c>
      <c r="C7670" s="112" t="s">
        <v>1095</v>
      </c>
      <c r="D7670" s="113">
        <v>10348451</v>
      </c>
      <c r="E7670" s="115">
        <v>43949</v>
      </c>
      <c r="F7670" s="114">
        <v>202101</v>
      </c>
      <c r="G7670" s="112" t="s">
        <v>1091</v>
      </c>
      <c r="H7670" s="112" t="s">
        <v>1015</v>
      </c>
      <c r="I7670" s="112" t="s">
        <v>1101</v>
      </c>
      <c r="J7670" s="112" t="s">
        <v>5559</v>
      </c>
      <c r="K7670" s="112" t="s">
        <v>1098</v>
      </c>
      <c r="L7670" s="116">
        <v>483.07</v>
      </c>
    </row>
    <row r="7671" spans="1:12" hidden="1" outlineLevel="1" collapsed="1" x14ac:dyDescent="0.35">
      <c r="A7671" s="112" t="s">
        <v>5553</v>
      </c>
      <c r="B7671" s="112" t="s">
        <v>926</v>
      </c>
      <c r="C7671" s="112" t="s">
        <v>1095</v>
      </c>
      <c r="D7671" s="113">
        <v>10348451</v>
      </c>
      <c r="E7671" s="115">
        <v>43949</v>
      </c>
      <c r="F7671" s="114">
        <v>202101</v>
      </c>
      <c r="G7671" s="112" t="s">
        <v>1091</v>
      </c>
      <c r="H7671" s="112" t="s">
        <v>1015</v>
      </c>
      <c r="I7671" s="112" t="s">
        <v>1116</v>
      </c>
      <c r="J7671" s="112" t="s">
        <v>5591</v>
      </c>
      <c r="K7671" s="112" t="s">
        <v>1098</v>
      </c>
      <c r="L7671" s="116">
        <v>2702</v>
      </c>
    </row>
    <row r="7672" spans="1:12" hidden="1" outlineLevel="1" collapsed="1" x14ac:dyDescent="0.35">
      <c r="A7672" s="112" t="s">
        <v>5553</v>
      </c>
      <c r="B7672" s="112" t="s">
        <v>927</v>
      </c>
      <c r="C7672" s="112" t="s">
        <v>1219</v>
      </c>
      <c r="D7672" s="113">
        <v>46307361</v>
      </c>
      <c r="E7672" s="115">
        <v>43924</v>
      </c>
      <c r="F7672" s="114">
        <v>202101</v>
      </c>
      <c r="G7672" s="112" t="s">
        <v>1091</v>
      </c>
      <c r="H7672" s="112" t="s">
        <v>1015</v>
      </c>
      <c r="I7672" s="112" t="s">
        <v>1605</v>
      </c>
      <c r="J7672" s="112" t="s">
        <v>5554</v>
      </c>
      <c r="K7672" s="112" t="s">
        <v>5555</v>
      </c>
      <c r="L7672" s="116">
        <v>25000</v>
      </c>
    </row>
    <row r="7673" spans="1:12" hidden="1" outlineLevel="1" collapsed="1" x14ac:dyDescent="0.35">
      <c r="A7673" s="112" t="s">
        <v>5553</v>
      </c>
      <c r="B7673" s="112" t="s">
        <v>927</v>
      </c>
      <c r="C7673" s="112" t="s">
        <v>1095</v>
      </c>
      <c r="D7673" s="113">
        <v>10348451</v>
      </c>
      <c r="E7673" s="115">
        <v>43949</v>
      </c>
      <c r="F7673" s="114">
        <v>202101</v>
      </c>
      <c r="G7673" s="112" t="s">
        <v>1091</v>
      </c>
      <c r="H7673" s="112" t="s">
        <v>1015</v>
      </c>
      <c r="I7673" s="112" t="s">
        <v>1096</v>
      </c>
      <c r="J7673" s="112" t="s">
        <v>5557</v>
      </c>
      <c r="K7673" s="112" t="s">
        <v>1098</v>
      </c>
      <c r="L7673" s="116">
        <v>82.56</v>
      </c>
    </row>
    <row r="7674" spans="1:12" hidden="1" outlineLevel="1" collapsed="1" x14ac:dyDescent="0.35">
      <c r="A7674" s="112" t="s">
        <v>5553</v>
      </c>
      <c r="B7674" s="112" t="s">
        <v>925</v>
      </c>
      <c r="C7674" s="112" t="s">
        <v>1095</v>
      </c>
      <c r="D7674" s="113">
        <v>10348451</v>
      </c>
      <c r="E7674" s="115">
        <v>43949</v>
      </c>
      <c r="F7674" s="114">
        <v>202101</v>
      </c>
      <c r="G7674" s="112" t="s">
        <v>1091</v>
      </c>
      <c r="H7674" s="112" t="s">
        <v>1015</v>
      </c>
      <c r="I7674" s="112" t="s">
        <v>1116</v>
      </c>
      <c r="J7674" s="112" t="s">
        <v>5559</v>
      </c>
      <c r="K7674" s="112" t="s">
        <v>1098</v>
      </c>
      <c r="L7674" s="116">
        <v>2459</v>
      </c>
    </row>
    <row r="7675" spans="1:12" hidden="1" outlineLevel="1" collapsed="1" x14ac:dyDescent="0.35">
      <c r="A7675" s="112" t="s">
        <v>5553</v>
      </c>
      <c r="B7675" s="112" t="s">
        <v>928</v>
      </c>
      <c r="C7675" s="112" t="s">
        <v>1095</v>
      </c>
      <c r="D7675" s="113">
        <v>10348451</v>
      </c>
      <c r="E7675" s="115">
        <v>43949</v>
      </c>
      <c r="F7675" s="114">
        <v>202101</v>
      </c>
      <c r="G7675" s="112" t="s">
        <v>1091</v>
      </c>
      <c r="H7675" s="112" t="s">
        <v>1015</v>
      </c>
      <c r="I7675" s="112" t="s">
        <v>1116</v>
      </c>
      <c r="J7675" s="112" t="s">
        <v>5565</v>
      </c>
      <c r="K7675" s="112" t="s">
        <v>1098</v>
      </c>
      <c r="L7675" s="116">
        <v>2259.5</v>
      </c>
    </row>
    <row r="7676" spans="1:12" hidden="1" outlineLevel="1" collapsed="1" x14ac:dyDescent="0.35">
      <c r="A7676" s="112" t="s">
        <v>5553</v>
      </c>
      <c r="B7676" s="112" t="s">
        <v>928</v>
      </c>
      <c r="C7676" s="112" t="s">
        <v>1095</v>
      </c>
      <c r="D7676" s="113">
        <v>10348451</v>
      </c>
      <c r="E7676" s="115">
        <v>43949</v>
      </c>
      <c r="F7676" s="114">
        <v>202101</v>
      </c>
      <c r="G7676" s="112" t="s">
        <v>1091</v>
      </c>
      <c r="H7676" s="112" t="s">
        <v>1015</v>
      </c>
      <c r="I7676" s="112" t="s">
        <v>1116</v>
      </c>
      <c r="J7676" s="112" t="s">
        <v>5565</v>
      </c>
      <c r="K7676" s="112" t="s">
        <v>1098</v>
      </c>
      <c r="L7676" s="116">
        <v>1944.42</v>
      </c>
    </row>
    <row r="7677" spans="1:12" hidden="1" outlineLevel="1" collapsed="1" x14ac:dyDescent="0.35">
      <c r="A7677" s="112" t="s">
        <v>5553</v>
      </c>
      <c r="B7677" s="112" t="s">
        <v>928</v>
      </c>
      <c r="C7677" s="112" t="s">
        <v>1095</v>
      </c>
      <c r="D7677" s="113">
        <v>10348451</v>
      </c>
      <c r="E7677" s="115">
        <v>43949</v>
      </c>
      <c r="F7677" s="114">
        <v>202101</v>
      </c>
      <c r="G7677" s="112" t="s">
        <v>1091</v>
      </c>
      <c r="H7677" s="112" t="s">
        <v>1015</v>
      </c>
      <c r="I7677" s="112" t="s">
        <v>1116</v>
      </c>
      <c r="J7677" s="112" t="s">
        <v>5565</v>
      </c>
      <c r="K7677" s="112" t="s">
        <v>1098</v>
      </c>
      <c r="L7677" s="116">
        <v>2259.5</v>
      </c>
    </row>
    <row r="7678" spans="1:12" hidden="1" outlineLevel="1" collapsed="1" x14ac:dyDescent="0.35">
      <c r="A7678" s="112" t="s">
        <v>5553</v>
      </c>
      <c r="B7678" s="112" t="s">
        <v>928</v>
      </c>
      <c r="C7678" s="112" t="s">
        <v>1095</v>
      </c>
      <c r="D7678" s="113">
        <v>10348451</v>
      </c>
      <c r="E7678" s="115">
        <v>43949</v>
      </c>
      <c r="F7678" s="114">
        <v>202101</v>
      </c>
      <c r="G7678" s="112" t="s">
        <v>1091</v>
      </c>
      <c r="H7678" s="112" t="s">
        <v>1015</v>
      </c>
      <c r="I7678" s="112" t="s">
        <v>1116</v>
      </c>
      <c r="J7678" s="112" t="s">
        <v>5565</v>
      </c>
      <c r="K7678" s="112" t="s">
        <v>1098</v>
      </c>
      <c r="L7678" s="116">
        <v>2259.5</v>
      </c>
    </row>
    <row r="7679" spans="1:12" hidden="1" outlineLevel="1" collapsed="1" x14ac:dyDescent="0.35">
      <c r="A7679" s="112" t="s">
        <v>5553</v>
      </c>
      <c r="B7679" s="112" t="s">
        <v>927</v>
      </c>
      <c r="C7679" s="112" t="s">
        <v>1095</v>
      </c>
      <c r="D7679" s="113">
        <v>10348451</v>
      </c>
      <c r="E7679" s="115">
        <v>43949</v>
      </c>
      <c r="F7679" s="114">
        <v>202101</v>
      </c>
      <c r="G7679" s="112" t="s">
        <v>1091</v>
      </c>
      <c r="H7679" s="112" t="s">
        <v>1015</v>
      </c>
      <c r="I7679" s="112" t="s">
        <v>1101</v>
      </c>
      <c r="J7679" s="112" t="s">
        <v>5554</v>
      </c>
      <c r="K7679" s="112" t="s">
        <v>1098</v>
      </c>
      <c r="L7679" s="116">
        <v>414.68</v>
      </c>
    </row>
    <row r="7680" spans="1:12" hidden="1" outlineLevel="1" collapsed="1" x14ac:dyDescent="0.35">
      <c r="A7680" s="112" t="s">
        <v>5553</v>
      </c>
      <c r="B7680" s="112" t="s">
        <v>927</v>
      </c>
      <c r="C7680" s="112" t="s">
        <v>1095</v>
      </c>
      <c r="D7680" s="113">
        <v>10348451</v>
      </c>
      <c r="E7680" s="115">
        <v>43949</v>
      </c>
      <c r="F7680" s="114">
        <v>202101</v>
      </c>
      <c r="G7680" s="112" t="s">
        <v>1091</v>
      </c>
      <c r="H7680" s="112" t="s">
        <v>1015</v>
      </c>
      <c r="I7680" s="112" t="s">
        <v>1096</v>
      </c>
      <c r="J7680" s="112" t="s">
        <v>5554</v>
      </c>
      <c r="K7680" s="112" t="s">
        <v>1098</v>
      </c>
      <c r="L7680" s="116">
        <v>252.23</v>
      </c>
    </row>
    <row r="7681" spans="1:12" hidden="1" outlineLevel="1" collapsed="1" x14ac:dyDescent="0.35">
      <c r="A7681" s="112" t="s">
        <v>5553</v>
      </c>
      <c r="B7681" s="112" t="s">
        <v>924</v>
      </c>
      <c r="C7681" s="112" t="s">
        <v>1095</v>
      </c>
      <c r="D7681" s="113">
        <v>10348451</v>
      </c>
      <c r="E7681" s="115">
        <v>43949</v>
      </c>
      <c r="F7681" s="114">
        <v>202101</v>
      </c>
      <c r="G7681" s="112" t="s">
        <v>1091</v>
      </c>
      <c r="H7681" s="112" t="s">
        <v>1015</v>
      </c>
      <c r="I7681" s="112" t="s">
        <v>1101</v>
      </c>
      <c r="J7681" s="112" t="s">
        <v>5558</v>
      </c>
      <c r="K7681" s="112" t="s">
        <v>1098</v>
      </c>
      <c r="L7681" s="116">
        <v>549.4</v>
      </c>
    </row>
    <row r="7682" spans="1:12" hidden="1" outlineLevel="1" collapsed="1" x14ac:dyDescent="0.35">
      <c r="A7682" s="112" t="s">
        <v>5553</v>
      </c>
      <c r="B7682" s="112" t="s">
        <v>924</v>
      </c>
      <c r="C7682" s="112" t="s">
        <v>1095</v>
      </c>
      <c r="D7682" s="113">
        <v>10348451</v>
      </c>
      <c r="E7682" s="115">
        <v>43949</v>
      </c>
      <c r="F7682" s="114">
        <v>202101</v>
      </c>
      <c r="G7682" s="112" t="s">
        <v>1091</v>
      </c>
      <c r="H7682" s="112" t="s">
        <v>1015</v>
      </c>
      <c r="I7682" s="112" t="s">
        <v>1101</v>
      </c>
      <c r="J7682" s="112" t="s">
        <v>5558</v>
      </c>
      <c r="K7682" s="112" t="s">
        <v>1098</v>
      </c>
      <c r="L7682" s="116">
        <v>414.68</v>
      </c>
    </row>
    <row r="7683" spans="1:12" hidden="1" outlineLevel="1" collapsed="1" x14ac:dyDescent="0.35">
      <c r="A7683" s="112" t="s">
        <v>5553</v>
      </c>
      <c r="B7683" s="112" t="s">
        <v>928</v>
      </c>
      <c r="C7683" s="112" t="s">
        <v>1095</v>
      </c>
      <c r="D7683" s="113">
        <v>10348451</v>
      </c>
      <c r="E7683" s="115">
        <v>43949</v>
      </c>
      <c r="F7683" s="114">
        <v>202101</v>
      </c>
      <c r="G7683" s="112" t="s">
        <v>1091</v>
      </c>
      <c r="H7683" s="112" t="s">
        <v>1015</v>
      </c>
      <c r="I7683" s="112" t="s">
        <v>1116</v>
      </c>
      <c r="J7683" s="112" t="s">
        <v>5565</v>
      </c>
      <c r="K7683" s="112" t="s">
        <v>1098</v>
      </c>
      <c r="L7683" s="116">
        <v>1706.76</v>
      </c>
    </row>
    <row r="7684" spans="1:12" hidden="1" outlineLevel="1" collapsed="1" x14ac:dyDescent="0.35">
      <c r="A7684" s="112" t="s">
        <v>5553</v>
      </c>
      <c r="B7684" s="112" t="s">
        <v>924</v>
      </c>
      <c r="C7684" s="112" t="s">
        <v>1095</v>
      </c>
      <c r="D7684" s="113">
        <v>10348451</v>
      </c>
      <c r="E7684" s="115">
        <v>43949</v>
      </c>
      <c r="F7684" s="114">
        <v>202101</v>
      </c>
      <c r="G7684" s="112" t="s">
        <v>1091</v>
      </c>
      <c r="H7684" s="112" t="s">
        <v>1015</v>
      </c>
      <c r="I7684" s="112" t="s">
        <v>1101</v>
      </c>
      <c r="J7684" s="112" t="s">
        <v>5558</v>
      </c>
      <c r="K7684" s="112" t="s">
        <v>1098</v>
      </c>
      <c r="L7684" s="116">
        <v>602.15</v>
      </c>
    </row>
    <row r="7685" spans="1:12" hidden="1" outlineLevel="1" collapsed="1" x14ac:dyDescent="0.35">
      <c r="A7685" s="112" t="s">
        <v>5553</v>
      </c>
      <c r="B7685" s="112" t="s">
        <v>928</v>
      </c>
      <c r="C7685" s="112" t="s">
        <v>1095</v>
      </c>
      <c r="D7685" s="113">
        <v>10348451</v>
      </c>
      <c r="E7685" s="115">
        <v>43949</v>
      </c>
      <c r="F7685" s="114">
        <v>202101</v>
      </c>
      <c r="G7685" s="112" t="s">
        <v>1091</v>
      </c>
      <c r="H7685" s="112" t="s">
        <v>1015</v>
      </c>
      <c r="I7685" s="112" t="s">
        <v>1116</v>
      </c>
      <c r="J7685" s="112" t="s">
        <v>5565</v>
      </c>
      <c r="K7685" s="112" t="s">
        <v>1098</v>
      </c>
      <c r="L7685" s="116">
        <v>1282.42</v>
      </c>
    </row>
    <row r="7686" spans="1:12" hidden="1" outlineLevel="1" collapsed="1" x14ac:dyDescent="0.35">
      <c r="A7686" s="112" t="s">
        <v>5553</v>
      </c>
      <c r="B7686" s="112" t="s">
        <v>924</v>
      </c>
      <c r="C7686" s="112" t="s">
        <v>1095</v>
      </c>
      <c r="D7686" s="113">
        <v>10348451</v>
      </c>
      <c r="E7686" s="115">
        <v>43949</v>
      </c>
      <c r="F7686" s="114">
        <v>202101</v>
      </c>
      <c r="G7686" s="112" t="s">
        <v>1091</v>
      </c>
      <c r="H7686" s="112" t="s">
        <v>1015</v>
      </c>
      <c r="I7686" s="112" t="s">
        <v>1101</v>
      </c>
      <c r="J7686" s="112" t="s">
        <v>5558</v>
      </c>
      <c r="K7686" s="112" t="s">
        <v>1098</v>
      </c>
      <c r="L7686" s="116">
        <v>615.37</v>
      </c>
    </row>
    <row r="7687" spans="1:12" hidden="1" outlineLevel="1" collapsed="1" x14ac:dyDescent="0.35">
      <c r="A7687" s="112" t="s">
        <v>5553</v>
      </c>
      <c r="B7687" s="112" t="s">
        <v>924</v>
      </c>
      <c r="C7687" s="112" t="s">
        <v>1095</v>
      </c>
      <c r="D7687" s="113">
        <v>10348451</v>
      </c>
      <c r="E7687" s="115">
        <v>43949</v>
      </c>
      <c r="F7687" s="114">
        <v>202101</v>
      </c>
      <c r="G7687" s="112" t="s">
        <v>1091</v>
      </c>
      <c r="H7687" s="112" t="s">
        <v>1015</v>
      </c>
      <c r="I7687" s="112" t="s">
        <v>1116</v>
      </c>
      <c r="J7687" s="112" t="s">
        <v>5558</v>
      </c>
      <c r="K7687" s="112" t="s">
        <v>1098</v>
      </c>
      <c r="L7687" s="116">
        <v>3691.37</v>
      </c>
    </row>
    <row r="7688" spans="1:12" hidden="1" outlineLevel="1" collapsed="1" x14ac:dyDescent="0.35">
      <c r="A7688" s="112" t="s">
        <v>5553</v>
      </c>
      <c r="B7688" s="112" t="s">
        <v>924</v>
      </c>
      <c r="C7688" s="112" t="s">
        <v>1095</v>
      </c>
      <c r="D7688" s="113">
        <v>10348451</v>
      </c>
      <c r="E7688" s="115">
        <v>43949</v>
      </c>
      <c r="F7688" s="114">
        <v>202101</v>
      </c>
      <c r="G7688" s="112" t="s">
        <v>1091</v>
      </c>
      <c r="H7688" s="112" t="s">
        <v>1015</v>
      </c>
      <c r="I7688" s="112" t="s">
        <v>1116</v>
      </c>
      <c r="J7688" s="112" t="s">
        <v>5558</v>
      </c>
      <c r="K7688" s="112" t="s">
        <v>1098</v>
      </c>
      <c r="L7688" s="116">
        <v>2631.25</v>
      </c>
    </row>
    <row r="7689" spans="1:12" hidden="1" outlineLevel="1" collapsed="1" x14ac:dyDescent="0.35">
      <c r="A7689" s="112" t="s">
        <v>5553</v>
      </c>
      <c r="B7689" s="112" t="s">
        <v>924</v>
      </c>
      <c r="C7689" s="112" t="s">
        <v>1095</v>
      </c>
      <c r="D7689" s="113">
        <v>10348451</v>
      </c>
      <c r="E7689" s="115">
        <v>43949</v>
      </c>
      <c r="F7689" s="114">
        <v>202101</v>
      </c>
      <c r="G7689" s="112" t="s">
        <v>1091</v>
      </c>
      <c r="H7689" s="112" t="s">
        <v>1015</v>
      </c>
      <c r="I7689" s="112" t="s">
        <v>1116</v>
      </c>
      <c r="J7689" s="112" t="s">
        <v>5558</v>
      </c>
      <c r="K7689" s="112" t="s">
        <v>1098</v>
      </c>
      <c r="L7689" s="116">
        <v>8018.58</v>
      </c>
    </row>
    <row r="7690" spans="1:12" hidden="1" outlineLevel="1" collapsed="1" x14ac:dyDescent="0.35">
      <c r="A7690" s="112" t="s">
        <v>5553</v>
      </c>
      <c r="B7690" s="112" t="s">
        <v>924</v>
      </c>
      <c r="C7690" s="112" t="s">
        <v>1095</v>
      </c>
      <c r="D7690" s="113">
        <v>10348451</v>
      </c>
      <c r="E7690" s="115">
        <v>43949</v>
      </c>
      <c r="F7690" s="114">
        <v>202101</v>
      </c>
      <c r="G7690" s="112" t="s">
        <v>1091</v>
      </c>
      <c r="H7690" s="112" t="s">
        <v>1015</v>
      </c>
      <c r="I7690" s="112" t="s">
        <v>1116</v>
      </c>
      <c r="J7690" s="112" t="s">
        <v>5558</v>
      </c>
      <c r="K7690" s="112" t="s">
        <v>1098</v>
      </c>
      <c r="L7690" s="116">
        <v>2981.92</v>
      </c>
    </row>
    <row r="7691" spans="1:12" hidden="1" outlineLevel="1" collapsed="1" x14ac:dyDescent="0.35">
      <c r="A7691" s="112" t="s">
        <v>5553</v>
      </c>
      <c r="B7691" s="112" t="s">
        <v>927</v>
      </c>
      <c r="C7691" s="112" t="s">
        <v>1095</v>
      </c>
      <c r="D7691" s="113">
        <v>10348451</v>
      </c>
      <c r="E7691" s="115">
        <v>43949</v>
      </c>
      <c r="F7691" s="114">
        <v>202101</v>
      </c>
      <c r="G7691" s="112" t="s">
        <v>1091</v>
      </c>
      <c r="H7691" s="112" t="s">
        <v>1015</v>
      </c>
      <c r="I7691" s="112" t="s">
        <v>1101</v>
      </c>
      <c r="J7691" s="112" t="s">
        <v>5554</v>
      </c>
      <c r="K7691" s="112" t="s">
        <v>1098</v>
      </c>
      <c r="L7691" s="116">
        <v>498.28</v>
      </c>
    </row>
    <row r="7692" spans="1:12" hidden="1" outlineLevel="1" collapsed="1" x14ac:dyDescent="0.35">
      <c r="A7692" s="112" t="s">
        <v>5553</v>
      </c>
      <c r="B7692" s="112" t="s">
        <v>927</v>
      </c>
      <c r="C7692" s="112" t="s">
        <v>679</v>
      </c>
      <c r="D7692" s="113">
        <v>10347933</v>
      </c>
      <c r="E7692" s="115">
        <v>43922</v>
      </c>
      <c r="F7692" s="114">
        <v>202101</v>
      </c>
      <c r="G7692" s="112" t="s">
        <v>1091</v>
      </c>
      <c r="H7692" s="112" t="s">
        <v>1015</v>
      </c>
      <c r="I7692" s="112" t="s">
        <v>1536</v>
      </c>
      <c r="J7692" s="112" t="s">
        <v>5554</v>
      </c>
      <c r="K7692" s="112" t="s">
        <v>706</v>
      </c>
      <c r="L7692" s="116">
        <v>39</v>
      </c>
    </row>
    <row r="7693" spans="1:12" hidden="1" outlineLevel="1" collapsed="1" x14ac:dyDescent="0.35">
      <c r="A7693" s="112" t="s">
        <v>5553</v>
      </c>
      <c r="B7693" s="112" t="s">
        <v>927</v>
      </c>
      <c r="C7693" s="112" t="s">
        <v>1095</v>
      </c>
      <c r="D7693" s="113">
        <v>10348451</v>
      </c>
      <c r="E7693" s="115">
        <v>43949</v>
      </c>
      <c r="F7693" s="114">
        <v>202101</v>
      </c>
      <c r="G7693" s="112" t="s">
        <v>1091</v>
      </c>
      <c r="H7693" s="112" t="s">
        <v>1015</v>
      </c>
      <c r="I7693" s="112" t="s">
        <v>1096</v>
      </c>
      <c r="J7693" s="112" t="s">
        <v>5557</v>
      </c>
      <c r="K7693" s="112" t="s">
        <v>1098</v>
      </c>
      <c r="L7693" s="116">
        <v>222.42</v>
      </c>
    </row>
    <row r="7694" spans="1:12" hidden="1" outlineLevel="1" collapsed="1" x14ac:dyDescent="0.35">
      <c r="A7694" s="112" t="s">
        <v>5553</v>
      </c>
      <c r="B7694" s="112" t="s">
        <v>924</v>
      </c>
      <c r="C7694" s="112" t="s">
        <v>1095</v>
      </c>
      <c r="D7694" s="113">
        <v>10348451</v>
      </c>
      <c r="E7694" s="115">
        <v>43949</v>
      </c>
      <c r="F7694" s="114">
        <v>202101</v>
      </c>
      <c r="G7694" s="112" t="s">
        <v>1091</v>
      </c>
      <c r="H7694" s="112" t="s">
        <v>1015</v>
      </c>
      <c r="I7694" s="112" t="s">
        <v>1116</v>
      </c>
      <c r="J7694" s="112" t="s">
        <v>5558</v>
      </c>
      <c r="K7694" s="112" t="s">
        <v>1098</v>
      </c>
      <c r="L7694" s="116">
        <v>2713.07</v>
      </c>
    </row>
    <row r="7695" spans="1:12" hidden="1" outlineLevel="1" collapsed="1" x14ac:dyDescent="0.35">
      <c r="A7695" s="112" t="s">
        <v>5553</v>
      </c>
      <c r="B7695" s="112" t="s">
        <v>924</v>
      </c>
      <c r="C7695" s="112" t="s">
        <v>1095</v>
      </c>
      <c r="D7695" s="113">
        <v>10348451</v>
      </c>
      <c r="E7695" s="115">
        <v>43949</v>
      </c>
      <c r="F7695" s="114">
        <v>202101</v>
      </c>
      <c r="G7695" s="112" t="s">
        <v>1091</v>
      </c>
      <c r="H7695" s="112" t="s">
        <v>1015</v>
      </c>
      <c r="I7695" s="112" t="s">
        <v>1116</v>
      </c>
      <c r="J7695" s="112" t="s">
        <v>5558</v>
      </c>
      <c r="K7695" s="112" t="s">
        <v>1098</v>
      </c>
      <c r="L7695" s="116">
        <v>5540.08</v>
      </c>
    </row>
    <row r="7696" spans="1:12" hidden="1" outlineLevel="1" collapsed="1" x14ac:dyDescent="0.35">
      <c r="A7696" s="112" t="s">
        <v>5553</v>
      </c>
      <c r="B7696" s="112" t="s">
        <v>927</v>
      </c>
      <c r="C7696" s="112" t="s">
        <v>1095</v>
      </c>
      <c r="D7696" s="113">
        <v>10348451</v>
      </c>
      <c r="E7696" s="115">
        <v>43949</v>
      </c>
      <c r="F7696" s="114">
        <v>202101</v>
      </c>
      <c r="G7696" s="112" t="s">
        <v>1091</v>
      </c>
      <c r="H7696" s="112" t="s">
        <v>1015</v>
      </c>
      <c r="I7696" s="112" t="s">
        <v>1096</v>
      </c>
      <c r="J7696" s="112" t="s">
        <v>5557</v>
      </c>
      <c r="K7696" s="112" t="s">
        <v>1098</v>
      </c>
      <c r="L7696" s="116">
        <v>571.19000000000005</v>
      </c>
    </row>
    <row r="7697" spans="1:12" hidden="1" outlineLevel="1" collapsed="1" x14ac:dyDescent="0.35">
      <c r="A7697" s="112" t="s">
        <v>5553</v>
      </c>
      <c r="B7697" s="112" t="s">
        <v>927</v>
      </c>
      <c r="C7697" s="112" t="s">
        <v>1095</v>
      </c>
      <c r="D7697" s="113">
        <v>10348451</v>
      </c>
      <c r="E7697" s="115">
        <v>43949</v>
      </c>
      <c r="F7697" s="114">
        <v>202101</v>
      </c>
      <c r="G7697" s="112" t="s">
        <v>1091</v>
      </c>
      <c r="H7697" s="112" t="s">
        <v>1015</v>
      </c>
      <c r="I7697" s="112" t="s">
        <v>1096</v>
      </c>
      <c r="J7697" s="112" t="s">
        <v>5557</v>
      </c>
      <c r="K7697" s="112" t="s">
        <v>1098</v>
      </c>
      <c r="L7697" s="116">
        <v>401.87</v>
      </c>
    </row>
    <row r="7698" spans="1:12" hidden="1" outlineLevel="1" collapsed="1" x14ac:dyDescent="0.35">
      <c r="A7698" s="112" t="s">
        <v>5553</v>
      </c>
      <c r="B7698" s="112" t="s">
        <v>927</v>
      </c>
      <c r="C7698" s="112" t="s">
        <v>1095</v>
      </c>
      <c r="D7698" s="113">
        <v>10348451</v>
      </c>
      <c r="E7698" s="115">
        <v>43949</v>
      </c>
      <c r="F7698" s="114">
        <v>202101</v>
      </c>
      <c r="G7698" s="112" t="s">
        <v>1091</v>
      </c>
      <c r="H7698" s="112" t="s">
        <v>1015</v>
      </c>
      <c r="I7698" s="112" t="s">
        <v>1101</v>
      </c>
      <c r="J7698" s="112" t="s">
        <v>5557</v>
      </c>
      <c r="K7698" s="112" t="s">
        <v>1098</v>
      </c>
      <c r="L7698" s="116">
        <v>215.5</v>
      </c>
    </row>
    <row r="7699" spans="1:12" hidden="1" outlineLevel="1" collapsed="1" x14ac:dyDescent="0.35">
      <c r="A7699" s="112" t="s">
        <v>5553</v>
      </c>
      <c r="B7699" s="112" t="s">
        <v>925</v>
      </c>
      <c r="C7699" s="112" t="s">
        <v>1095</v>
      </c>
      <c r="D7699" s="113">
        <v>10348451</v>
      </c>
      <c r="E7699" s="115">
        <v>43949</v>
      </c>
      <c r="F7699" s="114">
        <v>202101</v>
      </c>
      <c r="G7699" s="112" t="s">
        <v>1091</v>
      </c>
      <c r="H7699" s="112" t="s">
        <v>1015</v>
      </c>
      <c r="I7699" s="112" t="s">
        <v>1116</v>
      </c>
      <c r="J7699" s="112" t="s">
        <v>5559</v>
      </c>
      <c r="K7699" s="112" t="s">
        <v>1098</v>
      </c>
      <c r="L7699" s="116">
        <v>2343.75</v>
      </c>
    </row>
    <row r="7700" spans="1:12" hidden="1" outlineLevel="1" collapsed="1" x14ac:dyDescent="0.35">
      <c r="A7700" s="112" t="s">
        <v>5553</v>
      </c>
      <c r="B7700" s="112" t="s">
        <v>927</v>
      </c>
      <c r="C7700" s="112" t="s">
        <v>1095</v>
      </c>
      <c r="D7700" s="113">
        <v>10348451</v>
      </c>
      <c r="E7700" s="115">
        <v>43949</v>
      </c>
      <c r="F7700" s="114">
        <v>202101</v>
      </c>
      <c r="G7700" s="112" t="s">
        <v>1091</v>
      </c>
      <c r="H7700" s="112" t="s">
        <v>1015</v>
      </c>
      <c r="I7700" s="112" t="s">
        <v>1101</v>
      </c>
      <c r="J7700" s="112" t="s">
        <v>5554</v>
      </c>
      <c r="K7700" s="112" t="s">
        <v>1098</v>
      </c>
      <c r="L7700" s="116">
        <v>366.04</v>
      </c>
    </row>
    <row r="7701" spans="1:12" hidden="1" outlineLevel="1" collapsed="1" x14ac:dyDescent="0.35">
      <c r="A7701" s="112" t="s">
        <v>5553</v>
      </c>
      <c r="B7701" s="112" t="s">
        <v>924</v>
      </c>
      <c r="C7701" s="112" t="s">
        <v>1095</v>
      </c>
      <c r="D7701" s="113">
        <v>10348451</v>
      </c>
      <c r="E7701" s="115">
        <v>43949</v>
      </c>
      <c r="F7701" s="114">
        <v>202101</v>
      </c>
      <c r="G7701" s="112" t="s">
        <v>1091</v>
      </c>
      <c r="H7701" s="112" t="s">
        <v>1015</v>
      </c>
      <c r="I7701" s="112" t="s">
        <v>1116</v>
      </c>
      <c r="J7701" s="112" t="s">
        <v>5558</v>
      </c>
      <c r="K7701" s="112" t="s">
        <v>1098</v>
      </c>
      <c r="L7701" s="116">
        <v>3717</v>
      </c>
    </row>
    <row r="7702" spans="1:12" hidden="1" outlineLevel="1" collapsed="1" x14ac:dyDescent="0.35">
      <c r="A7702" s="112" t="s">
        <v>5553</v>
      </c>
      <c r="B7702" s="112" t="s">
        <v>924</v>
      </c>
      <c r="C7702" s="112" t="s">
        <v>1095</v>
      </c>
      <c r="D7702" s="113">
        <v>10348451</v>
      </c>
      <c r="E7702" s="115">
        <v>43949</v>
      </c>
      <c r="F7702" s="114">
        <v>202101</v>
      </c>
      <c r="G7702" s="112" t="s">
        <v>1091</v>
      </c>
      <c r="H7702" s="112" t="s">
        <v>1015</v>
      </c>
      <c r="I7702" s="112" t="s">
        <v>1116</v>
      </c>
      <c r="J7702" s="112" t="s">
        <v>5558</v>
      </c>
      <c r="K7702" s="112" t="s">
        <v>1098</v>
      </c>
      <c r="L7702" s="116">
        <v>3617</v>
      </c>
    </row>
    <row r="7703" spans="1:12" hidden="1" outlineLevel="1" collapsed="1" x14ac:dyDescent="0.35">
      <c r="A7703" s="112" t="s">
        <v>5553</v>
      </c>
      <c r="B7703" s="112" t="s">
        <v>925</v>
      </c>
      <c r="C7703" s="112" t="s">
        <v>1095</v>
      </c>
      <c r="D7703" s="113">
        <v>10348451</v>
      </c>
      <c r="E7703" s="115">
        <v>43949</v>
      </c>
      <c r="F7703" s="114">
        <v>202101</v>
      </c>
      <c r="G7703" s="112" t="s">
        <v>1091</v>
      </c>
      <c r="H7703" s="112" t="s">
        <v>1015</v>
      </c>
      <c r="I7703" s="112" t="s">
        <v>1101</v>
      </c>
      <c r="J7703" s="112" t="s">
        <v>5559</v>
      </c>
      <c r="K7703" s="112" t="s">
        <v>1098</v>
      </c>
      <c r="L7703" s="116">
        <v>437.72</v>
      </c>
    </row>
    <row r="7704" spans="1:12" hidden="1" outlineLevel="1" collapsed="1" x14ac:dyDescent="0.35">
      <c r="A7704" s="112" t="s">
        <v>5553</v>
      </c>
      <c r="B7704" s="112" t="s">
        <v>924</v>
      </c>
      <c r="C7704" s="112" t="s">
        <v>1095</v>
      </c>
      <c r="D7704" s="113">
        <v>10348451</v>
      </c>
      <c r="E7704" s="115">
        <v>43949</v>
      </c>
      <c r="F7704" s="114">
        <v>202101</v>
      </c>
      <c r="G7704" s="112" t="s">
        <v>1091</v>
      </c>
      <c r="H7704" s="112" t="s">
        <v>1015</v>
      </c>
      <c r="I7704" s="112" t="s">
        <v>1116</v>
      </c>
      <c r="J7704" s="112" t="s">
        <v>5558</v>
      </c>
      <c r="K7704" s="112" t="s">
        <v>1098</v>
      </c>
      <c r="L7704" s="116">
        <v>3474</v>
      </c>
    </row>
    <row r="7705" spans="1:12" hidden="1" outlineLevel="1" collapsed="1" x14ac:dyDescent="0.35">
      <c r="A7705" s="112" t="s">
        <v>5553</v>
      </c>
      <c r="B7705" s="112" t="s">
        <v>924</v>
      </c>
      <c r="C7705" s="112" t="s">
        <v>1095</v>
      </c>
      <c r="D7705" s="113">
        <v>10348451</v>
      </c>
      <c r="E7705" s="115">
        <v>43949</v>
      </c>
      <c r="F7705" s="114">
        <v>202101</v>
      </c>
      <c r="G7705" s="112" t="s">
        <v>1091</v>
      </c>
      <c r="H7705" s="112" t="s">
        <v>1015</v>
      </c>
      <c r="I7705" s="112" t="s">
        <v>1116</v>
      </c>
      <c r="J7705" s="112" t="s">
        <v>5558</v>
      </c>
      <c r="K7705" s="112" t="s">
        <v>1098</v>
      </c>
      <c r="L7705" s="116">
        <v>3798.58</v>
      </c>
    </row>
    <row r="7706" spans="1:12" hidden="1" outlineLevel="1" collapsed="1" x14ac:dyDescent="0.35">
      <c r="A7706" s="112" t="s">
        <v>5553</v>
      </c>
      <c r="B7706" s="112" t="s">
        <v>924</v>
      </c>
      <c r="C7706" s="112" t="s">
        <v>1095</v>
      </c>
      <c r="D7706" s="113">
        <v>10348451</v>
      </c>
      <c r="E7706" s="115">
        <v>43949</v>
      </c>
      <c r="F7706" s="114">
        <v>202101</v>
      </c>
      <c r="G7706" s="112" t="s">
        <v>1091</v>
      </c>
      <c r="H7706" s="112" t="s">
        <v>1015</v>
      </c>
      <c r="I7706" s="112" t="s">
        <v>1116</v>
      </c>
      <c r="J7706" s="112" t="s">
        <v>5558</v>
      </c>
      <c r="K7706" s="112" t="s">
        <v>1098</v>
      </c>
      <c r="L7706" s="116">
        <v>2631.25</v>
      </c>
    </row>
    <row r="7707" spans="1:12" hidden="1" outlineLevel="1" collapsed="1" x14ac:dyDescent="0.35">
      <c r="A7707" s="112" t="s">
        <v>5553</v>
      </c>
      <c r="B7707" s="112" t="s">
        <v>924</v>
      </c>
      <c r="C7707" s="112" t="s">
        <v>1095</v>
      </c>
      <c r="D7707" s="113">
        <v>10348451</v>
      </c>
      <c r="E7707" s="115">
        <v>43949</v>
      </c>
      <c r="F7707" s="114">
        <v>202101</v>
      </c>
      <c r="G7707" s="112" t="s">
        <v>1091</v>
      </c>
      <c r="H7707" s="112" t="s">
        <v>1015</v>
      </c>
      <c r="I7707" s="112" t="s">
        <v>1116</v>
      </c>
      <c r="J7707" s="112" t="s">
        <v>5558</v>
      </c>
      <c r="K7707" s="112" t="s">
        <v>1098</v>
      </c>
      <c r="L7707" s="116">
        <v>3948.83</v>
      </c>
    </row>
    <row r="7708" spans="1:12" hidden="1" outlineLevel="1" collapsed="1" x14ac:dyDescent="0.35">
      <c r="A7708" s="112" t="s">
        <v>5553</v>
      </c>
      <c r="B7708" s="112" t="s">
        <v>924</v>
      </c>
      <c r="C7708" s="112" t="s">
        <v>1095</v>
      </c>
      <c r="D7708" s="113">
        <v>10348451</v>
      </c>
      <c r="E7708" s="115">
        <v>43949</v>
      </c>
      <c r="F7708" s="114">
        <v>202101</v>
      </c>
      <c r="G7708" s="112" t="s">
        <v>1091</v>
      </c>
      <c r="H7708" s="112" t="s">
        <v>1015</v>
      </c>
      <c r="I7708" s="112" t="s">
        <v>1101</v>
      </c>
      <c r="J7708" s="112" t="s">
        <v>5558</v>
      </c>
      <c r="K7708" s="112" t="s">
        <v>1098</v>
      </c>
      <c r="L7708" s="116">
        <v>549.4</v>
      </c>
    </row>
    <row r="7709" spans="1:12" hidden="1" outlineLevel="1" collapsed="1" x14ac:dyDescent="0.35">
      <c r="A7709" s="112" t="s">
        <v>5553</v>
      </c>
      <c r="B7709" s="112" t="s">
        <v>924</v>
      </c>
      <c r="C7709" s="112" t="s">
        <v>1095</v>
      </c>
      <c r="D7709" s="113">
        <v>10348451</v>
      </c>
      <c r="E7709" s="115">
        <v>43949</v>
      </c>
      <c r="F7709" s="114">
        <v>202101</v>
      </c>
      <c r="G7709" s="112" t="s">
        <v>1091</v>
      </c>
      <c r="H7709" s="112" t="s">
        <v>1015</v>
      </c>
      <c r="I7709" s="112" t="s">
        <v>1116</v>
      </c>
      <c r="J7709" s="112" t="s">
        <v>5558</v>
      </c>
      <c r="K7709" s="112" t="s">
        <v>1098</v>
      </c>
      <c r="L7709" s="116">
        <v>2559.75</v>
      </c>
    </row>
    <row r="7710" spans="1:12" hidden="1" outlineLevel="1" collapsed="1" x14ac:dyDescent="0.35">
      <c r="A7710" s="112" t="s">
        <v>5553</v>
      </c>
      <c r="B7710" s="112" t="s">
        <v>924</v>
      </c>
      <c r="C7710" s="112" t="s">
        <v>1095</v>
      </c>
      <c r="D7710" s="113">
        <v>10348451</v>
      </c>
      <c r="E7710" s="115">
        <v>43949</v>
      </c>
      <c r="F7710" s="114">
        <v>202101</v>
      </c>
      <c r="G7710" s="112" t="s">
        <v>1091</v>
      </c>
      <c r="H7710" s="112" t="s">
        <v>1015</v>
      </c>
      <c r="I7710" s="112" t="s">
        <v>1116</v>
      </c>
      <c r="J7710" s="112" t="s">
        <v>5558</v>
      </c>
      <c r="K7710" s="112" t="s">
        <v>1098</v>
      </c>
      <c r="L7710" s="116">
        <v>3473.25</v>
      </c>
    </row>
    <row r="7711" spans="1:12" hidden="1" outlineLevel="1" collapsed="1" x14ac:dyDescent="0.35">
      <c r="A7711" s="112" t="s">
        <v>5553</v>
      </c>
      <c r="B7711" s="112" t="s">
        <v>924</v>
      </c>
      <c r="C7711" s="112" t="s">
        <v>1095</v>
      </c>
      <c r="D7711" s="113">
        <v>10348451</v>
      </c>
      <c r="E7711" s="115">
        <v>43949</v>
      </c>
      <c r="F7711" s="114">
        <v>202101</v>
      </c>
      <c r="G7711" s="112" t="s">
        <v>1091</v>
      </c>
      <c r="H7711" s="112" t="s">
        <v>1015</v>
      </c>
      <c r="I7711" s="112" t="s">
        <v>1116</v>
      </c>
      <c r="J7711" s="112" t="s">
        <v>5558</v>
      </c>
      <c r="K7711" s="112" t="s">
        <v>1098</v>
      </c>
      <c r="L7711" s="116">
        <v>5040.08</v>
      </c>
    </row>
    <row r="7712" spans="1:12" hidden="1" outlineLevel="1" collapsed="1" x14ac:dyDescent="0.35">
      <c r="A7712" s="112" t="s">
        <v>5553</v>
      </c>
      <c r="B7712" s="112" t="s">
        <v>924</v>
      </c>
      <c r="C7712" s="112" t="s">
        <v>1095</v>
      </c>
      <c r="D7712" s="113">
        <v>10348451</v>
      </c>
      <c r="E7712" s="115">
        <v>43949</v>
      </c>
      <c r="F7712" s="114">
        <v>202101</v>
      </c>
      <c r="G7712" s="112" t="s">
        <v>1091</v>
      </c>
      <c r="H7712" s="112" t="s">
        <v>1015</v>
      </c>
      <c r="I7712" s="112" t="s">
        <v>1116</v>
      </c>
      <c r="J7712" s="112" t="s">
        <v>5558</v>
      </c>
      <c r="K7712" s="112" t="s">
        <v>1098</v>
      </c>
      <c r="L7712" s="116">
        <v>3717</v>
      </c>
    </row>
    <row r="7713" spans="1:12" hidden="1" outlineLevel="1" collapsed="1" x14ac:dyDescent="0.35">
      <c r="A7713" s="112" t="s">
        <v>5553</v>
      </c>
      <c r="B7713" s="112" t="s">
        <v>924</v>
      </c>
      <c r="C7713" s="112" t="s">
        <v>1095</v>
      </c>
      <c r="D7713" s="113">
        <v>10348451</v>
      </c>
      <c r="E7713" s="115">
        <v>43949</v>
      </c>
      <c r="F7713" s="114">
        <v>202101</v>
      </c>
      <c r="G7713" s="112" t="s">
        <v>1091</v>
      </c>
      <c r="H7713" s="112" t="s">
        <v>1015</v>
      </c>
      <c r="I7713" s="112" t="s">
        <v>1116</v>
      </c>
      <c r="J7713" s="112" t="s">
        <v>5558</v>
      </c>
      <c r="K7713" s="112" t="s">
        <v>1098</v>
      </c>
      <c r="L7713" s="116">
        <v>3366.33</v>
      </c>
    </row>
    <row r="7714" spans="1:12" hidden="1" outlineLevel="1" collapsed="1" x14ac:dyDescent="0.35">
      <c r="A7714" s="112" t="s">
        <v>5553</v>
      </c>
      <c r="B7714" s="112" t="s">
        <v>924</v>
      </c>
      <c r="C7714" s="112" t="s">
        <v>1095</v>
      </c>
      <c r="D7714" s="113">
        <v>10348451</v>
      </c>
      <c r="E7714" s="115">
        <v>43949</v>
      </c>
      <c r="F7714" s="114">
        <v>202101</v>
      </c>
      <c r="G7714" s="112" t="s">
        <v>1091</v>
      </c>
      <c r="H7714" s="112" t="s">
        <v>1015</v>
      </c>
      <c r="I7714" s="112" t="s">
        <v>1116</v>
      </c>
      <c r="J7714" s="112" t="s">
        <v>5558</v>
      </c>
      <c r="K7714" s="112" t="s">
        <v>1098</v>
      </c>
      <c r="L7714" s="116">
        <v>2373.38</v>
      </c>
    </row>
    <row r="7715" spans="1:12" hidden="1" outlineLevel="1" collapsed="1" x14ac:dyDescent="0.35">
      <c r="A7715" s="112" t="s">
        <v>5553</v>
      </c>
      <c r="B7715" s="112" t="s">
        <v>924</v>
      </c>
      <c r="C7715" s="112" t="s">
        <v>1095</v>
      </c>
      <c r="D7715" s="113">
        <v>10348451</v>
      </c>
      <c r="E7715" s="115">
        <v>43949</v>
      </c>
      <c r="F7715" s="114">
        <v>202101</v>
      </c>
      <c r="G7715" s="112" t="s">
        <v>1091</v>
      </c>
      <c r="H7715" s="112" t="s">
        <v>1015</v>
      </c>
      <c r="I7715" s="112" t="s">
        <v>1116</v>
      </c>
      <c r="J7715" s="112" t="s">
        <v>5558</v>
      </c>
      <c r="K7715" s="112" t="s">
        <v>1098</v>
      </c>
      <c r="L7715" s="116">
        <v>2288.19</v>
      </c>
    </row>
    <row r="7716" spans="1:12" hidden="1" outlineLevel="1" collapsed="1" x14ac:dyDescent="0.35">
      <c r="A7716" s="112" t="s">
        <v>5553</v>
      </c>
      <c r="B7716" s="112" t="s">
        <v>924</v>
      </c>
      <c r="C7716" s="112" t="s">
        <v>1095</v>
      </c>
      <c r="D7716" s="113">
        <v>10348451</v>
      </c>
      <c r="E7716" s="115">
        <v>43949</v>
      </c>
      <c r="F7716" s="114">
        <v>202101</v>
      </c>
      <c r="G7716" s="112" t="s">
        <v>1091</v>
      </c>
      <c r="H7716" s="112" t="s">
        <v>1015</v>
      </c>
      <c r="I7716" s="112" t="s">
        <v>1116</v>
      </c>
      <c r="J7716" s="112" t="s">
        <v>5558</v>
      </c>
      <c r="K7716" s="112" t="s">
        <v>1098</v>
      </c>
      <c r="L7716" s="116">
        <v>3391.33</v>
      </c>
    </row>
    <row r="7717" spans="1:12" hidden="1" outlineLevel="1" collapsed="1" x14ac:dyDescent="0.35">
      <c r="A7717" s="112" t="s">
        <v>5553</v>
      </c>
      <c r="B7717" s="112" t="s">
        <v>927</v>
      </c>
      <c r="C7717" s="112" t="s">
        <v>1095</v>
      </c>
      <c r="D7717" s="113">
        <v>10348451</v>
      </c>
      <c r="E7717" s="115">
        <v>43949</v>
      </c>
      <c r="F7717" s="114">
        <v>202101</v>
      </c>
      <c r="G7717" s="112" t="s">
        <v>1091</v>
      </c>
      <c r="H7717" s="112" t="s">
        <v>1015</v>
      </c>
      <c r="I7717" s="112" t="s">
        <v>1101</v>
      </c>
      <c r="J7717" s="112" t="s">
        <v>5554</v>
      </c>
      <c r="K7717" s="112" t="s">
        <v>1098</v>
      </c>
      <c r="L7717" s="116">
        <v>366.04</v>
      </c>
    </row>
    <row r="7718" spans="1:12" hidden="1" outlineLevel="1" collapsed="1" x14ac:dyDescent="0.35">
      <c r="A7718" s="112" t="s">
        <v>5553</v>
      </c>
      <c r="B7718" s="112" t="s">
        <v>924</v>
      </c>
      <c r="C7718" s="112" t="s">
        <v>1095</v>
      </c>
      <c r="D7718" s="113">
        <v>10348451</v>
      </c>
      <c r="E7718" s="115">
        <v>43949</v>
      </c>
      <c r="F7718" s="114">
        <v>202101</v>
      </c>
      <c r="G7718" s="112" t="s">
        <v>1091</v>
      </c>
      <c r="H7718" s="112" t="s">
        <v>1015</v>
      </c>
      <c r="I7718" s="112" t="s">
        <v>1116</v>
      </c>
      <c r="J7718" s="112" t="s">
        <v>5558</v>
      </c>
      <c r="K7718" s="112" t="s">
        <v>1098</v>
      </c>
      <c r="L7718" s="116">
        <v>3717</v>
      </c>
    </row>
    <row r="7719" spans="1:12" hidden="1" outlineLevel="1" collapsed="1" x14ac:dyDescent="0.35">
      <c r="A7719" s="112" t="s">
        <v>5553</v>
      </c>
      <c r="B7719" s="112" t="s">
        <v>926</v>
      </c>
      <c r="C7719" s="112" t="s">
        <v>1095</v>
      </c>
      <c r="D7719" s="113">
        <v>10348451</v>
      </c>
      <c r="E7719" s="115">
        <v>43949</v>
      </c>
      <c r="F7719" s="114">
        <v>202101</v>
      </c>
      <c r="G7719" s="112" t="s">
        <v>1091</v>
      </c>
      <c r="H7719" s="112" t="s">
        <v>1015</v>
      </c>
      <c r="I7719" s="112" t="s">
        <v>1116</v>
      </c>
      <c r="J7719" s="112" t="s">
        <v>5591</v>
      </c>
      <c r="K7719" s="112" t="s">
        <v>1098</v>
      </c>
      <c r="L7719" s="116">
        <v>2343.75</v>
      </c>
    </row>
    <row r="7720" spans="1:12" hidden="1" outlineLevel="1" collapsed="1" x14ac:dyDescent="0.35">
      <c r="A7720" s="112" t="s">
        <v>5553</v>
      </c>
      <c r="B7720" s="112" t="s">
        <v>927</v>
      </c>
      <c r="C7720" s="112" t="s">
        <v>1095</v>
      </c>
      <c r="D7720" s="113">
        <v>10348451</v>
      </c>
      <c r="E7720" s="115">
        <v>43949</v>
      </c>
      <c r="F7720" s="114">
        <v>202101</v>
      </c>
      <c r="G7720" s="112" t="s">
        <v>1091</v>
      </c>
      <c r="H7720" s="112" t="s">
        <v>1015</v>
      </c>
      <c r="I7720" s="112" t="s">
        <v>1096</v>
      </c>
      <c r="J7720" s="112" t="s">
        <v>5557</v>
      </c>
      <c r="K7720" s="112" t="s">
        <v>1098</v>
      </c>
      <c r="L7720" s="116">
        <v>97.95</v>
      </c>
    </row>
    <row r="7721" spans="1:12" hidden="1" outlineLevel="1" collapsed="1" x14ac:dyDescent="0.35">
      <c r="A7721" s="112" t="s">
        <v>5553</v>
      </c>
      <c r="B7721" s="112" t="s">
        <v>926</v>
      </c>
      <c r="C7721" s="112" t="s">
        <v>1095</v>
      </c>
      <c r="D7721" s="113">
        <v>10348451</v>
      </c>
      <c r="E7721" s="115">
        <v>43949</v>
      </c>
      <c r="F7721" s="114">
        <v>202101</v>
      </c>
      <c r="G7721" s="112" t="s">
        <v>1091</v>
      </c>
      <c r="H7721" s="112" t="s">
        <v>1015</v>
      </c>
      <c r="I7721" s="112" t="s">
        <v>1116</v>
      </c>
      <c r="J7721" s="112" t="s">
        <v>5591</v>
      </c>
      <c r="K7721" s="112" t="s">
        <v>1098</v>
      </c>
      <c r="L7721" s="116">
        <v>2259.5</v>
      </c>
    </row>
    <row r="7722" spans="1:12" hidden="1" outlineLevel="1" collapsed="1" x14ac:dyDescent="0.35">
      <c r="A7722" s="112" t="s">
        <v>5553</v>
      </c>
      <c r="B7722" s="112" t="s">
        <v>926</v>
      </c>
      <c r="C7722" s="112" t="s">
        <v>1095</v>
      </c>
      <c r="D7722" s="113">
        <v>10348451</v>
      </c>
      <c r="E7722" s="115">
        <v>43949</v>
      </c>
      <c r="F7722" s="114">
        <v>202101</v>
      </c>
      <c r="G7722" s="112" t="s">
        <v>1091</v>
      </c>
      <c r="H7722" s="112" t="s">
        <v>1015</v>
      </c>
      <c r="I7722" s="112" t="s">
        <v>1116</v>
      </c>
      <c r="J7722" s="112" t="s">
        <v>5591</v>
      </c>
      <c r="K7722" s="112" t="s">
        <v>1098</v>
      </c>
      <c r="L7722" s="116">
        <v>1330.24</v>
      </c>
    </row>
    <row r="7723" spans="1:12" hidden="1" outlineLevel="1" collapsed="1" x14ac:dyDescent="0.35">
      <c r="A7723" s="112" t="s">
        <v>5553</v>
      </c>
      <c r="B7723" s="112" t="s">
        <v>927</v>
      </c>
      <c r="C7723" s="112" t="s">
        <v>1095</v>
      </c>
      <c r="D7723" s="113">
        <v>10348451</v>
      </c>
      <c r="E7723" s="115">
        <v>43949</v>
      </c>
      <c r="F7723" s="114">
        <v>202101</v>
      </c>
      <c r="G7723" s="112" t="s">
        <v>1091</v>
      </c>
      <c r="H7723" s="112" t="s">
        <v>1015</v>
      </c>
      <c r="I7723" s="112" t="s">
        <v>1101</v>
      </c>
      <c r="J7723" s="112" t="s">
        <v>5554</v>
      </c>
      <c r="K7723" s="112" t="s">
        <v>1098</v>
      </c>
      <c r="L7723" s="116">
        <v>366.04</v>
      </c>
    </row>
    <row r="7724" spans="1:12" hidden="1" outlineLevel="1" collapsed="1" x14ac:dyDescent="0.35">
      <c r="A7724" s="112" t="s">
        <v>5553</v>
      </c>
      <c r="B7724" s="112" t="s">
        <v>926</v>
      </c>
      <c r="C7724" s="112" t="s">
        <v>1095</v>
      </c>
      <c r="D7724" s="113">
        <v>10348451</v>
      </c>
      <c r="E7724" s="115">
        <v>43949</v>
      </c>
      <c r="F7724" s="114">
        <v>202101</v>
      </c>
      <c r="G7724" s="112" t="s">
        <v>1091</v>
      </c>
      <c r="H7724" s="112" t="s">
        <v>1015</v>
      </c>
      <c r="I7724" s="112" t="s">
        <v>1116</v>
      </c>
      <c r="J7724" s="112" t="s">
        <v>5591</v>
      </c>
      <c r="K7724" s="112" t="s">
        <v>1098</v>
      </c>
      <c r="L7724" s="116">
        <v>1266.8900000000001</v>
      </c>
    </row>
    <row r="7725" spans="1:12" hidden="1" outlineLevel="1" collapsed="1" x14ac:dyDescent="0.35">
      <c r="A7725" s="112" t="s">
        <v>5553</v>
      </c>
      <c r="B7725" s="112" t="s">
        <v>926</v>
      </c>
      <c r="C7725" s="112" t="s">
        <v>1095</v>
      </c>
      <c r="D7725" s="113">
        <v>10348451</v>
      </c>
      <c r="E7725" s="115">
        <v>43949</v>
      </c>
      <c r="F7725" s="114">
        <v>202101</v>
      </c>
      <c r="G7725" s="112" t="s">
        <v>1091</v>
      </c>
      <c r="H7725" s="112" t="s">
        <v>1015</v>
      </c>
      <c r="I7725" s="112" t="s">
        <v>1116</v>
      </c>
      <c r="J7725" s="112" t="s">
        <v>5591</v>
      </c>
      <c r="K7725" s="112" t="s">
        <v>1098</v>
      </c>
      <c r="L7725" s="116">
        <v>2259.5</v>
      </c>
    </row>
    <row r="7726" spans="1:12" hidden="1" outlineLevel="1" collapsed="1" x14ac:dyDescent="0.35">
      <c r="A7726" s="112" t="s">
        <v>5553</v>
      </c>
      <c r="B7726" s="112" t="s">
        <v>925</v>
      </c>
      <c r="C7726" s="112" t="s">
        <v>1095</v>
      </c>
      <c r="D7726" s="113">
        <v>10348451</v>
      </c>
      <c r="E7726" s="115">
        <v>43949</v>
      </c>
      <c r="F7726" s="114">
        <v>202101</v>
      </c>
      <c r="G7726" s="112" t="s">
        <v>1091</v>
      </c>
      <c r="H7726" s="112" t="s">
        <v>1015</v>
      </c>
      <c r="I7726" s="112" t="s">
        <v>1116</v>
      </c>
      <c r="J7726" s="112" t="s">
        <v>5559</v>
      </c>
      <c r="K7726" s="112" t="s">
        <v>1098</v>
      </c>
      <c r="L7726" s="116">
        <v>2702</v>
      </c>
    </row>
    <row r="7727" spans="1:12" hidden="1" outlineLevel="1" collapsed="1" x14ac:dyDescent="0.35">
      <c r="A7727" s="112" t="s">
        <v>5553</v>
      </c>
      <c r="B7727" s="112" t="s">
        <v>927</v>
      </c>
      <c r="C7727" s="112" t="s">
        <v>1219</v>
      </c>
      <c r="D7727" s="113">
        <v>46307750</v>
      </c>
      <c r="E7727" s="115">
        <v>43944</v>
      </c>
      <c r="F7727" s="114">
        <v>202101</v>
      </c>
      <c r="G7727" s="112" t="s">
        <v>1091</v>
      </c>
      <c r="H7727" s="112" t="s">
        <v>1015</v>
      </c>
      <c r="I7727" s="112" t="s">
        <v>1605</v>
      </c>
      <c r="J7727" s="112" t="s">
        <v>5554</v>
      </c>
      <c r="K7727" s="112" t="s">
        <v>5555</v>
      </c>
      <c r="L7727" s="116">
        <v>25000</v>
      </c>
    </row>
    <row r="7728" spans="1:12" hidden="1" outlineLevel="1" collapsed="1" x14ac:dyDescent="0.35">
      <c r="A7728" s="112" t="s">
        <v>5553</v>
      </c>
      <c r="B7728" s="112" t="s">
        <v>927</v>
      </c>
      <c r="C7728" s="112" t="s">
        <v>1219</v>
      </c>
      <c r="D7728" s="113">
        <v>46307307</v>
      </c>
      <c r="E7728" s="115">
        <v>43938</v>
      </c>
      <c r="F7728" s="114">
        <v>202101</v>
      </c>
      <c r="G7728" s="112" t="s">
        <v>1091</v>
      </c>
      <c r="H7728" s="112" t="s">
        <v>1015</v>
      </c>
      <c r="I7728" s="112" t="s">
        <v>1605</v>
      </c>
      <c r="J7728" s="112" t="s">
        <v>5554</v>
      </c>
      <c r="K7728" s="112" t="s">
        <v>5555</v>
      </c>
      <c r="L7728" s="116">
        <v>25000</v>
      </c>
    </row>
    <row r="7729" spans="1:12" hidden="1" outlineLevel="1" collapsed="1" x14ac:dyDescent="0.35">
      <c r="A7729" s="112" t="s">
        <v>5553</v>
      </c>
      <c r="B7729" s="112" t="s">
        <v>927</v>
      </c>
      <c r="C7729" s="112" t="s">
        <v>1219</v>
      </c>
      <c r="D7729" s="113">
        <v>46307934</v>
      </c>
      <c r="E7729" s="115">
        <v>43924</v>
      </c>
      <c r="F7729" s="114">
        <v>202101</v>
      </c>
      <c r="G7729" s="112" t="s">
        <v>1091</v>
      </c>
      <c r="H7729" s="112" t="s">
        <v>1015</v>
      </c>
      <c r="I7729" s="112" t="s">
        <v>1605</v>
      </c>
      <c r="J7729" s="112" t="s">
        <v>5554</v>
      </c>
      <c r="K7729" s="112" t="s">
        <v>5555</v>
      </c>
      <c r="L7729" s="116">
        <v>25000</v>
      </c>
    </row>
    <row r="7730" spans="1:12" hidden="1" outlineLevel="1" collapsed="1" x14ac:dyDescent="0.35">
      <c r="A7730" s="112" t="s">
        <v>5553</v>
      </c>
      <c r="B7730" s="112" t="s">
        <v>5572</v>
      </c>
      <c r="C7730" s="112" t="s">
        <v>695</v>
      </c>
      <c r="D7730" s="113">
        <v>10347981</v>
      </c>
      <c r="E7730" s="115">
        <v>43924</v>
      </c>
      <c r="F7730" s="114">
        <v>202101</v>
      </c>
      <c r="G7730" s="112" t="s">
        <v>1091</v>
      </c>
      <c r="H7730" s="112" t="s">
        <v>1015</v>
      </c>
      <c r="I7730" s="112" t="s">
        <v>763</v>
      </c>
      <c r="J7730" s="112" t="s">
        <v>5605</v>
      </c>
      <c r="K7730" s="112" t="s">
        <v>5608</v>
      </c>
      <c r="L7730" s="116">
        <v>-15950</v>
      </c>
    </row>
    <row r="7731" spans="1:12" hidden="1" outlineLevel="1" collapsed="1" x14ac:dyDescent="0.35">
      <c r="A7731" s="112" t="s">
        <v>5553</v>
      </c>
      <c r="B7731" s="112" t="s">
        <v>927</v>
      </c>
      <c r="C7731" s="112" t="s">
        <v>1219</v>
      </c>
      <c r="D7731" s="113">
        <v>46308319</v>
      </c>
      <c r="E7731" s="115">
        <v>43924</v>
      </c>
      <c r="F7731" s="114">
        <v>202101</v>
      </c>
      <c r="G7731" s="112" t="s">
        <v>1091</v>
      </c>
      <c r="H7731" s="112" t="s">
        <v>1015</v>
      </c>
      <c r="I7731" s="112" t="s">
        <v>1605</v>
      </c>
      <c r="J7731" s="112" t="s">
        <v>5554</v>
      </c>
      <c r="K7731" s="112" t="s">
        <v>5556</v>
      </c>
      <c r="L7731" s="116">
        <v>10000</v>
      </c>
    </row>
    <row r="7732" spans="1:12" hidden="1" outlineLevel="1" collapsed="1" x14ac:dyDescent="0.35">
      <c r="A7732" s="112" t="s">
        <v>5553</v>
      </c>
      <c r="B7732" s="112" t="s">
        <v>927</v>
      </c>
      <c r="C7732" s="112" t="s">
        <v>1219</v>
      </c>
      <c r="D7732" s="113">
        <v>46308318</v>
      </c>
      <c r="E7732" s="115">
        <v>43924</v>
      </c>
      <c r="F7732" s="114">
        <v>202101</v>
      </c>
      <c r="G7732" s="112" t="s">
        <v>1091</v>
      </c>
      <c r="H7732" s="112" t="s">
        <v>1015</v>
      </c>
      <c r="I7732" s="112" t="s">
        <v>1605</v>
      </c>
      <c r="J7732" s="112" t="s">
        <v>5554</v>
      </c>
      <c r="K7732" s="112" t="s">
        <v>5555</v>
      </c>
      <c r="L7732" s="116">
        <v>10000</v>
      </c>
    </row>
    <row r="7733" spans="1:12" hidden="1" outlineLevel="1" collapsed="1" x14ac:dyDescent="0.35">
      <c r="A7733" s="112" t="s">
        <v>5553</v>
      </c>
      <c r="B7733" s="112" t="s">
        <v>927</v>
      </c>
      <c r="C7733" s="112" t="s">
        <v>1219</v>
      </c>
      <c r="D7733" s="113">
        <v>46308317</v>
      </c>
      <c r="E7733" s="115">
        <v>43924</v>
      </c>
      <c r="F7733" s="114">
        <v>202101</v>
      </c>
      <c r="G7733" s="112" t="s">
        <v>1091</v>
      </c>
      <c r="H7733" s="112" t="s">
        <v>1015</v>
      </c>
      <c r="I7733" s="112" t="s">
        <v>1605</v>
      </c>
      <c r="J7733" s="112" t="s">
        <v>5554</v>
      </c>
      <c r="K7733" s="112" t="s">
        <v>5555</v>
      </c>
      <c r="L7733" s="116">
        <v>25000</v>
      </c>
    </row>
    <row r="7734" spans="1:12" hidden="1" outlineLevel="1" collapsed="1" x14ac:dyDescent="0.35">
      <c r="A7734" s="112" t="s">
        <v>5553</v>
      </c>
      <c r="B7734" s="112" t="s">
        <v>927</v>
      </c>
      <c r="C7734" s="112" t="s">
        <v>1219</v>
      </c>
      <c r="D7734" s="113">
        <v>46308316</v>
      </c>
      <c r="E7734" s="115">
        <v>43924</v>
      </c>
      <c r="F7734" s="114">
        <v>202101</v>
      </c>
      <c r="G7734" s="112" t="s">
        <v>1091</v>
      </c>
      <c r="H7734" s="112" t="s">
        <v>1015</v>
      </c>
      <c r="I7734" s="112" t="s">
        <v>1605</v>
      </c>
      <c r="J7734" s="112" t="s">
        <v>5554</v>
      </c>
      <c r="K7734" s="112" t="s">
        <v>5555</v>
      </c>
      <c r="L7734" s="116">
        <v>10000</v>
      </c>
    </row>
    <row r="7735" spans="1:12" hidden="1" outlineLevel="1" collapsed="1" x14ac:dyDescent="0.35">
      <c r="A7735" s="112" t="s">
        <v>5553</v>
      </c>
      <c r="B7735" s="112" t="s">
        <v>927</v>
      </c>
      <c r="C7735" s="112" t="s">
        <v>1219</v>
      </c>
      <c r="D7735" s="113">
        <v>46308315</v>
      </c>
      <c r="E7735" s="115">
        <v>43924</v>
      </c>
      <c r="F7735" s="114">
        <v>202101</v>
      </c>
      <c r="G7735" s="112" t="s">
        <v>1091</v>
      </c>
      <c r="H7735" s="112" t="s">
        <v>1015</v>
      </c>
      <c r="I7735" s="112" t="s">
        <v>1605</v>
      </c>
      <c r="J7735" s="112" t="s">
        <v>5554</v>
      </c>
      <c r="K7735" s="112" t="s">
        <v>5555</v>
      </c>
      <c r="L7735" s="116">
        <v>25000</v>
      </c>
    </row>
    <row r="7736" spans="1:12" hidden="1" outlineLevel="1" collapsed="1" x14ac:dyDescent="0.35">
      <c r="A7736" s="112" t="s">
        <v>5553</v>
      </c>
      <c r="B7736" s="112" t="s">
        <v>927</v>
      </c>
      <c r="C7736" s="112" t="s">
        <v>1219</v>
      </c>
      <c r="D7736" s="113">
        <v>46308314</v>
      </c>
      <c r="E7736" s="115">
        <v>43924</v>
      </c>
      <c r="F7736" s="114">
        <v>202101</v>
      </c>
      <c r="G7736" s="112" t="s">
        <v>1091</v>
      </c>
      <c r="H7736" s="112" t="s">
        <v>1015</v>
      </c>
      <c r="I7736" s="112" t="s">
        <v>1605</v>
      </c>
      <c r="J7736" s="112" t="s">
        <v>5554</v>
      </c>
      <c r="K7736" s="112" t="s">
        <v>5555</v>
      </c>
      <c r="L7736" s="116">
        <v>25000</v>
      </c>
    </row>
    <row r="7737" spans="1:12" hidden="1" outlineLevel="1" collapsed="1" x14ac:dyDescent="0.35">
      <c r="A7737" s="112" t="s">
        <v>5553</v>
      </c>
      <c r="B7737" s="112" t="s">
        <v>927</v>
      </c>
      <c r="C7737" s="112" t="s">
        <v>1219</v>
      </c>
      <c r="D7737" s="113">
        <v>46308313</v>
      </c>
      <c r="E7737" s="115">
        <v>43924</v>
      </c>
      <c r="F7737" s="114">
        <v>202101</v>
      </c>
      <c r="G7737" s="112" t="s">
        <v>1091</v>
      </c>
      <c r="H7737" s="112" t="s">
        <v>1015</v>
      </c>
      <c r="I7737" s="112" t="s">
        <v>1605</v>
      </c>
      <c r="J7737" s="112" t="s">
        <v>5554</v>
      </c>
      <c r="K7737" s="112" t="s">
        <v>5555</v>
      </c>
      <c r="L7737" s="116">
        <v>10000</v>
      </c>
    </row>
    <row r="7738" spans="1:12" hidden="1" outlineLevel="1" collapsed="1" x14ac:dyDescent="0.35">
      <c r="A7738" s="112" t="s">
        <v>5553</v>
      </c>
      <c r="B7738" s="112" t="s">
        <v>927</v>
      </c>
      <c r="C7738" s="112" t="s">
        <v>1219</v>
      </c>
      <c r="D7738" s="113">
        <v>46308312</v>
      </c>
      <c r="E7738" s="115">
        <v>43924</v>
      </c>
      <c r="F7738" s="114">
        <v>202101</v>
      </c>
      <c r="G7738" s="112" t="s">
        <v>1091</v>
      </c>
      <c r="H7738" s="112" t="s">
        <v>1015</v>
      </c>
      <c r="I7738" s="112" t="s">
        <v>1605</v>
      </c>
      <c r="J7738" s="112" t="s">
        <v>5554</v>
      </c>
      <c r="K7738" s="112" t="s">
        <v>5555</v>
      </c>
      <c r="L7738" s="116">
        <v>25000</v>
      </c>
    </row>
    <row r="7739" spans="1:12" hidden="1" outlineLevel="1" collapsed="1" x14ac:dyDescent="0.35">
      <c r="A7739" s="112" t="s">
        <v>5553</v>
      </c>
      <c r="B7739" s="112" t="s">
        <v>927</v>
      </c>
      <c r="C7739" s="112" t="s">
        <v>1219</v>
      </c>
      <c r="D7739" s="113">
        <v>46308311</v>
      </c>
      <c r="E7739" s="115">
        <v>43924</v>
      </c>
      <c r="F7739" s="114">
        <v>202101</v>
      </c>
      <c r="G7739" s="112" t="s">
        <v>1091</v>
      </c>
      <c r="H7739" s="112" t="s">
        <v>1015</v>
      </c>
      <c r="I7739" s="112" t="s">
        <v>1605</v>
      </c>
      <c r="J7739" s="112" t="s">
        <v>5554</v>
      </c>
      <c r="K7739" s="112" t="s">
        <v>5556</v>
      </c>
      <c r="L7739" s="116">
        <v>10000</v>
      </c>
    </row>
    <row r="7740" spans="1:12" hidden="1" outlineLevel="1" collapsed="1" x14ac:dyDescent="0.35">
      <c r="A7740" s="112" t="s">
        <v>5553</v>
      </c>
      <c r="B7740" s="112" t="s">
        <v>927</v>
      </c>
      <c r="C7740" s="112" t="s">
        <v>1219</v>
      </c>
      <c r="D7740" s="113">
        <v>46308310</v>
      </c>
      <c r="E7740" s="115">
        <v>43924</v>
      </c>
      <c r="F7740" s="114">
        <v>202101</v>
      </c>
      <c r="G7740" s="112" t="s">
        <v>1091</v>
      </c>
      <c r="H7740" s="112" t="s">
        <v>1015</v>
      </c>
      <c r="I7740" s="112" t="s">
        <v>1605</v>
      </c>
      <c r="J7740" s="112" t="s">
        <v>5554</v>
      </c>
      <c r="K7740" s="112" t="s">
        <v>5555</v>
      </c>
      <c r="L7740" s="116">
        <v>25000</v>
      </c>
    </row>
    <row r="7741" spans="1:12" hidden="1" outlineLevel="1" collapsed="1" x14ac:dyDescent="0.35">
      <c r="A7741" s="112" t="s">
        <v>5553</v>
      </c>
      <c r="B7741" s="112" t="s">
        <v>927</v>
      </c>
      <c r="C7741" s="112" t="s">
        <v>1219</v>
      </c>
      <c r="D7741" s="113">
        <v>46308309</v>
      </c>
      <c r="E7741" s="115">
        <v>43924</v>
      </c>
      <c r="F7741" s="114">
        <v>202101</v>
      </c>
      <c r="G7741" s="112" t="s">
        <v>1091</v>
      </c>
      <c r="H7741" s="112" t="s">
        <v>1015</v>
      </c>
      <c r="I7741" s="112" t="s">
        <v>1605</v>
      </c>
      <c r="J7741" s="112" t="s">
        <v>5554</v>
      </c>
      <c r="K7741" s="112" t="s">
        <v>5555</v>
      </c>
      <c r="L7741" s="116">
        <v>10000</v>
      </c>
    </row>
    <row r="7742" spans="1:12" hidden="1" outlineLevel="1" collapsed="1" x14ac:dyDescent="0.35">
      <c r="A7742" s="112" t="s">
        <v>5553</v>
      </c>
      <c r="B7742" s="112" t="s">
        <v>927</v>
      </c>
      <c r="C7742" s="112" t="s">
        <v>1219</v>
      </c>
      <c r="D7742" s="113">
        <v>46308308</v>
      </c>
      <c r="E7742" s="115">
        <v>43924</v>
      </c>
      <c r="F7742" s="114">
        <v>202101</v>
      </c>
      <c r="G7742" s="112" t="s">
        <v>1091</v>
      </c>
      <c r="H7742" s="112" t="s">
        <v>1015</v>
      </c>
      <c r="I7742" s="112" t="s">
        <v>1605</v>
      </c>
      <c r="J7742" s="112" t="s">
        <v>5554</v>
      </c>
      <c r="K7742" s="112" t="s">
        <v>5555</v>
      </c>
      <c r="L7742" s="116">
        <v>10000</v>
      </c>
    </row>
    <row r="7743" spans="1:12" hidden="1" outlineLevel="1" collapsed="1" x14ac:dyDescent="0.35">
      <c r="A7743" s="112" t="s">
        <v>5553</v>
      </c>
      <c r="B7743" s="112" t="s">
        <v>927</v>
      </c>
      <c r="C7743" s="112" t="s">
        <v>1219</v>
      </c>
      <c r="D7743" s="113">
        <v>46307946</v>
      </c>
      <c r="E7743" s="115">
        <v>43924</v>
      </c>
      <c r="F7743" s="114">
        <v>202101</v>
      </c>
      <c r="G7743" s="112" t="s">
        <v>1091</v>
      </c>
      <c r="H7743" s="112" t="s">
        <v>1015</v>
      </c>
      <c r="I7743" s="112" t="s">
        <v>1605</v>
      </c>
      <c r="J7743" s="112" t="s">
        <v>5554</v>
      </c>
      <c r="K7743" s="112" t="s">
        <v>5556</v>
      </c>
      <c r="L7743" s="116">
        <v>10000</v>
      </c>
    </row>
    <row r="7744" spans="1:12" hidden="1" outlineLevel="1" collapsed="1" x14ac:dyDescent="0.35">
      <c r="A7744" s="112" t="s">
        <v>5553</v>
      </c>
      <c r="B7744" s="112" t="s">
        <v>927</v>
      </c>
      <c r="C7744" s="112" t="s">
        <v>1219</v>
      </c>
      <c r="D7744" s="113">
        <v>46307945</v>
      </c>
      <c r="E7744" s="115">
        <v>43924</v>
      </c>
      <c r="F7744" s="114">
        <v>202101</v>
      </c>
      <c r="G7744" s="112" t="s">
        <v>1091</v>
      </c>
      <c r="H7744" s="112" t="s">
        <v>1015</v>
      </c>
      <c r="I7744" s="112" t="s">
        <v>1605</v>
      </c>
      <c r="J7744" s="112" t="s">
        <v>5554</v>
      </c>
      <c r="K7744" s="112" t="s">
        <v>5555</v>
      </c>
      <c r="L7744" s="116">
        <v>25000</v>
      </c>
    </row>
    <row r="7745" spans="1:12" hidden="1" outlineLevel="1" collapsed="1" x14ac:dyDescent="0.35">
      <c r="A7745" s="112" t="s">
        <v>5553</v>
      </c>
      <c r="B7745" s="112" t="s">
        <v>927</v>
      </c>
      <c r="C7745" s="112" t="s">
        <v>1219</v>
      </c>
      <c r="D7745" s="113">
        <v>46307944</v>
      </c>
      <c r="E7745" s="115">
        <v>43924</v>
      </c>
      <c r="F7745" s="114">
        <v>202101</v>
      </c>
      <c r="G7745" s="112" t="s">
        <v>1091</v>
      </c>
      <c r="H7745" s="112" t="s">
        <v>1015</v>
      </c>
      <c r="I7745" s="112" t="s">
        <v>1605</v>
      </c>
      <c r="J7745" s="112" t="s">
        <v>5554</v>
      </c>
      <c r="K7745" s="112" t="s">
        <v>5555</v>
      </c>
      <c r="L7745" s="116">
        <v>25000</v>
      </c>
    </row>
    <row r="7746" spans="1:12" hidden="1" outlineLevel="1" collapsed="1" x14ac:dyDescent="0.35">
      <c r="A7746" s="112" t="s">
        <v>5553</v>
      </c>
      <c r="B7746" s="112" t="s">
        <v>927</v>
      </c>
      <c r="C7746" s="112" t="s">
        <v>1219</v>
      </c>
      <c r="D7746" s="113">
        <v>46307943</v>
      </c>
      <c r="E7746" s="115">
        <v>43924</v>
      </c>
      <c r="F7746" s="114">
        <v>202101</v>
      </c>
      <c r="G7746" s="112" t="s">
        <v>1091</v>
      </c>
      <c r="H7746" s="112" t="s">
        <v>1015</v>
      </c>
      <c r="I7746" s="112" t="s">
        <v>1605</v>
      </c>
      <c r="J7746" s="112" t="s">
        <v>5554</v>
      </c>
      <c r="K7746" s="112" t="s">
        <v>5555</v>
      </c>
      <c r="L7746" s="116">
        <v>10000</v>
      </c>
    </row>
    <row r="7747" spans="1:12" hidden="1" outlineLevel="1" collapsed="1" x14ac:dyDescent="0.35">
      <c r="A7747" s="112" t="s">
        <v>5553</v>
      </c>
      <c r="B7747" s="112" t="s">
        <v>927</v>
      </c>
      <c r="C7747" s="112" t="s">
        <v>1219</v>
      </c>
      <c r="D7747" s="113">
        <v>46307942</v>
      </c>
      <c r="E7747" s="115">
        <v>43924</v>
      </c>
      <c r="F7747" s="114">
        <v>202101</v>
      </c>
      <c r="G7747" s="112" t="s">
        <v>1091</v>
      </c>
      <c r="H7747" s="112" t="s">
        <v>1015</v>
      </c>
      <c r="I7747" s="112" t="s">
        <v>1605</v>
      </c>
      <c r="J7747" s="112" t="s">
        <v>5554</v>
      </c>
      <c r="K7747" s="112" t="s">
        <v>5555</v>
      </c>
      <c r="L7747" s="116">
        <v>10000</v>
      </c>
    </row>
    <row r="7748" spans="1:12" hidden="1" outlineLevel="1" collapsed="1" x14ac:dyDescent="0.35">
      <c r="A7748" s="112" t="s">
        <v>5553</v>
      </c>
      <c r="B7748" s="112" t="s">
        <v>927</v>
      </c>
      <c r="C7748" s="112" t="s">
        <v>1219</v>
      </c>
      <c r="D7748" s="113">
        <v>46307941</v>
      </c>
      <c r="E7748" s="115">
        <v>43924</v>
      </c>
      <c r="F7748" s="114">
        <v>202101</v>
      </c>
      <c r="G7748" s="112" t="s">
        <v>1091</v>
      </c>
      <c r="H7748" s="112" t="s">
        <v>1015</v>
      </c>
      <c r="I7748" s="112" t="s">
        <v>1605</v>
      </c>
      <c r="J7748" s="112" t="s">
        <v>5554</v>
      </c>
      <c r="K7748" s="112" t="s">
        <v>5555</v>
      </c>
      <c r="L7748" s="116">
        <v>10000</v>
      </c>
    </row>
    <row r="7749" spans="1:12" hidden="1" outlineLevel="1" collapsed="1" x14ac:dyDescent="0.35">
      <c r="A7749" s="112" t="s">
        <v>5553</v>
      </c>
      <c r="B7749" s="112" t="s">
        <v>927</v>
      </c>
      <c r="C7749" s="112" t="s">
        <v>1219</v>
      </c>
      <c r="D7749" s="113">
        <v>46307940</v>
      </c>
      <c r="E7749" s="115">
        <v>43924</v>
      </c>
      <c r="F7749" s="114">
        <v>202101</v>
      </c>
      <c r="G7749" s="112" t="s">
        <v>1091</v>
      </c>
      <c r="H7749" s="112" t="s">
        <v>1015</v>
      </c>
      <c r="I7749" s="112" t="s">
        <v>1605</v>
      </c>
      <c r="J7749" s="112" t="s">
        <v>5554</v>
      </c>
      <c r="K7749" s="112" t="s">
        <v>5555</v>
      </c>
      <c r="L7749" s="116">
        <v>10000</v>
      </c>
    </row>
    <row r="7750" spans="1:12" hidden="1" outlineLevel="1" collapsed="1" x14ac:dyDescent="0.35">
      <c r="A7750" s="112" t="s">
        <v>5553</v>
      </c>
      <c r="B7750" s="112" t="s">
        <v>927</v>
      </c>
      <c r="C7750" s="112" t="s">
        <v>1219</v>
      </c>
      <c r="D7750" s="113">
        <v>46307939</v>
      </c>
      <c r="E7750" s="115">
        <v>43924</v>
      </c>
      <c r="F7750" s="114">
        <v>202101</v>
      </c>
      <c r="G7750" s="112" t="s">
        <v>1091</v>
      </c>
      <c r="H7750" s="112" t="s">
        <v>1015</v>
      </c>
      <c r="I7750" s="112" t="s">
        <v>1605</v>
      </c>
      <c r="J7750" s="112" t="s">
        <v>5554</v>
      </c>
      <c r="K7750" s="112" t="s">
        <v>5555</v>
      </c>
      <c r="L7750" s="116">
        <v>25000</v>
      </c>
    </row>
    <row r="7751" spans="1:12" hidden="1" outlineLevel="1" collapsed="1" x14ac:dyDescent="0.35">
      <c r="A7751" s="112" t="s">
        <v>5553</v>
      </c>
      <c r="B7751" s="112" t="s">
        <v>927</v>
      </c>
      <c r="C7751" s="112" t="s">
        <v>1219</v>
      </c>
      <c r="D7751" s="113">
        <v>46307938</v>
      </c>
      <c r="E7751" s="115">
        <v>43924</v>
      </c>
      <c r="F7751" s="114">
        <v>202101</v>
      </c>
      <c r="G7751" s="112" t="s">
        <v>1091</v>
      </c>
      <c r="H7751" s="112" t="s">
        <v>1015</v>
      </c>
      <c r="I7751" s="112" t="s">
        <v>1605</v>
      </c>
      <c r="J7751" s="112" t="s">
        <v>5554</v>
      </c>
      <c r="K7751" s="112" t="s">
        <v>5555</v>
      </c>
      <c r="L7751" s="116">
        <v>25000</v>
      </c>
    </row>
    <row r="7752" spans="1:12" hidden="1" outlineLevel="1" collapsed="1" x14ac:dyDescent="0.35">
      <c r="A7752" s="112" t="s">
        <v>5553</v>
      </c>
      <c r="B7752" s="112" t="s">
        <v>927</v>
      </c>
      <c r="C7752" s="112" t="s">
        <v>1219</v>
      </c>
      <c r="D7752" s="113">
        <v>46307937</v>
      </c>
      <c r="E7752" s="115">
        <v>43924</v>
      </c>
      <c r="F7752" s="114">
        <v>202101</v>
      </c>
      <c r="G7752" s="112" t="s">
        <v>1091</v>
      </c>
      <c r="H7752" s="112" t="s">
        <v>1015</v>
      </c>
      <c r="I7752" s="112" t="s">
        <v>1605</v>
      </c>
      <c r="J7752" s="112" t="s">
        <v>5554</v>
      </c>
      <c r="K7752" s="112" t="s">
        <v>5555</v>
      </c>
      <c r="L7752" s="116">
        <v>25000</v>
      </c>
    </row>
    <row r="7753" spans="1:12" hidden="1" outlineLevel="1" collapsed="1" x14ac:dyDescent="0.35">
      <c r="A7753" s="112" t="s">
        <v>5553</v>
      </c>
      <c r="B7753" s="112" t="s">
        <v>927</v>
      </c>
      <c r="C7753" s="112" t="s">
        <v>1219</v>
      </c>
      <c r="D7753" s="113">
        <v>46307936</v>
      </c>
      <c r="E7753" s="115">
        <v>43924</v>
      </c>
      <c r="F7753" s="114">
        <v>202101</v>
      </c>
      <c r="G7753" s="112" t="s">
        <v>1091</v>
      </c>
      <c r="H7753" s="112" t="s">
        <v>1015</v>
      </c>
      <c r="I7753" s="112" t="s">
        <v>1605</v>
      </c>
      <c r="J7753" s="112" t="s">
        <v>5554</v>
      </c>
      <c r="K7753" s="112" t="s">
        <v>5555</v>
      </c>
      <c r="L7753" s="116">
        <v>25000</v>
      </c>
    </row>
    <row r="7754" spans="1:12" hidden="1" outlineLevel="1" collapsed="1" x14ac:dyDescent="0.35">
      <c r="A7754" s="112" t="s">
        <v>5553</v>
      </c>
      <c r="B7754" s="112" t="s">
        <v>927</v>
      </c>
      <c r="C7754" s="112" t="s">
        <v>1219</v>
      </c>
      <c r="D7754" s="113">
        <v>46307935</v>
      </c>
      <c r="E7754" s="115">
        <v>43924</v>
      </c>
      <c r="F7754" s="114">
        <v>202101</v>
      </c>
      <c r="G7754" s="112" t="s">
        <v>1091</v>
      </c>
      <c r="H7754" s="112" t="s">
        <v>1015</v>
      </c>
      <c r="I7754" s="112" t="s">
        <v>1605</v>
      </c>
      <c r="J7754" s="112" t="s">
        <v>5554</v>
      </c>
      <c r="K7754" s="112" t="s">
        <v>5555</v>
      </c>
      <c r="L7754" s="116">
        <v>25000</v>
      </c>
    </row>
    <row r="7755" spans="1:12" hidden="1" outlineLevel="1" collapsed="1" x14ac:dyDescent="0.35">
      <c r="A7755" s="112" t="s">
        <v>5553</v>
      </c>
      <c r="B7755" s="112" t="s">
        <v>925</v>
      </c>
      <c r="C7755" s="112" t="s">
        <v>695</v>
      </c>
      <c r="D7755" s="113">
        <v>10347981</v>
      </c>
      <c r="E7755" s="115">
        <v>43924</v>
      </c>
      <c r="F7755" s="114">
        <v>202101</v>
      </c>
      <c r="G7755" s="112" t="s">
        <v>1091</v>
      </c>
      <c r="H7755" s="112" t="s">
        <v>1015</v>
      </c>
      <c r="I7755" s="112" t="s">
        <v>761</v>
      </c>
      <c r="J7755" s="112" t="s">
        <v>5559</v>
      </c>
      <c r="K7755" s="112" t="s">
        <v>5609</v>
      </c>
      <c r="L7755" s="116">
        <v>-2061</v>
      </c>
    </row>
    <row r="7756" spans="1:12" hidden="1" outlineLevel="1" collapsed="1" x14ac:dyDescent="0.35">
      <c r="A7756" s="112" t="s">
        <v>5553</v>
      </c>
      <c r="B7756" s="112" t="s">
        <v>927</v>
      </c>
      <c r="C7756" s="112" t="s">
        <v>1219</v>
      </c>
      <c r="D7756" s="113">
        <v>46307933</v>
      </c>
      <c r="E7756" s="115">
        <v>43924</v>
      </c>
      <c r="F7756" s="114">
        <v>202101</v>
      </c>
      <c r="G7756" s="112" t="s">
        <v>1091</v>
      </c>
      <c r="H7756" s="112" t="s">
        <v>1015</v>
      </c>
      <c r="I7756" s="112" t="s">
        <v>1605</v>
      </c>
      <c r="J7756" s="112" t="s">
        <v>5554</v>
      </c>
      <c r="K7756" s="112" t="s">
        <v>5556</v>
      </c>
      <c r="L7756" s="116">
        <v>10000</v>
      </c>
    </row>
    <row r="7757" spans="1:12" hidden="1" outlineLevel="1" collapsed="1" x14ac:dyDescent="0.35">
      <c r="A7757" s="112" t="s">
        <v>5553</v>
      </c>
      <c r="B7757" s="112" t="s">
        <v>927</v>
      </c>
      <c r="C7757" s="112" t="s">
        <v>1219</v>
      </c>
      <c r="D7757" s="113">
        <v>46307932</v>
      </c>
      <c r="E7757" s="115">
        <v>43924</v>
      </c>
      <c r="F7757" s="114">
        <v>202101</v>
      </c>
      <c r="G7757" s="112" t="s">
        <v>1091</v>
      </c>
      <c r="H7757" s="112" t="s">
        <v>1015</v>
      </c>
      <c r="I7757" s="112" t="s">
        <v>1605</v>
      </c>
      <c r="J7757" s="112" t="s">
        <v>5554</v>
      </c>
      <c r="K7757" s="112" t="s">
        <v>5556</v>
      </c>
      <c r="L7757" s="116">
        <v>10000</v>
      </c>
    </row>
    <row r="7758" spans="1:12" hidden="1" outlineLevel="1" collapsed="1" x14ac:dyDescent="0.35">
      <c r="A7758" s="112" t="s">
        <v>5553</v>
      </c>
      <c r="B7758" s="112" t="s">
        <v>927</v>
      </c>
      <c r="C7758" s="112" t="s">
        <v>1219</v>
      </c>
      <c r="D7758" s="113">
        <v>46307931</v>
      </c>
      <c r="E7758" s="115">
        <v>43924</v>
      </c>
      <c r="F7758" s="114">
        <v>202101</v>
      </c>
      <c r="G7758" s="112" t="s">
        <v>1091</v>
      </c>
      <c r="H7758" s="112" t="s">
        <v>1015</v>
      </c>
      <c r="I7758" s="112" t="s">
        <v>1605</v>
      </c>
      <c r="J7758" s="112" t="s">
        <v>5554</v>
      </c>
      <c r="K7758" s="112" t="s">
        <v>5555</v>
      </c>
      <c r="L7758" s="116">
        <v>25000</v>
      </c>
    </row>
    <row r="7759" spans="1:12" hidden="1" outlineLevel="1" collapsed="1" x14ac:dyDescent="0.35">
      <c r="A7759" s="112" t="s">
        <v>5553</v>
      </c>
      <c r="B7759" s="112" t="s">
        <v>927</v>
      </c>
      <c r="C7759" s="112" t="s">
        <v>1219</v>
      </c>
      <c r="D7759" s="113">
        <v>46307930</v>
      </c>
      <c r="E7759" s="115">
        <v>43924</v>
      </c>
      <c r="F7759" s="114">
        <v>202101</v>
      </c>
      <c r="G7759" s="112" t="s">
        <v>1091</v>
      </c>
      <c r="H7759" s="112" t="s">
        <v>1015</v>
      </c>
      <c r="I7759" s="112" t="s">
        <v>1605</v>
      </c>
      <c r="J7759" s="112" t="s">
        <v>5554</v>
      </c>
      <c r="K7759" s="112" t="s">
        <v>5556</v>
      </c>
      <c r="L7759" s="116">
        <v>10000</v>
      </c>
    </row>
    <row r="7760" spans="1:12" hidden="1" outlineLevel="1" collapsed="1" x14ac:dyDescent="0.35">
      <c r="A7760" s="112" t="s">
        <v>5553</v>
      </c>
      <c r="B7760" s="112" t="s">
        <v>927</v>
      </c>
      <c r="C7760" s="112" t="s">
        <v>1219</v>
      </c>
      <c r="D7760" s="113">
        <v>46307929</v>
      </c>
      <c r="E7760" s="115">
        <v>43924</v>
      </c>
      <c r="F7760" s="114">
        <v>202101</v>
      </c>
      <c r="G7760" s="112" t="s">
        <v>1091</v>
      </c>
      <c r="H7760" s="112" t="s">
        <v>1015</v>
      </c>
      <c r="I7760" s="112" t="s">
        <v>1605</v>
      </c>
      <c r="J7760" s="112" t="s">
        <v>5554</v>
      </c>
      <c r="K7760" s="112" t="s">
        <v>5556</v>
      </c>
      <c r="L7760" s="116">
        <v>10000</v>
      </c>
    </row>
    <row r="7761" spans="1:12" hidden="1" outlineLevel="1" collapsed="1" x14ac:dyDescent="0.35">
      <c r="A7761" s="112" t="s">
        <v>5553</v>
      </c>
      <c r="B7761" s="112" t="s">
        <v>927</v>
      </c>
      <c r="C7761" s="112" t="s">
        <v>1219</v>
      </c>
      <c r="D7761" s="113">
        <v>46307928</v>
      </c>
      <c r="E7761" s="115">
        <v>43924</v>
      </c>
      <c r="F7761" s="114">
        <v>202101</v>
      </c>
      <c r="G7761" s="112" t="s">
        <v>1091</v>
      </c>
      <c r="H7761" s="112" t="s">
        <v>1015</v>
      </c>
      <c r="I7761" s="112" t="s">
        <v>1605</v>
      </c>
      <c r="J7761" s="112" t="s">
        <v>5554</v>
      </c>
      <c r="K7761" s="112" t="s">
        <v>5555</v>
      </c>
      <c r="L7761" s="116">
        <v>25000</v>
      </c>
    </row>
    <row r="7762" spans="1:12" hidden="1" outlineLevel="1" collapsed="1" x14ac:dyDescent="0.35">
      <c r="A7762" s="112" t="s">
        <v>5553</v>
      </c>
      <c r="B7762" s="112" t="s">
        <v>927</v>
      </c>
      <c r="C7762" s="112" t="s">
        <v>1219</v>
      </c>
      <c r="D7762" s="113">
        <v>46307927</v>
      </c>
      <c r="E7762" s="115">
        <v>43924</v>
      </c>
      <c r="F7762" s="114">
        <v>202101</v>
      </c>
      <c r="G7762" s="112" t="s">
        <v>1091</v>
      </c>
      <c r="H7762" s="112" t="s">
        <v>1015</v>
      </c>
      <c r="I7762" s="112" t="s">
        <v>1605</v>
      </c>
      <c r="J7762" s="112" t="s">
        <v>5554</v>
      </c>
      <c r="K7762" s="112" t="s">
        <v>5556</v>
      </c>
      <c r="L7762" s="116">
        <v>10000</v>
      </c>
    </row>
    <row r="7763" spans="1:12" hidden="1" outlineLevel="1" collapsed="1" x14ac:dyDescent="0.35">
      <c r="A7763" s="112" t="s">
        <v>5553</v>
      </c>
      <c r="B7763" s="112" t="s">
        <v>927</v>
      </c>
      <c r="C7763" s="112" t="s">
        <v>1219</v>
      </c>
      <c r="D7763" s="113">
        <v>46307926</v>
      </c>
      <c r="E7763" s="115">
        <v>43924</v>
      </c>
      <c r="F7763" s="114">
        <v>202101</v>
      </c>
      <c r="G7763" s="112" t="s">
        <v>1091</v>
      </c>
      <c r="H7763" s="112" t="s">
        <v>1015</v>
      </c>
      <c r="I7763" s="112" t="s">
        <v>1605</v>
      </c>
      <c r="J7763" s="112" t="s">
        <v>5554</v>
      </c>
      <c r="K7763" s="112" t="s">
        <v>5556</v>
      </c>
      <c r="L7763" s="116">
        <v>10000</v>
      </c>
    </row>
    <row r="7764" spans="1:12" hidden="1" outlineLevel="1" collapsed="1" x14ac:dyDescent="0.35">
      <c r="A7764" s="112" t="s">
        <v>5553</v>
      </c>
      <c r="B7764" s="112" t="s">
        <v>927</v>
      </c>
      <c r="C7764" s="112" t="s">
        <v>1219</v>
      </c>
      <c r="D7764" s="113">
        <v>46307925</v>
      </c>
      <c r="E7764" s="115">
        <v>43924</v>
      </c>
      <c r="F7764" s="114">
        <v>202101</v>
      </c>
      <c r="G7764" s="112" t="s">
        <v>1091</v>
      </c>
      <c r="H7764" s="112" t="s">
        <v>1015</v>
      </c>
      <c r="I7764" s="112" t="s">
        <v>1605</v>
      </c>
      <c r="J7764" s="112" t="s">
        <v>5554</v>
      </c>
      <c r="K7764" s="112" t="s">
        <v>5556</v>
      </c>
      <c r="L7764" s="116">
        <v>10000</v>
      </c>
    </row>
    <row r="7765" spans="1:12" hidden="1" outlineLevel="1" collapsed="1" x14ac:dyDescent="0.35">
      <c r="A7765" s="112" t="s">
        <v>5553</v>
      </c>
      <c r="B7765" s="112" t="s">
        <v>927</v>
      </c>
      <c r="C7765" s="112" t="s">
        <v>1219</v>
      </c>
      <c r="D7765" s="113">
        <v>46307924</v>
      </c>
      <c r="E7765" s="115">
        <v>43924</v>
      </c>
      <c r="F7765" s="114">
        <v>202101</v>
      </c>
      <c r="G7765" s="112" t="s">
        <v>1091</v>
      </c>
      <c r="H7765" s="112" t="s">
        <v>1015</v>
      </c>
      <c r="I7765" s="112" t="s">
        <v>1605</v>
      </c>
      <c r="J7765" s="112" t="s">
        <v>5554</v>
      </c>
      <c r="K7765" s="112" t="s">
        <v>5555</v>
      </c>
      <c r="L7765" s="116">
        <v>25000</v>
      </c>
    </row>
    <row r="7766" spans="1:12" hidden="1" outlineLevel="1" collapsed="1" x14ac:dyDescent="0.35">
      <c r="A7766" s="112" t="s">
        <v>5553</v>
      </c>
      <c r="B7766" s="112" t="s">
        <v>927</v>
      </c>
      <c r="C7766" s="112" t="s">
        <v>1219</v>
      </c>
      <c r="D7766" s="113">
        <v>46307923</v>
      </c>
      <c r="E7766" s="115">
        <v>43924</v>
      </c>
      <c r="F7766" s="114">
        <v>202101</v>
      </c>
      <c r="G7766" s="112" t="s">
        <v>1091</v>
      </c>
      <c r="H7766" s="112" t="s">
        <v>1015</v>
      </c>
      <c r="I7766" s="112" t="s">
        <v>1605</v>
      </c>
      <c r="J7766" s="112" t="s">
        <v>5554</v>
      </c>
      <c r="K7766" s="112" t="s">
        <v>5556</v>
      </c>
      <c r="L7766" s="116">
        <v>10000</v>
      </c>
    </row>
    <row r="7767" spans="1:12" hidden="1" outlineLevel="1" collapsed="1" x14ac:dyDescent="0.35">
      <c r="A7767" s="112" t="s">
        <v>5553</v>
      </c>
      <c r="B7767" s="112" t="s">
        <v>927</v>
      </c>
      <c r="C7767" s="112" t="s">
        <v>1219</v>
      </c>
      <c r="D7767" s="113">
        <v>46307922</v>
      </c>
      <c r="E7767" s="115">
        <v>43924</v>
      </c>
      <c r="F7767" s="114">
        <v>202101</v>
      </c>
      <c r="G7767" s="112" t="s">
        <v>1091</v>
      </c>
      <c r="H7767" s="112" t="s">
        <v>1015</v>
      </c>
      <c r="I7767" s="112" t="s">
        <v>1605</v>
      </c>
      <c r="J7767" s="112" t="s">
        <v>5554</v>
      </c>
      <c r="K7767" s="112" t="s">
        <v>5556</v>
      </c>
      <c r="L7767" s="116">
        <v>10000</v>
      </c>
    </row>
    <row r="7768" spans="1:12" hidden="1" outlineLevel="1" collapsed="1" x14ac:dyDescent="0.35">
      <c r="A7768" s="112" t="s">
        <v>5553</v>
      </c>
      <c r="B7768" s="112" t="s">
        <v>927</v>
      </c>
      <c r="C7768" s="112" t="s">
        <v>1219</v>
      </c>
      <c r="D7768" s="113">
        <v>46307921</v>
      </c>
      <c r="E7768" s="115">
        <v>43948</v>
      </c>
      <c r="F7768" s="114">
        <v>202101</v>
      </c>
      <c r="G7768" s="112" t="s">
        <v>1091</v>
      </c>
      <c r="H7768" s="112" t="s">
        <v>1015</v>
      </c>
      <c r="I7768" s="112" t="s">
        <v>1605</v>
      </c>
      <c r="J7768" s="112" t="s">
        <v>5554</v>
      </c>
      <c r="K7768" s="112" t="s">
        <v>5555</v>
      </c>
      <c r="L7768" s="116">
        <v>25000</v>
      </c>
    </row>
    <row r="7769" spans="1:12" hidden="1" outlineLevel="1" collapsed="1" x14ac:dyDescent="0.35">
      <c r="A7769" s="112" t="s">
        <v>5553</v>
      </c>
      <c r="B7769" s="112" t="s">
        <v>927</v>
      </c>
      <c r="C7769" s="112" t="s">
        <v>1219</v>
      </c>
      <c r="D7769" s="113">
        <v>46307920</v>
      </c>
      <c r="E7769" s="115">
        <v>43948</v>
      </c>
      <c r="F7769" s="114">
        <v>202101</v>
      </c>
      <c r="G7769" s="112" t="s">
        <v>1091</v>
      </c>
      <c r="H7769" s="112" t="s">
        <v>1015</v>
      </c>
      <c r="I7769" s="112" t="s">
        <v>1605</v>
      </c>
      <c r="J7769" s="112" t="s">
        <v>5554</v>
      </c>
      <c r="K7769" s="112" t="s">
        <v>5555</v>
      </c>
      <c r="L7769" s="116">
        <v>25000</v>
      </c>
    </row>
    <row r="7770" spans="1:12" hidden="1" outlineLevel="1" collapsed="1" x14ac:dyDescent="0.35">
      <c r="A7770" s="112" t="s">
        <v>5553</v>
      </c>
      <c r="B7770" s="112" t="s">
        <v>927</v>
      </c>
      <c r="C7770" s="112" t="s">
        <v>1219</v>
      </c>
      <c r="D7770" s="113">
        <v>46307919</v>
      </c>
      <c r="E7770" s="115">
        <v>43948</v>
      </c>
      <c r="F7770" s="114">
        <v>202101</v>
      </c>
      <c r="G7770" s="112" t="s">
        <v>1091</v>
      </c>
      <c r="H7770" s="112" t="s">
        <v>1015</v>
      </c>
      <c r="I7770" s="112" t="s">
        <v>1605</v>
      </c>
      <c r="J7770" s="112" t="s">
        <v>5554</v>
      </c>
      <c r="K7770" s="112" t="s">
        <v>5556</v>
      </c>
      <c r="L7770" s="116">
        <v>10000</v>
      </c>
    </row>
    <row r="7771" spans="1:12" hidden="1" outlineLevel="1" collapsed="1" x14ac:dyDescent="0.35">
      <c r="A7771" s="112" t="s">
        <v>5553</v>
      </c>
      <c r="B7771" s="112" t="s">
        <v>927</v>
      </c>
      <c r="C7771" s="112" t="s">
        <v>1219</v>
      </c>
      <c r="D7771" s="113">
        <v>46307918</v>
      </c>
      <c r="E7771" s="115">
        <v>43948</v>
      </c>
      <c r="F7771" s="114">
        <v>202101</v>
      </c>
      <c r="G7771" s="112" t="s">
        <v>1091</v>
      </c>
      <c r="H7771" s="112" t="s">
        <v>1015</v>
      </c>
      <c r="I7771" s="112" t="s">
        <v>1605</v>
      </c>
      <c r="J7771" s="112" t="s">
        <v>5554</v>
      </c>
      <c r="K7771" s="112" t="s">
        <v>5556</v>
      </c>
      <c r="L7771" s="116">
        <v>10000</v>
      </c>
    </row>
    <row r="7772" spans="1:12" hidden="1" outlineLevel="1" collapsed="1" x14ac:dyDescent="0.35">
      <c r="A7772" s="112" t="s">
        <v>5553</v>
      </c>
      <c r="B7772" s="112" t="s">
        <v>924</v>
      </c>
      <c r="C7772" s="112" t="s">
        <v>695</v>
      </c>
      <c r="D7772" s="113">
        <v>10347981</v>
      </c>
      <c r="E7772" s="115">
        <v>43924</v>
      </c>
      <c r="F7772" s="114">
        <v>202101</v>
      </c>
      <c r="G7772" s="112" t="s">
        <v>1091</v>
      </c>
      <c r="H7772" s="112" t="s">
        <v>1015</v>
      </c>
      <c r="I7772" s="112" t="s">
        <v>5610</v>
      </c>
      <c r="J7772" s="112" t="s">
        <v>5558</v>
      </c>
      <c r="K7772" s="112" t="s">
        <v>5611</v>
      </c>
      <c r="L7772" s="116">
        <v>-2160.98</v>
      </c>
    </row>
    <row r="7773" spans="1:12" hidden="1" outlineLevel="1" collapsed="1" x14ac:dyDescent="0.35">
      <c r="A7773" s="112" t="s">
        <v>5553</v>
      </c>
      <c r="B7773" s="112" t="s">
        <v>924</v>
      </c>
      <c r="C7773" s="112" t="s">
        <v>695</v>
      </c>
      <c r="D7773" s="113">
        <v>10347981</v>
      </c>
      <c r="E7773" s="115">
        <v>43924</v>
      </c>
      <c r="F7773" s="114">
        <v>202101</v>
      </c>
      <c r="G7773" s="112" t="s">
        <v>1091</v>
      </c>
      <c r="H7773" s="112" t="s">
        <v>1015</v>
      </c>
      <c r="I7773" s="112" t="s">
        <v>5610</v>
      </c>
      <c r="J7773" s="112" t="s">
        <v>5558</v>
      </c>
      <c r="K7773" s="112" t="s">
        <v>5611</v>
      </c>
      <c r="L7773" s="116">
        <v>-2160.98</v>
      </c>
    </row>
    <row r="7774" spans="1:12" hidden="1" outlineLevel="1" collapsed="1" x14ac:dyDescent="0.35">
      <c r="A7774" s="112" t="s">
        <v>5553</v>
      </c>
      <c r="B7774" s="112" t="s">
        <v>927</v>
      </c>
      <c r="C7774" s="112" t="s">
        <v>1219</v>
      </c>
      <c r="D7774" s="113">
        <v>46307917</v>
      </c>
      <c r="E7774" s="115">
        <v>43948</v>
      </c>
      <c r="F7774" s="114">
        <v>202101</v>
      </c>
      <c r="G7774" s="112" t="s">
        <v>1091</v>
      </c>
      <c r="H7774" s="112" t="s">
        <v>1015</v>
      </c>
      <c r="I7774" s="112" t="s">
        <v>1605</v>
      </c>
      <c r="J7774" s="112" t="s">
        <v>5554</v>
      </c>
      <c r="K7774" s="112" t="s">
        <v>5555</v>
      </c>
      <c r="L7774" s="116">
        <v>25000</v>
      </c>
    </row>
    <row r="7775" spans="1:12" hidden="1" outlineLevel="1" collapsed="1" x14ac:dyDescent="0.35">
      <c r="A7775" s="112" t="s">
        <v>5553</v>
      </c>
      <c r="B7775" s="112" t="s">
        <v>927</v>
      </c>
      <c r="C7775" s="112" t="s">
        <v>1219</v>
      </c>
      <c r="D7775" s="113">
        <v>46307916</v>
      </c>
      <c r="E7775" s="115">
        <v>43948</v>
      </c>
      <c r="F7775" s="114">
        <v>202101</v>
      </c>
      <c r="G7775" s="112" t="s">
        <v>1091</v>
      </c>
      <c r="H7775" s="112" t="s">
        <v>1015</v>
      </c>
      <c r="I7775" s="112" t="s">
        <v>1605</v>
      </c>
      <c r="J7775" s="112" t="s">
        <v>5554</v>
      </c>
      <c r="K7775" s="112" t="s">
        <v>5555</v>
      </c>
      <c r="L7775" s="116">
        <v>25000</v>
      </c>
    </row>
    <row r="7776" spans="1:12" hidden="1" outlineLevel="1" collapsed="1" x14ac:dyDescent="0.35">
      <c r="A7776" s="112" t="s">
        <v>5553</v>
      </c>
      <c r="B7776" s="112" t="s">
        <v>927</v>
      </c>
      <c r="C7776" s="112" t="s">
        <v>1219</v>
      </c>
      <c r="D7776" s="113">
        <v>46307915</v>
      </c>
      <c r="E7776" s="115">
        <v>43948</v>
      </c>
      <c r="F7776" s="114">
        <v>202101</v>
      </c>
      <c r="G7776" s="112" t="s">
        <v>1091</v>
      </c>
      <c r="H7776" s="112" t="s">
        <v>1015</v>
      </c>
      <c r="I7776" s="112" t="s">
        <v>1605</v>
      </c>
      <c r="J7776" s="112" t="s">
        <v>5554</v>
      </c>
      <c r="K7776" s="112" t="s">
        <v>5555</v>
      </c>
      <c r="L7776" s="116">
        <v>10000</v>
      </c>
    </row>
    <row r="7777" spans="1:12" hidden="1" outlineLevel="1" collapsed="1" x14ac:dyDescent="0.35">
      <c r="A7777" s="112" t="s">
        <v>5553</v>
      </c>
      <c r="B7777" s="112" t="s">
        <v>927</v>
      </c>
      <c r="C7777" s="112" t="s">
        <v>1219</v>
      </c>
      <c r="D7777" s="113">
        <v>46307914</v>
      </c>
      <c r="E7777" s="115">
        <v>43948</v>
      </c>
      <c r="F7777" s="114">
        <v>202101</v>
      </c>
      <c r="G7777" s="112" t="s">
        <v>1091</v>
      </c>
      <c r="H7777" s="112" t="s">
        <v>1015</v>
      </c>
      <c r="I7777" s="112" t="s">
        <v>1605</v>
      </c>
      <c r="J7777" s="112" t="s">
        <v>5554</v>
      </c>
      <c r="K7777" s="112" t="s">
        <v>5555</v>
      </c>
      <c r="L7777" s="116">
        <v>25000</v>
      </c>
    </row>
    <row r="7778" spans="1:12" hidden="1" outlineLevel="1" collapsed="1" x14ac:dyDescent="0.35">
      <c r="A7778" s="112" t="s">
        <v>5553</v>
      </c>
      <c r="B7778" s="112" t="s">
        <v>927</v>
      </c>
      <c r="C7778" s="112" t="s">
        <v>1219</v>
      </c>
      <c r="D7778" s="113">
        <v>46307913</v>
      </c>
      <c r="E7778" s="115">
        <v>43948</v>
      </c>
      <c r="F7778" s="114">
        <v>202101</v>
      </c>
      <c r="G7778" s="112" t="s">
        <v>1091</v>
      </c>
      <c r="H7778" s="112" t="s">
        <v>1015</v>
      </c>
      <c r="I7778" s="112" t="s">
        <v>1605</v>
      </c>
      <c r="J7778" s="112" t="s">
        <v>5554</v>
      </c>
      <c r="K7778" s="112" t="s">
        <v>5555</v>
      </c>
      <c r="L7778" s="116">
        <v>25000</v>
      </c>
    </row>
    <row r="7779" spans="1:12" hidden="1" outlineLevel="1" collapsed="1" x14ac:dyDescent="0.35">
      <c r="A7779" s="112" t="s">
        <v>5553</v>
      </c>
      <c r="B7779" s="112" t="s">
        <v>927</v>
      </c>
      <c r="C7779" s="112" t="s">
        <v>1219</v>
      </c>
      <c r="D7779" s="113">
        <v>46307912</v>
      </c>
      <c r="E7779" s="115">
        <v>43948</v>
      </c>
      <c r="F7779" s="114">
        <v>202101</v>
      </c>
      <c r="G7779" s="112" t="s">
        <v>1091</v>
      </c>
      <c r="H7779" s="112" t="s">
        <v>1015</v>
      </c>
      <c r="I7779" s="112" t="s">
        <v>1605</v>
      </c>
      <c r="J7779" s="112" t="s">
        <v>5554</v>
      </c>
      <c r="K7779" s="112" t="s">
        <v>5555</v>
      </c>
      <c r="L7779" s="116">
        <v>25000</v>
      </c>
    </row>
    <row r="7780" spans="1:12" hidden="1" outlineLevel="1" collapsed="1" x14ac:dyDescent="0.35">
      <c r="A7780" s="112" t="s">
        <v>5553</v>
      </c>
      <c r="B7780" s="112" t="s">
        <v>927</v>
      </c>
      <c r="C7780" s="112" t="s">
        <v>1219</v>
      </c>
      <c r="D7780" s="113">
        <v>46307911</v>
      </c>
      <c r="E7780" s="115">
        <v>43948</v>
      </c>
      <c r="F7780" s="114">
        <v>202101</v>
      </c>
      <c r="G7780" s="112" t="s">
        <v>1091</v>
      </c>
      <c r="H7780" s="112" t="s">
        <v>1015</v>
      </c>
      <c r="I7780" s="112" t="s">
        <v>1605</v>
      </c>
      <c r="J7780" s="112" t="s">
        <v>5554</v>
      </c>
      <c r="K7780" s="112" t="s">
        <v>5555</v>
      </c>
      <c r="L7780" s="116">
        <v>25000</v>
      </c>
    </row>
    <row r="7781" spans="1:12" hidden="1" outlineLevel="1" collapsed="1" x14ac:dyDescent="0.35">
      <c r="A7781" s="112" t="s">
        <v>5553</v>
      </c>
      <c r="B7781" s="112" t="s">
        <v>927</v>
      </c>
      <c r="C7781" s="112" t="s">
        <v>1095</v>
      </c>
      <c r="D7781" s="113">
        <v>10348451</v>
      </c>
      <c r="E7781" s="115">
        <v>43949</v>
      </c>
      <c r="F7781" s="114">
        <v>202101</v>
      </c>
      <c r="G7781" s="112" t="s">
        <v>1091</v>
      </c>
      <c r="H7781" s="112" t="s">
        <v>1015</v>
      </c>
      <c r="I7781" s="112" t="s">
        <v>1101</v>
      </c>
      <c r="J7781" s="112" t="s">
        <v>5557</v>
      </c>
      <c r="K7781" s="112" t="s">
        <v>1098</v>
      </c>
      <c r="L7781" s="116">
        <v>315</v>
      </c>
    </row>
    <row r="7782" spans="1:12" hidden="1" outlineLevel="1" collapsed="1" x14ac:dyDescent="0.35">
      <c r="A7782" s="112" t="s">
        <v>5553</v>
      </c>
      <c r="B7782" s="112" t="s">
        <v>927</v>
      </c>
      <c r="C7782" s="112" t="s">
        <v>1219</v>
      </c>
      <c r="D7782" s="113">
        <v>46307910</v>
      </c>
      <c r="E7782" s="115">
        <v>43948</v>
      </c>
      <c r="F7782" s="114">
        <v>202101</v>
      </c>
      <c r="G7782" s="112" t="s">
        <v>1091</v>
      </c>
      <c r="H7782" s="112" t="s">
        <v>1015</v>
      </c>
      <c r="I7782" s="112" t="s">
        <v>1605</v>
      </c>
      <c r="J7782" s="112" t="s">
        <v>5554</v>
      </c>
      <c r="K7782" s="112" t="s">
        <v>5555</v>
      </c>
      <c r="L7782" s="116">
        <v>25000</v>
      </c>
    </row>
    <row r="7783" spans="1:12" hidden="1" outlineLevel="1" collapsed="1" x14ac:dyDescent="0.35">
      <c r="A7783" s="112" t="s">
        <v>5553</v>
      </c>
      <c r="B7783" s="112" t="s">
        <v>927</v>
      </c>
      <c r="C7783" s="112" t="s">
        <v>1219</v>
      </c>
      <c r="D7783" s="113">
        <v>46307954</v>
      </c>
      <c r="E7783" s="115">
        <v>43924</v>
      </c>
      <c r="F7783" s="114">
        <v>202101</v>
      </c>
      <c r="G7783" s="112" t="s">
        <v>1091</v>
      </c>
      <c r="H7783" s="112" t="s">
        <v>1015</v>
      </c>
      <c r="I7783" s="112" t="s">
        <v>1605</v>
      </c>
      <c r="J7783" s="112" t="s">
        <v>5554</v>
      </c>
      <c r="K7783" s="112" t="s">
        <v>5555</v>
      </c>
      <c r="L7783" s="116">
        <v>25000</v>
      </c>
    </row>
    <row r="7784" spans="1:12" hidden="1" outlineLevel="1" collapsed="1" x14ac:dyDescent="0.35">
      <c r="A7784" s="112" t="s">
        <v>5553</v>
      </c>
      <c r="B7784" s="112" t="s">
        <v>927</v>
      </c>
      <c r="C7784" s="112" t="s">
        <v>1219</v>
      </c>
      <c r="D7784" s="113">
        <v>46307817</v>
      </c>
      <c r="E7784" s="115">
        <v>43945</v>
      </c>
      <c r="F7784" s="114">
        <v>202101</v>
      </c>
      <c r="G7784" s="112" t="s">
        <v>1091</v>
      </c>
      <c r="H7784" s="112" t="s">
        <v>1015</v>
      </c>
      <c r="I7784" s="112" t="s">
        <v>1605</v>
      </c>
      <c r="J7784" s="112" t="s">
        <v>5554</v>
      </c>
      <c r="K7784" s="112" t="s">
        <v>5555</v>
      </c>
      <c r="L7784" s="116">
        <v>10000</v>
      </c>
    </row>
    <row r="7785" spans="1:12" hidden="1" outlineLevel="1" collapsed="1" x14ac:dyDescent="0.35">
      <c r="A7785" s="112" t="s">
        <v>5553</v>
      </c>
      <c r="B7785" s="112" t="s">
        <v>927</v>
      </c>
      <c r="C7785" s="112" t="s">
        <v>1219</v>
      </c>
      <c r="D7785" s="113">
        <v>46307816</v>
      </c>
      <c r="E7785" s="115">
        <v>43945</v>
      </c>
      <c r="F7785" s="114">
        <v>202101</v>
      </c>
      <c r="G7785" s="112" t="s">
        <v>1091</v>
      </c>
      <c r="H7785" s="112" t="s">
        <v>1015</v>
      </c>
      <c r="I7785" s="112" t="s">
        <v>1605</v>
      </c>
      <c r="J7785" s="112" t="s">
        <v>5554</v>
      </c>
      <c r="K7785" s="112" t="s">
        <v>5555</v>
      </c>
      <c r="L7785" s="116">
        <v>25000</v>
      </c>
    </row>
    <row r="7786" spans="1:12" hidden="1" outlineLevel="1" collapsed="1" x14ac:dyDescent="0.35">
      <c r="A7786" s="112" t="s">
        <v>5553</v>
      </c>
      <c r="B7786" s="112" t="s">
        <v>927</v>
      </c>
      <c r="C7786" s="112" t="s">
        <v>1219</v>
      </c>
      <c r="D7786" s="113">
        <v>46307815</v>
      </c>
      <c r="E7786" s="115">
        <v>43945</v>
      </c>
      <c r="F7786" s="114">
        <v>202101</v>
      </c>
      <c r="G7786" s="112" t="s">
        <v>1091</v>
      </c>
      <c r="H7786" s="112" t="s">
        <v>1015</v>
      </c>
      <c r="I7786" s="112" t="s">
        <v>1605</v>
      </c>
      <c r="J7786" s="112" t="s">
        <v>5554</v>
      </c>
      <c r="K7786" s="112" t="s">
        <v>5556</v>
      </c>
      <c r="L7786" s="116">
        <v>10000</v>
      </c>
    </row>
    <row r="7787" spans="1:12" hidden="1" outlineLevel="1" collapsed="1" x14ac:dyDescent="0.35">
      <c r="A7787" s="112" t="s">
        <v>5553</v>
      </c>
      <c r="B7787" s="112" t="s">
        <v>927</v>
      </c>
      <c r="C7787" s="112" t="s">
        <v>1219</v>
      </c>
      <c r="D7787" s="113">
        <v>46307814</v>
      </c>
      <c r="E7787" s="115">
        <v>43945</v>
      </c>
      <c r="F7787" s="114">
        <v>202101</v>
      </c>
      <c r="G7787" s="112" t="s">
        <v>1091</v>
      </c>
      <c r="H7787" s="112" t="s">
        <v>1015</v>
      </c>
      <c r="I7787" s="112" t="s">
        <v>1605</v>
      </c>
      <c r="J7787" s="112" t="s">
        <v>5554</v>
      </c>
      <c r="K7787" s="112" t="s">
        <v>5556</v>
      </c>
      <c r="L7787" s="116">
        <v>10000</v>
      </c>
    </row>
    <row r="7788" spans="1:12" hidden="1" outlineLevel="1" collapsed="1" x14ac:dyDescent="0.35">
      <c r="A7788" s="112" t="s">
        <v>5553</v>
      </c>
      <c r="B7788" s="112" t="s">
        <v>927</v>
      </c>
      <c r="C7788" s="112" t="s">
        <v>1219</v>
      </c>
      <c r="D7788" s="113">
        <v>46307813</v>
      </c>
      <c r="E7788" s="115">
        <v>43945</v>
      </c>
      <c r="F7788" s="114">
        <v>202101</v>
      </c>
      <c r="G7788" s="112" t="s">
        <v>1091</v>
      </c>
      <c r="H7788" s="112" t="s">
        <v>1015</v>
      </c>
      <c r="I7788" s="112" t="s">
        <v>1605</v>
      </c>
      <c r="J7788" s="112" t="s">
        <v>5554</v>
      </c>
      <c r="K7788" s="112" t="s">
        <v>5556</v>
      </c>
      <c r="L7788" s="116">
        <v>10000</v>
      </c>
    </row>
    <row r="7789" spans="1:12" hidden="1" outlineLevel="1" collapsed="1" x14ac:dyDescent="0.35">
      <c r="A7789" s="112" t="s">
        <v>5553</v>
      </c>
      <c r="B7789" s="112" t="s">
        <v>927</v>
      </c>
      <c r="C7789" s="112" t="s">
        <v>1219</v>
      </c>
      <c r="D7789" s="113">
        <v>46307812</v>
      </c>
      <c r="E7789" s="115">
        <v>43945</v>
      </c>
      <c r="F7789" s="114">
        <v>202101</v>
      </c>
      <c r="G7789" s="112" t="s">
        <v>1091</v>
      </c>
      <c r="H7789" s="112" t="s">
        <v>1015</v>
      </c>
      <c r="I7789" s="112" t="s">
        <v>1605</v>
      </c>
      <c r="J7789" s="112" t="s">
        <v>5554</v>
      </c>
      <c r="K7789" s="112" t="s">
        <v>5556</v>
      </c>
      <c r="L7789" s="116">
        <v>10000</v>
      </c>
    </row>
    <row r="7790" spans="1:12" hidden="1" outlineLevel="1" collapsed="1" x14ac:dyDescent="0.35">
      <c r="A7790" s="112" t="s">
        <v>5553</v>
      </c>
      <c r="B7790" s="112" t="s">
        <v>927</v>
      </c>
      <c r="C7790" s="112" t="s">
        <v>1219</v>
      </c>
      <c r="D7790" s="113">
        <v>46307811</v>
      </c>
      <c r="E7790" s="115">
        <v>43945</v>
      </c>
      <c r="F7790" s="114">
        <v>202101</v>
      </c>
      <c r="G7790" s="112" t="s">
        <v>1091</v>
      </c>
      <c r="H7790" s="112" t="s">
        <v>1015</v>
      </c>
      <c r="I7790" s="112" t="s">
        <v>1605</v>
      </c>
      <c r="J7790" s="112" t="s">
        <v>5554</v>
      </c>
      <c r="K7790" s="112" t="s">
        <v>5555</v>
      </c>
      <c r="L7790" s="116">
        <v>10000</v>
      </c>
    </row>
    <row r="7791" spans="1:12" hidden="1" outlineLevel="1" collapsed="1" x14ac:dyDescent="0.35">
      <c r="A7791" s="112" t="s">
        <v>5553</v>
      </c>
      <c r="B7791" s="112" t="s">
        <v>927</v>
      </c>
      <c r="C7791" s="112" t="s">
        <v>1219</v>
      </c>
      <c r="D7791" s="113">
        <v>46307810</v>
      </c>
      <c r="E7791" s="115">
        <v>43945</v>
      </c>
      <c r="F7791" s="114">
        <v>202101</v>
      </c>
      <c r="G7791" s="112" t="s">
        <v>1091</v>
      </c>
      <c r="H7791" s="112" t="s">
        <v>1015</v>
      </c>
      <c r="I7791" s="112" t="s">
        <v>1605</v>
      </c>
      <c r="J7791" s="112" t="s">
        <v>5554</v>
      </c>
      <c r="K7791" s="112" t="s">
        <v>5556</v>
      </c>
      <c r="L7791" s="116">
        <v>10000</v>
      </c>
    </row>
    <row r="7792" spans="1:12" hidden="1" outlineLevel="1" collapsed="1" x14ac:dyDescent="0.35">
      <c r="A7792" s="112" t="s">
        <v>5553</v>
      </c>
      <c r="B7792" s="112" t="s">
        <v>927</v>
      </c>
      <c r="C7792" s="112" t="s">
        <v>1219</v>
      </c>
      <c r="D7792" s="113">
        <v>46307809</v>
      </c>
      <c r="E7792" s="115">
        <v>43945</v>
      </c>
      <c r="F7792" s="114">
        <v>202101</v>
      </c>
      <c r="G7792" s="112" t="s">
        <v>1091</v>
      </c>
      <c r="H7792" s="112" t="s">
        <v>1015</v>
      </c>
      <c r="I7792" s="112" t="s">
        <v>1605</v>
      </c>
      <c r="J7792" s="112" t="s">
        <v>5554</v>
      </c>
      <c r="K7792" s="112" t="s">
        <v>5555</v>
      </c>
      <c r="L7792" s="116">
        <v>10000</v>
      </c>
    </row>
    <row r="7793" spans="1:12" hidden="1" outlineLevel="1" collapsed="1" x14ac:dyDescent="0.35">
      <c r="A7793" s="112" t="s">
        <v>5553</v>
      </c>
      <c r="B7793" s="112" t="s">
        <v>927</v>
      </c>
      <c r="C7793" s="112" t="s">
        <v>1219</v>
      </c>
      <c r="D7793" s="113">
        <v>46307808</v>
      </c>
      <c r="E7793" s="115">
        <v>43945</v>
      </c>
      <c r="F7793" s="114">
        <v>202101</v>
      </c>
      <c r="G7793" s="112" t="s">
        <v>1091</v>
      </c>
      <c r="H7793" s="112" t="s">
        <v>1015</v>
      </c>
      <c r="I7793" s="112" t="s">
        <v>1605</v>
      </c>
      <c r="J7793" s="112" t="s">
        <v>5554</v>
      </c>
      <c r="K7793" s="112" t="s">
        <v>5555</v>
      </c>
      <c r="L7793" s="116">
        <v>25000</v>
      </c>
    </row>
    <row r="7794" spans="1:12" hidden="1" outlineLevel="1" collapsed="1" x14ac:dyDescent="0.35">
      <c r="A7794" s="112" t="s">
        <v>5553</v>
      </c>
      <c r="B7794" s="112" t="s">
        <v>927</v>
      </c>
      <c r="C7794" s="112" t="s">
        <v>1219</v>
      </c>
      <c r="D7794" s="113">
        <v>46307857</v>
      </c>
      <c r="E7794" s="115">
        <v>43945</v>
      </c>
      <c r="F7794" s="114">
        <v>202101</v>
      </c>
      <c r="G7794" s="112" t="s">
        <v>1091</v>
      </c>
      <c r="H7794" s="112" t="s">
        <v>1015</v>
      </c>
      <c r="I7794" s="112" t="s">
        <v>1605</v>
      </c>
      <c r="J7794" s="112" t="s">
        <v>5554</v>
      </c>
      <c r="K7794" s="112" t="s">
        <v>5556</v>
      </c>
      <c r="L7794" s="116">
        <v>10000</v>
      </c>
    </row>
    <row r="7795" spans="1:12" hidden="1" outlineLevel="1" collapsed="1" x14ac:dyDescent="0.35">
      <c r="A7795" s="112" t="s">
        <v>5553</v>
      </c>
      <c r="B7795" s="112" t="s">
        <v>927</v>
      </c>
      <c r="C7795" s="112" t="s">
        <v>1219</v>
      </c>
      <c r="D7795" s="113">
        <v>46308450</v>
      </c>
      <c r="E7795" s="115">
        <v>43924</v>
      </c>
      <c r="F7795" s="114">
        <v>202101</v>
      </c>
      <c r="G7795" s="112" t="s">
        <v>1091</v>
      </c>
      <c r="H7795" s="112" t="s">
        <v>1015</v>
      </c>
      <c r="I7795" s="112" t="s">
        <v>1605</v>
      </c>
      <c r="J7795" s="112" t="s">
        <v>5554</v>
      </c>
      <c r="K7795" s="112" t="s">
        <v>5555</v>
      </c>
      <c r="L7795" s="116">
        <v>25000</v>
      </c>
    </row>
    <row r="7796" spans="1:12" hidden="1" outlineLevel="1" collapsed="1" x14ac:dyDescent="0.35">
      <c r="A7796" s="112" t="s">
        <v>5553</v>
      </c>
      <c r="B7796" s="112" t="s">
        <v>927</v>
      </c>
      <c r="C7796" s="112" t="s">
        <v>1219</v>
      </c>
      <c r="D7796" s="113">
        <v>46308449</v>
      </c>
      <c r="E7796" s="115">
        <v>43924</v>
      </c>
      <c r="F7796" s="114">
        <v>202101</v>
      </c>
      <c r="G7796" s="112" t="s">
        <v>1091</v>
      </c>
      <c r="H7796" s="112" t="s">
        <v>1015</v>
      </c>
      <c r="I7796" s="112" t="s">
        <v>1605</v>
      </c>
      <c r="J7796" s="112" t="s">
        <v>5554</v>
      </c>
      <c r="K7796" s="112" t="s">
        <v>5555</v>
      </c>
      <c r="L7796" s="116">
        <v>25000</v>
      </c>
    </row>
    <row r="7797" spans="1:12" hidden="1" outlineLevel="1" collapsed="1" x14ac:dyDescent="0.35">
      <c r="A7797" s="112" t="s">
        <v>5553</v>
      </c>
      <c r="B7797" s="112" t="s">
        <v>927</v>
      </c>
      <c r="C7797" s="112" t="s">
        <v>1219</v>
      </c>
      <c r="D7797" s="113">
        <v>46308448</v>
      </c>
      <c r="E7797" s="115">
        <v>43924</v>
      </c>
      <c r="F7797" s="114">
        <v>202101</v>
      </c>
      <c r="G7797" s="112" t="s">
        <v>1091</v>
      </c>
      <c r="H7797" s="112" t="s">
        <v>1015</v>
      </c>
      <c r="I7797" s="112" t="s">
        <v>1605</v>
      </c>
      <c r="J7797" s="112" t="s">
        <v>5554</v>
      </c>
      <c r="K7797" s="112" t="s">
        <v>5556</v>
      </c>
      <c r="L7797" s="116">
        <v>10000</v>
      </c>
    </row>
    <row r="7798" spans="1:12" hidden="1" outlineLevel="1" collapsed="1" x14ac:dyDescent="0.35">
      <c r="A7798" s="112" t="s">
        <v>5553</v>
      </c>
      <c r="B7798" s="112" t="s">
        <v>927</v>
      </c>
      <c r="C7798" s="112" t="s">
        <v>1219</v>
      </c>
      <c r="D7798" s="113">
        <v>46308447</v>
      </c>
      <c r="E7798" s="115">
        <v>43924</v>
      </c>
      <c r="F7798" s="114">
        <v>202101</v>
      </c>
      <c r="G7798" s="112" t="s">
        <v>1091</v>
      </c>
      <c r="H7798" s="112" t="s">
        <v>1015</v>
      </c>
      <c r="I7798" s="112" t="s">
        <v>1605</v>
      </c>
      <c r="J7798" s="112" t="s">
        <v>5554</v>
      </c>
      <c r="K7798" s="112" t="s">
        <v>5556</v>
      </c>
      <c r="L7798" s="116">
        <v>10000</v>
      </c>
    </row>
    <row r="7799" spans="1:12" hidden="1" outlineLevel="1" collapsed="1" x14ac:dyDescent="0.35">
      <c r="A7799" s="112" t="s">
        <v>5553</v>
      </c>
      <c r="B7799" s="112" t="s">
        <v>927</v>
      </c>
      <c r="C7799" s="112" t="s">
        <v>1219</v>
      </c>
      <c r="D7799" s="113">
        <v>46308446</v>
      </c>
      <c r="E7799" s="115">
        <v>43924</v>
      </c>
      <c r="F7799" s="114">
        <v>202101</v>
      </c>
      <c r="G7799" s="112" t="s">
        <v>1091</v>
      </c>
      <c r="H7799" s="112" t="s">
        <v>1015</v>
      </c>
      <c r="I7799" s="112" t="s">
        <v>1605</v>
      </c>
      <c r="J7799" s="112" t="s">
        <v>5554</v>
      </c>
      <c r="K7799" s="112" t="s">
        <v>5556</v>
      </c>
      <c r="L7799" s="116">
        <v>10000</v>
      </c>
    </row>
    <row r="7800" spans="1:12" hidden="1" outlineLevel="1" collapsed="1" x14ac:dyDescent="0.35">
      <c r="A7800" s="112" t="s">
        <v>5553</v>
      </c>
      <c r="B7800" s="112" t="s">
        <v>927</v>
      </c>
      <c r="C7800" s="112" t="s">
        <v>1219</v>
      </c>
      <c r="D7800" s="113">
        <v>46308445</v>
      </c>
      <c r="E7800" s="115">
        <v>43924</v>
      </c>
      <c r="F7800" s="114">
        <v>202101</v>
      </c>
      <c r="G7800" s="112" t="s">
        <v>1091</v>
      </c>
      <c r="H7800" s="112" t="s">
        <v>1015</v>
      </c>
      <c r="I7800" s="112" t="s">
        <v>1605</v>
      </c>
      <c r="J7800" s="112" t="s">
        <v>5554</v>
      </c>
      <c r="K7800" s="112" t="s">
        <v>5555</v>
      </c>
      <c r="L7800" s="116">
        <v>25000</v>
      </c>
    </row>
    <row r="7801" spans="1:12" hidden="1" outlineLevel="1" collapsed="1" x14ac:dyDescent="0.35">
      <c r="A7801" s="112" t="s">
        <v>5553</v>
      </c>
      <c r="B7801" s="112" t="s">
        <v>927</v>
      </c>
      <c r="C7801" s="112" t="s">
        <v>1219</v>
      </c>
      <c r="D7801" s="113">
        <v>46308444</v>
      </c>
      <c r="E7801" s="115">
        <v>43924</v>
      </c>
      <c r="F7801" s="114">
        <v>202101</v>
      </c>
      <c r="G7801" s="112" t="s">
        <v>1091</v>
      </c>
      <c r="H7801" s="112" t="s">
        <v>1015</v>
      </c>
      <c r="I7801" s="112" t="s">
        <v>1605</v>
      </c>
      <c r="J7801" s="112" t="s">
        <v>5554</v>
      </c>
      <c r="K7801" s="112" t="s">
        <v>5556</v>
      </c>
      <c r="L7801" s="116">
        <v>10000</v>
      </c>
    </row>
    <row r="7802" spans="1:12" hidden="1" outlineLevel="1" collapsed="1" x14ac:dyDescent="0.35">
      <c r="A7802" s="112" t="s">
        <v>5553</v>
      </c>
      <c r="B7802" s="112" t="s">
        <v>927</v>
      </c>
      <c r="C7802" s="112" t="s">
        <v>1219</v>
      </c>
      <c r="D7802" s="113">
        <v>46308443</v>
      </c>
      <c r="E7802" s="115">
        <v>43924</v>
      </c>
      <c r="F7802" s="114">
        <v>202101</v>
      </c>
      <c r="G7802" s="112" t="s">
        <v>1091</v>
      </c>
      <c r="H7802" s="112" t="s">
        <v>1015</v>
      </c>
      <c r="I7802" s="112" t="s">
        <v>1605</v>
      </c>
      <c r="J7802" s="112" t="s">
        <v>5554</v>
      </c>
      <c r="K7802" s="112" t="s">
        <v>5555</v>
      </c>
      <c r="L7802" s="116">
        <v>25000</v>
      </c>
    </row>
    <row r="7803" spans="1:12" hidden="1" outlineLevel="1" collapsed="1" x14ac:dyDescent="0.35">
      <c r="A7803" s="112" t="s">
        <v>5553</v>
      </c>
      <c r="B7803" s="112" t="s">
        <v>927</v>
      </c>
      <c r="C7803" s="112" t="s">
        <v>1219</v>
      </c>
      <c r="D7803" s="113">
        <v>46308442</v>
      </c>
      <c r="E7803" s="115">
        <v>43924</v>
      </c>
      <c r="F7803" s="114">
        <v>202101</v>
      </c>
      <c r="G7803" s="112" t="s">
        <v>1091</v>
      </c>
      <c r="H7803" s="112" t="s">
        <v>1015</v>
      </c>
      <c r="I7803" s="112" t="s">
        <v>1605</v>
      </c>
      <c r="J7803" s="112" t="s">
        <v>5554</v>
      </c>
      <c r="K7803" s="112" t="s">
        <v>5555</v>
      </c>
      <c r="L7803" s="116">
        <v>10000</v>
      </c>
    </row>
    <row r="7804" spans="1:12" hidden="1" outlineLevel="1" collapsed="1" x14ac:dyDescent="0.35">
      <c r="A7804" s="112" t="s">
        <v>5553</v>
      </c>
      <c r="B7804" s="112" t="s">
        <v>927</v>
      </c>
      <c r="C7804" s="112" t="s">
        <v>1219</v>
      </c>
      <c r="D7804" s="113">
        <v>46308441</v>
      </c>
      <c r="E7804" s="115">
        <v>43924</v>
      </c>
      <c r="F7804" s="114">
        <v>202101</v>
      </c>
      <c r="G7804" s="112" t="s">
        <v>1091</v>
      </c>
      <c r="H7804" s="112" t="s">
        <v>1015</v>
      </c>
      <c r="I7804" s="112" t="s">
        <v>1605</v>
      </c>
      <c r="J7804" s="112" t="s">
        <v>5554</v>
      </c>
      <c r="K7804" s="112" t="s">
        <v>5555</v>
      </c>
      <c r="L7804" s="116">
        <v>25000</v>
      </c>
    </row>
    <row r="7805" spans="1:12" hidden="1" outlineLevel="1" collapsed="1" x14ac:dyDescent="0.35">
      <c r="A7805" s="112" t="s">
        <v>5553</v>
      </c>
      <c r="B7805" s="112" t="s">
        <v>927</v>
      </c>
      <c r="C7805" s="112" t="s">
        <v>1219</v>
      </c>
      <c r="D7805" s="113">
        <v>46307856</v>
      </c>
      <c r="E7805" s="115">
        <v>43945</v>
      </c>
      <c r="F7805" s="114">
        <v>202101</v>
      </c>
      <c r="G7805" s="112" t="s">
        <v>1091</v>
      </c>
      <c r="H7805" s="112" t="s">
        <v>1015</v>
      </c>
      <c r="I7805" s="112" t="s">
        <v>1605</v>
      </c>
      <c r="J7805" s="112" t="s">
        <v>5554</v>
      </c>
      <c r="K7805" s="112" t="s">
        <v>5556</v>
      </c>
      <c r="L7805" s="116">
        <v>10000</v>
      </c>
    </row>
    <row r="7806" spans="1:12" hidden="1" outlineLevel="1" collapsed="1" x14ac:dyDescent="0.35">
      <c r="A7806" s="112" t="s">
        <v>5553</v>
      </c>
      <c r="B7806" s="112" t="s">
        <v>927</v>
      </c>
      <c r="C7806" s="112" t="s">
        <v>1219</v>
      </c>
      <c r="D7806" s="113">
        <v>46307957</v>
      </c>
      <c r="E7806" s="115">
        <v>43924</v>
      </c>
      <c r="F7806" s="114">
        <v>202101</v>
      </c>
      <c r="G7806" s="112" t="s">
        <v>1091</v>
      </c>
      <c r="H7806" s="112" t="s">
        <v>1015</v>
      </c>
      <c r="I7806" s="112" t="s">
        <v>1605</v>
      </c>
      <c r="J7806" s="112" t="s">
        <v>5554</v>
      </c>
      <c r="K7806" s="112" t="s">
        <v>5555</v>
      </c>
      <c r="L7806" s="116">
        <v>25000</v>
      </c>
    </row>
    <row r="7807" spans="1:12" hidden="1" outlineLevel="1" collapsed="1" x14ac:dyDescent="0.35">
      <c r="A7807" s="112" t="s">
        <v>5553</v>
      </c>
      <c r="B7807" s="112" t="s">
        <v>927</v>
      </c>
      <c r="C7807" s="112" t="s">
        <v>1219</v>
      </c>
      <c r="D7807" s="113">
        <v>46307956</v>
      </c>
      <c r="E7807" s="115">
        <v>43924</v>
      </c>
      <c r="F7807" s="114">
        <v>202101</v>
      </c>
      <c r="G7807" s="112" t="s">
        <v>1091</v>
      </c>
      <c r="H7807" s="112" t="s">
        <v>1015</v>
      </c>
      <c r="I7807" s="112" t="s">
        <v>1605</v>
      </c>
      <c r="J7807" s="112" t="s">
        <v>5554</v>
      </c>
      <c r="K7807" s="112" t="s">
        <v>5555</v>
      </c>
      <c r="L7807" s="116">
        <v>25000</v>
      </c>
    </row>
    <row r="7808" spans="1:12" hidden="1" outlineLevel="1" collapsed="1" x14ac:dyDescent="0.35">
      <c r="A7808" s="112" t="s">
        <v>5553</v>
      </c>
      <c r="B7808" s="112" t="s">
        <v>927</v>
      </c>
      <c r="C7808" s="112" t="s">
        <v>1219</v>
      </c>
      <c r="D7808" s="113">
        <v>46307955</v>
      </c>
      <c r="E7808" s="115">
        <v>43924</v>
      </c>
      <c r="F7808" s="114">
        <v>202101</v>
      </c>
      <c r="G7808" s="112" t="s">
        <v>1091</v>
      </c>
      <c r="H7808" s="112" t="s">
        <v>1015</v>
      </c>
      <c r="I7808" s="112" t="s">
        <v>1605</v>
      </c>
      <c r="J7808" s="112" t="s">
        <v>5554</v>
      </c>
      <c r="K7808" s="112" t="s">
        <v>5555</v>
      </c>
      <c r="L7808" s="116">
        <v>25000</v>
      </c>
    </row>
    <row r="7809" spans="1:12" hidden="1" outlineLevel="1" collapsed="1" x14ac:dyDescent="0.35">
      <c r="A7809" s="112" t="s">
        <v>5553</v>
      </c>
      <c r="B7809" s="112" t="s">
        <v>927</v>
      </c>
      <c r="C7809" s="112" t="s">
        <v>1219</v>
      </c>
      <c r="D7809" s="113">
        <v>46307818</v>
      </c>
      <c r="E7809" s="115">
        <v>43945</v>
      </c>
      <c r="F7809" s="114">
        <v>202101</v>
      </c>
      <c r="G7809" s="112" t="s">
        <v>1091</v>
      </c>
      <c r="H7809" s="112" t="s">
        <v>1015</v>
      </c>
      <c r="I7809" s="112" t="s">
        <v>1605</v>
      </c>
      <c r="J7809" s="112" t="s">
        <v>5554</v>
      </c>
      <c r="K7809" s="112" t="s">
        <v>5555</v>
      </c>
      <c r="L7809" s="116">
        <v>25000</v>
      </c>
    </row>
    <row r="7810" spans="1:12" hidden="1" outlineLevel="1" collapsed="1" x14ac:dyDescent="0.35">
      <c r="A7810" s="112" t="s">
        <v>5553</v>
      </c>
      <c r="B7810" s="112" t="s">
        <v>927</v>
      </c>
      <c r="C7810" s="112" t="s">
        <v>1219</v>
      </c>
      <c r="D7810" s="113">
        <v>46307953</v>
      </c>
      <c r="E7810" s="115">
        <v>43924</v>
      </c>
      <c r="F7810" s="114">
        <v>202101</v>
      </c>
      <c r="G7810" s="112" t="s">
        <v>1091</v>
      </c>
      <c r="H7810" s="112" t="s">
        <v>1015</v>
      </c>
      <c r="I7810" s="112" t="s">
        <v>1605</v>
      </c>
      <c r="J7810" s="112" t="s">
        <v>5554</v>
      </c>
      <c r="K7810" s="112" t="s">
        <v>5556</v>
      </c>
      <c r="L7810" s="116">
        <v>10000</v>
      </c>
    </row>
    <row r="7811" spans="1:12" hidden="1" outlineLevel="1" collapsed="1" x14ac:dyDescent="0.35">
      <c r="A7811" s="112" t="s">
        <v>5553</v>
      </c>
      <c r="B7811" s="112" t="s">
        <v>927</v>
      </c>
      <c r="C7811" s="112" t="s">
        <v>1219</v>
      </c>
      <c r="D7811" s="113">
        <v>46307855</v>
      </c>
      <c r="E7811" s="115">
        <v>43945</v>
      </c>
      <c r="F7811" s="114">
        <v>202101</v>
      </c>
      <c r="G7811" s="112" t="s">
        <v>1091</v>
      </c>
      <c r="H7811" s="112" t="s">
        <v>1015</v>
      </c>
      <c r="I7811" s="112" t="s">
        <v>1605</v>
      </c>
      <c r="J7811" s="112" t="s">
        <v>5554</v>
      </c>
      <c r="K7811" s="112" t="s">
        <v>5556</v>
      </c>
      <c r="L7811" s="116">
        <v>10000</v>
      </c>
    </row>
    <row r="7812" spans="1:12" hidden="1" outlineLevel="1" collapsed="1" x14ac:dyDescent="0.35">
      <c r="A7812" s="112" t="s">
        <v>5553</v>
      </c>
      <c r="B7812" s="112" t="s">
        <v>927</v>
      </c>
      <c r="C7812" s="112" t="s">
        <v>1219</v>
      </c>
      <c r="D7812" s="113">
        <v>46307854</v>
      </c>
      <c r="E7812" s="115">
        <v>43945</v>
      </c>
      <c r="F7812" s="114">
        <v>202101</v>
      </c>
      <c r="G7812" s="112" t="s">
        <v>1091</v>
      </c>
      <c r="H7812" s="112" t="s">
        <v>1015</v>
      </c>
      <c r="I7812" s="112" t="s">
        <v>1605</v>
      </c>
      <c r="J7812" s="112" t="s">
        <v>5554</v>
      </c>
      <c r="K7812" s="112" t="s">
        <v>5556</v>
      </c>
      <c r="L7812" s="116">
        <v>10000</v>
      </c>
    </row>
    <row r="7813" spans="1:12" hidden="1" outlineLevel="1" collapsed="1" x14ac:dyDescent="0.35">
      <c r="A7813" s="112" t="s">
        <v>5553</v>
      </c>
      <c r="B7813" s="112" t="s">
        <v>927</v>
      </c>
      <c r="C7813" s="112" t="s">
        <v>1219</v>
      </c>
      <c r="D7813" s="113">
        <v>46307853</v>
      </c>
      <c r="E7813" s="115">
        <v>43945</v>
      </c>
      <c r="F7813" s="114">
        <v>202101</v>
      </c>
      <c r="G7813" s="112" t="s">
        <v>1091</v>
      </c>
      <c r="H7813" s="112" t="s">
        <v>1015</v>
      </c>
      <c r="I7813" s="112" t="s">
        <v>1605</v>
      </c>
      <c r="J7813" s="112" t="s">
        <v>5554</v>
      </c>
      <c r="K7813" s="112" t="s">
        <v>5555</v>
      </c>
      <c r="L7813" s="116">
        <v>25000</v>
      </c>
    </row>
    <row r="7814" spans="1:12" hidden="1" outlineLevel="1" collapsed="1" x14ac:dyDescent="0.35">
      <c r="A7814" s="112" t="s">
        <v>5553</v>
      </c>
      <c r="B7814" s="112" t="s">
        <v>927</v>
      </c>
      <c r="C7814" s="112" t="s">
        <v>1219</v>
      </c>
      <c r="D7814" s="113">
        <v>46307852</v>
      </c>
      <c r="E7814" s="115">
        <v>43945</v>
      </c>
      <c r="F7814" s="114">
        <v>202101</v>
      </c>
      <c r="G7814" s="112" t="s">
        <v>1091</v>
      </c>
      <c r="H7814" s="112" t="s">
        <v>1015</v>
      </c>
      <c r="I7814" s="112" t="s">
        <v>1605</v>
      </c>
      <c r="J7814" s="112" t="s">
        <v>5554</v>
      </c>
      <c r="K7814" s="112" t="s">
        <v>5555</v>
      </c>
      <c r="L7814" s="116">
        <v>25000</v>
      </c>
    </row>
    <row r="7815" spans="1:12" hidden="1" outlineLevel="1" collapsed="1" x14ac:dyDescent="0.35">
      <c r="A7815" s="112" t="s">
        <v>5553</v>
      </c>
      <c r="B7815" s="112" t="s">
        <v>927</v>
      </c>
      <c r="C7815" s="112" t="s">
        <v>1219</v>
      </c>
      <c r="D7815" s="113">
        <v>46307851</v>
      </c>
      <c r="E7815" s="115">
        <v>43945</v>
      </c>
      <c r="F7815" s="114">
        <v>202101</v>
      </c>
      <c r="G7815" s="112" t="s">
        <v>1091</v>
      </c>
      <c r="H7815" s="112" t="s">
        <v>1015</v>
      </c>
      <c r="I7815" s="112" t="s">
        <v>1605</v>
      </c>
      <c r="J7815" s="112" t="s">
        <v>5554</v>
      </c>
      <c r="K7815" s="112" t="s">
        <v>5555</v>
      </c>
      <c r="L7815" s="116">
        <v>25000</v>
      </c>
    </row>
    <row r="7816" spans="1:12" hidden="1" outlineLevel="1" collapsed="1" x14ac:dyDescent="0.35">
      <c r="A7816" s="112" t="s">
        <v>5553</v>
      </c>
      <c r="B7816" s="112" t="s">
        <v>927</v>
      </c>
      <c r="C7816" s="112" t="s">
        <v>1219</v>
      </c>
      <c r="D7816" s="113">
        <v>46307952</v>
      </c>
      <c r="E7816" s="115">
        <v>43924</v>
      </c>
      <c r="F7816" s="114">
        <v>202101</v>
      </c>
      <c r="G7816" s="112" t="s">
        <v>1091</v>
      </c>
      <c r="H7816" s="112" t="s">
        <v>1015</v>
      </c>
      <c r="I7816" s="112" t="s">
        <v>1605</v>
      </c>
      <c r="J7816" s="112" t="s">
        <v>5554</v>
      </c>
      <c r="K7816" s="112" t="s">
        <v>5556</v>
      </c>
      <c r="L7816" s="116">
        <v>10000</v>
      </c>
    </row>
    <row r="7817" spans="1:12" hidden="1" outlineLevel="1" collapsed="1" x14ac:dyDescent="0.35">
      <c r="A7817" s="112" t="s">
        <v>5553</v>
      </c>
      <c r="B7817" s="112" t="s">
        <v>927</v>
      </c>
      <c r="C7817" s="112" t="s">
        <v>1219</v>
      </c>
      <c r="D7817" s="113">
        <v>46307951</v>
      </c>
      <c r="E7817" s="115">
        <v>43924</v>
      </c>
      <c r="F7817" s="114">
        <v>202101</v>
      </c>
      <c r="G7817" s="112" t="s">
        <v>1091</v>
      </c>
      <c r="H7817" s="112" t="s">
        <v>1015</v>
      </c>
      <c r="I7817" s="112" t="s">
        <v>1605</v>
      </c>
      <c r="J7817" s="112" t="s">
        <v>5554</v>
      </c>
      <c r="K7817" s="112" t="s">
        <v>5555</v>
      </c>
      <c r="L7817" s="116">
        <v>25000</v>
      </c>
    </row>
    <row r="7818" spans="1:12" hidden="1" outlineLevel="1" collapsed="1" x14ac:dyDescent="0.35">
      <c r="A7818" s="112" t="s">
        <v>5553</v>
      </c>
      <c r="B7818" s="112" t="s">
        <v>927</v>
      </c>
      <c r="C7818" s="112" t="s">
        <v>1219</v>
      </c>
      <c r="D7818" s="113">
        <v>46307950</v>
      </c>
      <c r="E7818" s="115">
        <v>43924</v>
      </c>
      <c r="F7818" s="114">
        <v>202101</v>
      </c>
      <c r="G7818" s="112" t="s">
        <v>1091</v>
      </c>
      <c r="H7818" s="112" t="s">
        <v>1015</v>
      </c>
      <c r="I7818" s="112" t="s">
        <v>1605</v>
      </c>
      <c r="J7818" s="112" t="s">
        <v>5554</v>
      </c>
      <c r="K7818" s="112" t="s">
        <v>5555</v>
      </c>
      <c r="L7818" s="116">
        <v>25000</v>
      </c>
    </row>
    <row r="7819" spans="1:12" hidden="1" outlineLevel="1" collapsed="1" x14ac:dyDescent="0.35">
      <c r="A7819" s="112" t="s">
        <v>5553</v>
      </c>
      <c r="B7819" s="112" t="s">
        <v>927</v>
      </c>
      <c r="C7819" s="112" t="s">
        <v>1219</v>
      </c>
      <c r="D7819" s="113">
        <v>46307850</v>
      </c>
      <c r="E7819" s="115">
        <v>43945</v>
      </c>
      <c r="F7819" s="114">
        <v>202101</v>
      </c>
      <c r="G7819" s="112" t="s">
        <v>1091</v>
      </c>
      <c r="H7819" s="112" t="s">
        <v>1015</v>
      </c>
      <c r="I7819" s="112" t="s">
        <v>1605</v>
      </c>
      <c r="J7819" s="112" t="s">
        <v>5554</v>
      </c>
      <c r="K7819" s="112" t="s">
        <v>5556</v>
      </c>
      <c r="L7819" s="116">
        <v>10000</v>
      </c>
    </row>
    <row r="7820" spans="1:12" hidden="1" outlineLevel="1" collapsed="1" x14ac:dyDescent="0.35">
      <c r="A7820" s="112" t="s">
        <v>5553</v>
      </c>
      <c r="B7820" s="112" t="s">
        <v>927</v>
      </c>
      <c r="C7820" s="112" t="s">
        <v>1219</v>
      </c>
      <c r="D7820" s="113">
        <v>46307849</v>
      </c>
      <c r="E7820" s="115">
        <v>43945</v>
      </c>
      <c r="F7820" s="114">
        <v>202101</v>
      </c>
      <c r="G7820" s="112" t="s">
        <v>1091</v>
      </c>
      <c r="H7820" s="112" t="s">
        <v>1015</v>
      </c>
      <c r="I7820" s="112" t="s">
        <v>1605</v>
      </c>
      <c r="J7820" s="112" t="s">
        <v>5554</v>
      </c>
      <c r="K7820" s="112" t="s">
        <v>5555</v>
      </c>
      <c r="L7820" s="116">
        <v>25000</v>
      </c>
    </row>
    <row r="7821" spans="1:12" hidden="1" outlineLevel="1" collapsed="1" x14ac:dyDescent="0.35">
      <c r="A7821" s="112" t="s">
        <v>5553</v>
      </c>
      <c r="B7821" s="112" t="s">
        <v>927</v>
      </c>
      <c r="C7821" s="112" t="s">
        <v>1219</v>
      </c>
      <c r="D7821" s="113">
        <v>46307848</v>
      </c>
      <c r="E7821" s="115">
        <v>43945</v>
      </c>
      <c r="F7821" s="114">
        <v>202101</v>
      </c>
      <c r="G7821" s="112" t="s">
        <v>1091</v>
      </c>
      <c r="H7821" s="112" t="s">
        <v>1015</v>
      </c>
      <c r="I7821" s="112" t="s">
        <v>1605</v>
      </c>
      <c r="J7821" s="112" t="s">
        <v>5554</v>
      </c>
      <c r="K7821" s="112" t="s">
        <v>5556</v>
      </c>
      <c r="L7821" s="116">
        <v>10000</v>
      </c>
    </row>
    <row r="7822" spans="1:12" hidden="1" outlineLevel="1" collapsed="1" x14ac:dyDescent="0.35">
      <c r="A7822" s="112" t="s">
        <v>5553</v>
      </c>
      <c r="B7822" s="112" t="s">
        <v>927</v>
      </c>
      <c r="C7822" s="112" t="s">
        <v>1219</v>
      </c>
      <c r="D7822" s="113">
        <v>46307949</v>
      </c>
      <c r="E7822" s="115">
        <v>43924</v>
      </c>
      <c r="F7822" s="114">
        <v>202101</v>
      </c>
      <c r="G7822" s="112" t="s">
        <v>1091</v>
      </c>
      <c r="H7822" s="112" t="s">
        <v>1015</v>
      </c>
      <c r="I7822" s="112" t="s">
        <v>1605</v>
      </c>
      <c r="J7822" s="112" t="s">
        <v>5554</v>
      </c>
      <c r="K7822" s="112" t="s">
        <v>5555</v>
      </c>
      <c r="L7822" s="116">
        <v>25000</v>
      </c>
    </row>
    <row r="7823" spans="1:12" hidden="1" outlineLevel="1" collapsed="1" x14ac:dyDescent="0.35">
      <c r="A7823" s="112" t="s">
        <v>5553</v>
      </c>
      <c r="B7823" s="112" t="s">
        <v>927</v>
      </c>
      <c r="C7823" s="112" t="s">
        <v>1219</v>
      </c>
      <c r="D7823" s="113">
        <v>46307948</v>
      </c>
      <c r="E7823" s="115">
        <v>43924</v>
      </c>
      <c r="F7823" s="114">
        <v>202101</v>
      </c>
      <c r="G7823" s="112" t="s">
        <v>1091</v>
      </c>
      <c r="H7823" s="112" t="s">
        <v>1015</v>
      </c>
      <c r="I7823" s="112" t="s">
        <v>1605</v>
      </c>
      <c r="J7823" s="112" t="s">
        <v>5554</v>
      </c>
      <c r="K7823" s="112" t="s">
        <v>5555</v>
      </c>
      <c r="L7823" s="116">
        <v>25000</v>
      </c>
    </row>
    <row r="7824" spans="1:12" hidden="1" outlineLevel="1" collapsed="1" x14ac:dyDescent="0.35">
      <c r="A7824" s="112" t="s">
        <v>5553</v>
      </c>
      <c r="B7824" s="112" t="s">
        <v>927</v>
      </c>
      <c r="C7824" s="112" t="s">
        <v>1219</v>
      </c>
      <c r="D7824" s="113">
        <v>46307947</v>
      </c>
      <c r="E7824" s="115">
        <v>43924</v>
      </c>
      <c r="F7824" s="114">
        <v>202101</v>
      </c>
      <c r="G7824" s="112" t="s">
        <v>1091</v>
      </c>
      <c r="H7824" s="112" t="s">
        <v>1015</v>
      </c>
      <c r="I7824" s="112" t="s">
        <v>1605</v>
      </c>
      <c r="J7824" s="112" t="s">
        <v>5554</v>
      </c>
      <c r="K7824" s="112" t="s">
        <v>5555</v>
      </c>
      <c r="L7824" s="116">
        <v>10000</v>
      </c>
    </row>
    <row r="7825" spans="1:12" hidden="1" outlineLevel="1" collapsed="1" x14ac:dyDescent="0.35">
      <c r="A7825" s="112" t="s">
        <v>5553</v>
      </c>
      <c r="B7825" s="112" t="s">
        <v>927</v>
      </c>
      <c r="C7825" s="112" t="s">
        <v>1219</v>
      </c>
      <c r="D7825" s="113">
        <v>46307847</v>
      </c>
      <c r="E7825" s="115">
        <v>43945</v>
      </c>
      <c r="F7825" s="114">
        <v>202101</v>
      </c>
      <c r="G7825" s="112" t="s">
        <v>1091</v>
      </c>
      <c r="H7825" s="112" t="s">
        <v>1015</v>
      </c>
      <c r="I7825" s="112" t="s">
        <v>1605</v>
      </c>
      <c r="J7825" s="112" t="s">
        <v>5554</v>
      </c>
      <c r="K7825" s="112" t="s">
        <v>5556</v>
      </c>
      <c r="L7825" s="116">
        <v>10000</v>
      </c>
    </row>
    <row r="7826" spans="1:12" hidden="1" outlineLevel="1" collapsed="1" x14ac:dyDescent="0.35">
      <c r="A7826" s="112" t="s">
        <v>5553</v>
      </c>
      <c r="B7826" s="112" t="s">
        <v>927</v>
      </c>
      <c r="C7826" s="112" t="s">
        <v>1219</v>
      </c>
      <c r="D7826" s="113">
        <v>46307846</v>
      </c>
      <c r="E7826" s="115">
        <v>43945</v>
      </c>
      <c r="F7826" s="114">
        <v>202101</v>
      </c>
      <c r="G7826" s="112" t="s">
        <v>1091</v>
      </c>
      <c r="H7826" s="112" t="s">
        <v>1015</v>
      </c>
      <c r="I7826" s="112" t="s">
        <v>1605</v>
      </c>
      <c r="J7826" s="112" t="s">
        <v>5554</v>
      </c>
      <c r="K7826" s="112" t="s">
        <v>5556</v>
      </c>
      <c r="L7826" s="116">
        <v>10000</v>
      </c>
    </row>
    <row r="7827" spans="1:12" hidden="1" outlineLevel="1" collapsed="1" x14ac:dyDescent="0.35">
      <c r="A7827" s="112" t="s">
        <v>5553</v>
      </c>
      <c r="B7827" s="112" t="s">
        <v>927</v>
      </c>
      <c r="C7827" s="112" t="s">
        <v>1219</v>
      </c>
      <c r="D7827" s="113">
        <v>46307845</v>
      </c>
      <c r="E7827" s="115">
        <v>43945</v>
      </c>
      <c r="F7827" s="114">
        <v>202101</v>
      </c>
      <c r="G7827" s="112" t="s">
        <v>1091</v>
      </c>
      <c r="H7827" s="112" t="s">
        <v>1015</v>
      </c>
      <c r="I7827" s="112" t="s">
        <v>1605</v>
      </c>
      <c r="J7827" s="112" t="s">
        <v>5554</v>
      </c>
      <c r="K7827" s="112" t="s">
        <v>5556</v>
      </c>
      <c r="L7827" s="116">
        <v>10000</v>
      </c>
    </row>
    <row r="7828" spans="1:12" hidden="1" outlineLevel="1" collapsed="1" x14ac:dyDescent="0.35">
      <c r="A7828" s="112" t="s">
        <v>5553</v>
      </c>
      <c r="B7828" s="112" t="s">
        <v>927</v>
      </c>
      <c r="C7828" s="112" t="s">
        <v>1219</v>
      </c>
      <c r="D7828" s="113">
        <v>46307844</v>
      </c>
      <c r="E7828" s="115">
        <v>43945</v>
      </c>
      <c r="F7828" s="114">
        <v>202101</v>
      </c>
      <c r="G7828" s="112" t="s">
        <v>1091</v>
      </c>
      <c r="H7828" s="112" t="s">
        <v>1015</v>
      </c>
      <c r="I7828" s="112" t="s">
        <v>1605</v>
      </c>
      <c r="J7828" s="112" t="s">
        <v>5554</v>
      </c>
      <c r="K7828" s="112" t="s">
        <v>5555</v>
      </c>
      <c r="L7828" s="116">
        <v>25000</v>
      </c>
    </row>
    <row r="7829" spans="1:12" hidden="1" outlineLevel="1" collapsed="1" x14ac:dyDescent="0.35">
      <c r="A7829" s="112" t="s">
        <v>5553</v>
      </c>
      <c r="B7829" s="112" t="s">
        <v>927</v>
      </c>
      <c r="C7829" s="112" t="s">
        <v>1219</v>
      </c>
      <c r="D7829" s="113">
        <v>46307843</v>
      </c>
      <c r="E7829" s="115">
        <v>43945</v>
      </c>
      <c r="F7829" s="114">
        <v>202101</v>
      </c>
      <c r="G7829" s="112" t="s">
        <v>1091</v>
      </c>
      <c r="H7829" s="112" t="s">
        <v>1015</v>
      </c>
      <c r="I7829" s="112" t="s">
        <v>1605</v>
      </c>
      <c r="J7829" s="112" t="s">
        <v>5554</v>
      </c>
      <c r="K7829" s="112" t="s">
        <v>5556</v>
      </c>
      <c r="L7829" s="116">
        <v>10000</v>
      </c>
    </row>
    <row r="7830" spans="1:12" hidden="1" outlineLevel="1" collapsed="1" x14ac:dyDescent="0.35">
      <c r="A7830" s="112" t="s">
        <v>5553</v>
      </c>
      <c r="B7830" s="112" t="s">
        <v>927</v>
      </c>
      <c r="C7830" s="112" t="s">
        <v>1219</v>
      </c>
      <c r="D7830" s="113">
        <v>46307842</v>
      </c>
      <c r="E7830" s="115">
        <v>43945</v>
      </c>
      <c r="F7830" s="114">
        <v>202101</v>
      </c>
      <c r="G7830" s="112" t="s">
        <v>1091</v>
      </c>
      <c r="H7830" s="112" t="s">
        <v>1015</v>
      </c>
      <c r="I7830" s="112" t="s">
        <v>1605</v>
      </c>
      <c r="J7830" s="112" t="s">
        <v>5554</v>
      </c>
      <c r="K7830" s="112" t="s">
        <v>5555</v>
      </c>
      <c r="L7830" s="116">
        <v>25000</v>
      </c>
    </row>
    <row r="7831" spans="1:12" hidden="1" outlineLevel="1" collapsed="1" x14ac:dyDescent="0.35">
      <c r="A7831" s="112" t="s">
        <v>5553</v>
      </c>
      <c r="B7831" s="112" t="s">
        <v>927</v>
      </c>
      <c r="C7831" s="112" t="s">
        <v>1095</v>
      </c>
      <c r="D7831" s="113">
        <v>10348451</v>
      </c>
      <c r="E7831" s="115">
        <v>43949</v>
      </c>
      <c r="F7831" s="114">
        <v>202101</v>
      </c>
      <c r="G7831" s="112" t="s">
        <v>1091</v>
      </c>
      <c r="H7831" s="112" t="s">
        <v>1015</v>
      </c>
      <c r="I7831" s="112" t="s">
        <v>1096</v>
      </c>
      <c r="J7831" s="112" t="s">
        <v>5557</v>
      </c>
      <c r="K7831" s="112" t="s">
        <v>1098</v>
      </c>
      <c r="L7831" s="116">
        <v>262.10000000000002</v>
      </c>
    </row>
    <row r="7832" spans="1:12" hidden="1" outlineLevel="1" collapsed="1" x14ac:dyDescent="0.35">
      <c r="A7832" s="112" t="s">
        <v>5553</v>
      </c>
      <c r="B7832" s="112" t="s">
        <v>927</v>
      </c>
      <c r="C7832" s="112" t="s">
        <v>1095</v>
      </c>
      <c r="D7832" s="113">
        <v>10348451</v>
      </c>
      <c r="E7832" s="115">
        <v>43949</v>
      </c>
      <c r="F7832" s="114">
        <v>202101</v>
      </c>
      <c r="G7832" s="112" t="s">
        <v>1091</v>
      </c>
      <c r="H7832" s="112" t="s">
        <v>1015</v>
      </c>
      <c r="I7832" s="112" t="s">
        <v>1101</v>
      </c>
      <c r="J7832" s="112" t="s">
        <v>5557</v>
      </c>
      <c r="K7832" s="112" t="s">
        <v>1098</v>
      </c>
      <c r="L7832" s="116">
        <v>426.26</v>
      </c>
    </row>
    <row r="7833" spans="1:12" hidden="1" outlineLevel="1" collapsed="1" x14ac:dyDescent="0.35">
      <c r="A7833" s="112" t="s">
        <v>5553</v>
      </c>
      <c r="B7833" s="112" t="s">
        <v>927</v>
      </c>
      <c r="C7833" s="112" t="s">
        <v>1095</v>
      </c>
      <c r="D7833" s="113">
        <v>10348451</v>
      </c>
      <c r="E7833" s="115">
        <v>43949</v>
      </c>
      <c r="F7833" s="114">
        <v>202101</v>
      </c>
      <c r="G7833" s="112" t="s">
        <v>1091</v>
      </c>
      <c r="H7833" s="112" t="s">
        <v>1015</v>
      </c>
      <c r="I7833" s="112" t="s">
        <v>1096</v>
      </c>
      <c r="J7833" s="112" t="s">
        <v>5557</v>
      </c>
      <c r="K7833" s="112" t="s">
        <v>1098</v>
      </c>
      <c r="L7833" s="116">
        <v>222.42</v>
      </c>
    </row>
    <row r="7834" spans="1:12" hidden="1" outlineLevel="1" collapsed="1" x14ac:dyDescent="0.35">
      <c r="A7834" s="112" t="s">
        <v>5553</v>
      </c>
      <c r="B7834" s="112" t="s">
        <v>5561</v>
      </c>
      <c r="C7834" s="112" t="s">
        <v>1095</v>
      </c>
      <c r="D7834" s="113">
        <v>10348451</v>
      </c>
      <c r="E7834" s="115">
        <v>43949</v>
      </c>
      <c r="F7834" s="114">
        <v>202101</v>
      </c>
      <c r="G7834" s="112" t="s">
        <v>1091</v>
      </c>
      <c r="H7834" s="112" t="s">
        <v>1015</v>
      </c>
      <c r="I7834" s="112" t="s">
        <v>1096</v>
      </c>
      <c r="J7834" s="112" t="s">
        <v>5562</v>
      </c>
      <c r="K7834" s="112" t="s">
        <v>1098</v>
      </c>
      <c r="L7834" s="116">
        <v>262.10000000000002</v>
      </c>
    </row>
    <row r="7835" spans="1:12" hidden="1" outlineLevel="1" collapsed="1" x14ac:dyDescent="0.35">
      <c r="A7835" s="112" t="s">
        <v>5553</v>
      </c>
      <c r="B7835" s="112" t="s">
        <v>928</v>
      </c>
      <c r="C7835" s="112" t="s">
        <v>1095</v>
      </c>
      <c r="D7835" s="113">
        <v>10348451</v>
      </c>
      <c r="E7835" s="115">
        <v>43949</v>
      </c>
      <c r="F7835" s="114">
        <v>202101</v>
      </c>
      <c r="G7835" s="112" t="s">
        <v>1091</v>
      </c>
      <c r="H7835" s="112" t="s">
        <v>1015</v>
      </c>
      <c r="I7835" s="112" t="s">
        <v>1101</v>
      </c>
      <c r="J7835" s="112" t="s">
        <v>5565</v>
      </c>
      <c r="K7835" s="112" t="s">
        <v>1098</v>
      </c>
      <c r="L7835" s="116">
        <v>366.04</v>
      </c>
    </row>
    <row r="7836" spans="1:12" hidden="1" outlineLevel="1" collapsed="1" x14ac:dyDescent="0.35">
      <c r="A7836" s="112" t="s">
        <v>5553</v>
      </c>
      <c r="B7836" s="112" t="s">
        <v>927</v>
      </c>
      <c r="C7836" s="112" t="s">
        <v>1219</v>
      </c>
      <c r="D7836" s="113">
        <v>46307909</v>
      </c>
      <c r="E7836" s="115">
        <v>43948</v>
      </c>
      <c r="F7836" s="114">
        <v>202101</v>
      </c>
      <c r="G7836" s="112" t="s">
        <v>1091</v>
      </c>
      <c r="H7836" s="112" t="s">
        <v>1015</v>
      </c>
      <c r="I7836" s="112" t="s">
        <v>1605</v>
      </c>
      <c r="J7836" s="112" t="s">
        <v>5554</v>
      </c>
      <c r="K7836" s="112" t="s">
        <v>5556</v>
      </c>
      <c r="L7836" s="116">
        <v>10000</v>
      </c>
    </row>
    <row r="7837" spans="1:12" hidden="1" outlineLevel="1" collapsed="1" x14ac:dyDescent="0.35">
      <c r="A7837" s="112" t="s">
        <v>5553</v>
      </c>
      <c r="B7837" s="112" t="s">
        <v>927</v>
      </c>
      <c r="C7837" s="112" t="s">
        <v>1219</v>
      </c>
      <c r="D7837" s="113">
        <v>46307819</v>
      </c>
      <c r="E7837" s="115">
        <v>43945</v>
      </c>
      <c r="F7837" s="114">
        <v>202101</v>
      </c>
      <c r="G7837" s="112" t="s">
        <v>1091</v>
      </c>
      <c r="H7837" s="112" t="s">
        <v>1015</v>
      </c>
      <c r="I7837" s="112" t="s">
        <v>1605</v>
      </c>
      <c r="J7837" s="112" t="s">
        <v>5554</v>
      </c>
      <c r="K7837" s="112" t="s">
        <v>5556</v>
      </c>
      <c r="L7837" s="116">
        <v>10000</v>
      </c>
    </row>
    <row r="7838" spans="1:12" hidden="1" outlineLevel="1" collapsed="1" x14ac:dyDescent="0.35">
      <c r="A7838" s="112" t="s">
        <v>5553</v>
      </c>
      <c r="B7838" s="112" t="s">
        <v>927</v>
      </c>
      <c r="C7838" s="112" t="s">
        <v>1219</v>
      </c>
      <c r="D7838" s="113">
        <v>46307782</v>
      </c>
      <c r="E7838" s="115">
        <v>43944</v>
      </c>
      <c r="F7838" s="114">
        <v>202101</v>
      </c>
      <c r="G7838" s="112" t="s">
        <v>1091</v>
      </c>
      <c r="H7838" s="112" t="s">
        <v>1015</v>
      </c>
      <c r="I7838" s="112" t="s">
        <v>1605</v>
      </c>
      <c r="J7838" s="112" t="s">
        <v>5554</v>
      </c>
      <c r="K7838" s="112" t="s">
        <v>5555</v>
      </c>
      <c r="L7838" s="116">
        <v>25000</v>
      </c>
    </row>
    <row r="7839" spans="1:12" hidden="1" outlineLevel="1" collapsed="1" x14ac:dyDescent="0.35">
      <c r="A7839" s="112" t="s">
        <v>5553</v>
      </c>
      <c r="B7839" s="112" t="s">
        <v>927</v>
      </c>
      <c r="C7839" s="112" t="s">
        <v>1219</v>
      </c>
      <c r="D7839" s="113">
        <v>46307867</v>
      </c>
      <c r="E7839" s="115">
        <v>43948</v>
      </c>
      <c r="F7839" s="114">
        <v>202101</v>
      </c>
      <c r="G7839" s="112" t="s">
        <v>1091</v>
      </c>
      <c r="H7839" s="112" t="s">
        <v>1015</v>
      </c>
      <c r="I7839" s="112" t="s">
        <v>1605</v>
      </c>
      <c r="J7839" s="112" t="s">
        <v>5554</v>
      </c>
      <c r="K7839" s="112" t="s">
        <v>5555</v>
      </c>
      <c r="L7839" s="116">
        <v>25000</v>
      </c>
    </row>
    <row r="7840" spans="1:12" hidden="1" outlineLevel="1" collapsed="1" x14ac:dyDescent="0.35">
      <c r="A7840" s="112" t="s">
        <v>5553</v>
      </c>
      <c r="B7840" s="112" t="s">
        <v>927</v>
      </c>
      <c r="C7840" s="112" t="s">
        <v>1219</v>
      </c>
      <c r="D7840" s="113">
        <v>46307866</v>
      </c>
      <c r="E7840" s="115">
        <v>43948</v>
      </c>
      <c r="F7840" s="114">
        <v>202101</v>
      </c>
      <c r="G7840" s="112" t="s">
        <v>1091</v>
      </c>
      <c r="H7840" s="112" t="s">
        <v>1015</v>
      </c>
      <c r="I7840" s="112" t="s">
        <v>1605</v>
      </c>
      <c r="J7840" s="112" t="s">
        <v>5554</v>
      </c>
      <c r="K7840" s="112" t="s">
        <v>5555</v>
      </c>
      <c r="L7840" s="116">
        <v>10000</v>
      </c>
    </row>
    <row r="7841" spans="1:12" hidden="1" outlineLevel="1" collapsed="1" x14ac:dyDescent="0.35">
      <c r="A7841" s="112" t="s">
        <v>5553</v>
      </c>
      <c r="B7841" s="112" t="s">
        <v>927</v>
      </c>
      <c r="C7841" s="112" t="s">
        <v>1219</v>
      </c>
      <c r="D7841" s="113">
        <v>46307865</v>
      </c>
      <c r="E7841" s="115">
        <v>43948</v>
      </c>
      <c r="F7841" s="114">
        <v>202101</v>
      </c>
      <c r="G7841" s="112" t="s">
        <v>1091</v>
      </c>
      <c r="H7841" s="112" t="s">
        <v>1015</v>
      </c>
      <c r="I7841" s="112" t="s">
        <v>1605</v>
      </c>
      <c r="J7841" s="112" t="s">
        <v>5554</v>
      </c>
      <c r="K7841" s="112" t="s">
        <v>5555</v>
      </c>
      <c r="L7841" s="116">
        <v>25000</v>
      </c>
    </row>
    <row r="7842" spans="1:12" hidden="1" outlineLevel="1" collapsed="1" x14ac:dyDescent="0.35">
      <c r="A7842" s="112" t="s">
        <v>5553</v>
      </c>
      <c r="B7842" s="112" t="s">
        <v>927</v>
      </c>
      <c r="C7842" s="112" t="s">
        <v>1219</v>
      </c>
      <c r="D7842" s="113">
        <v>46307799</v>
      </c>
      <c r="E7842" s="115">
        <v>43944</v>
      </c>
      <c r="F7842" s="114">
        <v>202101</v>
      </c>
      <c r="G7842" s="112" t="s">
        <v>1091</v>
      </c>
      <c r="H7842" s="112" t="s">
        <v>1015</v>
      </c>
      <c r="I7842" s="112" t="s">
        <v>1605</v>
      </c>
      <c r="J7842" s="112" t="s">
        <v>5554</v>
      </c>
      <c r="K7842" s="112" t="s">
        <v>5556</v>
      </c>
      <c r="L7842" s="116">
        <v>10000</v>
      </c>
    </row>
    <row r="7843" spans="1:12" hidden="1" outlineLevel="1" collapsed="1" x14ac:dyDescent="0.35">
      <c r="A7843" s="112" t="s">
        <v>5553</v>
      </c>
      <c r="B7843" s="112" t="s">
        <v>927</v>
      </c>
      <c r="C7843" s="112" t="s">
        <v>1219</v>
      </c>
      <c r="D7843" s="113">
        <v>46307798</v>
      </c>
      <c r="E7843" s="115">
        <v>43944</v>
      </c>
      <c r="F7843" s="114">
        <v>202101</v>
      </c>
      <c r="G7843" s="112" t="s">
        <v>1091</v>
      </c>
      <c r="H7843" s="112" t="s">
        <v>1015</v>
      </c>
      <c r="I7843" s="112" t="s">
        <v>1605</v>
      </c>
      <c r="J7843" s="112" t="s">
        <v>5554</v>
      </c>
      <c r="K7843" s="112" t="s">
        <v>5555</v>
      </c>
      <c r="L7843" s="116">
        <v>25000</v>
      </c>
    </row>
    <row r="7844" spans="1:12" hidden="1" outlineLevel="1" collapsed="1" x14ac:dyDescent="0.35">
      <c r="A7844" s="112" t="s">
        <v>5553</v>
      </c>
      <c r="B7844" s="112" t="s">
        <v>927</v>
      </c>
      <c r="C7844" s="112" t="s">
        <v>1219</v>
      </c>
      <c r="D7844" s="113">
        <v>46307797</v>
      </c>
      <c r="E7844" s="115">
        <v>43944</v>
      </c>
      <c r="F7844" s="114">
        <v>202101</v>
      </c>
      <c r="G7844" s="112" t="s">
        <v>1091</v>
      </c>
      <c r="H7844" s="112" t="s">
        <v>1015</v>
      </c>
      <c r="I7844" s="112" t="s">
        <v>1605</v>
      </c>
      <c r="J7844" s="112" t="s">
        <v>5554</v>
      </c>
      <c r="K7844" s="112" t="s">
        <v>5556</v>
      </c>
      <c r="L7844" s="116">
        <v>10000</v>
      </c>
    </row>
    <row r="7845" spans="1:12" hidden="1" outlineLevel="1" collapsed="1" x14ac:dyDescent="0.35">
      <c r="A7845" s="112" t="s">
        <v>5553</v>
      </c>
      <c r="B7845" s="112" t="s">
        <v>927</v>
      </c>
      <c r="C7845" s="112" t="s">
        <v>1219</v>
      </c>
      <c r="D7845" s="113">
        <v>46307796</v>
      </c>
      <c r="E7845" s="115">
        <v>43944</v>
      </c>
      <c r="F7845" s="114">
        <v>202101</v>
      </c>
      <c r="G7845" s="112" t="s">
        <v>1091</v>
      </c>
      <c r="H7845" s="112" t="s">
        <v>1015</v>
      </c>
      <c r="I7845" s="112" t="s">
        <v>1605</v>
      </c>
      <c r="J7845" s="112" t="s">
        <v>5554</v>
      </c>
      <c r="K7845" s="112" t="s">
        <v>5556</v>
      </c>
      <c r="L7845" s="116">
        <v>10000</v>
      </c>
    </row>
    <row r="7846" spans="1:12" hidden="1" outlineLevel="1" collapsed="1" x14ac:dyDescent="0.35">
      <c r="A7846" s="112" t="s">
        <v>5553</v>
      </c>
      <c r="B7846" s="112" t="s">
        <v>927</v>
      </c>
      <c r="C7846" s="112" t="s">
        <v>1219</v>
      </c>
      <c r="D7846" s="113">
        <v>46307795</v>
      </c>
      <c r="E7846" s="115">
        <v>43944</v>
      </c>
      <c r="F7846" s="114">
        <v>202101</v>
      </c>
      <c r="G7846" s="112" t="s">
        <v>1091</v>
      </c>
      <c r="H7846" s="112" t="s">
        <v>1015</v>
      </c>
      <c r="I7846" s="112" t="s">
        <v>1605</v>
      </c>
      <c r="J7846" s="112" t="s">
        <v>5554</v>
      </c>
      <c r="K7846" s="112" t="s">
        <v>5555</v>
      </c>
      <c r="L7846" s="116">
        <v>25000</v>
      </c>
    </row>
    <row r="7847" spans="1:12" hidden="1" outlineLevel="1" collapsed="1" x14ac:dyDescent="0.35">
      <c r="A7847" s="112" t="s">
        <v>5553</v>
      </c>
      <c r="B7847" s="112" t="s">
        <v>927</v>
      </c>
      <c r="C7847" s="112" t="s">
        <v>1219</v>
      </c>
      <c r="D7847" s="113">
        <v>46307794</v>
      </c>
      <c r="E7847" s="115">
        <v>43944</v>
      </c>
      <c r="F7847" s="114">
        <v>202101</v>
      </c>
      <c r="G7847" s="112" t="s">
        <v>1091</v>
      </c>
      <c r="H7847" s="112" t="s">
        <v>1015</v>
      </c>
      <c r="I7847" s="112" t="s">
        <v>1605</v>
      </c>
      <c r="J7847" s="112" t="s">
        <v>5554</v>
      </c>
      <c r="K7847" s="112" t="s">
        <v>5555</v>
      </c>
      <c r="L7847" s="116">
        <v>25000</v>
      </c>
    </row>
    <row r="7848" spans="1:12" hidden="1" outlineLevel="1" collapsed="1" x14ac:dyDescent="0.35">
      <c r="A7848" s="112" t="s">
        <v>5553</v>
      </c>
      <c r="B7848" s="112" t="s">
        <v>927</v>
      </c>
      <c r="C7848" s="112" t="s">
        <v>1219</v>
      </c>
      <c r="D7848" s="113">
        <v>46307793</v>
      </c>
      <c r="E7848" s="115">
        <v>43944</v>
      </c>
      <c r="F7848" s="114">
        <v>202101</v>
      </c>
      <c r="G7848" s="112" t="s">
        <v>1091</v>
      </c>
      <c r="H7848" s="112" t="s">
        <v>1015</v>
      </c>
      <c r="I7848" s="112" t="s">
        <v>1605</v>
      </c>
      <c r="J7848" s="112" t="s">
        <v>5554</v>
      </c>
      <c r="K7848" s="112" t="s">
        <v>5555</v>
      </c>
      <c r="L7848" s="116">
        <v>10000</v>
      </c>
    </row>
    <row r="7849" spans="1:12" hidden="1" outlineLevel="1" collapsed="1" x14ac:dyDescent="0.35">
      <c r="A7849" s="112" t="s">
        <v>5553</v>
      </c>
      <c r="B7849" s="112" t="s">
        <v>927</v>
      </c>
      <c r="C7849" s="112" t="s">
        <v>1219</v>
      </c>
      <c r="D7849" s="113">
        <v>46307792</v>
      </c>
      <c r="E7849" s="115">
        <v>43944</v>
      </c>
      <c r="F7849" s="114">
        <v>202101</v>
      </c>
      <c r="G7849" s="112" t="s">
        <v>1091</v>
      </c>
      <c r="H7849" s="112" t="s">
        <v>1015</v>
      </c>
      <c r="I7849" s="112" t="s">
        <v>1605</v>
      </c>
      <c r="J7849" s="112" t="s">
        <v>5554</v>
      </c>
      <c r="K7849" s="112" t="s">
        <v>5556</v>
      </c>
      <c r="L7849" s="116">
        <v>10000</v>
      </c>
    </row>
    <row r="7850" spans="1:12" hidden="1" outlineLevel="1" collapsed="1" x14ac:dyDescent="0.35">
      <c r="A7850" s="112" t="s">
        <v>5553</v>
      </c>
      <c r="B7850" s="112" t="s">
        <v>927</v>
      </c>
      <c r="C7850" s="112" t="s">
        <v>1219</v>
      </c>
      <c r="D7850" s="113">
        <v>46307791</v>
      </c>
      <c r="E7850" s="115">
        <v>43944</v>
      </c>
      <c r="F7850" s="114">
        <v>202101</v>
      </c>
      <c r="G7850" s="112" t="s">
        <v>1091</v>
      </c>
      <c r="H7850" s="112" t="s">
        <v>1015</v>
      </c>
      <c r="I7850" s="112" t="s">
        <v>1605</v>
      </c>
      <c r="J7850" s="112" t="s">
        <v>5554</v>
      </c>
      <c r="K7850" s="112" t="s">
        <v>5556</v>
      </c>
      <c r="L7850" s="116">
        <v>10000</v>
      </c>
    </row>
    <row r="7851" spans="1:12" hidden="1" outlineLevel="1" collapsed="1" x14ac:dyDescent="0.35">
      <c r="A7851" s="112" t="s">
        <v>5553</v>
      </c>
      <c r="B7851" s="112" t="s">
        <v>925</v>
      </c>
      <c r="C7851" s="112" t="s">
        <v>695</v>
      </c>
      <c r="D7851" s="113">
        <v>10347981</v>
      </c>
      <c r="E7851" s="115">
        <v>43924</v>
      </c>
      <c r="F7851" s="114">
        <v>202101</v>
      </c>
      <c r="G7851" s="112" t="s">
        <v>1091</v>
      </c>
      <c r="H7851" s="112" t="s">
        <v>1015</v>
      </c>
      <c r="I7851" s="112" t="s">
        <v>736</v>
      </c>
      <c r="J7851" s="112" t="s">
        <v>5559</v>
      </c>
      <c r="K7851" s="112" t="s">
        <v>5612</v>
      </c>
      <c r="L7851" s="116">
        <v>-287.25</v>
      </c>
    </row>
    <row r="7852" spans="1:12" hidden="1" outlineLevel="1" collapsed="1" x14ac:dyDescent="0.35">
      <c r="A7852" s="112" t="s">
        <v>5553</v>
      </c>
      <c r="B7852" s="112" t="s">
        <v>927</v>
      </c>
      <c r="C7852" s="112" t="s">
        <v>1219</v>
      </c>
      <c r="D7852" s="113">
        <v>46307790</v>
      </c>
      <c r="E7852" s="115">
        <v>43944</v>
      </c>
      <c r="F7852" s="114">
        <v>202101</v>
      </c>
      <c r="G7852" s="112" t="s">
        <v>1091</v>
      </c>
      <c r="H7852" s="112" t="s">
        <v>1015</v>
      </c>
      <c r="I7852" s="112" t="s">
        <v>1605</v>
      </c>
      <c r="J7852" s="112" t="s">
        <v>5554</v>
      </c>
      <c r="K7852" s="112" t="s">
        <v>5556</v>
      </c>
      <c r="L7852" s="116">
        <v>10000</v>
      </c>
    </row>
    <row r="7853" spans="1:12" hidden="1" outlineLevel="1" collapsed="1" x14ac:dyDescent="0.35">
      <c r="A7853" s="112" t="s">
        <v>5553</v>
      </c>
      <c r="B7853" s="112" t="s">
        <v>925</v>
      </c>
      <c r="C7853" s="112" t="s">
        <v>695</v>
      </c>
      <c r="D7853" s="113">
        <v>10347981</v>
      </c>
      <c r="E7853" s="115">
        <v>43924</v>
      </c>
      <c r="F7853" s="114">
        <v>202101</v>
      </c>
      <c r="G7853" s="112" t="s">
        <v>1091</v>
      </c>
      <c r="H7853" s="112" t="s">
        <v>1015</v>
      </c>
      <c r="I7853" s="112" t="s">
        <v>736</v>
      </c>
      <c r="J7853" s="112" t="s">
        <v>5559</v>
      </c>
      <c r="K7853" s="112" t="s">
        <v>5613</v>
      </c>
      <c r="L7853" s="116">
        <v>-489.1</v>
      </c>
    </row>
    <row r="7854" spans="1:12" hidden="1" outlineLevel="1" collapsed="1" x14ac:dyDescent="0.35">
      <c r="A7854" s="112" t="s">
        <v>5553</v>
      </c>
      <c r="B7854" s="112" t="s">
        <v>927</v>
      </c>
      <c r="C7854" s="112" t="s">
        <v>1219</v>
      </c>
      <c r="D7854" s="113">
        <v>46307789</v>
      </c>
      <c r="E7854" s="115">
        <v>43944</v>
      </c>
      <c r="F7854" s="114">
        <v>202101</v>
      </c>
      <c r="G7854" s="112" t="s">
        <v>1091</v>
      </c>
      <c r="H7854" s="112" t="s">
        <v>1015</v>
      </c>
      <c r="I7854" s="112" t="s">
        <v>1605</v>
      </c>
      <c r="J7854" s="112" t="s">
        <v>5554</v>
      </c>
      <c r="K7854" s="112" t="s">
        <v>5555</v>
      </c>
      <c r="L7854" s="116">
        <v>25000</v>
      </c>
    </row>
    <row r="7855" spans="1:12" hidden="1" outlineLevel="1" collapsed="1" x14ac:dyDescent="0.35">
      <c r="A7855" s="112" t="s">
        <v>5553</v>
      </c>
      <c r="B7855" s="112" t="s">
        <v>925</v>
      </c>
      <c r="C7855" s="112" t="s">
        <v>1095</v>
      </c>
      <c r="D7855" s="113">
        <v>10348451</v>
      </c>
      <c r="E7855" s="115">
        <v>43949</v>
      </c>
      <c r="F7855" s="114">
        <v>202101</v>
      </c>
      <c r="G7855" s="112" t="s">
        <v>1091</v>
      </c>
      <c r="H7855" s="112" t="s">
        <v>1015</v>
      </c>
      <c r="I7855" s="112" t="s">
        <v>1544</v>
      </c>
      <c r="J7855" s="112" t="s">
        <v>5559</v>
      </c>
      <c r="K7855" s="112" t="s">
        <v>1098</v>
      </c>
      <c r="L7855" s="116">
        <v>144.9</v>
      </c>
    </row>
    <row r="7856" spans="1:12" hidden="1" outlineLevel="1" collapsed="1" x14ac:dyDescent="0.35">
      <c r="A7856" s="112" t="s">
        <v>5553</v>
      </c>
      <c r="B7856" s="112" t="s">
        <v>927</v>
      </c>
      <c r="C7856" s="112" t="s">
        <v>1219</v>
      </c>
      <c r="D7856" s="113">
        <v>46307788</v>
      </c>
      <c r="E7856" s="115">
        <v>43944</v>
      </c>
      <c r="F7856" s="114">
        <v>202101</v>
      </c>
      <c r="G7856" s="112" t="s">
        <v>1091</v>
      </c>
      <c r="H7856" s="112" t="s">
        <v>1015</v>
      </c>
      <c r="I7856" s="112" t="s">
        <v>1605</v>
      </c>
      <c r="J7856" s="112" t="s">
        <v>5554</v>
      </c>
      <c r="K7856" s="112" t="s">
        <v>5555</v>
      </c>
      <c r="L7856" s="116">
        <v>25000</v>
      </c>
    </row>
    <row r="7857" spans="1:12" hidden="1" outlineLevel="1" collapsed="1" x14ac:dyDescent="0.35">
      <c r="A7857" s="112" t="s">
        <v>5553</v>
      </c>
      <c r="B7857" s="112" t="s">
        <v>927</v>
      </c>
      <c r="C7857" s="112" t="s">
        <v>1219</v>
      </c>
      <c r="D7857" s="113">
        <v>46307787</v>
      </c>
      <c r="E7857" s="115">
        <v>43944</v>
      </c>
      <c r="F7857" s="114">
        <v>202101</v>
      </c>
      <c r="G7857" s="112" t="s">
        <v>1091</v>
      </c>
      <c r="H7857" s="112" t="s">
        <v>1015</v>
      </c>
      <c r="I7857" s="112" t="s">
        <v>1605</v>
      </c>
      <c r="J7857" s="112" t="s">
        <v>5554</v>
      </c>
      <c r="K7857" s="112" t="s">
        <v>5555</v>
      </c>
      <c r="L7857" s="116">
        <v>25000</v>
      </c>
    </row>
    <row r="7858" spans="1:12" hidden="1" outlineLevel="1" collapsed="1" x14ac:dyDescent="0.35">
      <c r="A7858" s="112" t="s">
        <v>5553</v>
      </c>
      <c r="B7858" s="112" t="s">
        <v>927</v>
      </c>
      <c r="C7858" s="112" t="s">
        <v>1219</v>
      </c>
      <c r="D7858" s="113">
        <v>46307786</v>
      </c>
      <c r="E7858" s="115">
        <v>43944</v>
      </c>
      <c r="F7858" s="114">
        <v>202101</v>
      </c>
      <c r="G7858" s="112" t="s">
        <v>1091</v>
      </c>
      <c r="H7858" s="112" t="s">
        <v>1015</v>
      </c>
      <c r="I7858" s="112" t="s">
        <v>1605</v>
      </c>
      <c r="J7858" s="112" t="s">
        <v>5554</v>
      </c>
      <c r="K7858" s="112" t="s">
        <v>5555</v>
      </c>
      <c r="L7858" s="116">
        <v>25000</v>
      </c>
    </row>
    <row r="7859" spans="1:12" hidden="1" outlineLevel="1" collapsed="1" x14ac:dyDescent="0.35">
      <c r="A7859" s="112" t="s">
        <v>5553</v>
      </c>
      <c r="B7859" s="112" t="s">
        <v>925</v>
      </c>
      <c r="C7859" s="112" t="s">
        <v>1095</v>
      </c>
      <c r="D7859" s="113">
        <v>10348451</v>
      </c>
      <c r="E7859" s="115">
        <v>43949</v>
      </c>
      <c r="F7859" s="114">
        <v>202101</v>
      </c>
      <c r="G7859" s="112" t="s">
        <v>1091</v>
      </c>
      <c r="H7859" s="112" t="s">
        <v>1015</v>
      </c>
      <c r="I7859" s="112" t="s">
        <v>1516</v>
      </c>
      <c r="J7859" s="112" t="s">
        <v>5559</v>
      </c>
      <c r="K7859" s="112" t="s">
        <v>1098</v>
      </c>
      <c r="L7859" s="116">
        <v>14.2</v>
      </c>
    </row>
    <row r="7860" spans="1:12" hidden="1" outlineLevel="1" collapsed="1" x14ac:dyDescent="0.35">
      <c r="A7860" s="112" t="s">
        <v>5553</v>
      </c>
      <c r="B7860" s="112" t="s">
        <v>925</v>
      </c>
      <c r="C7860" s="112" t="s">
        <v>1095</v>
      </c>
      <c r="D7860" s="113">
        <v>10348451</v>
      </c>
      <c r="E7860" s="115">
        <v>43949</v>
      </c>
      <c r="F7860" s="114">
        <v>202101</v>
      </c>
      <c r="G7860" s="112" t="s">
        <v>1091</v>
      </c>
      <c r="H7860" s="112" t="s">
        <v>1015</v>
      </c>
      <c r="I7860" s="112" t="s">
        <v>1399</v>
      </c>
      <c r="J7860" s="112" t="s">
        <v>5559</v>
      </c>
      <c r="K7860" s="112" t="s">
        <v>1098</v>
      </c>
      <c r="L7860" s="116">
        <v>83.4</v>
      </c>
    </row>
    <row r="7861" spans="1:12" hidden="1" outlineLevel="1" collapsed="1" x14ac:dyDescent="0.35">
      <c r="A7861" s="112" t="s">
        <v>5553</v>
      </c>
      <c r="B7861" s="112" t="s">
        <v>927</v>
      </c>
      <c r="C7861" s="112" t="s">
        <v>1219</v>
      </c>
      <c r="D7861" s="113">
        <v>46307785</v>
      </c>
      <c r="E7861" s="115">
        <v>43944</v>
      </c>
      <c r="F7861" s="114">
        <v>202101</v>
      </c>
      <c r="G7861" s="112" t="s">
        <v>1091</v>
      </c>
      <c r="H7861" s="112" t="s">
        <v>1015</v>
      </c>
      <c r="I7861" s="112" t="s">
        <v>1605</v>
      </c>
      <c r="J7861" s="112" t="s">
        <v>5554</v>
      </c>
      <c r="K7861" s="112" t="s">
        <v>5556</v>
      </c>
      <c r="L7861" s="116">
        <v>10000</v>
      </c>
    </row>
    <row r="7862" spans="1:12" hidden="1" outlineLevel="1" collapsed="1" x14ac:dyDescent="0.35">
      <c r="A7862" s="112" t="s">
        <v>5553</v>
      </c>
      <c r="B7862" s="112" t="s">
        <v>927</v>
      </c>
      <c r="C7862" s="112" t="s">
        <v>1219</v>
      </c>
      <c r="D7862" s="113">
        <v>46307784</v>
      </c>
      <c r="E7862" s="115">
        <v>43944</v>
      </c>
      <c r="F7862" s="114">
        <v>202101</v>
      </c>
      <c r="G7862" s="112" t="s">
        <v>1091</v>
      </c>
      <c r="H7862" s="112" t="s">
        <v>1015</v>
      </c>
      <c r="I7862" s="112" t="s">
        <v>1605</v>
      </c>
      <c r="J7862" s="112" t="s">
        <v>5554</v>
      </c>
      <c r="K7862" s="112" t="s">
        <v>5555</v>
      </c>
      <c r="L7862" s="116">
        <v>25000</v>
      </c>
    </row>
    <row r="7863" spans="1:12" hidden="1" outlineLevel="1" collapsed="1" x14ac:dyDescent="0.35">
      <c r="A7863" s="112" t="s">
        <v>5553</v>
      </c>
      <c r="B7863" s="112" t="s">
        <v>927</v>
      </c>
      <c r="C7863" s="112" t="s">
        <v>1219</v>
      </c>
      <c r="D7863" s="113">
        <v>46307783</v>
      </c>
      <c r="E7863" s="115">
        <v>43944</v>
      </c>
      <c r="F7863" s="114">
        <v>202101</v>
      </c>
      <c r="G7863" s="112" t="s">
        <v>1091</v>
      </c>
      <c r="H7863" s="112" t="s">
        <v>1015</v>
      </c>
      <c r="I7863" s="112" t="s">
        <v>1605</v>
      </c>
      <c r="J7863" s="112" t="s">
        <v>5554</v>
      </c>
      <c r="K7863" s="112" t="s">
        <v>5556</v>
      </c>
      <c r="L7863" s="116">
        <v>10000</v>
      </c>
    </row>
    <row r="7864" spans="1:12" hidden="1" outlineLevel="1" collapsed="1" x14ac:dyDescent="0.35">
      <c r="A7864" s="112" t="s">
        <v>5553</v>
      </c>
      <c r="B7864" s="112" t="s">
        <v>927</v>
      </c>
      <c r="C7864" s="112" t="s">
        <v>1219</v>
      </c>
      <c r="D7864" s="113">
        <v>46307868</v>
      </c>
      <c r="E7864" s="115">
        <v>43948</v>
      </c>
      <c r="F7864" s="114">
        <v>202101</v>
      </c>
      <c r="G7864" s="112" t="s">
        <v>1091</v>
      </c>
      <c r="H7864" s="112" t="s">
        <v>1015</v>
      </c>
      <c r="I7864" s="112" t="s">
        <v>1605</v>
      </c>
      <c r="J7864" s="112" t="s">
        <v>5554</v>
      </c>
      <c r="K7864" s="112" t="s">
        <v>5556</v>
      </c>
      <c r="L7864" s="116">
        <v>10000</v>
      </c>
    </row>
    <row r="7865" spans="1:12" hidden="1" outlineLevel="1" collapsed="1" x14ac:dyDescent="0.35">
      <c r="A7865" s="112" t="s">
        <v>5553</v>
      </c>
      <c r="B7865" s="112" t="s">
        <v>927</v>
      </c>
      <c r="C7865" s="112" t="s">
        <v>1219</v>
      </c>
      <c r="D7865" s="113">
        <v>46307781</v>
      </c>
      <c r="E7865" s="115">
        <v>43944</v>
      </c>
      <c r="F7865" s="114">
        <v>202101</v>
      </c>
      <c r="G7865" s="112" t="s">
        <v>1091</v>
      </c>
      <c r="H7865" s="112" t="s">
        <v>1015</v>
      </c>
      <c r="I7865" s="112" t="s">
        <v>1605</v>
      </c>
      <c r="J7865" s="112" t="s">
        <v>5554</v>
      </c>
      <c r="K7865" s="112" t="s">
        <v>5555</v>
      </c>
      <c r="L7865" s="116">
        <v>25000</v>
      </c>
    </row>
    <row r="7866" spans="1:12" hidden="1" outlineLevel="1" collapsed="1" x14ac:dyDescent="0.35">
      <c r="A7866" s="112" t="s">
        <v>5553</v>
      </c>
      <c r="B7866" s="112" t="s">
        <v>927</v>
      </c>
      <c r="C7866" s="112" t="s">
        <v>1219</v>
      </c>
      <c r="D7866" s="113">
        <v>46307780</v>
      </c>
      <c r="E7866" s="115">
        <v>43944</v>
      </c>
      <c r="F7866" s="114">
        <v>202101</v>
      </c>
      <c r="G7866" s="112" t="s">
        <v>1091</v>
      </c>
      <c r="H7866" s="112" t="s">
        <v>1015</v>
      </c>
      <c r="I7866" s="112" t="s">
        <v>1605</v>
      </c>
      <c r="J7866" s="112" t="s">
        <v>5554</v>
      </c>
      <c r="K7866" s="112" t="s">
        <v>5556</v>
      </c>
      <c r="L7866" s="116">
        <v>10000</v>
      </c>
    </row>
    <row r="7867" spans="1:12" hidden="1" outlineLevel="1" collapsed="1" x14ac:dyDescent="0.35">
      <c r="A7867" s="112" t="s">
        <v>5553</v>
      </c>
      <c r="B7867" s="112" t="s">
        <v>927</v>
      </c>
      <c r="C7867" s="112" t="s">
        <v>1219</v>
      </c>
      <c r="D7867" s="113">
        <v>46307779</v>
      </c>
      <c r="E7867" s="115">
        <v>43944</v>
      </c>
      <c r="F7867" s="114">
        <v>202101</v>
      </c>
      <c r="G7867" s="112" t="s">
        <v>1091</v>
      </c>
      <c r="H7867" s="112" t="s">
        <v>1015</v>
      </c>
      <c r="I7867" s="112" t="s">
        <v>1605</v>
      </c>
      <c r="J7867" s="112" t="s">
        <v>5554</v>
      </c>
      <c r="K7867" s="112" t="s">
        <v>5556</v>
      </c>
      <c r="L7867" s="116">
        <v>10000</v>
      </c>
    </row>
    <row r="7868" spans="1:12" hidden="1" outlineLevel="1" collapsed="1" x14ac:dyDescent="0.35">
      <c r="A7868" s="112" t="s">
        <v>5553</v>
      </c>
      <c r="B7868" s="112" t="s">
        <v>925</v>
      </c>
      <c r="C7868" s="112" t="s">
        <v>1095</v>
      </c>
      <c r="D7868" s="113">
        <v>10348451</v>
      </c>
      <c r="E7868" s="115">
        <v>43949</v>
      </c>
      <c r="F7868" s="114">
        <v>202101</v>
      </c>
      <c r="G7868" s="112" t="s">
        <v>1091</v>
      </c>
      <c r="H7868" s="112" t="s">
        <v>1015</v>
      </c>
      <c r="I7868" s="112" t="s">
        <v>1544</v>
      </c>
      <c r="J7868" s="112" t="s">
        <v>5559</v>
      </c>
      <c r="K7868" s="112" t="s">
        <v>1098</v>
      </c>
      <c r="L7868" s="116">
        <v>58.5</v>
      </c>
    </row>
    <row r="7869" spans="1:12" hidden="1" outlineLevel="1" collapsed="1" x14ac:dyDescent="0.35">
      <c r="A7869" s="112" t="s">
        <v>5553</v>
      </c>
      <c r="B7869" s="112" t="s">
        <v>927</v>
      </c>
      <c r="C7869" s="112" t="s">
        <v>1219</v>
      </c>
      <c r="D7869" s="113">
        <v>46307778</v>
      </c>
      <c r="E7869" s="115">
        <v>43944</v>
      </c>
      <c r="F7869" s="114">
        <v>202101</v>
      </c>
      <c r="G7869" s="112" t="s">
        <v>1091</v>
      </c>
      <c r="H7869" s="112" t="s">
        <v>1015</v>
      </c>
      <c r="I7869" s="112" t="s">
        <v>1605</v>
      </c>
      <c r="J7869" s="112" t="s">
        <v>5554</v>
      </c>
      <c r="K7869" s="112" t="s">
        <v>5556</v>
      </c>
      <c r="L7869" s="116">
        <v>10000</v>
      </c>
    </row>
    <row r="7870" spans="1:12" hidden="1" outlineLevel="1" collapsed="1" x14ac:dyDescent="0.35">
      <c r="A7870" s="112" t="s">
        <v>5553</v>
      </c>
      <c r="B7870" s="112" t="s">
        <v>927</v>
      </c>
      <c r="C7870" s="112" t="s">
        <v>1219</v>
      </c>
      <c r="D7870" s="113">
        <v>46307777</v>
      </c>
      <c r="E7870" s="115">
        <v>43944</v>
      </c>
      <c r="F7870" s="114">
        <v>202101</v>
      </c>
      <c r="G7870" s="112" t="s">
        <v>1091</v>
      </c>
      <c r="H7870" s="112" t="s">
        <v>1015</v>
      </c>
      <c r="I7870" s="112" t="s">
        <v>1605</v>
      </c>
      <c r="J7870" s="112" t="s">
        <v>5554</v>
      </c>
      <c r="K7870" s="112" t="s">
        <v>5556</v>
      </c>
      <c r="L7870" s="116">
        <v>10000</v>
      </c>
    </row>
    <row r="7871" spans="1:12" hidden="1" outlineLevel="1" collapsed="1" x14ac:dyDescent="0.35">
      <c r="A7871" s="112" t="s">
        <v>5553</v>
      </c>
      <c r="B7871" s="112" t="s">
        <v>927</v>
      </c>
      <c r="C7871" s="112" t="s">
        <v>1219</v>
      </c>
      <c r="D7871" s="113">
        <v>46307776</v>
      </c>
      <c r="E7871" s="115">
        <v>43944</v>
      </c>
      <c r="F7871" s="114">
        <v>202101</v>
      </c>
      <c r="G7871" s="112" t="s">
        <v>1091</v>
      </c>
      <c r="H7871" s="112" t="s">
        <v>1015</v>
      </c>
      <c r="I7871" s="112" t="s">
        <v>1605</v>
      </c>
      <c r="J7871" s="112" t="s">
        <v>5554</v>
      </c>
      <c r="K7871" s="112" t="s">
        <v>5556</v>
      </c>
      <c r="L7871" s="116">
        <v>10000</v>
      </c>
    </row>
    <row r="7872" spans="1:12" hidden="1" outlineLevel="1" collapsed="1" x14ac:dyDescent="0.35">
      <c r="A7872" s="112" t="s">
        <v>5553</v>
      </c>
      <c r="B7872" s="112" t="s">
        <v>927</v>
      </c>
      <c r="C7872" s="112" t="s">
        <v>1219</v>
      </c>
      <c r="D7872" s="113">
        <v>46307767</v>
      </c>
      <c r="E7872" s="115">
        <v>43944</v>
      </c>
      <c r="F7872" s="114">
        <v>202101</v>
      </c>
      <c r="G7872" s="112" t="s">
        <v>1091</v>
      </c>
      <c r="H7872" s="112" t="s">
        <v>1015</v>
      </c>
      <c r="I7872" s="112" t="s">
        <v>1605</v>
      </c>
      <c r="J7872" s="112" t="s">
        <v>5554</v>
      </c>
      <c r="K7872" s="112" t="s">
        <v>5555</v>
      </c>
      <c r="L7872" s="116">
        <v>25000</v>
      </c>
    </row>
    <row r="7873" spans="1:12" hidden="1" outlineLevel="1" collapsed="1" x14ac:dyDescent="0.35">
      <c r="A7873" s="112" t="s">
        <v>5553</v>
      </c>
      <c r="B7873" s="112" t="s">
        <v>927</v>
      </c>
      <c r="C7873" s="112" t="s">
        <v>1219</v>
      </c>
      <c r="D7873" s="113">
        <v>46307766</v>
      </c>
      <c r="E7873" s="115">
        <v>43944</v>
      </c>
      <c r="F7873" s="114">
        <v>202101</v>
      </c>
      <c r="G7873" s="112" t="s">
        <v>1091</v>
      </c>
      <c r="H7873" s="112" t="s">
        <v>1015</v>
      </c>
      <c r="I7873" s="112" t="s">
        <v>1605</v>
      </c>
      <c r="J7873" s="112" t="s">
        <v>5554</v>
      </c>
      <c r="K7873" s="112" t="s">
        <v>5555</v>
      </c>
      <c r="L7873" s="116">
        <v>25000</v>
      </c>
    </row>
    <row r="7874" spans="1:12" hidden="1" outlineLevel="1" collapsed="1" x14ac:dyDescent="0.35">
      <c r="A7874" s="112" t="s">
        <v>5553</v>
      </c>
      <c r="B7874" s="112" t="s">
        <v>927</v>
      </c>
      <c r="C7874" s="112" t="s">
        <v>1219</v>
      </c>
      <c r="D7874" s="113">
        <v>46307765</v>
      </c>
      <c r="E7874" s="115">
        <v>43944</v>
      </c>
      <c r="F7874" s="114">
        <v>202101</v>
      </c>
      <c r="G7874" s="112" t="s">
        <v>1091</v>
      </c>
      <c r="H7874" s="112" t="s">
        <v>1015</v>
      </c>
      <c r="I7874" s="112" t="s">
        <v>1605</v>
      </c>
      <c r="J7874" s="112" t="s">
        <v>5554</v>
      </c>
      <c r="K7874" s="112" t="s">
        <v>5556</v>
      </c>
      <c r="L7874" s="116">
        <v>10000</v>
      </c>
    </row>
    <row r="7875" spans="1:12" hidden="1" outlineLevel="1" collapsed="1" x14ac:dyDescent="0.35">
      <c r="A7875" s="112" t="s">
        <v>5553</v>
      </c>
      <c r="B7875" s="112" t="s">
        <v>927</v>
      </c>
      <c r="C7875" s="112" t="s">
        <v>1219</v>
      </c>
      <c r="D7875" s="113">
        <v>46307764</v>
      </c>
      <c r="E7875" s="115">
        <v>43944</v>
      </c>
      <c r="F7875" s="114">
        <v>202101</v>
      </c>
      <c r="G7875" s="112" t="s">
        <v>1091</v>
      </c>
      <c r="H7875" s="112" t="s">
        <v>1015</v>
      </c>
      <c r="I7875" s="112" t="s">
        <v>1605</v>
      </c>
      <c r="J7875" s="112" t="s">
        <v>5554</v>
      </c>
      <c r="K7875" s="112" t="s">
        <v>5555</v>
      </c>
      <c r="L7875" s="116">
        <v>25000</v>
      </c>
    </row>
    <row r="7876" spans="1:12" hidden="1" outlineLevel="1" collapsed="1" x14ac:dyDescent="0.35">
      <c r="A7876" s="112" t="s">
        <v>5553</v>
      </c>
      <c r="B7876" s="112" t="s">
        <v>927</v>
      </c>
      <c r="C7876" s="112" t="s">
        <v>1219</v>
      </c>
      <c r="D7876" s="113">
        <v>46307763</v>
      </c>
      <c r="E7876" s="115">
        <v>43944</v>
      </c>
      <c r="F7876" s="114">
        <v>202101</v>
      </c>
      <c r="G7876" s="112" t="s">
        <v>1091</v>
      </c>
      <c r="H7876" s="112" t="s">
        <v>1015</v>
      </c>
      <c r="I7876" s="112" t="s">
        <v>1605</v>
      </c>
      <c r="J7876" s="112" t="s">
        <v>5554</v>
      </c>
      <c r="K7876" s="112" t="s">
        <v>5555</v>
      </c>
      <c r="L7876" s="116">
        <v>10000</v>
      </c>
    </row>
    <row r="7877" spans="1:12" hidden="1" outlineLevel="1" collapsed="1" x14ac:dyDescent="0.35">
      <c r="A7877" s="112" t="s">
        <v>5553</v>
      </c>
      <c r="B7877" s="112" t="s">
        <v>927</v>
      </c>
      <c r="C7877" s="112" t="s">
        <v>1219</v>
      </c>
      <c r="D7877" s="113">
        <v>46307762</v>
      </c>
      <c r="E7877" s="115">
        <v>43944</v>
      </c>
      <c r="F7877" s="114">
        <v>202101</v>
      </c>
      <c r="G7877" s="112" t="s">
        <v>1091</v>
      </c>
      <c r="H7877" s="112" t="s">
        <v>1015</v>
      </c>
      <c r="I7877" s="112" t="s">
        <v>1605</v>
      </c>
      <c r="J7877" s="112" t="s">
        <v>5554</v>
      </c>
      <c r="K7877" s="112" t="s">
        <v>5556</v>
      </c>
      <c r="L7877" s="116">
        <v>10000</v>
      </c>
    </row>
    <row r="7878" spans="1:12" hidden="1" outlineLevel="1" collapsed="1" x14ac:dyDescent="0.35">
      <c r="A7878" s="112" t="s">
        <v>5553</v>
      </c>
      <c r="B7878" s="112" t="s">
        <v>927</v>
      </c>
      <c r="C7878" s="112" t="s">
        <v>1219</v>
      </c>
      <c r="D7878" s="113">
        <v>46307761</v>
      </c>
      <c r="E7878" s="115">
        <v>43944</v>
      </c>
      <c r="F7878" s="114">
        <v>202101</v>
      </c>
      <c r="G7878" s="112" t="s">
        <v>1091</v>
      </c>
      <c r="H7878" s="112" t="s">
        <v>1015</v>
      </c>
      <c r="I7878" s="112" t="s">
        <v>1605</v>
      </c>
      <c r="J7878" s="112" t="s">
        <v>5554</v>
      </c>
      <c r="K7878" s="112" t="s">
        <v>5555</v>
      </c>
      <c r="L7878" s="116">
        <v>25000</v>
      </c>
    </row>
    <row r="7879" spans="1:12" hidden="1" outlineLevel="1" collapsed="1" x14ac:dyDescent="0.35">
      <c r="A7879" s="112" t="s">
        <v>5553</v>
      </c>
      <c r="B7879" s="112" t="s">
        <v>927</v>
      </c>
      <c r="C7879" s="112" t="s">
        <v>1219</v>
      </c>
      <c r="D7879" s="113">
        <v>46307760</v>
      </c>
      <c r="E7879" s="115">
        <v>43944</v>
      </c>
      <c r="F7879" s="114">
        <v>202101</v>
      </c>
      <c r="G7879" s="112" t="s">
        <v>1091</v>
      </c>
      <c r="H7879" s="112" t="s">
        <v>1015</v>
      </c>
      <c r="I7879" s="112" t="s">
        <v>1605</v>
      </c>
      <c r="J7879" s="112" t="s">
        <v>5554</v>
      </c>
      <c r="K7879" s="112" t="s">
        <v>5556</v>
      </c>
      <c r="L7879" s="116">
        <v>10000</v>
      </c>
    </row>
    <row r="7880" spans="1:12" hidden="1" outlineLevel="1" collapsed="1" x14ac:dyDescent="0.35">
      <c r="A7880" s="112" t="s">
        <v>5553</v>
      </c>
      <c r="B7880" s="112" t="s">
        <v>927</v>
      </c>
      <c r="C7880" s="112" t="s">
        <v>1219</v>
      </c>
      <c r="D7880" s="113">
        <v>46307759</v>
      </c>
      <c r="E7880" s="115">
        <v>43944</v>
      </c>
      <c r="F7880" s="114">
        <v>202101</v>
      </c>
      <c r="G7880" s="112" t="s">
        <v>1091</v>
      </c>
      <c r="H7880" s="112" t="s">
        <v>1015</v>
      </c>
      <c r="I7880" s="112" t="s">
        <v>1605</v>
      </c>
      <c r="J7880" s="112" t="s">
        <v>5554</v>
      </c>
      <c r="K7880" s="112" t="s">
        <v>5555</v>
      </c>
      <c r="L7880" s="116">
        <v>25000</v>
      </c>
    </row>
    <row r="7881" spans="1:12" hidden="1" outlineLevel="1" collapsed="1" x14ac:dyDescent="0.35">
      <c r="A7881" s="112" t="s">
        <v>5553</v>
      </c>
      <c r="B7881" s="112" t="s">
        <v>927</v>
      </c>
      <c r="C7881" s="112" t="s">
        <v>1219</v>
      </c>
      <c r="D7881" s="113">
        <v>46307758</v>
      </c>
      <c r="E7881" s="115">
        <v>43944</v>
      </c>
      <c r="F7881" s="114">
        <v>202101</v>
      </c>
      <c r="G7881" s="112" t="s">
        <v>1091</v>
      </c>
      <c r="H7881" s="112" t="s">
        <v>1015</v>
      </c>
      <c r="I7881" s="112" t="s">
        <v>1605</v>
      </c>
      <c r="J7881" s="112" t="s">
        <v>5554</v>
      </c>
      <c r="K7881" s="112" t="s">
        <v>5555</v>
      </c>
      <c r="L7881" s="116">
        <v>10000</v>
      </c>
    </row>
    <row r="7882" spans="1:12" hidden="1" outlineLevel="1" collapsed="1" x14ac:dyDescent="0.35">
      <c r="A7882" s="112" t="s">
        <v>5553</v>
      </c>
      <c r="B7882" s="112" t="s">
        <v>927</v>
      </c>
      <c r="C7882" s="112" t="s">
        <v>1219</v>
      </c>
      <c r="D7882" s="113">
        <v>46307757</v>
      </c>
      <c r="E7882" s="115">
        <v>43944</v>
      </c>
      <c r="F7882" s="114">
        <v>202101</v>
      </c>
      <c r="G7882" s="112" t="s">
        <v>1091</v>
      </c>
      <c r="H7882" s="112" t="s">
        <v>1015</v>
      </c>
      <c r="I7882" s="112" t="s">
        <v>1605</v>
      </c>
      <c r="J7882" s="112" t="s">
        <v>5554</v>
      </c>
      <c r="K7882" s="112" t="s">
        <v>5555</v>
      </c>
      <c r="L7882" s="116">
        <v>25000</v>
      </c>
    </row>
    <row r="7883" spans="1:12" hidden="1" outlineLevel="1" collapsed="1" x14ac:dyDescent="0.35">
      <c r="A7883" s="112" t="s">
        <v>5553</v>
      </c>
      <c r="B7883" s="112" t="s">
        <v>925</v>
      </c>
      <c r="C7883" s="112" t="s">
        <v>1095</v>
      </c>
      <c r="D7883" s="113">
        <v>10348451</v>
      </c>
      <c r="E7883" s="115">
        <v>43949</v>
      </c>
      <c r="F7883" s="114">
        <v>202101</v>
      </c>
      <c r="G7883" s="112" t="s">
        <v>1091</v>
      </c>
      <c r="H7883" s="112" t="s">
        <v>1015</v>
      </c>
      <c r="I7883" s="112" t="s">
        <v>1544</v>
      </c>
      <c r="J7883" s="112" t="s">
        <v>5559</v>
      </c>
      <c r="K7883" s="112" t="s">
        <v>1098</v>
      </c>
      <c r="L7883" s="116">
        <v>310.5</v>
      </c>
    </row>
    <row r="7884" spans="1:12" hidden="1" outlineLevel="1" collapsed="1" x14ac:dyDescent="0.35">
      <c r="A7884" s="112" t="s">
        <v>5553</v>
      </c>
      <c r="B7884" s="112" t="s">
        <v>925</v>
      </c>
      <c r="C7884" s="112" t="s">
        <v>1095</v>
      </c>
      <c r="D7884" s="113">
        <v>10348451</v>
      </c>
      <c r="E7884" s="115">
        <v>43949</v>
      </c>
      <c r="F7884" s="114">
        <v>202101</v>
      </c>
      <c r="G7884" s="112" t="s">
        <v>1091</v>
      </c>
      <c r="H7884" s="112" t="s">
        <v>1015</v>
      </c>
      <c r="I7884" s="112" t="s">
        <v>1544</v>
      </c>
      <c r="J7884" s="112" t="s">
        <v>5559</v>
      </c>
      <c r="K7884" s="112" t="s">
        <v>1098</v>
      </c>
      <c r="L7884" s="116">
        <v>291.60000000000002</v>
      </c>
    </row>
    <row r="7885" spans="1:12" hidden="1" outlineLevel="1" collapsed="1" x14ac:dyDescent="0.35">
      <c r="A7885" s="112" t="s">
        <v>5553</v>
      </c>
      <c r="B7885" s="112" t="s">
        <v>924</v>
      </c>
      <c r="C7885" s="112" t="s">
        <v>1095</v>
      </c>
      <c r="D7885" s="113">
        <v>10348451</v>
      </c>
      <c r="E7885" s="115">
        <v>43949</v>
      </c>
      <c r="F7885" s="114">
        <v>202101</v>
      </c>
      <c r="G7885" s="112" t="s">
        <v>1091</v>
      </c>
      <c r="H7885" s="112" t="s">
        <v>1015</v>
      </c>
      <c r="I7885" s="112" t="s">
        <v>1399</v>
      </c>
      <c r="J7885" s="112" t="s">
        <v>5558</v>
      </c>
      <c r="K7885" s="112" t="s">
        <v>1098</v>
      </c>
      <c r="L7885" s="116">
        <v>30.8</v>
      </c>
    </row>
    <row r="7886" spans="1:12" hidden="1" outlineLevel="1" collapsed="1" x14ac:dyDescent="0.35">
      <c r="A7886" s="112" t="s">
        <v>5553</v>
      </c>
      <c r="B7886" s="112" t="s">
        <v>927</v>
      </c>
      <c r="C7886" s="112" t="s">
        <v>1219</v>
      </c>
      <c r="D7886" s="113">
        <v>46307756</v>
      </c>
      <c r="E7886" s="115">
        <v>43944</v>
      </c>
      <c r="F7886" s="114">
        <v>202101</v>
      </c>
      <c r="G7886" s="112" t="s">
        <v>1091</v>
      </c>
      <c r="H7886" s="112" t="s">
        <v>1015</v>
      </c>
      <c r="I7886" s="112" t="s">
        <v>1605</v>
      </c>
      <c r="J7886" s="112" t="s">
        <v>5554</v>
      </c>
      <c r="K7886" s="112" t="s">
        <v>5555</v>
      </c>
      <c r="L7886" s="116">
        <v>25000</v>
      </c>
    </row>
    <row r="7887" spans="1:12" hidden="1" outlineLevel="1" collapsed="1" x14ac:dyDescent="0.35">
      <c r="A7887" s="112" t="s">
        <v>5553</v>
      </c>
      <c r="B7887" s="112" t="s">
        <v>927</v>
      </c>
      <c r="C7887" s="112" t="s">
        <v>1219</v>
      </c>
      <c r="D7887" s="113">
        <v>46307755</v>
      </c>
      <c r="E7887" s="115">
        <v>43944</v>
      </c>
      <c r="F7887" s="114">
        <v>202101</v>
      </c>
      <c r="G7887" s="112" t="s">
        <v>1091</v>
      </c>
      <c r="H7887" s="112" t="s">
        <v>1015</v>
      </c>
      <c r="I7887" s="112" t="s">
        <v>1605</v>
      </c>
      <c r="J7887" s="112" t="s">
        <v>5554</v>
      </c>
      <c r="K7887" s="112" t="s">
        <v>5555</v>
      </c>
      <c r="L7887" s="116">
        <v>25000</v>
      </c>
    </row>
    <row r="7888" spans="1:12" hidden="1" outlineLevel="1" collapsed="1" x14ac:dyDescent="0.35">
      <c r="A7888" s="112" t="s">
        <v>5553</v>
      </c>
      <c r="B7888" s="112" t="s">
        <v>927</v>
      </c>
      <c r="C7888" s="112" t="s">
        <v>1219</v>
      </c>
      <c r="D7888" s="113">
        <v>46307754</v>
      </c>
      <c r="E7888" s="115">
        <v>43944</v>
      </c>
      <c r="F7888" s="114">
        <v>202101</v>
      </c>
      <c r="G7888" s="112" t="s">
        <v>1091</v>
      </c>
      <c r="H7888" s="112" t="s">
        <v>1015</v>
      </c>
      <c r="I7888" s="112" t="s">
        <v>1605</v>
      </c>
      <c r="J7888" s="112" t="s">
        <v>5554</v>
      </c>
      <c r="K7888" s="112" t="s">
        <v>5556</v>
      </c>
      <c r="L7888" s="116">
        <v>10000</v>
      </c>
    </row>
    <row r="7889" spans="1:12" hidden="1" outlineLevel="1" collapsed="1" x14ac:dyDescent="0.35">
      <c r="A7889" s="112" t="s">
        <v>5553</v>
      </c>
      <c r="B7889" s="112" t="s">
        <v>927</v>
      </c>
      <c r="C7889" s="112" t="s">
        <v>1219</v>
      </c>
      <c r="D7889" s="113">
        <v>46307753</v>
      </c>
      <c r="E7889" s="115">
        <v>43944</v>
      </c>
      <c r="F7889" s="114">
        <v>202101</v>
      </c>
      <c r="G7889" s="112" t="s">
        <v>1091</v>
      </c>
      <c r="H7889" s="112" t="s">
        <v>1015</v>
      </c>
      <c r="I7889" s="112" t="s">
        <v>1605</v>
      </c>
      <c r="J7889" s="112" t="s">
        <v>5554</v>
      </c>
      <c r="K7889" s="112" t="s">
        <v>5555</v>
      </c>
      <c r="L7889" s="116">
        <v>25000</v>
      </c>
    </row>
    <row r="7890" spans="1:12" hidden="1" outlineLevel="1" collapsed="1" x14ac:dyDescent="0.35">
      <c r="A7890" s="112" t="s">
        <v>5553</v>
      </c>
      <c r="B7890" s="112" t="s">
        <v>927</v>
      </c>
      <c r="C7890" s="112" t="s">
        <v>1219</v>
      </c>
      <c r="D7890" s="113">
        <v>46307869</v>
      </c>
      <c r="E7890" s="115">
        <v>43948</v>
      </c>
      <c r="F7890" s="114">
        <v>202101</v>
      </c>
      <c r="G7890" s="112" t="s">
        <v>1091</v>
      </c>
      <c r="H7890" s="112" t="s">
        <v>1015</v>
      </c>
      <c r="I7890" s="112" t="s">
        <v>1605</v>
      </c>
      <c r="J7890" s="112" t="s">
        <v>5554</v>
      </c>
      <c r="K7890" s="112" t="s">
        <v>5556</v>
      </c>
      <c r="L7890" s="116">
        <v>10000</v>
      </c>
    </row>
    <row r="7891" spans="1:12" hidden="1" outlineLevel="1" collapsed="1" x14ac:dyDescent="0.35">
      <c r="A7891" s="112" t="s">
        <v>5553</v>
      </c>
      <c r="B7891" s="112" t="s">
        <v>927</v>
      </c>
      <c r="C7891" s="112" t="s">
        <v>1219</v>
      </c>
      <c r="D7891" s="113">
        <v>46307752</v>
      </c>
      <c r="E7891" s="115">
        <v>43944</v>
      </c>
      <c r="F7891" s="114">
        <v>202101</v>
      </c>
      <c r="G7891" s="112" t="s">
        <v>1091</v>
      </c>
      <c r="H7891" s="112" t="s">
        <v>1015</v>
      </c>
      <c r="I7891" s="112" t="s">
        <v>1605</v>
      </c>
      <c r="J7891" s="112" t="s">
        <v>5554</v>
      </c>
      <c r="K7891" s="112" t="s">
        <v>5555</v>
      </c>
      <c r="L7891" s="116">
        <v>25000</v>
      </c>
    </row>
    <row r="7892" spans="1:12" hidden="1" outlineLevel="1" collapsed="1" x14ac:dyDescent="0.35">
      <c r="A7892" s="112" t="s">
        <v>5553</v>
      </c>
      <c r="B7892" s="112" t="s">
        <v>927</v>
      </c>
      <c r="C7892" s="112" t="s">
        <v>1219</v>
      </c>
      <c r="D7892" s="113">
        <v>46307892</v>
      </c>
      <c r="E7892" s="115">
        <v>43948</v>
      </c>
      <c r="F7892" s="114">
        <v>202101</v>
      </c>
      <c r="G7892" s="112" t="s">
        <v>1091</v>
      </c>
      <c r="H7892" s="112" t="s">
        <v>1015</v>
      </c>
      <c r="I7892" s="112" t="s">
        <v>1605</v>
      </c>
      <c r="J7892" s="112" t="s">
        <v>5554</v>
      </c>
      <c r="K7892" s="112" t="s">
        <v>5556</v>
      </c>
      <c r="L7892" s="116">
        <v>10000</v>
      </c>
    </row>
    <row r="7893" spans="1:12" hidden="1" outlineLevel="1" collapsed="1" x14ac:dyDescent="0.35">
      <c r="A7893" s="112" t="s">
        <v>5553</v>
      </c>
      <c r="B7893" s="112" t="s">
        <v>927</v>
      </c>
      <c r="C7893" s="112" t="s">
        <v>1219</v>
      </c>
      <c r="D7893" s="113">
        <v>46307906</v>
      </c>
      <c r="E7893" s="115">
        <v>43948</v>
      </c>
      <c r="F7893" s="114">
        <v>202101</v>
      </c>
      <c r="G7893" s="112" t="s">
        <v>1091</v>
      </c>
      <c r="H7893" s="112" t="s">
        <v>1015</v>
      </c>
      <c r="I7893" s="112" t="s">
        <v>1605</v>
      </c>
      <c r="J7893" s="112" t="s">
        <v>5554</v>
      </c>
      <c r="K7893" s="112" t="s">
        <v>5555</v>
      </c>
      <c r="L7893" s="116">
        <v>25000</v>
      </c>
    </row>
    <row r="7894" spans="1:12" hidden="1" outlineLevel="1" collapsed="1" x14ac:dyDescent="0.35">
      <c r="A7894" s="112" t="s">
        <v>5553</v>
      </c>
      <c r="B7894" s="112" t="s">
        <v>927</v>
      </c>
      <c r="C7894" s="112" t="s">
        <v>1219</v>
      </c>
      <c r="D7894" s="113">
        <v>46307905</v>
      </c>
      <c r="E7894" s="115">
        <v>43948</v>
      </c>
      <c r="F7894" s="114">
        <v>202101</v>
      </c>
      <c r="G7894" s="112" t="s">
        <v>1091</v>
      </c>
      <c r="H7894" s="112" t="s">
        <v>1015</v>
      </c>
      <c r="I7894" s="112" t="s">
        <v>1605</v>
      </c>
      <c r="J7894" s="112" t="s">
        <v>5554</v>
      </c>
      <c r="K7894" s="112" t="s">
        <v>5555</v>
      </c>
      <c r="L7894" s="116">
        <v>10000</v>
      </c>
    </row>
    <row r="7895" spans="1:12" hidden="1" outlineLevel="1" collapsed="1" x14ac:dyDescent="0.35">
      <c r="A7895" s="112" t="s">
        <v>5553</v>
      </c>
      <c r="B7895" s="112" t="s">
        <v>927</v>
      </c>
      <c r="C7895" s="112" t="s">
        <v>1219</v>
      </c>
      <c r="D7895" s="113">
        <v>46307904</v>
      </c>
      <c r="E7895" s="115">
        <v>43948</v>
      </c>
      <c r="F7895" s="114">
        <v>202101</v>
      </c>
      <c r="G7895" s="112" t="s">
        <v>1091</v>
      </c>
      <c r="H7895" s="112" t="s">
        <v>1015</v>
      </c>
      <c r="I7895" s="112" t="s">
        <v>1605</v>
      </c>
      <c r="J7895" s="112" t="s">
        <v>5554</v>
      </c>
      <c r="K7895" s="112" t="s">
        <v>5555</v>
      </c>
      <c r="L7895" s="116">
        <v>25000</v>
      </c>
    </row>
    <row r="7896" spans="1:12" hidden="1" outlineLevel="1" collapsed="1" x14ac:dyDescent="0.35">
      <c r="A7896" s="112" t="s">
        <v>5553</v>
      </c>
      <c r="B7896" s="112" t="s">
        <v>927</v>
      </c>
      <c r="C7896" s="112" t="s">
        <v>1219</v>
      </c>
      <c r="D7896" s="113">
        <v>46307903</v>
      </c>
      <c r="E7896" s="115">
        <v>43948</v>
      </c>
      <c r="F7896" s="114">
        <v>202101</v>
      </c>
      <c r="G7896" s="112" t="s">
        <v>1091</v>
      </c>
      <c r="H7896" s="112" t="s">
        <v>1015</v>
      </c>
      <c r="I7896" s="112" t="s">
        <v>1605</v>
      </c>
      <c r="J7896" s="112" t="s">
        <v>5554</v>
      </c>
      <c r="K7896" s="112" t="s">
        <v>5555</v>
      </c>
      <c r="L7896" s="116">
        <v>25000</v>
      </c>
    </row>
    <row r="7897" spans="1:12" hidden="1" outlineLevel="1" collapsed="1" x14ac:dyDescent="0.35">
      <c r="A7897" s="112" t="s">
        <v>5553</v>
      </c>
      <c r="B7897" s="112" t="s">
        <v>927</v>
      </c>
      <c r="C7897" s="112" t="s">
        <v>1219</v>
      </c>
      <c r="D7897" s="113">
        <v>46307902</v>
      </c>
      <c r="E7897" s="115">
        <v>43948</v>
      </c>
      <c r="F7897" s="114">
        <v>202101</v>
      </c>
      <c r="G7897" s="112" t="s">
        <v>1091</v>
      </c>
      <c r="H7897" s="112" t="s">
        <v>1015</v>
      </c>
      <c r="I7897" s="112" t="s">
        <v>1605</v>
      </c>
      <c r="J7897" s="112" t="s">
        <v>5554</v>
      </c>
      <c r="K7897" s="112" t="s">
        <v>5555</v>
      </c>
      <c r="L7897" s="116">
        <v>25000</v>
      </c>
    </row>
    <row r="7898" spans="1:12" hidden="1" outlineLevel="1" collapsed="1" x14ac:dyDescent="0.35">
      <c r="A7898" s="112" t="s">
        <v>5553</v>
      </c>
      <c r="B7898" s="112" t="s">
        <v>927</v>
      </c>
      <c r="C7898" s="112" t="s">
        <v>1219</v>
      </c>
      <c r="D7898" s="113">
        <v>46307901</v>
      </c>
      <c r="E7898" s="115">
        <v>43948</v>
      </c>
      <c r="F7898" s="114">
        <v>202101</v>
      </c>
      <c r="G7898" s="112" t="s">
        <v>1091</v>
      </c>
      <c r="H7898" s="112" t="s">
        <v>1015</v>
      </c>
      <c r="I7898" s="112" t="s">
        <v>1605</v>
      </c>
      <c r="J7898" s="112" t="s">
        <v>5554</v>
      </c>
      <c r="K7898" s="112" t="s">
        <v>5555</v>
      </c>
      <c r="L7898" s="116">
        <v>25000</v>
      </c>
    </row>
    <row r="7899" spans="1:12" hidden="1" outlineLevel="1" collapsed="1" x14ac:dyDescent="0.35">
      <c r="A7899" s="112" t="s">
        <v>5553</v>
      </c>
      <c r="B7899" s="112" t="s">
        <v>927</v>
      </c>
      <c r="C7899" s="112" t="s">
        <v>1219</v>
      </c>
      <c r="D7899" s="113">
        <v>46307900</v>
      </c>
      <c r="E7899" s="115">
        <v>43948</v>
      </c>
      <c r="F7899" s="114">
        <v>202101</v>
      </c>
      <c r="G7899" s="112" t="s">
        <v>1091</v>
      </c>
      <c r="H7899" s="112" t="s">
        <v>1015</v>
      </c>
      <c r="I7899" s="112" t="s">
        <v>1605</v>
      </c>
      <c r="J7899" s="112" t="s">
        <v>5554</v>
      </c>
      <c r="K7899" s="112" t="s">
        <v>5556</v>
      </c>
      <c r="L7899" s="116">
        <v>10000</v>
      </c>
    </row>
    <row r="7900" spans="1:12" hidden="1" outlineLevel="1" collapsed="1" x14ac:dyDescent="0.35">
      <c r="A7900" s="112" t="s">
        <v>5553</v>
      </c>
      <c r="B7900" s="112" t="s">
        <v>927</v>
      </c>
      <c r="C7900" s="112" t="s">
        <v>1219</v>
      </c>
      <c r="D7900" s="113">
        <v>46307899</v>
      </c>
      <c r="E7900" s="115">
        <v>43948</v>
      </c>
      <c r="F7900" s="114">
        <v>202101</v>
      </c>
      <c r="G7900" s="112" t="s">
        <v>1091</v>
      </c>
      <c r="H7900" s="112" t="s">
        <v>1015</v>
      </c>
      <c r="I7900" s="112" t="s">
        <v>1605</v>
      </c>
      <c r="J7900" s="112" t="s">
        <v>5554</v>
      </c>
      <c r="K7900" s="112" t="s">
        <v>5556</v>
      </c>
      <c r="L7900" s="116">
        <v>10000</v>
      </c>
    </row>
    <row r="7901" spans="1:12" hidden="1" outlineLevel="1" collapsed="1" x14ac:dyDescent="0.35">
      <c r="A7901" s="112" t="s">
        <v>5553</v>
      </c>
      <c r="B7901" s="112" t="s">
        <v>927</v>
      </c>
      <c r="C7901" s="112" t="s">
        <v>1219</v>
      </c>
      <c r="D7901" s="113">
        <v>46307898</v>
      </c>
      <c r="E7901" s="115">
        <v>43948</v>
      </c>
      <c r="F7901" s="114">
        <v>202101</v>
      </c>
      <c r="G7901" s="112" t="s">
        <v>1091</v>
      </c>
      <c r="H7901" s="112" t="s">
        <v>1015</v>
      </c>
      <c r="I7901" s="112" t="s">
        <v>1605</v>
      </c>
      <c r="J7901" s="112" t="s">
        <v>5554</v>
      </c>
      <c r="K7901" s="112" t="s">
        <v>5555</v>
      </c>
      <c r="L7901" s="116">
        <v>25000</v>
      </c>
    </row>
    <row r="7902" spans="1:12" hidden="1" outlineLevel="1" collapsed="1" x14ac:dyDescent="0.35">
      <c r="A7902" s="112" t="s">
        <v>5553</v>
      </c>
      <c r="B7902" s="112" t="s">
        <v>927</v>
      </c>
      <c r="C7902" s="112" t="s">
        <v>1219</v>
      </c>
      <c r="D7902" s="113">
        <v>46307897</v>
      </c>
      <c r="E7902" s="115">
        <v>43948</v>
      </c>
      <c r="F7902" s="114">
        <v>202101</v>
      </c>
      <c r="G7902" s="112" t="s">
        <v>1091</v>
      </c>
      <c r="H7902" s="112" t="s">
        <v>1015</v>
      </c>
      <c r="I7902" s="112" t="s">
        <v>1605</v>
      </c>
      <c r="J7902" s="112" t="s">
        <v>5554</v>
      </c>
      <c r="K7902" s="112" t="s">
        <v>5555</v>
      </c>
      <c r="L7902" s="116">
        <v>10000</v>
      </c>
    </row>
    <row r="7903" spans="1:12" hidden="1" outlineLevel="1" collapsed="1" x14ac:dyDescent="0.35">
      <c r="A7903" s="112" t="s">
        <v>5553</v>
      </c>
      <c r="B7903" s="112" t="s">
        <v>927</v>
      </c>
      <c r="C7903" s="112" t="s">
        <v>1219</v>
      </c>
      <c r="D7903" s="113">
        <v>46307896</v>
      </c>
      <c r="E7903" s="115">
        <v>43948</v>
      </c>
      <c r="F7903" s="114">
        <v>202101</v>
      </c>
      <c r="G7903" s="112" t="s">
        <v>1091</v>
      </c>
      <c r="H7903" s="112" t="s">
        <v>1015</v>
      </c>
      <c r="I7903" s="112" t="s">
        <v>1605</v>
      </c>
      <c r="J7903" s="112" t="s">
        <v>5554</v>
      </c>
      <c r="K7903" s="112" t="s">
        <v>5555</v>
      </c>
      <c r="L7903" s="116">
        <v>25000</v>
      </c>
    </row>
    <row r="7904" spans="1:12" hidden="1" outlineLevel="1" collapsed="1" x14ac:dyDescent="0.35">
      <c r="A7904" s="112" t="s">
        <v>5553</v>
      </c>
      <c r="B7904" s="112" t="s">
        <v>927</v>
      </c>
      <c r="C7904" s="112" t="s">
        <v>1219</v>
      </c>
      <c r="D7904" s="113">
        <v>46307895</v>
      </c>
      <c r="E7904" s="115">
        <v>43948</v>
      </c>
      <c r="F7904" s="114">
        <v>202101</v>
      </c>
      <c r="G7904" s="112" t="s">
        <v>1091</v>
      </c>
      <c r="H7904" s="112" t="s">
        <v>1015</v>
      </c>
      <c r="I7904" s="112" t="s">
        <v>1605</v>
      </c>
      <c r="J7904" s="112" t="s">
        <v>5554</v>
      </c>
      <c r="K7904" s="112" t="s">
        <v>5556</v>
      </c>
      <c r="L7904" s="116">
        <v>10000</v>
      </c>
    </row>
    <row r="7905" spans="1:12" hidden="1" outlineLevel="1" collapsed="1" x14ac:dyDescent="0.35">
      <c r="A7905" s="112" t="s">
        <v>5553</v>
      </c>
      <c r="B7905" s="112" t="s">
        <v>927</v>
      </c>
      <c r="C7905" s="112" t="s">
        <v>1095</v>
      </c>
      <c r="D7905" s="113">
        <v>10348451</v>
      </c>
      <c r="E7905" s="115">
        <v>43949</v>
      </c>
      <c r="F7905" s="114">
        <v>202101</v>
      </c>
      <c r="G7905" s="112" t="s">
        <v>1091</v>
      </c>
      <c r="H7905" s="112" t="s">
        <v>1015</v>
      </c>
      <c r="I7905" s="112" t="s">
        <v>1101</v>
      </c>
      <c r="J7905" s="112" t="s">
        <v>5557</v>
      </c>
      <c r="K7905" s="112" t="s">
        <v>1098</v>
      </c>
      <c r="L7905" s="116">
        <v>426.26</v>
      </c>
    </row>
    <row r="7906" spans="1:12" hidden="1" outlineLevel="1" collapsed="1" x14ac:dyDescent="0.35">
      <c r="A7906" s="112" t="s">
        <v>5553</v>
      </c>
      <c r="B7906" s="112" t="s">
        <v>927</v>
      </c>
      <c r="C7906" s="112" t="s">
        <v>1095</v>
      </c>
      <c r="D7906" s="113">
        <v>10348451</v>
      </c>
      <c r="E7906" s="115">
        <v>43949</v>
      </c>
      <c r="F7906" s="114">
        <v>202101</v>
      </c>
      <c r="G7906" s="112" t="s">
        <v>1091</v>
      </c>
      <c r="H7906" s="112" t="s">
        <v>1015</v>
      </c>
      <c r="I7906" s="112" t="s">
        <v>1101</v>
      </c>
      <c r="J7906" s="112" t="s">
        <v>5557</v>
      </c>
      <c r="K7906" s="112" t="s">
        <v>1098</v>
      </c>
      <c r="L7906" s="116">
        <v>366.04</v>
      </c>
    </row>
    <row r="7907" spans="1:12" hidden="1" outlineLevel="1" collapsed="1" x14ac:dyDescent="0.35">
      <c r="A7907" s="112" t="s">
        <v>5553</v>
      </c>
      <c r="B7907" s="112" t="s">
        <v>927</v>
      </c>
      <c r="C7907" s="112" t="s">
        <v>1095</v>
      </c>
      <c r="D7907" s="113">
        <v>10348451</v>
      </c>
      <c r="E7907" s="115">
        <v>43949</v>
      </c>
      <c r="F7907" s="114">
        <v>202101</v>
      </c>
      <c r="G7907" s="112" t="s">
        <v>1091</v>
      </c>
      <c r="H7907" s="112" t="s">
        <v>1015</v>
      </c>
      <c r="I7907" s="112" t="s">
        <v>1096</v>
      </c>
      <c r="J7907" s="112" t="s">
        <v>5557</v>
      </c>
      <c r="K7907" s="112" t="s">
        <v>1098</v>
      </c>
      <c r="L7907" s="116">
        <v>262.10000000000002</v>
      </c>
    </row>
    <row r="7908" spans="1:12" hidden="1" outlineLevel="1" collapsed="1" x14ac:dyDescent="0.35">
      <c r="A7908" s="112" t="s">
        <v>5553</v>
      </c>
      <c r="B7908" s="112" t="s">
        <v>927</v>
      </c>
      <c r="C7908" s="112" t="s">
        <v>1095</v>
      </c>
      <c r="D7908" s="113">
        <v>10348451</v>
      </c>
      <c r="E7908" s="115">
        <v>43949</v>
      </c>
      <c r="F7908" s="114">
        <v>202101</v>
      </c>
      <c r="G7908" s="112" t="s">
        <v>1091</v>
      </c>
      <c r="H7908" s="112" t="s">
        <v>1015</v>
      </c>
      <c r="I7908" s="112" t="s">
        <v>1096</v>
      </c>
      <c r="J7908" s="112" t="s">
        <v>5554</v>
      </c>
      <c r="K7908" s="112" t="s">
        <v>1098</v>
      </c>
      <c r="L7908" s="116">
        <v>210.79</v>
      </c>
    </row>
    <row r="7909" spans="1:12" hidden="1" outlineLevel="1" collapsed="1" x14ac:dyDescent="0.35">
      <c r="A7909" s="112" t="s">
        <v>5553</v>
      </c>
      <c r="B7909" s="112" t="s">
        <v>927</v>
      </c>
      <c r="C7909" s="112" t="s">
        <v>1095</v>
      </c>
      <c r="D7909" s="113">
        <v>10348451</v>
      </c>
      <c r="E7909" s="115">
        <v>43949</v>
      </c>
      <c r="F7909" s="114">
        <v>202101</v>
      </c>
      <c r="G7909" s="112" t="s">
        <v>1091</v>
      </c>
      <c r="H7909" s="112" t="s">
        <v>1015</v>
      </c>
      <c r="I7909" s="112" t="s">
        <v>1096</v>
      </c>
      <c r="J7909" s="112" t="s">
        <v>5557</v>
      </c>
      <c r="K7909" s="112" t="s">
        <v>1098</v>
      </c>
      <c r="L7909" s="116">
        <v>222.42</v>
      </c>
    </row>
    <row r="7910" spans="1:12" hidden="1" outlineLevel="1" collapsed="1" x14ac:dyDescent="0.35">
      <c r="A7910" s="112" t="s">
        <v>5553</v>
      </c>
      <c r="B7910" s="112" t="s">
        <v>927</v>
      </c>
      <c r="C7910" s="112" t="s">
        <v>1095</v>
      </c>
      <c r="D7910" s="113">
        <v>10348451</v>
      </c>
      <c r="E7910" s="115">
        <v>43949</v>
      </c>
      <c r="F7910" s="114">
        <v>202101</v>
      </c>
      <c r="G7910" s="112" t="s">
        <v>1091</v>
      </c>
      <c r="H7910" s="112" t="s">
        <v>1015</v>
      </c>
      <c r="I7910" s="112" t="s">
        <v>1096</v>
      </c>
      <c r="J7910" s="112" t="s">
        <v>5557</v>
      </c>
      <c r="K7910" s="112" t="s">
        <v>1098</v>
      </c>
      <c r="L7910" s="116">
        <v>210.79</v>
      </c>
    </row>
    <row r="7911" spans="1:12" hidden="1" outlineLevel="1" collapsed="1" x14ac:dyDescent="0.35">
      <c r="A7911" s="112" t="s">
        <v>5553</v>
      </c>
      <c r="B7911" s="112" t="s">
        <v>927</v>
      </c>
      <c r="C7911" s="112" t="s">
        <v>1095</v>
      </c>
      <c r="D7911" s="113">
        <v>10348451</v>
      </c>
      <c r="E7911" s="115">
        <v>43949</v>
      </c>
      <c r="F7911" s="114">
        <v>202101</v>
      </c>
      <c r="G7911" s="112" t="s">
        <v>1091</v>
      </c>
      <c r="H7911" s="112" t="s">
        <v>1015</v>
      </c>
      <c r="I7911" s="112" t="s">
        <v>1096</v>
      </c>
      <c r="J7911" s="112" t="s">
        <v>5557</v>
      </c>
      <c r="K7911" s="112" t="s">
        <v>1098</v>
      </c>
      <c r="L7911" s="116">
        <v>210.79</v>
      </c>
    </row>
    <row r="7912" spans="1:12" hidden="1" outlineLevel="1" collapsed="1" x14ac:dyDescent="0.35">
      <c r="A7912" s="112" t="s">
        <v>5553</v>
      </c>
      <c r="B7912" s="112" t="s">
        <v>927</v>
      </c>
      <c r="C7912" s="112" t="s">
        <v>1219</v>
      </c>
      <c r="D7912" s="113">
        <v>46307807</v>
      </c>
      <c r="E7912" s="115">
        <v>43944</v>
      </c>
      <c r="F7912" s="114">
        <v>202101</v>
      </c>
      <c r="G7912" s="112" t="s">
        <v>1091</v>
      </c>
      <c r="H7912" s="112" t="s">
        <v>1015</v>
      </c>
      <c r="I7912" s="112" t="s">
        <v>1605</v>
      </c>
      <c r="J7912" s="112" t="s">
        <v>5554</v>
      </c>
      <c r="K7912" s="112" t="s">
        <v>5555</v>
      </c>
      <c r="L7912" s="116">
        <v>25000</v>
      </c>
    </row>
    <row r="7913" spans="1:12" hidden="1" outlineLevel="1" collapsed="1" x14ac:dyDescent="0.35">
      <c r="A7913" s="112" t="s">
        <v>5553</v>
      </c>
      <c r="B7913" s="112" t="s">
        <v>927</v>
      </c>
      <c r="C7913" s="112" t="s">
        <v>1219</v>
      </c>
      <c r="D7913" s="113">
        <v>46307806</v>
      </c>
      <c r="E7913" s="115">
        <v>43944</v>
      </c>
      <c r="F7913" s="114">
        <v>202101</v>
      </c>
      <c r="G7913" s="112" t="s">
        <v>1091</v>
      </c>
      <c r="H7913" s="112" t="s">
        <v>1015</v>
      </c>
      <c r="I7913" s="112" t="s">
        <v>1605</v>
      </c>
      <c r="J7913" s="112" t="s">
        <v>5554</v>
      </c>
      <c r="K7913" s="112" t="s">
        <v>5555</v>
      </c>
      <c r="L7913" s="116">
        <v>25000</v>
      </c>
    </row>
    <row r="7914" spans="1:12" hidden="1" outlineLevel="1" collapsed="1" x14ac:dyDescent="0.35">
      <c r="A7914" s="112" t="s">
        <v>5553</v>
      </c>
      <c r="B7914" s="112" t="s">
        <v>927</v>
      </c>
      <c r="C7914" s="112" t="s">
        <v>1219</v>
      </c>
      <c r="D7914" s="113">
        <v>46307805</v>
      </c>
      <c r="E7914" s="115">
        <v>43944</v>
      </c>
      <c r="F7914" s="114">
        <v>202101</v>
      </c>
      <c r="G7914" s="112" t="s">
        <v>1091</v>
      </c>
      <c r="H7914" s="112" t="s">
        <v>1015</v>
      </c>
      <c r="I7914" s="112" t="s">
        <v>1605</v>
      </c>
      <c r="J7914" s="112" t="s">
        <v>5554</v>
      </c>
      <c r="K7914" s="112" t="s">
        <v>5555</v>
      </c>
      <c r="L7914" s="116">
        <v>25000</v>
      </c>
    </row>
    <row r="7915" spans="1:12" hidden="1" outlineLevel="1" collapsed="1" x14ac:dyDescent="0.35">
      <c r="A7915" s="112" t="s">
        <v>5553</v>
      </c>
      <c r="B7915" s="112" t="s">
        <v>927</v>
      </c>
      <c r="C7915" s="112" t="s">
        <v>1219</v>
      </c>
      <c r="D7915" s="113">
        <v>46307804</v>
      </c>
      <c r="E7915" s="115">
        <v>43944</v>
      </c>
      <c r="F7915" s="114">
        <v>202101</v>
      </c>
      <c r="G7915" s="112" t="s">
        <v>1091</v>
      </c>
      <c r="H7915" s="112" t="s">
        <v>1015</v>
      </c>
      <c r="I7915" s="112" t="s">
        <v>1605</v>
      </c>
      <c r="J7915" s="112" t="s">
        <v>5554</v>
      </c>
      <c r="K7915" s="112" t="s">
        <v>5556</v>
      </c>
      <c r="L7915" s="116">
        <v>10000</v>
      </c>
    </row>
    <row r="7916" spans="1:12" hidden="1" outlineLevel="1" collapsed="1" x14ac:dyDescent="0.35">
      <c r="A7916" s="112" t="s">
        <v>5553</v>
      </c>
      <c r="B7916" s="112" t="s">
        <v>927</v>
      </c>
      <c r="C7916" s="112" t="s">
        <v>1219</v>
      </c>
      <c r="D7916" s="113">
        <v>46307894</v>
      </c>
      <c r="E7916" s="115">
        <v>43948</v>
      </c>
      <c r="F7916" s="114">
        <v>202101</v>
      </c>
      <c r="G7916" s="112" t="s">
        <v>1091</v>
      </c>
      <c r="H7916" s="112" t="s">
        <v>1015</v>
      </c>
      <c r="I7916" s="112" t="s">
        <v>1605</v>
      </c>
      <c r="J7916" s="112" t="s">
        <v>5554</v>
      </c>
      <c r="K7916" s="112" t="s">
        <v>5556</v>
      </c>
      <c r="L7916" s="116">
        <v>10000</v>
      </c>
    </row>
    <row r="7917" spans="1:12" hidden="1" outlineLevel="1" collapsed="1" x14ac:dyDescent="0.35">
      <c r="A7917" s="112" t="s">
        <v>5553</v>
      </c>
      <c r="B7917" s="112" t="s">
        <v>927</v>
      </c>
      <c r="C7917" s="112" t="s">
        <v>1219</v>
      </c>
      <c r="D7917" s="113">
        <v>46307893</v>
      </c>
      <c r="E7917" s="115">
        <v>43948</v>
      </c>
      <c r="F7917" s="114">
        <v>202101</v>
      </c>
      <c r="G7917" s="112" t="s">
        <v>1091</v>
      </c>
      <c r="H7917" s="112" t="s">
        <v>1015</v>
      </c>
      <c r="I7917" s="112" t="s">
        <v>1605</v>
      </c>
      <c r="J7917" s="112" t="s">
        <v>5554</v>
      </c>
      <c r="K7917" s="112" t="s">
        <v>5555</v>
      </c>
      <c r="L7917" s="116">
        <v>25000</v>
      </c>
    </row>
    <row r="7918" spans="1:12" hidden="1" outlineLevel="1" collapsed="1" x14ac:dyDescent="0.35">
      <c r="A7918" s="112" t="s">
        <v>5553</v>
      </c>
      <c r="B7918" s="112" t="s">
        <v>927</v>
      </c>
      <c r="C7918" s="112" t="s">
        <v>1219</v>
      </c>
      <c r="D7918" s="113">
        <v>46307907</v>
      </c>
      <c r="E7918" s="115">
        <v>43948</v>
      </c>
      <c r="F7918" s="114">
        <v>202101</v>
      </c>
      <c r="G7918" s="112" t="s">
        <v>1091</v>
      </c>
      <c r="H7918" s="112" t="s">
        <v>1015</v>
      </c>
      <c r="I7918" s="112" t="s">
        <v>1605</v>
      </c>
      <c r="J7918" s="112" t="s">
        <v>5554</v>
      </c>
      <c r="K7918" s="112" t="s">
        <v>5556</v>
      </c>
      <c r="L7918" s="116">
        <v>10000</v>
      </c>
    </row>
    <row r="7919" spans="1:12" hidden="1" outlineLevel="1" collapsed="1" x14ac:dyDescent="0.35">
      <c r="A7919" s="112" t="s">
        <v>5553</v>
      </c>
      <c r="B7919" s="112" t="s">
        <v>927</v>
      </c>
      <c r="C7919" s="112" t="s">
        <v>1219</v>
      </c>
      <c r="D7919" s="113">
        <v>46307891</v>
      </c>
      <c r="E7919" s="115">
        <v>43948</v>
      </c>
      <c r="F7919" s="114">
        <v>202101</v>
      </c>
      <c r="G7919" s="112" t="s">
        <v>1091</v>
      </c>
      <c r="H7919" s="112" t="s">
        <v>1015</v>
      </c>
      <c r="I7919" s="112" t="s">
        <v>1605</v>
      </c>
      <c r="J7919" s="112" t="s">
        <v>5554</v>
      </c>
      <c r="K7919" s="112" t="s">
        <v>5555</v>
      </c>
      <c r="L7919" s="116">
        <v>25000</v>
      </c>
    </row>
    <row r="7920" spans="1:12" hidden="1" outlineLevel="1" collapsed="1" x14ac:dyDescent="0.35">
      <c r="A7920" s="112" t="s">
        <v>5553</v>
      </c>
      <c r="B7920" s="112" t="s">
        <v>927</v>
      </c>
      <c r="C7920" s="112" t="s">
        <v>1219</v>
      </c>
      <c r="D7920" s="113">
        <v>46307890</v>
      </c>
      <c r="E7920" s="115">
        <v>43948</v>
      </c>
      <c r="F7920" s="114">
        <v>202101</v>
      </c>
      <c r="G7920" s="112" t="s">
        <v>1091</v>
      </c>
      <c r="H7920" s="112" t="s">
        <v>1015</v>
      </c>
      <c r="I7920" s="112" t="s">
        <v>1605</v>
      </c>
      <c r="J7920" s="112" t="s">
        <v>5554</v>
      </c>
      <c r="K7920" s="112" t="s">
        <v>5555</v>
      </c>
      <c r="L7920" s="116">
        <v>25000</v>
      </c>
    </row>
    <row r="7921" spans="1:12" hidden="1" outlineLevel="1" collapsed="1" x14ac:dyDescent="0.35">
      <c r="A7921" s="112" t="s">
        <v>5553</v>
      </c>
      <c r="B7921" s="112" t="s">
        <v>927</v>
      </c>
      <c r="C7921" s="112" t="s">
        <v>1219</v>
      </c>
      <c r="D7921" s="113">
        <v>46307889</v>
      </c>
      <c r="E7921" s="115">
        <v>43948</v>
      </c>
      <c r="F7921" s="114">
        <v>202101</v>
      </c>
      <c r="G7921" s="112" t="s">
        <v>1091</v>
      </c>
      <c r="H7921" s="112" t="s">
        <v>1015</v>
      </c>
      <c r="I7921" s="112" t="s">
        <v>1605</v>
      </c>
      <c r="J7921" s="112" t="s">
        <v>5554</v>
      </c>
      <c r="K7921" s="112" t="s">
        <v>5556</v>
      </c>
      <c r="L7921" s="116">
        <v>10000</v>
      </c>
    </row>
    <row r="7922" spans="1:12" hidden="1" outlineLevel="1" collapsed="1" x14ac:dyDescent="0.35">
      <c r="A7922" s="112" t="s">
        <v>5553</v>
      </c>
      <c r="B7922" s="112" t="s">
        <v>927</v>
      </c>
      <c r="C7922" s="112" t="s">
        <v>1219</v>
      </c>
      <c r="D7922" s="113">
        <v>46307888</v>
      </c>
      <c r="E7922" s="115">
        <v>43948</v>
      </c>
      <c r="F7922" s="114">
        <v>202101</v>
      </c>
      <c r="G7922" s="112" t="s">
        <v>1091</v>
      </c>
      <c r="H7922" s="112" t="s">
        <v>1015</v>
      </c>
      <c r="I7922" s="112" t="s">
        <v>1605</v>
      </c>
      <c r="J7922" s="112" t="s">
        <v>5554</v>
      </c>
      <c r="K7922" s="112" t="s">
        <v>5556</v>
      </c>
      <c r="L7922" s="116">
        <v>10000</v>
      </c>
    </row>
    <row r="7923" spans="1:12" hidden="1" outlineLevel="1" collapsed="1" x14ac:dyDescent="0.35">
      <c r="A7923" s="112" t="s">
        <v>5553</v>
      </c>
      <c r="B7923" s="112" t="s">
        <v>927</v>
      </c>
      <c r="C7923" s="112" t="s">
        <v>1219</v>
      </c>
      <c r="D7923" s="113">
        <v>46307887</v>
      </c>
      <c r="E7923" s="115">
        <v>43948</v>
      </c>
      <c r="F7923" s="114">
        <v>202101</v>
      </c>
      <c r="G7923" s="112" t="s">
        <v>1091</v>
      </c>
      <c r="H7923" s="112" t="s">
        <v>1015</v>
      </c>
      <c r="I7923" s="112" t="s">
        <v>1605</v>
      </c>
      <c r="J7923" s="112" t="s">
        <v>5554</v>
      </c>
      <c r="K7923" s="112" t="s">
        <v>5556</v>
      </c>
      <c r="L7923" s="116">
        <v>10000</v>
      </c>
    </row>
    <row r="7924" spans="1:12" hidden="1" outlineLevel="1" collapsed="1" x14ac:dyDescent="0.35">
      <c r="A7924" s="112" t="s">
        <v>5553</v>
      </c>
      <c r="B7924" s="112" t="s">
        <v>927</v>
      </c>
      <c r="C7924" s="112" t="s">
        <v>1219</v>
      </c>
      <c r="D7924" s="113">
        <v>46307886</v>
      </c>
      <c r="E7924" s="115">
        <v>43948</v>
      </c>
      <c r="F7924" s="114">
        <v>202101</v>
      </c>
      <c r="G7924" s="112" t="s">
        <v>1091</v>
      </c>
      <c r="H7924" s="112" t="s">
        <v>1015</v>
      </c>
      <c r="I7924" s="112" t="s">
        <v>1605</v>
      </c>
      <c r="J7924" s="112" t="s">
        <v>5554</v>
      </c>
      <c r="K7924" s="112" t="s">
        <v>5556</v>
      </c>
      <c r="L7924" s="116">
        <v>10000</v>
      </c>
    </row>
    <row r="7925" spans="1:12" hidden="1" outlineLevel="1" collapsed="1" x14ac:dyDescent="0.35">
      <c r="A7925" s="112" t="s">
        <v>5553</v>
      </c>
      <c r="B7925" s="112" t="s">
        <v>927</v>
      </c>
      <c r="C7925" s="112" t="s">
        <v>1219</v>
      </c>
      <c r="D7925" s="113">
        <v>46307885</v>
      </c>
      <c r="E7925" s="115">
        <v>43948</v>
      </c>
      <c r="F7925" s="114">
        <v>202101</v>
      </c>
      <c r="G7925" s="112" t="s">
        <v>1091</v>
      </c>
      <c r="H7925" s="112" t="s">
        <v>1015</v>
      </c>
      <c r="I7925" s="112" t="s">
        <v>1605</v>
      </c>
      <c r="J7925" s="112" t="s">
        <v>5554</v>
      </c>
      <c r="K7925" s="112" t="s">
        <v>5556</v>
      </c>
      <c r="L7925" s="116">
        <v>10000</v>
      </c>
    </row>
    <row r="7926" spans="1:12" hidden="1" outlineLevel="1" collapsed="1" x14ac:dyDescent="0.35">
      <c r="A7926" s="112" t="s">
        <v>5553</v>
      </c>
      <c r="B7926" s="112" t="s">
        <v>927</v>
      </c>
      <c r="C7926" s="112" t="s">
        <v>1219</v>
      </c>
      <c r="D7926" s="113">
        <v>46307884</v>
      </c>
      <c r="E7926" s="115">
        <v>43948</v>
      </c>
      <c r="F7926" s="114">
        <v>202101</v>
      </c>
      <c r="G7926" s="112" t="s">
        <v>1091</v>
      </c>
      <c r="H7926" s="112" t="s">
        <v>1015</v>
      </c>
      <c r="I7926" s="112" t="s">
        <v>1605</v>
      </c>
      <c r="J7926" s="112" t="s">
        <v>5554</v>
      </c>
      <c r="K7926" s="112" t="s">
        <v>5556</v>
      </c>
      <c r="L7926" s="116">
        <v>10000</v>
      </c>
    </row>
    <row r="7927" spans="1:12" hidden="1" outlineLevel="1" collapsed="1" x14ac:dyDescent="0.35">
      <c r="A7927" s="112" t="s">
        <v>5553</v>
      </c>
      <c r="B7927" s="112" t="s">
        <v>927</v>
      </c>
      <c r="C7927" s="112" t="s">
        <v>1219</v>
      </c>
      <c r="D7927" s="113">
        <v>46307883</v>
      </c>
      <c r="E7927" s="115">
        <v>43948</v>
      </c>
      <c r="F7927" s="114">
        <v>202101</v>
      </c>
      <c r="G7927" s="112" t="s">
        <v>1091</v>
      </c>
      <c r="H7927" s="112" t="s">
        <v>1015</v>
      </c>
      <c r="I7927" s="112" t="s">
        <v>1605</v>
      </c>
      <c r="J7927" s="112" t="s">
        <v>5554</v>
      </c>
      <c r="K7927" s="112" t="s">
        <v>5555</v>
      </c>
      <c r="L7927" s="116">
        <v>25000</v>
      </c>
    </row>
    <row r="7928" spans="1:12" hidden="1" outlineLevel="1" collapsed="1" x14ac:dyDescent="0.35">
      <c r="A7928" s="112" t="s">
        <v>5553</v>
      </c>
      <c r="B7928" s="112" t="s">
        <v>927</v>
      </c>
      <c r="C7928" s="112" t="s">
        <v>1219</v>
      </c>
      <c r="D7928" s="113">
        <v>46307882</v>
      </c>
      <c r="E7928" s="115">
        <v>43948</v>
      </c>
      <c r="F7928" s="114">
        <v>202101</v>
      </c>
      <c r="G7928" s="112" t="s">
        <v>1091</v>
      </c>
      <c r="H7928" s="112" t="s">
        <v>1015</v>
      </c>
      <c r="I7928" s="112" t="s">
        <v>1605</v>
      </c>
      <c r="J7928" s="112" t="s">
        <v>5554</v>
      </c>
      <c r="K7928" s="112" t="s">
        <v>5555</v>
      </c>
      <c r="L7928" s="116">
        <v>10000</v>
      </c>
    </row>
    <row r="7929" spans="1:12" hidden="1" outlineLevel="1" collapsed="1" x14ac:dyDescent="0.35">
      <c r="A7929" s="112" t="s">
        <v>5553</v>
      </c>
      <c r="B7929" s="112" t="s">
        <v>927</v>
      </c>
      <c r="C7929" s="112" t="s">
        <v>1219</v>
      </c>
      <c r="D7929" s="113">
        <v>46307881</v>
      </c>
      <c r="E7929" s="115">
        <v>43948</v>
      </c>
      <c r="F7929" s="114">
        <v>202101</v>
      </c>
      <c r="G7929" s="112" t="s">
        <v>1091</v>
      </c>
      <c r="H7929" s="112" t="s">
        <v>1015</v>
      </c>
      <c r="I7929" s="112" t="s">
        <v>1605</v>
      </c>
      <c r="J7929" s="112" t="s">
        <v>5554</v>
      </c>
      <c r="K7929" s="112" t="s">
        <v>5555</v>
      </c>
      <c r="L7929" s="116">
        <v>25000</v>
      </c>
    </row>
    <row r="7930" spans="1:12" hidden="1" outlineLevel="1" collapsed="1" x14ac:dyDescent="0.35">
      <c r="A7930" s="112" t="s">
        <v>5553</v>
      </c>
      <c r="B7930" s="112" t="s">
        <v>927</v>
      </c>
      <c r="C7930" s="112" t="s">
        <v>1219</v>
      </c>
      <c r="D7930" s="113">
        <v>46307880</v>
      </c>
      <c r="E7930" s="115">
        <v>43948</v>
      </c>
      <c r="F7930" s="114">
        <v>202101</v>
      </c>
      <c r="G7930" s="112" t="s">
        <v>1091</v>
      </c>
      <c r="H7930" s="112" t="s">
        <v>1015</v>
      </c>
      <c r="I7930" s="112" t="s">
        <v>1605</v>
      </c>
      <c r="J7930" s="112" t="s">
        <v>5554</v>
      </c>
      <c r="K7930" s="112" t="s">
        <v>5556</v>
      </c>
      <c r="L7930" s="116">
        <v>10000</v>
      </c>
    </row>
    <row r="7931" spans="1:12" hidden="1" outlineLevel="1" collapsed="1" x14ac:dyDescent="0.35">
      <c r="A7931" s="112" t="s">
        <v>5553</v>
      </c>
      <c r="B7931" s="112" t="s">
        <v>927</v>
      </c>
      <c r="C7931" s="112" t="s">
        <v>1219</v>
      </c>
      <c r="D7931" s="113">
        <v>46307879</v>
      </c>
      <c r="E7931" s="115">
        <v>43948</v>
      </c>
      <c r="F7931" s="114">
        <v>202101</v>
      </c>
      <c r="G7931" s="112" t="s">
        <v>1091</v>
      </c>
      <c r="H7931" s="112" t="s">
        <v>1015</v>
      </c>
      <c r="I7931" s="112" t="s">
        <v>1605</v>
      </c>
      <c r="J7931" s="112" t="s">
        <v>5554</v>
      </c>
      <c r="K7931" s="112" t="s">
        <v>5556</v>
      </c>
      <c r="L7931" s="116">
        <v>10000</v>
      </c>
    </row>
    <row r="7932" spans="1:12" hidden="1" outlineLevel="1" collapsed="1" x14ac:dyDescent="0.35">
      <c r="A7932" s="112" t="s">
        <v>5553</v>
      </c>
      <c r="B7932" s="112" t="s">
        <v>927</v>
      </c>
      <c r="C7932" s="112" t="s">
        <v>1219</v>
      </c>
      <c r="D7932" s="113">
        <v>46307878</v>
      </c>
      <c r="E7932" s="115">
        <v>43948</v>
      </c>
      <c r="F7932" s="114">
        <v>202101</v>
      </c>
      <c r="G7932" s="112" t="s">
        <v>1091</v>
      </c>
      <c r="H7932" s="112" t="s">
        <v>1015</v>
      </c>
      <c r="I7932" s="112" t="s">
        <v>1605</v>
      </c>
      <c r="J7932" s="112" t="s">
        <v>5554</v>
      </c>
      <c r="K7932" s="112" t="s">
        <v>5555</v>
      </c>
      <c r="L7932" s="116">
        <v>10000</v>
      </c>
    </row>
    <row r="7933" spans="1:12" hidden="1" outlineLevel="1" collapsed="1" x14ac:dyDescent="0.35">
      <c r="A7933" s="112" t="s">
        <v>5553</v>
      </c>
      <c r="B7933" s="112" t="s">
        <v>927</v>
      </c>
      <c r="C7933" s="112" t="s">
        <v>1219</v>
      </c>
      <c r="D7933" s="113">
        <v>46307877</v>
      </c>
      <c r="E7933" s="115">
        <v>43948</v>
      </c>
      <c r="F7933" s="114">
        <v>202101</v>
      </c>
      <c r="G7933" s="112" t="s">
        <v>1091</v>
      </c>
      <c r="H7933" s="112" t="s">
        <v>1015</v>
      </c>
      <c r="I7933" s="112" t="s">
        <v>1605</v>
      </c>
      <c r="J7933" s="112" t="s">
        <v>5554</v>
      </c>
      <c r="K7933" s="112" t="s">
        <v>5556</v>
      </c>
      <c r="L7933" s="116">
        <v>10000</v>
      </c>
    </row>
    <row r="7934" spans="1:12" hidden="1" outlineLevel="1" collapsed="1" x14ac:dyDescent="0.35">
      <c r="A7934" s="112" t="s">
        <v>5553</v>
      </c>
      <c r="B7934" s="112" t="s">
        <v>927</v>
      </c>
      <c r="C7934" s="112" t="s">
        <v>1219</v>
      </c>
      <c r="D7934" s="113">
        <v>46307876</v>
      </c>
      <c r="E7934" s="115">
        <v>43948</v>
      </c>
      <c r="F7934" s="114">
        <v>202101</v>
      </c>
      <c r="G7934" s="112" t="s">
        <v>1091</v>
      </c>
      <c r="H7934" s="112" t="s">
        <v>1015</v>
      </c>
      <c r="I7934" s="112" t="s">
        <v>1605</v>
      </c>
      <c r="J7934" s="112" t="s">
        <v>5554</v>
      </c>
      <c r="K7934" s="112" t="s">
        <v>5556</v>
      </c>
      <c r="L7934" s="116">
        <v>10000</v>
      </c>
    </row>
    <row r="7935" spans="1:12" hidden="1" outlineLevel="1" collapsed="1" x14ac:dyDescent="0.35">
      <c r="A7935" s="112" t="s">
        <v>5553</v>
      </c>
      <c r="B7935" s="112" t="s">
        <v>927</v>
      </c>
      <c r="C7935" s="112" t="s">
        <v>1219</v>
      </c>
      <c r="D7935" s="113">
        <v>46307875</v>
      </c>
      <c r="E7935" s="115">
        <v>43948</v>
      </c>
      <c r="F7935" s="114">
        <v>202101</v>
      </c>
      <c r="G7935" s="112" t="s">
        <v>1091</v>
      </c>
      <c r="H7935" s="112" t="s">
        <v>1015</v>
      </c>
      <c r="I7935" s="112" t="s">
        <v>1605</v>
      </c>
      <c r="J7935" s="112" t="s">
        <v>5554</v>
      </c>
      <c r="K7935" s="112" t="s">
        <v>5555</v>
      </c>
      <c r="L7935" s="116">
        <v>25000</v>
      </c>
    </row>
    <row r="7936" spans="1:12" hidden="1" outlineLevel="1" collapsed="1" x14ac:dyDescent="0.35">
      <c r="A7936" s="112" t="s">
        <v>5553</v>
      </c>
      <c r="B7936" s="112" t="s">
        <v>927</v>
      </c>
      <c r="C7936" s="112" t="s">
        <v>1219</v>
      </c>
      <c r="D7936" s="113">
        <v>46307874</v>
      </c>
      <c r="E7936" s="115">
        <v>43948</v>
      </c>
      <c r="F7936" s="114">
        <v>202101</v>
      </c>
      <c r="G7936" s="112" t="s">
        <v>1091</v>
      </c>
      <c r="H7936" s="112" t="s">
        <v>1015</v>
      </c>
      <c r="I7936" s="112" t="s">
        <v>1605</v>
      </c>
      <c r="J7936" s="112" t="s">
        <v>5554</v>
      </c>
      <c r="K7936" s="112" t="s">
        <v>5555</v>
      </c>
      <c r="L7936" s="116">
        <v>10000</v>
      </c>
    </row>
    <row r="7937" spans="1:12" hidden="1" outlineLevel="1" collapsed="1" x14ac:dyDescent="0.35">
      <c r="A7937" s="112" t="s">
        <v>5553</v>
      </c>
      <c r="B7937" s="112" t="s">
        <v>927</v>
      </c>
      <c r="C7937" s="112" t="s">
        <v>1219</v>
      </c>
      <c r="D7937" s="113">
        <v>46307803</v>
      </c>
      <c r="E7937" s="115">
        <v>43944</v>
      </c>
      <c r="F7937" s="114">
        <v>202101</v>
      </c>
      <c r="G7937" s="112" t="s">
        <v>1091</v>
      </c>
      <c r="H7937" s="112" t="s">
        <v>1015</v>
      </c>
      <c r="I7937" s="112" t="s">
        <v>1605</v>
      </c>
      <c r="J7937" s="112" t="s">
        <v>5554</v>
      </c>
      <c r="K7937" s="112" t="s">
        <v>5556</v>
      </c>
      <c r="L7937" s="116">
        <v>10000</v>
      </c>
    </row>
    <row r="7938" spans="1:12" hidden="1" outlineLevel="1" collapsed="1" x14ac:dyDescent="0.35">
      <c r="A7938" s="112" t="s">
        <v>5553</v>
      </c>
      <c r="B7938" s="112" t="s">
        <v>927</v>
      </c>
      <c r="C7938" s="112" t="s">
        <v>1219</v>
      </c>
      <c r="D7938" s="113">
        <v>46307873</v>
      </c>
      <c r="E7938" s="115">
        <v>43948</v>
      </c>
      <c r="F7938" s="114">
        <v>202101</v>
      </c>
      <c r="G7938" s="112" t="s">
        <v>1091</v>
      </c>
      <c r="H7938" s="112" t="s">
        <v>1015</v>
      </c>
      <c r="I7938" s="112" t="s">
        <v>1605</v>
      </c>
      <c r="J7938" s="112" t="s">
        <v>5554</v>
      </c>
      <c r="K7938" s="112" t="s">
        <v>5555</v>
      </c>
      <c r="L7938" s="116">
        <v>25000</v>
      </c>
    </row>
    <row r="7939" spans="1:12" hidden="1" outlineLevel="1" collapsed="1" x14ac:dyDescent="0.35">
      <c r="A7939" s="112" t="s">
        <v>5553</v>
      </c>
      <c r="B7939" s="112" t="s">
        <v>927</v>
      </c>
      <c r="C7939" s="112" t="s">
        <v>1219</v>
      </c>
      <c r="D7939" s="113">
        <v>46307872</v>
      </c>
      <c r="E7939" s="115">
        <v>43948</v>
      </c>
      <c r="F7939" s="114">
        <v>202101</v>
      </c>
      <c r="G7939" s="112" t="s">
        <v>1091</v>
      </c>
      <c r="H7939" s="112" t="s">
        <v>1015</v>
      </c>
      <c r="I7939" s="112" t="s">
        <v>1605</v>
      </c>
      <c r="J7939" s="112" t="s">
        <v>5554</v>
      </c>
      <c r="K7939" s="112" t="s">
        <v>5556</v>
      </c>
      <c r="L7939" s="116">
        <v>10000</v>
      </c>
    </row>
    <row r="7940" spans="1:12" hidden="1" outlineLevel="1" collapsed="1" x14ac:dyDescent="0.35">
      <c r="A7940" s="112" t="s">
        <v>5553</v>
      </c>
      <c r="B7940" s="112" t="s">
        <v>927</v>
      </c>
      <c r="C7940" s="112" t="s">
        <v>1219</v>
      </c>
      <c r="D7940" s="113">
        <v>46307802</v>
      </c>
      <c r="E7940" s="115">
        <v>43944</v>
      </c>
      <c r="F7940" s="114">
        <v>202101</v>
      </c>
      <c r="G7940" s="112" t="s">
        <v>1091</v>
      </c>
      <c r="H7940" s="112" t="s">
        <v>1015</v>
      </c>
      <c r="I7940" s="112" t="s">
        <v>1605</v>
      </c>
      <c r="J7940" s="112" t="s">
        <v>5554</v>
      </c>
      <c r="K7940" s="112" t="s">
        <v>5556</v>
      </c>
      <c r="L7940" s="116">
        <v>10000</v>
      </c>
    </row>
    <row r="7941" spans="1:12" hidden="1" outlineLevel="1" collapsed="1" x14ac:dyDescent="0.35">
      <c r="A7941" s="112" t="s">
        <v>5553</v>
      </c>
      <c r="B7941" s="112" t="s">
        <v>927</v>
      </c>
      <c r="C7941" s="112" t="s">
        <v>1219</v>
      </c>
      <c r="D7941" s="113">
        <v>46307801</v>
      </c>
      <c r="E7941" s="115">
        <v>43944</v>
      </c>
      <c r="F7941" s="114">
        <v>202101</v>
      </c>
      <c r="G7941" s="112" t="s">
        <v>1091</v>
      </c>
      <c r="H7941" s="112" t="s">
        <v>1015</v>
      </c>
      <c r="I7941" s="112" t="s">
        <v>1605</v>
      </c>
      <c r="J7941" s="112" t="s">
        <v>5554</v>
      </c>
      <c r="K7941" s="112" t="s">
        <v>5556</v>
      </c>
      <c r="L7941" s="116">
        <v>10000</v>
      </c>
    </row>
    <row r="7942" spans="1:12" hidden="1" outlineLevel="1" collapsed="1" x14ac:dyDescent="0.35">
      <c r="A7942" s="112" t="s">
        <v>5553</v>
      </c>
      <c r="B7942" s="112" t="s">
        <v>927</v>
      </c>
      <c r="C7942" s="112" t="s">
        <v>1219</v>
      </c>
      <c r="D7942" s="113">
        <v>46307800</v>
      </c>
      <c r="E7942" s="115">
        <v>43944</v>
      </c>
      <c r="F7942" s="114">
        <v>202101</v>
      </c>
      <c r="G7942" s="112" t="s">
        <v>1091</v>
      </c>
      <c r="H7942" s="112" t="s">
        <v>1015</v>
      </c>
      <c r="I7942" s="112" t="s">
        <v>1605</v>
      </c>
      <c r="J7942" s="112" t="s">
        <v>5554</v>
      </c>
      <c r="K7942" s="112" t="s">
        <v>5555</v>
      </c>
      <c r="L7942" s="116">
        <v>10000</v>
      </c>
    </row>
    <row r="7943" spans="1:12" hidden="1" outlineLevel="1" collapsed="1" x14ac:dyDescent="0.35">
      <c r="A7943" s="112" t="s">
        <v>5553</v>
      </c>
      <c r="B7943" s="112" t="s">
        <v>927</v>
      </c>
      <c r="C7943" s="112" t="s">
        <v>1219</v>
      </c>
      <c r="D7943" s="113">
        <v>46307871</v>
      </c>
      <c r="E7943" s="115">
        <v>43948</v>
      </c>
      <c r="F7943" s="114">
        <v>202101</v>
      </c>
      <c r="G7943" s="112" t="s">
        <v>1091</v>
      </c>
      <c r="H7943" s="112" t="s">
        <v>1015</v>
      </c>
      <c r="I7943" s="112" t="s">
        <v>1605</v>
      </c>
      <c r="J7943" s="112" t="s">
        <v>5554</v>
      </c>
      <c r="K7943" s="112" t="s">
        <v>5556</v>
      </c>
      <c r="L7943" s="116">
        <v>10000</v>
      </c>
    </row>
    <row r="7944" spans="1:12" hidden="1" outlineLevel="1" collapsed="1" x14ac:dyDescent="0.35">
      <c r="A7944" s="112" t="s">
        <v>5553</v>
      </c>
      <c r="B7944" s="112" t="s">
        <v>927</v>
      </c>
      <c r="C7944" s="112" t="s">
        <v>1219</v>
      </c>
      <c r="D7944" s="113">
        <v>46307870</v>
      </c>
      <c r="E7944" s="115">
        <v>43948</v>
      </c>
      <c r="F7944" s="114">
        <v>202101</v>
      </c>
      <c r="G7944" s="112" t="s">
        <v>1091</v>
      </c>
      <c r="H7944" s="112" t="s">
        <v>1015</v>
      </c>
      <c r="I7944" s="112" t="s">
        <v>1605</v>
      </c>
      <c r="J7944" s="112" t="s">
        <v>5554</v>
      </c>
      <c r="K7944" s="112" t="s">
        <v>5556</v>
      </c>
      <c r="L7944" s="116">
        <v>10000</v>
      </c>
    </row>
    <row r="7945" spans="1:12" hidden="1" outlineLevel="1" collapsed="1" x14ac:dyDescent="0.35">
      <c r="A7945" s="112" t="s">
        <v>5553</v>
      </c>
      <c r="B7945" s="112" t="s">
        <v>927</v>
      </c>
      <c r="C7945" s="112" t="s">
        <v>1219</v>
      </c>
      <c r="D7945" s="113">
        <v>46307908</v>
      </c>
      <c r="E7945" s="115">
        <v>43948</v>
      </c>
      <c r="F7945" s="114">
        <v>202101</v>
      </c>
      <c r="G7945" s="112" t="s">
        <v>1091</v>
      </c>
      <c r="H7945" s="112" t="s">
        <v>1015</v>
      </c>
      <c r="I7945" s="112" t="s">
        <v>1605</v>
      </c>
      <c r="J7945" s="112" t="s">
        <v>5554</v>
      </c>
      <c r="K7945" s="112" t="s">
        <v>5555</v>
      </c>
      <c r="L7945" s="116">
        <v>25000</v>
      </c>
    </row>
    <row r="7946" spans="1:12" hidden="1" outlineLevel="1" collapsed="1" x14ac:dyDescent="0.35">
      <c r="A7946" s="112" t="s">
        <v>5553</v>
      </c>
      <c r="B7946" s="112" t="s">
        <v>927</v>
      </c>
      <c r="C7946" s="112" t="s">
        <v>1219</v>
      </c>
      <c r="D7946" s="113">
        <v>46307751</v>
      </c>
      <c r="E7946" s="115">
        <v>43944</v>
      </c>
      <c r="F7946" s="114">
        <v>202101</v>
      </c>
      <c r="G7946" s="112" t="s">
        <v>1091</v>
      </c>
      <c r="H7946" s="112" t="s">
        <v>1015</v>
      </c>
      <c r="I7946" s="112" t="s">
        <v>1605</v>
      </c>
      <c r="J7946" s="112" t="s">
        <v>5554</v>
      </c>
      <c r="K7946" s="112" t="s">
        <v>5556</v>
      </c>
      <c r="L7946" s="116">
        <v>10000</v>
      </c>
    </row>
    <row r="7947" spans="1:12" hidden="1" outlineLevel="1" collapsed="1" x14ac:dyDescent="0.35">
      <c r="A7947" s="112" t="s">
        <v>5553</v>
      </c>
      <c r="B7947" s="112" t="s">
        <v>927</v>
      </c>
      <c r="C7947" s="112" t="s">
        <v>1219</v>
      </c>
      <c r="D7947" s="113">
        <v>46307820</v>
      </c>
      <c r="E7947" s="115">
        <v>43945</v>
      </c>
      <c r="F7947" s="114">
        <v>202101</v>
      </c>
      <c r="G7947" s="112" t="s">
        <v>1091</v>
      </c>
      <c r="H7947" s="112" t="s">
        <v>1015</v>
      </c>
      <c r="I7947" s="112" t="s">
        <v>1605</v>
      </c>
      <c r="J7947" s="112" t="s">
        <v>5554</v>
      </c>
      <c r="K7947" s="112" t="s">
        <v>5556</v>
      </c>
      <c r="L7947" s="116">
        <v>10000</v>
      </c>
    </row>
    <row r="7948" spans="1:12" hidden="1" outlineLevel="1" collapsed="1" x14ac:dyDescent="0.35">
      <c r="A7948" s="112" t="s">
        <v>5553</v>
      </c>
      <c r="B7948" s="112" t="s">
        <v>927</v>
      </c>
      <c r="C7948" s="112" t="s">
        <v>1219</v>
      </c>
      <c r="D7948" s="113">
        <v>46307988</v>
      </c>
      <c r="E7948" s="115">
        <v>43949</v>
      </c>
      <c r="F7948" s="114">
        <v>202101</v>
      </c>
      <c r="G7948" s="112" t="s">
        <v>1091</v>
      </c>
      <c r="H7948" s="112" t="s">
        <v>1015</v>
      </c>
      <c r="I7948" s="112" t="s">
        <v>1605</v>
      </c>
      <c r="J7948" s="112" t="s">
        <v>5554</v>
      </c>
      <c r="K7948" s="112" t="s">
        <v>5556</v>
      </c>
      <c r="L7948" s="116">
        <v>10000</v>
      </c>
    </row>
    <row r="7949" spans="1:12" hidden="1" outlineLevel="1" collapsed="1" x14ac:dyDescent="0.35">
      <c r="A7949" s="112" t="s">
        <v>5553</v>
      </c>
      <c r="B7949" s="112" t="s">
        <v>927</v>
      </c>
      <c r="C7949" s="112" t="s">
        <v>1219</v>
      </c>
      <c r="D7949" s="113">
        <v>46308020</v>
      </c>
      <c r="E7949" s="115">
        <v>43949</v>
      </c>
      <c r="F7949" s="114">
        <v>202101</v>
      </c>
      <c r="G7949" s="112" t="s">
        <v>1091</v>
      </c>
      <c r="H7949" s="112" t="s">
        <v>1015</v>
      </c>
      <c r="I7949" s="112" t="s">
        <v>1605</v>
      </c>
      <c r="J7949" s="112" t="s">
        <v>5554</v>
      </c>
      <c r="K7949" s="112" t="s">
        <v>5555</v>
      </c>
      <c r="L7949" s="116">
        <v>25000</v>
      </c>
    </row>
    <row r="7950" spans="1:12" hidden="1" outlineLevel="1" collapsed="1" x14ac:dyDescent="0.35">
      <c r="A7950" s="112" t="s">
        <v>5553</v>
      </c>
      <c r="B7950" s="112" t="s">
        <v>927</v>
      </c>
      <c r="C7950" s="112" t="s">
        <v>1219</v>
      </c>
      <c r="D7950" s="113">
        <v>46307992</v>
      </c>
      <c r="E7950" s="115">
        <v>43949</v>
      </c>
      <c r="F7950" s="114">
        <v>202101</v>
      </c>
      <c r="G7950" s="112" t="s">
        <v>1091</v>
      </c>
      <c r="H7950" s="112" t="s">
        <v>1015</v>
      </c>
      <c r="I7950" s="112" t="s">
        <v>1605</v>
      </c>
      <c r="J7950" s="112" t="s">
        <v>5554</v>
      </c>
      <c r="K7950" s="112" t="s">
        <v>5555</v>
      </c>
      <c r="L7950" s="116">
        <v>25000</v>
      </c>
    </row>
    <row r="7951" spans="1:12" hidden="1" outlineLevel="1" collapsed="1" x14ac:dyDescent="0.35">
      <c r="A7951" s="112" t="s">
        <v>5553</v>
      </c>
      <c r="B7951" s="112" t="s">
        <v>5561</v>
      </c>
      <c r="C7951" s="112" t="s">
        <v>679</v>
      </c>
      <c r="D7951" s="113">
        <v>10348115</v>
      </c>
      <c r="E7951" s="115">
        <v>43929</v>
      </c>
      <c r="F7951" s="114">
        <v>202101</v>
      </c>
      <c r="G7951" s="112" t="s">
        <v>1091</v>
      </c>
      <c r="H7951" s="112" t="s">
        <v>1016</v>
      </c>
      <c r="I7951" s="112" t="s">
        <v>1131</v>
      </c>
      <c r="J7951" s="112" t="s">
        <v>5614</v>
      </c>
      <c r="K7951" s="112" t="s">
        <v>5615</v>
      </c>
      <c r="L7951" s="116">
        <v>-38700</v>
      </c>
    </row>
    <row r="7952" spans="1:12" hidden="1" outlineLevel="1" collapsed="1" x14ac:dyDescent="0.35">
      <c r="A7952" s="112" t="s">
        <v>5553</v>
      </c>
      <c r="B7952" s="112" t="s">
        <v>5561</v>
      </c>
      <c r="C7952" s="112" t="s">
        <v>679</v>
      </c>
      <c r="D7952" s="113">
        <v>10348115</v>
      </c>
      <c r="E7952" s="115">
        <v>43929</v>
      </c>
      <c r="F7952" s="114">
        <v>202101</v>
      </c>
      <c r="G7952" s="112" t="s">
        <v>1091</v>
      </c>
      <c r="H7952" s="112" t="s">
        <v>1016</v>
      </c>
      <c r="I7952" s="112" t="s">
        <v>1131</v>
      </c>
      <c r="J7952" s="112" t="s">
        <v>5614</v>
      </c>
      <c r="K7952" s="112" t="s">
        <v>5615</v>
      </c>
      <c r="L7952" s="116">
        <v>-38700</v>
      </c>
    </row>
    <row r="7953" spans="1:12" hidden="1" outlineLevel="1" collapsed="1" x14ac:dyDescent="0.35">
      <c r="A7953" s="112" t="s">
        <v>5553</v>
      </c>
      <c r="B7953" s="112" t="s">
        <v>927</v>
      </c>
      <c r="C7953" s="112" t="s">
        <v>1219</v>
      </c>
      <c r="D7953" s="113">
        <v>46308171</v>
      </c>
      <c r="E7953" s="115">
        <v>43951</v>
      </c>
      <c r="F7953" s="114">
        <v>202101</v>
      </c>
      <c r="G7953" s="112" t="s">
        <v>1091</v>
      </c>
      <c r="H7953" s="112" t="s">
        <v>1015</v>
      </c>
      <c r="I7953" s="112" t="s">
        <v>1605</v>
      </c>
      <c r="J7953" s="112" t="s">
        <v>5554</v>
      </c>
      <c r="K7953" s="112" t="s">
        <v>5555</v>
      </c>
      <c r="L7953" s="116">
        <v>25000</v>
      </c>
    </row>
    <row r="7954" spans="1:12" hidden="1" outlineLevel="1" collapsed="1" x14ac:dyDescent="0.35">
      <c r="A7954" s="112" t="s">
        <v>5553</v>
      </c>
      <c r="B7954" s="112" t="s">
        <v>927</v>
      </c>
      <c r="C7954" s="112" t="s">
        <v>1219</v>
      </c>
      <c r="D7954" s="113">
        <v>46308170</v>
      </c>
      <c r="E7954" s="115">
        <v>43951</v>
      </c>
      <c r="F7954" s="114">
        <v>202101</v>
      </c>
      <c r="G7954" s="112" t="s">
        <v>1091</v>
      </c>
      <c r="H7954" s="112" t="s">
        <v>1015</v>
      </c>
      <c r="I7954" s="112" t="s">
        <v>1605</v>
      </c>
      <c r="J7954" s="112" t="s">
        <v>5554</v>
      </c>
      <c r="K7954" s="112" t="s">
        <v>5555</v>
      </c>
      <c r="L7954" s="116">
        <v>25000</v>
      </c>
    </row>
    <row r="7955" spans="1:12" hidden="1" outlineLevel="1" collapsed="1" x14ac:dyDescent="0.35">
      <c r="A7955" s="112" t="s">
        <v>5553</v>
      </c>
      <c r="B7955" s="112" t="s">
        <v>927</v>
      </c>
      <c r="C7955" s="112" t="s">
        <v>1219</v>
      </c>
      <c r="D7955" s="113">
        <v>46308169</v>
      </c>
      <c r="E7955" s="115">
        <v>43951</v>
      </c>
      <c r="F7955" s="114">
        <v>202101</v>
      </c>
      <c r="G7955" s="112" t="s">
        <v>1091</v>
      </c>
      <c r="H7955" s="112" t="s">
        <v>1015</v>
      </c>
      <c r="I7955" s="112" t="s">
        <v>1605</v>
      </c>
      <c r="J7955" s="112" t="s">
        <v>5554</v>
      </c>
      <c r="K7955" s="112" t="s">
        <v>5555</v>
      </c>
      <c r="L7955" s="116">
        <v>25000</v>
      </c>
    </row>
    <row r="7956" spans="1:12" hidden="1" outlineLevel="1" collapsed="1" x14ac:dyDescent="0.35">
      <c r="A7956" s="112" t="s">
        <v>5553</v>
      </c>
      <c r="B7956" s="112" t="s">
        <v>927</v>
      </c>
      <c r="C7956" s="112" t="s">
        <v>1219</v>
      </c>
      <c r="D7956" s="113">
        <v>46308168</v>
      </c>
      <c r="E7956" s="115">
        <v>43951</v>
      </c>
      <c r="F7956" s="114">
        <v>202101</v>
      </c>
      <c r="G7956" s="112" t="s">
        <v>1091</v>
      </c>
      <c r="H7956" s="112" t="s">
        <v>1015</v>
      </c>
      <c r="I7956" s="112" t="s">
        <v>1605</v>
      </c>
      <c r="J7956" s="112" t="s">
        <v>5554</v>
      </c>
      <c r="K7956" s="112" t="s">
        <v>5555</v>
      </c>
      <c r="L7956" s="116">
        <v>25000</v>
      </c>
    </row>
    <row r="7957" spans="1:12" hidden="1" outlineLevel="1" collapsed="1" x14ac:dyDescent="0.35">
      <c r="A7957" s="112" t="s">
        <v>5553</v>
      </c>
      <c r="B7957" s="112" t="s">
        <v>927</v>
      </c>
      <c r="C7957" s="112" t="s">
        <v>1219</v>
      </c>
      <c r="D7957" s="113">
        <v>46308167</v>
      </c>
      <c r="E7957" s="115">
        <v>43951</v>
      </c>
      <c r="F7957" s="114">
        <v>202101</v>
      </c>
      <c r="G7957" s="112" t="s">
        <v>1091</v>
      </c>
      <c r="H7957" s="112" t="s">
        <v>1015</v>
      </c>
      <c r="I7957" s="112" t="s">
        <v>1605</v>
      </c>
      <c r="J7957" s="112" t="s">
        <v>5554</v>
      </c>
      <c r="K7957" s="112" t="s">
        <v>5555</v>
      </c>
      <c r="L7957" s="116">
        <v>25000</v>
      </c>
    </row>
    <row r="7958" spans="1:12" hidden="1" outlineLevel="1" collapsed="1" x14ac:dyDescent="0.35">
      <c r="A7958" s="112" t="s">
        <v>5553</v>
      </c>
      <c r="B7958" s="112" t="s">
        <v>927</v>
      </c>
      <c r="C7958" s="112" t="s">
        <v>1219</v>
      </c>
      <c r="D7958" s="113">
        <v>46308166</v>
      </c>
      <c r="E7958" s="115">
        <v>43951</v>
      </c>
      <c r="F7958" s="114">
        <v>202101</v>
      </c>
      <c r="G7958" s="112" t="s">
        <v>1091</v>
      </c>
      <c r="H7958" s="112" t="s">
        <v>1015</v>
      </c>
      <c r="I7958" s="112" t="s">
        <v>1605</v>
      </c>
      <c r="J7958" s="112" t="s">
        <v>5554</v>
      </c>
      <c r="K7958" s="112" t="s">
        <v>5556</v>
      </c>
      <c r="L7958" s="116">
        <v>10000</v>
      </c>
    </row>
    <row r="7959" spans="1:12" hidden="1" outlineLevel="1" collapsed="1" x14ac:dyDescent="0.35">
      <c r="A7959" s="112" t="s">
        <v>5553</v>
      </c>
      <c r="B7959" s="112" t="s">
        <v>927</v>
      </c>
      <c r="C7959" s="112" t="s">
        <v>1219</v>
      </c>
      <c r="D7959" s="113">
        <v>46308165</v>
      </c>
      <c r="E7959" s="115">
        <v>43951</v>
      </c>
      <c r="F7959" s="114">
        <v>202101</v>
      </c>
      <c r="G7959" s="112" t="s">
        <v>1091</v>
      </c>
      <c r="H7959" s="112" t="s">
        <v>1015</v>
      </c>
      <c r="I7959" s="112" t="s">
        <v>1605</v>
      </c>
      <c r="J7959" s="112" t="s">
        <v>5554</v>
      </c>
      <c r="K7959" s="112" t="s">
        <v>5556</v>
      </c>
      <c r="L7959" s="116">
        <v>10000</v>
      </c>
    </row>
    <row r="7960" spans="1:12" hidden="1" outlineLevel="1" collapsed="1" x14ac:dyDescent="0.35">
      <c r="A7960" s="112" t="s">
        <v>5553</v>
      </c>
      <c r="B7960" s="112" t="s">
        <v>927</v>
      </c>
      <c r="C7960" s="112" t="s">
        <v>1219</v>
      </c>
      <c r="D7960" s="113">
        <v>46308164</v>
      </c>
      <c r="E7960" s="115">
        <v>43951</v>
      </c>
      <c r="F7960" s="114">
        <v>202101</v>
      </c>
      <c r="G7960" s="112" t="s">
        <v>1091</v>
      </c>
      <c r="H7960" s="112" t="s">
        <v>1015</v>
      </c>
      <c r="I7960" s="112" t="s">
        <v>1605</v>
      </c>
      <c r="J7960" s="112" t="s">
        <v>5554</v>
      </c>
      <c r="K7960" s="112" t="s">
        <v>5556</v>
      </c>
      <c r="L7960" s="116">
        <v>10000</v>
      </c>
    </row>
    <row r="7961" spans="1:12" hidden="1" outlineLevel="1" collapsed="1" x14ac:dyDescent="0.35">
      <c r="A7961" s="112" t="s">
        <v>5553</v>
      </c>
      <c r="B7961" s="112" t="s">
        <v>927</v>
      </c>
      <c r="C7961" s="112" t="s">
        <v>1219</v>
      </c>
      <c r="D7961" s="113">
        <v>46308163</v>
      </c>
      <c r="E7961" s="115">
        <v>43951</v>
      </c>
      <c r="F7961" s="114">
        <v>202101</v>
      </c>
      <c r="G7961" s="112" t="s">
        <v>1091</v>
      </c>
      <c r="H7961" s="112" t="s">
        <v>1015</v>
      </c>
      <c r="I7961" s="112" t="s">
        <v>1605</v>
      </c>
      <c r="J7961" s="112" t="s">
        <v>5554</v>
      </c>
      <c r="K7961" s="112" t="s">
        <v>5555</v>
      </c>
      <c r="L7961" s="116">
        <v>25000</v>
      </c>
    </row>
    <row r="7962" spans="1:12" hidden="1" outlineLevel="1" collapsed="1" x14ac:dyDescent="0.35">
      <c r="A7962" s="112" t="s">
        <v>5553</v>
      </c>
      <c r="B7962" s="112" t="s">
        <v>927</v>
      </c>
      <c r="C7962" s="112" t="s">
        <v>1219</v>
      </c>
      <c r="D7962" s="113">
        <v>46308162</v>
      </c>
      <c r="E7962" s="115">
        <v>43951</v>
      </c>
      <c r="F7962" s="114">
        <v>202101</v>
      </c>
      <c r="G7962" s="112" t="s">
        <v>1091</v>
      </c>
      <c r="H7962" s="112" t="s">
        <v>1015</v>
      </c>
      <c r="I7962" s="112" t="s">
        <v>1605</v>
      </c>
      <c r="J7962" s="112" t="s">
        <v>5554</v>
      </c>
      <c r="K7962" s="112" t="s">
        <v>5555</v>
      </c>
      <c r="L7962" s="116">
        <v>25000</v>
      </c>
    </row>
    <row r="7963" spans="1:12" hidden="1" outlineLevel="1" collapsed="1" x14ac:dyDescent="0.35">
      <c r="A7963" s="112" t="s">
        <v>5553</v>
      </c>
      <c r="B7963" s="112" t="s">
        <v>927</v>
      </c>
      <c r="C7963" s="112" t="s">
        <v>1219</v>
      </c>
      <c r="D7963" s="113">
        <v>46308161</v>
      </c>
      <c r="E7963" s="115">
        <v>43951</v>
      </c>
      <c r="F7963" s="114">
        <v>202101</v>
      </c>
      <c r="G7963" s="112" t="s">
        <v>1091</v>
      </c>
      <c r="H7963" s="112" t="s">
        <v>1015</v>
      </c>
      <c r="I7963" s="112" t="s">
        <v>1605</v>
      </c>
      <c r="J7963" s="112" t="s">
        <v>5554</v>
      </c>
      <c r="K7963" s="112" t="s">
        <v>5556</v>
      </c>
      <c r="L7963" s="116">
        <v>10000</v>
      </c>
    </row>
    <row r="7964" spans="1:12" hidden="1" outlineLevel="1" collapsed="1" x14ac:dyDescent="0.35">
      <c r="A7964" s="112" t="s">
        <v>5553</v>
      </c>
      <c r="B7964" s="112" t="s">
        <v>927</v>
      </c>
      <c r="C7964" s="112" t="s">
        <v>1219</v>
      </c>
      <c r="D7964" s="113">
        <v>46308160</v>
      </c>
      <c r="E7964" s="115">
        <v>43951</v>
      </c>
      <c r="F7964" s="114">
        <v>202101</v>
      </c>
      <c r="G7964" s="112" t="s">
        <v>1091</v>
      </c>
      <c r="H7964" s="112" t="s">
        <v>1015</v>
      </c>
      <c r="I7964" s="112" t="s">
        <v>1605</v>
      </c>
      <c r="J7964" s="112" t="s">
        <v>5554</v>
      </c>
      <c r="K7964" s="112" t="s">
        <v>5556</v>
      </c>
      <c r="L7964" s="116">
        <v>10000</v>
      </c>
    </row>
    <row r="7965" spans="1:12" hidden="1" outlineLevel="1" collapsed="1" x14ac:dyDescent="0.35">
      <c r="A7965" s="112" t="s">
        <v>5553</v>
      </c>
      <c r="B7965" s="112" t="s">
        <v>927</v>
      </c>
      <c r="C7965" s="112" t="s">
        <v>1219</v>
      </c>
      <c r="D7965" s="113">
        <v>46308159</v>
      </c>
      <c r="E7965" s="115">
        <v>43951</v>
      </c>
      <c r="F7965" s="114">
        <v>202101</v>
      </c>
      <c r="G7965" s="112" t="s">
        <v>1091</v>
      </c>
      <c r="H7965" s="112" t="s">
        <v>1015</v>
      </c>
      <c r="I7965" s="112" t="s">
        <v>1605</v>
      </c>
      <c r="J7965" s="112" t="s">
        <v>5554</v>
      </c>
      <c r="K7965" s="112" t="s">
        <v>5556</v>
      </c>
      <c r="L7965" s="116">
        <v>10000</v>
      </c>
    </row>
    <row r="7966" spans="1:12" hidden="1" outlineLevel="1" collapsed="1" x14ac:dyDescent="0.35">
      <c r="A7966" s="112" t="s">
        <v>5553</v>
      </c>
      <c r="B7966" s="112" t="s">
        <v>927</v>
      </c>
      <c r="C7966" s="112" t="s">
        <v>1219</v>
      </c>
      <c r="D7966" s="113">
        <v>46308158</v>
      </c>
      <c r="E7966" s="115">
        <v>43951</v>
      </c>
      <c r="F7966" s="114">
        <v>202101</v>
      </c>
      <c r="G7966" s="112" t="s">
        <v>1091</v>
      </c>
      <c r="H7966" s="112" t="s">
        <v>1015</v>
      </c>
      <c r="I7966" s="112" t="s">
        <v>1605</v>
      </c>
      <c r="J7966" s="112" t="s">
        <v>5554</v>
      </c>
      <c r="K7966" s="112" t="s">
        <v>5556</v>
      </c>
      <c r="L7966" s="116">
        <v>10000</v>
      </c>
    </row>
    <row r="7967" spans="1:12" hidden="1" outlineLevel="1" collapsed="1" x14ac:dyDescent="0.35">
      <c r="A7967" s="112" t="s">
        <v>5553</v>
      </c>
      <c r="B7967" s="112" t="s">
        <v>927</v>
      </c>
      <c r="C7967" s="112" t="s">
        <v>1219</v>
      </c>
      <c r="D7967" s="113">
        <v>46307991</v>
      </c>
      <c r="E7967" s="115">
        <v>43949</v>
      </c>
      <c r="F7967" s="114">
        <v>202101</v>
      </c>
      <c r="G7967" s="112" t="s">
        <v>1091</v>
      </c>
      <c r="H7967" s="112" t="s">
        <v>1015</v>
      </c>
      <c r="I7967" s="112" t="s">
        <v>1605</v>
      </c>
      <c r="J7967" s="112" t="s">
        <v>5554</v>
      </c>
      <c r="K7967" s="112" t="s">
        <v>5555</v>
      </c>
      <c r="L7967" s="116">
        <v>25000</v>
      </c>
    </row>
    <row r="7968" spans="1:12" hidden="1" outlineLevel="1" collapsed="1" x14ac:dyDescent="0.35">
      <c r="A7968" s="112" t="s">
        <v>5553</v>
      </c>
      <c r="B7968" s="112" t="s">
        <v>927</v>
      </c>
      <c r="C7968" s="112" t="s">
        <v>1219</v>
      </c>
      <c r="D7968" s="113">
        <v>46307990</v>
      </c>
      <c r="E7968" s="115">
        <v>43949</v>
      </c>
      <c r="F7968" s="114">
        <v>202101</v>
      </c>
      <c r="G7968" s="112" t="s">
        <v>1091</v>
      </c>
      <c r="H7968" s="112" t="s">
        <v>1015</v>
      </c>
      <c r="I7968" s="112" t="s">
        <v>1605</v>
      </c>
      <c r="J7968" s="112" t="s">
        <v>5554</v>
      </c>
      <c r="K7968" s="112" t="s">
        <v>5555</v>
      </c>
      <c r="L7968" s="116">
        <v>10000</v>
      </c>
    </row>
    <row r="7969" spans="1:12" hidden="1" outlineLevel="1" collapsed="1" x14ac:dyDescent="0.35">
      <c r="A7969" s="112" t="s">
        <v>5553</v>
      </c>
      <c r="B7969" s="112" t="s">
        <v>927</v>
      </c>
      <c r="C7969" s="112" t="s">
        <v>695</v>
      </c>
      <c r="D7969" s="113">
        <v>10348034</v>
      </c>
      <c r="E7969" s="115">
        <v>43928</v>
      </c>
      <c r="F7969" s="114">
        <v>202101</v>
      </c>
      <c r="G7969" s="112" t="s">
        <v>1091</v>
      </c>
      <c r="H7969" s="112" t="s">
        <v>1015</v>
      </c>
      <c r="I7969" s="112" t="s">
        <v>1211</v>
      </c>
      <c r="J7969" s="112" t="s">
        <v>5557</v>
      </c>
      <c r="K7969" s="112" t="s">
        <v>5616</v>
      </c>
      <c r="L7969" s="116">
        <v>-3616.78</v>
      </c>
    </row>
    <row r="7970" spans="1:12" hidden="1" outlineLevel="1" collapsed="1" x14ac:dyDescent="0.35">
      <c r="A7970" s="112" t="s">
        <v>5553</v>
      </c>
      <c r="B7970" s="112" t="s">
        <v>927</v>
      </c>
      <c r="C7970" s="112" t="s">
        <v>1219</v>
      </c>
      <c r="D7970" s="113">
        <v>46308157</v>
      </c>
      <c r="E7970" s="115">
        <v>43951</v>
      </c>
      <c r="F7970" s="114">
        <v>202101</v>
      </c>
      <c r="G7970" s="112" t="s">
        <v>1091</v>
      </c>
      <c r="H7970" s="112" t="s">
        <v>1015</v>
      </c>
      <c r="I7970" s="112" t="s">
        <v>1605</v>
      </c>
      <c r="J7970" s="112" t="s">
        <v>5554</v>
      </c>
      <c r="K7970" s="112" t="s">
        <v>5555</v>
      </c>
      <c r="L7970" s="116">
        <v>25000</v>
      </c>
    </row>
    <row r="7971" spans="1:12" hidden="1" outlineLevel="1" collapsed="1" x14ac:dyDescent="0.35">
      <c r="A7971" s="112" t="s">
        <v>5553</v>
      </c>
      <c r="B7971" s="112" t="s">
        <v>927</v>
      </c>
      <c r="C7971" s="112" t="s">
        <v>1219</v>
      </c>
      <c r="D7971" s="113">
        <v>46307989</v>
      </c>
      <c r="E7971" s="115">
        <v>43949</v>
      </c>
      <c r="F7971" s="114">
        <v>202101</v>
      </c>
      <c r="G7971" s="112" t="s">
        <v>1091</v>
      </c>
      <c r="H7971" s="112" t="s">
        <v>1015</v>
      </c>
      <c r="I7971" s="112" t="s">
        <v>1605</v>
      </c>
      <c r="J7971" s="112" t="s">
        <v>5554</v>
      </c>
      <c r="K7971" s="112" t="s">
        <v>5555</v>
      </c>
      <c r="L7971" s="116">
        <v>25000</v>
      </c>
    </row>
    <row r="7972" spans="1:12" hidden="1" outlineLevel="1" collapsed="1" x14ac:dyDescent="0.35">
      <c r="A7972" s="112" t="s">
        <v>5553</v>
      </c>
      <c r="B7972" s="112" t="s">
        <v>927</v>
      </c>
      <c r="C7972" s="112" t="s">
        <v>1219</v>
      </c>
      <c r="D7972" s="113">
        <v>46307134</v>
      </c>
      <c r="E7972" s="115">
        <v>43924</v>
      </c>
      <c r="F7972" s="114">
        <v>202101</v>
      </c>
      <c r="G7972" s="112" t="s">
        <v>1091</v>
      </c>
      <c r="H7972" s="112" t="s">
        <v>1015</v>
      </c>
      <c r="I7972" s="112" t="s">
        <v>1211</v>
      </c>
      <c r="J7972" s="112" t="s">
        <v>5557</v>
      </c>
      <c r="K7972" s="112" t="s">
        <v>1220</v>
      </c>
      <c r="L7972" s="116">
        <v>3616.78</v>
      </c>
    </row>
    <row r="7973" spans="1:12" hidden="1" outlineLevel="1" collapsed="1" x14ac:dyDescent="0.35">
      <c r="A7973" s="112" t="s">
        <v>5553</v>
      </c>
      <c r="B7973" s="112" t="s">
        <v>927</v>
      </c>
      <c r="C7973" s="112" t="s">
        <v>1150</v>
      </c>
      <c r="D7973" s="113">
        <v>10348688</v>
      </c>
      <c r="E7973" s="115">
        <v>43978</v>
      </c>
      <c r="F7973" s="114">
        <v>202101</v>
      </c>
      <c r="G7973" s="112" t="s">
        <v>1091</v>
      </c>
      <c r="H7973" s="112" t="s">
        <v>1015</v>
      </c>
      <c r="I7973" s="112" t="s">
        <v>1211</v>
      </c>
      <c r="J7973" s="112" t="s">
        <v>5557</v>
      </c>
      <c r="K7973" s="112" t="s">
        <v>5617</v>
      </c>
      <c r="L7973" s="116">
        <v>3937.64</v>
      </c>
    </row>
    <row r="7974" spans="1:12" hidden="1" outlineLevel="1" collapsed="1" x14ac:dyDescent="0.35">
      <c r="A7974" s="112" t="s">
        <v>5553</v>
      </c>
      <c r="B7974" s="112" t="s">
        <v>925</v>
      </c>
      <c r="C7974" s="112" t="s">
        <v>695</v>
      </c>
      <c r="D7974" s="113">
        <v>10348034</v>
      </c>
      <c r="E7974" s="115">
        <v>43928</v>
      </c>
      <c r="F7974" s="114">
        <v>202101</v>
      </c>
      <c r="G7974" s="112" t="s">
        <v>1091</v>
      </c>
      <c r="H7974" s="112" t="s">
        <v>1015</v>
      </c>
      <c r="I7974" s="112" t="s">
        <v>1211</v>
      </c>
      <c r="J7974" s="112" t="s">
        <v>5559</v>
      </c>
      <c r="K7974" s="112" t="s">
        <v>5618</v>
      </c>
      <c r="L7974" s="116">
        <v>-3779.01</v>
      </c>
    </row>
    <row r="7975" spans="1:12" hidden="1" outlineLevel="1" collapsed="1" x14ac:dyDescent="0.35">
      <c r="A7975" s="112" t="s">
        <v>5553</v>
      </c>
      <c r="B7975" s="112" t="s">
        <v>927</v>
      </c>
      <c r="C7975" s="112" t="s">
        <v>1219</v>
      </c>
      <c r="D7975" s="113">
        <v>46308021</v>
      </c>
      <c r="E7975" s="115">
        <v>43949</v>
      </c>
      <c r="F7975" s="114">
        <v>202101</v>
      </c>
      <c r="G7975" s="112" t="s">
        <v>1091</v>
      </c>
      <c r="H7975" s="112" t="s">
        <v>1015</v>
      </c>
      <c r="I7975" s="112" t="s">
        <v>1605</v>
      </c>
      <c r="J7975" s="112" t="s">
        <v>5554</v>
      </c>
      <c r="K7975" s="112" t="s">
        <v>5556</v>
      </c>
      <c r="L7975" s="116">
        <v>10000</v>
      </c>
    </row>
    <row r="7976" spans="1:12" hidden="1" outlineLevel="1" collapsed="1" x14ac:dyDescent="0.35">
      <c r="A7976" s="112" t="s">
        <v>5553</v>
      </c>
      <c r="B7976" s="112" t="s">
        <v>924</v>
      </c>
      <c r="C7976" s="112" t="s">
        <v>695</v>
      </c>
      <c r="D7976" s="113">
        <v>10348034</v>
      </c>
      <c r="E7976" s="115">
        <v>43928</v>
      </c>
      <c r="F7976" s="114">
        <v>202101</v>
      </c>
      <c r="G7976" s="112" t="s">
        <v>1091</v>
      </c>
      <c r="H7976" s="112" t="s">
        <v>1015</v>
      </c>
      <c r="I7976" s="112" t="s">
        <v>1211</v>
      </c>
      <c r="J7976" s="112" t="s">
        <v>5558</v>
      </c>
      <c r="K7976" s="112" t="s">
        <v>5619</v>
      </c>
      <c r="L7976" s="116">
        <v>-16050</v>
      </c>
    </row>
    <row r="7977" spans="1:12" hidden="1" outlineLevel="1" collapsed="1" x14ac:dyDescent="0.35">
      <c r="A7977" s="112" t="s">
        <v>5553</v>
      </c>
      <c r="B7977" s="112" t="s">
        <v>927</v>
      </c>
      <c r="C7977" s="112" t="s">
        <v>1219</v>
      </c>
      <c r="D7977" s="113">
        <v>46307975</v>
      </c>
      <c r="E7977" s="115">
        <v>43949</v>
      </c>
      <c r="F7977" s="114">
        <v>202101</v>
      </c>
      <c r="G7977" s="112" t="s">
        <v>1091</v>
      </c>
      <c r="H7977" s="112" t="s">
        <v>1015</v>
      </c>
      <c r="I7977" s="112" t="s">
        <v>1605</v>
      </c>
      <c r="J7977" s="112" t="s">
        <v>5554</v>
      </c>
      <c r="K7977" s="112" t="s">
        <v>5555</v>
      </c>
      <c r="L7977" s="116">
        <v>25000</v>
      </c>
    </row>
    <row r="7978" spans="1:12" hidden="1" outlineLevel="1" collapsed="1" x14ac:dyDescent="0.35">
      <c r="A7978" s="112" t="s">
        <v>5553</v>
      </c>
      <c r="B7978" s="112" t="s">
        <v>927</v>
      </c>
      <c r="C7978" s="112" t="s">
        <v>1219</v>
      </c>
      <c r="D7978" s="113">
        <v>46307976</v>
      </c>
      <c r="E7978" s="115">
        <v>43949</v>
      </c>
      <c r="F7978" s="114">
        <v>202101</v>
      </c>
      <c r="G7978" s="112" t="s">
        <v>1091</v>
      </c>
      <c r="H7978" s="112" t="s">
        <v>1015</v>
      </c>
      <c r="I7978" s="112" t="s">
        <v>1605</v>
      </c>
      <c r="J7978" s="112" t="s">
        <v>5554</v>
      </c>
      <c r="K7978" s="112" t="s">
        <v>5556</v>
      </c>
      <c r="L7978" s="116">
        <v>10000</v>
      </c>
    </row>
    <row r="7979" spans="1:12" hidden="1" outlineLevel="1" collapsed="1" x14ac:dyDescent="0.35">
      <c r="A7979" s="112" t="s">
        <v>5553</v>
      </c>
      <c r="B7979" s="112" t="s">
        <v>927</v>
      </c>
      <c r="C7979" s="112" t="s">
        <v>1219</v>
      </c>
      <c r="D7979" s="113">
        <v>46307977</v>
      </c>
      <c r="E7979" s="115">
        <v>43949</v>
      </c>
      <c r="F7979" s="114">
        <v>202101</v>
      </c>
      <c r="G7979" s="112" t="s">
        <v>1091</v>
      </c>
      <c r="H7979" s="112" t="s">
        <v>1015</v>
      </c>
      <c r="I7979" s="112" t="s">
        <v>1605</v>
      </c>
      <c r="J7979" s="112" t="s">
        <v>5554</v>
      </c>
      <c r="K7979" s="112" t="s">
        <v>5555</v>
      </c>
      <c r="L7979" s="116">
        <v>10000</v>
      </c>
    </row>
    <row r="7980" spans="1:12" hidden="1" outlineLevel="1" collapsed="1" x14ac:dyDescent="0.35">
      <c r="A7980" s="112" t="s">
        <v>5553</v>
      </c>
      <c r="B7980" s="112" t="s">
        <v>927</v>
      </c>
      <c r="C7980" s="112" t="s">
        <v>1219</v>
      </c>
      <c r="D7980" s="113">
        <v>46307978</v>
      </c>
      <c r="E7980" s="115">
        <v>43949</v>
      </c>
      <c r="F7980" s="114">
        <v>202101</v>
      </c>
      <c r="G7980" s="112" t="s">
        <v>1091</v>
      </c>
      <c r="H7980" s="112" t="s">
        <v>1015</v>
      </c>
      <c r="I7980" s="112" t="s">
        <v>1605</v>
      </c>
      <c r="J7980" s="112" t="s">
        <v>5554</v>
      </c>
      <c r="K7980" s="112" t="s">
        <v>5555</v>
      </c>
      <c r="L7980" s="116">
        <v>25000</v>
      </c>
    </row>
    <row r="7981" spans="1:12" hidden="1" outlineLevel="1" collapsed="1" x14ac:dyDescent="0.35">
      <c r="A7981" s="112" t="s">
        <v>5553</v>
      </c>
      <c r="B7981" s="112" t="s">
        <v>927</v>
      </c>
      <c r="C7981" s="112" t="s">
        <v>1219</v>
      </c>
      <c r="D7981" s="113">
        <v>46307979</v>
      </c>
      <c r="E7981" s="115">
        <v>43949</v>
      </c>
      <c r="F7981" s="114">
        <v>202101</v>
      </c>
      <c r="G7981" s="112" t="s">
        <v>1091</v>
      </c>
      <c r="H7981" s="112" t="s">
        <v>1015</v>
      </c>
      <c r="I7981" s="112" t="s">
        <v>1605</v>
      </c>
      <c r="J7981" s="112" t="s">
        <v>5554</v>
      </c>
      <c r="K7981" s="112" t="s">
        <v>5555</v>
      </c>
      <c r="L7981" s="116">
        <v>10000</v>
      </c>
    </row>
    <row r="7982" spans="1:12" hidden="1" outlineLevel="1" collapsed="1" x14ac:dyDescent="0.35">
      <c r="A7982" s="112" t="s">
        <v>5553</v>
      </c>
      <c r="B7982" s="112" t="s">
        <v>927</v>
      </c>
      <c r="C7982" s="112" t="s">
        <v>1219</v>
      </c>
      <c r="D7982" s="113">
        <v>46308152</v>
      </c>
      <c r="E7982" s="115">
        <v>43951</v>
      </c>
      <c r="F7982" s="114">
        <v>202101</v>
      </c>
      <c r="G7982" s="112" t="s">
        <v>1091</v>
      </c>
      <c r="H7982" s="112" t="s">
        <v>1015</v>
      </c>
      <c r="I7982" s="112" t="s">
        <v>1605</v>
      </c>
      <c r="J7982" s="112" t="s">
        <v>5554</v>
      </c>
      <c r="K7982" s="112" t="s">
        <v>5556</v>
      </c>
      <c r="L7982" s="116">
        <v>10000</v>
      </c>
    </row>
    <row r="7983" spans="1:12" hidden="1" outlineLevel="1" collapsed="1" x14ac:dyDescent="0.35">
      <c r="A7983" s="112" t="s">
        <v>5553</v>
      </c>
      <c r="B7983" s="112" t="s">
        <v>927</v>
      </c>
      <c r="C7983" s="112" t="s">
        <v>1219</v>
      </c>
      <c r="D7983" s="113">
        <v>46308153</v>
      </c>
      <c r="E7983" s="115">
        <v>43951</v>
      </c>
      <c r="F7983" s="114">
        <v>202101</v>
      </c>
      <c r="G7983" s="112" t="s">
        <v>1091</v>
      </c>
      <c r="H7983" s="112" t="s">
        <v>1015</v>
      </c>
      <c r="I7983" s="112" t="s">
        <v>1605</v>
      </c>
      <c r="J7983" s="112" t="s">
        <v>5554</v>
      </c>
      <c r="K7983" s="112" t="s">
        <v>5556</v>
      </c>
      <c r="L7983" s="116">
        <v>10000</v>
      </c>
    </row>
    <row r="7984" spans="1:12" hidden="1" outlineLevel="1" collapsed="1" x14ac:dyDescent="0.35">
      <c r="A7984" s="112" t="s">
        <v>5553</v>
      </c>
      <c r="B7984" s="112" t="s">
        <v>927</v>
      </c>
      <c r="C7984" s="112" t="s">
        <v>1219</v>
      </c>
      <c r="D7984" s="113">
        <v>46308154</v>
      </c>
      <c r="E7984" s="115">
        <v>43951</v>
      </c>
      <c r="F7984" s="114">
        <v>202101</v>
      </c>
      <c r="G7984" s="112" t="s">
        <v>1091</v>
      </c>
      <c r="H7984" s="112" t="s">
        <v>1015</v>
      </c>
      <c r="I7984" s="112" t="s">
        <v>1605</v>
      </c>
      <c r="J7984" s="112" t="s">
        <v>5554</v>
      </c>
      <c r="K7984" s="112" t="s">
        <v>5556</v>
      </c>
      <c r="L7984" s="116">
        <v>10000</v>
      </c>
    </row>
    <row r="7985" spans="1:12" hidden="1" outlineLevel="1" collapsed="1" x14ac:dyDescent="0.35">
      <c r="A7985" s="112" t="s">
        <v>5553</v>
      </c>
      <c r="B7985" s="112" t="s">
        <v>927</v>
      </c>
      <c r="C7985" s="112" t="s">
        <v>1219</v>
      </c>
      <c r="D7985" s="113">
        <v>46308155</v>
      </c>
      <c r="E7985" s="115">
        <v>43951</v>
      </c>
      <c r="F7985" s="114">
        <v>202101</v>
      </c>
      <c r="G7985" s="112" t="s">
        <v>1091</v>
      </c>
      <c r="H7985" s="112" t="s">
        <v>1015</v>
      </c>
      <c r="I7985" s="112" t="s">
        <v>1605</v>
      </c>
      <c r="J7985" s="112" t="s">
        <v>5554</v>
      </c>
      <c r="K7985" s="112" t="s">
        <v>5556</v>
      </c>
      <c r="L7985" s="116">
        <v>10000</v>
      </c>
    </row>
    <row r="7986" spans="1:12" hidden="1" outlineLevel="1" collapsed="1" x14ac:dyDescent="0.35">
      <c r="A7986" s="112" t="s">
        <v>5553</v>
      </c>
      <c r="B7986" s="112" t="s">
        <v>924</v>
      </c>
      <c r="C7986" s="112" t="s">
        <v>1150</v>
      </c>
      <c r="D7986" s="113">
        <v>10348688</v>
      </c>
      <c r="E7986" s="115">
        <v>43978</v>
      </c>
      <c r="F7986" s="114">
        <v>202101</v>
      </c>
      <c r="G7986" s="112" t="s">
        <v>1091</v>
      </c>
      <c r="H7986" s="112" t="s">
        <v>1015</v>
      </c>
      <c r="I7986" s="112" t="s">
        <v>1211</v>
      </c>
      <c r="J7986" s="112" t="s">
        <v>5558</v>
      </c>
      <c r="K7986" s="112" t="s">
        <v>5620</v>
      </c>
      <c r="L7986" s="116">
        <v>11621.6</v>
      </c>
    </row>
    <row r="7987" spans="1:12" hidden="1" outlineLevel="1" collapsed="1" x14ac:dyDescent="0.35">
      <c r="A7987" s="112" t="s">
        <v>5553</v>
      </c>
      <c r="B7987" s="112" t="s">
        <v>924</v>
      </c>
      <c r="C7987" s="112" t="s">
        <v>1150</v>
      </c>
      <c r="D7987" s="113">
        <v>10348688</v>
      </c>
      <c r="E7987" s="115">
        <v>43978</v>
      </c>
      <c r="F7987" s="114">
        <v>202101</v>
      </c>
      <c r="G7987" s="112" t="s">
        <v>1091</v>
      </c>
      <c r="H7987" s="112" t="s">
        <v>1015</v>
      </c>
      <c r="I7987" s="112" t="s">
        <v>1211</v>
      </c>
      <c r="J7987" s="112" t="s">
        <v>5558</v>
      </c>
      <c r="K7987" s="112" t="s">
        <v>5621</v>
      </c>
      <c r="L7987" s="116">
        <v>3428.09</v>
      </c>
    </row>
    <row r="7988" spans="1:12" hidden="1" outlineLevel="1" collapsed="1" x14ac:dyDescent="0.35">
      <c r="A7988" s="112" t="s">
        <v>5553</v>
      </c>
      <c r="B7988" s="112" t="s">
        <v>927</v>
      </c>
      <c r="C7988" s="112" t="s">
        <v>1219</v>
      </c>
      <c r="D7988" s="113">
        <v>46308156</v>
      </c>
      <c r="E7988" s="115">
        <v>43951</v>
      </c>
      <c r="F7988" s="114">
        <v>202101</v>
      </c>
      <c r="G7988" s="112" t="s">
        <v>1091</v>
      </c>
      <c r="H7988" s="112" t="s">
        <v>1015</v>
      </c>
      <c r="I7988" s="112" t="s">
        <v>1605</v>
      </c>
      <c r="J7988" s="112" t="s">
        <v>5554</v>
      </c>
      <c r="K7988" s="112" t="s">
        <v>5556</v>
      </c>
      <c r="L7988" s="116">
        <v>10000</v>
      </c>
    </row>
    <row r="7989" spans="1:12" hidden="1" outlineLevel="1" collapsed="1" x14ac:dyDescent="0.35">
      <c r="A7989" s="112" t="s">
        <v>5553</v>
      </c>
      <c r="B7989" s="112" t="s">
        <v>927</v>
      </c>
      <c r="C7989" s="112" t="s">
        <v>1219</v>
      </c>
      <c r="D7989" s="113">
        <v>46308151</v>
      </c>
      <c r="E7989" s="115">
        <v>43951</v>
      </c>
      <c r="F7989" s="114">
        <v>202101</v>
      </c>
      <c r="G7989" s="112" t="s">
        <v>1091</v>
      </c>
      <c r="H7989" s="112" t="s">
        <v>1015</v>
      </c>
      <c r="I7989" s="112" t="s">
        <v>1605</v>
      </c>
      <c r="J7989" s="112" t="s">
        <v>5554</v>
      </c>
      <c r="K7989" s="112" t="s">
        <v>5556</v>
      </c>
      <c r="L7989" s="116">
        <v>10000</v>
      </c>
    </row>
    <row r="7990" spans="1:12" hidden="1" outlineLevel="1" collapsed="1" x14ac:dyDescent="0.35">
      <c r="A7990" s="112" t="s">
        <v>5553</v>
      </c>
      <c r="B7990" s="112" t="s">
        <v>924</v>
      </c>
      <c r="C7990" s="112" t="s">
        <v>1219</v>
      </c>
      <c r="D7990" s="113">
        <v>46307134</v>
      </c>
      <c r="E7990" s="115">
        <v>43924</v>
      </c>
      <c r="F7990" s="114">
        <v>202101</v>
      </c>
      <c r="G7990" s="112" t="s">
        <v>1091</v>
      </c>
      <c r="H7990" s="112" t="s">
        <v>1015</v>
      </c>
      <c r="I7990" s="112" t="s">
        <v>1211</v>
      </c>
      <c r="J7990" s="112" t="s">
        <v>5558</v>
      </c>
      <c r="K7990" s="112" t="s">
        <v>1220</v>
      </c>
      <c r="L7990" s="116">
        <v>30663.82</v>
      </c>
    </row>
    <row r="7991" spans="1:12" hidden="1" outlineLevel="1" collapsed="1" x14ac:dyDescent="0.35">
      <c r="A7991" s="112" t="s">
        <v>5553</v>
      </c>
      <c r="B7991" s="112" t="s">
        <v>927</v>
      </c>
      <c r="C7991" s="112" t="s">
        <v>1219</v>
      </c>
      <c r="D7991" s="113">
        <v>46307980</v>
      </c>
      <c r="E7991" s="115">
        <v>43949</v>
      </c>
      <c r="F7991" s="114">
        <v>202101</v>
      </c>
      <c r="G7991" s="112" t="s">
        <v>1091</v>
      </c>
      <c r="H7991" s="112" t="s">
        <v>1015</v>
      </c>
      <c r="I7991" s="112" t="s">
        <v>1605</v>
      </c>
      <c r="J7991" s="112" t="s">
        <v>5554</v>
      </c>
      <c r="K7991" s="112" t="s">
        <v>5555</v>
      </c>
      <c r="L7991" s="116">
        <v>25000</v>
      </c>
    </row>
    <row r="7992" spans="1:12" hidden="1" outlineLevel="1" collapsed="1" x14ac:dyDescent="0.35">
      <c r="A7992" s="112" t="s">
        <v>5553</v>
      </c>
      <c r="B7992" s="112" t="s">
        <v>927</v>
      </c>
      <c r="C7992" s="112" t="s">
        <v>1219</v>
      </c>
      <c r="D7992" s="113">
        <v>46307981</v>
      </c>
      <c r="E7992" s="115">
        <v>43949</v>
      </c>
      <c r="F7992" s="114">
        <v>202101</v>
      </c>
      <c r="G7992" s="112" t="s">
        <v>1091</v>
      </c>
      <c r="H7992" s="112" t="s">
        <v>1015</v>
      </c>
      <c r="I7992" s="112" t="s">
        <v>1605</v>
      </c>
      <c r="J7992" s="112" t="s">
        <v>5554</v>
      </c>
      <c r="K7992" s="112" t="s">
        <v>5556</v>
      </c>
      <c r="L7992" s="116">
        <v>10000</v>
      </c>
    </row>
    <row r="7993" spans="1:12" hidden="1" outlineLevel="1" collapsed="1" x14ac:dyDescent="0.35">
      <c r="A7993" s="112" t="s">
        <v>5553</v>
      </c>
      <c r="B7993" s="112" t="s">
        <v>927</v>
      </c>
      <c r="C7993" s="112" t="s">
        <v>1219</v>
      </c>
      <c r="D7993" s="113">
        <v>46307982</v>
      </c>
      <c r="E7993" s="115">
        <v>43949</v>
      </c>
      <c r="F7993" s="114">
        <v>202101</v>
      </c>
      <c r="G7993" s="112" t="s">
        <v>1091</v>
      </c>
      <c r="H7993" s="112" t="s">
        <v>1015</v>
      </c>
      <c r="I7993" s="112" t="s">
        <v>1605</v>
      </c>
      <c r="J7993" s="112" t="s">
        <v>5554</v>
      </c>
      <c r="K7993" s="112" t="s">
        <v>5556</v>
      </c>
      <c r="L7993" s="116">
        <v>10000</v>
      </c>
    </row>
    <row r="7994" spans="1:12" hidden="1" outlineLevel="1" collapsed="1" x14ac:dyDescent="0.35">
      <c r="A7994" s="112" t="s">
        <v>5553</v>
      </c>
      <c r="B7994" s="112" t="s">
        <v>924</v>
      </c>
      <c r="C7994" s="112" t="s">
        <v>695</v>
      </c>
      <c r="D7994" s="113">
        <v>10348034</v>
      </c>
      <c r="E7994" s="115">
        <v>43928</v>
      </c>
      <c r="F7994" s="114">
        <v>202101</v>
      </c>
      <c r="G7994" s="112" t="s">
        <v>1091</v>
      </c>
      <c r="H7994" s="112" t="s">
        <v>1015</v>
      </c>
      <c r="I7994" s="112" t="s">
        <v>1211</v>
      </c>
      <c r="J7994" s="112" t="s">
        <v>5558</v>
      </c>
      <c r="K7994" s="112" t="s">
        <v>5622</v>
      </c>
      <c r="L7994" s="116">
        <v>-4538.82</v>
      </c>
    </row>
    <row r="7995" spans="1:12" hidden="1" outlineLevel="1" collapsed="1" x14ac:dyDescent="0.35">
      <c r="A7995" s="112" t="s">
        <v>5553</v>
      </c>
      <c r="B7995" s="112" t="s">
        <v>924</v>
      </c>
      <c r="C7995" s="112" t="s">
        <v>695</v>
      </c>
      <c r="D7995" s="113">
        <v>10348034</v>
      </c>
      <c r="E7995" s="115">
        <v>43928</v>
      </c>
      <c r="F7995" s="114">
        <v>202101</v>
      </c>
      <c r="G7995" s="112" t="s">
        <v>1091</v>
      </c>
      <c r="H7995" s="112" t="s">
        <v>1015</v>
      </c>
      <c r="I7995" s="112" t="s">
        <v>1211</v>
      </c>
      <c r="J7995" s="112" t="s">
        <v>5558</v>
      </c>
      <c r="K7995" s="112" t="s">
        <v>5623</v>
      </c>
      <c r="L7995" s="116">
        <v>-10075</v>
      </c>
    </row>
    <row r="7996" spans="1:12" hidden="1" outlineLevel="1" collapsed="1" x14ac:dyDescent="0.35">
      <c r="A7996" s="112" t="s">
        <v>5553</v>
      </c>
      <c r="B7996" s="112" t="s">
        <v>927</v>
      </c>
      <c r="C7996" s="112" t="s">
        <v>1219</v>
      </c>
      <c r="D7996" s="113">
        <v>46307983</v>
      </c>
      <c r="E7996" s="115">
        <v>43949</v>
      </c>
      <c r="F7996" s="114">
        <v>202101</v>
      </c>
      <c r="G7996" s="112" t="s">
        <v>1091</v>
      </c>
      <c r="H7996" s="112" t="s">
        <v>1015</v>
      </c>
      <c r="I7996" s="112" t="s">
        <v>1605</v>
      </c>
      <c r="J7996" s="112" t="s">
        <v>5554</v>
      </c>
      <c r="K7996" s="112" t="s">
        <v>5555</v>
      </c>
      <c r="L7996" s="116">
        <v>10000</v>
      </c>
    </row>
    <row r="7997" spans="1:12" hidden="1" outlineLevel="1" collapsed="1" x14ac:dyDescent="0.35">
      <c r="A7997" s="112" t="s">
        <v>5553</v>
      </c>
      <c r="B7997" s="112" t="s">
        <v>927</v>
      </c>
      <c r="C7997" s="112" t="s">
        <v>1219</v>
      </c>
      <c r="D7997" s="113">
        <v>46307984</v>
      </c>
      <c r="E7997" s="115">
        <v>43949</v>
      </c>
      <c r="F7997" s="114">
        <v>202101</v>
      </c>
      <c r="G7997" s="112" t="s">
        <v>1091</v>
      </c>
      <c r="H7997" s="112" t="s">
        <v>1015</v>
      </c>
      <c r="I7997" s="112" t="s">
        <v>1605</v>
      </c>
      <c r="J7997" s="112" t="s">
        <v>5554</v>
      </c>
      <c r="K7997" s="112" t="s">
        <v>5555</v>
      </c>
      <c r="L7997" s="116">
        <v>25000</v>
      </c>
    </row>
    <row r="7998" spans="1:12" hidden="1" outlineLevel="1" collapsed="1" x14ac:dyDescent="0.35">
      <c r="A7998" s="112" t="s">
        <v>5553</v>
      </c>
      <c r="B7998" s="112" t="s">
        <v>927</v>
      </c>
      <c r="C7998" s="112" t="s">
        <v>1219</v>
      </c>
      <c r="D7998" s="113">
        <v>46307985</v>
      </c>
      <c r="E7998" s="115">
        <v>43949</v>
      </c>
      <c r="F7998" s="114">
        <v>202101</v>
      </c>
      <c r="G7998" s="112" t="s">
        <v>1091</v>
      </c>
      <c r="H7998" s="112" t="s">
        <v>1015</v>
      </c>
      <c r="I7998" s="112" t="s">
        <v>1605</v>
      </c>
      <c r="J7998" s="112" t="s">
        <v>5554</v>
      </c>
      <c r="K7998" s="112" t="s">
        <v>5555</v>
      </c>
      <c r="L7998" s="116">
        <v>25000</v>
      </c>
    </row>
    <row r="7999" spans="1:12" hidden="1" outlineLevel="1" collapsed="1" x14ac:dyDescent="0.35">
      <c r="A7999" s="112" t="s">
        <v>5553</v>
      </c>
      <c r="B7999" s="112" t="s">
        <v>925</v>
      </c>
      <c r="C7999" s="112" t="s">
        <v>1150</v>
      </c>
      <c r="D7999" s="113">
        <v>10348688</v>
      </c>
      <c r="E7999" s="115">
        <v>43978</v>
      </c>
      <c r="F7999" s="114">
        <v>202101</v>
      </c>
      <c r="G7999" s="112" t="s">
        <v>1091</v>
      </c>
      <c r="H7999" s="112" t="s">
        <v>1015</v>
      </c>
      <c r="I7999" s="112" t="s">
        <v>1211</v>
      </c>
      <c r="J7999" s="112" t="s">
        <v>5559</v>
      </c>
      <c r="K7999" s="112" t="s">
        <v>5624</v>
      </c>
      <c r="L7999" s="116">
        <v>2979.88</v>
      </c>
    </row>
    <row r="8000" spans="1:12" hidden="1" outlineLevel="1" collapsed="1" x14ac:dyDescent="0.35">
      <c r="A8000" s="112" t="s">
        <v>5553</v>
      </c>
      <c r="B8000" s="112" t="s">
        <v>925</v>
      </c>
      <c r="C8000" s="112" t="s">
        <v>1219</v>
      </c>
      <c r="D8000" s="113">
        <v>46307134</v>
      </c>
      <c r="E8000" s="115">
        <v>43924</v>
      </c>
      <c r="F8000" s="114">
        <v>202101</v>
      </c>
      <c r="G8000" s="112" t="s">
        <v>1091</v>
      </c>
      <c r="H8000" s="112" t="s">
        <v>1015</v>
      </c>
      <c r="I8000" s="112" t="s">
        <v>1211</v>
      </c>
      <c r="J8000" s="112" t="s">
        <v>5559</v>
      </c>
      <c r="K8000" s="112" t="s">
        <v>1220</v>
      </c>
      <c r="L8000" s="116">
        <v>3779.01</v>
      </c>
    </row>
    <row r="8001" spans="1:12" hidden="1" outlineLevel="1" collapsed="1" x14ac:dyDescent="0.35">
      <c r="A8001" s="112" t="s">
        <v>5553</v>
      </c>
      <c r="B8001" s="112" t="s">
        <v>927</v>
      </c>
      <c r="C8001" s="112" t="s">
        <v>1219</v>
      </c>
      <c r="D8001" s="113">
        <v>46307986</v>
      </c>
      <c r="E8001" s="115">
        <v>43949</v>
      </c>
      <c r="F8001" s="114">
        <v>202101</v>
      </c>
      <c r="G8001" s="112" t="s">
        <v>1091</v>
      </c>
      <c r="H8001" s="112" t="s">
        <v>1015</v>
      </c>
      <c r="I8001" s="112" t="s">
        <v>1605</v>
      </c>
      <c r="J8001" s="112" t="s">
        <v>5554</v>
      </c>
      <c r="K8001" s="112" t="s">
        <v>5556</v>
      </c>
      <c r="L8001" s="116">
        <v>10000</v>
      </c>
    </row>
    <row r="8002" spans="1:12" hidden="1" outlineLevel="1" collapsed="1" x14ac:dyDescent="0.35">
      <c r="A8002" s="112" t="s">
        <v>5553</v>
      </c>
      <c r="B8002" s="112" t="s">
        <v>927</v>
      </c>
      <c r="C8002" s="112" t="s">
        <v>1219</v>
      </c>
      <c r="D8002" s="113">
        <v>46307987</v>
      </c>
      <c r="E8002" s="115">
        <v>43949</v>
      </c>
      <c r="F8002" s="114">
        <v>202101</v>
      </c>
      <c r="G8002" s="112" t="s">
        <v>1091</v>
      </c>
      <c r="H8002" s="112" t="s">
        <v>1015</v>
      </c>
      <c r="I8002" s="112" t="s">
        <v>1605</v>
      </c>
      <c r="J8002" s="112" t="s">
        <v>5554</v>
      </c>
      <c r="K8002" s="112" t="s">
        <v>5555</v>
      </c>
      <c r="L8002" s="116">
        <v>25000</v>
      </c>
    </row>
    <row r="8003" spans="1:12" hidden="1" outlineLevel="1" collapsed="1" x14ac:dyDescent="0.35">
      <c r="A8003" s="112" t="s">
        <v>5553</v>
      </c>
      <c r="B8003" s="112" t="s">
        <v>927</v>
      </c>
      <c r="C8003" s="112" t="s">
        <v>1219</v>
      </c>
      <c r="D8003" s="113">
        <v>46308022</v>
      </c>
      <c r="E8003" s="115">
        <v>43949</v>
      </c>
      <c r="F8003" s="114">
        <v>202101</v>
      </c>
      <c r="G8003" s="112" t="s">
        <v>1091</v>
      </c>
      <c r="H8003" s="112" t="s">
        <v>1015</v>
      </c>
      <c r="I8003" s="112" t="s">
        <v>1605</v>
      </c>
      <c r="J8003" s="112" t="s">
        <v>5554</v>
      </c>
      <c r="K8003" s="112" t="s">
        <v>5555</v>
      </c>
      <c r="L8003" s="116">
        <v>10000</v>
      </c>
    </row>
    <row r="8004" spans="1:12" hidden="1" outlineLevel="1" collapsed="1" x14ac:dyDescent="0.35">
      <c r="A8004" s="112" t="s">
        <v>5553</v>
      </c>
      <c r="B8004" s="112" t="s">
        <v>927</v>
      </c>
      <c r="C8004" s="112" t="s">
        <v>1219</v>
      </c>
      <c r="D8004" s="113">
        <v>46308150</v>
      </c>
      <c r="E8004" s="115">
        <v>43951</v>
      </c>
      <c r="F8004" s="114">
        <v>202101</v>
      </c>
      <c r="G8004" s="112" t="s">
        <v>1091</v>
      </c>
      <c r="H8004" s="112" t="s">
        <v>1015</v>
      </c>
      <c r="I8004" s="112" t="s">
        <v>1605</v>
      </c>
      <c r="J8004" s="112" t="s">
        <v>5554</v>
      </c>
      <c r="K8004" s="112" t="s">
        <v>5556</v>
      </c>
      <c r="L8004" s="116">
        <v>10000</v>
      </c>
    </row>
    <row r="8005" spans="1:12" hidden="1" outlineLevel="1" collapsed="1" x14ac:dyDescent="0.35">
      <c r="A8005" s="112" t="s">
        <v>5553</v>
      </c>
      <c r="B8005" s="112" t="s">
        <v>927</v>
      </c>
      <c r="C8005" s="112" t="s">
        <v>1219</v>
      </c>
      <c r="D8005" s="113">
        <v>46308013</v>
      </c>
      <c r="E8005" s="115">
        <v>43949</v>
      </c>
      <c r="F8005" s="114">
        <v>202101</v>
      </c>
      <c r="G8005" s="112" t="s">
        <v>1091</v>
      </c>
      <c r="H8005" s="112" t="s">
        <v>1015</v>
      </c>
      <c r="I8005" s="112" t="s">
        <v>1605</v>
      </c>
      <c r="J8005" s="112" t="s">
        <v>5554</v>
      </c>
      <c r="K8005" s="112" t="s">
        <v>5555</v>
      </c>
      <c r="L8005" s="116">
        <v>25000</v>
      </c>
    </row>
    <row r="8006" spans="1:12" hidden="1" outlineLevel="1" collapsed="1" x14ac:dyDescent="0.35">
      <c r="A8006" s="112" t="s">
        <v>5553</v>
      </c>
      <c r="B8006" s="112" t="s">
        <v>924</v>
      </c>
      <c r="C8006" s="112" t="s">
        <v>1095</v>
      </c>
      <c r="D8006" s="113">
        <v>10348451</v>
      </c>
      <c r="E8006" s="115">
        <v>43949</v>
      </c>
      <c r="F8006" s="114">
        <v>202101</v>
      </c>
      <c r="G8006" s="112" t="s">
        <v>1091</v>
      </c>
      <c r="H8006" s="112" t="s">
        <v>1015</v>
      </c>
      <c r="I8006" s="112" t="s">
        <v>1113</v>
      </c>
      <c r="J8006" s="112" t="s">
        <v>5558</v>
      </c>
      <c r="K8006" s="112" t="s">
        <v>1098</v>
      </c>
      <c r="L8006" s="116">
        <v>25</v>
      </c>
    </row>
    <row r="8007" spans="1:12" hidden="1" outlineLevel="1" collapsed="1" x14ac:dyDescent="0.35">
      <c r="A8007" s="112" t="s">
        <v>5553</v>
      </c>
      <c r="B8007" s="112" t="s">
        <v>927</v>
      </c>
      <c r="C8007" s="112" t="s">
        <v>1095</v>
      </c>
      <c r="D8007" s="113">
        <v>10348451</v>
      </c>
      <c r="E8007" s="115">
        <v>43949</v>
      </c>
      <c r="F8007" s="114">
        <v>202101</v>
      </c>
      <c r="G8007" s="112" t="s">
        <v>1091</v>
      </c>
      <c r="H8007" s="112" t="s">
        <v>1015</v>
      </c>
      <c r="I8007" s="112" t="s">
        <v>1101</v>
      </c>
      <c r="J8007" s="112" t="s">
        <v>5557</v>
      </c>
      <c r="K8007" s="112" t="s">
        <v>1098</v>
      </c>
      <c r="L8007" s="116">
        <v>483.07</v>
      </c>
    </row>
    <row r="8008" spans="1:12" hidden="1" outlineLevel="1" collapsed="1" x14ac:dyDescent="0.35">
      <c r="A8008" s="112" t="s">
        <v>5553</v>
      </c>
      <c r="B8008" s="112" t="s">
        <v>927</v>
      </c>
      <c r="C8008" s="112" t="s">
        <v>1095</v>
      </c>
      <c r="D8008" s="113">
        <v>10348451</v>
      </c>
      <c r="E8008" s="115">
        <v>43949</v>
      </c>
      <c r="F8008" s="114">
        <v>202101</v>
      </c>
      <c r="G8008" s="112" t="s">
        <v>1091</v>
      </c>
      <c r="H8008" s="112" t="s">
        <v>1015</v>
      </c>
      <c r="I8008" s="112" t="s">
        <v>1096</v>
      </c>
      <c r="J8008" s="112" t="s">
        <v>5557</v>
      </c>
      <c r="K8008" s="112" t="s">
        <v>1098</v>
      </c>
      <c r="L8008" s="116">
        <v>310.49</v>
      </c>
    </row>
    <row r="8009" spans="1:12" hidden="1" outlineLevel="1" collapsed="1" x14ac:dyDescent="0.35">
      <c r="A8009" s="112" t="s">
        <v>5553</v>
      </c>
      <c r="B8009" s="112" t="s">
        <v>927</v>
      </c>
      <c r="C8009" s="112" t="s">
        <v>1099</v>
      </c>
      <c r="D8009" s="113">
        <v>1069520</v>
      </c>
      <c r="E8009" s="115">
        <v>43902</v>
      </c>
      <c r="F8009" s="114">
        <v>202101</v>
      </c>
      <c r="G8009" s="112" t="s">
        <v>1091</v>
      </c>
      <c r="H8009" s="112" t="s">
        <v>1015</v>
      </c>
      <c r="I8009" s="112" t="s">
        <v>769</v>
      </c>
      <c r="J8009" s="112" t="s">
        <v>5554</v>
      </c>
      <c r="K8009" s="112" t="s">
        <v>5625</v>
      </c>
      <c r="L8009" s="116">
        <v>228.04</v>
      </c>
    </row>
    <row r="8010" spans="1:12" hidden="1" outlineLevel="1" collapsed="1" x14ac:dyDescent="0.35">
      <c r="A8010" s="112" t="s">
        <v>5553</v>
      </c>
      <c r="B8010" s="112" t="s">
        <v>927</v>
      </c>
      <c r="C8010" s="112" t="s">
        <v>1099</v>
      </c>
      <c r="D8010" s="113">
        <v>1069520</v>
      </c>
      <c r="E8010" s="115">
        <v>43902</v>
      </c>
      <c r="F8010" s="114">
        <v>202101</v>
      </c>
      <c r="G8010" s="112" t="s">
        <v>1091</v>
      </c>
      <c r="H8010" s="112" t="s">
        <v>1015</v>
      </c>
      <c r="I8010" s="112" t="s">
        <v>769</v>
      </c>
      <c r="J8010" s="112" t="s">
        <v>5557</v>
      </c>
      <c r="K8010" s="112" t="s">
        <v>5625</v>
      </c>
      <c r="L8010" s="116">
        <v>114.02</v>
      </c>
    </row>
    <row r="8011" spans="1:12" hidden="1" outlineLevel="1" collapsed="1" x14ac:dyDescent="0.35">
      <c r="A8011" s="112" t="s">
        <v>5553</v>
      </c>
      <c r="B8011" s="112" t="s">
        <v>926</v>
      </c>
      <c r="C8011" s="112" t="s">
        <v>1099</v>
      </c>
      <c r="D8011" s="113">
        <v>1069372</v>
      </c>
      <c r="E8011" s="115">
        <v>43921</v>
      </c>
      <c r="F8011" s="114">
        <v>202101</v>
      </c>
      <c r="G8011" s="112" t="s">
        <v>1091</v>
      </c>
      <c r="H8011" s="112" t="s">
        <v>1015</v>
      </c>
      <c r="I8011" s="112" t="s">
        <v>5626</v>
      </c>
      <c r="J8011" s="112" t="s">
        <v>5591</v>
      </c>
      <c r="K8011" s="112" t="s">
        <v>5627</v>
      </c>
      <c r="L8011" s="116">
        <v>281.77999999999997</v>
      </c>
    </row>
    <row r="8012" spans="1:12" hidden="1" outlineLevel="1" collapsed="1" x14ac:dyDescent="0.35">
      <c r="A8012" s="112" t="s">
        <v>5553</v>
      </c>
      <c r="B8012" s="112" t="s">
        <v>927</v>
      </c>
      <c r="C8012" s="112" t="s">
        <v>1219</v>
      </c>
      <c r="D8012" s="113">
        <v>46308187</v>
      </c>
      <c r="E8012" s="115">
        <v>43951</v>
      </c>
      <c r="F8012" s="114">
        <v>202101</v>
      </c>
      <c r="G8012" s="112" t="s">
        <v>1091</v>
      </c>
      <c r="H8012" s="112" t="s">
        <v>1015</v>
      </c>
      <c r="I8012" s="112" t="s">
        <v>1605</v>
      </c>
      <c r="J8012" s="112" t="s">
        <v>5554</v>
      </c>
      <c r="K8012" s="112" t="s">
        <v>5555</v>
      </c>
      <c r="L8012" s="116">
        <v>25000</v>
      </c>
    </row>
    <row r="8013" spans="1:12" hidden="1" outlineLevel="1" collapsed="1" x14ac:dyDescent="0.35">
      <c r="A8013" s="112" t="s">
        <v>5553</v>
      </c>
      <c r="B8013" s="112" t="s">
        <v>927</v>
      </c>
      <c r="C8013" s="112" t="s">
        <v>1219</v>
      </c>
      <c r="D8013" s="113">
        <v>46308186</v>
      </c>
      <c r="E8013" s="115">
        <v>43951</v>
      </c>
      <c r="F8013" s="114">
        <v>202101</v>
      </c>
      <c r="G8013" s="112" t="s">
        <v>1091</v>
      </c>
      <c r="H8013" s="112" t="s">
        <v>1015</v>
      </c>
      <c r="I8013" s="112" t="s">
        <v>1605</v>
      </c>
      <c r="J8013" s="112" t="s">
        <v>5554</v>
      </c>
      <c r="K8013" s="112" t="s">
        <v>5555</v>
      </c>
      <c r="L8013" s="116">
        <v>10000</v>
      </c>
    </row>
    <row r="8014" spans="1:12" hidden="1" outlineLevel="1" collapsed="1" x14ac:dyDescent="0.35">
      <c r="A8014" s="112" t="s">
        <v>5553</v>
      </c>
      <c r="B8014" s="112" t="s">
        <v>927</v>
      </c>
      <c r="C8014" s="112" t="s">
        <v>1219</v>
      </c>
      <c r="D8014" s="113">
        <v>46308185</v>
      </c>
      <c r="E8014" s="115">
        <v>43951</v>
      </c>
      <c r="F8014" s="114">
        <v>202101</v>
      </c>
      <c r="G8014" s="112" t="s">
        <v>1091</v>
      </c>
      <c r="H8014" s="112" t="s">
        <v>1015</v>
      </c>
      <c r="I8014" s="112" t="s">
        <v>1605</v>
      </c>
      <c r="J8014" s="112" t="s">
        <v>5554</v>
      </c>
      <c r="K8014" s="112" t="s">
        <v>5556</v>
      </c>
      <c r="L8014" s="116">
        <v>10000</v>
      </c>
    </row>
    <row r="8015" spans="1:12" hidden="1" outlineLevel="1" collapsed="1" x14ac:dyDescent="0.35">
      <c r="A8015" s="112" t="s">
        <v>5553</v>
      </c>
      <c r="B8015" s="112" t="s">
        <v>927</v>
      </c>
      <c r="C8015" s="112" t="s">
        <v>1219</v>
      </c>
      <c r="D8015" s="113">
        <v>46308184</v>
      </c>
      <c r="E8015" s="115">
        <v>43951</v>
      </c>
      <c r="F8015" s="114">
        <v>202101</v>
      </c>
      <c r="G8015" s="112" t="s">
        <v>1091</v>
      </c>
      <c r="H8015" s="112" t="s">
        <v>1015</v>
      </c>
      <c r="I8015" s="112" t="s">
        <v>1605</v>
      </c>
      <c r="J8015" s="112" t="s">
        <v>5554</v>
      </c>
      <c r="K8015" s="112" t="s">
        <v>5556</v>
      </c>
      <c r="L8015" s="116">
        <v>10000</v>
      </c>
    </row>
    <row r="8016" spans="1:12" hidden="1" outlineLevel="1" collapsed="1" x14ac:dyDescent="0.35">
      <c r="A8016" s="112" t="s">
        <v>5553</v>
      </c>
      <c r="B8016" s="112" t="s">
        <v>927</v>
      </c>
      <c r="C8016" s="112" t="s">
        <v>1219</v>
      </c>
      <c r="D8016" s="113">
        <v>46308183</v>
      </c>
      <c r="E8016" s="115">
        <v>43951</v>
      </c>
      <c r="F8016" s="114">
        <v>202101</v>
      </c>
      <c r="G8016" s="112" t="s">
        <v>1091</v>
      </c>
      <c r="H8016" s="112" t="s">
        <v>1015</v>
      </c>
      <c r="I8016" s="112" t="s">
        <v>1605</v>
      </c>
      <c r="J8016" s="112" t="s">
        <v>5554</v>
      </c>
      <c r="K8016" s="112" t="s">
        <v>5555</v>
      </c>
      <c r="L8016" s="116">
        <v>25000</v>
      </c>
    </row>
    <row r="8017" spans="1:12" hidden="1" outlineLevel="1" collapsed="1" x14ac:dyDescent="0.35">
      <c r="A8017" s="112" t="s">
        <v>5553</v>
      </c>
      <c r="B8017" s="112" t="s">
        <v>927</v>
      </c>
      <c r="C8017" s="112" t="s">
        <v>1219</v>
      </c>
      <c r="D8017" s="113">
        <v>46308182</v>
      </c>
      <c r="E8017" s="115">
        <v>43951</v>
      </c>
      <c r="F8017" s="114">
        <v>202101</v>
      </c>
      <c r="G8017" s="112" t="s">
        <v>1091</v>
      </c>
      <c r="H8017" s="112" t="s">
        <v>1015</v>
      </c>
      <c r="I8017" s="112" t="s">
        <v>1605</v>
      </c>
      <c r="J8017" s="112" t="s">
        <v>5554</v>
      </c>
      <c r="K8017" s="112" t="s">
        <v>5556</v>
      </c>
      <c r="L8017" s="116">
        <v>10000</v>
      </c>
    </row>
    <row r="8018" spans="1:12" hidden="1" outlineLevel="1" collapsed="1" x14ac:dyDescent="0.35">
      <c r="A8018" s="112" t="s">
        <v>5553</v>
      </c>
      <c r="B8018" s="112" t="s">
        <v>927</v>
      </c>
      <c r="C8018" s="112" t="s">
        <v>1219</v>
      </c>
      <c r="D8018" s="113">
        <v>46308181</v>
      </c>
      <c r="E8018" s="115">
        <v>43951</v>
      </c>
      <c r="F8018" s="114">
        <v>202101</v>
      </c>
      <c r="G8018" s="112" t="s">
        <v>1091</v>
      </c>
      <c r="H8018" s="112" t="s">
        <v>1015</v>
      </c>
      <c r="I8018" s="112" t="s">
        <v>1605</v>
      </c>
      <c r="J8018" s="112" t="s">
        <v>5554</v>
      </c>
      <c r="K8018" s="112" t="s">
        <v>5555</v>
      </c>
      <c r="L8018" s="116">
        <v>25000</v>
      </c>
    </row>
    <row r="8019" spans="1:12" hidden="1" outlineLevel="1" collapsed="1" x14ac:dyDescent="0.35">
      <c r="A8019" s="112" t="s">
        <v>5553</v>
      </c>
      <c r="B8019" s="112" t="s">
        <v>924</v>
      </c>
      <c r="C8019" s="112" t="s">
        <v>1518</v>
      </c>
      <c r="D8019" s="113">
        <v>51366074</v>
      </c>
      <c r="E8019" s="115">
        <v>43929</v>
      </c>
      <c r="F8019" s="114">
        <v>202101</v>
      </c>
      <c r="G8019" s="112" t="s">
        <v>1091</v>
      </c>
      <c r="H8019" s="112" t="s">
        <v>1016</v>
      </c>
      <c r="I8019" s="112" t="s">
        <v>1328</v>
      </c>
      <c r="J8019" s="112" t="s">
        <v>5558</v>
      </c>
      <c r="K8019" s="112" t="s">
        <v>865</v>
      </c>
      <c r="L8019" s="116">
        <v>-36000</v>
      </c>
    </row>
    <row r="8020" spans="1:12" hidden="1" outlineLevel="1" collapsed="1" x14ac:dyDescent="0.35">
      <c r="A8020" s="112" t="s">
        <v>5553</v>
      </c>
      <c r="B8020" s="112" t="s">
        <v>927</v>
      </c>
      <c r="C8020" s="112" t="s">
        <v>1219</v>
      </c>
      <c r="D8020" s="113">
        <v>46308180</v>
      </c>
      <c r="E8020" s="115">
        <v>43951</v>
      </c>
      <c r="F8020" s="114">
        <v>202101</v>
      </c>
      <c r="G8020" s="112" t="s">
        <v>1091</v>
      </c>
      <c r="H8020" s="112" t="s">
        <v>1015</v>
      </c>
      <c r="I8020" s="112" t="s">
        <v>1605</v>
      </c>
      <c r="J8020" s="112" t="s">
        <v>5554</v>
      </c>
      <c r="K8020" s="112" t="s">
        <v>5556</v>
      </c>
      <c r="L8020" s="116">
        <v>10000</v>
      </c>
    </row>
    <row r="8021" spans="1:12" hidden="1" outlineLevel="1" collapsed="1" x14ac:dyDescent="0.35">
      <c r="A8021" s="112" t="s">
        <v>5553</v>
      </c>
      <c r="B8021" s="112" t="s">
        <v>927</v>
      </c>
      <c r="C8021" s="112" t="s">
        <v>1219</v>
      </c>
      <c r="D8021" s="113">
        <v>46308179</v>
      </c>
      <c r="E8021" s="115">
        <v>43951</v>
      </c>
      <c r="F8021" s="114">
        <v>202101</v>
      </c>
      <c r="G8021" s="112" t="s">
        <v>1091</v>
      </c>
      <c r="H8021" s="112" t="s">
        <v>1015</v>
      </c>
      <c r="I8021" s="112" t="s">
        <v>1605</v>
      </c>
      <c r="J8021" s="112" t="s">
        <v>5554</v>
      </c>
      <c r="K8021" s="112" t="s">
        <v>5555</v>
      </c>
      <c r="L8021" s="116">
        <v>10000</v>
      </c>
    </row>
    <row r="8022" spans="1:12" hidden="1" outlineLevel="1" collapsed="1" x14ac:dyDescent="0.35">
      <c r="A8022" s="112" t="s">
        <v>5553</v>
      </c>
      <c r="B8022" s="112" t="s">
        <v>927</v>
      </c>
      <c r="C8022" s="112" t="s">
        <v>1219</v>
      </c>
      <c r="D8022" s="113">
        <v>46308178</v>
      </c>
      <c r="E8022" s="115">
        <v>43951</v>
      </c>
      <c r="F8022" s="114">
        <v>202101</v>
      </c>
      <c r="G8022" s="112" t="s">
        <v>1091</v>
      </c>
      <c r="H8022" s="112" t="s">
        <v>1015</v>
      </c>
      <c r="I8022" s="112" t="s">
        <v>1605</v>
      </c>
      <c r="J8022" s="112" t="s">
        <v>5554</v>
      </c>
      <c r="K8022" s="112" t="s">
        <v>5555</v>
      </c>
      <c r="L8022" s="116">
        <v>10000</v>
      </c>
    </row>
    <row r="8023" spans="1:12" hidden="1" outlineLevel="1" collapsed="1" x14ac:dyDescent="0.35">
      <c r="A8023" s="112" t="s">
        <v>5553</v>
      </c>
      <c r="B8023" s="112" t="s">
        <v>927</v>
      </c>
      <c r="C8023" s="112" t="s">
        <v>1219</v>
      </c>
      <c r="D8023" s="113">
        <v>46308177</v>
      </c>
      <c r="E8023" s="115">
        <v>43951</v>
      </c>
      <c r="F8023" s="114">
        <v>202101</v>
      </c>
      <c r="G8023" s="112" t="s">
        <v>1091</v>
      </c>
      <c r="H8023" s="112" t="s">
        <v>1015</v>
      </c>
      <c r="I8023" s="112" t="s">
        <v>1605</v>
      </c>
      <c r="J8023" s="112" t="s">
        <v>5554</v>
      </c>
      <c r="K8023" s="112" t="s">
        <v>5556</v>
      </c>
      <c r="L8023" s="116">
        <v>10000</v>
      </c>
    </row>
    <row r="8024" spans="1:12" hidden="1" outlineLevel="1" collapsed="1" x14ac:dyDescent="0.35">
      <c r="A8024" s="112" t="s">
        <v>5553</v>
      </c>
      <c r="B8024" s="112" t="s">
        <v>927</v>
      </c>
      <c r="C8024" s="112" t="s">
        <v>1219</v>
      </c>
      <c r="D8024" s="113">
        <v>46308176</v>
      </c>
      <c r="E8024" s="115">
        <v>43951</v>
      </c>
      <c r="F8024" s="114">
        <v>202101</v>
      </c>
      <c r="G8024" s="112" t="s">
        <v>1091</v>
      </c>
      <c r="H8024" s="112" t="s">
        <v>1015</v>
      </c>
      <c r="I8024" s="112" t="s">
        <v>1605</v>
      </c>
      <c r="J8024" s="112" t="s">
        <v>5554</v>
      </c>
      <c r="K8024" s="112" t="s">
        <v>5555</v>
      </c>
      <c r="L8024" s="116">
        <v>25000</v>
      </c>
    </row>
    <row r="8025" spans="1:12" hidden="1" outlineLevel="1" collapsed="1" x14ac:dyDescent="0.35">
      <c r="A8025" s="112" t="s">
        <v>5553</v>
      </c>
      <c r="B8025" s="112" t="s">
        <v>927</v>
      </c>
      <c r="C8025" s="112" t="s">
        <v>1219</v>
      </c>
      <c r="D8025" s="113">
        <v>46308175</v>
      </c>
      <c r="E8025" s="115">
        <v>43951</v>
      </c>
      <c r="F8025" s="114">
        <v>202101</v>
      </c>
      <c r="G8025" s="112" t="s">
        <v>1091</v>
      </c>
      <c r="H8025" s="112" t="s">
        <v>1015</v>
      </c>
      <c r="I8025" s="112" t="s">
        <v>1605</v>
      </c>
      <c r="J8025" s="112" t="s">
        <v>5554</v>
      </c>
      <c r="K8025" s="112" t="s">
        <v>5555</v>
      </c>
      <c r="L8025" s="116">
        <v>10000</v>
      </c>
    </row>
    <row r="8026" spans="1:12" hidden="1" outlineLevel="1" collapsed="1" x14ac:dyDescent="0.35">
      <c r="A8026" s="112" t="s">
        <v>5553</v>
      </c>
      <c r="B8026" s="112" t="s">
        <v>927</v>
      </c>
      <c r="C8026" s="112" t="s">
        <v>1219</v>
      </c>
      <c r="D8026" s="113">
        <v>46308019</v>
      </c>
      <c r="E8026" s="115">
        <v>43949</v>
      </c>
      <c r="F8026" s="114">
        <v>202101</v>
      </c>
      <c r="G8026" s="112" t="s">
        <v>1091</v>
      </c>
      <c r="H8026" s="112" t="s">
        <v>1015</v>
      </c>
      <c r="I8026" s="112" t="s">
        <v>1605</v>
      </c>
      <c r="J8026" s="112" t="s">
        <v>5554</v>
      </c>
      <c r="K8026" s="112" t="s">
        <v>5556</v>
      </c>
      <c r="L8026" s="116">
        <v>10000</v>
      </c>
    </row>
    <row r="8027" spans="1:12" hidden="1" outlineLevel="1" collapsed="1" x14ac:dyDescent="0.35">
      <c r="A8027" s="112" t="s">
        <v>5553</v>
      </c>
      <c r="B8027" s="112" t="s">
        <v>927</v>
      </c>
      <c r="C8027" s="112" t="s">
        <v>1219</v>
      </c>
      <c r="D8027" s="113">
        <v>46308018</v>
      </c>
      <c r="E8027" s="115">
        <v>43949</v>
      </c>
      <c r="F8027" s="114">
        <v>202101</v>
      </c>
      <c r="G8027" s="112" t="s">
        <v>1091</v>
      </c>
      <c r="H8027" s="112" t="s">
        <v>1015</v>
      </c>
      <c r="I8027" s="112" t="s">
        <v>1605</v>
      </c>
      <c r="J8027" s="112" t="s">
        <v>5554</v>
      </c>
      <c r="K8027" s="112" t="s">
        <v>5556</v>
      </c>
      <c r="L8027" s="116">
        <v>10000</v>
      </c>
    </row>
    <row r="8028" spans="1:12" hidden="1" outlineLevel="1" collapsed="1" x14ac:dyDescent="0.35">
      <c r="A8028" s="112" t="s">
        <v>5553</v>
      </c>
      <c r="B8028" s="112" t="s">
        <v>927</v>
      </c>
      <c r="C8028" s="112" t="s">
        <v>1219</v>
      </c>
      <c r="D8028" s="113">
        <v>46308017</v>
      </c>
      <c r="E8028" s="115">
        <v>43949</v>
      </c>
      <c r="F8028" s="114">
        <v>202101</v>
      </c>
      <c r="G8028" s="112" t="s">
        <v>1091</v>
      </c>
      <c r="H8028" s="112" t="s">
        <v>1015</v>
      </c>
      <c r="I8028" s="112" t="s">
        <v>1605</v>
      </c>
      <c r="J8028" s="112" t="s">
        <v>5554</v>
      </c>
      <c r="K8028" s="112" t="s">
        <v>5556</v>
      </c>
      <c r="L8028" s="116">
        <v>10000</v>
      </c>
    </row>
    <row r="8029" spans="1:12" hidden="1" outlineLevel="1" collapsed="1" x14ac:dyDescent="0.35">
      <c r="A8029" s="112" t="s">
        <v>5553</v>
      </c>
      <c r="B8029" s="112" t="s">
        <v>927</v>
      </c>
      <c r="C8029" s="112" t="s">
        <v>1219</v>
      </c>
      <c r="D8029" s="113">
        <v>46308016</v>
      </c>
      <c r="E8029" s="115">
        <v>43949</v>
      </c>
      <c r="F8029" s="114">
        <v>202101</v>
      </c>
      <c r="G8029" s="112" t="s">
        <v>1091</v>
      </c>
      <c r="H8029" s="112" t="s">
        <v>1015</v>
      </c>
      <c r="I8029" s="112" t="s">
        <v>1605</v>
      </c>
      <c r="J8029" s="112" t="s">
        <v>5554</v>
      </c>
      <c r="K8029" s="112" t="s">
        <v>5556</v>
      </c>
      <c r="L8029" s="116">
        <v>10000</v>
      </c>
    </row>
    <row r="8030" spans="1:12" hidden="1" outlineLevel="1" collapsed="1" x14ac:dyDescent="0.35">
      <c r="A8030" s="112" t="s">
        <v>5553</v>
      </c>
      <c r="B8030" s="112" t="s">
        <v>927</v>
      </c>
      <c r="C8030" s="112" t="s">
        <v>1219</v>
      </c>
      <c r="D8030" s="113">
        <v>46308015</v>
      </c>
      <c r="E8030" s="115">
        <v>43949</v>
      </c>
      <c r="F8030" s="114">
        <v>202101</v>
      </c>
      <c r="G8030" s="112" t="s">
        <v>1091</v>
      </c>
      <c r="H8030" s="112" t="s">
        <v>1015</v>
      </c>
      <c r="I8030" s="112" t="s">
        <v>1605</v>
      </c>
      <c r="J8030" s="112" t="s">
        <v>5554</v>
      </c>
      <c r="K8030" s="112" t="s">
        <v>5555</v>
      </c>
      <c r="L8030" s="116">
        <v>25000</v>
      </c>
    </row>
    <row r="8031" spans="1:12" hidden="1" outlineLevel="1" collapsed="1" x14ac:dyDescent="0.35">
      <c r="A8031" s="112" t="s">
        <v>5553</v>
      </c>
      <c r="B8031" s="112" t="s">
        <v>927</v>
      </c>
      <c r="C8031" s="112" t="s">
        <v>1219</v>
      </c>
      <c r="D8031" s="113">
        <v>46308014</v>
      </c>
      <c r="E8031" s="115">
        <v>43949</v>
      </c>
      <c r="F8031" s="114">
        <v>202101</v>
      </c>
      <c r="G8031" s="112" t="s">
        <v>1091</v>
      </c>
      <c r="H8031" s="112" t="s">
        <v>1015</v>
      </c>
      <c r="I8031" s="112" t="s">
        <v>1605</v>
      </c>
      <c r="J8031" s="112" t="s">
        <v>5554</v>
      </c>
      <c r="K8031" s="112" t="s">
        <v>5556</v>
      </c>
      <c r="L8031" s="116">
        <v>10000</v>
      </c>
    </row>
    <row r="8032" spans="1:12" hidden="1" outlineLevel="1" collapsed="1" x14ac:dyDescent="0.35">
      <c r="A8032" s="112" t="s">
        <v>5553</v>
      </c>
      <c r="B8032" s="112" t="s">
        <v>924</v>
      </c>
      <c r="C8032" s="112" t="s">
        <v>1095</v>
      </c>
      <c r="D8032" s="113">
        <v>10348451</v>
      </c>
      <c r="E8032" s="115">
        <v>43949</v>
      </c>
      <c r="F8032" s="114">
        <v>202101</v>
      </c>
      <c r="G8032" s="112" t="s">
        <v>1091</v>
      </c>
      <c r="H8032" s="112" t="s">
        <v>1015</v>
      </c>
      <c r="I8032" s="112" t="s">
        <v>1101</v>
      </c>
      <c r="J8032" s="112" t="s">
        <v>5558</v>
      </c>
      <c r="K8032" s="112" t="s">
        <v>1098</v>
      </c>
      <c r="L8032" s="116">
        <v>483.07</v>
      </c>
    </row>
    <row r="8033" spans="1:12" hidden="1" outlineLevel="1" collapsed="1" x14ac:dyDescent="0.35">
      <c r="A8033" s="112" t="s">
        <v>5553</v>
      </c>
      <c r="B8033" s="112" t="s">
        <v>927</v>
      </c>
      <c r="C8033" s="112" t="s">
        <v>1219</v>
      </c>
      <c r="D8033" s="113">
        <v>46308012</v>
      </c>
      <c r="E8033" s="115">
        <v>43949</v>
      </c>
      <c r="F8033" s="114">
        <v>202101</v>
      </c>
      <c r="G8033" s="112" t="s">
        <v>1091</v>
      </c>
      <c r="H8033" s="112" t="s">
        <v>1015</v>
      </c>
      <c r="I8033" s="112" t="s">
        <v>1605</v>
      </c>
      <c r="J8033" s="112" t="s">
        <v>5554</v>
      </c>
      <c r="K8033" s="112" t="s">
        <v>5556</v>
      </c>
      <c r="L8033" s="116">
        <v>10000</v>
      </c>
    </row>
    <row r="8034" spans="1:12" hidden="1" outlineLevel="1" collapsed="1" x14ac:dyDescent="0.35">
      <c r="A8034" s="112" t="s">
        <v>5553</v>
      </c>
      <c r="B8034" s="112" t="s">
        <v>927</v>
      </c>
      <c r="C8034" s="112" t="s">
        <v>1219</v>
      </c>
      <c r="D8034" s="113">
        <v>46308011</v>
      </c>
      <c r="E8034" s="115">
        <v>43949</v>
      </c>
      <c r="F8034" s="114">
        <v>202101</v>
      </c>
      <c r="G8034" s="112" t="s">
        <v>1091</v>
      </c>
      <c r="H8034" s="112" t="s">
        <v>1015</v>
      </c>
      <c r="I8034" s="112" t="s">
        <v>1605</v>
      </c>
      <c r="J8034" s="112" t="s">
        <v>5554</v>
      </c>
      <c r="K8034" s="112" t="s">
        <v>5556</v>
      </c>
      <c r="L8034" s="116">
        <v>10000</v>
      </c>
    </row>
    <row r="8035" spans="1:12" hidden="1" outlineLevel="1" collapsed="1" x14ac:dyDescent="0.35">
      <c r="A8035" s="112" t="s">
        <v>5553</v>
      </c>
      <c r="B8035" s="112" t="s">
        <v>927</v>
      </c>
      <c r="C8035" s="112" t="s">
        <v>1219</v>
      </c>
      <c r="D8035" s="113">
        <v>46308010</v>
      </c>
      <c r="E8035" s="115">
        <v>43949</v>
      </c>
      <c r="F8035" s="114">
        <v>202101</v>
      </c>
      <c r="G8035" s="112" t="s">
        <v>1091</v>
      </c>
      <c r="H8035" s="112" t="s">
        <v>1015</v>
      </c>
      <c r="I8035" s="112" t="s">
        <v>1605</v>
      </c>
      <c r="J8035" s="112" t="s">
        <v>5554</v>
      </c>
      <c r="K8035" s="112" t="s">
        <v>5556</v>
      </c>
      <c r="L8035" s="116">
        <v>10000</v>
      </c>
    </row>
    <row r="8036" spans="1:12" hidden="1" outlineLevel="1" collapsed="1" x14ac:dyDescent="0.35">
      <c r="A8036" s="112" t="s">
        <v>5553</v>
      </c>
      <c r="B8036" s="112" t="s">
        <v>927</v>
      </c>
      <c r="C8036" s="112" t="s">
        <v>1219</v>
      </c>
      <c r="D8036" s="113">
        <v>46308009</v>
      </c>
      <c r="E8036" s="115">
        <v>43949</v>
      </c>
      <c r="F8036" s="114">
        <v>202101</v>
      </c>
      <c r="G8036" s="112" t="s">
        <v>1091</v>
      </c>
      <c r="H8036" s="112" t="s">
        <v>1015</v>
      </c>
      <c r="I8036" s="112" t="s">
        <v>1605</v>
      </c>
      <c r="J8036" s="112" t="s">
        <v>5554</v>
      </c>
      <c r="K8036" s="112" t="s">
        <v>5555</v>
      </c>
      <c r="L8036" s="116">
        <v>25000</v>
      </c>
    </row>
    <row r="8037" spans="1:12" hidden="1" outlineLevel="1" collapsed="1" x14ac:dyDescent="0.35">
      <c r="A8037" s="112" t="s">
        <v>5553</v>
      </c>
      <c r="B8037" s="112" t="s">
        <v>927</v>
      </c>
      <c r="C8037" s="112" t="s">
        <v>1219</v>
      </c>
      <c r="D8037" s="113">
        <v>46308008</v>
      </c>
      <c r="E8037" s="115">
        <v>43949</v>
      </c>
      <c r="F8037" s="114">
        <v>202101</v>
      </c>
      <c r="G8037" s="112" t="s">
        <v>1091</v>
      </c>
      <c r="H8037" s="112" t="s">
        <v>1015</v>
      </c>
      <c r="I8037" s="112" t="s">
        <v>1605</v>
      </c>
      <c r="J8037" s="112" t="s">
        <v>5554</v>
      </c>
      <c r="K8037" s="112" t="s">
        <v>5555</v>
      </c>
      <c r="L8037" s="116">
        <v>25000</v>
      </c>
    </row>
    <row r="8038" spans="1:12" hidden="1" outlineLevel="1" collapsed="1" x14ac:dyDescent="0.35">
      <c r="A8038" s="112" t="s">
        <v>5553</v>
      </c>
      <c r="B8038" s="112" t="s">
        <v>927</v>
      </c>
      <c r="C8038" s="112" t="s">
        <v>1219</v>
      </c>
      <c r="D8038" s="113">
        <v>46308007</v>
      </c>
      <c r="E8038" s="115">
        <v>43949</v>
      </c>
      <c r="F8038" s="114">
        <v>202101</v>
      </c>
      <c r="G8038" s="112" t="s">
        <v>1091</v>
      </c>
      <c r="H8038" s="112" t="s">
        <v>1015</v>
      </c>
      <c r="I8038" s="112" t="s">
        <v>1605</v>
      </c>
      <c r="J8038" s="112" t="s">
        <v>5554</v>
      </c>
      <c r="K8038" s="112" t="s">
        <v>5556</v>
      </c>
      <c r="L8038" s="116">
        <v>10000</v>
      </c>
    </row>
    <row r="8039" spans="1:12" hidden="1" outlineLevel="1" collapsed="1" x14ac:dyDescent="0.35">
      <c r="A8039" s="112" t="s">
        <v>5553</v>
      </c>
      <c r="B8039" s="112" t="s">
        <v>927</v>
      </c>
      <c r="C8039" s="112" t="s">
        <v>1219</v>
      </c>
      <c r="D8039" s="113">
        <v>46308006</v>
      </c>
      <c r="E8039" s="115">
        <v>43949</v>
      </c>
      <c r="F8039" s="114">
        <v>202101</v>
      </c>
      <c r="G8039" s="112" t="s">
        <v>1091</v>
      </c>
      <c r="H8039" s="112" t="s">
        <v>1015</v>
      </c>
      <c r="I8039" s="112" t="s">
        <v>1605</v>
      </c>
      <c r="J8039" s="112" t="s">
        <v>5554</v>
      </c>
      <c r="K8039" s="112" t="s">
        <v>5555</v>
      </c>
      <c r="L8039" s="116">
        <v>10000</v>
      </c>
    </row>
    <row r="8040" spans="1:12" hidden="1" outlineLevel="1" collapsed="1" x14ac:dyDescent="0.35">
      <c r="A8040" s="112" t="s">
        <v>5553</v>
      </c>
      <c r="B8040" s="112" t="s">
        <v>927</v>
      </c>
      <c r="C8040" s="112" t="s">
        <v>1219</v>
      </c>
      <c r="D8040" s="113">
        <v>46308005</v>
      </c>
      <c r="E8040" s="115">
        <v>43949</v>
      </c>
      <c r="F8040" s="114">
        <v>202101</v>
      </c>
      <c r="G8040" s="112" t="s">
        <v>1091</v>
      </c>
      <c r="H8040" s="112" t="s">
        <v>1015</v>
      </c>
      <c r="I8040" s="112" t="s">
        <v>1605</v>
      </c>
      <c r="J8040" s="112" t="s">
        <v>5554</v>
      </c>
      <c r="K8040" s="112" t="s">
        <v>5555</v>
      </c>
      <c r="L8040" s="116">
        <v>10000</v>
      </c>
    </row>
    <row r="8041" spans="1:12" hidden="1" outlineLevel="1" collapsed="1" x14ac:dyDescent="0.35">
      <c r="A8041" s="112" t="s">
        <v>5553</v>
      </c>
      <c r="B8041" s="112" t="s">
        <v>927</v>
      </c>
      <c r="C8041" s="112" t="s">
        <v>1219</v>
      </c>
      <c r="D8041" s="113">
        <v>46308004</v>
      </c>
      <c r="E8041" s="115">
        <v>43949</v>
      </c>
      <c r="F8041" s="114">
        <v>202101</v>
      </c>
      <c r="G8041" s="112" t="s">
        <v>1091</v>
      </c>
      <c r="H8041" s="112" t="s">
        <v>1015</v>
      </c>
      <c r="I8041" s="112" t="s">
        <v>1605</v>
      </c>
      <c r="J8041" s="112" t="s">
        <v>5554</v>
      </c>
      <c r="K8041" s="112" t="s">
        <v>5556</v>
      </c>
      <c r="L8041" s="116">
        <v>10000</v>
      </c>
    </row>
    <row r="8042" spans="1:12" hidden="1" outlineLevel="1" collapsed="1" x14ac:dyDescent="0.35">
      <c r="A8042" s="112" t="s">
        <v>5553</v>
      </c>
      <c r="B8042" s="112" t="s">
        <v>927</v>
      </c>
      <c r="C8042" s="112" t="s">
        <v>1219</v>
      </c>
      <c r="D8042" s="113">
        <v>46308003</v>
      </c>
      <c r="E8042" s="115">
        <v>43949</v>
      </c>
      <c r="F8042" s="114">
        <v>202101</v>
      </c>
      <c r="G8042" s="112" t="s">
        <v>1091</v>
      </c>
      <c r="H8042" s="112" t="s">
        <v>1015</v>
      </c>
      <c r="I8042" s="112" t="s">
        <v>1605</v>
      </c>
      <c r="J8042" s="112" t="s">
        <v>5554</v>
      </c>
      <c r="K8042" s="112" t="s">
        <v>5555</v>
      </c>
      <c r="L8042" s="116">
        <v>10000</v>
      </c>
    </row>
    <row r="8043" spans="1:12" hidden="1" outlineLevel="1" collapsed="1" x14ac:dyDescent="0.35">
      <c r="A8043" s="112" t="s">
        <v>5553</v>
      </c>
      <c r="B8043" s="112" t="s">
        <v>927</v>
      </c>
      <c r="C8043" s="112" t="s">
        <v>1219</v>
      </c>
      <c r="D8043" s="113">
        <v>46308002</v>
      </c>
      <c r="E8043" s="115">
        <v>43949</v>
      </c>
      <c r="F8043" s="114">
        <v>202101</v>
      </c>
      <c r="G8043" s="112" t="s">
        <v>1091</v>
      </c>
      <c r="H8043" s="112" t="s">
        <v>1015</v>
      </c>
      <c r="I8043" s="112" t="s">
        <v>1605</v>
      </c>
      <c r="J8043" s="112" t="s">
        <v>5554</v>
      </c>
      <c r="K8043" s="112" t="s">
        <v>5556</v>
      </c>
      <c r="L8043" s="116">
        <v>10000</v>
      </c>
    </row>
    <row r="8044" spans="1:12" hidden="1" outlineLevel="1" collapsed="1" x14ac:dyDescent="0.35">
      <c r="A8044" s="112" t="s">
        <v>5553</v>
      </c>
      <c r="B8044" s="112" t="s">
        <v>927</v>
      </c>
      <c r="C8044" s="112" t="s">
        <v>1219</v>
      </c>
      <c r="D8044" s="113">
        <v>46308174</v>
      </c>
      <c r="E8044" s="115">
        <v>43951</v>
      </c>
      <c r="F8044" s="114">
        <v>202101</v>
      </c>
      <c r="G8044" s="112" t="s">
        <v>1091</v>
      </c>
      <c r="H8044" s="112" t="s">
        <v>1015</v>
      </c>
      <c r="I8044" s="112" t="s">
        <v>1605</v>
      </c>
      <c r="J8044" s="112" t="s">
        <v>5554</v>
      </c>
      <c r="K8044" s="112" t="s">
        <v>5556</v>
      </c>
      <c r="L8044" s="116">
        <v>10000</v>
      </c>
    </row>
    <row r="8045" spans="1:12" hidden="1" outlineLevel="1" collapsed="1" x14ac:dyDescent="0.35">
      <c r="A8045" s="112" t="s">
        <v>5553</v>
      </c>
      <c r="B8045" s="112" t="s">
        <v>927</v>
      </c>
      <c r="C8045" s="112" t="s">
        <v>1219</v>
      </c>
      <c r="D8045" s="113">
        <v>46308001</v>
      </c>
      <c r="E8045" s="115">
        <v>43949</v>
      </c>
      <c r="F8045" s="114">
        <v>202101</v>
      </c>
      <c r="G8045" s="112" t="s">
        <v>1091</v>
      </c>
      <c r="H8045" s="112" t="s">
        <v>1015</v>
      </c>
      <c r="I8045" s="112" t="s">
        <v>1605</v>
      </c>
      <c r="J8045" s="112" t="s">
        <v>5554</v>
      </c>
      <c r="K8045" s="112" t="s">
        <v>5556</v>
      </c>
      <c r="L8045" s="116">
        <v>10000</v>
      </c>
    </row>
    <row r="8046" spans="1:12" hidden="1" outlineLevel="1" collapsed="1" x14ac:dyDescent="0.35">
      <c r="A8046" s="112" t="s">
        <v>5553</v>
      </c>
      <c r="B8046" s="112" t="s">
        <v>927</v>
      </c>
      <c r="C8046" s="112" t="s">
        <v>1219</v>
      </c>
      <c r="D8046" s="113">
        <v>46308173</v>
      </c>
      <c r="E8046" s="115">
        <v>43951</v>
      </c>
      <c r="F8046" s="114">
        <v>202101</v>
      </c>
      <c r="G8046" s="112" t="s">
        <v>1091</v>
      </c>
      <c r="H8046" s="112" t="s">
        <v>1015</v>
      </c>
      <c r="I8046" s="112" t="s">
        <v>1605</v>
      </c>
      <c r="J8046" s="112" t="s">
        <v>5554</v>
      </c>
      <c r="K8046" s="112" t="s">
        <v>5555</v>
      </c>
      <c r="L8046" s="116">
        <v>25000</v>
      </c>
    </row>
    <row r="8047" spans="1:12" hidden="1" outlineLevel="1" collapsed="1" x14ac:dyDescent="0.35">
      <c r="A8047" s="112" t="s">
        <v>5553</v>
      </c>
      <c r="B8047" s="112" t="s">
        <v>927</v>
      </c>
      <c r="C8047" s="112" t="s">
        <v>1219</v>
      </c>
      <c r="D8047" s="113">
        <v>46308000</v>
      </c>
      <c r="E8047" s="115">
        <v>43949</v>
      </c>
      <c r="F8047" s="114">
        <v>202101</v>
      </c>
      <c r="G8047" s="112" t="s">
        <v>1091</v>
      </c>
      <c r="H8047" s="112" t="s">
        <v>1015</v>
      </c>
      <c r="I8047" s="112" t="s">
        <v>1605</v>
      </c>
      <c r="J8047" s="112" t="s">
        <v>5554</v>
      </c>
      <c r="K8047" s="112" t="s">
        <v>5556</v>
      </c>
      <c r="L8047" s="116">
        <v>10000</v>
      </c>
    </row>
    <row r="8048" spans="1:12" hidden="1" outlineLevel="1" collapsed="1" x14ac:dyDescent="0.35">
      <c r="A8048" s="112" t="s">
        <v>5553</v>
      </c>
      <c r="B8048" s="112" t="s">
        <v>927</v>
      </c>
      <c r="C8048" s="112" t="s">
        <v>1219</v>
      </c>
      <c r="D8048" s="113">
        <v>46307999</v>
      </c>
      <c r="E8048" s="115">
        <v>43949</v>
      </c>
      <c r="F8048" s="114">
        <v>202101</v>
      </c>
      <c r="G8048" s="112" t="s">
        <v>1091</v>
      </c>
      <c r="H8048" s="112" t="s">
        <v>1015</v>
      </c>
      <c r="I8048" s="112" t="s">
        <v>1605</v>
      </c>
      <c r="J8048" s="112" t="s">
        <v>5554</v>
      </c>
      <c r="K8048" s="112" t="s">
        <v>5556</v>
      </c>
      <c r="L8048" s="116">
        <v>10000</v>
      </c>
    </row>
    <row r="8049" spans="1:12" hidden="1" outlineLevel="1" collapsed="1" x14ac:dyDescent="0.35">
      <c r="A8049" s="112" t="s">
        <v>5553</v>
      </c>
      <c r="B8049" s="112" t="s">
        <v>927</v>
      </c>
      <c r="C8049" s="112" t="s">
        <v>1219</v>
      </c>
      <c r="D8049" s="113">
        <v>46307998</v>
      </c>
      <c r="E8049" s="115">
        <v>43949</v>
      </c>
      <c r="F8049" s="114">
        <v>202101</v>
      </c>
      <c r="G8049" s="112" t="s">
        <v>1091</v>
      </c>
      <c r="H8049" s="112" t="s">
        <v>1015</v>
      </c>
      <c r="I8049" s="112" t="s">
        <v>1605</v>
      </c>
      <c r="J8049" s="112" t="s">
        <v>5554</v>
      </c>
      <c r="K8049" s="112" t="s">
        <v>5555</v>
      </c>
      <c r="L8049" s="116">
        <v>10000</v>
      </c>
    </row>
    <row r="8050" spans="1:12" hidden="1" outlineLevel="1" collapsed="1" x14ac:dyDescent="0.35">
      <c r="A8050" s="112" t="s">
        <v>5553</v>
      </c>
      <c r="B8050" s="112" t="s">
        <v>927</v>
      </c>
      <c r="C8050" s="112" t="s">
        <v>1219</v>
      </c>
      <c r="D8050" s="113">
        <v>46308172</v>
      </c>
      <c r="E8050" s="115">
        <v>43951</v>
      </c>
      <c r="F8050" s="114">
        <v>202101</v>
      </c>
      <c r="G8050" s="112" t="s">
        <v>1091</v>
      </c>
      <c r="H8050" s="112" t="s">
        <v>1015</v>
      </c>
      <c r="I8050" s="112" t="s">
        <v>1605</v>
      </c>
      <c r="J8050" s="112" t="s">
        <v>5554</v>
      </c>
      <c r="K8050" s="112" t="s">
        <v>5555</v>
      </c>
      <c r="L8050" s="116">
        <v>10000</v>
      </c>
    </row>
    <row r="8051" spans="1:12" hidden="1" outlineLevel="1" collapsed="1" x14ac:dyDescent="0.35">
      <c r="A8051" s="112" t="s">
        <v>5553</v>
      </c>
      <c r="B8051" s="112" t="s">
        <v>927</v>
      </c>
      <c r="C8051" s="112" t="s">
        <v>1219</v>
      </c>
      <c r="D8051" s="113">
        <v>46307997</v>
      </c>
      <c r="E8051" s="115">
        <v>43949</v>
      </c>
      <c r="F8051" s="114">
        <v>202101</v>
      </c>
      <c r="G8051" s="112" t="s">
        <v>1091</v>
      </c>
      <c r="H8051" s="112" t="s">
        <v>1015</v>
      </c>
      <c r="I8051" s="112" t="s">
        <v>1605</v>
      </c>
      <c r="J8051" s="112" t="s">
        <v>5554</v>
      </c>
      <c r="K8051" s="112" t="s">
        <v>5556</v>
      </c>
      <c r="L8051" s="116">
        <v>10000</v>
      </c>
    </row>
    <row r="8052" spans="1:12" hidden="1" outlineLevel="1" collapsed="1" x14ac:dyDescent="0.35">
      <c r="A8052" s="112" t="s">
        <v>5553</v>
      </c>
      <c r="B8052" s="112" t="s">
        <v>927</v>
      </c>
      <c r="C8052" s="112" t="s">
        <v>1219</v>
      </c>
      <c r="D8052" s="113">
        <v>46307996</v>
      </c>
      <c r="E8052" s="115">
        <v>43949</v>
      </c>
      <c r="F8052" s="114">
        <v>202101</v>
      </c>
      <c r="G8052" s="112" t="s">
        <v>1091</v>
      </c>
      <c r="H8052" s="112" t="s">
        <v>1015</v>
      </c>
      <c r="I8052" s="112" t="s">
        <v>1605</v>
      </c>
      <c r="J8052" s="112" t="s">
        <v>5554</v>
      </c>
      <c r="K8052" s="112" t="s">
        <v>5556</v>
      </c>
      <c r="L8052" s="116">
        <v>10000</v>
      </c>
    </row>
    <row r="8053" spans="1:12" hidden="1" outlineLevel="1" collapsed="1" x14ac:dyDescent="0.35">
      <c r="A8053" s="112" t="s">
        <v>5553</v>
      </c>
      <c r="B8053" s="112" t="s">
        <v>927</v>
      </c>
      <c r="C8053" s="112" t="s">
        <v>1219</v>
      </c>
      <c r="D8053" s="113">
        <v>46307995</v>
      </c>
      <c r="E8053" s="115">
        <v>43949</v>
      </c>
      <c r="F8053" s="114">
        <v>202101</v>
      </c>
      <c r="G8053" s="112" t="s">
        <v>1091</v>
      </c>
      <c r="H8053" s="112" t="s">
        <v>1015</v>
      </c>
      <c r="I8053" s="112" t="s">
        <v>1605</v>
      </c>
      <c r="J8053" s="112" t="s">
        <v>5554</v>
      </c>
      <c r="K8053" s="112" t="s">
        <v>5555</v>
      </c>
      <c r="L8053" s="116">
        <v>25000</v>
      </c>
    </row>
    <row r="8054" spans="1:12" hidden="1" outlineLevel="1" collapsed="1" x14ac:dyDescent="0.35">
      <c r="A8054" s="112" t="s">
        <v>5553</v>
      </c>
      <c r="B8054" s="112" t="s">
        <v>927</v>
      </c>
      <c r="C8054" s="112" t="s">
        <v>1219</v>
      </c>
      <c r="D8054" s="113">
        <v>46307994</v>
      </c>
      <c r="E8054" s="115">
        <v>43949</v>
      </c>
      <c r="F8054" s="114">
        <v>202101</v>
      </c>
      <c r="G8054" s="112" t="s">
        <v>1091</v>
      </c>
      <c r="H8054" s="112" t="s">
        <v>1015</v>
      </c>
      <c r="I8054" s="112" t="s">
        <v>1605</v>
      </c>
      <c r="J8054" s="112" t="s">
        <v>5554</v>
      </c>
      <c r="K8054" s="112" t="s">
        <v>5555</v>
      </c>
      <c r="L8054" s="116">
        <v>10000</v>
      </c>
    </row>
    <row r="8055" spans="1:12" hidden="1" outlineLevel="1" collapsed="1" x14ac:dyDescent="0.35">
      <c r="A8055" s="112" t="s">
        <v>5553</v>
      </c>
      <c r="B8055" s="112" t="s">
        <v>927</v>
      </c>
      <c r="C8055" s="112" t="s">
        <v>1219</v>
      </c>
      <c r="D8055" s="113">
        <v>46307993</v>
      </c>
      <c r="E8055" s="115">
        <v>43949</v>
      </c>
      <c r="F8055" s="114">
        <v>202101</v>
      </c>
      <c r="G8055" s="112" t="s">
        <v>1091</v>
      </c>
      <c r="H8055" s="112" t="s">
        <v>1015</v>
      </c>
      <c r="I8055" s="112" t="s">
        <v>1605</v>
      </c>
      <c r="J8055" s="112" t="s">
        <v>5554</v>
      </c>
      <c r="K8055" s="112" t="s">
        <v>5555</v>
      </c>
      <c r="L8055" s="116">
        <v>10000</v>
      </c>
    </row>
    <row r="8056" spans="1:12" hidden="1" outlineLevel="1" collapsed="1" x14ac:dyDescent="0.35">
      <c r="A8056" s="112" t="s">
        <v>5553</v>
      </c>
      <c r="B8056" s="112" t="s">
        <v>927</v>
      </c>
      <c r="C8056" s="112" t="s">
        <v>1219</v>
      </c>
      <c r="D8056" s="113">
        <v>46308026</v>
      </c>
      <c r="E8056" s="115">
        <v>43949</v>
      </c>
      <c r="F8056" s="114">
        <v>202101</v>
      </c>
      <c r="G8056" s="112" t="s">
        <v>1091</v>
      </c>
      <c r="H8056" s="112" t="s">
        <v>1015</v>
      </c>
      <c r="I8056" s="112" t="s">
        <v>1605</v>
      </c>
      <c r="J8056" s="112" t="s">
        <v>5554</v>
      </c>
      <c r="K8056" s="112" t="s">
        <v>5556</v>
      </c>
      <c r="L8056" s="116">
        <v>10000</v>
      </c>
    </row>
    <row r="8057" spans="1:12" hidden="1" outlineLevel="1" collapsed="1" x14ac:dyDescent="0.35">
      <c r="A8057" s="112" t="s">
        <v>5553</v>
      </c>
      <c r="B8057" s="112" t="s">
        <v>927</v>
      </c>
      <c r="C8057" s="112" t="s">
        <v>1219</v>
      </c>
      <c r="D8057" s="113">
        <v>46308025</v>
      </c>
      <c r="E8057" s="115">
        <v>43949</v>
      </c>
      <c r="F8057" s="114">
        <v>202101</v>
      </c>
      <c r="G8057" s="112" t="s">
        <v>1091</v>
      </c>
      <c r="H8057" s="112" t="s">
        <v>1015</v>
      </c>
      <c r="I8057" s="112" t="s">
        <v>1605</v>
      </c>
      <c r="J8057" s="112" t="s">
        <v>5554</v>
      </c>
      <c r="K8057" s="112" t="s">
        <v>5556</v>
      </c>
      <c r="L8057" s="116">
        <v>10000</v>
      </c>
    </row>
    <row r="8058" spans="1:12" hidden="1" outlineLevel="1" collapsed="1" x14ac:dyDescent="0.35">
      <c r="A8058" s="112" t="s">
        <v>5553</v>
      </c>
      <c r="B8058" s="112" t="s">
        <v>927</v>
      </c>
      <c r="C8058" s="112" t="s">
        <v>1219</v>
      </c>
      <c r="D8058" s="113">
        <v>46308024</v>
      </c>
      <c r="E8058" s="115">
        <v>43949</v>
      </c>
      <c r="F8058" s="114">
        <v>202101</v>
      </c>
      <c r="G8058" s="112" t="s">
        <v>1091</v>
      </c>
      <c r="H8058" s="112" t="s">
        <v>1015</v>
      </c>
      <c r="I8058" s="112" t="s">
        <v>1605</v>
      </c>
      <c r="J8058" s="112" t="s">
        <v>5554</v>
      </c>
      <c r="K8058" s="112" t="s">
        <v>5556</v>
      </c>
      <c r="L8058" s="116">
        <v>10000</v>
      </c>
    </row>
    <row r="8059" spans="1:12" hidden="1" outlineLevel="1" collapsed="1" x14ac:dyDescent="0.35">
      <c r="A8059" s="112" t="s">
        <v>5553</v>
      </c>
      <c r="B8059" s="112" t="s">
        <v>927</v>
      </c>
      <c r="C8059" s="112" t="s">
        <v>1219</v>
      </c>
      <c r="D8059" s="113">
        <v>46308023</v>
      </c>
      <c r="E8059" s="115">
        <v>43949</v>
      </c>
      <c r="F8059" s="114">
        <v>202101</v>
      </c>
      <c r="G8059" s="112" t="s">
        <v>1091</v>
      </c>
      <c r="H8059" s="112" t="s">
        <v>1015</v>
      </c>
      <c r="I8059" s="112" t="s">
        <v>1605</v>
      </c>
      <c r="J8059" s="112" t="s">
        <v>5554</v>
      </c>
      <c r="K8059" s="112" t="s">
        <v>5555</v>
      </c>
      <c r="L8059" s="116">
        <v>25000</v>
      </c>
    </row>
    <row r="8060" spans="1:12" hidden="1" outlineLevel="1" collapsed="1" x14ac:dyDescent="0.35">
      <c r="A8060" s="112" t="s">
        <v>5553</v>
      </c>
      <c r="B8060" s="112" t="s">
        <v>927</v>
      </c>
      <c r="C8060" s="112" t="s">
        <v>1219</v>
      </c>
      <c r="D8060" s="113">
        <v>46308149</v>
      </c>
      <c r="E8060" s="115">
        <v>43951</v>
      </c>
      <c r="F8060" s="114">
        <v>202101</v>
      </c>
      <c r="G8060" s="112" t="s">
        <v>1091</v>
      </c>
      <c r="H8060" s="112" t="s">
        <v>1015</v>
      </c>
      <c r="I8060" s="112" t="s">
        <v>1605</v>
      </c>
      <c r="J8060" s="112" t="s">
        <v>5554</v>
      </c>
      <c r="K8060" s="112" t="s">
        <v>5555</v>
      </c>
      <c r="L8060" s="116">
        <v>25000</v>
      </c>
    </row>
    <row r="8061" spans="1:12" hidden="1" outlineLevel="1" collapsed="1" x14ac:dyDescent="0.35">
      <c r="A8061" s="112" t="s">
        <v>5553</v>
      </c>
      <c r="B8061" s="112" t="s">
        <v>5572</v>
      </c>
      <c r="C8061" s="112" t="s">
        <v>679</v>
      </c>
      <c r="D8061" s="113">
        <v>10348515</v>
      </c>
      <c r="E8061" s="115">
        <v>43949</v>
      </c>
      <c r="F8061" s="114">
        <v>202101</v>
      </c>
      <c r="G8061" s="112" t="s">
        <v>1091</v>
      </c>
      <c r="H8061" s="112" t="s">
        <v>1015</v>
      </c>
      <c r="I8061" s="112" t="s">
        <v>738</v>
      </c>
      <c r="J8061" s="112" t="s">
        <v>5583</v>
      </c>
      <c r="K8061" s="112" t="s">
        <v>5628</v>
      </c>
      <c r="L8061" s="116">
        <v>15.6</v>
      </c>
    </row>
    <row r="8062" spans="1:12" hidden="1" outlineLevel="1" collapsed="1" x14ac:dyDescent="0.35">
      <c r="A8062" s="112" t="s">
        <v>5553</v>
      </c>
      <c r="B8062" s="112" t="s">
        <v>927</v>
      </c>
      <c r="C8062" s="112" t="s">
        <v>1219</v>
      </c>
      <c r="D8062" s="113">
        <v>46307691</v>
      </c>
      <c r="E8062" s="115">
        <v>43943</v>
      </c>
      <c r="F8062" s="114">
        <v>202101</v>
      </c>
      <c r="G8062" s="112" t="s">
        <v>1091</v>
      </c>
      <c r="H8062" s="112" t="s">
        <v>1015</v>
      </c>
      <c r="I8062" s="112" t="s">
        <v>1605</v>
      </c>
      <c r="J8062" s="112" t="s">
        <v>5554</v>
      </c>
      <c r="K8062" s="112" t="s">
        <v>5555</v>
      </c>
      <c r="L8062" s="116">
        <v>10000</v>
      </c>
    </row>
    <row r="8063" spans="1:12" hidden="1" outlineLevel="1" collapsed="1" x14ac:dyDescent="0.35">
      <c r="A8063" s="112" t="s">
        <v>5553</v>
      </c>
      <c r="B8063" s="112" t="s">
        <v>927</v>
      </c>
      <c r="C8063" s="112" t="s">
        <v>1219</v>
      </c>
      <c r="D8063" s="113">
        <v>46307640</v>
      </c>
      <c r="E8063" s="115">
        <v>43943</v>
      </c>
      <c r="F8063" s="114">
        <v>202101</v>
      </c>
      <c r="G8063" s="112" t="s">
        <v>1091</v>
      </c>
      <c r="H8063" s="112" t="s">
        <v>1015</v>
      </c>
      <c r="I8063" s="112" t="s">
        <v>1605</v>
      </c>
      <c r="J8063" s="112" t="s">
        <v>5554</v>
      </c>
      <c r="K8063" s="112" t="s">
        <v>5555</v>
      </c>
      <c r="L8063" s="116">
        <v>25000</v>
      </c>
    </row>
    <row r="8064" spans="1:12" hidden="1" outlineLevel="1" collapsed="1" x14ac:dyDescent="0.35">
      <c r="A8064" s="112" t="s">
        <v>5553</v>
      </c>
      <c r="B8064" s="112" t="s">
        <v>927</v>
      </c>
      <c r="C8064" s="112" t="s">
        <v>1219</v>
      </c>
      <c r="D8064" s="113">
        <v>46307641</v>
      </c>
      <c r="E8064" s="115">
        <v>43943</v>
      </c>
      <c r="F8064" s="114">
        <v>202101</v>
      </c>
      <c r="G8064" s="112" t="s">
        <v>1091</v>
      </c>
      <c r="H8064" s="112" t="s">
        <v>1015</v>
      </c>
      <c r="I8064" s="112" t="s">
        <v>1605</v>
      </c>
      <c r="J8064" s="112" t="s">
        <v>5554</v>
      </c>
      <c r="K8064" s="112" t="s">
        <v>5555</v>
      </c>
      <c r="L8064" s="116">
        <v>25000</v>
      </c>
    </row>
    <row r="8065" spans="1:12" hidden="1" outlineLevel="1" collapsed="1" x14ac:dyDescent="0.35">
      <c r="A8065" s="112" t="s">
        <v>5553</v>
      </c>
      <c r="B8065" s="112" t="s">
        <v>927</v>
      </c>
      <c r="C8065" s="112" t="s">
        <v>679</v>
      </c>
      <c r="D8065" s="113">
        <v>10348411</v>
      </c>
      <c r="E8065" s="115">
        <v>43943</v>
      </c>
      <c r="F8065" s="114">
        <v>202101</v>
      </c>
      <c r="G8065" s="112" t="s">
        <v>1091</v>
      </c>
      <c r="H8065" s="112" t="s">
        <v>1015</v>
      </c>
      <c r="I8065" s="112" t="s">
        <v>1536</v>
      </c>
      <c r="J8065" s="112" t="s">
        <v>5554</v>
      </c>
      <c r="K8065" s="112" t="s">
        <v>5629</v>
      </c>
      <c r="L8065" s="116">
        <v>21</v>
      </c>
    </row>
    <row r="8066" spans="1:12" hidden="1" outlineLevel="1" collapsed="1" x14ac:dyDescent="0.35">
      <c r="A8066" s="112" t="s">
        <v>5553</v>
      </c>
      <c r="B8066" s="112" t="s">
        <v>927</v>
      </c>
      <c r="C8066" s="112" t="s">
        <v>1219</v>
      </c>
      <c r="D8066" s="113">
        <v>46307695</v>
      </c>
      <c r="E8066" s="115">
        <v>43943</v>
      </c>
      <c r="F8066" s="114">
        <v>202101</v>
      </c>
      <c r="G8066" s="112" t="s">
        <v>1091</v>
      </c>
      <c r="H8066" s="112" t="s">
        <v>1015</v>
      </c>
      <c r="I8066" s="112" t="s">
        <v>1605</v>
      </c>
      <c r="J8066" s="112" t="s">
        <v>5554</v>
      </c>
      <c r="K8066" s="112" t="s">
        <v>5555</v>
      </c>
      <c r="L8066" s="116">
        <v>25000</v>
      </c>
    </row>
    <row r="8067" spans="1:12" hidden="1" outlineLevel="1" collapsed="1" x14ac:dyDescent="0.35">
      <c r="A8067" s="112" t="s">
        <v>5553</v>
      </c>
      <c r="B8067" s="112" t="s">
        <v>927</v>
      </c>
      <c r="C8067" s="112" t="s">
        <v>1219</v>
      </c>
      <c r="D8067" s="113">
        <v>46307694</v>
      </c>
      <c r="E8067" s="115">
        <v>43943</v>
      </c>
      <c r="F8067" s="114">
        <v>202101</v>
      </c>
      <c r="G8067" s="112" t="s">
        <v>1091</v>
      </c>
      <c r="H8067" s="112" t="s">
        <v>1015</v>
      </c>
      <c r="I8067" s="112" t="s">
        <v>1605</v>
      </c>
      <c r="J8067" s="112" t="s">
        <v>5554</v>
      </c>
      <c r="K8067" s="112" t="s">
        <v>5556</v>
      </c>
      <c r="L8067" s="116">
        <v>10000</v>
      </c>
    </row>
    <row r="8068" spans="1:12" hidden="1" outlineLevel="1" collapsed="1" x14ac:dyDescent="0.35">
      <c r="A8068" s="112" t="s">
        <v>5553</v>
      </c>
      <c r="B8068" s="112" t="s">
        <v>927</v>
      </c>
      <c r="C8068" s="112" t="s">
        <v>1219</v>
      </c>
      <c r="D8068" s="113">
        <v>46307642</v>
      </c>
      <c r="E8068" s="115">
        <v>43943</v>
      </c>
      <c r="F8068" s="114">
        <v>202101</v>
      </c>
      <c r="G8068" s="112" t="s">
        <v>1091</v>
      </c>
      <c r="H8068" s="112" t="s">
        <v>1015</v>
      </c>
      <c r="I8068" s="112" t="s">
        <v>1605</v>
      </c>
      <c r="J8068" s="112" t="s">
        <v>5554</v>
      </c>
      <c r="K8068" s="112" t="s">
        <v>5555</v>
      </c>
      <c r="L8068" s="116">
        <v>25000</v>
      </c>
    </row>
    <row r="8069" spans="1:12" hidden="1" outlineLevel="1" collapsed="1" x14ac:dyDescent="0.35">
      <c r="A8069" s="112" t="s">
        <v>5553</v>
      </c>
      <c r="B8069" s="112" t="s">
        <v>927</v>
      </c>
      <c r="C8069" s="112" t="s">
        <v>1219</v>
      </c>
      <c r="D8069" s="113">
        <v>46307643</v>
      </c>
      <c r="E8069" s="115">
        <v>43943</v>
      </c>
      <c r="F8069" s="114">
        <v>202101</v>
      </c>
      <c r="G8069" s="112" t="s">
        <v>1091</v>
      </c>
      <c r="H8069" s="112" t="s">
        <v>1015</v>
      </c>
      <c r="I8069" s="112" t="s">
        <v>1605</v>
      </c>
      <c r="J8069" s="112" t="s">
        <v>5554</v>
      </c>
      <c r="K8069" s="112" t="s">
        <v>5556</v>
      </c>
      <c r="L8069" s="116">
        <v>10000</v>
      </c>
    </row>
    <row r="8070" spans="1:12" hidden="1" outlineLevel="1" collapsed="1" x14ac:dyDescent="0.35">
      <c r="A8070" s="112" t="s">
        <v>5553</v>
      </c>
      <c r="B8070" s="112" t="s">
        <v>927</v>
      </c>
      <c r="C8070" s="112" t="s">
        <v>1219</v>
      </c>
      <c r="D8070" s="113">
        <v>46307644</v>
      </c>
      <c r="E8070" s="115">
        <v>43943</v>
      </c>
      <c r="F8070" s="114">
        <v>202101</v>
      </c>
      <c r="G8070" s="112" t="s">
        <v>1091</v>
      </c>
      <c r="H8070" s="112" t="s">
        <v>1015</v>
      </c>
      <c r="I8070" s="112" t="s">
        <v>1605</v>
      </c>
      <c r="J8070" s="112" t="s">
        <v>5554</v>
      </c>
      <c r="K8070" s="112" t="s">
        <v>5556</v>
      </c>
      <c r="L8070" s="116">
        <v>10000</v>
      </c>
    </row>
    <row r="8071" spans="1:12" hidden="1" outlineLevel="1" collapsed="1" x14ac:dyDescent="0.35">
      <c r="A8071" s="112" t="s">
        <v>5553</v>
      </c>
      <c r="B8071" s="112" t="s">
        <v>927</v>
      </c>
      <c r="C8071" s="112" t="s">
        <v>1219</v>
      </c>
      <c r="D8071" s="113">
        <v>46307693</v>
      </c>
      <c r="E8071" s="115">
        <v>43943</v>
      </c>
      <c r="F8071" s="114">
        <v>202101</v>
      </c>
      <c r="G8071" s="112" t="s">
        <v>1091</v>
      </c>
      <c r="H8071" s="112" t="s">
        <v>1015</v>
      </c>
      <c r="I8071" s="112" t="s">
        <v>1605</v>
      </c>
      <c r="J8071" s="112" t="s">
        <v>5554</v>
      </c>
      <c r="K8071" s="112" t="s">
        <v>5555</v>
      </c>
      <c r="L8071" s="116">
        <v>10000</v>
      </c>
    </row>
    <row r="8072" spans="1:12" hidden="1" outlineLevel="1" collapsed="1" x14ac:dyDescent="0.35">
      <c r="A8072" s="112" t="s">
        <v>5553</v>
      </c>
      <c r="B8072" s="112" t="s">
        <v>927</v>
      </c>
      <c r="C8072" s="112" t="s">
        <v>1219</v>
      </c>
      <c r="D8072" s="113">
        <v>46307645</v>
      </c>
      <c r="E8072" s="115">
        <v>43943</v>
      </c>
      <c r="F8072" s="114">
        <v>202101</v>
      </c>
      <c r="G8072" s="112" t="s">
        <v>1091</v>
      </c>
      <c r="H8072" s="112" t="s">
        <v>1015</v>
      </c>
      <c r="I8072" s="112" t="s">
        <v>1605</v>
      </c>
      <c r="J8072" s="112" t="s">
        <v>5554</v>
      </c>
      <c r="K8072" s="112" t="s">
        <v>5556</v>
      </c>
      <c r="L8072" s="116">
        <v>10000</v>
      </c>
    </row>
    <row r="8073" spans="1:12" hidden="1" outlineLevel="1" collapsed="1" x14ac:dyDescent="0.35">
      <c r="A8073" s="112" t="s">
        <v>5553</v>
      </c>
      <c r="B8073" s="112" t="s">
        <v>927</v>
      </c>
      <c r="C8073" s="112" t="s">
        <v>1219</v>
      </c>
      <c r="D8073" s="113">
        <v>46307646</v>
      </c>
      <c r="E8073" s="115">
        <v>43943</v>
      </c>
      <c r="F8073" s="114">
        <v>202101</v>
      </c>
      <c r="G8073" s="112" t="s">
        <v>1091</v>
      </c>
      <c r="H8073" s="112" t="s">
        <v>1015</v>
      </c>
      <c r="I8073" s="112" t="s">
        <v>1605</v>
      </c>
      <c r="J8073" s="112" t="s">
        <v>5554</v>
      </c>
      <c r="K8073" s="112" t="s">
        <v>5556</v>
      </c>
      <c r="L8073" s="116">
        <v>10000</v>
      </c>
    </row>
    <row r="8074" spans="1:12" hidden="1" outlineLevel="1" collapsed="1" x14ac:dyDescent="0.35">
      <c r="A8074" s="112" t="s">
        <v>5553</v>
      </c>
      <c r="B8074" s="112" t="s">
        <v>927</v>
      </c>
      <c r="C8074" s="112" t="s">
        <v>1219</v>
      </c>
      <c r="D8074" s="113">
        <v>46307692</v>
      </c>
      <c r="E8074" s="115">
        <v>43943</v>
      </c>
      <c r="F8074" s="114">
        <v>202101</v>
      </c>
      <c r="G8074" s="112" t="s">
        <v>1091</v>
      </c>
      <c r="H8074" s="112" t="s">
        <v>1015</v>
      </c>
      <c r="I8074" s="112" t="s">
        <v>1605</v>
      </c>
      <c r="J8074" s="112" t="s">
        <v>5554</v>
      </c>
      <c r="K8074" s="112" t="s">
        <v>5555</v>
      </c>
      <c r="L8074" s="116">
        <v>25000</v>
      </c>
    </row>
    <row r="8075" spans="1:12" hidden="1" outlineLevel="1" collapsed="1" x14ac:dyDescent="0.35">
      <c r="A8075" s="112" t="s">
        <v>5553</v>
      </c>
      <c r="B8075" s="112" t="s">
        <v>927</v>
      </c>
      <c r="C8075" s="112" t="s">
        <v>1219</v>
      </c>
      <c r="D8075" s="113">
        <v>46307647</v>
      </c>
      <c r="E8075" s="115">
        <v>43943</v>
      </c>
      <c r="F8075" s="114">
        <v>202101</v>
      </c>
      <c r="G8075" s="112" t="s">
        <v>1091</v>
      </c>
      <c r="H8075" s="112" t="s">
        <v>1015</v>
      </c>
      <c r="I8075" s="112" t="s">
        <v>1605</v>
      </c>
      <c r="J8075" s="112" t="s">
        <v>5554</v>
      </c>
      <c r="K8075" s="112" t="s">
        <v>5556</v>
      </c>
      <c r="L8075" s="116">
        <v>10000</v>
      </c>
    </row>
    <row r="8076" spans="1:12" hidden="1" outlineLevel="1" collapsed="1" x14ac:dyDescent="0.35">
      <c r="A8076" s="112" t="s">
        <v>5553</v>
      </c>
      <c r="B8076" s="112" t="s">
        <v>927</v>
      </c>
      <c r="C8076" s="112" t="s">
        <v>1219</v>
      </c>
      <c r="D8076" s="113">
        <v>46307648</v>
      </c>
      <c r="E8076" s="115">
        <v>43943</v>
      </c>
      <c r="F8076" s="114">
        <v>202101</v>
      </c>
      <c r="G8076" s="112" t="s">
        <v>1091</v>
      </c>
      <c r="H8076" s="112" t="s">
        <v>1015</v>
      </c>
      <c r="I8076" s="112" t="s">
        <v>1605</v>
      </c>
      <c r="J8076" s="112" t="s">
        <v>5554</v>
      </c>
      <c r="K8076" s="112" t="s">
        <v>5556</v>
      </c>
      <c r="L8076" s="116">
        <v>10000</v>
      </c>
    </row>
    <row r="8077" spans="1:12" hidden="1" outlineLevel="1" collapsed="1" x14ac:dyDescent="0.35">
      <c r="A8077" s="112" t="s">
        <v>5553</v>
      </c>
      <c r="B8077" s="112" t="s">
        <v>927</v>
      </c>
      <c r="C8077" s="112" t="s">
        <v>1219</v>
      </c>
      <c r="D8077" s="113">
        <v>46307649</v>
      </c>
      <c r="E8077" s="115">
        <v>43943</v>
      </c>
      <c r="F8077" s="114">
        <v>202101</v>
      </c>
      <c r="G8077" s="112" t="s">
        <v>1091</v>
      </c>
      <c r="H8077" s="112" t="s">
        <v>1015</v>
      </c>
      <c r="I8077" s="112" t="s">
        <v>1605</v>
      </c>
      <c r="J8077" s="112" t="s">
        <v>5554</v>
      </c>
      <c r="K8077" s="112" t="s">
        <v>5555</v>
      </c>
      <c r="L8077" s="116">
        <v>25000</v>
      </c>
    </row>
    <row r="8078" spans="1:12" hidden="1" outlineLevel="1" collapsed="1" x14ac:dyDescent="0.35">
      <c r="A8078" s="112" t="s">
        <v>5553</v>
      </c>
      <c r="B8078" s="112" t="s">
        <v>927</v>
      </c>
      <c r="C8078" s="112" t="s">
        <v>1219</v>
      </c>
      <c r="D8078" s="113">
        <v>46307650</v>
      </c>
      <c r="E8078" s="115">
        <v>43943</v>
      </c>
      <c r="F8078" s="114">
        <v>202101</v>
      </c>
      <c r="G8078" s="112" t="s">
        <v>1091</v>
      </c>
      <c r="H8078" s="112" t="s">
        <v>1015</v>
      </c>
      <c r="I8078" s="112" t="s">
        <v>1605</v>
      </c>
      <c r="J8078" s="112" t="s">
        <v>5554</v>
      </c>
      <c r="K8078" s="112" t="s">
        <v>5556</v>
      </c>
      <c r="L8078" s="116">
        <v>10000</v>
      </c>
    </row>
    <row r="8079" spans="1:12" hidden="1" outlineLevel="1" collapsed="1" x14ac:dyDescent="0.35">
      <c r="A8079" s="112" t="s">
        <v>5553</v>
      </c>
      <c r="B8079" s="112" t="s">
        <v>927</v>
      </c>
      <c r="C8079" s="112" t="s">
        <v>1219</v>
      </c>
      <c r="D8079" s="113">
        <v>46307651</v>
      </c>
      <c r="E8079" s="115">
        <v>43943</v>
      </c>
      <c r="F8079" s="114">
        <v>202101</v>
      </c>
      <c r="G8079" s="112" t="s">
        <v>1091</v>
      </c>
      <c r="H8079" s="112" t="s">
        <v>1015</v>
      </c>
      <c r="I8079" s="112" t="s">
        <v>1605</v>
      </c>
      <c r="J8079" s="112" t="s">
        <v>5554</v>
      </c>
      <c r="K8079" s="112" t="s">
        <v>5555</v>
      </c>
      <c r="L8079" s="116">
        <v>25000</v>
      </c>
    </row>
    <row r="8080" spans="1:12" hidden="1" outlineLevel="1" collapsed="1" x14ac:dyDescent="0.35">
      <c r="A8080" s="112" t="s">
        <v>5553</v>
      </c>
      <c r="B8080" s="112" t="s">
        <v>927</v>
      </c>
      <c r="C8080" s="112" t="s">
        <v>1219</v>
      </c>
      <c r="D8080" s="113">
        <v>46307652</v>
      </c>
      <c r="E8080" s="115">
        <v>43943</v>
      </c>
      <c r="F8080" s="114">
        <v>202101</v>
      </c>
      <c r="G8080" s="112" t="s">
        <v>1091</v>
      </c>
      <c r="H8080" s="112" t="s">
        <v>1015</v>
      </c>
      <c r="I8080" s="112" t="s">
        <v>1605</v>
      </c>
      <c r="J8080" s="112" t="s">
        <v>5554</v>
      </c>
      <c r="K8080" s="112" t="s">
        <v>5556</v>
      </c>
      <c r="L8080" s="116">
        <v>10000</v>
      </c>
    </row>
    <row r="8081" spans="1:12" hidden="1" outlineLevel="1" collapsed="1" x14ac:dyDescent="0.35">
      <c r="A8081" s="112" t="s">
        <v>5553</v>
      </c>
      <c r="B8081" s="112" t="s">
        <v>927</v>
      </c>
      <c r="C8081" s="112" t="s">
        <v>1219</v>
      </c>
      <c r="D8081" s="113">
        <v>46307653</v>
      </c>
      <c r="E8081" s="115">
        <v>43943</v>
      </c>
      <c r="F8081" s="114">
        <v>202101</v>
      </c>
      <c r="G8081" s="112" t="s">
        <v>1091</v>
      </c>
      <c r="H8081" s="112" t="s">
        <v>1015</v>
      </c>
      <c r="I8081" s="112" t="s">
        <v>1605</v>
      </c>
      <c r="J8081" s="112" t="s">
        <v>5554</v>
      </c>
      <c r="K8081" s="112" t="s">
        <v>5556</v>
      </c>
      <c r="L8081" s="116">
        <v>10000</v>
      </c>
    </row>
    <row r="8082" spans="1:12" hidden="1" outlineLevel="1" collapsed="1" x14ac:dyDescent="0.35">
      <c r="A8082" s="112" t="s">
        <v>5553</v>
      </c>
      <c r="B8082" s="112" t="s">
        <v>927</v>
      </c>
      <c r="C8082" s="112" t="s">
        <v>1219</v>
      </c>
      <c r="D8082" s="113">
        <v>46307654</v>
      </c>
      <c r="E8082" s="115">
        <v>43943</v>
      </c>
      <c r="F8082" s="114">
        <v>202101</v>
      </c>
      <c r="G8082" s="112" t="s">
        <v>1091</v>
      </c>
      <c r="H8082" s="112" t="s">
        <v>1015</v>
      </c>
      <c r="I8082" s="112" t="s">
        <v>1605</v>
      </c>
      <c r="J8082" s="112" t="s">
        <v>5554</v>
      </c>
      <c r="K8082" s="112" t="s">
        <v>5555</v>
      </c>
      <c r="L8082" s="116">
        <v>10000</v>
      </c>
    </row>
    <row r="8083" spans="1:12" hidden="1" outlineLevel="1" collapsed="1" x14ac:dyDescent="0.35">
      <c r="A8083" s="112" t="s">
        <v>5553</v>
      </c>
      <c r="B8083" s="112" t="s">
        <v>927</v>
      </c>
      <c r="C8083" s="112" t="s">
        <v>1219</v>
      </c>
      <c r="D8083" s="113">
        <v>46307655</v>
      </c>
      <c r="E8083" s="115">
        <v>43943</v>
      </c>
      <c r="F8083" s="114">
        <v>202101</v>
      </c>
      <c r="G8083" s="112" t="s">
        <v>1091</v>
      </c>
      <c r="H8083" s="112" t="s">
        <v>1015</v>
      </c>
      <c r="I8083" s="112" t="s">
        <v>1605</v>
      </c>
      <c r="J8083" s="112" t="s">
        <v>5554</v>
      </c>
      <c r="K8083" s="112" t="s">
        <v>5555</v>
      </c>
      <c r="L8083" s="116">
        <v>25000</v>
      </c>
    </row>
    <row r="8084" spans="1:12" hidden="1" outlineLevel="1" collapsed="1" x14ac:dyDescent="0.35">
      <c r="A8084" s="112" t="s">
        <v>5553</v>
      </c>
      <c r="B8084" s="112" t="s">
        <v>927</v>
      </c>
      <c r="C8084" s="112" t="s">
        <v>1219</v>
      </c>
      <c r="D8084" s="113">
        <v>46307656</v>
      </c>
      <c r="E8084" s="115">
        <v>43943</v>
      </c>
      <c r="F8084" s="114">
        <v>202101</v>
      </c>
      <c r="G8084" s="112" t="s">
        <v>1091</v>
      </c>
      <c r="H8084" s="112" t="s">
        <v>1015</v>
      </c>
      <c r="I8084" s="112" t="s">
        <v>1605</v>
      </c>
      <c r="J8084" s="112" t="s">
        <v>5554</v>
      </c>
      <c r="K8084" s="112" t="s">
        <v>5556</v>
      </c>
      <c r="L8084" s="116">
        <v>10000</v>
      </c>
    </row>
    <row r="8085" spans="1:12" hidden="1" outlineLevel="1" collapsed="1" x14ac:dyDescent="0.35">
      <c r="A8085" s="112" t="s">
        <v>5553</v>
      </c>
      <c r="B8085" s="112" t="s">
        <v>927</v>
      </c>
      <c r="C8085" s="112" t="s">
        <v>1219</v>
      </c>
      <c r="D8085" s="113">
        <v>46307657</v>
      </c>
      <c r="E8085" s="115">
        <v>43943</v>
      </c>
      <c r="F8085" s="114">
        <v>202101</v>
      </c>
      <c r="G8085" s="112" t="s">
        <v>1091</v>
      </c>
      <c r="H8085" s="112" t="s">
        <v>1015</v>
      </c>
      <c r="I8085" s="112" t="s">
        <v>1605</v>
      </c>
      <c r="J8085" s="112" t="s">
        <v>5554</v>
      </c>
      <c r="K8085" s="112" t="s">
        <v>5555</v>
      </c>
      <c r="L8085" s="116">
        <v>10000</v>
      </c>
    </row>
    <row r="8086" spans="1:12" hidden="1" outlineLevel="1" collapsed="1" x14ac:dyDescent="0.35">
      <c r="A8086" s="112" t="s">
        <v>5553</v>
      </c>
      <c r="B8086" s="112" t="s">
        <v>927</v>
      </c>
      <c r="C8086" s="112" t="s">
        <v>1219</v>
      </c>
      <c r="D8086" s="113">
        <v>46307658</v>
      </c>
      <c r="E8086" s="115">
        <v>43943</v>
      </c>
      <c r="F8086" s="114">
        <v>202101</v>
      </c>
      <c r="G8086" s="112" t="s">
        <v>1091</v>
      </c>
      <c r="H8086" s="112" t="s">
        <v>1015</v>
      </c>
      <c r="I8086" s="112" t="s">
        <v>1605</v>
      </c>
      <c r="J8086" s="112" t="s">
        <v>5554</v>
      </c>
      <c r="K8086" s="112" t="s">
        <v>5555</v>
      </c>
      <c r="L8086" s="116">
        <v>25000</v>
      </c>
    </row>
    <row r="8087" spans="1:12" hidden="1" outlineLevel="1" collapsed="1" x14ac:dyDescent="0.35">
      <c r="A8087" s="112" t="s">
        <v>5553</v>
      </c>
      <c r="B8087" s="112" t="s">
        <v>927</v>
      </c>
      <c r="C8087" s="112" t="s">
        <v>1219</v>
      </c>
      <c r="D8087" s="113">
        <v>46307659</v>
      </c>
      <c r="E8087" s="115">
        <v>43943</v>
      </c>
      <c r="F8087" s="114">
        <v>202101</v>
      </c>
      <c r="G8087" s="112" t="s">
        <v>1091</v>
      </c>
      <c r="H8087" s="112" t="s">
        <v>1015</v>
      </c>
      <c r="I8087" s="112" t="s">
        <v>1605</v>
      </c>
      <c r="J8087" s="112" t="s">
        <v>5554</v>
      </c>
      <c r="K8087" s="112" t="s">
        <v>5556</v>
      </c>
      <c r="L8087" s="116">
        <v>10000</v>
      </c>
    </row>
    <row r="8088" spans="1:12" hidden="1" outlineLevel="1" collapsed="1" x14ac:dyDescent="0.35">
      <c r="A8088" s="112" t="s">
        <v>5553</v>
      </c>
      <c r="B8088" s="112" t="s">
        <v>927</v>
      </c>
      <c r="C8088" s="112" t="s">
        <v>1219</v>
      </c>
      <c r="D8088" s="113">
        <v>46307660</v>
      </c>
      <c r="E8088" s="115">
        <v>43943</v>
      </c>
      <c r="F8088" s="114">
        <v>202101</v>
      </c>
      <c r="G8088" s="112" t="s">
        <v>1091</v>
      </c>
      <c r="H8088" s="112" t="s">
        <v>1015</v>
      </c>
      <c r="I8088" s="112" t="s">
        <v>1605</v>
      </c>
      <c r="J8088" s="112" t="s">
        <v>5554</v>
      </c>
      <c r="K8088" s="112" t="s">
        <v>5555</v>
      </c>
      <c r="L8088" s="116">
        <v>25000</v>
      </c>
    </row>
    <row r="8089" spans="1:12" hidden="1" outlineLevel="1" collapsed="1" x14ac:dyDescent="0.35">
      <c r="A8089" s="112" t="s">
        <v>5553</v>
      </c>
      <c r="B8089" s="112" t="s">
        <v>927</v>
      </c>
      <c r="C8089" s="112" t="s">
        <v>1219</v>
      </c>
      <c r="D8089" s="113">
        <v>46307639</v>
      </c>
      <c r="E8089" s="115">
        <v>43943</v>
      </c>
      <c r="F8089" s="114">
        <v>202101</v>
      </c>
      <c r="G8089" s="112" t="s">
        <v>1091</v>
      </c>
      <c r="H8089" s="112" t="s">
        <v>1015</v>
      </c>
      <c r="I8089" s="112" t="s">
        <v>1605</v>
      </c>
      <c r="J8089" s="112" t="s">
        <v>5554</v>
      </c>
      <c r="K8089" s="112" t="s">
        <v>5556</v>
      </c>
      <c r="L8089" s="116">
        <v>10000</v>
      </c>
    </row>
    <row r="8090" spans="1:12" hidden="1" outlineLevel="1" collapsed="1" x14ac:dyDescent="0.35">
      <c r="A8090" s="112" t="s">
        <v>5553</v>
      </c>
      <c r="B8090" s="112" t="s">
        <v>927</v>
      </c>
      <c r="C8090" s="112" t="s">
        <v>1219</v>
      </c>
      <c r="D8090" s="113">
        <v>46307666</v>
      </c>
      <c r="E8090" s="115">
        <v>43943</v>
      </c>
      <c r="F8090" s="114">
        <v>202101</v>
      </c>
      <c r="G8090" s="112" t="s">
        <v>1091</v>
      </c>
      <c r="H8090" s="112" t="s">
        <v>1015</v>
      </c>
      <c r="I8090" s="112" t="s">
        <v>1605</v>
      </c>
      <c r="J8090" s="112" t="s">
        <v>5554</v>
      </c>
      <c r="K8090" s="112" t="s">
        <v>5556</v>
      </c>
      <c r="L8090" s="116">
        <v>10000</v>
      </c>
    </row>
    <row r="8091" spans="1:12" hidden="1" outlineLevel="1" collapsed="1" x14ac:dyDescent="0.35">
      <c r="A8091" s="112" t="s">
        <v>5553</v>
      </c>
      <c r="B8091" s="112" t="s">
        <v>927</v>
      </c>
      <c r="C8091" s="112" t="s">
        <v>1219</v>
      </c>
      <c r="D8091" s="113">
        <v>46307676</v>
      </c>
      <c r="E8091" s="115">
        <v>43943</v>
      </c>
      <c r="F8091" s="114">
        <v>202101</v>
      </c>
      <c r="G8091" s="112" t="s">
        <v>1091</v>
      </c>
      <c r="H8091" s="112" t="s">
        <v>1015</v>
      </c>
      <c r="I8091" s="112" t="s">
        <v>1605</v>
      </c>
      <c r="J8091" s="112" t="s">
        <v>5554</v>
      </c>
      <c r="K8091" s="112" t="s">
        <v>5556</v>
      </c>
      <c r="L8091" s="116">
        <v>10000</v>
      </c>
    </row>
    <row r="8092" spans="1:12" hidden="1" outlineLevel="1" collapsed="1" x14ac:dyDescent="0.35">
      <c r="A8092" s="112" t="s">
        <v>5553</v>
      </c>
      <c r="B8092" s="112" t="s">
        <v>927</v>
      </c>
      <c r="C8092" s="112" t="s">
        <v>1219</v>
      </c>
      <c r="D8092" s="113">
        <v>46307677</v>
      </c>
      <c r="E8092" s="115">
        <v>43943</v>
      </c>
      <c r="F8092" s="114">
        <v>202101</v>
      </c>
      <c r="G8092" s="112" t="s">
        <v>1091</v>
      </c>
      <c r="H8092" s="112" t="s">
        <v>1015</v>
      </c>
      <c r="I8092" s="112" t="s">
        <v>1605</v>
      </c>
      <c r="J8092" s="112" t="s">
        <v>5554</v>
      </c>
      <c r="K8092" s="112" t="s">
        <v>5556</v>
      </c>
      <c r="L8092" s="116">
        <v>10000</v>
      </c>
    </row>
    <row r="8093" spans="1:12" hidden="1" outlineLevel="1" collapsed="1" x14ac:dyDescent="0.35">
      <c r="A8093" s="112" t="s">
        <v>5553</v>
      </c>
      <c r="B8093" s="112" t="s">
        <v>927</v>
      </c>
      <c r="C8093" s="112" t="s">
        <v>1219</v>
      </c>
      <c r="D8093" s="113">
        <v>46307678</v>
      </c>
      <c r="E8093" s="115">
        <v>43943</v>
      </c>
      <c r="F8093" s="114">
        <v>202101</v>
      </c>
      <c r="G8093" s="112" t="s">
        <v>1091</v>
      </c>
      <c r="H8093" s="112" t="s">
        <v>1015</v>
      </c>
      <c r="I8093" s="112" t="s">
        <v>1605</v>
      </c>
      <c r="J8093" s="112" t="s">
        <v>5554</v>
      </c>
      <c r="K8093" s="112" t="s">
        <v>5556</v>
      </c>
      <c r="L8093" s="116">
        <v>10000</v>
      </c>
    </row>
    <row r="8094" spans="1:12" hidden="1" outlineLevel="1" collapsed="1" x14ac:dyDescent="0.35">
      <c r="A8094" s="112" t="s">
        <v>5553</v>
      </c>
      <c r="B8094" s="112" t="s">
        <v>927</v>
      </c>
      <c r="C8094" s="112" t="s">
        <v>1219</v>
      </c>
      <c r="D8094" s="113">
        <v>46307679</v>
      </c>
      <c r="E8094" s="115">
        <v>43943</v>
      </c>
      <c r="F8094" s="114">
        <v>202101</v>
      </c>
      <c r="G8094" s="112" t="s">
        <v>1091</v>
      </c>
      <c r="H8094" s="112" t="s">
        <v>1015</v>
      </c>
      <c r="I8094" s="112" t="s">
        <v>1605</v>
      </c>
      <c r="J8094" s="112" t="s">
        <v>5554</v>
      </c>
      <c r="K8094" s="112" t="s">
        <v>5556</v>
      </c>
      <c r="L8094" s="116">
        <v>10000</v>
      </c>
    </row>
    <row r="8095" spans="1:12" hidden="1" outlineLevel="1" collapsed="1" x14ac:dyDescent="0.35">
      <c r="A8095" s="112" t="s">
        <v>5553</v>
      </c>
      <c r="B8095" s="112" t="s">
        <v>927</v>
      </c>
      <c r="C8095" s="112" t="s">
        <v>1219</v>
      </c>
      <c r="D8095" s="113">
        <v>46307671</v>
      </c>
      <c r="E8095" s="115">
        <v>43943</v>
      </c>
      <c r="F8095" s="114">
        <v>202101</v>
      </c>
      <c r="G8095" s="112" t="s">
        <v>1091</v>
      </c>
      <c r="H8095" s="112" t="s">
        <v>1015</v>
      </c>
      <c r="I8095" s="112" t="s">
        <v>1605</v>
      </c>
      <c r="J8095" s="112" t="s">
        <v>5554</v>
      </c>
      <c r="K8095" s="112" t="s">
        <v>5555</v>
      </c>
      <c r="L8095" s="116">
        <v>25000</v>
      </c>
    </row>
    <row r="8096" spans="1:12" hidden="1" outlineLevel="1" collapsed="1" x14ac:dyDescent="0.35">
      <c r="A8096" s="112" t="s">
        <v>5553</v>
      </c>
      <c r="B8096" s="112" t="s">
        <v>927</v>
      </c>
      <c r="C8096" s="112" t="s">
        <v>1219</v>
      </c>
      <c r="D8096" s="113">
        <v>46307680</v>
      </c>
      <c r="E8096" s="115">
        <v>43943</v>
      </c>
      <c r="F8096" s="114">
        <v>202101</v>
      </c>
      <c r="G8096" s="112" t="s">
        <v>1091</v>
      </c>
      <c r="H8096" s="112" t="s">
        <v>1015</v>
      </c>
      <c r="I8096" s="112" t="s">
        <v>1605</v>
      </c>
      <c r="J8096" s="112" t="s">
        <v>5554</v>
      </c>
      <c r="K8096" s="112" t="s">
        <v>5556</v>
      </c>
      <c r="L8096" s="116">
        <v>10000</v>
      </c>
    </row>
    <row r="8097" spans="1:12" hidden="1" outlineLevel="1" collapsed="1" x14ac:dyDescent="0.35">
      <c r="A8097" s="112" t="s">
        <v>5553</v>
      </c>
      <c r="B8097" s="112" t="s">
        <v>927</v>
      </c>
      <c r="C8097" s="112" t="s">
        <v>1219</v>
      </c>
      <c r="D8097" s="113">
        <v>46307681</v>
      </c>
      <c r="E8097" s="115">
        <v>43943</v>
      </c>
      <c r="F8097" s="114">
        <v>202101</v>
      </c>
      <c r="G8097" s="112" t="s">
        <v>1091</v>
      </c>
      <c r="H8097" s="112" t="s">
        <v>1015</v>
      </c>
      <c r="I8097" s="112" t="s">
        <v>1605</v>
      </c>
      <c r="J8097" s="112" t="s">
        <v>5554</v>
      </c>
      <c r="K8097" s="112" t="s">
        <v>5556</v>
      </c>
      <c r="L8097" s="116">
        <v>10000</v>
      </c>
    </row>
    <row r="8098" spans="1:12" hidden="1" outlineLevel="1" collapsed="1" x14ac:dyDescent="0.35">
      <c r="A8098" s="112" t="s">
        <v>5553</v>
      </c>
      <c r="B8098" s="112" t="s">
        <v>927</v>
      </c>
      <c r="C8098" s="112" t="s">
        <v>1219</v>
      </c>
      <c r="D8098" s="113">
        <v>46307682</v>
      </c>
      <c r="E8098" s="115">
        <v>43943</v>
      </c>
      <c r="F8098" s="114">
        <v>202101</v>
      </c>
      <c r="G8098" s="112" t="s">
        <v>1091</v>
      </c>
      <c r="H8098" s="112" t="s">
        <v>1015</v>
      </c>
      <c r="I8098" s="112" t="s">
        <v>1605</v>
      </c>
      <c r="J8098" s="112" t="s">
        <v>5554</v>
      </c>
      <c r="K8098" s="112" t="s">
        <v>5556</v>
      </c>
      <c r="L8098" s="116">
        <v>10000</v>
      </c>
    </row>
    <row r="8099" spans="1:12" hidden="1" outlineLevel="1" collapsed="1" x14ac:dyDescent="0.35">
      <c r="A8099" s="112" t="s">
        <v>5553</v>
      </c>
      <c r="B8099" s="112" t="s">
        <v>927</v>
      </c>
      <c r="C8099" s="112" t="s">
        <v>1219</v>
      </c>
      <c r="D8099" s="113">
        <v>46307670</v>
      </c>
      <c r="E8099" s="115">
        <v>43943</v>
      </c>
      <c r="F8099" s="114">
        <v>202101</v>
      </c>
      <c r="G8099" s="112" t="s">
        <v>1091</v>
      </c>
      <c r="H8099" s="112" t="s">
        <v>1015</v>
      </c>
      <c r="I8099" s="112" t="s">
        <v>1605</v>
      </c>
      <c r="J8099" s="112" t="s">
        <v>5554</v>
      </c>
      <c r="K8099" s="112" t="s">
        <v>5556</v>
      </c>
      <c r="L8099" s="116">
        <v>10000</v>
      </c>
    </row>
    <row r="8100" spans="1:12" hidden="1" outlineLevel="1" collapsed="1" x14ac:dyDescent="0.35">
      <c r="A8100" s="112" t="s">
        <v>5553</v>
      </c>
      <c r="B8100" s="112" t="s">
        <v>927</v>
      </c>
      <c r="C8100" s="112" t="s">
        <v>1219</v>
      </c>
      <c r="D8100" s="113">
        <v>46307669</v>
      </c>
      <c r="E8100" s="115">
        <v>43943</v>
      </c>
      <c r="F8100" s="114">
        <v>202101</v>
      </c>
      <c r="G8100" s="112" t="s">
        <v>1091</v>
      </c>
      <c r="H8100" s="112" t="s">
        <v>1015</v>
      </c>
      <c r="I8100" s="112" t="s">
        <v>1605</v>
      </c>
      <c r="J8100" s="112" t="s">
        <v>5554</v>
      </c>
      <c r="K8100" s="112" t="s">
        <v>5556</v>
      </c>
      <c r="L8100" s="116">
        <v>10000</v>
      </c>
    </row>
    <row r="8101" spans="1:12" hidden="1" outlineLevel="1" collapsed="1" x14ac:dyDescent="0.35">
      <c r="A8101" s="112" t="s">
        <v>5553</v>
      </c>
      <c r="B8101" s="112" t="s">
        <v>927</v>
      </c>
      <c r="C8101" s="112" t="s">
        <v>1219</v>
      </c>
      <c r="D8101" s="113">
        <v>46307668</v>
      </c>
      <c r="E8101" s="115">
        <v>43943</v>
      </c>
      <c r="F8101" s="114">
        <v>202101</v>
      </c>
      <c r="G8101" s="112" t="s">
        <v>1091</v>
      </c>
      <c r="H8101" s="112" t="s">
        <v>1015</v>
      </c>
      <c r="I8101" s="112" t="s">
        <v>1605</v>
      </c>
      <c r="J8101" s="112" t="s">
        <v>5554</v>
      </c>
      <c r="K8101" s="112" t="s">
        <v>5556</v>
      </c>
      <c r="L8101" s="116">
        <v>10000</v>
      </c>
    </row>
    <row r="8102" spans="1:12" hidden="1" outlineLevel="1" collapsed="1" x14ac:dyDescent="0.35">
      <c r="A8102" s="112" t="s">
        <v>5553</v>
      </c>
      <c r="B8102" s="112" t="s">
        <v>927</v>
      </c>
      <c r="C8102" s="112" t="s">
        <v>1219</v>
      </c>
      <c r="D8102" s="113">
        <v>46307667</v>
      </c>
      <c r="E8102" s="115">
        <v>43943</v>
      </c>
      <c r="F8102" s="114">
        <v>202101</v>
      </c>
      <c r="G8102" s="112" t="s">
        <v>1091</v>
      </c>
      <c r="H8102" s="112" t="s">
        <v>1015</v>
      </c>
      <c r="I8102" s="112" t="s">
        <v>1605</v>
      </c>
      <c r="J8102" s="112" t="s">
        <v>5554</v>
      </c>
      <c r="K8102" s="112" t="s">
        <v>5556</v>
      </c>
      <c r="L8102" s="116">
        <v>10000</v>
      </c>
    </row>
    <row r="8103" spans="1:12" hidden="1" outlineLevel="1" collapsed="1" x14ac:dyDescent="0.35">
      <c r="A8103" s="112" t="s">
        <v>5553</v>
      </c>
      <c r="B8103" s="112" t="s">
        <v>927</v>
      </c>
      <c r="C8103" s="112" t="s">
        <v>1219</v>
      </c>
      <c r="D8103" s="113">
        <v>46307672</v>
      </c>
      <c r="E8103" s="115">
        <v>43943</v>
      </c>
      <c r="F8103" s="114">
        <v>202101</v>
      </c>
      <c r="G8103" s="112" t="s">
        <v>1091</v>
      </c>
      <c r="H8103" s="112" t="s">
        <v>1015</v>
      </c>
      <c r="I8103" s="112" t="s">
        <v>1605</v>
      </c>
      <c r="J8103" s="112" t="s">
        <v>5554</v>
      </c>
      <c r="K8103" s="112" t="s">
        <v>5555</v>
      </c>
      <c r="L8103" s="116">
        <v>25000</v>
      </c>
    </row>
    <row r="8104" spans="1:12" hidden="1" outlineLevel="1" collapsed="1" x14ac:dyDescent="0.35">
      <c r="A8104" s="112" t="s">
        <v>5553</v>
      </c>
      <c r="B8104" s="112" t="s">
        <v>927</v>
      </c>
      <c r="C8104" s="112" t="s">
        <v>1219</v>
      </c>
      <c r="D8104" s="113">
        <v>46307665</v>
      </c>
      <c r="E8104" s="115">
        <v>43943</v>
      </c>
      <c r="F8104" s="114">
        <v>202101</v>
      </c>
      <c r="G8104" s="112" t="s">
        <v>1091</v>
      </c>
      <c r="H8104" s="112" t="s">
        <v>1015</v>
      </c>
      <c r="I8104" s="112" t="s">
        <v>1605</v>
      </c>
      <c r="J8104" s="112" t="s">
        <v>5554</v>
      </c>
      <c r="K8104" s="112" t="s">
        <v>5556</v>
      </c>
      <c r="L8104" s="116">
        <v>10000</v>
      </c>
    </row>
    <row r="8105" spans="1:12" hidden="1" outlineLevel="1" collapsed="1" x14ac:dyDescent="0.35">
      <c r="A8105" s="112" t="s">
        <v>5553</v>
      </c>
      <c r="B8105" s="112" t="s">
        <v>927</v>
      </c>
      <c r="C8105" s="112" t="s">
        <v>1219</v>
      </c>
      <c r="D8105" s="113">
        <v>46307664</v>
      </c>
      <c r="E8105" s="115">
        <v>43943</v>
      </c>
      <c r="F8105" s="114">
        <v>202101</v>
      </c>
      <c r="G8105" s="112" t="s">
        <v>1091</v>
      </c>
      <c r="H8105" s="112" t="s">
        <v>1015</v>
      </c>
      <c r="I8105" s="112" t="s">
        <v>1605</v>
      </c>
      <c r="J8105" s="112" t="s">
        <v>5554</v>
      </c>
      <c r="K8105" s="112" t="s">
        <v>5556</v>
      </c>
      <c r="L8105" s="116">
        <v>10000</v>
      </c>
    </row>
    <row r="8106" spans="1:12" hidden="1" outlineLevel="1" collapsed="1" x14ac:dyDescent="0.35">
      <c r="A8106" s="112" t="s">
        <v>5553</v>
      </c>
      <c r="B8106" s="112" t="s">
        <v>927</v>
      </c>
      <c r="C8106" s="112" t="s">
        <v>1219</v>
      </c>
      <c r="D8106" s="113">
        <v>46307663</v>
      </c>
      <c r="E8106" s="115">
        <v>43943</v>
      </c>
      <c r="F8106" s="114">
        <v>202101</v>
      </c>
      <c r="G8106" s="112" t="s">
        <v>1091</v>
      </c>
      <c r="H8106" s="112" t="s">
        <v>1015</v>
      </c>
      <c r="I8106" s="112" t="s">
        <v>1605</v>
      </c>
      <c r="J8106" s="112" t="s">
        <v>5554</v>
      </c>
      <c r="K8106" s="112" t="s">
        <v>5555</v>
      </c>
      <c r="L8106" s="116">
        <v>25000</v>
      </c>
    </row>
    <row r="8107" spans="1:12" hidden="1" outlineLevel="1" collapsed="1" x14ac:dyDescent="0.35">
      <c r="A8107" s="112" t="s">
        <v>5553</v>
      </c>
      <c r="B8107" s="112" t="s">
        <v>927</v>
      </c>
      <c r="C8107" s="112" t="s">
        <v>1219</v>
      </c>
      <c r="D8107" s="113">
        <v>46307683</v>
      </c>
      <c r="E8107" s="115">
        <v>43943</v>
      </c>
      <c r="F8107" s="114">
        <v>202101</v>
      </c>
      <c r="G8107" s="112" t="s">
        <v>1091</v>
      </c>
      <c r="H8107" s="112" t="s">
        <v>1015</v>
      </c>
      <c r="I8107" s="112" t="s">
        <v>1605</v>
      </c>
      <c r="J8107" s="112" t="s">
        <v>5554</v>
      </c>
      <c r="K8107" s="112" t="s">
        <v>5555</v>
      </c>
      <c r="L8107" s="116">
        <v>25000</v>
      </c>
    </row>
    <row r="8108" spans="1:12" hidden="1" outlineLevel="1" collapsed="1" x14ac:dyDescent="0.35">
      <c r="A8108" s="112" t="s">
        <v>5553</v>
      </c>
      <c r="B8108" s="112" t="s">
        <v>927</v>
      </c>
      <c r="C8108" s="112" t="s">
        <v>1219</v>
      </c>
      <c r="D8108" s="113">
        <v>46307684</v>
      </c>
      <c r="E8108" s="115">
        <v>43943</v>
      </c>
      <c r="F8108" s="114">
        <v>202101</v>
      </c>
      <c r="G8108" s="112" t="s">
        <v>1091</v>
      </c>
      <c r="H8108" s="112" t="s">
        <v>1015</v>
      </c>
      <c r="I8108" s="112" t="s">
        <v>1605</v>
      </c>
      <c r="J8108" s="112" t="s">
        <v>5554</v>
      </c>
      <c r="K8108" s="112" t="s">
        <v>5556</v>
      </c>
      <c r="L8108" s="116">
        <v>10000</v>
      </c>
    </row>
    <row r="8109" spans="1:12" hidden="1" outlineLevel="1" collapsed="1" x14ac:dyDescent="0.35">
      <c r="A8109" s="112" t="s">
        <v>5553</v>
      </c>
      <c r="B8109" s="112" t="s">
        <v>927</v>
      </c>
      <c r="C8109" s="112" t="s">
        <v>1219</v>
      </c>
      <c r="D8109" s="113">
        <v>46307662</v>
      </c>
      <c r="E8109" s="115">
        <v>43943</v>
      </c>
      <c r="F8109" s="114">
        <v>202101</v>
      </c>
      <c r="G8109" s="112" t="s">
        <v>1091</v>
      </c>
      <c r="H8109" s="112" t="s">
        <v>1015</v>
      </c>
      <c r="I8109" s="112" t="s">
        <v>1605</v>
      </c>
      <c r="J8109" s="112" t="s">
        <v>5554</v>
      </c>
      <c r="K8109" s="112" t="s">
        <v>5556</v>
      </c>
      <c r="L8109" s="116">
        <v>10000</v>
      </c>
    </row>
    <row r="8110" spans="1:12" hidden="1" outlineLevel="1" collapsed="1" x14ac:dyDescent="0.35">
      <c r="A8110" s="112" t="s">
        <v>5553</v>
      </c>
      <c r="B8110" s="112" t="s">
        <v>927</v>
      </c>
      <c r="C8110" s="112" t="s">
        <v>1219</v>
      </c>
      <c r="D8110" s="113">
        <v>46307661</v>
      </c>
      <c r="E8110" s="115">
        <v>43943</v>
      </c>
      <c r="F8110" s="114">
        <v>202101</v>
      </c>
      <c r="G8110" s="112" t="s">
        <v>1091</v>
      </c>
      <c r="H8110" s="112" t="s">
        <v>1015</v>
      </c>
      <c r="I8110" s="112" t="s">
        <v>1605</v>
      </c>
      <c r="J8110" s="112" t="s">
        <v>5554</v>
      </c>
      <c r="K8110" s="112" t="s">
        <v>5555</v>
      </c>
      <c r="L8110" s="116">
        <v>25000</v>
      </c>
    </row>
    <row r="8111" spans="1:12" hidden="1" outlineLevel="1" collapsed="1" x14ac:dyDescent="0.35">
      <c r="A8111" s="112" t="s">
        <v>5553</v>
      </c>
      <c r="B8111" s="112" t="s">
        <v>927</v>
      </c>
      <c r="C8111" s="112" t="s">
        <v>1219</v>
      </c>
      <c r="D8111" s="113">
        <v>46307685</v>
      </c>
      <c r="E8111" s="115">
        <v>43943</v>
      </c>
      <c r="F8111" s="114">
        <v>202101</v>
      </c>
      <c r="G8111" s="112" t="s">
        <v>1091</v>
      </c>
      <c r="H8111" s="112" t="s">
        <v>1015</v>
      </c>
      <c r="I8111" s="112" t="s">
        <v>1605</v>
      </c>
      <c r="J8111" s="112" t="s">
        <v>5554</v>
      </c>
      <c r="K8111" s="112" t="s">
        <v>5555</v>
      </c>
      <c r="L8111" s="116">
        <v>25000</v>
      </c>
    </row>
    <row r="8112" spans="1:12" hidden="1" outlineLevel="1" collapsed="1" x14ac:dyDescent="0.35">
      <c r="A8112" s="112" t="s">
        <v>5553</v>
      </c>
      <c r="B8112" s="112" t="s">
        <v>927</v>
      </c>
      <c r="C8112" s="112" t="s">
        <v>1219</v>
      </c>
      <c r="D8112" s="113">
        <v>46307686</v>
      </c>
      <c r="E8112" s="115">
        <v>43943</v>
      </c>
      <c r="F8112" s="114">
        <v>202101</v>
      </c>
      <c r="G8112" s="112" t="s">
        <v>1091</v>
      </c>
      <c r="H8112" s="112" t="s">
        <v>1015</v>
      </c>
      <c r="I8112" s="112" t="s">
        <v>1605</v>
      </c>
      <c r="J8112" s="112" t="s">
        <v>5554</v>
      </c>
      <c r="K8112" s="112" t="s">
        <v>5556</v>
      </c>
      <c r="L8112" s="116">
        <v>10000</v>
      </c>
    </row>
    <row r="8113" spans="1:12" hidden="1" outlineLevel="1" collapsed="1" x14ac:dyDescent="0.35">
      <c r="A8113" s="112" t="s">
        <v>5553</v>
      </c>
      <c r="B8113" s="112" t="s">
        <v>927</v>
      </c>
      <c r="C8113" s="112" t="s">
        <v>1219</v>
      </c>
      <c r="D8113" s="113">
        <v>46307687</v>
      </c>
      <c r="E8113" s="115">
        <v>43943</v>
      </c>
      <c r="F8113" s="114">
        <v>202101</v>
      </c>
      <c r="G8113" s="112" t="s">
        <v>1091</v>
      </c>
      <c r="H8113" s="112" t="s">
        <v>1015</v>
      </c>
      <c r="I8113" s="112" t="s">
        <v>1605</v>
      </c>
      <c r="J8113" s="112" t="s">
        <v>5554</v>
      </c>
      <c r="K8113" s="112" t="s">
        <v>5555</v>
      </c>
      <c r="L8113" s="116">
        <v>25000</v>
      </c>
    </row>
    <row r="8114" spans="1:12" hidden="1" outlineLevel="1" collapsed="1" x14ac:dyDescent="0.35">
      <c r="A8114" s="112" t="s">
        <v>5553</v>
      </c>
      <c r="B8114" s="112" t="s">
        <v>927</v>
      </c>
      <c r="C8114" s="112" t="s">
        <v>1219</v>
      </c>
      <c r="D8114" s="113">
        <v>46307688</v>
      </c>
      <c r="E8114" s="115">
        <v>43943</v>
      </c>
      <c r="F8114" s="114">
        <v>202101</v>
      </c>
      <c r="G8114" s="112" t="s">
        <v>1091</v>
      </c>
      <c r="H8114" s="112" t="s">
        <v>1015</v>
      </c>
      <c r="I8114" s="112" t="s">
        <v>1605</v>
      </c>
      <c r="J8114" s="112" t="s">
        <v>5554</v>
      </c>
      <c r="K8114" s="112" t="s">
        <v>5555</v>
      </c>
      <c r="L8114" s="116">
        <v>10000</v>
      </c>
    </row>
    <row r="8115" spans="1:12" hidden="1" outlineLevel="1" collapsed="1" x14ac:dyDescent="0.35">
      <c r="A8115" s="112" t="s">
        <v>5553</v>
      </c>
      <c r="B8115" s="112" t="s">
        <v>927</v>
      </c>
      <c r="C8115" s="112" t="s">
        <v>1219</v>
      </c>
      <c r="D8115" s="113">
        <v>46307689</v>
      </c>
      <c r="E8115" s="115">
        <v>43943</v>
      </c>
      <c r="F8115" s="114">
        <v>202101</v>
      </c>
      <c r="G8115" s="112" t="s">
        <v>1091</v>
      </c>
      <c r="H8115" s="112" t="s">
        <v>1015</v>
      </c>
      <c r="I8115" s="112" t="s">
        <v>1605</v>
      </c>
      <c r="J8115" s="112" t="s">
        <v>5554</v>
      </c>
      <c r="K8115" s="112" t="s">
        <v>5555</v>
      </c>
      <c r="L8115" s="116">
        <v>25000</v>
      </c>
    </row>
    <row r="8116" spans="1:12" hidden="1" outlineLevel="1" collapsed="1" x14ac:dyDescent="0.35">
      <c r="A8116" s="112" t="s">
        <v>5553</v>
      </c>
      <c r="B8116" s="112" t="s">
        <v>927</v>
      </c>
      <c r="C8116" s="112" t="s">
        <v>1219</v>
      </c>
      <c r="D8116" s="113">
        <v>46307690</v>
      </c>
      <c r="E8116" s="115">
        <v>43943</v>
      </c>
      <c r="F8116" s="114">
        <v>202101</v>
      </c>
      <c r="G8116" s="112" t="s">
        <v>1091</v>
      </c>
      <c r="H8116" s="112" t="s">
        <v>1015</v>
      </c>
      <c r="I8116" s="112" t="s">
        <v>1605</v>
      </c>
      <c r="J8116" s="112" t="s">
        <v>5554</v>
      </c>
      <c r="K8116" s="112" t="s">
        <v>5556</v>
      </c>
      <c r="L8116" s="116">
        <v>10000</v>
      </c>
    </row>
    <row r="8117" spans="1:12" hidden="1" outlineLevel="1" collapsed="1" x14ac:dyDescent="0.35">
      <c r="A8117" s="112" t="s">
        <v>5553</v>
      </c>
      <c r="B8117" s="112" t="s">
        <v>927</v>
      </c>
      <c r="C8117" s="112" t="s">
        <v>1095</v>
      </c>
      <c r="D8117" s="113">
        <v>10348451</v>
      </c>
      <c r="E8117" s="115">
        <v>43949</v>
      </c>
      <c r="F8117" s="114">
        <v>202101</v>
      </c>
      <c r="G8117" s="112" t="s">
        <v>1091</v>
      </c>
      <c r="H8117" s="112" t="s">
        <v>1015</v>
      </c>
      <c r="I8117" s="112" t="s">
        <v>1101</v>
      </c>
      <c r="J8117" s="112" t="s">
        <v>5557</v>
      </c>
      <c r="K8117" s="112" t="s">
        <v>1098</v>
      </c>
      <c r="L8117" s="116">
        <v>483.07</v>
      </c>
    </row>
    <row r="8118" spans="1:12" hidden="1" outlineLevel="1" collapsed="1" x14ac:dyDescent="0.35">
      <c r="A8118" s="112" t="s">
        <v>5553</v>
      </c>
      <c r="B8118" s="112" t="s">
        <v>927</v>
      </c>
      <c r="C8118" s="112" t="s">
        <v>1219</v>
      </c>
      <c r="D8118" s="113">
        <v>46307673</v>
      </c>
      <c r="E8118" s="115">
        <v>43943</v>
      </c>
      <c r="F8118" s="114">
        <v>202101</v>
      </c>
      <c r="G8118" s="112" t="s">
        <v>1091</v>
      </c>
      <c r="H8118" s="112" t="s">
        <v>1015</v>
      </c>
      <c r="I8118" s="112" t="s">
        <v>1605</v>
      </c>
      <c r="J8118" s="112" t="s">
        <v>5554</v>
      </c>
      <c r="K8118" s="112" t="s">
        <v>5556</v>
      </c>
      <c r="L8118" s="116">
        <v>10000</v>
      </c>
    </row>
    <row r="8119" spans="1:12" hidden="1" outlineLevel="1" collapsed="1" x14ac:dyDescent="0.35">
      <c r="A8119" s="112" t="s">
        <v>5553</v>
      </c>
      <c r="B8119" s="112" t="s">
        <v>927</v>
      </c>
      <c r="C8119" s="112" t="s">
        <v>1219</v>
      </c>
      <c r="D8119" s="113">
        <v>46308126</v>
      </c>
      <c r="E8119" s="115">
        <v>43951</v>
      </c>
      <c r="F8119" s="114">
        <v>202101</v>
      </c>
      <c r="G8119" s="112" t="s">
        <v>1091</v>
      </c>
      <c r="H8119" s="112" t="s">
        <v>1015</v>
      </c>
      <c r="I8119" s="112" t="s">
        <v>1605</v>
      </c>
      <c r="J8119" s="112" t="s">
        <v>5554</v>
      </c>
      <c r="K8119" s="112" t="s">
        <v>5555</v>
      </c>
      <c r="L8119" s="116">
        <v>10000</v>
      </c>
    </row>
    <row r="8120" spans="1:12" hidden="1" outlineLevel="1" collapsed="1" x14ac:dyDescent="0.35">
      <c r="A8120" s="112" t="s">
        <v>5553</v>
      </c>
      <c r="B8120" s="112" t="s">
        <v>927</v>
      </c>
      <c r="C8120" s="112" t="s">
        <v>1219</v>
      </c>
      <c r="D8120" s="113">
        <v>46308148</v>
      </c>
      <c r="E8120" s="115">
        <v>43951</v>
      </c>
      <c r="F8120" s="114">
        <v>202101</v>
      </c>
      <c r="G8120" s="112" t="s">
        <v>1091</v>
      </c>
      <c r="H8120" s="112" t="s">
        <v>1015</v>
      </c>
      <c r="I8120" s="112" t="s">
        <v>1605</v>
      </c>
      <c r="J8120" s="112" t="s">
        <v>5554</v>
      </c>
      <c r="K8120" s="112" t="s">
        <v>5555</v>
      </c>
      <c r="L8120" s="116">
        <v>10000</v>
      </c>
    </row>
    <row r="8121" spans="1:12" hidden="1" outlineLevel="1" collapsed="1" x14ac:dyDescent="0.35">
      <c r="A8121" s="112" t="s">
        <v>5553</v>
      </c>
      <c r="B8121" s="112" t="s">
        <v>927</v>
      </c>
      <c r="C8121" s="112" t="s">
        <v>1219</v>
      </c>
      <c r="D8121" s="113">
        <v>46308147</v>
      </c>
      <c r="E8121" s="115">
        <v>43951</v>
      </c>
      <c r="F8121" s="114">
        <v>202101</v>
      </c>
      <c r="G8121" s="112" t="s">
        <v>1091</v>
      </c>
      <c r="H8121" s="112" t="s">
        <v>1015</v>
      </c>
      <c r="I8121" s="112" t="s">
        <v>1605</v>
      </c>
      <c r="J8121" s="112" t="s">
        <v>5554</v>
      </c>
      <c r="K8121" s="112" t="s">
        <v>5555</v>
      </c>
      <c r="L8121" s="116">
        <v>25000</v>
      </c>
    </row>
    <row r="8122" spans="1:12" hidden="1" outlineLevel="1" collapsed="1" x14ac:dyDescent="0.35">
      <c r="A8122" s="112" t="s">
        <v>5553</v>
      </c>
      <c r="B8122" s="112" t="s">
        <v>927</v>
      </c>
      <c r="C8122" s="112" t="s">
        <v>1219</v>
      </c>
      <c r="D8122" s="113">
        <v>46308146</v>
      </c>
      <c r="E8122" s="115">
        <v>43951</v>
      </c>
      <c r="F8122" s="114">
        <v>202101</v>
      </c>
      <c r="G8122" s="112" t="s">
        <v>1091</v>
      </c>
      <c r="H8122" s="112" t="s">
        <v>1015</v>
      </c>
      <c r="I8122" s="112" t="s">
        <v>1605</v>
      </c>
      <c r="J8122" s="112" t="s">
        <v>5554</v>
      </c>
      <c r="K8122" s="112" t="s">
        <v>5555</v>
      </c>
      <c r="L8122" s="116">
        <v>25000</v>
      </c>
    </row>
    <row r="8123" spans="1:12" hidden="1" outlineLevel="1" collapsed="1" x14ac:dyDescent="0.35">
      <c r="A8123" s="112" t="s">
        <v>5553</v>
      </c>
      <c r="B8123" s="112" t="s">
        <v>927</v>
      </c>
      <c r="C8123" s="112" t="s">
        <v>1219</v>
      </c>
      <c r="D8123" s="113">
        <v>46308145</v>
      </c>
      <c r="E8123" s="115">
        <v>43951</v>
      </c>
      <c r="F8123" s="114">
        <v>202101</v>
      </c>
      <c r="G8123" s="112" t="s">
        <v>1091</v>
      </c>
      <c r="H8123" s="112" t="s">
        <v>1015</v>
      </c>
      <c r="I8123" s="112" t="s">
        <v>1605</v>
      </c>
      <c r="J8123" s="112" t="s">
        <v>5554</v>
      </c>
      <c r="K8123" s="112" t="s">
        <v>5556</v>
      </c>
      <c r="L8123" s="116">
        <v>10000</v>
      </c>
    </row>
    <row r="8124" spans="1:12" hidden="1" outlineLevel="1" collapsed="1" x14ac:dyDescent="0.35">
      <c r="A8124" s="112" t="s">
        <v>5553</v>
      </c>
      <c r="B8124" s="112" t="s">
        <v>927</v>
      </c>
      <c r="C8124" s="112" t="s">
        <v>1219</v>
      </c>
      <c r="D8124" s="113">
        <v>46308144</v>
      </c>
      <c r="E8124" s="115">
        <v>43951</v>
      </c>
      <c r="F8124" s="114">
        <v>202101</v>
      </c>
      <c r="G8124" s="112" t="s">
        <v>1091</v>
      </c>
      <c r="H8124" s="112" t="s">
        <v>1015</v>
      </c>
      <c r="I8124" s="112" t="s">
        <v>1605</v>
      </c>
      <c r="J8124" s="112" t="s">
        <v>5554</v>
      </c>
      <c r="K8124" s="112" t="s">
        <v>5555</v>
      </c>
      <c r="L8124" s="116">
        <v>25000</v>
      </c>
    </row>
    <row r="8125" spans="1:12" hidden="1" outlineLevel="1" collapsed="1" x14ac:dyDescent="0.35">
      <c r="A8125" s="112" t="s">
        <v>5553</v>
      </c>
      <c r="B8125" s="112" t="s">
        <v>5561</v>
      </c>
      <c r="C8125" s="112" t="s">
        <v>1099</v>
      </c>
      <c r="D8125" s="113">
        <v>1069667</v>
      </c>
      <c r="E8125" s="115">
        <v>43943</v>
      </c>
      <c r="F8125" s="114">
        <v>202101</v>
      </c>
      <c r="G8125" s="112" t="s">
        <v>1091</v>
      </c>
      <c r="H8125" s="112" t="s">
        <v>1015</v>
      </c>
      <c r="I8125" s="112" t="s">
        <v>1605</v>
      </c>
      <c r="J8125" s="112" t="s">
        <v>5614</v>
      </c>
      <c r="K8125" s="112" t="s">
        <v>5630</v>
      </c>
      <c r="L8125" s="116">
        <v>19091.28</v>
      </c>
    </row>
    <row r="8126" spans="1:12" hidden="1" outlineLevel="1" collapsed="1" x14ac:dyDescent="0.35">
      <c r="A8126" s="112" t="s">
        <v>5553</v>
      </c>
      <c r="B8126" s="112" t="s">
        <v>927</v>
      </c>
      <c r="C8126" s="112" t="s">
        <v>1219</v>
      </c>
      <c r="D8126" s="113">
        <v>46308143</v>
      </c>
      <c r="E8126" s="115">
        <v>43951</v>
      </c>
      <c r="F8126" s="114">
        <v>202101</v>
      </c>
      <c r="G8126" s="112" t="s">
        <v>1091</v>
      </c>
      <c r="H8126" s="112" t="s">
        <v>1015</v>
      </c>
      <c r="I8126" s="112" t="s">
        <v>1605</v>
      </c>
      <c r="J8126" s="112" t="s">
        <v>5554</v>
      </c>
      <c r="K8126" s="112" t="s">
        <v>5555</v>
      </c>
      <c r="L8126" s="116">
        <v>25000</v>
      </c>
    </row>
    <row r="8127" spans="1:12" hidden="1" outlineLevel="1" collapsed="1" x14ac:dyDescent="0.35">
      <c r="A8127" s="112" t="s">
        <v>5553</v>
      </c>
      <c r="B8127" s="112" t="s">
        <v>927</v>
      </c>
      <c r="C8127" s="112" t="s">
        <v>1219</v>
      </c>
      <c r="D8127" s="113">
        <v>46308142</v>
      </c>
      <c r="E8127" s="115">
        <v>43951</v>
      </c>
      <c r="F8127" s="114">
        <v>202101</v>
      </c>
      <c r="G8127" s="112" t="s">
        <v>1091</v>
      </c>
      <c r="H8127" s="112" t="s">
        <v>1015</v>
      </c>
      <c r="I8127" s="112" t="s">
        <v>1605</v>
      </c>
      <c r="J8127" s="112" t="s">
        <v>5554</v>
      </c>
      <c r="K8127" s="112" t="s">
        <v>5555</v>
      </c>
      <c r="L8127" s="116">
        <v>25000</v>
      </c>
    </row>
    <row r="8128" spans="1:12" hidden="1" outlineLevel="1" collapsed="1" x14ac:dyDescent="0.35">
      <c r="A8128" s="112" t="s">
        <v>5553</v>
      </c>
      <c r="B8128" s="112" t="s">
        <v>927</v>
      </c>
      <c r="C8128" s="112" t="s">
        <v>1219</v>
      </c>
      <c r="D8128" s="113">
        <v>46308141</v>
      </c>
      <c r="E8128" s="115">
        <v>43951</v>
      </c>
      <c r="F8128" s="114">
        <v>202101</v>
      </c>
      <c r="G8128" s="112" t="s">
        <v>1091</v>
      </c>
      <c r="H8128" s="112" t="s">
        <v>1015</v>
      </c>
      <c r="I8128" s="112" t="s">
        <v>1605</v>
      </c>
      <c r="J8128" s="112" t="s">
        <v>5554</v>
      </c>
      <c r="K8128" s="112" t="s">
        <v>5555</v>
      </c>
      <c r="L8128" s="116">
        <v>25000</v>
      </c>
    </row>
    <row r="8129" spans="1:12" hidden="1" outlineLevel="1" collapsed="1" x14ac:dyDescent="0.35">
      <c r="A8129" s="112" t="s">
        <v>5553</v>
      </c>
      <c r="B8129" s="112" t="s">
        <v>927</v>
      </c>
      <c r="C8129" s="112" t="s">
        <v>1219</v>
      </c>
      <c r="D8129" s="113">
        <v>46308140</v>
      </c>
      <c r="E8129" s="115">
        <v>43951</v>
      </c>
      <c r="F8129" s="114">
        <v>202101</v>
      </c>
      <c r="G8129" s="112" t="s">
        <v>1091</v>
      </c>
      <c r="H8129" s="112" t="s">
        <v>1015</v>
      </c>
      <c r="I8129" s="112" t="s">
        <v>1605</v>
      </c>
      <c r="J8129" s="112" t="s">
        <v>5554</v>
      </c>
      <c r="K8129" s="112" t="s">
        <v>5556</v>
      </c>
      <c r="L8129" s="116">
        <v>10000</v>
      </c>
    </row>
    <row r="8130" spans="1:12" hidden="1" outlineLevel="1" collapsed="1" x14ac:dyDescent="0.35">
      <c r="A8130" s="112" t="s">
        <v>5553</v>
      </c>
      <c r="B8130" s="112" t="s">
        <v>927</v>
      </c>
      <c r="C8130" s="112" t="s">
        <v>1219</v>
      </c>
      <c r="D8130" s="113">
        <v>46308139</v>
      </c>
      <c r="E8130" s="115">
        <v>43951</v>
      </c>
      <c r="F8130" s="114">
        <v>202101</v>
      </c>
      <c r="G8130" s="112" t="s">
        <v>1091</v>
      </c>
      <c r="H8130" s="112" t="s">
        <v>1015</v>
      </c>
      <c r="I8130" s="112" t="s">
        <v>1605</v>
      </c>
      <c r="J8130" s="112" t="s">
        <v>5554</v>
      </c>
      <c r="K8130" s="112" t="s">
        <v>5555</v>
      </c>
      <c r="L8130" s="116">
        <v>10000</v>
      </c>
    </row>
    <row r="8131" spans="1:12" hidden="1" outlineLevel="1" collapsed="1" x14ac:dyDescent="0.35">
      <c r="A8131" s="112" t="s">
        <v>5553</v>
      </c>
      <c r="B8131" s="112" t="s">
        <v>927</v>
      </c>
      <c r="C8131" s="112" t="s">
        <v>1219</v>
      </c>
      <c r="D8131" s="113">
        <v>46308138</v>
      </c>
      <c r="E8131" s="115">
        <v>43951</v>
      </c>
      <c r="F8131" s="114">
        <v>202101</v>
      </c>
      <c r="G8131" s="112" t="s">
        <v>1091</v>
      </c>
      <c r="H8131" s="112" t="s">
        <v>1015</v>
      </c>
      <c r="I8131" s="112" t="s">
        <v>1605</v>
      </c>
      <c r="J8131" s="112" t="s">
        <v>5554</v>
      </c>
      <c r="K8131" s="112" t="s">
        <v>5555</v>
      </c>
      <c r="L8131" s="116">
        <v>25000</v>
      </c>
    </row>
    <row r="8132" spans="1:12" hidden="1" outlineLevel="1" collapsed="1" x14ac:dyDescent="0.35">
      <c r="A8132" s="112" t="s">
        <v>5553</v>
      </c>
      <c r="B8132" s="112" t="s">
        <v>927</v>
      </c>
      <c r="C8132" s="112" t="s">
        <v>1219</v>
      </c>
      <c r="D8132" s="113">
        <v>46308137</v>
      </c>
      <c r="E8132" s="115">
        <v>43951</v>
      </c>
      <c r="F8132" s="114">
        <v>202101</v>
      </c>
      <c r="G8132" s="112" t="s">
        <v>1091</v>
      </c>
      <c r="H8132" s="112" t="s">
        <v>1015</v>
      </c>
      <c r="I8132" s="112" t="s">
        <v>1605</v>
      </c>
      <c r="J8132" s="112" t="s">
        <v>5554</v>
      </c>
      <c r="K8132" s="112" t="s">
        <v>5555</v>
      </c>
      <c r="L8132" s="116">
        <v>10000</v>
      </c>
    </row>
    <row r="8133" spans="1:12" hidden="1" outlineLevel="1" collapsed="1" x14ac:dyDescent="0.35">
      <c r="A8133" s="112" t="s">
        <v>5553</v>
      </c>
      <c r="B8133" s="112" t="s">
        <v>927</v>
      </c>
      <c r="C8133" s="112" t="s">
        <v>1219</v>
      </c>
      <c r="D8133" s="113">
        <v>46308136</v>
      </c>
      <c r="E8133" s="115">
        <v>43951</v>
      </c>
      <c r="F8133" s="114">
        <v>202101</v>
      </c>
      <c r="G8133" s="112" t="s">
        <v>1091</v>
      </c>
      <c r="H8133" s="112" t="s">
        <v>1015</v>
      </c>
      <c r="I8133" s="112" t="s">
        <v>1605</v>
      </c>
      <c r="J8133" s="112" t="s">
        <v>5554</v>
      </c>
      <c r="K8133" s="112" t="s">
        <v>5556</v>
      </c>
      <c r="L8133" s="116">
        <v>10000</v>
      </c>
    </row>
    <row r="8134" spans="1:12" hidden="1" outlineLevel="1" collapsed="1" x14ac:dyDescent="0.35">
      <c r="A8134" s="112" t="s">
        <v>5553</v>
      </c>
      <c r="B8134" s="112" t="s">
        <v>927</v>
      </c>
      <c r="C8134" s="112" t="s">
        <v>1219</v>
      </c>
      <c r="D8134" s="113">
        <v>46308135</v>
      </c>
      <c r="E8134" s="115">
        <v>43951</v>
      </c>
      <c r="F8134" s="114">
        <v>202101</v>
      </c>
      <c r="G8134" s="112" t="s">
        <v>1091</v>
      </c>
      <c r="H8134" s="112" t="s">
        <v>1015</v>
      </c>
      <c r="I8134" s="112" t="s">
        <v>1605</v>
      </c>
      <c r="J8134" s="112" t="s">
        <v>5554</v>
      </c>
      <c r="K8134" s="112" t="s">
        <v>5556</v>
      </c>
      <c r="L8134" s="116">
        <v>10000</v>
      </c>
    </row>
    <row r="8135" spans="1:12" hidden="1" outlineLevel="1" collapsed="1" x14ac:dyDescent="0.35">
      <c r="A8135" s="112" t="s">
        <v>5553</v>
      </c>
      <c r="B8135" s="112" t="s">
        <v>927</v>
      </c>
      <c r="C8135" s="112" t="s">
        <v>1219</v>
      </c>
      <c r="D8135" s="113">
        <v>46308134</v>
      </c>
      <c r="E8135" s="115">
        <v>43951</v>
      </c>
      <c r="F8135" s="114">
        <v>202101</v>
      </c>
      <c r="G8135" s="112" t="s">
        <v>1091</v>
      </c>
      <c r="H8135" s="112" t="s">
        <v>1015</v>
      </c>
      <c r="I8135" s="112" t="s">
        <v>1605</v>
      </c>
      <c r="J8135" s="112" t="s">
        <v>5554</v>
      </c>
      <c r="K8135" s="112" t="s">
        <v>5556</v>
      </c>
      <c r="L8135" s="116">
        <v>10000</v>
      </c>
    </row>
    <row r="8136" spans="1:12" hidden="1" outlineLevel="1" collapsed="1" x14ac:dyDescent="0.35">
      <c r="A8136" s="112" t="s">
        <v>5553</v>
      </c>
      <c r="B8136" s="112" t="s">
        <v>927</v>
      </c>
      <c r="C8136" s="112" t="s">
        <v>1219</v>
      </c>
      <c r="D8136" s="113">
        <v>46308133</v>
      </c>
      <c r="E8136" s="115">
        <v>43951</v>
      </c>
      <c r="F8136" s="114">
        <v>202101</v>
      </c>
      <c r="G8136" s="112" t="s">
        <v>1091</v>
      </c>
      <c r="H8136" s="112" t="s">
        <v>1015</v>
      </c>
      <c r="I8136" s="112" t="s">
        <v>1605</v>
      </c>
      <c r="J8136" s="112" t="s">
        <v>5554</v>
      </c>
      <c r="K8136" s="112" t="s">
        <v>5555</v>
      </c>
      <c r="L8136" s="116">
        <v>10000</v>
      </c>
    </row>
    <row r="8137" spans="1:12" hidden="1" outlineLevel="1" collapsed="1" x14ac:dyDescent="0.35">
      <c r="A8137" s="112" t="s">
        <v>5553</v>
      </c>
      <c r="B8137" s="112" t="s">
        <v>927</v>
      </c>
      <c r="C8137" s="112" t="s">
        <v>1219</v>
      </c>
      <c r="D8137" s="113">
        <v>46308132</v>
      </c>
      <c r="E8137" s="115">
        <v>43951</v>
      </c>
      <c r="F8137" s="114">
        <v>202101</v>
      </c>
      <c r="G8137" s="112" t="s">
        <v>1091</v>
      </c>
      <c r="H8137" s="112" t="s">
        <v>1015</v>
      </c>
      <c r="I8137" s="112" t="s">
        <v>1605</v>
      </c>
      <c r="J8137" s="112" t="s">
        <v>5554</v>
      </c>
      <c r="K8137" s="112" t="s">
        <v>5555</v>
      </c>
      <c r="L8137" s="116">
        <v>10000</v>
      </c>
    </row>
    <row r="8138" spans="1:12" hidden="1" outlineLevel="1" collapsed="1" x14ac:dyDescent="0.35">
      <c r="A8138" s="112" t="s">
        <v>5553</v>
      </c>
      <c r="B8138" s="112" t="s">
        <v>927</v>
      </c>
      <c r="C8138" s="112" t="s">
        <v>1219</v>
      </c>
      <c r="D8138" s="113">
        <v>46308131</v>
      </c>
      <c r="E8138" s="115">
        <v>43951</v>
      </c>
      <c r="F8138" s="114">
        <v>202101</v>
      </c>
      <c r="G8138" s="112" t="s">
        <v>1091</v>
      </c>
      <c r="H8138" s="112" t="s">
        <v>1015</v>
      </c>
      <c r="I8138" s="112" t="s">
        <v>1605</v>
      </c>
      <c r="J8138" s="112" t="s">
        <v>5554</v>
      </c>
      <c r="K8138" s="112" t="s">
        <v>5555</v>
      </c>
      <c r="L8138" s="116">
        <v>10000</v>
      </c>
    </row>
    <row r="8139" spans="1:12" hidden="1" outlineLevel="1" collapsed="1" x14ac:dyDescent="0.35">
      <c r="A8139" s="112" t="s">
        <v>5553</v>
      </c>
      <c r="B8139" s="112" t="s">
        <v>5561</v>
      </c>
      <c r="C8139" s="112" t="s">
        <v>1099</v>
      </c>
      <c r="D8139" s="113">
        <v>1069715</v>
      </c>
      <c r="E8139" s="115">
        <v>43948</v>
      </c>
      <c r="F8139" s="114">
        <v>202101</v>
      </c>
      <c r="G8139" s="112" t="s">
        <v>1091</v>
      </c>
      <c r="H8139" s="112" t="s">
        <v>1015</v>
      </c>
      <c r="I8139" s="112" t="s">
        <v>1605</v>
      </c>
      <c r="J8139" s="112" t="s">
        <v>5614</v>
      </c>
      <c r="K8139" s="112" t="s">
        <v>5631</v>
      </c>
      <c r="L8139" s="116">
        <v>10522.52</v>
      </c>
    </row>
    <row r="8140" spans="1:12" hidden="1" outlineLevel="1" collapsed="1" x14ac:dyDescent="0.35">
      <c r="A8140" s="112" t="s">
        <v>5553</v>
      </c>
      <c r="B8140" s="112" t="s">
        <v>5561</v>
      </c>
      <c r="C8140" s="112" t="s">
        <v>1099</v>
      </c>
      <c r="D8140" s="113">
        <v>1069713</v>
      </c>
      <c r="E8140" s="115">
        <v>43948</v>
      </c>
      <c r="F8140" s="114">
        <v>202101</v>
      </c>
      <c r="G8140" s="112" t="s">
        <v>1091</v>
      </c>
      <c r="H8140" s="112" t="s">
        <v>1015</v>
      </c>
      <c r="I8140" s="112" t="s">
        <v>1605</v>
      </c>
      <c r="J8140" s="112" t="s">
        <v>5614</v>
      </c>
      <c r="K8140" s="112" t="s">
        <v>5632</v>
      </c>
      <c r="L8140" s="116">
        <v>37128.36</v>
      </c>
    </row>
    <row r="8141" spans="1:12" hidden="1" outlineLevel="1" collapsed="1" x14ac:dyDescent="0.35">
      <c r="A8141" s="112" t="s">
        <v>5553</v>
      </c>
      <c r="B8141" s="112" t="s">
        <v>927</v>
      </c>
      <c r="C8141" s="112" t="s">
        <v>1219</v>
      </c>
      <c r="D8141" s="113">
        <v>46308130</v>
      </c>
      <c r="E8141" s="115">
        <v>43951</v>
      </c>
      <c r="F8141" s="114">
        <v>202101</v>
      </c>
      <c r="G8141" s="112" t="s">
        <v>1091</v>
      </c>
      <c r="H8141" s="112" t="s">
        <v>1015</v>
      </c>
      <c r="I8141" s="112" t="s">
        <v>1605</v>
      </c>
      <c r="J8141" s="112" t="s">
        <v>5554</v>
      </c>
      <c r="K8141" s="112" t="s">
        <v>5555</v>
      </c>
      <c r="L8141" s="116">
        <v>10000</v>
      </c>
    </row>
    <row r="8142" spans="1:12" hidden="1" outlineLevel="1" collapsed="1" x14ac:dyDescent="0.35">
      <c r="A8142" s="112" t="s">
        <v>5553</v>
      </c>
      <c r="B8142" s="112" t="s">
        <v>927</v>
      </c>
      <c r="C8142" s="112" t="s">
        <v>1219</v>
      </c>
      <c r="D8142" s="113">
        <v>46308129</v>
      </c>
      <c r="E8142" s="115">
        <v>43951</v>
      </c>
      <c r="F8142" s="114">
        <v>202101</v>
      </c>
      <c r="G8142" s="112" t="s">
        <v>1091</v>
      </c>
      <c r="H8142" s="112" t="s">
        <v>1015</v>
      </c>
      <c r="I8142" s="112" t="s">
        <v>1605</v>
      </c>
      <c r="J8142" s="112" t="s">
        <v>5554</v>
      </c>
      <c r="K8142" s="112" t="s">
        <v>5556</v>
      </c>
      <c r="L8142" s="116">
        <v>10000</v>
      </c>
    </row>
    <row r="8143" spans="1:12" hidden="1" outlineLevel="1" collapsed="1" x14ac:dyDescent="0.35">
      <c r="A8143" s="112" t="s">
        <v>5553</v>
      </c>
      <c r="B8143" s="112" t="s">
        <v>924</v>
      </c>
      <c r="C8143" s="112" t="s">
        <v>1099</v>
      </c>
      <c r="D8143" s="113">
        <v>1069706</v>
      </c>
      <c r="E8143" s="115">
        <v>43945</v>
      </c>
      <c r="F8143" s="114">
        <v>202101</v>
      </c>
      <c r="G8143" s="112" t="s">
        <v>1091</v>
      </c>
      <c r="H8143" s="112" t="s">
        <v>1015</v>
      </c>
      <c r="I8143" s="112" t="s">
        <v>763</v>
      </c>
      <c r="J8143" s="112" t="s">
        <v>5558</v>
      </c>
      <c r="K8143" s="112" t="s">
        <v>5633</v>
      </c>
      <c r="L8143" s="116">
        <v>485</v>
      </c>
    </row>
    <row r="8144" spans="1:12" hidden="1" outlineLevel="1" collapsed="1" x14ac:dyDescent="0.35">
      <c r="A8144" s="112" t="s">
        <v>5553</v>
      </c>
      <c r="B8144" s="112" t="s">
        <v>927</v>
      </c>
      <c r="C8144" s="112" t="s">
        <v>1219</v>
      </c>
      <c r="D8144" s="113">
        <v>46308128</v>
      </c>
      <c r="E8144" s="115">
        <v>43951</v>
      </c>
      <c r="F8144" s="114">
        <v>202101</v>
      </c>
      <c r="G8144" s="112" t="s">
        <v>1091</v>
      </c>
      <c r="H8144" s="112" t="s">
        <v>1015</v>
      </c>
      <c r="I8144" s="112" t="s">
        <v>1605</v>
      </c>
      <c r="J8144" s="112" t="s">
        <v>5554</v>
      </c>
      <c r="K8144" s="112" t="s">
        <v>5555</v>
      </c>
      <c r="L8144" s="116">
        <v>25000</v>
      </c>
    </row>
    <row r="8145" spans="1:12" hidden="1" outlineLevel="1" collapsed="1" x14ac:dyDescent="0.35">
      <c r="A8145" s="112" t="s">
        <v>5553</v>
      </c>
      <c r="B8145" s="112" t="s">
        <v>927</v>
      </c>
      <c r="C8145" s="112" t="s">
        <v>1219</v>
      </c>
      <c r="D8145" s="113">
        <v>46308127</v>
      </c>
      <c r="E8145" s="115">
        <v>43951</v>
      </c>
      <c r="F8145" s="114">
        <v>202101</v>
      </c>
      <c r="G8145" s="112" t="s">
        <v>1091</v>
      </c>
      <c r="H8145" s="112" t="s">
        <v>1015</v>
      </c>
      <c r="I8145" s="112" t="s">
        <v>1605</v>
      </c>
      <c r="J8145" s="112" t="s">
        <v>5554</v>
      </c>
      <c r="K8145" s="112" t="s">
        <v>5555</v>
      </c>
      <c r="L8145" s="116">
        <v>10000</v>
      </c>
    </row>
    <row r="8146" spans="1:12" hidden="1" outlineLevel="1" collapsed="1" x14ac:dyDescent="0.35">
      <c r="A8146" s="112" t="s">
        <v>5553</v>
      </c>
      <c r="B8146" s="112" t="s">
        <v>926</v>
      </c>
      <c r="C8146" s="112" t="s">
        <v>695</v>
      </c>
      <c r="D8146" s="113">
        <v>10348034</v>
      </c>
      <c r="E8146" s="115">
        <v>43928</v>
      </c>
      <c r="F8146" s="114">
        <v>202101</v>
      </c>
      <c r="G8146" s="112" t="s">
        <v>1091</v>
      </c>
      <c r="H8146" s="112" t="s">
        <v>1015</v>
      </c>
      <c r="I8146" s="112" t="s">
        <v>1211</v>
      </c>
      <c r="J8146" s="112" t="s">
        <v>5591</v>
      </c>
      <c r="K8146" s="112" t="s">
        <v>5634</v>
      </c>
      <c r="L8146" s="116">
        <v>-3407.14</v>
      </c>
    </row>
    <row r="8147" spans="1:12" hidden="1" outlineLevel="1" collapsed="1" x14ac:dyDescent="0.35">
      <c r="A8147" s="112" t="s">
        <v>5553</v>
      </c>
      <c r="B8147" s="112" t="s">
        <v>927</v>
      </c>
      <c r="C8147" s="112" t="s">
        <v>1219</v>
      </c>
      <c r="D8147" s="113">
        <v>46307618</v>
      </c>
      <c r="E8147" s="115">
        <v>43943</v>
      </c>
      <c r="F8147" s="114">
        <v>202101</v>
      </c>
      <c r="G8147" s="112" t="s">
        <v>1091</v>
      </c>
      <c r="H8147" s="112" t="s">
        <v>1015</v>
      </c>
      <c r="I8147" s="112" t="s">
        <v>1605</v>
      </c>
      <c r="J8147" s="112" t="s">
        <v>5554</v>
      </c>
      <c r="K8147" s="112" t="s">
        <v>5555</v>
      </c>
      <c r="L8147" s="116">
        <v>25000</v>
      </c>
    </row>
    <row r="8148" spans="1:12" hidden="1" outlineLevel="1" collapsed="1" x14ac:dyDescent="0.35">
      <c r="A8148" s="112" t="s">
        <v>5553</v>
      </c>
      <c r="B8148" s="112" t="s">
        <v>927</v>
      </c>
      <c r="C8148" s="112" t="s">
        <v>1219</v>
      </c>
      <c r="D8148" s="113">
        <v>46307619</v>
      </c>
      <c r="E8148" s="115">
        <v>43943</v>
      </c>
      <c r="F8148" s="114">
        <v>202101</v>
      </c>
      <c r="G8148" s="112" t="s">
        <v>1091</v>
      </c>
      <c r="H8148" s="112" t="s">
        <v>1015</v>
      </c>
      <c r="I8148" s="112" t="s">
        <v>1605</v>
      </c>
      <c r="J8148" s="112" t="s">
        <v>5554</v>
      </c>
      <c r="K8148" s="112" t="s">
        <v>5555</v>
      </c>
      <c r="L8148" s="116">
        <v>10000</v>
      </c>
    </row>
    <row r="8149" spans="1:12" hidden="1" outlineLevel="1" collapsed="1" x14ac:dyDescent="0.35">
      <c r="A8149" s="112" t="s">
        <v>5553</v>
      </c>
      <c r="B8149" s="112" t="s">
        <v>927</v>
      </c>
      <c r="C8149" s="112" t="s">
        <v>1219</v>
      </c>
      <c r="D8149" s="113">
        <v>46307620</v>
      </c>
      <c r="E8149" s="115">
        <v>43943</v>
      </c>
      <c r="F8149" s="114">
        <v>202101</v>
      </c>
      <c r="G8149" s="112" t="s">
        <v>1091</v>
      </c>
      <c r="H8149" s="112" t="s">
        <v>1015</v>
      </c>
      <c r="I8149" s="112" t="s">
        <v>1605</v>
      </c>
      <c r="J8149" s="112" t="s">
        <v>5554</v>
      </c>
      <c r="K8149" s="112" t="s">
        <v>5556</v>
      </c>
      <c r="L8149" s="116">
        <v>10000</v>
      </c>
    </row>
    <row r="8150" spans="1:12" hidden="1" outlineLevel="1" collapsed="1" x14ac:dyDescent="0.35">
      <c r="A8150" s="112" t="s">
        <v>5553</v>
      </c>
      <c r="B8150" s="112" t="s">
        <v>927</v>
      </c>
      <c r="C8150" s="112" t="s">
        <v>1219</v>
      </c>
      <c r="D8150" s="113">
        <v>46307621</v>
      </c>
      <c r="E8150" s="115">
        <v>43943</v>
      </c>
      <c r="F8150" s="114">
        <v>202101</v>
      </c>
      <c r="G8150" s="112" t="s">
        <v>1091</v>
      </c>
      <c r="H8150" s="112" t="s">
        <v>1015</v>
      </c>
      <c r="I8150" s="112" t="s">
        <v>1605</v>
      </c>
      <c r="J8150" s="112" t="s">
        <v>5554</v>
      </c>
      <c r="K8150" s="112" t="s">
        <v>5556</v>
      </c>
      <c r="L8150" s="116">
        <v>10000</v>
      </c>
    </row>
    <row r="8151" spans="1:12" hidden="1" outlineLevel="1" collapsed="1" x14ac:dyDescent="0.35">
      <c r="A8151" s="112" t="s">
        <v>5553</v>
      </c>
      <c r="B8151" s="112" t="s">
        <v>927</v>
      </c>
      <c r="C8151" s="112" t="s">
        <v>1219</v>
      </c>
      <c r="D8151" s="113">
        <v>46307622</v>
      </c>
      <c r="E8151" s="115">
        <v>43943</v>
      </c>
      <c r="F8151" s="114">
        <v>202101</v>
      </c>
      <c r="G8151" s="112" t="s">
        <v>1091</v>
      </c>
      <c r="H8151" s="112" t="s">
        <v>1015</v>
      </c>
      <c r="I8151" s="112" t="s">
        <v>1605</v>
      </c>
      <c r="J8151" s="112" t="s">
        <v>5554</v>
      </c>
      <c r="K8151" s="112" t="s">
        <v>5555</v>
      </c>
      <c r="L8151" s="116">
        <v>25000</v>
      </c>
    </row>
    <row r="8152" spans="1:12" hidden="1" outlineLevel="1" collapsed="1" x14ac:dyDescent="0.35">
      <c r="A8152" s="112" t="s">
        <v>5553</v>
      </c>
      <c r="B8152" s="112" t="s">
        <v>927</v>
      </c>
      <c r="C8152" s="112" t="s">
        <v>1219</v>
      </c>
      <c r="D8152" s="113">
        <v>46307623</v>
      </c>
      <c r="E8152" s="115">
        <v>43943</v>
      </c>
      <c r="F8152" s="114">
        <v>202101</v>
      </c>
      <c r="G8152" s="112" t="s">
        <v>1091</v>
      </c>
      <c r="H8152" s="112" t="s">
        <v>1015</v>
      </c>
      <c r="I8152" s="112" t="s">
        <v>1605</v>
      </c>
      <c r="J8152" s="112" t="s">
        <v>5554</v>
      </c>
      <c r="K8152" s="112" t="s">
        <v>5555</v>
      </c>
      <c r="L8152" s="116">
        <v>25000</v>
      </c>
    </row>
    <row r="8153" spans="1:12" hidden="1" outlineLevel="1" collapsed="1" x14ac:dyDescent="0.35">
      <c r="A8153" s="112" t="s">
        <v>5553</v>
      </c>
      <c r="B8153" s="112" t="s">
        <v>927</v>
      </c>
      <c r="C8153" s="112" t="s">
        <v>1219</v>
      </c>
      <c r="D8153" s="113">
        <v>46307624</v>
      </c>
      <c r="E8153" s="115">
        <v>43943</v>
      </c>
      <c r="F8153" s="114">
        <v>202101</v>
      </c>
      <c r="G8153" s="112" t="s">
        <v>1091</v>
      </c>
      <c r="H8153" s="112" t="s">
        <v>1015</v>
      </c>
      <c r="I8153" s="112" t="s">
        <v>1605</v>
      </c>
      <c r="J8153" s="112" t="s">
        <v>5554</v>
      </c>
      <c r="K8153" s="112" t="s">
        <v>5555</v>
      </c>
      <c r="L8153" s="116">
        <v>25000</v>
      </c>
    </row>
    <row r="8154" spans="1:12" hidden="1" outlineLevel="1" collapsed="1" x14ac:dyDescent="0.35">
      <c r="A8154" s="112" t="s">
        <v>5553</v>
      </c>
      <c r="B8154" s="112" t="s">
        <v>927</v>
      </c>
      <c r="C8154" s="112" t="s">
        <v>1219</v>
      </c>
      <c r="D8154" s="113">
        <v>46307625</v>
      </c>
      <c r="E8154" s="115">
        <v>43943</v>
      </c>
      <c r="F8154" s="114">
        <v>202101</v>
      </c>
      <c r="G8154" s="112" t="s">
        <v>1091</v>
      </c>
      <c r="H8154" s="112" t="s">
        <v>1015</v>
      </c>
      <c r="I8154" s="112" t="s">
        <v>1605</v>
      </c>
      <c r="J8154" s="112" t="s">
        <v>5554</v>
      </c>
      <c r="K8154" s="112" t="s">
        <v>5555</v>
      </c>
      <c r="L8154" s="116">
        <v>25000</v>
      </c>
    </row>
    <row r="8155" spans="1:12" hidden="1" outlineLevel="1" collapsed="1" x14ac:dyDescent="0.35">
      <c r="A8155" s="112" t="s">
        <v>5553</v>
      </c>
      <c r="B8155" s="112" t="s">
        <v>927</v>
      </c>
      <c r="C8155" s="112" t="s">
        <v>1219</v>
      </c>
      <c r="D8155" s="113">
        <v>46307626</v>
      </c>
      <c r="E8155" s="115">
        <v>43943</v>
      </c>
      <c r="F8155" s="114">
        <v>202101</v>
      </c>
      <c r="G8155" s="112" t="s">
        <v>1091</v>
      </c>
      <c r="H8155" s="112" t="s">
        <v>1015</v>
      </c>
      <c r="I8155" s="112" t="s">
        <v>1605</v>
      </c>
      <c r="J8155" s="112" t="s">
        <v>5554</v>
      </c>
      <c r="K8155" s="112" t="s">
        <v>5556</v>
      </c>
      <c r="L8155" s="116">
        <v>10000</v>
      </c>
    </row>
    <row r="8156" spans="1:12" hidden="1" outlineLevel="1" collapsed="1" x14ac:dyDescent="0.35">
      <c r="A8156" s="112" t="s">
        <v>5553</v>
      </c>
      <c r="B8156" s="112" t="s">
        <v>927</v>
      </c>
      <c r="C8156" s="112" t="s">
        <v>1219</v>
      </c>
      <c r="D8156" s="113">
        <v>46307627</v>
      </c>
      <c r="E8156" s="115">
        <v>43943</v>
      </c>
      <c r="F8156" s="114">
        <v>202101</v>
      </c>
      <c r="G8156" s="112" t="s">
        <v>1091</v>
      </c>
      <c r="H8156" s="112" t="s">
        <v>1015</v>
      </c>
      <c r="I8156" s="112" t="s">
        <v>1605</v>
      </c>
      <c r="J8156" s="112" t="s">
        <v>5554</v>
      </c>
      <c r="K8156" s="112" t="s">
        <v>5555</v>
      </c>
      <c r="L8156" s="116">
        <v>25000</v>
      </c>
    </row>
    <row r="8157" spans="1:12" hidden="1" outlineLevel="1" collapsed="1" x14ac:dyDescent="0.35">
      <c r="A8157" s="112" t="s">
        <v>5553</v>
      </c>
      <c r="B8157" s="112" t="s">
        <v>927</v>
      </c>
      <c r="C8157" s="112" t="s">
        <v>1219</v>
      </c>
      <c r="D8157" s="113">
        <v>46307628</v>
      </c>
      <c r="E8157" s="115">
        <v>43943</v>
      </c>
      <c r="F8157" s="114">
        <v>202101</v>
      </c>
      <c r="G8157" s="112" t="s">
        <v>1091</v>
      </c>
      <c r="H8157" s="112" t="s">
        <v>1015</v>
      </c>
      <c r="I8157" s="112" t="s">
        <v>1605</v>
      </c>
      <c r="J8157" s="112" t="s">
        <v>5554</v>
      </c>
      <c r="K8157" s="112" t="s">
        <v>5555</v>
      </c>
      <c r="L8157" s="116">
        <v>25000</v>
      </c>
    </row>
    <row r="8158" spans="1:12" hidden="1" outlineLevel="1" collapsed="1" x14ac:dyDescent="0.35">
      <c r="A8158" s="112" t="s">
        <v>5553</v>
      </c>
      <c r="B8158" s="112" t="s">
        <v>927</v>
      </c>
      <c r="C8158" s="112" t="s">
        <v>1219</v>
      </c>
      <c r="D8158" s="113">
        <v>46308125</v>
      </c>
      <c r="E8158" s="115">
        <v>43951</v>
      </c>
      <c r="F8158" s="114">
        <v>202101</v>
      </c>
      <c r="G8158" s="112" t="s">
        <v>1091</v>
      </c>
      <c r="H8158" s="112" t="s">
        <v>1015</v>
      </c>
      <c r="I8158" s="112" t="s">
        <v>1605</v>
      </c>
      <c r="J8158" s="112" t="s">
        <v>5554</v>
      </c>
      <c r="K8158" s="112" t="s">
        <v>5556</v>
      </c>
      <c r="L8158" s="116">
        <v>10000</v>
      </c>
    </row>
    <row r="8159" spans="1:12" hidden="1" outlineLevel="1" collapsed="1" x14ac:dyDescent="0.35">
      <c r="A8159" s="112" t="s">
        <v>5553</v>
      </c>
      <c r="B8159" s="112" t="s">
        <v>927</v>
      </c>
      <c r="C8159" s="112" t="s">
        <v>1219</v>
      </c>
      <c r="D8159" s="113">
        <v>46308124</v>
      </c>
      <c r="E8159" s="115">
        <v>43951</v>
      </c>
      <c r="F8159" s="114">
        <v>202101</v>
      </c>
      <c r="G8159" s="112" t="s">
        <v>1091</v>
      </c>
      <c r="H8159" s="112" t="s">
        <v>1015</v>
      </c>
      <c r="I8159" s="112" t="s">
        <v>1605</v>
      </c>
      <c r="J8159" s="112" t="s">
        <v>5554</v>
      </c>
      <c r="K8159" s="112" t="s">
        <v>5555</v>
      </c>
      <c r="L8159" s="116">
        <v>25000</v>
      </c>
    </row>
    <row r="8160" spans="1:12" hidden="1" outlineLevel="1" collapsed="1" x14ac:dyDescent="0.35">
      <c r="A8160" s="112" t="s">
        <v>5553</v>
      </c>
      <c r="B8160" s="112" t="s">
        <v>927</v>
      </c>
      <c r="C8160" s="112" t="s">
        <v>1219</v>
      </c>
      <c r="D8160" s="113">
        <v>46308123</v>
      </c>
      <c r="E8160" s="115">
        <v>43951</v>
      </c>
      <c r="F8160" s="114">
        <v>202101</v>
      </c>
      <c r="G8160" s="112" t="s">
        <v>1091</v>
      </c>
      <c r="H8160" s="112" t="s">
        <v>1015</v>
      </c>
      <c r="I8160" s="112" t="s">
        <v>1605</v>
      </c>
      <c r="J8160" s="112" t="s">
        <v>5554</v>
      </c>
      <c r="K8160" s="112" t="s">
        <v>5556</v>
      </c>
      <c r="L8160" s="116">
        <v>10000</v>
      </c>
    </row>
    <row r="8161" spans="1:12" hidden="1" outlineLevel="1" collapsed="1" x14ac:dyDescent="0.35">
      <c r="A8161" s="112" t="s">
        <v>5553</v>
      </c>
      <c r="B8161" s="112" t="s">
        <v>927</v>
      </c>
      <c r="C8161" s="112" t="s">
        <v>1219</v>
      </c>
      <c r="D8161" s="113">
        <v>46307629</v>
      </c>
      <c r="E8161" s="115">
        <v>43943</v>
      </c>
      <c r="F8161" s="114">
        <v>202101</v>
      </c>
      <c r="G8161" s="112" t="s">
        <v>1091</v>
      </c>
      <c r="H8161" s="112" t="s">
        <v>1015</v>
      </c>
      <c r="I8161" s="112" t="s">
        <v>1605</v>
      </c>
      <c r="J8161" s="112" t="s">
        <v>5554</v>
      </c>
      <c r="K8161" s="112" t="s">
        <v>5555</v>
      </c>
      <c r="L8161" s="116">
        <v>25000</v>
      </c>
    </row>
    <row r="8162" spans="1:12" hidden="1" outlineLevel="1" collapsed="1" x14ac:dyDescent="0.35">
      <c r="A8162" s="112" t="s">
        <v>5553</v>
      </c>
      <c r="B8162" s="112" t="s">
        <v>927</v>
      </c>
      <c r="C8162" s="112" t="s">
        <v>1219</v>
      </c>
      <c r="D8162" s="113">
        <v>46307630</v>
      </c>
      <c r="E8162" s="115">
        <v>43943</v>
      </c>
      <c r="F8162" s="114">
        <v>202101</v>
      </c>
      <c r="G8162" s="112" t="s">
        <v>1091</v>
      </c>
      <c r="H8162" s="112" t="s">
        <v>1015</v>
      </c>
      <c r="I8162" s="112" t="s">
        <v>1605</v>
      </c>
      <c r="J8162" s="112" t="s">
        <v>5554</v>
      </c>
      <c r="K8162" s="112" t="s">
        <v>5555</v>
      </c>
      <c r="L8162" s="116">
        <v>25000</v>
      </c>
    </row>
    <row r="8163" spans="1:12" hidden="1" outlineLevel="1" collapsed="1" x14ac:dyDescent="0.35">
      <c r="A8163" s="112" t="s">
        <v>5553</v>
      </c>
      <c r="B8163" s="112" t="s">
        <v>927</v>
      </c>
      <c r="C8163" s="112" t="s">
        <v>1219</v>
      </c>
      <c r="D8163" s="113">
        <v>46307631</v>
      </c>
      <c r="E8163" s="115">
        <v>43943</v>
      </c>
      <c r="F8163" s="114">
        <v>202101</v>
      </c>
      <c r="G8163" s="112" t="s">
        <v>1091</v>
      </c>
      <c r="H8163" s="112" t="s">
        <v>1015</v>
      </c>
      <c r="I8163" s="112" t="s">
        <v>1605</v>
      </c>
      <c r="J8163" s="112" t="s">
        <v>5554</v>
      </c>
      <c r="K8163" s="112" t="s">
        <v>5556</v>
      </c>
      <c r="L8163" s="116">
        <v>10000</v>
      </c>
    </row>
    <row r="8164" spans="1:12" hidden="1" outlineLevel="1" collapsed="1" x14ac:dyDescent="0.35">
      <c r="A8164" s="112" t="s">
        <v>5553</v>
      </c>
      <c r="B8164" s="112" t="s">
        <v>927</v>
      </c>
      <c r="C8164" s="112" t="s">
        <v>1219</v>
      </c>
      <c r="D8164" s="113">
        <v>46308122</v>
      </c>
      <c r="E8164" s="115">
        <v>43951</v>
      </c>
      <c r="F8164" s="114">
        <v>202101</v>
      </c>
      <c r="G8164" s="112" t="s">
        <v>1091</v>
      </c>
      <c r="H8164" s="112" t="s">
        <v>1015</v>
      </c>
      <c r="I8164" s="112" t="s">
        <v>1605</v>
      </c>
      <c r="J8164" s="112" t="s">
        <v>5554</v>
      </c>
      <c r="K8164" s="112" t="s">
        <v>5556</v>
      </c>
      <c r="L8164" s="116">
        <v>10000</v>
      </c>
    </row>
    <row r="8165" spans="1:12" hidden="1" outlineLevel="1" collapsed="1" x14ac:dyDescent="0.35">
      <c r="A8165" s="112" t="s">
        <v>5553</v>
      </c>
      <c r="B8165" s="112" t="s">
        <v>927</v>
      </c>
      <c r="C8165" s="112" t="s">
        <v>1219</v>
      </c>
      <c r="D8165" s="113">
        <v>46307632</v>
      </c>
      <c r="E8165" s="115">
        <v>43943</v>
      </c>
      <c r="F8165" s="114">
        <v>202101</v>
      </c>
      <c r="G8165" s="112" t="s">
        <v>1091</v>
      </c>
      <c r="H8165" s="112" t="s">
        <v>1015</v>
      </c>
      <c r="I8165" s="112" t="s">
        <v>1605</v>
      </c>
      <c r="J8165" s="112" t="s">
        <v>5554</v>
      </c>
      <c r="K8165" s="112" t="s">
        <v>5555</v>
      </c>
      <c r="L8165" s="116">
        <v>10000</v>
      </c>
    </row>
    <row r="8166" spans="1:12" hidden="1" outlineLevel="1" collapsed="1" x14ac:dyDescent="0.35">
      <c r="A8166" s="112" t="s">
        <v>5553</v>
      </c>
      <c r="B8166" s="112" t="s">
        <v>927</v>
      </c>
      <c r="C8166" s="112" t="s">
        <v>1219</v>
      </c>
      <c r="D8166" s="113">
        <v>46307633</v>
      </c>
      <c r="E8166" s="115">
        <v>43943</v>
      </c>
      <c r="F8166" s="114">
        <v>202101</v>
      </c>
      <c r="G8166" s="112" t="s">
        <v>1091</v>
      </c>
      <c r="H8166" s="112" t="s">
        <v>1015</v>
      </c>
      <c r="I8166" s="112" t="s">
        <v>1605</v>
      </c>
      <c r="J8166" s="112" t="s">
        <v>5554</v>
      </c>
      <c r="K8166" s="112" t="s">
        <v>5556</v>
      </c>
      <c r="L8166" s="116">
        <v>10000</v>
      </c>
    </row>
    <row r="8167" spans="1:12" hidden="1" outlineLevel="1" collapsed="1" x14ac:dyDescent="0.35">
      <c r="A8167" s="112" t="s">
        <v>5553</v>
      </c>
      <c r="B8167" s="112" t="s">
        <v>927</v>
      </c>
      <c r="C8167" s="112" t="s">
        <v>1219</v>
      </c>
      <c r="D8167" s="113">
        <v>46307634</v>
      </c>
      <c r="E8167" s="115">
        <v>43943</v>
      </c>
      <c r="F8167" s="114">
        <v>202101</v>
      </c>
      <c r="G8167" s="112" t="s">
        <v>1091</v>
      </c>
      <c r="H8167" s="112" t="s">
        <v>1015</v>
      </c>
      <c r="I8167" s="112" t="s">
        <v>1605</v>
      </c>
      <c r="J8167" s="112" t="s">
        <v>5554</v>
      </c>
      <c r="K8167" s="112" t="s">
        <v>5556</v>
      </c>
      <c r="L8167" s="116">
        <v>10000</v>
      </c>
    </row>
    <row r="8168" spans="1:12" hidden="1" outlineLevel="1" collapsed="1" x14ac:dyDescent="0.35">
      <c r="A8168" s="112" t="s">
        <v>5553</v>
      </c>
      <c r="B8168" s="112" t="s">
        <v>927</v>
      </c>
      <c r="C8168" s="112" t="s">
        <v>1219</v>
      </c>
      <c r="D8168" s="113">
        <v>46307635</v>
      </c>
      <c r="E8168" s="115">
        <v>43943</v>
      </c>
      <c r="F8168" s="114">
        <v>202101</v>
      </c>
      <c r="G8168" s="112" t="s">
        <v>1091</v>
      </c>
      <c r="H8168" s="112" t="s">
        <v>1015</v>
      </c>
      <c r="I8168" s="112" t="s">
        <v>1605</v>
      </c>
      <c r="J8168" s="112" t="s">
        <v>5554</v>
      </c>
      <c r="K8168" s="112" t="s">
        <v>5555</v>
      </c>
      <c r="L8168" s="116">
        <v>25000</v>
      </c>
    </row>
    <row r="8169" spans="1:12" hidden="1" outlineLevel="1" collapsed="1" x14ac:dyDescent="0.35">
      <c r="A8169" s="112" t="s">
        <v>5553</v>
      </c>
      <c r="B8169" s="112" t="s">
        <v>927</v>
      </c>
      <c r="C8169" s="112" t="s">
        <v>1219</v>
      </c>
      <c r="D8169" s="113">
        <v>46308121</v>
      </c>
      <c r="E8169" s="115">
        <v>43951</v>
      </c>
      <c r="F8169" s="114">
        <v>202101</v>
      </c>
      <c r="G8169" s="112" t="s">
        <v>1091</v>
      </c>
      <c r="H8169" s="112" t="s">
        <v>1015</v>
      </c>
      <c r="I8169" s="112" t="s">
        <v>1605</v>
      </c>
      <c r="J8169" s="112" t="s">
        <v>5554</v>
      </c>
      <c r="K8169" s="112" t="s">
        <v>5556</v>
      </c>
      <c r="L8169" s="116">
        <v>10000</v>
      </c>
    </row>
    <row r="8170" spans="1:12" hidden="1" outlineLevel="1" collapsed="1" x14ac:dyDescent="0.35">
      <c r="A8170" s="112" t="s">
        <v>5553</v>
      </c>
      <c r="B8170" s="112" t="s">
        <v>927</v>
      </c>
      <c r="C8170" s="112" t="s">
        <v>1219</v>
      </c>
      <c r="D8170" s="113">
        <v>46307636</v>
      </c>
      <c r="E8170" s="115">
        <v>43943</v>
      </c>
      <c r="F8170" s="114">
        <v>202101</v>
      </c>
      <c r="G8170" s="112" t="s">
        <v>1091</v>
      </c>
      <c r="H8170" s="112" t="s">
        <v>1015</v>
      </c>
      <c r="I8170" s="112" t="s">
        <v>1605</v>
      </c>
      <c r="J8170" s="112" t="s">
        <v>5554</v>
      </c>
      <c r="K8170" s="112" t="s">
        <v>5555</v>
      </c>
      <c r="L8170" s="116">
        <v>10000</v>
      </c>
    </row>
    <row r="8171" spans="1:12" hidden="1" outlineLevel="1" collapsed="1" x14ac:dyDescent="0.35">
      <c r="A8171" s="112" t="s">
        <v>5553</v>
      </c>
      <c r="B8171" s="112" t="s">
        <v>927</v>
      </c>
      <c r="C8171" s="112" t="s">
        <v>1219</v>
      </c>
      <c r="D8171" s="113">
        <v>46307637</v>
      </c>
      <c r="E8171" s="115">
        <v>43943</v>
      </c>
      <c r="F8171" s="114">
        <v>202101</v>
      </c>
      <c r="G8171" s="112" t="s">
        <v>1091</v>
      </c>
      <c r="H8171" s="112" t="s">
        <v>1015</v>
      </c>
      <c r="I8171" s="112" t="s">
        <v>1605</v>
      </c>
      <c r="J8171" s="112" t="s">
        <v>5554</v>
      </c>
      <c r="K8171" s="112" t="s">
        <v>5555</v>
      </c>
      <c r="L8171" s="116">
        <v>10000</v>
      </c>
    </row>
    <row r="8172" spans="1:12" hidden="1" outlineLevel="1" collapsed="1" x14ac:dyDescent="0.35">
      <c r="A8172" s="112" t="s">
        <v>5553</v>
      </c>
      <c r="B8172" s="112" t="s">
        <v>927</v>
      </c>
      <c r="C8172" s="112" t="s">
        <v>1219</v>
      </c>
      <c r="D8172" s="113">
        <v>46308120</v>
      </c>
      <c r="E8172" s="115">
        <v>43951</v>
      </c>
      <c r="F8172" s="114">
        <v>202101</v>
      </c>
      <c r="G8172" s="112" t="s">
        <v>1091</v>
      </c>
      <c r="H8172" s="112" t="s">
        <v>1015</v>
      </c>
      <c r="I8172" s="112" t="s">
        <v>1605</v>
      </c>
      <c r="J8172" s="112" t="s">
        <v>5554</v>
      </c>
      <c r="K8172" s="112" t="s">
        <v>5555</v>
      </c>
      <c r="L8172" s="116">
        <v>25000</v>
      </c>
    </row>
    <row r="8173" spans="1:12" hidden="1" outlineLevel="1" collapsed="1" x14ac:dyDescent="0.35">
      <c r="A8173" s="112" t="s">
        <v>5553</v>
      </c>
      <c r="B8173" s="112" t="s">
        <v>927</v>
      </c>
      <c r="C8173" s="112" t="s">
        <v>1219</v>
      </c>
      <c r="D8173" s="113">
        <v>46307638</v>
      </c>
      <c r="E8173" s="115">
        <v>43943</v>
      </c>
      <c r="F8173" s="114">
        <v>202101</v>
      </c>
      <c r="G8173" s="112" t="s">
        <v>1091</v>
      </c>
      <c r="H8173" s="112" t="s">
        <v>1015</v>
      </c>
      <c r="I8173" s="112" t="s">
        <v>1605</v>
      </c>
      <c r="J8173" s="112" t="s">
        <v>5554</v>
      </c>
      <c r="K8173" s="112" t="s">
        <v>5556</v>
      </c>
      <c r="L8173" s="116">
        <v>10000</v>
      </c>
    </row>
    <row r="8174" spans="1:12" hidden="1" outlineLevel="1" collapsed="1" x14ac:dyDescent="0.35">
      <c r="A8174" s="112" t="s">
        <v>5553</v>
      </c>
      <c r="B8174" s="112" t="s">
        <v>924</v>
      </c>
      <c r="C8174" s="112" t="s">
        <v>1150</v>
      </c>
      <c r="D8174" s="113">
        <v>10348688</v>
      </c>
      <c r="E8174" s="115">
        <v>43978</v>
      </c>
      <c r="F8174" s="114">
        <v>202101</v>
      </c>
      <c r="G8174" s="112" t="s">
        <v>1091</v>
      </c>
      <c r="H8174" s="112" t="s">
        <v>1015</v>
      </c>
      <c r="I8174" s="112" t="s">
        <v>1211</v>
      </c>
      <c r="J8174" s="112" t="s">
        <v>5558</v>
      </c>
      <c r="K8174" s="112" t="s">
        <v>5635</v>
      </c>
      <c r="L8174" s="116">
        <v>8111.2</v>
      </c>
    </row>
    <row r="8175" spans="1:12" hidden="1" outlineLevel="1" collapsed="1" x14ac:dyDescent="0.35">
      <c r="A8175" s="112" t="s">
        <v>5553</v>
      </c>
      <c r="B8175" s="112" t="s">
        <v>927</v>
      </c>
      <c r="C8175" s="112" t="s">
        <v>1099</v>
      </c>
      <c r="D8175" s="113">
        <v>1069268</v>
      </c>
      <c r="E8175" s="115">
        <v>43909</v>
      </c>
      <c r="F8175" s="114">
        <v>202101</v>
      </c>
      <c r="G8175" s="112" t="s">
        <v>1091</v>
      </c>
      <c r="H8175" s="112" t="s">
        <v>1015</v>
      </c>
      <c r="I8175" s="112" t="s">
        <v>1092</v>
      </c>
      <c r="J8175" s="112" t="s">
        <v>5557</v>
      </c>
      <c r="K8175" s="112" t="s">
        <v>1438</v>
      </c>
      <c r="L8175" s="116">
        <v>115</v>
      </c>
    </row>
    <row r="8176" spans="1:12" hidden="1" outlineLevel="1" collapsed="1" x14ac:dyDescent="0.35">
      <c r="A8176" s="112" t="s">
        <v>5553</v>
      </c>
      <c r="B8176" s="112" t="s">
        <v>927</v>
      </c>
      <c r="C8176" s="112" t="s">
        <v>1219</v>
      </c>
      <c r="D8176" s="113">
        <v>46307674</v>
      </c>
      <c r="E8176" s="115">
        <v>43943</v>
      </c>
      <c r="F8176" s="114">
        <v>202101</v>
      </c>
      <c r="G8176" s="112" t="s">
        <v>1091</v>
      </c>
      <c r="H8176" s="112" t="s">
        <v>1015</v>
      </c>
      <c r="I8176" s="112" t="s">
        <v>1605</v>
      </c>
      <c r="J8176" s="112" t="s">
        <v>5554</v>
      </c>
      <c r="K8176" s="112" t="s">
        <v>5555</v>
      </c>
      <c r="L8176" s="116">
        <v>25000</v>
      </c>
    </row>
    <row r="8177" spans="1:12" hidden="1" outlineLevel="1" collapsed="1" x14ac:dyDescent="0.35">
      <c r="A8177" s="112" t="s">
        <v>5553</v>
      </c>
      <c r="B8177" s="112" t="s">
        <v>928</v>
      </c>
      <c r="C8177" s="112" t="s">
        <v>1095</v>
      </c>
      <c r="D8177" s="113">
        <v>10348451</v>
      </c>
      <c r="E8177" s="115">
        <v>43949</v>
      </c>
      <c r="F8177" s="114">
        <v>202101</v>
      </c>
      <c r="G8177" s="112" t="s">
        <v>1091</v>
      </c>
      <c r="H8177" s="112" t="s">
        <v>1015</v>
      </c>
      <c r="I8177" s="112" t="s">
        <v>1096</v>
      </c>
      <c r="J8177" s="112" t="s">
        <v>5565</v>
      </c>
      <c r="K8177" s="112" t="s">
        <v>1098</v>
      </c>
      <c r="L8177" s="116">
        <v>210.79</v>
      </c>
    </row>
    <row r="8178" spans="1:12" hidden="1" outlineLevel="1" collapsed="1" x14ac:dyDescent="0.35">
      <c r="A8178" s="112" t="s">
        <v>5553</v>
      </c>
      <c r="B8178" s="112" t="s">
        <v>927</v>
      </c>
      <c r="C8178" s="112" t="s">
        <v>1219</v>
      </c>
      <c r="D8178" s="113">
        <v>46306992</v>
      </c>
      <c r="E8178" s="115">
        <v>43930</v>
      </c>
      <c r="F8178" s="114">
        <v>202101</v>
      </c>
      <c r="G8178" s="112" t="s">
        <v>1091</v>
      </c>
      <c r="H8178" s="112" t="s">
        <v>1015</v>
      </c>
      <c r="I8178" s="112" t="s">
        <v>1605</v>
      </c>
      <c r="J8178" s="112" t="s">
        <v>5554</v>
      </c>
      <c r="K8178" s="112" t="s">
        <v>5580</v>
      </c>
      <c r="L8178" s="116">
        <v>25000</v>
      </c>
    </row>
    <row r="8179" spans="1:12" hidden="1" outlineLevel="1" collapsed="1" x14ac:dyDescent="0.35">
      <c r="A8179" s="112" t="s">
        <v>5553</v>
      </c>
      <c r="B8179" s="112" t="s">
        <v>927</v>
      </c>
      <c r="C8179" s="112" t="s">
        <v>1219</v>
      </c>
      <c r="D8179" s="113">
        <v>46306991</v>
      </c>
      <c r="E8179" s="115">
        <v>43930</v>
      </c>
      <c r="F8179" s="114">
        <v>202101</v>
      </c>
      <c r="G8179" s="112" t="s">
        <v>1091</v>
      </c>
      <c r="H8179" s="112" t="s">
        <v>1015</v>
      </c>
      <c r="I8179" s="112" t="s">
        <v>1605</v>
      </c>
      <c r="J8179" s="112" t="s">
        <v>5554</v>
      </c>
      <c r="K8179" s="112" t="s">
        <v>5580</v>
      </c>
      <c r="L8179" s="116">
        <v>25000</v>
      </c>
    </row>
    <row r="8180" spans="1:12" hidden="1" outlineLevel="1" collapsed="1" x14ac:dyDescent="0.35">
      <c r="A8180" s="112" t="s">
        <v>5553</v>
      </c>
      <c r="B8180" s="112" t="s">
        <v>927</v>
      </c>
      <c r="C8180" s="112" t="s">
        <v>1219</v>
      </c>
      <c r="D8180" s="113">
        <v>46306990</v>
      </c>
      <c r="E8180" s="115">
        <v>43930</v>
      </c>
      <c r="F8180" s="114">
        <v>202101</v>
      </c>
      <c r="G8180" s="112" t="s">
        <v>1091</v>
      </c>
      <c r="H8180" s="112" t="s">
        <v>1015</v>
      </c>
      <c r="I8180" s="112" t="s">
        <v>1605</v>
      </c>
      <c r="J8180" s="112" t="s">
        <v>5554</v>
      </c>
      <c r="K8180" s="112" t="s">
        <v>5580</v>
      </c>
      <c r="L8180" s="116">
        <v>25000</v>
      </c>
    </row>
    <row r="8181" spans="1:12" hidden="1" outlineLevel="1" collapsed="1" x14ac:dyDescent="0.35">
      <c r="A8181" s="112" t="s">
        <v>5553</v>
      </c>
      <c r="B8181" s="112" t="s">
        <v>927</v>
      </c>
      <c r="C8181" s="112" t="s">
        <v>1219</v>
      </c>
      <c r="D8181" s="113">
        <v>46306989</v>
      </c>
      <c r="E8181" s="115">
        <v>43930</v>
      </c>
      <c r="F8181" s="114">
        <v>202101</v>
      </c>
      <c r="G8181" s="112" t="s">
        <v>1091</v>
      </c>
      <c r="H8181" s="112" t="s">
        <v>1015</v>
      </c>
      <c r="I8181" s="112" t="s">
        <v>1605</v>
      </c>
      <c r="J8181" s="112" t="s">
        <v>5554</v>
      </c>
      <c r="K8181" s="112" t="s">
        <v>5580</v>
      </c>
      <c r="L8181" s="116">
        <v>25000</v>
      </c>
    </row>
    <row r="8182" spans="1:12" hidden="1" outlineLevel="1" collapsed="1" x14ac:dyDescent="0.35">
      <c r="A8182" s="112" t="s">
        <v>5553</v>
      </c>
      <c r="B8182" s="112" t="s">
        <v>927</v>
      </c>
      <c r="C8182" s="112" t="s">
        <v>1219</v>
      </c>
      <c r="D8182" s="113">
        <v>46306988</v>
      </c>
      <c r="E8182" s="115">
        <v>43930</v>
      </c>
      <c r="F8182" s="114">
        <v>202101</v>
      </c>
      <c r="G8182" s="112" t="s">
        <v>1091</v>
      </c>
      <c r="H8182" s="112" t="s">
        <v>1015</v>
      </c>
      <c r="I8182" s="112" t="s">
        <v>1605</v>
      </c>
      <c r="J8182" s="112" t="s">
        <v>5554</v>
      </c>
      <c r="K8182" s="112" t="s">
        <v>5580</v>
      </c>
      <c r="L8182" s="116">
        <v>25000</v>
      </c>
    </row>
    <row r="8183" spans="1:12" hidden="1" outlineLevel="1" collapsed="1" x14ac:dyDescent="0.35">
      <c r="A8183" s="112" t="s">
        <v>5553</v>
      </c>
      <c r="B8183" s="112" t="s">
        <v>927</v>
      </c>
      <c r="C8183" s="112" t="s">
        <v>1219</v>
      </c>
      <c r="D8183" s="113">
        <v>46306987</v>
      </c>
      <c r="E8183" s="115">
        <v>43930</v>
      </c>
      <c r="F8183" s="114">
        <v>202101</v>
      </c>
      <c r="G8183" s="112" t="s">
        <v>1091</v>
      </c>
      <c r="H8183" s="112" t="s">
        <v>1015</v>
      </c>
      <c r="I8183" s="112" t="s">
        <v>1605</v>
      </c>
      <c r="J8183" s="112" t="s">
        <v>5554</v>
      </c>
      <c r="K8183" s="112" t="s">
        <v>5580</v>
      </c>
      <c r="L8183" s="116">
        <v>10000</v>
      </c>
    </row>
    <row r="8184" spans="1:12" hidden="1" outlineLevel="1" collapsed="1" x14ac:dyDescent="0.35">
      <c r="A8184" s="112" t="s">
        <v>5553</v>
      </c>
      <c r="B8184" s="112" t="s">
        <v>927</v>
      </c>
      <c r="C8184" s="112" t="s">
        <v>1219</v>
      </c>
      <c r="D8184" s="113">
        <v>46306986</v>
      </c>
      <c r="E8184" s="115">
        <v>43930</v>
      </c>
      <c r="F8184" s="114">
        <v>202101</v>
      </c>
      <c r="G8184" s="112" t="s">
        <v>1091</v>
      </c>
      <c r="H8184" s="112" t="s">
        <v>1015</v>
      </c>
      <c r="I8184" s="112" t="s">
        <v>1605</v>
      </c>
      <c r="J8184" s="112" t="s">
        <v>5554</v>
      </c>
      <c r="K8184" s="112" t="s">
        <v>5580</v>
      </c>
      <c r="L8184" s="116">
        <v>25000</v>
      </c>
    </row>
    <row r="8185" spans="1:12" hidden="1" outlineLevel="1" collapsed="1" x14ac:dyDescent="0.35">
      <c r="A8185" s="112" t="s">
        <v>5553</v>
      </c>
      <c r="B8185" s="112" t="s">
        <v>927</v>
      </c>
      <c r="C8185" s="112" t="s">
        <v>1219</v>
      </c>
      <c r="D8185" s="113">
        <v>46306985</v>
      </c>
      <c r="E8185" s="115">
        <v>43930</v>
      </c>
      <c r="F8185" s="114">
        <v>202101</v>
      </c>
      <c r="G8185" s="112" t="s">
        <v>1091</v>
      </c>
      <c r="H8185" s="112" t="s">
        <v>1015</v>
      </c>
      <c r="I8185" s="112" t="s">
        <v>1605</v>
      </c>
      <c r="J8185" s="112" t="s">
        <v>5554</v>
      </c>
      <c r="K8185" s="112" t="s">
        <v>5580</v>
      </c>
      <c r="L8185" s="116">
        <v>25000</v>
      </c>
    </row>
    <row r="8186" spans="1:12" hidden="1" outlineLevel="1" collapsed="1" x14ac:dyDescent="0.35">
      <c r="A8186" s="112" t="s">
        <v>5553</v>
      </c>
      <c r="B8186" s="112" t="s">
        <v>927</v>
      </c>
      <c r="C8186" s="112" t="s">
        <v>1219</v>
      </c>
      <c r="D8186" s="113">
        <v>46306984</v>
      </c>
      <c r="E8186" s="115">
        <v>43930</v>
      </c>
      <c r="F8186" s="114">
        <v>202101</v>
      </c>
      <c r="G8186" s="112" t="s">
        <v>1091</v>
      </c>
      <c r="H8186" s="112" t="s">
        <v>1015</v>
      </c>
      <c r="I8186" s="112" t="s">
        <v>1605</v>
      </c>
      <c r="J8186" s="112" t="s">
        <v>5554</v>
      </c>
      <c r="K8186" s="112" t="s">
        <v>5580</v>
      </c>
      <c r="L8186" s="116">
        <v>25000</v>
      </c>
    </row>
    <row r="8187" spans="1:12" hidden="1" outlineLevel="1" collapsed="1" x14ac:dyDescent="0.35">
      <c r="A8187" s="112" t="s">
        <v>5553</v>
      </c>
      <c r="B8187" s="112" t="s">
        <v>927</v>
      </c>
      <c r="C8187" s="112" t="s">
        <v>1219</v>
      </c>
      <c r="D8187" s="113">
        <v>46306983</v>
      </c>
      <c r="E8187" s="115">
        <v>43930</v>
      </c>
      <c r="F8187" s="114">
        <v>202101</v>
      </c>
      <c r="G8187" s="112" t="s">
        <v>1091</v>
      </c>
      <c r="H8187" s="112" t="s">
        <v>1015</v>
      </c>
      <c r="I8187" s="112" t="s">
        <v>1605</v>
      </c>
      <c r="J8187" s="112" t="s">
        <v>5554</v>
      </c>
      <c r="K8187" s="112" t="s">
        <v>5580</v>
      </c>
      <c r="L8187" s="116">
        <v>25000</v>
      </c>
    </row>
    <row r="8188" spans="1:12" hidden="1" outlineLevel="1" collapsed="1" x14ac:dyDescent="0.35">
      <c r="A8188" s="112" t="s">
        <v>5553</v>
      </c>
      <c r="B8188" s="112" t="s">
        <v>925</v>
      </c>
      <c r="C8188" s="112" t="s">
        <v>1095</v>
      </c>
      <c r="D8188" s="113">
        <v>10348451</v>
      </c>
      <c r="E8188" s="115">
        <v>43949</v>
      </c>
      <c r="F8188" s="114">
        <v>202101</v>
      </c>
      <c r="G8188" s="112" t="s">
        <v>1091</v>
      </c>
      <c r="H8188" s="112" t="s">
        <v>1015</v>
      </c>
      <c r="I8188" s="112" t="s">
        <v>1096</v>
      </c>
      <c r="J8188" s="112" t="s">
        <v>5559</v>
      </c>
      <c r="K8188" s="112" t="s">
        <v>1098</v>
      </c>
      <c r="L8188" s="116">
        <v>238.33</v>
      </c>
    </row>
    <row r="8189" spans="1:12" hidden="1" outlineLevel="1" collapsed="1" x14ac:dyDescent="0.35">
      <c r="A8189" s="112" t="s">
        <v>5553</v>
      </c>
      <c r="B8189" s="112" t="s">
        <v>925</v>
      </c>
      <c r="C8189" s="112" t="s">
        <v>1095</v>
      </c>
      <c r="D8189" s="113">
        <v>10348451</v>
      </c>
      <c r="E8189" s="115">
        <v>43949</v>
      </c>
      <c r="F8189" s="114">
        <v>202101</v>
      </c>
      <c r="G8189" s="112" t="s">
        <v>1091</v>
      </c>
      <c r="H8189" s="112" t="s">
        <v>1015</v>
      </c>
      <c r="I8189" s="112" t="s">
        <v>1096</v>
      </c>
      <c r="J8189" s="112" t="s">
        <v>5559</v>
      </c>
      <c r="K8189" s="112" t="s">
        <v>1098</v>
      </c>
      <c r="L8189" s="116">
        <v>423.19</v>
      </c>
    </row>
    <row r="8190" spans="1:12" hidden="1" outlineLevel="1" collapsed="1" x14ac:dyDescent="0.35">
      <c r="A8190" s="112" t="s">
        <v>5553</v>
      </c>
      <c r="B8190" s="112" t="s">
        <v>925</v>
      </c>
      <c r="C8190" s="112" t="s">
        <v>1095</v>
      </c>
      <c r="D8190" s="113">
        <v>10348451</v>
      </c>
      <c r="E8190" s="115">
        <v>43949</v>
      </c>
      <c r="F8190" s="114">
        <v>202101</v>
      </c>
      <c r="G8190" s="112" t="s">
        <v>1091</v>
      </c>
      <c r="H8190" s="112" t="s">
        <v>1015</v>
      </c>
      <c r="I8190" s="112" t="s">
        <v>1096</v>
      </c>
      <c r="J8190" s="112" t="s">
        <v>5559</v>
      </c>
      <c r="K8190" s="112" t="s">
        <v>1098</v>
      </c>
      <c r="L8190" s="116">
        <v>238.23</v>
      </c>
    </row>
    <row r="8191" spans="1:12" hidden="1" outlineLevel="1" collapsed="1" x14ac:dyDescent="0.35">
      <c r="A8191" s="112" t="s">
        <v>5553</v>
      </c>
      <c r="B8191" s="112" t="s">
        <v>925</v>
      </c>
      <c r="C8191" s="112" t="s">
        <v>1095</v>
      </c>
      <c r="D8191" s="113">
        <v>10348451</v>
      </c>
      <c r="E8191" s="115">
        <v>43949</v>
      </c>
      <c r="F8191" s="114">
        <v>202101</v>
      </c>
      <c r="G8191" s="112" t="s">
        <v>1091</v>
      </c>
      <c r="H8191" s="112" t="s">
        <v>1015</v>
      </c>
      <c r="I8191" s="112" t="s">
        <v>1096</v>
      </c>
      <c r="J8191" s="112" t="s">
        <v>5559</v>
      </c>
      <c r="K8191" s="112" t="s">
        <v>1098</v>
      </c>
      <c r="L8191" s="116">
        <v>310.49</v>
      </c>
    </row>
    <row r="8192" spans="1:12" hidden="1" outlineLevel="1" collapsed="1" x14ac:dyDescent="0.35">
      <c r="A8192" s="112" t="s">
        <v>5553</v>
      </c>
      <c r="B8192" s="112" t="s">
        <v>927</v>
      </c>
      <c r="C8192" s="112" t="s">
        <v>1219</v>
      </c>
      <c r="D8192" s="113">
        <v>46306982</v>
      </c>
      <c r="E8192" s="115">
        <v>43930</v>
      </c>
      <c r="F8192" s="114">
        <v>202101</v>
      </c>
      <c r="G8192" s="112" t="s">
        <v>1091</v>
      </c>
      <c r="H8192" s="112" t="s">
        <v>1015</v>
      </c>
      <c r="I8192" s="112" t="s">
        <v>1605</v>
      </c>
      <c r="J8192" s="112" t="s">
        <v>5554</v>
      </c>
      <c r="K8192" s="112" t="s">
        <v>5580</v>
      </c>
      <c r="L8192" s="116">
        <v>25000</v>
      </c>
    </row>
    <row r="8193" spans="1:12" hidden="1" outlineLevel="1" collapsed="1" x14ac:dyDescent="0.35">
      <c r="A8193" s="112" t="s">
        <v>5553</v>
      </c>
      <c r="B8193" s="112" t="s">
        <v>927</v>
      </c>
      <c r="C8193" s="112" t="s">
        <v>1219</v>
      </c>
      <c r="D8193" s="113">
        <v>46306981</v>
      </c>
      <c r="E8193" s="115">
        <v>43930</v>
      </c>
      <c r="F8193" s="114">
        <v>202101</v>
      </c>
      <c r="G8193" s="112" t="s">
        <v>1091</v>
      </c>
      <c r="H8193" s="112" t="s">
        <v>1015</v>
      </c>
      <c r="I8193" s="112" t="s">
        <v>1605</v>
      </c>
      <c r="J8193" s="112" t="s">
        <v>5554</v>
      </c>
      <c r="K8193" s="112" t="s">
        <v>5556</v>
      </c>
      <c r="L8193" s="116">
        <v>10000</v>
      </c>
    </row>
    <row r="8194" spans="1:12" hidden="1" outlineLevel="1" collapsed="1" x14ac:dyDescent="0.35">
      <c r="A8194" s="112" t="s">
        <v>5553</v>
      </c>
      <c r="B8194" s="112" t="s">
        <v>925</v>
      </c>
      <c r="C8194" s="112" t="s">
        <v>1095</v>
      </c>
      <c r="D8194" s="113">
        <v>10348451</v>
      </c>
      <c r="E8194" s="115">
        <v>43949</v>
      </c>
      <c r="F8194" s="114">
        <v>202101</v>
      </c>
      <c r="G8194" s="112" t="s">
        <v>1091</v>
      </c>
      <c r="H8194" s="112" t="s">
        <v>1015</v>
      </c>
      <c r="I8194" s="112" t="s">
        <v>1096</v>
      </c>
      <c r="J8194" s="112" t="s">
        <v>5559</v>
      </c>
      <c r="K8194" s="112" t="s">
        <v>1098</v>
      </c>
      <c r="L8194" s="116">
        <v>262.10000000000002</v>
      </c>
    </row>
    <row r="8195" spans="1:12" hidden="1" outlineLevel="1" collapsed="1" x14ac:dyDescent="0.35">
      <c r="A8195" s="112" t="s">
        <v>5553</v>
      </c>
      <c r="B8195" s="112" t="s">
        <v>925</v>
      </c>
      <c r="C8195" s="112" t="s">
        <v>1095</v>
      </c>
      <c r="D8195" s="113">
        <v>10348451</v>
      </c>
      <c r="E8195" s="115">
        <v>43949</v>
      </c>
      <c r="F8195" s="114">
        <v>202101</v>
      </c>
      <c r="G8195" s="112" t="s">
        <v>1091</v>
      </c>
      <c r="H8195" s="112" t="s">
        <v>1015</v>
      </c>
      <c r="I8195" s="112" t="s">
        <v>1096</v>
      </c>
      <c r="J8195" s="112" t="s">
        <v>5559</v>
      </c>
      <c r="K8195" s="112" t="s">
        <v>1098</v>
      </c>
      <c r="L8195" s="116">
        <v>210.79</v>
      </c>
    </row>
    <row r="8196" spans="1:12" hidden="1" outlineLevel="1" collapsed="1" x14ac:dyDescent="0.35">
      <c r="A8196" s="112" t="s">
        <v>5553</v>
      </c>
      <c r="B8196" s="112" t="s">
        <v>925</v>
      </c>
      <c r="C8196" s="112" t="s">
        <v>1095</v>
      </c>
      <c r="D8196" s="113">
        <v>10348451</v>
      </c>
      <c r="E8196" s="115">
        <v>43949</v>
      </c>
      <c r="F8196" s="114">
        <v>202101</v>
      </c>
      <c r="G8196" s="112" t="s">
        <v>1091</v>
      </c>
      <c r="H8196" s="112" t="s">
        <v>1015</v>
      </c>
      <c r="I8196" s="112" t="s">
        <v>1096</v>
      </c>
      <c r="J8196" s="112" t="s">
        <v>5559</v>
      </c>
      <c r="K8196" s="112" t="s">
        <v>1098</v>
      </c>
      <c r="L8196" s="116">
        <v>271.86</v>
      </c>
    </row>
    <row r="8197" spans="1:12" hidden="1" outlineLevel="1" collapsed="1" x14ac:dyDescent="0.35">
      <c r="A8197" s="112" t="s">
        <v>5553</v>
      </c>
      <c r="B8197" s="112" t="s">
        <v>925</v>
      </c>
      <c r="C8197" s="112" t="s">
        <v>1095</v>
      </c>
      <c r="D8197" s="113">
        <v>10348451</v>
      </c>
      <c r="E8197" s="115">
        <v>43949</v>
      </c>
      <c r="F8197" s="114">
        <v>202101</v>
      </c>
      <c r="G8197" s="112" t="s">
        <v>1091</v>
      </c>
      <c r="H8197" s="112" t="s">
        <v>1015</v>
      </c>
      <c r="I8197" s="112" t="s">
        <v>1096</v>
      </c>
      <c r="J8197" s="112" t="s">
        <v>5559</v>
      </c>
      <c r="K8197" s="112" t="s">
        <v>1098</v>
      </c>
      <c r="L8197" s="116">
        <v>446.22</v>
      </c>
    </row>
    <row r="8198" spans="1:12" hidden="1" outlineLevel="1" collapsed="1" x14ac:dyDescent="0.35">
      <c r="A8198" s="112" t="s">
        <v>5553</v>
      </c>
      <c r="B8198" s="112" t="s">
        <v>925</v>
      </c>
      <c r="C8198" s="112" t="s">
        <v>1095</v>
      </c>
      <c r="D8198" s="113">
        <v>10348451</v>
      </c>
      <c r="E8198" s="115">
        <v>43949</v>
      </c>
      <c r="F8198" s="114">
        <v>202101</v>
      </c>
      <c r="G8198" s="112" t="s">
        <v>1091</v>
      </c>
      <c r="H8198" s="112" t="s">
        <v>1015</v>
      </c>
      <c r="I8198" s="112" t="s">
        <v>1096</v>
      </c>
      <c r="J8198" s="112" t="s">
        <v>5559</v>
      </c>
      <c r="K8198" s="112" t="s">
        <v>1098</v>
      </c>
      <c r="L8198" s="116">
        <v>271.86</v>
      </c>
    </row>
    <row r="8199" spans="1:12" hidden="1" outlineLevel="1" collapsed="1" x14ac:dyDescent="0.35">
      <c r="A8199" s="112" t="s">
        <v>5553</v>
      </c>
      <c r="B8199" s="112" t="s">
        <v>928</v>
      </c>
      <c r="C8199" s="112" t="s">
        <v>1095</v>
      </c>
      <c r="D8199" s="113">
        <v>10348451</v>
      </c>
      <c r="E8199" s="115">
        <v>43949</v>
      </c>
      <c r="F8199" s="114">
        <v>202101</v>
      </c>
      <c r="G8199" s="112" t="s">
        <v>1091</v>
      </c>
      <c r="H8199" s="112" t="s">
        <v>1015</v>
      </c>
      <c r="I8199" s="112" t="s">
        <v>1096</v>
      </c>
      <c r="J8199" s="112" t="s">
        <v>5565</v>
      </c>
      <c r="K8199" s="112" t="s">
        <v>1098</v>
      </c>
      <c r="L8199" s="116">
        <v>210.79</v>
      </c>
    </row>
    <row r="8200" spans="1:12" hidden="1" outlineLevel="1" collapsed="1" x14ac:dyDescent="0.35">
      <c r="A8200" s="112" t="s">
        <v>5553</v>
      </c>
      <c r="B8200" s="112" t="s">
        <v>928</v>
      </c>
      <c r="C8200" s="112" t="s">
        <v>1095</v>
      </c>
      <c r="D8200" s="113">
        <v>10348451</v>
      </c>
      <c r="E8200" s="115">
        <v>43949</v>
      </c>
      <c r="F8200" s="114">
        <v>202101</v>
      </c>
      <c r="G8200" s="112" t="s">
        <v>1091</v>
      </c>
      <c r="H8200" s="112" t="s">
        <v>1015</v>
      </c>
      <c r="I8200" s="112" t="s">
        <v>1096</v>
      </c>
      <c r="J8200" s="112" t="s">
        <v>5565</v>
      </c>
      <c r="K8200" s="112" t="s">
        <v>1098</v>
      </c>
      <c r="L8200" s="116">
        <v>134.52000000000001</v>
      </c>
    </row>
    <row r="8201" spans="1:12" hidden="1" outlineLevel="1" collapsed="1" x14ac:dyDescent="0.35">
      <c r="A8201" s="112" t="s">
        <v>5553</v>
      </c>
      <c r="B8201" s="112" t="s">
        <v>927</v>
      </c>
      <c r="C8201" s="112" t="s">
        <v>1219</v>
      </c>
      <c r="D8201" s="113">
        <v>46306980</v>
      </c>
      <c r="E8201" s="115">
        <v>43930</v>
      </c>
      <c r="F8201" s="114">
        <v>202101</v>
      </c>
      <c r="G8201" s="112" t="s">
        <v>1091</v>
      </c>
      <c r="H8201" s="112" t="s">
        <v>1015</v>
      </c>
      <c r="I8201" s="112" t="s">
        <v>1605</v>
      </c>
      <c r="J8201" s="112" t="s">
        <v>5554</v>
      </c>
      <c r="K8201" s="112" t="s">
        <v>5556</v>
      </c>
      <c r="L8201" s="116">
        <v>10000</v>
      </c>
    </row>
    <row r="8202" spans="1:12" hidden="1" outlineLevel="1" collapsed="1" x14ac:dyDescent="0.35">
      <c r="A8202" s="112" t="s">
        <v>5553</v>
      </c>
      <c r="B8202" s="112" t="s">
        <v>928</v>
      </c>
      <c r="C8202" s="112" t="s">
        <v>1095</v>
      </c>
      <c r="D8202" s="113">
        <v>10348451</v>
      </c>
      <c r="E8202" s="115">
        <v>43949</v>
      </c>
      <c r="F8202" s="114">
        <v>202101</v>
      </c>
      <c r="G8202" s="112" t="s">
        <v>1091</v>
      </c>
      <c r="H8202" s="112" t="s">
        <v>1015</v>
      </c>
      <c r="I8202" s="112" t="s">
        <v>1096</v>
      </c>
      <c r="J8202" s="112" t="s">
        <v>5565</v>
      </c>
      <c r="K8202" s="112" t="s">
        <v>1098</v>
      </c>
      <c r="L8202" s="116">
        <v>210.79</v>
      </c>
    </row>
    <row r="8203" spans="1:12" hidden="1" outlineLevel="1" collapsed="1" x14ac:dyDescent="0.35">
      <c r="A8203" s="112" t="s">
        <v>5553</v>
      </c>
      <c r="B8203" s="112" t="s">
        <v>928</v>
      </c>
      <c r="C8203" s="112" t="s">
        <v>1095</v>
      </c>
      <c r="D8203" s="113">
        <v>10348451</v>
      </c>
      <c r="E8203" s="115">
        <v>43949</v>
      </c>
      <c r="F8203" s="114">
        <v>202101</v>
      </c>
      <c r="G8203" s="112" t="s">
        <v>1091</v>
      </c>
      <c r="H8203" s="112" t="s">
        <v>1015</v>
      </c>
      <c r="I8203" s="112" t="s">
        <v>1096</v>
      </c>
      <c r="J8203" s="112" t="s">
        <v>5565</v>
      </c>
      <c r="K8203" s="112" t="s">
        <v>1098</v>
      </c>
      <c r="L8203" s="116">
        <v>75.959999999999994</v>
      </c>
    </row>
    <row r="8204" spans="1:12" hidden="1" outlineLevel="1" collapsed="1" x14ac:dyDescent="0.35">
      <c r="A8204" s="112" t="s">
        <v>5553</v>
      </c>
      <c r="B8204" s="112" t="s">
        <v>927</v>
      </c>
      <c r="C8204" s="112" t="s">
        <v>1219</v>
      </c>
      <c r="D8204" s="113">
        <v>46306993</v>
      </c>
      <c r="E8204" s="115">
        <v>43930</v>
      </c>
      <c r="F8204" s="114">
        <v>202101</v>
      </c>
      <c r="G8204" s="112" t="s">
        <v>1091</v>
      </c>
      <c r="H8204" s="112" t="s">
        <v>1015</v>
      </c>
      <c r="I8204" s="112" t="s">
        <v>1605</v>
      </c>
      <c r="J8204" s="112" t="s">
        <v>5554</v>
      </c>
      <c r="K8204" s="112" t="s">
        <v>5580</v>
      </c>
      <c r="L8204" s="116">
        <v>10000</v>
      </c>
    </row>
    <row r="8205" spans="1:12" hidden="1" outlineLevel="1" collapsed="1" x14ac:dyDescent="0.35">
      <c r="A8205" s="112" t="s">
        <v>5553</v>
      </c>
      <c r="B8205" s="112" t="s">
        <v>924</v>
      </c>
      <c r="C8205" s="112" t="s">
        <v>1095</v>
      </c>
      <c r="D8205" s="113">
        <v>10348451</v>
      </c>
      <c r="E8205" s="115">
        <v>43949</v>
      </c>
      <c r="F8205" s="114">
        <v>202101</v>
      </c>
      <c r="G8205" s="112" t="s">
        <v>1091</v>
      </c>
      <c r="H8205" s="112" t="s">
        <v>1015</v>
      </c>
      <c r="I8205" s="112" t="s">
        <v>1096</v>
      </c>
      <c r="J8205" s="112" t="s">
        <v>5558</v>
      </c>
      <c r="K8205" s="112" t="s">
        <v>1098</v>
      </c>
      <c r="L8205" s="116">
        <v>262.10000000000002</v>
      </c>
    </row>
    <row r="8206" spans="1:12" hidden="1" outlineLevel="1" collapsed="1" x14ac:dyDescent="0.35">
      <c r="A8206" s="112" t="s">
        <v>5553</v>
      </c>
      <c r="B8206" s="112" t="s">
        <v>924</v>
      </c>
      <c r="C8206" s="112" t="s">
        <v>1095</v>
      </c>
      <c r="D8206" s="113">
        <v>10348451</v>
      </c>
      <c r="E8206" s="115">
        <v>43949</v>
      </c>
      <c r="F8206" s="114">
        <v>202101</v>
      </c>
      <c r="G8206" s="112" t="s">
        <v>1091</v>
      </c>
      <c r="H8206" s="112" t="s">
        <v>1015</v>
      </c>
      <c r="I8206" s="112" t="s">
        <v>1096</v>
      </c>
      <c r="J8206" s="112" t="s">
        <v>5558</v>
      </c>
      <c r="K8206" s="112" t="s">
        <v>1098</v>
      </c>
      <c r="L8206" s="116">
        <v>443.92</v>
      </c>
    </row>
    <row r="8207" spans="1:12" hidden="1" outlineLevel="1" collapsed="1" x14ac:dyDescent="0.35">
      <c r="A8207" s="112" t="s">
        <v>5553</v>
      </c>
      <c r="B8207" s="112" t="s">
        <v>924</v>
      </c>
      <c r="C8207" s="112" t="s">
        <v>1095</v>
      </c>
      <c r="D8207" s="113">
        <v>10348451</v>
      </c>
      <c r="E8207" s="115">
        <v>43949</v>
      </c>
      <c r="F8207" s="114">
        <v>202101</v>
      </c>
      <c r="G8207" s="112" t="s">
        <v>1091</v>
      </c>
      <c r="H8207" s="112" t="s">
        <v>1015</v>
      </c>
      <c r="I8207" s="112" t="s">
        <v>1096</v>
      </c>
      <c r="J8207" s="112" t="s">
        <v>5558</v>
      </c>
      <c r="K8207" s="112" t="s">
        <v>1098</v>
      </c>
      <c r="L8207" s="116">
        <v>366.99</v>
      </c>
    </row>
    <row r="8208" spans="1:12" hidden="1" outlineLevel="1" collapsed="1" x14ac:dyDescent="0.35">
      <c r="A8208" s="112" t="s">
        <v>5553</v>
      </c>
      <c r="B8208" s="112" t="s">
        <v>924</v>
      </c>
      <c r="C8208" s="112" t="s">
        <v>1095</v>
      </c>
      <c r="D8208" s="113">
        <v>10348451</v>
      </c>
      <c r="E8208" s="115">
        <v>43949</v>
      </c>
      <c r="F8208" s="114">
        <v>202101</v>
      </c>
      <c r="G8208" s="112" t="s">
        <v>1091</v>
      </c>
      <c r="H8208" s="112" t="s">
        <v>1015</v>
      </c>
      <c r="I8208" s="112" t="s">
        <v>1096</v>
      </c>
      <c r="J8208" s="112" t="s">
        <v>5558</v>
      </c>
      <c r="K8208" s="112" t="s">
        <v>1098</v>
      </c>
      <c r="L8208" s="116">
        <v>226.51</v>
      </c>
    </row>
    <row r="8209" spans="1:12" hidden="1" outlineLevel="1" collapsed="1" x14ac:dyDescent="0.35">
      <c r="A8209" s="112" t="s">
        <v>5553</v>
      </c>
      <c r="B8209" s="112" t="s">
        <v>924</v>
      </c>
      <c r="C8209" s="112" t="s">
        <v>1095</v>
      </c>
      <c r="D8209" s="113">
        <v>10348451</v>
      </c>
      <c r="E8209" s="115">
        <v>43949</v>
      </c>
      <c r="F8209" s="114">
        <v>202101</v>
      </c>
      <c r="G8209" s="112" t="s">
        <v>1091</v>
      </c>
      <c r="H8209" s="112" t="s">
        <v>1015</v>
      </c>
      <c r="I8209" s="112" t="s">
        <v>1096</v>
      </c>
      <c r="J8209" s="112" t="s">
        <v>5558</v>
      </c>
      <c r="K8209" s="112" t="s">
        <v>1098</v>
      </c>
      <c r="L8209" s="116">
        <v>411.93</v>
      </c>
    </row>
    <row r="8210" spans="1:12" hidden="1" outlineLevel="1" collapsed="1" x14ac:dyDescent="0.35">
      <c r="A8210" s="112" t="s">
        <v>5553</v>
      </c>
      <c r="B8210" s="112" t="s">
        <v>924</v>
      </c>
      <c r="C8210" s="112" t="s">
        <v>1095</v>
      </c>
      <c r="D8210" s="113">
        <v>10348451</v>
      </c>
      <c r="E8210" s="115">
        <v>43949</v>
      </c>
      <c r="F8210" s="114">
        <v>202101</v>
      </c>
      <c r="G8210" s="112" t="s">
        <v>1091</v>
      </c>
      <c r="H8210" s="112" t="s">
        <v>1015</v>
      </c>
      <c r="I8210" s="112" t="s">
        <v>1096</v>
      </c>
      <c r="J8210" s="112" t="s">
        <v>5558</v>
      </c>
      <c r="K8210" s="112" t="s">
        <v>1098</v>
      </c>
      <c r="L8210" s="116">
        <v>310.49</v>
      </c>
    </row>
    <row r="8211" spans="1:12" hidden="1" outlineLevel="1" collapsed="1" x14ac:dyDescent="0.35">
      <c r="A8211" s="112" t="s">
        <v>5553</v>
      </c>
      <c r="B8211" s="112" t="s">
        <v>924</v>
      </c>
      <c r="C8211" s="112" t="s">
        <v>1095</v>
      </c>
      <c r="D8211" s="113">
        <v>10348451</v>
      </c>
      <c r="E8211" s="115">
        <v>43949</v>
      </c>
      <c r="F8211" s="114">
        <v>202101</v>
      </c>
      <c r="G8211" s="112" t="s">
        <v>1091</v>
      </c>
      <c r="H8211" s="112" t="s">
        <v>1015</v>
      </c>
      <c r="I8211" s="112" t="s">
        <v>1096</v>
      </c>
      <c r="J8211" s="112" t="s">
        <v>5558</v>
      </c>
      <c r="K8211" s="112" t="s">
        <v>1098</v>
      </c>
      <c r="L8211" s="116">
        <v>408.39</v>
      </c>
    </row>
    <row r="8212" spans="1:12" hidden="1" outlineLevel="1" collapsed="1" x14ac:dyDescent="0.35">
      <c r="A8212" s="112" t="s">
        <v>5553</v>
      </c>
      <c r="B8212" s="112" t="s">
        <v>924</v>
      </c>
      <c r="C8212" s="112" t="s">
        <v>1095</v>
      </c>
      <c r="D8212" s="113">
        <v>10348451</v>
      </c>
      <c r="E8212" s="115">
        <v>43949</v>
      </c>
      <c r="F8212" s="114">
        <v>202101</v>
      </c>
      <c r="G8212" s="112" t="s">
        <v>1091</v>
      </c>
      <c r="H8212" s="112" t="s">
        <v>1015</v>
      </c>
      <c r="I8212" s="112" t="s">
        <v>1096</v>
      </c>
      <c r="J8212" s="112" t="s">
        <v>5558</v>
      </c>
      <c r="K8212" s="112" t="s">
        <v>1098</v>
      </c>
      <c r="L8212" s="116">
        <v>663.51</v>
      </c>
    </row>
    <row r="8213" spans="1:12" hidden="1" outlineLevel="1" collapsed="1" x14ac:dyDescent="0.35">
      <c r="A8213" s="112" t="s">
        <v>5553</v>
      </c>
      <c r="B8213" s="112" t="s">
        <v>924</v>
      </c>
      <c r="C8213" s="112" t="s">
        <v>1095</v>
      </c>
      <c r="D8213" s="113">
        <v>10348451</v>
      </c>
      <c r="E8213" s="115">
        <v>43949</v>
      </c>
      <c r="F8213" s="114">
        <v>202101</v>
      </c>
      <c r="G8213" s="112" t="s">
        <v>1091</v>
      </c>
      <c r="H8213" s="112" t="s">
        <v>1015</v>
      </c>
      <c r="I8213" s="112" t="s">
        <v>1096</v>
      </c>
      <c r="J8213" s="112" t="s">
        <v>5558</v>
      </c>
      <c r="K8213" s="112" t="s">
        <v>1098</v>
      </c>
      <c r="L8213" s="116">
        <v>378.29</v>
      </c>
    </row>
    <row r="8214" spans="1:12" hidden="1" outlineLevel="1" collapsed="1" x14ac:dyDescent="0.35">
      <c r="A8214" s="112" t="s">
        <v>5553</v>
      </c>
      <c r="B8214" s="112" t="s">
        <v>924</v>
      </c>
      <c r="C8214" s="112" t="s">
        <v>1095</v>
      </c>
      <c r="D8214" s="113">
        <v>10348451</v>
      </c>
      <c r="E8214" s="115">
        <v>43949</v>
      </c>
      <c r="F8214" s="114">
        <v>202101</v>
      </c>
      <c r="G8214" s="112" t="s">
        <v>1091</v>
      </c>
      <c r="H8214" s="112" t="s">
        <v>1015</v>
      </c>
      <c r="I8214" s="112" t="s">
        <v>1096</v>
      </c>
      <c r="J8214" s="112" t="s">
        <v>5558</v>
      </c>
      <c r="K8214" s="112" t="s">
        <v>1098</v>
      </c>
      <c r="L8214" s="116">
        <v>363.54</v>
      </c>
    </row>
    <row r="8215" spans="1:12" hidden="1" outlineLevel="1" collapsed="1" x14ac:dyDescent="0.35">
      <c r="A8215" s="112" t="s">
        <v>5553</v>
      </c>
      <c r="B8215" s="112" t="s">
        <v>924</v>
      </c>
      <c r="C8215" s="112" t="s">
        <v>1095</v>
      </c>
      <c r="D8215" s="113">
        <v>10348451</v>
      </c>
      <c r="E8215" s="115">
        <v>43949</v>
      </c>
      <c r="F8215" s="114">
        <v>202101</v>
      </c>
      <c r="G8215" s="112" t="s">
        <v>1091</v>
      </c>
      <c r="H8215" s="112" t="s">
        <v>1015</v>
      </c>
      <c r="I8215" s="112" t="s">
        <v>1096</v>
      </c>
      <c r="J8215" s="112" t="s">
        <v>5558</v>
      </c>
      <c r="K8215" s="112" t="s">
        <v>1098</v>
      </c>
      <c r="L8215" s="116">
        <v>252.23</v>
      </c>
    </row>
    <row r="8216" spans="1:12" hidden="1" outlineLevel="1" collapsed="1" x14ac:dyDescent="0.35">
      <c r="A8216" s="112" t="s">
        <v>5553</v>
      </c>
      <c r="B8216" s="112" t="s">
        <v>927</v>
      </c>
      <c r="C8216" s="112" t="s">
        <v>1219</v>
      </c>
      <c r="D8216" s="113">
        <v>46306974</v>
      </c>
      <c r="E8216" s="115">
        <v>43930</v>
      </c>
      <c r="F8216" s="114">
        <v>202101</v>
      </c>
      <c r="G8216" s="112" t="s">
        <v>1091</v>
      </c>
      <c r="H8216" s="112" t="s">
        <v>1015</v>
      </c>
      <c r="I8216" s="112" t="s">
        <v>1605</v>
      </c>
      <c r="J8216" s="112" t="s">
        <v>5554</v>
      </c>
      <c r="K8216" s="112" t="s">
        <v>5580</v>
      </c>
      <c r="L8216" s="116">
        <v>25000</v>
      </c>
    </row>
    <row r="8217" spans="1:12" hidden="1" outlineLevel="1" collapsed="1" x14ac:dyDescent="0.35">
      <c r="A8217" s="112" t="s">
        <v>5553</v>
      </c>
      <c r="B8217" s="112" t="s">
        <v>924</v>
      </c>
      <c r="C8217" s="112" t="s">
        <v>1095</v>
      </c>
      <c r="D8217" s="113">
        <v>10348451</v>
      </c>
      <c r="E8217" s="115">
        <v>43949</v>
      </c>
      <c r="F8217" s="114">
        <v>202101</v>
      </c>
      <c r="G8217" s="112" t="s">
        <v>1091</v>
      </c>
      <c r="H8217" s="112" t="s">
        <v>1015</v>
      </c>
      <c r="I8217" s="112" t="s">
        <v>1096</v>
      </c>
      <c r="J8217" s="112" t="s">
        <v>5558</v>
      </c>
      <c r="K8217" s="112" t="s">
        <v>1098</v>
      </c>
      <c r="L8217" s="116">
        <v>214.75</v>
      </c>
    </row>
    <row r="8218" spans="1:12" hidden="1" outlineLevel="1" collapsed="1" x14ac:dyDescent="0.35">
      <c r="A8218" s="112" t="s">
        <v>5553</v>
      </c>
      <c r="B8218" s="112" t="s">
        <v>924</v>
      </c>
      <c r="C8218" s="112" t="s">
        <v>1095</v>
      </c>
      <c r="D8218" s="113">
        <v>10348451</v>
      </c>
      <c r="E8218" s="115">
        <v>43949</v>
      </c>
      <c r="F8218" s="114">
        <v>202101</v>
      </c>
      <c r="G8218" s="112" t="s">
        <v>1091</v>
      </c>
      <c r="H8218" s="112" t="s">
        <v>1015</v>
      </c>
      <c r="I8218" s="112" t="s">
        <v>1096</v>
      </c>
      <c r="J8218" s="112" t="s">
        <v>5558</v>
      </c>
      <c r="K8218" s="112" t="s">
        <v>1098</v>
      </c>
      <c r="L8218" s="116">
        <v>411.93</v>
      </c>
    </row>
    <row r="8219" spans="1:12" hidden="1" outlineLevel="1" collapsed="1" x14ac:dyDescent="0.35">
      <c r="A8219" s="112" t="s">
        <v>5553</v>
      </c>
      <c r="B8219" s="112" t="s">
        <v>924</v>
      </c>
      <c r="C8219" s="112" t="s">
        <v>1095</v>
      </c>
      <c r="D8219" s="113">
        <v>10348451</v>
      </c>
      <c r="E8219" s="115">
        <v>43949</v>
      </c>
      <c r="F8219" s="114">
        <v>202101</v>
      </c>
      <c r="G8219" s="112" t="s">
        <v>1091</v>
      </c>
      <c r="H8219" s="112" t="s">
        <v>1015</v>
      </c>
      <c r="I8219" s="112" t="s">
        <v>1096</v>
      </c>
      <c r="J8219" s="112" t="s">
        <v>5558</v>
      </c>
      <c r="K8219" s="112" t="s">
        <v>1098</v>
      </c>
      <c r="L8219" s="116">
        <v>411.93</v>
      </c>
    </row>
    <row r="8220" spans="1:12" hidden="1" outlineLevel="1" collapsed="1" x14ac:dyDescent="0.35">
      <c r="A8220" s="112" t="s">
        <v>5553</v>
      </c>
      <c r="B8220" s="112" t="s">
        <v>927</v>
      </c>
      <c r="C8220" s="112" t="s">
        <v>1219</v>
      </c>
      <c r="D8220" s="113">
        <v>46306975</v>
      </c>
      <c r="E8220" s="115">
        <v>43930</v>
      </c>
      <c r="F8220" s="114">
        <v>202101</v>
      </c>
      <c r="G8220" s="112" t="s">
        <v>1091</v>
      </c>
      <c r="H8220" s="112" t="s">
        <v>1015</v>
      </c>
      <c r="I8220" s="112" t="s">
        <v>1605</v>
      </c>
      <c r="J8220" s="112" t="s">
        <v>5554</v>
      </c>
      <c r="K8220" s="112" t="s">
        <v>5580</v>
      </c>
      <c r="L8220" s="116">
        <v>25000</v>
      </c>
    </row>
    <row r="8221" spans="1:12" hidden="1" outlineLevel="1" collapsed="1" x14ac:dyDescent="0.35">
      <c r="A8221" s="112" t="s">
        <v>5553</v>
      </c>
      <c r="B8221" s="112" t="s">
        <v>924</v>
      </c>
      <c r="C8221" s="112" t="s">
        <v>1095</v>
      </c>
      <c r="D8221" s="113">
        <v>10348451</v>
      </c>
      <c r="E8221" s="115">
        <v>43949</v>
      </c>
      <c r="F8221" s="114">
        <v>202101</v>
      </c>
      <c r="G8221" s="112" t="s">
        <v>1091</v>
      </c>
      <c r="H8221" s="112" t="s">
        <v>1015</v>
      </c>
      <c r="I8221" s="112" t="s">
        <v>1096</v>
      </c>
      <c r="J8221" s="112" t="s">
        <v>5558</v>
      </c>
      <c r="K8221" s="112" t="s">
        <v>1098</v>
      </c>
      <c r="L8221" s="116">
        <v>594.51</v>
      </c>
    </row>
    <row r="8222" spans="1:12" hidden="1" outlineLevel="1" collapsed="1" x14ac:dyDescent="0.35">
      <c r="A8222" s="112" t="s">
        <v>5553</v>
      </c>
      <c r="B8222" s="112" t="s">
        <v>924</v>
      </c>
      <c r="C8222" s="112" t="s">
        <v>1095</v>
      </c>
      <c r="D8222" s="113">
        <v>10348451</v>
      </c>
      <c r="E8222" s="115">
        <v>43949</v>
      </c>
      <c r="F8222" s="114">
        <v>202101</v>
      </c>
      <c r="G8222" s="112" t="s">
        <v>1091</v>
      </c>
      <c r="H8222" s="112" t="s">
        <v>1015</v>
      </c>
      <c r="I8222" s="112" t="s">
        <v>1096</v>
      </c>
      <c r="J8222" s="112" t="s">
        <v>5558</v>
      </c>
      <c r="K8222" s="112" t="s">
        <v>1098</v>
      </c>
      <c r="L8222" s="116">
        <v>1005.55</v>
      </c>
    </row>
    <row r="8223" spans="1:12" hidden="1" outlineLevel="1" collapsed="1" x14ac:dyDescent="0.35">
      <c r="A8223" s="112" t="s">
        <v>5553</v>
      </c>
      <c r="B8223" s="112" t="s">
        <v>924</v>
      </c>
      <c r="C8223" s="112" t="s">
        <v>1095</v>
      </c>
      <c r="D8223" s="113">
        <v>10348451</v>
      </c>
      <c r="E8223" s="115">
        <v>43949</v>
      </c>
      <c r="F8223" s="114">
        <v>202101</v>
      </c>
      <c r="G8223" s="112" t="s">
        <v>1091</v>
      </c>
      <c r="H8223" s="112" t="s">
        <v>1015</v>
      </c>
      <c r="I8223" s="112" t="s">
        <v>1096</v>
      </c>
      <c r="J8223" s="112" t="s">
        <v>5558</v>
      </c>
      <c r="K8223" s="112" t="s">
        <v>1098</v>
      </c>
      <c r="L8223" s="116">
        <v>423.19</v>
      </c>
    </row>
    <row r="8224" spans="1:12" hidden="1" outlineLevel="1" collapsed="1" x14ac:dyDescent="0.35">
      <c r="A8224" s="112" t="s">
        <v>5553</v>
      </c>
      <c r="B8224" s="112" t="s">
        <v>927</v>
      </c>
      <c r="C8224" s="112" t="s">
        <v>1219</v>
      </c>
      <c r="D8224" s="113">
        <v>46306976</v>
      </c>
      <c r="E8224" s="115">
        <v>43930</v>
      </c>
      <c r="F8224" s="114">
        <v>202101</v>
      </c>
      <c r="G8224" s="112" t="s">
        <v>1091</v>
      </c>
      <c r="H8224" s="112" t="s">
        <v>1015</v>
      </c>
      <c r="I8224" s="112" t="s">
        <v>1605</v>
      </c>
      <c r="J8224" s="112" t="s">
        <v>5554</v>
      </c>
      <c r="K8224" s="112" t="s">
        <v>5580</v>
      </c>
      <c r="L8224" s="116">
        <v>25000</v>
      </c>
    </row>
    <row r="8225" spans="1:12" hidden="1" outlineLevel="1" collapsed="1" x14ac:dyDescent="0.35">
      <c r="A8225" s="112" t="s">
        <v>5553</v>
      </c>
      <c r="B8225" s="112" t="s">
        <v>927</v>
      </c>
      <c r="C8225" s="112" t="s">
        <v>1219</v>
      </c>
      <c r="D8225" s="113">
        <v>46306977</v>
      </c>
      <c r="E8225" s="115">
        <v>43930</v>
      </c>
      <c r="F8225" s="114">
        <v>202101</v>
      </c>
      <c r="G8225" s="112" t="s">
        <v>1091</v>
      </c>
      <c r="H8225" s="112" t="s">
        <v>1015</v>
      </c>
      <c r="I8225" s="112" t="s">
        <v>1605</v>
      </c>
      <c r="J8225" s="112" t="s">
        <v>5554</v>
      </c>
      <c r="K8225" s="112" t="s">
        <v>5580</v>
      </c>
      <c r="L8225" s="116">
        <v>25000</v>
      </c>
    </row>
    <row r="8226" spans="1:12" hidden="1" outlineLevel="1" collapsed="1" x14ac:dyDescent="0.35">
      <c r="A8226" s="112" t="s">
        <v>5553</v>
      </c>
      <c r="B8226" s="112" t="s">
        <v>924</v>
      </c>
      <c r="C8226" s="112" t="s">
        <v>1095</v>
      </c>
      <c r="D8226" s="113">
        <v>10348451</v>
      </c>
      <c r="E8226" s="115">
        <v>43949</v>
      </c>
      <c r="F8226" s="114">
        <v>202101</v>
      </c>
      <c r="G8226" s="112" t="s">
        <v>1091</v>
      </c>
      <c r="H8226" s="112" t="s">
        <v>1015</v>
      </c>
      <c r="I8226" s="112" t="s">
        <v>1096</v>
      </c>
      <c r="J8226" s="112" t="s">
        <v>5558</v>
      </c>
      <c r="K8226" s="112" t="s">
        <v>1098</v>
      </c>
      <c r="L8226" s="116">
        <v>398.13</v>
      </c>
    </row>
    <row r="8227" spans="1:12" hidden="1" outlineLevel="1" collapsed="1" x14ac:dyDescent="0.35">
      <c r="A8227" s="112" t="s">
        <v>5553</v>
      </c>
      <c r="B8227" s="112" t="s">
        <v>927</v>
      </c>
      <c r="C8227" s="112" t="s">
        <v>1219</v>
      </c>
      <c r="D8227" s="113">
        <v>46306978</v>
      </c>
      <c r="E8227" s="115">
        <v>43930</v>
      </c>
      <c r="F8227" s="114">
        <v>202101</v>
      </c>
      <c r="G8227" s="112" t="s">
        <v>1091</v>
      </c>
      <c r="H8227" s="112" t="s">
        <v>1015</v>
      </c>
      <c r="I8227" s="112" t="s">
        <v>1605</v>
      </c>
      <c r="J8227" s="112" t="s">
        <v>5554</v>
      </c>
      <c r="K8227" s="112" t="s">
        <v>5580</v>
      </c>
      <c r="L8227" s="116">
        <v>10000</v>
      </c>
    </row>
    <row r="8228" spans="1:12" hidden="1" outlineLevel="1" collapsed="1" x14ac:dyDescent="0.35">
      <c r="A8228" s="112" t="s">
        <v>5553</v>
      </c>
      <c r="B8228" s="112" t="s">
        <v>924</v>
      </c>
      <c r="C8228" s="112" t="s">
        <v>1095</v>
      </c>
      <c r="D8228" s="113">
        <v>10348451</v>
      </c>
      <c r="E8228" s="115">
        <v>43949</v>
      </c>
      <c r="F8228" s="114">
        <v>202101</v>
      </c>
      <c r="G8228" s="112" t="s">
        <v>1091</v>
      </c>
      <c r="H8228" s="112" t="s">
        <v>1015</v>
      </c>
      <c r="I8228" s="112" t="s">
        <v>1096</v>
      </c>
      <c r="J8228" s="112" t="s">
        <v>5558</v>
      </c>
      <c r="K8228" s="112" t="s">
        <v>1098</v>
      </c>
      <c r="L8228" s="116">
        <v>378.4</v>
      </c>
    </row>
    <row r="8229" spans="1:12" hidden="1" outlineLevel="1" collapsed="1" x14ac:dyDescent="0.35">
      <c r="A8229" s="112" t="s">
        <v>5553</v>
      </c>
      <c r="B8229" s="112" t="s">
        <v>924</v>
      </c>
      <c r="C8229" s="112" t="s">
        <v>1095</v>
      </c>
      <c r="D8229" s="113">
        <v>10348451</v>
      </c>
      <c r="E8229" s="115">
        <v>43949</v>
      </c>
      <c r="F8229" s="114">
        <v>202101</v>
      </c>
      <c r="G8229" s="112" t="s">
        <v>1091</v>
      </c>
      <c r="H8229" s="112" t="s">
        <v>1015</v>
      </c>
      <c r="I8229" s="112" t="s">
        <v>1096</v>
      </c>
      <c r="J8229" s="112" t="s">
        <v>5558</v>
      </c>
      <c r="K8229" s="112" t="s">
        <v>1098</v>
      </c>
      <c r="L8229" s="116">
        <v>262.10000000000002</v>
      </c>
    </row>
    <row r="8230" spans="1:12" hidden="1" outlineLevel="1" collapsed="1" x14ac:dyDescent="0.35">
      <c r="A8230" s="112" t="s">
        <v>5553</v>
      </c>
      <c r="B8230" s="112" t="s">
        <v>927</v>
      </c>
      <c r="C8230" s="112" t="s">
        <v>1219</v>
      </c>
      <c r="D8230" s="113">
        <v>46306979</v>
      </c>
      <c r="E8230" s="115">
        <v>43930</v>
      </c>
      <c r="F8230" s="114">
        <v>202101</v>
      </c>
      <c r="G8230" s="112" t="s">
        <v>1091</v>
      </c>
      <c r="H8230" s="112" t="s">
        <v>1015</v>
      </c>
      <c r="I8230" s="112" t="s">
        <v>1605</v>
      </c>
      <c r="J8230" s="112" t="s">
        <v>5554</v>
      </c>
      <c r="K8230" s="112" t="s">
        <v>5580</v>
      </c>
      <c r="L8230" s="116">
        <v>25000</v>
      </c>
    </row>
    <row r="8231" spans="1:12" hidden="1" outlineLevel="1" collapsed="1" x14ac:dyDescent="0.35">
      <c r="A8231" s="112" t="s">
        <v>5553</v>
      </c>
      <c r="B8231" s="112" t="s">
        <v>924</v>
      </c>
      <c r="C8231" s="112" t="s">
        <v>1095</v>
      </c>
      <c r="D8231" s="113">
        <v>10348451</v>
      </c>
      <c r="E8231" s="115">
        <v>43949</v>
      </c>
      <c r="F8231" s="114">
        <v>202101</v>
      </c>
      <c r="G8231" s="112" t="s">
        <v>1091</v>
      </c>
      <c r="H8231" s="112" t="s">
        <v>1015</v>
      </c>
      <c r="I8231" s="112" t="s">
        <v>1096</v>
      </c>
      <c r="J8231" s="112" t="s">
        <v>5558</v>
      </c>
      <c r="K8231" s="112" t="s">
        <v>1098</v>
      </c>
      <c r="L8231" s="116">
        <v>273.39</v>
      </c>
    </row>
    <row r="8232" spans="1:12" hidden="1" outlineLevel="1" collapsed="1" x14ac:dyDescent="0.35">
      <c r="A8232" s="112" t="s">
        <v>5553</v>
      </c>
      <c r="B8232" s="112" t="s">
        <v>927</v>
      </c>
      <c r="C8232" s="112" t="s">
        <v>1219</v>
      </c>
      <c r="D8232" s="113">
        <v>46306994</v>
      </c>
      <c r="E8232" s="115">
        <v>43930</v>
      </c>
      <c r="F8232" s="114">
        <v>202101</v>
      </c>
      <c r="G8232" s="112" t="s">
        <v>1091</v>
      </c>
      <c r="H8232" s="112" t="s">
        <v>1015</v>
      </c>
      <c r="I8232" s="112" t="s">
        <v>1605</v>
      </c>
      <c r="J8232" s="112" t="s">
        <v>5554</v>
      </c>
      <c r="K8232" s="112" t="s">
        <v>5580</v>
      </c>
      <c r="L8232" s="116">
        <v>25000</v>
      </c>
    </row>
    <row r="8233" spans="1:12" hidden="1" outlineLevel="1" collapsed="1" x14ac:dyDescent="0.35">
      <c r="A8233" s="112" t="s">
        <v>5553</v>
      </c>
      <c r="B8233" s="112" t="s">
        <v>926</v>
      </c>
      <c r="C8233" s="112" t="s">
        <v>1095</v>
      </c>
      <c r="D8233" s="113">
        <v>10348451</v>
      </c>
      <c r="E8233" s="115">
        <v>43949</v>
      </c>
      <c r="F8233" s="114">
        <v>202101</v>
      </c>
      <c r="G8233" s="112" t="s">
        <v>1091</v>
      </c>
      <c r="H8233" s="112" t="s">
        <v>1015</v>
      </c>
      <c r="I8233" s="112" t="s">
        <v>1096</v>
      </c>
      <c r="J8233" s="112" t="s">
        <v>5591</v>
      </c>
      <c r="K8233" s="112" t="s">
        <v>1098</v>
      </c>
      <c r="L8233" s="116">
        <v>222.42</v>
      </c>
    </row>
    <row r="8234" spans="1:12" hidden="1" outlineLevel="1" collapsed="1" x14ac:dyDescent="0.35">
      <c r="A8234" s="112" t="s">
        <v>5553</v>
      </c>
      <c r="B8234" s="112" t="s">
        <v>927</v>
      </c>
      <c r="C8234" s="112" t="s">
        <v>695</v>
      </c>
      <c r="D8234" s="113">
        <v>10348159</v>
      </c>
      <c r="E8234" s="115">
        <v>43930</v>
      </c>
      <c r="F8234" s="114">
        <v>202101</v>
      </c>
      <c r="G8234" s="112" t="s">
        <v>1091</v>
      </c>
      <c r="H8234" s="112" t="s">
        <v>1015</v>
      </c>
      <c r="I8234" s="112" t="s">
        <v>761</v>
      </c>
      <c r="J8234" s="112" t="s">
        <v>5557</v>
      </c>
      <c r="K8234" s="112" t="s">
        <v>5636</v>
      </c>
      <c r="L8234" s="116">
        <v>-3407.5</v>
      </c>
    </row>
    <row r="8235" spans="1:12" hidden="1" outlineLevel="1" collapsed="1" x14ac:dyDescent="0.35">
      <c r="A8235" s="112" t="s">
        <v>5553</v>
      </c>
      <c r="B8235" s="112" t="s">
        <v>927</v>
      </c>
      <c r="C8235" s="112" t="s">
        <v>1095</v>
      </c>
      <c r="D8235" s="113">
        <v>10348451</v>
      </c>
      <c r="E8235" s="115">
        <v>43949</v>
      </c>
      <c r="F8235" s="114">
        <v>202101</v>
      </c>
      <c r="G8235" s="112" t="s">
        <v>1091</v>
      </c>
      <c r="H8235" s="112" t="s">
        <v>1015</v>
      </c>
      <c r="I8235" s="112" t="s">
        <v>1096</v>
      </c>
      <c r="J8235" s="112" t="s">
        <v>5557</v>
      </c>
      <c r="K8235" s="112" t="s">
        <v>1098</v>
      </c>
      <c r="L8235" s="116">
        <v>161.22999999999999</v>
      </c>
    </row>
    <row r="8236" spans="1:12" hidden="1" outlineLevel="1" collapsed="1" x14ac:dyDescent="0.35">
      <c r="A8236" s="112" t="s">
        <v>5553</v>
      </c>
      <c r="B8236" s="112" t="s">
        <v>927</v>
      </c>
      <c r="C8236" s="112" t="s">
        <v>1095</v>
      </c>
      <c r="D8236" s="113">
        <v>10348451</v>
      </c>
      <c r="E8236" s="115">
        <v>43949</v>
      </c>
      <c r="F8236" s="114">
        <v>202101</v>
      </c>
      <c r="G8236" s="112" t="s">
        <v>1091</v>
      </c>
      <c r="H8236" s="112" t="s">
        <v>1015</v>
      </c>
      <c r="I8236" s="112" t="s">
        <v>1101</v>
      </c>
      <c r="J8236" s="112" t="s">
        <v>5557</v>
      </c>
      <c r="K8236" s="112" t="s">
        <v>1098</v>
      </c>
      <c r="L8236" s="116">
        <v>307.86</v>
      </c>
    </row>
    <row r="8237" spans="1:12" hidden="1" outlineLevel="1" collapsed="1" x14ac:dyDescent="0.35">
      <c r="A8237" s="112" t="s">
        <v>5553</v>
      </c>
      <c r="B8237" s="112" t="s">
        <v>924</v>
      </c>
      <c r="C8237" s="112" t="s">
        <v>1095</v>
      </c>
      <c r="D8237" s="113">
        <v>10348451</v>
      </c>
      <c r="E8237" s="115">
        <v>43949</v>
      </c>
      <c r="F8237" s="114">
        <v>202101</v>
      </c>
      <c r="G8237" s="112" t="s">
        <v>1091</v>
      </c>
      <c r="H8237" s="112" t="s">
        <v>1015</v>
      </c>
      <c r="I8237" s="112" t="s">
        <v>1101</v>
      </c>
      <c r="J8237" s="112" t="s">
        <v>5558</v>
      </c>
      <c r="K8237" s="112" t="s">
        <v>1098</v>
      </c>
      <c r="L8237" s="116">
        <v>1299.01</v>
      </c>
    </row>
    <row r="8238" spans="1:12" hidden="1" outlineLevel="1" collapsed="1" x14ac:dyDescent="0.35">
      <c r="A8238" s="112" t="s">
        <v>5553</v>
      </c>
      <c r="B8238" s="112" t="s">
        <v>924</v>
      </c>
      <c r="C8238" s="112" t="s">
        <v>1099</v>
      </c>
      <c r="D8238" s="113">
        <v>1069404</v>
      </c>
      <c r="E8238" s="115">
        <v>43923</v>
      </c>
      <c r="F8238" s="114">
        <v>202101</v>
      </c>
      <c r="G8238" s="112" t="s">
        <v>1091</v>
      </c>
      <c r="H8238" s="112" t="s">
        <v>1015</v>
      </c>
      <c r="I8238" s="112" t="s">
        <v>5610</v>
      </c>
      <c r="J8238" s="112" t="s">
        <v>5558</v>
      </c>
      <c r="K8238" s="112" t="s">
        <v>5637</v>
      </c>
      <c r="L8238" s="116">
        <v>2160.98</v>
      </c>
    </row>
    <row r="8239" spans="1:12" hidden="1" outlineLevel="1" collapsed="1" x14ac:dyDescent="0.35">
      <c r="A8239" s="112" t="s">
        <v>5553</v>
      </c>
      <c r="B8239" s="112" t="s">
        <v>927</v>
      </c>
      <c r="C8239" s="112" t="s">
        <v>1095</v>
      </c>
      <c r="D8239" s="113">
        <v>10348451</v>
      </c>
      <c r="E8239" s="115">
        <v>43949</v>
      </c>
      <c r="F8239" s="114">
        <v>202101</v>
      </c>
      <c r="G8239" s="112" t="s">
        <v>1091</v>
      </c>
      <c r="H8239" s="112" t="s">
        <v>1015</v>
      </c>
      <c r="I8239" s="112" t="s">
        <v>1096</v>
      </c>
      <c r="J8239" s="112" t="s">
        <v>5554</v>
      </c>
      <c r="K8239" s="112" t="s">
        <v>1098</v>
      </c>
      <c r="L8239" s="116">
        <v>210.79</v>
      </c>
    </row>
    <row r="8240" spans="1:12" hidden="1" outlineLevel="1" collapsed="1" x14ac:dyDescent="0.35">
      <c r="A8240" s="112" t="s">
        <v>5553</v>
      </c>
      <c r="B8240" s="112" t="s">
        <v>924</v>
      </c>
      <c r="C8240" s="112" t="s">
        <v>1095</v>
      </c>
      <c r="D8240" s="113">
        <v>10348451</v>
      </c>
      <c r="E8240" s="115">
        <v>43949</v>
      </c>
      <c r="F8240" s="114">
        <v>202101</v>
      </c>
      <c r="G8240" s="112" t="s">
        <v>1091</v>
      </c>
      <c r="H8240" s="112" t="s">
        <v>1015</v>
      </c>
      <c r="I8240" s="112" t="s">
        <v>1101</v>
      </c>
      <c r="J8240" s="112" t="s">
        <v>5558</v>
      </c>
      <c r="K8240" s="112" t="s">
        <v>1098</v>
      </c>
      <c r="L8240" s="116">
        <v>426.26</v>
      </c>
    </row>
    <row r="8241" spans="1:12" hidden="1" outlineLevel="1" collapsed="1" x14ac:dyDescent="0.35">
      <c r="A8241" s="112" t="s">
        <v>5553</v>
      </c>
      <c r="B8241" s="112" t="s">
        <v>925</v>
      </c>
      <c r="C8241" s="112" t="s">
        <v>1095</v>
      </c>
      <c r="D8241" s="113">
        <v>10348451</v>
      </c>
      <c r="E8241" s="115">
        <v>43949</v>
      </c>
      <c r="F8241" s="114">
        <v>202101</v>
      </c>
      <c r="G8241" s="112" t="s">
        <v>1091</v>
      </c>
      <c r="H8241" s="112" t="s">
        <v>1015</v>
      </c>
      <c r="I8241" s="112" t="s">
        <v>1101</v>
      </c>
      <c r="J8241" s="112" t="s">
        <v>5559</v>
      </c>
      <c r="K8241" s="112" t="s">
        <v>1098</v>
      </c>
      <c r="L8241" s="116">
        <v>368.15</v>
      </c>
    </row>
    <row r="8242" spans="1:12" hidden="1" outlineLevel="1" collapsed="1" x14ac:dyDescent="0.35">
      <c r="A8242" s="112" t="s">
        <v>5553</v>
      </c>
      <c r="B8242" s="112" t="s">
        <v>927</v>
      </c>
      <c r="C8242" s="112" t="s">
        <v>695</v>
      </c>
      <c r="D8242" s="113">
        <v>10348159</v>
      </c>
      <c r="E8242" s="115">
        <v>43930</v>
      </c>
      <c r="F8242" s="114">
        <v>202101</v>
      </c>
      <c r="G8242" s="112" t="s">
        <v>1091</v>
      </c>
      <c r="H8242" s="112" t="s">
        <v>1015</v>
      </c>
      <c r="I8242" s="112" t="s">
        <v>761</v>
      </c>
      <c r="J8242" s="112" t="s">
        <v>5554</v>
      </c>
      <c r="K8242" s="112" t="s">
        <v>5638</v>
      </c>
      <c r="L8242" s="116">
        <v>-4000</v>
      </c>
    </row>
    <row r="8243" spans="1:12" hidden="1" outlineLevel="1" collapsed="1" x14ac:dyDescent="0.35">
      <c r="A8243" s="112" t="s">
        <v>5553</v>
      </c>
      <c r="B8243" s="112" t="s">
        <v>924</v>
      </c>
      <c r="C8243" s="112" t="s">
        <v>695</v>
      </c>
      <c r="D8243" s="113">
        <v>10348159</v>
      </c>
      <c r="E8243" s="115">
        <v>43930</v>
      </c>
      <c r="F8243" s="114">
        <v>202101</v>
      </c>
      <c r="G8243" s="112" t="s">
        <v>1091</v>
      </c>
      <c r="H8243" s="112" t="s">
        <v>1015</v>
      </c>
      <c r="I8243" s="112" t="s">
        <v>5610</v>
      </c>
      <c r="J8243" s="112" t="s">
        <v>5558</v>
      </c>
      <c r="K8243" s="112" t="s">
        <v>5639</v>
      </c>
      <c r="L8243" s="116">
        <v>2160.98</v>
      </c>
    </row>
    <row r="8244" spans="1:12" hidden="1" outlineLevel="1" collapsed="1" x14ac:dyDescent="0.35">
      <c r="A8244" s="112" t="s">
        <v>5553</v>
      </c>
      <c r="B8244" s="112" t="s">
        <v>924</v>
      </c>
      <c r="C8244" s="112" t="s">
        <v>695</v>
      </c>
      <c r="D8244" s="113">
        <v>10348159</v>
      </c>
      <c r="E8244" s="115">
        <v>43930</v>
      </c>
      <c r="F8244" s="114">
        <v>202101</v>
      </c>
      <c r="G8244" s="112" t="s">
        <v>1091</v>
      </c>
      <c r="H8244" s="112" t="s">
        <v>1015</v>
      </c>
      <c r="I8244" s="112" t="s">
        <v>1102</v>
      </c>
      <c r="J8244" s="112" t="s">
        <v>5558</v>
      </c>
      <c r="K8244" s="112" t="s">
        <v>5640</v>
      </c>
      <c r="L8244" s="116">
        <v>2800</v>
      </c>
    </row>
    <row r="8245" spans="1:12" hidden="1" outlineLevel="1" collapsed="1" x14ac:dyDescent="0.35">
      <c r="A8245" s="112" t="s">
        <v>5553</v>
      </c>
      <c r="B8245" s="112" t="s">
        <v>924</v>
      </c>
      <c r="C8245" s="112" t="s">
        <v>695</v>
      </c>
      <c r="D8245" s="113">
        <v>10348159</v>
      </c>
      <c r="E8245" s="115">
        <v>43930</v>
      </c>
      <c r="F8245" s="114">
        <v>202101</v>
      </c>
      <c r="G8245" s="112" t="s">
        <v>1091</v>
      </c>
      <c r="H8245" s="112" t="s">
        <v>1015</v>
      </c>
      <c r="I8245" s="112" t="s">
        <v>1102</v>
      </c>
      <c r="J8245" s="112" t="s">
        <v>5558</v>
      </c>
      <c r="K8245" s="112" t="s">
        <v>5641</v>
      </c>
      <c r="L8245" s="116">
        <v>1230</v>
      </c>
    </row>
    <row r="8246" spans="1:12" hidden="1" outlineLevel="1" collapsed="1" x14ac:dyDescent="0.35">
      <c r="A8246" s="112" t="s">
        <v>5553</v>
      </c>
      <c r="B8246" s="112" t="s">
        <v>924</v>
      </c>
      <c r="C8246" s="112" t="s">
        <v>695</v>
      </c>
      <c r="D8246" s="113">
        <v>10348159</v>
      </c>
      <c r="E8246" s="115">
        <v>43930</v>
      </c>
      <c r="F8246" s="114">
        <v>202101</v>
      </c>
      <c r="G8246" s="112" t="s">
        <v>1091</v>
      </c>
      <c r="H8246" s="112" t="s">
        <v>1015</v>
      </c>
      <c r="I8246" s="112" t="s">
        <v>1102</v>
      </c>
      <c r="J8246" s="112" t="s">
        <v>5558</v>
      </c>
      <c r="K8246" s="112" t="s">
        <v>5642</v>
      </c>
      <c r="L8246" s="116">
        <v>2975</v>
      </c>
    </row>
    <row r="8247" spans="1:12" hidden="1" outlineLevel="1" collapsed="1" x14ac:dyDescent="0.35">
      <c r="A8247" s="112" t="s">
        <v>5553</v>
      </c>
      <c r="B8247" s="112" t="s">
        <v>924</v>
      </c>
      <c r="C8247" s="112" t="s">
        <v>695</v>
      </c>
      <c r="D8247" s="113">
        <v>10348159</v>
      </c>
      <c r="E8247" s="115">
        <v>43930</v>
      </c>
      <c r="F8247" s="114">
        <v>202101</v>
      </c>
      <c r="G8247" s="112" t="s">
        <v>1091</v>
      </c>
      <c r="H8247" s="112" t="s">
        <v>1015</v>
      </c>
      <c r="I8247" s="112" t="s">
        <v>1102</v>
      </c>
      <c r="J8247" s="112" t="s">
        <v>5558</v>
      </c>
      <c r="K8247" s="112" t="s">
        <v>5643</v>
      </c>
      <c r="L8247" s="116">
        <v>3700</v>
      </c>
    </row>
    <row r="8248" spans="1:12" hidden="1" outlineLevel="1" collapsed="1" x14ac:dyDescent="0.35">
      <c r="A8248" s="112" t="s">
        <v>5553</v>
      </c>
      <c r="B8248" s="112" t="s">
        <v>925</v>
      </c>
      <c r="C8248" s="112" t="s">
        <v>695</v>
      </c>
      <c r="D8248" s="113">
        <v>10348159</v>
      </c>
      <c r="E8248" s="115">
        <v>43930</v>
      </c>
      <c r="F8248" s="114">
        <v>202101</v>
      </c>
      <c r="G8248" s="112" t="s">
        <v>1091</v>
      </c>
      <c r="H8248" s="112" t="s">
        <v>1015</v>
      </c>
      <c r="I8248" s="112" t="s">
        <v>1102</v>
      </c>
      <c r="J8248" s="112" t="s">
        <v>5559</v>
      </c>
      <c r="K8248" s="112" t="s">
        <v>5644</v>
      </c>
      <c r="L8248" s="116">
        <v>1600</v>
      </c>
    </row>
    <row r="8249" spans="1:12" hidden="1" outlineLevel="1" collapsed="1" x14ac:dyDescent="0.35">
      <c r="A8249" s="112" t="s">
        <v>5553</v>
      </c>
      <c r="B8249" s="112" t="s">
        <v>927</v>
      </c>
      <c r="C8249" s="112" t="s">
        <v>695</v>
      </c>
      <c r="D8249" s="113">
        <v>10348159</v>
      </c>
      <c r="E8249" s="115">
        <v>43930</v>
      </c>
      <c r="F8249" s="114">
        <v>202101</v>
      </c>
      <c r="G8249" s="112" t="s">
        <v>1091</v>
      </c>
      <c r="H8249" s="112" t="s">
        <v>1015</v>
      </c>
      <c r="I8249" s="112" t="s">
        <v>1102</v>
      </c>
      <c r="J8249" s="112" t="s">
        <v>5557</v>
      </c>
      <c r="K8249" s="112" t="s">
        <v>5645</v>
      </c>
      <c r="L8249" s="116">
        <v>1470</v>
      </c>
    </row>
    <row r="8250" spans="1:12" hidden="1" outlineLevel="1" collapsed="1" x14ac:dyDescent="0.35">
      <c r="A8250" s="112" t="s">
        <v>5553</v>
      </c>
      <c r="B8250" s="112" t="s">
        <v>927</v>
      </c>
      <c r="C8250" s="112" t="s">
        <v>695</v>
      </c>
      <c r="D8250" s="113">
        <v>10348159</v>
      </c>
      <c r="E8250" s="115">
        <v>43930</v>
      </c>
      <c r="F8250" s="114">
        <v>202101</v>
      </c>
      <c r="G8250" s="112" t="s">
        <v>1091</v>
      </c>
      <c r="H8250" s="112" t="s">
        <v>1015</v>
      </c>
      <c r="I8250" s="112" t="s">
        <v>1102</v>
      </c>
      <c r="J8250" s="112" t="s">
        <v>5554</v>
      </c>
      <c r="K8250" s="112" t="s">
        <v>5645</v>
      </c>
      <c r="L8250" s="116">
        <v>1470</v>
      </c>
    </row>
    <row r="8251" spans="1:12" hidden="1" outlineLevel="1" collapsed="1" x14ac:dyDescent="0.35">
      <c r="A8251" s="112" t="s">
        <v>5553</v>
      </c>
      <c r="B8251" s="112" t="s">
        <v>926</v>
      </c>
      <c r="C8251" s="112" t="s">
        <v>695</v>
      </c>
      <c r="D8251" s="113">
        <v>10348159</v>
      </c>
      <c r="E8251" s="115">
        <v>43930</v>
      </c>
      <c r="F8251" s="114">
        <v>202101</v>
      </c>
      <c r="G8251" s="112" t="s">
        <v>1091</v>
      </c>
      <c r="H8251" s="112" t="s">
        <v>1015</v>
      </c>
      <c r="I8251" s="112" t="s">
        <v>767</v>
      </c>
      <c r="J8251" s="112" t="s">
        <v>5567</v>
      </c>
      <c r="K8251" s="112" t="s">
        <v>5646</v>
      </c>
      <c r="L8251" s="116">
        <v>7051</v>
      </c>
    </row>
    <row r="8252" spans="1:12" hidden="1" outlineLevel="1" collapsed="1" x14ac:dyDescent="0.35">
      <c r="A8252" s="112" t="s">
        <v>5553</v>
      </c>
      <c r="B8252" s="112" t="s">
        <v>927</v>
      </c>
      <c r="C8252" s="112" t="s">
        <v>695</v>
      </c>
      <c r="D8252" s="113">
        <v>10348159</v>
      </c>
      <c r="E8252" s="115">
        <v>43930</v>
      </c>
      <c r="F8252" s="114">
        <v>202101</v>
      </c>
      <c r="G8252" s="112" t="s">
        <v>1091</v>
      </c>
      <c r="H8252" s="112" t="s">
        <v>1015</v>
      </c>
      <c r="I8252" s="112" t="s">
        <v>1102</v>
      </c>
      <c r="J8252" s="112" t="s">
        <v>5557</v>
      </c>
      <c r="K8252" s="112" t="s">
        <v>5647</v>
      </c>
      <c r="L8252" s="116">
        <v>2500</v>
      </c>
    </row>
    <row r="8253" spans="1:12" hidden="1" outlineLevel="1" collapsed="1" x14ac:dyDescent="0.35">
      <c r="A8253" s="112" t="s">
        <v>5553</v>
      </c>
      <c r="B8253" s="112" t="s">
        <v>925</v>
      </c>
      <c r="C8253" s="112" t="s">
        <v>695</v>
      </c>
      <c r="D8253" s="113">
        <v>10348159</v>
      </c>
      <c r="E8253" s="115">
        <v>43930</v>
      </c>
      <c r="F8253" s="114">
        <v>202101</v>
      </c>
      <c r="G8253" s="112" t="s">
        <v>1091</v>
      </c>
      <c r="H8253" s="112" t="s">
        <v>1015</v>
      </c>
      <c r="I8253" s="112" t="s">
        <v>1102</v>
      </c>
      <c r="J8253" s="112" t="s">
        <v>5559</v>
      </c>
      <c r="K8253" s="112" t="s">
        <v>5648</v>
      </c>
      <c r="L8253" s="116">
        <v>1600</v>
      </c>
    </row>
    <row r="8254" spans="1:12" hidden="1" outlineLevel="1" collapsed="1" x14ac:dyDescent="0.35">
      <c r="A8254" s="112" t="s">
        <v>5553</v>
      </c>
      <c r="B8254" s="112" t="s">
        <v>924</v>
      </c>
      <c r="C8254" s="112" t="s">
        <v>695</v>
      </c>
      <c r="D8254" s="113">
        <v>10348159</v>
      </c>
      <c r="E8254" s="115">
        <v>43930</v>
      </c>
      <c r="F8254" s="114">
        <v>202101</v>
      </c>
      <c r="G8254" s="112" t="s">
        <v>1091</v>
      </c>
      <c r="H8254" s="112" t="s">
        <v>1015</v>
      </c>
      <c r="I8254" s="112" t="s">
        <v>1102</v>
      </c>
      <c r="J8254" s="112" t="s">
        <v>5558</v>
      </c>
      <c r="K8254" s="112" t="s">
        <v>5649</v>
      </c>
      <c r="L8254" s="116">
        <v>4530</v>
      </c>
    </row>
    <row r="8255" spans="1:12" hidden="1" outlineLevel="1" collapsed="1" x14ac:dyDescent="0.35">
      <c r="A8255" s="112" t="s">
        <v>5553</v>
      </c>
      <c r="B8255" s="112" t="s">
        <v>924</v>
      </c>
      <c r="C8255" s="112" t="s">
        <v>695</v>
      </c>
      <c r="D8255" s="113">
        <v>10348159</v>
      </c>
      <c r="E8255" s="115">
        <v>43930</v>
      </c>
      <c r="F8255" s="114">
        <v>202101</v>
      </c>
      <c r="G8255" s="112" t="s">
        <v>1091</v>
      </c>
      <c r="H8255" s="112" t="s">
        <v>1015</v>
      </c>
      <c r="I8255" s="112" t="s">
        <v>1102</v>
      </c>
      <c r="J8255" s="112" t="s">
        <v>5558</v>
      </c>
      <c r="K8255" s="112" t="s">
        <v>5650</v>
      </c>
      <c r="L8255" s="116">
        <v>4340</v>
      </c>
    </row>
    <row r="8256" spans="1:12" hidden="1" outlineLevel="1" collapsed="1" x14ac:dyDescent="0.35">
      <c r="A8256" s="112" t="s">
        <v>5553</v>
      </c>
      <c r="B8256" s="112" t="s">
        <v>927</v>
      </c>
      <c r="C8256" s="112" t="s">
        <v>1095</v>
      </c>
      <c r="D8256" s="113">
        <v>10348451</v>
      </c>
      <c r="E8256" s="115">
        <v>43949</v>
      </c>
      <c r="F8256" s="114">
        <v>202101</v>
      </c>
      <c r="G8256" s="112" t="s">
        <v>1091</v>
      </c>
      <c r="H8256" s="112" t="s">
        <v>1015</v>
      </c>
      <c r="I8256" s="112" t="s">
        <v>1101</v>
      </c>
      <c r="J8256" s="112" t="s">
        <v>5557</v>
      </c>
      <c r="K8256" s="112" t="s">
        <v>1098</v>
      </c>
      <c r="L8256" s="116">
        <v>230.89</v>
      </c>
    </row>
    <row r="8257" spans="1:12" hidden="1" outlineLevel="1" collapsed="1" x14ac:dyDescent="0.35">
      <c r="A8257" s="112" t="s">
        <v>5553</v>
      </c>
      <c r="B8257" s="112" t="s">
        <v>927</v>
      </c>
      <c r="C8257" s="112" t="s">
        <v>1095</v>
      </c>
      <c r="D8257" s="113">
        <v>10348451</v>
      </c>
      <c r="E8257" s="115">
        <v>43949</v>
      </c>
      <c r="F8257" s="114">
        <v>202101</v>
      </c>
      <c r="G8257" s="112" t="s">
        <v>1091</v>
      </c>
      <c r="H8257" s="112" t="s">
        <v>1015</v>
      </c>
      <c r="I8257" s="112" t="s">
        <v>1096</v>
      </c>
      <c r="J8257" s="112" t="s">
        <v>5557</v>
      </c>
      <c r="K8257" s="112" t="s">
        <v>1098</v>
      </c>
      <c r="L8257" s="116">
        <v>95.67</v>
      </c>
    </row>
    <row r="8258" spans="1:12" hidden="1" outlineLevel="1" collapsed="1" x14ac:dyDescent="0.35">
      <c r="A8258" s="112" t="s">
        <v>5553</v>
      </c>
      <c r="B8258" s="112" t="s">
        <v>924</v>
      </c>
      <c r="C8258" s="112" t="s">
        <v>695</v>
      </c>
      <c r="D8258" s="113">
        <v>10348159</v>
      </c>
      <c r="E8258" s="115">
        <v>43930</v>
      </c>
      <c r="F8258" s="114">
        <v>202101</v>
      </c>
      <c r="G8258" s="112" t="s">
        <v>1091</v>
      </c>
      <c r="H8258" s="112" t="s">
        <v>1015</v>
      </c>
      <c r="I8258" s="112" t="s">
        <v>5610</v>
      </c>
      <c r="J8258" s="112" t="s">
        <v>5558</v>
      </c>
      <c r="K8258" s="112" t="s">
        <v>5639</v>
      </c>
      <c r="L8258" s="116">
        <v>2160.98</v>
      </c>
    </row>
    <row r="8259" spans="1:12" hidden="1" outlineLevel="1" collapsed="1" x14ac:dyDescent="0.35">
      <c r="A8259" s="112" t="s">
        <v>5553</v>
      </c>
      <c r="B8259" s="112" t="s">
        <v>927</v>
      </c>
      <c r="C8259" s="112" t="s">
        <v>1095</v>
      </c>
      <c r="D8259" s="113">
        <v>10348451</v>
      </c>
      <c r="E8259" s="115">
        <v>43949</v>
      </c>
      <c r="F8259" s="114">
        <v>202101</v>
      </c>
      <c r="G8259" s="112" t="s">
        <v>1091</v>
      </c>
      <c r="H8259" s="112" t="s">
        <v>1015</v>
      </c>
      <c r="I8259" s="112" t="s">
        <v>1096</v>
      </c>
      <c r="J8259" s="112" t="s">
        <v>5554</v>
      </c>
      <c r="K8259" s="112" t="s">
        <v>1098</v>
      </c>
      <c r="L8259" s="116">
        <v>210.79</v>
      </c>
    </row>
    <row r="8260" spans="1:12" hidden="1" outlineLevel="1" collapsed="1" x14ac:dyDescent="0.35">
      <c r="A8260" s="112" t="s">
        <v>5553</v>
      </c>
      <c r="B8260" s="112" t="s">
        <v>927</v>
      </c>
      <c r="C8260" s="112" t="s">
        <v>1095</v>
      </c>
      <c r="D8260" s="113">
        <v>10348451</v>
      </c>
      <c r="E8260" s="115">
        <v>43949</v>
      </c>
      <c r="F8260" s="114">
        <v>202101</v>
      </c>
      <c r="G8260" s="112" t="s">
        <v>1091</v>
      </c>
      <c r="H8260" s="112" t="s">
        <v>1015</v>
      </c>
      <c r="I8260" s="112" t="s">
        <v>1101</v>
      </c>
      <c r="J8260" s="112" t="s">
        <v>5554</v>
      </c>
      <c r="K8260" s="112" t="s">
        <v>1098</v>
      </c>
      <c r="L8260" s="116">
        <v>366.04</v>
      </c>
    </row>
    <row r="8261" spans="1:12" hidden="1" outlineLevel="1" collapsed="1" x14ac:dyDescent="0.35">
      <c r="A8261" s="112" t="s">
        <v>5553</v>
      </c>
      <c r="B8261" s="112" t="s">
        <v>927</v>
      </c>
      <c r="C8261" s="112" t="s">
        <v>1095</v>
      </c>
      <c r="D8261" s="113">
        <v>10348451</v>
      </c>
      <c r="E8261" s="115">
        <v>43949</v>
      </c>
      <c r="F8261" s="114">
        <v>202101</v>
      </c>
      <c r="G8261" s="112" t="s">
        <v>1091</v>
      </c>
      <c r="H8261" s="112" t="s">
        <v>1015</v>
      </c>
      <c r="I8261" s="112" t="s">
        <v>1096</v>
      </c>
      <c r="J8261" s="112" t="s">
        <v>5557</v>
      </c>
      <c r="K8261" s="112" t="s">
        <v>1098</v>
      </c>
      <c r="L8261" s="116">
        <v>210.79</v>
      </c>
    </row>
    <row r="8262" spans="1:12" hidden="1" outlineLevel="1" collapsed="1" x14ac:dyDescent="0.35">
      <c r="A8262" s="112" t="s">
        <v>5553</v>
      </c>
      <c r="B8262" s="112" t="s">
        <v>925</v>
      </c>
      <c r="C8262" s="112" t="s">
        <v>695</v>
      </c>
      <c r="D8262" s="113">
        <v>10348209</v>
      </c>
      <c r="E8262" s="115">
        <v>43935</v>
      </c>
      <c r="F8262" s="114">
        <v>202101</v>
      </c>
      <c r="G8262" s="112" t="s">
        <v>1091</v>
      </c>
      <c r="H8262" s="112" t="s">
        <v>1016</v>
      </c>
      <c r="I8262" s="112" t="s">
        <v>819</v>
      </c>
      <c r="J8262" s="112" t="s">
        <v>5559</v>
      </c>
      <c r="K8262" s="112" t="s">
        <v>5651</v>
      </c>
      <c r="L8262" s="116">
        <v>-48356.29</v>
      </c>
    </row>
    <row r="8263" spans="1:12" hidden="1" outlineLevel="1" collapsed="1" x14ac:dyDescent="0.35">
      <c r="A8263" s="112" t="s">
        <v>5553</v>
      </c>
      <c r="B8263" s="112" t="s">
        <v>927</v>
      </c>
      <c r="C8263" s="112" t="s">
        <v>1095</v>
      </c>
      <c r="D8263" s="113">
        <v>10348451</v>
      </c>
      <c r="E8263" s="115">
        <v>43949</v>
      </c>
      <c r="F8263" s="114">
        <v>202101</v>
      </c>
      <c r="G8263" s="112" t="s">
        <v>1091</v>
      </c>
      <c r="H8263" s="112" t="s">
        <v>1015</v>
      </c>
      <c r="I8263" s="112" t="s">
        <v>1096</v>
      </c>
      <c r="J8263" s="112" t="s">
        <v>5557</v>
      </c>
      <c r="K8263" s="112" t="s">
        <v>1098</v>
      </c>
      <c r="L8263" s="116">
        <v>310.49</v>
      </c>
    </row>
    <row r="8264" spans="1:12" hidden="1" outlineLevel="1" collapsed="1" x14ac:dyDescent="0.35">
      <c r="A8264" s="112" t="s">
        <v>5553</v>
      </c>
      <c r="B8264" s="112" t="s">
        <v>928</v>
      </c>
      <c r="C8264" s="112" t="s">
        <v>1095</v>
      </c>
      <c r="D8264" s="113">
        <v>10348451</v>
      </c>
      <c r="E8264" s="115">
        <v>43949</v>
      </c>
      <c r="F8264" s="114">
        <v>202101</v>
      </c>
      <c r="G8264" s="112" t="s">
        <v>1091</v>
      </c>
      <c r="H8264" s="112" t="s">
        <v>1015</v>
      </c>
      <c r="I8264" s="112" t="s">
        <v>1101</v>
      </c>
      <c r="J8264" s="112" t="s">
        <v>5565</v>
      </c>
      <c r="K8264" s="112" t="s">
        <v>1098</v>
      </c>
      <c r="L8264" s="116">
        <v>366.04</v>
      </c>
    </row>
    <row r="8265" spans="1:12" hidden="1" outlineLevel="1" collapsed="1" x14ac:dyDescent="0.35">
      <c r="A8265" s="112" t="s">
        <v>5553</v>
      </c>
      <c r="B8265" s="112" t="s">
        <v>924</v>
      </c>
      <c r="C8265" s="112" t="s">
        <v>1095</v>
      </c>
      <c r="D8265" s="113">
        <v>10348451</v>
      </c>
      <c r="E8265" s="115">
        <v>43949</v>
      </c>
      <c r="F8265" s="114">
        <v>202101</v>
      </c>
      <c r="G8265" s="112" t="s">
        <v>1091</v>
      </c>
      <c r="H8265" s="112" t="s">
        <v>1015</v>
      </c>
      <c r="I8265" s="112" t="s">
        <v>1101</v>
      </c>
      <c r="J8265" s="112" t="s">
        <v>5558</v>
      </c>
      <c r="K8265" s="112" t="s">
        <v>1098</v>
      </c>
      <c r="L8265" s="116">
        <v>897.49</v>
      </c>
    </row>
    <row r="8266" spans="1:12" hidden="1" outlineLevel="1" collapsed="1" x14ac:dyDescent="0.35">
      <c r="A8266" s="112" t="s">
        <v>5553</v>
      </c>
      <c r="B8266" s="112" t="s">
        <v>927</v>
      </c>
      <c r="C8266" s="112" t="s">
        <v>1219</v>
      </c>
      <c r="D8266" s="113">
        <v>46307009</v>
      </c>
      <c r="E8266" s="115">
        <v>43930</v>
      </c>
      <c r="F8266" s="114">
        <v>202101</v>
      </c>
      <c r="G8266" s="112" t="s">
        <v>1091</v>
      </c>
      <c r="H8266" s="112" t="s">
        <v>1015</v>
      </c>
      <c r="I8266" s="112" t="s">
        <v>1605</v>
      </c>
      <c r="J8266" s="112" t="s">
        <v>5554</v>
      </c>
      <c r="K8266" s="112" t="s">
        <v>5555</v>
      </c>
      <c r="L8266" s="116">
        <v>25000</v>
      </c>
    </row>
    <row r="8267" spans="1:12" hidden="1" outlineLevel="1" collapsed="1" x14ac:dyDescent="0.35">
      <c r="A8267" s="112" t="s">
        <v>5553</v>
      </c>
      <c r="B8267" s="112" t="s">
        <v>925</v>
      </c>
      <c r="C8267" s="112" t="s">
        <v>695</v>
      </c>
      <c r="D8267" s="113">
        <v>10348213</v>
      </c>
      <c r="E8267" s="115">
        <v>43935</v>
      </c>
      <c r="F8267" s="114">
        <v>202101</v>
      </c>
      <c r="G8267" s="112" t="s">
        <v>1091</v>
      </c>
      <c r="H8267" s="112" t="s">
        <v>1016</v>
      </c>
      <c r="I8267" s="112" t="s">
        <v>819</v>
      </c>
      <c r="J8267" s="112" t="s">
        <v>5559</v>
      </c>
      <c r="K8267" s="112" t="s">
        <v>5652</v>
      </c>
      <c r="L8267" s="116">
        <v>6993</v>
      </c>
    </row>
    <row r="8268" spans="1:12" hidden="1" outlineLevel="1" collapsed="1" x14ac:dyDescent="0.35">
      <c r="A8268" s="112" t="s">
        <v>5553</v>
      </c>
      <c r="B8268" s="112" t="s">
        <v>925</v>
      </c>
      <c r="C8268" s="112" t="s">
        <v>695</v>
      </c>
      <c r="D8268" s="113">
        <v>10348213</v>
      </c>
      <c r="E8268" s="115">
        <v>43935</v>
      </c>
      <c r="F8268" s="114">
        <v>202101</v>
      </c>
      <c r="G8268" s="112" t="s">
        <v>1091</v>
      </c>
      <c r="H8268" s="112" t="s">
        <v>1016</v>
      </c>
      <c r="I8268" s="112" t="s">
        <v>819</v>
      </c>
      <c r="J8268" s="112" t="s">
        <v>5559</v>
      </c>
      <c r="K8268" s="112" t="s">
        <v>5653</v>
      </c>
      <c r="L8268" s="116">
        <v>1900</v>
      </c>
    </row>
    <row r="8269" spans="1:12" hidden="1" outlineLevel="1" collapsed="1" x14ac:dyDescent="0.35">
      <c r="A8269" s="112" t="s">
        <v>5553</v>
      </c>
      <c r="B8269" s="112" t="s">
        <v>925</v>
      </c>
      <c r="C8269" s="112" t="s">
        <v>695</v>
      </c>
      <c r="D8269" s="113">
        <v>10348213</v>
      </c>
      <c r="E8269" s="115">
        <v>43935</v>
      </c>
      <c r="F8269" s="114">
        <v>202101</v>
      </c>
      <c r="G8269" s="112" t="s">
        <v>1091</v>
      </c>
      <c r="H8269" s="112" t="s">
        <v>1016</v>
      </c>
      <c r="I8269" s="112" t="s">
        <v>819</v>
      </c>
      <c r="J8269" s="112" t="s">
        <v>5559</v>
      </c>
      <c r="K8269" s="112" t="s">
        <v>5654</v>
      </c>
      <c r="L8269" s="116">
        <v>15500</v>
      </c>
    </row>
    <row r="8270" spans="1:12" hidden="1" outlineLevel="1" collapsed="1" x14ac:dyDescent="0.35">
      <c r="A8270" s="112" t="s">
        <v>5553</v>
      </c>
      <c r="B8270" s="112" t="s">
        <v>927</v>
      </c>
      <c r="C8270" s="112" t="s">
        <v>1219</v>
      </c>
      <c r="D8270" s="113">
        <v>46307008</v>
      </c>
      <c r="E8270" s="115">
        <v>43930</v>
      </c>
      <c r="F8270" s="114">
        <v>202101</v>
      </c>
      <c r="G8270" s="112" t="s">
        <v>1091</v>
      </c>
      <c r="H8270" s="112" t="s">
        <v>1015</v>
      </c>
      <c r="I8270" s="112" t="s">
        <v>1605</v>
      </c>
      <c r="J8270" s="112" t="s">
        <v>5554</v>
      </c>
      <c r="K8270" s="112" t="s">
        <v>5555</v>
      </c>
      <c r="L8270" s="116">
        <v>25000</v>
      </c>
    </row>
    <row r="8271" spans="1:12" hidden="1" outlineLevel="1" collapsed="1" x14ac:dyDescent="0.35">
      <c r="A8271" s="112" t="s">
        <v>5553</v>
      </c>
      <c r="B8271" s="112" t="s">
        <v>925</v>
      </c>
      <c r="C8271" s="112" t="s">
        <v>695</v>
      </c>
      <c r="D8271" s="113">
        <v>10348213</v>
      </c>
      <c r="E8271" s="115">
        <v>43935</v>
      </c>
      <c r="F8271" s="114">
        <v>202101</v>
      </c>
      <c r="G8271" s="112" t="s">
        <v>1091</v>
      </c>
      <c r="H8271" s="112" t="s">
        <v>1016</v>
      </c>
      <c r="I8271" s="112" t="s">
        <v>819</v>
      </c>
      <c r="J8271" s="112" t="s">
        <v>5559</v>
      </c>
      <c r="K8271" s="112" t="s">
        <v>5655</v>
      </c>
      <c r="L8271" s="116">
        <v>10000</v>
      </c>
    </row>
    <row r="8272" spans="1:12" hidden="1" outlineLevel="1" collapsed="1" x14ac:dyDescent="0.35">
      <c r="A8272" s="112" t="s">
        <v>5553</v>
      </c>
      <c r="B8272" s="112" t="s">
        <v>927</v>
      </c>
      <c r="C8272" s="112" t="s">
        <v>1219</v>
      </c>
      <c r="D8272" s="113">
        <v>46307007</v>
      </c>
      <c r="E8272" s="115">
        <v>43930</v>
      </c>
      <c r="F8272" s="114">
        <v>202101</v>
      </c>
      <c r="G8272" s="112" t="s">
        <v>1091</v>
      </c>
      <c r="H8272" s="112" t="s">
        <v>1015</v>
      </c>
      <c r="I8272" s="112" t="s">
        <v>1605</v>
      </c>
      <c r="J8272" s="112" t="s">
        <v>5554</v>
      </c>
      <c r="K8272" s="112" t="s">
        <v>5555</v>
      </c>
      <c r="L8272" s="116">
        <v>25000</v>
      </c>
    </row>
    <row r="8273" spans="1:12" hidden="1" outlineLevel="1" collapsed="1" x14ac:dyDescent="0.35">
      <c r="A8273" s="112" t="s">
        <v>5553</v>
      </c>
      <c r="B8273" s="112" t="s">
        <v>927</v>
      </c>
      <c r="C8273" s="112" t="s">
        <v>1219</v>
      </c>
      <c r="D8273" s="113">
        <v>46307006</v>
      </c>
      <c r="E8273" s="115">
        <v>43930</v>
      </c>
      <c r="F8273" s="114">
        <v>202101</v>
      </c>
      <c r="G8273" s="112" t="s">
        <v>1091</v>
      </c>
      <c r="H8273" s="112" t="s">
        <v>1015</v>
      </c>
      <c r="I8273" s="112" t="s">
        <v>1605</v>
      </c>
      <c r="J8273" s="112" t="s">
        <v>5554</v>
      </c>
      <c r="K8273" s="112" t="s">
        <v>5555</v>
      </c>
      <c r="L8273" s="116">
        <v>25000</v>
      </c>
    </row>
    <row r="8274" spans="1:12" hidden="1" outlineLevel="1" collapsed="1" x14ac:dyDescent="0.35">
      <c r="A8274" s="112" t="s">
        <v>5553</v>
      </c>
      <c r="B8274" s="112" t="s">
        <v>927</v>
      </c>
      <c r="C8274" s="112" t="s">
        <v>1219</v>
      </c>
      <c r="D8274" s="113">
        <v>46307005</v>
      </c>
      <c r="E8274" s="115">
        <v>43930</v>
      </c>
      <c r="F8274" s="114">
        <v>202101</v>
      </c>
      <c r="G8274" s="112" t="s">
        <v>1091</v>
      </c>
      <c r="H8274" s="112" t="s">
        <v>1015</v>
      </c>
      <c r="I8274" s="112" t="s">
        <v>1605</v>
      </c>
      <c r="J8274" s="112" t="s">
        <v>5554</v>
      </c>
      <c r="K8274" s="112" t="s">
        <v>5555</v>
      </c>
      <c r="L8274" s="116">
        <v>25000</v>
      </c>
    </row>
    <row r="8275" spans="1:12" hidden="1" outlineLevel="1" collapsed="1" x14ac:dyDescent="0.35">
      <c r="A8275" s="112" t="s">
        <v>5553</v>
      </c>
      <c r="B8275" s="112" t="s">
        <v>927</v>
      </c>
      <c r="C8275" s="112" t="s">
        <v>1219</v>
      </c>
      <c r="D8275" s="113">
        <v>46307004</v>
      </c>
      <c r="E8275" s="115">
        <v>43930</v>
      </c>
      <c r="F8275" s="114">
        <v>202101</v>
      </c>
      <c r="G8275" s="112" t="s">
        <v>1091</v>
      </c>
      <c r="H8275" s="112" t="s">
        <v>1015</v>
      </c>
      <c r="I8275" s="112" t="s">
        <v>1605</v>
      </c>
      <c r="J8275" s="112" t="s">
        <v>5554</v>
      </c>
      <c r="K8275" s="112" t="s">
        <v>5555</v>
      </c>
      <c r="L8275" s="116">
        <v>10000</v>
      </c>
    </row>
    <row r="8276" spans="1:12" hidden="1" outlineLevel="1" collapsed="1" x14ac:dyDescent="0.35">
      <c r="A8276" s="112" t="s">
        <v>5553</v>
      </c>
      <c r="B8276" s="112" t="s">
        <v>927</v>
      </c>
      <c r="C8276" s="112" t="s">
        <v>1219</v>
      </c>
      <c r="D8276" s="113">
        <v>46307003</v>
      </c>
      <c r="E8276" s="115">
        <v>43930</v>
      </c>
      <c r="F8276" s="114">
        <v>202101</v>
      </c>
      <c r="G8276" s="112" t="s">
        <v>1091</v>
      </c>
      <c r="H8276" s="112" t="s">
        <v>1015</v>
      </c>
      <c r="I8276" s="112" t="s">
        <v>1605</v>
      </c>
      <c r="J8276" s="112" t="s">
        <v>5554</v>
      </c>
      <c r="K8276" s="112" t="s">
        <v>5556</v>
      </c>
      <c r="L8276" s="116">
        <v>10000</v>
      </c>
    </row>
    <row r="8277" spans="1:12" hidden="1" outlineLevel="1" collapsed="1" x14ac:dyDescent="0.35">
      <c r="A8277" s="112" t="s">
        <v>5553</v>
      </c>
      <c r="B8277" s="112" t="s">
        <v>927</v>
      </c>
      <c r="C8277" s="112" t="s">
        <v>1219</v>
      </c>
      <c r="D8277" s="113">
        <v>46307002</v>
      </c>
      <c r="E8277" s="115">
        <v>43930</v>
      </c>
      <c r="F8277" s="114">
        <v>202101</v>
      </c>
      <c r="G8277" s="112" t="s">
        <v>1091</v>
      </c>
      <c r="H8277" s="112" t="s">
        <v>1015</v>
      </c>
      <c r="I8277" s="112" t="s">
        <v>1605</v>
      </c>
      <c r="J8277" s="112" t="s">
        <v>5554</v>
      </c>
      <c r="K8277" s="112" t="s">
        <v>5555</v>
      </c>
      <c r="L8277" s="116">
        <v>25000</v>
      </c>
    </row>
    <row r="8278" spans="1:12" hidden="1" outlineLevel="1" collapsed="1" x14ac:dyDescent="0.35">
      <c r="A8278" s="112" t="s">
        <v>5553</v>
      </c>
      <c r="B8278" s="112" t="s">
        <v>927</v>
      </c>
      <c r="C8278" s="112" t="s">
        <v>1219</v>
      </c>
      <c r="D8278" s="113">
        <v>46307001</v>
      </c>
      <c r="E8278" s="115">
        <v>43930</v>
      </c>
      <c r="F8278" s="114">
        <v>202101</v>
      </c>
      <c r="G8278" s="112" t="s">
        <v>1091</v>
      </c>
      <c r="H8278" s="112" t="s">
        <v>1015</v>
      </c>
      <c r="I8278" s="112" t="s">
        <v>1605</v>
      </c>
      <c r="J8278" s="112" t="s">
        <v>5554</v>
      </c>
      <c r="K8278" s="112" t="s">
        <v>5555</v>
      </c>
      <c r="L8278" s="116">
        <v>25000</v>
      </c>
    </row>
    <row r="8279" spans="1:12" hidden="1" outlineLevel="1" collapsed="1" x14ac:dyDescent="0.35">
      <c r="A8279" s="112" t="s">
        <v>5553</v>
      </c>
      <c r="B8279" s="112" t="s">
        <v>927</v>
      </c>
      <c r="C8279" s="112" t="s">
        <v>1219</v>
      </c>
      <c r="D8279" s="113">
        <v>46307000</v>
      </c>
      <c r="E8279" s="115">
        <v>43930</v>
      </c>
      <c r="F8279" s="114">
        <v>202101</v>
      </c>
      <c r="G8279" s="112" t="s">
        <v>1091</v>
      </c>
      <c r="H8279" s="112" t="s">
        <v>1015</v>
      </c>
      <c r="I8279" s="112" t="s">
        <v>1605</v>
      </c>
      <c r="J8279" s="112" t="s">
        <v>5554</v>
      </c>
      <c r="K8279" s="112" t="s">
        <v>5555</v>
      </c>
      <c r="L8279" s="116">
        <v>25000</v>
      </c>
    </row>
    <row r="8280" spans="1:12" hidden="1" outlineLevel="1" collapsed="1" x14ac:dyDescent="0.35">
      <c r="A8280" s="112" t="s">
        <v>5553</v>
      </c>
      <c r="B8280" s="112" t="s">
        <v>927</v>
      </c>
      <c r="C8280" s="112" t="s">
        <v>1219</v>
      </c>
      <c r="D8280" s="113">
        <v>46306999</v>
      </c>
      <c r="E8280" s="115">
        <v>43930</v>
      </c>
      <c r="F8280" s="114">
        <v>202101</v>
      </c>
      <c r="G8280" s="112" t="s">
        <v>1091</v>
      </c>
      <c r="H8280" s="112" t="s">
        <v>1015</v>
      </c>
      <c r="I8280" s="112" t="s">
        <v>1605</v>
      </c>
      <c r="J8280" s="112" t="s">
        <v>5554</v>
      </c>
      <c r="K8280" s="112" t="s">
        <v>5556</v>
      </c>
      <c r="L8280" s="116">
        <v>10000</v>
      </c>
    </row>
    <row r="8281" spans="1:12" hidden="1" outlineLevel="1" collapsed="1" x14ac:dyDescent="0.35">
      <c r="A8281" s="112" t="s">
        <v>5553</v>
      </c>
      <c r="B8281" s="112" t="s">
        <v>927</v>
      </c>
      <c r="C8281" s="112" t="s">
        <v>1219</v>
      </c>
      <c r="D8281" s="113">
        <v>46306998</v>
      </c>
      <c r="E8281" s="115">
        <v>43930</v>
      </c>
      <c r="F8281" s="114">
        <v>202101</v>
      </c>
      <c r="G8281" s="112" t="s">
        <v>1091</v>
      </c>
      <c r="H8281" s="112" t="s">
        <v>1015</v>
      </c>
      <c r="I8281" s="112" t="s">
        <v>1605</v>
      </c>
      <c r="J8281" s="112" t="s">
        <v>5554</v>
      </c>
      <c r="K8281" s="112" t="s">
        <v>5555</v>
      </c>
      <c r="L8281" s="116">
        <v>25000</v>
      </c>
    </row>
    <row r="8282" spans="1:12" hidden="1" outlineLevel="1" collapsed="1" x14ac:dyDescent="0.35">
      <c r="A8282" s="112" t="s">
        <v>5553</v>
      </c>
      <c r="B8282" s="112" t="s">
        <v>927</v>
      </c>
      <c r="C8282" s="112" t="s">
        <v>1095</v>
      </c>
      <c r="D8282" s="113">
        <v>10348451</v>
      </c>
      <c r="E8282" s="115">
        <v>43949</v>
      </c>
      <c r="F8282" s="114">
        <v>202101</v>
      </c>
      <c r="G8282" s="112" t="s">
        <v>1091</v>
      </c>
      <c r="H8282" s="112" t="s">
        <v>1015</v>
      </c>
      <c r="I8282" s="112" t="s">
        <v>1101</v>
      </c>
      <c r="J8282" s="112" t="s">
        <v>5557</v>
      </c>
      <c r="K8282" s="112" t="s">
        <v>1098</v>
      </c>
      <c r="L8282" s="116">
        <v>426.26</v>
      </c>
    </row>
    <row r="8283" spans="1:12" hidden="1" outlineLevel="1" collapsed="1" x14ac:dyDescent="0.35">
      <c r="A8283" s="112" t="s">
        <v>5553</v>
      </c>
      <c r="B8283" s="112" t="s">
        <v>927</v>
      </c>
      <c r="C8283" s="112" t="s">
        <v>1219</v>
      </c>
      <c r="D8283" s="113">
        <v>46306997</v>
      </c>
      <c r="E8283" s="115">
        <v>43930</v>
      </c>
      <c r="F8283" s="114">
        <v>202101</v>
      </c>
      <c r="G8283" s="112" t="s">
        <v>1091</v>
      </c>
      <c r="H8283" s="112" t="s">
        <v>1015</v>
      </c>
      <c r="I8283" s="112" t="s">
        <v>1605</v>
      </c>
      <c r="J8283" s="112" t="s">
        <v>5554</v>
      </c>
      <c r="K8283" s="112" t="s">
        <v>5555</v>
      </c>
      <c r="L8283" s="116">
        <v>25000</v>
      </c>
    </row>
    <row r="8284" spans="1:12" hidden="1" outlineLevel="1" collapsed="1" x14ac:dyDescent="0.35">
      <c r="A8284" s="112" t="s">
        <v>5553</v>
      </c>
      <c r="B8284" s="112" t="s">
        <v>927</v>
      </c>
      <c r="C8284" s="112" t="s">
        <v>1095</v>
      </c>
      <c r="D8284" s="113">
        <v>10348451</v>
      </c>
      <c r="E8284" s="115">
        <v>43949</v>
      </c>
      <c r="F8284" s="114">
        <v>202101</v>
      </c>
      <c r="G8284" s="112" t="s">
        <v>1091</v>
      </c>
      <c r="H8284" s="112" t="s">
        <v>1015</v>
      </c>
      <c r="I8284" s="112" t="s">
        <v>1101</v>
      </c>
      <c r="J8284" s="112" t="s">
        <v>5554</v>
      </c>
      <c r="K8284" s="112" t="s">
        <v>1098</v>
      </c>
      <c r="L8284" s="116">
        <v>307.68</v>
      </c>
    </row>
    <row r="8285" spans="1:12" hidden="1" outlineLevel="1" collapsed="1" x14ac:dyDescent="0.35">
      <c r="A8285" s="112" t="s">
        <v>5553</v>
      </c>
      <c r="B8285" s="112" t="s">
        <v>927</v>
      </c>
      <c r="C8285" s="112" t="s">
        <v>1219</v>
      </c>
      <c r="D8285" s="113">
        <v>46306996</v>
      </c>
      <c r="E8285" s="115">
        <v>43930</v>
      </c>
      <c r="F8285" s="114">
        <v>202101</v>
      </c>
      <c r="G8285" s="112" t="s">
        <v>1091</v>
      </c>
      <c r="H8285" s="112" t="s">
        <v>1015</v>
      </c>
      <c r="I8285" s="112" t="s">
        <v>1605</v>
      </c>
      <c r="J8285" s="112" t="s">
        <v>5554</v>
      </c>
      <c r="K8285" s="112" t="s">
        <v>5556</v>
      </c>
      <c r="L8285" s="116">
        <v>10000</v>
      </c>
    </row>
    <row r="8286" spans="1:12" hidden="1" outlineLevel="1" collapsed="1" x14ac:dyDescent="0.35">
      <c r="A8286" s="112" t="s">
        <v>5553</v>
      </c>
      <c r="B8286" s="112" t="s">
        <v>926</v>
      </c>
      <c r="C8286" s="112" t="s">
        <v>1095</v>
      </c>
      <c r="D8286" s="113">
        <v>10348451</v>
      </c>
      <c r="E8286" s="115">
        <v>43949</v>
      </c>
      <c r="F8286" s="114">
        <v>202101</v>
      </c>
      <c r="G8286" s="112" t="s">
        <v>1091</v>
      </c>
      <c r="H8286" s="112" t="s">
        <v>1015</v>
      </c>
      <c r="I8286" s="112" t="s">
        <v>1101</v>
      </c>
      <c r="J8286" s="112" t="s">
        <v>5591</v>
      </c>
      <c r="K8286" s="112" t="s">
        <v>1098</v>
      </c>
      <c r="L8286" s="116">
        <v>437.72</v>
      </c>
    </row>
    <row r="8287" spans="1:12" hidden="1" outlineLevel="1" collapsed="1" x14ac:dyDescent="0.35">
      <c r="A8287" s="112" t="s">
        <v>5553</v>
      </c>
      <c r="B8287" s="112" t="s">
        <v>927</v>
      </c>
      <c r="C8287" s="112" t="s">
        <v>1219</v>
      </c>
      <c r="D8287" s="113">
        <v>46306995</v>
      </c>
      <c r="E8287" s="115">
        <v>43930</v>
      </c>
      <c r="F8287" s="114">
        <v>202101</v>
      </c>
      <c r="G8287" s="112" t="s">
        <v>1091</v>
      </c>
      <c r="H8287" s="112" t="s">
        <v>1015</v>
      </c>
      <c r="I8287" s="112" t="s">
        <v>1605</v>
      </c>
      <c r="J8287" s="112" t="s">
        <v>5554</v>
      </c>
      <c r="K8287" s="112" t="s">
        <v>5556</v>
      </c>
      <c r="L8287" s="116">
        <v>10000</v>
      </c>
    </row>
    <row r="8288" spans="1:12" hidden="1" outlineLevel="1" collapsed="1" x14ac:dyDescent="0.35">
      <c r="A8288" s="112" t="s">
        <v>5553</v>
      </c>
      <c r="B8288" s="112" t="s">
        <v>927</v>
      </c>
      <c r="C8288" s="112" t="s">
        <v>1095</v>
      </c>
      <c r="D8288" s="113">
        <v>10348451</v>
      </c>
      <c r="E8288" s="115">
        <v>43949</v>
      </c>
      <c r="F8288" s="114">
        <v>202101</v>
      </c>
      <c r="G8288" s="112" t="s">
        <v>1091</v>
      </c>
      <c r="H8288" s="112" t="s">
        <v>1015</v>
      </c>
      <c r="I8288" s="112" t="s">
        <v>1101</v>
      </c>
      <c r="J8288" s="112" t="s">
        <v>5554</v>
      </c>
      <c r="K8288" s="112" t="s">
        <v>1098</v>
      </c>
      <c r="L8288" s="116">
        <v>426.26</v>
      </c>
    </row>
    <row r="8289" spans="1:12" hidden="1" outlineLevel="1" collapsed="1" x14ac:dyDescent="0.35">
      <c r="A8289" s="112" t="s">
        <v>5553</v>
      </c>
      <c r="B8289" s="112" t="s">
        <v>926</v>
      </c>
      <c r="C8289" s="112" t="s">
        <v>1095</v>
      </c>
      <c r="D8289" s="113">
        <v>10348451</v>
      </c>
      <c r="E8289" s="115">
        <v>43949</v>
      </c>
      <c r="F8289" s="114">
        <v>202101</v>
      </c>
      <c r="G8289" s="112" t="s">
        <v>1091</v>
      </c>
      <c r="H8289" s="112" t="s">
        <v>1015</v>
      </c>
      <c r="I8289" s="112" t="s">
        <v>1096</v>
      </c>
      <c r="J8289" s="112" t="s">
        <v>5591</v>
      </c>
      <c r="K8289" s="112" t="s">
        <v>1098</v>
      </c>
      <c r="L8289" s="116">
        <v>210.79</v>
      </c>
    </row>
    <row r="8290" spans="1:12" hidden="1" outlineLevel="1" collapsed="1" x14ac:dyDescent="0.35">
      <c r="A8290" s="112" t="s">
        <v>5553</v>
      </c>
      <c r="B8290" s="112" t="s">
        <v>927</v>
      </c>
      <c r="C8290" s="112" t="s">
        <v>1095</v>
      </c>
      <c r="D8290" s="113">
        <v>10348451</v>
      </c>
      <c r="E8290" s="115">
        <v>43949</v>
      </c>
      <c r="F8290" s="114">
        <v>202101</v>
      </c>
      <c r="G8290" s="112" t="s">
        <v>1091</v>
      </c>
      <c r="H8290" s="112" t="s">
        <v>1015</v>
      </c>
      <c r="I8290" s="112" t="s">
        <v>1096</v>
      </c>
      <c r="J8290" s="112" t="s">
        <v>5554</v>
      </c>
      <c r="K8290" s="112" t="s">
        <v>1098</v>
      </c>
      <c r="L8290" s="116">
        <v>323.45</v>
      </c>
    </row>
    <row r="8291" spans="1:12" hidden="1" outlineLevel="1" collapsed="1" x14ac:dyDescent="0.35">
      <c r="A8291" s="112" t="s">
        <v>5553</v>
      </c>
      <c r="B8291" s="112" t="s">
        <v>927</v>
      </c>
      <c r="C8291" s="112" t="s">
        <v>1095</v>
      </c>
      <c r="D8291" s="113">
        <v>10348451</v>
      </c>
      <c r="E8291" s="115">
        <v>43949</v>
      </c>
      <c r="F8291" s="114">
        <v>202101</v>
      </c>
      <c r="G8291" s="112" t="s">
        <v>1091</v>
      </c>
      <c r="H8291" s="112" t="s">
        <v>1015</v>
      </c>
      <c r="I8291" s="112" t="s">
        <v>3523</v>
      </c>
      <c r="J8291" s="112" t="s">
        <v>5554</v>
      </c>
      <c r="K8291" s="112" t="s">
        <v>1098</v>
      </c>
      <c r="L8291" s="116">
        <v>160</v>
      </c>
    </row>
    <row r="8292" spans="1:12" hidden="1" outlineLevel="1" collapsed="1" x14ac:dyDescent="0.35">
      <c r="A8292" s="112" t="s">
        <v>5553</v>
      </c>
      <c r="B8292" s="112" t="s">
        <v>927</v>
      </c>
      <c r="C8292" s="112" t="s">
        <v>1219</v>
      </c>
      <c r="D8292" s="113">
        <v>46306880</v>
      </c>
      <c r="E8292" s="115">
        <v>43928</v>
      </c>
      <c r="F8292" s="114">
        <v>202101</v>
      </c>
      <c r="G8292" s="112" t="s">
        <v>1091</v>
      </c>
      <c r="H8292" s="112" t="s">
        <v>1015</v>
      </c>
      <c r="I8292" s="112" t="s">
        <v>1605</v>
      </c>
      <c r="J8292" s="112" t="s">
        <v>5554</v>
      </c>
      <c r="K8292" s="112" t="s">
        <v>5580</v>
      </c>
      <c r="L8292" s="116">
        <v>25000</v>
      </c>
    </row>
    <row r="8293" spans="1:12" hidden="1" outlineLevel="1" collapsed="1" x14ac:dyDescent="0.35">
      <c r="A8293" s="112" t="s">
        <v>5553</v>
      </c>
      <c r="B8293" s="112" t="s">
        <v>927</v>
      </c>
      <c r="C8293" s="112" t="s">
        <v>1219</v>
      </c>
      <c r="D8293" s="113">
        <v>46306881</v>
      </c>
      <c r="E8293" s="115">
        <v>43928</v>
      </c>
      <c r="F8293" s="114">
        <v>202101</v>
      </c>
      <c r="G8293" s="112" t="s">
        <v>1091</v>
      </c>
      <c r="H8293" s="112" t="s">
        <v>1015</v>
      </c>
      <c r="I8293" s="112" t="s">
        <v>1605</v>
      </c>
      <c r="J8293" s="112" t="s">
        <v>5554</v>
      </c>
      <c r="K8293" s="112" t="s">
        <v>5580</v>
      </c>
      <c r="L8293" s="116">
        <v>25000</v>
      </c>
    </row>
    <row r="8294" spans="1:12" hidden="1" outlineLevel="1" collapsed="1" x14ac:dyDescent="0.35">
      <c r="A8294" s="112" t="s">
        <v>5553</v>
      </c>
      <c r="B8294" s="112" t="s">
        <v>927</v>
      </c>
      <c r="C8294" s="112" t="s">
        <v>1219</v>
      </c>
      <c r="D8294" s="113">
        <v>46306882</v>
      </c>
      <c r="E8294" s="115">
        <v>43928</v>
      </c>
      <c r="F8294" s="114">
        <v>202101</v>
      </c>
      <c r="G8294" s="112" t="s">
        <v>1091</v>
      </c>
      <c r="H8294" s="112" t="s">
        <v>1015</v>
      </c>
      <c r="I8294" s="112" t="s">
        <v>1605</v>
      </c>
      <c r="J8294" s="112" t="s">
        <v>5554</v>
      </c>
      <c r="K8294" s="112" t="s">
        <v>5556</v>
      </c>
      <c r="L8294" s="116">
        <v>10000</v>
      </c>
    </row>
    <row r="8295" spans="1:12" hidden="1" outlineLevel="1" collapsed="1" x14ac:dyDescent="0.35">
      <c r="A8295" s="112" t="s">
        <v>5553</v>
      </c>
      <c r="B8295" s="112" t="s">
        <v>927</v>
      </c>
      <c r="C8295" s="112" t="s">
        <v>1219</v>
      </c>
      <c r="D8295" s="113">
        <v>46306883</v>
      </c>
      <c r="E8295" s="115">
        <v>43928</v>
      </c>
      <c r="F8295" s="114">
        <v>202101</v>
      </c>
      <c r="G8295" s="112" t="s">
        <v>1091</v>
      </c>
      <c r="H8295" s="112" t="s">
        <v>1015</v>
      </c>
      <c r="I8295" s="112" t="s">
        <v>1605</v>
      </c>
      <c r="J8295" s="112" t="s">
        <v>5554</v>
      </c>
      <c r="K8295" s="112" t="s">
        <v>5556</v>
      </c>
      <c r="L8295" s="116">
        <v>10000</v>
      </c>
    </row>
    <row r="8296" spans="1:12" hidden="1" outlineLevel="1" collapsed="1" x14ac:dyDescent="0.35">
      <c r="A8296" s="112" t="s">
        <v>5553</v>
      </c>
      <c r="B8296" s="112" t="s">
        <v>927</v>
      </c>
      <c r="C8296" s="112" t="s">
        <v>1219</v>
      </c>
      <c r="D8296" s="113">
        <v>46306884</v>
      </c>
      <c r="E8296" s="115">
        <v>43928</v>
      </c>
      <c r="F8296" s="114">
        <v>202101</v>
      </c>
      <c r="G8296" s="112" t="s">
        <v>1091</v>
      </c>
      <c r="H8296" s="112" t="s">
        <v>1015</v>
      </c>
      <c r="I8296" s="112" t="s">
        <v>1605</v>
      </c>
      <c r="J8296" s="112" t="s">
        <v>5554</v>
      </c>
      <c r="K8296" s="112" t="s">
        <v>5580</v>
      </c>
      <c r="L8296" s="116">
        <v>25000</v>
      </c>
    </row>
    <row r="8297" spans="1:12" hidden="1" outlineLevel="1" collapsed="1" x14ac:dyDescent="0.35">
      <c r="A8297" s="112" t="s">
        <v>5553</v>
      </c>
      <c r="B8297" s="112" t="s">
        <v>927</v>
      </c>
      <c r="C8297" s="112" t="s">
        <v>1219</v>
      </c>
      <c r="D8297" s="113">
        <v>46306885</v>
      </c>
      <c r="E8297" s="115">
        <v>43928</v>
      </c>
      <c r="F8297" s="114">
        <v>202101</v>
      </c>
      <c r="G8297" s="112" t="s">
        <v>1091</v>
      </c>
      <c r="H8297" s="112" t="s">
        <v>1015</v>
      </c>
      <c r="I8297" s="112" t="s">
        <v>1605</v>
      </c>
      <c r="J8297" s="112" t="s">
        <v>5554</v>
      </c>
      <c r="K8297" s="112" t="s">
        <v>5580</v>
      </c>
      <c r="L8297" s="116">
        <v>25000</v>
      </c>
    </row>
    <row r="8298" spans="1:12" hidden="1" outlineLevel="1" collapsed="1" x14ac:dyDescent="0.35">
      <c r="A8298" s="112" t="s">
        <v>5553</v>
      </c>
      <c r="B8298" s="112" t="s">
        <v>927</v>
      </c>
      <c r="C8298" s="112" t="s">
        <v>1219</v>
      </c>
      <c r="D8298" s="113">
        <v>46306886</v>
      </c>
      <c r="E8298" s="115">
        <v>43928</v>
      </c>
      <c r="F8298" s="114">
        <v>202101</v>
      </c>
      <c r="G8298" s="112" t="s">
        <v>1091</v>
      </c>
      <c r="H8298" s="112" t="s">
        <v>1015</v>
      </c>
      <c r="I8298" s="112" t="s">
        <v>1605</v>
      </c>
      <c r="J8298" s="112" t="s">
        <v>5554</v>
      </c>
      <c r="K8298" s="112" t="s">
        <v>5580</v>
      </c>
      <c r="L8298" s="116">
        <v>25000</v>
      </c>
    </row>
    <row r="8299" spans="1:12" hidden="1" outlineLevel="1" collapsed="1" x14ac:dyDescent="0.35">
      <c r="A8299" s="112" t="s">
        <v>5553</v>
      </c>
      <c r="B8299" s="112" t="s">
        <v>927</v>
      </c>
      <c r="C8299" s="112" t="s">
        <v>1219</v>
      </c>
      <c r="D8299" s="113">
        <v>46306887</v>
      </c>
      <c r="E8299" s="115">
        <v>43928</v>
      </c>
      <c r="F8299" s="114">
        <v>202101</v>
      </c>
      <c r="G8299" s="112" t="s">
        <v>1091</v>
      </c>
      <c r="H8299" s="112" t="s">
        <v>1015</v>
      </c>
      <c r="I8299" s="112" t="s">
        <v>1605</v>
      </c>
      <c r="J8299" s="112" t="s">
        <v>5554</v>
      </c>
      <c r="K8299" s="112" t="s">
        <v>5580</v>
      </c>
      <c r="L8299" s="116">
        <v>25000</v>
      </c>
    </row>
    <row r="8300" spans="1:12" hidden="1" outlineLevel="1" collapsed="1" x14ac:dyDescent="0.35">
      <c r="A8300" s="112" t="s">
        <v>5553</v>
      </c>
      <c r="B8300" s="112" t="s">
        <v>927</v>
      </c>
      <c r="C8300" s="112" t="s">
        <v>1095</v>
      </c>
      <c r="D8300" s="113">
        <v>10348451</v>
      </c>
      <c r="E8300" s="115">
        <v>43949</v>
      </c>
      <c r="F8300" s="114">
        <v>202101</v>
      </c>
      <c r="G8300" s="112" t="s">
        <v>1091</v>
      </c>
      <c r="H8300" s="112" t="s">
        <v>1015</v>
      </c>
      <c r="I8300" s="112" t="s">
        <v>1096</v>
      </c>
      <c r="J8300" s="112" t="s">
        <v>5557</v>
      </c>
      <c r="K8300" s="112" t="s">
        <v>1098</v>
      </c>
      <c r="L8300" s="116">
        <v>86.07</v>
      </c>
    </row>
    <row r="8301" spans="1:12" hidden="1" outlineLevel="1" collapsed="1" x14ac:dyDescent="0.35">
      <c r="A8301" s="112" t="s">
        <v>5553</v>
      </c>
      <c r="B8301" s="112" t="s">
        <v>927</v>
      </c>
      <c r="C8301" s="112" t="s">
        <v>1219</v>
      </c>
      <c r="D8301" s="113">
        <v>46306888</v>
      </c>
      <c r="E8301" s="115">
        <v>43928</v>
      </c>
      <c r="F8301" s="114">
        <v>202101</v>
      </c>
      <c r="G8301" s="112" t="s">
        <v>1091</v>
      </c>
      <c r="H8301" s="112" t="s">
        <v>1015</v>
      </c>
      <c r="I8301" s="112" t="s">
        <v>1605</v>
      </c>
      <c r="J8301" s="112" t="s">
        <v>5554</v>
      </c>
      <c r="K8301" s="112" t="s">
        <v>5556</v>
      </c>
      <c r="L8301" s="116">
        <v>10000</v>
      </c>
    </row>
    <row r="8302" spans="1:12" hidden="1" outlineLevel="1" collapsed="1" x14ac:dyDescent="0.35">
      <c r="A8302" s="112" t="s">
        <v>5553</v>
      </c>
      <c r="B8302" s="112" t="s">
        <v>927</v>
      </c>
      <c r="C8302" s="112" t="s">
        <v>1219</v>
      </c>
      <c r="D8302" s="113">
        <v>46306889</v>
      </c>
      <c r="E8302" s="115">
        <v>43928</v>
      </c>
      <c r="F8302" s="114">
        <v>202101</v>
      </c>
      <c r="G8302" s="112" t="s">
        <v>1091</v>
      </c>
      <c r="H8302" s="112" t="s">
        <v>1015</v>
      </c>
      <c r="I8302" s="112" t="s">
        <v>1605</v>
      </c>
      <c r="J8302" s="112" t="s">
        <v>5554</v>
      </c>
      <c r="K8302" s="112" t="s">
        <v>5580</v>
      </c>
      <c r="L8302" s="116">
        <v>25000</v>
      </c>
    </row>
    <row r="8303" spans="1:12" hidden="1" outlineLevel="1" collapsed="1" x14ac:dyDescent="0.35">
      <c r="A8303" s="112" t="s">
        <v>5553</v>
      </c>
      <c r="B8303" s="112" t="s">
        <v>927</v>
      </c>
      <c r="C8303" s="112" t="s">
        <v>1219</v>
      </c>
      <c r="D8303" s="113">
        <v>46306890</v>
      </c>
      <c r="E8303" s="115">
        <v>43928</v>
      </c>
      <c r="F8303" s="114">
        <v>202101</v>
      </c>
      <c r="G8303" s="112" t="s">
        <v>1091</v>
      </c>
      <c r="H8303" s="112" t="s">
        <v>1015</v>
      </c>
      <c r="I8303" s="112" t="s">
        <v>1605</v>
      </c>
      <c r="J8303" s="112" t="s">
        <v>5554</v>
      </c>
      <c r="K8303" s="112" t="s">
        <v>5580</v>
      </c>
      <c r="L8303" s="116">
        <v>25000</v>
      </c>
    </row>
    <row r="8304" spans="1:12" hidden="1" outlineLevel="1" collapsed="1" x14ac:dyDescent="0.35">
      <c r="A8304" s="112" t="s">
        <v>5553</v>
      </c>
      <c r="B8304" s="112" t="s">
        <v>927</v>
      </c>
      <c r="C8304" s="112" t="s">
        <v>1219</v>
      </c>
      <c r="D8304" s="113">
        <v>46306891</v>
      </c>
      <c r="E8304" s="115">
        <v>43928</v>
      </c>
      <c r="F8304" s="114">
        <v>202101</v>
      </c>
      <c r="G8304" s="112" t="s">
        <v>1091</v>
      </c>
      <c r="H8304" s="112" t="s">
        <v>1015</v>
      </c>
      <c r="I8304" s="112" t="s">
        <v>1605</v>
      </c>
      <c r="J8304" s="112" t="s">
        <v>5554</v>
      </c>
      <c r="K8304" s="112" t="s">
        <v>5580</v>
      </c>
      <c r="L8304" s="116">
        <v>25000</v>
      </c>
    </row>
    <row r="8305" spans="1:12" hidden="1" outlineLevel="1" collapsed="1" x14ac:dyDescent="0.35">
      <c r="A8305" s="112" t="s">
        <v>5553</v>
      </c>
      <c r="B8305" s="112" t="s">
        <v>927</v>
      </c>
      <c r="C8305" s="112" t="s">
        <v>1219</v>
      </c>
      <c r="D8305" s="113">
        <v>46306892</v>
      </c>
      <c r="E8305" s="115">
        <v>43928</v>
      </c>
      <c r="F8305" s="114">
        <v>202101</v>
      </c>
      <c r="G8305" s="112" t="s">
        <v>1091</v>
      </c>
      <c r="H8305" s="112" t="s">
        <v>1015</v>
      </c>
      <c r="I8305" s="112" t="s">
        <v>1605</v>
      </c>
      <c r="J8305" s="112" t="s">
        <v>5554</v>
      </c>
      <c r="K8305" s="112" t="s">
        <v>5580</v>
      </c>
      <c r="L8305" s="116">
        <v>25000</v>
      </c>
    </row>
    <row r="8306" spans="1:12" hidden="1" outlineLevel="1" collapsed="1" x14ac:dyDescent="0.35">
      <c r="A8306" s="112" t="s">
        <v>5553</v>
      </c>
      <c r="B8306" s="112" t="s">
        <v>927</v>
      </c>
      <c r="C8306" s="112" t="s">
        <v>1219</v>
      </c>
      <c r="D8306" s="113">
        <v>46306893</v>
      </c>
      <c r="E8306" s="115">
        <v>43928</v>
      </c>
      <c r="F8306" s="114">
        <v>202101</v>
      </c>
      <c r="G8306" s="112" t="s">
        <v>1091</v>
      </c>
      <c r="H8306" s="112" t="s">
        <v>1015</v>
      </c>
      <c r="I8306" s="112" t="s">
        <v>1605</v>
      </c>
      <c r="J8306" s="112" t="s">
        <v>5554</v>
      </c>
      <c r="K8306" s="112" t="s">
        <v>5580</v>
      </c>
      <c r="L8306" s="116">
        <v>25000</v>
      </c>
    </row>
    <row r="8307" spans="1:12" hidden="1" outlineLevel="1" collapsed="1" x14ac:dyDescent="0.35">
      <c r="A8307" s="112" t="s">
        <v>5553</v>
      </c>
      <c r="B8307" s="112" t="s">
        <v>927</v>
      </c>
      <c r="C8307" s="112" t="s">
        <v>1219</v>
      </c>
      <c r="D8307" s="113">
        <v>46306894</v>
      </c>
      <c r="E8307" s="115">
        <v>43928</v>
      </c>
      <c r="F8307" s="114">
        <v>202101</v>
      </c>
      <c r="G8307" s="112" t="s">
        <v>1091</v>
      </c>
      <c r="H8307" s="112" t="s">
        <v>1015</v>
      </c>
      <c r="I8307" s="112" t="s">
        <v>1605</v>
      </c>
      <c r="J8307" s="112" t="s">
        <v>5554</v>
      </c>
      <c r="K8307" s="112" t="s">
        <v>5556</v>
      </c>
      <c r="L8307" s="116">
        <v>10000</v>
      </c>
    </row>
    <row r="8308" spans="1:12" hidden="1" outlineLevel="1" collapsed="1" x14ac:dyDescent="0.35">
      <c r="A8308" s="112" t="s">
        <v>5553</v>
      </c>
      <c r="B8308" s="112" t="s">
        <v>927</v>
      </c>
      <c r="C8308" s="112" t="s">
        <v>1219</v>
      </c>
      <c r="D8308" s="113">
        <v>46306895</v>
      </c>
      <c r="E8308" s="115">
        <v>43928</v>
      </c>
      <c r="F8308" s="114">
        <v>202101</v>
      </c>
      <c r="G8308" s="112" t="s">
        <v>1091</v>
      </c>
      <c r="H8308" s="112" t="s">
        <v>1015</v>
      </c>
      <c r="I8308" s="112" t="s">
        <v>1605</v>
      </c>
      <c r="J8308" s="112" t="s">
        <v>5554</v>
      </c>
      <c r="K8308" s="112" t="s">
        <v>5580</v>
      </c>
      <c r="L8308" s="116">
        <v>25000</v>
      </c>
    </row>
    <row r="8309" spans="1:12" hidden="1" outlineLevel="1" collapsed="1" x14ac:dyDescent="0.35">
      <c r="A8309" s="112" t="s">
        <v>5553</v>
      </c>
      <c r="B8309" s="112" t="s">
        <v>927</v>
      </c>
      <c r="C8309" s="112" t="s">
        <v>1219</v>
      </c>
      <c r="D8309" s="113">
        <v>46306896</v>
      </c>
      <c r="E8309" s="115">
        <v>43928</v>
      </c>
      <c r="F8309" s="114">
        <v>202101</v>
      </c>
      <c r="G8309" s="112" t="s">
        <v>1091</v>
      </c>
      <c r="H8309" s="112" t="s">
        <v>1015</v>
      </c>
      <c r="I8309" s="112" t="s">
        <v>1605</v>
      </c>
      <c r="J8309" s="112" t="s">
        <v>5554</v>
      </c>
      <c r="K8309" s="112" t="s">
        <v>5580</v>
      </c>
      <c r="L8309" s="116">
        <v>25000</v>
      </c>
    </row>
    <row r="8310" spans="1:12" hidden="1" outlineLevel="1" collapsed="1" x14ac:dyDescent="0.35">
      <c r="A8310" s="112" t="s">
        <v>5553</v>
      </c>
      <c r="B8310" s="112" t="s">
        <v>927</v>
      </c>
      <c r="C8310" s="112" t="s">
        <v>1219</v>
      </c>
      <c r="D8310" s="113">
        <v>46306897</v>
      </c>
      <c r="E8310" s="115">
        <v>43928</v>
      </c>
      <c r="F8310" s="114">
        <v>202101</v>
      </c>
      <c r="G8310" s="112" t="s">
        <v>1091</v>
      </c>
      <c r="H8310" s="112" t="s">
        <v>1015</v>
      </c>
      <c r="I8310" s="112" t="s">
        <v>1605</v>
      </c>
      <c r="J8310" s="112" t="s">
        <v>5554</v>
      </c>
      <c r="K8310" s="112" t="s">
        <v>5556</v>
      </c>
      <c r="L8310" s="116">
        <v>10000</v>
      </c>
    </row>
    <row r="8311" spans="1:12" hidden="1" outlineLevel="1" collapsed="1" x14ac:dyDescent="0.35">
      <c r="A8311" s="112" t="s">
        <v>5553</v>
      </c>
      <c r="B8311" s="112" t="s">
        <v>5561</v>
      </c>
      <c r="C8311" s="112" t="s">
        <v>1095</v>
      </c>
      <c r="D8311" s="113">
        <v>10348451</v>
      </c>
      <c r="E8311" s="115">
        <v>43949</v>
      </c>
      <c r="F8311" s="114">
        <v>202101</v>
      </c>
      <c r="G8311" s="112" t="s">
        <v>1091</v>
      </c>
      <c r="H8311" s="112" t="s">
        <v>1015</v>
      </c>
      <c r="I8311" s="112" t="s">
        <v>1101</v>
      </c>
      <c r="J8311" s="112" t="s">
        <v>5562</v>
      </c>
      <c r="K8311" s="112" t="s">
        <v>1098</v>
      </c>
      <c r="L8311" s="116">
        <v>293.76</v>
      </c>
    </row>
    <row r="8312" spans="1:12" hidden="1" outlineLevel="1" collapsed="1" x14ac:dyDescent="0.35">
      <c r="A8312" s="112" t="s">
        <v>5553</v>
      </c>
      <c r="B8312" s="112" t="s">
        <v>927</v>
      </c>
      <c r="C8312" s="112" t="s">
        <v>1219</v>
      </c>
      <c r="D8312" s="113">
        <v>46306898</v>
      </c>
      <c r="E8312" s="115">
        <v>43928</v>
      </c>
      <c r="F8312" s="114">
        <v>202101</v>
      </c>
      <c r="G8312" s="112" t="s">
        <v>1091</v>
      </c>
      <c r="H8312" s="112" t="s">
        <v>1015</v>
      </c>
      <c r="I8312" s="112" t="s">
        <v>1605</v>
      </c>
      <c r="J8312" s="112" t="s">
        <v>5554</v>
      </c>
      <c r="K8312" s="112" t="s">
        <v>5580</v>
      </c>
      <c r="L8312" s="116">
        <v>25000</v>
      </c>
    </row>
    <row r="8313" spans="1:12" hidden="1" outlineLevel="1" collapsed="1" x14ac:dyDescent="0.35">
      <c r="A8313" s="112" t="s">
        <v>5553</v>
      </c>
      <c r="B8313" s="112" t="s">
        <v>927</v>
      </c>
      <c r="C8313" s="112" t="s">
        <v>1095</v>
      </c>
      <c r="D8313" s="113">
        <v>10348451</v>
      </c>
      <c r="E8313" s="115">
        <v>43949</v>
      </c>
      <c r="F8313" s="114">
        <v>202101</v>
      </c>
      <c r="G8313" s="112" t="s">
        <v>1091</v>
      </c>
      <c r="H8313" s="112" t="s">
        <v>1015</v>
      </c>
      <c r="I8313" s="112" t="s">
        <v>1101</v>
      </c>
      <c r="J8313" s="112" t="s">
        <v>5554</v>
      </c>
      <c r="K8313" s="112" t="s">
        <v>1098</v>
      </c>
      <c r="L8313" s="116">
        <v>414.68</v>
      </c>
    </row>
    <row r="8314" spans="1:12" hidden="1" outlineLevel="1" collapsed="1" x14ac:dyDescent="0.35">
      <c r="A8314" s="112" t="s">
        <v>5553</v>
      </c>
      <c r="B8314" s="112" t="s">
        <v>927</v>
      </c>
      <c r="C8314" s="112" t="s">
        <v>1219</v>
      </c>
      <c r="D8314" s="113">
        <v>46306899</v>
      </c>
      <c r="E8314" s="115">
        <v>43928</v>
      </c>
      <c r="F8314" s="114">
        <v>202101</v>
      </c>
      <c r="G8314" s="112" t="s">
        <v>1091</v>
      </c>
      <c r="H8314" s="112" t="s">
        <v>1015</v>
      </c>
      <c r="I8314" s="112" t="s">
        <v>1605</v>
      </c>
      <c r="J8314" s="112" t="s">
        <v>5554</v>
      </c>
      <c r="K8314" s="112" t="s">
        <v>5580</v>
      </c>
      <c r="L8314" s="116">
        <v>25000</v>
      </c>
    </row>
    <row r="8315" spans="1:12" hidden="1" outlineLevel="1" collapsed="1" x14ac:dyDescent="0.35">
      <c r="A8315" s="112" t="s">
        <v>5553</v>
      </c>
      <c r="B8315" s="112" t="s">
        <v>927</v>
      </c>
      <c r="C8315" s="112" t="s">
        <v>1219</v>
      </c>
      <c r="D8315" s="113">
        <v>46306900</v>
      </c>
      <c r="E8315" s="115">
        <v>43928</v>
      </c>
      <c r="F8315" s="114">
        <v>202101</v>
      </c>
      <c r="G8315" s="112" t="s">
        <v>1091</v>
      </c>
      <c r="H8315" s="112" t="s">
        <v>1015</v>
      </c>
      <c r="I8315" s="112" t="s">
        <v>1605</v>
      </c>
      <c r="J8315" s="112" t="s">
        <v>5554</v>
      </c>
      <c r="K8315" s="112" t="s">
        <v>5580</v>
      </c>
      <c r="L8315" s="116">
        <v>25000</v>
      </c>
    </row>
    <row r="8316" spans="1:12" hidden="1" outlineLevel="1" collapsed="1" x14ac:dyDescent="0.35">
      <c r="A8316" s="112" t="s">
        <v>5553</v>
      </c>
      <c r="B8316" s="112" t="s">
        <v>927</v>
      </c>
      <c r="C8316" s="112" t="s">
        <v>1219</v>
      </c>
      <c r="D8316" s="113">
        <v>46306901</v>
      </c>
      <c r="E8316" s="115">
        <v>43928</v>
      </c>
      <c r="F8316" s="114">
        <v>202101</v>
      </c>
      <c r="G8316" s="112" t="s">
        <v>1091</v>
      </c>
      <c r="H8316" s="112" t="s">
        <v>1015</v>
      </c>
      <c r="I8316" s="112" t="s">
        <v>1605</v>
      </c>
      <c r="J8316" s="112" t="s">
        <v>5554</v>
      </c>
      <c r="K8316" s="112" t="s">
        <v>5580</v>
      </c>
      <c r="L8316" s="116">
        <v>25000</v>
      </c>
    </row>
    <row r="8317" spans="1:12" hidden="1" outlineLevel="1" collapsed="1" x14ac:dyDescent="0.35">
      <c r="A8317" s="112" t="s">
        <v>5553</v>
      </c>
      <c r="B8317" s="112" t="s">
        <v>927</v>
      </c>
      <c r="C8317" s="112" t="s">
        <v>1219</v>
      </c>
      <c r="D8317" s="113">
        <v>46306902</v>
      </c>
      <c r="E8317" s="115">
        <v>43928</v>
      </c>
      <c r="F8317" s="114">
        <v>202101</v>
      </c>
      <c r="G8317" s="112" t="s">
        <v>1091</v>
      </c>
      <c r="H8317" s="112" t="s">
        <v>1015</v>
      </c>
      <c r="I8317" s="112" t="s">
        <v>1605</v>
      </c>
      <c r="J8317" s="112" t="s">
        <v>5554</v>
      </c>
      <c r="K8317" s="112" t="s">
        <v>5556</v>
      </c>
      <c r="L8317" s="116">
        <v>10000</v>
      </c>
    </row>
    <row r="8318" spans="1:12" hidden="1" outlineLevel="1" collapsed="1" x14ac:dyDescent="0.35">
      <c r="A8318" s="112" t="s">
        <v>5553</v>
      </c>
      <c r="B8318" s="112" t="s">
        <v>927</v>
      </c>
      <c r="C8318" s="112" t="s">
        <v>1219</v>
      </c>
      <c r="D8318" s="113">
        <v>46306879</v>
      </c>
      <c r="E8318" s="115">
        <v>43928</v>
      </c>
      <c r="F8318" s="114">
        <v>202101</v>
      </c>
      <c r="G8318" s="112" t="s">
        <v>1091</v>
      </c>
      <c r="H8318" s="112" t="s">
        <v>1015</v>
      </c>
      <c r="I8318" s="112" t="s">
        <v>1605</v>
      </c>
      <c r="J8318" s="112" t="s">
        <v>5554</v>
      </c>
      <c r="K8318" s="112" t="s">
        <v>5580</v>
      </c>
      <c r="L8318" s="116">
        <v>25000</v>
      </c>
    </row>
    <row r="8319" spans="1:12" hidden="1" outlineLevel="1" collapsed="1" x14ac:dyDescent="0.35">
      <c r="A8319" s="112" t="s">
        <v>5553</v>
      </c>
      <c r="B8319" s="112" t="s">
        <v>927</v>
      </c>
      <c r="C8319" s="112" t="s">
        <v>1219</v>
      </c>
      <c r="D8319" s="113">
        <v>46306911</v>
      </c>
      <c r="E8319" s="115">
        <v>43928</v>
      </c>
      <c r="F8319" s="114">
        <v>202101</v>
      </c>
      <c r="G8319" s="112" t="s">
        <v>1091</v>
      </c>
      <c r="H8319" s="112" t="s">
        <v>1015</v>
      </c>
      <c r="I8319" s="112" t="s">
        <v>1605</v>
      </c>
      <c r="J8319" s="112" t="s">
        <v>5554</v>
      </c>
      <c r="K8319" s="112" t="s">
        <v>5580</v>
      </c>
      <c r="L8319" s="116">
        <v>25000</v>
      </c>
    </row>
    <row r="8320" spans="1:12" hidden="1" outlineLevel="1" collapsed="1" x14ac:dyDescent="0.35">
      <c r="A8320" s="112" t="s">
        <v>5553</v>
      </c>
      <c r="B8320" s="112" t="s">
        <v>927</v>
      </c>
      <c r="C8320" s="112" t="s">
        <v>1095</v>
      </c>
      <c r="D8320" s="113">
        <v>10348451</v>
      </c>
      <c r="E8320" s="115">
        <v>43949</v>
      </c>
      <c r="F8320" s="114">
        <v>202101</v>
      </c>
      <c r="G8320" s="112" t="s">
        <v>1091</v>
      </c>
      <c r="H8320" s="112" t="s">
        <v>1015</v>
      </c>
      <c r="I8320" s="112" t="s">
        <v>1096</v>
      </c>
      <c r="J8320" s="112" t="s">
        <v>5557</v>
      </c>
      <c r="K8320" s="112" t="s">
        <v>1098</v>
      </c>
      <c r="L8320" s="116">
        <v>257.5</v>
      </c>
    </row>
    <row r="8321" spans="1:12" hidden="1" outlineLevel="1" collapsed="1" x14ac:dyDescent="0.35">
      <c r="A8321" s="112" t="s">
        <v>5553</v>
      </c>
      <c r="B8321" s="112" t="s">
        <v>927</v>
      </c>
      <c r="C8321" s="112" t="s">
        <v>1095</v>
      </c>
      <c r="D8321" s="113">
        <v>10348451</v>
      </c>
      <c r="E8321" s="115">
        <v>43949</v>
      </c>
      <c r="F8321" s="114">
        <v>202101</v>
      </c>
      <c r="G8321" s="112" t="s">
        <v>1091</v>
      </c>
      <c r="H8321" s="112" t="s">
        <v>1015</v>
      </c>
      <c r="I8321" s="112" t="s">
        <v>1113</v>
      </c>
      <c r="J8321" s="112" t="s">
        <v>5557</v>
      </c>
      <c r="K8321" s="112" t="s">
        <v>1098</v>
      </c>
      <c r="L8321" s="116">
        <v>33.28</v>
      </c>
    </row>
    <row r="8322" spans="1:12" hidden="1" outlineLevel="1" collapsed="1" x14ac:dyDescent="0.35">
      <c r="A8322" s="112" t="s">
        <v>5553</v>
      </c>
      <c r="B8322" s="112" t="s">
        <v>924</v>
      </c>
      <c r="C8322" s="112" t="s">
        <v>695</v>
      </c>
      <c r="D8322" s="113">
        <v>10348163</v>
      </c>
      <c r="E8322" s="115">
        <v>43930</v>
      </c>
      <c r="F8322" s="114">
        <v>202101</v>
      </c>
      <c r="G8322" s="112" t="s">
        <v>1091</v>
      </c>
      <c r="H8322" s="112" t="s">
        <v>1016</v>
      </c>
      <c r="I8322" s="112" t="s">
        <v>1328</v>
      </c>
      <c r="J8322" s="112" t="s">
        <v>5558</v>
      </c>
      <c r="K8322" s="112" t="s">
        <v>5656</v>
      </c>
      <c r="L8322" s="116">
        <v>112000</v>
      </c>
    </row>
    <row r="8323" spans="1:12" hidden="1" outlineLevel="1" collapsed="1" x14ac:dyDescent="0.35">
      <c r="A8323" s="112" t="s">
        <v>5553</v>
      </c>
      <c r="B8323" s="112" t="s">
        <v>924</v>
      </c>
      <c r="C8323" s="112" t="s">
        <v>695</v>
      </c>
      <c r="D8323" s="113">
        <v>10348159</v>
      </c>
      <c r="E8323" s="115">
        <v>43930</v>
      </c>
      <c r="F8323" s="114">
        <v>202101</v>
      </c>
      <c r="G8323" s="112" t="s">
        <v>1091</v>
      </c>
      <c r="H8323" s="112" t="s">
        <v>1016</v>
      </c>
      <c r="I8323" s="112" t="s">
        <v>673</v>
      </c>
      <c r="J8323" s="112" t="s">
        <v>5558</v>
      </c>
      <c r="K8323" s="112" t="s">
        <v>5657</v>
      </c>
      <c r="L8323" s="116">
        <v>-110247</v>
      </c>
    </row>
    <row r="8324" spans="1:12" hidden="1" outlineLevel="1" collapsed="1" x14ac:dyDescent="0.35">
      <c r="A8324" s="112" t="s">
        <v>5553</v>
      </c>
      <c r="B8324" s="112" t="s">
        <v>926</v>
      </c>
      <c r="C8324" s="112" t="s">
        <v>1095</v>
      </c>
      <c r="D8324" s="113">
        <v>10348451</v>
      </c>
      <c r="E8324" s="115">
        <v>43949</v>
      </c>
      <c r="F8324" s="114">
        <v>202101</v>
      </c>
      <c r="G8324" s="112" t="s">
        <v>1091</v>
      </c>
      <c r="H8324" s="112" t="s">
        <v>1015</v>
      </c>
      <c r="I8324" s="112" t="s">
        <v>1101</v>
      </c>
      <c r="J8324" s="112" t="s">
        <v>5591</v>
      </c>
      <c r="K8324" s="112" t="s">
        <v>1098</v>
      </c>
      <c r="L8324" s="116">
        <v>205.24</v>
      </c>
    </row>
    <row r="8325" spans="1:12" hidden="1" outlineLevel="1" collapsed="1" x14ac:dyDescent="0.35">
      <c r="A8325" s="112" t="s">
        <v>5553</v>
      </c>
      <c r="B8325" s="112" t="s">
        <v>927</v>
      </c>
      <c r="C8325" s="112" t="s">
        <v>1219</v>
      </c>
      <c r="D8325" s="113">
        <v>46306917</v>
      </c>
      <c r="E8325" s="115">
        <v>43928</v>
      </c>
      <c r="F8325" s="114">
        <v>202101</v>
      </c>
      <c r="G8325" s="112" t="s">
        <v>1091</v>
      </c>
      <c r="H8325" s="112" t="s">
        <v>1015</v>
      </c>
      <c r="I8325" s="112" t="s">
        <v>1605</v>
      </c>
      <c r="J8325" s="112" t="s">
        <v>5554</v>
      </c>
      <c r="K8325" s="112" t="s">
        <v>5580</v>
      </c>
      <c r="L8325" s="116">
        <v>25000</v>
      </c>
    </row>
    <row r="8326" spans="1:12" hidden="1" outlineLevel="1" collapsed="1" x14ac:dyDescent="0.35">
      <c r="A8326" s="112" t="s">
        <v>5553</v>
      </c>
      <c r="B8326" s="112" t="s">
        <v>927</v>
      </c>
      <c r="C8326" s="112" t="s">
        <v>1219</v>
      </c>
      <c r="D8326" s="113">
        <v>46306916</v>
      </c>
      <c r="E8326" s="115">
        <v>43928</v>
      </c>
      <c r="F8326" s="114">
        <v>202101</v>
      </c>
      <c r="G8326" s="112" t="s">
        <v>1091</v>
      </c>
      <c r="H8326" s="112" t="s">
        <v>1015</v>
      </c>
      <c r="I8326" s="112" t="s">
        <v>1605</v>
      </c>
      <c r="J8326" s="112" t="s">
        <v>5554</v>
      </c>
      <c r="K8326" s="112" t="s">
        <v>5580</v>
      </c>
      <c r="L8326" s="116">
        <v>10000</v>
      </c>
    </row>
    <row r="8327" spans="1:12" hidden="1" outlineLevel="1" collapsed="1" x14ac:dyDescent="0.35">
      <c r="A8327" s="112" t="s">
        <v>5553</v>
      </c>
      <c r="B8327" s="112" t="s">
        <v>927</v>
      </c>
      <c r="C8327" s="112" t="s">
        <v>1219</v>
      </c>
      <c r="D8327" s="113">
        <v>46306915</v>
      </c>
      <c r="E8327" s="115">
        <v>43928</v>
      </c>
      <c r="F8327" s="114">
        <v>202101</v>
      </c>
      <c r="G8327" s="112" t="s">
        <v>1091</v>
      </c>
      <c r="H8327" s="112" t="s">
        <v>1015</v>
      </c>
      <c r="I8327" s="112" t="s">
        <v>1605</v>
      </c>
      <c r="J8327" s="112" t="s">
        <v>5554</v>
      </c>
      <c r="K8327" s="112" t="s">
        <v>5556</v>
      </c>
      <c r="L8327" s="116">
        <v>10000</v>
      </c>
    </row>
    <row r="8328" spans="1:12" hidden="1" outlineLevel="1" collapsed="1" x14ac:dyDescent="0.35">
      <c r="A8328" s="112" t="s">
        <v>5553</v>
      </c>
      <c r="B8328" s="112" t="s">
        <v>928</v>
      </c>
      <c r="C8328" s="112" t="s">
        <v>1095</v>
      </c>
      <c r="D8328" s="113">
        <v>10348451</v>
      </c>
      <c r="E8328" s="115">
        <v>43949</v>
      </c>
      <c r="F8328" s="114">
        <v>202101</v>
      </c>
      <c r="G8328" s="112" t="s">
        <v>1091</v>
      </c>
      <c r="H8328" s="112" t="s">
        <v>1015</v>
      </c>
      <c r="I8328" s="112" t="s">
        <v>1101</v>
      </c>
      <c r="J8328" s="112" t="s">
        <v>5565</v>
      </c>
      <c r="K8328" s="112" t="s">
        <v>1098</v>
      </c>
      <c r="L8328" s="116">
        <v>207.75</v>
      </c>
    </row>
    <row r="8329" spans="1:12" hidden="1" outlineLevel="1" collapsed="1" x14ac:dyDescent="0.35">
      <c r="A8329" s="112" t="s">
        <v>5553</v>
      </c>
      <c r="B8329" s="112" t="s">
        <v>927</v>
      </c>
      <c r="C8329" s="112" t="s">
        <v>1219</v>
      </c>
      <c r="D8329" s="113">
        <v>46306914</v>
      </c>
      <c r="E8329" s="115">
        <v>43928</v>
      </c>
      <c r="F8329" s="114">
        <v>202101</v>
      </c>
      <c r="G8329" s="112" t="s">
        <v>1091</v>
      </c>
      <c r="H8329" s="112" t="s">
        <v>1015</v>
      </c>
      <c r="I8329" s="112" t="s">
        <v>1605</v>
      </c>
      <c r="J8329" s="112" t="s">
        <v>5554</v>
      </c>
      <c r="K8329" s="112" t="s">
        <v>5580</v>
      </c>
      <c r="L8329" s="116">
        <v>25000</v>
      </c>
    </row>
    <row r="8330" spans="1:12" hidden="1" outlineLevel="1" collapsed="1" x14ac:dyDescent="0.35">
      <c r="A8330" s="112" t="s">
        <v>5553</v>
      </c>
      <c r="B8330" s="112" t="s">
        <v>927</v>
      </c>
      <c r="C8330" s="112" t="s">
        <v>1219</v>
      </c>
      <c r="D8330" s="113">
        <v>46306913</v>
      </c>
      <c r="E8330" s="115">
        <v>43928</v>
      </c>
      <c r="F8330" s="114">
        <v>202101</v>
      </c>
      <c r="G8330" s="112" t="s">
        <v>1091</v>
      </c>
      <c r="H8330" s="112" t="s">
        <v>1015</v>
      </c>
      <c r="I8330" s="112" t="s">
        <v>1605</v>
      </c>
      <c r="J8330" s="112" t="s">
        <v>5554</v>
      </c>
      <c r="K8330" s="112" t="s">
        <v>5580</v>
      </c>
      <c r="L8330" s="116">
        <v>25000</v>
      </c>
    </row>
    <row r="8331" spans="1:12" hidden="1" outlineLevel="1" collapsed="1" x14ac:dyDescent="0.35">
      <c r="A8331" s="112" t="s">
        <v>5553</v>
      </c>
      <c r="B8331" s="112" t="s">
        <v>927</v>
      </c>
      <c r="C8331" s="112" t="s">
        <v>1219</v>
      </c>
      <c r="D8331" s="113">
        <v>46306912</v>
      </c>
      <c r="E8331" s="115">
        <v>43928</v>
      </c>
      <c r="F8331" s="114">
        <v>202101</v>
      </c>
      <c r="G8331" s="112" t="s">
        <v>1091</v>
      </c>
      <c r="H8331" s="112" t="s">
        <v>1015</v>
      </c>
      <c r="I8331" s="112" t="s">
        <v>1605</v>
      </c>
      <c r="J8331" s="112" t="s">
        <v>5554</v>
      </c>
      <c r="K8331" s="112" t="s">
        <v>5580</v>
      </c>
      <c r="L8331" s="116">
        <v>25000</v>
      </c>
    </row>
    <row r="8332" spans="1:12" hidden="1" outlineLevel="1" collapsed="1" x14ac:dyDescent="0.35">
      <c r="A8332" s="112" t="s">
        <v>5553</v>
      </c>
      <c r="B8332" s="112" t="s">
        <v>927</v>
      </c>
      <c r="C8332" s="112" t="s">
        <v>1095</v>
      </c>
      <c r="D8332" s="113">
        <v>10348451</v>
      </c>
      <c r="E8332" s="115">
        <v>43949</v>
      </c>
      <c r="F8332" s="114">
        <v>202101</v>
      </c>
      <c r="G8332" s="112" t="s">
        <v>1091</v>
      </c>
      <c r="H8332" s="112" t="s">
        <v>1015</v>
      </c>
      <c r="I8332" s="112" t="s">
        <v>1101</v>
      </c>
      <c r="J8332" s="112" t="s">
        <v>5557</v>
      </c>
      <c r="K8332" s="112" t="s">
        <v>1098</v>
      </c>
      <c r="L8332" s="116">
        <v>426.26</v>
      </c>
    </row>
    <row r="8333" spans="1:12" hidden="1" outlineLevel="1" collapsed="1" x14ac:dyDescent="0.35">
      <c r="A8333" s="112" t="s">
        <v>5553</v>
      </c>
      <c r="B8333" s="112" t="s">
        <v>927</v>
      </c>
      <c r="C8333" s="112" t="s">
        <v>1095</v>
      </c>
      <c r="D8333" s="113">
        <v>10348451</v>
      </c>
      <c r="E8333" s="115">
        <v>43949</v>
      </c>
      <c r="F8333" s="114">
        <v>202101</v>
      </c>
      <c r="G8333" s="112" t="s">
        <v>1091</v>
      </c>
      <c r="H8333" s="112" t="s">
        <v>1015</v>
      </c>
      <c r="I8333" s="112" t="s">
        <v>1096</v>
      </c>
      <c r="J8333" s="112" t="s">
        <v>5557</v>
      </c>
      <c r="K8333" s="112" t="s">
        <v>1098</v>
      </c>
      <c r="L8333" s="116">
        <v>167.31</v>
      </c>
    </row>
    <row r="8334" spans="1:12" hidden="1" outlineLevel="1" collapsed="1" x14ac:dyDescent="0.35">
      <c r="A8334" s="112" t="s">
        <v>5553</v>
      </c>
      <c r="B8334" s="112" t="s">
        <v>927</v>
      </c>
      <c r="C8334" s="112" t="s">
        <v>1219</v>
      </c>
      <c r="D8334" s="113">
        <v>46306910</v>
      </c>
      <c r="E8334" s="115">
        <v>43928</v>
      </c>
      <c r="F8334" s="114">
        <v>202101</v>
      </c>
      <c r="G8334" s="112" t="s">
        <v>1091</v>
      </c>
      <c r="H8334" s="112" t="s">
        <v>1015</v>
      </c>
      <c r="I8334" s="112" t="s">
        <v>1605</v>
      </c>
      <c r="J8334" s="112" t="s">
        <v>5554</v>
      </c>
      <c r="K8334" s="112" t="s">
        <v>5580</v>
      </c>
      <c r="L8334" s="116">
        <v>25000</v>
      </c>
    </row>
    <row r="8335" spans="1:12" hidden="1" outlineLevel="1" collapsed="1" x14ac:dyDescent="0.35">
      <c r="A8335" s="112" t="s">
        <v>5553</v>
      </c>
      <c r="B8335" s="112" t="s">
        <v>927</v>
      </c>
      <c r="C8335" s="112" t="s">
        <v>1219</v>
      </c>
      <c r="D8335" s="113">
        <v>46306909</v>
      </c>
      <c r="E8335" s="115">
        <v>43928</v>
      </c>
      <c r="F8335" s="114">
        <v>202101</v>
      </c>
      <c r="G8335" s="112" t="s">
        <v>1091</v>
      </c>
      <c r="H8335" s="112" t="s">
        <v>1015</v>
      </c>
      <c r="I8335" s="112" t="s">
        <v>1605</v>
      </c>
      <c r="J8335" s="112" t="s">
        <v>5554</v>
      </c>
      <c r="K8335" s="112" t="s">
        <v>5556</v>
      </c>
      <c r="L8335" s="116">
        <v>10000</v>
      </c>
    </row>
    <row r="8336" spans="1:12" hidden="1" outlineLevel="1" collapsed="1" x14ac:dyDescent="0.35">
      <c r="A8336" s="112" t="s">
        <v>5553</v>
      </c>
      <c r="B8336" s="112" t="s">
        <v>924</v>
      </c>
      <c r="C8336" s="112" t="s">
        <v>695</v>
      </c>
      <c r="D8336" s="113">
        <v>10348138</v>
      </c>
      <c r="E8336" s="115">
        <v>43930</v>
      </c>
      <c r="F8336" s="114">
        <v>202101</v>
      </c>
      <c r="G8336" s="112" t="s">
        <v>1091</v>
      </c>
      <c r="H8336" s="112" t="s">
        <v>1016</v>
      </c>
      <c r="I8336" s="112" t="s">
        <v>1328</v>
      </c>
      <c r="J8336" s="112" t="s">
        <v>5558</v>
      </c>
      <c r="K8336" s="112" t="s">
        <v>1951</v>
      </c>
      <c r="L8336" s="116">
        <v>36000</v>
      </c>
    </row>
    <row r="8337" spans="1:12" hidden="1" outlineLevel="1" collapsed="1" x14ac:dyDescent="0.35">
      <c r="A8337" s="112" t="s">
        <v>5553</v>
      </c>
      <c r="B8337" s="112" t="s">
        <v>925</v>
      </c>
      <c r="C8337" s="112" t="s">
        <v>1095</v>
      </c>
      <c r="D8337" s="113">
        <v>10348451</v>
      </c>
      <c r="E8337" s="115">
        <v>43949</v>
      </c>
      <c r="F8337" s="114">
        <v>202101</v>
      </c>
      <c r="G8337" s="112" t="s">
        <v>1091</v>
      </c>
      <c r="H8337" s="112" t="s">
        <v>1015</v>
      </c>
      <c r="I8337" s="112" t="s">
        <v>1128</v>
      </c>
      <c r="J8337" s="112" t="s">
        <v>5559</v>
      </c>
      <c r="K8337" s="112" t="s">
        <v>1098</v>
      </c>
      <c r="L8337" s="116">
        <v>243</v>
      </c>
    </row>
    <row r="8338" spans="1:12" hidden="1" outlineLevel="1" collapsed="1" x14ac:dyDescent="0.35">
      <c r="A8338" s="112" t="s">
        <v>5553</v>
      </c>
      <c r="B8338" s="112" t="s">
        <v>927</v>
      </c>
      <c r="C8338" s="112" t="s">
        <v>1219</v>
      </c>
      <c r="D8338" s="113">
        <v>46306908</v>
      </c>
      <c r="E8338" s="115">
        <v>43928</v>
      </c>
      <c r="F8338" s="114">
        <v>202101</v>
      </c>
      <c r="G8338" s="112" t="s">
        <v>1091</v>
      </c>
      <c r="H8338" s="112" t="s">
        <v>1015</v>
      </c>
      <c r="I8338" s="112" t="s">
        <v>1605</v>
      </c>
      <c r="J8338" s="112" t="s">
        <v>5554</v>
      </c>
      <c r="K8338" s="112" t="s">
        <v>5580</v>
      </c>
      <c r="L8338" s="116">
        <v>10000</v>
      </c>
    </row>
    <row r="8339" spans="1:12" hidden="1" outlineLevel="1" collapsed="1" x14ac:dyDescent="0.35">
      <c r="A8339" s="112" t="s">
        <v>5553</v>
      </c>
      <c r="B8339" s="112" t="s">
        <v>927</v>
      </c>
      <c r="C8339" s="112" t="s">
        <v>1219</v>
      </c>
      <c r="D8339" s="113">
        <v>46306907</v>
      </c>
      <c r="E8339" s="115">
        <v>43928</v>
      </c>
      <c r="F8339" s="114">
        <v>202101</v>
      </c>
      <c r="G8339" s="112" t="s">
        <v>1091</v>
      </c>
      <c r="H8339" s="112" t="s">
        <v>1015</v>
      </c>
      <c r="I8339" s="112" t="s">
        <v>1605</v>
      </c>
      <c r="J8339" s="112" t="s">
        <v>5554</v>
      </c>
      <c r="K8339" s="112" t="s">
        <v>5580</v>
      </c>
      <c r="L8339" s="116">
        <v>25000</v>
      </c>
    </row>
    <row r="8340" spans="1:12" hidden="1" outlineLevel="1" collapsed="1" x14ac:dyDescent="0.35">
      <c r="A8340" s="112" t="s">
        <v>5553</v>
      </c>
      <c r="B8340" s="112" t="s">
        <v>927</v>
      </c>
      <c r="C8340" s="112" t="s">
        <v>1219</v>
      </c>
      <c r="D8340" s="113">
        <v>46306906</v>
      </c>
      <c r="E8340" s="115">
        <v>43928</v>
      </c>
      <c r="F8340" s="114">
        <v>202101</v>
      </c>
      <c r="G8340" s="112" t="s">
        <v>1091</v>
      </c>
      <c r="H8340" s="112" t="s">
        <v>1015</v>
      </c>
      <c r="I8340" s="112" t="s">
        <v>1605</v>
      </c>
      <c r="J8340" s="112" t="s">
        <v>5554</v>
      </c>
      <c r="K8340" s="112" t="s">
        <v>5556</v>
      </c>
      <c r="L8340" s="116">
        <v>10000</v>
      </c>
    </row>
    <row r="8341" spans="1:12" hidden="1" outlineLevel="1" collapsed="1" x14ac:dyDescent="0.35">
      <c r="A8341" s="112" t="s">
        <v>5553</v>
      </c>
      <c r="B8341" s="112" t="s">
        <v>927</v>
      </c>
      <c r="C8341" s="112" t="s">
        <v>1219</v>
      </c>
      <c r="D8341" s="113">
        <v>46306905</v>
      </c>
      <c r="E8341" s="115">
        <v>43928</v>
      </c>
      <c r="F8341" s="114">
        <v>202101</v>
      </c>
      <c r="G8341" s="112" t="s">
        <v>1091</v>
      </c>
      <c r="H8341" s="112" t="s">
        <v>1015</v>
      </c>
      <c r="I8341" s="112" t="s">
        <v>1605</v>
      </c>
      <c r="J8341" s="112" t="s">
        <v>5554</v>
      </c>
      <c r="K8341" s="112" t="s">
        <v>5580</v>
      </c>
      <c r="L8341" s="116">
        <v>25000</v>
      </c>
    </row>
    <row r="8342" spans="1:12" hidden="1" outlineLevel="1" collapsed="1" x14ac:dyDescent="0.35">
      <c r="A8342" s="112" t="s">
        <v>5553</v>
      </c>
      <c r="B8342" s="112" t="s">
        <v>927</v>
      </c>
      <c r="C8342" s="112" t="s">
        <v>1095</v>
      </c>
      <c r="D8342" s="113">
        <v>10348451</v>
      </c>
      <c r="E8342" s="115">
        <v>43949</v>
      </c>
      <c r="F8342" s="114">
        <v>202101</v>
      </c>
      <c r="G8342" s="112" t="s">
        <v>1091</v>
      </c>
      <c r="H8342" s="112" t="s">
        <v>1015</v>
      </c>
      <c r="I8342" s="112" t="s">
        <v>1096</v>
      </c>
      <c r="J8342" s="112" t="s">
        <v>5554</v>
      </c>
      <c r="K8342" s="112" t="s">
        <v>1098</v>
      </c>
      <c r="L8342" s="116">
        <v>210.79</v>
      </c>
    </row>
    <row r="8343" spans="1:12" hidden="1" outlineLevel="1" collapsed="1" x14ac:dyDescent="0.35">
      <c r="A8343" s="112" t="s">
        <v>5553</v>
      </c>
      <c r="B8343" s="112" t="s">
        <v>927</v>
      </c>
      <c r="C8343" s="112" t="s">
        <v>1219</v>
      </c>
      <c r="D8343" s="113">
        <v>46306904</v>
      </c>
      <c r="E8343" s="115">
        <v>43928</v>
      </c>
      <c r="F8343" s="114">
        <v>202101</v>
      </c>
      <c r="G8343" s="112" t="s">
        <v>1091</v>
      </c>
      <c r="H8343" s="112" t="s">
        <v>1015</v>
      </c>
      <c r="I8343" s="112" t="s">
        <v>1605</v>
      </c>
      <c r="J8343" s="112" t="s">
        <v>5554</v>
      </c>
      <c r="K8343" s="112" t="s">
        <v>5580</v>
      </c>
      <c r="L8343" s="116">
        <v>25000</v>
      </c>
    </row>
    <row r="8344" spans="1:12" hidden="1" outlineLevel="1" collapsed="1" x14ac:dyDescent="0.35">
      <c r="A8344" s="112" t="s">
        <v>5553</v>
      </c>
      <c r="B8344" s="112" t="s">
        <v>926</v>
      </c>
      <c r="C8344" s="112" t="s">
        <v>1095</v>
      </c>
      <c r="D8344" s="113">
        <v>10348451</v>
      </c>
      <c r="E8344" s="115">
        <v>43949</v>
      </c>
      <c r="F8344" s="114">
        <v>202101</v>
      </c>
      <c r="G8344" s="112" t="s">
        <v>1091</v>
      </c>
      <c r="H8344" s="112" t="s">
        <v>1015</v>
      </c>
      <c r="I8344" s="112" t="s">
        <v>1101</v>
      </c>
      <c r="J8344" s="112" t="s">
        <v>5591</v>
      </c>
      <c r="K8344" s="112" t="s">
        <v>1098</v>
      </c>
      <c r="L8344" s="116">
        <v>379.69</v>
      </c>
    </row>
    <row r="8345" spans="1:12" hidden="1" outlineLevel="1" collapsed="1" x14ac:dyDescent="0.35">
      <c r="A8345" s="112" t="s">
        <v>5553</v>
      </c>
      <c r="B8345" s="112" t="s">
        <v>927</v>
      </c>
      <c r="C8345" s="112" t="s">
        <v>1219</v>
      </c>
      <c r="D8345" s="113">
        <v>46306903</v>
      </c>
      <c r="E8345" s="115">
        <v>43928</v>
      </c>
      <c r="F8345" s="114">
        <v>202101</v>
      </c>
      <c r="G8345" s="112" t="s">
        <v>1091</v>
      </c>
      <c r="H8345" s="112" t="s">
        <v>1015</v>
      </c>
      <c r="I8345" s="112" t="s">
        <v>1605</v>
      </c>
      <c r="J8345" s="112" t="s">
        <v>5554</v>
      </c>
      <c r="K8345" s="112" t="s">
        <v>5580</v>
      </c>
      <c r="L8345" s="116">
        <v>25000</v>
      </c>
    </row>
    <row r="8346" spans="1:12" hidden="1" outlineLevel="1" collapsed="1" x14ac:dyDescent="0.35">
      <c r="A8346" s="112" t="s">
        <v>5553</v>
      </c>
      <c r="B8346" s="112" t="s">
        <v>927</v>
      </c>
      <c r="C8346" s="112" t="s">
        <v>1219</v>
      </c>
      <c r="D8346" s="113">
        <v>46306878</v>
      </c>
      <c r="E8346" s="115">
        <v>43928</v>
      </c>
      <c r="F8346" s="114">
        <v>202101</v>
      </c>
      <c r="G8346" s="112" t="s">
        <v>1091</v>
      </c>
      <c r="H8346" s="112" t="s">
        <v>1015</v>
      </c>
      <c r="I8346" s="112" t="s">
        <v>1605</v>
      </c>
      <c r="J8346" s="112" t="s">
        <v>5554</v>
      </c>
      <c r="K8346" s="112" t="s">
        <v>5580</v>
      </c>
      <c r="L8346" s="116">
        <v>25000</v>
      </c>
    </row>
    <row r="8347" spans="1:12" hidden="1" outlineLevel="1" collapsed="1" x14ac:dyDescent="0.35">
      <c r="A8347" s="112" t="s">
        <v>5553</v>
      </c>
      <c r="B8347" s="112" t="s">
        <v>927</v>
      </c>
      <c r="C8347" s="112" t="s">
        <v>1095</v>
      </c>
      <c r="D8347" s="113">
        <v>10348451</v>
      </c>
      <c r="E8347" s="115">
        <v>43949</v>
      </c>
      <c r="F8347" s="114">
        <v>202101</v>
      </c>
      <c r="G8347" s="112" t="s">
        <v>1091</v>
      </c>
      <c r="H8347" s="112" t="s">
        <v>1015</v>
      </c>
      <c r="I8347" s="112" t="s">
        <v>1101</v>
      </c>
      <c r="J8347" s="112" t="s">
        <v>5554</v>
      </c>
      <c r="K8347" s="112" t="s">
        <v>1098</v>
      </c>
      <c r="L8347" s="116">
        <v>366.04</v>
      </c>
    </row>
    <row r="8348" spans="1:12" hidden="1" outlineLevel="1" collapsed="1" x14ac:dyDescent="0.35">
      <c r="A8348" s="112" t="s">
        <v>5553</v>
      </c>
      <c r="B8348" s="112" t="s">
        <v>927</v>
      </c>
      <c r="C8348" s="112" t="s">
        <v>1219</v>
      </c>
      <c r="D8348" s="113">
        <v>46306952</v>
      </c>
      <c r="E8348" s="115">
        <v>43929</v>
      </c>
      <c r="F8348" s="114">
        <v>202101</v>
      </c>
      <c r="G8348" s="112" t="s">
        <v>1091</v>
      </c>
      <c r="H8348" s="112" t="s">
        <v>1015</v>
      </c>
      <c r="I8348" s="112" t="s">
        <v>1605</v>
      </c>
      <c r="J8348" s="112" t="s">
        <v>5554</v>
      </c>
      <c r="K8348" s="112" t="s">
        <v>5580</v>
      </c>
      <c r="L8348" s="116">
        <v>25000</v>
      </c>
    </row>
    <row r="8349" spans="1:12" hidden="1" outlineLevel="1" collapsed="1" x14ac:dyDescent="0.35">
      <c r="A8349" s="112" t="s">
        <v>5553</v>
      </c>
      <c r="B8349" s="112" t="s">
        <v>927</v>
      </c>
      <c r="C8349" s="112" t="s">
        <v>1219</v>
      </c>
      <c r="D8349" s="113">
        <v>46306962</v>
      </c>
      <c r="E8349" s="115">
        <v>43929</v>
      </c>
      <c r="F8349" s="114">
        <v>202101</v>
      </c>
      <c r="G8349" s="112" t="s">
        <v>1091</v>
      </c>
      <c r="H8349" s="112" t="s">
        <v>1015</v>
      </c>
      <c r="I8349" s="112" t="s">
        <v>1605</v>
      </c>
      <c r="J8349" s="112" t="s">
        <v>5554</v>
      </c>
      <c r="K8349" s="112" t="s">
        <v>5580</v>
      </c>
      <c r="L8349" s="116">
        <v>25000</v>
      </c>
    </row>
    <row r="8350" spans="1:12" hidden="1" outlineLevel="1" collapsed="1" x14ac:dyDescent="0.35">
      <c r="A8350" s="112" t="s">
        <v>5553</v>
      </c>
      <c r="B8350" s="112" t="s">
        <v>927</v>
      </c>
      <c r="C8350" s="112" t="s">
        <v>1219</v>
      </c>
      <c r="D8350" s="113">
        <v>46306961</v>
      </c>
      <c r="E8350" s="115">
        <v>43929</v>
      </c>
      <c r="F8350" s="114">
        <v>202101</v>
      </c>
      <c r="G8350" s="112" t="s">
        <v>1091</v>
      </c>
      <c r="H8350" s="112" t="s">
        <v>1015</v>
      </c>
      <c r="I8350" s="112" t="s">
        <v>1605</v>
      </c>
      <c r="J8350" s="112" t="s">
        <v>5554</v>
      </c>
      <c r="K8350" s="112" t="s">
        <v>5580</v>
      </c>
      <c r="L8350" s="116">
        <v>25000</v>
      </c>
    </row>
    <row r="8351" spans="1:12" hidden="1" outlineLevel="1" collapsed="1" x14ac:dyDescent="0.35">
      <c r="A8351" s="112" t="s">
        <v>5553</v>
      </c>
      <c r="B8351" s="112" t="s">
        <v>927</v>
      </c>
      <c r="C8351" s="112" t="s">
        <v>1219</v>
      </c>
      <c r="D8351" s="113">
        <v>46306960</v>
      </c>
      <c r="E8351" s="115">
        <v>43929</v>
      </c>
      <c r="F8351" s="114">
        <v>202101</v>
      </c>
      <c r="G8351" s="112" t="s">
        <v>1091</v>
      </c>
      <c r="H8351" s="112" t="s">
        <v>1015</v>
      </c>
      <c r="I8351" s="112" t="s">
        <v>1605</v>
      </c>
      <c r="J8351" s="112" t="s">
        <v>5554</v>
      </c>
      <c r="K8351" s="112" t="s">
        <v>5580</v>
      </c>
      <c r="L8351" s="116">
        <v>25000</v>
      </c>
    </row>
    <row r="8352" spans="1:12" hidden="1" outlineLevel="1" collapsed="1" x14ac:dyDescent="0.35">
      <c r="A8352" s="112" t="s">
        <v>5553</v>
      </c>
      <c r="B8352" s="112" t="s">
        <v>927</v>
      </c>
      <c r="C8352" s="112" t="s">
        <v>1219</v>
      </c>
      <c r="D8352" s="113">
        <v>46306959</v>
      </c>
      <c r="E8352" s="115">
        <v>43929</v>
      </c>
      <c r="F8352" s="114">
        <v>202101</v>
      </c>
      <c r="G8352" s="112" t="s">
        <v>1091</v>
      </c>
      <c r="H8352" s="112" t="s">
        <v>1015</v>
      </c>
      <c r="I8352" s="112" t="s">
        <v>1605</v>
      </c>
      <c r="J8352" s="112" t="s">
        <v>5554</v>
      </c>
      <c r="K8352" s="112" t="s">
        <v>5580</v>
      </c>
      <c r="L8352" s="116">
        <v>25000</v>
      </c>
    </row>
    <row r="8353" spans="1:12" hidden="1" outlineLevel="1" collapsed="1" x14ac:dyDescent="0.35">
      <c r="A8353" s="112" t="s">
        <v>5553</v>
      </c>
      <c r="B8353" s="112" t="s">
        <v>927</v>
      </c>
      <c r="C8353" s="112" t="s">
        <v>1219</v>
      </c>
      <c r="D8353" s="113">
        <v>46306958</v>
      </c>
      <c r="E8353" s="115">
        <v>43929</v>
      </c>
      <c r="F8353" s="114">
        <v>202101</v>
      </c>
      <c r="G8353" s="112" t="s">
        <v>1091</v>
      </c>
      <c r="H8353" s="112" t="s">
        <v>1015</v>
      </c>
      <c r="I8353" s="112" t="s">
        <v>1605</v>
      </c>
      <c r="J8353" s="112" t="s">
        <v>5554</v>
      </c>
      <c r="K8353" s="112" t="s">
        <v>5580</v>
      </c>
      <c r="L8353" s="116">
        <v>25000</v>
      </c>
    </row>
    <row r="8354" spans="1:12" hidden="1" outlineLevel="1" collapsed="1" x14ac:dyDescent="0.35">
      <c r="A8354" s="112" t="s">
        <v>5553</v>
      </c>
      <c r="B8354" s="112" t="s">
        <v>927</v>
      </c>
      <c r="C8354" s="112" t="s">
        <v>1219</v>
      </c>
      <c r="D8354" s="113">
        <v>46306957</v>
      </c>
      <c r="E8354" s="115">
        <v>43929</v>
      </c>
      <c r="F8354" s="114">
        <v>202101</v>
      </c>
      <c r="G8354" s="112" t="s">
        <v>1091</v>
      </c>
      <c r="H8354" s="112" t="s">
        <v>1015</v>
      </c>
      <c r="I8354" s="112" t="s">
        <v>1605</v>
      </c>
      <c r="J8354" s="112" t="s">
        <v>5554</v>
      </c>
      <c r="K8354" s="112" t="s">
        <v>5580</v>
      </c>
      <c r="L8354" s="116">
        <v>25000</v>
      </c>
    </row>
    <row r="8355" spans="1:12" hidden="1" outlineLevel="1" collapsed="1" x14ac:dyDescent="0.35">
      <c r="A8355" s="112" t="s">
        <v>5553</v>
      </c>
      <c r="B8355" s="112" t="s">
        <v>927</v>
      </c>
      <c r="C8355" s="112" t="s">
        <v>1219</v>
      </c>
      <c r="D8355" s="113">
        <v>46306956</v>
      </c>
      <c r="E8355" s="115">
        <v>43929</v>
      </c>
      <c r="F8355" s="114">
        <v>202101</v>
      </c>
      <c r="G8355" s="112" t="s">
        <v>1091</v>
      </c>
      <c r="H8355" s="112" t="s">
        <v>1015</v>
      </c>
      <c r="I8355" s="112" t="s">
        <v>1605</v>
      </c>
      <c r="J8355" s="112" t="s">
        <v>5554</v>
      </c>
      <c r="K8355" s="112" t="s">
        <v>5580</v>
      </c>
      <c r="L8355" s="116">
        <v>25000</v>
      </c>
    </row>
    <row r="8356" spans="1:12" hidden="1" outlineLevel="1" collapsed="1" x14ac:dyDescent="0.35">
      <c r="A8356" s="112" t="s">
        <v>5553</v>
      </c>
      <c r="B8356" s="112" t="s">
        <v>927</v>
      </c>
      <c r="C8356" s="112" t="s">
        <v>1219</v>
      </c>
      <c r="D8356" s="113">
        <v>46306955</v>
      </c>
      <c r="E8356" s="115">
        <v>43929</v>
      </c>
      <c r="F8356" s="114">
        <v>202101</v>
      </c>
      <c r="G8356" s="112" t="s">
        <v>1091</v>
      </c>
      <c r="H8356" s="112" t="s">
        <v>1015</v>
      </c>
      <c r="I8356" s="112" t="s">
        <v>1605</v>
      </c>
      <c r="J8356" s="112" t="s">
        <v>5554</v>
      </c>
      <c r="K8356" s="112" t="s">
        <v>5580</v>
      </c>
      <c r="L8356" s="116">
        <v>25000</v>
      </c>
    </row>
    <row r="8357" spans="1:12" hidden="1" outlineLevel="1" collapsed="1" x14ac:dyDescent="0.35">
      <c r="A8357" s="112" t="s">
        <v>5553</v>
      </c>
      <c r="B8357" s="112" t="s">
        <v>927</v>
      </c>
      <c r="C8357" s="112" t="s">
        <v>1219</v>
      </c>
      <c r="D8357" s="113">
        <v>46306954</v>
      </c>
      <c r="E8357" s="115">
        <v>43929</v>
      </c>
      <c r="F8357" s="114">
        <v>202101</v>
      </c>
      <c r="G8357" s="112" t="s">
        <v>1091</v>
      </c>
      <c r="H8357" s="112" t="s">
        <v>1015</v>
      </c>
      <c r="I8357" s="112" t="s">
        <v>1605</v>
      </c>
      <c r="J8357" s="112" t="s">
        <v>5554</v>
      </c>
      <c r="K8357" s="112" t="s">
        <v>5580</v>
      </c>
      <c r="L8357" s="116">
        <v>25000</v>
      </c>
    </row>
    <row r="8358" spans="1:12" hidden="1" outlineLevel="1" collapsed="1" x14ac:dyDescent="0.35">
      <c r="A8358" s="112" t="s">
        <v>5553</v>
      </c>
      <c r="B8358" s="112" t="s">
        <v>927</v>
      </c>
      <c r="C8358" s="112" t="s">
        <v>1219</v>
      </c>
      <c r="D8358" s="113">
        <v>46306953</v>
      </c>
      <c r="E8358" s="115">
        <v>43929</v>
      </c>
      <c r="F8358" s="114">
        <v>202101</v>
      </c>
      <c r="G8358" s="112" t="s">
        <v>1091</v>
      </c>
      <c r="H8358" s="112" t="s">
        <v>1015</v>
      </c>
      <c r="I8358" s="112" t="s">
        <v>1605</v>
      </c>
      <c r="J8358" s="112" t="s">
        <v>5554</v>
      </c>
      <c r="K8358" s="112" t="s">
        <v>5580</v>
      </c>
      <c r="L8358" s="116">
        <v>25000</v>
      </c>
    </row>
    <row r="8359" spans="1:12" hidden="1" outlineLevel="1" collapsed="1" x14ac:dyDescent="0.35">
      <c r="A8359" s="112" t="s">
        <v>5553</v>
      </c>
      <c r="B8359" s="112" t="s">
        <v>924</v>
      </c>
      <c r="C8359" s="112" t="s">
        <v>1095</v>
      </c>
      <c r="D8359" s="113">
        <v>10348451</v>
      </c>
      <c r="E8359" s="115">
        <v>43949</v>
      </c>
      <c r="F8359" s="114">
        <v>202101</v>
      </c>
      <c r="G8359" s="112" t="s">
        <v>1091</v>
      </c>
      <c r="H8359" s="112" t="s">
        <v>1015</v>
      </c>
      <c r="I8359" s="112" t="s">
        <v>1101</v>
      </c>
      <c r="J8359" s="112" t="s">
        <v>5558</v>
      </c>
      <c r="K8359" s="112" t="s">
        <v>1098</v>
      </c>
      <c r="L8359" s="116">
        <v>602.15</v>
      </c>
    </row>
    <row r="8360" spans="1:12" hidden="1" outlineLevel="1" collapsed="1" x14ac:dyDescent="0.35">
      <c r="A8360" s="112" t="s">
        <v>5553</v>
      </c>
      <c r="B8360" s="112" t="s">
        <v>925</v>
      </c>
      <c r="C8360" s="112" t="s">
        <v>1095</v>
      </c>
      <c r="D8360" s="113">
        <v>10348451</v>
      </c>
      <c r="E8360" s="115">
        <v>43949</v>
      </c>
      <c r="F8360" s="114">
        <v>202101</v>
      </c>
      <c r="G8360" s="112" t="s">
        <v>1091</v>
      </c>
      <c r="H8360" s="112" t="s">
        <v>1015</v>
      </c>
      <c r="I8360" s="112" t="s">
        <v>1101</v>
      </c>
      <c r="J8360" s="112" t="s">
        <v>5559</v>
      </c>
      <c r="K8360" s="112" t="s">
        <v>1098</v>
      </c>
      <c r="L8360" s="116">
        <v>615.37</v>
      </c>
    </row>
    <row r="8361" spans="1:12" hidden="1" outlineLevel="1" collapsed="1" x14ac:dyDescent="0.35">
      <c r="A8361" s="112" t="s">
        <v>5553</v>
      </c>
      <c r="B8361" s="112" t="s">
        <v>927</v>
      </c>
      <c r="C8361" s="112" t="s">
        <v>1219</v>
      </c>
      <c r="D8361" s="113">
        <v>46306963</v>
      </c>
      <c r="E8361" s="115">
        <v>43929</v>
      </c>
      <c r="F8361" s="114">
        <v>202101</v>
      </c>
      <c r="G8361" s="112" t="s">
        <v>1091</v>
      </c>
      <c r="H8361" s="112" t="s">
        <v>1015</v>
      </c>
      <c r="I8361" s="112" t="s">
        <v>1605</v>
      </c>
      <c r="J8361" s="112" t="s">
        <v>5554</v>
      </c>
      <c r="K8361" s="112" t="s">
        <v>5580</v>
      </c>
      <c r="L8361" s="116">
        <v>25000</v>
      </c>
    </row>
    <row r="8362" spans="1:12" hidden="1" outlineLevel="1" collapsed="1" x14ac:dyDescent="0.35">
      <c r="A8362" s="112" t="s">
        <v>5553</v>
      </c>
      <c r="B8362" s="112" t="s">
        <v>927</v>
      </c>
      <c r="C8362" s="112" t="s">
        <v>1219</v>
      </c>
      <c r="D8362" s="113">
        <v>46306951</v>
      </c>
      <c r="E8362" s="115">
        <v>43929</v>
      </c>
      <c r="F8362" s="114">
        <v>202101</v>
      </c>
      <c r="G8362" s="112" t="s">
        <v>1091</v>
      </c>
      <c r="H8362" s="112" t="s">
        <v>1015</v>
      </c>
      <c r="I8362" s="112" t="s">
        <v>1605</v>
      </c>
      <c r="J8362" s="112" t="s">
        <v>5554</v>
      </c>
      <c r="K8362" s="112" t="s">
        <v>5580</v>
      </c>
      <c r="L8362" s="116">
        <v>25000</v>
      </c>
    </row>
    <row r="8363" spans="1:12" hidden="1" outlineLevel="1" collapsed="1" x14ac:dyDescent="0.35">
      <c r="A8363" s="112" t="s">
        <v>5553</v>
      </c>
      <c r="B8363" s="112" t="s">
        <v>927</v>
      </c>
      <c r="C8363" s="112" t="s">
        <v>1219</v>
      </c>
      <c r="D8363" s="113">
        <v>46306950</v>
      </c>
      <c r="E8363" s="115">
        <v>43929</v>
      </c>
      <c r="F8363" s="114">
        <v>202101</v>
      </c>
      <c r="G8363" s="112" t="s">
        <v>1091</v>
      </c>
      <c r="H8363" s="112" t="s">
        <v>1015</v>
      </c>
      <c r="I8363" s="112" t="s">
        <v>1605</v>
      </c>
      <c r="J8363" s="112" t="s">
        <v>5554</v>
      </c>
      <c r="K8363" s="112" t="s">
        <v>5580</v>
      </c>
      <c r="L8363" s="116">
        <v>25000</v>
      </c>
    </row>
    <row r="8364" spans="1:12" hidden="1" outlineLevel="1" collapsed="1" x14ac:dyDescent="0.35">
      <c r="A8364" s="112" t="s">
        <v>5553</v>
      </c>
      <c r="B8364" s="112" t="s">
        <v>927</v>
      </c>
      <c r="C8364" s="112" t="s">
        <v>1219</v>
      </c>
      <c r="D8364" s="113">
        <v>46306949</v>
      </c>
      <c r="E8364" s="115">
        <v>43929</v>
      </c>
      <c r="F8364" s="114">
        <v>202101</v>
      </c>
      <c r="G8364" s="112" t="s">
        <v>1091</v>
      </c>
      <c r="H8364" s="112" t="s">
        <v>1015</v>
      </c>
      <c r="I8364" s="112" t="s">
        <v>1605</v>
      </c>
      <c r="J8364" s="112" t="s">
        <v>5554</v>
      </c>
      <c r="K8364" s="112" t="s">
        <v>5580</v>
      </c>
      <c r="L8364" s="116">
        <v>25000</v>
      </c>
    </row>
    <row r="8365" spans="1:12" hidden="1" outlineLevel="1" collapsed="1" x14ac:dyDescent="0.35">
      <c r="A8365" s="112" t="s">
        <v>5553</v>
      </c>
      <c r="B8365" s="112" t="s">
        <v>927</v>
      </c>
      <c r="C8365" s="112" t="s">
        <v>1219</v>
      </c>
      <c r="D8365" s="113">
        <v>46306948</v>
      </c>
      <c r="E8365" s="115">
        <v>43929</v>
      </c>
      <c r="F8365" s="114">
        <v>202101</v>
      </c>
      <c r="G8365" s="112" t="s">
        <v>1091</v>
      </c>
      <c r="H8365" s="112" t="s">
        <v>1015</v>
      </c>
      <c r="I8365" s="112" t="s">
        <v>1605</v>
      </c>
      <c r="J8365" s="112" t="s">
        <v>5554</v>
      </c>
      <c r="K8365" s="112" t="s">
        <v>5580</v>
      </c>
      <c r="L8365" s="116">
        <v>25000</v>
      </c>
    </row>
    <row r="8366" spans="1:12" hidden="1" outlineLevel="1" collapsed="1" x14ac:dyDescent="0.35">
      <c r="A8366" s="112" t="s">
        <v>5553</v>
      </c>
      <c r="B8366" s="112" t="s">
        <v>927</v>
      </c>
      <c r="C8366" s="112" t="s">
        <v>1219</v>
      </c>
      <c r="D8366" s="113">
        <v>46306947</v>
      </c>
      <c r="E8366" s="115">
        <v>43929</v>
      </c>
      <c r="F8366" s="114">
        <v>202101</v>
      </c>
      <c r="G8366" s="112" t="s">
        <v>1091</v>
      </c>
      <c r="H8366" s="112" t="s">
        <v>1015</v>
      </c>
      <c r="I8366" s="112" t="s">
        <v>1605</v>
      </c>
      <c r="J8366" s="112" t="s">
        <v>5554</v>
      </c>
      <c r="K8366" s="112" t="s">
        <v>5580</v>
      </c>
      <c r="L8366" s="116">
        <v>25000</v>
      </c>
    </row>
    <row r="8367" spans="1:12" hidden="1" outlineLevel="1" collapsed="1" x14ac:dyDescent="0.35">
      <c r="A8367" s="112" t="s">
        <v>5553</v>
      </c>
      <c r="B8367" s="112" t="s">
        <v>927</v>
      </c>
      <c r="C8367" s="112" t="s">
        <v>1219</v>
      </c>
      <c r="D8367" s="113">
        <v>46306946</v>
      </c>
      <c r="E8367" s="115">
        <v>43929</v>
      </c>
      <c r="F8367" s="114">
        <v>202101</v>
      </c>
      <c r="G8367" s="112" t="s">
        <v>1091</v>
      </c>
      <c r="H8367" s="112" t="s">
        <v>1015</v>
      </c>
      <c r="I8367" s="112" t="s">
        <v>1605</v>
      </c>
      <c r="J8367" s="112" t="s">
        <v>5554</v>
      </c>
      <c r="K8367" s="112" t="s">
        <v>5580</v>
      </c>
      <c r="L8367" s="116">
        <v>25000</v>
      </c>
    </row>
    <row r="8368" spans="1:12" hidden="1" outlineLevel="1" collapsed="1" x14ac:dyDescent="0.35">
      <c r="A8368" s="112" t="s">
        <v>5553</v>
      </c>
      <c r="B8368" s="112" t="s">
        <v>925</v>
      </c>
      <c r="C8368" s="112" t="s">
        <v>1095</v>
      </c>
      <c r="D8368" s="113">
        <v>10348451</v>
      </c>
      <c r="E8368" s="115">
        <v>43949</v>
      </c>
      <c r="F8368" s="114">
        <v>202101</v>
      </c>
      <c r="G8368" s="112" t="s">
        <v>1091</v>
      </c>
      <c r="H8368" s="112" t="s">
        <v>1015</v>
      </c>
      <c r="I8368" s="112" t="s">
        <v>1101</v>
      </c>
      <c r="J8368" s="112" t="s">
        <v>5559</v>
      </c>
      <c r="K8368" s="112" t="s">
        <v>1098</v>
      </c>
      <c r="L8368" s="116">
        <v>-321.18</v>
      </c>
    </row>
    <row r="8369" spans="1:12" hidden="1" outlineLevel="1" collapsed="1" x14ac:dyDescent="0.35">
      <c r="A8369" s="112" t="s">
        <v>5553</v>
      </c>
      <c r="B8369" s="112" t="s">
        <v>927</v>
      </c>
      <c r="C8369" s="112" t="s">
        <v>1095</v>
      </c>
      <c r="D8369" s="113">
        <v>10348451</v>
      </c>
      <c r="E8369" s="115">
        <v>43949</v>
      </c>
      <c r="F8369" s="114">
        <v>202101</v>
      </c>
      <c r="G8369" s="112" t="s">
        <v>1091</v>
      </c>
      <c r="H8369" s="112" t="s">
        <v>1015</v>
      </c>
      <c r="I8369" s="112" t="s">
        <v>1096</v>
      </c>
      <c r="J8369" s="112" t="s">
        <v>5557</v>
      </c>
      <c r="K8369" s="112" t="s">
        <v>1098</v>
      </c>
      <c r="L8369" s="116">
        <v>256.19</v>
      </c>
    </row>
    <row r="8370" spans="1:12" hidden="1" outlineLevel="1" collapsed="1" x14ac:dyDescent="0.35">
      <c r="A8370" s="112" t="s">
        <v>5553</v>
      </c>
      <c r="B8370" s="112" t="s">
        <v>927</v>
      </c>
      <c r="C8370" s="112" t="s">
        <v>1219</v>
      </c>
      <c r="D8370" s="113">
        <v>46306973</v>
      </c>
      <c r="E8370" s="115">
        <v>43930</v>
      </c>
      <c r="F8370" s="114">
        <v>202101</v>
      </c>
      <c r="G8370" s="112" t="s">
        <v>1091</v>
      </c>
      <c r="H8370" s="112" t="s">
        <v>1015</v>
      </c>
      <c r="I8370" s="112" t="s">
        <v>1605</v>
      </c>
      <c r="J8370" s="112" t="s">
        <v>5554</v>
      </c>
      <c r="K8370" s="112" t="s">
        <v>5556</v>
      </c>
      <c r="L8370" s="116">
        <v>10000</v>
      </c>
    </row>
    <row r="8371" spans="1:12" hidden="1" outlineLevel="1" collapsed="1" x14ac:dyDescent="0.35">
      <c r="A8371" s="112" t="s">
        <v>5553</v>
      </c>
      <c r="B8371" s="112" t="s">
        <v>926</v>
      </c>
      <c r="C8371" s="112" t="s">
        <v>1095</v>
      </c>
      <c r="D8371" s="113">
        <v>10348451</v>
      </c>
      <c r="E8371" s="115">
        <v>43949</v>
      </c>
      <c r="F8371" s="114">
        <v>202101</v>
      </c>
      <c r="G8371" s="112" t="s">
        <v>1091</v>
      </c>
      <c r="H8371" s="112" t="s">
        <v>1015</v>
      </c>
      <c r="I8371" s="112" t="s">
        <v>1096</v>
      </c>
      <c r="J8371" s="112" t="s">
        <v>5591</v>
      </c>
      <c r="K8371" s="112" t="s">
        <v>1098</v>
      </c>
      <c r="L8371" s="116">
        <v>85.85</v>
      </c>
    </row>
    <row r="8372" spans="1:12" hidden="1" outlineLevel="1" collapsed="1" x14ac:dyDescent="0.35">
      <c r="A8372" s="112" t="s">
        <v>5553</v>
      </c>
      <c r="B8372" s="112" t="s">
        <v>926</v>
      </c>
      <c r="C8372" s="112" t="s">
        <v>1095</v>
      </c>
      <c r="D8372" s="113">
        <v>10348451</v>
      </c>
      <c r="E8372" s="115">
        <v>43949</v>
      </c>
      <c r="F8372" s="114">
        <v>202101</v>
      </c>
      <c r="G8372" s="112" t="s">
        <v>1091</v>
      </c>
      <c r="H8372" s="112" t="s">
        <v>1015</v>
      </c>
      <c r="I8372" s="112" t="s">
        <v>1096</v>
      </c>
      <c r="J8372" s="112" t="s">
        <v>5591</v>
      </c>
      <c r="K8372" s="112" t="s">
        <v>1098</v>
      </c>
      <c r="L8372" s="116">
        <v>323.45</v>
      </c>
    </row>
    <row r="8373" spans="1:12" hidden="1" outlineLevel="1" collapsed="1" x14ac:dyDescent="0.35">
      <c r="A8373" s="112" t="s">
        <v>5553</v>
      </c>
      <c r="B8373" s="112" t="s">
        <v>926</v>
      </c>
      <c r="C8373" s="112" t="s">
        <v>1095</v>
      </c>
      <c r="D8373" s="113">
        <v>10348451</v>
      </c>
      <c r="E8373" s="115">
        <v>43949</v>
      </c>
      <c r="F8373" s="114">
        <v>202101</v>
      </c>
      <c r="G8373" s="112" t="s">
        <v>1091</v>
      </c>
      <c r="H8373" s="112" t="s">
        <v>1015</v>
      </c>
      <c r="I8373" s="112" t="s">
        <v>1096</v>
      </c>
      <c r="J8373" s="112" t="s">
        <v>5591</v>
      </c>
      <c r="K8373" s="112" t="s">
        <v>1098</v>
      </c>
      <c r="L8373" s="116">
        <v>271.86</v>
      </c>
    </row>
    <row r="8374" spans="1:12" hidden="1" outlineLevel="1" collapsed="1" x14ac:dyDescent="0.35">
      <c r="A8374" s="112" t="s">
        <v>5553</v>
      </c>
      <c r="B8374" s="112" t="s">
        <v>926</v>
      </c>
      <c r="C8374" s="112" t="s">
        <v>1095</v>
      </c>
      <c r="D8374" s="113">
        <v>10348451</v>
      </c>
      <c r="E8374" s="115">
        <v>43949</v>
      </c>
      <c r="F8374" s="114">
        <v>202101</v>
      </c>
      <c r="G8374" s="112" t="s">
        <v>1091</v>
      </c>
      <c r="H8374" s="112" t="s">
        <v>1015</v>
      </c>
      <c r="I8374" s="112" t="s">
        <v>1096</v>
      </c>
      <c r="J8374" s="112" t="s">
        <v>5591</v>
      </c>
      <c r="K8374" s="112" t="s">
        <v>1098</v>
      </c>
      <c r="L8374" s="116">
        <v>210.79</v>
      </c>
    </row>
    <row r="8375" spans="1:12" hidden="1" outlineLevel="1" collapsed="1" x14ac:dyDescent="0.35">
      <c r="A8375" s="112" t="s">
        <v>5553</v>
      </c>
      <c r="B8375" s="112" t="s">
        <v>927</v>
      </c>
      <c r="C8375" s="112" t="s">
        <v>1095</v>
      </c>
      <c r="D8375" s="113">
        <v>10348451</v>
      </c>
      <c r="E8375" s="115">
        <v>43949</v>
      </c>
      <c r="F8375" s="114">
        <v>202101</v>
      </c>
      <c r="G8375" s="112" t="s">
        <v>1091</v>
      </c>
      <c r="H8375" s="112" t="s">
        <v>1015</v>
      </c>
      <c r="I8375" s="112" t="s">
        <v>1096</v>
      </c>
      <c r="J8375" s="112" t="s">
        <v>5557</v>
      </c>
      <c r="K8375" s="112" t="s">
        <v>1098</v>
      </c>
      <c r="L8375" s="116">
        <v>178.22</v>
      </c>
    </row>
    <row r="8376" spans="1:12" hidden="1" outlineLevel="1" collapsed="1" x14ac:dyDescent="0.35">
      <c r="A8376" s="112" t="s">
        <v>5553</v>
      </c>
      <c r="B8376" s="112" t="s">
        <v>926</v>
      </c>
      <c r="C8376" s="112" t="s">
        <v>1095</v>
      </c>
      <c r="D8376" s="113">
        <v>10348451</v>
      </c>
      <c r="E8376" s="115">
        <v>43949</v>
      </c>
      <c r="F8376" s="114">
        <v>202101</v>
      </c>
      <c r="G8376" s="112" t="s">
        <v>1091</v>
      </c>
      <c r="H8376" s="112" t="s">
        <v>1015</v>
      </c>
      <c r="I8376" s="112" t="s">
        <v>1096</v>
      </c>
      <c r="J8376" s="112" t="s">
        <v>5591</v>
      </c>
      <c r="K8376" s="112" t="s">
        <v>1098</v>
      </c>
      <c r="L8376" s="116">
        <v>82.56</v>
      </c>
    </row>
    <row r="8377" spans="1:12" hidden="1" outlineLevel="1" collapsed="1" x14ac:dyDescent="0.35">
      <c r="A8377" s="112" t="s">
        <v>5553</v>
      </c>
      <c r="B8377" s="112" t="s">
        <v>927</v>
      </c>
      <c r="C8377" s="112" t="s">
        <v>1095</v>
      </c>
      <c r="D8377" s="113">
        <v>10348451</v>
      </c>
      <c r="E8377" s="115">
        <v>43949</v>
      </c>
      <c r="F8377" s="114">
        <v>202101</v>
      </c>
      <c r="G8377" s="112" t="s">
        <v>1091</v>
      </c>
      <c r="H8377" s="112" t="s">
        <v>1015</v>
      </c>
      <c r="I8377" s="112" t="s">
        <v>1096</v>
      </c>
      <c r="J8377" s="112" t="s">
        <v>5557</v>
      </c>
      <c r="K8377" s="112" t="s">
        <v>1098</v>
      </c>
      <c r="L8377" s="116">
        <v>262.10000000000002</v>
      </c>
    </row>
    <row r="8378" spans="1:12" hidden="1" outlineLevel="1" collapsed="1" x14ac:dyDescent="0.35">
      <c r="A8378" s="112" t="s">
        <v>5553</v>
      </c>
      <c r="B8378" s="112" t="s">
        <v>925</v>
      </c>
      <c r="C8378" s="112" t="s">
        <v>1095</v>
      </c>
      <c r="D8378" s="113">
        <v>10348451</v>
      </c>
      <c r="E8378" s="115">
        <v>43949</v>
      </c>
      <c r="F8378" s="114">
        <v>202101</v>
      </c>
      <c r="G8378" s="112" t="s">
        <v>1091</v>
      </c>
      <c r="H8378" s="112" t="s">
        <v>1015</v>
      </c>
      <c r="I8378" s="112" t="s">
        <v>1101</v>
      </c>
      <c r="J8378" s="112" t="s">
        <v>5559</v>
      </c>
      <c r="K8378" s="112" t="s">
        <v>1098</v>
      </c>
      <c r="L8378" s="116">
        <v>437.72</v>
      </c>
    </row>
    <row r="8379" spans="1:12" hidden="1" outlineLevel="1" collapsed="1" x14ac:dyDescent="0.35">
      <c r="A8379" s="112" t="s">
        <v>5553</v>
      </c>
      <c r="B8379" s="112" t="s">
        <v>927</v>
      </c>
      <c r="C8379" s="112" t="s">
        <v>1219</v>
      </c>
      <c r="D8379" s="113">
        <v>46306877</v>
      </c>
      <c r="E8379" s="115">
        <v>43928</v>
      </c>
      <c r="F8379" s="114">
        <v>202101</v>
      </c>
      <c r="G8379" s="112" t="s">
        <v>1091</v>
      </c>
      <c r="H8379" s="112" t="s">
        <v>1015</v>
      </c>
      <c r="I8379" s="112" t="s">
        <v>1605</v>
      </c>
      <c r="J8379" s="112" t="s">
        <v>5554</v>
      </c>
      <c r="K8379" s="112" t="s">
        <v>5580</v>
      </c>
      <c r="L8379" s="116">
        <v>25000</v>
      </c>
    </row>
    <row r="8380" spans="1:12" hidden="1" outlineLevel="1" collapsed="1" x14ac:dyDescent="0.35">
      <c r="A8380" s="112" t="s">
        <v>5553</v>
      </c>
      <c r="B8380" s="112" t="s">
        <v>927</v>
      </c>
      <c r="C8380" s="112" t="s">
        <v>1219</v>
      </c>
      <c r="D8380" s="113">
        <v>46306876</v>
      </c>
      <c r="E8380" s="115">
        <v>43928</v>
      </c>
      <c r="F8380" s="114">
        <v>202101</v>
      </c>
      <c r="G8380" s="112" t="s">
        <v>1091</v>
      </c>
      <c r="H8380" s="112" t="s">
        <v>1015</v>
      </c>
      <c r="I8380" s="112" t="s">
        <v>1605</v>
      </c>
      <c r="J8380" s="112" t="s">
        <v>5554</v>
      </c>
      <c r="K8380" s="112" t="s">
        <v>5580</v>
      </c>
      <c r="L8380" s="116">
        <v>25000</v>
      </c>
    </row>
    <row r="8381" spans="1:12" hidden="1" outlineLevel="1" collapsed="1" x14ac:dyDescent="0.35">
      <c r="A8381" s="112" t="s">
        <v>5553</v>
      </c>
      <c r="B8381" s="112" t="s">
        <v>927</v>
      </c>
      <c r="C8381" s="112" t="s">
        <v>1219</v>
      </c>
      <c r="D8381" s="113">
        <v>46306875</v>
      </c>
      <c r="E8381" s="115">
        <v>43928</v>
      </c>
      <c r="F8381" s="114">
        <v>202101</v>
      </c>
      <c r="G8381" s="112" t="s">
        <v>1091</v>
      </c>
      <c r="H8381" s="112" t="s">
        <v>1015</v>
      </c>
      <c r="I8381" s="112" t="s">
        <v>1605</v>
      </c>
      <c r="J8381" s="112" t="s">
        <v>5554</v>
      </c>
      <c r="K8381" s="112" t="s">
        <v>5580</v>
      </c>
      <c r="L8381" s="116">
        <v>10000</v>
      </c>
    </row>
    <row r="8382" spans="1:12" hidden="1" outlineLevel="1" collapsed="1" x14ac:dyDescent="0.35">
      <c r="A8382" s="112" t="s">
        <v>5553</v>
      </c>
      <c r="B8382" s="112" t="s">
        <v>927</v>
      </c>
      <c r="C8382" s="112" t="s">
        <v>1219</v>
      </c>
      <c r="D8382" s="113">
        <v>46306874</v>
      </c>
      <c r="E8382" s="115">
        <v>43928</v>
      </c>
      <c r="F8382" s="114">
        <v>202101</v>
      </c>
      <c r="G8382" s="112" t="s">
        <v>1091</v>
      </c>
      <c r="H8382" s="112" t="s">
        <v>1015</v>
      </c>
      <c r="I8382" s="112" t="s">
        <v>1605</v>
      </c>
      <c r="J8382" s="112" t="s">
        <v>5554</v>
      </c>
      <c r="K8382" s="112" t="s">
        <v>5556</v>
      </c>
      <c r="L8382" s="116">
        <v>10000</v>
      </c>
    </row>
    <row r="8383" spans="1:12" hidden="1" outlineLevel="1" collapsed="1" x14ac:dyDescent="0.35">
      <c r="A8383" s="112" t="s">
        <v>5553</v>
      </c>
      <c r="B8383" s="112" t="s">
        <v>927</v>
      </c>
      <c r="C8383" s="112" t="s">
        <v>1219</v>
      </c>
      <c r="D8383" s="113">
        <v>46306873</v>
      </c>
      <c r="E8383" s="115">
        <v>43928</v>
      </c>
      <c r="F8383" s="114">
        <v>202101</v>
      </c>
      <c r="G8383" s="112" t="s">
        <v>1091</v>
      </c>
      <c r="H8383" s="112" t="s">
        <v>1015</v>
      </c>
      <c r="I8383" s="112" t="s">
        <v>1605</v>
      </c>
      <c r="J8383" s="112" t="s">
        <v>5554</v>
      </c>
      <c r="K8383" s="112" t="s">
        <v>5580</v>
      </c>
      <c r="L8383" s="116">
        <v>25000</v>
      </c>
    </row>
    <row r="8384" spans="1:12" hidden="1" outlineLevel="1" collapsed="1" x14ac:dyDescent="0.35">
      <c r="A8384" s="112" t="s">
        <v>5553</v>
      </c>
      <c r="B8384" s="112" t="s">
        <v>927</v>
      </c>
      <c r="C8384" s="112" t="s">
        <v>1219</v>
      </c>
      <c r="D8384" s="113">
        <v>46306872</v>
      </c>
      <c r="E8384" s="115">
        <v>43928</v>
      </c>
      <c r="F8384" s="114">
        <v>202101</v>
      </c>
      <c r="G8384" s="112" t="s">
        <v>1091</v>
      </c>
      <c r="H8384" s="112" t="s">
        <v>1015</v>
      </c>
      <c r="I8384" s="112" t="s">
        <v>1605</v>
      </c>
      <c r="J8384" s="112" t="s">
        <v>5554</v>
      </c>
      <c r="K8384" s="112" t="s">
        <v>5580</v>
      </c>
      <c r="L8384" s="116">
        <v>25000</v>
      </c>
    </row>
    <row r="8385" spans="1:12" hidden="1" outlineLevel="1" collapsed="1" x14ac:dyDescent="0.35">
      <c r="A8385" s="112" t="s">
        <v>5553</v>
      </c>
      <c r="B8385" s="112" t="s">
        <v>927</v>
      </c>
      <c r="C8385" s="112" t="s">
        <v>1219</v>
      </c>
      <c r="D8385" s="113">
        <v>46306871</v>
      </c>
      <c r="E8385" s="115">
        <v>43928</v>
      </c>
      <c r="F8385" s="114">
        <v>202101</v>
      </c>
      <c r="G8385" s="112" t="s">
        <v>1091</v>
      </c>
      <c r="H8385" s="112" t="s">
        <v>1015</v>
      </c>
      <c r="I8385" s="112" t="s">
        <v>1605</v>
      </c>
      <c r="J8385" s="112" t="s">
        <v>5554</v>
      </c>
      <c r="K8385" s="112" t="s">
        <v>5556</v>
      </c>
      <c r="L8385" s="116">
        <v>10000</v>
      </c>
    </row>
    <row r="8386" spans="1:12" hidden="1" outlineLevel="1" collapsed="1" x14ac:dyDescent="0.35">
      <c r="A8386" s="112" t="s">
        <v>5553</v>
      </c>
      <c r="B8386" s="112" t="s">
        <v>927</v>
      </c>
      <c r="C8386" s="112" t="s">
        <v>1219</v>
      </c>
      <c r="D8386" s="113">
        <v>46306870</v>
      </c>
      <c r="E8386" s="115">
        <v>43928</v>
      </c>
      <c r="F8386" s="114">
        <v>202101</v>
      </c>
      <c r="G8386" s="112" t="s">
        <v>1091</v>
      </c>
      <c r="H8386" s="112" t="s">
        <v>1015</v>
      </c>
      <c r="I8386" s="112" t="s">
        <v>1605</v>
      </c>
      <c r="J8386" s="112" t="s">
        <v>5554</v>
      </c>
      <c r="K8386" s="112" t="s">
        <v>5580</v>
      </c>
      <c r="L8386" s="116">
        <v>25000</v>
      </c>
    </row>
    <row r="8387" spans="1:12" hidden="1" outlineLevel="1" collapsed="1" x14ac:dyDescent="0.35">
      <c r="A8387" s="112" t="s">
        <v>5553</v>
      </c>
      <c r="B8387" s="112" t="s">
        <v>927</v>
      </c>
      <c r="C8387" s="112" t="s">
        <v>1219</v>
      </c>
      <c r="D8387" s="113">
        <v>46306869</v>
      </c>
      <c r="E8387" s="115">
        <v>43928</v>
      </c>
      <c r="F8387" s="114">
        <v>202101</v>
      </c>
      <c r="G8387" s="112" t="s">
        <v>1091</v>
      </c>
      <c r="H8387" s="112" t="s">
        <v>1015</v>
      </c>
      <c r="I8387" s="112" t="s">
        <v>1605</v>
      </c>
      <c r="J8387" s="112" t="s">
        <v>5554</v>
      </c>
      <c r="K8387" s="112" t="s">
        <v>5580</v>
      </c>
      <c r="L8387" s="116">
        <v>25000</v>
      </c>
    </row>
    <row r="8388" spans="1:12" hidden="1" outlineLevel="1" collapsed="1" x14ac:dyDescent="0.35">
      <c r="A8388" s="112" t="s">
        <v>5553</v>
      </c>
      <c r="B8388" s="112" t="s">
        <v>927</v>
      </c>
      <c r="C8388" s="112" t="s">
        <v>1219</v>
      </c>
      <c r="D8388" s="113">
        <v>46306868</v>
      </c>
      <c r="E8388" s="115">
        <v>43928</v>
      </c>
      <c r="F8388" s="114">
        <v>202101</v>
      </c>
      <c r="G8388" s="112" t="s">
        <v>1091</v>
      </c>
      <c r="H8388" s="112" t="s">
        <v>1015</v>
      </c>
      <c r="I8388" s="112" t="s">
        <v>1605</v>
      </c>
      <c r="J8388" s="112" t="s">
        <v>5554</v>
      </c>
      <c r="K8388" s="112" t="s">
        <v>5556</v>
      </c>
      <c r="L8388" s="116">
        <v>10000</v>
      </c>
    </row>
    <row r="8389" spans="1:12" hidden="1" outlineLevel="1" collapsed="1" x14ac:dyDescent="0.35">
      <c r="A8389" s="112" t="s">
        <v>5553</v>
      </c>
      <c r="B8389" s="112" t="s">
        <v>5572</v>
      </c>
      <c r="C8389" s="112" t="s">
        <v>679</v>
      </c>
      <c r="D8389" s="113">
        <v>10348115</v>
      </c>
      <c r="E8389" s="115">
        <v>43929</v>
      </c>
      <c r="F8389" s="114">
        <v>202101</v>
      </c>
      <c r="G8389" s="112" t="s">
        <v>1091</v>
      </c>
      <c r="H8389" s="112" t="s">
        <v>1015</v>
      </c>
      <c r="I8389" s="112" t="s">
        <v>738</v>
      </c>
      <c r="J8389" s="112" t="s">
        <v>5583</v>
      </c>
      <c r="K8389" s="112" t="s">
        <v>5658</v>
      </c>
      <c r="L8389" s="116">
        <v>-0.08</v>
      </c>
    </row>
    <row r="8390" spans="1:12" hidden="1" outlineLevel="1" collapsed="1" x14ac:dyDescent="0.35">
      <c r="A8390" s="112" t="s">
        <v>5553</v>
      </c>
      <c r="B8390" s="112" t="s">
        <v>927</v>
      </c>
      <c r="C8390" s="112" t="s">
        <v>679</v>
      </c>
      <c r="D8390" s="113">
        <v>10348115</v>
      </c>
      <c r="E8390" s="115">
        <v>43929</v>
      </c>
      <c r="F8390" s="114">
        <v>202101</v>
      </c>
      <c r="G8390" s="112" t="s">
        <v>1091</v>
      </c>
      <c r="H8390" s="112" t="s">
        <v>1015</v>
      </c>
      <c r="I8390" s="112" t="s">
        <v>1536</v>
      </c>
      <c r="J8390" s="112" t="s">
        <v>5554</v>
      </c>
      <c r="K8390" s="112" t="s">
        <v>706</v>
      </c>
      <c r="L8390" s="116">
        <v>54</v>
      </c>
    </row>
    <row r="8391" spans="1:12" hidden="1" outlineLevel="1" collapsed="1" x14ac:dyDescent="0.35">
      <c r="A8391" s="112" t="s">
        <v>5553</v>
      </c>
      <c r="B8391" s="112" t="s">
        <v>927</v>
      </c>
      <c r="C8391" s="112" t="s">
        <v>1095</v>
      </c>
      <c r="D8391" s="113">
        <v>10348451</v>
      </c>
      <c r="E8391" s="115">
        <v>43949</v>
      </c>
      <c r="F8391" s="114">
        <v>202101</v>
      </c>
      <c r="G8391" s="112" t="s">
        <v>1091</v>
      </c>
      <c r="H8391" s="112" t="s">
        <v>1015</v>
      </c>
      <c r="I8391" s="112" t="s">
        <v>1096</v>
      </c>
      <c r="J8391" s="112" t="s">
        <v>5557</v>
      </c>
      <c r="K8391" s="112" t="s">
        <v>1098</v>
      </c>
      <c r="L8391" s="116">
        <v>262.10000000000002</v>
      </c>
    </row>
    <row r="8392" spans="1:12" hidden="1" outlineLevel="1" collapsed="1" x14ac:dyDescent="0.35">
      <c r="A8392" s="112" t="s">
        <v>5553</v>
      </c>
      <c r="B8392" s="112" t="s">
        <v>927</v>
      </c>
      <c r="C8392" s="112" t="s">
        <v>1095</v>
      </c>
      <c r="D8392" s="113">
        <v>10348451</v>
      </c>
      <c r="E8392" s="115">
        <v>43949</v>
      </c>
      <c r="F8392" s="114">
        <v>202101</v>
      </c>
      <c r="G8392" s="112" t="s">
        <v>1091</v>
      </c>
      <c r="H8392" s="112" t="s">
        <v>1015</v>
      </c>
      <c r="I8392" s="112" t="s">
        <v>1101</v>
      </c>
      <c r="J8392" s="112" t="s">
        <v>5557</v>
      </c>
      <c r="K8392" s="112" t="s">
        <v>1098</v>
      </c>
      <c r="L8392" s="116">
        <v>307.86</v>
      </c>
    </row>
    <row r="8393" spans="1:12" hidden="1" outlineLevel="1" collapsed="1" x14ac:dyDescent="0.35">
      <c r="A8393" s="112" t="s">
        <v>5553</v>
      </c>
      <c r="B8393" s="112" t="s">
        <v>927</v>
      </c>
      <c r="C8393" s="112" t="s">
        <v>1095</v>
      </c>
      <c r="D8393" s="113">
        <v>10348451</v>
      </c>
      <c r="E8393" s="115">
        <v>43949</v>
      </c>
      <c r="F8393" s="114">
        <v>202101</v>
      </c>
      <c r="G8393" s="112" t="s">
        <v>1091</v>
      </c>
      <c r="H8393" s="112" t="s">
        <v>1015</v>
      </c>
      <c r="I8393" s="112" t="s">
        <v>1096</v>
      </c>
      <c r="J8393" s="112" t="s">
        <v>5554</v>
      </c>
      <c r="K8393" s="112" t="s">
        <v>1098</v>
      </c>
      <c r="L8393" s="116">
        <v>73.2</v>
      </c>
    </row>
    <row r="8394" spans="1:12" hidden="1" outlineLevel="1" collapsed="1" x14ac:dyDescent="0.35">
      <c r="A8394" s="112" t="s">
        <v>5553</v>
      </c>
      <c r="B8394" s="112" t="s">
        <v>927</v>
      </c>
      <c r="C8394" s="112" t="s">
        <v>1095</v>
      </c>
      <c r="D8394" s="113">
        <v>10348451</v>
      </c>
      <c r="E8394" s="115">
        <v>43949</v>
      </c>
      <c r="F8394" s="114">
        <v>202101</v>
      </c>
      <c r="G8394" s="112" t="s">
        <v>1091</v>
      </c>
      <c r="H8394" s="112" t="s">
        <v>1015</v>
      </c>
      <c r="I8394" s="112" t="s">
        <v>1128</v>
      </c>
      <c r="J8394" s="112" t="s">
        <v>5554</v>
      </c>
      <c r="K8394" s="112" t="s">
        <v>1098</v>
      </c>
      <c r="L8394" s="116">
        <v>20</v>
      </c>
    </row>
    <row r="8395" spans="1:12" hidden="1" outlineLevel="1" collapsed="1" x14ac:dyDescent="0.35">
      <c r="A8395" s="112" t="s">
        <v>5553</v>
      </c>
      <c r="B8395" s="112" t="s">
        <v>927</v>
      </c>
      <c r="C8395" s="112" t="s">
        <v>1219</v>
      </c>
      <c r="D8395" s="113">
        <v>46306945</v>
      </c>
      <c r="E8395" s="115">
        <v>43929</v>
      </c>
      <c r="F8395" s="114">
        <v>202101</v>
      </c>
      <c r="G8395" s="112" t="s">
        <v>1091</v>
      </c>
      <c r="H8395" s="112" t="s">
        <v>1015</v>
      </c>
      <c r="I8395" s="112" t="s">
        <v>1605</v>
      </c>
      <c r="J8395" s="112" t="s">
        <v>5554</v>
      </c>
      <c r="K8395" s="112" t="s">
        <v>5580</v>
      </c>
      <c r="L8395" s="116">
        <v>25000</v>
      </c>
    </row>
    <row r="8396" spans="1:12" hidden="1" outlineLevel="1" collapsed="1" x14ac:dyDescent="0.35">
      <c r="A8396" s="112" t="s">
        <v>5553</v>
      </c>
      <c r="B8396" s="112" t="s">
        <v>927</v>
      </c>
      <c r="C8396" s="112" t="s">
        <v>1219</v>
      </c>
      <c r="D8396" s="113">
        <v>46306944</v>
      </c>
      <c r="E8396" s="115">
        <v>43929</v>
      </c>
      <c r="F8396" s="114">
        <v>202101</v>
      </c>
      <c r="G8396" s="112" t="s">
        <v>1091</v>
      </c>
      <c r="H8396" s="112" t="s">
        <v>1015</v>
      </c>
      <c r="I8396" s="112" t="s">
        <v>1605</v>
      </c>
      <c r="J8396" s="112" t="s">
        <v>5554</v>
      </c>
      <c r="K8396" s="112" t="s">
        <v>5580</v>
      </c>
      <c r="L8396" s="116">
        <v>25000</v>
      </c>
    </row>
    <row r="8397" spans="1:12" hidden="1" outlineLevel="1" collapsed="1" x14ac:dyDescent="0.35">
      <c r="A8397" s="112" t="s">
        <v>5553</v>
      </c>
      <c r="B8397" s="112" t="s">
        <v>927</v>
      </c>
      <c r="C8397" s="112" t="s">
        <v>1219</v>
      </c>
      <c r="D8397" s="113">
        <v>46306943</v>
      </c>
      <c r="E8397" s="115">
        <v>43929</v>
      </c>
      <c r="F8397" s="114">
        <v>202101</v>
      </c>
      <c r="G8397" s="112" t="s">
        <v>1091</v>
      </c>
      <c r="H8397" s="112" t="s">
        <v>1015</v>
      </c>
      <c r="I8397" s="112" t="s">
        <v>1605</v>
      </c>
      <c r="J8397" s="112" t="s">
        <v>5554</v>
      </c>
      <c r="K8397" s="112" t="s">
        <v>5556</v>
      </c>
      <c r="L8397" s="116">
        <v>10000</v>
      </c>
    </row>
    <row r="8398" spans="1:12" hidden="1" outlineLevel="1" collapsed="1" x14ac:dyDescent="0.35">
      <c r="A8398" s="112" t="s">
        <v>5553</v>
      </c>
      <c r="B8398" s="112" t="s">
        <v>927</v>
      </c>
      <c r="C8398" s="112" t="s">
        <v>1219</v>
      </c>
      <c r="D8398" s="113">
        <v>46306967</v>
      </c>
      <c r="E8398" s="115">
        <v>43929</v>
      </c>
      <c r="F8398" s="114">
        <v>202101</v>
      </c>
      <c r="G8398" s="112" t="s">
        <v>1091</v>
      </c>
      <c r="H8398" s="112" t="s">
        <v>1015</v>
      </c>
      <c r="I8398" s="112" t="s">
        <v>1605</v>
      </c>
      <c r="J8398" s="112" t="s">
        <v>5554</v>
      </c>
      <c r="K8398" s="112" t="s">
        <v>5580</v>
      </c>
      <c r="L8398" s="116">
        <v>10000</v>
      </c>
    </row>
    <row r="8399" spans="1:12" hidden="1" outlineLevel="1" collapsed="1" x14ac:dyDescent="0.35">
      <c r="A8399" s="112" t="s">
        <v>5553</v>
      </c>
      <c r="B8399" s="112" t="s">
        <v>927</v>
      </c>
      <c r="C8399" s="112" t="s">
        <v>1219</v>
      </c>
      <c r="D8399" s="113">
        <v>46306966</v>
      </c>
      <c r="E8399" s="115">
        <v>43929</v>
      </c>
      <c r="F8399" s="114">
        <v>202101</v>
      </c>
      <c r="G8399" s="112" t="s">
        <v>1091</v>
      </c>
      <c r="H8399" s="112" t="s">
        <v>1015</v>
      </c>
      <c r="I8399" s="112" t="s">
        <v>1605</v>
      </c>
      <c r="J8399" s="112" t="s">
        <v>5554</v>
      </c>
      <c r="K8399" s="112" t="s">
        <v>5580</v>
      </c>
      <c r="L8399" s="116">
        <v>25000</v>
      </c>
    </row>
    <row r="8400" spans="1:12" hidden="1" outlineLevel="1" collapsed="1" x14ac:dyDescent="0.35">
      <c r="A8400" s="112" t="s">
        <v>5553</v>
      </c>
      <c r="B8400" s="112" t="s">
        <v>927</v>
      </c>
      <c r="C8400" s="112" t="s">
        <v>1219</v>
      </c>
      <c r="D8400" s="113">
        <v>46306965</v>
      </c>
      <c r="E8400" s="115">
        <v>43929</v>
      </c>
      <c r="F8400" s="114">
        <v>202101</v>
      </c>
      <c r="G8400" s="112" t="s">
        <v>1091</v>
      </c>
      <c r="H8400" s="112" t="s">
        <v>1015</v>
      </c>
      <c r="I8400" s="112" t="s">
        <v>1605</v>
      </c>
      <c r="J8400" s="112" t="s">
        <v>5554</v>
      </c>
      <c r="K8400" s="112" t="s">
        <v>5580</v>
      </c>
      <c r="L8400" s="116">
        <v>25000</v>
      </c>
    </row>
    <row r="8401" spans="1:12" hidden="1" outlineLevel="1" collapsed="1" x14ac:dyDescent="0.35">
      <c r="A8401" s="112" t="s">
        <v>5553</v>
      </c>
      <c r="B8401" s="112" t="s">
        <v>927</v>
      </c>
      <c r="C8401" s="112" t="s">
        <v>1095</v>
      </c>
      <c r="D8401" s="113">
        <v>10348451</v>
      </c>
      <c r="E8401" s="115">
        <v>43949</v>
      </c>
      <c r="F8401" s="114">
        <v>202101</v>
      </c>
      <c r="G8401" s="112" t="s">
        <v>1091</v>
      </c>
      <c r="H8401" s="112" t="s">
        <v>1015</v>
      </c>
      <c r="I8401" s="112" t="s">
        <v>1101</v>
      </c>
      <c r="J8401" s="112" t="s">
        <v>5557</v>
      </c>
      <c r="K8401" s="112" t="s">
        <v>1098</v>
      </c>
      <c r="L8401" s="116">
        <v>379.69</v>
      </c>
    </row>
    <row r="8402" spans="1:12" hidden="1" outlineLevel="1" collapsed="1" x14ac:dyDescent="0.35">
      <c r="A8402" s="112" t="s">
        <v>5553</v>
      </c>
      <c r="B8402" s="112" t="s">
        <v>927</v>
      </c>
      <c r="C8402" s="112" t="s">
        <v>1219</v>
      </c>
      <c r="D8402" s="113">
        <v>46306964</v>
      </c>
      <c r="E8402" s="115">
        <v>43929</v>
      </c>
      <c r="F8402" s="114">
        <v>202101</v>
      </c>
      <c r="G8402" s="112" t="s">
        <v>1091</v>
      </c>
      <c r="H8402" s="112" t="s">
        <v>1015</v>
      </c>
      <c r="I8402" s="112" t="s">
        <v>1605</v>
      </c>
      <c r="J8402" s="112" t="s">
        <v>5554</v>
      </c>
      <c r="K8402" s="112" t="s">
        <v>5580</v>
      </c>
      <c r="L8402" s="116">
        <v>25000</v>
      </c>
    </row>
    <row r="8403" spans="1:12" hidden="1" outlineLevel="1" collapsed="1" x14ac:dyDescent="0.35">
      <c r="A8403" s="112" t="s">
        <v>5553</v>
      </c>
      <c r="B8403" s="112" t="s">
        <v>926</v>
      </c>
      <c r="C8403" s="112" t="s">
        <v>1095</v>
      </c>
      <c r="D8403" s="113">
        <v>10348451</v>
      </c>
      <c r="E8403" s="115">
        <v>43949</v>
      </c>
      <c r="F8403" s="114">
        <v>202101</v>
      </c>
      <c r="G8403" s="112" t="s">
        <v>1091</v>
      </c>
      <c r="H8403" s="112" t="s">
        <v>1015</v>
      </c>
      <c r="I8403" s="112" t="s">
        <v>1096</v>
      </c>
      <c r="J8403" s="112" t="s">
        <v>5591</v>
      </c>
      <c r="K8403" s="112" t="s">
        <v>1098</v>
      </c>
      <c r="L8403" s="116">
        <v>2.62</v>
      </c>
    </row>
    <row r="8404" spans="1:12" hidden="1" outlineLevel="1" collapsed="1" x14ac:dyDescent="0.35">
      <c r="A8404" s="112" t="s">
        <v>5553</v>
      </c>
      <c r="B8404" s="112" t="s">
        <v>925</v>
      </c>
      <c r="C8404" s="112" t="s">
        <v>1095</v>
      </c>
      <c r="D8404" s="113">
        <v>10348451</v>
      </c>
      <c r="E8404" s="115">
        <v>43949</v>
      </c>
      <c r="F8404" s="114">
        <v>202101</v>
      </c>
      <c r="G8404" s="112" t="s">
        <v>1091</v>
      </c>
      <c r="H8404" s="112" t="s">
        <v>1015</v>
      </c>
      <c r="I8404" s="112" t="s">
        <v>1101</v>
      </c>
      <c r="J8404" s="112" t="s">
        <v>5559</v>
      </c>
      <c r="K8404" s="112" t="s">
        <v>1098</v>
      </c>
      <c r="L8404" s="116">
        <v>642.41</v>
      </c>
    </row>
    <row r="8405" spans="1:12" hidden="1" outlineLevel="1" collapsed="1" x14ac:dyDescent="0.35">
      <c r="A8405" s="112" t="s">
        <v>5553</v>
      </c>
      <c r="B8405" s="112" t="s">
        <v>927</v>
      </c>
      <c r="C8405" s="112" t="s">
        <v>1219</v>
      </c>
      <c r="D8405" s="113">
        <v>46307675</v>
      </c>
      <c r="E8405" s="115">
        <v>43943</v>
      </c>
      <c r="F8405" s="114">
        <v>202101</v>
      </c>
      <c r="G8405" s="112" t="s">
        <v>1091</v>
      </c>
      <c r="H8405" s="112" t="s">
        <v>1015</v>
      </c>
      <c r="I8405" s="112" t="s">
        <v>1605</v>
      </c>
      <c r="J8405" s="112" t="s">
        <v>5554</v>
      </c>
      <c r="K8405" s="112" t="s">
        <v>5555</v>
      </c>
      <c r="L8405" s="116">
        <v>25000</v>
      </c>
    </row>
    <row r="8406" spans="1:12" hidden="1" outlineLevel="1" collapsed="1" x14ac:dyDescent="0.35">
      <c r="A8406" s="112" t="s">
        <v>5553</v>
      </c>
      <c r="B8406" s="112" t="s">
        <v>927</v>
      </c>
      <c r="C8406" s="112" t="s">
        <v>1095</v>
      </c>
      <c r="D8406" s="113">
        <v>10348451</v>
      </c>
      <c r="E8406" s="115">
        <v>43949</v>
      </c>
      <c r="F8406" s="114">
        <v>202101</v>
      </c>
      <c r="G8406" s="112" t="s">
        <v>1091</v>
      </c>
      <c r="H8406" s="112" t="s">
        <v>1015</v>
      </c>
      <c r="I8406" s="112" t="s">
        <v>1101</v>
      </c>
      <c r="J8406" s="112" t="s">
        <v>5557</v>
      </c>
      <c r="K8406" s="112" t="s">
        <v>1098</v>
      </c>
      <c r="L8406" s="116">
        <v>366.04</v>
      </c>
    </row>
    <row r="8407" spans="1:12" hidden="1" outlineLevel="1" collapsed="1" x14ac:dyDescent="0.35">
      <c r="A8407" s="112" t="s">
        <v>5553</v>
      </c>
      <c r="B8407" s="112" t="s">
        <v>927</v>
      </c>
      <c r="C8407" s="112" t="s">
        <v>1099</v>
      </c>
      <c r="D8407" s="113">
        <v>1069467</v>
      </c>
      <c r="E8407" s="115">
        <v>43862</v>
      </c>
      <c r="F8407" s="114">
        <v>202101</v>
      </c>
      <c r="G8407" s="112" t="s">
        <v>1091</v>
      </c>
      <c r="H8407" s="112" t="s">
        <v>1015</v>
      </c>
      <c r="I8407" s="112" t="s">
        <v>1471</v>
      </c>
      <c r="J8407" s="112" t="s">
        <v>5598</v>
      </c>
      <c r="K8407" s="112" t="s">
        <v>5659</v>
      </c>
      <c r="L8407" s="116">
        <v>550</v>
      </c>
    </row>
    <row r="8408" spans="1:12" hidden="1" outlineLevel="1" collapsed="1" x14ac:dyDescent="0.35">
      <c r="A8408" s="112" t="s">
        <v>5553</v>
      </c>
      <c r="B8408" s="112" t="s">
        <v>927</v>
      </c>
      <c r="C8408" s="112" t="s">
        <v>1219</v>
      </c>
      <c r="D8408" s="113">
        <v>46307162</v>
      </c>
      <c r="E8408" s="115">
        <v>43937</v>
      </c>
      <c r="F8408" s="114">
        <v>202101</v>
      </c>
      <c r="G8408" s="112" t="s">
        <v>1091</v>
      </c>
      <c r="H8408" s="112" t="s">
        <v>1015</v>
      </c>
      <c r="I8408" s="112" t="s">
        <v>1605</v>
      </c>
      <c r="J8408" s="112" t="s">
        <v>5554</v>
      </c>
      <c r="K8408" s="112" t="s">
        <v>5555</v>
      </c>
      <c r="L8408" s="116">
        <v>10000</v>
      </c>
    </row>
    <row r="8409" spans="1:12" hidden="1" outlineLevel="1" collapsed="1" x14ac:dyDescent="0.35">
      <c r="A8409" s="112" t="s">
        <v>5553</v>
      </c>
      <c r="B8409" s="112" t="s">
        <v>927</v>
      </c>
      <c r="C8409" s="112" t="s">
        <v>1219</v>
      </c>
      <c r="D8409" s="113">
        <v>46307161</v>
      </c>
      <c r="E8409" s="115">
        <v>43937</v>
      </c>
      <c r="F8409" s="114">
        <v>202101</v>
      </c>
      <c r="G8409" s="112" t="s">
        <v>1091</v>
      </c>
      <c r="H8409" s="112" t="s">
        <v>1015</v>
      </c>
      <c r="I8409" s="112" t="s">
        <v>1605</v>
      </c>
      <c r="J8409" s="112" t="s">
        <v>5554</v>
      </c>
      <c r="K8409" s="112" t="s">
        <v>5555</v>
      </c>
      <c r="L8409" s="116">
        <v>25000</v>
      </c>
    </row>
    <row r="8410" spans="1:12" hidden="1" outlineLevel="1" collapsed="1" x14ac:dyDescent="0.35">
      <c r="A8410" s="112" t="s">
        <v>5553</v>
      </c>
      <c r="B8410" s="112" t="s">
        <v>927</v>
      </c>
      <c r="C8410" s="112" t="s">
        <v>1219</v>
      </c>
      <c r="D8410" s="113">
        <v>46307160</v>
      </c>
      <c r="E8410" s="115">
        <v>43937</v>
      </c>
      <c r="F8410" s="114">
        <v>202101</v>
      </c>
      <c r="G8410" s="112" t="s">
        <v>1091</v>
      </c>
      <c r="H8410" s="112" t="s">
        <v>1015</v>
      </c>
      <c r="I8410" s="112" t="s">
        <v>1605</v>
      </c>
      <c r="J8410" s="112" t="s">
        <v>5554</v>
      </c>
      <c r="K8410" s="112" t="s">
        <v>5555</v>
      </c>
      <c r="L8410" s="116">
        <v>25000</v>
      </c>
    </row>
    <row r="8411" spans="1:12" hidden="1" outlineLevel="1" collapsed="1" x14ac:dyDescent="0.35">
      <c r="A8411" s="112" t="s">
        <v>5553</v>
      </c>
      <c r="B8411" s="112" t="s">
        <v>927</v>
      </c>
      <c r="C8411" s="112" t="s">
        <v>1219</v>
      </c>
      <c r="D8411" s="113">
        <v>46307159</v>
      </c>
      <c r="E8411" s="115">
        <v>43937</v>
      </c>
      <c r="F8411" s="114">
        <v>202101</v>
      </c>
      <c r="G8411" s="112" t="s">
        <v>1091</v>
      </c>
      <c r="H8411" s="112" t="s">
        <v>1015</v>
      </c>
      <c r="I8411" s="112" t="s">
        <v>1605</v>
      </c>
      <c r="J8411" s="112" t="s">
        <v>5554</v>
      </c>
      <c r="K8411" s="112" t="s">
        <v>5555</v>
      </c>
      <c r="L8411" s="116">
        <v>25000</v>
      </c>
    </row>
    <row r="8412" spans="1:12" hidden="1" outlineLevel="1" collapsed="1" x14ac:dyDescent="0.35">
      <c r="A8412" s="112" t="s">
        <v>5553</v>
      </c>
      <c r="B8412" s="112" t="s">
        <v>927</v>
      </c>
      <c r="C8412" s="112" t="s">
        <v>1219</v>
      </c>
      <c r="D8412" s="113">
        <v>46307158</v>
      </c>
      <c r="E8412" s="115">
        <v>43937</v>
      </c>
      <c r="F8412" s="114">
        <v>202101</v>
      </c>
      <c r="G8412" s="112" t="s">
        <v>1091</v>
      </c>
      <c r="H8412" s="112" t="s">
        <v>1015</v>
      </c>
      <c r="I8412" s="112" t="s">
        <v>1605</v>
      </c>
      <c r="J8412" s="112" t="s">
        <v>5554</v>
      </c>
      <c r="K8412" s="112" t="s">
        <v>5555</v>
      </c>
      <c r="L8412" s="116">
        <v>25000</v>
      </c>
    </row>
    <row r="8413" spans="1:12" hidden="1" outlineLevel="1" collapsed="1" x14ac:dyDescent="0.35">
      <c r="A8413" s="112" t="s">
        <v>5553</v>
      </c>
      <c r="B8413" s="112" t="s">
        <v>927</v>
      </c>
      <c r="C8413" s="112" t="s">
        <v>1219</v>
      </c>
      <c r="D8413" s="113">
        <v>46307157</v>
      </c>
      <c r="E8413" s="115">
        <v>43937</v>
      </c>
      <c r="F8413" s="114">
        <v>202101</v>
      </c>
      <c r="G8413" s="112" t="s">
        <v>1091</v>
      </c>
      <c r="H8413" s="112" t="s">
        <v>1015</v>
      </c>
      <c r="I8413" s="112" t="s">
        <v>1605</v>
      </c>
      <c r="J8413" s="112" t="s">
        <v>5554</v>
      </c>
      <c r="K8413" s="112" t="s">
        <v>5556</v>
      </c>
      <c r="L8413" s="116">
        <v>10000</v>
      </c>
    </row>
    <row r="8414" spans="1:12" hidden="1" outlineLevel="1" collapsed="1" x14ac:dyDescent="0.35">
      <c r="A8414" s="112" t="s">
        <v>5553</v>
      </c>
      <c r="B8414" s="112" t="s">
        <v>927</v>
      </c>
      <c r="C8414" s="112" t="s">
        <v>1219</v>
      </c>
      <c r="D8414" s="113">
        <v>46307156</v>
      </c>
      <c r="E8414" s="115">
        <v>43937</v>
      </c>
      <c r="F8414" s="114">
        <v>202101</v>
      </c>
      <c r="G8414" s="112" t="s">
        <v>1091</v>
      </c>
      <c r="H8414" s="112" t="s">
        <v>1015</v>
      </c>
      <c r="I8414" s="112" t="s">
        <v>1605</v>
      </c>
      <c r="J8414" s="112" t="s">
        <v>5554</v>
      </c>
      <c r="K8414" s="112" t="s">
        <v>5556</v>
      </c>
      <c r="L8414" s="116">
        <v>10000</v>
      </c>
    </row>
    <row r="8415" spans="1:12" hidden="1" outlineLevel="1" collapsed="1" x14ac:dyDescent="0.35">
      <c r="A8415" s="112" t="s">
        <v>5553</v>
      </c>
      <c r="B8415" s="112" t="s">
        <v>927</v>
      </c>
      <c r="C8415" s="112" t="s">
        <v>1219</v>
      </c>
      <c r="D8415" s="113">
        <v>46307155</v>
      </c>
      <c r="E8415" s="115">
        <v>43937</v>
      </c>
      <c r="F8415" s="114">
        <v>202101</v>
      </c>
      <c r="G8415" s="112" t="s">
        <v>1091</v>
      </c>
      <c r="H8415" s="112" t="s">
        <v>1015</v>
      </c>
      <c r="I8415" s="112" t="s">
        <v>1605</v>
      </c>
      <c r="J8415" s="112" t="s">
        <v>5554</v>
      </c>
      <c r="K8415" s="112" t="s">
        <v>5556</v>
      </c>
      <c r="L8415" s="116">
        <v>10000</v>
      </c>
    </row>
    <row r="8416" spans="1:12" hidden="1" outlineLevel="1" collapsed="1" x14ac:dyDescent="0.35">
      <c r="A8416" s="112" t="s">
        <v>5553</v>
      </c>
      <c r="B8416" s="112" t="s">
        <v>927</v>
      </c>
      <c r="C8416" s="112" t="s">
        <v>1219</v>
      </c>
      <c r="D8416" s="113">
        <v>46307154</v>
      </c>
      <c r="E8416" s="115">
        <v>43937</v>
      </c>
      <c r="F8416" s="114">
        <v>202101</v>
      </c>
      <c r="G8416" s="112" t="s">
        <v>1091</v>
      </c>
      <c r="H8416" s="112" t="s">
        <v>1015</v>
      </c>
      <c r="I8416" s="112" t="s">
        <v>1605</v>
      </c>
      <c r="J8416" s="112" t="s">
        <v>5554</v>
      </c>
      <c r="K8416" s="112" t="s">
        <v>5556</v>
      </c>
      <c r="L8416" s="116">
        <v>10000</v>
      </c>
    </row>
    <row r="8417" spans="1:12" hidden="1" outlineLevel="1" collapsed="1" x14ac:dyDescent="0.35">
      <c r="A8417" s="112" t="s">
        <v>5553</v>
      </c>
      <c r="B8417" s="112" t="s">
        <v>927</v>
      </c>
      <c r="C8417" s="112" t="s">
        <v>1219</v>
      </c>
      <c r="D8417" s="113">
        <v>46307153</v>
      </c>
      <c r="E8417" s="115">
        <v>43937</v>
      </c>
      <c r="F8417" s="114">
        <v>202101</v>
      </c>
      <c r="G8417" s="112" t="s">
        <v>1091</v>
      </c>
      <c r="H8417" s="112" t="s">
        <v>1015</v>
      </c>
      <c r="I8417" s="112" t="s">
        <v>1605</v>
      </c>
      <c r="J8417" s="112" t="s">
        <v>5554</v>
      </c>
      <c r="K8417" s="112" t="s">
        <v>5555</v>
      </c>
      <c r="L8417" s="116">
        <v>25000</v>
      </c>
    </row>
    <row r="8418" spans="1:12" hidden="1" outlineLevel="1" collapsed="1" x14ac:dyDescent="0.35">
      <c r="A8418" s="112" t="s">
        <v>5553</v>
      </c>
      <c r="B8418" s="112" t="s">
        <v>927</v>
      </c>
      <c r="C8418" s="112" t="s">
        <v>1219</v>
      </c>
      <c r="D8418" s="113">
        <v>46307152</v>
      </c>
      <c r="E8418" s="115">
        <v>43937</v>
      </c>
      <c r="F8418" s="114">
        <v>202101</v>
      </c>
      <c r="G8418" s="112" t="s">
        <v>1091</v>
      </c>
      <c r="H8418" s="112" t="s">
        <v>1015</v>
      </c>
      <c r="I8418" s="112" t="s">
        <v>1605</v>
      </c>
      <c r="J8418" s="112" t="s">
        <v>5554</v>
      </c>
      <c r="K8418" s="112" t="s">
        <v>5556</v>
      </c>
      <c r="L8418" s="116">
        <v>10000</v>
      </c>
    </row>
    <row r="8419" spans="1:12" hidden="1" outlineLevel="1" collapsed="1" x14ac:dyDescent="0.35">
      <c r="A8419" s="112" t="s">
        <v>5553</v>
      </c>
      <c r="B8419" s="112" t="s">
        <v>927</v>
      </c>
      <c r="C8419" s="112" t="s">
        <v>1219</v>
      </c>
      <c r="D8419" s="113">
        <v>46307151</v>
      </c>
      <c r="E8419" s="115">
        <v>43937</v>
      </c>
      <c r="F8419" s="114">
        <v>202101</v>
      </c>
      <c r="G8419" s="112" t="s">
        <v>1091</v>
      </c>
      <c r="H8419" s="112" t="s">
        <v>1015</v>
      </c>
      <c r="I8419" s="112" t="s">
        <v>1605</v>
      </c>
      <c r="J8419" s="112" t="s">
        <v>5554</v>
      </c>
      <c r="K8419" s="112" t="s">
        <v>5555</v>
      </c>
      <c r="L8419" s="116">
        <v>25000</v>
      </c>
    </row>
    <row r="8420" spans="1:12" hidden="1" outlineLevel="1" collapsed="1" x14ac:dyDescent="0.35">
      <c r="A8420" s="112" t="s">
        <v>5553</v>
      </c>
      <c r="B8420" s="112" t="s">
        <v>927</v>
      </c>
      <c r="C8420" s="112" t="s">
        <v>1219</v>
      </c>
      <c r="D8420" s="113">
        <v>46307150</v>
      </c>
      <c r="E8420" s="115">
        <v>43937</v>
      </c>
      <c r="F8420" s="114">
        <v>202101</v>
      </c>
      <c r="G8420" s="112" t="s">
        <v>1091</v>
      </c>
      <c r="H8420" s="112" t="s">
        <v>1015</v>
      </c>
      <c r="I8420" s="112" t="s">
        <v>1605</v>
      </c>
      <c r="J8420" s="112" t="s">
        <v>5554</v>
      </c>
      <c r="K8420" s="112" t="s">
        <v>5555</v>
      </c>
      <c r="L8420" s="116">
        <v>25000</v>
      </c>
    </row>
    <row r="8421" spans="1:12" hidden="1" outlineLevel="1" collapsed="1" x14ac:dyDescent="0.35">
      <c r="A8421" s="112" t="s">
        <v>5553</v>
      </c>
      <c r="B8421" s="112" t="s">
        <v>927</v>
      </c>
      <c r="C8421" s="112" t="s">
        <v>1219</v>
      </c>
      <c r="D8421" s="113">
        <v>46307149</v>
      </c>
      <c r="E8421" s="115">
        <v>43937</v>
      </c>
      <c r="F8421" s="114">
        <v>202101</v>
      </c>
      <c r="G8421" s="112" t="s">
        <v>1091</v>
      </c>
      <c r="H8421" s="112" t="s">
        <v>1015</v>
      </c>
      <c r="I8421" s="112" t="s">
        <v>1605</v>
      </c>
      <c r="J8421" s="112" t="s">
        <v>5554</v>
      </c>
      <c r="K8421" s="112" t="s">
        <v>5555</v>
      </c>
      <c r="L8421" s="116">
        <v>25000</v>
      </c>
    </row>
    <row r="8422" spans="1:12" hidden="1" outlineLevel="1" collapsed="1" x14ac:dyDescent="0.35">
      <c r="A8422" s="112" t="s">
        <v>5553</v>
      </c>
      <c r="B8422" s="112" t="s">
        <v>927</v>
      </c>
      <c r="C8422" s="112" t="s">
        <v>1219</v>
      </c>
      <c r="D8422" s="113">
        <v>46307148</v>
      </c>
      <c r="E8422" s="115">
        <v>43937</v>
      </c>
      <c r="F8422" s="114">
        <v>202101</v>
      </c>
      <c r="G8422" s="112" t="s">
        <v>1091</v>
      </c>
      <c r="H8422" s="112" t="s">
        <v>1015</v>
      </c>
      <c r="I8422" s="112" t="s">
        <v>1605</v>
      </c>
      <c r="J8422" s="112" t="s">
        <v>5554</v>
      </c>
      <c r="K8422" s="112" t="s">
        <v>5555</v>
      </c>
      <c r="L8422" s="116">
        <v>25000</v>
      </c>
    </row>
    <row r="8423" spans="1:12" hidden="1" outlineLevel="1" collapsed="1" x14ac:dyDescent="0.35">
      <c r="A8423" s="112" t="s">
        <v>5553</v>
      </c>
      <c r="B8423" s="112" t="s">
        <v>927</v>
      </c>
      <c r="C8423" s="112" t="s">
        <v>1219</v>
      </c>
      <c r="D8423" s="113">
        <v>46307147</v>
      </c>
      <c r="E8423" s="115">
        <v>43937</v>
      </c>
      <c r="F8423" s="114">
        <v>202101</v>
      </c>
      <c r="G8423" s="112" t="s">
        <v>1091</v>
      </c>
      <c r="H8423" s="112" t="s">
        <v>1015</v>
      </c>
      <c r="I8423" s="112" t="s">
        <v>1605</v>
      </c>
      <c r="J8423" s="112" t="s">
        <v>5554</v>
      </c>
      <c r="K8423" s="112" t="s">
        <v>5555</v>
      </c>
      <c r="L8423" s="116">
        <v>25000</v>
      </c>
    </row>
    <row r="8424" spans="1:12" hidden="1" outlineLevel="1" collapsed="1" x14ac:dyDescent="0.35">
      <c r="A8424" s="112" t="s">
        <v>5553</v>
      </c>
      <c r="B8424" s="112" t="s">
        <v>927</v>
      </c>
      <c r="C8424" s="112" t="s">
        <v>1219</v>
      </c>
      <c r="D8424" s="113">
        <v>46306851</v>
      </c>
      <c r="E8424" s="115">
        <v>43927</v>
      </c>
      <c r="F8424" s="114">
        <v>202101</v>
      </c>
      <c r="G8424" s="112" t="s">
        <v>1091</v>
      </c>
      <c r="H8424" s="112" t="s">
        <v>1015</v>
      </c>
      <c r="I8424" s="112" t="s">
        <v>1605</v>
      </c>
      <c r="J8424" s="112" t="s">
        <v>5554</v>
      </c>
      <c r="K8424" s="112" t="s">
        <v>5580</v>
      </c>
      <c r="L8424" s="116">
        <v>25000</v>
      </c>
    </row>
    <row r="8425" spans="1:12" hidden="1" outlineLevel="1" collapsed="1" x14ac:dyDescent="0.35">
      <c r="A8425" s="112" t="s">
        <v>5553</v>
      </c>
      <c r="B8425" s="112" t="s">
        <v>926</v>
      </c>
      <c r="C8425" s="112" t="s">
        <v>1219</v>
      </c>
      <c r="D8425" s="113">
        <v>46307134</v>
      </c>
      <c r="E8425" s="115">
        <v>43924</v>
      </c>
      <c r="F8425" s="114">
        <v>202101</v>
      </c>
      <c r="G8425" s="112" t="s">
        <v>1091</v>
      </c>
      <c r="H8425" s="112" t="s">
        <v>1015</v>
      </c>
      <c r="I8425" s="112" t="s">
        <v>1211</v>
      </c>
      <c r="J8425" s="112" t="s">
        <v>5591</v>
      </c>
      <c r="K8425" s="112" t="s">
        <v>1220</v>
      </c>
      <c r="L8425" s="116">
        <v>3407.14</v>
      </c>
    </row>
    <row r="8426" spans="1:12" hidden="1" outlineLevel="1" collapsed="1" x14ac:dyDescent="0.35">
      <c r="A8426" s="112" t="s">
        <v>5553</v>
      </c>
      <c r="B8426" s="112" t="s">
        <v>927</v>
      </c>
      <c r="C8426" s="112" t="s">
        <v>1219</v>
      </c>
      <c r="D8426" s="113">
        <v>46306852</v>
      </c>
      <c r="E8426" s="115">
        <v>43927</v>
      </c>
      <c r="F8426" s="114">
        <v>202101</v>
      </c>
      <c r="G8426" s="112" t="s">
        <v>1091</v>
      </c>
      <c r="H8426" s="112" t="s">
        <v>1015</v>
      </c>
      <c r="I8426" s="112" t="s">
        <v>1605</v>
      </c>
      <c r="J8426" s="112" t="s">
        <v>5554</v>
      </c>
      <c r="K8426" s="112" t="s">
        <v>5580</v>
      </c>
      <c r="L8426" s="116">
        <v>25000</v>
      </c>
    </row>
    <row r="8427" spans="1:12" hidden="1" outlineLevel="1" collapsed="1" x14ac:dyDescent="0.35">
      <c r="A8427" s="112" t="s">
        <v>5553</v>
      </c>
      <c r="B8427" s="112" t="s">
        <v>927</v>
      </c>
      <c r="C8427" s="112" t="s">
        <v>679</v>
      </c>
      <c r="D8427" s="113">
        <v>10348271</v>
      </c>
      <c r="E8427" s="115">
        <v>43937</v>
      </c>
      <c r="F8427" s="114">
        <v>202101</v>
      </c>
      <c r="G8427" s="112" t="s">
        <v>1091</v>
      </c>
      <c r="H8427" s="112" t="s">
        <v>1015</v>
      </c>
      <c r="I8427" s="112" t="s">
        <v>1536</v>
      </c>
      <c r="J8427" s="112" t="s">
        <v>5554</v>
      </c>
      <c r="K8427" s="112" t="s">
        <v>5629</v>
      </c>
      <c r="L8427" s="116">
        <v>54</v>
      </c>
    </row>
    <row r="8428" spans="1:12" hidden="1" outlineLevel="1" collapsed="1" x14ac:dyDescent="0.35">
      <c r="A8428" s="112" t="s">
        <v>5553</v>
      </c>
      <c r="B8428" s="112" t="s">
        <v>927</v>
      </c>
      <c r="C8428" s="112" t="s">
        <v>1095</v>
      </c>
      <c r="D8428" s="113">
        <v>10348451</v>
      </c>
      <c r="E8428" s="115">
        <v>43949</v>
      </c>
      <c r="F8428" s="114">
        <v>202101</v>
      </c>
      <c r="G8428" s="112" t="s">
        <v>1091</v>
      </c>
      <c r="H8428" s="112" t="s">
        <v>1015</v>
      </c>
      <c r="I8428" s="112" t="s">
        <v>1096</v>
      </c>
      <c r="J8428" s="112" t="s">
        <v>5554</v>
      </c>
      <c r="K8428" s="112" t="s">
        <v>1098</v>
      </c>
      <c r="L8428" s="116">
        <v>210.79</v>
      </c>
    </row>
    <row r="8429" spans="1:12" hidden="1" outlineLevel="1" collapsed="1" x14ac:dyDescent="0.35">
      <c r="A8429" s="112" t="s">
        <v>5553</v>
      </c>
      <c r="B8429" s="112" t="s">
        <v>924</v>
      </c>
      <c r="C8429" s="112" t="s">
        <v>1095</v>
      </c>
      <c r="D8429" s="113">
        <v>10348451</v>
      </c>
      <c r="E8429" s="115">
        <v>43949</v>
      </c>
      <c r="F8429" s="114">
        <v>202101</v>
      </c>
      <c r="G8429" s="112" t="s">
        <v>1091</v>
      </c>
      <c r="H8429" s="112" t="s">
        <v>1015</v>
      </c>
      <c r="I8429" s="112" t="s">
        <v>1101</v>
      </c>
      <c r="J8429" s="112" t="s">
        <v>5558</v>
      </c>
      <c r="K8429" s="112" t="s">
        <v>1098</v>
      </c>
      <c r="L8429" s="116">
        <v>609.34</v>
      </c>
    </row>
    <row r="8430" spans="1:12" hidden="1" outlineLevel="1" collapsed="1" x14ac:dyDescent="0.35">
      <c r="A8430" s="112" t="s">
        <v>5553</v>
      </c>
      <c r="B8430" s="112" t="s">
        <v>927</v>
      </c>
      <c r="C8430" s="112" t="s">
        <v>1095</v>
      </c>
      <c r="D8430" s="113">
        <v>10348451</v>
      </c>
      <c r="E8430" s="115">
        <v>43949</v>
      </c>
      <c r="F8430" s="114">
        <v>202101</v>
      </c>
      <c r="G8430" s="112" t="s">
        <v>1091</v>
      </c>
      <c r="H8430" s="112" t="s">
        <v>1015</v>
      </c>
      <c r="I8430" s="112" t="s">
        <v>1101</v>
      </c>
      <c r="J8430" s="112" t="s">
        <v>5554</v>
      </c>
      <c r="K8430" s="112" t="s">
        <v>1098</v>
      </c>
      <c r="L8430" s="116">
        <v>207.75</v>
      </c>
    </row>
    <row r="8431" spans="1:12" hidden="1" outlineLevel="1" collapsed="1" x14ac:dyDescent="0.35">
      <c r="A8431" s="112" t="s">
        <v>5553</v>
      </c>
      <c r="B8431" s="112" t="s">
        <v>927</v>
      </c>
      <c r="C8431" s="112" t="s">
        <v>1219</v>
      </c>
      <c r="D8431" s="113">
        <v>46307163</v>
      </c>
      <c r="E8431" s="115">
        <v>43937</v>
      </c>
      <c r="F8431" s="114">
        <v>202101</v>
      </c>
      <c r="G8431" s="112" t="s">
        <v>1091</v>
      </c>
      <c r="H8431" s="112" t="s">
        <v>1015</v>
      </c>
      <c r="I8431" s="112" t="s">
        <v>1605</v>
      </c>
      <c r="J8431" s="112" t="s">
        <v>5554</v>
      </c>
      <c r="K8431" s="112" t="s">
        <v>5555</v>
      </c>
      <c r="L8431" s="116">
        <v>25000</v>
      </c>
    </row>
    <row r="8432" spans="1:12" hidden="1" outlineLevel="1" collapsed="1" x14ac:dyDescent="0.35">
      <c r="A8432" s="112" t="s">
        <v>5553</v>
      </c>
      <c r="B8432" s="112" t="s">
        <v>927</v>
      </c>
      <c r="C8432" s="112" t="s">
        <v>1095</v>
      </c>
      <c r="D8432" s="113">
        <v>10348451</v>
      </c>
      <c r="E8432" s="115">
        <v>43949</v>
      </c>
      <c r="F8432" s="114">
        <v>202101</v>
      </c>
      <c r="G8432" s="112" t="s">
        <v>1091</v>
      </c>
      <c r="H8432" s="112" t="s">
        <v>1015</v>
      </c>
      <c r="I8432" s="112" t="s">
        <v>1263</v>
      </c>
      <c r="J8432" s="112" t="s">
        <v>5554</v>
      </c>
      <c r="K8432" s="112" t="s">
        <v>1098</v>
      </c>
      <c r="L8432" s="116">
        <v>452.02</v>
      </c>
    </row>
    <row r="8433" spans="1:12" hidden="1" outlineLevel="1" collapsed="1" x14ac:dyDescent="0.35">
      <c r="A8433" s="112" t="s">
        <v>5553</v>
      </c>
      <c r="B8433" s="112" t="s">
        <v>927</v>
      </c>
      <c r="C8433" s="112" t="s">
        <v>1095</v>
      </c>
      <c r="D8433" s="113">
        <v>10348451</v>
      </c>
      <c r="E8433" s="115">
        <v>43949</v>
      </c>
      <c r="F8433" s="114">
        <v>202101</v>
      </c>
      <c r="G8433" s="112" t="s">
        <v>1091</v>
      </c>
      <c r="H8433" s="112" t="s">
        <v>1015</v>
      </c>
      <c r="I8433" s="112" t="s">
        <v>1101</v>
      </c>
      <c r="J8433" s="112" t="s">
        <v>5557</v>
      </c>
      <c r="K8433" s="112" t="s">
        <v>1098</v>
      </c>
      <c r="L8433" s="116">
        <v>379.69</v>
      </c>
    </row>
    <row r="8434" spans="1:12" hidden="1" outlineLevel="1" collapsed="1" x14ac:dyDescent="0.35">
      <c r="A8434" s="112" t="s">
        <v>5553</v>
      </c>
      <c r="B8434" s="112" t="s">
        <v>927</v>
      </c>
      <c r="C8434" s="112" t="s">
        <v>1095</v>
      </c>
      <c r="D8434" s="113">
        <v>10348451</v>
      </c>
      <c r="E8434" s="115">
        <v>43949</v>
      </c>
      <c r="F8434" s="114">
        <v>202101</v>
      </c>
      <c r="G8434" s="112" t="s">
        <v>1091</v>
      </c>
      <c r="H8434" s="112" t="s">
        <v>1015</v>
      </c>
      <c r="I8434" s="112" t="s">
        <v>1101</v>
      </c>
      <c r="J8434" s="112" t="s">
        <v>5557</v>
      </c>
      <c r="K8434" s="112" t="s">
        <v>1098</v>
      </c>
      <c r="L8434" s="116">
        <v>366.04</v>
      </c>
    </row>
    <row r="8435" spans="1:12" hidden="1" outlineLevel="1" collapsed="1" x14ac:dyDescent="0.35">
      <c r="A8435" s="112" t="s">
        <v>5553</v>
      </c>
      <c r="B8435" s="112" t="s">
        <v>5561</v>
      </c>
      <c r="C8435" s="112" t="s">
        <v>1095</v>
      </c>
      <c r="D8435" s="113">
        <v>10348451</v>
      </c>
      <c r="E8435" s="115">
        <v>43949</v>
      </c>
      <c r="F8435" s="114">
        <v>202101</v>
      </c>
      <c r="G8435" s="112" t="s">
        <v>1091</v>
      </c>
      <c r="H8435" s="112" t="s">
        <v>1015</v>
      </c>
      <c r="I8435" s="112" t="s">
        <v>1096</v>
      </c>
      <c r="J8435" s="112" t="s">
        <v>5562</v>
      </c>
      <c r="K8435" s="112" t="s">
        <v>1098</v>
      </c>
      <c r="L8435" s="116">
        <v>271.86</v>
      </c>
    </row>
    <row r="8436" spans="1:12" hidden="1" outlineLevel="1" collapsed="1" x14ac:dyDescent="0.35">
      <c r="A8436" s="112" t="s">
        <v>5553</v>
      </c>
      <c r="B8436" s="112" t="s">
        <v>5561</v>
      </c>
      <c r="C8436" s="112" t="s">
        <v>1095</v>
      </c>
      <c r="D8436" s="113">
        <v>10348451</v>
      </c>
      <c r="E8436" s="115">
        <v>43949</v>
      </c>
      <c r="F8436" s="114">
        <v>202101</v>
      </c>
      <c r="G8436" s="112" t="s">
        <v>1091</v>
      </c>
      <c r="H8436" s="112" t="s">
        <v>1015</v>
      </c>
      <c r="I8436" s="112" t="s">
        <v>1101</v>
      </c>
      <c r="J8436" s="112" t="s">
        <v>5562</v>
      </c>
      <c r="K8436" s="112" t="s">
        <v>1098</v>
      </c>
      <c r="L8436" s="116">
        <v>437.72</v>
      </c>
    </row>
    <row r="8437" spans="1:12" hidden="1" outlineLevel="1" collapsed="1" x14ac:dyDescent="0.35">
      <c r="A8437" s="112" t="s">
        <v>5553</v>
      </c>
      <c r="B8437" s="112" t="s">
        <v>927</v>
      </c>
      <c r="C8437" s="112" t="s">
        <v>1095</v>
      </c>
      <c r="D8437" s="113">
        <v>10348451</v>
      </c>
      <c r="E8437" s="115">
        <v>43949</v>
      </c>
      <c r="F8437" s="114">
        <v>202101</v>
      </c>
      <c r="G8437" s="112" t="s">
        <v>1091</v>
      </c>
      <c r="H8437" s="112" t="s">
        <v>1015</v>
      </c>
      <c r="I8437" s="112" t="s">
        <v>1101</v>
      </c>
      <c r="J8437" s="112" t="s">
        <v>5557</v>
      </c>
      <c r="K8437" s="112" t="s">
        <v>1098</v>
      </c>
      <c r="L8437" s="116">
        <v>219.62</v>
      </c>
    </row>
    <row r="8438" spans="1:12" hidden="1" outlineLevel="1" collapsed="1" x14ac:dyDescent="0.35">
      <c r="A8438" s="112" t="s">
        <v>5553</v>
      </c>
      <c r="B8438" s="112" t="s">
        <v>927</v>
      </c>
      <c r="C8438" s="112" t="s">
        <v>1219</v>
      </c>
      <c r="D8438" s="113">
        <v>46307351</v>
      </c>
      <c r="E8438" s="115">
        <v>43924</v>
      </c>
      <c r="F8438" s="114">
        <v>202101</v>
      </c>
      <c r="G8438" s="112" t="s">
        <v>1091</v>
      </c>
      <c r="H8438" s="112" t="s">
        <v>1015</v>
      </c>
      <c r="I8438" s="112" t="s">
        <v>1605</v>
      </c>
      <c r="J8438" s="112" t="s">
        <v>5554</v>
      </c>
      <c r="K8438" s="112" t="s">
        <v>5556</v>
      </c>
      <c r="L8438" s="116">
        <v>10000</v>
      </c>
    </row>
    <row r="8439" spans="1:12" hidden="1" outlineLevel="1" collapsed="1" x14ac:dyDescent="0.35">
      <c r="A8439" s="112" t="s">
        <v>5553</v>
      </c>
      <c r="B8439" s="112" t="s">
        <v>927</v>
      </c>
      <c r="C8439" s="112" t="s">
        <v>1219</v>
      </c>
      <c r="D8439" s="113">
        <v>46307350</v>
      </c>
      <c r="E8439" s="115">
        <v>43924</v>
      </c>
      <c r="F8439" s="114">
        <v>202101</v>
      </c>
      <c r="G8439" s="112" t="s">
        <v>1091</v>
      </c>
      <c r="H8439" s="112" t="s">
        <v>1015</v>
      </c>
      <c r="I8439" s="112" t="s">
        <v>1605</v>
      </c>
      <c r="J8439" s="112" t="s">
        <v>5554</v>
      </c>
      <c r="K8439" s="112" t="s">
        <v>5556</v>
      </c>
      <c r="L8439" s="116">
        <v>10000</v>
      </c>
    </row>
    <row r="8440" spans="1:12" hidden="1" outlineLevel="1" collapsed="1" x14ac:dyDescent="0.35">
      <c r="A8440" s="112" t="s">
        <v>5553</v>
      </c>
      <c r="B8440" s="112" t="s">
        <v>927</v>
      </c>
      <c r="C8440" s="112" t="s">
        <v>1219</v>
      </c>
      <c r="D8440" s="113">
        <v>46307349</v>
      </c>
      <c r="E8440" s="115">
        <v>43924</v>
      </c>
      <c r="F8440" s="114">
        <v>202101</v>
      </c>
      <c r="G8440" s="112" t="s">
        <v>1091</v>
      </c>
      <c r="H8440" s="112" t="s">
        <v>1015</v>
      </c>
      <c r="I8440" s="112" t="s">
        <v>1605</v>
      </c>
      <c r="J8440" s="112" t="s">
        <v>5554</v>
      </c>
      <c r="K8440" s="112" t="s">
        <v>5556</v>
      </c>
      <c r="L8440" s="116">
        <v>10000</v>
      </c>
    </row>
    <row r="8441" spans="1:12" hidden="1" outlineLevel="1" collapsed="1" x14ac:dyDescent="0.35">
      <c r="A8441" s="112" t="s">
        <v>5553</v>
      </c>
      <c r="B8441" s="112" t="s">
        <v>927</v>
      </c>
      <c r="C8441" s="112" t="s">
        <v>1219</v>
      </c>
      <c r="D8441" s="113">
        <v>46307348</v>
      </c>
      <c r="E8441" s="115">
        <v>43924</v>
      </c>
      <c r="F8441" s="114">
        <v>202101</v>
      </c>
      <c r="G8441" s="112" t="s">
        <v>1091</v>
      </c>
      <c r="H8441" s="112" t="s">
        <v>1015</v>
      </c>
      <c r="I8441" s="112" t="s">
        <v>1605</v>
      </c>
      <c r="J8441" s="112" t="s">
        <v>5554</v>
      </c>
      <c r="K8441" s="112" t="s">
        <v>5556</v>
      </c>
      <c r="L8441" s="116">
        <v>10000</v>
      </c>
    </row>
    <row r="8442" spans="1:12" hidden="1" outlineLevel="1" collapsed="1" x14ac:dyDescent="0.35">
      <c r="A8442" s="112" t="s">
        <v>5553</v>
      </c>
      <c r="B8442" s="112" t="s">
        <v>927</v>
      </c>
      <c r="C8442" s="112" t="s">
        <v>1219</v>
      </c>
      <c r="D8442" s="113">
        <v>46307347</v>
      </c>
      <c r="E8442" s="115">
        <v>43924</v>
      </c>
      <c r="F8442" s="114">
        <v>202101</v>
      </c>
      <c r="G8442" s="112" t="s">
        <v>1091</v>
      </c>
      <c r="H8442" s="112" t="s">
        <v>1015</v>
      </c>
      <c r="I8442" s="112" t="s">
        <v>1605</v>
      </c>
      <c r="J8442" s="112" t="s">
        <v>5554</v>
      </c>
      <c r="K8442" s="112" t="s">
        <v>5555</v>
      </c>
      <c r="L8442" s="116">
        <v>25000</v>
      </c>
    </row>
    <row r="8443" spans="1:12" hidden="1" outlineLevel="1" collapsed="1" x14ac:dyDescent="0.35">
      <c r="A8443" s="112" t="s">
        <v>5553</v>
      </c>
      <c r="B8443" s="112" t="s">
        <v>927</v>
      </c>
      <c r="C8443" s="112" t="s">
        <v>1219</v>
      </c>
      <c r="D8443" s="113">
        <v>46307346</v>
      </c>
      <c r="E8443" s="115">
        <v>43924</v>
      </c>
      <c r="F8443" s="114">
        <v>202101</v>
      </c>
      <c r="G8443" s="112" t="s">
        <v>1091</v>
      </c>
      <c r="H8443" s="112" t="s">
        <v>1015</v>
      </c>
      <c r="I8443" s="112" t="s">
        <v>1605</v>
      </c>
      <c r="J8443" s="112" t="s">
        <v>5554</v>
      </c>
      <c r="K8443" s="112" t="s">
        <v>5555</v>
      </c>
      <c r="L8443" s="116">
        <v>25000</v>
      </c>
    </row>
    <row r="8444" spans="1:12" hidden="1" outlineLevel="1" collapsed="1" x14ac:dyDescent="0.35">
      <c r="A8444" s="112" t="s">
        <v>5553</v>
      </c>
      <c r="B8444" s="112" t="s">
        <v>927</v>
      </c>
      <c r="C8444" s="112" t="s">
        <v>1219</v>
      </c>
      <c r="D8444" s="113">
        <v>46307345</v>
      </c>
      <c r="E8444" s="115">
        <v>43924</v>
      </c>
      <c r="F8444" s="114">
        <v>202101</v>
      </c>
      <c r="G8444" s="112" t="s">
        <v>1091</v>
      </c>
      <c r="H8444" s="112" t="s">
        <v>1015</v>
      </c>
      <c r="I8444" s="112" t="s">
        <v>1605</v>
      </c>
      <c r="J8444" s="112" t="s">
        <v>5554</v>
      </c>
      <c r="K8444" s="112" t="s">
        <v>5555</v>
      </c>
      <c r="L8444" s="116">
        <v>25000</v>
      </c>
    </row>
    <row r="8445" spans="1:12" hidden="1" outlineLevel="1" collapsed="1" x14ac:dyDescent="0.35">
      <c r="A8445" s="112" t="s">
        <v>5553</v>
      </c>
      <c r="B8445" s="112" t="s">
        <v>926</v>
      </c>
      <c r="C8445" s="112" t="s">
        <v>1150</v>
      </c>
      <c r="D8445" s="113">
        <v>10348688</v>
      </c>
      <c r="E8445" s="115">
        <v>43978</v>
      </c>
      <c r="F8445" s="114">
        <v>202101</v>
      </c>
      <c r="G8445" s="112" t="s">
        <v>1091</v>
      </c>
      <c r="H8445" s="112" t="s">
        <v>1015</v>
      </c>
      <c r="I8445" s="112" t="s">
        <v>1211</v>
      </c>
      <c r="J8445" s="112" t="s">
        <v>5591</v>
      </c>
      <c r="K8445" s="112" t="s">
        <v>5660</v>
      </c>
      <c r="L8445" s="116">
        <v>2544.54</v>
      </c>
    </row>
    <row r="8446" spans="1:12" hidden="1" outlineLevel="1" collapsed="1" x14ac:dyDescent="0.35">
      <c r="A8446" s="112" t="s">
        <v>5553</v>
      </c>
      <c r="B8446" s="112" t="s">
        <v>927</v>
      </c>
      <c r="C8446" s="112" t="s">
        <v>1219</v>
      </c>
      <c r="D8446" s="113">
        <v>46308062</v>
      </c>
      <c r="E8446" s="115">
        <v>43950</v>
      </c>
      <c r="F8446" s="114">
        <v>202101</v>
      </c>
      <c r="G8446" s="112" t="s">
        <v>1091</v>
      </c>
      <c r="H8446" s="112" t="s">
        <v>1015</v>
      </c>
      <c r="I8446" s="112" t="s">
        <v>1605</v>
      </c>
      <c r="J8446" s="112" t="s">
        <v>5554</v>
      </c>
      <c r="K8446" s="112" t="s">
        <v>5555</v>
      </c>
      <c r="L8446" s="116">
        <v>10000</v>
      </c>
    </row>
    <row r="8447" spans="1:12" hidden="1" outlineLevel="1" collapsed="1" x14ac:dyDescent="0.35">
      <c r="A8447" s="112" t="s">
        <v>5553</v>
      </c>
      <c r="B8447" s="112" t="s">
        <v>927</v>
      </c>
      <c r="C8447" s="112" t="s">
        <v>1219</v>
      </c>
      <c r="D8447" s="113">
        <v>46308061</v>
      </c>
      <c r="E8447" s="115">
        <v>43950</v>
      </c>
      <c r="F8447" s="114">
        <v>202101</v>
      </c>
      <c r="G8447" s="112" t="s">
        <v>1091</v>
      </c>
      <c r="H8447" s="112" t="s">
        <v>1015</v>
      </c>
      <c r="I8447" s="112" t="s">
        <v>1605</v>
      </c>
      <c r="J8447" s="112" t="s">
        <v>5554</v>
      </c>
      <c r="K8447" s="112" t="s">
        <v>5555</v>
      </c>
      <c r="L8447" s="116">
        <v>25000</v>
      </c>
    </row>
    <row r="8448" spans="1:12" hidden="1" outlineLevel="1" collapsed="1" x14ac:dyDescent="0.35">
      <c r="A8448" s="112" t="s">
        <v>5553</v>
      </c>
      <c r="B8448" s="112" t="s">
        <v>927</v>
      </c>
      <c r="C8448" s="112" t="s">
        <v>1219</v>
      </c>
      <c r="D8448" s="113">
        <v>46307344</v>
      </c>
      <c r="E8448" s="115">
        <v>43924</v>
      </c>
      <c r="F8448" s="114">
        <v>202101</v>
      </c>
      <c r="G8448" s="112" t="s">
        <v>1091</v>
      </c>
      <c r="H8448" s="112" t="s">
        <v>1015</v>
      </c>
      <c r="I8448" s="112" t="s">
        <v>1605</v>
      </c>
      <c r="J8448" s="112" t="s">
        <v>5554</v>
      </c>
      <c r="K8448" s="112" t="s">
        <v>5556</v>
      </c>
      <c r="L8448" s="116">
        <v>10000</v>
      </c>
    </row>
    <row r="8449" spans="1:12" hidden="1" outlineLevel="1" collapsed="1" x14ac:dyDescent="0.35">
      <c r="A8449" s="112" t="s">
        <v>5553</v>
      </c>
      <c r="B8449" s="112" t="s">
        <v>927</v>
      </c>
      <c r="C8449" s="112" t="s">
        <v>1219</v>
      </c>
      <c r="D8449" s="113">
        <v>46307343</v>
      </c>
      <c r="E8449" s="115">
        <v>43924</v>
      </c>
      <c r="F8449" s="114">
        <v>202101</v>
      </c>
      <c r="G8449" s="112" t="s">
        <v>1091</v>
      </c>
      <c r="H8449" s="112" t="s">
        <v>1015</v>
      </c>
      <c r="I8449" s="112" t="s">
        <v>1605</v>
      </c>
      <c r="J8449" s="112" t="s">
        <v>5554</v>
      </c>
      <c r="K8449" s="112" t="s">
        <v>5555</v>
      </c>
      <c r="L8449" s="116">
        <v>25000</v>
      </c>
    </row>
    <row r="8450" spans="1:12" hidden="1" outlineLevel="1" collapsed="1" x14ac:dyDescent="0.35">
      <c r="A8450" s="112" t="s">
        <v>5553</v>
      </c>
      <c r="B8450" s="112" t="s">
        <v>927</v>
      </c>
      <c r="C8450" s="112" t="s">
        <v>1219</v>
      </c>
      <c r="D8450" s="113">
        <v>46308060</v>
      </c>
      <c r="E8450" s="115">
        <v>43950</v>
      </c>
      <c r="F8450" s="114">
        <v>202101</v>
      </c>
      <c r="G8450" s="112" t="s">
        <v>1091</v>
      </c>
      <c r="H8450" s="112" t="s">
        <v>1015</v>
      </c>
      <c r="I8450" s="112" t="s">
        <v>1605</v>
      </c>
      <c r="J8450" s="112" t="s">
        <v>5554</v>
      </c>
      <c r="K8450" s="112" t="s">
        <v>5555</v>
      </c>
      <c r="L8450" s="116">
        <v>25000</v>
      </c>
    </row>
    <row r="8451" spans="1:12" hidden="1" outlineLevel="1" collapsed="1" x14ac:dyDescent="0.35">
      <c r="A8451" s="112" t="s">
        <v>5553</v>
      </c>
      <c r="B8451" s="112" t="s">
        <v>927</v>
      </c>
      <c r="C8451" s="112" t="s">
        <v>1219</v>
      </c>
      <c r="D8451" s="113">
        <v>46308059</v>
      </c>
      <c r="E8451" s="115">
        <v>43950</v>
      </c>
      <c r="F8451" s="114">
        <v>202101</v>
      </c>
      <c r="G8451" s="112" t="s">
        <v>1091</v>
      </c>
      <c r="H8451" s="112" t="s">
        <v>1015</v>
      </c>
      <c r="I8451" s="112" t="s">
        <v>1605</v>
      </c>
      <c r="J8451" s="112" t="s">
        <v>5554</v>
      </c>
      <c r="K8451" s="112" t="s">
        <v>5555</v>
      </c>
      <c r="L8451" s="116">
        <v>25000</v>
      </c>
    </row>
    <row r="8452" spans="1:12" hidden="1" outlineLevel="1" collapsed="1" x14ac:dyDescent="0.35">
      <c r="A8452" s="112" t="s">
        <v>5553</v>
      </c>
      <c r="B8452" s="112" t="s">
        <v>927</v>
      </c>
      <c r="C8452" s="112" t="s">
        <v>1219</v>
      </c>
      <c r="D8452" s="113">
        <v>46307342</v>
      </c>
      <c r="E8452" s="115">
        <v>43924</v>
      </c>
      <c r="F8452" s="114">
        <v>202101</v>
      </c>
      <c r="G8452" s="112" t="s">
        <v>1091</v>
      </c>
      <c r="H8452" s="112" t="s">
        <v>1015</v>
      </c>
      <c r="I8452" s="112" t="s">
        <v>1605</v>
      </c>
      <c r="J8452" s="112" t="s">
        <v>5554</v>
      </c>
      <c r="K8452" s="112" t="s">
        <v>5556</v>
      </c>
      <c r="L8452" s="116">
        <v>10000</v>
      </c>
    </row>
    <row r="8453" spans="1:12" hidden="1" outlineLevel="1" collapsed="1" x14ac:dyDescent="0.35">
      <c r="A8453" s="112" t="s">
        <v>5553</v>
      </c>
      <c r="B8453" s="112" t="s">
        <v>927</v>
      </c>
      <c r="C8453" s="112" t="s">
        <v>1219</v>
      </c>
      <c r="D8453" s="113">
        <v>46308058</v>
      </c>
      <c r="E8453" s="115">
        <v>43950</v>
      </c>
      <c r="F8453" s="114">
        <v>202101</v>
      </c>
      <c r="G8453" s="112" t="s">
        <v>1091</v>
      </c>
      <c r="H8453" s="112" t="s">
        <v>1015</v>
      </c>
      <c r="I8453" s="112" t="s">
        <v>1605</v>
      </c>
      <c r="J8453" s="112" t="s">
        <v>5554</v>
      </c>
      <c r="K8453" s="112" t="s">
        <v>5556</v>
      </c>
      <c r="L8453" s="116">
        <v>10000</v>
      </c>
    </row>
    <row r="8454" spans="1:12" hidden="1" outlineLevel="1" collapsed="1" x14ac:dyDescent="0.35">
      <c r="A8454" s="112" t="s">
        <v>5553</v>
      </c>
      <c r="B8454" s="112" t="s">
        <v>927</v>
      </c>
      <c r="C8454" s="112" t="s">
        <v>1219</v>
      </c>
      <c r="D8454" s="113">
        <v>46308057</v>
      </c>
      <c r="E8454" s="115">
        <v>43950</v>
      </c>
      <c r="F8454" s="114">
        <v>202101</v>
      </c>
      <c r="G8454" s="112" t="s">
        <v>1091</v>
      </c>
      <c r="H8454" s="112" t="s">
        <v>1015</v>
      </c>
      <c r="I8454" s="112" t="s">
        <v>1605</v>
      </c>
      <c r="J8454" s="112" t="s">
        <v>5554</v>
      </c>
      <c r="K8454" s="112" t="s">
        <v>5555</v>
      </c>
      <c r="L8454" s="116">
        <v>10000</v>
      </c>
    </row>
    <row r="8455" spans="1:12" hidden="1" outlineLevel="1" collapsed="1" x14ac:dyDescent="0.35">
      <c r="A8455" s="112" t="s">
        <v>5553</v>
      </c>
      <c r="B8455" s="112" t="s">
        <v>927</v>
      </c>
      <c r="C8455" s="112" t="s">
        <v>1219</v>
      </c>
      <c r="D8455" s="113">
        <v>46308056</v>
      </c>
      <c r="E8455" s="115">
        <v>43950</v>
      </c>
      <c r="F8455" s="114">
        <v>202101</v>
      </c>
      <c r="G8455" s="112" t="s">
        <v>1091</v>
      </c>
      <c r="H8455" s="112" t="s">
        <v>1015</v>
      </c>
      <c r="I8455" s="112" t="s">
        <v>1605</v>
      </c>
      <c r="J8455" s="112" t="s">
        <v>5554</v>
      </c>
      <c r="K8455" s="112" t="s">
        <v>5555</v>
      </c>
      <c r="L8455" s="116">
        <v>10000</v>
      </c>
    </row>
    <row r="8456" spans="1:12" hidden="1" outlineLevel="1" collapsed="1" x14ac:dyDescent="0.35">
      <c r="A8456" s="112" t="s">
        <v>5553</v>
      </c>
      <c r="B8456" s="112" t="s">
        <v>927</v>
      </c>
      <c r="C8456" s="112" t="s">
        <v>1219</v>
      </c>
      <c r="D8456" s="113">
        <v>46307164</v>
      </c>
      <c r="E8456" s="115">
        <v>43937</v>
      </c>
      <c r="F8456" s="114">
        <v>202101</v>
      </c>
      <c r="G8456" s="112" t="s">
        <v>1091</v>
      </c>
      <c r="H8456" s="112" t="s">
        <v>1015</v>
      </c>
      <c r="I8456" s="112" t="s">
        <v>1605</v>
      </c>
      <c r="J8456" s="112" t="s">
        <v>5554</v>
      </c>
      <c r="K8456" s="112" t="s">
        <v>5555</v>
      </c>
      <c r="L8456" s="116">
        <v>25000</v>
      </c>
    </row>
    <row r="8457" spans="1:12" hidden="1" outlineLevel="1" collapsed="1" x14ac:dyDescent="0.35">
      <c r="A8457" s="112" t="s">
        <v>5553</v>
      </c>
      <c r="B8457" s="112" t="s">
        <v>927</v>
      </c>
      <c r="C8457" s="112" t="s">
        <v>1219</v>
      </c>
      <c r="D8457" s="113">
        <v>46307341</v>
      </c>
      <c r="E8457" s="115">
        <v>43924</v>
      </c>
      <c r="F8457" s="114">
        <v>202101</v>
      </c>
      <c r="G8457" s="112" t="s">
        <v>1091</v>
      </c>
      <c r="H8457" s="112" t="s">
        <v>1015</v>
      </c>
      <c r="I8457" s="112" t="s">
        <v>1605</v>
      </c>
      <c r="J8457" s="112" t="s">
        <v>5554</v>
      </c>
      <c r="K8457" s="112" t="s">
        <v>5556</v>
      </c>
      <c r="L8457" s="116">
        <v>10000</v>
      </c>
    </row>
    <row r="8458" spans="1:12" hidden="1" outlineLevel="1" collapsed="1" x14ac:dyDescent="0.35">
      <c r="A8458" s="112" t="s">
        <v>5553</v>
      </c>
      <c r="B8458" s="112" t="s">
        <v>927</v>
      </c>
      <c r="C8458" s="112" t="s">
        <v>1219</v>
      </c>
      <c r="D8458" s="113">
        <v>46308063</v>
      </c>
      <c r="E8458" s="115">
        <v>43950</v>
      </c>
      <c r="F8458" s="114">
        <v>202101</v>
      </c>
      <c r="G8458" s="112" t="s">
        <v>1091</v>
      </c>
      <c r="H8458" s="112" t="s">
        <v>1015</v>
      </c>
      <c r="I8458" s="112" t="s">
        <v>1605</v>
      </c>
      <c r="J8458" s="112" t="s">
        <v>5554</v>
      </c>
      <c r="K8458" s="112" t="s">
        <v>5555</v>
      </c>
      <c r="L8458" s="116">
        <v>25000</v>
      </c>
    </row>
    <row r="8459" spans="1:12" hidden="1" outlineLevel="1" collapsed="1" x14ac:dyDescent="0.35">
      <c r="A8459" s="112" t="s">
        <v>5553</v>
      </c>
      <c r="B8459" s="112" t="s">
        <v>927</v>
      </c>
      <c r="C8459" s="112" t="s">
        <v>1219</v>
      </c>
      <c r="D8459" s="113">
        <v>46308088</v>
      </c>
      <c r="E8459" s="115">
        <v>43950</v>
      </c>
      <c r="F8459" s="114">
        <v>202101</v>
      </c>
      <c r="G8459" s="112" t="s">
        <v>1091</v>
      </c>
      <c r="H8459" s="112" t="s">
        <v>1015</v>
      </c>
      <c r="I8459" s="112" t="s">
        <v>1605</v>
      </c>
      <c r="J8459" s="112" t="s">
        <v>5554</v>
      </c>
      <c r="K8459" s="112" t="s">
        <v>5555</v>
      </c>
      <c r="L8459" s="116">
        <v>25000</v>
      </c>
    </row>
    <row r="8460" spans="1:12" hidden="1" outlineLevel="1" collapsed="1" x14ac:dyDescent="0.35">
      <c r="A8460" s="112" t="s">
        <v>5553</v>
      </c>
      <c r="B8460" s="112" t="s">
        <v>927</v>
      </c>
      <c r="C8460" s="112" t="s">
        <v>1219</v>
      </c>
      <c r="D8460" s="113">
        <v>46308087</v>
      </c>
      <c r="E8460" s="115">
        <v>43950</v>
      </c>
      <c r="F8460" s="114">
        <v>202101</v>
      </c>
      <c r="G8460" s="112" t="s">
        <v>1091</v>
      </c>
      <c r="H8460" s="112" t="s">
        <v>1015</v>
      </c>
      <c r="I8460" s="112" t="s">
        <v>1605</v>
      </c>
      <c r="J8460" s="112" t="s">
        <v>5554</v>
      </c>
      <c r="K8460" s="112" t="s">
        <v>5555</v>
      </c>
      <c r="L8460" s="116">
        <v>25000</v>
      </c>
    </row>
    <row r="8461" spans="1:12" hidden="1" outlineLevel="1" collapsed="1" x14ac:dyDescent="0.35">
      <c r="A8461" s="112" t="s">
        <v>5553</v>
      </c>
      <c r="B8461" s="112" t="s">
        <v>927</v>
      </c>
      <c r="C8461" s="112" t="s">
        <v>1219</v>
      </c>
      <c r="D8461" s="113">
        <v>46308086</v>
      </c>
      <c r="E8461" s="115">
        <v>43950</v>
      </c>
      <c r="F8461" s="114">
        <v>202101</v>
      </c>
      <c r="G8461" s="112" t="s">
        <v>1091</v>
      </c>
      <c r="H8461" s="112" t="s">
        <v>1015</v>
      </c>
      <c r="I8461" s="112" t="s">
        <v>1605</v>
      </c>
      <c r="J8461" s="112" t="s">
        <v>5554</v>
      </c>
      <c r="K8461" s="112" t="s">
        <v>5556</v>
      </c>
      <c r="L8461" s="116">
        <v>10000</v>
      </c>
    </row>
    <row r="8462" spans="1:12" hidden="1" outlineLevel="1" collapsed="1" x14ac:dyDescent="0.35">
      <c r="A8462" s="112" t="s">
        <v>5553</v>
      </c>
      <c r="B8462" s="112" t="s">
        <v>927</v>
      </c>
      <c r="C8462" s="112" t="s">
        <v>1219</v>
      </c>
      <c r="D8462" s="113">
        <v>46308085</v>
      </c>
      <c r="E8462" s="115">
        <v>43950</v>
      </c>
      <c r="F8462" s="114">
        <v>202101</v>
      </c>
      <c r="G8462" s="112" t="s">
        <v>1091</v>
      </c>
      <c r="H8462" s="112" t="s">
        <v>1015</v>
      </c>
      <c r="I8462" s="112" t="s">
        <v>1605</v>
      </c>
      <c r="J8462" s="112" t="s">
        <v>5554</v>
      </c>
      <c r="K8462" s="112" t="s">
        <v>5555</v>
      </c>
      <c r="L8462" s="116">
        <v>25000</v>
      </c>
    </row>
    <row r="8463" spans="1:12" hidden="1" outlineLevel="1" collapsed="1" x14ac:dyDescent="0.35">
      <c r="A8463" s="112" t="s">
        <v>5553</v>
      </c>
      <c r="B8463" s="112" t="s">
        <v>927</v>
      </c>
      <c r="C8463" s="112" t="s">
        <v>1219</v>
      </c>
      <c r="D8463" s="113">
        <v>46308084</v>
      </c>
      <c r="E8463" s="115">
        <v>43950</v>
      </c>
      <c r="F8463" s="114">
        <v>202101</v>
      </c>
      <c r="G8463" s="112" t="s">
        <v>1091</v>
      </c>
      <c r="H8463" s="112" t="s">
        <v>1015</v>
      </c>
      <c r="I8463" s="112" t="s">
        <v>1605</v>
      </c>
      <c r="J8463" s="112" t="s">
        <v>5554</v>
      </c>
      <c r="K8463" s="112" t="s">
        <v>5555</v>
      </c>
      <c r="L8463" s="116">
        <v>25000</v>
      </c>
    </row>
    <row r="8464" spans="1:12" hidden="1" outlineLevel="1" collapsed="1" x14ac:dyDescent="0.35">
      <c r="A8464" s="112" t="s">
        <v>5553</v>
      </c>
      <c r="B8464" s="112" t="s">
        <v>927</v>
      </c>
      <c r="C8464" s="112" t="s">
        <v>1219</v>
      </c>
      <c r="D8464" s="113">
        <v>46308083</v>
      </c>
      <c r="E8464" s="115">
        <v>43950</v>
      </c>
      <c r="F8464" s="114">
        <v>202101</v>
      </c>
      <c r="G8464" s="112" t="s">
        <v>1091</v>
      </c>
      <c r="H8464" s="112" t="s">
        <v>1015</v>
      </c>
      <c r="I8464" s="112" t="s">
        <v>1605</v>
      </c>
      <c r="J8464" s="112" t="s">
        <v>5554</v>
      </c>
      <c r="K8464" s="112" t="s">
        <v>5556</v>
      </c>
      <c r="L8464" s="116">
        <v>10000</v>
      </c>
    </row>
    <row r="8465" spans="1:12" hidden="1" outlineLevel="1" collapsed="1" x14ac:dyDescent="0.35">
      <c r="A8465" s="112" t="s">
        <v>5553</v>
      </c>
      <c r="B8465" s="112" t="s">
        <v>927</v>
      </c>
      <c r="C8465" s="112" t="s">
        <v>1219</v>
      </c>
      <c r="D8465" s="113">
        <v>46308082</v>
      </c>
      <c r="E8465" s="115">
        <v>43950</v>
      </c>
      <c r="F8465" s="114">
        <v>202101</v>
      </c>
      <c r="G8465" s="112" t="s">
        <v>1091</v>
      </c>
      <c r="H8465" s="112" t="s">
        <v>1015</v>
      </c>
      <c r="I8465" s="112" t="s">
        <v>1605</v>
      </c>
      <c r="J8465" s="112" t="s">
        <v>5554</v>
      </c>
      <c r="K8465" s="112" t="s">
        <v>5555</v>
      </c>
      <c r="L8465" s="116">
        <v>10000</v>
      </c>
    </row>
    <row r="8466" spans="1:12" hidden="1" outlineLevel="1" collapsed="1" x14ac:dyDescent="0.35">
      <c r="A8466" s="112" t="s">
        <v>5553</v>
      </c>
      <c r="B8466" s="112" t="s">
        <v>927</v>
      </c>
      <c r="C8466" s="112" t="s">
        <v>1219</v>
      </c>
      <c r="D8466" s="113">
        <v>46308081</v>
      </c>
      <c r="E8466" s="115">
        <v>43950</v>
      </c>
      <c r="F8466" s="114">
        <v>202101</v>
      </c>
      <c r="G8466" s="112" t="s">
        <v>1091</v>
      </c>
      <c r="H8466" s="112" t="s">
        <v>1015</v>
      </c>
      <c r="I8466" s="112" t="s">
        <v>1605</v>
      </c>
      <c r="J8466" s="112" t="s">
        <v>5554</v>
      </c>
      <c r="K8466" s="112" t="s">
        <v>5556</v>
      </c>
      <c r="L8466" s="116">
        <v>10000</v>
      </c>
    </row>
    <row r="8467" spans="1:12" hidden="1" outlineLevel="1" collapsed="1" x14ac:dyDescent="0.35">
      <c r="A8467" s="112" t="s">
        <v>5553</v>
      </c>
      <c r="B8467" s="112" t="s">
        <v>927</v>
      </c>
      <c r="C8467" s="112" t="s">
        <v>1219</v>
      </c>
      <c r="D8467" s="113">
        <v>46308080</v>
      </c>
      <c r="E8467" s="115">
        <v>43950</v>
      </c>
      <c r="F8467" s="114">
        <v>202101</v>
      </c>
      <c r="G8467" s="112" t="s">
        <v>1091</v>
      </c>
      <c r="H8467" s="112" t="s">
        <v>1015</v>
      </c>
      <c r="I8467" s="112" t="s">
        <v>1605</v>
      </c>
      <c r="J8467" s="112" t="s">
        <v>5554</v>
      </c>
      <c r="K8467" s="112" t="s">
        <v>5556</v>
      </c>
      <c r="L8467" s="116">
        <v>10000</v>
      </c>
    </row>
    <row r="8468" spans="1:12" hidden="1" outlineLevel="1" collapsed="1" x14ac:dyDescent="0.35">
      <c r="A8468" s="112" t="s">
        <v>5553</v>
      </c>
      <c r="B8468" s="112" t="s">
        <v>927</v>
      </c>
      <c r="C8468" s="112" t="s">
        <v>1219</v>
      </c>
      <c r="D8468" s="113">
        <v>46308079</v>
      </c>
      <c r="E8468" s="115">
        <v>43950</v>
      </c>
      <c r="F8468" s="114">
        <v>202101</v>
      </c>
      <c r="G8468" s="112" t="s">
        <v>1091</v>
      </c>
      <c r="H8468" s="112" t="s">
        <v>1015</v>
      </c>
      <c r="I8468" s="112" t="s">
        <v>1605</v>
      </c>
      <c r="J8468" s="112" t="s">
        <v>5554</v>
      </c>
      <c r="K8468" s="112" t="s">
        <v>5555</v>
      </c>
      <c r="L8468" s="116">
        <v>10000</v>
      </c>
    </row>
    <row r="8469" spans="1:12" hidden="1" outlineLevel="1" collapsed="1" x14ac:dyDescent="0.35">
      <c r="A8469" s="112" t="s">
        <v>5553</v>
      </c>
      <c r="B8469" s="112" t="s">
        <v>927</v>
      </c>
      <c r="C8469" s="112" t="s">
        <v>1219</v>
      </c>
      <c r="D8469" s="113">
        <v>46308078</v>
      </c>
      <c r="E8469" s="115">
        <v>43950</v>
      </c>
      <c r="F8469" s="114">
        <v>202101</v>
      </c>
      <c r="G8469" s="112" t="s">
        <v>1091</v>
      </c>
      <c r="H8469" s="112" t="s">
        <v>1015</v>
      </c>
      <c r="I8469" s="112" t="s">
        <v>1605</v>
      </c>
      <c r="J8469" s="112" t="s">
        <v>5554</v>
      </c>
      <c r="K8469" s="112" t="s">
        <v>5555</v>
      </c>
      <c r="L8469" s="116">
        <v>10000</v>
      </c>
    </row>
    <row r="8470" spans="1:12" hidden="1" outlineLevel="1" collapsed="1" x14ac:dyDescent="0.35">
      <c r="A8470" s="112" t="s">
        <v>5553</v>
      </c>
      <c r="B8470" s="112" t="s">
        <v>927</v>
      </c>
      <c r="C8470" s="112" t="s">
        <v>1219</v>
      </c>
      <c r="D8470" s="113">
        <v>46308077</v>
      </c>
      <c r="E8470" s="115">
        <v>43950</v>
      </c>
      <c r="F8470" s="114">
        <v>202101</v>
      </c>
      <c r="G8470" s="112" t="s">
        <v>1091</v>
      </c>
      <c r="H8470" s="112" t="s">
        <v>1015</v>
      </c>
      <c r="I8470" s="112" t="s">
        <v>1605</v>
      </c>
      <c r="J8470" s="112" t="s">
        <v>5554</v>
      </c>
      <c r="K8470" s="112" t="s">
        <v>5556</v>
      </c>
      <c r="L8470" s="116">
        <v>10000</v>
      </c>
    </row>
    <row r="8471" spans="1:12" hidden="1" outlineLevel="1" collapsed="1" x14ac:dyDescent="0.35">
      <c r="A8471" s="112" t="s">
        <v>5553</v>
      </c>
      <c r="B8471" s="112" t="s">
        <v>927</v>
      </c>
      <c r="C8471" s="112" t="s">
        <v>1219</v>
      </c>
      <c r="D8471" s="113">
        <v>46308076</v>
      </c>
      <c r="E8471" s="115">
        <v>43950</v>
      </c>
      <c r="F8471" s="114">
        <v>202101</v>
      </c>
      <c r="G8471" s="112" t="s">
        <v>1091</v>
      </c>
      <c r="H8471" s="112" t="s">
        <v>1015</v>
      </c>
      <c r="I8471" s="112" t="s">
        <v>1605</v>
      </c>
      <c r="J8471" s="112" t="s">
        <v>5554</v>
      </c>
      <c r="K8471" s="112" t="s">
        <v>5555</v>
      </c>
      <c r="L8471" s="116">
        <v>10000</v>
      </c>
    </row>
    <row r="8472" spans="1:12" hidden="1" outlineLevel="1" collapsed="1" x14ac:dyDescent="0.35">
      <c r="A8472" s="112" t="s">
        <v>5553</v>
      </c>
      <c r="B8472" s="112" t="s">
        <v>927</v>
      </c>
      <c r="C8472" s="112" t="s">
        <v>1219</v>
      </c>
      <c r="D8472" s="113">
        <v>46307192</v>
      </c>
      <c r="E8472" s="115">
        <v>43937</v>
      </c>
      <c r="F8472" s="114">
        <v>202101</v>
      </c>
      <c r="G8472" s="112" t="s">
        <v>1091</v>
      </c>
      <c r="H8472" s="112" t="s">
        <v>1015</v>
      </c>
      <c r="I8472" s="112" t="s">
        <v>1605</v>
      </c>
      <c r="J8472" s="112" t="s">
        <v>5554</v>
      </c>
      <c r="K8472" s="112" t="s">
        <v>5555</v>
      </c>
      <c r="L8472" s="116">
        <v>25000</v>
      </c>
    </row>
    <row r="8473" spans="1:12" hidden="1" outlineLevel="1" collapsed="1" x14ac:dyDescent="0.35">
      <c r="A8473" s="112" t="s">
        <v>5553</v>
      </c>
      <c r="B8473" s="112" t="s">
        <v>927</v>
      </c>
      <c r="C8473" s="112" t="s">
        <v>1219</v>
      </c>
      <c r="D8473" s="113">
        <v>46308075</v>
      </c>
      <c r="E8473" s="115">
        <v>43950</v>
      </c>
      <c r="F8473" s="114">
        <v>202101</v>
      </c>
      <c r="G8473" s="112" t="s">
        <v>1091</v>
      </c>
      <c r="H8473" s="112" t="s">
        <v>1015</v>
      </c>
      <c r="I8473" s="112" t="s">
        <v>1605</v>
      </c>
      <c r="J8473" s="112" t="s">
        <v>5554</v>
      </c>
      <c r="K8473" s="112" t="s">
        <v>5555</v>
      </c>
      <c r="L8473" s="116">
        <v>10000</v>
      </c>
    </row>
    <row r="8474" spans="1:12" hidden="1" outlineLevel="1" collapsed="1" x14ac:dyDescent="0.35">
      <c r="A8474" s="112" t="s">
        <v>5553</v>
      </c>
      <c r="B8474" s="112" t="s">
        <v>927</v>
      </c>
      <c r="C8474" s="112" t="s">
        <v>1219</v>
      </c>
      <c r="D8474" s="113">
        <v>46308074</v>
      </c>
      <c r="E8474" s="115">
        <v>43950</v>
      </c>
      <c r="F8474" s="114">
        <v>202101</v>
      </c>
      <c r="G8474" s="112" t="s">
        <v>1091</v>
      </c>
      <c r="H8474" s="112" t="s">
        <v>1015</v>
      </c>
      <c r="I8474" s="112" t="s">
        <v>1605</v>
      </c>
      <c r="J8474" s="112" t="s">
        <v>5554</v>
      </c>
      <c r="K8474" s="112" t="s">
        <v>5555</v>
      </c>
      <c r="L8474" s="116">
        <v>10000</v>
      </c>
    </row>
    <row r="8475" spans="1:12" hidden="1" outlineLevel="1" collapsed="1" x14ac:dyDescent="0.35">
      <c r="A8475" s="112" t="s">
        <v>5553</v>
      </c>
      <c r="B8475" s="112" t="s">
        <v>927</v>
      </c>
      <c r="C8475" s="112" t="s">
        <v>1219</v>
      </c>
      <c r="D8475" s="113">
        <v>46308073</v>
      </c>
      <c r="E8475" s="115">
        <v>43950</v>
      </c>
      <c r="F8475" s="114">
        <v>202101</v>
      </c>
      <c r="G8475" s="112" t="s">
        <v>1091</v>
      </c>
      <c r="H8475" s="112" t="s">
        <v>1015</v>
      </c>
      <c r="I8475" s="112" t="s">
        <v>1605</v>
      </c>
      <c r="J8475" s="112" t="s">
        <v>5554</v>
      </c>
      <c r="K8475" s="112" t="s">
        <v>5556</v>
      </c>
      <c r="L8475" s="116">
        <v>10000</v>
      </c>
    </row>
    <row r="8476" spans="1:12" hidden="1" outlineLevel="1" collapsed="1" x14ac:dyDescent="0.35">
      <c r="A8476" s="112" t="s">
        <v>5553</v>
      </c>
      <c r="B8476" s="112" t="s">
        <v>927</v>
      </c>
      <c r="C8476" s="112" t="s">
        <v>1219</v>
      </c>
      <c r="D8476" s="113">
        <v>46307191</v>
      </c>
      <c r="E8476" s="115">
        <v>43937</v>
      </c>
      <c r="F8476" s="114">
        <v>202101</v>
      </c>
      <c r="G8476" s="112" t="s">
        <v>1091</v>
      </c>
      <c r="H8476" s="112" t="s">
        <v>1015</v>
      </c>
      <c r="I8476" s="112" t="s">
        <v>1605</v>
      </c>
      <c r="J8476" s="112" t="s">
        <v>5554</v>
      </c>
      <c r="K8476" s="112" t="s">
        <v>5555</v>
      </c>
      <c r="L8476" s="116">
        <v>25000</v>
      </c>
    </row>
    <row r="8477" spans="1:12" hidden="1" outlineLevel="1" collapsed="1" x14ac:dyDescent="0.35">
      <c r="A8477" s="112" t="s">
        <v>5553</v>
      </c>
      <c r="B8477" s="112" t="s">
        <v>927</v>
      </c>
      <c r="C8477" s="112" t="s">
        <v>1219</v>
      </c>
      <c r="D8477" s="113">
        <v>46307190</v>
      </c>
      <c r="E8477" s="115">
        <v>43937</v>
      </c>
      <c r="F8477" s="114">
        <v>202101</v>
      </c>
      <c r="G8477" s="112" t="s">
        <v>1091</v>
      </c>
      <c r="H8477" s="112" t="s">
        <v>1015</v>
      </c>
      <c r="I8477" s="112" t="s">
        <v>1605</v>
      </c>
      <c r="J8477" s="112" t="s">
        <v>5554</v>
      </c>
      <c r="K8477" s="112" t="s">
        <v>5555</v>
      </c>
      <c r="L8477" s="116">
        <v>10000</v>
      </c>
    </row>
    <row r="8478" spans="1:12" hidden="1" outlineLevel="1" collapsed="1" x14ac:dyDescent="0.35">
      <c r="A8478" s="112" t="s">
        <v>5553</v>
      </c>
      <c r="B8478" s="112" t="s">
        <v>927</v>
      </c>
      <c r="C8478" s="112" t="s">
        <v>1219</v>
      </c>
      <c r="D8478" s="113">
        <v>46307189</v>
      </c>
      <c r="E8478" s="115">
        <v>43937</v>
      </c>
      <c r="F8478" s="114">
        <v>202101</v>
      </c>
      <c r="G8478" s="112" t="s">
        <v>1091</v>
      </c>
      <c r="H8478" s="112" t="s">
        <v>1015</v>
      </c>
      <c r="I8478" s="112" t="s">
        <v>1605</v>
      </c>
      <c r="J8478" s="112" t="s">
        <v>5554</v>
      </c>
      <c r="K8478" s="112" t="s">
        <v>5555</v>
      </c>
      <c r="L8478" s="116">
        <v>25000</v>
      </c>
    </row>
    <row r="8479" spans="1:12" hidden="1" outlineLevel="1" collapsed="1" x14ac:dyDescent="0.35">
      <c r="A8479" s="112" t="s">
        <v>5553</v>
      </c>
      <c r="B8479" s="112" t="s">
        <v>927</v>
      </c>
      <c r="C8479" s="112" t="s">
        <v>1219</v>
      </c>
      <c r="D8479" s="113">
        <v>46308066</v>
      </c>
      <c r="E8479" s="115">
        <v>43950</v>
      </c>
      <c r="F8479" s="114">
        <v>202101</v>
      </c>
      <c r="G8479" s="112" t="s">
        <v>1091</v>
      </c>
      <c r="H8479" s="112" t="s">
        <v>1015</v>
      </c>
      <c r="I8479" s="112" t="s">
        <v>1605</v>
      </c>
      <c r="J8479" s="112" t="s">
        <v>5554</v>
      </c>
      <c r="K8479" s="112" t="s">
        <v>5555</v>
      </c>
      <c r="L8479" s="116">
        <v>10000</v>
      </c>
    </row>
    <row r="8480" spans="1:12" hidden="1" outlineLevel="1" collapsed="1" x14ac:dyDescent="0.35">
      <c r="A8480" s="112" t="s">
        <v>5553</v>
      </c>
      <c r="B8480" s="112" t="s">
        <v>927</v>
      </c>
      <c r="C8480" s="112" t="s">
        <v>1219</v>
      </c>
      <c r="D8480" s="113">
        <v>46308065</v>
      </c>
      <c r="E8480" s="115">
        <v>43950</v>
      </c>
      <c r="F8480" s="114">
        <v>202101</v>
      </c>
      <c r="G8480" s="112" t="s">
        <v>1091</v>
      </c>
      <c r="H8480" s="112" t="s">
        <v>1015</v>
      </c>
      <c r="I8480" s="112" t="s">
        <v>1605</v>
      </c>
      <c r="J8480" s="112" t="s">
        <v>5554</v>
      </c>
      <c r="K8480" s="112" t="s">
        <v>5555</v>
      </c>
      <c r="L8480" s="116">
        <v>25000</v>
      </c>
    </row>
    <row r="8481" spans="1:12" hidden="1" outlineLevel="1" collapsed="1" x14ac:dyDescent="0.35">
      <c r="A8481" s="112" t="s">
        <v>5553</v>
      </c>
      <c r="B8481" s="112" t="s">
        <v>927</v>
      </c>
      <c r="C8481" s="112" t="s">
        <v>1219</v>
      </c>
      <c r="D8481" s="113">
        <v>46308064</v>
      </c>
      <c r="E8481" s="115">
        <v>43950</v>
      </c>
      <c r="F8481" s="114">
        <v>202101</v>
      </c>
      <c r="G8481" s="112" t="s">
        <v>1091</v>
      </c>
      <c r="H8481" s="112" t="s">
        <v>1015</v>
      </c>
      <c r="I8481" s="112" t="s">
        <v>1605</v>
      </c>
      <c r="J8481" s="112" t="s">
        <v>5554</v>
      </c>
      <c r="K8481" s="112" t="s">
        <v>5555</v>
      </c>
      <c r="L8481" s="116">
        <v>25000</v>
      </c>
    </row>
    <row r="8482" spans="1:12" hidden="1" outlineLevel="1" collapsed="1" x14ac:dyDescent="0.35">
      <c r="A8482" s="112" t="s">
        <v>5553</v>
      </c>
      <c r="B8482" s="112" t="s">
        <v>927</v>
      </c>
      <c r="C8482" s="112" t="s">
        <v>1219</v>
      </c>
      <c r="D8482" s="113">
        <v>46308089</v>
      </c>
      <c r="E8482" s="115">
        <v>43950</v>
      </c>
      <c r="F8482" s="114">
        <v>202101</v>
      </c>
      <c r="G8482" s="112" t="s">
        <v>1091</v>
      </c>
      <c r="H8482" s="112" t="s">
        <v>1015</v>
      </c>
      <c r="I8482" s="112" t="s">
        <v>1605</v>
      </c>
      <c r="J8482" s="112" t="s">
        <v>5554</v>
      </c>
      <c r="K8482" s="112" t="s">
        <v>5555</v>
      </c>
      <c r="L8482" s="116">
        <v>25000</v>
      </c>
    </row>
    <row r="8483" spans="1:12" hidden="1" outlineLevel="1" collapsed="1" x14ac:dyDescent="0.35">
      <c r="A8483" s="112" t="s">
        <v>5553</v>
      </c>
      <c r="B8483" s="112" t="s">
        <v>927</v>
      </c>
      <c r="C8483" s="112" t="s">
        <v>1219</v>
      </c>
      <c r="D8483" s="113">
        <v>46307188</v>
      </c>
      <c r="E8483" s="115">
        <v>43937</v>
      </c>
      <c r="F8483" s="114">
        <v>202101</v>
      </c>
      <c r="G8483" s="112" t="s">
        <v>1091</v>
      </c>
      <c r="H8483" s="112" t="s">
        <v>1015</v>
      </c>
      <c r="I8483" s="112" t="s">
        <v>1605</v>
      </c>
      <c r="J8483" s="112" t="s">
        <v>5554</v>
      </c>
      <c r="K8483" s="112" t="s">
        <v>5556</v>
      </c>
      <c r="L8483" s="116">
        <v>10000</v>
      </c>
    </row>
    <row r="8484" spans="1:12" hidden="1" outlineLevel="1" collapsed="1" x14ac:dyDescent="0.35">
      <c r="A8484" s="112" t="s">
        <v>5553</v>
      </c>
      <c r="B8484" s="112" t="s">
        <v>927</v>
      </c>
      <c r="C8484" s="112" t="s">
        <v>1219</v>
      </c>
      <c r="D8484" s="113">
        <v>46307187</v>
      </c>
      <c r="E8484" s="115">
        <v>43937</v>
      </c>
      <c r="F8484" s="114">
        <v>202101</v>
      </c>
      <c r="G8484" s="112" t="s">
        <v>1091</v>
      </c>
      <c r="H8484" s="112" t="s">
        <v>1015</v>
      </c>
      <c r="I8484" s="112" t="s">
        <v>1605</v>
      </c>
      <c r="J8484" s="112" t="s">
        <v>5554</v>
      </c>
      <c r="K8484" s="112" t="s">
        <v>5555</v>
      </c>
      <c r="L8484" s="116">
        <v>25000</v>
      </c>
    </row>
    <row r="8485" spans="1:12" hidden="1" outlineLevel="1" collapsed="1" x14ac:dyDescent="0.35">
      <c r="A8485" s="112" t="s">
        <v>5553</v>
      </c>
      <c r="B8485" s="112" t="s">
        <v>927</v>
      </c>
      <c r="C8485" s="112" t="s">
        <v>1219</v>
      </c>
      <c r="D8485" s="113">
        <v>46307186</v>
      </c>
      <c r="E8485" s="115">
        <v>43937</v>
      </c>
      <c r="F8485" s="114">
        <v>202101</v>
      </c>
      <c r="G8485" s="112" t="s">
        <v>1091</v>
      </c>
      <c r="H8485" s="112" t="s">
        <v>1015</v>
      </c>
      <c r="I8485" s="112" t="s">
        <v>1605</v>
      </c>
      <c r="J8485" s="112" t="s">
        <v>5554</v>
      </c>
      <c r="K8485" s="112" t="s">
        <v>5555</v>
      </c>
      <c r="L8485" s="116">
        <v>25000</v>
      </c>
    </row>
    <row r="8486" spans="1:12" hidden="1" outlineLevel="1" collapsed="1" x14ac:dyDescent="0.35">
      <c r="A8486" s="112" t="s">
        <v>5553</v>
      </c>
      <c r="B8486" s="112" t="s">
        <v>927</v>
      </c>
      <c r="C8486" s="112" t="s">
        <v>1219</v>
      </c>
      <c r="D8486" s="113">
        <v>46307185</v>
      </c>
      <c r="E8486" s="115">
        <v>43937</v>
      </c>
      <c r="F8486" s="114">
        <v>202101</v>
      </c>
      <c r="G8486" s="112" t="s">
        <v>1091</v>
      </c>
      <c r="H8486" s="112" t="s">
        <v>1015</v>
      </c>
      <c r="I8486" s="112" t="s">
        <v>1605</v>
      </c>
      <c r="J8486" s="112" t="s">
        <v>5554</v>
      </c>
      <c r="K8486" s="112" t="s">
        <v>5556</v>
      </c>
      <c r="L8486" s="116">
        <v>10000</v>
      </c>
    </row>
    <row r="8487" spans="1:12" hidden="1" outlineLevel="1" collapsed="1" x14ac:dyDescent="0.35">
      <c r="A8487" s="112" t="s">
        <v>5553</v>
      </c>
      <c r="B8487" s="112" t="s">
        <v>927</v>
      </c>
      <c r="C8487" s="112" t="s">
        <v>1219</v>
      </c>
      <c r="D8487" s="113">
        <v>46307184</v>
      </c>
      <c r="E8487" s="115">
        <v>43937</v>
      </c>
      <c r="F8487" s="114">
        <v>202101</v>
      </c>
      <c r="G8487" s="112" t="s">
        <v>1091</v>
      </c>
      <c r="H8487" s="112" t="s">
        <v>1015</v>
      </c>
      <c r="I8487" s="112" t="s">
        <v>1605</v>
      </c>
      <c r="J8487" s="112" t="s">
        <v>5554</v>
      </c>
      <c r="K8487" s="112" t="s">
        <v>5555</v>
      </c>
      <c r="L8487" s="116">
        <v>25000</v>
      </c>
    </row>
    <row r="8488" spans="1:12" hidden="1" outlineLevel="1" collapsed="1" x14ac:dyDescent="0.35">
      <c r="A8488" s="112" t="s">
        <v>5553</v>
      </c>
      <c r="B8488" s="112" t="s">
        <v>927</v>
      </c>
      <c r="C8488" s="112" t="s">
        <v>1219</v>
      </c>
      <c r="D8488" s="113">
        <v>46307183</v>
      </c>
      <c r="E8488" s="115">
        <v>43937</v>
      </c>
      <c r="F8488" s="114">
        <v>202101</v>
      </c>
      <c r="G8488" s="112" t="s">
        <v>1091</v>
      </c>
      <c r="H8488" s="112" t="s">
        <v>1015</v>
      </c>
      <c r="I8488" s="112" t="s">
        <v>1605</v>
      </c>
      <c r="J8488" s="112" t="s">
        <v>5554</v>
      </c>
      <c r="K8488" s="112" t="s">
        <v>5556</v>
      </c>
      <c r="L8488" s="116">
        <v>10000</v>
      </c>
    </row>
    <row r="8489" spans="1:12" hidden="1" outlineLevel="1" collapsed="1" x14ac:dyDescent="0.35">
      <c r="A8489" s="112" t="s">
        <v>5553</v>
      </c>
      <c r="B8489" s="112" t="s">
        <v>927</v>
      </c>
      <c r="C8489" s="112" t="s">
        <v>1219</v>
      </c>
      <c r="D8489" s="113">
        <v>46307182</v>
      </c>
      <c r="E8489" s="115">
        <v>43937</v>
      </c>
      <c r="F8489" s="114">
        <v>202101</v>
      </c>
      <c r="G8489" s="112" t="s">
        <v>1091</v>
      </c>
      <c r="H8489" s="112" t="s">
        <v>1015</v>
      </c>
      <c r="I8489" s="112" t="s">
        <v>1605</v>
      </c>
      <c r="J8489" s="112" t="s">
        <v>5554</v>
      </c>
      <c r="K8489" s="112" t="s">
        <v>5556</v>
      </c>
      <c r="L8489" s="116">
        <v>10000</v>
      </c>
    </row>
    <row r="8490" spans="1:12" hidden="1" outlineLevel="1" collapsed="1" x14ac:dyDescent="0.35">
      <c r="A8490" s="112" t="s">
        <v>5553</v>
      </c>
      <c r="B8490" s="112" t="s">
        <v>927</v>
      </c>
      <c r="C8490" s="112" t="s">
        <v>1219</v>
      </c>
      <c r="D8490" s="113">
        <v>46307181</v>
      </c>
      <c r="E8490" s="115">
        <v>43937</v>
      </c>
      <c r="F8490" s="114">
        <v>202101</v>
      </c>
      <c r="G8490" s="112" t="s">
        <v>1091</v>
      </c>
      <c r="H8490" s="112" t="s">
        <v>1015</v>
      </c>
      <c r="I8490" s="112" t="s">
        <v>1605</v>
      </c>
      <c r="J8490" s="112" t="s">
        <v>5554</v>
      </c>
      <c r="K8490" s="112" t="s">
        <v>5556</v>
      </c>
      <c r="L8490" s="116">
        <v>10000</v>
      </c>
    </row>
    <row r="8491" spans="1:12" hidden="1" outlineLevel="1" collapsed="1" x14ac:dyDescent="0.35">
      <c r="A8491" s="112" t="s">
        <v>5553</v>
      </c>
      <c r="B8491" s="112" t="s">
        <v>927</v>
      </c>
      <c r="C8491" s="112" t="s">
        <v>1219</v>
      </c>
      <c r="D8491" s="113">
        <v>46307180</v>
      </c>
      <c r="E8491" s="115">
        <v>43937</v>
      </c>
      <c r="F8491" s="114">
        <v>202101</v>
      </c>
      <c r="G8491" s="112" t="s">
        <v>1091</v>
      </c>
      <c r="H8491" s="112" t="s">
        <v>1015</v>
      </c>
      <c r="I8491" s="112" t="s">
        <v>1605</v>
      </c>
      <c r="J8491" s="112" t="s">
        <v>5554</v>
      </c>
      <c r="K8491" s="112" t="s">
        <v>5556</v>
      </c>
      <c r="L8491" s="116">
        <v>10000</v>
      </c>
    </row>
    <row r="8492" spans="1:12" hidden="1" outlineLevel="1" collapsed="1" x14ac:dyDescent="0.35">
      <c r="A8492" s="112" t="s">
        <v>5553</v>
      </c>
      <c r="B8492" s="112" t="s">
        <v>927</v>
      </c>
      <c r="C8492" s="112" t="s">
        <v>1219</v>
      </c>
      <c r="D8492" s="113">
        <v>46307179</v>
      </c>
      <c r="E8492" s="115">
        <v>43937</v>
      </c>
      <c r="F8492" s="114">
        <v>202101</v>
      </c>
      <c r="G8492" s="112" t="s">
        <v>1091</v>
      </c>
      <c r="H8492" s="112" t="s">
        <v>1015</v>
      </c>
      <c r="I8492" s="112" t="s">
        <v>1605</v>
      </c>
      <c r="J8492" s="112" t="s">
        <v>5554</v>
      </c>
      <c r="K8492" s="112" t="s">
        <v>5556</v>
      </c>
      <c r="L8492" s="116">
        <v>10000</v>
      </c>
    </row>
    <row r="8493" spans="1:12" hidden="1" outlineLevel="1" collapsed="1" x14ac:dyDescent="0.35">
      <c r="A8493" s="112" t="s">
        <v>5553</v>
      </c>
      <c r="B8493" s="112" t="s">
        <v>927</v>
      </c>
      <c r="C8493" s="112" t="s">
        <v>1219</v>
      </c>
      <c r="D8493" s="113">
        <v>46307178</v>
      </c>
      <c r="E8493" s="115">
        <v>43937</v>
      </c>
      <c r="F8493" s="114">
        <v>202101</v>
      </c>
      <c r="G8493" s="112" t="s">
        <v>1091</v>
      </c>
      <c r="H8493" s="112" t="s">
        <v>1015</v>
      </c>
      <c r="I8493" s="112" t="s">
        <v>1605</v>
      </c>
      <c r="J8493" s="112" t="s">
        <v>5554</v>
      </c>
      <c r="K8493" s="112" t="s">
        <v>5556</v>
      </c>
      <c r="L8493" s="116">
        <v>10000</v>
      </c>
    </row>
    <row r="8494" spans="1:12" hidden="1" outlineLevel="1" collapsed="1" x14ac:dyDescent="0.35">
      <c r="A8494" s="112" t="s">
        <v>5553</v>
      </c>
      <c r="B8494" s="112" t="s">
        <v>927</v>
      </c>
      <c r="C8494" s="112" t="s">
        <v>1219</v>
      </c>
      <c r="D8494" s="113">
        <v>46307177</v>
      </c>
      <c r="E8494" s="115">
        <v>43937</v>
      </c>
      <c r="F8494" s="114">
        <v>202101</v>
      </c>
      <c r="G8494" s="112" t="s">
        <v>1091</v>
      </c>
      <c r="H8494" s="112" t="s">
        <v>1015</v>
      </c>
      <c r="I8494" s="112" t="s">
        <v>1605</v>
      </c>
      <c r="J8494" s="112" t="s">
        <v>5554</v>
      </c>
      <c r="K8494" s="112" t="s">
        <v>5555</v>
      </c>
      <c r="L8494" s="116">
        <v>25000</v>
      </c>
    </row>
    <row r="8495" spans="1:12" hidden="1" outlineLevel="1" collapsed="1" x14ac:dyDescent="0.35">
      <c r="A8495" s="112" t="s">
        <v>5553</v>
      </c>
      <c r="B8495" s="112" t="s">
        <v>927</v>
      </c>
      <c r="C8495" s="112" t="s">
        <v>1219</v>
      </c>
      <c r="D8495" s="113">
        <v>46307176</v>
      </c>
      <c r="E8495" s="115">
        <v>43937</v>
      </c>
      <c r="F8495" s="114">
        <v>202101</v>
      </c>
      <c r="G8495" s="112" t="s">
        <v>1091</v>
      </c>
      <c r="H8495" s="112" t="s">
        <v>1015</v>
      </c>
      <c r="I8495" s="112" t="s">
        <v>1605</v>
      </c>
      <c r="J8495" s="112" t="s">
        <v>5554</v>
      </c>
      <c r="K8495" s="112" t="s">
        <v>5555</v>
      </c>
      <c r="L8495" s="116">
        <v>25000</v>
      </c>
    </row>
    <row r="8496" spans="1:12" hidden="1" outlineLevel="1" collapsed="1" x14ac:dyDescent="0.35">
      <c r="A8496" s="112" t="s">
        <v>5553</v>
      </c>
      <c r="B8496" s="112" t="s">
        <v>927</v>
      </c>
      <c r="C8496" s="112" t="s">
        <v>1219</v>
      </c>
      <c r="D8496" s="113">
        <v>46307175</v>
      </c>
      <c r="E8496" s="115">
        <v>43937</v>
      </c>
      <c r="F8496" s="114">
        <v>202101</v>
      </c>
      <c r="G8496" s="112" t="s">
        <v>1091</v>
      </c>
      <c r="H8496" s="112" t="s">
        <v>1015</v>
      </c>
      <c r="I8496" s="112" t="s">
        <v>1605</v>
      </c>
      <c r="J8496" s="112" t="s">
        <v>5554</v>
      </c>
      <c r="K8496" s="112" t="s">
        <v>5556</v>
      </c>
      <c r="L8496" s="116">
        <v>10000</v>
      </c>
    </row>
    <row r="8497" spans="1:12" hidden="1" outlineLevel="1" collapsed="1" x14ac:dyDescent="0.35">
      <c r="A8497" s="112" t="s">
        <v>5553</v>
      </c>
      <c r="B8497" s="112" t="s">
        <v>927</v>
      </c>
      <c r="C8497" s="112" t="s">
        <v>1219</v>
      </c>
      <c r="D8497" s="113">
        <v>46307174</v>
      </c>
      <c r="E8497" s="115">
        <v>43937</v>
      </c>
      <c r="F8497" s="114">
        <v>202101</v>
      </c>
      <c r="G8497" s="112" t="s">
        <v>1091</v>
      </c>
      <c r="H8497" s="112" t="s">
        <v>1015</v>
      </c>
      <c r="I8497" s="112" t="s">
        <v>1605</v>
      </c>
      <c r="J8497" s="112" t="s">
        <v>5554</v>
      </c>
      <c r="K8497" s="112" t="s">
        <v>5555</v>
      </c>
      <c r="L8497" s="116">
        <v>25000</v>
      </c>
    </row>
    <row r="8498" spans="1:12" hidden="1" outlineLevel="1" collapsed="1" x14ac:dyDescent="0.35">
      <c r="A8498" s="112" t="s">
        <v>5553</v>
      </c>
      <c r="B8498" s="112" t="s">
        <v>927</v>
      </c>
      <c r="C8498" s="112" t="s">
        <v>1219</v>
      </c>
      <c r="D8498" s="113">
        <v>46307326</v>
      </c>
      <c r="E8498" s="115">
        <v>43938</v>
      </c>
      <c r="F8498" s="114">
        <v>202101</v>
      </c>
      <c r="G8498" s="112" t="s">
        <v>1091</v>
      </c>
      <c r="H8498" s="112" t="s">
        <v>1015</v>
      </c>
      <c r="I8498" s="112" t="s">
        <v>1605</v>
      </c>
      <c r="J8498" s="112" t="s">
        <v>5554</v>
      </c>
      <c r="K8498" s="112" t="s">
        <v>5555</v>
      </c>
      <c r="L8498" s="116">
        <v>25000</v>
      </c>
    </row>
    <row r="8499" spans="1:12" hidden="1" outlineLevel="1" collapsed="1" x14ac:dyDescent="0.35">
      <c r="A8499" s="112" t="s">
        <v>5553</v>
      </c>
      <c r="B8499" s="112" t="s">
        <v>927</v>
      </c>
      <c r="C8499" s="112" t="s">
        <v>1219</v>
      </c>
      <c r="D8499" s="113">
        <v>46307172</v>
      </c>
      <c r="E8499" s="115">
        <v>43937</v>
      </c>
      <c r="F8499" s="114">
        <v>202101</v>
      </c>
      <c r="G8499" s="112" t="s">
        <v>1091</v>
      </c>
      <c r="H8499" s="112" t="s">
        <v>1015</v>
      </c>
      <c r="I8499" s="112" t="s">
        <v>1605</v>
      </c>
      <c r="J8499" s="112" t="s">
        <v>5554</v>
      </c>
      <c r="K8499" s="112" t="s">
        <v>5556</v>
      </c>
      <c r="L8499" s="116">
        <v>10000</v>
      </c>
    </row>
    <row r="8500" spans="1:12" hidden="1" outlineLevel="1" collapsed="1" x14ac:dyDescent="0.35">
      <c r="A8500" s="112" t="s">
        <v>5553</v>
      </c>
      <c r="B8500" s="112" t="s">
        <v>927</v>
      </c>
      <c r="C8500" s="112" t="s">
        <v>1219</v>
      </c>
      <c r="D8500" s="113">
        <v>46307171</v>
      </c>
      <c r="E8500" s="115">
        <v>43937</v>
      </c>
      <c r="F8500" s="114">
        <v>202101</v>
      </c>
      <c r="G8500" s="112" t="s">
        <v>1091</v>
      </c>
      <c r="H8500" s="112" t="s">
        <v>1015</v>
      </c>
      <c r="I8500" s="112" t="s">
        <v>1605</v>
      </c>
      <c r="J8500" s="112" t="s">
        <v>5554</v>
      </c>
      <c r="K8500" s="112" t="s">
        <v>5556</v>
      </c>
      <c r="L8500" s="116">
        <v>10000</v>
      </c>
    </row>
    <row r="8501" spans="1:12" hidden="1" outlineLevel="1" collapsed="1" x14ac:dyDescent="0.35">
      <c r="A8501" s="112" t="s">
        <v>5553</v>
      </c>
      <c r="B8501" s="112" t="s">
        <v>927</v>
      </c>
      <c r="C8501" s="112" t="s">
        <v>1219</v>
      </c>
      <c r="D8501" s="113">
        <v>46307170</v>
      </c>
      <c r="E8501" s="115">
        <v>43937</v>
      </c>
      <c r="F8501" s="114">
        <v>202101</v>
      </c>
      <c r="G8501" s="112" t="s">
        <v>1091</v>
      </c>
      <c r="H8501" s="112" t="s">
        <v>1015</v>
      </c>
      <c r="I8501" s="112" t="s">
        <v>1605</v>
      </c>
      <c r="J8501" s="112" t="s">
        <v>5554</v>
      </c>
      <c r="K8501" s="112" t="s">
        <v>5556</v>
      </c>
      <c r="L8501" s="116">
        <v>10000</v>
      </c>
    </row>
    <row r="8502" spans="1:12" hidden="1" outlineLevel="1" collapsed="1" x14ac:dyDescent="0.35">
      <c r="A8502" s="112" t="s">
        <v>5553</v>
      </c>
      <c r="B8502" s="112" t="s">
        <v>927</v>
      </c>
      <c r="C8502" s="112" t="s">
        <v>1219</v>
      </c>
      <c r="D8502" s="113">
        <v>46307169</v>
      </c>
      <c r="E8502" s="115">
        <v>43937</v>
      </c>
      <c r="F8502" s="114">
        <v>202101</v>
      </c>
      <c r="G8502" s="112" t="s">
        <v>1091</v>
      </c>
      <c r="H8502" s="112" t="s">
        <v>1015</v>
      </c>
      <c r="I8502" s="112" t="s">
        <v>1605</v>
      </c>
      <c r="J8502" s="112" t="s">
        <v>5554</v>
      </c>
      <c r="K8502" s="112" t="s">
        <v>5555</v>
      </c>
      <c r="L8502" s="116">
        <v>25000</v>
      </c>
    </row>
    <row r="8503" spans="1:12" hidden="1" outlineLevel="1" collapsed="1" x14ac:dyDescent="0.35">
      <c r="A8503" s="112" t="s">
        <v>5553</v>
      </c>
      <c r="B8503" s="112" t="s">
        <v>927</v>
      </c>
      <c r="C8503" s="112" t="s">
        <v>1219</v>
      </c>
      <c r="D8503" s="113">
        <v>46307168</v>
      </c>
      <c r="E8503" s="115">
        <v>43937</v>
      </c>
      <c r="F8503" s="114">
        <v>202101</v>
      </c>
      <c r="G8503" s="112" t="s">
        <v>1091</v>
      </c>
      <c r="H8503" s="112" t="s">
        <v>1015</v>
      </c>
      <c r="I8503" s="112" t="s">
        <v>1605</v>
      </c>
      <c r="J8503" s="112" t="s">
        <v>5554</v>
      </c>
      <c r="K8503" s="112" t="s">
        <v>5555</v>
      </c>
      <c r="L8503" s="116">
        <v>25000</v>
      </c>
    </row>
    <row r="8504" spans="1:12" hidden="1" outlineLevel="1" collapsed="1" x14ac:dyDescent="0.35">
      <c r="A8504" s="112" t="s">
        <v>5553</v>
      </c>
      <c r="B8504" s="112" t="s">
        <v>927</v>
      </c>
      <c r="C8504" s="112" t="s">
        <v>1219</v>
      </c>
      <c r="D8504" s="113">
        <v>46307167</v>
      </c>
      <c r="E8504" s="115">
        <v>43937</v>
      </c>
      <c r="F8504" s="114">
        <v>202101</v>
      </c>
      <c r="G8504" s="112" t="s">
        <v>1091</v>
      </c>
      <c r="H8504" s="112" t="s">
        <v>1015</v>
      </c>
      <c r="I8504" s="112" t="s">
        <v>1605</v>
      </c>
      <c r="J8504" s="112" t="s">
        <v>5554</v>
      </c>
      <c r="K8504" s="112" t="s">
        <v>5556</v>
      </c>
      <c r="L8504" s="116">
        <v>10000</v>
      </c>
    </row>
    <row r="8505" spans="1:12" hidden="1" outlineLevel="1" collapsed="1" x14ac:dyDescent="0.35">
      <c r="A8505" s="112" t="s">
        <v>5553</v>
      </c>
      <c r="B8505" s="112" t="s">
        <v>927</v>
      </c>
      <c r="C8505" s="112" t="s">
        <v>1219</v>
      </c>
      <c r="D8505" s="113">
        <v>46307166</v>
      </c>
      <c r="E8505" s="115">
        <v>43937</v>
      </c>
      <c r="F8505" s="114">
        <v>202101</v>
      </c>
      <c r="G8505" s="112" t="s">
        <v>1091</v>
      </c>
      <c r="H8505" s="112" t="s">
        <v>1015</v>
      </c>
      <c r="I8505" s="112" t="s">
        <v>1605</v>
      </c>
      <c r="J8505" s="112" t="s">
        <v>5554</v>
      </c>
      <c r="K8505" s="112" t="s">
        <v>5556</v>
      </c>
      <c r="L8505" s="116">
        <v>10000</v>
      </c>
    </row>
    <row r="8506" spans="1:12" hidden="1" outlineLevel="1" collapsed="1" x14ac:dyDescent="0.35">
      <c r="A8506" s="112" t="s">
        <v>5553</v>
      </c>
      <c r="B8506" s="112" t="s">
        <v>927</v>
      </c>
      <c r="C8506" s="112" t="s">
        <v>1219</v>
      </c>
      <c r="D8506" s="113">
        <v>46307165</v>
      </c>
      <c r="E8506" s="115">
        <v>43937</v>
      </c>
      <c r="F8506" s="114">
        <v>202101</v>
      </c>
      <c r="G8506" s="112" t="s">
        <v>1091</v>
      </c>
      <c r="H8506" s="112" t="s">
        <v>1015</v>
      </c>
      <c r="I8506" s="112" t="s">
        <v>1605</v>
      </c>
      <c r="J8506" s="112" t="s">
        <v>5554</v>
      </c>
      <c r="K8506" s="112" t="s">
        <v>5555</v>
      </c>
      <c r="L8506" s="116">
        <v>25000</v>
      </c>
    </row>
    <row r="8507" spans="1:12" hidden="1" outlineLevel="1" collapsed="1" x14ac:dyDescent="0.35">
      <c r="A8507" s="112" t="s">
        <v>5553</v>
      </c>
      <c r="B8507" s="112" t="s">
        <v>927</v>
      </c>
      <c r="C8507" s="112" t="s">
        <v>1219</v>
      </c>
      <c r="D8507" s="113">
        <v>46308055</v>
      </c>
      <c r="E8507" s="115">
        <v>43950</v>
      </c>
      <c r="F8507" s="114">
        <v>202101</v>
      </c>
      <c r="G8507" s="112" t="s">
        <v>1091</v>
      </c>
      <c r="H8507" s="112" t="s">
        <v>1015</v>
      </c>
      <c r="I8507" s="112" t="s">
        <v>1605</v>
      </c>
      <c r="J8507" s="112" t="s">
        <v>5554</v>
      </c>
      <c r="K8507" s="112" t="s">
        <v>5555</v>
      </c>
      <c r="L8507" s="116">
        <v>10000</v>
      </c>
    </row>
    <row r="8508" spans="1:12" hidden="1" outlineLevel="1" collapsed="1" x14ac:dyDescent="0.35">
      <c r="A8508" s="112" t="s">
        <v>5553</v>
      </c>
      <c r="B8508" s="112" t="s">
        <v>927</v>
      </c>
      <c r="C8508" s="112" t="s">
        <v>1219</v>
      </c>
      <c r="D8508" s="113">
        <v>46308090</v>
      </c>
      <c r="E8508" s="115">
        <v>43950</v>
      </c>
      <c r="F8508" s="114">
        <v>202101</v>
      </c>
      <c r="G8508" s="112" t="s">
        <v>1091</v>
      </c>
      <c r="H8508" s="112" t="s">
        <v>1015</v>
      </c>
      <c r="I8508" s="112" t="s">
        <v>1605</v>
      </c>
      <c r="J8508" s="112" t="s">
        <v>5554</v>
      </c>
      <c r="K8508" s="112" t="s">
        <v>5555</v>
      </c>
      <c r="L8508" s="116">
        <v>25000</v>
      </c>
    </row>
    <row r="8509" spans="1:12" hidden="1" outlineLevel="1" collapsed="1" x14ac:dyDescent="0.35">
      <c r="A8509" s="112" t="s">
        <v>5553</v>
      </c>
      <c r="B8509" s="112" t="s">
        <v>927</v>
      </c>
      <c r="C8509" s="112" t="s">
        <v>1219</v>
      </c>
      <c r="D8509" s="113">
        <v>46307264</v>
      </c>
      <c r="E8509" s="115">
        <v>43938</v>
      </c>
      <c r="F8509" s="114">
        <v>202101</v>
      </c>
      <c r="G8509" s="112" t="s">
        <v>1091</v>
      </c>
      <c r="H8509" s="112" t="s">
        <v>1015</v>
      </c>
      <c r="I8509" s="112" t="s">
        <v>1605</v>
      </c>
      <c r="J8509" s="112" t="s">
        <v>5554</v>
      </c>
      <c r="K8509" s="112" t="s">
        <v>5555</v>
      </c>
      <c r="L8509" s="116">
        <v>25000</v>
      </c>
    </row>
    <row r="8510" spans="1:12" hidden="1" outlineLevel="1" collapsed="1" x14ac:dyDescent="0.35">
      <c r="A8510" s="112" t="s">
        <v>5553</v>
      </c>
      <c r="B8510" s="112" t="s">
        <v>927</v>
      </c>
      <c r="C8510" s="112" t="s">
        <v>1219</v>
      </c>
      <c r="D8510" s="113">
        <v>46307287</v>
      </c>
      <c r="E8510" s="115">
        <v>43938</v>
      </c>
      <c r="F8510" s="114">
        <v>202101</v>
      </c>
      <c r="G8510" s="112" t="s">
        <v>1091</v>
      </c>
      <c r="H8510" s="112" t="s">
        <v>1015</v>
      </c>
      <c r="I8510" s="112" t="s">
        <v>1605</v>
      </c>
      <c r="J8510" s="112" t="s">
        <v>5554</v>
      </c>
      <c r="K8510" s="112" t="s">
        <v>5555</v>
      </c>
      <c r="L8510" s="116">
        <v>25000</v>
      </c>
    </row>
    <row r="8511" spans="1:12" hidden="1" outlineLevel="1" collapsed="1" x14ac:dyDescent="0.35">
      <c r="A8511" s="112" t="s">
        <v>5553</v>
      </c>
      <c r="B8511" s="112" t="s">
        <v>927</v>
      </c>
      <c r="C8511" s="112" t="s">
        <v>1219</v>
      </c>
      <c r="D8511" s="113">
        <v>46307286</v>
      </c>
      <c r="E8511" s="115">
        <v>43938</v>
      </c>
      <c r="F8511" s="114">
        <v>202101</v>
      </c>
      <c r="G8511" s="112" t="s">
        <v>1091</v>
      </c>
      <c r="H8511" s="112" t="s">
        <v>1015</v>
      </c>
      <c r="I8511" s="112" t="s">
        <v>1605</v>
      </c>
      <c r="J8511" s="112" t="s">
        <v>5554</v>
      </c>
      <c r="K8511" s="112" t="s">
        <v>5555</v>
      </c>
      <c r="L8511" s="116">
        <v>25000</v>
      </c>
    </row>
    <row r="8512" spans="1:12" hidden="1" outlineLevel="1" collapsed="1" x14ac:dyDescent="0.35">
      <c r="A8512" s="112" t="s">
        <v>5553</v>
      </c>
      <c r="B8512" s="112" t="s">
        <v>927</v>
      </c>
      <c r="C8512" s="112" t="s">
        <v>1219</v>
      </c>
      <c r="D8512" s="113">
        <v>46307285</v>
      </c>
      <c r="E8512" s="115">
        <v>43938</v>
      </c>
      <c r="F8512" s="114">
        <v>202101</v>
      </c>
      <c r="G8512" s="112" t="s">
        <v>1091</v>
      </c>
      <c r="H8512" s="112" t="s">
        <v>1015</v>
      </c>
      <c r="I8512" s="112" t="s">
        <v>1605</v>
      </c>
      <c r="J8512" s="112" t="s">
        <v>5554</v>
      </c>
      <c r="K8512" s="112" t="s">
        <v>5556</v>
      </c>
      <c r="L8512" s="116">
        <v>10000</v>
      </c>
    </row>
    <row r="8513" spans="1:12" hidden="1" outlineLevel="1" collapsed="1" x14ac:dyDescent="0.35">
      <c r="A8513" s="112" t="s">
        <v>5553</v>
      </c>
      <c r="B8513" s="112" t="s">
        <v>927</v>
      </c>
      <c r="C8513" s="112" t="s">
        <v>1219</v>
      </c>
      <c r="D8513" s="113">
        <v>46307284</v>
      </c>
      <c r="E8513" s="115">
        <v>43938</v>
      </c>
      <c r="F8513" s="114">
        <v>202101</v>
      </c>
      <c r="G8513" s="112" t="s">
        <v>1091</v>
      </c>
      <c r="H8513" s="112" t="s">
        <v>1015</v>
      </c>
      <c r="I8513" s="112" t="s">
        <v>1605</v>
      </c>
      <c r="J8513" s="112" t="s">
        <v>5554</v>
      </c>
      <c r="K8513" s="112" t="s">
        <v>5556</v>
      </c>
      <c r="L8513" s="116">
        <v>10000</v>
      </c>
    </row>
    <row r="8514" spans="1:12" hidden="1" outlineLevel="1" collapsed="1" x14ac:dyDescent="0.35">
      <c r="A8514" s="112" t="s">
        <v>5553</v>
      </c>
      <c r="B8514" s="112" t="s">
        <v>927</v>
      </c>
      <c r="C8514" s="112" t="s">
        <v>1219</v>
      </c>
      <c r="D8514" s="113">
        <v>46307283</v>
      </c>
      <c r="E8514" s="115">
        <v>43938</v>
      </c>
      <c r="F8514" s="114">
        <v>202101</v>
      </c>
      <c r="G8514" s="112" t="s">
        <v>1091</v>
      </c>
      <c r="H8514" s="112" t="s">
        <v>1015</v>
      </c>
      <c r="I8514" s="112" t="s">
        <v>1605</v>
      </c>
      <c r="J8514" s="112" t="s">
        <v>5554</v>
      </c>
      <c r="K8514" s="112" t="s">
        <v>5555</v>
      </c>
      <c r="L8514" s="116">
        <v>10000</v>
      </c>
    </row>
    <row r="8515" spans="1:12" hidden="1" outlineLevel="1" collapsed="1" x14ac:dyDescent="0.35">
      <c r="A8515" s="112" t="s">
        <v>5553</v>
      </c>
      <c r="B8515" s="112" t="s">
        <v>927</v>
      </c>
      <c r="C8515" s="112" t="s">
        <v>1219</v>
      </c>
      <c r="D8515" s="113">
        <v>46307282</v>
      </c>
      <c r="E8515" s="115">
        <v>43938</v>
      </c>
      <c r="F8515" s="114">
        <v>202101</v>
      </c>
      <c r="G8515" s="112" t="s">
        <v>1091</v>
      </c>
      <c r="H8515" s="112" t="s">
        <v>1015</v>
      </c>
      <c r="I8515" s="112" t="s">
        <v>1605</v>
      </c>
      <c r="J8515" s="112" t="s">
        <v>5554</v>
      </c>
      <c r="K8515" s="112" t="s">
        <v>5555</v>
      </c>
      <c r="L8515" s="116">
        <v>25000</v>
      </c>
    </row>
    <row r="8516" spans="1:12" hidden="1" outlineLevel="1" collapsed="1" x14ac:dyDescent="0.35">
      <c r="A8516" s="112" t="s">
        <v>5553</v>
      </c>
      <c r="B8516" s="112" t="s">
        <v>927</v>
      </c>
      <c r="C8516" s="112" t="s">
        <v>1219</v>
      </c>
      <c r="D8516" s="113">
        <v>46307281</v>
      </c>
      <c r="E8516" s="115">
        <v>43938</v>
      </c>
      <c r="F8516" s="114">
        <v>202101</v>
      </c>
      <c r="G8516" s="112" t="s">
        <v>1091</v>
      </c>
      <c r="H8516" s="112" t="s">
        <v>1015</v>
      </c>
      <c r="I8516" s="112" t="s">
        <v>1605</v>
      </c>
      <c r="J8516" s="112" t="s">
        <v>5554</v>
      </c>
      <c r="K8516" s="112" t="s">
        <v>5556</v>
      </c>
      <c r="L8516" s="116">
        <v>10000</v>
      </c>
    </row>
    <row r="8517" spans="1:12" hidden="1" outlineLevel="1" collapsed="1" x14ac:dyDescent="0.35">
      <c r="A8517" s="112" t="s">
        <v>5553</v>
      </c>
      <c r="B8517" s="112" t="s">
        <v>927</v>
      </c>
      <c r="C8517" s="112" t="s">
        <v>1219</v>
      </c>
      <c r="D8517" s="113">
        <v>46307280</v>
      </c>
      <c r="E8517" s="115">
        <v>43938</v>
      </c>
      <c r="F8517" s="114">
        <v>202101</v>
      </c>
      <c r="G8517" s="112" t="s">
        <v>1091</v>
      </c>
      <c r="H8517" s="112" t="s">
        <v>1015</v>
      </c>
      <c r="I8517" s="112" t="s">
        <v>1605</v>
      </c>
      <c r="J8517" s="112" t="s">
        <v>5554</v>
      </c>
      <c r="K8517" s="112" t="s">
        <v>5555</v>
      </c>
      <c r="L8517" s="116">
        <v>25000</v>
      </c>
    </row>
    <row r="8518" spans="1:12" hidden="1" outlineLevel="1" collapsed="1" x14ac:dyDescent="0.35">
      <c r="A8518" s="112" t="s">
        <v>5553</v>
      </c>
      <c r="B8518" s="112" t="s">
        <v>927</v>
      </c>
      <c r="C8518" s="112" t="s">
        <v>1219</v>
      </c>
      <c r="D8518" s="113">
        <v>46307279</v>
      </c>
      <c r="E8518" s="115">
        <v>43938</v>
      </c>
      <c r="F8518" s="114">
        <v>202101</v>
      </c>
      <c r="G8518" s="112" t="s">
        <v>1091</v>
      </c>
      <c r="H8518" s="112" t="s">
        <v>1015</v>
      </c>
      <c r="I8518" s="112" t="s">
        <v>1605</v>
      </c>
      <c r="J8518" s="112" t="s">
        <v>5554</v>
      </c>
      <c r="K8518" s="112" t="s">
        <v>5556</v>
      </c>
      <c r="L8518" s="116">
        <v>10000</v>
      </c>
    </row>
    <row r="8519" spans="1:12" hidden="1" outlineLevel="1" collapsed="1" x14ac:dyDescent="0.35">
      <c r="A8519" s="112" t="s">
        <v>5553</v>
      </c>
      <c r="B8519" s="112" t="s">
        <v>927</v>
      </c>
      <c r="C8519" s="112" t="s">
        <v>1219</v>
      </c>
      <c r="D8519" s="113">
        <v>46307278</v>
      </c>
      <c r="E8519" s="115">
        <v>43938</v>
      </c>
      <c r="F8519" s="114">
        <v>202101</v>
      </c>
      <c r="G8519" s="112" t="s">
        <v>1091</v>
      </c>
      <c r="H8519" s="112" t="s">
        <v>1015</v>
      </c>
      <c r="I8519" s="112" t="s">
        <v>1605</v>
      </c>
      <c r="J8519" s="112" t="s">
        <v>5554</v>
      </c>
      <c r="K8519" s="112" t="s">
        <v>5555</v>
      </c>
      <c r="L8519" s="116">
        <v>25000</v>
      </c>
    </row>
    <row r="8520" spans="1:12" hidden="1" outlineLevel="1" collapsed="1" x14ac:dyDescent="0.35">
      <c r="A8520" s="112" t="s">
        <v>5553</v>
      </c>
      <c r="B8520" s="112" t="s">
        <v>927</v>
      </c>
      <c r="C8520" s="112" t="s">
        <v>1219</v>
      </c>
      <c r="D8520" s="113">
        <v>46307277</v>
      </c>
      <c r="E8520" s="115">
        <v>43938</v>
      </c>
      <c r="F8520" s="114">
        <v>202101</v>
      </c>
      <c r="G8520" s="112" t="s">
        <v>1091</v>
      </c>
      <c r="H8520" s="112" t="s">
        <v>1015</v>
      </c>
      <c r="I8520" s="112" t="s">
        <v>1605</v>
      </c>
      <c r="J8520" s="112" t="s">
        <v>5554</v>
      </c>
      <c r="K8520" s="112" t="s">
        <v>5555</v>
      </c>
      <c r="L8520" s="116">
        <v>25000</v>
      </c>
    </row>
    <row r="8521" spans="1:12" hidden="1" outlineLevel="1" collapsed="1" x14ac:dyDescent="0.35">
      <c r="A8521" s="112" t="s">
        <v>5553</v>
      </c>
      <c r="B8521" s="112" t="s">
        <v>927</v>
      </c>
      <c r="C8521" s="112" t="s">
        <v>1219</v>
      </c>
      <c r="D8521" s="113">
        <v>46307276</v>
      </c>
      <c r="E8521" s="115">
        <v>43938</v>
      </c>
      <c r="F8521" s="114">
        <v>202101</v>
      </c>
      <c r="G8521" s="112" t="s">
        <v>1091</v>
      </c>
      <c r="H8521" s="112" t="s">
        <v>1015</v>
      </c>
      <c r="I8521" s="112" t="s">
        <v>1605</v>
      </c>
      <c r="J8521" s="112" t="s">
        <v>5554</v>
      </c>
      <c r="K8521" s="112" t="s">
        <v>5556</v>
      </c>
      <c r="L8521" s="116">
        <v>10000</v>
      </c>
    </row>
    <row r="8522" spans="1:12" hidden="1" outlineLevel="1" collapsed="1" x14ac:dyDescent="0.35">
      <c r="A8522" s="112" t="s">
        <v>5553</v>
      </c>
      <c r="B8522" s="112" t="s">
        <v>927</v>
      </c>
      <c r="C8522" s="112" t="s">
        <v>1219</v>
      </c>
      <c r="D8522" s="113">
        <v>46307275</v>
      </c>
      <c r="E8522" s="115">
        <v>43938</v>
      </c>
      <c r="F8522" s="114">
        <v>202101</v>
      </c>
      <c r="G8522" s="112" t="s">
        <v>1091</v>
      </c>
      <c r="H8522" s="112" t="s">
        <v>1015</v>
      </c>
      <c r="I8522" s="112" t="s">
        <v>1605</v>
      </c>
      <c r="J8522" s="112" t="s">
        <v>5554</v>
      </c>
      <c r="K8522" s="112" t="s">
        <v>5556</v>
      </c>
      <c r="L8522" s="116">
        <v>10000</v>
      </c>
    </row>
    <row r="8523" spans="1:12" hidden="1" outlineLevel="1" collapsed="1" x14ac:dyDescent="0.35">
      <c r="A8523" s="112" t="s">
        <v>5553</v>
      </c>
      <c r="B8523" s="112" t="s">
        <v>927</v>
      </c>
      <c r="C8523" s="112" t="s">
        <v>1219</v>
      </c>
      <c r="D8523" s="113">
        <v>46307274</v>
      </c>
      <c r="E8523" s="115">
        <v>43938</v>
      </c>
      <c r="F8523" s="114">
        <v>202101</v>
      </c>
      <c r="G8523" s="112" t="s">
        <v>1091</v>
      </c>
      <c r="H8523" s="112" t="s">
        <v>1015</v>
      </c>
      <c r="I8523" s="112" t="s">
        <v>1605</v>
      </c>
      <c r="J8523" s="112" t="s">
        <v>5554</v>
      </c>
      <c r="K8523" s="112" t="s">
        <v>5555</v>
      </c>
      <c r="L8523" s="116">
        <v>25000</v>
      </c>
    </row>
    <row r="8524" spans="1:12" hidden="1" outlineLevel="1" collapsed="1" x14ac:dyDescent="0.35">
      <c r="A8524" s="112" t="s">
        <v>5553</v>
      </c>
      <c r="B8524" s="112" t="s">
        <v>927</v>
      </c>
      <c r="C8524" s="112" t="s">
        <v>1219</v>
      </c>
      <c r="D8524" s="113">
        <v>46307273</v>
      </c>
      <c r="E8524" s="115">
        <v>43938</v>
      </c>
      <c r="F8524" s="114">
        <v>202101</v>
      </c>
      <c r="G8524" s="112" t="s">
        <v>1091</v>
      </c>
      <c r="H8524" s="112" t="s">
        <v>1015</v>
      </c>
      <c r="I8524" s="112" t="s">
        <v>1605</v>
      </c>
      <c r="J8524" s="112" t="s">
        <v>5554</v>
      </c>
      <c r="K8524" s="112" t="s">
        <v>5555</v>
      </c>
      <c r="L8524" s="116">
        <v>10000</v>
      </c>
    </row>
    <row r="8525" spans="1:12" hidden="1" outlineLevel="1" collapsed="1" x14ac:dyDescent="0.35">
      <c r="A8525" s="112" t="s">
        <v>5553</v>
      </c>
      <c r="B8525" s="112" t="s">
        <v>927</v>
      </c>
      <c r="C8525" s="112" t="s">
        <v>1219</v>
      </c>
      <c r="D8525" s="113">
        <v>46307272</v>
      </c>
      <c r="E8525" s="115">
        <v>43938</v>
      </c>
      <c r="F8525" s="114">
        <v>202101</v>
      </c>
      <c r="G8525" s="112" t="s">
        <v>1091</v>
      </c>
      <c r="H8525" s="112" t="s">
        <v>1015</v>
      </c>
      <c r="I8525" s="112" t="s">
        <v>1605</v>
      </c>
      <c r="J8525" s="112" t="s">
        <v>5554</v>
      </c>
      <c r="K8525" s="112" t="s">
        <v>5555</v>
      </c>
      <c r="L8525" s="116">
        <v>25000</v>
      </c>
    </row>
    <row r="8526" spans="1:12" hidden="1" outlineLevel="1" collapsed="1" x14ac:dyDescent="0.35">
      <c r="A8526" s="112" t="s">
        <v>5553</v>
      </c>
      <c r="B8526" s="112" t="s">
        <v>927</v>
      </c>
      <c r="C8526" s="112" t="s">
        <v>1219</v>
      </c>
      <c r="D8526" s="113">
        <v>46307271</v>
      </c>
      <c r="E8526" s="115">
        <v>43938</v>
      </c>
      <c r="F8526" s="114">
        <v>202101</v>
      </c>
      <c r="G8526" s="112" t="s">
        <v>1091</v>
      </c>
      <c r="H8526" s="112" t="s">
        <v>1015</v>
      </c>
      <c r="I8526" s="112" t="s">
        <v>1605</v>
      </c>
      <c r="J8526" s="112" t="s">
        <v>5554</v>
      </c>
      <c r="K8526" s="112" t="s">
        <v>5555</v>
      </c>
      <c r="L8526" s="116">
        <v>25000</v>
      </c>
    </row>
    <row r="8527" spans="1:12" hidden="1" outlineLevel="1" collapsed="1" x14ac:dyDescent="0.35">
      <c r="A8527" s="112" t="s">
        <v>5553</v>
      </c>
      <c r="B8527" s="112" t="s">
        <v>927</v>
      </c>
      <c r="C8527" s="112" t="s">
        <v>1219</v>
      </c>
      <c r="D8527" s="113">
        <v>46307270</v>
      </c>
      <c r="E8527" s="115">
        <v>43938</v>
      </c>
      <c r="F8527" s="114">
        <v>202101</v>
      </c>
      <c r="G8527" s="112" t="s">
        <v>1091</v>
      </c>
      <c r="H8527" s="112" t="s">
        <v>1015</v>
      </c>
      <c r="I8527" s="112" t="s">
        <v>1605</v>
      </c>
      <c r="J8527" s="112" t="s">
        <v>5554</v>
      </c>
      <c r="K8527" s="112" t="s">
        <v>5555</v>
      </c>
      <c r="L8527" s="116">
        <v>25000</v>
      </c>
    </row>
    <row r="8528" spans="1:12" hidden="1" outlineLevel="1" collapsed="1" x14ac:dyDescent="0.35">
      <c r="A8528" s="112" t="s">
        <v>5553</v>
      </c>
      <c r="B8528" s="112" t="s">
        <v>927</v>
      </c>
      <c r="C8528" s="112" t="s">
        <v>1219</v>
      </c>
      <c r="D8528" s="113">
        <v>46307269</v>
      </c>
      <c r="E8528" s="115">
        <v>43938</v>
      </c>
      <c r="F8528" s="114">
        <v>202101</v>
      </c>
      <c r="G8528" s="112" t="s">
        <v>1091</v>
      </c>
      <c r="H8528" s="112" t="s">
        <v>1015</v>
      </c>
      <c r="I8528" s="112" t="s">
        <v>1605</v>
      </c>
      <c r="J8528" s="112" t="s">
        <v>5554</v>
      </c>
      <c r="K8528" s="112" t="s">
        <v>5555</v>
      </c>
      <c r="L8528" s="116">
        <v>10000</v>
      </c>
    </row>
    <row r="8529" spans="1:12" hidden="1" outlineLevel="1" collapsed="1" x14ac:dyDescent="0.35">
      <c r="A8529" s="112" t="s">
        <v>5553</v>
      </c>
      <c r="B8529" s="112" t="s">
        <v>927</v>
      </c>
      <c r="C8529" s="112" t="s">
        <v>1219</v>
      </c>
      <c r="D8529" s="113">
        <v>46307268</v>
      </c>
      <c r="E8529" s="115">
        <v>43938</v>
      </c>
      <c r="F8529" s="114">
        <v>202101</v>
      </c>
      <c r="G8529" s="112" t="s">
        <v>1091</v>
      </c>
      <c r="H8529" s="112" t="s">
        <v>1015</v>
      </c>
      <c r="I8529" s="112" t="s">
        <v>1605</v>
      </c>
      <c r="J8529" s="112" t="s">
        <v>5554</v>
      </c>
      <c r="K8529" s="112" t="s">
        <v>5556</v>
      </c>
      <c r="L8529" s="116">
        <v>10000</v>
      </c>
    </row>
    <row r="8530" spans="1:12" hidden="1" outlineLevel="1" collapsed="1" x14ac:dyDescent="0.35">
      <c r="A8530" s="112" t="s">
        <v>5553</v>
      </c>
      <c r="B8530" s="112" t="s">
        <v>927</v>
      </c>
      <c r="C8530" s="112" t="s">
        <v>1219</v>
      </c>
      <c r="D8530" s="113">
        <v>46307267</v>
      </c>
      <c r="E8530" s="115">
        <v>43938</v>
      </c>
      <c r="F8530" s="114">
        <v>202101</v>
      </c>
      <c r="G8530" s="112" t="s">
        <v>1091</v>
      </c>
      <c r="H8530" s="112" t="s">
        <v>1015</v>
      </c>
      <c r="I8530" s="112" t="s">
        <v>1605</v>
      </c>
      <c r="J8530" s="112" t="s">
        <v>5554</v>
      </c>
      <c r="K8530" s="112" t="s">
        <v>5555</v>
      </c>
      <c r="L8530" s="116">
        <v>25000</v>
      </c>
    </row>
    <row r="8531" spans="1:12" hidden="1" outlineLevel="1" collapsed="1" x14ac:dyDescent="0.35">
      <c r="A8531" s="112" t="s">
        <v>5553</v>
      </c>
      <c r="B8531" s="112" t="s">
        <v>927</v>
      </c>
      <c r="C8531" s="112" t="s">
        <v>1219</v>
      </c>
      <c r="D8531" s="113">
        <v>46307266</v>
      </c>
      <c r="E8531" s="115">
        <v>43938</v>
      </c>
      <c r="F8531" s="114">
        <v>202101</v>
      </c>
      <c r="G8531" s="112" t="s">
        <v>1091</v>
      </c>
      <c r="H8531" s="112" t="s">
        <v>1015</v>
      </c>
      <c r="I8531" s="112" t="s">
        <v>1605</v>
      </c>
      <c r="J8531" s="112" t="s">
        <v>5554</v>
      </c>
      <c r="K8531" s="112" t="s">
        <v>5556</v>
      </c>
      <c r="L8531" s="116">
        <v>10000</v>
      </c>
    </row>
    <row r="8532" spans="1:12" hidden="1" outlineLevel="1" collapsed="1" x14ac:dyDescent="0.35">
      <c r="A8532" s="112" t="s">
        <v>5553</v>
      </c>
      <c r="B8532" s="112" t="s">
        <v>927</v>
      </c>
      <c r="C8532" s="112" t="s">
        <v>1219</v>
      </c>
      <c r="D8532" s="113">
        <v>46307265</v>
      </c>
      <c r="E8532" s="115">
        <v>43938</v>
      </c>
      <c r="F8532" s="114">
        <v>202101</v>
      </c>
      <c r="G8532" s="112" t="s">
        <v>1091</v>
      </c>
      <c r="H8532" s="112" t="s">
        <v>1015</v>
      </c>
      <c r="I8532" s="112" t="s">
        <v>1605</v>
      </c>
      <c r="J8532" s="112" t="s">
        <v>5554</v>
      </c>
      <c r="K8532" s="112" t="s">
        <v>5556</v>
      </c>
      <c r="L8532" s="116">
        <v>10000</v>
      </c>
    </row>
    <row r="8533" spans="1:12" hidden="1" outlineLevel="1" collapsed="1" x14ac:dyDescent="0.35">
      <c r="A8533" s="112" t="s">
        <v>5553</v>
      </c>
      <c r="B8533" s="112" t="s">
        <v>927</v>
      </c>
      <c r="C8533" s="112" t="s">
        <v>1219</v>
      </c>
      <c r="D8533" s="113">
        <v>46307288</v>
      </c>
      <c r="E8533" s="115">
        <v>43938</v>
      </c>
      <c r="F8533" s="114">
        <v>202101</v>
      </c>
      <c r="G8533" s="112" t="s">
        <v>1091</v>
      </c>
      <c r="H8533" s="112" t="s">
        <v>1015</v>
      </c>
      <c r="I8533" s="112" t="s">
        <v>1605</v>
      </c>
      <c r="J8533" s="112" t="s">
        <v>5554</v>
      </c>
      <c r="K8533" s="112" t="s">
        <v>5556</v>
      </c>
      <c r="L8533" s="116">
        <v>10000</v>
      </c>
    </row>
    <row r="8534" spans="1:12" hidden="1" outlineLevel="1" collapsed="1" x14ac:dyDescent="0.35">
      <c r="A8534" s="112" t="s">
        <v>5553</v>
      </c>
      <c r="B8534" s="112" t="s">
        <v>927</v>
      </c>
      <c r="C8534" s="112" t="s">
        <v>1219</v>
      </c>
      <c r="D8534" s="113">
        <v>46307263</v>
      </c>
      <c r="E8534" s="115">
        <v>43938</v>
      </c>
      <c r="F8534" s="114">
        <v>202101</v>
      </c>
      <c r="G8534" s="112" t="s">
        <v>1091</v>
      </c>
      <c r="H8534" s="112" t="s">
        <v>1015</v>
      </c>
      <c r="I8534" s="112" t="s">
        <v>1605</v>
      </c>
      <c r="J8534" s="112" t="s">
        <v>5554</v>
      </c>
      <c r="K8534" s="112" t="s">
        <v>5555</v>
      </c>
      <c r="L8534" s="116">
        <v>10000</v>
      </c>
    </row>
    <row r="8535" spans="1:12" hidden="1" outlineLevel="1" collapsed="1" x14ac:dyDescent="0.35">
      <c r="A8535" s="112" t="s">
        <v>5553</v>
      </c>
      <c r="B8535" s="112" t="s">
        <v>927</v>
      </c>
      <c r="C8535" s="112" t="s">
        <v>1219</v>
      </c>
      <c r="D8535" s="113">
        <v>46307262</v>
      </c>
      <c r="E8535" s="115">
        <v>43938</v>
      </c>
      <c r="F8535" s="114">
        <v>202101</v>
      </c>
      <c r="G8535" s="112" t="s">
        <v>1091</v>
      </c>
      <c r="H8535" s="112" t="s">
        <v>1015</v>
      </c>
      <c r="I8535" s="112" t="s">
        <v>1605</v>
      </c>
      <c r="J8535" s="112" t="s">
        <v>5554</v>
      </c>
      <c r="K8535" s="112" t="s">
        <v>5556</v>
      </c>
      <c r="L8535" s="116">
        <v>10000</v>
      </c>
    </row>
    <row r="8536" spans="1:12" hidden="1" outlineLevel="1" collapsed="1" x14ac:dyDescent="0.35">
      <c r="A8536" s="112" t="s">
        <v>5553</v>
      </c>
      <c r="B8536" s="112" t="s">
        <v>927</v>
      </c>
      <c r="C8536" s="112" t="s">
        <v>1219</v>
      </c>
      <c r="D8536" s="113">
        <v>46307261</v>
      </c>
      <c r="E8536" s="115">
        <v>43938</v>
      </c>
      <c r="F8536" s="114">
        <v>202101</v>
      </c>
      <c r="G8536" s="112" t="s">
        <v>1091</v>
      </c>
      <c r="H8536" s="112" t="s">
        <v>1015</v>
      </c>
      <c r="I8536" s="112" t="s">
        <v>1605</v>
      </c>
      <c r="J8536" s="112" t="s">
        <v>5554</v>
      </c>
      <c r="K8536" s="112" t="s">
        <v>5556</v>
      </c>
      <c r="L8536" s="116">
        <v>10000</v>
      </c>
    </row>
    <row r="8537" spans="1:12" hidden="1" outlineLevel="1" collapsed="1" x14ac:dyDescent="0.35">
      <c r="A8537" s="112" t="s">
        <v>5553</v>
      </c>
      <c r="B8537" s="112" t="s">
        <v>927</v>
      </c>
      <c r="C8537" s="112" t="s">
        <v>1219</v>
      </c>
      <c r="D8537" s="113">
        <v>46307260</v>
      </c>
      <c r="E8537" s="115">
        <v>43938</v>
      </c>
      <c r="F8537" s="114">
        <v>202101</v>
      </c>
      <c r="G8537" s="112" t="s">
        <v>1091</v>
      </c>
      <c r="H8537" s="112" t="s">
        <v>1015</v>
      </c>
      <c r="I8537" s="112" t="s">
        <v>1605</v>
      </c>
      <c r="J8537" s="112" t="s">
        <v>5554</v>
      </c>
      <c r="K8537" s="112" t="s">
        <v>5556</v>
      </c>
      <c r="L8537" s="116">
        <v>10000</v>
      </c>
    </row>
    <row r="8538" spans="1:12" hidden="1" outlineLevel="1" collapsed="1" x14ac:dyDescent="0.35">
      <c r="A8538" s="112" t="s">
        <v>5553</v>
      </c>
      <c r="B8538" s="112" t="s">
        <v>927</v>
      </c>
      <c r="C8538" s="112" t="s">
        <v>1219</v>
      </c>
      <c r="D8538" s="113">
        <v>46307259</v>
      </c>
      <c r="E8538" s="115">
        <v>43938</v>
      </c>
      <c r="F8538" s="114">
        <v>202101</v>
      </c>
      <c r="G8538" s="112" t="s">
        <v>1091</v>
      </c>
      <c r="H8538" s="112" t="s">
        <v>1015</v>
      </c>
      <c r="I8538" s="112" t="s">
        <v>1605</v>
      </c>
      <c r="J8538" s="112" t="s">
        <v>5554</v>
      </c>
      <c r="K8538" s="112" t="s">
        <v>5555</v>
      </c>
      <c r="L8538" s="116">
        <v>25000</v>
      </c>
    </row>
    <row r="8539" spans="1:12" hidden="1" outlineLevel="1" collapsed="1" x14ac:dyDescent="0.35">
      <c r="A8539" s="112" t="s">
        <v>5553</v>
      </c>
      <c r="B8539" s="112" t="s">
        <v>927</v>
      </c>
      <c r="C8539" s="112" t="s">
        <v>1219</v>
      </c>
      <c r="D8539" s="113">
        <v>46307258</v>
      </c>
      <c r="E8539" s="115">
        <v>43938</v>
      </c>
      <c r="F8539" s="114">
        <v>202101</v>
      </c>
      <c r="G8539" s="112" t="s">
        <v>1091</v>
      </c>
      <c r="H8539" s="112" t="s">
        <v>1015</v>
      </c>
      <c r="I8539" s="112" t="s">
        <v>1605</v>
      </c>
      <c r="J8539" s="112" t="s">
        <v>5554</v>
      </c>
      <c r="K8539" s="112" t="s">
        <v>5555</v>
      </c>
      <c r="L8539" s="116">
        <v>25000</v>
      </c>
    </row>
    <row r="8540" spans="1:12" hidden="1" outlineLevel="1" collapsed="1" x14ac:dyDescent="0.35">
      <c r="A8540" s="112" t="s">
        <v>5553</v>
      </c>
      <c r="B8540" s="112" t="s">
        <v>927</v>
      </c>
      <c r="C8540" s="112" t="s">
        <v>1219</v>
      </c>
      <c r="D8540" s="113">
        <v>46307257</v>
      </c>
      <c r="E8540" s="115">
        <v>43938</v>
      </c>
      <c r="F8540" s="114">
        <v>202101</v>
      </c>
      <c r="G8540" s="112" t="s">
        <v>1091</v>
      </c>
      <c r="H8540" s="112" t="s">
        <v>1015</v>
      </c>
      <c r="I8540" s="112" t="s">
        <v>1605</v>
      </c>
      <c r="J8540" s="112" t="s">
        <v>5554</v>
      </c>
      <c r="K8540" s="112" t="s">
        <v>5555</v>
      </c>
      <c r="L8540" s="116">
        <v>25000</v>
      </c>
    </row>
    <row r="8541" spans="1:12" hidden="1" outlineLevel="1" collapsed="1" x14ac:dyDescent="0.35">
      <c r="A8541" s="112" t="s">
        <v>5553</v>
      </c>
      <c r="B8541" s="112" t="s">
        <v>927</v>
      </c>
      <c r="C8541" s="112" t="s">
        <v>1219</v>
      </c>
      <c r="D8541" s="113">
        <v>46307256</v>
      </c>
      <c r="E8541" s="115">
        <v>43938</v>
      </c>
      <c r="F8541" s="114">
        <v>202101</v>
      </c>
      <c r="G8541" s="112" t="s">
        <v>1091</v>
      </c>
      <c r="H8541" s="112" t="s">
        <v>1015</v>
      </c>
      <c r="I8541" s="112" t="s">
        <v>1605</v>
      </c>
      <c r="J8541" s="112" t="s">
        <v>5554</v>
      </c>
      <c r="K8541" s="112" t="s">
        <v>5556</v>
      </c>
      <c r="L8541" s="116">
        <v>10000</v>
      </c>
    </row>
    <row r="8542" spans="1:12" hidden="1" outlineLevel="1" collapsed="1" x14ac:dyDescent="0.35">
      <c r="A8542" s="112" t="s">
        <v>5553</v>
      </c>
      <c r="B8542" s="112" t="s">
        <v>927</v>
      </c>
      <c r="C8542" s="112" t="s">
        <v>1219</v>
      </c>
      <c r="D8542" s="113">
        <v>46307255</v>
      </c>
      <c r="E8542" s="115">
        <v>43938</v>
      </c>
      <c r="F8542" s="114">
        <v>202101</v>
      </c>
      <c r="G8542" s="112" t="s">
        <v>1091</v>
      </c>
      <c r="H8542" s="112" t="s">
        <v>1015</v>
      </c>
      <c r="I8542" s="112" t="s">
        <v>1605</v>
      </c>
      <c r="J8542" s="112" t="s">
        <v>5554</v>
      </c>
      <c r="K8542" s="112" t="s">
        <v>5556</v>
      </c>
      <c r="L8542" s="116">
        <v>10000</v>
      </c>
    </row>
    <row r="8543" spans="1:12" hidden="1" outlineLevel="1" collapsed="1" x14ac:dyDescent="0.35">
      <c r="A8543" s="112" t="s">
        <v>5553</v>
      </c>
      <c r="B8543" s="112" t="s">
        <v>927</v>
      </c>
      <c r="C8543" s="112" t="s">
        <v>1219</v>
      </c>
      <c r="D8543" s="113">
        <v>46307254</v>
      </c>
      <c r="E8543" s="115">
        <v>43938</v>
      </c>
      <c r="F8543" s="114">
        <v>202101</v>
      </c>
      <c r="G8543" s="112" t="s">
        <v>1091</v>
      </c>
      <c r="H8543" s="112" t="s">
        <v>1015</v>
      </c>
      <c r="I8543" s="112" t="s">
        <v>1605</v>
      </c>
      <c r="J8543" s="112" t="s">
        <v>5554</v>
      </c>
      <c r="K8543" s="112" t="s">
        <v>5555</v>
      </c>
      <c r="L8543" s="116">
        <v>25000</v>
      </c>
    </row>
    <row r="8544" spans="1:12" hidden="1" outlineLevel="1" collapsed="1" x14ac:dyDescent="0.35">
      <c r="A8544" s="112" t="s">
        <v>5553</v>
      </c>
      <c r="B8544" s="112" t="s">
        <v>927</v>
      </c>
      <c r="C8544" s="112" t="s">
        <v>1219</v>
      </c>
      <c r="D8544" s="113">
        <v>46307252</v>
      </c>
      <c r="E8544" s="115">
        <v>43938</v>
      </c>
      <c r="F8544" s="114">
        <v>202101</v>
      </c>
      <c r="G8544" s="112" t="s">
        <v>1091</v>
      </c>
      <c r="H8544" s="112" t="s">
        <v>1015</v>
      </c>
      <c r="I8544" s="112" t="s">
        <v>1605</v>
      </c>
      <c r="J8544" s="112" t="s">
        <v>5554</v>
      </c>
      <c r="K8544" s="112" t="s">
        <v>5555</v>
      </c>
      <c r="L8544" s="116">
        <v>10000</v>
      </c>
    </row>
    <row r="8545" spans="1:12" hidden="1" outlineLevel="1" collapsed="1" x14ac:dyDescent="0.35">
      <c r="A8545" s="112" t="s">
        <v>5553</v>
      </c>
      <c r="B8545" s="112" t="s">
        <v>927</v>
      </c>
      <c r="C8545" s="112" t="s">
        <v>1219</v>
      </c>
      <c r="D8545" s="113">
        <v>46307251</v>
      </c>
      <c r="E8545" s="115">
        <v>43938</v>
      </c>
      <c r="F8545" s="114">
        <v>202101</v>
      </c>
      <c r="G8545" s="112" t="s">
        <v>1091</v>
      </c>
      <c r="H8545" s="112" t="s">
        <v>1015</v>
      </c>
      <c r="I8545" s="112" t="s">
        <v>1605</v>
      </c>
      <c r="J8545" s="112" t="s">
        <v>5554</v>
      </c>
      <c r="K8545" s="112" t="s">
        <v>5555</v>
      </c>
      <c r="L8545" s="116">
        <v>25000</v>
      </c>
    </row>
    <row r="8546" spans="1:12" hidden="1" outlineLevel="1" collapsed="1" x14ac:dyDescent="0.35">
      <c r="A8546" s="112" t="s">
        <v>5553</v>
      </c>
      <c r="B8546" s="112" t="s">
        <v>927</v>
      </c>
      <c r="C8546" s="112" t="s">
        <v>1219</v>
      </c>
      <c r="D8546" s="113">
        <v>46307250</v>
      </c>
      <c r="E8546" s="115">
        <v>43938</v>
      </c>
      <c r="F8546" s="114">
        <v>202101</v>
      </c>
      <c r="G8546" s="112" t="s">
        <v>1091</v>
      </c>
      <c r="H8546" s="112" t="s">
        <v>1015</v>
      </c>
      <c r="I8546" s="112" t="s">
        <v>1605</v>
      </c>
      <c r="J8546" s="112" t="s">
        <v>5554</v>
      </c>
      <c r="K8546" s="112" t="s">
        <v>5556</v>
      </c>
      <c r="L8546" s="116">
        <v>10000</v>
      </c>
    </row>
    <row r="8547" spans="1:12" hidden="1" outlineLevel="1" collapsed="1" x14ac:dyDescent="0.35">
      <c r="A8547" s="112" t="s">
        <v>5553</v>
      </c>
      <c r="B8547" s="112" t="s">
        <v>927</v>
      </c>
      <c r="C8547" s="112" t="s">
        <v>1219</v>
      </c>
      <c r="D8547" s="113">
        <v>46307249</v>
      </c>
      <c r="E8547" s="115">
        <v>43938</v>
      </c>
      <c r="F8547" s="114">
        <v>202101</v>
      </c>
      <c r="G8547" s="112" t="s">
        <v>1091</v>
      </c>
      <c r="H8547" s="112" t="s">
        <v>1015</v>
      </c>
      <c r="I8547" s="112" t="s">
        <v>1605</v>
      </c>
      <c r="J8547" s="112" t="s">
        <v>5554</v>
      </c>
      <c r="K8547" s="112" t="s">
        <v>5555</v>
      </c>
      <c r="L8547" s="116">
        <v>25000</v>
      </c>
    </row>
    <row r="8548" spans="1:12" hidden="1" outlineLevel="1" collapsed="1" x14ac:dyDescent="0.35">
      <c r="A8548" s="112" t="s">
        <v>5553</v>
      </c>
      <c r="B8548" s="112" t="s">
        <v>927</v>
      </c>
      <c r="C8548" s="112" t="s">
        <v>1219</v>
      </c>
      <c r="D8548" s="113">
        <v>46307248</v>
      </c>
      <c r="E8548" s="115">
        <v>43938</v>
      </c>
      <c r="F8548" s="114">
        <v>202101</v>
      </c>
      <c r="G8548" s="112" t="s">
        <v>1091</v>
      </c>
      <c r="H8548" s="112" t="s">
        <v>1015</v>
      </c>
      <c r="I8548" s="112" t="s">
        <v>1605</v>
      </c>
      <c r="J8548" s="112" t="s">
        <v>5554</v>
      </c>
      <c r="K8548" s="112" t="s">
        <v>5555</v>
      </c>
      <c r="L8548" s="116">
        <v>25000</v>
      </c>
    </row>
    <row r="8549" spans="1:12" hidden="1" outlineLevel="1" collapsed="1" x14ac:dyDescent="0.35">
      <c r="A8549" s="112" t="s">
        <v>5553</v>
      </c>
      <c r="B8549" s="112" t="s">
        <v>927</v>
      </c>
      <c r="C8549" s="112" t="s">
        <v>1219</v>
      </c>
      <c r="D8549" s="113">
        <v>46307247</v>
      </c>
      <c r="E8549" s="115">
        <v>43938</v>
      </c>
      <c r="F8549" s="114">
        <v>202101</v>
      </c>
      <c r="G8549" s="112" t="s">
        <v>1091</v>
      </c>
      <c r="H8549" s="112" t="s">
        <v>1015</v>
      </c>
      <c r="I8549" s="112" t="s">
        <v>1605</v>
      </c>
      <c r="J8549" s="112" t="s">
        <v>5554</v>
      </c>
      <c r="K8549" s="112" t="s">
        <v>5556</v>
      </c>
      <c r="L8549" s="116">
        <v>10000</v>
      </c>
    </row>
    <row r="8550" spans="1:12" hidden="1" outlineLevel="1" collapsed="1" x14ac:dyDescent="0.35">
      <c r="A8550" s="112" t="s">
        <v>5553</v>
      </c>
      <c r="B8550" s="112" t="s">
        <v>927</v>
      </c>
      <c r="C8550" s="112" t="s">
        <v>1219</v>
      </c>
      <c r="D8550" s="113">
        <v>46307246</v>
      </c>
      <c r="E8550" s="115">
        <v>43938</v>
      </c>
      <c r="F8550" s="114">
        <v>202101</v>
      </c>
      <c r="G8550" s="112" t="s">
        <v>1091</v>
      </c>
      <c r="H8550" s="112" t="s">
        <v>1015</v>
      </c>
      <c r="I8550" s="112" t="s">
        <v>1605</v>
      </c>
      <c r="J8550" s="112" t="s">
        <v>5554</v>
      </c>
      <c r="K8550" s="112" t="s">
        <v>5556</v>
      </c>
      <c r="L8550" s="116">
        <v>10000</v>
      </c>
    </row>
    <row r="8551" spans="1:12" hidden="1" outlineLevel="1" collapsed="1" x14ac:dyDescent="0.35">
      <c r="A8551" s="112" t="s">
        <v>5553</v>
      </c>
      <c r="B8551" s="112" t="s">
        <v>927</v>
      </c>
      <c r="C8551" s="112" t="s">
        <v>1219</v>
      </c>
      <c r="D8551" s="113">
        <v>46307245</v>
      </c>
      <c r="E8551" s="115">
        <v>43938</v>
      </c>
      <c r="F8551" s="114">
        <v>202101</v>
      </c>
      <c r="G8551" s="112" t="s">
        <v>1091</v>
      </c>
      <c r="H8551" s="112" t="s">
        <v>1015</v>
      </c>
      <c r="I8551" s="112" t="s">
        <v>1605</v>
      </c>
      <c r="J8551" s="112" t="s">
        <v>5554</v>
      </c>
      <c r="K8551" s="112" t="s">
        <v>5556</v>
      </c>
      <c r="L8551" s="116">
        <v>10000</v>
      </c>
    </row>
    <row r="8552" spans="1:12" hidden="1" outlineLevel="1" collapsed="1" x14ac:dyDescent="0.35">
      <c r="A8552" s="112" t="s">
        <v>5553</v>
      </c>
      <c r="B8552" s="112" t="s">
        <v>927</v>
      </c>
      <c r="C8552" s="112" t="s">
        <v>1219</v>
      </c>
      <c r="D8552" s="113">
        <v>46307303</v>
      </c>
      <c r="E8552" s="115">
        <v>43938</v>
      </c>
      <c r="F8552" s="114">
        <v>202101</v>
      </c>
      <c r="G8552" s="112" t="s">
        <v>1091</v>
      </c>
      <c r="H8552" s="112" t="s">
        <v>1015</v>
      </c>
      <c r="I8552" s="112" t="s">
        <v>1605</v>
      </c>
      <c r="J8552" s="112" t="s">
        <v>5554</v>
      </c>
      <c r="K8552" s="112" t="s">
        <v>5556</v>
      </c>
      <c r="L8552" s="116">
        <v>10000</v>
      </c>
    </row>
    <row r="8553" spans="1:12" hidden="1" outlineLevel="1" collapsed="1" x14ac:dyDescent="0.35">
      <c r="A8553" s="112" t="s">
        <v>5553</v>
      </c>
      <c r="B8553" s="112" t="s">
        <v>927</v>
      </c>
      <c r="C8553" s="112" t="s">
        <v>1219</v>
      </c>
      <c r="D8553" s="113">
        <v>46307302</v>
      </c>
      <c r="E8553" s="115">
        <v>43938</v>
      </c>
      <c r="F8553" s="114">
        <v>202101</v>
      </c>
      <c r="G8553" s="112" t="s">
        <v>1091</v>
      </c>
      <c r="H8553" s="112" t="s">
        <v>1015</v>
      </c>
      <c r="I8553" s="112" t="s">
        <v>1605</v>
      </c>
      <c r="J8553" s="112" t="s">
        <v>5554</v>
      </c>
      <c r="K8553" s="112" t="s">
        <v>5556</v>
      </c>
      <c r="L8553" s="116">
        <v>10000</v>
      </c>
    </row>
    <row r="8554" spans="1:12" hidden="1" outlineLevel="1" collapsed="1" x14ac:dyDescent="0.35">
      <c r="A8554" s="112" t="s">
        <v>5553</v>
      </c>
      <c r="B8554" s="112" t="s">
        <v>927</v>
      </c>
      <c r="C8554" s="112" t="s">
        <v>1219</v>
      </c>
      <c r="D8554" s="113">
        <v>46307301</v>
      </c>
      <c r="E8554" s="115">
        <v>43938</v>
      </c>
      <c r="F8554" s="114">
        <v>202101</v>
      </c>
      <c r="G8554" s="112" t="s">
        <v>1091</v>
      </c>
      <c r="H8554" s="112" t="s">
        <v>1015</v>
      </c>
      <c r="I8554" s="112" t="s">
        <v>1605</v>
      </c>
      <c r="J8554" s="112" t="s">
        <v>5554</v>
      </c>
      <c r="K8554" s="112" t="s">
        <v>5556</v>
      </c>
      <c r="L8554" s="116">
        <v>10000</v>
      </c>
    </row>
    <row r="8555" spans="1:12" hidden="1" outlineLevel="1" collapsed="1" x14ac:dyDescent="0.35">
      <c r="A8555" s="112" t="s">
        <v>5553</v>
      </c>
      <c r="B8555" s="112" t="s">
        <v>927</v>
      </c>
      <c r="C8555" s="112" t="s">
        <v>1219</v>
      </c>
      <c r="D8555" s="113">
        <v>46307300</v>
      </c>
      <c r="E8555" s="115">
        <v>43938</v>
      </c>
      <c r="F8555" s="114">
        <v>202101</v>
      </c>
      <c r="G8555" s="112" t="s">
        <v>1091</v>
      </c>
      <c r="H8555" s="112" t="s">
        <v>1015</v>
      </c>
      <c r="I8555" s="112" t="s">
        <v>1605</v>
      </c>
      <c r="J8555" s="112" t="s">
        <v>5554</v>
      </c>
      <c r="K8555" s="112" t="s">
        <v>5556</v>
      </c>
      <c r="L8555" s="116">
        <v>10000</v>
      </c>
    </row>
    <row r="8556" spans="1:12" hidden="1" outlineLevel="1" collapsed="1" x14ac:dyDescent="0.35">
      <c r="A8556" s="112" t="s">
        <v>5553</v>
      </c>
      <c r="B8556" s="112" t="s">
        <v>927</v>
      </c>
      <c r="C8556" s="112" t="s">
        <v>1219</v>
      </c>
      <c r="D8556" s="113">
        <v>46307299</v>
      </c>
      <c r="E8556" s="115">
        <v>43938</v>
      </c>
      <c r="F8556" s="114">
        <v>202101</v>
      </c>
      <c r="G8556" s="112" t="s">
        <v>1091</v>
      </c>
      <c r="H8556" s="112" t="s">
        <v>1015</v>
      </c>
      <c r="I8556" s="112" t="s">
        <v>1605</v>
      </c>
      <c r="J8556" s="112" t="s">
        <v>5554</v>
      </c>
      <c r="K8556" s="112" t="s">
        <v>5556</v>
      </c>
      <c r="L8556" s="116">
        <v>10000</v>
      </c>
    </row>
    <row r="8557" spans="1:12" hidden="1" outlineLevel="1" collapsed="1" x14ac:dyDescent="0.35">
      <c r="A8557" s="112" t="s">
        <v>5553</v>
      </c>
      <c r="B8557" s="112" t="s">
        <v>927</v>
      </c>
      <c r="C8557" s="112" t="s">
        <v>1219</v>
      </c>
      <c r="D8557" s="113">
        <v>46307289</v>
      </c>
      <c r="E8557" s="115">
        <v>43938</v>
      </c>
      <c r="F8557" s="114">
        <v>202101</v>
      </c>
      <c r="G8557" s="112" t="s">
        <v>1091</v>
      </c>
      <c r="H8557" s="112" t="s">
        <v>1015</v>
      </c>
      <c r="I8557" s="112" t="s">
        <v>1605</v>
      </c>
      <c r="J8557" s="112" t="s">
        <v>5554</v>
      </c>
      <c r="K8557" s="112" t="s">
        <v>5555</v>
      </c>
      <c r="L8557" s="116">
        <v>25000</v>
      </c>
    </row>
    <row r="8558" spans="1:12" hidden="1" outlineLevel="1" collapsed="1" x14ac:dyDescent="0.35">
      <c r="A8558" s="112" t="s">
        <v>5553</v>
      </c>
      <c r="B8558" s="112" t="s">
        <v>927</v>
      </c>
      <c r="C8558" s="112" t="s">
        <v>1219</v>
      </c>
      <c r="D8558" s="113">
        <v>46307298</v>
      </c>
      <c r="E8558" s="115">
        <v>43938</v>
      </c>
      <c r="F8558" s="114">
        <v>202101</v>
      </c>
      <c r="G8558" s="112" t="s">
        <v>1091</v>
      </c>
      <c r="H8558" s="112" t="s">
        <v>1015</v>
      </c>
      <c r="I8558" s="112" t="s">
        <v>1605</v>
      </c>
      <c r="J8558" s="112" t="s">
        <v>5554</v>
      </c>
      <c r="K8558" s="112" t="s">
        <v>5556</v>
      </c>
      <c r="L8558" s="116">
        <v>10000</v>
      </c>
    </row>
    <row r="8559" spans="1:12" hidden="1" outlineLevel="1" collapsed="1" x14ac:dyDescent="0.35">
      <c r="A8559" s="112" t="s">
        <v>5553</v>
      </c>
      <c r="B8559" s="112" t="s">
        <v>927</v>
      </c>
      <c r="C8559" s="112" t="s">
        <v>1219</v>
      </c>
      <c r="D8559" s="113">
        <v>46307335</v>
      </c>
      <c r="E8559" s="115">
        <v>43924</v>
      </c>
      <c r="F8559" s="114">
        <v>202101</v>
      </c>
      <c r="G8559" s="112" t="s">
        <v>1091</v>
      </c>
      <c r="H8559" s="112" t="s">
        <v>1015</v>
      </c>
      <c r="I8559" s="112" t="s">
        <v>1605</v>
      </c>
      <c r="J8559" s="112" t="s">
        <v>5554</v>
      </c>
      <c r="K8559" s="112" t="s">
        <v>5556</v>
      </c>
      <c r="L8559" s="116">
        <v>10000</v>
      </c>
    </row>
    <row r="8560" spans="1:12" hidden="1" outlineLevel="1" collapsed="1" x14ac:dyDescent="0.35">
      <c r="A8560" s="112" t="s">
        <v>5553</v>
      </c>
      <c r="B8560" s="112" t="s">
        <v>927</v>
      </c>
      <c r="C8560" s="112" t="s">
        <v>1219</v>
      </c>
      <c r="D8560" s="113">
        <v>46308053</v>
      </c>
      <c r="E8560" s="115">
        <v>43950</v>
      </c>
      <c r="F8560" s="114">
        <v>202101</v>
      </c>
      <c r="G8560" s="112" t="s">
        <v>1091</v>
      </c>
      <c r="H8560" s="112" t="s">
        <v>1015</v>
      </c>
      <c r="I8560" s="112" t="s">
        <v>1605</v>
      </c>
      <c r="J8560" s="112" t="s">
        <v>5554</v>
      </c>
      <c r="K8560" s="112" t="s">
        <v>5555</v>
      </c>
      <c r="L8560" s="116">
        <v>25000</v>
      </c>
    </row>
    <row r="8561" spans="1:12" hidden="1" outlineLevel="1" collapsed="1" x14ac:dyDescent="0.35">
      <c r="A8561" s="112" t="s">
        <v>5553</v>
      </c>
      <c r="B8561" s="112" t="s">
        <v>927</v>
      </c>
      <c r="C8561" s="112" t="s">
        <v>1219</v>
      </c>
      <c r="D8561" s="113">
        <v>46307339</v>
      </c>
      <c r="E8561" s="115">
        <v>43924</v>
      </c>
      <c r="F8561" s="114">
        <v>202101</v>
      </c>
      <c r="G8561" s="112" t="s">
        <v>1091</v>
      </c>
      <c r="H8561" s="112" t="s">
        <v>1015</v>
      </c>
      <c r="I8561" s="112" t="s">
        <v>1605</v>
      </c>
      <c r="J8561" s="112" t="s">
        <v>5554</v>
      </c>
      <c r="K8561" s="112" t="s">
        <v>5556</v>
      </c>
      <c r="L8561" s="116">
        <v>10000</v>
      </c>
    </row>
    <row r="8562" spans="1:12" hidden="1" outlineLevel="1" collapsed="1" x14ac:dyDescent="0.35">
      <c r="A8562" s="112" t="s">
        <v>5553</v>
      </c>
      <c r="B8562" s="112" t="s">
        <v>927</v>
      </c>
      <c r="C8562" s="112" t="s">
        <v>1219</v>
      </c>
      <c r="D8562" s="113">
        <v>46307338</v>
      </c>
      <c r="E8562" s="115">
        <v>43924</v>
      </c>
      <c r="F8562" s="114">
        <v>202101</v>
      </c>
      <c r="G8562" s="112" t="s">
        <v>1091</v>
      </c>
      <c r="H8562" s="112" t="s">
        <v>1015</v>
      </c>
      <c r="I8562" s="112" t="s">
        <v>1605</v>
      </c>
      <c r="J8562" s="112" t="s">
        <v>5554</v>
      </c>
      <c r="K8562" s="112" t="s">
        <v>5556</v>
      </c>
      <c r="L8562" s="116">
        <v>10000</v>
      </c>
    </row>
    <row r="8563" spans="1:12" hidden="1" outlineLevel="1" collapsed="1" x14ac:dyDescent="0.35">
      <c r="A8563" s="112" t="s">
        <v>5553</v>
      </c>
      <c r="B8563" s="112" t="s">
        <v>927</v>
      </c>
      <c r="C8563" s="112" t="s">
        <v>1219</v>
      </c>
      <c r="D8563" s="113">
        <v>46307337</v>
      </c>
      <c r="E8563" s="115">
        <v>43924</v>
      </c>
      <c r="F8563" s="114">
        <v>202101</v>
      </c>
      <c r="G8563" s="112" t="s">
        <v>1091</v>
      </c>
      <c r="H8563" s="112" t="s">
        <v>1015</v>
      </c>
      <c r="I8563" s="112" t="s">
        <v>1605</v>
      </c>
      <c r="J8563" s="112" t="s">
        <v>5554</v>
      </c>
      <c r="K8563" s="112" t="s">
        <v>5556</v>
      </c>
      <c r="L8563" s="116">
        <v>10000</v>
      </c>
    </row>
    <row r="8564" spans="1:12" hidden="1" outlineLevel="1" collapsed="1" x14ac:dyDescent="0.35">
      <c r="A8564" s="112" t="s">
        <v>5553</v>
      </c>
      <c r="B8564" s="112" t="s">
        <v>927</v>
      </c>
      <c r="C8564" s="112" t="s">
        <v>1219</v>
      </c>
      <c r="D8564" s="113">
        <v>46308072</v>
      </c>
      <c r="E8564" s="115">
        <v>43950</v>
      </c>
      <c r="F8564" s="114">
        <v>202101</v>
      </c>
      <c r="G8564" s="112" t="s">
        <v>1091</v>
      </c>
      <c r="H8564" s="112" t="s">
        <v>1015</v>
      </c>
      <c r="I8564" s="112" t="s">
        <v>1605</v>
      </c>
      <c r="J8564" s="112" t="s">
        <v>5554</v>
      </c>
      <c r="K8564" s="112" t="s">
        <v>5556</v>
      </c>
      <c r="L8564" s="116">
        <v>10000</v>
      </c>
    </row>
    <row r="8565" spans="1:12" hidden="1" outlineLevel="1" collapsed="1" x14ac:dyDescent="0.35">
      <c r="A8565" s="112" t="s">
        <v>5553</v>
      </c>
      <c r="B8565" s="112" t="s">
        <v>927</v>
      </c>
      <c r="C8565" s="112" t="s">
        <v>1219</v>
      </c>
      <c r="D8565" s="113">
        <v>46308071</v>
      </c>
      <c r="E8565" s="115">
        <v>43950</v>
      </c>
      <c r="F8565" s="114">
        <v>202101</v>
      </c>
      <c r="G8565" s="112" t="s">
        <v>1091</v>
      </c>
      <c r="H8565" s="112" t="s">
        <v>1015</v>
      </c>
      <c r="I8565" s="112" t="s">
        <v>1605</v>
      </c>
      <c r="J8565" s="112" t="s">
        <v>5554</v>
      </c>
      <c r="K8565" s="112" t="s">
        <v>5555</v>
      </c>
      <c r="L8565" s="116">
        <v>10000</v>
      </c>
    </row>
    <row r="8566" spans="1:12" hidden="1" outlineLevel="1" collapsed="1" x14ac:dyDescent="0.35">
      <c r="A8566" s="112" t="s">
        <v>5553</v>
      </c>
      <c r="B8566" s="112" t="s">
        <v>927</v>
      </c>
      <c r="C8566" s="112" t="s">
        <v>1219</v>
      </c>
      <c r="D8566" s="113">
        <v>46308070</v>
      </c>
      <c r="E8566" s="115">
        <v>43950</v>
      </c>
      <c r="F8566" s="114">
        <v>202101</v>
      </c>
      <c r="G8566" s="112" t="s">
        <v>1091</v>
      </c>
      <c r="H8566" s="112" t="s">
        <v>1015</v>
      </c>
      <c r="I8566" s="112" t="s">
        <v>1605</v>
      </c>
      <c r="J8566" s="112" t="s">
        <v>5554</v>
      </c>
      <c r="K8566" s="112" t="s">
        <v>5556</v>
      </c>
      <c r="L8566" s="116">
        <v>10000</v>
      </c>
    </row>
    <row r="8567" spans="1:12" hidden="1" outlineLevel="1" collapsed="1" x14ac:dyDescent="0.35">
      <c r="A8567" s="112" t="s">
        <v>5553</v>
      </c>
      <c r="B8567" s="112" t="s">
        <v>927</v>
      </c>
      <c r="C8567" s="112" t="s">
        <v>1219</v>
      </c>
      <c r="D8567" s="113">
        <v>46308069</v>
      </c>
      <c r="E8567" s="115">
        <v>43950</v>
      </c>
      <c r="F8567" s="114">
        <v>202101</v>
      </c>
      <c r="G8567" s="112" t="s">
        <v>1091</v>
      </c>
      <c r="H8567" s="112" t="s">
        <v>1015</v>
      </c>
      <c r="I8567" s="112" t="s">
        <v>1605</v>
      </c>
      <c r="J8567" s="112" t="s">
        <v>5554</v>
      </c>
      <c r="K8567" s="112" t="s">
        <v>5556</v>
      </c>
      <c r="L8567" s="116">
        <v>10000</v>
      </c>
    </row>
    <row r="8568" spans="1:12" hidden="1" outlineLevel="1" collapsed="1" x14ac:dyDescent="0.35">
      <c r="A8568" s="112" t="s">
        <v>5553</v>
      </c>
      <c r="B8568" s="112" t="s">
        <v>927</v>
      </c>
      <c r="C8568" s="112" t="s">
        <v>1219</v>
      </c>
      <c r="D8568" s="113">
        <v>46308068</v>
      </c>
      <c r="E8568" s="115">
        <v>43950</v>
      </c>
      <c r="F8568" s="114">
        <v>202101</v>
      </c>
      <c r="G8568" s="112" t="s">
        <v>1091</v>
      </c>
      <c r="H8568" s="112" t="s">
        <v>1015</v>
      </c>
      <c r="I8568" s="112" t="s">
        <v>1605</v>
      </c>
      <c r="J8568" s="112" t="s">
        <v>5554</v>
      </c>
      <c r="K8568" s="112" t="s">
        <v>5555</v>
      </c>
      <c r="L8568" s="116">
        <v>25000</v>
      </c>
    </row>
    <row r="8569" spans="1:12" hidden="1" outlineLevel="1" collapsed="1" x14ac:dyDescent="0.35">
      <c r="A8569" s="112" t="s">
        <v>5553</v>
      </c>
      <c r="B8569" s="112" t="s">
        <v>926</v>
      </c>
      <c r="C8569" s="112" t="s">
        <v>1095</v>
      </c>
      <c r="D8569" s="113">
        <v>10348451</v>
      </c>
      <c r="E8569" s="115">
        <v>43949</v>
      </c>
      <c r="F8569" s="114">
        <v>202101</v>
      </c>
      <c r="G8569" s="112" t="s">
        <v>1091</v>
      </c>
      <c r="H8569" s="112" t="s">
        <v>1015</v>
      </c>
      <c r="I8569" s="112" t="s">
        <v>1205</v>
      </c>
      <c r="J8569" s="112" t="s">
        <v>5567</v>
      </c>
      <c r="K8569" s="112" t="s">
        <v>1098</v>
      </c>
      <c r="L8569" s="116">
        <v>81.58</v>
      </c>
    </row>
    <row r="8570" spans="1:12" hidden="1" outlineLevel="1" collapsed="1" x14ac:dyDescent="0.35">
      <c r="A8570" s="112" t="s">
        <v>5553</v>
      </c>
      <c r="B8570" s="112" t="s">
        <v>927</v>
      </c>
      <c r="C8570" s="112" t="s">
        <v>1219</v>
      </c>
      <c r="D8570" s="113">
        <v>46307336</v>
      </c>
      <c r="E8570" s="115">
        <v>43924</v>
      </c>
      <c r="F8570" s="114">
        <v>202101</v>
      </c>
      <c r="G8570" s="112" t="s">
        <v>1091</v>
      </c>
      <c r="H8570" s="112" t="s">
        <v>1015</v>
      </c>
      <c r="I8570" s="112" t="s">
        <v>1605</v>
      </c>
      <c r="J8570" s="112" t="s">
        <v>5554</v>
      </c>
      <c r="K8570" s="112" t="s">
        <v>5556</v>
      </c>
      <c r="L8570" s="116">
        <v>10000</v>
      </c>
    </row>
    <row r="8571" spans="1:12" hidden="1" outlineLevel="1" collapsed="1" x14ac:dyDescent="0.35">
      <c r="A8571" s="112" t="s">
        <v>5553</v>
      </c>
      <c r="B8571" s="112" t="s">
        <v>927</v>
      </c>
      <c r="C8571" s="112" t="s">
        <v>1219</v>
      </c>
      <c r="D8571" s="113">
        <v>46308067</v>
      </c>
      <c r="E8571" s="115">
        <v>43950</v>
      </c>
      <c r="F8571" s="114">
        <v>202101</v>
      </c>
      <c r="G8571" s="112" t="s">
        <v>1091</v>
      </c>
      <c r="H8571" s="112" t="s">
        <v>1015</v>
      </c>
      <c r="I8571" s="112" t="s">
        <v>1605</v>
      </c>
      <c r="J8571" s="112" t="s">
        <v>5554</v>
      </c>
      <c r="K8571" s="112" t="s">
        <v>5555</v>
      </c>
      <c r="L8571" s="116">
        <v>25000</v>
      </c>
    </row>
    <row r="8572" spans="1:12" hidden="1" outlineLevel="1" collapsed="1" x14ac:dyDescent="0.35">
      <c r="A8572" s="112" t="s">
        <v>5553</v>
      </c>
      <c r="B8572" s="112" t="s">
        <v>927</v>
      </c>
      <c r="C8572" s="112" t="s">
        <v>1219</v>
      </c>
      <c r="D8572" s="113">
        <v>46307362</v>
      </c>
      <c r="E8572" s="115">
        <v>43924</v>
      </c>
      <c r="F8572" s="114">
        <v>202101</v>
      </c>
      <c r="G8572" s="112" t="s">
        <v>1091</v>
      </c>
      <c r="H8572" s="112" t="s">
        <v>1015</v>
      </c>
      <c r="I8572" s="112" t="s">
        <v>1605</v>
      </c>
      <c r="J8572" s="112" t="s">
        <v>5554</v>
      </c>
      <c r="K8572" s="112" t="s">
        <v>5555</v>
      </c>
      <c r="L8572" s="116">
        <v>25000</v>
      </c>
    </row>
    <row r="8573" spans="1:12" hidden="1" outlineLevel="1" collapsed="1" x14ac:dyDescent="0.35">
      <c r="A8573" s="112" t="s">
        <v>5553</v>
      </c>
      <c r="B8573" s="112" t="s">
        <v>927</v>
      </c>
      <c r="C8573" s="112" t="s">
        <v>1219</v>
      </c>
      <c r="D8573" s="113">
        <v>46307360</v>
      </c>
      <c r="E8573" s="115">
        <v>43924</v>
      </c>
      <c r="F8573" s="114">
        <v>202101</v>
      </c>
      <c r="G8573" s="112" t="s">
        <v>1091</v>
      </c>
      <c r="H8573" s="112" t="s">
        <v>1015</v>
      </c>
      <c r="I8573" s="112" t="s">
        <v>1605</v>
      </c>
      <c r="J8573" s="112" t="s">
        <v>5554</v>
      </c>
      <c r="K8573" s="112" t="s">
        <v>5556</v>
      </c>
      <c r="L8573" s="116">
        <v>10000</v>
      </c>
    </row>
    <row r="8574" spans="1:12" hidden="1" outlineLevel="1" collapsed="1" x14ac:dyDescent="0.35">
      <c r="A8574" s="112" t="s">
        <v>5553</v>
      </c>
      <c r="B8574" s="112" t="s">
        <v>927</v>
      </c>
      <c r="C8574" s="112" t="s">
        <v>1219</v>
      </c>
      <c r="D8574" s="113">
        <v>46307359</v>
      </c>
      <c r="E8574" s="115">
        <v>43924</v>
      </c>
      <c r="F8574" s="114">
        <v>202101</v>
      </c>
      <c r="G8574" s="112" t="s">
        <v>1091</v>
      </c>
      <c r="H8574" s="112" t="s">
        <v>1015</v>
      </c>
      <c r="I8574" s="112" t="s">
        <v>1605</v>
      </c>
      <c r="J8574" s="112" t="s">
        <v>5554</v>
      </c>
      <c r="K8574" s="112" t="s">
        <v>5556</v>
      </c>
      <c r="L8574" s="116">
        <v>10000</v>
      </c>
    </row>
    <row r="8575" spans="1:12" hidden="1" outlineLevel="1" collapsed="1" x14ac:dyDescent="0.35">
      <c r="A8575" s="112" t="s">
        <v>5553</v>
      </c>
      <c r="B8575" s="112" t="s">
        <v>927</v>
      </c>
      <c r="C8575" s="112" t="s">
        <v>1219</v>
      </c>
      <c r="D8575" s="113">
        <v>46307358</v>
      </c>
      <c r="E8575" s="115">
        <v>43924</v>
      </c>
      <c r="F8575" s="114">
        <v>202101</v>
      </c>
      <c r="G8575" s="112" t="s">
        <v>1091</v>
      </c>
      <c r="H8575" s="112" t="s">
        <v>1015</v>
      </c>
      <c r="I8575" s="112" t="s">
        <v>1605</v>
      </c>
      <c r="J8575" s="112" t="s">
        <v>5554</v>
      </c>
      <c r="K8575" s="112" t="s">
        <v>5555</v>
      </c>
      <c r="L8575" s="116">
        <v>25000</v>
      </c>
    </row>
    <row r="8576" spans="1:12" hidden="1" outlineLevel="1" collapsed="1" x14ac:dyDescent="0.35">
      <c r="A8576" s="112" t="s">
        <v>5553</v>
      </c>
      <c r="B8576" s="112" t="s">
        <v>927</v>
      </c>
      <c r="C8576" s="112" t="s">
        <v>1219</v>
      </c>
      <c r="D8576" s="113">
        <v>46307357</v>
      </c>
      <c r="E8576" s="115">
        <v>43924</v>
      </c>
      <c r="F8576" s="114">
        <v>202101</v>
      </c>
      <c r="G8576" s="112" t="s">
        <v>1091</v>
      </c>
      <c r="H8576" s="112" t="s">
        <v>1015</v>
      </c>
      <c r="I8576" s="112" t="s">
        <v>1605</v>
      </c>
      <c r="J8576" s="112" t="s">
        <v>5554</v>
      </c>
      <c r="K8576" s="112" t="s">
        <v>5555</v>
      </c>
      <c r="L8576" s="116">
        <v>25000</v>
      </c>
    </row>
    <row r="8577" spans="1:12" hidden="1" outlineLevel="1" collapsed="1" x14ac:dyDescent="0.35">
      <c r="A8577" s="112" t="s">
        <v>5553</v>
      </c>
      <c r="B8577" s="112" t="s">
        <v>927</v>
      </c>
      <c r="C8577" s="112" t="s">
        <v>1219</v>
      </c>
      <c r="D8577" s="113">
        <v>46307356</v>
      </c>
      <c r="E8577" s="115">
        <v>43924</v>
      </c>
      <c r="F8577" s="114">
        <v>202101</v>
      </c>
      <c r="G8577" s="112" t="s">
        <v>1091</v>
      </c>
      <c r="H8577" s="112" t="s">
        <v>1015</v>
      </c>
      <c r="I8577" s="112" t="s">
        <v>1605</v>
      </c>
      <c r="J8577" s="112" t="s">
        <v>5554</v>
      </c>
      <c r="K8577" s="112" t="s">
        <v>5556</v>
      </c>
      <c r="L8577" s="116">
        <v>10000</v>
      </c>
    </row>
    <row r="8578" spans="1:12" hidden="1" outlineLevel="1" collapsed="1" x14ac:dyDescent="0.35">
      <c r="A8578" s="112" t="s">
        <v>5553</v>
      </c>
      <c r="B8578" s="112" t="s">
        <v>927</v>
      </c>
      <c r="C8578" s="112" t="s">
        <v>1219</v>
      </c>
      <c r="D8578" s="113">
        <v>46307355</v>
      </c>
      <c r="E8578" s="115">
        <v>43924</v>
      </c>
      <c r="F8578" s="114">
        <v>202101</v>
      </c>
      <c r="G8578" s="112" t="s">
        <v>1091</v>
      </c>
      <c r="H8578" s="112" t="s">
        <v>1015</v>
      </c>
      <c r="I8578" s="112" t="s">
        <v>1605</v>
      </c>
      <c r="J8578" s="112" t="s">
        <v>5554</v>
      </c>
      <c r="K8578" s="112" t="s">
        <v>5555</v>
      </c>
      <c r="L8578" s="116">
        <v>10000</v>
      </c>
    </row>
    <row r="8579" spans="1:12" hidden="1" outlineLevel="1" collapsed="1" x14ac:dyDescent="0.35">
      <c r="A8579" s="112" t="s">
        <v>5553</v>
      </c>
      <c r="B8579" s="112" t="s">
        <v>927</v>
      </c>
      <c r="C8579" s="112" t="s">
        <v>1219</v>
      </c>
      <c r="D8579" s="113">
        <v>46307354</v>
      </c>
      <c r="E8579" s="115">
        <v>43924</v>
      </c>
      <c r="F8579" s="114">
        <v>202101</v>
      </c>
      <c r="G8579" s="112" t="s">
        <v>1091</v>
      </c>
      <c r="H8579" s="112" t="s">
        <v>1015</v>
      </c>
      <c r="I8579" s="112" t="s">
        <v>1605</v>
      </c>
      <c r="J8579" s="112" t="s">
        <v>5554</v>
      </c>
      <c r="K8579" s="112" t="s">
        <v>5555</v>
      </c>
      <c r="L8579" s="116">
        <v>25000</v>
      </c>
    </row>
    <row r="8580" spans="1:12" hidden="1" outlineLevel="1" collapsed="1" x14ac:dyDescent="0.35">
      <c r="A8580" s="112" t="s">
        <v>5553</v>
      </c>
      <c r="B8580" s="112" t="s">
        <v>924</v>
      </c>
      <c r="C8580" s="112" t="s">
        <v>1099</v>
      </c>
      <c r="D8580" s="113">
        <v>1069751</v>
      </c>
      <c r="E8580" s="115">
        <v>43946</v>
      </c>
      <c r="F8580" s="114">
        <v>202101</v>
      </c>
      <c r="G8580" s="112" t="s">
        <v>1091</v>
      </c>
      <c r="H8580" s="112" t="s">
        <v>1015</v>
      </c>
      <c r="I8580" s="112" t="s">
        <v>1137</v>
      </c>
      <c r="J8580" s="112" t="s">
        <v>5558</v>
      </c>
      <c r="K8580" s="112" t="s">
        <v>5661</v>
      </c>
      <c r="L8580" s="116">
        <v>25.93</v>
      </c>
    </row>
    <row r="8581" spans="1:12" hidden="1" outlineLevel="1" collapsed="1" x14ac:dyDescent="0.35">
      <c r="A8581" s="112" t="s">
        <v>5553</v>
      </c>
      <c r="B8581" s="112" t="s">
        <v>927</v>
      </c>
      <c r="C8581" s="112" t="s">
        <v>1219</v>
      </c>
      <c r="D8581" s="113">
        <v>46307353</v>
      </c>
      <c r="E8581" s="115">
        <v>43924</v>
      </c>
      <c r="F8581" s="114">
        <v>202101</v>
      </c>
      <c r="G8581" s="112" t="s">
        <v>1091</v>
      </c>
      <c r="H8581" s="112" t="s">
        <v>1015</v>
      </c>
      <c r="I8581" s="112" t="s">
        <v>1605</v>
      </c>
      <c r="J8581" s="112" t="s">
        <v>5554</v>
      </c>
      <c r="K8581" s="112" t="s">
        <v>5555</v>
      </c>
      <c r="L8581" s="116">
        <v>25000</v>
      </c>
    </row>
    <row r="8582" spans="1:12" hidden="1" outlineLevel="1" collapsed="1" x14ac:dyDescent="0.35">
      <c r="A8582" s="112" t="s">
        <v>5553</v>
      </c>
      <c r="B8582" s="112" t="s">
        <v>927</v>
      </c>
      <c r="C8582" s="112" t="s">
        <v>1219</v>
      </c>
      <c r="D8582" s="113">
        <v>46307352</v>
      </c>
      <c r="E8582" s="115">
        <v>43924</v>
      </c>
      <c r="F8582" s="114">
        <v>202101</v>
      </c>
      <c r="G8582" s="112" t="s">
        <v>1091</v>
      </c>
      <c r="H8582" s="112" t="s">
        <v>1015</v>
      </c>
      <c r="I8582" s="112" t="s">
        <v>1605</v>
      </c>
      <c r="J8582" s="112" t="s">
        <v>5554</v>
      </c>
      <c r="K8582" s="112" t="s">
        <v>5556</v>
      </c>
      <c r="L8582" s="116">
        <v>10000</v>
      </c>
    </row>
    <row r="8583" spans="1:12" hidden="1" outlineLevel="1" collapsed="1" x14ac:dyDescent="0.35">
      <c r="A8583" s="112" t="s">
        <v>5553</v>
      </c>
      <c r="B8583" s="112" t="s">
        <v>927</v>
      </c>
      <c r="C8583" s="112" t="s">
        <v>1219</v>
      </c>
      <c r="D8583" s="113">
        <v>46307340</v>
      </c>
      <c r="E8583" s="115">
        <v>43924</v>
      </c>
      <c r="F8583" s="114">
        <v>202101</v>
      </c>
      <c r="G8583" s="112" t="s">
        <v>1091</v>
      </c>
      <c r="H8583" s="112" t="s">
        <v>1015</v>
      </c>
      <c r="I8583" s="112" t="s">
        <v>1605</v>
      </c>
      <c r="J8583" s="112" t="s">
        <v>5554</v>
      </c>
      <c r="K8583" s="112" t="s">
        <v>5556</v>
      </c>
      <c r="L8583" s="116">
        <v>10000</v>
      </c>
    </row>
    <row r="8584" spans="1:12" hidden="1" outlineLevel="1" collapsed="1" x14ac:dyDescent="0.35">
      <c r="A8584" s="112" t="s">
        <v>5553</v>
      </c>
      <c r="B8584" s="112" t="s">
        <v>927</v>
      </c>
      <c r="C8584" s="112" t="s">
        <v>1219</v>
      </c>
      <c r="D8584" s="113">
        <v>46307314</v>
      </c>
      <c r="E8584" s="115">
        <v>43938</v>
      </c>
      <c r="F8584" s="114">
        <v>202101</v>
      </c>
      <c r="G8584" s="112" t="s">
        <v>1091</v>
      </c>
      <c r="H8584" s="112" t="s">
        <v>1015</v>
      </c>
      <c r="I8584" s="112" t="s">
        <v>1605</v>
      </c>
      <c r="J8584" s="112" t="s">
        <v>5554</v>
      </c>
      <c r="K8584" s="112" t="s">
        <v>5555</v>
      </c>
      <c r="L8584" s="116">
        <v>25000</v>
      </c>
    </row>
    <row r="8585" spans="1:12" hidden="1" outlineLevel="1" collapsed="1" x14ac:dyDescent="0.35">
      <c r="A8585" s="112" t="s">
        <v>5553</v>
      </c>
      <c r="B8585" s="112" t="s">
        <v>927</v>
      </c>
      <c r="C8585" s="112" t="s">
        <v>1219</v>
      </c>
      <c r="D8585" s="113">
        <v>46307313</v>
      </c>
      <c r="E8585" s="115">
        <v>43938</v>
      </c>
      <c r="F8585" s="114">
        <v>202101</v>
      </c>
      <c r="G8585" s="112" t="s">
        <v>1091</v>
      </c>
      <c r="H8585" s="112" t="s">
        <v>1015</v>
      </c>
      <c r="I8585" s="112" t="s">
        <v>1605</v>
      </c>
      <c r="J8585" s="112" t="s">
        <v>5554</v>
      </c>
      <c r="K8585" s="112" t="s">
        <v>5556</v>
      </c>
      <c r="L8585" s="116">
        <v>10000</v>
      </c>
    </row>
    <row r="8586" spans="1:12" hidden="1" outlineLevel="1" collapsed="1" x14ac:dyDescent="0.35">
      <c r="A8586" s="112" t="s">
        <v>5553</v>
      </c>
      <c r="B8586" s="112" t="s">
        <v>927</v>
      </c>
      <c r="C8586" s="112" t="s">
        <v>1219</v>
      </c>
      <c r="D8586" s="113">
        <v>46307312</v>
      </c>
      <c r="E8586" s="115">
        <v>43938</v>
      </c>
      <c r="F8586" s="114">
        <v>202101</v>
      </c>
      <c r="G8586" s="112" t="s">
        <v>1091</v>
      </c>
      <c r="H8586" s="112" t="s">
        <v>1015</v>
      </c>
      <c r="I8586" s="112" t="s">
        <v>1605</v>
      </c>
      <c r="J8586" s="112" t="s">
        <v>5554</v>
      </c>
      <c r="K8586" s="112" t="s">
        <v>5556</v>
      </c>
      <c r="L8586" s="116">
        <v>10000</v>
      </c>
    </row>
    <row r="8587" spans="1:12" hidden="1" outlineLevel="1" collapsed="1" x14ac:dyDescent="0.35">
      <c r="A8587" s="112" t="s">
        <v>5553</v>
      </c>
      <c r="B8587" s="112" t="s">
        <v>927</v>
      </c>
      <c r="C8587" s="112" t="s">
        <v>1219</v>
      </c>
      <c r="D8587" s="113">
        <v>46307311</v>
      </c>
      <c r="E8587" s="115">
        <v>43938</v>
      </c>
      <c r="F8587" s="114">
        <v>202101</v>
      </c>
      <c r="G8587" s="112" t="s">
        <v>1091</v>
      </c>
      <c r="H8587" s="112" t="s">
        <v>1015</v>
      </c>
      <c r="I8587" s="112" t="s">
        <v>1605</v>
      </c>
      <c r="J8587" s="112" t="s">
        <v>5554</v>
      </c>
      <c r="K8587" s="112" t="s">
        <v>5556</v>
      </c>
      <c r="L8587" s="116">
        <v>10000</v>
      </c>
    </row>
    <row r="8588" spans="1:12" hidden="1" outlineLevel="1" collapsed="1" x14ac:dyDescent="0.35">
      <c r="A8588" s="112" t="s">
        <v>5553</v>
      </c>
      <c r="B8588" s="112" t="s">
        <v>927</v>
      </c>
      <c r="C8588" s="112" t="s">
        <v>1219</v>
      </c>
      <c r="D8588" s="113">
        <v>46307310</v>
      </c>
      <c r="E8588" s="115">
        <v>43938</v>
      </c>
      <c r="F8588" s="114">
        <v>202101</v>
      </c>
      <c r="G8588" s="112" t="s">
        <v>1091</v>
      </c>
      <c r="H8588" s="112" t="s">
        <v>1015</v>
      </c>
      <c r="I8588" s="112" t="s">
        <v>1605</v>
      </c>
      <c r="J8588" s="112" t="s">
        <v>5554</v>
      </c>
      <c r="K8588" s="112" t="s">
        <v>5556</v>
      </c>
      <c r="L8588" s="116">
        <v>10000</v>
      </c>
    </row>
    <row r="8589" spans="1:12" hidden="1" outlineLevel="1" collapsed="1" x14ac:dyDescent="0.35">
      <c r="A8589" s="112" t="s">
        <v>5553</v>
      </c>
      <c r="B8589" s="112" t="s">
        <v>927</v>
      </c>
      <c r="C8589" s="112" t="s">
        <v>1219</v>
      </c>
      <c r="D8589" s="113">
        <v>46307309</v>
      </c>
      <c r="E8589" s="115">
        <v>43938</v>
      </c>
      <c r="F8589" s="114">
        <v>202101</v>
      </c>
      <c r="G8589" s="112" t="s">
        <v>1091</v>
      </c>
      <c r="H8589" s="112" t="s">
        <v>1015</v>
      </c>
      <c r="I8589" s="112" t="s">
        <v>1605</v>
      </c>
      <c r="J8589" s="112" t="s">
        <v>5554</v>
      </c>
      <c r="K8589" s="112" t="s">
        <v>5555</v>
      </c>
      <c r="L8589" s="116">
        <v>10000</v>
      </c>
    </row>
    <row r="8590" spans="1:12" hidden="1" outlineLevel="1" collapsed="1" x14ac:dyDescent="0.35">
      <c r="A8590" s="112" t="s">
        <v>5553</v>
      </c>
      <c r="B8590" s="112" t="s">
        <v>927</v>
      </c>
      <c r="C8590" s="112" t="s">
        <v>1219</v>
      </c>
      <c r="D8590" s="113">
        <v>46307308</v>
      </c>
      <c r="E8590" s="115">
        <v>43938</v>
      </c>
      <c r="F8590" s="114">
        <v>202101</v>
      </c>
      <c r="G8590" s="112" t="s">
        <v>1091</v>
      </c>
      <c r="H8590" s="112" t="s">
        <v>1015</v>
      </c>
      <c r="I8590" s="112" t="s">
        <v>1605</v>
      </c>
      <c r="J8590" s="112" t="s">
        <v>5554</v>
      </c>
      <c r="K8590" s="112" t="s">
        <v>5555</v>
      </c>
      <c r="L8590" s="116">
        <v>25000</v>
      </c>
    </row>
    <row r="8591" spans="1:12" hidden="1" outlineLevel="1" collapsed="1" x14ac:dyDescent="0.35">
      <c r="A8591" s="112" t="s">
        <v>5553</v>
      </c>
      <c r="B8591" s="112" t="s">
        <v>927</v>
      </c>
      <c r="C8591" s="112" t="s">
        <v>1219</v>
      </c>
      <c r="D8591" s="113">
        <v>46307334</v>
      </c>
      <c r="E8591" s="115">
        <v>43938</v>
      </c>
      <c r="F8591" s="114">
        <v>202101</v>
      </c>
      <c r="G8591" s="112" t="s">
        <v>1091</v>
      </c>
      <c r="H8591" s="112" t="s">
        <v>1015</v>
      </c>
      <c r="I8591" s="112" t="s">
        <v>1605</v>
      </c>
      <c r="J8591" s="112" t="s">
        <v>5554</v>
      </c>
      <c r="K8591" s="112" t="s">
        <v>5555</v>
      </c>
      <c r="L8591" s="116">
        <v>25000</v>
      </c>
    </row>
    <row r="8592" spans="1:12" hidden="1" outlineLevel="1" collapsed="1" x14ac:dyDescent="0.35">
      <c r="A8592" s="112" t="s">
        <v>5553</v>
      </c>
      <c r="B8592" s="112" t="s">
        <v>927</v>
      </c>
      <c r="C8592" s="112" t="s">
        <v>1219</v>
      </c>
      <c r="D8592" s="113">
        <v>46307333</v>
      </c>
      <c r="E8592" s="115">
        <v>43938</v>
      </c>
      <c r="F8592" s="114">
        <v>202101</v>
      </c>
      <c r="G8592" s="112" t="s">
        <v>1091</v>
      </c>
      <c r="H8592" s="112" t="s">
        <v>1015</v>
      </c>
      <c r="I8592" s="112" t="s">
        <v>1605</v>
      </c>
      <c r="J8592" s="112" t="s">
        <v>5554</v>
      </c>
      <c r="K8592" s="112" t="s">
        <v>5556</v>
      </c>
      <c r="L8592" s="116">
        <v>10000</v>
      </c>
    </row>
    <row r="8593" spans="1:12" hidden="1" outlineLevel="1" collapsed="1" x14ac:dyDescent="0.35">
      <c r="A8593" s="112" t="s">
        <v>5553</v>
      </c>
      <c r="B8593" s="112" t="s">
        <v>927</v>
      </c>
      <c r="C8593" s="112" t="s">
        <v>1219</v>
      </c>
      <c r="D8593" s="113">
        <v>46307332</v>
      </c>
      <c r="E8593" s="115">
        <v>43938</v>
      </c>
      <c r="F8593" s="114">
        <v>202101</v>
      </c>
      <c r="G8593" s="112" t="s">
        <v>1091</v>
      </c>
      <c r="H8593" s="112" t="s">
        <v>1015</v>
      </c>
      <c r="I8593" s="112" t="s">
        <v>1605</v>
      </c>
      <c r="J8593" s="112" t="s">
        <v>5554</v>
      </c>
      <c r="K8593" s="112" t="s">
        <v>5555</v>
      </c>
      <c r="L8593" s="116">
        <v>25000</v>
      </c>
    </row>
    <row r="8594" spans="1:12" hidden="1" outlineLevel="1" collapsed="1" x14ac:dyDescent="0.35">
      <c r="A8594" s="112" t="s">
        <v>5553</v>
      </c>
      <c r="B8594" s="112" t="s">
        <v>927</v>
      </c>
      <c r="C8594" s="112" t="s">
        <v>1219</v>
      </c>
      <c r="D8594" s="113">
        <v>46307331</v>
      </c>
      <c r="E8594" s="115">
        <v>43938</v>
      </c>
      <c r="F8594" s="114">
        <v>202101</v>
      </c>
      <c r="G8594" s="112" t="s">
        <v>1091</v>
      </c>
      <c r="H8594" s="112" t="s">
        <v>1015</v>
      </c>
      <c r="I8594" s="112" t="s">
        <v>1605</v>
      </c>
      <c r="J8594" s="112" t="s">
        <v>5554</v>
      </c>
      <c r="K8594" s="112" t="s">
        <v>5555</v>
      </c>
      <c r="L8594" s="116">
        <v>25000</v>
      </c>
    </row>
    <row r="8595" spans="1:12" hidden="1" outlineLevel="1" collapsed="1" x14ac:dyDescent="0.35">
      <c r="A8595" s="112" t="s">
        <v>5553</v>
      </c>
      <c r="B8595" s="112" t="s">
        <v>927</v>
      </c>
      <c r="C8595" s="112" t="s">
        <v>1219</v>
      </c>
      <c r="D8595" s="113">
        <v>46307330</v>
      </c>
      <c r="E8595" s="115">
        <v>43938</v>
      </c>
      <c r="F8595" s="114">
        <v>202101</v>
      </c>
      <c r="G8595" s="112" t="s">
        <v>1091</v>
      </c>
      <c r="H8595" s="112" t="s">
        <v>1015</v>
      </c>
      <c r="I8595" s="112" t="s">
        <v>1605</v>
      </c>
      <c r="J8595" s="112" t="s">
        <v>5554</v>
      </c>
      <c r="K8595" s="112" t="s">
        <v>5555</v>
      </c>
      <c r="L8595" s="116">
        <v>25000</v>
      </c>
    </row>
    <row r="8596" spans="1:12" hidden="1" outlineLevel="1" collapsed="1" x14ac:dyDescent="0.35">
      <c r="A8596" s="112" t="s">
        <v>5553</v>
      </c>
      <c r="B8596" s="112" t="s">
        <v>927</v>
      </c>
      <c r="C8596" s="112" t="s">
        <v>1219</v>
      </c>
      <c r="D8596" s="113">
        <v>46307329</v>
      </c>
      <c r="E8596" s="115">
        <v>43938</v>
      </c>
      <c r="F8596" s="114">
        <v>202101</v>
      </c>
      <c r="G8596" s="112" t="s">
        <v>1091</v>
      </c>
      <c r="H8596" s="112" t="s">
        <v>1015</v>
      </c>
      <c r="I8596" s="112" t="s">
        <v>1605</v>
      </c>
      <c r="J8596" s="112" t="s">
        <v>5554</v>
      </c>
      <c r="K8596" s="112" t="s">
        <v>5556</v>
      </c>
      <c r="L8596" s="116">
        <v>10000</v>
      </c>
    </row>
    <row r="8597" spans="1:12" hidden="1" outlineLevel="1" collapsed="1" x14ac:dyDescent="0.35">
      <c r="A8597" s="112" t="s">
        <v>5553</v>
      </c>
      <c r="B8597" s="112" t="s">
        <v>927</v>
      </c>
      <c r="C8597" s="112" t="s">
        <v>1219</v>
      </c>
      <c r="D8597" s="113">
        <v>46307328</v>
      </c>
      <c r="E8597" s="115">
        <v>43938</v>
      </c>
      <c r="F8597" s="114">
        <v>202101</v>
      </c>
      <c r="G8597" s="112" t="s">
        <v>1091</v>
      </c>
      <c r="H8597" s="112" t="s">
        <v>1015</v>
      </c>
      <c r="I8597" s="112" t="s">
        <v>1605</v>
      </c>
      <c r="J8597" s="112" t="s">
        <v>5554</v>
      </c>
      <c r="K8597" s="112" t="s">
        <v>5555</v>
      </c>
      <c r="L8597" s="116">
        <v>25000</v>
      </c>
    </row>
    <row r="8598" spans="1:12" hidden="1" outlineLevel="1" collapsed="1" x14ac:dyDescent="0.35">
      <c r="A8598" s="112" t="s">
        <v>5553</v>
      </c>
      <c r="B8598" s="112" t="s">
        <v>927</v>
      </c>
      <c r="C8598" s="112" t="s">
        <v>1219</v>
      </c>
      <c r="D8598" s="113">
        <v>46307327</v>
      </c>
      <c r="E8598" s="115">
        <v>43938</v>
      </c>
      <c r="F8598" s="114">
        <v>202101</v>
      </c>
      <c r="G8598" s="112" t="s">
        <v>1091</v>
      </c>
      <c r="H8598" s="112" t="s">
        <v>1015</v>
      </c>
      <c r="I8598" s="112" t="s">
        <v>1605</v>
      </c>
      <c r="J8598" s="112" t="s">
        <v>5554</v>
      </c>
      <c r="K8598" s="112" t="s">
        <v>5555</v>
      </c>
      <c r="L8598" s="116">
        <v>25000</v>
      </c>
    </row>
    <row r="8599" spans="1:12" hidden="1" outlineLevel="1" collapsed="1" x14ac:dyDescent="0.35">
      <c r="A8599" s="112" t="s">
        <v>5553</v>
      </c>
      <c r="B8599" s="112" t="s">
        <v>927</v>
      </c>
      <c r="C8599" s="112" t="s">
        <v>1219</v>
      </c>
      <c r="D8599" s="113">
        <v>46307325</v>
      </c>
      <c r="E8599" s="115">
        <v>43938</v>
      </c>
      <c r="F8599" s="114">
        <v>202101</v>
      </c>
      <c r="G8599" s="112" t="s">
        <v>1091</v>
      </c>
      <c r="H8599" s="112" t="s">
        <v>1015</v>
      </c>
      <c r="I8599" s="112" t="s">
        <v>1605</v>
      </c>
      <c r="J8599" s="112" t="s">
        <v>5554</v>
      </c>
      <c r="K8599" s="112" t="s">
        <v>5556</v>
      </c>
      <c r="L8599" s="116">
        <v>10000</v>
      </c>
    </row>
    <row r="8600" spans="1:12" hidden="1" outlineLevel="1" collapsed="1" x14ac:dyDescent="0.35">
      <c r="A8600" s="112" t="s">
        <v>5553</v>
      </c>
      <c r="B8600" s="112" t="s">
        <v>927</v>
      </c>
      <c r="C8600" s="112" t="s">
        <v>1219</v>
      </c>
      <c r="D8600" s="113">
        <v>46307297</v>
      </c>
      <c r="E8600" s="115">
        <v>43938</v>
      </c>
      <c r="F8600" s="114">
        <v>202101</v>
      </c>
      <c r="G8600" s="112" t="s">
        <v>1091</v>
      </c>
      <c r="H8600" s="112" t="s">
        <v>1015</v>
      </c>
      <c r="I8600" s="112" t="s">
        <v>1605</v>
      </c>
      <c r="J8600" s="112" t="s">
        <v>5554</v>
      </c>
      <c r="K8600" s="112" t="s">
        <v>5555</v>
      </c>
      <c r="L8600" s="116">
        <v>10000</v>
      </c>
    </row>
    <row r="8601" spans="1:12" hidden="1" outlineLevel="1" collapsed="1" x14ac:dyDescent="0.35">
      <c r="A8601" s="112" t="s">
        <v>5553</v>
      </c>
      <c r="B8601" s="112" t="s">
        <v>927</v>
      </c>
      <c r="C8601" s="112" t="s">
        <v>1219</v>
      </c>
      <c r="D8601" s="113">
        <v>46307296</v>
      </c>
      <c r="E8601" s="115">
        <v>43938</v>
      </c>
      <c r="F8601" s="114">
        <v>202101</v>
      </c>
      <c r="G8601" s="112" t="s">
        <v>1091</v>
      </c>
      <c r="H8601" s="112" t="s">
        <v>1015</v>
      </c>
      <c r="I8601" s="112" t="s">
        <v>1605</v>
      </c>
      <c r="J8601" s="112" t="s">
        <v>5554</v>
      </c>
      <c r="K8601" s="112" t="s">
        <v>5556</v>
      </c>
      <c r="L8601" s="116">
        <v>10000</v>
      </c>
    </row>
    <row r="8602" spans="1:12" hidden="1" outlineLevel="1" collapsed="1" x14ac:dyDescent="0.35">
      <c r="A8602" s="112" t="s">
        <v>5553</v>
      </c>
      <c r="B8602" s="112" t="s">
        <v>927</v>
      </c>
      <c r="C8602" s="112" t="s">
        <v>1219</v>
      </c>
      <c r="D8602" s="113">
        <v>46307295</v>
      </c>
      <c r="E8602" s="115">
        <v>43938</v>
      </c>
      <c r="F8602" s="114">
        <v>202101</v>
      </c>
      <c r="G8602" s="112" t="s">
        <v>1091</v>
      </c>
      <c r="H8602" s="112" t="s">
        <v>1015</v>
      </c>
      <c r="I8602" s="112" t="s">
        <v>1605</v>
      </c>
      <c r="J8602" s="112" t="s">
        <v>5554</v>
      </c>
      <c r="K8602" s="112" t="s">
        <v>5555</v>
      </c>
      <c r="L8602" s="116">
        <v>25000</v>
      </c>
    </row>
    <row r="8603" spans="1:12" hidden="1" outlineLevel="1" collapsed="1" x14ac:dyDescent="0.35">
      <c r="A8603" s="112" t="s">
        <v>5553</v>
      </c>
      <c r="B8603" s="112" t="s">
        <v>927</v>
      </c>
      <c r="C8603" s="112" t="s">
        <v>1219</v>
      </c>
      <c r="D8603" s="113">
        <v>46307294</v>
      </c>
      <c r="E8603" s="115">
        <v>43938</v>
      </c>
      <c r="F8603" s="114">
        <v>202101</v>
      </c>
      <c r="G8603" s="112" t="s">
        <v>1091</v>
      </c>
      <c r="H8603" s="112" t="s">
        <v>1015</v>
      </c>
      <c r="I8603" s="112" t="s">
        <v>1605</v>
      </c>
      <c r="J8603" s="112" t="s">
        <v>5554</v>
      </c>
      <c r="K8603" s="112" t="s">
        <v>5556</v>
      </c>
      <c r="L8603" s="116">
        <v>10000</v>
      </c>
    </row>
    <row r="8604" spans="1:12" hidden="1" outlineLevel="1" collapsed="1" x14ac:dyDescent="0.35">
      <c r="A8604" s="112" t="s">
        <v>5553</v>
      </c>
      <c r="B8604" s="112" t="s">
        <v>927</v>
      </c>
      <c r="C8604" s="112" t="s">
        <v>1219</v>
      </c>
      <c r="D8604" s="113">
        <v>46307293</v>
      </c>
      <c r="E8604" s="115">
        <v>43938</v>
      </c>
      <c r="F8604" s="114">
        <v>202101</v>
      </c>
      <c r="G8604" s="112" t="s">
        <v>1091</v>
      </c>
      <c r="H8604" s="112" t="s">
        <v>1015</v>
      </c>
      <c r="I8604" s="112" t="s">
        <v>1605</v>
      </c>
      <c r="J8604" s="112" t="s">
        <v>5554</v>
      </c>
      <c r="K8604" s="112" t="s">
        <v>5556</v>
      </c>
      <c r="L8604" s="116">
        <v>10000</v>
      </c>
    </row>
    <row r="8605" spans="1:12" hidden="1" outlineLevel="1" collapsed="1" x14ac:dyDescent="0.35">
      <c r="A8605" s="112" t="s">
        <v>5553</v>
      </c>
      <c r="B8605" s="112" t="s">
        <v>927</v>
      </c>
      <c r="C8605" s="112" t="s">
        <v>1219</v>
      </c>
      <c r="D8605" s="113">
        <v>46307292</v>
      </c>
      <c r="E8605" s="115">
        <v>43938</v>
      </c>
      <c r="F8605" s="114">
        <v>202101</v>
      </c>
      <c r="G8605" s="112" t="s">
        <v>1091</v>
      </c>
      <c r="H8605" s="112" t="s">
        <v>1015</v>
      </c>
      <c r="I8605" s="112" t="s">
        <v>1605</v>
      </c>
      <c r="J8605" s="112" t="s">
        <v>5554</v>
      </c>
      <c r="K8605" s="112" t="s">
        <v>5555</v>
      </c>
      <c r="L8605" s="116">
        <v>25000</v>
      </c>
    </row>
    <row r="8606" spans="1:12" hidden="1" outlineLevel="1" collapsed="1" x14ac:dyDescent="0.35">
      <c r="A8606" s="112" t="s">
        <v>5553</v>
      </c>
      <c r="B8606" s="112" t="s">
        <v>927</v>
      </c>
      <c r="C8606" s="112" t="s">
        <v>1219</v>
      </c>
      <c r="D8606" s="113">
        <v>46307291</v>
      </c>
      <c r="E8606" s="115">
        <v>43938</v>
      </c>
      <c r="F8606" s="114">
        <v>202101</v>
      </c>
      <c r="G8606" s="112" t="s">
        <v>1091</v>
      </c>
      <c r="H8606" s="112" t="s">
        <v>1015</v>
      </c>
      <c r="I8606" s="112" t="s">
        <v>1605</v>
      </c>
      <c r="J8606" s="112" t="s">
        <v>5554</v>
      </c>
      <c r="K8606" s="112" t="s">
        <v>5555</v>
      </c>
      <c r="L8606" s="116">
        <v>10000</v>
      </c>
    </row>
    <row r="8607" spans="1:12" hidden="1" outlineLevel="1" collapsed="1" x14ac:dyDescent="0.35">
      <c r="A8607" s="112" t="s">
        <v>5553</v>
      </c>
      <c r="B8607" s="112" t="s">
        <v>927</v>
      </c>
      <c r="C8607" s="112" t="s">
        <v>1219</v>
      </c>
      <c r="D8607" s="113">
        <v>46307290</v>
      </c>
      <c r="E8607" s="115">
        <v>43938</v>
      </c>
      <c r="F8607" s="114">
        <v>202101</v>
      </c>
      <c r="G8607" s="112" t="s">
        <v>1091</v>
      </c>
      <c r="H8607" s="112" t="s">
        <v>1015</v>
      </c>
      <c r="I8607" s="112" t="s">
        <v>1605</v>
      </c>
      <c r="J8607" s="112" t="s">
        <v>5554</v>
      </c>
      <c r="K8607" s="112" t="s">
        <v>5556</v>
      </c>
      <c r="L8607" s="116">
        <v>10000</v>
      </c>
    </row>
    <row r="8608" spans="1:12" hidden="1" outlineLevel="1" collapsed="1" x14ac:dyDescent="0.35">
      <c r="A8608" s="112" t="s">
        <v>5553</v>
      </c>
      <c r="B8608" s="112" t="s">
        <v>927</v>
      </c>
      <c r="C8608" s="112" t="s">
        <v>1219</v>
      </c>
      <c r="D8608" s="113">
        <v>46308054</v>
      </c>
      <c r="E8608" s="115">
        <v>43950</v>
      </c>
      <c r="F8608" s="114">
        <v>202101</v>
      </c>
      <c r="G8608" s="112" t="s">
        <v>1091</v>
      </c>
      <c r="H8608" s="112" t="s">
        <v>1015</v>
      </c>
      <c r="I8608" s="112" t="s">
        <v>1605</v>
      </c>
      <c r="J8608" s="112" t="s">
        <v>5554</v>
      </c>
      <c r="K8608" s="112" t="s">
        <v>5555</v>
      </c>
      <c r="L8608" s="116">
        <v>25000</v>
      </c>
    </row>
    <row r="8609" spans="1:12" hidden="1" outlineLevel="1" collapsed="1" x14ac:dyDescent="0.35">
      <c r="A8609" s="112" t="s">
        <v>5553</v>
      </c>
      <c r="B8609" s="112" t="s">
        <v>927</v>
      </c>
      <c r="C8609" s="112" t="s">
        <v>1219</v>
      </c>
      <c r="D8609" s="113">
        <v>46308091</v>
      </c>
      <c r="E8609" s="115">
        <v>43950</v>
      </c>
      <c r="F8609" s="114">
        <v>202101</v>
      </c>
      <c r="G8609" s="112" t="s">
        <v>1091</v>
      </c>
      <c r="H8609" s="112" t="s">
        <v>1015</v>
      </c>
      <c r="I8609" s="112" t="s">
        <v>1605</v>
      </c>
      <c r="J8609" s="112" t="s">
        <v>5554</v>
      </c>
      <c r="K8609" s="112" t="s">
        <v>5556</v>
      </c>
      <c r="L8609" s="116">
        <v>10000</v>
      </c>
    </row>
    <row r="8610" spans="1:12" hidden="1" outlineLevel="1" collapsed="1" x14ac:dyDescent="0.35">
      <c r="A8610" s="112" t="s">
        <v>5553</v>
      </c>
      <c r="B8610" s="112" t="s">
        <v>927</v>
      </c>
      <c r="C8610" s="112" t="s">
        <v>1219</v>
      </c>
      <c r="D8610" s="113">
        <v>46307244</v>
      </c>
      <c r="E8610" s="115">
        <v>43938</v>
      </c>
      <c r="F8610" s="114">
        <v>202101</v>
      </c>
      <c r="G8610" s="112" t="s">
        <v>1091</v>
      </c>
      <c r="H8610" s="112" t="s">
        <v>1015</v>
      </c>
      <c r="I8610" s="112" t="s">
        <v>1605</v>
      </c>
      <c r="J8610" s="112" t="s">
        <v>5554</v>
      </c>
      <c r="K8610" s="112" t="s">
        <v>5555</v>
      </c>
      <c r="L8610" s="116">
        <v>25000</v>
      </c>
    </row>
    <row r="8611" spans="1:12" hidden="1" outlineLevel="1" collapsed="1" x14ac:dyDescent="0.35">
      <c r="A8611" s="112" t="s">
        <v>5553</v>
      </c>
      <c r="B8611" s="112" t="s">
        <v>927</v>
      </c>
      <c r="C8611" s="112" t="s">
        <v>1219</v>
      </c>
      <c r="D8611" s="113">
        <v>46306847</v>
      </c>
      <c r="E8611" s="115">
        <v>43927</v>
      </c>
      <c r="F8611" s="114">
        <v>202101</v>
      </c>
      <c r="G8611" s="112" t="s">
        <v>1091</v>
      </c>
      <c r="H8611" s="112" t="s">
        <v>1015</v>
      </c>
      <c r="I8611" s="112" t="s">
        <v>1605</v>
      </c>
      <c r="J8611" s="112" t="s">
        <v>5554</v>
      </c>
      <c r="K8611" s="112" t="s">
        <v>5580</v>
      </c>
      <c r="L8611" s="116">
        <v>25000</v>
      </c>
    </row>
    <row r="8612" spans="1:12" hidden="1" outlineLevel="1" collapsed="1" x14ac:dyDescent="0.35">
      <c r="A8612" s="112" t="s">
        <v>5553</v>
      </c>
      <c r="B8612" s="112" t="s">
        <v>926</v>
      </c>
      <c r="C8612" s="112" t="s">
        <v>1095</v>
      </c>
      <c r="D8612" s="113">
        <v>10348451</v>
      </c>
      <c r="E8612" s="115">
        <v>43949</v>
      </c>
      <c r="F8612" s="114">
        <v>202101</v>
      </c>
      <c r="G8612" s="112" t="s">
        <v>1091</v>
      </c>
      <c r="H8612" s="112" t="s">
        <v>1015</v>
      </c>
      <c r="I8612" s="112" t="s">
        <v>1101</v>
      </c>
      <c r="J8612" s="112" t="s">
        <v>5591</v>
      </c>
      <c r="K8612" s="112" t="s">
        <v>1098</v>
      </c>
      <c r="L8612" s="116">
        <v>366.04</v>
      </c>
    </row>
    <row r="8613" spans="1:12" hidden="1" outlineLevel="1" collapsed="1" x14ac:dyDescent="0.35">
      <c r="A8613" s="112" t="s">
        <v>5553</v>
      </c>
      <c r="B8613" s="112" t="s">
        <v>927</v>
      </c>
      <c r="C8613" s="112" t="s">
        <v>1219</v>
      </c>
      <c r="D8613" s="113">
        <v>46307616</v>
      </c>
      <c r="E8613" s="115">
        <v>43943</v>
      </c>
      <c r="F8613" s="114">
        <v>202101</v>
      </c>
      <c r="G8613" s="112" t="s">
        <v>1091</v>
      </c>
      <c r="H8613" s="112" t="s">
        <v>1015</v>
      </c>
      <c r="I8613" s="112" t="s">
        <v>1605</v>
      </c>
      <c r="J8613" s="112" t="s">
        <v>5554</v>
      </c>
      <c r="K8613" s="112" t="s">
        <v>5555</v>
      </c>
      <c r="L8613" s="116">
        <v>25000</v>
      </c>
    </row>
    <row r="8614" spans="1:12" hidden="1" outlineLevel="1" collapsed="1" x14ac:dyDescent="0.35">
      <c r="A8614" s="112" t="s">
        <v>5553</v>
      </c>
      <c r="B8614" s="112" t="s">
        <v>927</v>
      </c>
      <c r="C8614" s="112" t="s">
        <v>1219</v>
      </c>
      <c r="D8614" s="113">
        <v>46307607</v>
      </c>
      <c r="E8614" s="115">
        <v>43943</v>
      </c>
      <c r="F8614" s="114">
        <v>202101</v>
      </c>
      <c r="G8614" s="112" t="s">
        <v>1091</v>
      </c>
      <c r="H8614" s="112" t="s">
        <v>1015</v>
      </c>
      <c r="I8614" s="112" t="s">
        <v>1605</v>
      </c>
      <c r="J8614" s="112" t="s">
        <v>5554</v>
      </c>
      <c r="K8614" s="112" t="s">
        <v>5555</v>
      </c>
      <c r="L8614" s="116">
        <v>25000</v>
      </c>
    </row>
    <row r="8615" spans="1:12" hidden="1" outlineLevel="1" collapsed="1" x14ac:dyDescent="0.35">
      <c r="A8615" s="112" t="s">
        <v>5553</v>
      </c>
      <c r="B8615" s="112" t="s">
        <v>927</v>
      </c>
      <c r="C8615" s="112" t="s">
        <v>1219</v>
      </c>
      <c r="D8615" s="113">
        <v>46307195</v>
      </c>
      <c r="E8615" s="115">
        <v>43937</v>
      </c>
      <c r="F8615" s="114">
        <v>202101</v>
      </c>
      <c r="G8615" s="112" t="s">
        <v>1091</v>
      </c>
      <c r="H8615" s="112" t="s">
        <v>1015</v>
      </c>
      <c r="I8615" s="112" t="s">
        <v>1605</v>
      </c>
      <c r="J8615" s="112" t="s">
        <v>5554</v>
      </c>
      <c r="K8615" s="112" t="s">
        <v>5555</v>
      </c>
      <c r="L8615" s="116">
        <v>25000</v>
      </c>
    </row>
    <row r="8616" spans="1:12" hidden="1" outlineLevel="1" collapsed="1" x14ac:dyDescent="0.35">
      <c r="A8616" s="112" t="s">
        <v>5553</v>
      </c>
      <c r="B8616" s="112" t="s">
        <v>924</v>
      </c>
      <c r="C8616" s="112" t="s">
        <v>1099</v>
      </c>
      <c r="D8616" s="113">
        <v>1069639</v>
      </c>
      <c r="E8616" s="115">
        <v>43938</v>
      </c>
      <c r="F8616" s="114">
        <v>202101</v>
      </c>
      <c r="G8616" s="112" t="s">
        <v>1091</v>
      </c>
      <c r="H8616" s="112" t="s">
        <v>1015</v>
      </c>
      <c r="I8616" s="112" t="s">
        <v>763</v>
      </c>
      <c r="J8616" s="112" t="s">
        <v>5558</v>
      </c>
      <c r="K8616" s="112" t="s">
        <v>5662</v>
      </c>
      <c r="L8616" s="116">
        <v>172.86</v>
      </c>
    </row>
    <row r="8617" spans="1:12" hidden="1" outlineLevel="1" collapsed="1" x14ac:dyDescent="0.35">
      <c r="A8617" s="112" t="s">
        <v>5553</v>
      </c>
      <c r="B8617" s="112" t="s">
        <v>927</v>
      </c>
      <c r="C8617" s="112" t="s">
        <v>1219</v>
      </c>
      <c r="D8617" s="113">
        <v>46307196</v>
      </c>
      <c r="E8617" s="115">
        <v>43937</v>
      </c>
      <c r="F8617" s="114">
        <v>202101</v>
      </c>
      <c r="G8617" s="112" t="s">
        <v>1091</v>
      </c>
      <c r="H8617" s="112" t="s">
        <v>1015</v>
      </c>
      <c r="I8617" s="112" t="s">
        <v>1605</v>
      </c>
      <c r="J8617" s="112" t="s">
        <v>5554</v>
      </c>
      <c r="K8617" s="112" t="s">
        <v>5555</v>
      </c>
      <c r="L8617" s="116">
        <v>10000</v>
      </c>
    </row>
    <row r="8618" spans="1:12" hidden="1" outlineLevel="1" collapsed="1" x14ac:dyDescent="0.35">
      <c r="A8618" s="112" t="s">
        <v>5553</v>
      </c>
      <c r="B8618" s="112" t="s">
        <v>926</v>
      </c>
      <c r="C8618" s="112" t="s">
        <v>203</v>
      </c>
      <c r="D8618" s="113">
        <v>10348453</v>
      </c>
      <c r="E8618" s="115">
        <v>43948</v>
      </c>
      <c r="F8618" s="114">
        <v>202101</v>
      </c>
      <c r="G8618" s="112" t="s">
        <v>1091</v>
      </c>
      <c r="H8618" s="112" t="s">
        <v>1015</v>
      </c>
      <c r="I8618" s="112" t="s">
        <v>1479</v>
      </c>
      <c r="J8618" s="112" t="s">
        <v>5591</v>
      </c>
      <c r="K8618" s="112" t="s">
        <v>1098</v>
      </c>
      <c r="L8618" s="116">
        <v>-750.96</v>
      </c>
    </row>
    <row r="8619" spans="1:12" hidden="1" outlineLevel="1" collapsed="1" x14ac:dyDescent="0.35">
      <c r="A8619" s="112" t="s">
        <v>5553</v>
      </c>
      <c r="B8619" s="112" t="s">
        <v>927</v>
      </c>
      <c r="C8619" s="112" t="s">
        <v>1219</v>
      </c>
      <c r="D8619" s="113">
        <v>46307197</v>
      </c>
      <c r="E8619" s="115">
        <v>43937</v>
      </c>
      <c r="F8619" s="114">
        <v>202101</v>
      </c>
      <c r="G8619" s="112" t="s">
        <v>1091</v>
      </c>
      <c r="H8619" s="112" t="s">
        <v>1015</v>
      </c>
      <c r="I8619" s="112" t="s">
        <v>1605</v>
      </c>
      <c r="J8619" s="112" t="s">
        <v>5554</v>
      </c>
      <c r="K8619" s="112" t="s">
        <v>5556</v>
      </c>
      <c r="L8619" s="116">
        <v>10000</v>
      </c>
    </row>
    <row r="8620" spans="1:12" hidden="1" outlineLevel="1" collapsed="1" x14ac:dyDescent="0.35">
      <c r="A8620" s="112" t="s">
        <v>5553</v>
      </c>
      <c r="B8620" s="112" t="s">
        <v>927</v>
      </c>
      <c r="C8620" s="112" t="s">
        <v>1219</v>
      </c>
      <c r="D8620" s="113">
        <v>46307214</v>
      </c>
      <c r="E8620" s="115">
        <v>43937</v>
      </c>
      <c r="F8620" s="114">
        <v>202101</v>
      </c>
      <c r="G8620" s="112" t="s">
        <v>1091</v>
      </c>
      <c r="H8620" s="112" t="s">
        <v>1015</v>
      </c>
      <c r="I8620" s="112" t="s">
        <v>1605</v>
      </c>
      <c r="J8620" s="112" t="s">
        <v>5554</v>
      </c>
      <c r="K8620" s="112" t="s">
        <v>5556</v>
      </c>
      <c r="L8620" s="116">
        <v>10000</v>
      </c>
    </row>
    <row r="8621" spans="1:12" hidden="1" outlineLevel="1" collapsed="1" x14ac:dyDescent="0.35">
      <c r="A8621" s="112" t="s">
        <v>5553</v>
      </c>
      <c r="B8621" s="112" t="s">
        <v>927</v>
      </c>
      <c r="C8621" s="112" t="s">
        <v>1219</v>
      </c>
      <c r="D8621" s="113">
        <v>46307198</v>
      </c>
      <c r="E8621" s="115">
        <v>43937</v>
      </c>
      <c r="F8621" s="114">
        <v>202101</v>
      </c>
      <c r="G8621" s="112" t="s">
        <v>1091</v>
      </c>
      <c r="H8621" s="112" t="s">
        <v>1015</v>
      </c>
      <c r="I8621" s="112" t="s">
        <v>1605</v>
      </c>
      <c r="J8621" s="112" t="s">
        <v>5554</v>
      </c>
      <c r="K8621" s="112" t="s">
        <v>5556</v>
      </c>
      <c r="L8621" s="116">
        <v>10000</v>
      </c>
    </row>
    <row r="8622" spans="1:12" hidden="1" outlineLevel="1" collapsed="1" x14ac:dyDescent="0.35">
      <c r="A8622" s="112" t="s">
        <v>5553</v>
      </c>
      <c r="B8622" s="112" t="s">
        <v>927</v>
      </c>
      <c r="C8622" s="112" t="s">
        <v>1219</v>
      </c>
      <c r="D8622" s="113">
        <v>46307199</v>
      </c>
      <c r="E8622" s="115">
        <v>43937</v>
      </c>
      <c r="F8622" s="114">
        <v>202101</v>
      </c>
      <c r="G8622" s="112" t="s">
        <v>1091</v>
      </c>
      <c r="H8622" s="112" t="s">
        <v>1015</v>
      </c>
      <c r="I8622" s="112" t="s">
        <v>1605</v>
      </c>
      <c r="J8622" s="112" t="s">
        <v>5554</v>
      </c>
      <c r="K8622" s="112" t="s">
        <v>5555</v>
      </c>
      <c r="L8622" s="116">
        <v>25000</v>
      </c>
    </row>
    <row r="8623" spans="1:12" hidden="1" outlineLevel="1" collapsed="1" x14ac:dyDescent="0.35">
      <c r="A8623" s="112" t="s">
        <v>5553</v>
      </c>
      <c r="B8623" s="112" t="s">
        <v>927</v>
      </c>
      <c r="C8623" s="112" t="s">
        <v>1219</v>
      </c>
      <c r="D8623" s="113">
        <v>46307200</v>
      </c>
      <c r="E8623" s="115">
        <v>43937</v>
      </c>
      <c r="F8623" s="114">
        <v>202101</v>
      </c>
      <c r="G8623" s="112" t="s">
        <v>1091</v>
      </c>
      <c r="H8623" s="112" t="s">
        <v>1015</v>
      </c>
      <c r="I8623" s="112" t="s">
        <v>1605</v>
      </c>
      <c r="J8623" s="112" t="s">
        <v>5554</v>
      </c>
      <c r="K8623" s="112" t="s">
        <v>5556</v>
      </c>
      <c r="L8623" s="116">
        <v>10000</v>
      </c>
    </row>
    <row r="8624" spans="1:12" hidden="1" outlineLevel="1" collapsed="1" x14ac:dyDescent="0.35">
      <c r="A8624" s="112" t="s">
        <v>5553</v>
      </c>
      <c r="B8624" s="112" t="s">
        <v>927</v>
      </c>
      <c r="C8624" s="112" t="s">
        <v>1219</v>
      </c>
      <c r="D8624" s="113">
        <v>46307213</v>
      </c>
      <c r="E8624" s="115">
        <v>43937</v>
      </c>
      <c r="F8624" s="114">
        <v>202101</v>
      </c>
      <c r="G8624" s="112" t="s">
        <v>1091</v>
      </c>
      <c r="H8624" s="112" t="s">
        <v>1015</v>
      </c>
      <c r="I8624" s="112" t="s">
        <v>1605</v>
      </c>
      <c r="J8624" s="112" t="s">
        <v>5554</v>
      </c>
      <c r="K8624" s="112" t="s">
        <v>5556</v>
      </c>
      <c r="L8624" s="116">
        <v>10000</v>
      </c>
    </row>
    <row r="8625" spans="1:12" hidden="1" outlineLevel="1" collapsed="1" x14ac:dyDescent="0.35">
      <c r="A8625" s="112" t="s">
        <v>5553</v>
      </c>
      <c r="B8625" s="112" t="s">
        <v>927</v>
      </c>
      <c r="C8625" s="112" t="s">
        <v>1219</v>
      </c>
      <c r="D8625" s="113">
        <v>46307201</v>
      </c>
      <c r="E8625" s="115">
        <v>43937</v>
      </c>
      <c r="F8625" s="114">
        <v>202101</v>
      </c>
      <c r="G8625" s="112" t="s">
        <v>1091</v>
      </c>
      <c r="H8625" s="112" t="s">
        <v>1015</v>
      </c>
      <c r="I8625" s="112" t="s">
        <v>1605</v>
      </c>
      <c r="J8625" s="112" t="s">
        <v>5554</v>
      </c>
      <c r="K8625" s="112" t="s">
        <v>5556</v>
      </c>
      <c r="L8625" s="116">
        <v>10000</v>
      </c>
    </row>
    <row r="8626" spans="1:12" hidden="1" outlineLevel="1" collapsed="1" x14ac:dyDescent="0.35">
      <c r="A8626" s="112" t="s">
        <v>5553</v>
      </c>
      <c r="B8626" s="112" t="s">
        <v>927</v>
      </c>
      <c r="C8626" s="112" t="s">
        <v>1219</v>
      </c>
      <c r="D8626" s="113">
        <v>46307202</v>
      </c>
      <c r="E8626" s="115">
        <v>43937</v>
      </c>
      <c r="F8626" s="114">
        <v>202101</v>
      </c>
      <c r="G8626" s="112" t="s">
        <v>1091</v>
      </c>
      <c r="H8626" s="112" t="s">
        <v>1015</v>
      </c>
      <c r="I8626" s="112" t="s">
        <v>1605</v>
      </c>
      <c r="J8626" s="112" t="s">
        <v>5554</v>
      </c>
      <c r="K8626" s="112" t="s">
        <v>5556</v>
      </c>
      <c r="L8626" s="116">
        <v>10000</v>
      </c>
    </row>
    <row r="8627" spans="1:12" hidden="1" outlineLevel="1" collapsed="1" x14ac:dyDescent="0.35">
      <c r="A8627" s="112" t="s">
        <v>5553</v>
      </c>
      <c r="B8627" s="112" t="s">
        <v>927</v>
      </c>
      <c r="C8627" s="112" t="s">
        <v>1219</v>
      </c>
      <c r="D8627" s="113">
        <v>46307203</v>
      </c>
      <c r="E8627" s="115">
        <v>43937</v>
      </c>
      <c r="F8627" s="114">
        <v>202101</v>
      </c>
      <c r="G8627" s="112" t="s">
        <v>1091</v>
      </c>
      <c r="H8627" s="112" t="s">
        <v>1015</v>
      </c>
      <c r="I8627" s="112" t="s">
        <v>1605</v>
      </c>
      <c r="J8627" s="112" t="s">
        <v>5554</v>
      </c>
      <c r="K8627" s="112" t="s">
        <v>5555</v>
      </c>
      <c r="L8627" s="116">
        <v>25000</v>
      </c>
    </row>
    <row r="8628" spans="1:12" hidden="1" outlineLevel="1" collapsed="1" x14ac:dyDescent="0.35">
      <c r="A8628" s="112" t="s">
        <v>5553</v>
      </c>
      <c r="B8628" s="112" t="s">
        <v>927</v>
      </c>
      <c r="C8628" s="112" t="s">
        <v>1219</v>
      </c>
      <c r="D8628" s="113">
        <v>46307204</v>
      </c>
      <c r="E8628" s="115">
        <v>43937</v>
      </c>
      <c r="F8628" s="114">
        <v>202101</v>
      </c>
      <c r="G8628" s="112" t="s">
        <v>1091</v>
      </c>
      <c r="H8628" s="112" t="s">
        <v>1015</v>
      </c>
      <c r="I8628" s="112" t="s">
        <v>1605</v>
      </c>
      <c r="J8628" s="112" t="s">
        <v>5554</v>
      </c>
      <c r="K8628" s="112" t="s">
        <v>5555</v>
      </c>
      <c r="L8628" s="116">
        <v>25000</v>
      </c>
    </row>
    <row r="8629" spans="1:12" hidden="1" outlineLevel="1" collapsed="1" x14ac:dyDescent="0.35">
      <c r="A8629" s="112" t="s">
        <v>5553</v>
      </c>
      <c r="B8629" s="112" t="s">
        <v>927</v>
      </c>
      <c r="C8629" s="112" t="s">
        <v>1219</v>
      </c>
      <c r="D8629" s="113">
        <v>46307205</v>
      </c>
      <c r="E8629" s="115">
        <v>43937</v>
      </c>
      <c r="F8629" s="114">
        <v>202101</v>
      </c>
      <c r="G8629" s="112" t="s">
        <v>1091</v>
      </c>
      <c r="H8629" s="112" t="s">
        <v>1015</v>
      </c>
      <c r="I8629" s="112" t="s">
        <v>1605</v>
      </c>
      <c r="J8629" s="112" t="s">
        <v>5554</v>
      </c>
      <c r="K8629" s="112" t="s">
        <v>5556</v>
      </c>
      <c r="L8629" s="116">
        <v>10000</v>
      </c>
    </row>
    <row r="8630" spans="1:12" hidden="1" outlineLevel="1" collapsed="1" x14ac:dyDescent="0.35">
      <c r="A8630" s="112" t="s">
        <v>5553</v>
      </c>
      <c r="B8630" s="112" t="s">
        <v>927</v>
      </c>
      <c r="C8630" s="112" t="s">
        <v>1219</v>
      </c>
      <c r="D8630" s="113">
        <v>46306845</v>
      </c>
      <c r="E8630" s="115">
        <v>43927</v>
      </c>
      <c r="F8630" s="114">
        <v>202101</v>
      </c>
      <c r="G8630" s="112" t="s">
        <v>1091</v>
      </c>
      <c r="H8630" s="112" t="s">
        <v>1015</v>
      </c>
      <c r="I8630" s="112" t="s">
        <v>1605</v>
      </c>
      <c r="J8630" s="112" t="s">
        <v>5554</v>
      </c>
      <c r="K8630" s="112" t="s">
        <v>5580</v>
      </c>
      <c r="L8630" s="116">
        <v>25000</v>
      </c>
    </row>
    <row r="8631" spans="1:12" hidden="1" outlineLevel="1" collapsed="1" x14ac:dyDescent="0.35">
      <c r="A8631" s="112" t="s">
        <v>5553</v>
      </c>
      <c r="B8631" s="112" t="s">
        <v>927</v>
      </c>
      <c r="C8631" s="112" t="s">
        <v>1219</v>
      </c>
      <c r="D8631" s="113">
        <v>46307617</v>
      </c>
      <c r="E8631" s="115">
        <v>43943</v>
      </c>
      <c r="F8631" s="114">
        <v>202101</v>
      </c>
      <c r="G8631" s="112" t="s">
        <v>1091</v>
      </c>
      <c r="H8631" s="112" t="s">
        <v>1015</v>
      </c>
      <c r="I8631" s="112" t="s">
        <v>1605</v>
      </c>
      <c r="J8631" s="112" t="s">
        <v>5554</v>
      </c>
      <c r="K8631" s="112" t="s">
        <v>5556</v>
      </c>
      <c r="L8631" s="116">
        <v>10000</v>
      </c>
    </row>
    <row r="8632" spans="1:12" hidden="1" outlineLevel="1" collapsed="1" x14ac:dyDescent="0.35">
      <c r="A8632" s="112" t="s">
        <v>5553</v>
      </c>
      <c r="B8632" s="112" t="s">
        <v>927</v>
      </c>
      <c r="C8632" s="112" t="s">
        <v>1219</v>
      </c>
      <c r="D8632" s="113">
        <v>46307206</v>
      </c>
      <c r="E8632" s="115">
        <v>43937</v>
      </c>
      <c r="F8632" s="114">
        <v>202101</v>
      </c>
      <c r="G8632" s="112" t="s">
        <v>1091</v>
      </c>
      <c r="H8632" s="112" t="s">
        <v>1015</v>
      </c>
      <c r="I8632" s="112" t="s">
        <v>1605</v>
      </c>
      <c r="J8632" s="112" t="s">
        <v>5554</v>
      </c>
      <c r="K8632" s="112" t="s">
        <v>5555</v>
      </c>
      <c r="L8632" s="116">
        <v>25000</v>
      </c>
    </row>
    <row r="8633" spans="1:12" hidden="1" outlineLevel="1" collapsed="1" x14ac:dyDescent="0.35">
      <c r="A8633" s="112" t="s">
        <v>5553</v>
      </c>
      <c r="B8633" s="112" t="s">
        <v>927</v>
      </c>
      <c r="C8633" s="112" t="s">
        <v>1219</v>
      </c>
      <c r="D8633" s="113">
        <v>46307207</v>
      </c>
      <c r="E8633" s="115">
        <v>43937</v>
      </c>
      <c r="F8633" s="114">
        <v>202101</v>
      </c>
      <c r="G8633" s="112" t="s">
        <v>1091</v>
      </c>
      <c r="H8633" s="112" t="s">
        <v>1015</v>
      </c>
      <c r="I8633" s="112" t="s">
        <v>1605</v>
      </c>
      <c r="J8633" s="112" t="s">
        <v>5554</v>
      </c>
      <c r="K8633" s="112" t="s">
        <v>5555</v>
      </c>
      <c r="L8633" s="116">
        <v>25000</v>
      </c>
    </row>
    <row r="8634" spans="1:12" hidden="1" outlineLevel="1" collapsed="1" x14ac:dyDescent="0.35">
      <c r="A8634" s="112" t="s">
        <v>5553</v>
      </c>
      <c r="B8634" s="112" t="s">
        <v>924</v>
      </c>
      <c r="C8634" s="112" t="s">
        <v>1095</v>
      </c>
      <c r="D8634" s="113">
        <v>10348451</v>
      </c>
      <c r="E8634" s="115">
        <v>43949</v>
      </c>
      <c r="F8634" s="114">
        <v>202101</v>
      </c>
      <c r="G8634" s="112" t="s">
        <v>1091</v>
      </c>
      <c r="H8634" s="112" t="s">
        <v>1015</v>
      </c>
      <c r="I8634" s="112" t="s">
        <v>1128</v>
      </c>
      <c r="J8634" s="112" t="s">
        <v>5558</v>
      </c>
      <c r="K8634" s="112" t="s">
        <v>1098</v>
      </c>
      <c r="L8634" s="116">
        <v>70</v>
      </c>
    </row>
    <row r="8635" spans="1:12" hidden="1" outlineLevel="1" collapsed="1" x14ac:dyDescent="0.35">
      <c r="A8635" s="112" t="s">
        <v>5553</v>
      </c>
      <c r="B8635" s="112" t="s">
        <v>927</v>
      </c>
      <c r="C8635" s="112" t="s">
        <v>1219</v>
      </c>
      <c r="D8635" s="113">
        <v>46306846</v>
      </c>
      <c r="E8635" s="115">
        <v>43927</v>
      </c>
      <c r="F8635" s="114">
        <v>202101</v>
      </c>
      <c r="G8635" s="112" t="s">
        <v>1091</v>
      </c>
      <c r="H8635" s="112" t="s">
        <v>1015</v>
      </c>
      <c r="I8635" s="112" t="s">
        <v>1605</v>
      </c>
      <c r="J8635" s="112" t="s">
        <v>5554</v>
      </c>
      <c r="K8635" s="112" t="s">
        <v>5580</v>
      </c>
      <c r="L8635" s="116">
        <v>25000</v>
      </c>
    </row>
    <row r="8636" spans="1:12" hidden="1" outlineLevel="1" collapsed="1" x14ac:dyDescent="0.35">
      <c r="A8636" s="112" t="s">
        <v>5553</v>
      </c>
      <c r="B8636" s="112" t="s">
        <v>927</v>
      </c>
      <c r="C8636" s="112" t="s">
        <v>1219</v>
      </c>
      <c r="D8636" s="113">
        <v>46307615</v>
      </c>
      <c r="E8636" s="115">
        <v>43943</v>
      </c>
      <c r="F8636" s="114">
        <v>202101</v>
      </c>
      <c r="G8636" s="112" t="s">
        <v>1091</v>
      </c>
      <c r="H8636" s="112" t="s">
        <v>1015</v>
      </c>
      <c r="I8636" s="112" t="s">
        <v>1605</v>
      </c>
      <c r="J8636" s="112" t="s">
        <v>5554</v>
      </c>
      <c r="K8636" s="112" t="s">
        <v>5556</v>
      </c>
      <c r="L8636" s="116">
        <v>10000</v>
      </c>
    </row>
    <row r="8637" spans="1:12" hidden="1" outlineLevel="1" collapsed="1" x14ac:dyDescent="0.35">
      <c r="A8637" s="112" t="s">
        <v>5553</v>
      </c>
      <c r="B8637" s="112" t="s">
        <v>927</v>
      </c>
      <c r="C8637" s="112" t="s">
        <v>1219</v>
      </c>
      <c r="D8637" s="113">
        <v>46306848</v>
      </c>
      <c r="E8637" s="115">
        <v>43927</v>
      </c>
      <c r="F8637" s="114">
        <v>202101</v>
      </c>
      <c r="G8637" s="112" t="s">
        <v>1091</v>
      </c>
      <c r="H8637" s="112" t="s">
        <v>1015</v>
      </c>
      <c r="I8637" s="112" t="s">
        <v>1605</v>
      </c>
      <c r="J8637" s="112" t="s">
        <v>5554</v>
      </c>
      <c r="K8637" s="112" t="s">
        <v>5580</v>
      </c>
      <c r="L8637" s="116">
        <v>25000</v>
      </c>
    </row>
    <row r="8638" spans="1:12" hidden="1" outlineLevel="1" collapsed="1" x14ac:dyDescent="0.35">
      <c r="A8638" s="112" t="s">
        <v>5553</v>
      </c>
      <c r="B8638" s="112" t="s">
        <v>927</v>
      </c>
      <c r="C8638" s="112" t="s">
        <v>1219</v>
      </c>
      <c r="D8638" s="113">
        <v>46306849</v>
      </c>
      <c r="E8638" s="115">
        <v>43927</v>
      </c>
      <c r="F8638" s="114">
        <v>202101</v>
      </c>
      <c r="G8638" s="112" t="s">
        <v>1091</v>
      </c>
      <c r="H8638" s="112" t="s">
        <v>1015</v>
      </c>
      <c r="I8638" s="112" t="s">
        <v>1605</v>
      </c>
      <c r="J8638" s="112" t="s">
        <v>5554</v>
      </c>
      <c r="K8638" s="112" t="s">
        <v>5580</v>
      </c>
      <c r="L8638" s="116">
        <v>25000</v>
      </c>
    </row>
    <row r="8639" spans="1:12" hidden="1" outlineLevel="1" collapsed="1" x14ac:dyDescent="0.35">
      <c r="A8639" s="112" t="s">
        <v>5553</v>
      </c>
      <c r="B8639" s="112" t="s">
        <v>927</v>
      </c>
      <c r="C8639" s="112" t="s">
        <v>1219</v>
      </c>
      <c r="D8639" s="113">
        <v>46307044</v>
      </c>
      <c r="E8639" s="115">
        <v>43935</v>
      </c>
      <c r="F8639" s="114">
        <v>202101</v>
      </c>
      <c r="G8639" s="112" t="s">
        <v>1091</v>
      </c>
      <c r="H8639" s="112" t="s">
        <v>1015</v>
      </c>
      <c r="I8639" s="112" t="s">
        <v>1605</v>
      </c>
      <c r="J8639" s="112" t="s">
        <v>5554</v>
      </c>
      <c r="K8639" s="112" t="s">
        <v>5555</v>
      </c>
      <c r="L8639" s="116">
        <v>25000</v>
      </c>
    </row>
    <row r="8640" spans="1:12" hidden="1" outlineLevel="1" collapsed="1" x14ac:dyDescent="0.35">
      <c r="A8640" s="112" t="s">
        <v>5553</v>
      </c>
      <c r="B8640" s="112" t="s">
        <v>924</v>
      </c>
      <c r="C8640" s="112" t="s">
        <v>1095</v>
      </c>
      <c r="D8640" s="113">
        <v>10348451</v>
      </c>
      <c r="E8640" s="115">
        <v>43949</v>
      </c>
      <c r="F8640" s="114">
        <v>202101</v>
      </c>
      <c r="G8640" s="112" t="s">
        <v>1091</v>
      </c>
      <c r="H8640" s="112" t="s">
        <v>1015</v>
      </c>
      <c r="I8640" s="112" t="s">
        <v>1101</v>
      </c>
      <c r="J8640" s="112" t="s">
        <v>5558</v>
      </c>
      <c r="K8640" s="112" t="s">
        <v>1098</v>
      </c>
      <c r="L8640" s="116">
        <v>602.15</v>
      </c>
    </row>
    <row r="8641" spans="1:12" hidden="1" outlineLevel="1" collapsed="1" x14ac:dyDescent="0.35">
      <c r="A8641" s="112" t="s">
        <v>5553</v>
      </c>
      <c r="B8641" s="112" t="s">
        <v>927</v>
      </c>
      <c r="C8641" s="112" t="s">
        <v>1219</v>
      </c>
      <c r="D8641" s="113">
        <v>46307043</v>
      </c>
      <c r="E8641" s="115">
        <v>43935</v>
      </c>
      <c r="F8641" s="114">
        <v>202101</v>
      </c>
      <c r="G8641" s="112" t="s">
        <v>1091</v>
      </c>
      <c r="H8641" s="112" t="s">
        <v>1015</v>
      </c>
      <c r="I8641" s="112" t="s">
        <v>1605</v>
      </c>
      <c r="J8641" s="112" t="s">
        <v>5554</v>
      </c>
      <c r="K8641" s="112" t="s">
        <v>5555</v>
      </c>
      <c r="L8641" s="116">
        <v>25000</v>
      </c>
    </row>
    <row r="8642" spans="1:12" hidden="1" outlineLevel="1" collapsed="1" x14ac:dyDescent="0.35">
      <c r="A8642" s="112" t="s">
        <v>5553</v>
      </c>
      <c r="B8642" s="112" t="s">
        <v>927</v>
      </c>
      <c r="C8642" s="112" t="s">
        <v>1219</v>
      </c>
      <c r="D8642" s="113">
        <v>46307042</v>
      </c>
      <c r="E8642" s="115">
        <v>43935</v>
      </c>
      <c r="F8642" s="114">
        <v>202101</v>
      </c>
      <c r="G8642" s="112" t="s">
        <v>1091</v>
      </c>
      <c r="H8642" s="112" t="s">
        <v>1015</v>
      </c>
      <c r="I8642" s="112" t="s">
        <v>1605</v>
      </c>
      <c r="J8642" s="112" t="s">
        <v>5554</v>
      </c>
      <c r="K8642" s="112" t="s">
        <v>5555</v>
      </c>
      <c r="L8642" s="116">
        <v>25000</v>
      </c>
    </row>
    <row r="8643" spans="1:12" hidden="1" outlineLevel="1" collapsed="1" x14ac:dyDescent="0.35">
      <c r="A8643" s="112" t="s">
        <v>5553</v>
      </c>
      <c r="B8643" s="112" t="s">
        <v>927</v>
      </c>
      <c r="C8643" s="112" t="s">
        <v>1219</v>
      </c>
      <c r="D8643" s="113">
        <v>46307041</v>
      </c>
      <c r="E8643" s="115">
        <v>43935</v>
      </c>
      <c r="F8643" s="114">
        <v>202101</v>
      </c>
      <c r="G8643" s="112" t="s">
        <v>1091</v>
      </c>
      <c r="H8643" s="112" t="s">
        <v>1015</v>
      </c>
      <c r="I8643" s="112" t="s">
        <v>1605</v>
      </c>
      <c r="J8643" s="112" t="s">
        <v>5554</v>
      </c>
      <c r="K8643" s="112" t="s">
        <v>5555</v>
      </c>
      <c r="L8643" s="116">
        <v>25000</v>
      </c>
    </row>
    <row r="8644" spans="1:12" hidden="1" outlineLevel="1" collapsed="1" x14ac:dyDescent="0.35">
      <c r="A8644" s="112" t="s">
        <v>5553</v>
      </c>
      <c r="B8644" s="112" t="s">
        <v>927</v>
      </c>
      <c r="C8644" s="112" t="s">
        <v>1219</v>
      </c>
      <c r="D8644" s="113">
        <v>46306843</v>
      </c>
      <c r="E8644" s="115">
        <v>43927</v>
      </c>
      <c r="F8644" s="114">
        <v>202101</v>
      </c>
      <c r="G8644" s="112" t="s">
        <v>1091</v>
      </c>
      <c r="H8644" s="112" t="s">
        <v>1015</v>
      </c>
      <c r="I8644" s="112" t="s">
        <v>1605</v>
      </c>
      <c r="J8644" s="112" t="s">
        <v>5554</v>
      </c>
      <c r="K8644" s="112" t="s">
        <v>5580</v>
      </c>
      <c r="L8644" s="116">
        <v>25000</v>
      </c>
    </row>
    <row r="8645" spans="1:12" hidden="1" outlineLevel="1" collapsed="1" x14ac:dyDescent="0.35">
      <c r="A8645" s="112" t="s">
        <v>5553</v>
      </c>
      <c r="B8645" s="112" t="s">
        <v>927</v>
      </c>
      <c r="C8645" s="112" t="s">
        <v>1219</v>
      </c>
      <c r="D8645" s="113">
        <v>46307040</v>
      </c>
      <c r="E8645" s="115">
        <v>43935</v>
      </c>
      <c r="F8645" s="114">
        <v>202101</v>
      </c>
      <c r="G8645" s="112" t="s">
        <v>1091</v>
      </c>
      <c r="H8645" s="112" t="s">
        <v>1015</v>
      </c>
      <c r="I8645" s="112" t="s">
        <v>1605</v>
      </c>
      <c r="J8645" s="112" t="s">
        <v>5554</v>
      </c>
      <c r="K8645" s="112" t="s">
        <v>5555</v>
      </c>
      <c r="L8645" s="116">
        <v>25000</v>
      </c>
    </row>
    <row r="8646" spans="1:12" hidden="1" outlineLevel="1" collapsed="1" x14ac:dyDescent="0.35">
      <c r="A8646" s="112" t="s">
        <v>5553</v>
      </c>
      <c r="B8646" s="112" t="s">
        <v>927</v>
      </c>
      <c r="C8646" s="112" t="s">
        <v>1219</v>
      </c>
      <c r="D8646" s="113">
        <v>46307045</v>
      </c>
      <c r="E8646" s="115">
        <v>43935</v>
      </c>
      <c r="F8646" s="114">
        <v>202101</v>
      </c>
      <c r="G8646" s="112" t="s">
        <v>1091</v>
      </c>
      <c r="H8646" s="112" t="s">
        <v>1015</v>
      </c>
      <c r="I8646" s="112" t="s">
        <v>1605</v>
      </c>
      <c r="J8646" s="112" t="s">
        <v>5554</v>
      </c>
      <c r="K8646" s="112" t="s">
        <v>5555</v>
      </c>
      <c r="L8646" s="116">
        <v>25000</v>
      </c>
    </row>
    <row r="8647" spans="1:12" hidden="1" outlineLevel="1" collapsed="1" x14ac:dyDescent="0.35">
      <c r="A8647" s="112" t="s">
        <v>5553</v>
      </c>
      <c r="B8647" s="112" t="s">
        <v>927</v>
      </c>
      <c r="C8647" s="112" t="s">
        <v>1219</v>
      </c>
      <c r="D8647" s="113">
        <v>46307039</v>
      </c>
      <c r="E8647" s="115">
        <v>43935</v>
      </c>
      <c r="F8647" s="114">
        <v>202101</v>
      </c>
      <c r="G8647" s="112" t="s">
        <v>1091</v>
      </c>
      <c r="H8647" s="112" t="s">
        <v>1015</v>
      </c>
      <c r="I8647" s="112" t="s">
        <v>1605</v>
      </c>
      <c r="J8647" s="112" t="s">
        <v>5554</v>
      </c>
      <c r="K8647" s="112" t="s">
        <v>5556</v>
      </c>
      <c r="L8647" s="116">
        <v>10000</v>
      </c>
    </row>
    <row r="8648" spans="1:12" hidden="1" outlineLevel="1" collapsed="1" x14ac:dyDescent="0.35">
      <c r="A8648" s="112" t="s">
        <v>5553</v>
      </c>
      <c r="B8648" s="112" t="s">
        <v>927</v>
      </c>
      <c r="C8648" s="112" t="s">
        <v>1219</v>
      </c>
      <c r="D8648" s="113">
        <v>46307038</v>
      </c>
      <c r="E8648" s="115">
        <v>43935</v>
      </c>
      <c r="F8648" s="114">
        <v>202101</v>
      </c>
      <c r="G8648" s="112" t="s">
        <v>1091</v>
      </c>
      <c r="H8648" s="112" t="s">
        <v>1015</v>
      </c>
      <c r="I8648" s="112" t="s">
        <v>1605</v>
      </c>
      <c r="J8648" s="112" t="s">
        <v>5554</v>
      </c>
      <c r="K8648" s="112" t="s">
        <v>5555</v>
      </c>
      <c r="L8648" s="116">
        <v>10000</v>
      </c>
    </row>
    <row r="8649" spans="1:12" hidden="1" outlineLevel="1" collapsed="1" x14ac:dyDescent="0.35">
      <c r="A8649" s="112" t="s">
        <v>5553</v>
      </c>
      <c r="B8649" s="112" t="s">
        <v>927</v>
      </c>
      <c r="C8649" s="112" t="s">
        <v>1219</v>
      </c>
      <c r="D8649" s="113">
        <v>46307037</v>
      </c>
      <c r="E8649" s="115">
        <v>43935</v>
      </c>
      <c r="F8649" s="114">
        <v>202101</v>
      </c>
      <c r="G8649" s="112" t="s">
        <v>1091</v>
      </c>
      <c r="H8649" s="112" t="s">
        <v>1015</v>
      </c>
      <c r="I8649" s="112" t="s">
        <v>1605</v>
      </c>
      <c r="J8649" s="112" t="s">
        <v>5554</v>
      </c>
      <c r="K8649" s="112" t="s">
        <v>5555</v>
      </c>
      <c r="L8649" s="116">
        <v>25000</v>
      </c>
    </row>
    <row r="8650" spans="1:12" hidden="1" outlineLevel="1" collapsed="1" x14ac:dyDescent="0.35">
      <c r="A8650" s="112" t="s">
        <v>5553</v>
      </c>
      <c r="B8650" s="112" t="s">
        <v>927</v>
      </c>
      <c r="C8650" s="112" t="s">
        <v>1219</v>
      </c>
      <c r="D8650" s="113">
        <v>46307036</v>
      </c>
      <c r="E8650" s="115">
        <v>43935</v>
      </c>
      <c r="F8650" s="114">
        <v>202101</v>
      </c>
      <c r="G8650" s="112" t="s">
        <v>1091</v>
      </c>
      <c r="H8650" s="112" t="s">
        <v>1015</v>
      </c>
      <c r="I8650" s="112" t="s">
        <v>1605</v>
      </c>
      <c r="J8650" s="112" t="s">
        <v>5554</v>
      </c>
      <c r="K8650" s="112" t="s">
        <v>5555</v>
      </c>
      <c r="L8650" s="116">
        <v>25000</v>
      </c>
    </row>
    <row r="8651" spans="1:12" hidden="1" outlineLevel="1" collapsed="1" x14ac:dyDescent="0.35">
      <c r="A8651" s="112" t="s">
        <v>5553</v>
      </c>
      <c r="B8651" s="112" t="s">
        <v>927</v>
      </c>
      <c r="C8651" s="112" t="s">
        <v>1219</v>
      </c>
      <c r="D8651" s="113">
        <v>46307035</v>
      </c>
      <c r="E8651" s="115">
        <v>43935</v>
      </c>
      <c r="F8651" s="114">
        <v>202101</v>
      </c>
      <c r="G8651" s="112" t="s">
        <v>1091</v>
      </c>
      <c r="H8651" s="112" t="s">
        <v>1015</v>
      </c>
      <c r="I8651" s="112" t="s">
        <v>1605</v>
      </c>
      <c r="J8651" s="112" t="s">
        <v>5554</v>
      </c>
      <c r="K8651" s="112" t="s">
        <v>5556</v>
      </c>
      <c r="L8651" s="116">
        <v>10000</v>
      </c>
    </row>
    <row r="8652" spans="1:12" hidden="1" outlineLevel="1" collapsed="1" x14ac:dyDescent="0.35">
      <c r="A8652" s="112" t="s">
        <v>5553</v>
      </c>
      <c r="B8652" s="112" t="s">
        <v>927</v>
      </c>
      <c r="C8652" s="112" t="s">
        <v>1219</v>
      </c>
      <c r="D8652" s="113">
        <v>46307034</v>
      </c>
      <c r="E8652" s="115">
        <v>43935</v>
      </c>
      <c r="F8652" s="114">
        <v>202101</v>
      </c>
      <c r="G8652" s="112" t="s">
        <v>1091</v>
      </c>
      <c r="H8652" s="112" t="s">
        <v>1015</v>
      </c>
      <c r="I8652" s="112" t="s">
        <v>1605</v>
      </c>
      <c r="J8652" s="112" t="s">
        <v>5554</v>
      </c>
      <c r="K8652" s="112" t="s">
        <v>5555</v>
      </c>
      <c r="L8652" s="116">
        <v>25000</v>
      </c>
    </row>
    <row r="8653" spans="1:12" hidden="1" outlineLevel="1" collapsed="1" x14ac:dyDescent="0.35">
      <c r="A8653" s="112" t="s">
        <v>5553</v>
      </c>
      <c r="B8653" s="112" t="s">
        <v>927</v>
      </c>
      <c r="C8653" s="112" t="s">
        <v>1219</v>
      </c>
      <c r="D8653" s="113">
        <v>46307033</v>
      </c>
      <c r="E8653" s="115">
        <v>43935</v>
      </c>
      <c r="F8653" s="114">
        <v>202101</v>
      </c>
      <c r="G8653" s="112" t="s">
        <v>1091</v>
      </c>
      <c r="H8653" s="112" t="s">
        <v>1015</v>
      </c>
      <c r="I8653" s="112" t="s">
        <v>1605</v>
      </c>
      <c r="J8653" s="112" t="s">
        <v>5554</v>
      </c>
      <c r="K8653" s="112" t="s">
        <v>5555</v>
      </c>
      <c r="L8653" s="116">
        <v>25000</v>
      </c>
    </row>
    <row r="8654" spans="1:12" hidden="1" outlineLevel="1" collapsed="1" x14ac:dyDescent="0.35">
      <c r="A8654" s="112" t="s">
        <v>5553</v>
      </c>
      <c r="B8654" s="112" t="s">
        <v>927</v>
      </c>
      <c r="C8654" s="112" t="s">
        <v>1219</v>
      </c>
      <c r="D8654" s="113">
        <v>46307032</v>
      </c>
      <c r="E8654" s="115">
        <v>43935</v>
      </c>
      <c r="F8654" s="114">
        <v>202101</v>
      </c>
      <c r="G8654" s="112" t="s">
        <v>1091</v>
      </c>
      <c r="H8654" s="112" t="s">
        <v>1015</v>
      </c>
      <c r="I8654" s="112" t="s">
        <v>1605</v>
      </c>
      <c r="J8654" s="112" t="s">
        <v>5554</v>
      </c>
      <c r="K8654" s="112" t="s">
        <v>5555</v>
      </c>
      <c r="L8654" s="116">
        <v>25000</v>
      </c>
    </row>
    <row r="8655" spans="1:12" hidden="1" outlineLevel="1" collapsed="1" x14ac:dyDescent="0.35">
      <c r="A8655" s="112" t="s">
        <v>5553</v>
      </c>
      <c r="B8655" s="112" t="s">
        <v>927</v>
      </c>
      <c r="C8655" s="112" t="s">
        <v>1219</v>
      </c>
      <c r="D8655" s="113">
        <v>46306842</v>
      </c>
      <c r="E8655" s="115">
        <v>43927</v>
      </c>
      <c r="F8655" s="114">
        <v>202101</v>
      </c>
      <c r="G8655" s="112" t="s">
        <v>1091</v>
      </c>
      <c r="H8655" s="112" t="s">
        <v>1015</v>
      </c>
      <c r="I8655" s="112" t="s">
        <v>1605</v>
      </c>
      <c r="J8655" s="112" t="s">
        <v>5554</v>
      </c>
      <c r="K8655" s="112" t="s">
        <v>5580</v>
      </c>
      <c r="L8655" s="116">
        <v>25000</v>
      </c>
    </row>
    <row r="8656" spans="1:12" hidden="1" outlineLevel="1" collapsed="1" x14ac:dyDescent="0.35">
      <c r="A8656" s="112" t="s">
        <v>5553</v>
      </c>
      <c r="B8656" s="112" t="s">
        <v>927</v>
      </c>
      <c r="C8656" s="112" t="s">
        <v>1219</v>
      </c>
      <c r="D8656" s="113">
        <v>46307030</v>
      </c>
      <c r="E8656" s="115">
        <v>43935</v>
      </c>
      <c r="F8656" s="114">
        <v>202101</v>
      </c>
      <c r="G8656" s="112" t="s">
        <v>1091</v>
      </c>
      <c r="H8656" s="112" t="s">
        <v>1015</v>
      </c>
      <c r="I8656" s="112" t="s">
        <v>1605</v>
      </c>
      <c r="J8656" s="112" t="s">
        <v>5554</v>
      </c>
      <c r="K8656" s="112" t="s">
        <v>5555</v>
      </c>
      <c r="L8656" s="116">
        <v>25000</v>
      </c>
    </row>
    <row r="8657" spans="1:12" hidden="1" outlineLevel="1" collapsed="1" x14ac:dyDescent="0.35">
      <c r="A8657" s="112" t="s">
        <v>5553</v>
      </c>
      <c r="B8657" s="112" t="s">
        <v>927</v>
      </c>
      <c r="C8657" s="112" t="s">
        <v>1219</v>
      </c>
      <c r="D8657" s="113">
        <v>46307029</v>
      </c>
      <c r="E8657" s="115">
        <v>43935</v>
      </c>
      <c r="F8657" s="114">
        <v>202101</v>
      </c>
      <c r="G8657" s="112" t="s">
        <v>1091</v>
      </c>
      <c r="H8657" s="112" t="s">
        <v>1015</v>
      </c>
      <c r="I8657" s="112" t="s">
        <v>1605</v>
      </c>
      <c r="J8657" s="112" t="s">
        <v>5554</v>
      </c>
      <c r="K8657" s="112" t="s">
        <v>5555</v>
      </c>
      <c r="L8657" s="116">
        <v>25000</v>
      </c>
    </row>
    <row r="8658" spans="1:12" hidden="1" outlineLevel="1" collapsed="1" x14ac:dyDescent="0.35">
      <c r="A8658" s="112" t="s">
        <v>5553</v>
      </c>
      <c r="B8658" s="112" t="s">
        <v>927</v>
      </c>
      <c r="C8658" s="112" t="s">
        <v>1219</v>
      </c>
      <c r="D8658" s="113">
        <v>46307028</v>
      </c>
      <c r="E8658" s="115">
        <v>43935</v>
      </c>
      <c r="F8658" s="114">
        <v>202101</v>
      </c>
      <c r="G8658" s="112" t="s">
        <v>1091</v>
      </c>
      <c r="H8658" s="112" t="s">
        <v>1015</v>
      </c>
      <c r="I8658" s="112" t="s">
        <v>1605</v>
      </c>
      <c r="J8658" s="112" t="s">
        <v>5554</v>
      </c>
      <c r="K8658" s="112" t="s">
        <v>5555</v>
      </c>
      <c r="L8658" s="116">
        <v>25000</v>
      </c>
    </row>
    <row r="8659" spans="1:12" hidden="1" outlineLevel="1" collapsed="1" x14ac:dyDescent="0.35">
      <c r="A8659" s="112" t="s">
        <v>5553</v>
      </c>
      <c r="B8659" s="112" t="s">
        <v>927</v>
      </c>
      <c r="C8659" s="112" t="s">
        <v>1219</v>
      </c>
      <c r="D8659" s="113">
        <v>46307027</v>
      </c>
      <c r="E8659" s="115">
        <v>43935</v>
      </c>
      <c r="F8659" s="114">
        <v>202101</v>
      </c>
      <c r="G8659" s="112" t="s">
        <v>1091</v>
      </c>
      <c r="H8659" s="112" t="s">
        <v>1015</v>
      </c>
      <c r="I8659" s="112" t="s">
        <v>1605</v>
      </c>
      <c r="J8659" s="112" t="s">
        <v>5554</v>
      </c>
      <c r="K8659" s="112" t="s">
        <v>5555</v>
      </c>
      <c r="L8659" s="116">
        <v>25000</v>
      </c>
    </row>
    <row r="8660" spans="1:12" hidden="1" outlineLevel="1" collapsed="1" x14ac:dyDescent="0.35">
      <c r="A8660" s="112" t="s">
        <v>5553</v>
      </c>
      <c r="B8660" s="112" t="s">
        <v>927</v>
      </c>
      <c r="C8660" s="112" t="s">
        <v>1219</v>
      </c>
      <c r="D8660" s="113">
        <v>46307026</v>
      </c>
      <c r="E8660" s="115">
        <v>43935</v>
      </c>
      <c r="F8660" s="114">
        <v>202101</v>
      </c>
      <c r="G8660" s="112" t="s">
        <v>1091</v>
      </c>
      <c r="H8660" s="112" t="s">
        <v>1015</v>
      </c>
      <c r="I8660" s="112" t="s">
        <v>1605</v>
      </c>
      <c r="J8660" s="112" t="s">
        <v>5554</v>
      </c>
      <c r="K8660" s="112" t="s">
        <v>5555</v>
      </c>
      <c r="L8660" s="116">
        <v>25000</v>
      </c>
    </row>
    <row r="8661" spans="1:12" hidden="1" outlineLevel="1" collapsed="1" x14ac:dyDescent="0.35">
      <c r="A8661" s="112" t="s">
        <v>5553</v>
      </c>
      <c r="B8661" s="112" t="s">
        <v>5572</v>
      </c>
      <c r="C8661" s="112" t="s">
        <v>1099</v>
      </c>
      <c r="D8661" s="113">
        <v>1069235</v>
      </c>
      <c r="E8661" s="115">
        <v>43917</v>
      </c>
      <c r="F8661" s="114">
        <v>202101</v>
      </c>
      <c r="G8661" s="112" t="s">
        <v>1091</v>
      </c>
      <c r="H8661" s="112" t="s">
        <v>1015</v>
      </c>
      <c r="I8661" s="112" t="s">
        <v>763</v>
      </c>
      <c r="J8661" s="112" t="s">
        <v>5605</v>
      </c>
      <c r="K8661" s="112" t="s">
        <v>5663</v>
      </c>
      <c r="L8661" s="116">
        <v>15950</v>
      </c>
    </row>
    <row r="8662" spans="1:12" hidden="1" outlineLevel="1" collapsed="1" x14ac:dyDescent="0.35">
      <c r="A8662" s="112" t="s">
        <v>5553</v>
      </c>
      <c r="B8662" s="112" t="s">
        <v>927</v>
      </c>
      <c r="C8662" s="112" t="s">
        <v>1219</v>
      </c>
      <c r="D8662" s="113">
        <v>46307025</v>
      </c>
      <c r="E8662" s="115">
        <v>43935</v>
      </c>
      <c r="F8662" s="114">
        <v>202101</v>
      </c>
      <c r="G8662" s="112" t="s">
        <v>1091</v>
      </c>
      <c r="H8662" s="112" t="s">
        <v>1015</v>
      </c>
      <c r="I8662" s="112" t="s">
        <v>1605</v>
      </c>
      <c r="J8662" s="112" t="s">
        <v>5554</v>
      </c>
      <c r="K8662" s="112" t="s">
        <v>5555</v>
      </c>
      <c r="L8662" s="116">
        <v>25000</v>
      </c>
    </row>
    <row r="8663" spans="1:12" hidden="1" outlineLevel="1" collapsed="1" x14ac:dyDescent="0.35">
      <c r="A8663" s="112" t="s">
        <v>5553</v>
      </c>
      <c r="B8663" s="112" t="s">
        <v>927</v>
      </c>
      <c r="C8663" s="112" t="s">
        <v>1219</v>
      </c>
      <c r="D8663" s="113">
        <v>46307613</v>
      </c>
      <c r="E8663" s="115">
        <v>43943</v>
      </c>
      <c r="F8663" s="114">
        <v>202101</v>
      </c>
      <c r="G8663" s="112" t="s">
        <v>1091</v>
      </c>
      <c r="H8663" s="112" t="s">
        <v>1015</v>
      </c>
      <c r="I8663" s="112" t="s">
        <v>1605</v>
      </c>
      <c r="J8663" s="112" t="s">
        <v>5554</v>
      </c>
      <c r="K8663" s="112" t="s">
        <v>5555</v>
      </c>
      <c r="L8663" s="116">
        <v>25000</v>
      </c>
    </row>
    <row r="8664" spans="1:12" hidden="1" outlineLevel="1" collapsed="1" x14ac:dyDescent="0.35">
      <c r="A8664" s="112" t="s">
        <v>5553</v>
      </c>
      <c r="B8664" s="112" t="s">
        <v>927</v>
      </c>
      <c r="C8664" s="112" t="s">
        <v>1219</v>
      </c>
      <c r="D8664" s="113">
        <v>46306844</v>
      </c>
      <c r="E8664" s="115">
        <v>43927</v>
      </c>
      <c r="F8664" s="114">
        <v>202101</v>
      </c>
      <c r="G8664" s="112" t="s">
        <v>1091</v>
      </c>
      <c r="H8664" s="112" t="s">
        <v>1015</v>
      </c>
      <c r="I8664" s="112" t="s">
        <v>1605</v>
      </c>
      <c r="J8664" s="112" t="s">
        <v>5554</v>
      </c>
      <c r="K8664" s="112" t="s">
        <v>5580</v>
      </c>
      <c r="L8664" s="116">
        <v>25000</v>
      </c>
    </row>
    <row r="8665" spans="1:12" hidden="1" outlineLevel="1" collapsed="1" x14ac:dyDescent="0.35">
      <c r="A8665" s="112" t="s">
        <v>5553</v>
      </c>
      <c r="B8665" s="112" t="s">
        <v>927</v>
      </c>
      <c r="C8665" s="112" t="s">
        <v>1219</v>
      </c>
      <c r="D8665" s="113">
        <v>46308092</v>
      </c>
      <c r="E8665" s="115">
        <v>43950</v>
      </c>
      <c r="F8665" s="114">
        <v>202101</v>
      </c>
      <c r="G8665" s="112" t="s">
        <v>1091</v>
      </c>
      <c r="H8665" s="112" t="s">
        <v>1015</v>
      </c>
      <c r="I8665" s="112" t="s">
        <v>1605</v>
      </c>
      <c r="J8665" s="112" t="s">
        <v>5554</v>
      </c>
      <c r="K8665" s="112" t="s">
        <v>5555</v>
      </c>
      <c r="L8665" s="116">
        <v>25000</v>
      </c>
    </row>
    <row r="8666" spans="1:12" hidden="1" outlineLevel="1" collapsed="1" x14ac:dyDescent="0.35">
      <c r="A8666" s="112" t="s">
        <v>5553</v>
      </c>
      <c r="B8666" s="112" t="s">
        <v>927</v>
      </c>
      <c r="C8666" s="112" t="s">
        <v>1219</v>
      </c>
      <c r="D8666" s="113">
        <v>46307608</v>
      </c>
      <c r="E8666" s="115">
        <v>43943</v>
      </c>
      <c r="F8666" s="114">
        <v>202101</v>
      </c>
      <c r="G8666" s="112" t="s">
        <v>1091</v>
      </c>
      <c r="H8666" s="112" t="s">
        <v>1015</v>
      </c>
      <c r="I8666" s="112" t="s">
        <v>1605</v>
      </c>
      <c r="J8666" s="112" t="s">
        <v>5554</v>
      </c>
      <c r="K8666" s="112" t="s">
        <v>5555</v>
      </c>
      <c r="L8666" s="116">
        <v>10000</v>
      </c>
    </row>
    <row r="8667" spans="1:12" hidden="1" outlineLevel="1" collapsed="1" x14ac:dyDescent="0.35">
      <c r="A8667" s="112" t="s">
        <v>5553</v>
      </c>
      <c r="B8667" s="112" t="s">
        <v>927</v>
      </c>
      <c r="C8667" s="112" t="s">
        <v>1219</v>
      </c>
      <c r="D8667" s="113">
        <v>46307218</v>
      </c>
      <c r="E8667" s="115">
        <v>43937</v>
      </c>
      <c r="F8667" s="114">
        <v>202101</v>
      </c>
      <c r="G8667" s="112" t="s">
        <v>1091</v>
      </c>
      <c r="H8667" s="112" t="s">
        <v>1015</v>
      </c>
      <c r="I8667" s="112" t="s">
        <v>1605</v>
      </c>
      <c r="J8667" s="112" t="s">
        <v>5554</v>
      </c>
      <c r="K8667" s="112" t="s">
        <v>5555</v>
      </c>
      <c r="L8667" s="116">
        <v>25000</v>
      </c>
    </row>
    <row r="8668" spans="1:12" hidden="1" outlineLevel="1" collapsed="1" x14ac:dyDescent="0.35">
      <c r="A8668" s="112" t="s">
        <v>5553</v>
      </c>
      <c r="B8668" s="112" t="s">
        <v>925</v>
      </c>
      <c r="C8668" s="112" t="s">
        <v>1095</v>
      </c>
      <c r="D8668" s="113">
        <v>10348451</v>
      </c>
      <c r="E8668" s="115">
        <v>43949</v>
      </c>
      <c r="F8668" s="114">
        <v>202101</v>
      </c>
      <c r="G8668" s="112" t="s">
        <v>1091</v>
      </c>
      <c r="H8668" s="112" t="s">
        <v>1015</v>
      </c>
      <c r="I8668" s="112" t="s">
        <v>1101</v>
      </c>
      <c r="J8668" s="112" t="s">
        <v>5559</v>
      </c>
      <c r="K8668" s="112" t="s">
        <v>1098</v>
      </c>
      <c r="L8668" s="116">
        <v>437.72</v>
      </c>
    </row>
    <row r="8669" spans="1:12" hidden="1" outlineLevel="1" collapsed="1" x14ac:dyDescent="0.35">
      <c r="A8669" s="112" t="s">
        <v>5553</v>
      </c>
      <c r="B8669" s="112" t="s">
        <v>927</v>
      </c>
      <c r="C8669" s="112" t="s">
        <v>1219</v>
      </c>
      <c r="D8669" s="113">
        <v>46307604</v>
      </c>
      <c r="E8669" s="115">
        <v>43943</v>
      </c>
      <c r="F8669" s="114">
        <v>202101</v>
      </c>
      <c r="G8669" s="112" t="s">
        <v>1091</v>
      </c>
      <c r="H8669" s="112" t="s">
        <v>1015</v>
      </c>
      <c r="I8669" s="112" t="s">
        <v>1605</v>
      </c>
      <c r="J8669" s="112" t="s">
        <v>5554</v>
      </c>
      <c r="K8669" s="112" t="s">
        <v>5556</v>
      </c>
      <c r="L8669" s="116">
        <v>10000</v>
      </c>
    </row>
    <row r="8670" spans="1:12" hidden="1" outlineLevel="1" collapsed="1" x14ac:dyDescent="0.35">
      <c r="A8670" s="112" t="s">
        <v>5553</v>
      </c>
      <c r="B8670" s="112" t="s">
        <v>927</v>
      </c>
      <c r="C8670" s="112" t="s">
        <v>1219</v>
      </c>
      <c r="D8670" s="113">
        <v>46307609</v>
      </c>
      <c r="E8670" s="115">
        <v>43943</v>
      </c>
      <c r="F8670" s="114">
        <v>202101</v>
      </c>
      <c r="G8670" s="112" t="s">
        <v>1091</v>
      </c>
      <c r="H8670" s="112" t="s">
        <v>1015</v>
      </c>
      <c r="I8670" s="112" t="s">
        <v>1605</v>
      </c>
      <c r="J8670" s="112" t="s">
        <v>5554</v>
      </c>
      <c r="K8670" s="112" t="s">
        <v>5556</v>
      </c>
      <c r="L8670" s="116">
        <v>10000</v>
      </c>
    </row>
    <row r="8671" spans="1:12" hidden="1" outlineLevel="1" collapsed="1" x14ac:dyDescent="0.35">
      <c r="A8671" s="112" t="s">
        <v>5553</v>
      </c>
      <c r="B8671" s="112" t="s">
        <v>927</v>
      </c>
      <c r="C8671" s="112" t="s">
        <v>1219</v>
      </c>
      <c r="D8671" s="113">
        <v>46308093</v>
      </c>
      <c r="E8671" s="115">
        <v>43950</v>
      </c>
      <c r="F8671" s="114">
        <v>202101</v>
      </c>
      <c r="G8671" s="112" t="s">
        <v>1091</v>
      </c>
      <c r="H8671" s="112" t="s">
        <v>1015</v>
      </c>
      <c r="I8671" s="112" t="s">
        <v>1605</v>
      </c>
      <c r="J8671" s="112" t="s">
        <v>5554</v>
      </c>
      <c r="K8671" s="112" t="s">
        <v>5555</v>
      </c>
      <c r="L8671" s="116">
        <v>25000</v>
      </c>
    </row>
    <row r="8672" spans="1:12" hidden="1" outlineLevel="1" collapsed="1" x14ac:dyDescent="0.35">
      <c r="A8672" s="112" t="s">
        <v>5553</v>
      </c>
      <c r="B8672" s="112" t="s">
        <v>927</v>
      </c>
      <c r="C8672" s="112" t="s">
        <v>1219</v>
      </c>
      <c r="D8672" s="113">
        <v>46307217</v>
      </c>
      <c r="E8672" s="115">
        <v>43937</v>
      </c>
      <c r="F8672" s="114">
        <v>202101</v>
      </c>
      <c r="G8672" s="112" t="s">
        <v>1091</v>
      </c>
      <c r="H8672" s="112" t="s">
        <v>1015</v>
      </c>
      <c r="I8672" s="112" t="s">
        <v>1605</v>
      </c>
      <c r="J8672" s="112" t="s">
        <v>5554</v>
      </c>
      <c r="K8672" s="112" t="s">
        <v>5555</v>
      </c>
      <c r="L8672" s="116">
        <v>25000</v>
      </c>
    </row>
    <row r="8673" spans="1:12" hidden="1" outlineLevel="1" collapsed="1" x14ac:dyDescent="0.35">
      <c r="A8673" s="112" t="s">
        <v>5553</v>
      </c>
      <c r="B8673" s="112" t="s">
        <v>927</v>
      </c>
      <c r="C8673" s="112" t="s">
        <v>1219</v>
      </c>
      <c r="D8673" s="113">
        <v>46308094</v>
      </c>
      <c r="E8673" s="115">
        <v>43950</v>
      </c>
      <c r="F8673" s="114">
        <v>202101</v>
      </c>
      <c r="G8673" s="112" t="s">
        <v>1091</v>
      </c>
      <c r="H8673" s="112" t="s">
        <v>1015</v>
      </c>
      <c r="I8673" s="112" t="s">
        <v>1605</v>
      </c>
      <c r="J8673" s="112" t="s">
        <v>5554</v>
      </c>
      <c r="K8673" s="112" t="s">
        <v>5555</v>
      </c>
      <c r="L8673" s="116">
        <v>25000</v>
      </c>
    </row>
    <row r="8674" spans="1:12" hidden="1" outlineLevel="1" collapsed="1" x14ac:dyDescent="0.35">
      <c r="A8674" s="112" t="s">
        <v>5553</v>
      </c>
      <c r="B8674" s="112" t="s">
        <v>5572</v>
      </c>
      <c r="C8674" s="112" t="s">
        <v>1099</v>
      </c>
      <c r="D8674" s="113">
        <v>1069663</v>
      </c>
      <c r="E8674" s="115">
        <v>43941</v>
      </c>
      <c r="F8674" s="114">
        <v>202101</v>
      </c>
      <c r="G8674" s="112" t="s">
        <v>1091</v>
      </c>
      <c r="H8674" s="112" t="s">
        <v>1015</v>
      </c>
      <c r="I8674" s="112" t="s">
        <v>763</v>
      </c>
      <c r="J8674" s="112" t="s">
        <v>5573</v>
      </c>
      <c r="K8674" s="112" t="s">
        <v>5664</v>
      </c>
      <c r="L8674" s="116">
        <v>16589</v>
      </c>
    </row>
    <row r="8675" spans="1:12" hidden="1" outlineLevel="1" collapsed="1" x14ac:dyDescent="0.35">
      <c r="A8675" s="112" t="s">
        <v>5553</v>
      </c>
      <c r="B8675" s="112" t="s">
        <v>927</v>
      </c>
      <c r="C8675" s="112" t="s">
        <v>1219</v>
      </c>
      <c r="D8675" s="113">
        <v>46307603</v>
      </c>
      <c r="E8675" s="115">
        <v>43943</v>
      </c>
      <c r="F8675" s="114">
        <v>202101</v>
      </c>
      <c r="G8675" s="112" t="s">
        <v>1091</v>
      </c>
      <c r="H8675" s="112" t="s">
        <v>1015</v>
      </c>
      <c r="I8675" s="112" t="s">
        <v>1605</v>
      </c>
      <c r="J8675" s="112" t="s">
        <v>5554</v>
      </c>
      <c r="K8675" s="112" t="s">
        <v>5555</v>
      </c>
      <c r="L8675" s="116">
        <v>25000</v>
      </c>
    </row>
    <row r="8676" spans="1:12" hidden="1" outlineLevel="1" collapsed="1" x14ac:dyDescent="0.35">
      <c r="A8676" s="112" t="s">
        <v>5553</v>
      </c>
      <c r="B8676" s="112" t="s">
        <v>927</v>
      </c>
      <c r="C8676" s="112" t="s">
        <v>1219</v>
      </c>
      <c r="D8676" s="113">
        <v>46307610</v>
      </c>
      <c r="E8676" s="115">
        <v>43943</v>
      </c>
      <c r="F8676" s="114">
        <v>202101</v>
      </c>
      <c r="G8676" s="112" t="s">
        <v>1091</v>
      </c>
      <c r="H8676" s="112" t="s">
        <v>1015</v>
      </c>
      <c r="I8676" s="112" t="s">
        <v>1605</v>
      </c>
      <c r="J8676" s="112" t="s">
        <v>5554</v>
      </c>
      <c r="K8676" s="112" t="s">
        <v>5556</v>
      </c>
      <c r="L8676" s="116">
        <v>10000</v>
      </c>
    </row>
    <row r="8677" spans="1:12" hidden="1" outlineLevel="1" collapsed="1" x14ac:dyDescent="0.35">
      <c r="A8677" s="112" t="s">
        <v>5553</v>
      </c>
      <c r="B8677" s="112" t="s">
        <v>927</v>
      </c>
      <c r="C8677" s="112" t="s">
        <v>1219</v>
      </c>
      <c r="D8677" s="113">
        <v>46307602</v>
      </c>
      <c r="E8677" s="115">
        <v>43943</v>
      </c>
      <c r="F8677" s="114">
        <v>202101</v>
      </c>
      <c r="G8677" s="112" t="s">
        <v>1091</v>
      </c>
      <c r="H8677" s="112" t="s">
        <v>1015</v>
      </c>
      <c r="I8677" s="112" t="s">
        <v>1605</v>
      </c>
      <c r="J8677" s="112" t="s">
        <v>5554</v>
      </c>
      <c r="K8677" s="112" t="s">
        <v>5556</v>
      </c>
      <c r="L8677" s="116">
        <v>10000</v>
      </c>
    </row>
    <row r="8678" spans="1:12" hidden="1" outlineLevel="1" collapsed="1" x14ac:dyDescent="0.35">
      <c r="A8678" s="112" t="s">
        <v>5553</v>
      </c>
      <c r="B8678" s="112" t="s">
        <v>927</v>
      </c>
      <c r="C8678" s="112" t="s">
        <v>1219</v>
      </c>
      <c r="D8678" s="113">
        <v>46308095</v>
      </c>
      <c r="E8678" s="115">
        <v>43950</v>
      </c>
      <c r="F8678" s="114">
        <v>202101</v>
      </c>
      <c r="G8678" s="112" t="s">
        <v>1091</v>
      </c>
      <c r="H8678" s="112" t="s">
        <v>1015</v>
      </c>
      <c r="I8678" s="112" t="s">
        <v>1605</v>
      </c>
      <c r="J8678" s="112" t="s">
        <v>5554</v>
      </c>
      <c r="K8678" s="112" t="s">
        <v>5556</v>
      </c>
      <c r="L8678" s="116">
        <v>10000</v>
      </c>
    </row>
    <row r="8679" spans="1:12" hidden="1" outlineLevel="1" collapsed="1" x14ac:dyDescent="0.35">
      <c r="A8679" s="112" t="s">
        <v>5553</v>
      </c>
      <c r="B8679" s="112" t="s">
        <v>927</v>
      </c>
      <c r="C8679" s="112" t="s">
        <v>1219</v>
      </c>
      <c r="D8679" s="113">
        <v>46308096</v>
      </c>
      <c r="E8679" s="115">
        <v>43950</v>
      </c>
      <c r="F8679" s="114">
        <v>202101</v>
      </c>
      <c r="G8679" s="112" t="s">
        <v>1091</v>
      </c>
      <c r="H8679" s="112" t="s">
        <v>1015</v>
      </c>
      <c r="I8679" s="112" t="s">
        <v>1605</v>
      </c>
      <c r="J8679" s="112" t="s">
        <v>5554</v>
      </c>
      <c r="K8679" s="112" t="s">
        <v>5555</v>
      </c>
      <c r="L8679" s="116">
        <v>10000</v>
      </c>
    </row>
    <row r="8680" spans="1:12" hidden="1" outlineLevel="1" collapsed="1" x14ac:dyDescent="0.35">
      <c r="A8680" s="112" t="s">
        <v>5553</v>
      </c>
      <c r="B8680" s="112" t="s">
        <v>927</v>
      </c>
      <c r="C8680" s="112" t="s">
        <v>1219</v>
      </c>
      <c r="D8680" s="113">
        <v>46308097</v>
      </c>
      <c r="E8680" s="115">
        <v>43950</v>
      </c>
      <c r="F8680" s="114">
        <v>202101</v>
      </c>
      <c r="G8680" s="112" t="s">
        <v>1091</v>
      </c>
      <c r="H8680" s="112" t="s">
        <v>1015</v>
      </c>
      <c r="I8680" s="112" t="s">
        <v>1605</v>
      </c>
      <c r="J8680" s="112" t="s">
        <v>5554</v>
      </c>
      <c r="K8680" s="112" t="s">
        <v>5556</v>
      </c>
      <c r="L8680" s="116">
        <v>10000</v>
      </c>
    </row>
    <row r="8681" spans="1:12" hidden="1" outlineLevel="1" collapsed="1" x14ac:dyDescent="0.35">
      <c r="A8681" s="112" t="s">
        <v>5553</v>
      </c>
      <c r="B8681" s="112" t="s">
        <v>927</v>
      </c>
      <c r="C8681" s="112" t="s">
        <v>1219</v>
      </c>
      <c r="D8681" s="113">
        <v>46308098</v>
      </c>
      <c r="E8681" s="115">
        <v>43950</v>
      </c>
      <c r="F8681" s="114">
        <v>202101</v>
      </c>
      <c r="G8681" s="112" t="s">
        <v>1091</v>
      </c>
      <c r="H8681" s="112" t="s">
        <v>1015</v>
      </c>
      <c r="I8681" s="112" t="s">
        <v>1605</v>
      </c>
      <c r="J8681" s="112" t="s">
        <v>5554</v>
      </c>
      <c r="K8681" s="112" t="s">
        <v>5556</v>
      </c>
      <c r="L8681" s="116">
        <v>10000</v>
      </c>
    </row>
    <row r="8682" spans="1:12" hidden="1" outlineLevel="1" collapsed="1" x14ac:dyDescent="0.35">
      <c r="A8682" s="112" t="s">
        <v>5553</v>
      </c>
      <c r="B8682" s="112" t="s">
        <v>927</v>
      </c>
      <c r="C8682" s="112" t="s">
        <v>1219</v>
      </c>
      <c r="D8682" s="113">
        <v>46307611</v>
      </c>
      <c r="E8682" s="115">
        <v>43943</v>
      </c>
      <c r="F8682" s="114">
        <v>202101</v>
      </c>
      <c r="G8682" s="112" t="s">
        <v>1091</v>
      </c>
      <c r="H8682" s="112" t="s">
        <v>1015</v>
      </c>
      <c r="I8682" s="112" t="s">
        <v>1605</v>
      </c>
      <c r="J8682" s="112" t="s">
        <v>5554</v>
      </c>
      <c r="K8682" s="112" t="s">
        <v>5555</v>
      </c>
      <c r="L8682" s="116">
        <v>25000</v>
      </c>
    </row>
    <row r="8683" spans="1:12" hidden="1" outlineLevel="1" collapsed="1" x14ac:dyDescent="0.35">
      <c r="A8683" s="112" t="s">
        <v>5553</v>
      </c>
      <c r="B8683" s="112" t="s">
        <v>927</v>
      </c>
      <c r="C8683" s="112" t="s">
        <v>1219</v>
      </c>
      <c r="D8683" s="113">
        <v>46307612</v>
      </c>
      <c r="E8683" s="115">
        <v>43943</v>
      </c>
      <c r="F8683" s="114">
        <v>202101</v>
      </c>
      <c r="G8683" s="112" t="s">
        <v>1091</v>
      </c>
      <c r="H8683" s="112" t="s">
        <v>1015</v>
      </c>
      <c r="I8683" s="112" t="s">
        <v>1605</v>
      </c>
      <c r="J8683" s="112" t="s">
        <v>5554</v>
      </c>
      <c r="K8683" s="112" t="s">
        <v>5555</v>
      </c>
      <c r="L8683" s="116">
        <v>10000</v>
      </c>
    </row>
    <row r="8684" spans="1:12" hidden="1" outlineLevel="1" collapsed="1" x14ac:dyDescent="0.35">
      <c r="A8684" s="112" t="s">
        <v>5553</v>
      </c>
      <c r="B8684" s="112" t="s">
        <v>927</v>
      </c>
      <c r="C8684" s="112" t="s">
        <v>1219</v>
      </c>
      <c r="D8684" s="113">
        <v>46307601</v>
      </c>
      <c r="E8684" s="115">
        <v>43943</v>
      </c>
      <c r="F8684" s="114">
        <v>202101</v>
      </c>
      <c r="G8684" s="112" t="s">
        <v>1091</v>
      </c>
      <c r="H8684" s="112" t="s">
        <v>1015</v>
      </c>
      <c r="I8684" s="112" t="s">
        <v>1605</v>
      </c>
      <c r="J8684" s="112" t="s">
        <v>5554</v>
      </c>
      <c r="K8684" s="112" t="s">
        <v>5555</v>
      </c>
      <c r="L8684" s="116">
        <v>25000</v>
      </c>
    </row>
    <row r="8685" spans="1:12" hidden="1" outlineLevel="1" collapsed="1" x14ac:dyDescent="0.35">
      <c r="A8685" s="112" t="s">
        <v>5553</v>
      </c>
      <c r="B8685" s="112" t="s">
        <v>927</v>
      </c>
      <c r="C8685" s="112" t="s">
        <v>1219</v>
      </c>
      <c r="D8685" s="113">
        <v>46307600</v>
      </c>
      <c r="E8685" s="115">
        <v>43943</v>
      </c>
      <c r="F8685" s="114">
        <v>202101</v>
      </c>
      <c r="G8685" s="112" t="s">
        <v>1091</v>
      </c>
      <c r="H8685" s="112" t="s">
        <v>1015</v>
      </c>
      <c r="I8685" s="112" t="s">
        <v>1605</v>
      </c>
      <c r="J8685" s="112" t="s">
        <v>5554</v>
      </c>
      <c r="K8685" s="112" t="s">
        <v>5556</v>
      </c>
      <c r="L8685" s="116">
        <v>10000</v>
      </c>
    </row>
    <row r="8686" spans="1:12" hidden="1" outlineLevel="1" collapsed="1" x14ac:dyDescent="0.35">
      <c r="A8686" s="112" t="s">
        <v>5553</v>
      </c>
      <c r="B8686" s="112" t="s">
        <v>927</v>
      </c>
      <c r="C8686" s="112" t="s">
        <v>1219</v>
      </c>
      <c r="D8686" s="113">
        <v>46307605</v>
      </c>
      <c r="E8686" s="115">
        <v>43943</v>
      </c>
      <c r="F8686" s="114">
        <v>202101</v>
      </c>
      <c r="G8686" s="112" t="s">
        <v>1091</v>
      </c>
      <c r="H8686" s="112" t="s">
        <v>1015</v>
      </c>
      <c r="I8686" s="112" t="s">
        <v>1605</v>
      </c>
      <c r="J8686" s="112" t="s">
        <v>5554</v>
      </c>
      <c r="K8686" s="112" t="s">
        <v>5556</v>
      </c>
      <c r="L8686" s="116">
        <v>10000</v>
      </c>
    </row>
    <row r="8687" spans="1:12" hidden="1" outlineLevel="1" collapsed="1" x14ac:dyDescent="0.35">
      <c r="A8687" s="112" t="s">
        <v>5553</v>
      </c>
      <c r="B8687" s="112" t="s">
        <v>927</v>
      </c>
      <c r="C8687" s="112" t="s">
        <v>1219</v>
      </c>
      <c r="D8687" s="113">
        <v>46307599</v>
      </c>
      <c r="E8687" s="115">
        <v>43943</v>
      </c>
      <c r="F8687" s="114">
        <v>202101</v>
      </c>
      <c r="G8687" s="112" t="s">
        <v>1091</v>
      </c>
      <c r="H8687" s="112" t="s">
        <v>1015</v>
      </c>
      <c r="I8687" s="112" t="s">
        <v>1605</v>
      </c>
      <c r="J8687" s="112" t="s">
        <v>5554</v>
      </c>
      <c r="K8687" s="112" t="s">
        <v>5555</v>
      </c>
      <c r="L8687" s="116">
        <v>25000</v>
      </c>
    </row>
    <row r="8688" spans="1:12" hidden="1" outlineLevel="1" collapsed="1" x14ac:dyDescent="0.35">
      <c r="A8688" s="112" t="s">
        <v>5553</v>
      </c>
      <c r="B8688" s="112" t="s">
        <v>927</v>
      </c>
      <c r="C8688" s="112" t="s">
        <v>1219</v>
      </c>
      <c r="D8688" s="113">
        <v>46308099</v>
      </c>
      <c r="E8688" s="115">
        <v>43950</v>
      </c>
      <c r="F8688" s="114">
        <v>202101</v>
      </c>
      <c r="G8688" s="112" t="s">
        <v>1091</v>
      </c>
      <c r="H8688" s="112" t="s">
        <v>1015</v>
      </c>
      <c r="I8688" s="112" t="s">
        <v>1605</v>
      </c>
      <c r="J8688" s="112" t="s">
        <v>5554</v>
      </c>
      <c r="K8688" s="112" t="s">
        <v>5555</v>
      </c>
      <c r="L8688" s="116">
        <v>25000</v>
      </c>
    </row>
    <row r="8689" spans="1:12" hidden="1" outlineLevel="1" collapsed="1" x14ac:dyDescent="0.35">
      <c r="A8689" s="112" t="s">
        <v>5553</v>
      </c>
      <c r="B8689" s="112" t="s">
        <v>927</v>
      </c>
      <c r="C8689" s="112" t="s">
        <v>1219</v>
      </c>
      <c r="D8689" s="113">
        <v>46308100</v>
      </c>
      <c r="E8689" s="115">
        <v>43950</v>
      </c>
      <c r="F8689" s="114">
        <v>202101</v>
      </c>
      <c r="G8689" s="112" t="s">
        <v>1091</v>
      </c>
      <c r="H8689" s="112" t="s">
        <v>1015</v>
      </c>
      <c r="I8689" s="112" t="s">
        <v>1605</v>
      </c>
      <c r="J8689" s="112" t="s">
        <v>5554</v>
      </c>
      <c r="K8689" s="112" t="s">
        <v>5555</v>
      </c>
      <c r="L8689" s="116">
        <v>25000</v>
      </c>
    </row>
    <row r="8690" spans="1:12" hidden="1" outlineLevel="1" collapsed="1" x14ac:dyDescent="0.35">
      <c r="A8690" s="112" t="s">
        <v>5553</v>
      </c>
      <c r="B8690" s="112" t="s">
        <v>927</v>
      </c>
      <c r="C8690" s="112" t="s">
        <v>1219</v>
      </c>
      <c r="D8690" s="113">
        <v>46308101</v>
      </c>
      <c r="E8690" s="115">
        <v>43950</v>
      </c>
      <c r="F8690" s="114">
        <v>202101</v>
      </c>
      <c r="G8690" s="112" t="s">
        <v>1091</v>
      </c>
      <c r="H8690" s="112" t="s">
        <v>1015</v>
      </c>
      <c r="I8690" s="112" t="s">
        <v>1605</v>
      </c>
      <c r="J8690" s="112" t="s">
        <v>5554</v>
      </c>
      <c r="K8690" s="112" t="s">
        <v>5555</v>
      </c>
      <c r="L8690" s="116">
        <v>25000</v>
      </c>
    </row>
    <row r="8691" spans="1:12" hidden="1" outlineLevel="1" collapsed="1" x14ac:dyDescent="0.35">
      <c r="A8691" s="112" t="s">
        <v>5553</v>
      </c>
      <c r="B8691" s="112" t="s">
        <v>927</v>
      </c>
      <c r="C8691" s="112" t="s">
        <v>1219</v>
      </c>
      <c r="D8691" s="113">
        <v>46307216</v>
      </c>
      <c r="E8691" s="115">
        <v>43937</v>
      </c>
      <c r="F8691" s="114">
        <v>202101</v>
      </c>
      <c r="G8691" s="112" t="s">
        <v>1091</v>
      </c>
      <c r="H8691" s="112" t="s">
        <v>1015</v>
      </c>
      <c r="I8691" s="112" t="s">
        <v>1605</v>
      </c>
      <c r="J8691" s="112" t="s">
        <v>5554</v>
      </c>
      <c r="K8691" s="112" t="s">
        <v>5555</v>
      </c>
      <c r="L8691" s="116">
        <v>25000</v>
      </c>
    </row>
    <row r="8692" spans="1:12" hidden="1" outlineLevel="1" collapsed="1" x14ac:dyDescent="0.35">
      <c r="A8692" s="112" t="s">
        <v>5553</v>
      </c>
      <c r="B8692" s="112" t="s">
        <v>927</v>
      </c>
      <c r="C8692" s="112" t="s">
        <v>1219</v>
      </c>
      <c r="D8692" s="113">
        <v>46307598</v>
      </c>
      <c r="E8692" s="115">
        <v>43943</v>
      </c>
      <c r="F8692" s="114">
        <v>202101</v>
      </c>
      <c r="G8692" s="112" t="s">
        <v>1091</v>
      </c>
      <c r="H8692" s="112" t="s">
        <v>1015</v>
      </c>
      <c r="I8692" s="112" t="s">
        <v>1605</v>
      </c>
      <c r="J8692" s="112" t="s">
        <v>5554</v>
      </c>
      <c r="K8692" s="112" t="s">
        <v>5556</v>
      </c>
      <c r="L8692" s="116">
        <v>10000</v>
      </c>
    </row>
    <row r="8693" spans="1:12" hidden="1" outlineLevel="1" collapsed="1" x14ac:dyDescent="0.35">
      <c r="A8693" s="112" t="s">
        <v>5553</v>
      </c>
      <c r="B8693" s="112" t="s">
        <v>927</v>
      </c>
      <c r="C8693" s="112" t="s">
        <v>1219</v>
      </c>
      <c r="D8693" s="113">
        <v>46307597</v>
      </c>
      <c r="E8693" s="115">
        <v>43943</v>
      </c>
      <c r="F8693" s="114">
        <v>202101</v>
      </c>
      <c r="G8693" s="112" t="s">
        <v>1091</v>
      </c>
      <c r="H8693" s="112" t="s">
        <v>1015</v>
      </c>
      <c r="I8693" s="112" t="s">
        <v>1605</v>
      </c>
      <c r="J8693" s="112" t="s">
        <v>5554</v>
      </c>
      <c r="K8693" s="112" t="s">
        <v>5555</v>
      </c>
      <c r="L8693" s="116">
        <v>25000</v>
      </c>
    </row>
    <row r="8694" spans="1:12" hidden="1" outlineLevel="1" collapsed="1" x14ac:dyDescent="0.35">
      <c r="A8694" s="112" t="s">
        <v>5553</v>
      </c>
      <c r="B8694" s="112" t="s">
        <v>927</v>
      </c>
      <c r="C8694" s="112" t="s">
        <v>1095</v>
      </c>
      <c r="D8694" s="113">
        <v>10348451</v>
      </c>
      <c r="E8694" s="115">
        <v>43949</v>
      </c>
      <c r="F8694" s="114">
        <v>202101</v>
      </c>
      <c r="G8694" s="112" t="s">
        <v>1091</v>
      </c>
      <c r="H8694" s="112" t="s">
        <v>1015</v>
      </c>
      <c r="I8694" s="112" t="s">
        <v>1101</v>
      </c>
      <c r="J8694" s="112" t="s">
        <v>5554</v>
      </c>
      <c r="K8694" s="112" t="s">
        <v>1098</v>
      </c>
      <c r="L8694" s="116">
        <v>426.26</v>
      </c>
    </row>
    <row r="8695" spans="1:12" hidden="1" outlineLevel="1" collapsed="1" x14ac:dyDescent="0.35">
      <c r="A8695" s="112" t="s">
        <v>5553</v>
      </c>
      <c r="B8695" s="112" t="s">
        <v>927</v>
      </c>
      <c r="C8695" s="112" t="s">
        <v>1219</v>
      </c>
      <c r="D8695" s="113">
        <v>46307215</v>
      </c>
      <c r="E8695" s="115">
        <v>43937</v>
      </c>
      <c r="F8695" s="114">
        <v>202101</v>
      </c>
      <c r="G8695" s="112" t="s">
        <v>1091</v>
      </c>
      <c r="H8695" s="112" t="s">
        <v>1015</v>
      </c>
      <c r="I8695" s="112" t="s">
        <v>1605</v>
      </c>
      <c r="J8695" s="112" t="s">
        <v>5554</v>
      </c>
      <c r="K8695" s="112" t="s">
        <v>5555</v>
      </c>
      <c r="L8695" s="116">
        <v>25000</v>
      </c>
    </row>
    <row r="8696" spans="1:12" hidden="1" outlineLevel="1" collapsed="1" x14ac:dyDescent="0.35">
      <c r="A8696" s="112" t="s">
        <v>5553</v>
      </c>
      <c r="B8696" s="112" t="s">
        <v>927</v>
      </c>
      <c r="C8696" s="112" t="s">
        <v>1219</v>
      </c>
      <c r="D8696" s="113">
        <v>46307031</v>
      </c>
      <c r="E8696" s="115">
        <v>43935</v>
      </c>
      <c r="F8696" s="114">
        <v>202101</v>
      </c>
      <c r="G8696" s="112" t="s">
        <v>1091</v>
      </c>
      <c r="H8696" s="112" t="s">
        <v>1015</v>
      </c>
      <c r="I8696" s="112" t="s">
        <v>1605</v>
      </c>
      <c r="J8696" s="112" t="s">
        <v>5554</v>
      </c>
      <c r="K8696" s="112" t="s">
        <v>5555</v>
      </c>
      <c r="L8696" s="116">
        <v>25000</v>
      </c>
    </row>
    <row r="8697" spans="1:12" hidden="1" outlineLevel="1" collapsed="1" x14ac:dyDescent="0.35">
      <c r="A8697" s="112" t="s">
        <v>5553</v>
      </c>
      <c r="B8697" s="112" t="s">
        <v>927</v>
      </c>
      <c r="C8697" s="112" t="s">
        <v>1219</v>
      </c>
      <c r="D8697" s="113">
        <v>46307595</v>
      </c>
      <c r="E8697" s="115">
        <v>43943</v>
      </c>
      <c r="F8697" s="114">
        <v>202101</v>
      </c>
      <c r="G8697" s="112" t="s">
        <v>1091</v>
      </c>
      <c r="H8697" s="112" t="s">
        <v>1015</v>
      </c>
      <c r="I8697" s="112" t="s">
        <v>1605</v>
      </c>
      <c r="J8697" s="112" t="s">
        <v>5554</v>
      </c>
      <c r="K8697" s="112" t="s">
        <v>5556</v>
      </c>
      <c r="L8697" s="116">
        <v>10000</v>
      </c>
    </row>
    <row r="8698" spans="1:12" hidden="1" outlineLevel="1" collapsed="1" x14ac:dyDescent="0.35">
      <c r="A8698" s="112" t="s">
        <v>5553</v>
      </c>
      <c r="B8698" s="112" t="s">
        <v>927</v>
      </c>
      <c r="C8698" s="112" t="s">
        <v>1219</v>
      </c>
      <c r="D8698" s="113">
        <v>46307614</v>
      </c>
      <c r="E8698" s="115">
        <v>43943</v>
      </c>
      <c r="F8698" s="114">
        <v>202101</v>
      </c>
      <c r="G8698" s="112" t="s">
        <v>1091</v>
      </c>
      <c r="H8698" s="112" t="s">
        <v>1015</v>
      </c>
      <c r="I8698" s="112" t="s">
        <v>1605</v>
      </c>
      <c r="J8698" s="112" t="s">
        <v>5554</v>
      </c>
      <c r="K8698" s="112" t="s">
        <v>5556</v>
      </c>
      <c r="L8698" s="116">
        <v>10000</v>
      </c>
    </row>
    <row r="8699" spans="1:12" hidden="1" outlineLevel="1" collapsed="1" x14ac:dyDescent="0.35">
      <c r="A8699" s="112" t="s">
        <v>5553</v>
      </c>
      <c r="B8699" s="112" t="s">
        <v>927</v>
      </c>
      <c r="C8699" s="112" t="s">
        <v>1219</v>
      </c>
      <c r="D8699" s="113">
        <v>46307594</v>
      </c>
      <c r="E8699" s="115">
        <v>43943</v>
      </c>
      <c r="F8699" s="114">
        <v>202101</v>
      </c>
      <c r="G8699" s="112" t="s">
        <v>1091</v>
      </c>
      <c r="H8699" s="112" t="s">
        <v>1015</v>
      </c>
      <c r="I8699" s="112" t="s">
        <v>1605</v>
      </c>
      <c r="J8699" s="112" t="s">
        <v>5554</v>
      </c>
      <c r="K8699" s="112" t="s">
        <v>5556</v>
      </c>
      <c r="L8699" s="116">
        <v>10000</v>
      </c>
    </row>
    <row r="8700" spans="1:12" hidden="1" outlineLevel="1" collapsed="1" x14ac:dyDescent="0.35">
      <c r="A8700" s="112" t="s">
        <v>5553</v>
      </c>
      <c r="B8700" s="112" t="s">
        <v>927</v>
      </c>
      <c r="C8700" s="112" t="s">
        <v>1219</v>
      </c>
      <c r="D8700" s="113">
        <v>46307593</v>
      </c>
      <c r="E8700" s="115">
        <v>43943</v>
      </c>
      <c r="F8700" s="114">
        <v>202101</v>
      </c>
      <c r="G8700" s="112" t="s">
        <v>1091</v>
      </c>
      <c r="H8700" s="112" t="s">
        <v>1015</v>
      </c>
      <c r="I8700" s="112" t="s">
        <v>1605</v>
      </c>
      <c r="J8700" s="112" t="s">
        <v>5554</v>
      </c>
      <c r="K8700" s="112" t="s">
        <v>5556</v>
      </c>
      <c r="L8700" s="116">
        <v>10000</v>
      </c>
    </row>
    <row r="8701" spans="1:12" hidden="1" outlineLevel="1" collapsed="1" x14ac:dyDescent="0.35">
      <c r="A8701" s="112" t="s">
        <v>5553</v>
      </c>
      <c r="B8701" s="112" t="s">
        <v>927</v>
      </c>
      <c r="C8701" s="112" t="s">
        <v>1219</v>
      </c>
      <c r="D8701" s="113">
        <v>46307592</v>
      </c>
      <c r="E8701" s="115">
        <v>43943</v>
      </c>
      <c r="F8701" s="114">
        <v>202101</v>
      </c>
      <c r="G8701" s="112" t="s">
        <v>1091</v>
      </c>
      <c r="H8701" s="112" t="s">
        <v>1015</v>
      </c>
      <c r="I8701" s="112" t="s">
        <v>1605</v>
      </c>
      <c r="J8701" s="112" t="s">
        <v>5554</v>
      </c>
      <c r="K8701" s="112" t="s">
        <v>5555</v>
      </c>
      <c r="L8701" s="116">
        <v>25000</v>
      </c>
    </row>
    <row r="8702" spans="1:12" hidden="1" outlineLevel="1" collapsed="1" x14ac:dyDescent="0.35">
      <c r="A8702" s="112" t="s">
        <v>5553</v>
      </c>
      <c r="B8702" s="112" t="s">
        <v>927</v>
      </c>
      <c r="C8702" s="112" t="s">
        <v>1219</v>
      </c>
      <c r="D8702" s="113">
        <v>46308102</v>
      </c>
      <c r="E8702" s="115">
        <v>43950</v>
      </c>
      <c r="F8702" s="114">
        <v>202101</v>
      </c>
      <c r="G8702" s="112" t="s">
        <v>1091</v>
      </c>
      <c r="H8702" s="112" t="s">
        <v>1015</v>
      </c>
      <c r="I8702" s="112" t="s">
        <v>1605</v>
      </c>
      <c r="J8702" s="112" t="s">
        <v>5554</v>
      </c>
      <c r="K8702" s="112" t="s">
        <v>5555</v>
      </c>
      <c r="L8702" s="116">
        <v>10000</v>
      </c>
    </row>
    <row r="8703" spans="1:12" hidden="1" outlineLevel="1" collapsed="1" x14ac:dyDescent="0.35">
      <c r="A8703" s="112" t="s">
        <v>5553</v>
      </c>
      <c r="B8703" s="112" t="s">
        <v>927</v>
      </c>
      <c r="C8703" s="112" t="s">
        <v>1219</v>
      </c>
      <c r="D8703" s="113">
        <v>46307591</v>
      </c>
      <c r="E8703" s="115">
        <v>43943</v>
      </c>
      <c r="F8703" s="114">
        <v>202101</v>
      </c>
      <c r="G8703" s="112" t="s">
        <v>1091</v>
      </c>
      <c r="H8703" s="112" t="s">
        <v>1015</v>
      </c>
      <c r="I8703" s="112" t="s">
        <v>1605</v>
      </c>
      <c r="J8703" s="112" t="s">
        <v>5554</v>
      </c>
      <c r="K8703" s="112" t="s">
        <v>5556</v>
      </c>
      <c r="L8703" s="116">
        <v>10000</v>
      </c>
    </row>
    <row r="8704" spans="1:12" hidden="1" outlineLevel="1" collapsed="1" x14ac:dyDescent="0.35">
      <c r="A8704" s="112" t="s">
        <v>5553</v>
      </c>
      <c r="B8704" s="112" t="s">
        <v>927</v>
      </c>
      <c r="C8704" s="112" t="s">
        <v>1219</v>
      </c>
      <c r="D8704" s="113">
        <v>46308103</v>
      </c>
      <c r="E8704" s="115">
        <v>43950</v>
      </c>
      <c r="F8704" s="114">
        <v>202101</v>
      </c>
      <c r="G8704" s="112" t="s">
        <v>1091</v>
      </c>
      <c r="H8704" s="112" t="s">
        <v>1015</v>
      </c>
      <c r="I8704" s="112" t="s">
        <v>1605</v>
      </c>
      <c r="J8704" s="112" t="s">
        <v>5554</v>
      </c>
      <c r="K8704" s="112" t="s">
        <v>5556</v>
      </c>
      <c r="L8704" s="116">
        <v>10000</v>
      </c>
    </row>
    <row r="8705" spans="1:12" hidden="1" outlineLevel="1" collapsed="1" x14ac:dyDescent="0.35">
      <c r="A8705" s="112" t="s">
        <v>5553</v>
      </c>
      <c r="B8705" s="112" t="s">
        <v>927</v>
      </c>
      <c r="C8705" s="112" t="s">
        <v>1219</v>
      </c>
      <c r="D8705" s="113">
        <v>46308104</v>
      </c>
      <c r="E8705" s="115">
        <v>43950</v>
      </c>
      <c r="F8705" s="114">
        <v>202101</v>
      </c>
      <c r="G8705" s="112" t="s">
        <v>1091</v>
      </c>
      <c r="H8705" s="112" t="s">
        <v>1015</v>
      </c>
      <c r="I8705" s="112" t="s">
        <v>1605</v>
      </c>
      <c r="J8705" s="112" t="s">
        <v>5554</v>
      </c>
      <c r="K8705" s="112" t="s">
        <v>5555</v>
      </c>
      <c r="L8705" s="116">
        <v>10000</v>
      </c>
    </row>
    <row r="8706" spans="1:12" hidden="1" outlineLevel="1" collapsed="1" x14ac:dyDescent="0.35">
      <c r="A8706" s="112" t="s">
        <v>5553</v>
      </c>
      <c r="B8706" s="112" t="s">
        <v>927</v>
      </c>
      <c r="C8706" s="112" t="s">
        <v>1219</v>
      </c>
      <c r="D8706" s="113">
        <v>46307193</v>
      </c>
      <c r="E8706" s="115">
        <v>43937</v>
      </c>
      <c r="F8706" s="114">
        <v>202101</v>
      </c>
      <c r="G8706" s="112" t="s">
        <v>1091</v>
      </c>
      <c r="H8706" s="112" t="s">
        <v>1015</v>
      </c>
      <c r="I8706" s="112" t="s">
        <v>1605</v>
      </c>
      <c r="J8706" s="112" t="s">
        <v>5554</v>
      </c>
      <c r="K8706" s="112" t="s">
        <v>5555</v>
      </c>
      <c r="L8706" s="116">
        <v>10000</v>
      </c>
    </row>
    <row r="8707" spans="1:12" hidden="1" outlineLevel="1" collapsed="1" x14ac:dyDescent="0.35">
      <c r="A8707" s="112" t="s">
        <v>5553</v>
      </c>
      <c r="B8707" s="112" t="s">
        <v>927</v>
      </c>
      <c r="C8707" s="112" t="s">
        <v>1219</v>
      </c>
      <c r="D8707" s="113">
        <v>46307194</v>
      </c>
      <c r="E8707" s="115">
        <v>43937</v>
      </c>
      <c r="F8707" s="114">
        <v>202101</v>
      </c>
      <c r="G8707" s="112" t="s">
        <v>1091</v>
      </c>
      <c r="H8707" s="112" t="s">
        <v>1015</v>
      </c>
      <c r="I8707" s="112" t="s">
        <v>1605</v>
      </c>
      <c r="J8707" s="112" t="s">
        <v>5554</v>
      </c>
      <c r="K8707" s="112" t="s">
        <v>5555</v>
      </c>
      <c r="L8707" s="116">
        <v>25000</v>
      </c>
    </row>
    <row r="8708" spans="1:12" hidden="1" outlineLevel="1" collapsed="1" x14ac:dyDescent="0.35">
      <c r="A8708" s="112" t="s">
        <v>5553</v>
      </c>
      <c r="B8708" s="112" t="s">
        <v>927</v>
      </c>
      <c r="C8708" s="112" t="s">
        <v>1219</v>
      </c>
      <c r="D8708" s="113">
        <v>46307590</v>
      </c>
      <c r="E8708" s="115">
        <v>43943</v>
      </c>
      <c r="F8708" s="114">
        <v>202101</v>
      </c>
      <c r="G8708" s="112" t="s">
        <v>1091</v>
      </c>
      <c r="H8708" s="112" t="s">
        <v>1015</v>
      </c>
      <c r="I8708" s="112" t="s">
        <v>1605</v>
      </c>
      <c r="J8708" s="112" t="s">
        <v>5554</v>
      </c>
      <c r="K8708" s="112" t="s">
        <v>5556</v>
      </c>
      <c r="L8708" s="116">
        <v>10000</v>
      </c>
    </row>
    <row r="8709" spans="1:12" hidden="1" outlineLevel="1" collapsed="1" x14ac:dyDescent="0.35">
      <c r="A8709" s="112" t="s">
        <v>5553</v>
      </c>
      <c r="B8709" s="112" t="s">
        <v>927</v>
      </c>
      <c r="C8709" s="112" t="s">
        <v>1219</v>
      </c>
      <c r="D8709" s="113">
        <v>46307589</v>
      </c>
      <c r="E8709" s="115">
        <v>43943</v>
      </c>
      <c r="F8709" s="114">
        <v>202101</v>
      </c>
      <c r="G8709" s="112" t="s">
        <v>1091</v>
      </c>
      <c r="H8709" s="112" t="s">
        <v>1015</v>
      </c>
      <c r="I8709" s="112" t="s">
        <v>1605</v>
      </c>
      <c r="J8709" s="112" t="s">
        <v>5554</v>
      </c>
      <c r="K8709" s="112" t="s">
        <v>5555</v>
      </c>
      <c r="L8709" s="116">
        <v>25000</v>
      </c>
    </row>
    <row r="8710" spans="1:12" hidden="1" outlineLevel="1" collapsed="1" x14ac:dyDescent="0.35">
      <c r="A8710" s="112" t="s">
        <v>5553</v>
      </c>
      <c r="B8710" s="112" t="s">
        <v>927</v>
      </c>
      <c r="C8710" s="112" t="s">
        <v>1219</v>
      </c>
      <c r="D8710" s="113">
        <v>46307024</v>
      </c>
      <c r="E8710" s="115">
        <v>43935</v>
      </c>
      <c r="F8710" s="114">
        <v>202101</v>
      </c>
      <c r="G8710" s="112" t="s">
        <v>1091</v>
      </c>
      <c r="H8710" s="112" t="s">
        <v>1015</v>
      </c>
      <c r="I8710" s="112" t="s">
        <v>1605</v>
      </c>
      <c r="J8710" s="112" t="s">
        <v>5554</v>
      </c>
      <c r="K8710" s="112" t="s">
        <v>5555</v>
      </c>
      <c r="L8710" s="116">
        <v>25000</v>
      </c>
    </row>
    <row r="8711" spans="1:12" hidden="1" outlineLevel="1" collapsed="1" x14ac:dyDescent="0.35">
      <c r="A8711" s="112" t="s">
        <v>5553</v>
      </c>
      <c r="B8711" s="112" t="s">
        <v>927</v>
      </c>
      <c r="C8711" s="112" t="s">
        <v>1219</v>
      </c>
      <c r="D8711" s="113">
        <v>46307596</v>
      </c>
      <c r="E8711" s="115">
        <v>43943</v>
      </c>
      <c r="F8711" s="114">
        <v>202101</v>
      </c>
      <c r="G8711" s="112" t="s">
        <v>1091</v>
      </c>
      <c r="H8711" s="112" t="s">
        <v>1015</v>
      </c>
      <c r="I8711" s="112" t="s">
        <v>1605</v>
      </c>
      <c r="J8711" s="112" t="s">
        <v>5554</v>
      </c>
      <c r="K8711" s="112" t="s">
        <v>5556</v>
      </c>
      <c r="L8711" s="116">
        <v>10000</v>
      </c>
    </row>
    <row r="8712" spans="1:12" hidden="1" outlineLevel="1" collapsed="1" x14ac:dyDescent="0.35">
      <c r="A8712" s="112" t="s">
        <v>5553</v>
      </c>
      <c r="B8712" s="112" t="s">
        <v>927</v>
      </c>
      <c r="C8712" s="112" t="s">
        <v>1219</v>
      </c>
      <c r="D8712" s="113">
        <v>46307021</v>
      </c>
      <c r="E8712" s="115">
        <v>43935</v>
      </c>
      <c r="F8712" s="114">
        <v>202101</v>
      </c>
      <c r="G8712" s="112" t="s">
        <v>1091</v>
      </c>
      <c r="H8712" s="112" t="s">
        <v>1015</v>
      </c>
      <c r="I8712" s="112" t="s">
        <v>1605</v>
      </c>
      <c r="J8712" s="112" t="s">
        <v>5554</v>
      </c>
      <c r="K8712" s="112" t="s">
        <v>5555</v>
      </c>
      <c r="L8712" s="116">
        <v>10000</v>
      </c>
    </row>
    <row r="8713" spans="1:12" hidden="1" outlineLevel="1" collapsed="1" x14ac:dyDescent="0.35">
      <c r="A8713" s="112" t="s">
        <v>5553</v>
      </c>
      <c r="B8713" s="112" t="s">
        <v>927</v>
      </c>
      <c r="C8713" s="112" t="s">
        <v>1219</v>
      </c>
      <c r="D8713" s="113">
        <v>46307015</v>
      </c>
      <c r="E8713" s="115">
        <v>43935</v>
      </c>
      <c r="F8713" s="114">
        <v>202101</v>
      </c>
      <c r="G8713" s="112" t="s">
        <v>1091</v>
      </c>
      <c r="H8713" s="112" t="s">
        <v>1015</v>
      </c>
      <c r="I8713" s="112" t="s">
        <v>1605</v>
      </c>
      <c r="J8713" s="112" t="s">
        <v>5554</v>
      </c>
      <c r="K8713" s="112" t="s">
        <v>5556</v>
      </c>
      <c r="L8713" s="116">
        <v>10000</v>
      </c>
    </row>
    <row r="8714" spans="1:12" hidden="1" outlineLevel="1" collapsed="1" x14ac:dyDescent="0.35">
      <c r="A8714" s="112" t="s">
        <v>5553</v>
      </c>
      <c r="B8714" s="112" t="s">
        <v>927</v>
      </c>
      <c r="C8714" s="112" t="s">
        <v>1219</v>
      </c>
      <c r="D8714" s="113">
        <v>46307173</v>
      </c>
      <c r="E8714" s="115">
        <v>43937</v>
      </c>
      <c r="F8714" s="114">
        <v>202101</v>
      </c>
      <c r="G8714" s="112" t="s">
        <v>1091</v>
      </c>
      <c r="H8714" s="112" t="s">
        <v>1015</v>
      </c>
      <c r="I8714" s="112" t="s">
        <v>1605</v>
      </c>
      <c r="J8714" s="112" t="s">
        <v>5554</v>
      </c>
      <c r="K8714" s="112" t="s">
        <v>5556</v>
      </c>
      <c r="L8714" s="116">
        <v>10000</v>
      </c>
    </row>
    <row r="8715" spans="1:12" hidden="1" outlineLevel="1" collapsed="1" x14ac:dyDescent="0.35">
      <c r="A8715" s="112" t="s">
        <v>5553</v>
      </c>
      <c r="B8715" s="112" t="s">
        <v>927</v>
      </c>
      <c r="C8715" s="112" t="s">
        <v>1219</v>
      </c>
      <c r="D8715" s="113">
        <v>46307212</v>
      </c>
      <c r="E8715" s="115">
        <v>43937</v>
      </c>
      <c r="F8715" s="114">
        <v>202101</v>
      </c>
      <c r="G8715" s="112" t="s">
        <v>1091</v>
      </c>
      <c r="H8715" s="112" t="s">
        <v>1015</v>
      </c>
      <c r="I8715" s="112" t="s">
        <v>1605</v>
      </c>
      <c r="J8715" s="112" t="s">
        <v>5554</v>
      </c>
      <c r="K8715" s="112" t="s">
        <v>5555</v>
      </c>
      <c r="L8715" s="116">
        <v>25000</v>
      </c>
    </row>
    <row r="8716" spans="1:12" hidden="1" outlineLevel="1" collapsed="1" x14ac:dyDescent="0.35">
      <c r="A8716" s="112" t="s">
        <v>5553</v>
      </c>
      <c r="B8716" s="112" t="s">
        <v>927</v>
      </c>
      <c r="C8716" s="112" t="s">
        <v>1219</v>
      </c>
      <c r="D8716" s="113">
        <v>46307208</v>
      </c>
      <c r="E8716" s="115">
        <v>43937</v>
      </c>
      <c r="F8716" s="114">
        <v>202101</v>
      </c>
      <c r="G8716" s="112" t="s">
        <v>1091</v>
      </c>
      <c r="H8716" s="112" t="s">
        <v>1015</v>
      </c>
      <c r="I8716" s="112" t="s">
        <v>1605</v>
      </c>
      <c r="J8716" s="112" t="s">
        <v>5554</v>
      </c>
      <c r="K8716" s="112" t="s">
        <v>5556</v>
      </c>
      <c r="L8716" s="116">
        <v>10000</v>
      </c>
    </row>
    <row r="8717" spans="1:12" hidden="1" outlineLevel="1" collapsed="1" x14ac:dyDescent="0.35">
      <c r="A8717" s="112" t="s">
        <v>5553</v>
      </c>
      <c r="B8717" s="112" t="s">
        <v>927</v>
      </c>
      <c r="C8717" s="112" t="s">
        <v>1219</v>
      </c>
      <c r="D8717" s="113">
        <v>46307211</v>
      </c>
      <c r="E8717" s="115">
        <v>43937</v>
      </c>
      <c r="F8717" s="114">
        <v>202101</v>
      </c>
      <c r="G8717" s="112" t="s">
        <v>1091</v>
      </c>
      <c r="H8717" s="112" t="s">
        <v>1015</v>
      </c>
      <c r="I8717" s="112" t="s">
        <v>1605</v>
      </c>
      <c r="J8717" s="112" t="s">
        <v>5554</v>
      </c>
      <c r="K8717" s="112" t="s">
        <v>5556</v>
      </c>
      <c r="L8717" s="116">
        <v>10000</v>
      </c>
    </row>
    <row r="8718" spans="1:12" hidden="1" outlineLevel="1" collapsed="1" x14ac:dyDescent="0.35">
      <c r="A8718" s="112" t="s">
        <v>5553</v>
      </c>
      <c r="B8718" s="112" t="s">
        <v>927</v>
      </c>
      <c r="C8718" s="112" t="s">
        <v>1219</v>
      </c>
      <c r="D8718" s="113">
        <v>46307014</v>
      </c>
      <c r="E8718" s="115">
        <v>43935</v>
      </c>
      <c r="F8718" s="114">
        <v>202101</v>
      </c>
      <c r="G8718" s="112" t="s">
        <v>1091</v>
      </c>
      <c r="H8718" s="112" t="s">
        <v>1015</v>
      </c>
      <c r="I8718" s="112" t="s">
        <v>1605</v>
      </c>
      <c r="J8718" s="112" t="s">
        <v>5554</v>
      </c>
      <c r="K8718" s="112" t="s">
        <v>5555</v>
      </c>
      <c r="L8718" s="116">
        <v>25000</v>
      </c>
    </row>
    <row r="8719" spans="1:12" hidden="1" outlineLevel="1" collapsed="1" x14ac:dyDescent="0.35">
      <c r="A8719" s="112" t="s">
        <v>5553</v>
      </c>
      <c r="B8719" s="112" t="s">
        <v>927</v>
      </c>
      <c r="C8719" s="112" t="s">
        <v>1219</v>
      </c>
      <c r="D8719" s="113">
        <v>46307209</v>
      </c>
      <c r="E8719" s="115">
        <v>43937</v>
      </c>
      <c r="F8719" s="114">
        <v>202101</v>
      </c>
      <c r="G8719" s="112" t="s">
        <v>1091</v>
      </c>
      <c r="H8719" s="112" t="s">
        <v>1015</v>
      </c>
      <c r="I8719" s="112" t="s">
        <v>1605</v>
      </c>
      <c r="J8719" s="112" t="s">
        <v>5554</v>
      </c>
      <c r="K8719" s="112" t="s">
        <v>5555</v>
      </c>
      <c r="L8719" s="116">
        <v>25000</v>
      </c>
    </row>
    <row r="8720" spans="1:12" hidden="1" outlineLevel="1" collapsed="1" x14ac:dyDescent="0.35">
      <c r="A8720" s="112" t="s">
        <v>5553</v>
      </c>
      <c r="B8720" s="112" t="s">
        <v>927</v>
      </c>
      <c r="C8720" s="112" t="s">
        <v>1219</v>
      </c>
      <c r="D8720" s="113">
        <v>46307210</v>
      </c>
      <c r="E8720" s="115">
        <v>43937</v>
      </c>
      <c r="F8720" s="114">
        <v>202101</v>
      </c>
      <c r="G8720" s="112" t="s">
        <v>1091</v>
      </c>
      <c r="H8720" s="112" t="s">
        <v>1015</v>
      </c>
      <c r="I8720" s="112" t="s">
        <v>1605</v>
      </c>
      <c r="J8720" s="112" t="s">
        <v>5554</v>
      </c>
      <c r="K8720" s="112" t="s">
        <v>5556</v>
      </c>
      <c r="L8720" s="116">
        <v>10000</v>
      </c>
    </row>
    <row r="8721" spans="1:12" hidden="1" outlineLevel="1" collapsed="1" x14ac:dyDescent="0.35">
      <c r="A8721" s="112" t="s">
        <v>5553</v>
      </c>
      <c r="B8721" s="112" t="s">
        <v>927</v>
      </c>
      <c r="C8721" s="112" t="s">
        <v>1219</v>
      </c>
      <c r="D8721" s="113">
        <v>46307013</v>
      </c>
      <c r="E8721" s="115">
        <v>43935</v>
      </c>
      <c r="F8721" s="114">
        <v>202101</v>
      </c>
      <c r="G8721" s="112" t="s">
        <v>1091</v>
      </c>
      <c r="H8721" s="112" t="s">
        <v>1015</v>
      </c>
      <c r="I8721" s="112" t="s">
        <v>1605</v>
      </c>
      <c r="J8721" s="112" t="s">
        <v>5554</v>
      </c>
      <c r="K8721" s="112" t="s">
        <v>5555</v>
      </c>
      <c r="L8721" s="116">
        <v>25000</v>
      </c>
    </row>
    <row r="8722" spans="1:12" hidden="1" outlineLevel="1" collapsed="1" x14ac:dyDescent="0.35">
      <c r="A8722" s="112" t="s">
        <v>5553</v>
      </c>
      <c r="B8722" s="112" t="s">
        <v>927</v>
      </c>
      <c r="C8722" s="112" t="s">
        <v>1219</v>
      </c>
      <c r="D8722" s="113">
        <v>46307017</v>
      </c>
      <c r="E8722" s="115">
        <v>43935</v>
      </c>
      <c r="F8722" s="114">
        <v>202101</v>
      </c>
      <c r="G8722" s="112" t="s">
        <v>1091</v>
      </c>
      <c r="H8722" s="112" t="s">
        <v>1015</v>
      </c>
      <c r="I8722" s="112" t="s">
        <v>1605</v>
      </c>
      <c r="J8722" s="112" t="s">
        <v>5554</v>
      </c>
      <c r="K8722" s="112" t="s">
        <v>5556</v>
      </c>
      <c r="L8722" s="116">
        <v>10000</v>
      </c>
    </row>
    <row r="8723" spans="1:12" hidden="1" outlineLevel="1" collapsed="1" x14ac:dyDescent="0.35">
      <c r="A8723" s="112" t="s">
        <v>5553</v>
      </c>
      <c r="B8723" s="112" t="s">
        <v>927</v>
      </c>
      <c r="C8723" s="112" t="s">
        <v>1219</v>
      </c>
      <c r="D8723" s="113">
        <v>46307018</v>
      </c>
      <c r="E8723" s="115">
        <v>43935</v>
      </c>
      <c r="F8723" s="114">
        <v>202101</v>
      </c>
      <c r="G8723" s="112" t="s">
        <v>1091</v>
      </c>
      <c r="H8723" s="112" t="s">
        <v>1015</v>
      </c>
      <c r="I8723" s="112" t="s">
        <v>1605</v>
      </c>
      <c r="J8723" s="112" t="s">
        <v>5554</v>
      </c>
      <c r="K8723" s="112" t="s">
        <v>5555</v>
      </c>
      <c r="L8723" s="116">
        <v>25000</v>
      </c>
    </row>
    <row r="8724" spans="1:12" hidden="1" outlineLevel="1" collapsed="1" x14ac:dyDescent="0.35">
      <c r="A8724" s="112" t="s">
        <v>5553</v>
      </c>
      <c r="B8724" s="112" t="s">
        <v>927</v>
      </c>
      <c r="C8724" s="112" t="s">
        <v>1219</v>
      </c>
      <c r="D8724" s="113">
        <v>46307012</v>
      </c>
      <c r="E8724" s="115">
        <v>43935</v>
      </c>
      <c r="F8724" s="114">
        <v>202101</v>
      </c>
      <c r="G8724" s="112" t="s">
        <v>1091</v>
      </c>
      <c r="H8724" s="112" t="s">
        <v>1015</v>
      </c>
      <c r="I8724" s="112" t="s">
        <v>1605</v>
      </c>
      <c r="J8724" s="112" t="s">
        <v>5554</v>
      </c>
      <c r="K8724" s="112" t="s">
        <v>5555</v>
      </c>
      <c r="L8724" s="116">
        <v>25000</v>
      </c>
    </row>
    <row r="8725" spans="1:12" hidden="1" outlineLevel="1" collapsed="1" x14ac:dyDescent="0.35">
      <c r="A8725" s="112" t="s">
        <v>5553</v>
      </c>
      <c r="B8725" s="112" t="s">
        <v>927</v>
      </c>
      <c r="C8725" s="112" t="s">
        <v>1219</v>
      </c>
      <c r="D8725" s="113">
        <v>46307019</v>
      </c>
      <c r="E8725" s="115">
        <v>43935</v>
      </c>
      <c r="F8725" s="114">
        <v>202101</v>
      </c>
      <c r="G8725" s="112" t="s">
        <v>1091</v>
      </c>
      <c r="H8725" s="112" t="s">
        <v>1015</v>
      </c>
      <c r="I8725" s="112" t="s">
        <v>1605</v>
      </c>
      <c r="J8725" s="112" t="s">
        <v>5554</v>
      </c>
      <c r="K8725" s="112" t="s">
        <v>5555</v>
      </c>
      <c r="L8725" s="116">
        <v>25000</v>
      </c>
    </row>
    <row r="8726" spans="1:12" hidden="1" outlineLevel="1" collapsed="1" x14ac:dyDescent="0.35">
      <c r="A8726" s="112" t="s">
        <v>5553</v>
      </c>
      <c r="B8726" s="112" t="s">
        <v>927</v>
      </c>
      <c r="C8726" s="112" t="s">
        <v>1219</v>
      </c>
      <c r="D8726" s="113">
        <v>46307011</v>
      </c>
      <c r="E8726" s="115">
        <v>43935</v>
      </c>
      <c r="F8726" s="114">
        <v>202101</v>
      </c>
      <c r="G8726" s="112" t="s">
        <v>1091</v>
      </c>
      <c r="H8726" s="112" t="s">
        <v>1015</v>
      </c>
      <c r="I8726" s="112" t="s">
        <v>1605</v>
      </c>
      <c r="J8726" s="112" t="s">
        <v>5554</v>
      </c>
      <c r="K8726" s="112" t="s">
        <v>5555</v>
      </c>
      <c r="L8726" s="116">
        <v>25000</v>
      </c>
    </row>
    <row r="8727" spans="1:12" hidden="1" outlineLevel="1" collapsed="1" x14ac:dyDescent="0.35">
      <c r="A8727" s="112" t="s">
        <v>5553</v>
      </c>
      <c r="B8727" s="112" t="s">
        <v>927</v>
      </c>
      <c r="C8727" s="112" t="s">
        <v>1219</v>
      </c>
      <c r="D8727" s="113">
        <v>46307010</v>
      </c>
      <c r="E8727" s="115">
        <v>43935</v>
      </c>
      <c r="F8727" s="114">
        <v>202101</v>
      </c>
      <c r="G8727" s="112" t="s">
        <v>1091</v>
      </c>
      <c r="H8727" s="112" t="s">
        <v>1015</v>
      </c>
      <c r="I8727" s="112" t="s">
        <v>1605</v>
      </c>
      <c r="J8727" s="112" t="s">
        <v>5554</v>
      </c>
      <c r="K8727" s="112" t="s">
        <v>5555</v>
      </c>
      <c r="L8727" s="116">
        <v>25000</v>
      </c>
    </row>
    <row r="8728" spans="1:12" hidden="1" outlineLevel="1" collapsed="1" x14ac:dyDescent="0.35">
      <c r="A8728" s="112" t="s">
        <v>5553</v>
      </c>
      <c r="B8728" s="112" t="s">
        <v>927</v>
      </c>
      <c r="C8728" s="112" t="s">
        <v>1219</v>
      </c>
      <c r="D8728" s="113">
        <v>46307023</v>
      </c>
      <c r="E8728" s="115">
        <v>43935</v>
      </c>
      <c r="F8728" s="114">
        <v>202101</v>
      </c>
      <c r="G8728" s="112" t="s">
        <v>1091</v>
      </c>
      <c r="H8728" s="112" t="s">
        <v>1015</v>
      </c>
      <c r="I8728" s="112" t="s">
        <v>1605</v>
      </c>
      <c r="J8728" s="112" t="s">
        <v>5554</v>
      </c>
      <c r="K8728" s="112" t="s">
        <v>5555</v>
      </c>
      <c r="L8728" s="116">
        <v>25000</v>
      </c>
    </row>
    <row r="8729" spans="1:12" hidden="1" outlineLevel="1" collapsed="1" x14ac:dyDescent="0.35">
      <c r="A8729" s="112" t="s">
        <v>5553</v>
      </c>
      <c r="B8729" s="112" t="s">
        <v>927</v>
      </c>
      <c r="C8729" s="112" t="s">
        <v>1219</v>
      </c>
      <c r="D8729" s="113">
        <v>46307020</v>
      </c>
      <c r="E8729" s="115">
        <v>43935</v>
      </c>
      <c r="F8729" s="114">
        <v>202101</v>
      </c>
      <c r="G8729" s="112" t="s">
        <v>1091</v>
      </c>
      <c r="H8729" s="112" t="s">
        <v>1015</v>
      </c>
      <c r="I8729" s="112" t="s">
        <v>1605</v>
      </c>
      <c r="J8729" s="112" t="s">
        <v>5554</v>
      </c>
      <c r="K8729" s="112" t="s">
        <v>5555</v>
      </c>
      <c r="L8729" s="116">
        <v>25000</v>
      </c>
    </row>
    <row r="8730" spans="1:12" hidden="1" outlineLevel="1" collapsed="1" x14ac:dyDescent="0.35">
      <c r="A8730" s="112" t="s">
        <v>5553</v>
      </c>
      <c r="B8730" s="112" t="s">
        <v>927</v>
      </c>
      <c r="C8730" s="112" t="s">
        <v>1219</v>
      </c>
      <c r="D8730" s="113">
        <v>46307022</v>
      </c>
      <c r="E8730" s="115">
        <v>43935</v>
      </c>
      <c r="F8730" s="114">
        <v>202101</v>
      </c>
      <c r="G8730" s="112" t="s">
        <v>1091</v>
      </c>
      <c r="H8730" s="112" t="s">
        <v>1015</v>
      </c>
      <c r="I8730" s="112" t="s">
        <v>1605</v>
      </c>
      <c r="J8730" s="112" t="s">
        <v>5554</v>
      </c>
      <c r="K8730" s="112" t="s">
        <v>5555</v>
      </c>
      <c r="L8730" s="116">
        <v>25000</v>
      </c>
    </row>
    <row r="8731" spans="1:12" hidden="1" outlineLevel="1" collapsed="1" x14ac:dyDescent="0.35">
      <c r="A8731" s="112" t="s">
        <v>5553</v>
      </c>
      <c r="B8731" s="112" t="s">
        <v>926</v>
      </c>
      <c r="C8731" s="112" t="s">
        <v>1095</v>
      </c>
      <c r="D8731" s="113">
        <v>10348451</v>
      </c>
      <c r="E8731" s="115">
        <v>43949</v>
      </c>
      <c r="F8731" s="114">
        <v>202101</v>
      </c>
      <c r="G8731" s="112" t="s">
        <v>1091</v>
      </c>
      <c r="H8731" s="112" t="s">
        <v>1015</v>
      </c>
      <c r="I8731" s="112" t="s">
        <v>1479</v>
      </c>
      <c r="J8731" s="112" t="s">
        <v>5591</v>
      </c>
      <c r="K8731" s="112" t="s">
        <v>1098</v>
      </c>
      <c r="L8731" s="116">
        <v>750.96</v>
      </c>
    </row>
    <row r="8732" spans="1:12" hidden="1" outlineLevel="1" collapsed="1" x14ac:dyDescent="0.35">
      <c r="A8732" s="112" t="s">
        <v>5553</v>
      </c>
      <c r="B8732" s="112" t="s">
        <v>927</v>
      </c>
      <c r="C8732" s="112" t="s">
        <v>1099</v>
      </c>
      <c r="D8732" s="113">
        <v>1069370</v>
      </c>
      <c r="E8732" s="115">
        <v>43921</v>
      </c>
      <c r="F8732" s="114">
        <v>202101</v>
      </c>
      <c r="G8732" s="112" t="s">
        <v>1091</v>
      </c>
      <c r="H8732" s="112" t="s">
        <v>1015</v>
      </c>
      <c r="I8732" s="112" t="s">
        <v>761</v>
      </c>
      <c r="J8732" s="112" t="s">
        <v>5557</v>
      </c>
      <c r="K8732" s="112" t="s">
        <v>5665</v>
      </c>
      <c r="L8732" s="116">
        <v>3407.5</v>
      </c>
    </row>
    <row r="8733" spans="1:12" hidden="1" outlineLevel="1" collapsed="1" x14ac:dyDescent="0.35">
      <c r="A8733" s="112" t="s">
        <v>5553</v>
      </c>
      <c r="B8733" s="112" t="s">
        <v>927</v>
      </c>
      <c r="C8733" s="112" t="s">
        <v>1219</v>
      </c>
      <c r="D8733" s="113">
        <v>46307016</v>
      </c>
      <c r="E8733" s="115">
        <v>43935</v>
      </c>
      <c r="F8733" s="114">
        <v>202101</v>
      </c>
      <c r="G8733" s="112" t="s">
        <v>1091</v>
      </c>
      <c r="H8733" s="112" t="s">
        <v>1015</v>
      </c>
      <c r="I8733" s="112" t="s">
        <v>1605</v>
      </c>
      <c r="J8733" s="112" t="s">
        <v>5554</v>
      </c>
      <c r="K8733" s="112" t="s">
        <v>5556</v>
      </c>
      <c r="L8733" s="116">
        <v>10000</v>
      </c>
    </row>
    <row r="8734" spans="1:12" hidden="1" outlineLevel="1" collapsed="1" x14ac:dyDescent="0.35">
      <c r="A8734" s="112" t="s">
        <v>5553</v>
      </c>
      <c r="B8734" s="112" t="s">
        <v>927</v>
      </c>
      <c r="C8734" s="112" t="s">
        <v>1219</v>
      </c>
      <c r="D8734" s="113">
        <v>46307606</v>
      </c>
      <c r="E8734" s="115">
        <v>43943</v>
      </c>
      <c r="F8734" s="114">
        <v>202101</v>
      </c>
      <c r="G8734" s="112" t="s">
        <v>1091</v>
      </c>
      <c r="H8734" s="112" t="s">
        <v>1015</v>
      </c>
      <c r="I8734" s="112" t="s">
        <v>1605</v>
      </c>
      <c r="J8734" s="112" t="s">
        <v>5554</v>
      </c>
      <c r="K8734" s="112" t="s">
        <v>5555</v>
      </c>
      <c r="L8734" s="116">
        <v>25000</v>
      </c>
    </row>
    <row r="8735" spans="1:12" hidden="1" outlineLevel="1" collapsed="1" x14ac:dyDescent="0.35">
      <c r="A8735" s="112" t="s">
        <v>5553</v>
      </c>
      <c r="B8735" s="112" t="s">
        <v>927</v>
      </c>
      <c r="C8735" s="112" t="s">
        <v>1095</v>
      </c>
      <c r="D8735" s="113">
        <v>10348451</v>
      </c>
      <c r="E8735" s="115">
        <v>43949</v>
      </c>
      <c r="F8735" s="114">
        <v>202101</v>
      </c>
      <c r="G8735" s="112" t="s">
        <v>1091</v>
      </c>
      <c r="H8735" s="112" t="s">
        <v>1015</v>
      </c>
      <c r="I8735" s="112" t="s">
        <v>1096</v>
      </c>
      <c r="J8735" s="112" t="s">
        <v>5554</v>
      </c>
      <c r="K8735" s="112" t="s">
        <v>1098</v>
      </c>
      <c r="L8735" s="116">
        <v>262.10000000000002</v>
      </c>
    </row>
    <row r="8736" spans="1:12" hidden="1" outlineLevel="1" collapsed="1" x14ac:dyDescent="0.35">
      <c r="A8736" s="112" t="s">
        <v>5553</v>
      </c>
      <c r="B8736" s="112" t="s">
        <v>927</v>
      </c>
      <c r="C8736" s="112" t="s">
        <v>1219</v>
      </c>
      <c r="D8736" s="113">
        <v>46306850</v>
      </c>
      <c r="E8736" s="115">
        <v>43927</v>
      </c>
      <c r="F8736" s="114">
        <v>202101</v>
      </c>
      <c r="G8736" s="112" t="s">
        <v>1091</v>
      </c>
      <c r="H8736" s="112" t="s">
        <v>1015</v>
      </c>
      <c r="I8736" s="112" t="s">
        <v>1605</v>
      </c>
      <c r="J8736" s="112" t="s">
        <v>5554</v>
      </c>
      <c r="K8736" s="112" t="s">
        <v>5580</v>
      </c>
      <c r="L8736" s="116">
        <v>10000</v>
      </c>
    </row>
    <row r="8737" spans="1:12" hidden="1" outlineLevel="1" collapsed="1" x14ac:dyDescent="0.35">
      <c r="A8737" s="112" t="s">
        <v>5553</v>
      </c>
      <c r="B8737" s="112" t="s">
        <v>927</v>
      </c>
      <c r="C8737" s="112" t="s">
        <v>1219</v>
      </c>
      <c r="D8737" s="113">
        <v>46307253</v>
      </c>
      <c r="E8737" s="115">
        <v>43938</v>
      </c>
      <c r="F8737" s="114">
        <v>202101</v>
      </c>
      <c r="G8737" s="112" t="s">
        <v>1091</v>
      </c>
      <c r="H8737" s="112" t="s">
        <v>1015</v>
      </c>
      <c r="I8737" s="112" t="s">
        <v>1605</v>
      </c>
      <c r="J8737" s="112" t="s">
        <v>5554</v>
      </c>
      <c r="K8737" s="112" t="s">
        <v>5555</v>
      </c>
      <c r="L8737" s="116">
        <v>25000</v>
      </c>
    </row>
    <row r="8738" spans="1:12" hidden="1" outlineLevel="1" collapsed="1" x14ac:dyDescent="0.35">
      <c r="A8738" s="112" t="s">
        <v>5666</v>
      </c>
      <c r="B8738" s="112" t="s">
        <v>930</v>
      </c>
      <c r="C8738" s="112" t="s">
        <v>1095</v>
      </c>
      <c r="D8738" s="113">
        <v>10348451</v>
      </c>
      <c r="E8738" s="115">
        <v>43949</v>
      </c>
      <c r="F8738" s="114">
        <v>202101</v>
      </c>
      <c r="G8738" s="112" t="s">
        <v>1091</v>
      </c>
      <c r="H8738" s="112" t="s">
        <v>1015</v>
      </c>
      <c r="I8738" s="112" t="s">
        <v>1116</v>
      </c>
      <c r="J8738" s="112" t="s">
        <v>5667</v>
      </c>
      <c r="K8738" s="112" t="s">
        <v>1098</v>
      </c>
      <c r="L8738" s="116">
        <v>4191.83</v>
      </c>
    </row>
    <row r="8739" spans="1:12" hidden="1" outlineLevel="1" collapsed="1" x14ac:dyDescent="0.35">
      <c r="A8739" s="112" t="s">
        <v>5666</v>
      </c>
      <c r="B8739" s="112" t="s">
        <v>930</v>
      </c>
      <c r="C8739" s="112" t="s">
        <v>1095</v>
      </c>
      <c r="D8739" s="113">
        <v>10348451</v>
      </c>
      <c r="E8739" s="115">
        <v>43949</v>
      </c>
      <c r="F8739" s="114">
        <v>202101</v>
      </c>
      <c r="G8739" s="112" t="s">
        <v>1091</v>
      </c>
      <c r="H8739" s="112" t="s">
        <v>1015</v>
      </c>
      <c r="I8739" s="112" t="s">
        <v>1116</v>
      </c>
      <c r="J8739" s="112" t="s">
        <v>5667</v>
      </c>
      <c r="K8739" s="112" t="s">
        <v>1098</v>
      </c>
      <c r="L8739" s="116">
        <v>3391.33</v>
      </c>
    </row>
    <row r="8740" spans="1:12" hidden="1" outlineLevel="1" collapsed="1" x14ac:dyDescent="0.35">
      <c r="A8740" s="112" t="s">
        <v>5666</v>
      </c>
      <c r="B8740" s="112" t="s">
        <v>930</v>
      </c>
      <c r="C8740" s="112" t="s">
        <v>1095</v>
      </c>
      <c r="D8740" s="113">
        <v>10348451</v>
      </c>
      <c r="E8740" s="115">
        <v>43949</v>
      </c>
      <c r="F8740" s="114">
        <v>202101</v>
      </c>
      <c r="G8740" s="112" t="s">
        <v>1091</v>
      </c>
      <c r="H8740" s="112" t="s">
        <v>1015</v>
      </c>
      <c r="I8740" s="112" t="s">
        <v>1116</v>
      </c>
      <c r="J8740" s="112" t="s">
        <v>5667</v>
      </c>
      <c r="K8740" s="112" t="s">
        <v>1098</v>
      </c>
      <c r="L8740" s="116">
        <v>1129.75</v>
      </c>
    </row>
    <row r="8741" spans="1:12" hidden="1" outlineLevel="1" collapsed="1" x14ac:dyDescent="0.35">
      <c r="A8741" s="112" t="s">
        <v>5666</v>
      </c>
      <c r="B8741" s="112" t="s">
        <v>930</v>
      </c>
      <c r="C8741" s="112" t="s">
        <v>1095</v>
      </c>
      <c r="D8741" s="113">
        <v>10348451</v>
      </c>
      <c r="E8741" s="115">
        <v>43949</v>
      </c>
      <c r="F8741" s="114">
        <v>202101</v>
      </c>
      <c r="G8741" s="112" t="s">
        <v>1091</v>
      </c>
      <c r="H8741" s="112" t="s">
        <v>1015</v>
      </c>
      <c r="I8741" s="112" t="s">
        <v>1116</v>
      </c>
      <c r="J8741" s="112" t="s">
        <v>5667</v>
      </c>
      <c r="K8741" s="112" t="s">
        <v>1098</v>
      </c>
      <c r="L8741" s="116">
        <v>2702</v>
      </c>
    </row>
    <row r="8742" spans="1:12" hidden="1" outlineLevel="1" collapsed="1" x14ac:dyDescent="0.35">
      <c r="A8742" s="112" t="s">
        <v>5666</v>
      </c>
      <c r="B8742" s="112" t="s">
        <v>931</v>
      </c>
      <c r="C8742" s="112" t="s">
        <v>679</v>
      </c>
      <c r="D8742" s="113">
        <v>10348411</v>
      </c>
      <c r="E8742" s="115">
        <v>43943</v>
      </c>
      <c r="F8742" s="114">
        <v>202101</v>
      </c>
      <c r="G8742" s="112" t="s">
        <v>1091</v>
      </c>
      <c r="H8742" s="112" t="s">
        <v>1015</v>
      </c>
      <c r="I8742" s="112" t="s">
        <v>1536</v>
      </c>
      <c r="J8742" s="112" t="s">
        <v>5668</v>
      </c>
      <c r="K8742" s="112" t="s">
        <v>5669</v>
      </c>
      <c r="L8742" s="116">
        <v>3</v>
      </c>
    </row>
    <row r="8743" spans="1:12" hidden="1" outlineLevel="1" collapsed="1" x14ac:dyDescent="0.35">
      <c r="A8743" s="112" t="s">
        <v>5666</v>
      </c>
      <c r="B8743" s="112" t="s">
        <v>930</v>
      </c>
      <c r="C8743" s="112" t="s">
        <v>1095</v>
      </c>
      <c r="D8743" s="113">
        <v>10348451</v>
      </c>
      <c r="E8743" s="115">
        <v>43949</v>
      </c>
      <c r="F8743" s="114">
        <v>202101</v>
      </c>
      <c r="G8743" s="112" t="s">
        <v>1091</v>
      </c>
      <c r="H8743" s="112" t="s">
        <v>1015</v>
      </c>
      <c r="I8743" s="112" t="s">
        <v>1116</v>
      </c>
      <c r="J8743" s="112" t="s">
        <v>5667</v>
      </c>
      <c r="K8743" s="112" t="s">
        <v>1098</v>
      </c>
      <c r="L8743" s="116">
        <v>2631.25</v>
      </c>
    </row>
    <row r="8744" spans="1:12" hidden="1" outlineLevel="1" collapsed="1" x14ac:dyDescent="0.35">
      <c r="A8744" s="112" t="s">
        <v>5666</v>
      </c>
      <c r="B8744" s="112" t="s">
        <v>929</v>
      </c>
      <c r="C8744" s="112" t="s">
        <v>1099</v>
      </c>
      <c r="D8744" s="113">
        <v>1069767</v>
      </c>
      <c r="E8744" s="115">
        <v>43950</v>
      </c>
      <c r="F8744" s="114">
        <v>202101</v>
      </c>
      <c r="G8744" s="112" t="s">
        <v>1091</v>
      </c>
      <c r="H8744" s="112" t="s">
        <v>1015</v>
      </c>
      <c r="I8744" s="112" t="s">
        <v>769</v>
      </c>
      <c r="J8744" s="112" t="s">
        <v>5670</v>
      </c>
      <c r="K8744" s="112" t="s">
        <v>5671</v>
      </c>
      <c r="L8744" s="116">
        <v>14495.8</v>
      </c>
    </row>
    <row r="8745" spans="1:12" hidden="1" outlineLevel="1" collapsed="1" x14ac:dyDescent="0.35">
      <c r="A8745" s="112" t="s">
        <v>5666</v>
      </c>
      <c r="B8745" s="112" t="s">
        <v>929</v>
      </c>
      <c r="C8745" s="112" t="s">
        <v>1095</v>
      </c>
      <c r="D8745" s="113">
        <v>10348451</v>
      </c>
      <c r="E8745" s="115">
        <v>43949</v>
      </c>
      <c r="F8745" s="114">
        <v>202101</v>
      </c>
      <c r="G8745" s="112" t="s">
        <v>1091</v>
      </c>
      <c r="H8745" s="112" t="s">
        <v>1015</v>
      </c>
      <c r="I8745" s="112" t="s">
        <v>1096</v>
      </c>
      <c r="J8745" s="112" t="s">
        <v>5672</v>
      </c>
      <c r="K8745" s="112" t="s">
        <v>1098</v>
      </c>
      <c r="L8745" s="116">
        <v>46.82</v>
      </c>
    </row>
    <row r="8746" spans="1:12" hidden="1" outlineLevel="1" collapsed="1" x14ac:dyDescent="0.35">
      <c r="A8746" s="112" t="s">
        <v>5666</v>
      </c>
      <c r="B8746" s="112" t="s">
        <v>929</v>
      </c>
      <c r="C8746" s="112" t="s">
        <v>1095</v>
      </c>
      <c r="D8746" s="113">
        <v>10348451</v>
      </c>
      <c r="E8746" s="115">
        <v>43949</v>
      </c>
      <c r="F8746" s="114">
        <v>202101</v>
      </c>
      <c r="G8746" s="112" t="s">
        <v>1091</v>
      </c>
      <c r="H8746" s="112" t="s">
        <v>1015</v>
      </c>
      <c r="I8746" s="112" t="s">
        <v>5673</v>
      </c>
      <c r="J8746" s="112" t="s">
        <v>5672</v>
      </c>
      <c r="K8746" s="112" t="s">
        <v>1098</v>
      </c>
      <c r="L8746" s="116">
        <v>107.13</v>
      </c>
    </row>
    <row r="8747" spans="1:12" hidden="1" outlineLevel="1" collapsed="1" x14ac:dyDescent="0.35">
      <c r="A8747" s="112" t="s">
        <v>5666</v>
      </c>
      <c r="B8747" s="112" t="s">
        <v>930</v>
      </c>
      <c r="C8747" s="112" t="s">
        <v>1095</v>
      </c>
      <c r="D8747" s="113">
        <v>10348451</v>
      </c>
      <c r="E8747" s="115">
        <v>43949</v>
      </c>
      <c r="F8747" s="114">
        <v>202101</v>
      </c>
      <c r="G8747" s="112" t="s">
        <v>1091</v>
      </c>
      <c r="H8747" s="112" t="s">
        <v>1015</v>
      </c>
      <c r="I8747" s="112" t="s">
        <v>1096</v>
      </c>
      <c r="J8747" s="112" t="s">
        <v>5667</v>
      </c>
      <c r="K8747" s="112" t="s">
        <v>1098</v>
      </c>
      <c r="L8747" s="116">
        <v>366.99</v>
      </c>
    </row>
    <row r="8748" spans="1:12" hidden="1" outlineLevel="1" collapsed="1" x14ac:dyDescent="0.35">
      <c r="A8748" s="112" t="s">
        <v>5666</v>
      </c>
      <c r="B8748" s="112" t="s">
        <v>931</v>
      </c>
      <c r="C8748" s="112" t="s">
        <v>1099</v>
      </c>
      <c r="D8748" s="113">
        <v>1069608</v>
      </c>
      <c r="E8748" s="115">
        <v>43922</v>
      </c>
      <c r="F8748" s="114">
        <v>202101</v>
      </c>
      <c r="G8748" s="112" t="s">
        <v>1091</v>
      </c>
      <c r="H8748" s="112" t="s">
        <v>1015</v>
      </c>
      <c r="I8748" s="112" t="s">
        <v>1133</v>
      </c>
      <c r="J8748" s="112" t="s">
        <v>5668</v>
      </c>
      <c r="K8748" s="112" t="s">
        <v>5674</v>
      </c>
      <c r="L8748" s="116">
        <v>22885</v>
      </c>
    </row>
    <row r="8749" spans="1:12" hidden="1" outlineLevel="1" collapsed="1" x14ac:dyDescent="0.35">
      <c r="A8749" s="112" t="s">
        <v>5666</v>
      </c>
      <c r="B8749" s="112" t="s">
        <v>929</v>
      </c>
      <c r="C8749" s="112" t="s">
        <v>1095</v>
      </c>
      <c r="D8749" s="113">
        <v>10348451</v>
      </c>
      <c r="E8749" s="115">
        <v>43949</v>
      </c>
      <c r="F8749" s="114">
        <v>202101</v>
      </c>
      <c r="G8749" s="112" t="s">
        <v>1091</v>
      </c>
      <c r="H8749" s="112" t="s">
        <v>1015</v>
      </c>
      <c r="I8749" s="112" t="s">
        <v>5675</v>
      </c>
      <c r="J8749" s="112" t="s">
        <v>5672</v>
      </c>
      <c r="K8749" s="112" t="s">
        <v>1098</v>
      </c>
      <c r="L8749" s="116">
        <v>428.5</v>
      </c>
    </row>
    <row r="8750" spans="1:12" hidden="1" outlineLevel="1" collapsed="1" x14ac:dyDescent="0.35">
      <c r="A8750" s="112" t="s">
        <v>5666</v>
      </c>
      <c r="B8750" s="112" t="s">
        <v>931</v>
      </c>
      <c r="C8750" s="112" t="s">
        <v>1095</v>
      </c>
      <c r="D8750" s="113">
        <v>10348451</v>
      </c>
      <c r="E8750" s="115">
        <v>43949</v>
      </c>
      <c r="F8750" s="114">
        <v>202101</v>
      </c>
      <c r="G8750" s="112" t="s">
        <v>1091</v>
      </c>
      <c r="H8750" s="112" t="s">
        <v>1015</v>
      </c>
      <c r="I8750" s="112" t="s">
        <v>1101</v>
      </c>
      <c r="J8750" s="112" t="s">
        <v>5668</v>
      </c>
      <c r="K8750" s="112" t="s">
        <v>1098</v>
      </c>
      <c r="L8750" s="116">
        <v>366.04</v>
      </c>
    </row>
    <row r="8751" spans="1:12" hidden="1" outlineLevel="1" collapsed="1" x14ac:dyDescent="0.35">
      <c r="A8751" s="112" t="s">
        <v>5666</v>
      </c>
      <c r="B8751" s="112" t="s">
        <v>931</v>
      </c>
      <c r="C8751" s="112" t="s">
        <v>1095</v>
      </c>
      <c r="D8751" s="113">
        <v>10348451</v>
      </c>
      <c r="E8751" s="115">
        <v>43949</v>
      </c>
      <c r="F8751" s="114">
        <v>202101</v>
      </c>
      <c r="G8751" s="112" t="s">
        <v>1091</v>
      </c>
      <c r="H8751" s="112" t="s">
        <v>1015</v>
      </c>
      <c r="I8751" s="112" t="s">
        <v>1101</v>
      </c>
      <c r="J8751" s="112" t="s">
        <v>5668</v>
      </c>
      <c r="K8751" s="112" t="s">
        <v>1098</v>
      </c>
      <c r="L8751" s="116">
        <v>336.4</v>
      </c>
    </row>
    <row r="8752" spans="1:12" hidden="1" outlineLevel="1" collapsed="1" x14ac:dyDescent="0.35">
      <c r="A8752" s="112" t="s">
        <v>5666</v>
      </c>
      <c r="B8752" s="112" t="s">
        <v>931</v>
      </c>
      <c r="C8752" s="112" t="s">
        <v>1095</v>
      </c>
      <c r="D8752" s="113">
        <v>10348451</v>
      </c>
      <c r="E8752" s="115">
        <v>43949</v>
      </c>
      <c r="F8752" s="114">
        <v>202101</v>
      </c>
      <c r="G8752" s="112" t="s">
        <v>1091</v>
      </c>
      <c r="H8752" s="112" t="s">
        <v>1015</v>
      </c>
      <c r="I8752" s="112" t="s">
        <v>1113</v>
      </c>
      <c r="J8752" s="112" t="s">
        <v>5668</v>
      </c>
      <c r="K8752" s="112" t="s">
        <v>1098</v>
      </c>
      <c r="L8752" s="116">
        <v>70.17</v>
      </c>
    </row>
    <row r="8753" spans="1:12" hidden="1" outlineLevel="1" collapsed="1" x14ac:dyDescent="0.35">
      <c r="A8753" s="112" t="s">
        <v>5666</v>
      </c>
      <c r="B8753" s="112" t="s">
        <v>931</v>
      </c>
      <c r="C8753" s="112" t="s">
        <v>695</v>
      </c>
      <c r="D8753" s="113">
        <v>10347981</v>
      </c>
      <c r="E8753" s="115">
        <v>43924</v>
      </c>
      <c r="F8753" s="114">
        <v>202101</v>
      </c>
      <c r="G8753" s="112" t="s">
        <v>1091</v>
      </c>
      <c r="H8753" s="112" t="s">
        <v>1015</v>
      </c>
      <c r="I8753" s="112" t="s">
        <v>1102</v>
      </c>
      <c r="J8753" s="112" t="s">
        <v>5676</v>
      </c>
      <c r="K8753" s="112" t="s">
        <v>5677</v>
      </c>
      <c r="L8753" s="116">
        <v>-96</v>
      </c>
    </row>
    <row r="8754" spans="1:12" hidden="1" outlineLevel="1" collapsed="1" x14ac:dyDescent="0.35">
      <c r="A8754" s="112" t="s">
        <v>5666</v>
      </c>
      <c r="B8754" s="112" t="s">
        <v>929</v>
      </c>
      <c r="C8754" s="112" t="s">
        <v>1095</v>
      </c>
      <c r="D8754" s="113">
        <v>10348451</v>
      </c>
      <c r="E8754" s="115">
        <v>43949</v>
      </c>
      <c r="F8754" s="114">
        <v>202101</v>
      </c>
      <c r="G8754" s="112" t="s">
        <v>1091</v>
      </c>
      <c r="H8754" s="112" t="s">
        <v>1015</v>
      </c>
      <c r="I8754" s="112" t="s">
        <v>5675</v>
      </c>
      <c r="J8754" s="112" t="s">
        <v>5672</v>
      </c>
      <c r="K8754" s="112" t="s">
        <v>1098</v>
      </c>
      <c r="L8754" s="116">
        <v>428.5</v>
      </c>
    </row>
    <row r="8755" spans="1:12" hidden="1" outlineLevel="1" collapsed="1" x14ac:dyDescent="0.35">
      <c r="A8755" s="112" t="s">
        <v>5666</v>
      </c>
      <c r="B8755" s="112" t="s">
        <v>929</v>
      </c>
      <c r="C8755" s="112" t="s">
        <v>1095</v>
      </c>
      <c r="D8755" s="113">
        <v>10348451</v>
      </c>
      <c r="E8755" s="115">
        <v>43949</v>
      </c>
      <c r="F8755" s="114">
        <v>202101</v>
      </c>
      <c r="G8755" s="112" t="s">
        <v>1091</v>
      </c>
      <c r="H8755" s="112" t="s">
        <v>1015</v>
      </c>
      <c r="I8755" s="112" t="s">
        <v>5673</v>
      </c>
      <c r="J8755" s="112" t="s">
        <v>5672</v>
      </c>
      <c r="K8755" s="112" t="s">
        <v>1098</v>
      </c>
      <c r="L8755" s="116">
        <v>107.17</v>
      </c>
    </row>
    <row r="8756" spans="1:12" hidden="1" outlineLevel="1" collapsed="1" x14ac:dyDescent="0.35">
      <c r="A8756" s="112" t="s">
        <v>5666</v>
      </c>
      <c r="B8756" s="112" t="s">
        <v>929</v>
      </c>
      <c r="C8756" s="112" t="s">
        <v>1095</v>
      </c>
      <c r="D8756" s="113">
        <v>10348451</v>
      </c>
      <c r="E8756" s="115">
        <v>43949</v>
      </c>
      <c r="F8756" s="114">
        <v>202101</v>
      </c>
      <c r="G8756" s="112" t="s">
        <v>1091</v>
      </c>
      <c r="H8756" s="112" t="s">
        <v>1015</v>
      </c>
      <c r="I8756" s="112" t="s">
        <v>5675</v>
      </c>
      <c r="J8756" s="112" t="s">
        <v>5672</v>
      </c>
      <c r="K8756" s="112" t="s">
        <v>1098</v>
      </c>
      <c r="L8756" s="116">
        <v>428.5</v>
      </c>
    </row>
    <row r="8757" spans="1:12" hidden="1" outlineLevel="1" collapsed="1" x14ac:dyDescent="0.35">
      <c r="A8757" s="112" t="s">
        <v>5666</v>
      </c>
      <c r="B8757" s="112" t="s">
        <v>932</v>
      </c>
      <c r="C8757" s="112" t="s">
        <v>1095</v>
      </c>
      <c r="D8757" s="113">
        <v>10348451</v>
      </c>
      <c r="E8757" s="115">
        <v>43949</v>
      </c>
      <c r="F8757" s="114">
        <v>202101</v>
      </c>
      <c r="G8757" s="112" t="s">
        <v>1091</v>
      </c>
      <c r="H8757" s="112" t="s">
        <v>1015</v>
      </c>
      <c r="I8757" s="112" t="s">
        <v>5678</v>
      </c>
      <c r="J8757" s="112" t="s">
        <v>5679</v>
      </c>
      <c r="K8757" s="112" t="s">
        <v>1098</v>
      </c>
      <c r="L8757" s="116">
        <v>948.69</v>
      </c>
    </row>
    <row r="8758" spans="1:12" hidden="1" outlineLevel="1" collapsed="1" x14ac:dyDescent="0.35">
      <c r="A8758" s="112" t="s">
        <v>5666</v>
      </c>
      <c r="B8758" s="112" t="s">
        <v>929</v>
      </c>
      <c r="C8758" s="112" t="s">
        <v>1095</v>
      </c>
      <c r="D8758" s="113">
        <v>10348451</v>
      </c>
      <c r="E8758" s="115">
        <v>43949</v>
      </c>
      <c r="F8758" s="114">
        <v>202101</v>
      </c>
      <c r="G8758" s="112" t="s">
        <v>1091</v>
      </c>
      <c r="H8758" s="112" t="s">
        <v>1015</v>
      </c>
      <c r="I8758" s="112" t="s">
        <v>1096</v>
      </c>
      <c r="J8758" s="112" t="s">
        <v>5680</v>
      </c>
      <c r="K8758" s="112" t="s">
        <v>1098</v>
      </c>
      <c r="L8758" s="116">
        <v>310.49</v>
      </c>
    </row>
    <row r="8759" spans="1:12" hidden="1" outlineLevel="1" collapsed="1" x14ac:dyDescent="0.35">
      <c r="A8759" s="112" t="s">
        <v>5666</v>
      </c>
      <c r="B8759" s="112" t="s">
        <v>929</v>
      </c>
      <c r="C8759" s="112" t="s">
        <v>1095</v>
      </c>
      <c r="D8759" s="113">
        <v>10348451</v>
      </c>
      <c r="E8759" s="115">
        <v>43949</v>
      </c>
      <c r="F8759" s="114">
        <v>202101</v>
      </c>
      <c r="G8759" s="112" t="s">
        <v>1091</v>
      </c>
      <c r="H8759" s="112" t="s">
        <v>1015</v>
      </c>
      <c r="I8759" s="112" t="s">
        <v>5675</v>
      </c>
      <c r="J8759" s="112" t="s">
        <v>5672</v>
      </c>
      <c r="K8759" s="112" t="s">
        <v>1098</v>
      </c>
      <c r="L8759" s="116">
        <v>428.5</v>
      </c>
    </row>
    <row r="8760" spans="1:12" hidden="1" outlineLevel="1" collapsed="1" x14ac:dyDescent="0.35">
      <c r="A8760" s="112" t="s">
        <v>5666</v>
      </c>
      <c r="B8760" s="112" t="s">
        <v>929</v>
      </c>
      <c r="C8760" s="112" t="s">
        <v>1095</v>
      </c>
      <c r="D8760" s="113">
        <v>10348451</v>
      </c>
      <c r="E8760" s="115">
        <v>43949</v>
      </c>
      <c r="F8760" s="114">
        <v>202101</v>
      </c>
      <c r="G8760" s="112" t="s">
        <v>1091</v>
      </c>
      <c r="H8760" s="112" t="s">
        <v>1015</v>
      </c>
      <c r="I8760" s="112" t="s">
        <v>5675</v>
      </c>
      <c r="J8760" s="112" t="s">
        <v>5672</v>
      </c>
      <c r="K8760" s="112" t="s">
        <v>1098</v>
      </c>
      <c r="L8760" s="116">
        <v>428.5</v>
      </c>
    </row>
    <row r="8761" spans="1:12" hidden="1" outlineLevel="1" collapsed="1" x14ac:dyDescent="0.35">
      <c r="A8761" s="112" t="s">
        <v>5666</v>
      </c>
      <c r="B8761" s="112" t="s">
        <v>929</v>
      </c>
      <c r="C8761" s="112" t="s">
        <v>1095</v>
      </c>
      <c r="D8761" s="113">
        <v>10348451</v>
      </c>
      <c r="E8761" s="115">
        <v>43949</v>
      </c>
      <c r="F8761" s="114">
        <v>202101</v>
      </c>
      <c r="G8761" s="112" t="s">
        <v>1091</v>
      </c>
      <c r="H8761" s="112" t="s">
        <v>1015</v>
      </c>
      <c r="I8761" s="112" t="s">
        <v>5673</v>
      </c>
      <c r="J8761" s="112" t="s">
        <v>5672</v>
      </c>
      <c r="K8761" s="112" t="s">
        <v>1098</v>
      </c>
      <c r="L8761" s="116">
        <v>642.75</v>
      </c>
    </row>
    <row r="8762" spans="1:12" hidden="1" outlineLevel="1" collapsed="1" x14ac:dyDescent="0.35">
      <c r="A8762" s="112" t="s">
        <v>5666</v>
      </c>
      <c r="B8762" s="112" t="s">
        <v>929</v>
      </c>
      <c r="C8762" s="112" t="s">
        <v>1095</v>
      </c>
      <c r="D8762" s="113">
        <v>10348451</v>
      </c>
      <c r="E8762" s="115">
        <v>43949</v>
      </c>
      <c r="F8762" s="114">
        <v>202101</v>
      </c>
      <c r="G8762" s="112" t="s">
        <v>1091</v>
      </c>
      <c r="H8762" s="112" t="s">
        <v>1015</v>
      </c>
      <c r="I8762" s="112" t="s">
        <v>1096</v>
      </c>
      <c r="J8762" s="112" t="s">
        <v>5672</v>
      </c>
      <c r="K8762" s="112" t="s">
        <v>1098</v>
      </c>
      <c r="L8762" s="116">
        <v>46.82</v>
      </c>
    </row>
    <row r="8763" spans="1:12" hidden="1" outlineLevel="1" collapsed="1" x14ac:dyDescent="0.35">
      <c r="A8763" s="112" t="s">
        <v>5666</v>
      </c>
      <c r="B8763" s="112" t="s">
        <v>931</v>
      </c>
      <c r="C8763" s="112" t="s">
        <v>1095</v>
      </c>
      <c r="D8763" s="113">
        <v>10348451</v>
      </c>
      <c r="E8763" s="115">
        <v>43949</v>
      </c>
      <c r="F8763" s="114">
        <v>202101</v>
      </c>
      <c r="G8763" s="112" t="s">
        <v>1091</v>
      </c>
      <c r="H8763" s="112" t="s">
        <v>1015</v>
      </c>
      <c r="I8763" s="112" t="s">
        <v>1096</v>
      </c>
      <c r="J8763" s="112" t="s">
        <v>5668</v>
      </c>
      <c r="K8763" s="112" t="s">
        <v>1098</v>
      </c>
      <c r="L8763" s="116">
        <v>175.86</v>
      </c>
    </row>
    <row r="8764" spans="1:12" hidden="1" outlineLevel="1" collapsed="1" x14ac:dyDescent="0.35">
      <c r="A8764" s="112" t="s">
        <v>5666</v>
      </c>
      <c r="B8764" s="112" t="s">
        <v>931</v>
      </c>
      <c r="C8764" s="112" t="s">
        <v>1095</v>
      </c>
      <c r="D8764" s="113">
        <v>10348451</v>
      </c>
      <c r="E8764" s="115">
        <v>43949</v>
      </c>
      <c r="F8764" s="114">
        <v>202101</v>
      </c>
      <c r="G8764" s="112" t="s">
        <v>1091</v>
      </c>
      <c r="H8764" s="112" t="s">
        <v>1015</v>
      </c>
      <c r="I8764" s="112" t="s">
        <v>1116</v>
      </c>
      <c r="J8764" s="112" t="s">
        <v>5668</v>
      </c>
      <c r="K8764" s="112" t="s">
        <v>1098</v>
      </c>
      <c r="L8764" s="116">
        <v>2230.1999999999998</v>
      </c>
    </row>
    <row r="8765" spans="1:12" hidden="1" outlineLevel="1" collapsed="1" x14ac:dyDescent="0.35">
      <c r="A8765" s="112" t="s">
        <v>5666</v>
      </c>
      <c r="B8765" s="112" t="s">
        <v>931</v>
      </c>
      <c r="C8765" s="112" t="s">
        <v>1095</v>
      </c>
      <c r="D8765" s="113">
        <v>10348451</v>
      </c>
      <c r="E8765" s="115">
        <v>43949</v>
      </c>
      <c r="F8765" s="114">
        <v>202101</v>
      </c>
      <c r="G8765" s="112" t="s">
        <v>1091</v>
      </c>
      <c r="H8765" s="112" t="s">
        <v>1015</v>
      </c>
      <c r="I8765" s="112" t="s">
        <v>1101</v>
      </c>
      <c r="J8765" s="112" t="s">
        <v>5668</v>
      </c>
      <c r="K8765" s="112" t="s">
        <v>1098</v>
      </c>
      <c r="L8765" s="116">
        <v>361.29</v>
      </c>
    </row>
    <row r="8766" spans="1:12" hidden="1" outlineLevel="1" collapsed="1" x14ac:dyDescent="0.35">
      <c r="A8766" s="112" t="s">
        <v>5666</v>
      </c>
      <c r="B8766" s="112" t="s">
        <v>929</v>
      </c>
      <c r="C8766" s="112" t="s">
        <v>1095</v>
      </c>
      <c r="D8766" s="113">
        <v>10348451</v>
      </c>
      <c r="E8766" s="115">
        <v>43949</v>
      </c>
      <c r="F8766" s="114">
        <v>202101</v>
      </c>
      <c r="G8766" s="112" t="s">
        <v>1091</v>
      </c>
      <c r="H8766" s="112" t="s">
        <v>1015</v>
      </c>
      <c r="I8766" s="112" t="s">
        <v>5675</v>
      </c>
      <c r="J8766" s="112" t="s">
        <v>5672</v>
      </c>
      <c r="K8766" s="112" t="s">
        <v>1098</v>
      </c>
      <c r="L8766" s="116">
        <v>428.5</v>
      </c>
    </row>
    <row r="8767" spans="1:12" hidden="1" outlineLevel="1" collapsed="1" x14ac:dyDescent="0.35">
      <c r="A8767" s="112" t="s">
        <v>5666</v>
      </c>
      <c r="B8767" s="112" t="s">
        <v>931</v>
      </c>
      <c r="C8767" s="112" t="s">
        <v>695</v>
      </c>
      <c r="D8767" s="113">
        <v>10347979</v>
      </c>
      <c r="E8767" s="115">
        <v>43924</v>
      </c>
      <c r="F8767" s="114">
        <v>202101</v>
      </c>
      <c r="G8767" s="112" t="s">
        <v>1091</v>
      </c>
      <c r="H8767" s="112" t="s">
        <v>1015</v>
      </c>
      <c r="I8767" s="112" t="s">
        <v>1536</v>
      </c>
      <c r="J8767" s="112" t="s">
        <v>5668</v>
      </c>
      <c r="K8767" s="112" t="s">
        <v>1698</v>
      </c>
      <c r="L8767" s="116">
        <v>-35</v>
      </c>
    </row>
    <row r="8768" spans="1:12" hidden="1" outlineLevel="1" collapsed="1" x14ac:dyDescent="0.35">
      <c r="A8768" s="112" t="s">
        <v>5666</v>
      </c>
      <c r="B8768" s="112" t="s">
        <v>929</v>
      </c>
      <c r="C8768" s="112" t="s">
        <v>1095</v>
      </c>
      <c r="D8768" s="113">
        <v>10348451</v>
      </c>
      <c r="E8768" s="115">
        <v>43949</v>
      </c>
      <c r="F8768" s="114">
        <v>202101</v>
      </c>
      <c r="G8768" s="112" t="s">
        <v>1091</v>
      </c>
      <c r="H8768" s="112" t="s">
        <v>1015</v>
      </c>
      <c r="I8768" s="112" t="s">
        <v>1096</v>
      </c>
      <c r="J8768" s="112" t="s">
        <v>5672</v>
      </c>
      <c r="K8768" s="112" t="s">
        <v>1098</v>
      </c>
      <c r="L8768" s="116">
        <v>46.82</v>
      </c>
    </row>
    <row r="8769" spans="1:12" hidden="1" outlineLevel="1" collapsed="1" x14ac:dyDescent="0.35">
      <c r="A8769" s="112" t="s">
        <v>5666</v>
      </c>
      <c r="B8769" s="112" t="s">
        <v>929</v>
      </c>
      <c r="C8769" s="112" t="s">
        <v>1095</v>
      </c>
      <c r="D8769" s="113">
        <v>10348451</v>
      </c>
      <c r="E8769" s="115">
        <v>43949</v>
      </c>
      <c r="F8769" s="114">
        <v>202101</v>
      </c>
      <c r="G8769" s="112" t="s">
        <v>1091</v>
      </c>
      <c r="H8769" s="112" t="s">
        <v>1015</v>
      </c>
      <c r="I8769" s="112" t="s">
        <v>5673</v>
      </c>
      <c r="J8769" s="112" t="s">
        <v>5672</v>
      </c>
      <c r="K8769" s="112" t="s">
        <v>1098</v>
      </c>
      <c r="L8769" s="116">
        <v>214.25</v>
      </c>
    </row>
    <row r="8770" spans="1:12" hidden="1" outlineLevel="1" collapsed="1" x14ac:dyDescent="0.35">
      <c r="A8770" s="112" t="s">
        <v>5666</v>
      </c>
      <c r="B8770" s="112" t="s">
        <v>931</v>
      </c>
      <c r="C8770" s="112" t="s">
        <v>1095</v>
      </c>
      <c r="D8770" s="113">
        <v>10348451</v>
      </c>
      <c r="E8770" s="115">
        <v>43949</v>
      </c>
      <c r="F8770" s="114">
        <v>202101</v>
      </c>
      <c r="G8770" s="112" t="s">
        <v>1091</v>
      </c>
      <c r="H8770" s="112" t="s">
        <v>1015</v>
      </c>
      <c r="I8770" s="112" t="s">
        <v>1096</v>
      </c>
      <c r="J8770" s="112" t="s">
        <v>5668</v>
      </c>
      <c r="K8770" s="112" t="s">
        <v>1098</v>
      </c>
      <c r="L8770" s="116">
        <v>423.19</v>
      </c>
    </row>
    <row r="8771" spans="1:12" hidden="1" outlineLevel="1" collapsed="1" x14ac:dyDescent="0.35">
      <c r="A8771" s="112" t="s">
        <v>5666</v>
      </c>
      <c r="B8771" s="112" t="s">
        <v>929</v>
      </c>
      <c r="C8771" s="112" t="s">
        <v>1095</v>
      </c>
      <c r="D8771" s="113">
        <v>10348451</v>
      </c>
      <c r="E8771" s="115">
        <v>43949</v>
      </c>
      <c r="F8771" s="114">
        <v>202101</v>
      </c>
      <c r="G8771" s="112" t="s">
        <v>1091</v>
      </c>
      <c r="H8771" s="112" t="s">
        <v>1015</v>
      </c>
      <c r="I8771" s="112" t="s">
        <v>5675</v>
      </c>
      <c r="J8771" s="112" t="s">
        <v>5672</v>
      </c>
      <c r="K8771" s="112" t="s">
        <v>1098</v>
      </c>
      <c r="L8771" s="116">
        <v>428.5</v>
      </c>
    </row>
    <row r="8772" spans="1:12" hidden="1" outlineLevel="1" collapsed="1" x14ac:dyDescent="0.35">
      <c r="A8772" s="112" t="s">
        <v>5666</v>
      </c>
      <c r="B8772" s="112" t="s">
        <v>929</v>
      </c>
      <c r="C8772" s="112" t="s">
        <v>1095</v>
      </c>
      <c r="D8772" s="113">
        <v>10348451</v>
      </c>
      <c r="E8772" s="115">
        <v>43949</v>
      </c>
      <c r="F8772" s="114">
        <v>202101</v>
      </c>
      <c r="G8772" s="112" t="s">
        <v>1091</v>
      </c>
      <c r="H8772" s="112" t="s">
        <v>1015</v>
      </c>
      <c r="I8772" s="112" t="s">
        <v>5673</v>
      </c>
      <c r="J8772" s="112" t="s">
        <v>5672</v>
      </c>
      <c r="K8772" s="112" t="s">
        <v>1098</v>
      </c>
      <c r="L8772" s="116">
        <v>642.75</v>
      </c>
    </row>
    <row r="8773" spans="1:12" hidden="1" outlineLevel="1" collapsed="1" x14ac:dyDescent="0.35">
      <c r="A8773" s="112" t="s">
        <v>5666</v>
      </c>
      <c r="B8773" s="112" t="s">
        <v>929</v>
      </c>
      <c r="C8773" s="112" t="s">
        <v>1095</v>
      </c>
      <c r="D8773" s="113">
        <v>10348451</v>
      </c>
      <c r="E8773" s="115">
        <v>43949</v>
      </c>
      <c r="F8773" s="114">
        <v>202101</v>
      </c>
      <c r="G8773" s="112" t="s">
        <v>1091</v>
      </c>
      <c r="H8773" s="112" t="s">
        <v>1015</v>
      </c>
      <c r="I8773" s="112" t="s">
        <v>5675</v>
      </c>
      <c r="J8773" s="112" t="s">
        <v>5672</v>
      </c>
      <c r="K8773" s="112" t="s">
        <v>1098</v>
      </c>
      <c r="L8773" s="116">
        <v>428.5</v>
      </c>
    </row>
    <row r="8774" spans="1:12" hidden="1" outlineLevel="1" collapsed="1" x14ac:dyDescent="0.35">
      <c r="A8774" s="112" t="s">
        <v>5666</v>
      </c>
      <c r="B8774" s="112" t="s">
        <v>929</v>
      </c>
      <c r="C8774" s="112" t="s">
        <v>1095</v>
      </c>
      <c r="D8774" s="113">
        <v>10348451</v>
      </c>
      <c r="E8774" s="115">
        <v>43949</v>
      </c>
      <c r="F8774" s="114">
        <v>202101</v>
      </c>
      <c r="G8774" s="112" t="s">
        <v>1091</v>
      </c>
      <c r="H8774" s="112" t="s">
        <v>1015</v>
      </c>
      <c r="I8774" s="112" t="s">
        <v>1096</v>
      </c>
      <c r="J8774" s="112" t="s">
        <v>5672</v>
      </c>
      <c r="K8774" s="112" t="s">
        <v>1098</v>
      </c>
      <c r="L8774" s="116">
        <v>105.95</v>
      </c>
    </row>
    <row r="8775" spans="1:12" hidden="1" outlineLevel="1" collapsed="1" x14ac:dyDescent="0.35">
      <c r="A8775" s="112" t="s">
        <v>5666</v>
      </c>
      <c r="B8775" s="112" t="s">
        <v>931</v>
      </c>
      <c r="C8775" s="112" t="s">
        <v>695</v>
      </c>
      <c r="D8775" s="113">
        <v>10347981</v>
      </c>
      <c r="E8775" s="115">
        <v>43924</v>
      </c>
      <c r="F8775" s="114">
        <v>202101</v>
      </c>
      <c r="G8775" s="112" t="s">
        <v>1091</v>
      </c>
      <c r="H8775" s="112" t="s">
        <v>1015</v>
      </c>
      <c r="I8775" s="112" t="s">
        <v>1599</v>
      </c>
      <c r="J8775" s="112" t="s">
        <v>5668</v>
      </c>
      <c r="K8775" s="112" t="s">
        <v>5681</v>
      </c>
      <c r="L8775" s="116">
        <v>-1299</v>
      </c>
    </row>
    <row r="8776" spans="1:12" hidden="1" outlineLevel="1" collapsed="1" x14ac:dyDescent="0.35">
      <c r="A8776" s="112" t="s">
        <v>5666</v>
      </c>
      <c r="B8776" s="112" t="s">
        <v>930</v>
      </c>
      <c r="C8776" s="112" t="s">
        <v>1095</v>
      </c>
      <c r="D8776" s="113">
        <v>10348451</v>
      </c>
      <c r="E8776" s="115">
        <v>43949</v>
      </c>
      <c r="F8776" s="114">
        <v>202101</v>
      </c>
      <c r="G8776" s="112" t="s">
        <v>1091</v>
      </c>
      <c r="H8776" s="112" t="s">
        <v>1015</v>
      </c>
      <c r="I8776" s="112" t="s">
        <v>1101</v>
      </c>
      <c r="J8776" s="112" t="s">
        <v>5667</v>
      </c>
      <c r="K8776" s="112" t="s">
        <v>1098</v>
      </c>
      <c r="L8776" s="116">
        <v>549.4</v>
      </c>
    </row>
    <row r="8777" spans="1:12" hidden="1" outlineLevel="1" collapsed="1" x14ac:dyDescent="0.35">
      <c r="A8777" s="112" t="s">
        <v>5666</v>
      </c>
      <c r="B8777" s="112" t="s">
        <v>931</v>
      </c>
      <c r="C8777" s="112" t="s">
        <v>1095</v>
      </c>
      <c r="D8777" s="113">
        <v>10348451</v>
      </c>
      <c r="E8777" s="115">
        <v>43949</v>
      </c>
      <c r="F8777" s="114">
        <v>202101</v>
      </c>
      <c r="G8777" s="112" t="s">
        <v>1091</v>
      </c>
      <c r="H8777" s="112" t="s">
        <v>1015</v>
      </c>
      <c r="I8777" s="112" t="s">
        <v>1096</v>
      </c>
      <c r="J8777" s="112" t="s">
        <v>5668</v>
      </c>
      <c r="K8777" s="112" t="s">
        <v>1098</v>
      </c>
      <c r="L8777" s="116">
        <v>210.79</v>
      </c>
    </row>
    <row r="8778" spans="1:12" hidden="1" outlineLevel="1" collapsed="1" x14ac:dyDescent="0.35">
      <c r="A8778" s="112" t="s">
        <v>5666</v>
      </c>
      <c r="B8778" s="112" t="s">
        <v>930</v>
      </c>
      <c r="C8778" s="112" t="s">
        <v>1095</v>
      </c>
      <c r="D8778" s="113">
        <v>10348451</v>
      </c>
      <c r="E8778" s="115">
        <v>43949</v>
      </c>
      <c r="F8778" s="114">
        <v>202101</v>
      </c>
      <c r="G8778" s="112" t="s">
        <v>1091</v>
      </c>
      <c r="H8778" s="112" t="s">
        <v>1015</v>
      </c>
      <c r="I8778" s="112" t="s">
        <v>1101</v>
      </c>
      <c r="J8778" s="112" t="s">
        <v>5667</v>
      </c>
      <c r="K8778" s="112" t="s">
        <v>1098</v>
      </c>
      <c r="L8778" s="116">
        <v>437.72</v>
      </c>
    </row>
    <row r="8779" spans="1:12" hidden="1" outlineLevel="1" collapsed="1" x14ac:dyDescent="0.35">
      <c r="A8779" s="112" t="s">
        <v>5666</v>
      </c>
      <c r="B8779" s="112" t="s">
        <v>930</v>
      </c>
      <c r="C8779" s="112" t="s">
        <v>1095</v>
      </c>
      <c r="D8779" s="113">
        <v>10348451</v>
      </c>
      <c r="E8779" s="115">
        <v>43949</v>
      </c>
      <c r="F8779" s="114">
        <v>202101</v>
      </c>
      <c r="G8779" s="112" t="s">
        <v>1091</v>
      </c>
      <c r="H8779" s="112" t="s">
        <v>1015</v>
      </c>
      <c r="I8779" s="112" t="s">
        <v>1096</v>
      </c>
      <c r="J8779" s="112" t="s">
        <v>5667</v>
      </c>
      <c r="K8779" s="112" t="s">
        <v>1098</v>
      </c>
      <c r="L8779" s="116">
        <v>271.86</v>
      </c>
    </row>
    <row r="8780" spans="1:12" hidden="1" outlineLevel="1" collapsed="1" x14ac:dyDescent="0.35">
      <c r="A8780" s="112" t="s">
        <v>5666</v>
      </c>
      <c r="B8780" s="112" t="s">
        <v>931</v>
      </c>
      <c r="C8780" s="112" t="s">
        <v>1095</v>
      </c>
      <c r="D8780" s="113">
        <v>10348451</v>
      </c>
      <c r="E8780" s="115">
        <v>43949</v>
      </c>
      <c r="F8780" s="114">
        <v>202101</v>
      </c>
      <c r="G8780" s="112" t="s">
        <v>1091</v>
      </c>
      <c r="H8780" s="112" t="s">
        <v>1015</v>
      </c>
      <c r="I8780" s="112" t="s">
        <v>1116</v>
      </c>
      <c r="J8780" s="112" t="s">
        <v>5668</v>
      </c>
      <c r="K8780" s="112" t="s">
        <v>1098</v>
      </c>
      <c r="L8780" s="116">
        <v>2259.5</v>
      </c>
    </row>
    <row r="8781" spans="1:12" hidden="1" outlineLevel="1" collapsed="1" x14ac:dyDescent="0.35">
      <c r="A8781" s="112" t="s">
        <v>5666</v>
      </c>
      <c r="B8781" s="112" t="s">
        <v>931</v>
      </c>
      <c r="C8781" s="112" t="s">
        <v>1095</v>
      </c>
      <c r="D8781" s="113">
        <v>10348451</v>
      </c>
      <c r="E8781" s="115">
        <v>43949</v>
      </c>
      <c r="F8781" s="114">
        <v>202101</v>
      </c>
      <c r="G8781" s="112" t="s">
        <v>1091</v>
      </c>
      <c r="H8781" s="112" t="s">
        <v>1015</v>
      </c>
      <c r="I8781" s="112" t="s">
        <v>1116</v>
      </c>
      <c r="J8781" s="112" t="s">
        <v>5668</v>
      </c>
      <c r="K8781" s="112" t="s">
        <v>1098</v>
      </c>
      <c r="L8781" s="116">
        <v>3798.58</v>
      </c>
    </row>
    <row r="8782" spans="1:12" hidden="1" outlineLevel="1" collapsed="1" x14ac:dyDescent="0.35">
      <c r="A8782" s="112" t="s">
        <v>5666</v>
      </c>
      <c r="B8782" s="112" t="s">
        <v>932</v>
      </c>
      <c r="C8782" s="112" t="s">
        <v>695</v>
      </c>
      <c r="D8782" s="113">
        <v>10347981</v>
      </c>
      <c r="E8782" s="115">
        <v>43924</v>
      </c>
      <c r="F8782" s="114">
        <v>202101</v>
      </c>
      <c r="G8782" s="112" t="s">
        <v>1091</v>
      </c>
      <c r="H8782" s="112" t="s">
        <v>1015</v>
      </c>
      <c r="I8782" s="112" t="s">
        <v>761</v>
      </c>
      <c r="J8782" s="112" t="s">
        <v>5679</v>
      </c>
      <c r="K8782" s="112" t="s">
        <v>5682</v>
      </c>
      <c r="L8782" s="116">
        <v>-337.5</v>
      </c>
    </row>
    <row r="8783" spans="1:12" hidden="1" outlineLevel="1" collapsed="1" x14ac:dyDescent="0.35">
      <c r="A8783" s="112" t="s">
        <v>5666</v>
      </c>
      <c r="B8783" s="112" t="s">
        <v>932</v>
      </c>
      <c r="C8783" s="112" t="s">
        <v>695</v>
      </c>
      <c r="D8783" s="113">
        <v>10347981</v>
      </c>
      <c r="E8783" s="115">
        <v>43924</v>
      </c>
      <c r="F8783" s="114">
        <v>202101</v>
      </c>
      <c r="G8783" s="112" t="s">
        <v>1091</v>
      </c>
      <c r="H8783" s="112" t="s">
        <v>1015</v>
      </c>
      <c r="I8783" s="112" t="s">
        <v>1246</v>
      </c>
      <c r="J8783" s="112" t="s">
        <v>5679</v>
      </c>
      <c r="K8783" s="112" t="s">
        <v>5683</v>
      </c>
      <c r="L8783" s="116">
        <v>-1240</v>
      </c>
    </row>
    <row r="8784" spans="1:12" hidden="1" outlineLevel="1" collapsed="1" x14ac:dyDescent="0.35">
      <c r="A8784" s="112" t="s">
        <v>5666</v>
      </c>
      <c r="B8784" s="112" t="s">
        <v>929</v>
      </c>
      <c r="C8784" s="112" t="s">
        <v>1095</v>
      </c>
      <c r="D8784" s="113">
        <v>10348451</v>
      </c>
      <c r="E8784" s="115">
        <v>43949</v>
      </c>
      <c r="F8784" s="114">
        <v>202101</v>
      </c>
      <c r="G8784" s="112" t="s">
        <v>1091</v>
      </c>
      <c r="H8784" s="112" t="s">
        <v>1015</v>
      </c>
      <c r="I8784" s="112" t="s">
        <v>5675</v>
      </c>
      <c r="J8784" s="112" t="s">
        <v>5672</v>
      </c>
      <c r="K8784" s="112" t="s">
        <v>1098</v>
      </c>
      <c r="L8784" s="116">
        <v>428.5</v>
      </c>
    </row>
    <row r="8785" spans="1:12" hidden="1" outlineLevel="1" collapsed="1" x14ac:dyDescent="0.35">
      <c r="A8785" s="112" t="s">
        <v>5666</v>
      </c>
      <c r="B8785" s="112" t="s">
        <v>929</v>
      </c>
      <c r="C8785" s="112" t="s">
        <v>1095</v>
      </c>
      <c r="D8785" s="113">
        <v>10348451</v>
      </c>
      <c r="E8785" s="115">
        <v>43949</v>
      </c>
      <c r="F8785" s="114">
        <v>202101</v>
      </c>
      <c r="G8785" s="112" t="s">
        <v>1091</v>
      </c>
      <c r="H8785" s="112" t="s">
        <v>1015</v>
      </c>
      <c r="I8785" s="112" t="s">
        <v>1096</v>
      </c>
      <c r="J8785" s="112" t="s">
        <v>5680</v>
      </c>
      <c r="K8785" s="112" t="s">
        <v>1098</v>
      </c>
      <c r="L8785" s="116">
        <v>477.46</v>
      </c>
    </row>
    <row r="8786" spans="1:12" hidden="1" outlineLevel="1" collapsed="1" x14ac:dyDescent="0.35">
      <c r="A8786" s="112" t="s">
        <v>5666</v>
      </c>
      <c r="B8786" s="112" t="s">
        <v>929</v>
      </c>
      <c r="C8786" s="112" t="s">
        <v>1095</v>
      </c>
      <c r="D8786" s="113">
        <v>10348451</v>
      </c>
      <c r="E8786" s="115">
        <v>43949</v>
      </c>
      <c r="F8786" s="114">
        <v>202101</v>
      </c>
      <c r="G8786" s="112" t="s">
        <v>1091</v>
      </c>
      <c r="H8786" s="112" t="s">
        <v>1015</v>
      </c>
      <c r="I8786" s="112" t="s">
        <v>5675</v>
      </c>
      <c r="J8786" s="112" t="s">
        <v>5672</v>
      </c>
      <c r="K8786" s="112" t="s">
        <v>1098</v>
      </c>
      <c r="L8786" s="116">
        <v>428.5</v>
      </c>
    </row>
    <row r="8787" spans="1:12" hidden="1" outlineLevel="1" collapsed="1" x14ac:dyDescent="0.35">
      <c r="A8787" s="112" t="s">
        <v>5666</v>
      </c>
      <c r="B8787" s="112" t="s">
        <v>929</v>
      </c>
      <c r="C8787" s="112" t="s">
        <v>1095</v>
      </c>
      <c r="D8787" s="113">
        <v>10348451</v>
      </c>
      <c r="E8787" s="115">
        <v>43949</v>
      </c>
      <c r="F8787" s="114">
        <v>202101</v>
      </c>
      <c r="G8787" s="112" t="s">
        <v>1091</v>
      </c>
      <c r="H8787" s="112" t="s">
        <v>1015</v>
      </c>
      <c r="I8787" s="112" t="s">
        <v>1096</v>
      </c>
      <c r="J8787" s="112" t="s">
        <v>5680</v>
      </c>
      <c r="K8787" s="112" t="s">
        <v>1098</v>
      </c>
      <c r="L8787" s="116">
        <v>131.05000000000001</v>
      </c>
    </row>
    <row r="8788" spans="1:12" hidden="1" outlineLevel="1" collapsed="1" x14ac:dyDescent="0.35">
      <c r="A8788" s="112" t="s">
        <v>5666</v>
      </c>
      <c r="B8788" s="112" t="s">
        <v>929</v>
      </c>
      <c r="C8788" s="112" t="s">
        <v>1095</v>
      </c>
      <c r="D8788" s="113">
        <v>10348451</v>
      </c>
      <c r="E8788" s="115">
        <v>43949</v>
      </c>
      <c r="F8788" s="114">
        <v>202101</v>
      </c>
      <c r="G8788" s="112" t="s">
        <v>1091</v>
      </c>
      <c r="H8788" s="112" t="s">
        <v>1015</v>
      </c>
      <c r="I8788" s="112" t="s">
        <v>1101</v>
      </c>
      <c r="J8788" s="112" t="s">
        <v>5680</v>
      </c>
      <c r="K8788" s="112" t="s">
        <v>1098</v>
      </c>
      <c r="L8788" s="116">
        <v>679.08</v>
      </c>
    </row>
    <row r="8789" spans="1:12" hidden="1" outlineLevel="1" collapsed="1" x14ac:dyDescent="0.35">
      <c r="A8789" s="112" t="s">
        <v>5666</v>
      </c>
      <c r="B8789" s="112" t="s">
        <v>931</v>
      </c>
      <c r="C8789" s="112" t="s">
        <v>1095</v>
      </c>
      <c r="D8789" s="113">
        <v>10348451</v>
      </c>
      <c r="E8789" s="115">
        <v>43949</v>
      </c>
      <c r="F8789" s="114">
        <v>202101</v>
      </c>
      <c r="G8789" s="112" t="s">
        <v>1091</v>
      </c>
      <c r="H8789" s="112" t="s">
        <v>1015</v>
      </c>
      <c r="I8789" s="112" t="s">
        <v>1116</v>
      </c>
      <c r="J8789" s="112" t="s">
        <v>5668</v>
      </c>
      <c r="K8789" s="112" t="s">
        <v>1098</v>
      </c>
      <c r="L8789" s="116">
        <v>3013.78</v>
      </c>
    </row>
    <row r="8790" spans="1:12" hidden="1" outlineLevel="1" collapsed="1" x14ac:dyDescent="0.35">
      <c r="A8790" s="112" t="s">
        <v>5666</v>
      </c>
      <c r="B8790" s="112" t="s">
        <v>930</v>
      </c>
      <c r="C8790" s="112" t="s">
        <v>695</v>
      </c>
      <c r="D8790" s="113">
        <v>10347981</v>
      </c>
      <c r="E8790" s="115">
        <v>43924</v>
      </c>
      <c r="F8790" s="114">
        <v>202101</v>
      </c>
      <c r="G8790" s="112" t="s">
        <v>1091</v>
      </c>
      <c r="H8790" s="112" t="s">
        <v>1015</v>
      </c>
      <c r="I8790" s="112" t="s">
        <v>1124</v>
      </c>
      <c r="J8790" s="112" t="s">
        <v>5684</v>
      </c>
      <c r="K8790" s="112" t="s">
        <v>5685</v>
      </c>
      <c r="L8790" s="116">
        <v>-1672.75</v>
      </c>
    </row>
    <row r="8791" spans="1:12" hidden="1" outlineLevel="1" collapsed="1" x14ac:dyDescent="0.35">
      <c r="A8791" s="112" t="s">
        <v>5666</v>
      </c>
      <c r="B8791" s="112" t="s">
        <v>930</v>
      </c>
      <c r="C8791" s="112" t="s">
        <v>695</v>
      </c>
      <c r="D8791" s="113">
        <v>10347981</v>
      </c>
      <c r="E8791" s="115">
        <v>43924</v>
      </c>
      <c r="F8791" s="114">
        <v>202101</v>
      </c>
      <c r="G8791" s="112" t="s">
        <v>1091</v>
      </c>
      <c r="H8791" s="112" t="s">
        <v>1015</v>
      </c>
      <c r="I8791" s="112" t="s">
        <v>1124</v>
      </c>
      <c r="J8791" s="112" t="s">
        <v>5667</v>
      </c>
      <c r="K8791" s="112" t="s">
        <v>5686</v>
      </c>
      <c r="L8791" s="116">
        <v>-1356.74</v>
      </c>
    </row>
    <row r="8792" spans="1:12" hidden="1" outlineLevel="1" collapsed="1" x14ac:dyDescent="0.35">
      <c r="A8792" s="112" t="s">
        <v>5666</v>
      </c>
      <c r="B8792" s="112" t="s">
        <v>931</v>
      </c>
      <c r="C8792" s="112" t="s">
        <v>1095</v>
      </c>
      <c r="D8792" s="113">
        <v>10348451</v>
      </c>
      <c r="E8792" s="115">
        <v>43949</v>
      </c>
      <c r="F8792" s="114">
        <v>202101</v>
      </c>
      <c r="G8792" s="112" t="s">
        <v>1091</v>
      </c>
      <c r="H8792" s="112" t="s">
        <v>1015</v>
      </c>
      <c r="I8792" s="112" t="s">
        <v>1116</v>
      </c>
      <c r="J8792" s="112" t="s">
        <v>5668</v>
      </c>
      <c r="K8792" s="112" t="s">
        <v>1098</v>
      </c>
      <c r="L8792" s="116">
        <v>8018.58</v>
      </c>
    </row>
    <row r="8793" spans="1:12" hidden="1" outlineLevel="1" collapsed="1" x14ac:dyDescent="0.35">
      <c r="A8793" s="112" t="s">
        <v>5666</v>
      </c>
      <c r="B8793" s="112" t="s">
        <v>932</v>
      </c>
      <c r="C8793" s="112" t="s">
        <v>1095</v>
      </c>
      <c r="D8793" s="113">
        <v>10348451</v>
      </c>
      <c r="E8793" s="115">
        <v>43949</v>
      </c>
      <c r="F8793" s="114">
        <v>202101</v>
      </c>
      <c r="G8793" s="112" t="s">
        <v>1091</v>
      </c>
      <c r="H8793" s="112" t="s">
        <v>1015</v>
      </c>
      <c r="I8793" s="112" t="s">
        <v>1096</v>
      </c>
      <c r="J8793" s="112" t="s">
        <v>5679</v>
      </c>
      <c r="K8793" s="112" t="s">
        <v>1098</v>
      </c>
      <c r="L8793" s="116">
        <v>302.31</v>
      </c>
    </row>
    <row r="8794" spans="1:12" hidden="1" outlineLevel="1" collapsed="1" x14ac:dyDescent="0.35">
      <c r="A8794" s="112" t="s">
        <v>5666</v>
      </c>
      <c r="B8794" s="112" t="s">
        <v>931</v>
      </c>
      <c r="C8794" s="112" t="s">
        <v>1095</v>
      </c>
      <c r="D8794" s="113">
        <v>10348451</v>
      </c>
      <c r="E8794" s="115">
        <v>43949</v>
      </c>
      <c r="F8794" s="114">
        <v>202101</v>
      </c>
      <c r="G8794" s="112" t="s">
        <v>1091</v>
      </c>
      <c r="H8794" s="112" t="s">
        <v>1015</v>
      </c>
      <c r="I8794" s="112" t="s">
        <v>1096</v>
      </c>
      <c r="J8794" s="112" t="s">
        <v>5668</v>
      </c>
      <c r="K8794" s="112" t="s">
        <v>1098</v>
      </c>
      <c r="L8794" s="116">
        <v>188.22</v>
      </c>
    </row>
    <row r="8795" spans="1:12" hidden="1" outlineLevel="1" collapsed="1" x14ac:dyDescent="0.35">
      <c r="A8795" s="112" t="s">
        <v>5666</v>
      </c>
      <c r="B8795" s="112" t="s">
        <v>929</v>
      </c>
      <c r="C8795" s="112" t="s">
        <v>695</v>
      </c>
      <c r="D8795" s="113">
        <v>10347981</v>
      </c>
      <c r="E8795" s="115">
        <v>43924</v>
      </c>
      <c r="F8795" s="114">
        <v>202101</v>
      </c>
      <c r="G8795" s="112" t="s">
        <v>1091</v>
      </c>
      <c r="H8795" s="112" t="s">
        <v>1015</v>
      </c>
      <c r="I8795" s="112" t="s">
        <v>1399</v>
      </c>
      <c r="J8795" s="112" t="s">
        <v>5672</v>
      </c>
      <c r="K8795" s="112" t="s">
        <v>5687</v>
      </c>
      <c r="L8795" s="116">
        <v>-100.86</v>
      </c>
    </row>
    <row r="8796" spans="1:12" hidden="1" outlineLevel="1" collapsed="1" x14ac:dyDescent="0.35">
      <c r="A8796" s="112" t="s">
        <v>5666</v>
      </c>
      <c r="B8796" s="112" t="s">
        <v>931</v>
      </c>
      <c r="C8796" s="112" t="s">
        <v>1095</v>
      </c>
      <c r="D8796" s="113">
        <v>10348451</v>
      </c>
      <c r="E8796" s="115">
        <v>43949</v>
      </c>
      <c r="F8796" s="114">
        <v>202101</v>
      </c>
      <c r="G8796" s="112" t="s">
        <v>1091</v>
      </c>
      <c r="H8796" s="112" t="s">
        <v>1015</v>
      </c>
      <c r="I8796" s="112" t="s">
        <v>1116</v>
      </c>
      <c r="J8796" s="112" t="s">
        <v>5668</v>
      </c>
      <c r="K8796" s="112" t="s">
        <v>1098</v>
      </c>
      <c r="L8796" s="116">
        <v>5206.91</v>
      </c>
    </row>
    <row r="8797" spans="1:12" hidden="1" outlineLevel="1" collapsed="1" x14ac:dyDescent="0.35">
      <c r="A8797" s="112" t="s">
        <v>5666</v>
      </c>
      <c r="B8797" s="112" t="s">
        <v>931</v>
      </c>
      <c r="C8797" s="112" t="s">
        <v>695</v>
      </c>
      <c r="D8797" s="113">
        <v>10347981</v>
      </c>
      <c r="E8797" s="115">
        <v>43924</v>
      </c>
      <c r="F8797" s="114">
        <v>202101</v>
      </c>
      <c r="G8797" s="112" t="s">
        <v>1091</v>
      </c>
      <c r="H8797" s="112" t="s">
        <v>1015</v>
      </c>
      <c r="I8797" s="112" t="s">
        <v>1599</v>
      </c>
      <c r="J8797" s="112" t="s">
        <v>5668</v>
      </c>
      <c r="K8797" s="112" t="s">
        <v>5688</v>
      </c>
      <c r="L8797" s="116">
        <v>-350</v>
      </c>
    </row>
    <row r="8798" spans="1:12" hidden="1" outlineLevel="1" collapsed="1" x14ac:dyDescent="0.35">
      <c r="A8798" s="112" t="s">
        <v>5666</v>
      </c>
      <c r="B8798" s="112" t="s">
        <v>930</v>
      </c>
      <c r="C8798" s="112" t="s">
        <v>695</v>
      </c>
      <c r="D8798" s="113">
        <v>10347981</v>
      </c>
      <c r="E8798" s="115">
        <v>43924</v>
      </c>
      <c r="F8798" s="114">
        <v>202101</v>
      </c>
      <c r="G8798" s="112" t="s">
        <v>1091</v>
      </c>
      <c r="H8798" s="112" t="s">
        <v>1015</v>
      </c>
      <c r="I8798" s="112" t="s">
        <v>1124</v>
      </c>
      <c r="J8798" s="112" t="s">
        <v>5667</v>
      </c>
      <c r="K8798" s="112" t="s">
        <v>5689</v>
      </c>
      <c r="L8798" s="116">
        <v>-16160.13</v>
      </c>
    </row>
    <row r="8799" spans="1:12" hidden="1" outlineLevel="1" collapsed="1" x14ac:dyDescent="0.35">
      <c r="A8799" s="112" t="s">
        <v>5666</v>
      </c>
      <c r="B8799" s="112" t="s">
        <v>931</v>
      </c>
      <c r="C8799" s="112" t="s">
        <v>1518</v>
      </c>
      <c r="D8799" s="113">
        <v>51365613</v>
      </c>
      <c r="E8799" s="115">
        <v>43922</v>
      </c>
      <c r="F8799" s="114">
        <v>202101</v>
      </c>
      <c r="G8799" s="112" t="s">
        <v>1091</v>
      </c>
      <c r="H8799" s="112" t="s">
        <v>1016</v>
      </c>
      <c r="I8799" s="112" t="s">
        <v>5690</v>
      </c>
      <c r="J8799" s="112" t="s">
        <v>5668</v>
      </c>
      <c r="K8799" s="112" t="s">
        <v>5691</v>
      </c>
      <c r="L8799" s="116">
        <v>-4685.78</v>
      </c>
    </row>
    <row r="8800" spans="1:12" hidden="1" outlineLevel="1" collapsed="1" x14ac:dyDescent="0.35">
      <c r="A8800" s="112" t="s">
        <v>5666</v>
      </c>
      <c r="B8800" s="112" t="s">
        <v>932</v>
      </c>
      <c r="C8800" s="112" t="s">
        <v>1095</v>
      </c>
      <c r="D8800" s="113">
        <v>10348451</v>
      </c>
      <c r="E8800" s="115">
        <v>43949</v>
      </c>
      <c r="F8800" s="114">
        <v>202101</v>
      </c>
      <c r="G8800" s="112" t="s">
        <v>1091</v>
      </c>
      <c r="H8800" s="112" t="s">
        <v>1015</v>
      </c>
      <c r="I8800" s="112" t="s">
        <v>1116</v>
      </c>
      <c r="J8800" s="112" t="s">
        <v>5679</v>
      </c>
      <c r="K8800" s="112" t="s">
        <v>1098</v>
      </c>
      <c r="L8800" s="116">
        <v>13458.25</v>
      </c>
    </row>
    <row r="8801" spans="1:12" hidden="1" outlineLevel="1" collapsed="1" x14ac:dyDescent="0.35">
      <c r="A8801" s="112" t="s">
        <v>5666</v>
      </c>
      <c r="B8801" s="112" t="s">
        <v>932</v>
      </c>
      <c r="C8801" s="112" t="s">
        <v>1095</v>
      </c>
      <c r="D8801" s="113">
        <v>10348451</v>
      </c>
      <c r="E8801" s="115">
        <v>43949</v>
      </c>
      <c r="F8801" s="114">
        <v>202101</v>
      </c>
      <c r="G8801" s="112" t="s">
        <v>1091</v>
      </c>
      <c r="H8801" s="112" t="s">
        <v>1015</v>
      </c>
      <c r="I8801" s="112" t="s">
        <v>1116</v>
      </c>
      <c r="J8801" s="112" t="s">
        <v>5679</v>
      </c>
      <c r="K8801" s="112" t="s">
        <v>1098</v>
      </c>
      <c r="L8801" s="116">
        <v>2922.65</v>
      </c>
    </row>
    <row r="8802" spans="1:12" hidden="1" outlineLevel="1" collapsed="1" x14ac:dyDescent="0.35">
      <c r="A8802" s="112" t="s">
        <v>5666</v>
      </c>
      <c r="B8802" s="112" t="s">
        <v>929</v>
      </c>
      <c r="C8802" s="112" t="s">
        <v>1095</v>
      </c>
      <c r="D8802" s="113">
        <v>10348451</v>
      </c>
      <c r="E8802" s="115">
        <v>43949</v>
      </c>
      <c r="F8802" s="114">
        <v>202101</v>
      </c>
      <c r="G8802" s="112" t="s">
        <v>1091</v>
      </c>
      <c r="H8802" s="112" t="s">
        <v>1015</v>
      </c>
      <c r="I8802" s="112" t="s">
        <v>1101</v>
      </c>
      <c r="J8802" s="112" t="s">
        <v>5680</v>
      </c>
      <c r="K8802" s="112" t="s">
        <v>1098</v>
      </c>
      <c r="L8802" s="116">
        <v>213.13</v>
      </c>
    </row>
    <row r="8803" spans="1:12" hidden="1" outlineLevel="1" collapsed="1" x14ac:dyDescent="0.35">
      <c r="A8803" s="112" t="s">
        <v>5666</v>
      </c>
      <c r="B8803" s="112" t="s">
        <v>929</v>
      </c>
      <c r="C8803" s="112" t="s">
        <v>1095</v>
      </c>
      <c r="D8803" s="113">
        <v>10348451</v>
      </c>
      <c r="E8803" s="115">
        <v>43949</v>
      </c>
      <c r="F8803" s="114">
        <v>202101</v>
      </c>
      <c r="G8803" s="112" t="s">
        <v>1091</v>
      </c>
      <c r="H8803" s="112" t="s">
        <v>1015</v>
      </c>
      <c r="I8803" s="112" t="s">
        <v>5673</v>
      </c>
      <c r="J8803" s="112" t="s">
        <v>5672</v>
      </c>
      <c r="K8803" s="112" t="s">
        <v>1098</v>
      </c>
      <c r="L8803" s="116">
        <v>642.75</v>
      </c>
    </row>
    <row r="8804" spans="1:12" hidden="1" outlineLevel="1" collapsed="1" x14ac:dyDescent="0.35">
      <c r="A8804" s="112" t="s">
        <v>5666</v>
      </c>
      <c r="B8804" s="112" t="s">
        <v>929</v>
      </c>
      <c r="C8804" s="112" t="s">
        <v>1095</v>
      </c>
      <c r="D8804" s="113">
        <v>10348451</v>
      </c>
      <c r="E8804" s="115">
        <v>43949</v>
      </c>
      <c r="F8804" s="114">
        <v>202101</v>
      </c>
      <c r="G8804" s="112" t="s">
        <v>1091</v>
      </c>
      <c r="H8804" s="112" t="s">
        <v>1015</v>
      </c>
      <c r="I8804" s="112" t="s">
        <v>5675</v>
      </c>
      <c r="J8804" s="112" t="s">
        <v>5672</v>
      </c>
      <c r="K8804" s="112" t="s">
        <v>1098</v>
      </c>
      <c r="L8804" s="116">
        <v>428.5</v>
      </c>
    </row>
    <row r="8805" spans="1:12" hidden="1" outlineLevel="1" collapsed="1" x14ac:dyDescent="0.35">
      <c r="A8805" s="112" t="s">
        <v>5666</v>
      </c>
      <c r="B8805" s="112" t="s">
        <v>929</v>
      </c>
      <c r="C8805" s="112" t="s">
        <v>1095</v>
      </c>
      <c r="D8805" s="113">
        <v>10348451</v>
      </c>
      <c r="E8805" s="115">
        <v>43949</v>
      </c>
      <c r="F8805" s="114">
        <v>202101</v>
      </c>
      <c r="G8805" s="112" t="s">
        <v>1091</v>
      </c>
      <c r="H8805" s="112" t="s">
        <v>1015</v>
      </c>
      <c r="I8805" s="112" t="s">
        <v>5675</v>
      </c>
      <c r="J8805" s="112" t="s">
        <v>5672</v>
      </c>
      <c r="K8805" s="112" t="s">
        <v>1098</v>
      </c>
      <c r="L8805" s="116">
        <v>428.5</v>
      </c>
    </row>
    <row r="8806" spans="1:12" hidden="1" outlineLevel="1" collapsed="1" x14ac:dyDescent="0.35">
      <c r="A8806" s="112" t="s">
        <v>5666</v>
      </c>
      <c r="B8806" s="112" t="s">
        <v>932</v>
      </c>
      <c r="C8806" s="112" t="s">
        <v>1095</v>
      </c>
      <c r="D8806" s="113">
        <v>10348451</v>
      </c>
      <c r="E8806" s="115">
        <v>43949</v>
      </c>
      <c r="F8806" s="114">
        <v>202101</v>
      </c>
      <c r="G8806" s="112" t="s">
        <v>1091</v>
      </c>
      <c r="H8806" s="112" t="s">
        <v>1015</v>
      </c>
      <c r="I8806" s="112" t="s">
        <v>1116</v>
      </c>
      <c r="J8806" s="112" t="s">
        <v>5679</v>
      </c>
      <c r="K8806" s="112" t="s">
        <v>1098</v>
      </c>
      <c r="L8806" s="116">
        <v>9904.58</v>
      </c>
    </row>
    <row r="8807" spans="1:12" hidden="1" outlineLevel="1" collapsed="1" x14ac:dyDescent="0.35">
      <c r="A8807" s="112" t="s">
        <v>5666</v>
      </c>
      <c r="B8807" s="112" t="s">
        <v>931</v>
      </c>
      <c r="C8807" s="112" t="s">
        <v>695</v>
      </c>
      <c r="D8807" s="113">
        <v>10347981</v>
      </c>
      <c r="E8807" s="115">
        <v>43924</v>
      </c>
      <c r="F8807" s="114">
        <v>202101</v>
      </c>
      <c r="G8807" s="112" t="s">
        <v>1091</v>
      </c>
      <c r="H8807" s="112" t="s">
        <v>1015</v>
      </c>
      <c r="I8807" s="112" t="s">
        <v>1599</v>
      </c>
      <c r="J8807" s="112" t="s">
        <v>5668</v>
      </c>
      <c r="K8807" s="112" t="s">
        <v>5692</v>
      </c>
      <c r="L8807" s="116">
        <v>-809.75</v>
      </c>
    </row>
    <row r="8808" spans="1:12" hidden="1" outlineLevel="1" collapsed="1" x14ac:dyDescent="0.35">
      <c r="A8808" s="112" t="s">
        <v>5666</v>
      </c>
      <c r="B8808" s="112" t="s">
        <v>929</v>
      </c>
      <c r="C8808" s="112" t="s">
        <v>695</v>
      </c>
      <c r="D8808" s="113">
        <v>10347981</v>
      </c>
      <c r="E8808" s="115">
        <v>43924</v>
      </c>
      <c r="F8808" s="114">
        <v>202101</v>
      </c>
      <c r="G8808" s="112" t="s">
        <v>1091</v>
      </c>
      <c r="H8808" s="112" t="s">
        <v>1015</v>
      </c>
      <c r="I8808" s="112" t="s">
        <v>1133</v>
      </c>
      <c r="J8808" s="112" t="s">
        <v>5680</v>
      </c>
      <c r="K8808" s="112" t="s">
        <v>5693</v>
      </c>
      <c r="L8808" s="116">
        <v>-1300</v>
      </c>
    </row>
    <row r="8809" spans="1:12" hidden="1" outlineLevel="1" collapsed="1" x14ac:dyDescent="0.35">
      <c r="A8809" s="112" t="s">
        <v>5666</v>
      </c>
      <c r="B8809" s="112" t="s">
        <v>932</v>
      </c>
      <c r="C8809" s="112" t="s">
        <v>1095</v>
      </c>
      <c r="D8809" s="113">
        <v>10348451</v>
      </c>
      <c r="E8809" s="115">
        <v>43949</v>
      </c>
      <c r="F8809" s="114">
        <v>202101</v>
      </c>
      <c r="G8809" s="112" t="s">
        <v>1091</v>
      </c>
      <c r="H8809" s="112" t="s">
        <v>1015</v>
      </c>
      <c r="I8809" s="112" t="s">
        <v>1116</v>
      </c>
      <c r="J8809" s="112" t="s">
        <v>5679</v>
      </c>
      <c r="K8809" s="112" t="s">
        <v>1098</v>
      </c>
      <c r="L8809" s="116">
        <v>8169.2</v>
      </c>
    </row>
    <row r="8810" spans="1:12" hidden="1" outlineLevel="1" collapsed="1" x14ac:dyDescent="0.35">
      <c r="A8810" s="112" t="s">
        <v>5666</v>
      </c>
      <c r="B8810" s="112" t="s">
        <v>929</v>
      </c>
      <c r="C8810" s="112" t="s">
        <v>1095</v>
      </c>
      <c r="D8810" s="113">
        <v>10348451</v>
      </c>
      <c r="E8810" s="115">
        <v>43949</v>
      </c>
      <c r="F8810" s="114">
        <v>202101</v>
      </c>
      <c r="G8810" s="112" t="s">
        <v>1091</v>
      </c>
      <c r="H8810" s="112" t="s">
        <v>1015</v>
      </c>
      <c r="I8810" s="112" t="s">
        <v>5673</v>
      </c>
      <c r="J8810" s="112" t="s">
        <v>5672</v>
      </c>
      <c r="K8810" s="112" t="s">
        <v>1098</v>
      </c>
      <c r="L8810" s="116">
        <v>642.75</v>
      </c>
    </row>
    <row r="8811" spans="1:12" hidden="1" outlineLevel="1" collapsed="1" x14ac:dyDescent="0.35">
      <c r="A8811" s="112" t="s">
        <v>5666</v>
      </c>
      <c r="B8811" s="112" t="s">
        <v>931</v>
      </c>
      <c r="C8811" s="112" t="s">
        <v>1095</v>
      </c>
      <c r="D8811" s="113">
        <v>10348451</v>
      </c>
      <c r="E8811" s="115">
        <v>43949</v>
      </c>
      <c r="F8811" s="114">
        <v>202101</v>
      </c>
      <c r="G8811" s="112" t="s">
        <v>1091</v>
      </c>
      <c r="H8811" s="112" t="s">
        <v>1015</v>
      </c>
      <c r="I8811" s="112" t="s">
        <v>1096</v>
      </c>
      <c r="J8811" s="112" t="s">
        <v>5668</v>
      </c>
      <c r="K8811" s="112" t="s">
        <v>1098</v>
      </c>
      <c r="L8811" s="116">
        <v>411.93</v>
      </c>
    </row>
    <row r="8812" spans="1:12" hidden="1" outlineLevel="1" collapsed="1" x14ac:dyDescent="0.35">
      <c r="A8812" s="112" t="s">
        <v>5666</v>
      </c>
      <c r="B8812" s="112" t="s">
        <v>931</v>
      </c>
      <c r="C8812" s="112" t="s">
        <v>695</v>
      </c>
      <c r="D8812" s="113">
        <v>10347981</v>
      </c>
      <c r="E8812" s="115">
        <v>43924</v>
      </c>
      <c r="F8812" s="114">
        <v>202101</v>
      </c>
      <c r="G8812" s="112" t="s">
        <v>1091</v>
      </c>
      <c r="H8812" s="112" t="s">
        <v>1015</v>
      </c>
      <c r="I8812" s="112" t="s">
        <v>1599</v>
      </c>
      <c r="J8812" s="112" t="s">
        <v>5668</v>
      </c>
      <c r="K8812" s="112" t="s">
        <v>5694</v>
      </c>
      <c r="L8812" s="116">
        <v>-8975</v>
      </c>
    </row>
    <row r="8813" spans="1:12" hidden="1" outlineLevel="1" collapsed="1" x14ac:dyDescent="0.35">
      <c r="A8813" s="112" t="s">
        <v>5666</v>
      </c>
      <c r="B8813" s="112" t="s">
        <v>931</v>
      </c>
      <c r="C8813" s="112" t="s">
        <v>1095</v>
      </c>
      <c r="D8813" s="113">
        <v>10348451</v>
      </c>
      <c r="E8813" s="115">
        <v>43949</v>
      </c>
      <c r="F8813" s="114">
        <v>202101</v>
      </c>
      <c r="G8813" s="112" t="s">
        <v>1091</v>
      </c>
      <c r="H8813" s="112" t="s">
        <v>1015</v>
      </c>
      <c r="I8813" s="112" t="s">
        <v>1116</v>
      </c>
      <c r="J8813" s="112" t="s">
        <v>5668</v>
      </c>
      <c r="K8813" s="112" t="s">
        <v>1098</v>
      </c>
      <c r="L8813" s="116">
        <v>4349.08</v>
      </c>
    </row>
    <row r="8814" spans="1:12" hidden="1" outlineLevel="1" collapsed="1" x14ac:dyDescent="0.35">
      <c r="A8814" s="112" t="s">
        <v>5666</v>
      </c>
      <c r="B8814" s="112" t="s">
        <v>932</v>
      </c>
      <c r="C8814" s="112" t="s">
        <v>1095</v>
      </c>
      <c r="D8814" s="113">
        <v>10348451</v>
      </c>
      <c r="E8814" s="115">
        <v>43949</v>
      </c>
      <c r="F8814" s="114">
        <v>202101</v>
      </c>
      <c r="G8814" s="112" t="s">
        <v>1091</v>
      </c>
      <c r="H8814" s="112" t="s">
        <v>1015</v>
      </c>
      <c r="I8814" s="112" t="s">
        <v>1116</v>
      </c>
      <c r="J8814" s="112" t="s">
        <v>5679</v>
      </c>
      <c r="K8814" s="112" t="s">
        <v>1098</v>
      </c>
      <c r="L8814" s="116">
        <v>9904.58</v>
      </c>
    </row>
    <row r="8815" spans="1:12" hidden="1" outlineLevel="1" collapsed="1" x14ac:dyDescent="0.35">
      <c r="A8815" s="112" t="s">
        <v>5666</v>
      </c>
      <c r="B8815" s="112" t="s">
        <v>929</v>
      </c>
      <c r="C8815" s="112" t="s">
        <v>1099</v>
      </c>
      <c r="D8815" s="113">
        <v>1069355</v>
      </c>
      <c r="E8815" s="115">
        <v>43735</v>
      </c>
      <c r="F8815" s="114">
        <v>202101</v>
      </c>
      <c r="G8815" s="112" t="s">
        <v>1091</v>
      </c>
      <c r="H8815" s="112" t="s">
        <v>1015</v>
      </c>
      <c r="I8815" s="112" t="s">
        <v>1399</v>
      </c>
      <c r="J8815" s="112" t="s">
        <v>5672</v>
      </c>
      <c r="K8815" s="112" t="s">
        <v>5695</v>
      </c>
      <c r="L8815" s="116">
        <v>6</v>
      </c>
    </row>
    <row r="8816" spans="1:12" hidden="1" outlineLevel="1" collapsed="1" x14ac:dyDescent="0.35">
      <c r="A8816" s="112" t="s">
        <v>5666</v>
      </c>
      <c r="B8816" s="112" t="s">
        <v>929</v>
      </c>
      <c r="C8816" s="112" t="s">
        <v>1095</v>
      </c>
      <c r="D8816" s="113">
        <v>10348451</v>
      </c>
      <c r="E8816" s="115">
        <v>43949</v>
      </c>
      <c r="F8816" s="114">
        <v>202101</v>
      </c>
      <c r="G8816" s="112" t="s">
        <v>1091</v>
      </c>
      <c r="H8816" s="112" t="s">
        <v>1015</v>
      </c>
      <c r="I8816" s="112" t="s">
        <v>1116</v>
      </c>
      <c r="J8816" s="112" t="s">
        <v>5680</v>
      </c>
      <c r="K8816" s="112" t="s">
        <v>1098</v>
      </c>
      <c r="L8816" s="116">
        <v>2256.59</v>
      </c>
    </row>
    <row r="8817" spans="1:12" hidden="1" outlineLevel="1" collapsed="1" x14ac:dyDescent="0.35">
      <c r="A8817" s="112" t="s">
        <v>5666</v>
      </c>
      <c r="B8817" s="112" t="s">
        <v>931</v>
      </c>
      <c r="C8817" s="112" t="s">
        <v>1095</v>
      </c>
      <c r="D8817" s="113">
        <v>10348451</v>
      </c>
      <c r="E8817" s="115">
        <v>43949</v>
      </c>
      <c r="F8817" s="114">
        <v>202101</v>
      </c>
      <c r="G8817" s="112" t="s">
        <v>1091</v>
      </c>
      <c r="H8817" s="112" t="s">
        <v>1015</v>
      </c>
      <c r="I8817" s="112" t="s">
        <v>1101</v>
      </c>
      <c r="J8817" s="112" t="s">
        <v>5668</v>
      </c>
      <c r="K8817" s="112" t="s">
        <v>1098</v>
      </c>
      <c r="L8817" s="116">
        <v>602.15</v>
      </c>
    </row>
    <row r="8818" spans="1:12" hidden="1" outlineLevel="1" collapsed="1" x14ac:dyDescent="0.35">
      <c r="A8818" s="112" t="s">
        <v>5666</v>
      </c>
      <c r="B8818" s="112" t="s">
        <v>932</v>
      </c>
      <c r="C8818" s="112" t="s">
        <v>1095</v>
      </c>
      <c r="D8818" s="113">
        <v>10348451</v>
      </c>
      <c r="E8818" s="115">
        <v>43949</v>
      </c>
      <c r="F8818" s="114">
        <v>202101</v>
      </c>
      <c r="G8818" s="112" t="s">
        <v>1091</v>
      </c>
      <c r="H8818" s="112" t="s">
        <v>1015</v>
      </c>
      <c r="I8818" s="112" t="s">
        <v>1096</v>
      </c>
      <c r="J8818" s="112" t="s">
        <v>5679</v>
      </c>
      <c r="K8818" s="112" t="s">
        <v>1098</v>
      </c>
      <c r="L8818" s="116">
        <v>1265.82</v>
      </c>
    </row>
    <row r="8819" spans="1:12" hidden="1" outlineLevel="1" collapsed="1" x14ac:dyDescent="0.35">
      <c r="A8819" s="112" t="s">
        <v>5666</v>
      </c>
      <c r="B8819" s="112" t="s">
        <v>929</v>
      </c>
      <c r="C8819" s="112" t="s">
        <v>1095</v>
      </c>
      <c r="D8819" s="113">
        <v>10348451</v>
      </c>
      <c r="E8819" s="115">
        <v>43949</v>
      </c>
      <c r="F8819" s="114">
        <v>202101</v>
      </c>
      <c r="G8819" s="112" t="s">
        <v>1091</v>
      </c>
      <c r="H8819" s="112" t="s">
        <v>1015</v>
      </c>
      <c r="I8819" s="112" t="s">
        <v>1116</v>
      </c>
      <c r="J8819" s="112" t="s">
        <v>5680</v>
      </c>
      <c r="K8819" s="112" t="s">
        <v>1098</v>
      </c>
      <c r="L8819" s="116">
        <v>2981.92</v>
      </c>
    </row>
    <row r="8820" spans="1:12" hidden="1" outlineLevel="1" collapsed="1" x14ac:dyDescent="0.35">
      <c r="A8820" s="112" t="s">
        <v>5666</v>
      </c>
      <c r="B8820" s="112" t="s">
        <v>929</v>
      </c>
      <c r="C8820" s="112" t="s">
        <v>1095</v>
      </c>
      <c r="D8820" s="113">
        <v>10348451</v>
      </c>
      <c r="E8820" s="115">
        <v>43949</v>
      </c>
      <c r="F8820" s="114">
        <v>202101</v>
      </c>
      <c r="G8820" s="112" t="s">
        <v>1091</v>
      </c>
      <c r="H8820" s="112" t="s">
        <v>1015</v>
      </c>
      <c r="I8820" s="112" t="s">
        <v>1096</v>
      </c>
      <c r="J8820" s="112" t="s">
        <v>5672</v>
      </c>
      <c r="K8820" s="112" t="s">
        <v>1098</v>
      </c>
      <c r="L8820" s="116">
        <v>46.82</v>
      </c>
    </row>
    <row r="8821" spans="1:12" hidden="1" outlineLevel="1" collapsed="1" x14ac:dyDescent="0.35">
      <c r="A8821" s="112" t="s">
        <v>5666</v>
      </c>
      <c r="B8821" s="112" t="s">
        <v>929</v>
      </c>
      <c r="C8821" s="112" t="s">
        <v>1095</v>
      </c>
      <c r="D8821" s="113">
        <v>10348451</v>
      </c>
      <c r="E8821" s="115">
        <v>43949</v>
      </c>
      <c r="F8821" s="114">
        <v>202101</v>
      </c>
      <c r="G8821" s="112" t="s">
        <v>1091</v>
      </c>
      <c r="H8821" s="112" t="s">
        <v>1015</v>
      </c>
      <c r="I8821" s="112" t="s">
        <v>1116</v>
      </c>
      <c r="J8821" s="112" t="s">
        <v>5680</v>
      </c>
      <c r="K8821" s="112" t="s">
        <v>1098</v>
      </c>
      <c r="L8821" s="116">
        <v>1129.75</v>
      </c>
    </row>
    <row r="8822" spans="1:12" hidden="1" outlineLevel="1" collapsed="1" x14ac:dyDescent="0.35">
      <c r="A8822" s="112" t="s">
        <v>5666</v>
      </c>
      <c r="B8822" s="112" t="s">
        <v>929</v>
      </c>
      <c r="C8822" s="112" t="s">
        <v>1095</v>
      </c>
      <c r="D8822" s="113">
        <v>10348451</v>
      </c>
      <c r="E8822" s="115">
        <v>43949</v>
      </c>
      <c r="F8822" s="114">
        <v>202101</v>
      </c>
      <c r="G8822" s="112" t="s">
        <v>1091</v>
      </c>
      <c r="H8822" s="112" t="s">
        <v>1015</v>
      </c>
      <c r="I8822" s="112" t="s">
        <v>1116</v>
      </c>
      <c r="J8822" s="112" t="s">
        <v>5680</v>
      </c>
      <c r="K8822" s="112" t="s">
        <v>1098</v>
      </c>
      <c r="L8822" s="116">
        <v>2493.92</v>
      </c>
    </row>
    <row r="8823" spans="1:12" hidden="1" outlineLevel="1" collapsed="1" x14ac:dyDescent="0.35">
      <c r="A8823" s="112" t="s">
        <v>5666</v>
      </c>
      <c r="B8823" s="112" t="s">
        <v>929</v>
      </c>
      <c r="C8823" s="112" t="s">
        <v>1095</v>
      </c>
      <c r="D8823" s="113">
        <v>10348451</v>
      </c>
      <c r="E8823" s="115">
        <v>43949</v>
      </c>
      <c r="F8823" s="114">
        <v>202101</v>
      </c>
      <c r="G8823" s="112" t="s">
        <v>1091</v>
      </c>
      <c r="H8823" s="112" t="s">
        <v>1015</v>
      </c>
      <c r="I8823" s="112" t="s">
        <v>5675</v>
      </c>
      <c r="J8823" s="112" t="s">
        <v>5672</v>
      </c>
      <c r="K8823" s="112" t="s">
        <v>1098</v>
      </c>
      <c r="L8823" s="116">
        <v>428.5</v>
      </c>
    </row>
    <row r="8824" spans="1:12" hidden="1" outlineLevel="1" collapsed="1" x14ac:dyDescent="0.35">
      <c r="A8824" s="112" t="s">
        <v>5666</v>
      </c>
      <c r="B8824" s="112" t="s">
        <v>932</v>
      </c>
      <c r="C8824" s="112" t="s">
        <v>695</v>
      </c>
      <c r="D8824" s="113">
        <v>10347981</v>
      </c>
      <c r="E8824" s="115">
        <v>43924</v>
      </c>
      <c r="F8824" s="114">
        <v>202101</v>
      </c>
      <c r="G8824" s="112" t="s">
        <v>1091</v>
      </c>
      <c r="H8824" s="112" t="s">
        <v>1015</v>
      </c>
      <c r="I8824" s="112" t="s">
        <v>761</v>
      </c>
      <c r="J8824" s="112" t="s">
        <v>5679</v>
      </c>
      <c r="K8824" s="112" t="s">
        <v>5682</v>
      </c>
      <c r="L8824" s="116">
        <v>-23</v>
      </c>
    </row>
    <row r="8825" spans="1:12" hidden="1" outlineLevel="1" collapsed="1" x14ac:dyDescent="0.35">
      <c r="A8825" s="112" t="s">
        <v>5666</v>
      </c>
      <c r="B8825" s="112" t="s">
        <v>932</v>
      </c>
      <c r="C8825" s="112" t="s">
        <v>1095</v>
      </c>
      <c r="D8825" s="113">
        <v>10348451</v>
      </c>
      <c r="E8825" s="115">
        <v>43949</v>
      </c>
      <c r="F8825" s="114">
        <v>202101</v>
      </c>
      <c r="G8825" s="112" t="s">
        <v>1091</v>
      </c>
      <c r="H8825" s="112" t="s">
        <v>1015</v>
      </c>
      <c r="I8825" s="112" t="s">
        <v>1101</v>
      </c>
      <c r="J8825" s="112" t="s">
        <v>5679</v>
      </c>
      <c r="K8825" s="112" t="s">
        <v>1098</v>
      </c>
      <c r="L8825" s="116">
        <v>473.47</v>
      </c>
    </row>
    <row r="8826" spans="1:12" hidden="1" outlineLevel="1" collapsed="1" x14ac:dyDescent="0.35">
      <c r="A8826" s="112" t="s">
        <v>5666</v>
      </c>
      <c r="B8826" s="112" t="s">
        <v>930</v>
      </c>
      <c r="C8826" s="112" t="s">
        <v>1095</v>
      </c>
      <c r="D8826" s="113">
        <v>10348451</v>
      </c>
      <c r="E8826" s="115">
        <v>43949</v>
      </c>
      <c r="F8826" s="114">
        <v>202101</v>
      </c>
      <c r="G8826" s="112" t="s">
        <v>1091</v>
      </c>
      <c r="H8826" s="112" t="s">
        <v>1015</v>
      </c>
      <c r="I8826" s="112" t="s">
        <v>1096</v>
      </c>
      <c r="J8826" s="112" t="s">
        <v>5667</v>
      </c>
      <c r="K8826" s="112" t="s">
        <v>1098</v>
      </c>
      <c r="L8826" s="116">
        <v>131.05000000000001</v>
      </c>
    </row>
    <row r="8827" spans="1:12" hidden="1" outlineLevel="1" collapsed="1" x14ac:dyDescent="0.35">
      <c r="A8827" s="112" t="s">
        <v>5666</v>
      </c>
      <c r="B8827" s="112" t="s">
        <v>929</v>
      </c>
      <c r="C8827" s="112" t="s">
        <v>1095</v>
      </c>
      <c r="D8827" s="113">
        <v>10348451</v>
      </c>
      <c r="E8827" s="115">
        <v>43949</v>
      </c>
      <c r="F8827" s="114">
        <v>202101</v>
      </c>
      <c r="G8827" s="112" t="s">
        <v>1091</v>
      </c>
      <c r="H8827" s="112" t="s">
        <v>1015</v>
      </c>
      <c r="I8827" s="112" t="s">
        <v>5675</v>
      </c>
      <c r="J8827" s="112" t="s">
        <v>5672</v>
      </c>
      <c r="K8827" s="112" t="s">
        <v>1098</v>
      </c>
      <c r="L8827" s="116">
        <v>428.5</v>
      </c>
    </row>
    <row r="8828" spans="1:12" hidden="1" outlineLevel="1" collapsed="1" x14ac:dyDescent="0.35">
      <c r="A8828" s="112" t="s">
        <v>5666</v>
      </c>
      <c r="B8828" s="112" t="s">
        <v>931</v>
      </c>
      <c r="C8828" s="112" t="s">
        <v>695</v>
      </c>
      <c r="D8828" s="113">
        <v>10347981</v>
      </c>
      <c r="E8828" s="115">
        <v>43924</v>
      </c>
      <c r="F8828" s="114">
        <v>202101</v>
      </c>
      <c r="G8828" s="112" t="s">
        <v>1091</v>
      </c>
      <c r="H8828" s="112" t="s">
        <v>1015</v>
      </c>
      <c r="I8828" s="112" t="s">
        <v>1599</v>
      </c>
      <c r="J8828" s="112" t="s">
        <v>5668</v>
      </c>
      <c r="K8828" s="112" t="s">
        <v>5696</v>
      </c>
      <c r="L8828" s="116">
        <v>-995</v>
      </c>
    </row>
    <row r="8829" spans="1:12" hidden="1" outlineLevel="1" collapsed="1" x14ac:dyDescent="0.35">
      <c r="A8829" s="112" t="s">
        <v>5666</v>
      </c>
      <c r="B8829" s="112" t="s">
        <v>931</v>
      </c>
      <c r="C8829" s="112" t="s">
        <v>695</v>
      </c>
      <c r="D8829" s="113">
        <v>10347981</v>
      </c>
      <c r="E8829" s="115">
        <v>43924</v>
      </c>
      <c r="F8829" s="114">
        <v>202101</v>
      </c>
      <c r="G8829" s="112" t="s">
        <v>1091</v>
      </c>
      <c r="H8829" s="112" t="s">
        <v>1015</v>
      </c>
      <c r="I8829" s="112" t="s">
        <v>1599</v>
      </c>
      <c r="J8829" s="112" t="s">
        <v>5668</v>
      </c>
      <c r="K8829" s="112" t="s">
        <v>5697</v>
      </c>
      <c r="L8829" s="116">
        <v>-250</v>
      </c>
    </row>
    <row r="8830" spans="1:12" hidden="1" outlineLevel="1" collapsed="1" x14ac:dyDescent="0.35">
      <c r="A8830" s="112" t="s">
        <v>5666</v>
      </c>
      <c r="B8830" s="112" t="s">
        <v>929</v>
      </c>
      <c r="C8830" s="112" t="s">
        <v>1095</v>
      </c>
      <c r="D8830" s="113">
        <v>10348451</v>
      </c>
      <c r="E8830" s="115">
        <v>43949</v>
      </c>
      <c r="F8830" s="114">
        <v>202101</v>
      </c>
      <c r="G8830" s="112" t="s">
        <v>1091</v>
      </c>
      <c r="H8830" s="112" t="s">
        <v>1015</v>
      </c>
      <c r="I8830" s="112" t="s">
        <v>1116</v>
      </c>
      <c r="J8830" s="112" t="s">
        <v>5680</v>
      </c>
      <c r="K8830" s="112" t="s">
        <v>1098</v>
      </c>
      <c r="L8830" s="116">
        <v>3391.33</v>
      </c>
    </row>
    <row r="8831" spans="1:12" hidden="1" outlineLevel="1" collapsed="1" x14ac:dyDescent="0.35">
      <c r="A8831" s="112" t="s">
        <v>5666</v>
      </c>
      <c r="B8831" s="112" t="s">
        <v>929</v>
      </c>
      <c r="C8831" s="112" t="s">
        <v>1095</v>
      </c>
      <c r="D8831" s="113">
        <v>10348451</v>
      </c>
      <c r="E8831" s="115">
        <v>43949</v>
      </c>
      <c r="F8831" s="114">
        <v>202101</v>
      </c>
      <c r="G8831" s="112" t="s">
        <v>1091</v>
      </c>
      <c r="H8831" s="112" t="s">
        <v>1015</v>
      </c>
      <c r="I8831" s="112" t="s">
        <v>1116</v>
      </c>
      <c r="J8831" s="112" t="s">
        <v>5680</v>
      </c>
      <c r="K8831" s="112" t="s">
        <v>1098</v>
      </c>
      <c r="L8831" s="116">
        <v>4191.83</v>
      </c>
    </row>
    <row r="8832" spans="1:12" hidden="1" outlineLevel="1" collapsed="1" x14ac:dyDescent="0.35">
      <c r="A8832" s="112" t="s">
        <v>5666</v>
      </c>
      <c r="B8832" s="112" t="s">
        <v>931</v>
      </c>
      <c r="C8832" s="112" t="s">
        <v>1095</v>
      </c>
      <c r="D8832" s="113">
        <v>10348451</v>
      </c>
      <c r="E8832" s="115">
        <v>43949</v>
      </c>
      <c r="F8832" s="114">
        <v>202101</v>
      </c>
      <c r="G8832" s="112" t="s">
        <v>1091</v>
      </c>
      <c r="H8832" s="112" t="s">
        <v>1015</v>
      </c>
      <c r="I8832" s="112" t="s">
        <v>1116</v>
      </c>
      <c r="J8832" s="112" t="s">
        <v>5668</v>
      </c>
      <c r="K8832" s="112" t="s">
        <v>1098</v>
      </c>
      <c r="L8832" s="116">
        <v>2095.92</v>
      </c>
    </row>
    <row r="8833" spans="1:12" hidden="1" outlineLevel="1" collapsed="1" x14ac:dyDescent="0.35">
      <c r="A8833" s="112" t="s">
        <v>5666</v>
      </c>
      <c r="B8833" s="112" t="s">
        <v>929</v>
      </c>
      <c r="C8833" s="112" t="s">
        <v>1095</v>
      </c>
      <c r="D8833" s="113">
        <v>10348451</v>
      </c>
      <c r="E8833" s="115">
        <v>43949</v>
      </c>
      <c r="F8833" s="114">
        <v>202101</v>
      </c>
      <c r="G8833" s="112" t="s">
        <v>1091</v>
      </c>
      <c r="H8833" s="112" t="s">
        <v>1015</v>
      </c>
      <c r="I8833" s="112" t="s">
        <v>5675</v>
      </c>
      <c r="J8833" s="112" t="s">
        <v>5672</v>
      </c>
      <c r="K8833" s="112" t="s">
        <v>1098</v>
      </c>
      <c r="L8833" s="116">
        <v>428.5</v>
      </c>
    </row>
    <row r="8834" spans="1:12" hidden="1" outlineLevel="1" collapsed="1" x14ac:dyDescent="0.35">
      <c r="A8834" s="112" t="s">
        <v>5666</v>
      </c>
      <c r="B8834" s="112" t="s">
        <v>929</v>
      </c>
      <c r="C8834" s="112" t="s">
        <v>1095</v>
      </c>
      <c r="D8834" s="113">
        <v>10348451</v>
      </c>
      <c r="E8834" s="115">
        <v>43949</v>
      </c>
      <c r="F8834" s="114">
        <v>202101</v>
      </c>
      <c r="G8834" s="112" t="s">
        <v>1091</v>
      </c>
      <c r="H8834" s="112" t="s">
        <v>1015</v>
      </c>
      <c r="I8834" s="112" t="s">
        <v>5673</v>
      </c>
      <c r="J8834" s="112" t="s">
        <v>5672</v>
      </c>
      <c r="K8834" s="112" t="s">
        <v>1098</v>
      </c>
      <c r="L8834" s="116">
        <v>214.25</v>
      </c>
    </row>
    <row r="8835" spans="1:12" hidden="1" outlineLevel="1" collapsed="1" x14ac:dyDescent="0.35">
      <c r="A8835" s="112" t="s">
        <v>5666</v>
      </c>
      <c r="B8835" s="112" t="s">
        <v>929</v>
      </c>
      <c r="C8835" s="112" t="s">
        <v>1095</v>
      </c>
      <c r="D8835" s="113">
        <v>10348451</v>
      </c>
      <c r="E8835" s="115">
        <v>43949</v>
      </c>
      <c r="F8835" s="114">
        <v>202101</v>
      </c>
      <c r="G8835" s="112" t="s">
        <v>1091</v>
      </c>
      <c r="H8835" s="112" t="s">
        <v>1015</v>
      </c>
      <c r="I8835" s="112" t="s">
        <v>1096</v>
      </c>
      <c r="J8835" s="112" t="s">
        <v>5672</v>
      </c>
      <c r="K8835" s="112" t="s">
        <v>1098</v>
      </c>
      <c r="L8835" s="116">
        <v>46.82</v>
      </c>
    </row>
    <row r="8836" spans="1:12" hidden="1" outlineLevel="1" collapsed="1" x14ac:dyDescent="0.35">
      <c r="A8836" s="112" t="s">
        <v>5666</v>
      </c>
      <c r="B8836" s="112" t="s">
        <v>929</v>
      </c>
      <c r="C8836" s="112" t="s">
        <v>1095</v>
      </c>
      <c r="D8836" s="113">
        <v>10348451</v>
      </c>
      <c r="E8836" s="115">
        <v>43949</v>
      </c>
      <c r="F8836" s="114">
        <v>202101</v>
      </c>
      <c r="G8836" s="112" t="s">
        <v>1091</v>
      </c>
      <c r="H8836" s="112" t="s">
        <v>1015</v>
      </c>
      <c r="I8836" s="112" t="s">
        <v>1096</v>
      </c>
      <c r="J8836" s="112" t="s">
        <v>5680</v>
      </c>
      <c r="K8836" s="112" t="s">
        <v>1098</v>
      </c>
      <c r="L8836" s="116">
        <v>243.14</v>
      </c>
    </row>
    <row r="8837" spans="1:12" hidden="1" outlineLevel="1" collapsed="1" x14ac:dyDescent="0.35">
      <c r="A8837" s="112" t="s">
        <v>5666</v>
      </c>
      <c r="B8837" s="112" t="s">
        <v>931</v>
      </c>
      <c r="C8837" s="112" t="s">
        <v>1095</v>
      </c>
      <c r="D8837" s="113">
        <v>10348451</v>
      </c>
      <c r="E8837" s="115">
        <v>43949</v>
      </c>
      <c r="F8837" s="114">
        <v>202101</v>
      </c>
      <c r="G8837" s="112" t="s">
        <v>1091</v>
      </c>
      <c r="H8837" s="112" t="s">
        <v>1015</v>
      </c>
      <c r="I8837" s="112" t="s">
        <v>1116</v>
      </c>
      <c r="J8837" s="112" t="s">
        <v>5668</v>
      </c>
      <c r="K8837" s="112" t="s">
        <v>1098</v>
      </c>
      <c r="L8837" s="116">
        <v>3717</v>
      </c>
    </row>
    <row r="8838" spans="1:12" hidden="1" outlineLevel="1" collapsed="1" x14ac:dyDescent="0.35">
      <c r="A8838" s="112" t="s">
        <v>5666</v>
      </c>
      <c r="B8838" s="112" t="s">
        <v>929</v>
      </c>
      <c r="C8838" s="112" t="s">
        <v>1095</v>
      </c>
      <c r="D8838" s="113">
        <v>10348451</v>
      </c>
      <c r="E8838" s="115">
        <v>43949</v>
      </c>
      <c r="F8838" s="114">
        <v>202101</v>
      </c>
      <c r="G8838" s="112" t="s">
        <v>1091</v>
      </c>
      <c r="H8838" s="112" t="s">
        <v>1015</v>
      </c>
      <c r="I8838" s="112" t="s">
        <v>1096</v>
      </c>
      <c r="J8838" s="112" t="s">
        <v>5672</v>
      </c>
      <c r="K8838" s="112" t="s">
        <v>1098</v>
      </c>
      <c r="L8838" s="116">
        <v>46.82</v>
      </c>
    </row>
    <row r="8839" spans="1:12" hidden="1" outlineLevel="1" collapsed="1" x14ac:dyDescent="0.35">
      <c r="A8839" s="112" t="s">
        <v>5666</v>
      </c>
      <c r="B8839" s="112" t="s">
        <v>932</v>
      </c>
      <c r="C8839" s="112" t="s">
        <v>1095</v>
      </c>
      <c r="D8839" s="113">
        <v>10348451</v>
      </c>
      <c r="E8839" s="115">
        <v>43949</v>
      </c>
      <c r="F8839" s="114">
        <v>202101</v>
      </c>
      <c r="G8839" s="112" t="s">
        <v>1091</v>
      </c>
      <c r="H8839" s="112" t="s">
        <v>1015</v>
      </c>
      <c r="I8839" s="112" t="s">
        <v>1101</v>
      </c>
      <c r="J8839" s="112" t="s">
        <v>5679</v>
      </c>
      <c r="K8839" s="112" t="s">
        <v>1098</v>
      </c>
      <c r="L8839" s="116">
        <v>1604.54</v>
      </c>
    </row>
    <row r="8840" spans="1:12" hidden="1" outlineLevel="1" collapsed="1" x14ac:dyDescent="0.35">
      <c r="A8840" s="112" t="s">
        <v>5666</v>
      </c>
      <c r="B8840" s="112" t="s">
        <v>929</v>
      </c>
      <c r="C8840" s="112" t="s">
        <v>1095</v>
      </c>
      <c r="D8840" s="113">
        <v>10348451</v>
      </c>
      <c r="E8840" s="115">
        <v>43949</v>
      </c>
      <c r="F8840" s="114">
        <v>202101</v>
      </c>
      <c r="G8840" s="112" t="s">
        <v>1091</v>
      </c>
      <c r="H8840" s="112" t="s">
        <v>1015</v>
      </c>
      <c r="I8840" s="112" t="s">
        <v>1096</v>
      </c>
      <c r="J8840" s="112" t="s">
        <v>5672</v>
      </c>
      <c r="K8840" s="112" t="s">
        <v>1098</v>
      </c>
      <c r="L8840" s="116">
        <v>2.4700000000000002</v>
      </c>
    </row>
    <row r="8841" spans="1:12" hidden="1" outlineLevel="1" collapsed="1" x14ac:dyDescent="0.35">
      <c r="A8841" s="112" t="s">
        <v>5666</v>
      </c>
      <c r="B8841" s="112" t="s">
        <v>931</v>
      </c>
      <c r="C8841" s="112" t="s">
        <v>1095</v>
      </c>
      <c r="D8841" s="113">
        <v>10348451</v>
      </c>
      <c r="E8841" s="115">
        <v>43949</v>
      </c>
      <c r="F8841" s="114">
        <v>202101</v>
      </c>
      <c r="G8841" s="112" t="s">
        <v>1091</v>
      </c>
      <c r="H8841" s="112" t="s">
        <v>1015</v>
      </c>
      <c r="I8841" s="112" t="s">
        <v>1096</v>
      </c>
      <c r="J8841" s="112" t="s">
        <v>5668</v>
      </c>
      <c r="K8841" s="112" t="s">
        <v>1098</v>
      </c>
      <c r="L8841" s="116">
        <v>314.88</v>
      </c>
    </row>
    <row r="8842" spans="1:12" hidden="1" outlineLevel="1" collapsed="1" x14ac:dyDescent="0.35">
      <c r="A8842" s="112" t="s">
        <v>5666</v>
      </c>
      <c r="B8842" s="112" t="s">
        <v>929</v>
      </c>
      <c r="C8842" s="112" t="s">
        <v>1095</v>
      </c>
      <c r="D8842" s="113">
        <v>10348451</v>
      </c>
      <c r="E8842" s="115">
        <v>43949</v>
      </c>
      <c r="F8842" s="114">
        <v>202101</v>
      </c>
      <c r="G8842" s="112" t="s">
        <v>1091</v>
      </c>
      <c r="H8842" s="112" t="s">
        <v>1015</v>
      </c>
      <c r="I8842" s="112" t="s">
        <v>5675</v>
      </c>
      <c r="J8842" s="112" t="s">
        <v>5672</v>
      </c>
      <c r="K8842" s="112" t="s">
        <v>1098</v>
      </c>
      <c r="L8842" s="116">
        <v>428.5</v>
      </c>
    </row>
    <row r="8843" spans="1:12" hidden="1" outlineLevel="1" collapsed="1" x14ac:dyDescent="0.35">
      <c r="A8843" s="112" t="s">
        <v>5666</v>
      </c>
      <c r="B8843" s="112" t="s">
        <v>930</v>
      </c>
      <c r="C8843" s="112" t="s">
        <v>1095</v>
      </c>
      <c r="D8843" s="113">
        <v>10348451</v>
      </c>
      <c r="E8843" s="115">
        <v>43949</v>
      </c>
      <c r="F8843" s="114">
        <v>202101</v>
      </c>
      <c r="G8843" s="112" t="s">
        <v>1091</v>
      </c>
      <c r="H8843" s="112" t="s">
        <v>1015</v>
      </c>
      <c r="I8843" s="112" t="s">
        <v>1096</v>
      </c>
      <c r="J8843" s="112" t="s">
        <v>5667</v>
      </c>
      <c r="K8843" s="112" t="s">
        <v>1098</v>
      </c>
      <c r="L8843" s="116">
        <v>477.46</v>
      </c>
    </row>
    <row r="8844" spans="1:12" hidden="1" outlineLevel="1" collapsed="1" x14ac:dyDescent="0.35">
      <c r="A8844" s="112" t="s">
        <v>5666</v>
      </c>
      <c r="B8844" s="112" t="s">
        <v>930</v>
      </c>
      <c r="C8844" s="112" t="s">
        <v>1095</v>
      </c>
      <c r="D8844" s="113">
        <v>10348451</v>
      </c>
      <c r="E8844" s="115">
        <v>43949</v>
      </c>
      <c r="F8844" s="114">
        <v>202101</v>
      </c>
      <c r="G8844" s="112" t="s">
        <v>1091</v>
      </c>
      <c r="H8844" s="112" t="s">
        <v>1015</v>
      </c>
      <c r="I8844" s="112" t="s">
        <v>1101</v>
      </c>
      <c r="J8844" s="112" t="s">
        <v>5667</v>
      </c>
      <c r="K8844" s="112" t="s">
        <v>1098</v>
      </c>
      <c r="L8844" s="116">
        <v>679.08</v>
      </c>
    </row>
    <row r="8845" spans="1:12" hidden="1" outlineLevel="1" collapsed="1" x14ac:dyDescent="0.35">
      <c r="A8845" s="112" t="s">
        <v>5666</v>
      </c>
      <c r="B8845" s="112" t="s">
        <v>931</v>
      </c>
      <c r="C8845" s="112" t="s">
        <v>1095</v>
      </c>
      <c r="D8845" s="113">
        <v>10348451</v>
      </c>
      <c r="E8845" s="115">
        <v>43949</v>
      </c>
      <c r="F8845" s="114">
        <v>202101</v>
      </c>
      <c r="G8845" s="112" t="s">
        <v>1091</v>
      </c>
      <c r="H8845" s="112" t="s">
        <v>1015</v>
      </c>
      <c r="I8845" s="112" t="s">
        <v>1116</v>
      </c>
      <c r="J8845" s="112" t="s">
        <v>5668</v>
      </c>
      <c r="K8845" s="112" t="s">
        <v>1098</v>
      </c>
      <c r="L8845" s="116">
        <v>2259.5</v>
      </c>
    </row>
    <row r="8846" spans="1:12" hidden="1" outlineLevel="1" collapsed="1" x14ac:dyDescent="0.35">
      <c r="A8846" s="112" t="s">
        <v>5666</v>
      </c>
      <c r="B8846" s="112" t="s">
        <v>930</v>
      </c>
      <c r="C8846" s="112" t="s">
        <v>695</v>
      </c>
      <c r="D8846" s="113">
        <v>10348194</v>
      </c>
      <c r="E8846" s="115">
        <v>43935</v>
      </c>
      <c r="F8846" s="114">
        <v>202101</v>
      </c>
      <c r="G8846" s="112" t="s">
        <v>1091</v>
      </c>
      <c r="H8846" s="112" t="s">
        <v>1016</v>
      </c>
      <c r="I8846" s="112" t="s">
        <v>1291</v>
      </c>
      <c r="J8846" s="112" t="s">
        <v>5684</v>
      </c>
      <c r="K8846" s="112" t="s">
        <v>5698</v>
      </c>
      <c r="L8846" s="116">
        <v>247563.31</v>
      </c>
    </row>
    <row r="8847" spans="1:12" hidden="1" outlineLevel="1" collapsed="1" x14ac:dyDescent="0.35">
      <c r="A8847" s="112" t="s">
        <v>5666</v>
      </c>
      <c r="B8847" s="112" t="s">
        <v>931</v>
      </c>
      <c r="C8847" s="112" t="s">
        <v>695</v>
      </c>
      <c r="D8847" s="113">
        <v>10348194</v>
      </c>
      <c r="E8847" s="115">
        <v>43935</v>
      </c>
      <c r="F8847" s="114">
        <v>202101</v>
      </c>
      <c r="G8847" s="112" t="s">
        <v>1091</v>
      </c>
      <c r="H8847" s="112" t="s">
        <v>1016</v>
      </c>
      <c r="I8847" s="112" t="s">
        <v>5690</v>
      </c>
      <c r="J8847" s="112" t="s">
        <v>5668</v>
      </c>
      <c r="K8847" s="112" t="s">
        <v>5691</v>
      </c>
      <c r="L8847" s="116">
        <v>4685.78</v>
      </c>
    </row>
    <row r="8848" spans="1:12" hidden="1" outlineLevel="1" collapsed="1" x14ac:dyDescent="0.35">
      <c r="A8848" s="112" t="s">
        <v>5666</v>
      </c>
      <c r="B8848" s="112" t="s">
        <v>931</v>
      </c>
      <c r="C8848" s="112" t="s">
        <v>1095</v>
      </c>
      <c r="D8848" s="113">
        <v>10348451</v>
      </c>
      <c r="E8848" s="115">
        <v>43949</v>
      </c>
      <c r="F8848" s="114">
        <v>202101</v>
      </c>
      <c r="G8848" s="112" t="s">
        <v>1091</v>
      </c>
      <c r="H8848" s="112" t="s">
        <v>1015</v>
      </c>
      <c r="I8848" s="112" t="s">
        <v>1116</v>
      </c>
      <c r="J8848" s="112" t="s">
        <v>5668</v>
      </c>
      <c r="K8848" s="112" t="s">
        <v>1098</v>
      </c>
      <c r="L8848" s="116">
        <v>2006.39</v>
      </c>
    </row>
    <row r="8849" spans="1:12" hidden="1" outlineLevel="1" collapsed="1" x14ac:dyDescent="0.35">
      <c r="A8849" s="112" t="s">
        <v>5666</v>
      </c>
      <c r="B8849" s="112" t="s">
        <v>929</v>
      </c>
      <c r="C8849" s="112" t="s">
        <v>1095</v>
      </c>
      <c r="D8849" s="113">
        <v>10348451</v>
      </c>
      <c r="E8849" s="115">
        <v>43949</v>
      </c>
      <c r="F8849" s="114">
        <v>202101</v>
      </c>
      <c r="G8849" s="112" t="s">
        <v>1091</v>
      </c>
      <c r="H8849" s="112" t="s">
        <v>1015</v>
      </c>
      <c r="I8849" s="112" t="s">
        <v>1096</v>
      </c>
      <c r="J8849" s="112" t="s">
        <v>5680</v>
      </c>
      <c r="K8849" s="112" t="s">
        <v>1098</v>
      </c>
      <c r="L8849" s="116">
        <v>210.39</v>
      </c>
    </row>
    <row r="8850" spans="1:12" hidden="1" outlineLevel="1" collapsed="1" x14ac:dyDescent="0.35">
      <c r="A8850" s="112" t="s">
        <v>5666</v>
      </c>
      <c r="B8850" s="112" t="s">
        <v>931</v>
      </c>
      <c r="C8850" s="112" t="s">
        <v>1095</v>
      </c>
      <c r="D8850" s="113">
        <v>10348451</v>
      </c>
      <c r="E8850" s="115">
        <v>43949</v>
      </c>
      <c r="F8850" s="114">
        <v>202101</v>
      </c>
      <c r="G8850" s="112" t="s">
        <v>1091</v>
      </c>
      <c r="H8850" s="112" t="s">
        <v>1015</v>
      </c>
      <c r="I8850" s="112" t="s">
        <v>1101</v>
      </c>
      <c r="J8850" s="112" t="s">
        <v>5668</v>
      </c>
      <c r="K8850" s="112" t="s">
        <v>1098</v>
      </c>
      <c r="L8850" s="116">
        <v>339.54</v>
      </c>
    </row>
    <row r="8851" spans="1:12" hidden="1" outlineLevel="1" collapsed="1" x14ac:dyDescent="0.35">
      <c r="A8851" s="112" t="s">
        <v>5666</v>
      </c>
      <c r="B8851" s="112" t="s">
        <v>931</v>
      </c>
      <c r="C8851" s="112" t="s">
        <v>679</v>
      </c>
      <c r="D8851" s="113">
        <v>10348241</v>
      </c>
      <c r="E8851" s="115">
        <v>43936</v>
      </c>
      <c r="F8851" s="114">
        <v>202101</v>
      </c>
      <c r="G8851" s="112" t="s">
        <v>1091</v>
      </c>
      <c r="H8851" s="112" t="s">
        <v>1016</v>
      </c>
      <c r="I8851" s="112" t="s">
        <v>5699</v>
      </c>
      <c r="J8851" s="112" t="s">
        <v>5668</v>
      </c>
      <c r="K8851" s="112" t="s">
        <v>5700</v>
      </c>
      <c r="L8851" s="116">
        <v>-50</v>
      </c>
    </row>
    <row r="8852" spans="1:12" hidden="1" outlineLevel="1" collapsed="1" x14ac:dyDescent="0.35">
      <c r="A8852" s="112" t="s">
        <v>5666</v>
      </c>
      <c r="B8852" s="112" t="s">
        <v>929</v>
      </c>
      <c r="C8852" s="112" t="s">
        <v>1095</v>
      </c>
      <c r="D8852" s="113">
        <v>10348451</v>
      </c>
      <c r="E8852" s="115">
        <v>43949</v>
      </c>
      <c r="F8852" s="114">
        <v>202101</v>
      </c>
      <c r="G8852" s="112" t="s">
        <v>1091</v>
      </c>
      <c r="H8852" s="112" t="s">
        <v>1015</v>
      </c>
      <c r="I8852" s="112" t="s">
        <v>5673</v>
      </c>
      <c r="J8852" s="112" t="s">
        <v>5672</v>
      </c>
      <c r="K8852" s="112" t="s">
        <v>1098</v>
      </c>
      <c r="L8852" s="116">
        <v>642.75</v>
      </c>
    </row>
    <row r="8853" spans="1:12" hidden="1" outlineLevel="1" collapsed="1" x14ac:dyDescent="0.35">
      <c r="A8853" s="112" t="s">
        <v>5666</v>
      </c>
      <c r="B8853" s="112" t="s">
        <v>929</v>
      </c>
      <c r="C8853" s="112" t="s">
        <v>1095</v>
      </c>
      <c r="D8853" s="113">
        <v>10348451</v>
      </c>
      <c r="E8853" s="115">
        <v>43949</v>
      </c>
      <c r="F8853" s="114">
        <v>202101</v>
      </c>
      <c r="G8853" s="112" t="s">
        <v>1091</v>
      </c>
      <c r="H8853" s="112" t="s">
        <v>1015</v>
      </c>
      <c r="I8853" s="112" t="s">
        <v>5675</v>
      </c>
      <c r="J8853" s="112" t="s">
        <v>5672</v>
      </c>
      <c r="K8853" s="112" t="s">
        <v>1098</v>
      </c>
      <c r="L8853" s="116">
        <v>428.5</v>
      </c>
    </row>
    <row r="8854" spans="1:12" hidden="1" outlineLevel="1" collapsed="1" x14ac:dyDescent="0.35">
      <c r="A8854" s="112" t="s">
        <v>5666</v>
      </c>
      <c r="B8854" s="112" t="s">
        <v>931</v>
      </c>
      <c r="C8854" s="112" t="s">
        <v>1099</v>
      </c>
      <c r="D8854" s="113">
        <v>1069418</v>
      </c>
      <c r="E8854" s="115">
        <v>43917</v>
      </c>
      <c r="F8854" s="114">
        <v>202101</v>
      </c>
      <c r="G8854" s="112" t="s">
        <v>1091</v>
      </c>
      <c r="H8854" s="112" t="s">
        <v>1015</v>
      </c>
      <c r="I8854" s="112" t="s">
        <v>1599</v>
      </c>
      <c r="J8854" s="112" t="s">
        <v>5668</v>
      </c>
      <c r="K8854" s="112" t="s">
        <v>5701</v>
      </c>
      <c r="L8854" s="116">
        <v>750</v>
      </c>
    </row>
    <row r="8855" spans="1:12" hidden="1" outlineLevel="1" collapsed="1" x14ac:dyDescent="0.35">
      <c r="A8855" s="112" t="s">
        <v>5666</v>
      </c>
      <c r="B8855" s="112" t="s">
        <v>930</v>
      </c>
      <c r="C8855" s="112" t="s">
        <v>1095</v>
      </c>
      <c r="D8855" s="113">
        <v>10348451</v>
      </c>
      <c r="E8855" s="115">
        <v>43949</v>
      </c>
      <c r="F8855" s="114">
        <v>202101</v>
      </c>
      <c r="G8855" s="112" t="s">
        <v>1091</v>
      </c>
      <c r="H8855" s="112" t="s">
        <v>1015</v>
      </c>
      <c r="I8855" s="112" t="s">
        <v>1101</v>
      </c>
      <c r="J8855" s="112" t="s">
        <v>5667</v>
      </c>
      <c r="K8855" s="112" t="s">
        <v>1098</v>
      </c>
      <c r="L8855" s="116">
        <v>213.13</v>
      </c>
    </row>
    <row r="8856" spans="1:12" hidden="1" outlineLevel="1" collapsed="1" x14ac:dyDescent="0.35">
      <c r="A8856" s="112" t="s">
        <v>5666</v>
      </c>
      <c r="B8856" s="112" t="s">
        <v>931</v>
      </c>
      <c r="C8856" s="112" t="s">
        <v>679</v>
      </c>
      <c r="D8856" s="113">
        <v>10348115</v>
      </c>
      <c r="E8856" s="115">
        <v>43929</v>
      </c>
      <c r="F8856" s="114">
        <v>202101</v>
      </c>
      <c r="G8856" s="112" t="s">
        <v>1091</v>
      </c>
      <c r="H8856" s="112" t="s">
        <v>1015</v>
      </c>
      <c r="I8856" s="112" t="s">
        <v>1536</v>
      </c>
      <c r="J8856" s="112" t="s">
        <v>5668</v>
      </c>
      <c r="K8856" s="112" t="s">
        <v>706</v>
      </c>
      <c r="L8856" s="116">
        <v>15</v>
      </c>
    </row>
    <row r="8857" spans="1:12" hidden="1" outlineLevel="1" collapsed="1" x14ac:dyDescent="0.35">
      <c r="A8857" s="112" t="s">
        <v>5666</v>
      </c>
      <c r="B8857" s="112" t="s">
        <v>929</v>
      </c>
      <c r="C8857" s="112" t="s">
        <v>1095</v>
      </c>
      <c r="D8857" s="113">
        <v>10348451</v>
      </c>
      <c r="E8857" s="115">
        <v>43949</v>
      </c>
      <c r="F8857" s="114">
        <v>202101</v>
      </c>
      <c r="G8857" s="112" t="s">
        <v>1091</v>
      </c>
      <c r="H8857" s="112" t="s">
        <v>1015</v>
      </c>
      <c r="I8857" s="112" t="s">
        <v>5675</v>
      </c>
      <c r="J8857" s="112" t="s">
        <v>5672</v>
      </c>
      <c r="K8857" s="112" t="s">
        <v>1098</v>
      </c>
      <c r="L8857" s="116">
        <v>428.5</v>
      </c>
    </row>
    <row r="8858" spans="1:12" hidden="1" outlineLevel="1" collapsed="1" x14ac:dyDescent="0.35">
      <c r="A8858" s="112" t="s">
        <v>5666</v>
      </c>
      <c r="B8858" s="112" t="s">
        <v>930</v>
      </c>
      <c r="C8858" s="112" t="s">
        <v>1095</v>
      </c>
      <c r="D8858" s="113">
        <v>10348451</v>
      </c>
      <c r="E8858" s="115">
        <v>43949</v>
      </c>
      <c r="F8858" s="114">
        <v>202101</v>
      </c>
      <c r="G8858" s="112" t="s">
        <v>1091</v>
      </c>
      <c r="H8858" s="112" t="s">
        <v>1015</v>
      </c>
      <c r="I8858" s="112" t="s">
        <v>1101</v>
      </c>
      <c r="J8858" s="112" t="s">
        <v>5667</v>
      </c>
      <c r="K8858" s="112" t="s">
        <v>1098</v>
      </c>
      <c r="L8858" s="116">
        <v>426.26</v>
      </c>
    </row>
    <row r="8859" spans="1:12" hidden="1" outlineLevel="1" collapsed="1" x14ac:dyDescent="0.35">
      <c r="A8859" s="112" t="s">
        <v>5666</v>
      </c>
      <c r="B8859" s="112" t="s">
        <v>931</v>
      </c>
      <c r="C8859" s="112" t="s">
        <v>1099</v>
      </c>
      <c r="D8859" s="113">
        <v>1069651</v>
      </c>
      <c r="E8859" s="115">
        <v>43518</v>
      </c>
      <c r="F8859" s="114">
        <v>202101</v>
      </c>
      <c r="G8859" s="112" t="s">
        <v>1091</v>
      </c>
      <c r="H8859" s="112" t="s">
        <v>1015</v>
      </c>
      <c r="I8859" s="112" t="s">
        <v>1599</v>
      </c>
      <c r="J8859" s="112" t="s">
        <v>5668</v>
      </c>
      <c r="K8859" s="112" t="s">
        <v>5702</v>
      </c>
      <c r="L8859" s="116">
        <v>52.5</v>
      </c>
    </row>
    <row r="8860" spans="1:12" hidden="1" outlineLevel="1" collapsed="1" x14ac:dyDescent="0.35">
      <c r="A8860" s="112" t="s">
        <v>5666</v>
      </c>
      <c r="B8860" s="112" t="s">
        <v>932</v>
      </c>
      <c r="C8860" s="112" t="s">
        <v>1099</v>
      </c>
      <c r="D8860" s="113">
        <v>1069530</v>
      </c>
      <c r="E8860" s="115">
        <v>43930</v>
      </c>
      <c r="F8860" s="114">
        <v>202101</v>
      </c>
      <c r="G8860" s="112" t="s">
        <v>1091</v>
      </c>
      <c r="H8860" s="112" t="s">
        <v>1015</v>
      </c>
      <c r="I8860" s="112" t="s">
        <v>1102</v>
      </c>
      <c r="J8860" s="112" t="s">
        <v>5679</v>
      </c>
      <c r="K8860" s="112" t="s">
        <v>5703</v>
      </c>
      <c r="L8860" s="116">
        <v>10939.5</v>
      </c>
    </row>
    <row r="8861" spans="1:12" hidden="1" outlineLevel="1" collapsed="1" x14ac:dyDescent="0.35">
      <c r="A8861" s="112" t="s">
        <v>5666</v>
      </c>
      <c r="B8861" s="112" t="s">
        <v>931</v>
      </c>
      <c r="C8861" s="112" t="s">
        <v>1099</v>
      </c>
      <c r="D8861" s="113">
        <v>1069640</v>
      </c>
      <c r="E8861" s="115">
        <v>43936</v>
      </c>
      <c r="F8861" s="114">
        <v>202101</v>
      </c>
      <c r="G8861" s="112" t="s">
        <v>1091</v>
      </c>
      <c r="H8861" s="112" t="s">
        <v>1015</v>
      </c>
      <c r="I8861" s="112" t="s">
        <v>1133</v>
      </c>
      <c r="J8861" s="112" t="s">
        <v>5676</v>
      </c>
      <c r="K8861" s="112" t="s">
        <v>5704</v>
      </c>
      <c r="L8861" s="116">
        <v>515</v>
      </c>
    </row>
    <row r="8862" spans="1:12" hidden="1" outlineLevel="1" collapsed="1" x14ac:dyDescent="0.35">
      <c r="A8862" s="112" t="s">
        <v>5666</v>
      </c>
      <c r="B8862" s="112" t="s">
        <v>931</v>
      </c>
      <c r="C8862" s="112" t="s">
        <v>1095</v>
      </c>
      <c r="D8862" s="113">
        <v>10348451</v>
      </c>
      <c r="E8862" s="115">
        <v>43949</v>
      </c>
      <c r="F8862" s="114">
        <v>202101</v>
      </c>
      <c r="G8862" s="112" t="s">
        <v>1091</v>
      </c>
      <c r="H8862" s="112" t="s">
        <v>1015</v>
      </c>
      <c r="I8862" s="112" t="s">
        <v>1096</v>
      </c>
      <c r="J8862" s="112" t="s">
        <v>5668</v>
      </c>
      <c r="K8862" s="112" t="s">
        <v>1098</v>
      </c>
      <c r="L8862" s="116">
        <v>210.79</v>
      </c>
    </row>
    <row r="8863" spans="1:12" hidden="1" outlineLevel="1" collapsed="1" x14ac:dyDescent="0.35">
      <c r="A8863" s="112" t="s">
        <v>5666</v>
      </c>
      <c r="B8863" s="112" t="s">
        <v>931</v>
      </c>
      <c r="C8863" s="112" t="s">
        <v>1095</v>
      </c>
      <c r="D8863" s="113">
        <v>10348451</v>
      </c>
      <c r="E8863" s="115">
        <v>43949</v>
      </c>
      <c r="F8863" s="114">
        <v>202101</v>
      </c>
      <c r="G8863" s="112" t="s">
        <v>1091</v>
      </c>
      <c r="H8863" s="112" t="s">
        <v>1015</v>
      </c>
      <c r="I8863" s="112" t="s">
        <v>1096</v>
      </c>
      <c r="J8863" s="112" t="s">
        <v>5668</v>
      </c>
      <c r="K8863" s="112" t="s">
        <v>1098</v>
      </c>
      <c r="L8863" s="116">
        <v>206.75</v>
      </c>
    </row>
    <row r="8864" spans="1:12" hidden="1" outlineLevel="1" collapsed="1" x14ac:dyDescent="0.35">
      <c r="A8864" s="112" t="s">
        <v>5666</v>
      </c>
      <c r="B8864" s="112" t="s">
        <v>931</v>
      </c>
      <c r="C8864" s="112" t="s">
        <v>1518</v>
      </c>
      <c r="D8864" s="113">
        <v>51366090</v>
      </c>
      <c r="E8864" s="115">
        <v>43931</v>
      </c>
      <c r="F8864" s="114">
        <v>202101</v>
      </c>
      <c r="G8864" s="112" t="s">
        <v>1091</v>
      </c>
      <c r="H8864" s="112" t="s">
        <v>1016</v>
      </c>
      <c r="I8864" s="112" t="s">
        <v>5705</v>
      </c>
      <c r="J8864" s="112" t="s">
        <v>5668</v>
      </c>
      <c r="K8864" s="112" t="s">
        <v>5706</v>
      </c>
      <c r="L8864" s="116">
        <v>-4007</v>
      </c>
    </row>
    <row r="8865" spans="1:12" hidden="1" outlineLevel="1" collapsed="1" x14ac:dyDescent="0.35">
      <c r="A8865" s="112" t="s">
        <v>5666</v>
      </c>
      <c r="B8865" s="112" t="s">
        <v>931</v>
      </c>
      <c r="C8865" s="112" t="s">
        <v>695</v>
      </c>
      <c r="D8865" s="113">
        <v>10348194</v>
      </c>
      <c r="E8865" s="115">
        <v>43935</v>
      </c>
      <c r="F8865" s="114">
        <v>202101</v>
      </c>
      <c r="G8865" s="112" t="s">
        <v>1091</v>
      </c>
      <c r="H8865" s="112" t="s">
        <v>1015</v>
      </c>
      <c r="I8865" s="112" t="s">
        <v>1246</v>
      </c>
      <c r="J8865" s="112" t="s">
        <v>5676</v>
      </c>
      <c r="K8865" s="112" t="s">
        <v>5707</v>
      </c>
      <c r="L8865" s="116">
        <v>-6000</v>
      </c>
    </row>
    <row r="8866" spans="1:12" hidden="1" outlineLevel="1" collapsed="1" x14ac:dyDescent="0.35">
      <c r="A8866" s="112" t="s">
        <v>5666</v>
      </c>
      <c r="B8866" s="112" t="s">
        <v>930</v>
      </c>
      <c r="C8866" s="112" t="s">
        <v>1099</v>
      </c>
      <c r="D8866" s="113">
        <v>1069557</v>
      </c>
      <c r="E8866" s="115">
        <v>43282</v>
      </c>
      <c r="F8866" s="114">
        <v>202101</v>
      </c>
      <c r="G8866" s="112" t="s">
        <v>1091</v>
      </c>
      <c r="H8866" s="112" t="s">
        <v>1015</v>
      </c>
      <c r="I8866" s="112" t="s">
        <v>1124</v>
      </c>
      <c r="J8866" s="112" t="s">
        <v>5684</v>
      </c>
      <c r="K8866" s="112" t="s">
        <v>5708</v>
      </c>
      <c r="L8866" s="116">
        <v>1963.41</v>
      </c>
    </row>
    <row r="8867" spans="1:12" hidden="1" outlineLevel="1" collapsed="1" x14ac:dyDescent="0.35">
      <c r="A8867" s="112" t="s">
        <v>5666</v>
      </c>
      <c r="B8867" s="112" t="s">
        <v>930</v>
      </c>
      <c r="C8867" s="112" t="s">
        <v>1099</v>
      </c>
      <c r="D8867" s="113">
        <v>1069552</v>
      </c>
      <c r="E8867" s="115">
        <v>43889</v>
      </c>
      <c r="F8867" s="114">
        <v>202101</v>
      </c>
      <c r="G8867" s="112" t="s">
        <v>1091</v>
      </c>
      <c r="H8867" s="112" t="s">
        <v>1015</v>
      </c>
      <c r="I8867" s="112" t="s">
        <v>1124</v>
      </c>
      <c r="J8867" s="112" t="s">
        <v>5667</v>
      </c>
      <c r="K8867" s="112" t="s">
        <v>5709</v>
      </c>
      <c r="L8867" s="116">
        <v>570.39</v>
      </c>
    </row>
    <row r="8868" spans="1:12" hidden="1" outlineLevel="1" collapsed="1" x14ac:dyDescent="0.35">
      <c r="A8868" s="112" t="s">
        <v>5666</v>
      </c>
      <c r="B8868" s="112" t="s">
        <v>929</v>
      </c>
      <c r="C8868" s="112" t="s">
        <v>1095</v>
      </c>
      <c r="D8868" s="113">
        <v>10348451</v>
      </c>
      <c r="E8868" s="115">
        <v>43949</v>
      </c>
      <c r="F8868" s="114">
        <v>202101</v>
      </c>
      <c r="G8868" s="112" t="s">
        <v>1091</v>
      </c>
      <c r="H8868" s="112" t="s">
        <v>1015</v>
      </c>
      <c r="I8868" s="112" t="s">
        <v>5675</v>
      </c>
      <c r="J8868" s="112" t="s">
        <v>5672</v>
      </c>
      <c r="K8868" s="112" t="s">
        <v>1098</v>
      </c>
      <c r="L8868" s="116">
        <v>428.5</v>
      </c>
    </row>
    <row r="8869" spans="1:12" hidden="1" outlineLevel="1" collapsed="1" x14ac:dyDescent="0.35">
      <c r="A8869" s="112" t="s">
        <v>5666</v>
      </c>
      <c r="B8869" s="112" t="s">
        <v>929</v>
      </c>
      <c r="C8869" s="112" t="s">
        <v>1095</v>
      </c>
      <c r="D8869" s="113">
        <v>10348451</v>
      </c>
      <c r="E8869" s="115">
        <v>43949</v>
      </c>
      <c r="F8869" s="114">
        <v>202101</v>
      </c>
      <c r="G8869" s="112" t="s">
        <v>1091</v>
      </c>
      <c r="H8869" s="112" t="s">
        <v>1015</v>
      </c>
      <c r="I8869" s="112" t="s">
        <v>1399</v>
      </c>
      <c r="J8869" s="112" t="s">
        <v>5672</v>
      </c>
      <c r="K8869" s="112" t="s">
        <v>1098</v>
      </c>
      <c r="L8869" s="116">
        <v>65.3</v>
      </c>
    </row>
    <row r="8870" spans="1:12" hidden="1" outlineLevel="1" collapsed="1" x14ac:dyDescent="0.35">
      <c r="A8870" s="112" t="s">
        <v>5666</v>
      </c>
      <c r="B8870" s="112" t="s">
        <v>929</v>
      </c>
      <c r="C8870" s="112" t="s">
        <v>1095</v>
      </c>
      <c r="D8870" s="113">
        <v>10348451</v>
      </c>
      <c r="E8870" s="115">
        <v>43949</v>
      </c>
      <c r="F8870" s="114">
        <v>202101</v>
      </c>
      <c r="G8870" s="112" t="s">
        <v>1091</v>
      </c>
      <c r="H8870" s="112" t="s">
        <v>1015</v>
      </c>
      <c r="I8870" s="112" t="s">
        <v>1096</v>
      </c>
      <c r="J8870" s="112" t="s">
        <v>5672</v>
      </c>
      <c r="K8870" s="112" t="s">
        <v>1098</v>
      </c>
      <c r="L8870" s="116">
        <v>105.95</v>
      </c>
    </row>
    <row r="8871" spans="1:12" hidden="1" outlineLevel="1" collapsed="1" x14ac:dyDescent="0.35">
      <c r="A8871" s="112" t="s">
        <v>5666</v>
      </c>
      <c r="B8871" s="112" t="s">
        <v>931</v>
      </c>
      <c r="C8871" s="112" t="s">
        <v>695</v>
      </c>
      <c r="D8871" s="113">
        <v>10348194</v>
      </c>
      <c r="E8871" s="115">
        <v>43935</v>
      </c>
      <c r="F8871" s="114">
        <v>202101</v>
      </c>
      <c r="G8871" s="112" t="s">
        <v>1091</v>
      </c>
      <c r="H8871" s="112" t="s">
        <v>1015</v>
      </c>
      <c r="I8871" s="112" t="s">
        <v>3670</v>
      </c>
      <c r="J8871" s="112" t="s">
        <v>5668</v>
      </c>
      <c r="K8871" s="112" t="s">
        <v>5710</v>
      </c>
      <c r="L8871" s="116">
        <v>-14500</v>
      </c>
    </row>
    <row r="8872" spans="1:12" hidden="1" outlineLevel="1" collapsed="1" x14ac:dyDescent="0.35">
      <c r="A8872" s="112" t="s">
        <v>5666</v>
      </c>
      <c r="B8872" s="112" t="s">
        <v>929</v>
      </c>
      <c r="C8872" s="112" t="s">
        <v>1095</v>
      </c>
      <c r="D8872" s="113">
        <v>10348451</v>
      </c>
      <c r="E8872" s="115">
        <v>43949</v>
      </c>
      <c r="F8872" s="114">
        <v>202101</v>
      </c>
      <c r="G8872" s="112" t="s">
        <v>1091</v>
      </c>
      <c r="H8872" s="112" t="s">
        <v>1015</v>
      </c>
      <c r="I8872" s="112" t="s">
        <v>5675</v>
      </c>
      <c r="J8872" s="112" t="s">
        <v>5672</v>
      </c>
      <c r="K8872" s="112" t="s">
        <v>1098</v>
      </c>
      <c r="L8872" s="116">
        <v>428.5</v>
      </c>
    </row>
    <row r="8873" spans="1:12" hidden="1" outlineLevel="1" collapsed="1" x14ac:dyDescent="0.35">
      <c r="A8873" s="112" t="s">
        <v>5666</v>
      </c>
      <c r="B8873" s="112" t="s">
        <v>929</v>
      </c>
      <c r="C8873" s="112" t="s">
        <v>1095</v>
      </c>
      <c r="D8873" s="113">
        <v>10348451</v>
      </c>
      <c r="E8873" s="115">
        <v>43949</v>
      </c>
      <c r="F8873" s="114">
        <v>202101</v>
      </c>
      <c r="G8873" s="112" t="s">
        <v>1091</v>
      </c>
      <c r="H8873" s="112" t="s">
        <v>1015</v>
      </c>
      <c r="I8873" s="112" t="s">
        <v>5673</v>
      </c>
      <c r="J8873" s="112" t="s">
        <v>5672</v>
      </c>
      <c r="K8873" s="112" t="s">
        <v>1098</v>
      </c>
      <c r="L8873" s="116">
        <v>1071.25</v>
      </c>
    </row>
    <row r="8874" spans="1:12" hidden="1" outlineLevel="1" collapsed="1" x14ac:dyDescent="0.35">
      <c r="A8874" s="112" t="s">
        <v>5666</v>
      </c>
      <c r="B8874" s="112" t="s">
        <v>929</v>
      </c>
      <c r="C8874" s="112" t="s">
        <v>1095</v>
      </c>
      <c r="D8874" s="113">
        <v>10348451</v>
      </c>
      <c r="E8874" s="115">
        <v>43949</v>
      </c>
      <c r="F8874" s="114">
        <v>202101</v>
      </c>
      <c r="G8874" s="112" t="s">
        <v>1091</v>
      </c>
      <c r="H8874" s="112" t="s">
        <v>1015</v>
      </c>
      <c r="I8874" s="112" t="s">
        <v>5675</v>
      </c>
      <c r="J8874" s="112" t="s">
        <v>5672</v>
      </c>
      <c r="K8874" s="112" t="s">
        <v>1098</v>
      </c>
      <c r="L8874" s="116">
        <v>428.5</v>
      </c>
    </row>
    <row r="8875" spans="1:12" hidden="1" outlineLevel="1" collapsed="1" x14ac:dyDescent="0.35">
      <c r="A8875" s="112" t="s">
        <v>5666</v>
      </c>
      <c r="B8875" s="112" t="s">
        <v>929</v>
      </c>
      <c r="C8875" s="112" t="s">
        <v>1095</v>
      </c>
      <c r="D8875" s="113">
        <v>10348451</v>
      </c>
      <c r="E8875" s="115">
        <v>43949</v>
      </c>
      <c r="F8875" s="114">
        <v>202101</v>
      </c>
      <c r="G8875" s="112" t="s">
        <v>1091</v>
      </c>
      <c r="H8875" s="112" t="s">
        <v>1015</v>
      </c>
      <c r="I8875" s="112" t="s">
        <v>5673</v>
      </c>
      <c r="J8875" s="112" t="s">
        <v>5672</v>
      </c>
      <c r="K8875" s="112" t="s">
        <v>1098</v>
      </c>
      <c r="L8875" s="116">
        <v>1071.25</v>
      </c>
    </row>
    <row r="8876" spans="1:12" hidden="1" outlineLevel="1" collapsed="1" x14ac:dyDescent="0.35">
      <c r="A8876" s="112" t="s">
        <v>5666</v>
      </c>
      <c r="B8876" s="112" t="s">
        <v>932</v>
      </c>
      <c r="C8876" s="112" t="s">
        <v>695</v>
      </c>
      <c r="D8876" s="113">
        <v>10348194</v>
      </c>
      <c r="E8876" s="115">
        <v>43935</v>
      </c>
      <c r="F8876" s="114">
        <v>202101</v>
      </c>
      <c r="G8876" s="112" t="s">
        <v>1091</v>
      </c>
      <c r="H8876" s="112" t="s">
        <v>1015</v>
      </c>
      <c r="I8876" s="112" t="s">
        <v>1211</v>
      </c>
      <c r="J8876" s="112" t="s">
        <v>5679</v>
      </c>
      <c r="K8876" s="112" t="s">
        <v>5711</v>
      </c>
      <c r="L8876" s="116">
        <v>-11000</v>
      </c>
    </row>
    <row r="8877" spans="1:12" hidden="1" outlineLevel="1" collapsed="1" x14ac:dyDescent="0.35">
      <c r="A8877" s="112" t="s">
        <v>5666</v>
      </c>
      <c r="B8877" s="112" t="s">
        <v>929</v>
      </c>
      <c r="C8877" s="112" t="s">
        <v>1095</v>
      </c>
      <c r="D8877" s="113">
        <v>10348451</v>
      </c>
      <c r="E8877" s="115">
        <v>43949</v>
      </c>
      <c r="F8877" s="114">
        <v>202101</v>
      </c>
      <c r="G8877" s="112" t="s">
        <v>1091</v>
      </c>
      <c r="H8877" s="112" t="s">
        <v>1015</v>
      </c>
      <c r="I8877" s="112" t="s">
        <v>5675</v>
      </c>
      <c r="J8877" s="112" t="s">
        <v>5672</v>
      </c>
      <c r="K8877" s="112" t="s">
        <v>1098</v>
      </c>
      <c r="L8877" s="116">
        <v>428.5</v>
      </c>
    </row>
    <row r="8878" spans="1:12" hidden="1" outlineLevel="1" collapsed="1" x14ac:dyDescent="0.35">
      <c r="A8878" s="112" t="s">
        <v>5666</v>
      </c>
      <c r="B8878" s="112" t="s">
        <v>929</v>
      </c>
      <c r="C8878" s="112" t="s">
        <v>1095</v>
      </c>
      <c r="D8878" s="113">
        <v>10348451</v>
      </c>
      <c r="E8878" s="115">
        <v>43949</v>
      </c>
      <c r="F8878" s="114">
        <v>202101</v>
      </c>
      <c r="G8878" s="112" t="s">
        <v>1091</v>
      </c>
      <c r="H8878" s="112" t="s">
        <v>1015</v>
      </c>
      <c r="I8878" s="112" t="s">
        <v>5675</v>
      </c>
      <c r="J8878" s="112" t="s">
        <v>5672</v>
      </c>
      <c r="K8878" s="112" t="s">
        <v>1098</v>
      </c>
      <c r="L8878" s="116">
        <v>428.5</v>
      </c>
    </row>
    <row r="8879" spans="1:12" hidden="1" outlineLevel="1" collapsed="1" x14ac:dyDescent="0.35">
      <c r="A8879" s="112" t="s">
        <v>5666</v>
      </c>
      <c r="B8879" s="112" t="s">
        <v>929</v>
      </c>
      <c r="C8879" s="112" t="s">
        <v>1095</v>
      </c>
      <c r="D8879" s="113">
        <v>10348451</v>
      </c>
      <c r="E8879" s="115">
        <v>43949</v>
      </c>
      <c r="F8879" s="114">
        <v>202101</v>
      </c>
      <c r="G8879" s="112" t="s">
        <v>1091</v>
      </c>
      <c r="H8879" s="112" t="s">
        <v>1015</v>
      </c>
      <c r="I8879" s="112" t="s">
        <v>5673</v>
      </c>
      <c r="J8879" s="112" t="s">
        <v>5672</v>
      </c>
      <c r="K8879" s="112" t="s">
        <v>1098</v>
      </c>
      <c r="L8879" s="116">
        <v>642.75</v>
      </c>
    </row>
    <row r="8880" spans="1:12" hidden="1" outlineLevel="1" collapsed="1" x14ac:dyDescent="0.35">
      <c r="A8880" s="112" t="s">
        <v>5666</v>
      </c>
      <c r="B8880" s="112" t="s">
        <v>931</v>
      </c>
      <c r="C8880" s="112" t="s">
        <v>695</v>
      </c>
      <c r="D8880" s="113">
        <v>10348034</v>
      </c>
      <c r="E8880" s="115">
        <v>43928</v>
      </c>
      <c r="F8880" s="114">
        <v>202101</v>
      </c>
      <c r="G8880" s="112" t="s">
        <v>1091</v>
      </c>
      <c r="H8880" s="112" t="s">
        <v>1015</v>
      </c>
      <c r="I8880" s="112" t="s">
        <v>1211</v>
      </c>
      <c r="J8880" s="112" t="s">
        <v>5668</v>
      </c>
      <c r="K8880" s="112" t="s">
        <v>5712</v>
      </c>
      <c r="L8880" s="116">
        <v>-8927.51</v>
      </c>
    </row>
    <row r="8881" spans="1:12" hidden="1" outlineLevel="1" collapsed="1" x14ac:dyDescent="0.35">
      <c r="A8881" s="112" t="s">
        <v>5666</v>
      </c>
      <c r="B8881" s="112" t="s">
        <v>931</v>
      </c>
      <c r="C8881" s="112" t="s">
        <v>1758</v>
      </c>
      <c r="D8881" s="113">
        <v>51366038</v>
      </c>
      <c r="E8881" s="115">
        <v>43928</v>
      </c>
      <c r="F8881" s="114">
        <v>202101</v>
      </c>
      <c r="G8881" s="112" t="s">
        <v>1091</v>
      </c>
      <c r="H8881" s="112" t="s">
        <v>1016</v>
      </c>
      <c r="I8881" s="112" t="s">
        <v>779</v>
      </c>
      <c r="J8881" s="112" t="s">
        <v>5676</v>
      </c>
      <c r="K8881" s="112" t="s">
        <v>5713</v>
      </c>
      <c r="L8881" s="116">
        <v>17939</v>
      </c>
    </row>
    <row r="8882" spans="1:12" hidden="1" outlineLevel="1" collapsed="1" x14ac:dyDescent="0.35">
      <c r="A8882" s="112" t="s">
        <v>5666</v>
      </c>
      <c r="B8882" s="112" t="s">
        <v>931</v>
      </c>
      <c r="C8882" s="112" t="s">
        <v>695</v>
      </c>
      <c r="D8882" s="113">
        <v>10348034</v>
      </c>
      <c r="E8882" s="115">
        <v>43928</v>
      </c>
      <c r="F8882" s="114">
        <v>202101</v>
      </c>
      <c r="G8882" s="112" t="s">
        <v>1091</v>
      </c>
      <c r="H8882" s="112" t="s">
        <v>1015</v>
      </c>
      <c r="I8882" s="112" t="s">
        <v>1211</v>
      </c>
      <c r="J8882" s="112" t="s">
        <v>5668</v>
      </c>
      <c r="K8882" s="112" t="s">
        <v>5714</v>
      </c>
      <c r="L8882" s="116">
        <v>-10844.16</v>
      </c>
    </row>
    <row r="8883" spans="1:12" hidden="1" outlineLevel="1" collapsed="1" x14ac:dyDescent="0.35">
      <c r="A8883" s="112" t="s">
        <v>5666</v>
      </c>
      <c r="B8883" s="112" t="s">
        <v>931</v>
      </c>
      <c r="C8883" s="112" t="s">
        <v>695</v>
      </c>
      <c r="D8883" s="113">
        <v>10347981</v>
      </c>
      <c r="E8883" s="115">
        <v>43924</v>
      </c>
      <c r="F8883" s="114">
        <v>202101</v>
      </c>
      <c r="G8883" s="112" t="s">
        <v>1091</v>
      </c>
      <c r="H8883" s="112" t="s">
        <v>1015</v>
      </c>
      <c r="I8883" s="112" t="s">
        <v>1211</v>
      </c>
      <c r="J8883" s="112" t="s">
        <v>5668</v>
      </c>
      <c r="K8883" s="112" t="s">
        <v>5715</v>
      </c>
      <c r="L8883" s="116">
        <v>-12204.74</v>
      </c>
    </row>
    <row r="8884" spans="1:12" hidden="1" outlineLevel="1" collapsed="1" x14ac:dyDescent="0.35">
      <c r="A8884" s="112" t="s">
        <v>5666</v>
      </c>
      <c r="B8884" s="112" t="s">
        <v>929</v>
      </c>
      <c r="C8884" s="112" t="s">
        <v>1095</v>
      </c>
      <c r="D8884" s="113">
        <v>10348451</v>
      </c>
      <c r="E8884" s="115">
        <v>43949</v>
      </c>
      <c r="F8884" s="114">
        <v>202101</v>
      </c>
      <c r="G8884" s="112" t="s">
        <v>1091</v>
      </c>
      <c r="H8884" s="112" t="s">
        <v>1015</v>
      </c>
      <c r="I8884" s="112" t="s">
        <v>5675</v>
      </c>
      <c r="J8884" s="112" t="s">
        <v>5672</v>
      </c>
      <c r="K8884" s="112" t="s">
        <v>1098</v>
      </c>
      <c r="L8884" s="116">
        <v>428.5</v>
      </c>
    </row>
    <row r="8885" spans="1:12" hidden="1" outlineLevel="1" collapsed="1" x14ac:dyDescent="0.35">
      <c r="A8885" s="112" t="s">
        <v>5666</v>
      </c>
      <c r="B8885" s="112" t="s">
        <v>929</v>
      </c>
      <c r="C8885" s="112" t="s">
        <v>1095</v>
      </c>
      <c r="D8885" s="113">
        <v>10348451</v>
      </c>
      <c r="E8885" s="115">
        <v>43949</v>
      </c>
      <c r="F8885" s="114">
        <v>202101</v>
      </c>
      <c r="G8885" s="112" t="s">
        <v>1091</v>
      </c>
      <c r="H8885" s="112" t="s">
        <v>1015</v>
      </c>
      <c r="I8885" s="112" t="s">
        <v>5675</v>
      </c>
      <c r="J8885" s="112" t="s">
        <v>5672</v>
      </c>
      <c r="K8885" s="112" t="s">
        <v>1098</v>
      </c>
      <c r="L8885" s="116">
        <v>428.5</v>
      </c>
    </row>
    <row r="8886" spans="1:12" hidden="1" outlineLevel="1" collapsed="1" x14ac:dyDescent="0.35">
      <c r="A8886" s="112" t="s">
        <v>5666</v>
      </c>
      <c r="B8886" s="112" t="s">
        <v>929</v>
      </c>
      <c r="C8886" s="112" t="s">
        <v>1095</v>
      </c>
      <c r="D8886" s="113">
        <v>10348451</v>
      </c>
      <c r="E8886" s="115">
        <v>43949</v>
      </c>
      <c r="F8886" s="114">
        <v>202101</v>
      </c>
      <c r="G8886" s="112" t="s">
        <v>1091</v>
      </c>
      <c r="H8886" s="112" t="s">
        <v>1015</v>
      </c>
      <c r="I8886" s="112" t="s">
        <v>5675</v>
      </c>
      <c r="J8886" s="112" t="s">
        <v>5672</v>
      </c>
      <c r="K8886" s="112" t="s">
        <v>1098</v>
      </c>
      <c r="L8886" s="116">
        <v>428.5</v>
      </c>
    </row>
    <row r="8887" spans="1:12" hidden="1" outlineLevel="1" collapsed="1" x14ac:dyDescent="0.35">
      <c r="A8887" s="112" t="s">
        <v>5666</v>
      </c>
      <c r="B8887" s="112" t="s">
        <v>931</v>
      </c>
      <c r="C8887" s="112" t="s">
        <v>1095</v>
      </c>
      <c r="D8887" s="113">
        <v>10348451</v>
      </c>
      <c r="E8887" s="115">
        <v>43949</v>
      </c>
      <c r="F8887" s="114">
        <v>202101</v>
      </c>
      <c r="G8887" s="112" t="s">
        <v>1091</v>
      </c>
      <c r="H8887" s="112" t="s">
        <v>1015</v>
      </c>
      <c r="I8887" s="112" t="s">
        <v>1101</v>
      </c>
      <c r="J8887" s="112" t="s">
        <v>5668</v>
      </c>
      <c r="K8887" s="112" t="s">
        <v>1098</v>
      </c>
      <c r="L8887" s="116">
        <v>488.23</v>
      </c>
    </row>
    <row r="8888" spans="1:12" hidden="1" outlineLevel="1" collapsed="1" x14ac:dyDescent="0.35">
      <c r="A8888" s="112" t="s">
        <v>5666</v>
      </c>
      <c r="B8888" s="112" t="s">
        <v>931</v>
      </c>
      <c r="C8888" s="112" t="s">
        <v>695</v>
      </c>
      <c r="D8888" s="113">
        <v>10348163</v>
      </c>
      <c r="E8888" s="115">
        <v>43930</v>
      </c>
      <c r="F8888" s="114">
        <v>202101</v>
      </c>
      <c r="G8888" s="112" t="s">
        <v>1091</v>
      </c>
      <c r="H8888" s="112" t="s">
        <v>1016</v>
      </c>
      <c r="I8888" s="112" t="s">
        <v>1328</v>
      </c>
      <c r="J8888" s="112" t="s">
        <v>5668</v>
      </c>
      <c r="K8888" s="112" t="s">
        <v>5716</v>
      </c>
      <c r="L8888" s="116">
        <v>39000</v>
      </c>
    </row>
    <row r="8889" spans="1:12" hidden="1" outlineLevel="1" collapsed="1" x14ac:dyDescent="0.35">
      <c r="A8889" s="112" t="s">
        <v>5666</v>
      </c>
      <c r="B8889" s="112" t="s">
        <v>929</v>
      </c>
      <c r="C8889" s="112" t="s">
        <v>1095</v>
      </c>
      <c r="D8889" s="113">
        <v>10348451</v>
      </c>
      <c r="E8889" s="115">
        <v>43949</v>
      </c>
      <c r="F8889" s="114">
        <v>202101</v>
      </c>
      <c r="G8889" s="112" t="s">
        <v>1091</v>
      </c>
      <c r="H8889" s="112" t="s">
        <v>1015</v>
      </c>
      <c r="I8889" s="112" t="s">
        <v>5673</v>
      </c>
      <c r="J8889" s="112" t="s">
        <v>5672</v>
      </c>
      <c r="K8889" s="112" t="s">
        <v>1098</v>
      </c>
      <c r="L8889" s="116">
        <v>321.42</v>
      </c>
    </row>
    <row r="8890" spans="1:12" hidden="1" outlineLevel="1" collapsed="1" x14ac:dyDescent="0.35">
      <c r="A8890" s="112" t="s">
        <v>5666</v>
      </c>
      <c r="B8890" s="112" t="s">
        <v>932</v>
      </c>
      <c r="C8890" s="112" t="s">
        <v>1095</v>
      </c>
      <c r="D8890" s="113">
        <v>10348451</v>
      </c>
      <c r="E8890" s="115">
        <v>43949</v>
      </c>
      <c r="F8890" s="114">
        <v>202101</v>
      </c>
      <c r="G8890" s="112" t="s">
        <v>1091</v>
      </c>
      <c r="H8890" s="112" t="s">
        <v>1015</v>
      </c>
      <c r="I8890" s="112" t="s">
        <v>1101</v>
      </c>
      <c r="J8890" s="112" t="s">
        <v>5679</v>
      </c>
      <c r="K8890" s="112" t="s">
        <v>1098</v>
      </c>
      <c r="L8890" s="116">
        <v>1323.41</v>
      </c>
    </row>
    <row r="8891" spans="1:12" hidden="1" outlineLevel="1" collapsed="1" x14ac:dyDescent="0.35">
      <c r="A8891" s="112" t="s">
        <v>5666</v>
      </c>
      <c r="B8891" s="112" t="s">
        <v>932</v>
      </c>
      <c r="C8891" s="112" t="s">
        <v>1095</v>
      </c>
      <c r="D8891" s="113">
        <v>10348451</v>
      </c>
      <c r="E8891" s="115">
        <v>43949</v>
      </c>
      <c r="F8891" s="114">
        <v>202101</v>
      </c>
      <c r="G8891" s="112" t="s">
        <v>1091</v>
      </c>
      <c r="H8891" s="112" t="s">
        <v>1015</v>
      </c>
      <c r="I8891" s="112" t="s">
        <v>1101</v>
      </c>
      <c r="J8891" s="112" t="s">
        <v>5679</v>
      </c>
      <c r="K8891" s="112" t="s">
        <v>1098</v>
      </c>
      <c r="L8891" s="116">
        <v>1604.54</v>
      </c>
    </row>
    <row r="8892" spans="1:12" hidden="1" outlineLevel="1" collapsed="1" x14ac:dyDescent="0.35">
      <c r="A8892" s="112" t="s">
        <v>5666</v>
      </c>
      <c r="B8892" s="112" t="s">
        <v>929</v>
      </c>
      <c r="C8892" s="112" t="s">
        <v>1095</v>
      </c>
      <c r="D8892" s="113">
        <v>10348451</v>
      </c>
      <c r="E8892" s="115">
        <v>43949</v>
      </c>
      <c r="F8892" s="114">
        <v>202101</v>
      </c>
      <c r="G8892" s="112" t="s">
        <v>1091</v>
      </c>
      <c r="H8892" s="112" t="s">
        <v>1015</v>
      </c>
      <c r="I8892" s="112" t="s">
        <v>5675</v>
      </c>
      <c r="J8892" s="112" t="s">
        <v>5672</v>
      </c>
      <c r="K8892" s="112" t="s">
        <v>1098</v>
      </c>
      <c r="L8892" s="116">
        <v>428.5</v>
      </c>
    </row>
    <row r="8893" spans="1:12" hidden="1" outlineLevel="1" collapsed="1" x14ac:dyDescent="0.35">
      <c r="A8893" s="112" t="s">
        <v>5666</v>
      </c>
      <c r="B8893" s="112" t="s">
        <v>931</v>
      </c>
      <c r="C8893" s="112" t="s">
        <v>1219</v>
      </c>
      <c r="D8893" s="113">
        <v>46307134</v>
      </c>
      <c r="E8893" s="115">
        <v>43924</v>
      </c>
      <c r="F8893" s="114">
        <v>202101</v>
      </c>
      <c r="G8893" s="112" t="s">
        <v>1091</v>
      </c>
      <c r="H8893" s="112" t="s">
        <v>1015</v>
      </c>
      <c r="I8893" s="112" t="s">
        <v>1211</v>
      </c>
      <c r="J8893" s="112" t="s">
        <v>5668</v>
      </c>
      <c r="K8893" s="112" t="s">
        <v>1220</v>
      </c>
      <c r="L8893" s="116">
        <v>19771.669999999998</v>
      </c>
    </row>
    <row r="8894" spans="1:12" hidden="1" outlineLevel="1" collapsed="1" x14ac:dyDescent="0.35">
      <c r="A8894" s="112" t="s">
        <v>5666</v>
      </c>
      <c r="B8894" s="112" t="s">
        <v>931</v>
      </c>
      <c r="C8894" s="112" t="s">
        <v>1150</v>
      </c>
      <c r="D8894" s="113">
        <v>10348688</v>
      </c>
      <c r="E8894" s="115">
        <v>43978</v>
      </c>
      <c r="F8894" s="114">
        <v>202101</v>
      </c>
      <c r="G8894" s="112" t="s">
        <v>1091</v>
      </c>
      <c r="H8894" s="112" t="s">
        <v>1015</v>
      </c>
      <c r="I8894" s="112" t="s">
        <v>1211</v>
      </c>
      <c r="J8894" s="112" t="s">
        <v>5668</v>
      </c>
      <c r="K8894" s="112" t="s">
        <v>5717</v>
      </c>
      <c r="L8894" s="116">
        <v>7227</v>
      </c>
    </row>
    <row r="8895" spans="1:12" hidden="1" outlineLevel="1" collapsed="1" x14ac:dyDescent="0.35">
      <c r="A8895" s="112" t="s">
        <v>5666</v>
      </c>
      <c r="B8895" s="112" t="s">
        <v>930</v>
      </c>
      <c r="C8895" s="112" t="s">
        <v>1266</v>
      </c>
      <c r="D8895" s="113">
        <v>1069697</v>
      </c>
      <c r="E8895" s="115">
        <v>43927</v>
      </c>
      <c r="F8895" s="114">
        <v>202101</v>
      </c>
      <c r="G8895" s="112" t="s">
        <v>1091</v>
      </c>
      <c r="H8895" s="112" t="s">
        <v>1015</v>
      </c>
      <c r="I8895" s="112" t="s">
        <v>1137</v>
      </c>
      <c r="J8895" s="112" t="s">
        <v>5667</v>
      </c>
      <c r="K8895" s="112" t="s">
        <v>5718</v>
      </c>
      <c r="L8895" s="116">
        <v>121.05</v>
      </c>
    </row>
    <row r="8896" spans="1:12" hidden="1" outlineLevel="1" collapsed="1" x14ac:dyDescent="0.35">
      <c r="A8896" s="112" t="s">
        <v>5666</v>
      </c>
      <c r="B8896" s="112" t="s">
        <v>931</v>
      </c>
      <c r="C8896" s="112" t="s">
        <v>1150</v>
      </c>
      <c r="D8896" s="113">
        <v>10348688</v>
      </c>
      <c r="E8896" s="115">
        <v>43978</v>
      </c>
      <c r="F8896" s="114">
        <v>202101</v>
      </c>
      <c r="G8896" s="112" t="s">
        <v>1091</v>
      </c>
      <c r="H8896" s="112" t="s">
        <v>1015</v>
      </c>
      <c r="I8896" s="112" t="s">
        <v>1211</v>
      </c>
      <c r="J8896" s="112" t="s">
        <v>5668</v>
      </c>
      <c r="K8896" s="112" t="s">
        <v>5719</v>
      </c>
      <c r="L8896" s="116">
        <v>8326.64</v>
      </c>
    </row>
    <row r="8897" spans="1:12" hidden="1" outlineLevel="1" collapsed="1" x14ac:dyDescent="0.35">
      <c r="A8897" s="112" t="s">
        <v>5666</v>
      </c>
      <c r="B8897" s="112" t="s">
        <v>931</v>
      </c>
      <c r="C8897" s="112" t="s">
        <v>1099</v>
      </c>
      <c r="D8897" s="113">
        <v>1069510</v>
      </c>
      <c r="E8897" s="115">
        <v>43920</v>
      </c>
      <c r="F8897" s="114">
        <v>202101</v>
      </c>
      <c r="G8897" s="112" t="s">
        <v>1091</v>
      </c>
      <c r="H8897" s="112" t="s">
        <v>1015</v>
      </c>
      <c r="I8897" s="112" t="s">
        <v>1599</v>
      </c>
      <c r="J8897" s="112" t="s">
        <v>5668</v>
      </c>
      <c r="K8897" s="112" t="s">
        <v>5720</v>
      </c>
      <c r="L8897" s="116">
        <v>12106.67</v>
      </c>
    </row>
    <row r="8898" spans="1:12" hidden="1" outlineLevel="1" collapsed="1" x14ac:dyDescent="0.35">
      <c r="A8898" s="112" t="s">
        <v>5666</v>
      </c>
      <c r="B8898" s="112" t="s">
        <v>929</v>
      </c>
      <c r="C8898" s="112" t="s">
        <v>1095</v>
      </c>
      <c r="D8898" s="113">
        <v>10348451</v>
      </c>
      <c r="E8898" s="115">
        <v>43949</v>
      </c>
      <c r="F8898" s="114">
        <v>202101</v>
      </c>
      <c r="G8898" s="112" t="s">
        <v>1091</v>
      </c>
      <c r="H8898" s="112" t="s">
        <v>1015</v>
      </c>
      <c r="I8898" s="112" t="s">
        <v>5675</v>
      </c>
      <c r="J8898" s="112" t="s">
        <v>5672</v>
      </c>
      <c r="K8898" s="112" t="s">
        <v>1098</v>
      </c>
      <c r="L8898" s="116">
        <v>428.5</v>
      </c>
    </row>
    <row r="8899" spans="1:12" hidden="1" outlineLevel="1" collapsed="1" x14ac:dyDescent="0.35">
      <c r="A8899" s="112" t="s">
        <v>5666</v>
      </c>
      <c r="B8899" s="112" t="s">
        <v>932</v>
      </c>
      <c r="C8899" s="112" t="s">
        <v>695</v>
      </c>
      <c r="D8899" s="113">
        <v>10348034</v>
      </c>
      <c r="E8899" s="115">
        <v>43928</v>
      </c>
      <c r="F8899" s="114">
        <v>202101</v>
      </c>
      <c r="G8899" s="112" t="s">
        <v>1091</v>
      </c>
      <c r="H8899" s="112" t="s">
        <v>1015</v>
      </c>
      <c r="I8899" s="112" t="s">
        <v>1211</v>
      </c>
      <c r="J8899" s="112" t="s">
        <v>5679</v>
      </c>
      <c r="K8899" s="112" t="s">
        <v>5721</v>
      </c>
      <c r="L8899" s="116">
        <v>-2562.8200000000002</v>
      </c>
    </row>
    <row r="8900" spans="1:12" hidden="1" outlineLevel="1" collapsed="1" x14ac:dyDescent="0.35">
      <c r="A8900" s="112" t="s">
        <v>5666</v>
      </c>
      <c r="B8900" s="112" t="s">
        <v>929</v>
      </c>
      <c r="C8900" s="112" t="s">
        <v>1095</v>
      </c>
      <c r="D8900" s="113">
        <v>10348451</v>
      </c>
      <c r="E8900" s="115">
        <v>43949</v>
      </c>
      <c r="F8900" s="114">
        <v>202101</v>
      </c>
      <c r="G8900" s="112" t="s">
        <v>1091</v>
      </c>
      <c r="H8900" s="112" t="s">
        <v>1015</v>
      </c>
      <c r="I8900" s="112" t="s">
        <v>5675</v>
      </c>
      <c r="J8900" s="112" t="s">
        <v>5672</v>
      </c>
      <c r="K8900" s="112" t="s">
        <v>1098</v>
      </c>
      <c r="L8900" s="116">
        <v>428.5</v>
      </c>
    </row>
    <row r="8901" spans="1:12" hidden="1" outlineLevel="1" collapsed="1" x14ac:dyDescent="0.35">
      <c r="A8901" s="112" t="s">
        <v>5666</v>
      </c>
      <c r="B8901" s="112" t="s">
        <v>929</v>
      </c>
      <c r="C8901" s="112" t="s">
        <v>1095</v>
      </c>
      <c r="D8901" s="113">
        <v>10348451</v>
      </c>
      <c r="E8901" s="115">
        <v>43949</v>
      </c>
      <c r="F8901" s="114">
        <v>202101</v>
      </c>
      <c r="G8901" s="112" t="s">
        <v>1091</v>
      </c>
      <c r="H8901" s="112" t="s">
        <v>1015</v>
      </c>
      <c r="I8901" s="112" t="s">
        <v>5675</v>
      </c>
      <c r="J8901" s="112" t="s">
        <v>5672</v>
      </c>
      <c r="K8901" s="112" t="s">
        <v>1098</v>
      </c>
      <c r="L8901" s="116">
        <v>428.5</v>
      </c>
    </row>
    <row r="8902" spans="1:12" hidden="1" outlineLevel="1" collapsed="1" x14ac:dyDescent="0.35">
      <c r="A8902" s="112" t="s">
        <v>5666</v>
      </c>
      <c r="B8902" s="112" t="s">
        <v>932</v>
      </c>
      <c r="C8902" s="112" t="s">
        <v>1219</v>
      </c>
      <c r="D8902" s="113">
        <v>46307134</v>
      </c>
      <c r="E8902" s="115">
        <v>43924</v>
      </c>
      <c r="F8902" s="114">
        <v>202101</v>
      </c>
      <c r="G8902" s="112" t="s">
        <v>1091</v>
      </c>
      <c r="H8902" s="112" t="s">
        <v>1015</v>
      </c>
      <c r="I8902" s="112" t="s">
        <v>1211</v>
      </c>
      <c r="J8902" s="112" t="s">
        <v>5679</v>
      </c>
      <c r="K8902" s="112" t="s">
        <v>1220</v>
      </c>
      <c r="L8902" s="116">
        <v>2562.8200000000002</v>
      </c>
    </row>
    <row r="8903" spans="1:12" hidden="1" outlineLevel="1" collapsed="1" x14ac:dyDescent="0.35">
      <c r="A8903" s="112" t="s">
        <v>5666</v>
      </c>
      <c r="B8903" s="112" t="s">
        <v>932</v>
      </c>
      <c r="C8903" s="112" t="s">
        <v>1150</v>
      </c>
      <c r="D8903" s="113">
        <v>10348688</v>
      </c>
      <c r="E8903" s="115">
        <v>43978</v>
      </c>
      <c r="F8903" s="114">
        <v>202101</v>
      </c>
      <c r="G8903" s="112" t="s">
        <v>1091</v>
      </c>
      <c r="H8903" s="112" t="s">
        <v>1015</v>
      </c>
      <c r="I8903" s="112" t="s">
        <v>1211</v>
      </c>
      <c r="J8903" s="112" t="s">
        <v>5679</v>
      </c>
      <c r="K8903" s="112" t="s">
        <v>5722</v>
      </c>
      <c r="L8903" s="116">
        <v>1651.2</v>
      </c>
    </row>
    <row r="8904" spans="1:12" hidden="1" outlineLevel="1" collapsed="1" x14ac:dyDescent="0.35">
      <c r="A8904" s="112" t="s">
        <v>5666</v>
      </c>
      <c r="B8904" s="112" t="s">
        <v>932</v>
      </c>
      <c r="C8904" s="112" t="s">
        <v>1099</v>
      </c>
      <c r="D8904" s="113">
        <v>1069412</v>
      </c>
      <c r="E8904" s="115">
        <v>43921</v>
      </c>
      <c r="F8904" s="114">
        <v>202101</v>
      </c>
      <c r="G8904" s="112" t="s">
        <v>1091</v>
      </c>
      <c r="H8904" s="112" t="s">
        <v>1015</v>
      </c>
      <c r="I8904" s="112" t="s">
        <v>1211</v>
      </c>
      <c r="J8904" s="112" t="s">
        <v>5679</v>
      </c>
      <c r="K8904" s="112" t="s">
        <v>5723</v>
      </c>
      <c r="L8904" s="116">
        <v>11000</v>
      </c>
    </row>
    <row r="8905" spans="1:12" hidden="1" outlineLevel="1" collapsed="1" x14ac:dyDescent="0.35">
      <c r="A8905" s="112" t="s">
        <v>5666</v>
      </c>
      <c r="B8905" s="112" t="s">
        <v>929</v>
      </c>
      <c r="C8905" s="112" t="s">
        <v>1095</v>
      </c>
      <c r="D8905" s="113">
        <v>10348451</v>
      </c>
      <c r="E8905" s="115">
        <v>43949</v>
      </c>
      <c r="F8905" s="114">
        <v>202101</v>
      </c>
      <c r="G8905" s="112" t="s">
        <v>1091</v>
      </c>
      <c r="H8905" s="112" t="s">
        <v>1015</v>
      </c>
      <c r="I8905" s="112" t="s">
        <v>5675</v>
      </c>
      <c r="J8905" s="112" t="s">
        <v>5672</v>
      </c>
      <c r="K8905" s="112" t="s">
        <v>1098</v>
      </c>
      <c r="L8905" s="116">
        <v>428.5</v>
      </c>
    </row>
    <row r="8906" spans="1:12" hidden="1" outlineLevel="1" collapsed="1" x14ac:dyDescent="0.35">
      <c r="A8906" s="112" t="s">
        <v>5666</v>
      </c>
      <c r="B8906" s="112" t="s">
        <v>932</v>
      </c>
      <c r="C8906" s="112" t="s">
        <v>1095</v>
      </c>
      <c r="D8906" s="113">
        <v>10348451</v>
      </c>
      <c r="E8906" s="115">
        <v>43949</v>
      </c>
      <c r="F8906" s="114">
        <v>202101</v>
      </c>
      <c r="G8906" s="112" t="s">
        <v>1091</v>
      </c>
      <c r="H8906" s="112" t="s">
        <v>1015</v>
      </c>
      <c r="I8906" s="112" t="s">
        <v>1096</v>
      </c>
      <c r="J8906" s="112" t="s">
        <v>5679</v>
      </c>
      <c r="K8906" s="112" t="s">
        <v>1098</v>
      </c>
      <c r="L8906" s="116">
        <v>1265.82</v>
      </c>
    </row>
    <row r="8907" spans="1:12" hidden="1" outlineLevel="1" collapsed="1" x14ac:dyDescent="0.35">
      <c r="A8907" s="112" t="s">
        <v>5666</v>
      </c>
      <c r="B8907" s="112" t="s">
        <v>929</v>
      </c>
      <c r="C8907" s="112" t="s">
        <v>1095</v>
      </c>
      <c r="D8907" s="113">
        <v>10348451</v>
      </c>
      <c r="E8907" s="115">
        <v>43949</v>
      </c>
      <c r="F8907" s="114">
        <v>202101</v>
      </c>
      <c r="G8907" s="112" t="s">
        <v>1091</v>
      </c>
      <c r="H8907" s="112" t="s">
        <v>1015</v>
      </c>
      <c r="I8907" s="112" t="s">
        <v>5675</v>
      </c>
      <c r="J8907" s="112" t="s">
        <v>5672</v>
      </c>
      <c r="K8907" s="112" t="s">
        <v>1098</v>
      </c>
      <c r="L8907" s="116">
        <v>428.5</v>
      </c>
    </row>
    <row r="8908" spans="1:12" hidden="1" outlineLevel="1" collapsed="1" x14ac:dyDescent="0.35">
      <c r="A8908" s="112" t="s">
        <v>5666</v>
      </c>
      <c r="B8908" s="112" t="s">
        <v>931</v>
      </c>
      <c r="C8908" s="112" t="s">
        <v>695</v>
      </c>
      <c r="D8908" s="113">
        <v>10347981</v>
      </c>
      <c r="E8908" s="115">
        <v>43924</v>
      </c>
      <c r="F8908" s="114">
        <v>202101</v>
      </c>
      <c r="G8908" s="112" t="s">
        <v>1091</v>
      </c>
      <c r="H8908" s="112" t="s">
        <v>1015</v>
      </c>
      <c r="I8908" s="112" t="s">
        <v>1599</v>
      </c>
      <c r="J8908" s="112" t="s">
        <v>5668</v>
      </c>
      <c r="K8908" s="112" t="s">
        <v>5724</v>
      </c>
      <c r="L8908" s="116">
        <v>-6601.6</v>
      </c>
    </row>
    <row r="8909" spans="1:12" hidden="1" outlineLevel="1" collapsed="1" x14ac:dyDescent="0.35">
      <c r="A8909" s="112" t="s">
        <v>5666</v>
      </c>
      <c r="B8909" s="112" t="s">
        <v>931</v>
      </c>
      <c r="C8909" s="112" t="s">
        <v>695</v>
      </c>
      <c r="D8909" s="113">
        <v>10347981</v>
      </c>
      <c r="E8909" s="115">
        <v>43924</v>
      </c>
      <c r="F8909" s="114">
        <v>202101</v>
      </c>
      <c r="G8909" s="112" t="s">
        <v>1091</v>
      </c>
      <c r="H8909" s="112" t="s">
        <v>1015</v>
      </c>
      <c r="I8909" s="112" t="s">
        <v>1599</v>
      </c>
      <c r="J8909" s="112" t="s">
        <v>5668</v>
      </c>
      <c r="K8909" s="112" t="s">
        <v>5725</v>
      </c>
      <c r="L8909" s="116">
        <v>-400</v>
      </c>
    </row>
    <row r="8910" spans="1:12" hidden="1" outlineLevel="1" collapsed="1" x14ac:dyDescent="0.35">
      <c r="A8910" s="112" t="s">
        <v>5666</v>
      </c>
      <c r="B8910" s="112" t="s">
        <v>929</v>
      </c>
      <c r="C8910" s="112" t="s">
        <v>1095</v>
      </c>
      <c r="D8910" s="113">
        <v>10348451</v>
      </c>
      <c r="E8910" s="115">
        <v>43949</v>
      </c>
      <c r="F8910" s="114">
        <v>202101</v>
      </c>
      <c r="G8910" s="112" t="s">
        <v>1091</v>
      </c>
      <c r="H8910" s="112" t="s">
        <v>1015</v>
      </c>
      <c r="I8910" s="112" t="s">
        <v>5673</v>
      </c>
      <c r="J8910" s="112" t="s">
        <v>5672</v>
      </c>
      <c r="K8910" s="112" t="s">
        <v>1098</v>
      </c>
      <c r="L8910" s="116">
        <v>1928.25</v>
      </c>
    </row>
    <row r="8911" spans="1:12" hidden="1" outlineLevel="1" collapsed="1" x14ac:dyDescent="0.35">
      <c r="A8911" s="112" t="s">
        <v>5666</v>
      </c>
      <c r="B8911" s="112" t="s">
        <v>929</v>
      </c>
      <c r="C8911" s="112" t="s">
        <v>1095</v>
      </c>
      <c r="D8911" s="113">
        <v>10348451</v>
      </c>
      <c r="E8911" s="115">
        <v>43949</v>
      </c>
      <c r="F8911" s="114">
        <v>202101</v>
      </c>
      <c r="G8911" s="112" t="s">
        <v>1091</v>
      </c>
      <c r="H8911" s="112" t="s">
        <v>1015</v>
      </c>
      <c r="I8911" s="112" t="s">
        <v>5675</v>
      </c>
      <c r="J8911" s="112" t="s">
        <v>5672</v>
      </c>
      <c r="K8911" s="112" t="s">
        <v>1098</v>
      </c>
      <c r="L8911" s="116">
        <v>428.5</v>
      </c>
    </row>
    <row r="8912" spans="1:12" hidden="1" outlineLevel="1" collapsed="1" x14ac:dyDescent="0.35">
      <c r="A8912" s="112" t="s">
        <v>5666</v>
      </c>
      <c r="B8912" s="112" t="s">
        <v>929</v>
      </c>
      <c r="C8912" s="112" t="s">
        <v>1095</v>
      </c>
      <c r="D8912" s="113">
        <v>10348451</v>
      </c>
      <c r="E8912" s="115">
        <v>43949</v>
      </c>
      <c r="F8912" s="114">
        <v>202101</v>
      </c>
      <c r="G8912" s="112" t="s">
        <v>1091</v>
      </c>
      <c r="H8912" s="112" t="s">
        <v>1015</v>
      </c>
      <c r="I8912" s="112" t="s">
        <v>1101</v>
      </c>
      <c r="J8912" s="112" t="s">
        <v>5680</v>
      </c>
      <c r="K8912" s="112" t="s">
        <v>1098</v>
      </c>
      <c r="L8912" s="116">
        <v>365.57</v>
      </c>
    </row>
    <row r="8913" spans="1:12" hidden="1" outlineLevel="1" collapsed="1" x14ac:dyDescent="0.35">
      <c r="A8913" s="112" t="s">
        <v>5666</v>
      </c>
      <c r="B8913" s="112" t="s">
        <v>929</v>
      </c>
      <c r="C8913" s="112" t="s">
        <v>1095</v>
      </c>
      <c r="D8913" s="113">
        <v>10348451</v>
      </c>
      <c r="E8913" s="115">
        <v>43949</v>
      </c>
      <c r="F8913" s="114">
        <v>202101</v>
      </c>
      <c r="G8913" s="112" t="s">
        <v>1091</v>
      </c>
      <c r="H8913" s="112" t="s">
        <v>1015</v>
      </c>
      <c r="I8913" s="112" t="s">
        <v>5675</v>
      </c>
      <c r="J8913" s="112" t="s">
        <v>5672</v>
      </c>
      <c r="K8913" s="112" t="s">
        <v>1098</v>
      </c>
      <c r="L8913" s="116">
        <v>428.5</v>
      </c>
    </row>
    <row r="8914" spans="1:12" hidden="1" outlineLevel="1" collapsed="1" x14ac:dyDescent="0.35">
      <c r="A8914" s="112" t="s">
        <v>5666</v>
      </c>
      <c r="B8914" s="112" t="s">
        <v>929</v>
      </c>
      <c r="C8914" s="112" t="s">
        <v>1095</v>
      </c>
      <c r="D8914" s="113">
        <v>10348451</v>
      </c>
      <c r="E8914" s="115">
        <v>43949</v>
      </c>
      <c r="F8914" s="114">
        <v>202101</v>
      </c>
      <c r="G8914" s="112" t="s">
        <v>1091</v>
      </c>
      <c r="H8914" s="112" t="s">
        <v>1015</v>
      </c>
      <c r="I8914" s="112" t="s">
        <v>5675</v>
      </c>
      <c r="J8914" s="112" t="s">
        <v>5672</v>
      </c>
      <c r="K8914" s="112" t="s">
        <v>1098</v>
      </c>
      <c r="L8914" s="116">
        <v>428.5</v>
      </c>
    </row>
    <row r="8915" spans="1:12" hidden="1" outlineLevel="1" collapsed="1" x14ac:dyDescent="0.35">
      <c r="A8915" s="112" t="s">
        <v>5666</v>
      </c>
      <c r="B8915" s="112" t="s">
        <v>929</v>
      </c>
      <c r="C8915" s="112" t="s">
        <v>1095</v>
      </c>
      <c r="D8915" s="113">
        <v>10348451</v>
      </c>
      <c r="E8915" s="115">
        <v>43949</v>
      </c>
      <c r="F8915" s="114">
        <v>202101</v>
      </c>
      <c r="G8915" s="112" t="s">
        <v>1091</v>
      </c>
      <c r="H8915" s="112" t="s">
        <v>1015</v>
      </c>
      <c r="I8915" s="112" t="s">
        <v>5673</v>
      </c>
      <c r="J8915" s="112" t="s">
        <v>5672</v>
      </c>
      <c r="K8915" s="112" t="s">
        <v>1098</v>
      </c>
      <c r="L8915" s="116">
        <v>107.17</v>
      </c>
    </row>
    <row r="8916" spans="1:12" hidden="1" outlineLevel="1" collapsed="1" x14ac:dyDescent="0.35">
      <c r="A8916" s="112" t="s">
        <v>5666</v>
      </c>
      <c r="B8916" s="112" t="s">
        <v>929</v>
      </c>
      <c r="C8916" s="112" t="s">
        <v>1095</v>
      </c>
      <c r="D8916" s="113">
        <v>10348451</v>
      </c>
      <c r="E8916" s="115">
        <v>43949</v>
      </c>
      <c r="F8916" s="114">
        <v>202101</v>
      </c>
      <c r="G8916" s="112" t="s">
        <v>1091</v>
      </c>
      <c r="H8916" s="112" t="s">
        <v>1015</v>
      </c>
      <c r="I8916" s="112" t="s">
        <v>5675</v>
      </c>
      <c r="J8916" s="112" t="s">
        <v>5672</v>
      </c>
      <c r="K8916" s="112" t="s">
        <v>1098</v>
      </c>
      <c r="L8916" s="116">
        <v>428.5</v>
      </c>
    </row>
    <row r="8917" spans="1:12" hidden="1" outlineLevel="1" collapsed="1" x14ac:dyDescent="0.35">
      <c r="A8917" s="112" t="s">
        <v>5666</v>
      </c>
      <c r="B8917" s="112" t="s">
        <v>929</v>
      </c>
      <c r="C8917" s="112" t="s">
        <v>1095</v>
      </c>
      <c r="D8917" s="113">
        <v>10348451</v>
      </c>
      <c r="E8917" s="115">
        <v>43949</v>
      </c>
      <c r="F8917" s="114">
        <v>202101</v>
      </c>
      <c r="G8917" s="112" t="s">
        <v>1091</v>
      </c>
      <c r="H8917" s="112" t="s">
        <v>1015</v>
      </c>
      <c r="I8917" s="112" t="s">
        <v>1101</v>
      </c>
      <c r="J8917" s="112" t="s">
        <v>5680</v>
      </c>
      <c r="K8917" s="112" t="s">
        <v>1098</v>
      </c>
      <c r="L8917" s="116">
        <v>483.07</v>
      </c>
    </row>
    <row r="8918" spans="1:12" hidden="1" outlineLevel="1" collapsed="1" x14ac:dyDescent="0.35">
      <c r="A8918" s="112" t="s">
        <v>5666</v>
      </c>
      <c r="B8918" s="112" t="s">
        <v>930</v>
      </c>
      <c r="C8918" s="112" t="s">
        <v>1099</v>
      </c>
      <c r="D8918" s="113">
        <v>1069704</v>
      </c>
      <c r="E8918" s="115">
        <v>43889</v>
      </c>
      <c r="F8918" s="114">
        <v>202101</v>
      </c>
      <c r="G8918" s="112" t="s">
        <v>1091</v>
      </c>
      <c r="H8918" s="112" t="s">
        <v>1015</v>
      </c>
      <c r="I8918" s="112" t="s">
        <v>5726</v>
      </c>
      <c r="J8918" s="112" t="s">
        <v>5667</v>
      </c>
      <c r="K8918" s="112" t="s">
        <v>5727</v>
      </c>
      <c r="L8918" s="116">
        <v>158.12</v>
      </c>
    </row>
    <row r="8919" spans="1:12" hidden="1" outlineLevel="1" collapsed="1" x14ac:dyDescent="0.35">
      <c r="A8919" s="112" t="s">
        <v>5666</v>
      </c>
      <c r="B8919" s="112" t="s">
        <v>931</v>
      </c>
      <c r="C8919" s="112" t="s">
        <v>695</v>
      </c>
      <c r="D8919" s="113">
        <v>10347981</v>
      </c>
      <c r="E8919" s="115">
        <v>43924</v>
      </c>
      <c r="F8919" s="114">
        <v>202101</v>
      </c>
      <c r="G8919" s="112" t="s">
        <v>1091</v>
      </c>
      <c r="H8919" s="112" t="s">
        <v>1015</v>
      </c>
      <c r="I8919" s="112" t="s">
        <v>1599</v>
      </c>
      <c r="J8919" s="112" t="s">
        <v>5668</v>
      </c>
      <c r="K8919" s="112" t="s">
        <v>5728</v>
      </c>
      <c r="L8919" s="116">
        <v>-300</v>
      </c>
    </row>
    <row r="8920" spans="1:12" hidden="1" outlineLevel="1" collapsed="1" x14ac:dyDescent="0.35">
      <c r="A8920" s="112" t="s">
        <v>5666</v>
      </c>
      <c r="B8920" s="112" t="s">
        <v>929</v>
      </c>
      <c r="C8920" s="112" t="s">
        <v>1095</v>
      </c>
      <c r="D8920" s="113">
        <v>10348451</v>
      </c>
      <c r="E8920" s="115">
        <v>43949</v>
      </c>
      <c r="F8920" s="114">
        <v>202101</v>
      </c>
      <c r="G8920" s="112" t="s">
        <v>1091</v>
      </c>
      <c r="H8920" s="112" t="s">
        <v>1015</v>
      </c>
      <c r="I8920" s="112" t="s">
        <v>1096</v>
      </c>
      <c r="J8920" s="112" t="s">
        <v>5672</v>
      </c>
      <c r="K8920" s="112" t="s">
        <v>1098</v>
      </c>
      <c r="L8920" s="116">
        <v>46.82</v>
      </c>
    </row>
    <row r="8921" spans="1:12" hidden="1" outlineLevel="1" collapsed="1" x14ac:dyDescent="0.35">
      <c r="A8921" s="112" t="s">
        <v>5666</v>
      </c>
      <c r="B8921" s="112" t="s">
        <v>932</v>
      </c>
      <c r="C8921" s="112" t="s">
        <v>1099</v>
      </c>
      <c r="D8921" s="113">
        <v>1069304</v>
      </c>
      <c r="E8921" s="115">
        <v>43915</v>
      </c>
      <c r="F8921" s="114">
        <v>202101</v>
      </c>
      <c r="G8921" s="112" t="s">
        <v>1091</v>
      </c>
      <c r="H8921" s="112" t="s">
        <v>1015</v>
      </c>
      <c r="I8921" s="112" t="s">
        <v>763</v>
      </c>
      <c r="J8921" s="112" t="s">
        <v>5679</v>
      </c>
      <c r="K8921" s="112" t="s">
        <v>5729</v>
      </c>
      <c r="L8921" s="116">
        <v>446.7</v>
      </c>
    </row>
    <row r="8922" spans="1:12" hidden="1" outlineLevel="1" collapsed="1" x14ac:dyDescent="0.35">
      <c r="A8922" s="112" t="s">
        <v>5666</v>
      </c>
      <c r="B8922" s="112" t="s">
        <v>931</v>
      </c>
      <c r="C8922" s="112" t="s">
        <v>1095</v>
      </c>
      <c r="D8922" s="113">
        <v>10348451</v>
      </c>
      <c r="E8922" s="115">
        <v>43949</v>
      </c>
      <c r="F8922" s="114">
        <v>202101</v>
      </c>
      <c r="G8922" s="112" t="s">
        <v>1091</v>
      </c>
      <c r="H8922" s="112" t="s">
        <v>1015</v>
      </c>
      <c r="I8922" s="112" t="s">
        <v>1101</v>
      </c>
      <c r="J8922" s="112" t="s">
        <v>5668</v>
      </c>
      <c r="K8922" s="112" t="s">
        <v>1098</v>
      </c>
      <c r="L8922" s="116">
        <v>366.04</v>
      </c>
    </row>
    <row r="8923" spans="1:12" hidden="1" outlineLevel="1" collapsed="1" x14ac:dyDescent="0.35">
      <c r="A8923" s="112" t="s">
        <v>5666</v>
      </c>
      <c r="B8923" s="112" t="s">
        <v>931</v>
      </c>
      <c r="C8923" s="112" t="s">
        <v>679</v>
      </c>
      <c r="D8923" s="113">
        <v>10347933</v>
      </c>
      <c r="E8923" s="115">
        <v>43922</v>
      </c>
      <c r="F8923" s="114">
        <v>202101</v>
      </c>
      <c r="G8923" s="112" t="s">
        <v>1091</v>
      </c>
      <c r="H8923" s="112" t="s">
        <v>1015</v>
      </c>
      <c r="I8923" s="112" t="s">
        <v>1536</v>
      </c>
      <c r="J8923" s="112" t="s">
        <v>5668</v>
      </c>
      <c r="K8923" s="112" t="s">
        <v>706</v>
      </c>
      <c r="L8923" s="116">
        <v>35</v>
      </c>
    </row>
    <row r="8924" spans="1:12" hidden="1" outlineLevel="1" collapsed="1" x14ac:dyDescent="0.35">
      <c r="A8924" s="112" t="s">
        <v>5666</v>
      </c>
      <c r="B8924" s="112" t="s">
        <v>929</v>
      </c>
      <c r="C8924" s="112" t="s">
        <v>1095</v>
      </c>
      <c r="D8924" s="113">
        <v>10348451</v>
      </c>
      <c r="E8924" s="115">
        <v>43949</v>
      </c>
      <c r="F8924" s="114">
        <v>202101</v>
      </c>
      <c r="G8924" s="112" t="s">
        <v>1091</v>
      </c>
      <c r="H8924" s="112" t="s">
        <v>1015</v>
      </c>
      <c r="I8924" s="112" t="s">
        <v>5673</v>
      </c>
      <c r="J8924" s="112" t="s">
        <v>5672</v>
      </c>
      <c r="K8924" s="112" t="s">
        <v>1098</v>
      </c>
      <c r="L8924" s="116">
        <v>642.75</v>
      </c>
    </row>
    <row r="8925" spans="1:12" hidden="1" outlineLevel="1" collapsed="1" x14ac:dyDescent="0.35">
      <c r="A8925" s="112" t="s">
        <v>5666</v>
      </c>
      <c r="B8925" s="112" t="s">
        <v>929</v>
      </c>
      <c r="C8925" s="112" t="s">
        <v>1095</v>
      </c>
      <c r="D8925" s="113">
        <v>10348451</v>
      </c>
      <c r="E8925" s="115">
        <v>43949</v>
      </c>
      <c r="F8925" s="114">
        <v>202101</v>
      </c>
      <c r="G8925" s="112" t="s">
        <v>1091</v>
      </c>
      <c r="H8925" s="112" t="s">
        <v>1015</v>
      </c>
      <c r="I8925" s="112" t="s">
        <v>1101</v>
      </c>
      <c r="J8925" s="112" t="s">
        <v>5680</v>
      </c>
      <c r="K8925" s="112" t="s">
        <v>1098</v>
      </c>
      <c r="L8925" s="116">
        <v>404.02</v>
      </c>
    </row>
    <row r="8926" spans="1:12" hidden="1" outlineLevel="1" collapsed="1" x14ac:dyDescent="0.35">
      <c r="A8926" s="112" t="s">
        <v>5666</v>
      </c>
      <c r="B8926" s="112" t="s">
        <v>931</v>
      </c>
      <c r="C8926" s="112" t="s">
        <v>1095</v>
      </c>
      <c r="D8926" s="113">
        <v>10348451</v>
      </c>
      <c r="E8926" s="115">
        <v>43949</v>
      </c>
      <c r="F8926" s="114">
        <v>202101</v>
      </c>
      <c r="G8926" s="112" t="s">
        <v>1091</v>
      </c>
      <c r="H8926" s="112" t="s">
        <v>1015</v>
      </c>
      <c r="I8926" s="112" t="s">
        <v>1101</v>
      </c>
      <c r="J8926" s="112" t="s">
        <v>5668</v>
      </c>
      <c r="K8926" s="112" t="s">
        <v>1098</v>
      </c>
      <c r="L8926" s="116">
        <v>1299.01</v>
      </c>
    </row>
    <row r="8927" spans="1:12" hidden="1" outlineLevel="1" collapsed="1" x14ac:dyDescent="0.35">
      <c r="A8927" s="112" t="s">
        <v>5666</v>
      </c>
      <c r="B8927" s="112" t="s">
        <v>932</v>
      </c>
      <c r="C8927" s="112" t="s">
        <v>1095</v>
      </c>
      <c r="D8927" s="113">
        <v>10348451</v>
      </c>
      <c r="E8927" s="115">
        <v>43949</v>
      </c>
      <c r="F8927" s="114">
        <v>202101</v>
      </c>
      <c r="G8927" s="112" t="s">
        <v>1091</v>
      </c>
      <c r="H8927" s="112" t="s">
        <v>1015</v>
      </c>
      <c r="I8927" s="112" t="s">
        <v>1096</v>
      </c>
      <c r="J8927" s="112" t="s">
        <v>5679</v>
      </c>
      <c r="K8927" s="112" t="s">
        <v>1098</v>
      </c>
      <c r="L8927" s="116">
        <v>1026.33</v>
      </c>
    </row>
    <row r="8928" spans="1:12" hidden="1" outlineLevel="1" collapsed="1" x14ac:dyDescent="0.35">
      <c r="A8928" s="112" t="s">
        <v>5666</v>
      </c>
      <c r="B8928" s="112" t="s">
        <v>931</v>
      </c>
      <c r="C8928" s="112" t="s">
        <v>1095</v>
      </c>
      <c r="D8928" s="113">
        <v>10348451</v>
      </c>
      <c r="E8928" s="115">
        <v>43949</v>
      </c>
      <c r="F8928" s="114">
        <v>202101</v>
      </c>
      <c r="G8928" s="112" t="s">
        <v>1091</v>
      </c>
      <c r="H8928" s="112" t="s">
        <v>1015</v>
      </c>
      <c r="I8928" s="112" t="s">
        <v>1096</v>
      </c>
      <c r="J8928" s="112" t="s">
        <v>5668</v>
      </c>
      <c r="K8928" s="112" t="s">
        <v>1098</v>
      </c>
      <c r="L8928" s="116">
        <v>1005.55</v>
      </c>
    </row>
    <row r="8929" spans="1:12" hidden="1" outlineLevel="1" collapsed="1" x14ac:dyDescent="0.35">
      <c r="A8929" s="112" t="s">
        <v>5666</v>
      </c>
      <c r="B8929" s="112" t="s">
        <v>931</v>
      </c>
      <c r="C8929" s="112" t="s">
        <v>679</v>
      </c>
      <c r="D8929" s="113">
        <v>10348056</v>
      </c>
      <c r="E8929" s="115">
        <v>43928</v>
      </c>
      <c r="F8929" s="114">
        <v>202101</v>
      </c>
      <c r="G8929" s="112" t="s">
        <v>1091</v>
      </c>
      <c r="H8929" s="112" t="s">
        <v>1016</v>
      </c>
      <c r="I8929" s="112" t="s">
        <v>5699</v>
      </c>
      <c r="J8929" s="112" t="s">
        <v>5668</v>
      </c>
      <c r="K8929" s="112" t="s">
        <v>5730</v>
      </c>
      <c r="L8929" s="116">
        <v>-50</v>
      </c>
    </row>
    <row r="8930" spans="1:12" hidden="1" outlineLevel="1" collapsed="1" x14ac:dyDescent="0.35">
      <c r="A8930" s="112" t="s">
        <v>5666</v>
      </c>
      <c r="B8930" s="112" t="s">
        <v>929</v>
      </c>
      <c r="C8930" s="112" t="s">
        <v>1099</v>
      </c>
      <c r="D8930" s="113">
        <v>1069681</v>
      </c>
      <c r="E8930" s="115">
        <v>43918</v>
      </c>
      <c r="F8930" s="114">
        <v>202101</v>
      </c>
      <c r="G8930" s="112" t="s">
        <v>1091</v>
      </c>
      <c r="H8930" s="112" t="s">
        <v>1015</v>
      </c>
      <c r="I8930" s="112" t="s">
        <v>1133</v>
      </c>
      <c r="J8930" s="112" t="s">
        <v>5670</v>
      </c>
      <c r="K8930" s="112" t="s">
        <v>1134</v>
      </c>
      <c r="L8930" s="116">
        <v>39.15</v>
      </c>
    </row>
    <row r="8931" spans="1:12" hidden="1" outlineLevel="1" collapsed="1" x14ac:dyDescent="0.35">
      <c r="A8931" s="112" t="s">
        <v>5666</v>
      </c>
      <c r="B8931" s="112" t="s">
        <v>932</v>
      </c>
      <c r="C8931" s="112" t="s">
        <v>1099</v>
      </c>
      <c r="D8931" s="113">
        <v>1069681</v>
      </c>
      <c r="E8931" s="115">
        <v>43918</v>
      </c>
      <c r="F8931" s="114">
        <v>202101</v>
      </c>
      <c r="G8931" s="112" t="s">
        <v>1091</v>
      </c>
      <c r="H8931" s="112" t="s">
        <v>1015</v>
      </c>
      <c r="I8931" s="112" t="s">
        <v>1133</v>
      </c>
      <c r="J8931" s="112" t="s">
        <v>5679</v>
      </c>
      <c r="K8931" s="112" t="s">
        <v>1134</v>
      </c>
      <c r="L8931" s="116">
        <v>19.2</v>
      </c>
    </row>
    <row r="8932" spans="1:12" hidden="1" outlineLevel="1" collapsed="1" x14ac:dyDescent="0.35">
      <c r="A8932" s="112" t="s">
        <v>5666</v>
      </c>
      <c r="B8932" s="112" t="s">
        <v>929</v>
      </c>
      <c r="C8932" s="112" t="s">
        <v>1095</v>
      </c>
      <c r="D8932" s="113">
        <v>10348451</v>
      </c>
      <c r="E8932" s="115">
        <v>43949</v>
      </c>
      <c r="F8932" s="114">
        <v>202101</v>
      </c>
      <c r="G8932" s="112" t="s">
        <v>1091</v>
      </c>
      <c r="H8932" s="112" t="s">
        <v>1015</v>
      </c>
      <c r="I8932" s="112" t="s">
        <v>5675</v>
      </c>
      <c r="J8932" s="112" t="s">
        <v>5672</v>
      </c>
      <c r="K8932" s="112" t="s">
        <v>1098</v>
      </c>
      <c r="L8932" s="116">
        <v>428.5</v>
      </c>
    </row>
    <row r="8933" spans="1:12" hidden="1" outlineLevel="1" collapsed="1" x14ac:dyDescent="0.35">
      <c r="A8933" s="112" t="s">
        <v>5666</v>
      </c>
      <c r="B8933" s="112" t="s">
        <v>930</v>
      </c>
      <c r="C8933" s="112" t="s">
        <v>1095</v>
      </c>
      <c r="D8933" s="113">
        <v>10348451</v>
      </c>
      <c r="E8933" s="115">
        <v>43949</v>
      </c>
      <c r="F8933" s="114">
        <v>202101</v>
      </c>
      <c r="G8933" s="112" t="s">
        <v>1091</v>
      </c>
      <c r="H8933" s="112" t="s">
        <v>1015</v>
      </c>
      <c r="I8933" s="112" t="s">
        <v>1096</v>
      </c>
      <c r="J8933" s="112" t="s">
        <v>5667</v>
      </c>
      <c r="K8933" s="112" t="s">
        <v>1098</v>
      </c>
      <c r="L8933" s="116">
        <v>262.10000000000002</v>
      </c>
    </row>
    <row r="8934" spans="1:12" hidden="1" outlineLevel="1" collapsed="1" x14ac:dyDescent="0.35">
      <c r="A8934" s="112" t="s">
        <v>5666</v>
      </c>
      <c r="B8934" s="112" t="s">
        <v>929</v>
      </c>
      <c r="C8934" s="112" t="s">
        <v>1095</v>
      </c>
      <c r="D8934" s="113">
        <v>10348451</v>
      </c>
      <c r="E8934" s="115">
        <v>43949</v>
      </c>
      <c r="F8934" s="114">
        <v>202101</v>
      </c>
      <c r="G8934" s="112" t="s">
        <v>1091</v>
      </c>
      <c r="H8934" s="112" t="s">
        <v>1015</v>
      </c>
      <c r="I8934" s="112" t="s">
        <v>1096</v>
      </c>
      <c r="J8934" s="112" t="s">
        <v>5672</v>
      </c>
      <c r="K8934" s="112" t="s">
        <v>1098</v>
      </c>
      <c r="L8934" s="116">
        <v>224.21</v>
      </c>
    </row>
    <row r="8935" spans="1:12" hidden="1" outlineLevel="1" collapsed="1" x14ac:dyDescent="0.35">
      <c r="A8935" s="112" t="s">
        <v>5666</v>
      </c>
      <c r="B8935" s="112" t="s">
        <v>931</v>
      </c>
      <c r="C8935" s="112" t="s">
        <v>695</v>
      </c>
      <c r="D8935" s="113">
        <v>10347981</v>
      </c>
      <c r="E8935" s="115">
        <v>43924</v>
      </c>
      <c r="F8935" s="114">
        <v>202101</v>
      </c>
      <c r="G8935" s="112" t="s">
        <v>1091</v>
      </c>
      <c r="H8935" s="112" t="s">
        <v>1015</v>
      </c>
      <c r="I8935" s="112" t="s">
        <v>1599</v>
      </c>
      <c r="J8935" s="112" t="s">
        <v>5668</v>
      </c>
      <c r="K8935" s="112" t="s">
        <v>5731</v>
      </c>
      <c r="L8935" s="116">
        <v>-480.85</v>
      </c>
    </row>
    <row r="8936" spans="1:12" hidden="1" outlineLevel="1" collapsed="1" x14ac:dyDescent="0.35">
      <c r="A8936" s="112" t="s">
        <v>5666</v>
      </c>
      <c r="B8936" s="112" t="s">
        <v>929</v>
      </c>
      <c r="C8936" s="112" t="s">
        <v>1095</v>
      </c>
      <c r="D8936" s="113">
        <v>10348451</v>
      </c>
      <c r="E8936" s="115">
        <v>43949</v>
      </c>
      <c r="F8936" s="114">
        <v>202101</v>
      </c>
      <c r="G8936" s="112" t="s">
        <v>1091</v>
      </c>
      <c r="H8936" s="112" t="s">
        <v>1015</v>
      </c>
      <c r="I8936" s="112" t="s">
        <v>5675</v>
      </c>
      <c r="J8936" s="112" t="s">
        <v>5672</v>
      </c>
      <c r="K8936" s="112" t="s">
        <v>1098</v>
      </c>
      <c r="L8936" s="116">
        <v>428.5</v>
      </c>
    </row>
    <row r="8937" spans="1:12" hidden="1" outlineLevel="1" collapsed="1" x14ac:dyDescent="0.35">
      <c r="A8937" s="112" t="s">
        <v>5666</v>
      </c>
      <c r="B8937" s="112" t="s">
        <v>931</v>
      </c>
      <c r="C8937" s="112" t="s">
        <v>679</v>
      </c>
      <c r="D8937" s="113">
        <v>10348340</v>
      </c>
      <c r="E8937" s="115">
        <v>43941</v>
      </c>
      <c r="F8937" s="114">
        <v>202101</v>
      </c>
      <c r="G8937" s="112" t="s">
        <v>1091</v>
      </c>
      <c r="H8937" s="112" t="s">
        <v>1016</v>
      </c>
      <c r="I8937" s="112" t="s">
        <v>5699</v>
      </c>
      <c r="J8937" s="112" t="s">
        <v>5668</v>
      </c>
      <c r="K8937" s="112" t="s">
        <v>5732</v>
      </c>
      <c r="L8937" s="116">
        <v>-75</v>
      </c>
    </row>
    <row r="8938" spans="1:12" hidden="1" outlineLevel="1" collapsed="1" x14ac:dyDescent="0.35">
      <c r="A8938" s="112" t="s">
        <v>5666</v>
      </c>
      <c r="B8938" s="112" t="s">
        <v>929</v>
      </c>
      <c r="C8938" s="112" t="s">
        <v>1095</v>
      </c>
      <c r="D8938" s="113">
        <v>10348451</v>
      </c>
      <c r="E8938" s="115">
        <v>43949</v>
      </c>
      <c r="F8938" s="114">
        <v>202101</v>
      </c>
      <c r="G8938" s="112" t="s">
        <v>1091</v>
      </c>
      <c r="H8938" s="112" t="s">
        <v>1015</v>
      </c>
      <c r="I8938" s="112" t="s">
        <v>5673</v>
      </c>
      <c r="J8938" s="112" t="s">
        <v>5672</v>
      </c>
      <c r="K8938" s="112" t="s">
        <v>1098</v>
      </c>
      <c r="L8938" s="116">
        <v>642.75</v>
      </c>
    </row>
    <row r="8939" spans="1:12" hidden="1" outlineLevel="1" collapsed="1" x14ac:dyDescent="0.35">
      <c r="A8939" s="112" t="s">
        <v>5666</v>
      </c>
      <c r="B8939" s="112" t="s">
        <v>929</v>
      </c>
      <c r="C8939" s="112" t="s">
        <v>1095</v>
      </c>
      <c r="D8939" s="113">
        <v>10348451</v>
      </c>
      <c r="E8939" s="115">
        <v>43949</v>
      </c>
      <c r="F8939" s="114">
        <v>202101</v>
      </c>
      <c r="G8939" s="112" t="s">
        <v>1091</v>
      </c>
      <c r="H8939" s="112" t="s">
        <v>1015</v>
      </c>
      <c r="I8939" s="112" t="s">
        <v>5675</v>
      </c>
      <c r="J8939" s="112" t="s">
        <v>5672</v>
      </c>
      <c r="K8939" s="112" t="s">
        <v>1098</v>
      </c>
      <c r="L8939" s="116">
        <v>428.5</v>
      </c>
    </row>
    <row r="8940" spans="1:12" hidden="1" outlineLevel="1" collapsed="1" x14ac:dyDescent="0.35">
      <c r="A8940" s="112" t="s">
        <v>5666</v>
      </c>
      <c r="B8940" s="112" t="s">
        <v>929</v>
      </c>
      <c r="C8940" s="112" t="s">
        <v>1095</v>
      </c>
      <c r="D8940" s="113">
        <v>10348451</v>
      </c>
      <c r="E8940" s="115">
        <v>43949</v>
      </c>
      <c r="F8940" s="114">
        <v>202101</v>
      </c>
      <c r="G8940" s="112" t="s">
        <v>1091</v>
      </c>
      <c r="H8940" s="112" t="s">
        <v>1015</v>
      </c>
      <c r="I8940" s="112" t="s">
        <v>1096</v>
      </c>
      <c r="J8940" s="112" t="s">
        <v>5672</v>
      </c>
      <c r="K8940" s="112" t="s">
        <v>1098</v>
      </c>
      <c r="L8940" s="116">
        <v>46.82</v>
      </c>
    </row>
    <row r="8941" spans="1:12" hidden="1" outlineLevel="1" collapsed="1" x14ac:dyDescent="0.35">
      <c r="A8941" s="112" t="s">
        <v>5666</v>
      </c>
      <c r="B8941" s="112" t="s">
        <v>929</v>
      </c>
      <c r="C8941" s="112" t="s">
        <v>1095</v>
      </c>
      <c r="D8941" s="113">
        <v>10348451</v>
      </c>
      <c r="E8941" s="115">
        <v>43949</v>
      </c>
      <c r="F8941" s="114">
        <v>202101</v>
      </c>
      <c r="G8941" s="112" t="s">
        <v>1091</v>
      </c>
      <c r="H8941" s="112" t="s">
        <v>1015</v>
      </c>
      <c r="I8941" s="112" t="s">
        <v>5675</v>
      </c>
      <c r="J8941" s="112" t="s">
        <v>5672</v>
      </c>
      <c r="K8941" s="112" t="s">
        <v>1098</v>
      </c>
      <c r="L8941" s="116">
        <v>428.5</v>
      </c>
    </row>
    <row r="8942" spans="1:12" hidden="1" outlineLevel="1" collapsed="1" x14ac:dyDescent="0.35">
      <c r="A8942" s="112" t="s">
        <v>5666</v>
      </c>
      <c r="B8942" s="112" t="s">
        <v>931</v>
      </c>
      <c r="C8942" s="112" t="s">
        <v>695</v>
      </c>
      <c r="D8942" s="113">
        <v>10347981</v>
      </c>
      <c r="E8942" s="115">
        <v>43924</v>
      </c>
      <c r="F8942" s="114">
        <v>202101</v>
      </c>
      <c r="G8942" s="112" t="s">
        <v>1091</v>
      </c>
      <c r="H8942" s="112" t="s">
        <v>1015</v>
      </c>
      <c r="I8942" s="112" t="s">
        <v>1599</v>
      </c>
      <c r="J8942" s="112" t="s">
        <v>5668</v>
      </c>
      <c r="K8942" s="112" t="s">
        <v>5733</v>
      </c>
      <c r="L8942" s="116">
        <v>-120</v>
      </c>
    </row>
    <row r="8943" spans="1:12" hidden="1" outlineLevel="1" collapsed="1" x14ac:dyDescent="0.35">
      <c r="A8943" s="112" t="s">
        <v>5666</v>
      </c>
      <c r="B8943" s="112" t="s">
        <v>931</v>
      </c>
      <c r="C8943" s="112" t="s">
        <v>1095</v>
      </c>
      <c r="D8943" s="113">
        <v>10348451</v>
      </c>
      <c r="E8943" s="115">
        <v>43949</v>
      </c>
      <c r="F8943" s="114">
        <v>202101</v>
      </c>
      <c r="G8943" s="112" t="s">
        <v>1091</v>
      </c>
      <c r="H8943" s="112" t="s">
        <v>1015</v>
      </c>
      <c r="I8943" s="112" t="s">
        <v>1096</v>
      </c>
      <c r="J8943" s="112" t="s">
        <v>5668</v>
      </c>
      <c r="K8943" s="112" t="s">
        <v>1098</v>
      </c>
      <c r="L8943" s="116">
        <v>499.16</v>
      </c>
    </row>
    <row r="8944" spans="1:12" hidden="1" outlineLevel="1" collapsed="1" x14ac:dyDescent="0.35">
      <c r="A8944" s="112" t="s">
        <v>5666</v>
      </c>
      <c r="B8944" s="112" t="s">
        <v>929</v>
      </c>
      <c r="C8944" s="112" t="s">
        <v>1095</v>
      </c>
      <c r="D8944" s="113">
        <v>10348451</v>
      </c>
      <c r="E8944" s="115">
        <v>43949</v>
      </c>
      <c r="F8944" s="114">
        <v>202101</v>
      </c>
      <c r="G8944" s="112" t="s">
        <v>1091</v>
      </c>
      <c r="H8944" s="112" t="s">
        <v>1015</v>
      </c>
      <c r="I8944" s="112" t="s">
        <v>5675</v>
      </c>
      <c r="J8944" s="112" t="s">
        <v>5672</v>
      </c>
      <c r="K8944" s="112" t="s">
        <v>1098</v>
      </c>
      <c r="L8944" s="116">
        <v>385.65</v>
      </c>
    </row>
    <row r="8945" spans="1:12" hidden="1" outlineLevel="1" collapsed="1" x14ac:dyDescent="0.35">
      <c r="A8945" s="112" t="s">
        <v>5666</v>
      </c>
      <c r="B8945" s="112" t="s">
        <v>929</v>
      </c>
      <c r="C8945" s="112" t="s">
        <v>1095</v>
      </c>
      <c r="D8945" s="113">
        <v>10348451</v>
      </c>
      <c r="E8945" s="115">
        <v>43949</v>
      </c>
      <c r="F8945" s="114">
        <v>202101</v>
      </c>
      <c r="G8945" s="112" t="s">
        <v>1091</v>
      </c>
      <c r="H8945" s="112" t="s">
        <v>1015</v>
      </c>
      <c r="I8945" s="112" t="s">
        <v>5675</v>
      </c>
      <c r="J8945" s="112" t="s">
        <v>5672</v>
      </c>
      <c r="K8945" s="112" t="s">
        <v>1098</v>
      </c>
      <c r="L8945" s="116">
        <v>428.5</v>
      </c>
    </row>
    <row r="8946" spans="1:12" hidden="1" outlineLevel="1" collapsed="1" x14ac:dyDescent="0.35">
      <c r="A8946" s="112" t="s">
        <v>5666</v>
      </c>
      <c r="B8946" s="112" t="s">
        <v>929</v>
      </c>
      <c r="C8946" s="112" t="s">
        <v>1095</v>
      </c>
      <c r="D8946" s="113">
        <v>10348451</v>
      </c>
      <c r="E8946" s="115">
        <v>43949</v>
      </c>
      <c r="F8946" s="114">
        <v>202101</v>
      </c>
      <c r="G8946" s="112" t="s">
        <v>1091</v>
      </c>
      <c r="H8946" s="112" t="s">
        <v>1015</v>
      </c>
      <c r="I8946" s="112" t="s">
        <v>1096</v>
      </c>
      <c r="J8946" s="112" t="s">
        <v>5680</v>
      </c>
      <c r="K8946" s="112" t="s">
        <v>1098</v>
      </c>
      <c r="L8946" s="116">
        <v>366.99</v>
      </c>
    </row>
    <row r="8947" spans="1:12" hidden="1" outlineLevel="1" collapsed="1" x14ac:dyDescent="0.35">
      <c r="A8947" s="112" t="s">
        <v>5666</v>
      </c>
      <c r="B8947" s="112" t="s">
        <v>931</v>
      </c>
      <c r="C8947" s="112" t="s">
        <v>679</v>
      </c>
      <c r="D8947" s="113">
        <v>10348297</v>
      </c>
      <c r="E8947" s="115">
        <v>43938</v>
      </c>
      <c r="F8947" s="114">
        <v>202101</v>
      </c>
      <c r="G8947" s="112" t="s">
        <v>1091</v>
      </c>
      <c r="H8947" s="112" t="s">
        <v>1016</v>
      </c>
      <c r="I8947" s="112" t="s">
        <v>5699</v>
      </c>
      <c r="J8947" s="112" t="s">
        <v>5668</v>
      </c>
      <c r="K8947" s="112" t="s">
        <v>5734</v>
      </c>
      <c r="L8947" s="116">
        <v>-75</v>
      </c>
    </row>
    <row r="8948" spans="1:12" hidden="1" outlineLevel="1" collapsed="1" x14ac:dyDescent="0.35">
      <c r="A8948" s="112" t="s">
        <v>5666</v>
      </c>
      <c r="B8948" s="112" t="s">
        <v>931</v>
      </c>
      <c r="C8948" s="112" t="s">
        <v>1095</v>
      </c>
      <c r="D8948" s="113">
        <v>10348451</v>
      </c>
      <c r="E8948" s="115">
        <v>43949</v>
      </c>
      <c r="F8948" s="114">
        <v>202101</v>
      </c>
      <c r="G8948" s="112" t="s">
        <v>1091</v>
      </c>
      <c r="H8948" s="112" t="s">
        <v>1015</v>
      </c>
      <c r="I8948" s="112" t="s">
        <v>1096</v>
      </c>
      <c r="J8948" s="112" t="s">
        <v>5668</v>
      </c>
      <c r="K8948" s="112" t="s">
        <v>1098</v>
      </c>
      <c r="L8948" s="116">
        <v>617.54</v>
      </c>
    </row>
    <row r="8949" spans="1:12" hidden="1" outlineLevel="1" collapsed="1" x14ac:dyDescent="0.35">
      <c r="A8949" s="112" t="s">
        <v>5666</v>
      </c>
      <c r="B8949" s="112" t="s">
        <v>932</v>
      </c>
      <c r="C8949" s="112" t="s">
        <v>1095</v>
      </c>
      <c r="D8949" s="113">
        <v>10348451</v>
      </c>
      <c r="E8949" s="115">
        <v>43949</v>
      </c>
      <c r="F8949" s="114">
        <v>202101</v>
      </c>
      <c r="G8949" s="112" t="s">
        <v>1091</v>
      </c>
      <c r="H8949" s="112" t="s">
        <v>1015</v>
      </c>
      <c r="I8949" s="112" t="s">
        <v>1096</v>
      </c>
      <c r="J8949" s="112" t="s">
        <v>5679</v>
      </c>
      <c r="K8949" s="112" t="s">
        <v>1098</v>
      </c>
      <c r="L8949" s="116">
        <v>1756.22</v>
      </c>
    </row>
    <row r="8950" spans="1:12" hidden="1" outlineLevel="1" collapsed="1" x14ac:dyDescent="0.35">
      <c r="A8950" s="112" t="s">
        <v>5666</v>
      </c>
      <c r="B8950" s="112" t="s">
        <v>929</v>
      </c>
      <c r="C8950" s="112" t="s">
        <v>1095</v>
      </c>
      <c r="D8950" s="113">
        <v>10348451</v>
      </c>
      <c r="E8950" s="115">
        <v>43949</v>
      </c>
      <c r="F8950" s="114">
        <v>202101</v>
      </c>
      <c r="G8950" s="112" t="s">
        <v>1091</v>
      </c>
      <c r="H8950" s="112" t="s">
        <v>1015</v>
      </c>
      <c r="I8950" s="112" t="s">
        <v>1101</v>
      </c>
      <c r="J8950" s="112" t="s">
        <v>5680</v>
      </c>
      <c r="K8950" s="112" t="s">
        <v>1098</v>
      </c>
      <c r="L8950" s="116">
        <v>549.4</v>
      </c>
    </row>
    <row r="8951" spans="1:12" hidden="1" outlineLevel="1" collapsed="1" x14ac:dyDescent="0.35">
      <c r="A8951" s="112" t="s">
        <v>5666</v>
      </c>
      <c r="B8951" s="112" t="s">
        <v>929</v>
      </c>
      <c r="C8951" s="112" t="s">
        <v>1095</v>
      </c>
      <c r="D8951" s="113">
        <v>10348451</v>
      </c>
      <c r="E8951" s="115">
        <v>43949</v>
      </c>
      <c r="F8951" s="114">
        <v>202101</v>
      </c>
      <c r="G8951" s="112" t="s">
        <v>1091</v>
      </c>
      <c r="H8951" s="112" t="s">
        <v>1015</v>
      </c>
      <c r="I8951" s="112" t="s">
        <v>5675</v>
      </c>
      <c r="J8951" s="112" t="s">
        <v>5672</v>
      </c>
      <c r="K8951" s="112" t="s">
        <v>1098</v>
      </c>
      <c r="L8951" s="116">
        <v>428.5</v>
      </c>
    </row>
    <row r="8952" spans="1:12" hidden="1" outlineLevel="1" collapsed="1" x14ac:dyDescent="0.35">
      <c r="A8952" s="112" t="s">
        <v>5666</v>
      </c>
      <c r="B8952" s="112" t="s">
        <v>929</v>
      </c>
      <c r="C8952" s="112" t="s">
        <v>1095</v>
      </c>
      <c r="D8952" s="113">
        <v>10348451</v>
      </c>
      <c r="E8952" s="115">
        <v>43949</v>
      </c>
      <c r="F8952" s="114">
        <v>202101</v>
      </c>
      <c r="G8952" s="112" t="s">
        <v>1091</v>
      </c>
      <c r="H8952" s="112" t="s">
        <v>1015</v>
      </c>
      <c r="I8952" s="112" t="s">
        <v>5675</v>
      </c>
      <c r="J8952" s="112" t="s">
        <v>5672</v>
      </c>
      <c r="K8952" s="112" t="s">
        <v>1098</v>
      </c>
      <c r="L8952" s="116">
        <v>428.5</v>
      </c>
    </row>
    <row r="8953" spans="1:12" hidden="1" outlineLevel="1" collapsed="1" x14ac:dyDescent="0.35">
      <c r="A8953" s="112" t="s">
        <v>5666</v>
      </c>
      <c r="B8953" s="112" t="s">
        <v>929</v>
      </c>
      <c r="C8953" s="112" t="s">
        <v>1095</v>
      </c>
      <c r="D8953" s="113">
        <v>10348451</v>
      </c>
      <c r="E8953" s="115">
        <v>43949</v>
      </c>
      <c r="F8953" s="114">
        <v>202101</v>
      </c>
      <c r="G8953" s="112" t="s">
        <v>1091</v>
      </c>
      <c r="H8953" s="112" t="s">
        <v>1015</v>
      </c>
      <c r="I8953" s="112" t="s">
        <v>5675</v>
      </c>
      <c r="J8953" s="112" t="s">
        <v>5672</v>
      </c>
      <c r="K8953" s="112" t="s">
        <v>1098</v>
      </c>
      <c r="L8953" s="116">
        <v>428.5</v>
      </c>
    </row>
    <row r="8954" spans="1:12" hidden="1" outlineLevel="1" collapsed="1" x14ac:dyDescent="0.35">
      <c r="A8954" s="112" t="s">
        <v>5666</v>
      </c>
      <c r="B8954" s="112" t="s">
        <v>929</v>
      </c>
      <c r="C8954" s="112" t="s">
        <v>1095</v>
      </c>
      <c r="D8954" s="113">
        <v>10348451</v>
      </c>
      <c r="E8954" s="115">
        <v>43949</v>
      </c>
      <c r="F8954" s="114">
        <v>202101</v>
      </c>
      <c r="G8954" s="112" t="s">
        <v>1091</v>
      </c>
      <c r="H8954" s="112" t="s">
        <v>1015</v>
      </c>
      <c r="I8954" s="112" t="s">
        <v>5675</v>
      </c>
      <c r="J8954" s="112" t="s">
        <v>5672</v>
      </c>
      <c r="K8954" s="112" t="s">
        <v>1098</v>
      </c>
      <c r="L8954" s="116">
        <v>428.5</v>
      </c>
    </row>
    <row r="8955" spans="1:12" hidden="1" outlineLevel="1" collapsed="1" x14ac:dyDescent="0.35">
      <c r="A8955" s="112" t="s">
        <v>5666</v>
      </c>
      <c r="B8955" s="112" t="s">
        <v>929</v>
      </c>
      <c r="C8955" s="112" t="s">
        <v>1095</v>
      </c>
      <c r="D8955" s="113">
        <v>10348451</v>
      </c>
      <c r="E8955" s="115">
        <v>43949</v>
      </c>
      <c r="F8955" s="114">
        <v>202101</v>
      </c>
      <c r="G8955" s="112" t="s">
        <v>1091</v>
      </c>
      <c r="H8955" s="112" t="s">
        <v>1015</v>
      </c>
      <c r="I8955" s="112" t="s">
        <v>5673</v>
      </c>
      <c r="J8955" s="112" t="s">
        <v>5672</v>
      </c>
      <c r="K8955" s="112" t="s">
        <v>1098</v>
      </c>
      <c r="L8955" s="116">
        <v>642.75</v>
      </c>
    </row>
    <row r="8956" spans="1:12" hidden="1" outlineLevel="1" collapsed="1" x14ac:dyDescent="0.35">
      <c r="A8956" s="112" t="s">
        <v>5666</v>
      </c>
      <c r="B8956" s="112" t="s">
        <v>932</v>
      </c>
      <c r="C8956" s="112" t="s">
        <v>1095</v>
      </c>
      <c r="D8956" s="113">
        <v>10348451</v>
      </c>
      <c r="E8956" s="115">
        <v>43949</v>
      </c>
      <c r="F8956" s="114">
        <v>202101</v>
      </c>
      <c r="G8956" s="112" t="s">
        <v>1091</v>
      </c>
      <c r="H8956" s="112" t="s">
        <v>1015</v>
      </c>
      <c r="I8956" s="112" t="s">
        <v>1101</v>
      </c>
      <c r="J8956" s="112" t="s">
        <v>5679</v>
      </c>
      <c r="K8956" s="112" t="s">
        <v>1098</v>
      </c>
      <c r="L8956" s="116">
        <v>2180.2399999999998</v>
      </c>
    </row>
    <row r="8957" spans="1:12" hidden="1" outlineLevel="1" collapsed="1" x14ac:dyDescent="0.35">
      <c r="A8957" s="112" t="s">
        <v>5666</v>
      </c>
      <c r="B8957" s="112" t="s">
        <v>929</v>
      </c>
      <c r="C8957" s="112" t="s">
        <v>1095</v>
      </c>
      <c r="D8957" s="113">
        <v>10348451</v>
      </c>
      <c r="E8957" s="115">
        <v>43949</v>
      </c>
      <c r="F8957" s="114">
        <v>202101</v>
      </c>
      <c r="G8957" s="112" t="s">
        <v>1091</v>
      </c>
      <c r="H8957" s="112" t="s">
        <v>1015</v>
      </c>
      <c r="I8957" s="112" t="s">
        <v>1205</v>
      </c>
      <c r="J8957" s="112" t="s">
        <v>5680</v>
      </c>
      <c r="K8957" s="112" t="s">
        <v>1098</v>
      </c>
      <c r="L8957" s="116">
        <v>185.88</v>
      </c>
    </row>
    <row r="8958" spans="1:12" hidden="1" outlineLevel="1" collapsed="1" x14ac:dyDescent="0.35">
      <c r="A8958" s="112" t="s">
        <v>5666</v>
      </c>
      <c r="B8958" s="112" t="s">
        <v>929</v>
      </c>
      <c r="C8958" s="112" t="s">
        <v>1095</v>
      </c>
      <c r="D8958" s="113">
        <v>10348451</v>
      </c>
      <c r="E8958" s="115">
        <v>43949</v>
      </c>
      <c r="F8958" s="114">
        <v>202101</v>
      </c>
      <c r="G8958" s="112" t="s">
        <v>1091</v>
      </c>
      <c r="H8958" s="112" t="s">
        <v>1015</v>
      </c>
      <c r="I8958" s="112" t="s">
        <v>1096</v>
      </c>
      <c r="J8958" s="112" t="s">
        <v>5672</v>
      </c>
      <c r="K8958" s="112" t="s">
        <v>1098</v>
      </c>
      <c r="L8958" s="116">
        <v>46.82</v>
      </c>
    </row>
    <row r="8959" spans="1:12" hidden="1" outlineLevel="1" collapsed="1" x14ac:dyDescent="0.35">
      <c r="A8959" s="112" t="s">
        <v>5666</v>
      </c>
      <c r="B8959" s="112" t="s">
        <v>930</v>
      </c>
      <c r="C8959" s="112" t="s">
        <v>1095</v>
      </c>
      <c r="D8959" s="113">
        <v>10348451</v>
      </c>
      <c r="E8959" s="115">
        <v>43949</v>
      </c>
      <c r="F8959" s="114">
        <v>202101</v>
      </c>
      <c r="G8959" s="112" t="s">
        <v>1091</v>
      </c>
      <c r="H8959" s="112" t="s">
        <v>1015</v>
      </c>
      <c r="I8959" s="112" t="s">
        <v>1205</v>
      </c>
      <c r="J8959" s="112" t="s">
        <v>5667</v>
      </c>
      <c r="K8959" s="112" t="s">
        <v>1098</v>
      </c>
      <c r="L8959" s="116">
        <v>185.87</v>
      </c>
    </row>
    <row r="8960" spans="1:12" hidden="1" outlineLevel="1" collapsed="1" x14ac:dyDescent="0.35">
      <c r="A8960" s="112" t="s">
        <v>5666</v>
      </c>
      <c r="B8960" s="112" t="s">
        <v>931</v>
      </c>
      <c r="C8960" s="112" t="s">
        <v>1095</v>
      </c>
      <c r="D8960" s="113">
        <v>10348451</v>
      </c>
      <c r="E8960" s="115">
        <v>43949</v>
      </c>
      <c r="F8960" s="114">
        <v>202101</v>
      </c>
      <c r="G8960" s="112" t="s">
        <v>1091</v>
      </c>
      <c r="H8960" s="112" t="s">
        <v>1015</v>
      </c>
      <c r="I8960" s="112" t="s">
        <v>1101</v>
      </c>
      <c r="J8960" s="112" t="s">
        <v>5668</v>
      </c>
      <c r="K8960" s="112" t="s">
        <v>1098</v>
      </c>
      <c r="L8960" s="116">
        <v>704.55</v>
      </c>
    </row>
    <row r="8961" spans="1:12" hidden="1" outlineLevel="1" collapsed="1" x14ac:dyDescent="0.35">
      <c r="A8961" s="112" t="s">
        <v>5666</v>
      </c>
      <c r="B8961" s="112" t="s">
        <v>931</v>
      </c>
      <c r="C8961" s="112" t="s">
        <v>1095</v>
      </c>
      <c r="D8961" s="113">
        <v>10348451</v>
      </c>
      <c r="E8961" s="115">
        <v>43949</v>
      </c>
      <c r="F8961" s="114">
        <v>202101</v>
      </c>
      <c r="G8961" s="112" t="s">
        <v>1091</v>
      </c>
      <c r="H8961" s="112" t="s">
        <v>1015</v>
      </c>
      <c r="I8961" s="112" t="s">
        <v>1101</v>
      </c>
      <c r="J8961" s="112" t="s">
        <v>5668</v>
      </c>
      <c r="K8961" s="112" t="s">
        <v>1098</v>
      </c>
      <c r="L8961" s="116">
        <v>615.37</v>
      </c>
    </row>
    <row r="8962" spans="1:12" hidden="1" outlineLevel="1" collapsed="1" x14ac:dyDescent="0.35">
      <c r="A8962" s="112" t="s">
        <v>5666</v>
      </c>
      <c r="B8962" s="112" t="s">
        <v>929</v>
      </c>
      <c r="C8962" s="112" t="s">
        <v>1095</v>
      </c>
      <c r="D8962" s="113">
        <v>10348451</v>
      </c>
      <c r="E8962" s="115">
        <v>43949</v>
      </c>
      <c r="F8962" s="114">
        <v>202101</v>
      </c>
      <c r="G8962" s="112" t="s">
        <v>1091</v>
      </c>
      <c r="H8962" s="112" t="s">
        <v>1015</v>
      </c>
      <c r="I8962" s="112" t="s">
        <v>5675</v>
      </c>
      <c r="J8962" s="112" t="s">
        <v>5672</v>
      </c>
      <c r="K8962" s="112" t="s">
        <v>1098</v>
      </c>
      <c r="L8962" s="116">
        <v>428.5</v>
      </c>
    </row>
    <row r="8963" spans="1:12" hidden="1" outlineLevel="1" collapsed="1" x14ac:dyDescent="0.35">
      <c r="A8963" s="112" t="s">
        <v>5666</v>
      </c>
      <c r="B8963" s="112" t="s">
        <v>931</v>
      </c>
      <c r="C8963" s="112" t="s">
        <v>1095</v>
      </c>
      <c r="D8963" s="113">
        <v>10348451</v>
      </c>
      <c r="E8963" s="115">
        <v>43949</v>
      </c>
      <c r="F8963" s="114">
        <v>202101</v>
      </c>
      <c r="G8963" s="112" t="s">
        <v>1091</v>
      </c>
      <c r="H8963" s="112" t="s">
        <v>1015</v>
      </c>
      <c r="I8963" s="112" t="s">
        <v>1101</v>
      </c>
      <c r="J8963" s="112" t="s">
        <v>5668</v>
      </c>
      <c r="K8963" s="112" t="s">
        <v>1098</v>
      </c>
      <c r="L8963" s="116">
        <v>843.52</v>
      </c>
    </row>
    <row r="8964" spans="1:12" hidden="1" outlineLevel="1" collapsed="1" x14ac:dyDescent="0.35">
      <c r="A8964" s="112" t="s">
        <v>5666</v>
      </c>
      <c r="B8964" s="112" t="s">
        <v>929</v>
      </c>
      <c r="C8964" s="112" t="s">
        <v>1095</v>
      </c>
      <c r="D8964" s="113">
        <v>10348451</v>
      </c>
      <c r="E8964" s="115">
        <v>43949</v>
      </c>
      <c r="F8964" s="114">
        <v>202101</v>
      </c>
      <c r="G8964" s="112" t="s">
        <v>1091</v>
      </c>
      <c r="H8964" s="112" t="s">
        <v>1015</v>
      </c>
      <c r="I8964" s="112" t="s">
        <v>5675</v>
      </c>
      <c r="J8964" s="112" t="s">
        <v>5672</v>
      </c>
      <c r="K8964" s="112" t="s">
        <v>1098</v>
      </c>
      <c r="L8964" s="116">
        <v>428.5</v>
      </c>
    </row>
    <row r="8965" spans="1:12" x14ac:dyDescent="0.35">
      <c r="A8965" s="117" t="s">
        <v>865</v>
      </c>
      <c r="B8965" s="117" t="s">
        <v>865</v>
      </c>
      <c r="C8965" s="117" t="s">
        <v>865</v>
      </c>
      <c r="D8965" s="118"/>
      <c r="E8965" s="119"/>
      <c r="F8965" s="118"/>
      <c r="G8965" s="117" t="s">
        <v>865</v>
      </c>
      <c r="H8965" s="117" t="s">
        <v>865</v>
      </c>
      <c r="I8965" s="117" t="s">
        <v>865</v>
      </c>
      <c r="J8965" s="117" t="s">
        <v>865</v>
      </c>
      <c r="K8965" s="117" t="s">
        <v>865</v>
      </c>
      <c r="L8965" s="120">
        <f>SUBTOTAL(9, L2:L8964)</f>
        <v>-5829891.8500000006</v>
      </c>
    </row>
  </sheetData>
  <autoFilter ref="A1:L8964" xr:uid="{00000000-0009-0000-0000-000015000000}">
    <filterColumn colId="9">
      <filters>
        <filter val="HA01"/>
        <filter val="HA04"/>
        <filter val="HA19"/>
        <filter val="HA22"/>
      </filters>
    </filterColumn>
  </autoFilter>
  <customSheetViews>
    <customSheetView guid="{903669DD-1133-45D2-B108-C6B5BEA5EB61}" filter="1" showAutoFilter="1" state="hidden">
      <pageMargins left="0" right="0" top="0" bottom="0" header="0" footer="0"/>
      <autoFilter ref="A1:L8964" xr:uid="{34BA63E3-8706-42BA-AB30-5904A30D4F1A}">
        <filterColumn colId="9">
          <filters>
            <filter val="HA01"/>
            <filter val="HA04"/>
            <filter val="HA19"/>
            <filter val="HA22"/>
          </filters>
        </filterColumn>
      </autoFilter>
    </customSheetView>
    <customSheetView guid="{7910FD81-BFE7-4CD5-939B-3D7A1CA9601A}" filter="1" showAutoFilter="1" state="hidden">
      <pageMargins left="0" right="0" top="0" bottom="0" header="0" footer="0"/>
      <autoFilter ref="A1:L8964" xr:uid="{68CDA08C-310D-4E03-AD48-27A0898BF840}">
        <filterColumn colId="9">
          <filters>
            <filter val="HA01"/>
            <filter val="HA04"/>
            <filter val="HA19"/>
            <filter val="HA22"/>
          </filters>
        </filterColumn>
      </autoFilter>
    </customSheetView>
    <customSheetView guid="{051C2D13-0D3D-44C3-A7DB-A0EAFBF115F0}" filter="1" showAutoFilter="1" state="hidden">
      <pageMargins left="0" right="0" top="0" bottom="0" header="0" footer="0"/>
      <autoFilter ref="A1:L8964" xr:uid="{898567D5-C98F-43E3-BD15-FD38E3E0247F}">
        <filterColumn colId="9">
          <filters>
            <filter val="HA01"/>
            <filter val="HA04"/>
            <filter val="HA19"/>
            <filter val="HA22"/>
          </filters>
        </filterColumn>
      </autoFilter>
    </customSheetView>
    <customSheetView guid="{9C479752-7F2F-4739-B52F-47A06FE05EF0}" filter="1" showAutoFilter="1" state="hidden">
      <pageMargins left="0" right="0" top="0" bottom="0" header="0" footer="0"/>
      <autoFilter ref="A1:L8964" xr:uid="{EC68A40D-F49C-4901-AAFA-EDDF5A7B41B3}">
        <filterColumn colId="9">
          <filters>
            <filter val="HA01"/>
            <filter val="HA04"/>
            <filter val="HA19"/>
            <filter val="HA22"/>
          </filters>
        </filterColumn>
      </autoFilter>
    </customSheetView>
    <customSheetView guid="{A0809A10-8F40-4AD2-8943-60E412AED428}" filter="1" showAutoFilter="1" state="hidden">
      <pageMargins left="0" right="0" top="0" bottom="0" header="0" footer="0"/>
      <autoFilter ref="A1:L8964" xr:uid="{992F18DE-6E12-4F21-9829-49DB6E66334F}">
        <filterColumn colId="9">
          <filters>
            <filter val="HA01"/>
            <filter val="HA04"/>
            <filter val="HA19"/>
            <filter val="HA22"/>
          </filters>
        </filterColumn>
      </autoFilter>
    </customSheetView>
    <customSheetView guid="{3E006852-BD2D-4884-A2A1-BFAEAE24582F}" filter="1" showAutoFilter="1" state="hidden">
      <pageMargins left="0" right="0" top="0" bottom="0" header="0" footer="0"/>
      <autoFilter ref="A1:L8964" xr:uid="{47FE2ED5-23BC-408E-8B91-B1F67D3F9F60}">
        <filterColumn colId="9">
          <filters>
            <filter val="HA01"/>
            <filter val="HA04"/>
            <filter val="HA19"/>
            <filter val="HA22"/>
          </filters>
        </filterColumn>
      </autoFilter>
    </customSheetView>
    <customSheetView guid="{28ADD64E-1C54-4CF2-8A6A-391E4DF6D903}" filter="1" showAutoFilter="1" state="hidden">
      <pageMargins left="0" right="0" top="0" bottom="0" header="0" footer="0"/>
      <autoFilter ref="A1:L8964" xr:uid="{01E06FBC-C701-41E5-8745-FC7873B4653F}">
        <filterColumn colId="9">
          <filters>
            <filter val="HA01"/>
            <filter val="HA04"/>
            <filter val="HA19"/>
            <filter val="HA22"/>
          </filters>
        </filterColumn>
      </autoFilter>
    </customSheetView>
    <customSheetView guid="{B5B78BF3-B1F8-4BBA-8E40-E18C6034B566}" filter="1" showAutoFilter="1" state="hidden">
      <pageMargins left="0" right="0" top="0" bottom="0" header="0" footer="0"/>
      <autoFilter ref="A1:L8964" xr:uid="{6814E48F-31A7-44E6-B6B1-C5A776CD066C}">
        <filterColumn colId="9">
          <filters>
            <filter val="HA01"/>
            <filter val="HA04"/>
            <filter val="HA19"/>
            <filter val="HA22"/>
          </filters>
        </filterColumn>
      </autoFilter>
    </customSheetView>
    <customSheetView guid="{2F5D2611-A2AC-4668-B979-0EE258BE5F1F}" filter="1" showAutoFilter="1" state="hidden">
      <pageMargins left="0" right="0" top="0" bottom="0" header="0" footer="0"/>
      <autoFilter ref="A1:L8964" xr:uid="{EA0A52B8-A9DA-447C-A57C-202F45D4C9B8}">
        <filterColumn colId="9">
          <filters>
            <filter val="HA01"/>
            <filter val="HA04"/>
            <filter val="HA19"/>
            <filter val="HA22"/>
          </filters>
        </filterColumn>
      </autoFilter>
    </customSheetView>
    <customSheetView guid="{2EE8538C-E3AE-40C6-B22A-073EBF96300A}" showAutoFilter="1" state="hidden">
      <pageMargins left="0" right="0" top="0" bottom="0" header="0" footer="0"/>
      <autoFilter ref="A1:L8964" xr:uid="{24590AD0-C299-4538-9120-EA22DD5C8D3E}"/>
    </customSheetView>
    <customSheetView guid="{E4F22399-07D5-465E-AFB1-A36259E00328}" filter="1" showAutoFilter="1" state="hidden">
      <pageMargins left="0" right="0" top="0" bottom="0" header="0" footer="0"/>
      <autoFilter ref="A1:L8964" xr:uid="{DC7D05C9-3C3C-4F72-B0BB-F3F013350EC8}">
        <filterColumn colId="9">
          <filters>
            <filter val="HA01"/>
            <filter val="HA04"/>
            <filter val="HA19"/>
            <filter val="HA22"/>
          </filters>
        </filterColumn>
      </autoFilter>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E3:G100"/>
  <sheetViews>
    <sheetView workbookViewId="0"/>
  </sheetViews>
  <sheetFormatPr defaultRowHeight="12.5" x14ac:dyDescent="0.25"/>
  <cols>
    <col min="1" max="1" width="20.453125" customWidth="1"/>
    <col min="2" max="2" width="4.453125" customWidth="1"/>
    <col min="3" max="4" width="20.453125" customWidth="1"/>
    <col min="5" max="5" width="13.1796875" bestFit="1" customWidth="1"/>
    <col min="6" max="6" width="19.81640625" style="123" bestFit="1" customWidth="1"/>
  </cols>
  <sheetData>
    <row r="3" spans="5:7" x14ac:dyDescent="0.25">
      <c r="E3" s="121" t="s">
        <v>5735</v>
      </c>
      <c r="F3" s="123" t="s">
        <v>5736</v>
      </c>
    </row>
    <row r="4" spans="5:7" x14ac:dyDescent="0.25">
      <c r="E4" s="122" t="s">
        <v>892</v>
      </c>
      <c r="F4" s="123">
        <v>0</v>
      </c>
    </row>
    <row r="5" spans="5:7" x14ac:dyDescent="0.25">
      <c r="E5" s="122" t="s">
        <v>893</v>
      </c>
      <c r="F5" s="123">
        <v>-24.444019999999998</v>
      </c>
      <c r="G5" t="s">
        <v>190</v>
      </c>
    </row>
    <row r="6" spans="5:7" x14ac:dyDescent="0.25">
      <c r="E6" s="122" t="s">
        <v>894</v>
      </c>
      <c r="F6" s="123">
        <v>20.27563</v>
      </c>
    </row>
    <row r="7" spans="5:7" x14ac:dyDescent="0.25">
      <c r="E7" s="122" t="s">
        <v>1192</v>
      </c>
      <c r="F7" s="123">
        <v>-32.851009999999995</v>
      </c>
    </row>
    <row r="8" spans="5:7" x14ac:dyDescent="0.25">
      <c r="E8" s="122" t="s">
        <v>895</v>
      </c>
      <c r="F8" s="123">
        <v>-3.9204599999999998</v>
      </c>
      <c r="G8" t="s">
        <v>190</v>
      </c>
    </row>
    <row r="9" spans="5:7" x14ac:dyDescent="0.25">
      <c r="E9" s="122" t="s">
        <v>896</v>
      </c>
      <c r="F9" s="123">
        <v>344.49955000000006</v>
      </c>
    </row>
    <row r="10" spans="5:7" x14ac:dyDescent="0.25">
      <c r="E10" s="122" t="s">
        <v>897</v>
      </c>
      <c r="F10" s="123">
        <v>-7.9272199999999984</v>
      </c>
    </row>
    <row r="11" spans="5:7" x14ac:dyDescent="0.25">
      <c r="E11" s="122" t="s">
        <v>898</v>
      </c>
      <c r="F11" s="123">
        <v>-143.09565999999998</v>
      </c>
    </row>
    <row r="12" spans="5:7" x14ac:dyDescent="0.25">
      <c r="E12" s="122" t="s">
        <v>902</v>
      </c>
      <c r="F12" s="123">
        <v>-207.59406000000004</v>
      </c>
    </row>
    <row r="13" spans="5:7" x14ac:dyDescent="0.25">
      <c r="E13" s="122" t="s">
        <v>1510</v>
      </c>
      <c r="F13" s="123">
        <v>-2432.3348299999993</v>
      </c>
    </row>
    <row r="14" spans="5:7" x14ac:dyDescent="0.25">
      <c r="E14" s="122" t="s">
        <v>1520</v>
      </c>
      <c r="F14" s="123">
        <v>403.91446999999999</v>
      </c>
    </row>
    <row r="15" spans="5:7" x14ac:dyDescent="0.25">
      <c r="E15" s="122" t="s">
        <v>903</v>
      </c>
      <c r="F15" s="123">
        <v>-56.918639999999996</v>
      </c>
    </row>
    <row r="16" spans="5:7" x14ac:dyDescent="0.25">
      <c r="E16" s="122" t="s">
        <v>905</v>
      </c>
      <c r="F16" s="123">
        <v>-227.55707000000007</v>
      </c>
    </row>
    <row r="17" spans="5:6" x14ac:dyDescent="0.25">
      <c r="E17" s="122" t="s">
        <v>906</v>
      </c>
      <c r="F17" s="123">
        <v>28.253990000000023</v>
      </c>
    </row>
    <row r="18" spans="5:6" x14ac:dyDescent="0.25">
      <c r="E18" s="122" t="s">
        <v>908</v>
      </c>
      <c r="F18" s="123">
        <v>-156.99604999999997</v>
      </c>
    </row>
    <row r="19" spans="5:6" x14ac:dyDescent="0.25">
      <c r="E19" s="122" t="s">
        <v>909</v>
      </c>
      <c r="F19" s="123">
        <v>-42.245409999999993</v>
      </c>
    </row>
    <row r="20" spans="5:6" x14ac:dyDescent="0.25">
      <c r="E20" s="122" t="s">
        <v>910</v>
      </c>
      <c r="F20" s="123">
        <v>-54.008780000000002</v>
      </c>
    </row>
    <row r="21" spans="5:6" x14ac:dyDescent="0.25">
      <c r="E21" s="122" t="s">
        <v>911</v>
      </c>
      <c r="F21" s="123">
        <v>1067.1801699999999</v>
      </c>
    </row>
    <row r="22" spans="5:6" x14ac:dyDescent="0.25">
      <c r="E22" s="122" t="s">
        <v>3298</v>
      </c>
      <c r="F22" s="123">
        <v>-1.4256</v>
      </c>
    </row>
    <row r="23" spans="5:6" x14ac:dyDescent="0.25">
      <c r="E23" s="122" t="s">
        <v>912</v>
      </c>
      <c r="F23" s="123">
        <v>-199.86129000000003</v>
      </c>
    </row>
    <row r="24" spans="5:6" x14ac:dyDescent="0.25">
      <c r="E24" s="122" t="s">
        <v>913</v>
      </c>
      <c r="F24" s="123">
        <v>-0.15</v>
      </c>
    </row>
    <row r="25" spans="5:6" x14ac:dyDescent="0.25">
      <c r="E25" s="122" t="s">
        <v>914</v>
      </c>
      <c r="F25" s="123">
        <v>-24.137720000000002</v>
      </c>
    </row>
    <row r="26" spans="5:6" x14ac:dyDescent="0.25">
      <c r="E26" s="122" t="s">
        <v>915</v>
      </c>
      <c r="F26" s="123">
        <v>25.96459999999999</v>
      </c>
    </row>
    <row r="27" spans="5:6" x14ac:dyDescent="0.25">
      <c r="E27" s="122" t="s">
        <v>916</v>
      </c>
      <c r="F27" s="123">
        <v>63.344239999999971</v>
      </c>
    </row>
    <row r="28" spans="5:6" x14ac:dyDescent="0.25">
      <c r="E28" s="122" t="s">
        <v>917</v>
      </c>
      <c r="F28" s="123">
        <v>-17.18937</v>
      </c>
    </row>
    <row r="29" spans="5:6" x14ac:dyDescent="0.25">
      <c r="E29" s="122" t="s">
        <v>918</v>
      </c>
      <c r="F29" s="123">
        <v>-28.091450000000002</v>
      </c>
    </row>
    <row r="30" spans="5:6" x14ac:dyDescent="0.25">
      <c r="E30" s="122" t="s">
        <v>919</v>
      </c>
      <c r="F30" s="123">
        <v>-41.547139999999992</v>
      </c>
    </row>
    <row r="31" spans="5:6" x14ac:dyDescent="0.25">
      <c r="E31" s="122" t="s">
        <v>920</v>
      </c>
      <c r="F31" s="123">
        <v>-11.8058</v>
      </c>
    </row>
    <row r="32" spans="5:6" x14ac:dyDescent="0.25">
      <c r="E32" s="122" t="s">
        <v>921</v>
      </c>
      <c r="F32" s="123">
        <v>-216.39837999999995</v>
      </c>
    </row>
    <row r="33" spans="5:6" x14ac:dyDescent="0.25">
      <c r="E33" s="122" t="s">
        <v>922</v>
      </c>
      <c r="F33" s="123">
        <v>-134.35306999999995</v>
      </c>
    </row>
    <row r="34" spans="5:6" x14ac:dyDescent="0.25">
      <c r="E34" s="122" t="s">
        <v>923</v>
      </c>
      <c r="F34" s="123">
        <v>3.5721399999999996</v>
      </c>
    </row>
    <row r="35" spans="5:6" x14ac:dyDescent="0.25">
      <c r="E35" s="122" t="s">
        <v>863</v>
      </c>
      <c r="F35" s="123">
        <v>-262.12623999999994</v>
      </c>
    </row>
    <row r="36" spans="5:6" x14ac:dyDescent="0.25">
      <c r="E36" s="122" t="s">
        <v>4688</v>
      </c>
      <c r="F36" s="123">
        <v>101.608</v>
      </c>
    </row>
    <row r="37" spans="5:6" x14ac:dyDescent="0.25">
      <c r="E37" s="122" t="s">
        <v>4650</v>
      </c>
      <c r="F37" s="123">
        <v>8.6857099999999914</v>
      </c>
    </row>
    <row r="38" spans="5:6" x14ac:dyDescent="0.25">
      <c r="E38" s="122" t="s">
        <v>4644</v>
      </c>
      <c r="F38" s="123">
        <v>-1.6035499999999951</v>
      </c>
    </row>
    <row r="39" spans="5:6" x14ac:dyDescent="0.25">
      <c r="E39" s="122" t="s">
        <v>4701</v>
      </c>
      <c r="F39" s="123">
        <v>12.54983</v>
      </c>
    </row>
    <row r="40" spans="5:6" x14ac:dyDescent="0.25">
      <c r="E40" s="122" t="s">
        <v>4639</v>
      </c>
      <c r="F40" s="123">
        <v>47.691249999999989</v>
      </c>
    </row>
    <row r="41" spans="5:6" x14ac:dyDescent="0.25">
      <c r="E41" s="122" t="s">
        <v>4635</v>
      </c>
      <c r="F41" s="123">
        <v>362.29019999999997</v>
      </c>
    </row>
    <row r="42" spans="5:6" x14ac:dyDescent="0.25">
      <c r="E42" s="122" t="s">
        <v>924</v>
      </c>
      <c r="F42" s="123">
        <v>-101.88952</v>
      </c>
    </row>
    <row r="43" spans="5:6" x14ac:dyDescent="0.25">
      <c r="E43" s="122" t="s">
        <v>5572</v>
      </c>
      <c r="F43" s="123">
        <v>-34.532749999999993</v>
      </c>
    </row>
    <row r="44" spans="5:6" x14ac:dyDescent="0.25">
      <c r="E44" s="122" t="s">
        <v>925</v>
      </c>
      <c r="F44" s="123">
        <v>-32.117649999999998</v>
      </c>
    </row>
    <row r="45" spans="5:6" x14ac:dyDescent="0.25">
      <c r="E45" s="122" t="s">
        <v>926</v>
      </c>
      <c r="F45" s="123">
        <v>2.3717600000000001</v>
      </c>
    </row>
    <row r="46" spans="5:6" x14ac:dyDescent="0.25">
      <c r="E46" s="122" t="s">
        <v>927</v>
      </c>
      <c r="F46" s="123">
        <v>-6.1853400000000001</v>
      </c>
    </row>
    <row r="47" spans="5:6" x14ac:dyDescent="0.25">
      <c r="E47" s="122" t="s">
        <v>5561</v>
      </c>
      <c r="F47" s="123">
        <v>-0.41500000000000004</v>
      </c>
    </row>
    <row r="48" spans="5:6" x14ac:dyDescent="0.25">
      <c r="E48" s="122" t="s">
        <v>929</v>
      </c>
      <c r="F48" s="123">
        <v>-1.40086</v>
      </c>
    </row>
    <row r="49" spans="5:6" x14ac:dyDescent="0.25">
      <c r="E49" s="122" t="s">
        <v>930</v>
      </c>
      <c r="F49" s="123">
        <v>228.37369000000001</v>
      </c>
    </row>
    <row r="50" spans="5:6" x14ac:dyDescent="0.25">
      <c r="E50" s="122" t="s">
        <v>931</v>
      </c>
      <c r="F50" s="123">
        <v>-29.502830000000003</v>
      </c>
    </row>
    <row r="51" spans="5:6" x14ac:dyDescent="0.25">
      <c r="E51" s="122" t="s">
        <v>932</v>
      </c>
      <c r="F51" s="123">
        <v>-15.163320000000001</v>
      </c>
    </row>
    <row r="52" spans="5:6" x14ac:dyDescent="0.25">
      <c r="E52" s="122" t="s">
        <v>731</v>
      </c>
      <c r="F52" s="123">
        <v>-1829.2148599999982</v>
      </c>
    </row>
    <row r="53" spans="5:6" x14ac:dyDescent="0.25">
      <c r="F53"/>
    </row>
    <row r="54" spans="5:6" x14ac:dyDescent="0.25">
      <c r="F54"/>
    </row>
    <row r="55" spans="5:6" x14ac:dyDescent="0.25">
      <c r="F55"/>
    </row>
    <row r="56" spans="5:6" x14ac:dyDescent="0.25">
      <c r="F56"/>
    </row>
    <row r="57" spans="5:6" x14ac:dyDescent="0.25">
      <c r="F57"/>
    </row>
    <row r="58" spans="5:6" x14ac:dyDescent="0.25">
      <c r="F58"/>
    </row>
    <row r="59" spans="5:6" x14ac:dyDescent="0.25">
      <c r="F59"/>
    </row>
    <row r="60" spans="5:6" x14ac:dyDescent="0.25">
      <c r="F60"/>
    </row>
    <row r="61" spans="5:6" x14ac:dyDescent="0.25">
      <c r="F61"/>
    </row>
    <row r="62" spans="5:6" x14ac:dyDescent="0.25">
      <c r="F62"/>
    </row>
    <row r="63" spans="5:6" x14ac:dyDescent="0.25">
      <c r="F63"/>
    </row>
    <row r="64" spans="5:6" x14ac:dyDescent="0.25">
      <c r="F64"/>
    </row>
    <row r="65" spans="6:6" x14ac:dyDescent="0.25">
      <c r="F65"/>
    </row>
    <row r="66" spans="6:6" x14ac:dyDescent="0.25">
      <c r="F66"/>
    </row>
    <row r="67" spans="6:6" x14ac:dyDescent="0.25">
      <c r="F67"/>
    </row>
    <row r="68" spans="6:6" x14ac:dyDescent="0.25">
      <c r="F68"/>
    </row>
    <row r="69" spans="6:6" x14ac:dyDescent="0.25">
      <c r="F69"/>
    </row>
    <row r="70" spans="6:6" x14ac:dyDescent="0.25">
      <c r="F70"/>
    </row>
    <row r="71" spans="6:6" x14ac:dyDescent="0.25">
      <c r="F71"/>
    </row>
    <row r="72" spans="6:6" x14ac:dyDescent="0.25">
      <c r="F72"/>
    </row>
    <row r="73" spans="6:6" x14ac:dyDescent="0.25">
      <c r="F73"/>
    </row>
    <row r="74" spans="6:6" x14ac:dyDescent="0.25">
      <c r="F74"/>
    </row>
    <row r="75" spans="6:6" x14ac:dyDescent="0.25">
      <c r="F75"/>
    </row>
    <row r="76" spans="6:6" x14ac:dyDescent="0.25">
      <c r="F76"/>
    </row>
    <row r="77" spans="6:6" x14ac:dyDescent="0.25">
      <c r="F77"/>
    </row>
    <row r="78" spans="6:6" x14ac:dyDescent="0.25">
      <c r="F78"/>
    </row>
    <row r="79" spans="6:6" x14ac:dyDescent="0.25">
      <c r="F79"/>
    </row>
    <row r="80" spans="6:6" x14ac:dyDescent="0.25">
      <c r="F80"/>
    </row>
    <row r="81" spans="6:6" x14ac:dyDescent="0.25">
      <c r="F81"/>
    </row>
    <row r="82" spans="6:6" x14ac:dyDescent="0.25">
      <c r="F82"/>
    </row>
    <row r="83" spans="6:6" x14ac:dyDescent="0.25">
      <c r="F83"/>
    </row>
    <row r="84" spans="6:6" x14ac:dyDescent="0.25">
      <c r="F84"/>
    </row>
    <row r="85" spans="6:6" x14ac:dyDescent="0.25">
      <c r="F85"/>
    </row>
    <row r="86" spans="6:6" x14ac:dyDescent="0.25">
      <c r="F86"/>
    </row>
    <row r="87" spans="6:6" x14ac:dyDescent="0.25">
      <c r="F87"/>
    </row>
    <row r="88" spans="6:6" x14ac:dyDescent="0.25">
      <c r="F88"/>
    </row>
    <row r="89" spans="6:6" x14ac:dyDescent="0.25">
      <c r="F89"/>
    </row>
    <row r="90" spans="6:6" x14ac:dyDescent="0.25">
      <c r="F90"/>
    </row>
    <row r="91" spans="6:6" x14ac:dyDescent="0.25">
      <c r="F91"/>
    </row>
    <row r="92" spans="6:6" x14ac:dyDescent="0.25">
      <c r="F92"/>
    </row>
    <row r="93" spans="6:6" x14ac:dyDescent="0.25">
      <c r="F93"/>
    </row>
    <row r="94" spans="6:6" x14ac:dyDescent="0.25">
      <c r="F94"/>
    </row>
    <row r="95" spans="6:6" x14ac:dyDescent="0.25">
      <c r="F95"/>
    </row>
    <row r="96" spans="6:6" x14ac:dyDescent="0.25">
      <c r="F96"/>
    </row>
    <row r="97" spans="6:6" x14ac:dyDescent="0.25">
      <c r="F97"/>
    </row>
    <row r="98" spans="6:6" x14ac:dyDescent="0.25">
      <c r="F98"/>
    </row>
    <row r="99" spans="6:6" x14ac:dyDescent="0.25">
      <c r="F99"/>
    </row>
    <row r="100" spans="6:6" x14ac:dyDescent="0.25">
      <c r="F100"/>
    </row>
  </sheetData>
  <customSheetViews>
    <customSheetView guid="{903669DD-1133-45D2-B108-C6B5BEA5EB61}" state="hidden">
      <pageMargins left="0" right="0" top="0" bottom="0" header="0" footer="0"/>
    </customSheetView>
    <customSheetView guid="{7910FD81-BFE7-4CD5-939B-3D7A1CA9601A}" state="hidden">
      <pageMargins left="0" right="0" top="0" bottom="0" header="0" footer="0"/>
    </customSheetView>
    <customSheetView guid="{051C2D13-0D3D-44C3-A7DB-A0EAFBF115F0}" state="hidden">
      <pageMargins left="0" right="0" top="0" bottom="0" header="0" footer="0"/>
    </customSheetView>
    <customSheetView guid="{9C479752-7F2F-4739-B52F-47A06FE05EF0}" state="hidden">
      <pageMargins left="0" right="0" top="0" bottom="0" header="0" footer="0"/>
    </customSheetView>
    <customSheetView guid="{A0809A10-8F40-4AD2-8943-60E412AED428}" state="hidden">
      <pageMargins left="0" right="0" top="0" bottom="0" header="0" footer="0"/>
    </customSheetView>
    <customSheetView guid="{3E006852-BD2D-4884-A2A1-BFAEAE24582F}" state="hidden">
      <pageMargins left="0" right="0" top="0" bottom="0" header="0" footer="0"/>
    </customSheetView>
    <customSheetView guid="{28ADD64E-1C54-4CF2-8A6A-391E4DF6D903}" state="hidden">
      <pageMargins left="0" right="0" top="0" bottom="0" header="0" footer="0"/>
    </customSheetView>
    <customSheetView guid="{B5B78BF3-B1F8-4BBA-8E40-E18C6034B566}" state="hidden">
      <pageMargins left="0" right="0" top="0" bottom="0" header="0" footer="0"/>
    </customSheetView>
    <customSheetView guid="{2F5D2611-A2AC-4668-B979-0EE258BE5F1F}" state="hidden">
      <pageMargins left="0" right="0" top="0" bottom="0" header="0" footer="0"/>
    </customSheetView>
    <customSheetView guid="{2EE8538C-E3AE-40C6-B22A-073EBF96300A}" state="hidden">
      <pageMargins left="0" right="0" top="0" bottom="0" header="0" footer="0"/>
    </customSheetView>
    <customSheetView guid="{E4F22399-07D5-465E-AFB1-A36259E00328}" state="hidden">
      <pageMargins left="0" right="0" top="0" bottom="0" header="0" footer="0"/>
    </customSheetView>
  </customSheetView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M2441"/>
  <sheetViews>
    <sheetView zoomScale="80" workbookViewId="0"/>
  </sheetViews>
  <sheetFormatPr defaultColWidth="8.54296875" defaultRowHeight="14.5" x14ac:dyDescent="0.35"/>
  <cols>
    <col min="1" max="2" width="9" style="111" bestFit="1" customWidth="1"/>
    <col min="3" max="3" width="3" style="111" bestFit="1" customWidth="1"/>
    <col min="4" max="4" width="9" style="111" bestFit="1" customWidth="1"/>
    <col min="5" max="5" width="11" style="111" bestFit="1" customWidth="1"/>
    <col min="6" max="6" width="7" style="111" bestFit="1" customWidth="1"/>
    <col min="7" max="7" width="9" style="111" bestFit="1" customWidth="1"/>
    <col min="8" max="9" width="8" style="111" bestFit="1" customWidth="1"/>
    <col min="10" max="10" width="6" style="111" bestFit="1" customWidth="1"/>
    <col min="11" max="11" width="100" style="111" bestFit="1" customWidth="1"/>
    <col min="12" max="12" width="20" style="111" bestFit="1" customWidth="1"/>
    <col min="13" max="13" width="8.54296875" style="116"/>
    <col min="14" max="16384" width="8.54296875" style="111"/>
  </cols>
  <sheetData>
    <row r="1" spans="1:13" x14ac:dyDescent="0.35">
      <c r="A1" s="106" t="s">
        <v>881</v>
      </c>
      <c r="B1" s="106" t="s">
        <v>882</v>
      </c>
      <c r="C1" s="106" t="s">
        <v>188</v>
      </c>
      <c r="D1" s="107" t="s">
        <v>189</v>
      </c>
      <c r="E1" s="109" t="s">
        <v>191</v>
      </c>
      <c r="F1" s="108" t="s">
        <v>192</v>
      </c>
      <c r="G1" s="106" t="s">
        <v>1088</v>
      </c>
      <c r="H1" s="106" t="s">
        <v>1089</v>
      </c>
      <c r="I1" s="106" t="s">
        <v>193</v>
      </c>
      <c r="J1" s="106" t="s">
        <v>194</v>
      </c>
      <c r="K1" s="106" t="s">
        <v>195</v>
      </c>
      <c r="L1" s="110" t="s">
        <v>196</v>
      </c>
      <c r="M1" s="116" t="s">
        <v>5737</v>
      </c>
    </row>
    <row r="2" spans="1:13" hidden="1" x14ac:dyDescent="0.35">
      <c r="A2" s="112" t="s">
        <v>1090</v>
      </c>
      <c r="B2" s="112" t="s">
        <v>894</v>
      </c>
      <c r="C2" s="112" t="s">
        <v>695</v>
      </c>
      <c r="D2" s="113">
        <v>10347981</v>
      </c>
      <c r="E2" s="115">
        <v>43924</v>
      </c>
      <c r="F2" s="114">
        <v>202101</v>
      </c>
      <c r="G2" s="112" t="s">
        <v>1091</v>
      </c>
      <c r="H2" s="112" t="s">
        <v>1015</v>
      </c>
      <c r="I2" s="112" t="s">
        <v>1092</v>
      </c>
      <c r="J2" s="112" t="s">
        <v>1093</v>
      </c>
      <c r="K2" s="112" t="s">
        <v>1094</v>
      </c>
      <c r="L2" s="116">
        <v>-51</v>
      </c>
      <c r="M2" s="116">
        <f>L2/1000</f>
        <v>-5.0999999999999997E-2</v>
      </c>
    </row>
    <row r="3" spans="1:13" hidden="1" x14ac:dyDescent="0.35">
      <c r="A3" s="112" t="s">
        <v>1090</v>
      </c>
      <c r="B3" s="112" t="s">
        <v>894</v>
      </c>
      <c r="C3" s="112" t="s">
        <v>695</v>
      </c>
      <c r="D3" s="113">
        <v>10348061</v>
      </c>
      <c r="E3" s="115">
        <v>43928</v>
      </c>
      <c r="F3" s="114">
        <v>202101</v>
      </c>
      <c r="G3" s="112" t="s">
        <v>1091</v>
      </c>
      <c r="H3" s="112" t="s">
        <v>1015</v>
      </c>
      <c r="I3" s="112" t="s">
        <v>1102</v>
      </c>
      <c r="J3" s="112" t="s">
        <v>1093</v>
      </c>
      <c r="K3" s="112" t="s">
        <v>1103</v>
      </c>
      <c r="L3" s="116">
        <v>-5000</v>
      </c>
      <c r="M3" s="116">
        <f t="shared" ref="M3:M66" si="0">L3/1000</f>
        <v>-5</v>
      </c>
    </row>
    <row r="4" spans="1:13" hidden="1" x14ac:dyDescent="0.35">
      <c r="A4" s="112" t="s">
        <v>1090</v>
      </c>
      <c r="B4" s="112" t="s">
        <v>893</v>
      </c>
      <c r="C4" s="112" t="s">
        <v>695</v>
      </c>
      <c r="D4" s="113">
        <v>10348061</v>
      </c>
      <c r="E4" s="115">
        <v>43928</v>
      </c>
      <c r="F4" s="114">
        <v>202101</v>
      </c>
      <c r="G4" s="112" t="s">
        <v>1091</v>
      </c>
      <c r="H4" s="112" t="s">
        <v>1015</v>
      </c>
      <c r="I4" s="112" t="s">
        <v>1104</v>
      </c>
      <c r="J4" s="112" t="s">
        <v>1097</v>
      </c>
      <c r="K4" s="112" t="s">
        <v>1105</v>
      </c>
      <c r="L4" s="116">
        <v>896.13</v>
      </c>
      <c r="M4" s="116">
        <f t="shared" si="0"/>
        <v>0.89612999999999998</v>
      </c>
    </row>
    <row r="5" spans="1:13" hidden="1" x14ac:dyDescent="0.35">
      <c r="A5" s="112" t="s">
        <v>1090</v>
      </c>
      <c r="B5" s="112" t="s">
        <v>893</v>
      </c>
      <c r="C5" s="112" t="s">
        <v>695</v>
      </c>
      <c r="D5" s="113">
        <v>10347948</v>
      </c>
      <c r="E5" s="115">
        <v>43923</v>
      </c>
      <c r="F5" s="114">
        <v>202101</v>
      </c>
      <c r="G5" s="112" t="s">
        <v>1091</v>
      </c>
      <c r="H5" s="112" t="s">
        <v>1015</v>
      </c>
      <c r="I5" s="112" t="s">
        <v>777</v>
      </c>
      <c r="J5" s="112" t="s">
        <v>1109</v>
      </c>
      <c r="K5" s="112" t="s">
        <v>1110</v>
      </c>
      <c r="L5" s="116">
        <v>-635.25</v>
      </c>
      <c r="M5" s="116">
        <f t="shared" si="0"/>
        <v>-0.63524999999999998</v>
      </c>
    </row>
    <row r="6" spans="1:13" hidden="1" x14ac:dyDescent="0.35">
      <c r="A6" s="112" t="s">
        <v>1090</v>
      </c>
      <c r="B6" s="112" t="s">
        <v>893</v>
      </c>
      <c r="C6" s="112" t="s">
        <v>695</v>
      </c>
      <c r="D6" s="113">
        <v>10347981</v>
      </c>
      <c r="E6" s="115">
        <v>43924</v>
      </c>
      <c r="F6" s="114">
        <v>202101</v>
      </c>
      <c r="G6" s="112" t="s">
        <v>1091</v>
      </c>
      <c r="H6" s="112" t="s">
        <v>1015</v>
      </c>
      <c r="I6" s="112" t="s">
        <v>761</v>
      </c>
      <c r="J6" s="112" t="s">
        <v>1097</v>
      </c>
      <c r="K6" s="112" t="s">
        <v>1115</v>
      </c>
      <c r="L6" s="116">
        <v>-126</v>
      </c>
      <c r="M6" s="116">
        <f t="shared" si="0"/>
        <v>-0.126</v>
      </c>
    </row>
    <row r="7" spans="1:13" hidden="1" x14ac:dyDescent="0.35">
      <c r="A7" s="112" t="s">
        <v>1090</v>
      </c>
      <c r="B7" s="112" t="s">
        <v>893</v>
      </c>
      <c r="C7" s="112" t="s">
        <v>695</v>
      </c>
      <c r="D7" s="113">
        <v>10347981</v>
      </c>
      <c r="E7" s="115">
        <v>43924</v>
      </c>
      <c r="F7" s="114">
        <v>202101</v>
      </c>
      <c r="G7" s="112" t="s">
        <v>1091</v>
      </c>
      <c r="H7" s="112" t="s">
        <v>1015</v>
      </c>
      <c r="I7" s="112" t="s">
        <v>775</v>
      </c>
      <c r="J7" s="112" t="s">
        <v>1097</v>
      </c>
      <c r="K7" s="112" t="s">
        <v>1121</v>
      </c>
      <c r="L7" s="116">
        <v>-330</v>
      </c>
      <c r="M7" s="116">
        <f t="shared" si="0"/>
        <v>-0.33</v>
      </c>
    </row>
    <row r="8" spans="1:13" hidden="1" x14ac:dyDescent="0.35">
      <c r="A8" s="112" t="s">
        <v>1090</v>
      </c>
      <c r="B8" s="112" t="s">
        <v>893</v>
      </c>
      <c r="C8" s="112" t="s">
        <v>695</v>
      </c>
      <c r="D8" s="113">
        <v>10347981</v>
      </c>
      <c r="E8" s="115">
        <v>43924</v>
      </c>
      <c r="F8" s="114">
        <v>202101</v>
      </c>
      <c r="G8" s="112" t="s">
        <v>1091</v>
      </c>
      <c r="H8" s="112" t="s">
        <v>1015</v>
      </c>
      <c r="I8" s="112" t="s">
        <v>761</v>
      </c>
      <c r="J8" s="112" t="s">
        <v>1097</v>
      </c>
      <c r="K8" s="112" t="s">
        <v>1122</v>
      </c>
      <c r="L8" s="116">
        <v>-150</v>
      </c>
      <c r="M8" s="116">
        <f t="shared" si="0"/>
        <v>-0.15</v>
      </c>
    </row>
    <row r="9" spans="1:13" hidden="1" x14ac:dyDescent="0.35">
      <c r="A9" s="112" t="s">
        <v>1090</v>
      </c>
      <c r="B9" s="112" t="s">
        <v>893</v>
      </c>
      <c r="C9" s="112" t="s">
        <v>695</v>
      </c>
      <c r="D9" s="113">
        <v>10347981</v>
      </c>
      <c r="E9" s="115">
        <v>43924</v>
      </c>
      <c r="F9" s="114">
        <v>202101</v>
      </c>
      <c r="G9" s="112" t="s">
        <v>1091</v>
      </c>
      <c r="H9" s="112" t="s">
        <v>1015</v>
      </c>
      <c r="I9" s="112" t="s">
        <v>775</v>
      </c>
      <c r="J9" s="112" t="s">
        <v>1097</v>
      </c>
      <c r="K9" s="112" t="s">
        <v>1123</v>
      </c>
      <c r="L9" s="116">
        <v>-5350.4</v>
      </c>
      <c r="M9" s="116">
        <f t="shared" si="0"/>
        <v>-5.3503999999999996</v>
      </c>
    </row>
    <row r="10" spans="1:13" hidden="1" x14ac:dyDescent="0.35">
      <c r="A10" s="112" t="s">
        <v>1090</v>
      </c>
      <c r="B10" s="112" t="s">
        <v>893</v>
      </c>
      <c r="C10" s="112" t="s">
        <v>695</v>
      </c>
      <c r="D10" s="113">
        <v>10347981</v>
      </c>
      <c r="E10" s="115">
        <v>43924</v>
      </c>
      <c r="F10" s="114">
        <v>202101</v>
      </c>
      <c r="G10" s="112" t="s">
        <v>1091</v>
      </c>
      <c r="H10" s="112" t="s">
        <v>1015</v>
      </c>
      <c r="I10" s="112" t="s">
        <v>1124</v>
      </c>
      <c r="J10" s="112" t="s">
        <v>1097</v>
      </c>
      <c r="K10" s="112" t="s">
        <v>1125</v>
      </c>
      <c r="L10" s="116">
        <v>-3500</v>
      </c>
      <c r="M10" s="116">
        <f t="shared" si="0"/>
        <v>-3.5</v>
      </c>
    </row>
    <row r="11" spans="1:13" hidden="1" x14ac:dyDescent="0.35">
      <c r="A11" s="112" t="s">
        <v>1090</v>
      </c>
      <c r="B11" s="112" t="s">
        <v>893</v>
      </c>
      <c r="C11" s="112" t="s">
        <v>695</v>
      </c>
      <c r="D11" s="113">
        <v>10347981</v>
      </c>
      <c r="E11" s="115">
        <v>43924</v>
      </c>
      <c r="F11" s="114">
        <v>202101</v>
      </c>
      <c r="G11" s="112" t="s">
        <v>1091</v>
      </c>
      <c r="H11" s="112" t="s">
        <v>1015</v>
      </c>
      <c r="I11" s="112" t="s">
        <v>775</v>
      </c>
      <c r="J11" s="112" t="s">
        <v>1109</v>
      </c>
      <c r="K11" s="112" t="s">
        <v>1126</v>
      </c>
      <c r="L11" s="116">
        <v>-235</v>
      </c>
      <c r="M11" s="116">
        <f t="shared" si="0"/>
        <v>-0.23499999999999999</v>
      </c>
    </row>
    <row r="12" spans="1:13" hidden="1" x14ac:dyDescent="0.35">
      <c r="A12" s="112" t="s">
        <v>1090</v>
      </c>
      <c r="B12" s="112" t="s">
        <v>893</v>
      </c>
      <c r="C12" s="112" t="s">
        <v>695</v>
      </c>
      <c r="D12" s="113">
        <v>10347981</v>
      </c>
      <c r="E12" s="115">
        <v>43924</v>
      </c>
      <c r="F12" s="114">
        <v>202101</v>
      </c>
      <c r="G12" s="112" t="s">
        <v>1091</v>
      </c>
      <c r="H12" s="112" t="s">
        <v>1015</v>
      </c>
      <c r="I12" s="112" t="s">
        <v>761</v>
      </c>
      <c r="J12" s="112" t="s">
        <v>1109</v>
      </c>
      <c r="K12" s="112" t="s">
        <v>1127</v>
      </c>
      <c r="L12" s="116">
        <v>-735</v>
      </c>
      <c r="M12" s="116">
        <f t="shared" si="0"/>
        <v>-0.73499999999999999</v>
      </c>
    </row>
    <row r="13" spans="1:13" hidden="1" x14ac:dyDescent="0.35">
      <c r="A13" s="112" t="s">
        <v>1090</v>
      </c>
      <c r="B13" s="112" t="s">
        <v>893</v>
      </c>
      <c r="C13" s="112" t="s">
        <v>695</v>
      </c>
      <c r="D13" s="113">
        <v>10348321</v>
      </c>
      <c r="E13" s="115">
        <v>43941</v>
      </c>
      <c r="F13" s="114">
        <v>202101</v>
      </c>
      <c r="G13" s="112" t="s">
        <v>1091</v>
      </c>
      <c r="H13" s="112" t="s">
        <v>1015</v>
      </c>
      <c r="I13" s="112" t="s">
        <v>775</v>
      </c>
      <c r="J13" s="112" t="s">
        <v>1097</v>
      </c>
      <c r="K13" s="112" t="s">
        <v>1130</v>
      </c>
      <c r="L13" s="116">
        <v>2400</v>
      </c>
      <c r="M13" s="116">
        <f t="shared" si="0"/>
        <v>2.4</v>
      </c>
    </row>
    <row r="14" spans="1:13" hidden="1" x14ac:dyDescent="0.35">
      <c r="A14" s="112" t="s">
        <v>1090</v>
      </c>
      <c r="B14" s="112" t="s">
        <v>894</v>
      </c>
      <c r="C14" s="112" t="s">
        <v>695</v>
      </c>
      <c r="D14" s="113">
        <v>10348061</v>
      </c>
      <c r="E14" s="115">
        <v>43928</v>
      </c>
      <c r="F14" s="114">
        <v>202101</v>
      </c>
      <c r="G14" s="112" t="s">
        <v>1091</v>
      </c>
      <c r="H14" s="112" t="s">
        <v>1016</v>
      </c>
      <c r="I14" s="112" t="s">
        <v>1131</v>
      </c>
      <c r="J14" s="112" t="s">
        <v>1093</v>
      </c>
      <c r="K14" s="112" t="s">
        <v>1132</v>
      </c>
      <c r="L14" s="116">
        <v>-5200</v>
      </c>
      <c r="M14" s="116">
        <f t="shared" si="0"/>
        <v>-5.2</v>
      </c>
    </row>
    <row r="15" spans="1:13" hidden="1" x14ac:dyDescent="0.35">
      <c r="A15" s="112" t="s">
        <v>1090</v>
      </c>
      <c r="B15" s="112" t="s">
        <v>894</v>
      </c>
      <c r="C15" s="112" t="s">
        <v>695</v>
      </c>
      <c r="D15" s="113">
        <v>10348100</v>
      </c>
      <c r="E15" s="115">
        <v>43929</v>
      </c>
      <c r="F15" s="114">
        <v>202101</v>
      </c>
      <c r="G15" s="112" t="s">
        <v>1091</v>
      </c>
      <c r="H15" s="112" t="s">
        <v>1016</v>
      </c>
      <c r="I15" s="112" t="s">
        <v>680</v>
      </c>
      <c r="J15" s="112" t="s">
        <v>1135</v>
      </c>
      <c r="K15" s="112" t="s">
        <v>1136</v>
      </c>
      <c r="L15" s="116">
        <v>-4500</v>
      </c>
      <c r="M15" s="116">
        <f t="shared" si="0"/>
        <v>-4.5</v>
      </c>
    </row>
    <row r="16" spans="1:13" hidden="1" x14ac:dyDescent="0.35">
      <c r="A16" s="112" t="s">
        <v>1090</v>
      </c>
      <c r="B16" s="112" t="s">
        <v>893</v>
      </c>
      <c r="C16" s="112" t="s">
        <v>695</v>
      </c>
      <c r="D16" s="113">
        <v>10348431</v>
      </c>
      <c r="E16" s="115">
        <v>43945</v>
      </c>
      <c r="F16" s="114">
        <v>202101</v>
      </c>
      <c r="G16" s="112" t="s">
        <v>1091</v>
      </c>
      <c r="H16" s="112" t="s">
        <v>1015</v>
      </c>
      <c r="I16" s="112" t="s">
        <v>775</v>
      </c>
      <c r="J16" s="112" t="s">
        <v>1097</v>
      </c>
      <c r="K16" s="112" t="s">
        <v>1139</v>
      </c>
      <c r="L16" s="116">
        <v>340</v>
      </c>
      <c r="M16" s="116">
        <f t="shared" si="0"/>
        <v>0.34</v>
      </c>
    </row>
    <row r="17" spans="1:13" hidden="1" x14ac:dyDescent="0.35">
      <c r="A17" s="112" t="s">
        <v>1090</v>
      </c>
      <c r="B17" s="112" t="s">
        <v>893</v>
      </c>
      <c r="C17" s="112" t="s">
        <v>695</v>
      </c>
      <c r="D17" s="113">
        <v>10348431</v>
      </c>
      <c r="E17" s="115">
        <v>43945</v>
      </c>
      <c r="F17" s="114">
        <v>202101</v>
      </c>
      <c r="G17" s="112" t="s">
        <v>1091</v>
      </c>
      <c r="H17" s="112" t="s">
        <v>1015</v>
      </c>
      <c r="I17" s="112" t="s">
        <v>775</v>
      </c>
      <c r="J17" s="112" t="s">
        <v>1097</v>
      </c>
      <c r="K17" s="112" t="s">
        <v>1140</v>
      </c>
      <c r="L17" s="116">
        <v>340</v>
      </c>
      <c r="M17" s="116">
        <f t="shared" si="0"/>
        <v>0.34</v>
      </c>
    </row>
    <row r="18" spans="1:13" hidden="1" x14ac:dyDescent="0.35">
      <c r="A18" s="112" t="s">
        <v>1090</v>
      </c>
      <c r="B18" s="112" t="s">
        <v>892</v>
      </c>
      <c r="C18" s="112" t="s">
        <v>695</v>
      </c>
      <c r="D18" s="113">
        <v>10348431</v>
      </c>
      <c r="E18" s="115">
        <v>43945</v>
      </c>
      <c r="F18" s="114">
        <v>202101</v>
      </c>
      <c r="G18" s="112" t="s">
        <v>1091</v>
      </c>
      <c r="H18" s="112" t="s">
        <v>1015</v>
      </c>
      <c r="I18" s="112" t="s">
        <v>775</v>
      </c>
      <c r="J18" s="112" t="s">
        <v>1141</v>
      </c>
      <c r="K18" s="112" t="s">
        <v>1142</v>
      </c>
      <c r="L18" s="116">
        <v>170</v>
      </c>
      <c r="M18" s="116">
        <f t="shared" si="0"/>
        <v>0.17</v>
      </c>
    </row>
    <row r="19" spans="1:13" hidden="1" x14ac:dyDescent="0.35">
      <c r="A19" s="112" t="s">
        <v>1090</v>
      </c>
      <c r="B19" s="112" t="s">
        <v>893</v>
      </c>
      <c r="C19" s="112" t="s">
        <v>695</v>
      </c>
      <c r="D19" s="113">
        <v>10348321</v>
      </c>
      <c r="E19" s="115">
        <v>43941</v>
      </c>
      <c r="F19" s="114">
        <v>202101</v>
      </c>
      <c r="G19" s="112" t="s">
        <v>1091</v>
      </c>
      <c r="H19" s="112" t="s">
        <v>1015</v>
      </c>
      <c r="I19" s="112" t="s">
        <v>775</v>
      </c>
      <c r="J19" s="112" t="s">
        <v>1097</v>
      </c>
      <c r="K19" s="112" t="s">
        <v>1143</v>
      </c>
      <c r="L19" s="116">
        <v>330</v>
      </c>
      <c r="M19" s="116">
        <f t="shared" si="0"/>
        <v>0.33</v>
      </c>
    </row>
    <row r="20" spans="1:13" hidden="1" x14ac:dyDescent="0.35">
      <c r="A20" s="112" t="s">
        <v>1090</v>
      </c>
      <c r="B20" s="112" t="s">
        <v>893</v>
      </c>
      <c r="C20" s="112" t="s">
        <v>695</v>
      </c>
      <c r="D20" s="113">
        <v>10348321</v>
      </c>
      <c r="E20" s="115">
        <v>43941</v>
      </c>
      <c r="F20" s="114">
        <v>202101</v>
      </c>
      <c r="G20" s="112" t="s">
        <v>1091</v>
      </c>
      <c r="H20" s="112" t="s">
        <v>1015</v>
      </c>
      <c r="I20" s="112" t="s">
        <v>775</v>
      </c>
      <c r="J20" s="112" t="s">
        <v>1097</v>
      </c>
      <c r="K20" s="112" t="s">
        <v>1144</v>
      </c>
      <c r="L20" s="116">
        <v>5350.4</v>
      </c>
      <c r="M20" s="116">
        <f t="shared" si="0"/>
        <v>5.3503999999999996</v>
      </c>
    </row>
    <row r="21" spans="1:13" hidden="1" x14ac:dyDescent="0.35">
      <c r="A21" s="112" t="s">
        <v>1090</v>
      </c>
      <c r="B21" s="112" t="s">
        <v>894</v>
      </c>
      <c r="C21" s="112" t="s">
        <v>695</v>
      </c>
      <c r="D21" s="113">
        <v>10348061</v>
      </c>
      <c r="E21" s="115">
        <v>43928</v>
      </c>
      <c r="F21" s="114">
        <v>202101</v>
      </c>
      <c r="G21" s="112" t="s">
        <v>1091</v>
      </c>
      <c r="H21" s="112" t="s">
        <v>1016</v>
      </c>
      <c r="I21" s="112" t="s">
        <v>1131</v>
      </c>
      <c r="J21" s="112" t="s">
        <v>1093</v>
      </c>
      <c r="K21" s="112" t="s">
        <v>1145</v>
      </c>
      <c r="L21" s="116">
        <v>6000</v>
      </c>
      <c r="M21" s="116">
        <f t="shared" si="0"/>
        <v>6</v>
      </c>
    </row>
    <row r="22" spans="1:13" hidden="1" x14ac:dyDescent="0.35">
      <c r="A22" s="112" t="s">
        <v>1090</v>
      </c>
      <c r="B22" s="112" t="s">
        <v>893</v>
      </c>
      <c r="C22" s="112" t="s">
        <v>695</v>
      </c>
      <c r="D22" s="113">
        <v>10348324</v>
      </c>
      <c r="E22" s="115">
        <v>43941</v>
      </c>
      <c r="F22" s="114">
        <v>202101</v>
      </c>
      <c r="G22" s="112" t="s">
        <v>1091</v>
      </c>
      <c r="H22" s="112" t="s">
        <v>1015</v>
      </c>
      <c r="I22" s="112" t="s">
        <v>1104</v>
      </c>
      <c r="J22" s="112" t="s">
        <v>1097</v>
      </c>
      <c r="K22" s="112" t="s">
        <v>1146</v>
      </c>
      <c r="L22" s="116">
        <v>1282.18</v>
      </c>
      <c r="M22" s="116">
        <f t="shared" si="0"/>
        <v>1.2821800000000001</v>
      </c>
    </row>
    <row r="23" spans="1:13" hidden="1" x14ac:dyDescent="0.35">
      <c r="A23" s="112" t="s">
        <v>1090</v>
      </c>
      <c r="B23" s="112" t="s">
        <v>893</v>
      </c>
      <c r="C23" s="112" t="s">
        <v>695</v>
      </c>
      <c r="D23" s="113">
        <v>10348321</v>
      </c>
      <c r="E23" s="115">
        <v>43941</v>
      </c>
      <c r="F23" s="114">
        <v>202101</v>
      </c>
      <c r="G23" s="112" t="s">
        <v>1091</v>
      </c>
      <c r="H23" s="112" t="s">
        <v>1015</v>
      </c>
      <c r="I23" s="112" t="s">
        <v>761</v>
      </c>
      <c r="J23" s="112" t="s">
        <v>1097</v>
      </c>
      <c r="K23" s="112" t="s">
        <v>1147</v>
      </c>
      <c r="L23" s="116">
        <v>126</v>
      </c>
      <c r="M23" s="116">
        <f t="shared" si="0"/>
        <v>0.126</v>
      </c>
    </row>
    <row r="24" spans="1:13" hidden="1" x14ac:dyDescent="0.35">
      <c r="A24" s="112" t="s">
        <v>1090</v>
      </c>
      <c r="B24" s="112" t="s">
        <v>893</v>
      </c>
      <c r="C24" s="112" t="s">
        <v>695</v>
      </c>
      <c r="D24" s="113">
        <v>10347981</v>
      </c>
      <c r="E24" s="115">
        <v>43924</v>
      </c>
      <c r="F24" s="114">
        <v>202101</v>
      </c>
      <c r="G24" s="112" t="s">
        <v>1091</v>
      </c>
      <c r="H24" s="112" t="s">
        <v>1015</v>
      </c>
      <c r="I24" s="112" t="s">
        <v>775</v>
      </c>
      <c r="J24" s="112" t="s">
        <v>1109</v>
      </c>
      <c r="K24" s="112" t="s">
        <v>1152</v>
      </c>
      <c r="L24" s="116">
        <v>-285</v>
      </c>
      <c r="M24" s="116">
        <f t="shared" si="0"/>
        <v>-0.28499999999999998</v>
      </c>
    </row>
    <row r="25" spans="1:13" hidden="1" x14ac:dyDescent="0.35">
      <c r="A25" s="112" t="s">
        <v>1090</v>
      </c>
      <c r="B25" s="112" t="s">
        <v>893</v>
      </c>
      <c r="C25" s="112" t="s">
        <v>695</v>
      </c>
      <c r="D25" s="113">
        <v>10348321</v>
      </c>
      <c r="E25" s="115">
        <v>43941</v>
      </c>
      <c r="F25" s="114">
        <v>202101</v>
      </c>
      <c r="G25" s="112" t="s">
        <v>1091</v>
      </c>
      <c r="H25" s="112" t="s">
        <v>1015</v>
      </c>
      <c r="I25" s="112" t="s">
        <v>1153</v>
      </c>
      <c r="J25" s="112" t="s">
        <v>1097</v>
      </c>
      <c r="K25" s="112" t="s">
        <v>1154</v>
      </c>
      <c r="L25" s="116">
        <v>-2400</v>
      </c>
      <c r="M25" s="116">
        <f t="shared" si="0"/>
        <v>-2.4</v>
      </c>
    </row>
    <row r="26" spans="1:13" hidden="1" x14ac:dyDescent="0.35">
      <c r="A26" s="112" t="s">
        <v>1090</v>
      </c>
      <c r="B26" s="112" t="s">
        <v>893</v>
      </c>
      <c r="C26" s="112" t="s">
        <v>695</v>
      </c>
      <c r="D26" s="113">
        <v>10348321</v>
      </c>
      <c r="E26" s="115">
        <v>43941</v>
      </c>
      <c r="F26" s="114">
        <v>202101</v>
      </c>
      <c r="G26" s="112" t="s">
        <v>1091</v>
      </c>
      <c r="H26" s="112" t="s">
        <v>1015</v>
      </c>
      <c r="I26" s="112" t="s">
        <v>1153</v>
      </c>
      <c r="J26" s="112" t="s">
        <v>1097</v>
      </c>
      <c r="K26" s="112" t="s">
        <v>1155</v>
      </c>
      <c r="L26" s="116">
        <v>-126</v>
      </c>
      <c r="M26" s="116">
        <f t="shared" si="0"/>
        <v>-0.126</v>
      </c>
    </row>
    <row r="27" spans="1:13" hidden="1" x14ac:dyDescent="0.35">
      <c r="A27" s="112" t="s">
        <v>1090</v>
      </c>
      <c r="B27" s="112" t="s">
        <v>893</v>
      </c>
      <c r="C27" s="112" t="s">
        <v>695</v>
      </c>
      <c r="D27" s="113">
        <v>10348321</v>
      </c>
      <c r="E27" s="115">
        <v>43941</v>
      </c>
      <c r="F27" s="114">
        <v>202101</v>
      </c>
      <c r="G27" s="112" t="s">
        <v>1091</v>
      </c>
      <c r="H27" s="112" t="s">
        <v>1015</v>
      </c>
      <c r="I27" s="112" t="s">
        <v>1153</v>
      </c>
      <c r="J27" s="112" t="s">
        <v>1097</v>
      </c>
      <c r="K27" s="112" t="s">
        <v>1156</v>
      </c>
      <c r="L27" s="116">
        <v>-5350.4</v>
      </c>
      <c r="M27" s="116">
        <f t="shared" si="0"/>
        <v>-5.3503999999999996</v>
      </c>
    </row>
    <row r="28" spans="1:13" hidden="1" x14ac:dyDescent="0.35">
      <c r="A28" s="112" t="s">
        <v>1090</v>
      </c>
      <c r="B28" s="112" t="s">
        <v>893</v>
      </c>
      <c r="C28" s="112" t="s">
        <v>695</v>
      </c>
      <c r="D28" s="113">
        <v>10348321</v>
      </c>
      <c r="E28" s="115">
        <v>43941</v>
      </c>
      <c r="F28" s="114">
        <v>202101</v>
      </c>
      <c r="G28" s="112" t="s">
        <v>1091</v>
      </c>
      <c r="H28" s="112" t="s">
        <v>1015</v>
      </c>
      <c r="I28" s="112" t="s">
        <v>1153</v>
      </c>
      <c r="J28" s="112" t="s">
        <v>1097</v>
      </c>
      <c r="K28" s="112" t="s">
        <v>1157</v>
      </c>
      <c r="L28" s="116">
        <v>-330</v>
      </c>
      <c r="M28" s="116">
        <f t="shared" si="0"/>
        <v>-0.33</v>
      </c>
    </row>
    <row r="29" spans="1:13" hidden="1" x14ac:dyDescent="0.35">
      <c r="A29" s="112" t="s">
        <v>1090</v>
      </c>
      <c r="B29" s="112" t="s">
        <v>893</v>
      </c>
      <c r="C29" s="112" t="s">
        <v>695</v>
      </c>
      <c r="D29" s="113">
        <v>10347981</v>
      </c>
      <c r="E29" s="115">
        <v>43924</v>
      </c>
      <c r="F29" s="114">
        <v>202101</v>
      </c>
      <c r="G29" s="112" t="s">
        <v>1091</v>
      </c>
      <c r="H29" s="112" t="s">
        <v>1015</v>
      </c>
      <c r="I29" s="112" t="s">
        <v>761</v>
      </c>
      <c r="J29" s="112" t="s">
        <v>1109</v>
      </c>
      <c r="K29" s="112" t="s">
        <v>1158</v>
      </c>
      <c r="L29" s="116">
        <v>-2000</v>
      </c>
      <c r="M29" s="116">
        <f t="shared" si="0"/>
        <v>-2</v>
      </c>
    </row>
    <row r="30" spans="1:13" hidden="1" x14ac:dyDescent="0.35">
      <c r="A30" s="112" t="s">
        <v>1090</v>
      </c>
      <c r="B30" s="112" t="s">
        <v>894</v>
      </c>
      <c r="C30" s="112" t="s">
        <v>695</v>
      </c>
      <c r="D30" s="113">
        <v>10348061</v>
      </c>
      <c r="E30" s="115">
        <v>43928</v>
      </c>
      <c r="F30" s="114">
        <v>202101</v>
      </c>
      <c r="G30" s="112" t="s">
        <v>1091</v>
      </c>
      <c r="H30" s="112" t="s">
        <v>1016</v>
      </c>
      <c r="I30" s="112" t="s">
        <v>1131</v>
      </c>
      <c r="J30" s="112" t="s">
        <v>1117</v>
      </c>
      <c r="K30" s="112" t="s">
        <v>1159</v>
      </c>
      <c r="L30" s="116">
        <v>10400</v>
      </c>
      <c r="M30" s="116">
        <f t="shared" si="0"/>
        <v>10.4</v>
      </c>
    </row>
    <row r="31" spans="1:13" hidden="1" x14ac:dyDescent="0.35">
      <c r="A31" s="112" t="s">
        <v>1090</v>
      </c>
      <c r="B31" s="112" t="s">
        <v>893</v>
      </c>
      <c r="C31" s="112" t="s">
        <v>695</v>
      </c>
      <c r="D31" s="113">
        <v>10347981</v>
      </c>
      <c r="E31" s="115">
        <v>43924</v>
      </c>
      <c r="F31" s="114">
        <v>202101</v>
      </c>
      <c r="G31" s="112" t="s">
        <v>1091</v>
      </c>
      <c r="H31" s="112" t="s">
        <v>1015</v>
      </c>
      <c r="I31" s="112" t="s">
        <v>775</v>
      </c>
      <c r="J31" s="112" t="s">
        <v>1097</v>
      </c>
      <c r="K31" s="112" t="s">
        <v>1160</v>
      </c>
      <c r="L31" s="116">
        <v>-340</v>
      </c>
      <c r="M31" s="116">
        <f t="shared" si="0"/>
        <v>-0.34</v>
      </c>
    </row>
    <row r="32" spans="1:13" hidden="1" x14ac:dyDescent="0.35">
      <c r="A32" s="112" t="s">
        <v>1090</v>
      </c>
      <c r="B32" s="112" t="s">
        <v>893</v>
      </c>
      <c r="C32" s="112" t="s">
        <v>695</v>
      </c>
      <c r="D32" s="113">
        <v>10347981</v>
      </c>
      <c r="E32" s="115">
        <v>43924</v>
      </c>
      <c r="F32" s="114">
        <v>202101</v>
      </c>
      <c r="G32" s="112" t="s">
        <v>1091</v>
      </c>
      <c r="H32" s="112" t="s">
        <v>1015</v>
      </c>
      <c r="I32" s="112" t="s">
        <v>775</v>
      </c>
      <c r="J32" s="112" t="s">
        <v>1097</v>
      </c>
      <c r="K32" s="112" t="s">
        <v>1161</v>
      </c>
      <c r="L32" s="116">
        <v>-2400</v>
      </c>
      <c r="M32" s="116">
        <f t="shared" si="0"/>
        <v>-2.4</v>
      </c>
    </row>
    <row r="33" spans="1:13" hidden="1" x14ac:dyDescent="0.35">
      <c r="A33" s="112" t="s">
        <v>1090</v>
      </c>
      <c r="B33" s="112" t="s">
        <v>893</v>
      </c>
      <c r="C33" s="112" t="s">
        <v>695</v>
      </c>
      <c r="D33" s="113">
        <v>10347981</v>
      </c>
      <c r="E33" s="115">
        <v>43924</v>
      </c>
      <c r="F33" s="114">
        <v>202101</v>
      </c>
      <c r="G33" s="112" t="s">
        <v>1091</v>
      </c>
      <c r="H33" s="112" t="s">
        <v>1015</v>
      </c>
      <c r="I33" s="112" t="s">
        <v>775</v>
      </c>
      <c r="J33" s="112" t="s">
        <v>1097</v>
      </c>
      <c r="K33" s="112" t="s">
        <v>1162</v>
      </c>
      <c r="L33" s="116">
        <v>-340</v>
      </c>
      <c r="M33" s="116">
        <f t="shared" si="0"/>
        <v>-0.34</v>
      </c>
    </row>
    <row r="34" spans="1:13" hidden="1" x14ac:dyDescent="0.35">
      <c r="A34" s="112" t="s">
        <v>1090</v>
      </c>
      <c r="B34" s="112" t="s">
        <v>894</v>
      </c>
      <c r="C34" s="112" t="s">
        <v>695</v>
      </c>
      <c r="D34" s="113">
        <v>10348048</v>
      </c>
      <c r="E34" s="115">
        <v>43928</v>
      </c>
      <c r="F34" s="114">
        <v>202101</v>
      </c>
      <c r="G34" s="112" t="s">
        <v>1091</v>
      </c>
      <c r="H34" s="112" t="s">
        <v>1015</v>
      </c>
      <c r="I34" s="112" t="s">
        <v>761</v>
      </c>
      <c r="J34" s="112" t="s">
        <v>1135</v>
      </c>
      <c r="K34" s="112" t="s">
        <v>1163</v>
      </c>
      <c r="L34" s="116">
        <v>-4041</v>
      </c>
      <c r="M34" s="116">
        <f t="shared" si="0"/>
        <v>-4.0410000000000004</v>
      </c>
    </row>
    <row r="35" spans="1:13" hidden="1" x14ac:dyDescent="0.35">
      <c r="A35" s="112" t="s">
        <v>1090</v>
      </c>
      <c r="B35" s="112" t="s">
        <v>893</v>
      </c>
      <c r="C35" s="112" t="s">
        <v>695</v>
      </c>
      <c r="D35" s="113">
        <v>10347981</v>
      </c>
      <c r="E35" s="115">
        <v>43924</v>
      </c>
      <c r="F35" s="114">
        <v>202101</v>
      </c>
      <c r="G35" s="112" t="s">
        <v>1091</v>
      </c>
      <c r="H35" s="112" t="s">
        <v>1015</v>
      </c>
      <c r="I35" s="112" t="s">
        <v>1164</v>
      </c>
      <c r="J35" s="112" t="s">
        <v>1097</v>
      </c>
      <c r="K35" s="112" t="s">
        <v>1165</v>
      </c>
      <c r="L35" s="116">
        <v>-1468.28</v>
      </c>
      <c r="M35" s="116">
        <f t="shared" si="0"/>
        <v>-1.46828</v>
      </c>
    </row>
    <row r="36" spans="1:13" hidden="1" x14ac:dyDescent="0.35">
      <c r="A36" s="112" t="s">
        <v>1090</v>
      </c>
      <c r="B36" s="112" t="s">
        <v>894</v>
      </c>
      <c r="C36" s="112" t="s">
        <v>695</v>
      </c>
      <c r="D36" s="113">
        <v>10347981</v>
      </c>
      <c r="E36" s="115">
        <v>43924</v>
      </c>
      <c r="F36" s="114">
        <v>202101</v>
      </c>
      <c r="G36" s="112" t="s">
        <v>1091</v>
      </c>
      <c r="H36" s="112" t="s">
        <v>1015</v>
      </c>
      <c r="I36" s="112" t="s">
        <v>761</v>
      </c>
      <c r="J36" s="112" t="s">
        <v>1135</v>
      </c>
      <c r="K36" s="112" t="s">
        <v>1166</v>
      </c>
      <c r="L36" s="116">
        <v>-1132.3699999999999</v>
      </c>
      <c r="M36" s="116">
        <f t="shared" si="0"/>
        <v>-1.1323699999999999</v>
      </c>
    </row>
    <row r="37" spans="1:13" hidden="1" x14ac:dyDescent="0.35">
      <c r="A37" s="112" t="s">
        <v>1090</v>
      </c>
      <c r="B37" s="112" t="s">
        <v>894</v>
      </c>
      <c r="C37" s="112" t="s">
        <v>695</v>
      </c>
      <c r="D37" s="113">
        <v>10348061</v>
      </c>
      <c r="E37" s="115">
        <v>43928</v>
      </c>
      <c r="F37" s="114">
        <v>202101</v>
      </c>
      <c r="G37" s="112" t="s">
        <v>1091</v>
      </c>
      <c r="H37" s="112" t="s">
        <v>1016</v>
      </c>
      <c r="I37" s="112" t="s">
        <v>1131</v>
      </c>
      <c r="J37" s="112" t="s">
        <v>1093</v>
      </c>
      <c r="K37" s="112" t="s">
        <v>1167</v>
      </c>
      <c r="L37" s="116">
        <v>24000</v>
      </c>
      <c r="M37" s="116">
        <f t="shared" si="0"/>
        <v>24</v>
      </c>
    </row>
    <row r="38" spans="1:13" hidden="1" x14ac:dyDescent="0.35">
      <c r="A38" s="112" t="s">
        <v>1090</v>
      </c>
      <c r="B38" s="112" t="s">
        <v>893</v>
      </c>
      <c r="C38" s="112" t="s">
        <v>695</v>
      </c>
      <c r="D38" s="113">
        <v>10347981</v>
      </c>
      <c r="E38" s="115">
        <v>43924</v>
      </c>
      <c r="F38" s="114">
        <v>202101</v>
      </c>
      <c r="G38" s="112" t="s">
        <v>1091</v>
      </c>
      <c r="H38" s="112" t="s">
        <v>1015</v>
      </c>
      <c r="I38" s="112" t="s">
        <v>761</v>
      </c>
      <c r="J38" s="112" t="s">
        <v>1109</v>
      </c>
      <c r="K38" s="112" t="s">
        <v>1168</v>
      </c>
      <c r="L38" s="116">
        <v>-2000</v>
      </c>
      <c r="M38" s="116">
        <f t="shared" si="0"/>
        <v>-2</v>
      </c>
    </row>
    <row r="39" spans="1:13" hidden="1" x14ac:dyDescent="0.35">
      <c r="A39" s="112" t="s">
        <v>1090</v>
      </c>
      <c r="B39" s="112" t="s">
        <v>893</v>
      </c>
      <c r="C39" s="112" t="s">
        <v>695</v>
      </c>
      <c r="D39" s="113">
        <v>10347981</v>
      </c>
      <c r="E39" s="115">
        <v>43924</v>
      </c>
      <c r="F39" s="114">
        <v>202101</v>
      </c>
      <c r="G39" s="112" t="s">
        <v>1091</v>
      </c>
      <c r="H39" s="112" t="s">
        <v>1015</v>
      </c>
      <c r="I39" s="112" t="s">
        <v>1169</v>
      </c>
      <c r="J39" s="112" t="s">
        <v>1097</v>
      </c>
      <c r="K39" s="112" t="s">
        <v>1170</v>
      </c>
      <c r="L39" s="116">
        <v>-170</v>
      </c>
      <c r="M39" s="116">
        <f t="shared" si="0"/>
        <v>-0.17</v>
      </c>
    </row>
    <row r="40" spans="1:13" hidden="1" x14ac:dyDescent="0.35">
      <c r="A40" s="112" t="s">
        <v>1090</v>
      </c>
      <c r="B40" s="112" t="s">
        <v>893</v>
      </c>
      <c r="C40" s="112" t="s">
        <v>695</v>
      </c>
      <c r="D40" s="113">
        <v>10347981</v>
      </c>
      <c r="E40" s="115">
        <v>43924</v>
      </c>
      <c r="F40" s="114">
        <v>202101</v>
      </c>
      <c r="G40" s="112" t="s">
        <v>1091</v>
      </c>
      <c r="H40" s="112" t="s">
        <v>1015</v>
      </c>
      <c r="I40" s="112" t="s">
        <v>775</v>
      </c>
      <c r="J40" s="112" t="s">
        <v>1109</v>
      </c>
      <c r="K40" s="112" t="s">
        <v>1171</v>
      </c>
      <c r="L40" s="116">
        <v>-285</v>
      </c>
      <c r="M40" s="116">
        <f t="shared" si="0"/>
        <v>-0.28499999999999998</v>
      </c>
    </row>
    <row r="41" spans="1:13" hidden="1" x14ac:dyDescent="0.35">
      <c r="A41" s="112" t="s">
        <v>1090</v>
      </c>
      <c r="B41" s="112" t="s">
        <v>893</v>
      </c>
      <c r="C41" s="112" t="s">
        <v>695</v>
      </c>
      <c r="D41" s="113">
        <v>10348431</v>
      </c>
      <c r="E41" s="115">
        <v>43945</v>
      </c>
      <c r="F41" s="114">
        <v>202101</v>
      </c>
      <c r="G41" s="112" t="s">
        <v>1091</v>
      </c>
      <c r="H41" s="112" t="s">
        <v>1015</v>
      </c>
      <c r="I41" s="112" t="s">
        <v>1169</v>
      </c>
      <c r="J41" s="112" t="s">
        <v>1097</v>
      </c>
      <c r="K41" s="112" t="s">
        <v>1172</v>
      </c>
      <c r="L41" s="116">
        <v>170</v>
      </c>
      <c r="M41" s="116">
        <f t="shared" si="0"/>
        <v>0.17</v>
      </c>
    </row>
    <row r="42" spans="1:13" hidden="1" x14ac:dyDescent="0.35">
      <c r="A42" s="112" t="s">
        <v>1090</v>
      </c>
      <c r="B42" s="112" t="s">
        <v>893</v>
      </c>
      <c r="C42" s="112" t="s">
        <v>695</v>
      </c>
      <c r="D42" s="113">
        <v>10348431</v>
      </c>
      <c r="E42" s="115">
        <v>43945</v>
      </c>
      <c r="F42" s="114">
        <v>202101</v>
      </c>
      <c r="G42" s="112" t="s">
        <v>1091</v>
      </c>
      <c r="H42" s="112" t="s">
        <v>1015</v>
      </c>
      <c r="I42" s="112" t="s">
        <v>1169</v>
      </c>
      <c r="J42" s="112" t="s">
        <v>1097</v>
      </c>
      <c r="K42" s="112" t="s">
        <v>1173</v>
      </c>
      <c r="L42" s="116">
        <v>110</v>
      </c>
      <c r="M42" s="116">
        <f t="shared" si="0"/>
        <v>0.11</v>
      </c>
    </row>
    <row r="43" spans="1:13" hidden="1" x14ac:dyDescent="0.35">
      <c r="A43" s="112" t="s">
        <v>1090</v>
      </c>
      <c r="B43" s="112" t="s">
        <v>893</v>
      </c>
      <c r="C43" s="112" t="s">
        <v>695</v>
      </c>
      <c r="D43" s="113">
        <v>10347981</v>
      </c>
      <c r="E43" s="115">
        <v>43924</v>
      </c>
      <c r="F43" s="114">
        <v>202101</v>
      </c>
      <c r="G43" s="112" t="s">
        <v>1091</v>
      </c>
      <c r="H43" s="112" t="s">
        <v>1015</v>
      </c>
      <c r="I43" s="112" t="s">
        <v>761</v>
      </c>
      <c r="J43" s="112" t="s">
        <v>1109</v>
      </c>
      <c r="K43" s="112" t="s">
        <v>1174</v>
      </c>
      <c r="L43" s="116">
        <v>-5000</v>
      </c>
      <c r="M43" s="116">
        <f t="shared" si="0"/>
        <v>-5</v>
      </c>
    </row>
    <row r="44" spans="1:13" hidden="1" x14ac:dyDescent="0.35">
      <c r="A44" s="112" t="s">
        <v>1090</v>
      </c>
      <c r="B44" s="112" t="s">
        <v>894</v>
      </c>
      <c r="C44" s="112" t="s">
        <v>695</v>
      </c>
      <c r="D44" s="113">
        <v>10347981</v>
      </c>
      <c r="E44" s="115">
        <v>43924</v>
      </c>
      <c r="F44" s="114">
        <v>202101</v>
      </c>
      <c r="G44" s="112" t="s">
        <v>1091</v>
      </c>
      <c r="H44" s="112" t="s">
        <v>1015</v>
      </c>
      <c r="I44" s="112" t="s">
        <v>775</v>
      </c>
      <c r="J44" s="112" t="s">
        <v>1175</v>
      </c>
      <c r="K44" s="112" t="s">
        <v>1176</v>
      </c>
      <c r="L44" s="116">
        <v>-200</v>
      </c>
      <c r="M44" s="116">
        <f t="shared" si="0"/>
        <v>-0.2</v>
      </c>
    </row>
    <row r="45" spans="1:13" hidden="1" x14ac:dyDescent="0.35">
      <c r="A45" s="112" t="s">
        <v>1090</v>
      </c>
      <c r="B45" s="112" t="s">
        <v>893</v>
      </c>
      <c r="C45" s="112" t="s">
        <v>695</v>
      </c>
      <c r="D45" s="113">
        <v>10347981</v>
      </c>
      <c r="E45" s="115">
        <v>43924</v>
      </c>
      <c r="F45" s="114">
        <v>202101</v>
      </c>
      <c r="G45" s="112" t="s">
        <v>1091</v>
      </c>
      <c r="H45" s="112" t="s">
        <v>1015</v>
      </c>
      <c r="I45" s="112" t="s">
        <v>1169</v>
      </c>
      <c r="J45" s="112" t="s">
        <v>1097</v>
      </c>
      <c r="K45" s="112" t="s">
        <v>1177</v>
      </c>
      <c r="L45" s="116">
        <v>-110</v>
      </c>
      <c r="M45" s="116">
        <f t="shared" si="0"/>
        <v>-0.11</v>
      </c>
    </row>
    <row r="46" spans="1:13" hidden="1" x14ac:dyDescent="0.35">
      <c r="A46" s="112" t="s">
        <v>1090</v>
      </c>
      <c r="B46" s="112" t="s">
        <v>893</v>
      </c>
      <c r="C46" s="112" t="s">
        <v>695</v>
      </c>
      <c r="D46" s="113">
        <v>10347981</v>
      </c>
      <c r="E46" s="115">
        <v>43924</v>
      </c>
      <c r="F46" s="114">
        <v>202101</v>
      </c>
      <c r="G46" s="112" t="s">
        <v>1091</v>
      </c>
      <c r="H46" s="112" t="s">
        <v>1015</v>
      </c>
      <c r="I46" s="112" t="s">
        <v>775</v>
      </c>
      <c r="J46" s="112" t="s">
        <v>1109</v>
      </c>
      <c r="K46" s="112" t="s">
        <v>1178</v>
      </c>
      <c r="L46" s="116">
        <v>-108.4</v>
      </c>
      <c r="M46" s="116">
        <f t="shared" si="0"/>
        <v>-0.10840000000000001</v>
      </c>
    </row>
    <row r="47" spans="1:13" hidden="1" x14ac:dyDescent="0.35">
      <c r="A47" s="112" t="s">
        <v>1090</v>
      </c>
      <c r="B47" s="112" t="s">
        <v>892</v>
      </c>
      <c r="C47" s="112" t="s">
        <v>695</v>
      </c>
      <c r="D47" s="113">
        <v>10347981</v>
      </c>
      <c r="E47" s="115">
        <v>43924</v>
      </c>
      <c r="F47" s="114">
        <v>202101</v>
      </c>
      <c r="G47" s="112" t="s">
        <v>1091</v>
      </c>
      <c r="H47" s="112" t="s">
        <v>1015</v>
      </c>
      <c r="I47" s="112" t="s">
        <v>775</v>
      </c>
      <c r="J47" s="112" t="s">
        <v>1141</v>
      </c>
      <c r="K47" s="112" t="s">
        <v>1179</v>
      </c>
      <c r="L47" s="116">
        <v>-170</v>
      </c>
      <c r="M47" s="116">
        <f t="shared" si="0"/>
        <v>-0.17</v>
      </c>
    </row>
    <row r="48" spans="1:13" hidden="1" x14ac:dyDescent="0.35">
      <c r="A48" s="112" t="s">
        <v>1090</v>
      </c>
      <c r="B48" s="112" t="s">
        <v>893</v>
      </c>
      <c r="C48" s="112" t="s">
        <v>695</v>
      </c>
      <c r="D48" s="113">
        <v>10347981</v>
      </c>
      <c r="E48" s="115">
        <v>43924</v>
      </c>
      <c r="F48" s="114">
        <v>202101</v>
      </c>
      <c r="G48" s="112" t="s">
        <v>1091</v>
      </c>
      <c r="H48" s="112" t="s">
        <v>1015</v>
      </c>
      <c r="I48" s="112" t="s">
        <v>775</v>
      </c>
      <c r="J48" s="112" t="s">
        <v>1109</v>
      </c>
      <c r="K48" s="112" t="s">
        <v>1180</v>
      </c>
      <c r="L48" s="116">
        <v>-205</v>
      </c>
      <c r="M48" s="116">
        <f t="shared" si="0"/>
        <v>-0.20499999999999999</v>
      </c>
    </row>
    <row r="49" spans="1:13" hidden="1" x14ac:dyDescent="0.35">
      <c r="A49" s="112" t="s">
        <v>1090</v>
      </c>
      <c r="B49" s="112" t="s">
        <v>893</v>
      </c>
      <c r="C49" s="112" t="s">
        <v>695</v>
      </c>
      <c r="D49" s="113">
        <v>10347981</v>
      </c>
      <c r="E49" s="115">
        <v>43924</v>
      </c>
      <c r="F49" s="114">
        <v>202101</v>
      </c>
      <c r="G49" s="112" t="s">
        <v>1091</v>
      </c>
      <c r="H49" s="112" t="s">
        <v>1015</v>
      </c>
      <c r="I49" s="112" t="s">
        <v>775</v>
      </c>
      <c r="J49" s="112" t="s">
        <v>1109</v>
      </c>
      <c r="K49" s="112" t="s">
        <v>1181</v>
      </c>
      <c r="L49" s="116">
        <v>-1640</v>
      </c>
      <c r="M49" s="116">
        <f t="shared" si="0"/>
        <v>-1.64</v>
      </c>
    </row>
    <row r="50" spans="1:13" hidden="1" x14ac:dyDescent="0.35">
      <c r="A50" s="112" t="s">
        <v>1090</v>
      </c>
      <c r="B50" s="112" t="s">
        <v>893</v>
      </c>
      <c r="C50" s="112" t="s">
        <v>695</v>
      </c>
      <c r="D50" s="113">
        <v>10347981</v>
      </c>
      <c r="E50" s="115">
        <v>43924</v>
      </c>
      <c r="F50" s="114">
        <v>202101</v>
      </c>
      <c r="G50" s="112" t="s">
        <v>1091</v>
      </c>
      <c r="H50" s="112" t="s">
        <v>1015</v>
      </c>
      <c r="I50" s="112" t="s">
        <v>1182</v>
      </c>
      <c r="J50" s="112" t="s">
        <v>1109</v>
      </c>
      <c r="K50" s="112" t="s">
        <v>1183</v>
      </c>
      <c r="L50" s="116">
        <v>-75</v>
      </c>
      <c r="M50" s="116">
        <f t="shared" si="0"/>
        <v>-7.4999999999999997E-2</v>
      </c>
    </row>
    <row r="51" spans="1:13" hidden="1" x14ac:dyDescent="0.35">
      <c r="A51" s="112" t="s">
        <v>1090</v>
      </c>
      <c r="B51" s="112" t="s">
        <v>893</v>
      </c>
      <c r="C51" s="112" t="s">
        <v>695</v>
      </c>
      <c r="D51" s="113">
        <v>10347981</v>
      </c>
      <c r="E51" s="115">
        <v>43924</v>
      </c>
      <c r="F51" s="114">
        <v>202101</v>
      </c>
      <c r="G51" s="112" t="s">
        <v>1091</v>
      </c>
      <c r="H51" s="112" t="s">
        <v>1015</v>
      </c>
      <c r="I51" s="112" t="s">
        <v>775</v>
      </c>
      <c r="J51" s="112" t="s">
        <v>1109</v>
      </c>
      <c r="K51" s="112" t="s">
        <v>1184</v>
      </c>
      <c r="L51" s="116">
        <v>-94</v>
      </c>
      <c r="M51" s="116">
        <f t="shared" si="0"/>
        <v>-9.4E-2</v>
      </c>
    </row>
    <row r="52" spans="1:13" hidden="1" x14ac:dyDescent="0.35">
      <c r="A52" s="112" t="s">
        <v>1185</v>
      </c>
      <c r="B52" s="112" t="s">
        <v>897</v>
      </c>
      <c r="C52" s="112" t="s">
        <v>695</v>
      </c>
      <c r="D52" s="113">
        <v>10347981</v>
      </c>
      <c r="E52" s="115">
        <v>43924</v>
      </c>
      <c r="F52" s="114">
        <v>202101</v>
      </c>
      <c r="G52" s="112" t="s">
        <v>1091</v>
      </c>
      <c r="H52" s="112" t="s">
        <v>1015</v>
      </c>
      <c r="I52" s="112" t="s">
        <v>1137</v>
      </c>
      <c r="J52" s="112" t="s">
        <v>1186</v>
      </c>
      <c r="K52" s="112" t="s">
        <v>1187</v>
      </c>
      <c r="L52" s="116">
        <v>-6453.65</v>
      </c>
      <c r="M52" s="116">
        <f t="shared" si="0"/>
        <v>-6.4536499999999997</v>
      </c>
    </row>
    <row r="53" spans="1:13" x14ac:dyDescent="0.35">
      <c r="A53" s="112" t="s">
        <v>1185</v>
      </c>
      <c r="B53" s="112" t="s">
        <v>896</v>
      </c>
      <c r="C53" s="112" t="s">
        <v>695</v>
      </c>
      <c r="D53" s="113">
        <v>10347981</v>
      </c>
      <c r="E53" s="115">
        <v>43924</v>
      </c>
      <c r="F53" s="114">
        <v>202101</v>
      </c>
      <c r="G53" s="112" t="s">
        <v>1091</v>
      </c>
      <c r="H53" s="112" t="s">
        <v>1015</v>
      </c>
      <c r="I53" s="112" t="s">
        <v>769</v>
      </c>
      <c r="J53" s="112" t="s">
        <v>1188</v>
      </c>
      <c r="K53" s="112" t="s">
        <v>1189</v>
      </c>
      <c r="L53" s="116">
        <v>-1432.2</v>
      </c>
      <c r="M53" s="116">
        <f t="shared" si="0"/>
        <v>-1.4322000000000001</v>
      </c>
    </row>
    <row r="54" spans="1:13" hidden="1" x14ac:dyDescent="0.35">
      <c r="A54" s="112" t="s">
        <v>1185</v>
      </c>
      <c r="B54" s="112" t="s">
        <v>1192</v>
      </c>
      <c r="C54" s="112" t="s">
        <v>695</v>
      </c>
      <c r="D54" s="113">
        <v>10347981</v>
      </c>
      <c r="E54" s="115">
        <v>43924</v>
      </c>
      <c r="F54" s="114">
        <v>202101</v>
      </c>
      <c r="G54" s="112" t="s">
        <v>1091</v>
      </c>
      <c r="H54" s="112" t="s">
        <v>1015</v>
      </c>
      <c r="I54" s="112" t="s">
        <v>761</v>
      </c>
      <c r="J54" s="112" t="s">
        <v>1193</v>
      </c>
      <c r="K54" s="112" t="s">
        <v>1194</v>
      </c>
      <c r="L54" s="116">
        <v>-9485.09</v>
      </c>
      <c r="M54" s="116">
        <f t="shared" si="0"/>
        <v>-9.4850899999999996</v>
      </c>
    </row>
    <row r="55" spans="1:13" x14ac:dyDescent="0.35">
      <c r="A55" s="112" t="s">
        <v>1185</v>
      </c>
      <c r="B55" s="112" t="s">
        <v>896</v>
      </c>
      <c r="C55" s="112" t="s">
        <v>695</v>
      </c>
      <c r="D55" s="113">
        <v>10347981</v>
      </c>
      <c r="E55" s="115">
        <v>43924</v>
      </c>
      <c r="F55" s="114">
        <v>202101</v>
      </c>
      <c r="G55" s="112" t="s">
        <v>1091</v>
      </c>
      <c r="H55" s="112" t="s">
        <v>1015</v>
      </c>
      <c r="I55" s="112" t="s">
        <v>769</v>
      </c>
      <c r="J55" s="112" t="s">
        <v>1195</v>
      </c>
      <c r="K55" s="112" t="s">
        <v>1196</v>
      </c>
      <c r="L55" s="116">
        <v>-234.06</v>
      </c>
      <c r="M55" s="116">
        <f t="shared" si="0"/>
        <v>-0.23405999999999999</v>
      </c>
    </row>
    <row r="56" spans="1:13" hidden="1" x14ac:dyDescent="0.35">
      <c r="A56" s="112" t="s">
        <v>1185</v>
      </c>
      <c r="B56" s="112" t="s">
        <v>897</v>
      </c>
      <c r="C56" s="112" t="s">
        <v>695</v>
      </c>
      <c r="D56" s="113">
        <v>10347981</v>
      </c>
      <c r="E56" s="115">
        <v>43924</v>
      </c>
      <c r="F56" s="114">
        <v>202101</v>
      </c>
      <c r="G56" s="112" t="s">
        <v>1091</v>
      </c>
      <c r="H56" s="112" t="s">
        <v>1015</v>
      </c>
      <c r="I56" s="112" t="s">
        <v>1201</v>
      </c>
      <c r="J56" s="112" t="s">
        <v>1186</v>
      </c>
      <c r="K56" s="112" t="s">
        <v>1202</v>
      </c>
      <c r="L56" s="116">
        <v>-1528.93</v>
      </c>
      <c r="M56" s="116">
        <f t="shared" si="0"/>
        <v>-1.5289300000000001</v>
      </c>
    </row>
    <row r="57" spans="1:13" hidden="1" x14ac:dyDescent="0.35">
      <c r="A57" s="112" t="s">
        <v>1185</v>
      </c>
      <c r="B57" s="112" t="s">
        <v>1192</v>
      </c>
      <c r="C57" s="112" t="s">
        <v>695</v>
      </c>
      <c r="D57" s="113">
        <v>10347981</v>
      </c>
      <c r="E57" s="115">
        <v>43924</v>
      </c>
      <c r="F57" s="114">
        <v>202101</v>
      </c>
      <c r="G57" s="112" t="s">
        <v>1091</v>
      </c>
      <c r="H57" s="112" t="s">
        <v>1015</v>
      </c>
      <c r="I57" s="112" t="s">
        <v>761</v>
      </c>
      <c r="J57" s="112" t="s">
        <v>1193</v>
      </c>
      <c r="K57" s="112" t="s">
        <v>1204</v>
      </c>
      <c r="L57" s="116">
        <v>-3555</v>
      </c>
      <c r="M57" s="116">
        <f t="shared" si="0"/>
        <v>-3.5550000000000002</v>
      </c>
    </row>
    <row r="58" spans="1:13" hidden="1" x14ac:dyDescent="0.35">
      <c r="A58" s="112" t="s">
        <v>1185</v>
      </c>
      <c r="B58" s="112" t="s">
        <v>1192</v>
      </c>
      <c r="C58" s="112" t="s">
        <v>695</v>
      </c>
      <c r="D58" s="113">
        <v>10347981</v>
      </c>
      <c r="E58" s="115">
        <v>43924</v>
      </c>
      <c r="F58" s="114">
        <v>202101</v>
      </c>
      <c r="G58" s="112" t="s">
        <v>1091</v>
      </c>
      <c r="H58" s="112" t="s">
        <v>1015</v>
      </c>
      <c r="I58" s="112" t="s">
        <v>761</v>
      </c>
      <c r="J58" s="112" t="s">
        <v>1198</v>
      </c>
      <c r="K58" s="112" t="s">
        <v>1206</v>
      </c>
      <c r="L58" s="116">
        <v>-770</v>
      </c>
      <c r="M58" s="116">
        <f t="shared" si="0"/>
        <v>-0.77</v>
      </c>
    </row>
    <row r="59" spans="1:13" x14ac:dyDescent="0.35">
      <c r="A59" s="112" t="s">
        <v>1185</v>
      </c>
      <c r="B59" s="112" t="s">
        <v>896</v>
      </c>
      <c r="C59" s="112" t="s">
        <v>695</v>
      </c>
      <c r="D59" s="113">
        <v>10347981</v>
      </c>
      <c r="E59" s="115">
        <v>43924</v>
      </c>
      <c r="F59" s="114">
        <v>202101</v>
      </c>
      <c r="G59" s="112" t="s">
        <v>1091</v>
      </c>
      <c r="H59" s="112" t="s">
        <v>1015</v>
      </c>
      <c r="I59" s="112" t="s">
        <v>1092</v>
      </c>
      <c r="J59" s="112" t="s">
        <v>1199</v>
      </c>
      <c r="K59" s="112" t="s">
        <v>1208</v>
      </c>
      <c r="L59" s="116">
        <v>-30</v>
      </c>
      <c r="M59" s="116">
        <f t="shared" si="0"/>
        <v>-0.03</v>
      </c>
    </row>
    <row r="60" spans="1:13" x14ac:dyDescent="0.35">
      <c r="A60" s="112" t="s">
        <v>1185</v>
      </c>
      <c r="B60" s="112" t="s">
        <v>896</v>
      </c>
      <c r="C60" s="112" t="s">
        <v>695</v>
      </c>
      <c r="D60" s="113">
        <v>10347981</v>
      </c>
      <c r="E60" s="115">
        <v>43924</v>
      </c>
      <c r="F60" s="114">
        <v>202101</v>
      </c>
      <c r="G60" s="112" t="s">
        <v>1091</v>
      </c>
      <c r="H60" s="112" t="s">
        <v>1015</v>
      </c>
      <c r="I60" s="112" t="s">
        <v>767</v>
      </c>
      <c r="J60" s="112" t="s">
        <v>1195</v>
      </c>
      <c r="K60" s="112" t="s">
        <v>1209</v>
      </c>
      <c r="L60" s="116">
        <v>-5789.75</v>
      </c>
      <c r="M60" s="116">
        <f t="shared" si="0"/>
        <v>-5.7897499999999997</v>
      </c>
    </row>
    <row r="61" spans="1:13" x14ac:dyDescent="0.35">
      <c r="A61" s="112" t="s">
        <v>1185</v>
      </c>
      <c r="B61" s="112" t="s">
        <v>896</v>
      </c>
      <c r="C61" s="112" t="s">
        <v>695</v>
      </c>
      <c r="D61" s="113">
        <v>10348034</v>
      </c>
      <c r="E61" s="115">
        <v>43928</v>
      </c>
      <c r="F61" s="114">
        <v>202101</v>
      </c>
      <c r="G61" s="112" t="s">
        <v>1091</v>
      </c>
      <c r="H61" s="112" t="s">
        <v>1015</v>
      </c>
      <c r="I61" s="112" t="s">
        <v>1211</v>
      </c>
      <c r="J61" s="112" t="s">
        <v>1199</v>
      </c>
      <c r="K61" s="112" t="s">
        <v>1215</v>
      </c>
      <c r="L61" s="116">
        <v>-12793</v>
      </c>
      <c r="M61" s="116">
        <f t="shared" si="0"/>
        <v>-12.792999999999999</v>
      </c>
    </row>
    <row r="62" spans="1:13" x14ac:dyDescent="0.35">
      <c r="A62" s="112" t="s">
        <v>1185</v>
      </c>
      <c r="B62" s="112" t="s">
        <v>896</v>
      </c>
      <c r="C62" s="112" t="s">
        <v>695</v>
      </c>
      <c r="D62" s="113">
        <v>10348034</v>
      </c>
      <c r="E62" s="115">
        <v>43928</v>
      </c>
      <c r="F62" s="114">
        <v>202101</v>
      </c>
      <c r="G62" s="112" t="s">
        <v>1091</v>
      </c>
      <c r="H62" s="112" t="s">
        <v>1015</v>
      </c>
      <c r="I62" s="112" t="s">
        <v>1211</v>
      </c>
      <c r="J62" s="112" t="s">
        <v>1199</v>
      </c>
      <c r="K62" s="112" t="s">
        <v>1216</v>
      </c>
      <c r="L62" s="116">
        <v>-12168</v>
      </c>
      <c r="M62" s="116">
        <f t="shared" si="0"/>
        <v>-12.167999999999999</v>
      </c>
    </row>
    <row r="63" spans="1:13" x14ac:dyDescent="0.35">
      <c r="A63" s="112" t="s">
        <v>1185</v>
      </c>
      <c r="B63" s="112" t="s">
        <v>896</v>
      </c>
      <c r="C63" s="112" t="s">
        <v>695</v>
      </c>
      <c r="D63" s="113">
        <v>10348034</v>
      </c>
      <c r="E63" s="115">
        <v>43928</v>
      </c>
      <c r="F63" s="114">
        <v>202101</v>
      </c>
      <c r="G63" s="112" t="s">
        <v>1091</v>
      </c>
      <c r="H63" s="112" t="s">
        <v>1015</v>
      </c>
      <c r="I63" s="112" t="s">
        <v>1211</v>
      </c>
      <c r="J63" s="112" t="s">
        <v>1199</v>
      </c>
      <c r="K63" s="112" t="s">
        <v>1217</v>
      </c>
      <c r="L63" s="116">
        <v>-7953.12</v>
      </c>
      <c r="M63" s="116">
        <f t="shared" si="0"/>
        <v>-7.9531200000000002</v>
      </c>
    </row>
    <row r="64" spans="1:13" x14ac:dyDescent="0.35">
      <c r="A64" s="112" t="s">
        <v>1185</v>
      </c>
      <c r="B64" s="112" t="s">
        <v>896</v>
      </c>
      <c r="C64" s="112" t="s">
        <v>695</v>
      </c>
      <c r="D64" s="113">
        <v>10348034</v>
      </c>
      <c r="E64" s="115">
        <v>43928</v>
      </c>
      <c r="F64" s="114">
        <v>202101</v>
      </c>
      <c r="G64" s="112" t="s">
        <v>1091</v>
      </c>
      <c r="H64" s="112" t="s">
        <v>1015</v>
      </c>
      <c r="I64" s="112" t="s">
        <v>1211</v>
      </c>
      <c r="J64" s="112" t="s">
        <v>1199</v>
      </c>
      <c r="K64" s="112" t="s">
        <v>1218</v>
      </c>
      <c r="L64" s="116">
        <v>-9468</v>
      </c>
      <c r="M64" s="116">
        <f t="shared" si="0"/>
        <v>-9.468</v>
      </c>
    </row>
    <row r="65" spans="1:13" x14ac:dyDescent="0.35">
      <c r="A65" s="112" t="s">
        <v>1185</v>
      </c>
      <c r="B65" s="112" t="s">
        <v>896</v>
      </c>
      <c r="C65" s="112" t="s">
        <v>695</v>
      </c>
      <c r="D65" s="113">
        <v>10348034</v>
      </c>
      <c r="E65" s="115">
        <v>43928</v>
      </c>
      <c r="F65" s="114">
        <v>202101</v>
      </c>
      <c r="G65" s="112" t="s">
        <v>1091</v>
      </c>
      <c r="H65" s="112" t="s">
        <v>1015</v>
      </c>
      <c r="I65" s="112" t="s">
        <v>1211</v>
      </c>
      <c r="J65" s="112" t="s">
        <v>1199</v>
      </c>
      <c r="K65" s="112" t="s">
        <v>1221</v>
      </c>
      <c r="L65" s="116">
        <v>-12793</v>
      </c>
      <c r="M65" s="116">
        <f t="shared" si="0"/>
        <v>-12.792999999999999</v>
      </c>
    </row>
    <row r="66" spans="1:13" x14ac:dyDescent="0.35">
      <c r="A66" s="112" t="s">
        <v>1185</v>
      </c>
      <c r="B66" s="112" t="s">
        <v>896</v>
      </c>
      <c r="C66" s="112" t="s">
        <v>695</v>
      </c>
      <c r="D66" s="113">
        <v>10348034</v>
      </c>
      <c r="E66" s="115">
        <v>43928</v>
      </c>
      <c r="F66" s="114">
        <v>202101</v>
      </c>
      <c r="G66" s="112" t="s">
        <v>1091</v>
      </c>
      <c r="H66" s="112" t="s">
        <v>1015</v>
      </c>
      <c r="I66" s="112" t="s">
        <v>1211</v>
      </c>
      <c r="J66" s="112" t="s">
        <v>1199</v>
      </c>
      <c r="K66" s="112" t="s">
        <v>1222</v>
      </c>
      <c r="L66" s="116">
        <v>-14818</v>
      </c>
      <c r="M66" s="116">
        <f t="shared" si="0"/>
        <v>-14.818</v>
      </c>
    </row>
    <row r="67" spans="1:13" hidden="1" x14ac:dyDescent="0.35">
      <c r="A67" s="112" t="s">
        <v>1185</v>
      </c>
      <c r="B67" s="112" t="s">
        <v>898</v>
      </c>
      <c r="C67" s="112" t="s">
        <v>695</v>
      </c>
      <c r="D67" s="113">
        <v>10348469</v>
      </c>
      <c r="E67" s="115">
        <v>43948</v>
      </c>
      <c r="F67" s="114">
        <v>202101</v>
      </c>
      <c r="G67" s="112" t="s">
        <v>1091</v>
      </c>
      <c r="H67" s="112" t="s">
        <v>1016</v>
      </c>
      <c r="I67" s="112" t="s">
        <v>779</v>
      </c>
      <c r="J67" s="112" t="s">
        <v>1207</v>
      </c>
      <c r="K67" s="112" t="s">
        <v>1229</v>
      </c>
      <c r="L67" s="116">
        <v>3385.02</v>
      </c>
      <c r="M67" s="116">
        <f t="shared" ref="M67:M130" si="1">L67/1000</f>
        <v>3.3850199999999999</v>
      </c>
    </row>
    <row r="68" spans="1:13" hidden="1" x14ac:dyDescent="0.35">
      <c r="A68" s="112" t="s">
        <v>1185</v>
      </c>
      <c r="B68" s="112" t="s">
        <v>897</v>
      </c>
      <c r="C68" s="112" t="s">
        <v>695</v>
      </c>
      <c r="D68" s="113">
        <v>10348034</v>
      </c>
      <c r="E68" s="115">
        <v>43928</v>
      </c>
      <c r="F68" s="114">
        <v>202101</v>
      </c>
      <c r="G68" s="112" t="s">
        <v>1091</v>
      </c>
      <c r="H68" s="112" t="s">
        <v>1015</v>
      </c>
      <c r="I68" s="112" t="s">
        <v>1211</v>
      </c>
      <c r="J68" s="112" t="s">
        <v>1203</v>
      </c>
      <c r="K68" s="112" t="s">
        <v>1233</v>
      </c>
      <c r="L68" s="116">
        <v>-1640.42</v>
      </c>
      <c r="M68" s="116">
        <f t="shared" si="1"/>
        <v>-1.64042</v>
      </c>
    </row>
    <row r="69" spans="1:13" hidden="1" x14ac:dyDescent="0.35">
      <c r="A69" s="112" t="s">
        <v>1185</v>
      </c>
      <c r="B69" s="112" t="s">
        <v>897</v>
      </c>
      <c r="C69" s="112" t="s">
        <v>695</v>
      </c>
      <c r="D69" s="113">
        <v>10348034</v>
      </c>
      <c r="E69" s="115">
        <v>43928</v>
      </c>
      <c r="F69" s="114">
        <v>202101</v>
      </c>
      <c r="G69" s="112" t="s">
        <v>1091</v>
      </c>
      <c r="H69" s="112" t="s">
        <v>1015</v>
      </c>
      <c r="I69" s="112" t="s">
        <v>1211</v>
      </c>
      <c r="J69" s="112" t="s">
        <v>1203</v>
      </c>
      <c r="K69" s="112" t="s">
        <v>1234</v>
      </c>
      <c r="L69" s="116">
        <v>-498.07</v>
      </c>
      <c r="M69" s="116">
        <f t="shared" si="1"/>
        <v>-0.49807000000000001</v>
      </c>
    </row>
    <row r="70" spans="1:13" hidden="1" x14ac:dyDescent="0.35">
      <c r="A70" s="112" t="s">
        <v>1185</v>
      </c>
      <c r="B70" s="112" t="s">
        <v>897</v>
      </c>
      <c r="C70" s="112" t="s">
        <v>695</v>
      </c>
      <c r="D70" s="113">
        <v>10348034</v>
      </c>
      <c r="E70" s="115">
        <v>43928</v>
      </c>
      <c r="F70" s="114">
        <v>202101</v>
      </c>
      <c r="G70" s="112" t="s">
        <v>1091</v>
      </c>
      <c r="H70" s="112" t="s">
        <v>1015</v>
      </c>
      <c r="I70" s="112" t="s">
        <v>1211</v>
      </c>
      <c r="J70" s="112" t="s">
        <v>1203</v>
      </c>
      <c r="K70" s="112" t="s">
        <v>1238</v>
      </c>
      <c r="L70" s="116">
        <v>-2813.99</v>
      </c>
      <c r="M70" s="116">
        <f t="shared" si="1"/>
        <v>-2.81399</v>
      </c>
    </row>
    <row r="71" spans="1:13" hidden="1" x14ac:dyDescent="0.35">
      <c r="A71" s="112" t="s">
        <v>1185</v>
      </c>
      <c r="B71" s="112" t="s">
        <v>895</v>
      </c>
      <c r="C71" s="112" t="s">
        <v>695</v>
      </c>
      <c r="D71" s="113">
        <v>10348034</v>
      </c>
      <c r="E71" s="115">
        <v>43928</v>
      </c>
      <c r="F71" s="114">
        <v>202101</v>
      </c>
      <c r="G71" s="112" t="s">
        <v>1091</v>
      </c>
      <c r="H71" s="112" t="s">
        <v>1015</v>
      </c>
      <c r="I71" s="112" t="s">
        <v>1211</v>
      </c>
      <c r="J71" s="112" t="s">
        <v>1239</v>
      </c>
      <c r="K71" s="112" t="s">
        <v>1240</v>
      </c>
      <c r="L71" s="116">
        <v>-3511.71</v>
      </c>
      <c r="M71" s="116">
        <f t="shared" si="1"/>
        <v>-3.5117099999999999</v>
      </c>
    </row>
    <row r="72" spans="1:13" x14ac:dyDescent="0.35">
      <c r="A72" s="112" t="s">
        <v>1185</v>
      </c>
      <c r="B72" s="112" t="s">
        <v>896</v>
      </c>
      <c r="C72" s="112" t="s">
        <v>695</v>
      </c>
      <c r="D72" s="113">
        <v>10348429</v>
      </c>
      <c r="E72" s="115">
        <v>43945</v>
      </c>
      <c r="F72" s="114">
        <v>202101</v>
      </c>
      <c r="G72" s="112" t="s">
        <v>1091</v>
      </c>
      <c r="H72" s="112" t="s">
        <v>1015</v>
      </c>
      <c r="I72" s="112" t="s">
        <v>767</v>
      </c>
      <c r="J72" s="112" t="s">
        <v>1195</v>
      </c>
      <c r="K72" s="112" t="s">
        <v>1242</v>
      </c>
      <c r="L72" s="116">
        <v>7959.37</v>
      </c>
      <c r="M72" s="116">
        <f t="shared" si="1"/>
        <v>7.9593699999999998</v>
      </c>
    </row>
    <row r="73" spans="1:13" x14ac:dyDescent="0.35">
      <c r="A73" s="112" t="s">
        <v>1185</v>
      </c>
      <c r="B73" s="112" t="s">
        <v>896</v>
      </c>
      <c r="C73" s="112" t="s">
        <v>695</v>
      </c>
      <c r="D73" s="113">
        <v>10348429</v>
      </c>
      <c r="E73" s="115">
        <v>43945</v>
      </c>
      <c r="F73" s="114">
        <v>202101</v>
      </c>
      <c r="G73" s="112" t="s">
        <v>1091</v>
      </c>
      <c r="H73" s="112" t="s">
        <v>1015</v>
      </c>
      <c r="I73" s="112" t="s">
        <v>767</v>
      </c>
      <c r="J73" s="112" t="s">
        <v>1195</v>
      </c>
      <c r="K73" s="112" t="s">
        <v>1243</v>
      </c>
      <c r="L73" s="116">
        <v>-9370</v>
      </c>
      <c r="M73" s="116">
        <f t="shared" si="1"/>
        <v>-9.3699999999999992</v>
      </c>
    </row>
    <row r="74" spans="1:13" hidden="1" x14ac:dyDescent="0.35">
      <c r="A74" s="112" t="s">
        <v>1185</v>
      </c>
      <c r="B74" s="112" t="s">
        <v>1192</v>
      </c>
      <c r="C74" s="112" t="s">
        <v>695</v>
      </c>
      <c r="D74" s="113">
        <v>10348034</v>
      </c>
      <c r="E74" s="115">
        <v>43928</v>
      </c>
      <c r="F74" s="114">
        <v>202101</v>
      </c>
      <c r="G74" s="112" t="s">
        <v>1091</v>
      </c>
      <c r="H74" s="112" t="s">
        <v>1015</v>
      </c>
      <c r="I74" s="112" t="s">
        <v>1211</v>
      </c>
      <c r="J74" s="112" t="s">
        <v>1198</v>
      </c>
      <c r="K74" s="112" t="s">
        <v>1245</v>
      </c>
      <c r="L74" s="116">
        <v>-10924.88</v>
      </c>
      <c r="M74" s="116">
        <f t="shared" si="1"/>
        <v>-10.92488</v>
      </c>
    </row>
    <row r="75" spans="1:13" x14ac:dyDescent="0.35">
      <c r="A75" s="112" t="s">
        <v>1185</v>
      </c>
      <c r="B75" s="112" t="s">
        <v>896</v>
      </c>
      <c r="C75" s="112" t="s">
        <v>695</v>
      </c>
      <c r="D75" s="113">
        <v>10348429</v>
      </c>
      <c r="E75" s="115">
        <v>43945</v>
      </c>
      <c r="F75" s="114">
        <v>202101</v>
      </c>
      <c r="G75" s="112" t="s">
        <v>1091</v>
      </c>
      <c r="H75" s="112" t="s">
        <v>1015</v>
      </c>
      <c r="I75" s="112" t="s">
        <v>1246</v>
      </c>
      <c r="J75" s="112" t="s">
        <v>1195</v>
      </c>
      <c r="K75" s="112" t="s">
        <v>1247</v>
      </c>
      <c r="L75" s="116">
        <v>7597.2</v>
      </c>
      <c r="M75" s="116">
        <f t="shared" si="1"/>
        <v>7.5972</v>
      </c>
    </row>
    <row r="76" spans="1:13" hidden="1" x14ac:dyDescent="0.35">
      <c r="A76" s="112" t="s">
        <v>1185</v>
      </c>
      <c r="B76" s="112" t="s">
        <v>898</v>
      </c>
      <c r="C76" s="112" t="s">
        <v>695</v>
      </c>
      <c r="D76" s="113">
        <v>10347981</v>
      </c>
      <c r="E76" s="115">
        <v>43924</v>
      </c>
      <c r="F76" s="114">
        <v>202101</v>
      </c>
      <c r="G76" s="112" t="s">
        <v>1091</v>
      </c>
      <c r="H76" s="112" t="s">
        <v>1015</v>
      </c>
      <c r="I76" s="112" t="s">
        <v>761</v>
      </c>
      <c r="J76" s="112" t="s">
        <v>1213</v>
      </c>
      <c r="K76" s="112" t="s">
        <v>1248</v>
      </c>
      <c r="L76" s="116">
        <v>-3500</v>
      </c>
      <c r="M76" s="116">
        <f t="shared" si="1"/>
        <v>-3.5</v>
      </c>
    </row>
    <row r="77" spans="1:13" hidden="1" x14ac:dyDescent="0.35">
      <c r="A77" s="112" t="s">
        <v>1185</v>
      </c>
      <c r="B77" s="112" t="s">
        <v>897</v>
      </c>
      <c r="C77" s="112" t="s">
        <v>695</v>
      </c>
      <c r="D77" s="113">
        <v>10347981</v>
      </c>
      <c r="E77" s="115">
        <v>43924</v>
      </c>
      <c r="F77" s="114">
        <v>202101</v>
      </c>
      <c r="G77" s="112" t="s">
        <v>1091</v>
      </c>
      <c r="H77" s="112" t="s">
        <v>1015</v>
      </c>
      <c r="I77" s="112" t="s">
        <v>1137</v>
      </c>
      <c r="J77" s="112" t="s">
        <v>1186</v>
      </c>
      <c r="K77" s="112" t="s">
        <v>1249</v>
      </c>
      <c r="L77" s="116">
        <v>-83.19</v>
      </c>
      <c r="M77" s="116">
        <f t="shared" si="1"/>
        <v>-8.319E-2</v>
      </c>
    </row>
    <row r="78" spans="1:13" hidden="1" x14ac:dyDescent="0.35">
      <c r="A78" s="112" t="s">
        <v>1185</v>
      </c>
      <c r="B78" s="112" t="s">
        <v>897</v>
      </c>
      <c r="C78" s="112" t="s">
        <v>695</v>
      </c>
      <c r="D78" s="113">
        <v>10347981</v>
      </c>
      <c r="E78" s="115">
        <v>43924</v>
      </c>
      <c r="F78" s="114">
        <v>202101</v>
      </c>
      <c r="G78" s="112" t="s">
        <v>1091</v>
      </c>
      <c r="H78" s="112" t="s">
        <v>1015</v>
      </c>
      <c r="I78" s="112" t="s">
        <v>1124</v>
      </c>
      <c r="J78" s="112" t="s">
        <v>1186</v>
      </c>
      <c r="K78" s="112" t="s">
        <v>1250</v>
      </c>
      <c r="L78" s="116">
        <v>-298.2</v>
      </c>
      <c r="M78" s="116">
        <f t="shared" si="1"/>
        <v>-0.29819999999999997</v>
      </c>
    </row>
    <row r="79" spans="1:13" x14ac:dyDescent="0.35">
      <c r="A79" s="112" t="s">
        <v>1185</v>
      </c>
      <c r="B79" s="112" t="s">
        <v>896</v>
      </c>
      <c r="C79" s="112" t="s">
        <v>695</v>
      </c>
      <c r="D79" s="113">
        <v>10347981</v>
      </c>
      <c r="E79" s="115">
        <v>43924</v>
      </c>
      <c r="F79" s="114">
        <v>202101</v>
      </c>
      <c r="G79" s="112" t="s">
        <v>1091</v>
      </c>
      <c r="H79" s="112" t="s">
        <v>1015</v>
      </c>
      <c r="I79" s="112" t="s">
        <v>767</v>
      </c>
      <c r="J79" s="112" t="s">
        <v>1195</v>
      </c>
      <c r="K79" s="112" t="s">
        <v>1251</v>
      </c>
      <c r="L79" s="116">
        <v>-280</v>
      </c>
      <c r="M79" s="116">
        <f t="shared" si="1"/>
        <v>-0.28000000000000003</v>
      </c>
    </row>
    <row r="80" spans="1:13" x14ac:dyDescent="0.35">
      <c r="A80" s="112" t="s">
        <v>1185</v>
      </c>
      <c r="B80" s="112" t="s">
        <v>896</v>
      </c>
      <c r="C80" s="112" t="s">
        <v>695</v>
      </c>
      <c r="D80" s="113">
        <v>10347981</v>
      </c>
      <c r="E80" s="115">
        <v>43924</v>
      </c>
      <c r="F80" s="114">
        <v>202101</v>
      </c>
      <c r="G80" s="112" t="s">
        <v>1091</v>
      </c>
      <c r="H80" s="112" t="s">
        <v>1015</v>
      </c>
      <c r="I80" s="112" t="s">
        <v>767</v>
      </c>
      <c r="J80" s="112" t="s">
        <v>1195</v>
      </c>
      <c r="K80" s="112" t="s">
        <v>1252</v>
      </c>
      <c r="L80" s="116">
        <v>-765</v>
      </c>
      <c r="M80" s="116">
        <f t="shared" si="1"/>
        <v>-0.76500000000000001</v>
      </c>
    </row>
    <row r="81" spans="1:13" hidden="1" x14ac:dyDescent="0.35">
      <c r="A81" s="112" t="s">
        <v>1185</v>
      </c>
      <c r="B81" s="112" t="s">
        <v>897</v>
      </c>
      <c r="C81" s="112" t="s">
        <v>695</v>
      </c>
      <c r="D81" s="113">
        <v>10347981</v>
      </c>
      <c r="E81" s="115">
        <v>43924</v>
      </c>
      <c r="F81" s="114">
        <v>202101</v>
      </c>
      <c r="G81" s="112" t="s">
        <v>1091</v>
      </c>
      <c r="H81" s="112" t="s">
        <v>1015</v>
      </c>
      <c r="I81" s="112" t="s">
        <v>1201</v>
      </c>
      <c r="J81" s="112" t="s">
        <v>1186</v>
      </c>
      <c r="K81" s="112" t="s">
        <v>1253</v>
      </c>
      <c r="L81" s="116">
        <v>-572</v>
      </c>
      <c r="M81" s="116">
        <f t="shared" si="1"/>
        <v>-0.57199999999999995</v>
      </c>
    </row>
    <row r="82" spans="1:13" hidden="1" x14ac:dyDescent="0.35">
      <c r="A82" s="112" t="s">
        <v>1185</v>
      </c>
      <c r="B82" s="112" t="s">
        <v>898</v>
      </c>
      <c r="C82" s="112" t="s">
        <v>695</v>
      </c>
      <c r="D82" s="113">
        <v>10347981</v>
      </c>
      <c r="E82" s="115">
        <v>43924</v>
      </c>
      <c r="F82" s="114">
        <v>202101</v>
      </c>
      <c r="G82" s="112" t="s">
        <v>1091</v>
      </c>
      <c r="H82" s="112" t="s">
        <v>1015</v>
      </c>
      <c r="I82" s="112" t="s">
        <v>763</v>
      </c>
      <c r="J82" s="112" t="s">
        <v>1207</v>
      </c>
      <c r="K82" s="112" t="s">
        <v>1254</v>
      </c>
      <c r="L82" s="116">
        <v>-249</v>
      </c>
      <c r="M82" s="116">
        <f t="shared" si="1"/>
        <v>-0.249</v>
      </c>
    </row>
    <row r="83" spans="1:13" x14ac:dyDescent="0.35">
      <c r="A83" s="112" t="s">
        <v>1185</v>
      </c>
      <c r="B83" s="112" t="s">
        <v>896</v>
      </c>
      <c r="C83" s="112" t="s">
        <v>695</v>
      </c>
      <c r="D83" s="113">
        <v>10347981</v>
      </c>
      <c r="E83" s="115">
        <v>43924</v>
      </c>
      <c r="F83" s="114">
        <v>202101</v>
      </c>
      <c r="G83" s="112" t="s">
        <v>1091</v>
      </c>
      <c r="H83" s="112" t="s">
        <v>1015</v>
      </c>
      <c r="I83" s="112" t="s">
        <v>761</v>
      </c>
      <c r="J83" s="112" t="s">
        <v>1195</v>
      </c>
      <c r="K83" s="112" t="s">
        <v>1255</v>
      </c>
      <c r="L83" s="116">
        <v>-0.9</v>
      </c>
      <c r="M83" s="116">
        <f t="shared" si="1"/>
        <v>-8.9999999999999998E-4</v>
      </c>
    </row>
    <row r="84" spans="1:13" x14ac:dyDescent="0.35">
      <c r="A84" s="112" t="s">
        <v>1185</v>
      </c>
      <c r="B84" s="112" t="s">
        <v>896</v>
      </c>
      <c r="C84" s="112" t="s">
        <v>695</v>
      </c>
      <c r="D84" s="113">
        <v>10347981</v>
      </c>
      <c r="E84" s="115">
        <v>43924</v>
      </c>
      <c r="F84" s="114">
        <v>202101</v>
      </c>
      <c r="G84" s="112" t="s">
        <v>1091</v>
      </c>
      <c r="H84" s="112" t="s">
        <v>1015</v>
      </c>
      <c r="I84" s="112" t="s">
        <v>1092</v>
      </c>
      <c r="J84" s="112" t="s">
        <v>1199</v>
      </c>
      <c r="K84" s="112" t="s">
        <v>1256</v>
      </c>
      <c r="L84" s="116">
        <v>-100.5</v>
      </c>
      <c r="M84" s="116">
        <f t="shared" si="1"/>
        <v>-0.10050000000000001</v>
      </c>
    </row>
    <row r="85" spans="1:13" x14ac:dyDescent="0.35">
      <c r="A85" s="112" t="s">
        <v>1185</v>
      </c>
      <c r="B85" s="112" t="s">
        <v>896</v>
      </c>
      <c r="C85" s="112" t="s">
        <v>695</v>
      </c>
      <c r="D85" s="113">
        <v>10347981</v>
      </c>
      <c r="E85" s="115">
        <v>43924</v>
      </c>
      <c r="F85" s="114">
        <v>202101</v>
      </c>
      <c r="G85" s="112" t="s">
        <v>1091</v>
      </c>
      <c r="H85" s="112" t="s">
        <v>1015</v>
      </c>
      <c r="I85" s="112" t="s">
        <v>767</v>
      </c>
      <c r="J85" s="112" t="s">
        <v>1195</v>
      </c>
      <c r="K85" s="112" t="s">
        <v>1257</v>
      </c>
      <c r="L85" s="116">
        <v>-125.13</v>
      </c>
      <c r="M85" s="116">
        <f t="shared" si="1"/>
        <v>-0.12512999999999999</v>
      </c>
    </row>
    <row r="86" spans="1:13" hidden="1" x14ac:dyDescent="0.35">
      <c r="A86" s="112" t="s">
        <v>1185</v>
      </c>
      <c r="B86" s="112" t="s">
        <v>897</v>
      </c>
      <c r="C86" s="112" t="s">
        <v>695</v>
      </c>
      <c r="D86" s="113">
        <v>10347981</v>
      </c>
      <c r="E86" s="115">
        <v>43924</v>
      </c>
      <c r="F86" s="114">
        <v>202101</v>
      </c>
      <c r="G86" s="112" t="s">
        <v>1091</v>
      </c>
      <c r="H86" s="112" t="s">
        <v>1015</v>
      </c>
      <c r="I86" s="112" t="s">
        <v>1124</v>
      </c>
      <c r="J86" s="112" t="s">
        <v>1186</v>
      </c>
      <c r="K86" s="112" t="s">
        <v>1258</v>
      </c>
      <c r="L86" s="116">
        <v>-330</v>
      </c>
      <c r="M86" s="116">
        <f t="shared" si="1"/>
        <v>-0.33</v>
      </c>
    </row>
    <row r="87" spans="1:13" x14ac:dyDescent="0.35">
      <c r="A87" s="112" t="s">
        <v>1185</v>
      </c>
      <c r="B87" s="112" t="s">
        <v>896</v>
      </c>
      <c r="C87" s="112" t="s">
        <v>695</v>
      </c>
      <c r="D87" s="113">
        <v>10347981</v>
      </c>
      <c r="E87" s="115">
        <v>43924</v>
      </c>
      <c r="F87" s="114">
        <v>202101</v>
      </c>
      <c r="G87" s="112" t="s">
        <v>1091</v>
      </c>
      <c r="H87" s="112" t="s">
        <v>1015</v>
      </c>
      <c r="I87" s="112" t="s">
        <v>767</v>
      </c>
      <c r="J87" s="112" t="s">
        <v>1195</v>
      </c>
      <c r="K87" s="112" t="s">
        <v>1260</v>
      </c>
      <c r="L87" s="116">
        <v>-6453.92</v>
      </c>
      <c r="M87" s="116">
        <f t="shared" si="1"/>
        <v>-6.4539200000000001</v>
      </c>
    </row>
    <row r="88" spans="1:13" x14ac:dyDescent="0.35">
      <c r="A88" s="112" t="s">
        <v>1185</v>
      </c>
      <c r="B88" s="112" t="s">
        <v>896</v>
      </c>
      <c r="C88" s="112" t="s">
        <v>695</v>
      </c>
      <c r="D88" s="113">
        <v>10347981</v>
      </c>
      <c r="E88" s="115">
        <v>43924</v>
      </c>
      <c r="F88" s="114">
        <v>202101</v>
      </c>
      <c r="G88" s="112" t="s">
        <v>1091</v>
      </c>
      <c r="H88" s="112" t="s">
        <v>1015</v>
      </c>
      <c r="I88" s="112" t="s">
        <v>1092</v>
      </c>
      <c r="J88" s="112" t="s">
        <v>1195</v>
      </c>
      <c r="K88" s="112" t="s">
        <v>1262</v>
      </c>
      <c r="L88" s="116">
        <v>-30</v>
      </c>
      <c r="M88" s="116">
        <f t="shared" si="1"/>
        <v>-0.03</v>
      </c>
    </row>
    <row r="89" spans="1:13" hidden="1" x14ac:dyDescent="0.35">
      <c r="A89" s="112" t="s">
        <v>1185</v>
      </c>
      <c r="B89" s="112" t="s">
        <v>897</v>
      </c>
      <c r="C89" s="112" t="s">
        <v>695</v>
      </c>
      <c r="D89" s="113">
        <v>10347981</v>
      </c>
      <c r="E89" s="115">
        <v>43924</v>
      </c>
      <c r="F89" s="114">
        <v>202101</v>
      </c>
      <c r="G89" s="112" t="s">
        <v>1091</v>
      </c>
      <c r="H89" s="112" t="s">
        <v>1015</v>
      </c>
      <c r="I89" s="112" t="s">
        <v>1201</v>
      </c>
      <c r="J89" s="112" t="s">
        <v>1186</v>
      </c>
      <c r="K89" s="112" t="s">
        <v>1202</v>
      </c>
      <c r="L89" s="116">
        <v>-1761.9</v>
      </c>
      <c r="M89" s="116">
        <f t="shared" si="1"/>
        <v>-1.7619</v>
      </c>
    </row>
    <row r="90" spans="1:13" hidden="1" x14ac:dyDescent="0.35">
      <c r="A90" s="112" t="s">
        <v>1185</v>
      </c>
      <c r="B90" s="112" t="s">
        <v>895</v>
      </c>
      <c r="C90" s="112" t="s">
        <v>695</v>
      </c>
      <c r="D90" s="113">
        <v>10347981</v>
      </c>
      <c r="E90" s="115">
        <v>43924</v>
      </c>
      <c r="F90" s="114">
        <v>202101</v>
      </c>
      <c r="G90" s="112" t="s">
        <v>1091</v>
      </c>
      <c r="H90" s="112" t="s">
        <v>1015</v>
      </c>
      <c r="I90" s="112" t="s">
        <v>1271</v>
      </c>
      <c r="J90" s="112" t="s">
        <v>1272</v>
      </c>
      <c r="K90" s="112" t="s">
        <v>1273</v>
      </c>
      <c r="L90" s="116">
        <v>-100</v>
      </c>
      <c r="M90" s="116">
        <f t="shared" si="1"/>
        <v>-0.1</v>
      </c>
    </row>
    <row r="91" spans="1:13" hidden="1" x14ac:dyDescent="0.35">
      <c r="A91" s="112" t="s">
        <v>1185</v>
      </c>
      <c r="B91" s="112" t="s">
        <v>898</v>
      </c>
      <c r="C91" s="112" t="s">
        <v>695</v>
      </c>
      <c r="D91" s="113">
        <v>10347981</v>
      </c>
      <c r="E91" s="115">
        <v>43924</v>
      </c>
      <c r="F91" s="114">
        <v>202101</v>
      </c>
      <c r="G91" s="112" t="s">
        <v>1091</v>
      </c>
      <c r="H91" s="112" t="s">
        <v>1015</v>
      </c>
      <c r="I91" s="112" t="s">
        <v>763</v>
      </c>
      <c r="J91" s="112" t="s">
        <v>1213</v>
      </c>
      <c r="K91" s="112" t="s">
        <v>1274</v>
      </c>
      <c r="L91" s="116">
        <v>-8075</v>
      </c>
      <c r="M91" s="116">
        <f t="shared" si="1"/>
        <v>-8.0749999999999993</v>
      </c>
    </row>
    <row r="92" spans="1:13" hidden="1" x14ac:dyDescent="0.35">
      <c r="A92" s="112" t="s">
        <v>1185</v>
      </c>
      <c r="B92" s="112" t="s">
        <v>898</v>
      </c>
      <c r="C92" s="112" t="s">
        <v>695</v>
      </c>
      <c r="D92" s="113">
        <v>10347981</v>
      </c>
      <c r="E92" s="115">
        <v>43924</v>
      </c>
      <c r="F92" s="114">
        <v>202101</v>
      </c>
      <c r="G92" s="112" t="s">
        <v>1091</v>
      </c>
      <c r="H92" s="112" t="s">
        <v>1015</v>
      </c>
      <c r="I92" s="112" t="s">
        <v>1264</v>
      </c>
      <c r="J92" s="112" t="s">
        <v>1213</v>
      </c>
      <c r="K92" s="112" t="s">
        <v>1275</v>
      </c>
      <c r="L92" s="116">
        <v>-1485.25</v>
      </c>
      <c r="M92" s="116">
        <f t="shared" si="1"/>
        <v>-1.48525</v>
      </c>
    </row>
    <row r="93" spans="1:13" hidden="1" x14ac:dyDescent="0.35">
      <c r="A93" s="112" t="s">
        <v>1185</v>
      </c>
      <c r="B93" s="112" t="s">
        <v>1192</v>
      </c>
      <c r="C93" s="112" t="s">
        <v>695</v>
      </c>
      <c r="D93" s="113">
        <v>10347981</v>
      </c>
      <c r="E93" s="115">
        <v>43924</v>
      </c>
      <c r="F93" s="114">
        <v>202101</v>
      </c>
      <c r="G93" s="112" t="s">
        <v>1091</v>
      </c>
      <c r="H93" s="112" t="s">
        <v>1015</v>
      </c>
      <c r="I93" s="112" t="s">
        <v>767</v>
      </c>
      <c r="J93" s="112" t="s">
        <v>1198</v>
      </c>
      <c r="K93" s="112" t="s">
        <v>1276</v>
      </c>
      <c r="L93" s="116">
        <v>-41.04</v>
      </c>
      <c r="M93" s="116">
        <f t="shared" si="1"/>
        <v>-4.104E-2</v>
      </c>
    </row>
    <row r="94" spans="1:13" hidden="1" x14ac:dyDescent="0.35">
      <c r="A94" s="112" t="s">
        <v>1185</v>
      </c>
      <c r="B94" s="112" t="s">
        <v>897</v>
      </c>
      <c r="C94" s="112" t="s">
        <v>695</v>
      </c>
      <c r="D94" s="113">
        <v>10347981</v>
      </c>
      <c r="E94" s="115">
        <v>43924</v>
      </c>
      <c r="F94" s="114">
        <v>202101</v>
      </c>
      <c r="G94" s="112" t="s">
        <v>1091</v>
      </c>
      <c r="H94" s="112" t="s">
        <v>1015</v>
      </c>
      <c r="I94" s="112" t="s">
        <v>1277</v>
      </c>
      <c r="J94" s="112" t="s">
        <v>1186</v>
      </c>
      <c r="K94" s="112" t="s">
        <v>1278</v>
      </c>
      <c r="L94" s="116">
        <v>-42.92</v>
      </c>
      <c r="M94" s="116">
        <f t="shared" si="1"/>
        <v>-4.292E-2</v>
      </c>
    </row>
    <row r="95" spans="1:13" x14ac:dyDescent="0.35">
      <c r="A95" s="112" t="s">
        <v>1185</v>
      </c>
      <c r="B95" s="112" t="s">
        <v>896</v>
      </c>
      <c r="C95" s="112" t="s">
        <v>695</v>
      </c>
      <c r="D95" s="113">
        <v>10347981</v>
      </c>
      <c r="E95" s="115">
        <v>43924</v>
      </c>
      <c r="F95" s="114">
        <v>202101</v>
      </c>
      <c r="G95" s="112" t="s">
        <v>1091</v>
      </c>
      <c r="H95" s="112" t="s">
        <v>1015</v>
      </c>
      <c r="I95" s="112" t="s">
        <v>767</v>
      </c>
      <c r="J95" s="112" t="s">
        <v>1195</v>
      </c>
      <c r="K95" s="112" t="s">
        <v>1252</v>
      </c>
      <c r="L95" s="116">
        <v>-276</v>
      </c>
      <c r="M95" s="116">
        <f t="shared" si="1"/>
        <v>-0.27600000000000002</v>
      </c>
    </row>
    <row r="96" spans="1:13" hidden="1" x14ac:dyDescent="0.35">
      <c r="A96" s="112" t="s">
        <v>1185</v>
      </c>
      <c r="B96" s="112" t="s">
        <v>897</v>
      </c>
      <c r="C96" s="112" t="s">
        <v>695</v>
      </c>
      <c r="D96" s="113">
        <v>10348215</v>
      </c>
      <c r="E96" s="115">
        <v>43935</v>
      </c>
      <c r="F96" s="114">
        <v>202101</v>
      </c>
      <c r="G96" s="112" t="s">
        <v>1091</v>
      </c>
      <c r="H96" s="112" t="s">
        <v>1016</v>
      </c>
      <c r="I96" s="112" t="s">
        <v>779</v>
      </c>
      <c r="J96" s="112" t="s">
        <v>1186</v>
      </c>
      <c r="K96" s="112" t="s">
        <v>1279</v>
      </c>
      <c r="L96" s="116">
        <v>289.39999999999998</v>
      </c>
      <c r="M96" s="116">
        <f t="shared" si="1"/>
        <v>0.28939999999999999</v>
      </c>
    </row>
    <row r="97" spans="1:13" hidden="1" x14ac:dyDescent="0.35">
      <c r="A97" s="112" t="s">
        <v>1185</v>
      </c>
      <c r="B97" s="112" t="s">
        <v>897</v>
      </c>
      <c r="C97" s="112" t="s">
        <v>695</v>
      </c>
      <c r="D97" s="113">
        <v>10348215</v>
      </c>
      <c r="E97" s="115">
        <v>43935</v>
      </c>
      <c r="F97" s="114">
        <v>202101</v>
      </c>
      <c r="G97" s="112" t="s">
        <v>1091</v>
      </c>
      <c r="H97" s="112" t="s">
        <v>1016</v>
      </c>
      <c r="I97" s="112" t="s">
        <v>779</v>
      </c>
      <c r="J97" s="112" t="s">
        <v>1186</v>
      </c>
      <c r="K97" s="112" t="s">
        <v>1280</v>
      </c>
      <c r="L97" s="116">
        <v>133.96</v>
      </c>
      <c r="M97" s="116">
        <f t="shared" si="1"/>
        <v>0.13396</v>
      </c>
    </row>
    <row r="98" spans="1:13" hidden="1" x14ac:dyDescent="0.35">
      <c r="A98" s="112" t="s">
        <v>1185</v>
      </c>
      <c r="B98" s="112" t="s">
        <v>897</v>
      </c>
      <c r="C98" s="112" t="s">
        <v>695</v>
      </c>
      <c r="D98" s="113">
        <v>10348215</v>
      </c>
      <c r="E98" s="115">
        <v>43935</v>
      </c>
      <c r="F98" s="114">
        <v>202101</v>
      </c>
      <c r="G98" s="112" t="s">
        <v>1091</v>
      </c>
      <c r="H98" s="112" t="s">
        <v>1016</v>
      </c>
      <c r="I98" s="112" t="s">
        <v>779</v>
      </c>
      <c r="J98" s="112" t="s">
        <v>1186</v>
      </c>
      <c r="K98" s="112" t="s">
        <v>1281</v>
      </c>
      <c r="L98" s="116">
        <v>28.29</v>
      </c>
      <c r="M98" s="116">
        <f t="shared" si="1"/>
        <v>2.8289999999999999E-2</v>
      </c>
    </row>
    <row r="99" spans="1:13" hidden="1" x14ac:dyDescent="0.35">
      <c r="A99" s="112" t="s">
        <v>1185</v>
      </c>
      <c r="B99" s="112" t="s">
        <v>897</v>
      </c>
      <c r="C99" s="112" t="s">
        <v>695</v>
      </c>
      <c r="D99" s="113">
        <v>10348215</v>
      </c>
      <c r="E99" s="115">
        <v>43935</v>
      </c>
      <c r="F99" s="114">
        <v>202101</v>
      </c>
      <c r="G99" s="112" t="s">
        <v>1091</v>
      </c>
      <c r="H99" s="112" t="s">
        <v>1016</v>
      </c>
      <c r="I99" s="112" t="s">
        <v>779</v>
      </c>
      <c r="J99" s="112" t="s">
        <v>1186</v>
      </c>
      <c r="K99" s="112" t="s">
        <v>1282</v>
      </c>
      <c r="L99" s="116">
        <v>28.29</v>
      </c>
      <c r="M99" s="116">
        <f t="shared" si="1"/>
        <v>2.8289999999999999E-2</v>
      </c>
    </row>
    <row r="100" spans="1:13" hidden="1" x14ac:dyDescent="0.35">
      <c r="A100" s="112" t="s">
        <v>1185</v>
      </c>
      <c r="B100" s="112" t="s">
        <v>897</v>
      </c>
      <c r="C100" s="112" t="s">
        <v>695</v>
      </c>
      <c r="D100" s="113">
        <v>10348215</v>
      </c>
      <c r="E100" s="115">
        <v>43935</v>
      </c>
      <c r="F100" s="114">
        <v>202101</v>
      </c>
      <c r="G100" s="112" t="s">
        <v>1091</v>
      </c>
      <c r="H100" s="112" t="s">
        <v>1016</v>
      </c>
      <c r="I100" s="112" t="s">
        <v>779</v>
      </c>
      <c r="J100" s="112" t="s">
        <v>1186</v>
      </c>
      <c r="K100" s="112" t="s">
        <v>1283</v>
      </c>
      <c r="L100" s="116">
        <v>917.6</v>
      </c>
      <c r="M100" s="116">
        <f t="shared" si="1"/>
        <v>0.91759999999999997</v>
      </c>
    </row>
    <row r="101" spans="1:13" hidden="1" x14ac:dyDescent="0.35">
      <c r="A101" s="112" t="s">
        <v>1185</v>
      </c>
      <c r="B101" s="112" t="s">
        <v>897</v>
      </c>
      <c r="C101" s="112" t="s">
        <v>695</v>
      </c>
      <c r="D101" s="113">
        <v>10348215</v>
      </c>
      <c r="E101" s="115">
        <v>43935</v>
      </c>
      <c r="F101" s="114">
        <v>202101</v>
      </c>
      <c r="G101" s="112" t="s">
        <v>1091</v>
      </c>
      <c r="H101" s="112" t="s">
        <v>1016</v>
      </c>
      <c r="I101" s="112" t="s">
        <v>779</v>
      </c>
      <c r="J101" s="112" t="s">
        <v>1186</v>
      </c>
      <c r="K101" s="112" t="s">
        <v>1284</v>
      </c>
      <c r="L101" s="116">
        <v>1952.17</v>
      </c>
      <c r="M101" s="116">
        <f t="shared" si="1"/>
        <v>1.9521700000000002</v>
      </c>
    </row>
    <row r="102" spans="1:13" hidden="1" x14ac:dyDescent="0.35">
      <c r="A102" s="112" t="s">
        <v>1185</v>
      </c>
      <c r="B102" s="112" t="s">
        <v>897</v>
      </c>
      <c r="C102" s="112" t="s">
        <v>695</v>
      </c>
      <c r="D102" s="113">
        <v>10348215</v>
      </c>
      <c r="E102" s="115">
        <v>43935</v>
      </c>
      <c r="F102" s="114">
        <v>202101</v>
      </c>
      <c r="G102" s="112" t="s">
        <v>1091</v>
      </c>
      <c r="H102" s="112" t="s">
        <v>1016</v>
      </c>
      <c r="I102" s="112" t="s">
        <v>779</v>
      </c>
      <c r="J102" s="112" t="s">
        <v>1186</v>
      </c>
      <c r="K102" s="112" t="s">
        <v>1285</v>
      </c>
      <c r="L102" s="116">
        <v>154.49</v>
      </c>
      <c r="M102" s="116">
        <f t="shared" si="1"/>
        <v>0.15449000000000002</v>
      </c>
    </row>
    <row r="103" spans="1:13" hidden="1" x14ac:dyDescent="0.35">
      <c r="A103" s="112" t="s">
        <v>1185</v>
      </c>
      <c r="B103" s="112" t="s">
        <v>897</v>
      </c>
      <c r="C103" s="112" t="s">
        <v>695</v>
      </c>
      <c r="D103" s="113">
        <v>10348215</v>
      </c>
      <c r="E103" s="115">
        <v>43935</v>
      </c>
      <c r="F103" s="114">
        <v>202101</v>
      </c>
      <c r="G103" s="112" t="s">
        <v>1091</v>
      </c>
      <c r="H103" s="112" t="s">
        <v>1016</v>
      </c>
      <c r="I103" s="112" t="s">
        <v>779</v>
      </c>
      <c r="J103" s="112" t="s">
        <v>1186</v>
      </c>
      <c r="K103" s="112" t="s">
        <v>1279</v>
      </c>
      <c r="L103" s="116">
        <v>289.39999999999998</v>
      </c>
      <c r="M103" s="116">
        <f t="shared" si="1"/>
        <v>0.28939999999999999</v>
      </c>
    </row>
    <row r="104" spans="1:13" hidden="1" x14ac:dyDescent="0.35">
      <c r="A104" s="112" t="s">
        <v>1185</v>
      </c>
      <c r="B104" s="112" t="s">
        <v>898</v>
      </c>
      <c r="C104" s="112" t="s">
        <v>695</v>
      </c>
      <c r="D104" s="113">
        <v>10348469</v>
      </c>
      <c r="E104" s="115">
        <v>43948</v>
      </c>
      <c r="F104" s="114">
        <v>202101</v>
      </c>
      <c r="G104" s="112" t="s">
        <v>1091</v>
      </c>
      <c r="H104" s="112" t="s">
        <v>1016</v>
      </c>
      <c r="I104" s="112" t="s">
        <v>779</v>
      </c>
      <c r="J104" s="112" t="s">
        <v>1207</v>
      </c>
      <c r="K104" s="112" t="s">
        <v>1286</v>
      </c>
      <c r="L104" s="116">
        <v>1689.23</v>
      </c>
      <c r="M104" s="116">
        <f t="shared" si="1"/>
        <v>1.68923</v>
      </c>
    </row>
    <row r="105" spans="1:13" hidden="1" x14ac:dyDescent="0.35">
      <c r="A105" s="112" t="s">
        <v>1185</v>
      </c>
      <c r="B105" s="112" t="s">
        <v>898</v>
      </c>
      <c r="C105" s="112" t="s">
        <v>695</v>
      </c>
      <c r="D105" s="113">
        <v>10348469</v>
      </c>
      <c r="E105" s="115">
        <v>43948</v>
      </c>
      <c r="F105" s="114">
        <v>202101</v>
      </c>
      <c r="G105" s="112" t="s">
        <v>1091</v>
      </c>
      <c r="H105" s="112" t="s">
        <v>1016</v>
      </c>
      <c r="I105" s="112" t="s">
        <v>779</v>
      </c>
      <c r="J105" s="112" t="s">
        <v>1207</v>
      </c>
      <c r="K105" s="112" t="s">
        <v>1287</v>
      </c>
      <c r="L105" s="116">
        <v>3000.36</v>
      </c>
      <c r="M105" s="116">
        <f t="shared" si="1"/>
        <v>3.0003600000000001</v>
      </c>
    </row>
    <row r="106" spans="1:13" hidden="1" x14ac:dyDescent="0.35">
      <c r="A106" s="112" t="s">
        <v>1185</v>
      </c>
      <c r="B106" s="112" t="s">
        <v>897</v>
      </c>
      <c r="C106" s="112" t="s">
        <v>695</v>
      </c>
      <c r="D106" s="113">
        <v>10348207</v>
      </c>
      <c r="E106" s="115">
        <v>43935</v>
      </c>
      <c r="F106" s="114">
        <v>202101</v>
      </c>
      <c r="G106" s="112" t="s">
        <v>1091</v>
      </c>
      <c r="H106" s="112" t="s">
        <v>1016</v>
      </c>
      <c r="I106" s="112" t="s">
        <v>779</v>
      </c>
      <c r="J106" s="112" t="s">
        <v>1186</v>
      </c>
      <c r="K106" s="112" t="s">
        <v>1289</v>
      </c>
      <c r="L106" s="116">
        <v>-1833.02</v>
      </c>
      <c r="M106" s="116">
        <f t="shared" si="1"/>
        <v>-1.8330199999999999</v>
      </c>
    </row>
    <row r="107" spans="1:13" hidden="1" x14ac:dyDescent="0.35">
      <c r="A107" s="112" t="s">
        <v>1185</v>
      </c>
      <c r="B107" s="112" t="s">
        <v>897</v>
      </c>
      <c r="C107" s="112" t="s">
        <v>695</v>
      </c>
      <c r="D107" s="113">
        <v>10348207</v>
      </c>
      <c r="E107" s="115">
        <v>43935</v>
      </c>
      <c r="F107" s="114">
        <v>202101</v>
      </c>
      <c r="G107" s="112" t="s">
        <v>1091</v>
      </c>
      <c r="H107" s="112" t="s">
        <v>1016</v>
      </c>
      <c r="I107" s="112" t="s">
        <v>779</v>
      </c>
      <c r="J107" s="112" t="s">
        <v>1186</v>
      </c>
      <c r="K107" s="112" t="s">
        <v>1290</v>
      </c>
      <c r="L107" s="116">
        <v>-545.15</v>
      </c>
      <c r="M107" s="116">
        <f t="shared" si="1"/>
        <v>-0.54515000000000002</v>
      </c>
    </row>
    <row r="108" spans="1:13" hidden="1" x14ac:dyDescent="0.35">
      <c r="A108" s="112" t="s">
        <v>1185</v>
      </c>
      <c r="B108" s="112" t="s">
        <v>897</v>
      </c>
      <c r="C108" s="112" t="s">
        <v>695</v>
      </c>
      <c r="D108" s="113">
        <v>10348207</v>
      </c>
      <c r="E108" s="115">
        <v>43935</v>
      </c>
      <c r="F108" s="114">
        <v>202101</v>
      </c>
      <c r="G108" s="112" t="s">
        <v>1091</v>
      </c>
      <c r="H108" s="112" t="s">
        <v>1016</v>
      </c>
      <c r="I108" s="112" t="s">
        <v>779</v>
      </c>
      <c r="J108" s="112" t="s">
        <v>1186</v>
      </c>
      <c r="K108" s="112" t="s">
        <v>1280</v>
      </c>
      <c r="L108" s="116">
        <v>-133.96</v>
      </c>
      <c r="M108" s="116">
        <f t="shared" si="1"/>
        <v>-0.13396</v>
      </c>
    </row>
    <row r="109" spans="1:13" hidden="1" x14ac:dyDescent="0.35">
      <c r="A109" s="112" t="s">
        <v>1185</v>
      </c>
      <c r="B109" s="112" t="s">
        <v>897</v>
      </c>
      <c r="C109" s="112" t="s">
        <v>695</v>
      </c>
      <c r="D109" s="113">
        <v>10348207</v>
      </c>
      <c r="E109" s="115">
        <v>43935</v>
      </c>
      <c r="F109" s="114">
        <v>202101</v>
      </c>
      <c r="G109" s="112" t="s">
        <v>1091</v>
      </c>
      <c r="H109" s="112" t="s">
        <v>1016</v>
      </c>
      <c r="I109" s="112" t="s">
        <v>779</v>
      </c>
      <c r="J109" s="112" t="s">
        <v>1186</v>
      </c>
      <c r="K109" s="112" t="s">
        <v>1279</v>
      </c>
      <c r="L109" s="116">
        <v>-289.39999999999998</v>
      </c>
      <c r="M109" s="116">
        <f t="shared" si="1"/>
        <v>-0.28939999999999999</v>
      </c>
    </row>
    <row r="110" spans="1:13" hidden="1" x14ac:dyDescent="0.35">
      <c r="A110" s="112" t="s">
        <v>1185</v>
      </c>
      <c r="B110" s="112" t="s">
        <v>897</v>
      </c>
      <c r="C110" s="112" t="s">
        <v>695</v>
      </c>
      <c r="D110" s="113">
        <v>10348207</v>
      </c>
      <c r="E110" s="115">
        <v>43935</v>
      </c>
      <c r="F110" s="114">
        <v>202101</v>
      </c>
      <c r="G110" s="112" t="s">
        <v>1091</v>
      </c>
      <c r="H110" s="112" t="s">
        <v>1016</v>
      </c>
      <c r="I110" s="112" t="s">
        <v>779</v>
      </c>
      <c r="J110" s="112" t="s">
        <v>1186</v>
      </c>
      <c r="K110" s="112" t="s">
        <v>1285</v>
      </c>
      <c r="L110" s="116">
        <v>-154.49</v>
      </c>
      <c r="M110" s="116">
        <f t="shared" si="1"/>
        <v>-0.15449000000000002</v>
      </c>
    </row>
    <row r="111" spans="1:13" hidden="1" x14ac:dyDescent="0.35">
      <c r="A111" s="112" t="s">
        <v>1185</v>
      </c>
      <c r="B111" s="112" t="s">
        <v>897</v>
      </c>
      <c r="C111" s="112" t="s">
        <v>695</v>
      </c>
      <c r="D111" s="113">
        <v>10348207</v>
      </c>
      <c r="E111" s="115">
        <v>43935</v>
      </c>
      <c r="F111" s="114">
        <v>202101</v>
      </c>
      <c r="G111" s="112" t="s">
        <v>1091</v>
      </c>
      <c r="H111" s="112" t="s">
        <v>1016</v>
      </c>
      <c r="I111" s="112" t="s">
        <v>779</v>
      </c>
      <c r="J111" s="112" t="s">
        <v>1186</v>
      </c>
      <c r="K111" s="112" t="s">
        <v>1284</v>
      </c>
      <c r="L111" s="116">
        <v>-1952.17</v>
      </c>
      <c r="M111" s="116">
        <f t="shared" si="1"/>
        <v>-1.9521700000000002</v>
      </c>
    </row>
    <row r="112" spans="1:13" hidden="1" x14ac:dyDescent="0.35">
      <c r="A112" s="112" t="s">
        <v>1185</v>
      </c>
      <c r="B112" s="112" t="s">
        <v>898</v>
      </c>
      <c r="C112" s="112" t="s">
        <v>695</v>
      </c>
      <c r="D112" s="113">
        <v>10348204</v>
      </c>
      <c r="E112" s="115">
        <v>43935</v>
      </c>
      <c r="F112" s="114">
        <v>202101</v>
      </c>
      <c r="G112" s="112" t="s">
        <v>1091</v>
      </c>
      <c r="H112" s="112" t="s">
        <v>1016</v>
      </c>
      <c r="I112" s="112" t="s">
        <v>1291</v>
      </c>
      <c r="J112" s="112" t="s">
        <v>1200</v>
      </c>
      <c r="K112" s="112" t="s">
        <v>1292</v>
      </c>
      <c r="L112" s="116">
        <v>-3250</v>
      </c>
      <c r="M112" s="116">
        <f t="shared" si="1"/>
        <v>-3.25</v>
      </c>
    </row>
    <row r="113" spans="1:13" hidden="1" x14ac:dyDescent="0.35">
      <c r="A113" s="112" t="s">
        <v>1185</v>
      </c>
      <c r="B113" s="112" t="s">
        <v>898</v>
      </c>
      <c r="C113" s="112" t="s">
        <v>695</v>
      </c>
      <c r="D113" s="113">
        <v>10348377</v>
      </c>
      <c r="E113" s="115">
        <v>43943</v>
      </c>
      <c r="F113" s="114">
        <v>202101</v>
      </c>
      <c r="G113" s="112" t="s">
        <v>1091</v>
      </c>
      <c r="H113" s="112" t="s">
        <v>1016</v>
      </c>
      <c r="I113" s="112" t="s">
        <v>1293</v>
      </c>
      <c r="J113" s="112" t="s">
        <v>1207</v>
      </c>
      <c r="K113" s="112" t="s">
        <v>1294</v>
      </c>
      <c r="L113" s="116">
        <v>1055.5999999999999</v>
      </c>
      <c r="M113" s="116">
        <f t="shared" si="1"/>
        <v>1.0555999999999999</v>
      </c>
    </row>
    <row r="114" spans="1:13" hidden="1" x14ac:dyDescent="0.35">
      <c r="A114" s="112" t="s">
        <v>1185</v>
      </c>
      <c r="B114" s="112" t="s">
        <v>897</v>
      </c>
      <c r="C114" s="112" t="s">
        <v>695</v>
      </c>
      <c r="D114" s="113">
        <v>10348207</v>
      </c>
      <c r="E114" s="115">
        <v>43935</v>
      </c>
      <c r="F114" s="114">
        <v>202101</v>
      </c>
      <c r="G114" s="112" t="s">
        <v>1091</v>
      </c>
      <c r="H114" s="112" t="s">
        <v>1016</v>
      </c>
      <c r="I114" s="112" t="s">
        <v>779</v>
      </c>
      <c r="J114" s="112" t="s">
        <v>1186</v>
      </c>
      <c r="K114" s="112" t="s">
        <v>1295</v>
      </c>
      <c r="L114" s="116">
        <v>-1348.05</v>
      </c>
      <c r="M114" s="116">
        <f t="shared" si="1"/>
        <v>-1.34805</v>
      </c>
    </row>
    <row r="115" spans="1:13" hidden="1" x14ac:dyDescent="0.35">
      <c r="A115" s="112" t="s">
        <v>1185</v>
      </c>
      <c r="B115" s="112" t="s">
        <v>897</v>
      </c>
      <c r="C115" s="112" t="s">
        <v>695</v>
      </c>
      <c r="D115" s="113">
        <v>10348207</v>
      </c>
      <c r="E115" s="115">
        <v>43935</v>
      </c>
      <c r="F115" s="114">
        <v>202101</v>
      </c>
      <c r="G115" s="112" t="s">
        <v>1091</v>
      </c>
      <c r="H115" s="112" t="s">
        <v>1016</v>
      </c>
      <c r="I115" s="112" t="s">
        <v>779</v>
      </c>
      <c r="J115" s="112" t="s">
        <v>1186</v>
      </c>
      <c r="K115" s="112" t="s">
        <v>1281</v>
      </c>
      <c r="L115" s="116">
        <v>-28.29</v>
      </c>
      <c r="M115" s="116">
        <f t="shared" si="1"/>
        <v>-2.8289999999999999E-2</v>
      </c>
    </row>
    <row r="116" spans="1:13" hidden="1" x14ac:dyDescent="0.35">
      <c r="A116" s="112" t="s">
        <v>1185</v>
      </c>
      <c r="B116" s="112" t="s">
        <v>897</v>
      </c>
      <c r="C116" s="112" t="s">
        <v>695</v>
      </c>
      <c r="D116" s="113">
        <v>10348215</v>
      </c>
      <c r="E116" s="115">
        <v>43935</v>
      </c>
      <c r="F116" s="114">
        <v>202101</v>
      </c>
      <c r="G116" s="112" t="s">
        <v>1091</v>
      </c>
      <c r="H116" s="112" t="s">
        <v>1016</v>
      </c>
      <c r="I116" s="112" t="s">
        <v>779</v>
      </c>
      <c r="J116" s="112" t="s">
        <v>1186</v>
      </c>
      <c r="K116" s="112" t="s">
        <v>1290</v>
      </c>
      <c r="L116" s="116">
        <v>545.15</v>
      </c>
      <c r="M116" s="116">
        <f t="shared" si="1"/>
        <v>0.54515000000000002</v>
      </c>
    </row>
    <row r="117" spans="1:13" hidden="1" x14ac:dyDescent="0.35">
      <c r="A117" s="112" t="s">
        <v>1185</v>
      </c>
      <c r="B117" s="112" t="s">
        <v>897</v>
      </c>
      <c r="C117" s="112" t="s">
        <v>695</v>
      </c>
      <c r="D117" s="113">
        <v>10348215</v>
      </c>
      <c r="E117" s="115">
        <v>43935</v>
      </c>
      <c r="F117" s="114">
        <v>202101</v>
      </c>
      <c r="G117" s="112" t="s">
        <v>1091</v>
      </c>
      <c r="H117" s="112" t="s">
        <v>1016</v>
      </c>
      <c r="I117" s="112" t="s">
        <v>779</v>
      </c>
      <c r="J117" s="112" t="s">
        <v>1186</v>
      </c>
      <c r="K117" s="112" t="s">
        <v>1282</v>
      </c>
      <c r="L117" s="116">
        <v>28.29</v>
      </c>
      <c r="M117" s="116">
        <f t="shared" si="1"/>
        <v>2.8289999999999999E-2</v>
      </c>
    </row>
    <row r="118" spans="1:13" hidden="1" x14ac:dyDescent="0.35">
      <c r="A118" s="112" t="s">
        <v>1185</v>
      </c>
      <c r="B118" s="112" t="s">
        <v>897</v>
      </c>
      <c r="C118" s="112" t="s">
        <v>695</v>
      </c>
      <c r="D118" s="113">
        <v>10348215</v>
      </c>
      <c r="E118" s="115">
        <v>43935</v>
      </c>
      <c r="F118" s="114">
        <v>202101</v>
      </c>
      <c r="G118" s="112" t="s">
        <v>1091</v>
      </c>
      <c r="H118" s="112" t="s">
        <v>1016</v>
      </c>
      <c r="I118" s="112" t="s">
        <v>779</v>
      </c>
      <c r="J118" s="112" t="s">
        <v>1186</v>
      </c>
      <c r="K118" s="112" t="s">
        <v>1281</v>
      </c>
      <c r="L118" s="116">
        <v>28.29</v>
      </c>
      <c r="M118" s="116">
        <f t="shared" si="1"/>
        <v>2.8289999999999999E-2</v>
      </c>
    </row>
    <row r="119" spans="1:13" hidden="1" x14ac:dyDescent="0.35">
      <c r="A119" s="112" t="s">
        <v>1185</v>
      </c>
      <c r="B119" s="112" t="s">
        <v>897</v>
      </c>
      <c r="C119" s="112" t="s">
        <v>695</v>
      </c>
      <c r="D119" s="113">
        <v>10348215</v>
      </c>
      <c r="E119" s="115">
        <v>43935</v>
      </c>
      <c r="F119" s="114">
        <v>202101</v>
      </c>
      <c r="G119" s="112" t="s">
        <v>1091</v>
      </c>
      <c r="H119" s="112" t="s">
        <v>1016</v>
      </c>
      <c r="I119" s="112" t="s">
        <v>779</v>
      </c>
      <c r="J119" s="112" t="s">
        <v>1186</v>
      </c>
      <c r="K119" s="112" t="s">
        <v>1296</v>
      </c>
      <c r="L119" s="116">
        <v>1240.7</v>
      </c>
      <c r="M119" s="116">
        <f t="shared" si="1"/>
        <v>1.2407000000000001</v>
      </c>
    </row>
    <row r="120" spans="1:13" hidden="1" x14ac:dyDescent="0.35">
      <c r="A120" s="112" t="s">
        <v>1185</v>
      </c>
      <c r="B120" s="112" t="s">
        <v>897</v>
      </c>
      <c r="C120" s="112" t="s">
        <v>695</v>
      </c>
      <c r="D120" s="113">
        <v>10348215</v>
      </c>
      <c r="E120" s="115">
        <v>43935</v>
      </c>
      <c r="F120" s="114">
        <v>202101</v>
      </c>
      <c r="G120" s="112" t="s">
        <v>1091</v>
      </c>
      <c r="H120" s="112" t="s">
        <v>1016</v>
      </c>
      <c r="I120" s="112" t="s">
        <v>779</v>
      </c>
      <c r="J120" s="112" t="s">
        <v>1186</v>
      </c>
      <c r="K120" s="112" t="s">
        <v>1283</v>
      </c>
      <c r="L120" s="116">
        <v>917.6</v>
      </c>
      <c r="M120" s="116">
        <f t="shared" si="1"/>
        <v>0.91759999999999997</v>
      </c>
    </row>
    <row r="121" spans="1:13" hidden="1" x14ac:dyDescent="0.35">
      <c r="A121" s="112" t="s">
        <v>1185</v>
      </c>
      <c r="B121" s="112" t="s">
        <v>897</v>
      </c>
      <c r="C121" s="112" t="s">
        <v>695</v>
      </c>
      <c r="D121" s="113">
        <v>10348215</v>
      </c>
      <c r="E121" s="115">
        <v>43935</v>
      </c>
      <c r="F121" s="114">
        <v>202101</v>
      </c>
      <c r="G121" s="112" t="s">
        <v>1091</v>
      </c>
      <c r="H121" s="112" t="s">
        <v>1016</v>
      </c>
      <c r="I121" s="112" t="s">
        <v>779</v>
      </c>
      <c r="J121" s="112" t="s">
        <v>1186</v>
      </c>
      <c r="K121" s="112" t="s">
        <v>1297</v>
      </c>
      <c r="L121" s="116">
        <v>4703.22</v>
      </c>
      <c r="M121" s="116">
        <f t="shared" si="1"/>
        <v>4.70322</v>
      </c>
    </row>
    <row r="122" spans="1:13" hidden="1" x14ac:dyDescent="0.35">
      <c r="A122" s="112" t="s">
        <v>1185</v>
      </c>
      <c r="B122" s="112" t="s">
        <v>897</v>
      </c>
      <c r="C122" s="112" t="s">
        <v>695</v>
      </c>
      <c r="D122" s="113">
        <v>10348215</v>
      </c>
      <c r="E122" s="115">
        <v>43935</v>
      </c>
      <c r="F122" s="114">
        <v>202101</v>
      </c>
      <c r="G122" s="112" t="s">
        <v>1091</v>
      </c>
      <c r="H122" s="112" t="s">
        <v>1016</v>
      </c>
      <c r="I122" s="112" t="s">
        <v>779</v>
      </c>
      <c r="J122" s="112" t="s">
        <v>1186</v>
      </c>
      <c r="K122" s="112" t="s">
        <v>1298</v>
      </c>
      <c r="L122" s="116">
        <v>1304.5899999999999</v>
      </c>
      <c r="M122" s="116">
        <f t="shared" si="1"/>
        <v>1.3045899999999999</v>
      </c>
    </row>
    <row r="123" spans="1:13" hidden="1" x14ac:dyDescent="0.35">
      <c r="A123" s="112" t="s">
        <v>1185</v>
      </c>
      <c r="B123" s="112" t="s">
        <v>897</v>
      </c>
      <c r="C123" s="112" t="s">
        <v>695</v>
      </c>
      <c r="D123" s="113">
        <v>10348215</v>
      </c>
      <c r="E123" s="115">
        <v>43935</v>
      </c>
      <c r="F123" s="114">
        <v>202101</v>
      </c>
      <c r="G123" s="112" t="s">
        <v>1091</v>
      </c>
      <c r="H123" s="112" t="s">
        <v>1016</v>
      </c>
      <c r="I123" s="112" t="s">
        <v>779</v>
      </c>
      <c r="J123" s="112" t="s">
        <v>1186</v>
      </c>
      <c r="K123" s="112" t="s">
        <v>1299</v>
      </c>
      <c r="L123" s="116">
        <v>1465.01</v>
      </c>
      <c r="M123" s="116">
        <f t="shared" si="1"/>
        <v>1.4650099999999999</v>
      </c>
    </row>
    <row r="124" spans="1:13" hidden="1" x14ac:dyDescent="0.35">
      <c r="A124" s="112" t="s">
        <v>1185</v>
      </c>
      <c r="B124" s="112" t="s">
        <v>897</v>
      </c>
      <c r="C124" s="112" t="s">
        <v>695</v>
      </c>
      <c r="D124" s="113">
        <v>10348215</v>
      </c>
      <c r="E124" s="115">
        <v>43935</v>
      </c>
      <c r="F124" s="114">
        <v>202101</v>
      </c>
      <c r="G124" s="112" t="s">
        <v>1091</v>
      </c>
      <c r="H124" s="112" t="s">
        <v>1016</v>
      </c>
      <c r="I124" s="112" t="s">
        <v>779</v>
      </c>
      <c r="J124" s="112" t="s">
        <v>1186</v>
      </c>
      <c r="K124" s="112" t="s">
        <v>1290</v>
      </c>
      <c r="L124" s="116">
        <v>545.15</v>
      </c>
      <c r="M124" s="116">
        <f t="shared" si="1"/>
        <v>0.54515000000000002</v>
      </c>
    </row>
    <row r="125" spans="1:13" hidden="1" x14ac:dyDescent="0.35">
      <c r="A125" s="112" t="s">
        <v>1185</v>
      </c>
      <c r="B125" s="112" t="s">
        <v>897</v>
      </c>
      <c r="C125" s="112" t="s">
        <v>695</v>
      </c>
      <c r="D125" s="113">
        <v>10348215</v>
      </c>
      <c r="E125" s="115">
        <v>43935</v>
      </c>
      <c r="F125" s="114">
        <v>202101</v>
      </c>
      <c r="G125" s="112" t="s">
        <v>1091</v>
      </c>
      <c r="H125" s="112" t="s">
        <v>1016</v>
      </c>
      <c r="I125" s="112" t="s">
        <v>779</v>
      </c>
      <c r="J125" s="112" t="s">
        <v>1186</v>
      </c>
      <c r="K125" s="112" t="s">
        <v>1289</v>
      </c>
      <c r="L125" s="116">
        <v>1833.02</v>
      </c>
      <c r="M125" s="116">
        <f t="shared" si="1"/>
        <v>1.8330199999999999</v>
      </c>
    </row>
    <row r="126" spans="1:13" hidden="1" x14ac:dyDescent="0.35">
      <c r="A126" s="112" t="s">
        <v>1185</v>
      </c>
      <c r="B126" s="112" t="s">
        <v>897</v>
      </c>
      <c r="C126" s="112" t="s">
        <v>695</v>
      </c>
      <c r="D126" s="113">
        <v>10348215</v>
      </c>
      <c r="E126" s="115">
        <v>43935</v>
      </c>
      <c r="F126" s="114">
        <v>202101</v>
      </c>
      <c r="G126" s="112" t="s">
        <v>1091</v>
      </c>
      <c r="H126" s="112" t="s">
        <v>1016</v>
      </c>
      <c r="I126" s="112" t="s">
        <v>779</v>
      </c>
      <c r="J126" s="112" t="s">
        <v>1186</v>
      </c>
      <c r="K126" s="112" t="s">
        <v>1298</v>
      </c>
      <c r="L126" s="116">
        <v>1304.5899999999999</v>
      </c>
      <c r="M126" s="116">
        <f t="shared" si="1"/>
        <v>1.3045899999999999</v>
      </c>
    </row>
    <row r="127" spans="1:13" hidden="1" x14ac:dyDescent="0.35">
      <c r="A127" s="112" t="s">
        <v>1185</v>
      </c>
      <c r="B127" s="112" t="s">
        <v>897</v>
      </c>
      <c r="C127" s="112" t="s">
        <v>695</v>
      </c>
      <c r="D127" s="113">
        <v>10348215</v>
      </c>
      <c r="E127" s="115">
        <v>43935</v>
      </c>
      <c r="F127" s="114">
        <v>202101</v>
      </c>
      <c r="G127" s="112" t="s">
        <v>1091</v>
      </c>
      <c r="H127" s="112" t="s">
        <v>1016</v>
      </c>
      <c r="I127" s="112" t="s">
        <v>779</v>
      </c>
      <c r="J127" s="112" t="s">
        <v>1186</v>
      </c>
      <c r="K127" s="112" t="s">
        <v>1299</v>
      </c>
      <c r="L127" s="116">
        <v>1465.01</v>
      </c>
      <c r="M127" s="116">
        <f t="shared" si="1"/>
        <v>1.4650099999999999</v>
      </c>
    </row>
    <row r="128" spans="1:13" hidden="1" x14ac:dyDescent="0.35">
      <c r="A128" s="112" t="s">
        <v>1185</v>
      </c>
      <c r="B128" s="112" t="s">
        <v>897</v>
      </c>
      <c r="C128" s="112" t="s">
        <v>695</v>
      </c>
      <c r="D128" s="113">
        <v>10348215</v>
      </c>
      <c r="E128" s="115">
        <v>43935</v>
      </c>
      <c r="F128" s="114">
        <v>202101</v>
      </c>
      <c r="G128" s="112" t="s">
        <v>1091</v>
      </c>
      <c r="H128" s="112" t="s">
        <v>1016</v>
      </c>
      <c r="I128" s="112" t="s">
        <v>779</v>
      </c>
      <c r="J128" s="112" t="s">
        <v>1186</v>
      </c>
      <c r="K128" s="112" t="s">
        <v>1296</v>
      </c>
      <c r="L128" s="116">
        <v>1240.7</v>
      </c>
      <c r="M128" s="116">
        <f t="shared" si="1"/>
        <v>1.2407000000000001</v>
      </c>
    </row>
    <row r="129" spans="1:13" hidden="1" x14ac:dyDescent="0.35">
      <c r="A129" s="112" t="s">
        <v>1185</v>
      </c>
      <c r="B129" s="112" t="s">
        <v>897</v>
      </c>
      <c r="C129" s="112" t="s">
        <v>695</v>
      </c>
      <c r="D129" s="113">
        <v>10348215</v>
      </c>
      <c r="E129" s="115">
        <v>43935</v>
      </c>
      <c r="F129" s="114">
        <v>202101</v>
      </c>
      <c r="G129" s="112" t="s">
        <v>1091</v>
      </c>
      <c r="H129" s="112" t="s">
        <v>1016</v>
      </c>
      <c r="I129" s="112" t="s">
        <v>779</v>
      </c>
      <c r="J129" s="112" t="s">
        <v>1186</v>
      </c>
      <c r="K129" s="112" t="s">
        <v>1297</v>
      </c>
      <c r="L129" s="116">
        <v>4703.22</v>
      </c>
      <c r="M129" s="116">
        <f t="shared" si="1"/>
        <v>4.70322</v>
      </c>
    </row>
    <row r="130" spans="1:13" hidden="1" x14ac:dyDescent="0.35">
      <c r="A130" s="112" t="s">
        <v>1185</v>
      </c>
      <c r="B130" s="112" t="s">
        <v>897</v>
      </c>
      <c r="C130" s="112" t="s">
        <v>695</v>
      </c>
      <c r="D130" s="113">
        <v>10348215</v>
      </c>
      <c r="E130" s="115">
        <v>43935</v>
      </c>
      <c r="F130" s="114">
        <v>202101</v>
      </c>
      <c r="G130" s="112" t="s">
        <v>1091</v>
      </c>
      <c r="H130" s="112" t="s">
        <v>1016</v>
      </c>
      <c r="I130" s="112" t="s">
        <v>779</v>
      </c>
      <c r="J130" s="112" t="s">
        <v>1186</v>
      </c>
      <c r="K130" s="112" t="s">
        <v>1289</v>
      </c>
      <c r="L130" s="116">
        <v>1833.02</v>
      </c>
      <c r="M130" s="116">
        <f t="shared" si="1"/>
        <v>1.8330199999999999</v>
      </c>
    </row>
    <row r="131" spans="1:13" hidden="1" x14ac:dyDescent="0.35">
      <c r="A131" s="112" t="s">
        <v>1185</v>
      </c>
      <c r="B131" s="112" t="s">
        <v>897</v>
      </c>
      <c r="C131" s="112" t="s">
        <v>695</v>
      </c>
      <c r="D131" s="113">
        <v>10348215</v>
      </c>
      <c r="E131" s="115">
        <v>43935</v>
      </c>
      <c r="F131" s="114">
        <v>202101</v>
      </c>
      <c r="G131" s="112" t="s">
        <v>1091</v>
      </c>
      <c r="H131" s="112" t="s">
        <v>1016</v>
      </c>
      <c r="I131" s="112" t="s">
        <v>779</v>
      </c>
      <c r="J131" s="112" t="s">
        <v>1186</v>
      </c>
      <c r="K131" s="112" t="s">
        <v>1295</v>
      </c>
      <c r="L131" s="116">
        <v>1348.05</v>
      </c>
      <c r="M131" s="116">
        <f t="shared" ref="M131:M194" si="2">L131/1000</f>
        <v>1.34805</v>
      </c>
    </row>
    <row r="132" spans="1:13" hidden="1" x14ac:dyDescent="0.35">
      <c r="A132" s="112" t="s">
        <v>1185</v>
      </c>
      <c r="B132" s="112" t="s">
        <v>897</v>
      </c>
      <c r="C132" s="112" t="s">
        <v>695</v>
      </c>
      <c r="D132" s="113">
        <v>10348215</v>
      </c>
      <c r="E132" s="115">
        <v>43935</v>
      </c>
      <c r="F132" s="114">
        <v>202101</v>
      </c>
      <c r="G132" s="112" t="s">
        <v>1091</v>
      </c>
      <c r="H132" s="112" t="s">
        <v>1016</v>
      </c>
      <c r="I132" s="112" t="s">
        <v>779</v>
      </c>
      <c r="J132" s="112" t="s">
        <v>1186</v>
      </c>
      <c r="K132" s="112" t="s">
        <v>1295</v>
      </c>
      <c r="L132" s="116">
        <v>1348.05</v>
      </c>
      <c r="M132" s="116">
        <f t="shared" si="2"/>
        <v>1.34805</v>
      </c>
    </row>
    <row r="133" spans="1:13" hidden="1" x14ac:dyDescent="0.35">
      <c r="A133" s="112" t="s">
        <v>1185</v>
      </c>
      <c r="B133" s="112" t="s">
        <v>897</v>
      </c>
      <c r="C133" s="112" t="s">
        <v>695</v>
      </c>
      <c r="D133" s="113">
        <v>10348215</v>
      </c>
      <c r="E133" s="115">
        <v>43935</v>
      </c>
      <c r="F133" s="114">
        <v>202101</v>
      </c>
      <c r="G133" s="112" t="s">
        <v>1091</v>
      </c>
      <c r="H133" s="112" t="s">
        <v>1016</v>
      </c>
      <c r="I133" s="112" t="s">
        <v>779</v>
      </c>
      <c r="J133" s="112" t="s">
        <v>1186</v>
      </c>
      <c r="K133" s="112" t="s">
        <v>1284</v>
      </c>
      <c r="L133" s="116">
        <v>1952.17</v>
      </c>
      <c r="M133" s="116">
        <f t="shared" si="2"/>
        <v>1.9521700000000002</v>
      </c>
    </row>
    <row r="134" spans="1:13" hidden="1" x14ac:dyDescent="0.35">
      <c r="A134" s="112" t="s">
        <v>1185</v>
      </c>
      <c r="B134" s="112" t="s">
        <v>897</v>
      </c>
      <c r="C134" s="112" t="s">
        <v>695</v>
      </c>
      <c r="D134" s="113">
        <v>10348215</v>
      </c>
      <c r="E134" s="115">
        <v>43935</v>
      </c>
      <c r="F134" s="114">
        <v>202101</v>
      </c>
      <c r="G134" s="112" t="s">
        <v>1091</v>
      </c>
      <c r="H134" s="112" t="s">
        <v>1016</v>
      </c>
      <c r="I134" s="112" t="s">
        <v>779</v>
      </c>
      <c r="J134" s="112" t="s">
        <v>1186</v>
      </c>
      <c r="K134" s="112" t="s">
        <v>1285</v>
      </c>
      <c r="L134" s="116">
        <v>154.49</v>
      </c>
      <c r="M134" s="116">
        <f t="shared" si="2"/>
        <v>0.15449000000000002</v>
      </c>
    </row>
    <row r="135" spans="1:13" hidden="1" x14ac:dyDescent="0.35">
      <c r="A135" s="112" t="s">
        <v>1185</v>
      </c>
      <c r="B135" s="112" t="s">
        <v>897</v>
      </c>
      <c r="C135" s="112" t="s">
        <v>695</v>
      </c>
      <c r="D135" s="113">
        <v>10348207</v>
      </c>
      <c r="E135" s="115">
        <v>43935</v>
      </c>
      <c r="F135" s="114">
        <v>202101</v>
      </c>
      <c r="G135" s="112" t="s">
        <v>1091</v>
      </c>
      <c r="H135" s="112" t="s">
        <v>1016</v>
      </c>
      <c r="I135" s="112" t="s">
        <v>779</v>
      </c>
      <c r="J135" s="112" t="s">
        <v>1186</v>
      </c>
      <c r="K135" s="112" t="s">
        <v>1297</v>
      </c>
      <c r="L135" s="116">
        <v>-4703.22</v>
      </c>
      <c r="M135" s="116">
        <f t="shared" si="2"/>
        <v>-4.70322</v>
      </c>
    </row>
    <row r="136" spans="1:13" hidden="1" x14ac:dyDescent="0.35">
      <c r="A136" s="112" t="s">
        <v>1185</v>
      </c>
      <c r="B136" s="112" t="s">
        <v>897</v>
      </c>
      <c r="C136" s="112" t="s">
        <v>695</v>
      </c>
      <c r="D136" s="113">
        <v>10348207</v>
      </c>
      <c r="E136" s="115">
        <v>43935</v>
      </c>
      <c r="F136" s="114">
        <v>202101</v>
      </c>
      <c r="G136" s="112" t="s">
        <v>1091</v>
      </c>
      <c r="H136" s="112" t="s">
        <v>1016</v>
      </c>
      <c r="I136" s="112" t="s">
        <v>779</v>
      </c>
      <c r="J136" s="112" t="s">
        <v>1186</v>
      </c>
      <c r="K136" s="112" t="s">
        <v>1296</v>
      </c>
      <c r="L136" s="116">
        <v>-1240.7</v>
      </c>
      <c r="M136" s="116">
        <f t="shared" si="2"/>
        <v>-1.2407000000000001</v>
      </c>
    </row>
    <row r="137" spans="1:13" hidden="1" x14ac:dyDescent="0.35">
      <c r="A137" s="112" t="s">
        <v>1185</v>
      </c>
      <c r="B137" s="112" t="s">
        <v>897</v>
      </c>
      <c r="C137" s="112" t="s">
        <v>695</v>
      </c>
      <c r="D137" s="113">
        <v>10348207</v>
      </c>
      <c r="E137" s="115">
        <v>43935</v>
      </c>
      <c r="F137" s="114">
        <v>202101</v>
      </c>
      <c r="G137" s="112" t="s">
        <v>1091</v>
      </c>
      <c r="H137" s="112" t="s">
        <v>1016</v>
      </c>
      <c r="I137" s="112" t="s">
        <v>779</v>
      </c>
      <c r="J137" s="112" t="s">
        <v>1186</v>
      </c>
      <c r="K137" s="112" t="s">
        <v>1299</v>
      </c>
      <c r="L137" s="116">
        <v>-1465.01</v>
      </c>
      <c r="M137" s="116">
        <f t="shared" si="2"/>
        <v>-1.4650099999999999</v>
      </c>
    </row>
    <row r="138" spans="1:13" hidden="1" x14ac:dyDescent="0.35">
      <c r="A138" s="112" t="s">
        <v>1185</v>
      </c>
      <c r="B138" s="112" t="s">
        <v>897</v>
      </c>
      <c r="C138" s="112" t="s">
        <v>695</v>
      </c>
      <c r="D138" s="113">
        <v>10348207</v>
      </c>
      <c r="E138" s="115">
        <v>43935</v>
      </c>
      <c r="F138" s="114">
        <v>202101</v>
      </c>
      <c r="G138" s="112" t="s">
        <v>1091</v>
      </c>
      <c r="H138" s="112" t="s">
        <v>1016</v>
      </c>
      <c r="I138" s="112" t="s">
        <v>779</v>
      </c>
      <c r="J138" s="112" t="s">
        <v>1186</v>
      </c>
      <c r="K138" s="112" t="s">
        <v>1298</v>
      </c>
      <c r="L138" s="116">
        <v>-1304.5899999999999</v>
      </c>
      <c r="M138" s="116">
        <f t="shared" si="2"/>
        <v>-1.3045899999999999</v>
      </c>
    </row>
    <row r="139" spans="1:13" hidden="1" x14ac:dyDescent="0.35">
      <c r="A139" s="112" t="s">
        <v>1185</v>
      </c>
      <c r="B139" s="112" t="s">
        <v>897</v>
      </c>
      <c r="C139" s="112" t="s">
        <v>695</v>
      </c>
      <c r="D139" s="113">
        <v>10348207</v>
      </c>
      <c r="E139" s="115">
        <v>43935</v>
      </c>
      <c r="F139" s="114">
        <v>202101</v>
      </c>
      <c r="G139" s="112" t="s">
        <v>1091</v>
      </c>
      <c r="H139" s="112" t="s">
        <v>1016</v>
      </c>
      <c r="I139" s="112" t="s">
        <v>779</v>
      </c>
      <c r="J139" s="112" t="s">
        <v>1186</v>
      </c>
      <c r="K139" s="112" t="s">
        <v>1283</v>
      </c>
      <c r="L139" s="116">
        <v>-917.6</v>
      </c>
      <c r="M139" s="116">
        <f t="shared" si="2"/>
        <v>-0.91759999999999997</v>
      </c>
    </row>
    <row r="140" spans="1:13" hidden="1" x14ac:dyDescent="0.35">
      <c r="A140" s="112" t="s">
        <v>1185</v>
      </c>
      <c r="B140" s="112" t="s">
        <v>897</v>
      </c>
      <c r="C140" s="112" t="s">
        <v>695</v>
      </c>
      <c r="D140" s="113">
        <v>10348207</v>
      </c>
      <c r="E140" s="115">
        <v>43935</v>
      </c>
      <c r="F140" s="114">
        <v>202101</v>
      </c>
      <c r="G140" s="112" t="s">
        <v>1091</v>
      </c>
      <c r="H140" s="112" t="s">
        <v>1016</v>
      </c>
      <c r="I140" s="112" t="s">
        <v>779</v>
      </c>
      <c r="J140" s="112" t="s">
        <v>1186</v>
      </c>
      <c r="K140" s="112" t="s">
        <v>1282</v>
      </c>
      <c r="L140" s="116">
        <v>-28.29</v>
      </c>
      <c r="M140" s="116">
        <f t="shared" si="2"/>
        <v>-2.8289999999999999E-2</v>
      </c>
    </row>
    <row r="141" spans="1:13" hidden="1" x14ac:dyDescent="0.35">
      <c r="A141" s="112" t="s">
        <v>1185</v>
      </c>
      <c r="B141" s="112" t="s">
        <v>897</v>
      </c>
      <c r="C141" s="112" t="s">
        <v>695</v>
      </c>
      <c r="D141" s="113">
        <v>10348215</v>
      </c>
      <c r="E141" s="115">
        <v>43935</v>
      </c>
      <c r="F141" s="114">
        <v>202101</v>
      </c>
      <c r="G141" s="112" t="s">
        <v>1091</v>
      </c>
      <c r="H141" s="112" t="s">
        <v>1016</v>
      </c>
      <c r="I141" s="112" t="s">
        <v>779</v>
      </c>
      <c r="J141" s="112" t="s">
        <v>1186</v>
      </c>
      <c r="K141" s="112" t="s">
        <v>1280</v>
      </c>
      <c r="L141" s="116">
        <v>133.96</v>
      </c>
      <c r="M141" s="116">
        <f t="shared" si="2"/>
        <v>0.13396</v>
      </c>
    </row>
    <row r="142" spans="1:13" hidden="1" x14ac:dyDescent="0.35">
      <c r="A142" s="112" t="s">
        <v>1185</v>
      </c>
      <c r="B142" s="112" t="s">
        <v>897</v>
      </c>
      <c r="C142" s="112" t="s">
        <v>695</v>
      </c>
      <c r="D142" s="113">
        <v>10348034</v>
      </c>
      <c r="E142" s="115">
        <v>43928</v>
      </c>
      <c r="F142" s="114">
        <v>202101</v>
      </c>
      <c r="G142" s="112" t="s">
        <v>1091</v>
      </c>
      <c r="H142" s="112" t="s">
        <v>1015</v>
      </c>
      <c r="I142" s="112" t="s">
        <v>1211</v>
      </c>
      <c r="J142" s="112" t="s">
        <v>1186</v>
      </c>
      <c r="K142" s="112" t="s">
        <v>1322</v>
      </c>
      <c r="L142" s="116">
        <v>-2563.48</v>
      </c>
      <c r="M142" s="116">
        <f t="shared" si="2"/>
        <v>-2.5634800000000002</v>
      </c>
    </row>
    <row r="143" spans="1:13" hidden="1" x14ac:dyDescent="0.35">
      <c r="A143" s="112" t="s">
        <v>1185</v>
      </c>
      <c r="B143" s="112" t="s">
        <v>897</v>
      </c>
      <c r="C143" s="112" t="s">
        <v>695</v>
      </c>
      <c r="D143" s="113">
        <v>10348034</v>
      </c>
      <c r="E143" s="115">
        <v>43928</v>
      </c>
      <c r="F143" s="114">
        <v>202101</v>
      </c>
      <c r="G143" s="112" t="s">
        <v>1091</v>
      </c>
      <c r="H143" s="112" t="s">
        <v>1015</v>
      </c>
      <c r="I143" s="112" t="s">
        <v>1211</v>
      </c>
      <c r="J143" s="112" t="s">
        <v>1186</v>
      </c>
      <c r="K143" s="112" t="s">
        <v>1323</v>
      </c>
      <c r="L143" s="116">
        <v>-2464.6</v>
      </c>
      <c r="M143" s="116">
        <f t="shared" si="2"/>
        <v>-2.4645999999999999</v>
      </c>
    </row>
    <row r="144" spans="1:13" hidden="1" x14ac:dyDescent="0.35">
      <c r="A144" s="112" t="s">
        <v>1185</v>
      </c>
      <c r="B144" s="112" t="s">
        <v>897</v>
      </c>
      <c r="C144" s="112" t="s">
        <v>695</v>
      </c>
      <c r="D144" s="113">
        <v>10348034</v>
      </c>
      <c r="E144" s="115">
        <v>43928</v>
      </c>
      <c r="F144" s="114">
        <v>202101</v>
      </c>
      <c r="G144" s="112" t="s">
        <v>1091</v>
      </c>
      <c r="H144" s="112" t="s">
        <v>1015</v>
      </c>
      <c r="I144" s="112" t="s">
        <v>1211</v>
      </c>
      <c r="J144" s="112" t="s">
        <v>1186</v>
      </c>
      <c r="K144" s="112" t="s">
        <v>1324</v>
      </c>
      <c r="L144" s="116">
        <v>-2551.86</v>
      </c>
      <c r="M144" s="116">
        <f t="shared" si="2"/>
        <v>-2.55186</v>
      </c>
    </row>
    <row r="145" spans="1:13" x14ac:dyDescent="0.35">
      <c r="A145" s="112" t="s">
        <v>1185</v>
      </c>
      <c r="B145" s="112" t="s">
        <v>896</v>
      </c>
      <c r="C145" s="112" t="s">
        <v>695</v>
      </c>
      <c r="D145" s="113">
        <v>10348163</v>
      </c>
      <c r="E145" s="115">
        <v>43930</v>
      </c>
      <c r="F145" s="114">
        <v>202101</v>
      </c>
      <c r="G145" s="112" t="s">
        <v>1091</v>
      </c>
      <c r="H145" s="112" t="s">
        <v>1016</v>
      </c>
      <c r="I145" s="112" t="s">
        <v>1328</v>
      </c>
      <c r="J145" s="112" t="s">
        <v>1195</v>
      </c>
      <c r="K145" s="112" t="s">
        <v>1329</v>
      </c>
      <c r="L145" s="116">
        <v>4300</v>
      </c>
      <c r="M145" s="116">
        <f t="shared" si="2"/>
        <v>4.3</v>
      </c>
    </row>
    <row r="146" spans="1:13" x14ac:dyDescent="0.35">
      <c r="A146" s="112" t="s">
        <v>1185</v>
      </c>
      <c r="B146" s="112" t="s">
        <v>896</v>
      </c>
      <c r="C146" s="112" t="s">
        <v>695</v>
      </c>
      <c r="D146" s="113">
        <v>10348146</v>
      </c>
      <c r="E146" s="115">
        <v>43930</v>
      </c>
      <c r="F146" s="114">
        <v>202101</v>
      </c>
      <c r="G146" s="112" t="s">
        <v>1091</v>
      </c>
      <c r="H146" s="112" t="s">
        <v>1015</v>
      </c>
      <c r="I146" s="112" t="s">
        <v>767</v>
      </c>
      <c r="J146" s="112" t="s">
        <v>1195</v>
      </c>
      <c r="K146" s="112" t="s">
        <v>1330</v>
      </c>
      <c r="L146" s="116">
        <v>459.12</v>
      </c>
      <c r="M146" s="116">
        <f t="shared" si="2"/>
        <v>0.45912000000000003</v>
      </c>
    </row>
    <row r="147" spans="1:13" x14ac:dyDescent="0.35">
      <c r="A147" s="112" t="s">
        <v>1185</v>
      </c>
      <c r="B147" s="112" t="s">
        <v>896</v>
      </c>
      <c r="C147" s="112" t="s">
        <v>695</v>
      </c>
      <c r="D147" s="113">
        <v>10348146</v>
      </c>
      <c r="E147" s="115">
        <v>43930</v>
      </c>
      <c r="F147" s="114">
        <v>202101</v>
      </c>
      <c r="G147" s="112" t="s">
        <v>1091</v>
      </c>
      <c r="H147" s="112" t="s">
        <v>1015</v>
      </c>
      <c r="I147" s="112" t="s">
        <v>767</v>
      </c>
      <c r="J147" s="112" t="s">
        <v>1195</v>
      </c>
      <c r="K147" s="112" t="s">
        <v>1343</v>
      </c>
      <c r="L147" s="116">
        <v>-1738.36</v>
      </c>
      <c r="M147" s="116">
        <f t="shared" si="2"/>
        <v>-1.7383599999999999</v>
      </c>
    </row>
    <row r="148" spans="1:13" x14ac:dyDescent="0.35">
      <c r="A148" s="112" t="s">
        <v>1185</v>
      </c>
      <c r="B148" s="112" t="s">
        <v>896</v>
      </c>
      <c r="C148" s="112" t="s">
        <v>695</v>
      </c>
      <c r="D148" s="113">
        <v>10348146</v>
      </c>
      <c r="E148" s="115">
        <v>43930</v>
      </c>
      <c r="F148" s="114">
        <v>202101</v>
      </c>
      <c r="G148" s="112" t="s">
        <v>1091</v>
      </c>
      <c r="H148" s="112" t="s">
        <v>1015</v>
      </c>
      <c r="I148" s="112" t="s">
        <v>767</v>
      </c>
      <c r="J148" s="112" t="s">
        <v>1195</v>
      </c>
      <c r="K148" s="112" t="s">
        <v>1356</v>
      </c>
      <c r="L148" s="116">
        <v>-2434.21</v>
      </c>
      <c r="M148" s="116">
        <f t="shared" si="2"/>
        <v>-2.4342100000000002</v>
      </c>
    </row>
    <row r="149" spans="1:13" x14ac:dyDescent="0.35">
      <c r="A149" s="112" t="s">
        <v>1185</v>
      </c>
      <c r="B149" s="112" t="s">
        <v>896</v>
      </c>
      <c r="C149" s="112" t="s">
        <v>695</v>
      </c>
      <c r="D149" s="113">
        <v>10348146</v>
      </c>
      <c r="E149" s="115">
        <v>43930</v>
      </c>
      <c r="F149" s="114">
        <v>202101</v>
      </c>
      <c r="G149" s="112" t="s">
        <v>1091</v>
      </c>
      <c r="H149" s="112" t="s">
        <v>1015</v>
      </c>
      <c r="I149" s="112" t="s">
        <v>767</v>
      </c>
      <c r="J149" s="112" t="s">
        <v>1195</v>
      </c>
      <c r="K149" s="112" t="s">
        <v>1330</v>
      </c>
      <c r="L149" s="116">
        <v>-459.12</v>
      </c>
      <c r="M149" s="116">
        <f t="shared" si="2"/>
        <v>-0.45912000000000003</v>
      </c>
    </row>
    <row r="150" spans="1:13" x14ac:dyDescent="0.35">
      <c r="A150" s="112" t="s">
        <v>1185</v>
      </c>
      <c r="B150" s="112" t="s">
        <v>896</v>
      </c>
      <c r="C150" s="112" t="s">
        <v>695</v>
      </c>
      <c r="D150" s="113">
        <v>10348146</v>
      </c>
      <c r="E150" s="115">
        <v>43930</v>
      </c>
      <c r="F150" s="114">
        <v>202101</v>
      </c>
      <c r="G150" s="112" t="s">
        <v>1091</v>
      </c>
      <c r="H150" s="112" t="s">
        <v>1015</v>
      </c>
      <c r="I150" s="112" t="s">
        <v>767</v>
      </c>
      <c r="J150" s="112" t="s">
        <v>1195</v>
      </c>
      <c r="K150" s="112" t="s">
        <v>1358</v>
      </c>
      <c r="L150" s="116">
        <v>52</v>
      </c>
      <c r="M150" s="116">
        <f t="shared" si="2"/>
        <v>5.1999999999999998E-2</v>
      </c>
    </row>
    <row r="151" spans="1:13" x14ac:dyDescent="0.35">
      <c r="A151" s="112" t="s">
        <v>1185</v>
      </c>
      <c r="B151" s="112" t="s">
        <v>896</v>
      </c>
      <c r="C151" s="112" t="s">
        <v>695</v>
      </c>
      <c r="D151" s="113">
        <v>10348146</v>
      </c>
      <c r="E151" s="115">
        <v>43930</v>
      </c>
      <c r="F151" s="114">
        <v>202101</v>
      </c>
      <c r="G151" s="112" t="s">
        <v>1091</v>
      </c>
      <c r="H151" s="112" t="s">
        <v>1015</v>
      </c>
      <c r="I151" s="112" t="s">
        <v>767</v>
      </c>
      <c r="J151" s="112" t="s">
        <v>1195</v>
      </c>
      <c r="K151" s="112" t="s">
        <v>1359</v>
      </c>
      <c r="L151" s="116">
        <v>2951.37</v>
      </c>
      <c r="M151" s="116">
        <f t="shared" si="2"/>
        <v>2.9513699999999998</v>
      </c>
    </row>
    <row r="152" spans="1:13" x14ac:dyDescent="0.35">
      <c r="A152" s="112" t="s">
        <v>1185</v>
      </c>
      <c r="B152" s="112" t="s">
        <v>896</v>
      </c>
      <c r="C152" s="112" t="s">
        <v>695</v>
      </c>
      <c r="D152" s="113">
        <v>10348146</v>
      </c>
      <c r="E152" s="115">
        <v>43930</v>
      </c>
      <c r="F152" s="114">
        <v>202101</v>
      </c>
      <c r="G152" s="112" t="s">
        <v>1091</v>
      </c>
      <c r="H152" s="112" t="s">
        <v>1015</v>
      </c>
      <c r="I152" s="112" t="s">
        <v>767</v>
      </c>
      <c r="J152" s="112" t="s">
        <v>1195</v>
      </c>
      <c r="K152" s="112" t="s">
        <v>1360</v>
      </c>
      <c r="L152" s="116">
        <v>41806.449999999997</v>
      </c>
      <c r="M152" s="116">
        <f t="shared" si="2"/>
        <v>41.806449999999998</v>
      </c>
    </row>
    <row r="153" spans="1:13" x14ac:dyDescent="0.35">
      <c r="A153" s="112" t="s">
        <v>1185</v>
      </c>
      <c r="B153" s="112" t="s">
        <v>896</v>
      </c>
      <c r="C153" s="112" t="s">
        <v>695</v>
      </c>
      <c r="D153" s="113">
        <v>10348146</v>
      </c>
      <c r="E153" s="115">
        <v>43930</v>
      </c>
      <c r="F153" s="114">
        <v>202101</v>
      </c>
      <c r="G153" s="112" t="s">
        <v>1091</v>
      </c>
      <c r="H153" s="112" t="s">
        <v>1015</v>
      </c>
      <c r="I153" s="112" t="s">
        <v>767</v>
      </c>
      <c r="J153" s="112" t="s">
        <v>1195</v>
      </c>
      <c r="K153" s="112" t="s">
        <v>1361</v>
      </c>
      <c r="L153" s="116">
        <v>2777</v>
      </c>
      <c r="M153" s="116">
        <f t="shared" si="2"/>
        <v>2.7770000000000001</v>
      </c>
    </row>
    <row r="154" spans="1:13" x14ac:dyDescent="0.35">
      <c r="A154" s="112" t="s">
        <v>1185</v>
      </c>
      <c r="B154" s="112" t="s">
        <v>896</v>
      </c>
      <c r="C154" s="112" t="s">
        <v>695</v>
      </c>
      <c r="D154" s="113">
        <v>10348146</v>
      </c>
      <c r="E154" s="115">
        <v>43930</v>
      </c>
      <c r="F154" s="114">
        <v>202101</v>
      </c>
      <c r="G154" s="112" t="s">
        <v>1091</v>
      </c>
      <c r="H154" s="112" t="s">
        <v>1015</v>
      </c>
      <c r="I154" s="112" t="s">
        <v>767</v>
      </c>
      <c r="J154" s="112" t="s">
        <v>1195</v>
      </c>
      <c r="K154" s="112" t="s">
        <v>1362</v>
      </c>
      <c r="L154" s="116">
        <v>10532</v>
      </c>
      <c r="M154" s="116">
        <f t="shared" si="2"/>
        <v>10.532</v>
      </c>
    </row>
    <row r="155" spans="1:13" x14ac:dyDescent="0.35">
      <c r="A155" s="112" t="s">
        <v>1185</v>
      </c>
      <c r="B155" s="112" t="s">
        <v>896</v>
      </c>
      <c r="C155" s="112" t="s">
        <v>695</v>
      </c>
      <c r="D155" s="113">
        <v>10348146</v>
      </c>
      <c r="E155" s="115">
        <v>43930</v>
      </c>
      <c r="F155" s="114">
        <v>202101</v>
      </c>
      <c r="G155" s="112" t="s">
        <v>1091</v>
      </c>
      <c r="H155" s="112" t="s">
        <v>1015</v>
      </c>
      <c r="I155" s="112" t="s">
        <v>767</v>
      </c>
      <c r="J155" s="112" t="s">
        <v>1195</v>
      </c>
      <c r="K155" s="112" t="s">
        <v>1363</v>
      </c>
      <c r="L155" s="116">
        <v>15260</v>
      </c>
      <c r="M155" s="116">
        <f t="shared" si="2"/>
        <v>15.26</v>
      </c>
    </row>
    <row r="156" spans="1:13" x14ac:dyDescent="0.35">
      <c r="A156" s="112" t="s">
        <v>1185</v>
      </c>
      <c r="B156" s="112" t="s">
        <v>896</v>
      </c>
      <c r="C156" s="112" t="s">
        <v>695</v>
      </c>
      <c r="D156" s="113">
        <v>10348146</v>
      </c>
      <c r="E156" s="115">
        <v>43930</v>
      </c>
      <c r="F156" s="114">
        <v>202101</v>
      </c>
      <c r="G156" s="112" t="s">
        <v>1091</v>
      </c>
      <c r="H156" s="112" t="s">
        <v>1015</v>
      </c>
      <c r="I156" s="112" t="s">
        <v>767</v>
      </c>
      <c r="J156" s="112" t="s">
        <v>1195</v>
      </c>
      <c r="K156" s="112" t="s">
        <v>1364</v>
      </c>
      <c r="L156" s="116">
        <v>535.65</v>
      </c>
      <c r="M156" s="116">
        <f t="shared" si="2"/>
        <v>0.53564999999999996</v>
      </c>
    </row>
    <row r="157" spans="1:13" x14ac:dyDescent="0.35">
      <c r="A157" s="112" t="s">
        <v>1185</v>
      </c>
      <c r="B157" s="112" t="s">
        <v>896</v>
      </c>
      <c r="C157" s="112" t="s">
        <v>695</v>
      </c>
      <c r="D157" s="113">
        <v>10348146</v>
      </c>
      <c r="E157" s="115">
        <v>43930</v>
      </c>
      <c r="F157" s="114">
        <v>202101</v>
      </c>
      <c r="G157" s="112" t="s">
        <v>1091</v>
      </c>
      <c r="H157" s="112" t="s">
        <v>1015</v>
      </c>
      <c r="I157" s="112" t="s">
        <v>767</v>
      </c>
      <c r="J157" s="112" t="s">
        <v>1195</v>
      </c>
      <c r="K157" s="112" t="s">
        <v>1358</v>
      </c>
      <c r="L157" s="116">
        <v>-52</v>
      </c>
      <c r="M157" s="116">
        <f t="shared" si="2"/>
        <v>-5.1999999999999998E-2</v>
      </c>
    </row>
    <row r="158" spans="1:13" x14ac:dyDescent="0.35">
      <c r="A158" s="112" t="s">
        <v>1185</v>
      </c>
      <c r="B158" s="112" t="s">
        <v>896</v>
      </c>
      <c r="C158" s="112" t="s">
        <v>695</v>
      </c>
      <c r="D158" s="113">
        <v>10348146</v>
      </c>
      <c r="E158" s="115">
        <v>43930</v>
      </c>
      <c r="F158" s="114">
        <v>202101</v>
      </c>
      <c r="G158" s="112" t="s">
        <v>1091</v>
      </c>
      <c r="H158" s="112" t="s">
        <v>1015</v>
      </c>
      <c r="I158" s="112" t="s">
        <v>767</v>
      </c>
      <c r="J158" s="112" t="s">
        <v>1195</v>
      </c>
      <c r="K158" s="112" t="s">
        <v>1365</v>
      </c>
      <c r="L158" s="116">
        <v>-5372.01</v>
      </c>
      <c r="M158" s="116">
        <f t="shared" si="2"/>
        <v>-5.3720100000000004</v>
      </c>
    </row>
    <row r="159" spans="1:13" x14ac:dyDescent="0.35">
      <c r="A159" s="112" t="s">
        <v>1185</v>
      </c>
      <c r="B159" s="112" t="s">
        <v>896</v>
      </c>
      <c r="C159" s="112" t="s">
        <v>695</v>
      </c>
      <c r="D159" s="113">
        <v>10348146</v>
      </c>
      <c r="E159" s="115">
        <v>43930</v>
      </c>
      <c r="F159" s="114">
        <v>202101</v>
      </c>
      <c r="G159" s="112" t="s">
        <v>1091</v>
      </c>
      <c r="H159" s="112" t="s">
        <v>1015</v>
      </c>
      <c r="I159" s="112" t="s">
        <v>767</v>
      </c>
      <c r="J159" s="112" t="s">
        <v>1195</v>
      </c>
      <c r="K159" s="112" t="s">
        <v>1366</v>
      </c>
      <c r="L159" s="116">
        <v>-12129.08</v>
      </c>
      <c r="M159" s="116">
        <f t="shared" si="2"/>
        <v>-12.12908</v>
      </c>
    </row>
    <row r="160" spans="1:13" x14ac:dyDescent="0.35">
      <c r="A160" s="112" t="s">
        <v>1185</v>
      </c>
      <c r="B160" s="112" t="s">
        <v>896</v>
      </c>
      <c r="C160" s="112" t="s">
        <v>695</v>
      </c>
      <c r="D160" s="113">
        <v>10348146</v>
      </c>
      <c r="E160" s="115">
        <v>43930</v>
      </c>
      <c r="F160" s="114">
        <v>202101</v>
      </c>
      <c r="G160" s="112" t="s">
        <v>1091</v>
      </c>
      <c r="H160" s="112" t="s">
        <v>1015</v>
      </c>
      <c r="I160" s="112" t="s">
        <v>767</v>
      </c>
      <c r="J160" s="112" t="s">
        <v>1195</v>
      </c>
      <c r="K160" s="112" t="s">
        <v>1367</v>
      </c>
      <c r="L160" s="116">
        <v>-6757.18</v>
      </c>
      <c r="M160" s="116">
        <f t="shared" si="2"/>
        <v>-6.75718</v>
      </c>
    </row>
    <row r="161" spans="1:13" x14ac:dyDescent="0.35">
      <c r="A161" s="112" t="s">
        <v>1185</v>
      </c>
      <c r="B161" s="112" t="s">
        <v>896</v>
      </c>
      <c r="C161" s="112" t="s">
        <v>695</v>
      </c>
      <c r="D161" s="113">
        <v>10348146</v>
      </c>
      <c r="E161" s="115">
        <v>43930</v>
      </c>
      <c r="F161" s="114">
        <v>202101</v>
      </c>
      <c r="G161" s="112" t="s">
        <v>1091</v>
      </c>
      <c r="H161" s="112" t="s">
        <v>1015</v>
      </c>
      <c r="I161" s="112" t="s">
        <v>767</v>
      </c>
      <c r="J161" s="112" t="s">
        <v>1195</v>
      </c>
      <c r="K161" s="112" t="s">
        <v>1368</v>
      </c>
      <c r="L161" s="116">
        <v>-729.47</v>
      </c>
      <c r="M161" s="116">
        <f t="shared" si="2"/>
        <v>-0.72947000000000006</v>
      </c>
    </row>
    <row r="162" spans="1:13" x14ac:dyDescent="0.35">
      <c r="A162" s="112" t="s">
        <v>1185</v>
      </c>
      <c r="B162" s="112" t="s">
        <v>896</v>
      </c>
      <c r="C162" s="112" t="s">
        <v>695</v>
      </c>
      <c r="D162" s="113">
        <v>10348146</v>
      </c>
      <c r="E162" s="115">
        <v>43930</v>
      </c>
      <c r="F162" s="114">
        <v>202101</v>
      </c>
      <c r="G162" s="112" t="s">
        <v>1091</v>
      </c>
      <c r="H162" s="112" t="s">
        <v>1015</v>
      </c>
      <c r="I162" s="112" t="s">
        <v>767</v>
      </c>
      <c r="J162" s="112" t="s">
        <v>1195</v>
      </c>
      <c r="K162" s="112" t="s">
        <v>1369</v>
      </c>
      <c r="L162" s="116">
        <v>-2286.15</v>
      </c>
      <c r="M162" s="116">
        <f t="shared" si="2"/>
        <v>-2.2861500000000001</v>
      </c>
    </row>
    <row r="163" spans="1:13" x14ac:dyDescent="0.35">
      <c r="A163" s="112" t="s">
        <v>1185</v>
      </c>
      <c r="B163" s="112" t="s">
        <v>896</v>
      </c>
      <c r="C163" s="112" t="s">
        <v>695</v>
      </c>
      <c r="D163" s="113">
        <v>10348146</v>
      </c>
      <c r="E163" s="115">
        <v>43930</v>
      </c>
      <c r="F163" s="114">
        <v>202101</v>
      </c>
      <c r="G163" s="112" t="s">
        <v>1091</v>
      </c>
      <c r="H163" s="112" t="s">
        <v>1015</v>
      </c>
      <c r="I163" s="112" t="s">
        <v>767</v>
      </c>
      <c r="J163" s="112" t="s">
        <v>1195</v>
      </c>
      <c r="K163" s="112" t="s">
        <v>1370</v>
      </c>
      <c r="L163" s="116">
        <v>-652.44000000000005</v>
      </c>
      <c r="M163" s="116">
        <f t="shared" si="2"/>
        <v>-0.65244000000000002</v>
      </c>
    </row>
    <row r="164" spans="1:13" x14ac:dyDescent="0.35">
      <c r="A164" s="112" t="s">
        <v>1185</v>
      </c>
      <c r="B164" s="112" t="s">
        <v>896</v>
      </c>
      <c r="C164" s="112" t="s">
        <v>695</v>
      </c>
      <c r="D164" s="113">
        <v>10348146</v>
      </c>
      <c r="E164" s="115">
        <v>43930</v>
      </c>
      <c r="F164" s="114">
        <v>202101</v>
      </c>
      <c r="G164" s="112" t="s">
        <v>1091</v>
      </c>
      <c r="H164" s="112" t="s">
        <v>1015</v>
      </c>
      <c r="I164" s="112" t="s">
        <v>767</v>
      </c>
      <c r="J164" s="112" t="s">
        <v>1195</v>
      </c>
      <c r="K164" s="112" t="s">
        <v>1371</v>
      </c>
      <c r="L164" s="116">
        <v>-6448.56</v>
      </c>
      <c r="M164" s="116">
        <f t="shared" si="2"/>
        <v>-6.4485600000000005</v>
      </c>
    </row>
    <row r="165" spans="1:13" x14ac:dyDescent="0.35">
      <c r="A165" s="112" t="s">
        <v>1185</v>
      </c>
      <c r="B165" s="112" t="s">
        <v>896</v>
      </c>
      <c r="C165" s="112" t="s">
        <v>695</v>
      </c>
      <c r="D165" s="113">
        <v>10348146</v>
      </c>
      <c r="E165" s="115">
        <v>43930</v>
      </c>
      <c r="F165" s="114">
        <v>202101</v>
      </c>
      <c r="G165" s="112" t="s">
        <v>1091</v>
      </c>
      <c r="H165" s="112" t="s">
        <v>1015</v>
      </c>
      <c r="I165" s="112" t="s">
        <v>767</v>
      </c>
      <c r="J165" s="112" t="s">
        <v>1195</v>
      </c>
      <c r="K165" s="112" t="s">
        <v>1372</v>
      </c>
      <c r="L165" s="116">
        <v>1991.31</v>
      </c>
      <c r="M165" s="116">
        <f t="shared" si="2"/>
        <v>1.9913099999999999</v>
      </c>
    </row>
    <row r="166" spans="1:13" x14ac:dyDescent="0.35">
      <c r="A166" s="112" t="s">
        <v>1185</v>
      </c>
      <c r="B166" s="112" t="s">
        <v>896</v>
      </c>
      <c r="C166" s="112" t="s">
        <v>695</v>
      </c>
      <c r="D166" s="113">
        <v>10348146</v>
      </c>
      <c r="E166" s="115">
        <v>43930</v>
      </c>
      <c r="F166" s="114">
        <v>202101</v>
      </c>
      <c r="G166" s="112" t="s">
        <v>1091</v>
      </c>
      <c r="H166" s="112" t="s">
        <v>1015</v>
      </c>
      <c r="I166" s="112" t="s">
        <v>767</v>
      </c>
      <c r="J166" s="112" t="s">
        <v>1195</v>
      </c>
      <c r="K166" s="112" t="s">
        <v>1365</v>
      </c>
      <c r="L166" s="116">
        <v>5372.01</v>
      </c>
      <c r="M166" s="116">
        <f t="shared" si="2"/>
        <v>5.3720100000000004</v>
      </c>
    </row>
    <row r="167" spans="1:13" x14ac:dyDescent="0.35">
      <c r="A167" s="112" t="s">
        <v>1185</v>
      </c>
      <c r="B167" s="112" t="s">
        <v>896</v>
      </c>
      <c r="C167" s="112" t="s">
        <v>695</v>
      </c>
      <c r="D167" s="113">
        <v>10348146</v>
      </c>
      <c r="E167" s="115">
        <v>43930</v>
      </c>
      <c r="F167" s="114">
        <v>202101</v>
      </c>
      <c r="G167" s="112" t="s">
        <v>1091</v>
      </c>
      <c r="H167" s="112" t="s">
        <v>1015</v>
      </c>
      <c r="I167" s="112" t="s">
        <v>767</v>
      </c>
      <c r="J167" s="112" t="s">
        <v>1195</v>
      </c>
      <c r="K167" s="112" t="s">
        <v>1373</v>
      </c>
      <c r="L167" s="116">
        <v>-8994.58</v>
      </c>
      <c r="M167" s="116">
        <f t="shared" si="2"/>
        <v>-8.9945799999999991</v>
      </c>
    </row>
    <row r="168" spans="1:13" hidden="1" x14ac:dyDescent="0.35">
      <c r="A168" s="112" t="s">
        <v>1185</v>
      </c>
      <c r="B168" s="112" t="s">
        <v>898</v>
      </c>
      <c r="C168" s="112" t="s">
        <v>695</v>
      </c>
      <c r="D168" s="113">
        <v>10348146</v>
      </c>
      <c r="E168" s="115">
        <v>43930</v>
      </c>
      <c r="F168" s="114">
        <v>202101</v>
      </c>
      <c r="G168" s="112" t="s">
        <v>1091</v>
      </c>
      <c r="H168" s="112" t="s">
        <v>1015</v>
      </c>
      <c r="I168" s="112" t="s">
        <v>1102</v>
      </c>
      <c r="J168" s="112" t="s">
        <v>1213</v>
      </c>
      <c r="K168" s="112" t="s">
        <v>1374</v>
      </c>
      <c r="L168" s="116">
        <v>-776.71</v>
      </c>
      <c r="M168" s="116">
        <f t="shared" si="2"/>
        <v>-0.77671000000000001</v>
      </c>
    </row>
    <row r="169" spans="1:13" x14ac:dyDescent="0.35">
      <c r="A169" s="112" t="s">
        <v>1185</v>
      </c>
      <c r="B169" s="112" t="s">
        <v>896</v>
      </c>
      <c r="C169" s="112" t="s">
        <v>695</v>
      </c>
      <c r="D169" s="113">
        <v>10348146</v>
      </c>
      <c r="E169" s="115">
        <v>43930</v>
      </c>
      <c r="F169" s="114">
        <v>202101</v>
      </c>
      <c r="G169" s="112" t="s">
        <v>1091</v>
      </c>
      <c r="H169" s="112" t="s">
        <v>1015</v>
      </c>
      <c r="I169" s="112" t="s">
        <v>767</v>
      </c>
      <c r="J169" s="112" t="s">
        <v>1195</v>
      </c>
      <c r="K169" s="112" t="s">
        <v>1375</v>
      </c>
      <c r="L169" s="116">
        <v>7015.3</v>
      </c>
      <c r="M169" s="116">
        <f t="shared" si="2"/>
        <v>7.0152999999999999</v>
      </c>
    </row>
    <row r="170" spans="1:13" x14ac:dyDescent="0.35">
      <c r="A170" s="112" t="s">
        <v>1185</v>
      </c>
      <c r="B170" s="112" t="s">
        <v>896</v>
      </c>
      <c r="C170" s="112" t="s">
        <v>695</v>
      </c>
      <c r="D170" s="113">
        <v>10348146</v>
      </c>
      <c r="E170" s="115">
        <v>43930</v>
      </c>
      <c r="F170" s="114">
        <v>202101</v>
      </c>
      <c r="G170" s="112" t="s">
        <v>1091</v>
      </c>
      <c r="H170" s="112" t="s">
        <v>1015</v>
      </c>
      <c r="I170" s="112" t="s">
        <v>767</v>
      </c>
      <c r="J170" s="112" t="s">
        <v>1195</v>
      </c>
      <c r="K170" s="112" t="s">
        <v>1376</v>
      </c>
      <c r="L170" s="116">
        <v>2700</v>
      </c>
      <c r="M170" s="116">
        <f t="shared" si="2"/>
        <v>2.7</v>
      </c>
    </row>
    <row r="171" spans="1:13" x14ac:dyDescent="0.35">
      <c r="A171" s="112" t="s">
        <v>1185</v>
      </c>
      <c r="B171" s="112" t="s">
        <v>896</v>
      </c>
      <c r="C171" s="112" t="s">
        <v>695</v>
      </c>
      <c r="D171" s="113">
        <v>10348146</v>
      </c>
      <c r="E171" s="115">
        <v>43930</v>
      </c>
      <c r="F171" s="114">
        <v>202101</v>
      </c>
      <c r="G171" s="112" t="s">
        <v>1091</v>
      </c>
      <c r="H171" s="112" t="s">
        <v>1015</v>
      </c>
      <c r="I171" s="112" t="s">
        <v>767</v>
      </c>
      <c r="J171" s="112" t="s">
        <v>1195</v>
      </c>
      <c r="K171" s="112" t="s">
        <v>1343</v>
      </c>
      <c r="L171" s="116">
        <v>1738.36</v>
      </c>
      <c r="M171" s="116">
        <f t="shared" si="2"/>
        <v>1.7383599999999999</v>
      </c>
    </row>
    <row r="172" spans="1:13" x14ac:dyDescent="0.35">
      <c r="A172" s="112" t="s">
        <v>1185</v>
      </c>
      <c r="B172" s="112" t="s">
        <v>896</v>
      </c>
      <c r="C172" s="112" t="s">
        <v>695</v>
      </c>
      <c r="D172" s="113">
        <v>10348146</v>
      </c>
      <c r="E172" s="115">
        <v>43930</v>
      </c>
      <c r="F172" s="114">
        <v>202101</v>
      </c>
      <c r="G172" s="112" t="s">
        <v>1091</v>
      </c>
      <c r="H172" s="112" t="s">
        <v>1015</v>
      </c>
      <c r="I172" s="112" t="s">
        <v>767</v>
      </c>
      <c r="J172" s="112" t="s">
        <v>1195</v>
      </c>
      <c r="K172" s="112" t="s">
        <v>1377</v>
      </c>
      <c r="L172" s="116">
        <v>-1188.8900000000001</v>
      </c>
      <c r="M172" s="116">
        <f t="shared" si="2"/>
        <v>-1.18889</v>
      </c>
    </row>
    <row r="173" spans="1:13" x14ac:dyDescent="0.35">
      <c r="A173" s="112" t="s">
        <v>1185</v>
      </c>
      <c r="B173" s="112" t="s">
        <v>896</v>
      </c>
      <c r="C173" s="112" t="s">
        <v>695</v>
      </c>
      <c r="D173" s="113">
        <v>10348146</v>
      </c>
      <c r="E173" s="115">
        <v>43930</v>
      </c>
      <c r="F173" s="114">
        <v>202101</v>
      </c>
      <c r="G173" s="112" t="s">
        <v>1091</v>
      </c>
      <c r="H173" s="112" t="s">
        <v>1015</v>
      </c>
      <c r="I173" s="112" t="s">
        <v>767</v>
      </c>
      <c r="J173" s="112" t="s">
        <v>1195</v>
      </c>
      <c r="K173" s="112" t="s">
        <v>1378</v>
      </c>
      <c r="L173" s="116">
        <v>3500</v>
      </c>
      <c r="M173" s="116">
        <f t="shared" si="2"/>
        <v>3.5</v>
      </c>
    </row>
    <row r="174" spans="1:13" x14ac:dyDescent="0.35">
      <c r="A174" s="112" t="s">
        <v>1185</v>
      </c>
      <c r="B174" s="112" t="s">
        <v>896</v>
      </c>
      <c r="C174" s="112" t="s">
        <v>695</v>
      </c>
      <c r="D174" s="113">
        <v>10348146</v>
      </c>
      <c r="E174" s="115">
        <v>43930</v>
      </c>
      <c r="F174" s="114">
        <v>202101</v>
      </c>
      <c r="G174" s="112" t="s">
        <v>1091</v>
      </c>
      <c r="H174" s="112" t="s">
        <v>1015</v>
      </c>
      <c r="I174" s="112" t="s">
        <v>767</v>
      </c>
      <c r="J174" s="112" t="s">
        <v>1195</v>
      </c>
      <c r="K174" s="112" t="s">
        <v>1379</v>
      </c>
      <c r="L174" s="116">
        <v>41395.01</v>
      </c>
      <c r="M174" s="116">
        <f t="shared" si="2"/>
        <v>41.395009999999999</v>
      </c>
    </row>
    <row r="175" spans="1:13" x14ac:dyDescent="0.35">
      <c r="A175" s="112" t="s">
        <v>1185</v>
      </c>
      <c r="B175" s="112" t="s">
        <v>896</v>
      </c>
      <c r="C175" s="112" t="s">
        <v>695</v>
      </c>
      <c r="D175" s="113">
        <v>10348146</v>
      </c>
      <c r="E175" s="115">
        <v>43930</v>
      </c>
      <c r="F175" s="114">
        <v>202101</v>
      </c>
      <c r="G175" s="112" t="s">
        <v>1091</v>
      </c>
      <c r="H175" s="112" t="s">
        <v>1015</v>
      </c>
      <c r="I175" s="112" t="s">
        <v>767</v>
      </c>
      <c r="J175" s="112" t="s">
        <v>1195</v>
      </c>
      <c r="K175" s="112" t="s">
        <v>1380</v>
      </c>
      <c r="L175" s="116">
        <v>6044.57</v>
      </c>
      <c r="M175" s="116">
        <f t="shared" si="2"/>
        <v>6.0445699999999993</v>
      </c>
    </row>
    <row r="176" spans="1:13" x14ac:dyDescent="0.35">
      <c r="A176" s="112" t="s">
        <v>1185</v>
      </c>
      <c r="B176" s="112" t="s">
        <v>896</v>
      </c>
      <c r="C176" s="112" t="s">
        <v>695</v>
      </c>
      <c r="D176" s="113">
        <v>10348146</v>
      </c>
      <c r="E176" s="115">
        <v>43930</v>
      </c>
      <c r="F176" s="114">
        <v>202101</v>
      </c>
      <c r="G176" s="112" t="s">
        <v>1091</v>
      </c>
      <c r="H176" s="112" t="s">
        <v>1015</v>
      </c>
      <c r="I176" s="112" t="s">
        <v>767</v>
      </c>
      <c r="J176" s="112" t="s">
        <v>1195</v>
      </c>
      <c r="K176" s="112" t="s">
        <v>1381</v>
      </c>
      <c r="L176" s="116">
        <v>7959.37</v>
      </c>
      <c r="M176" s="116">
        <f t="shared" si="2"/>
        <v>7.9593699999999998</v>
      </c>
    </row>
    <row r="177" spans="1:13" x14ac:dyDescent="0.35">
      <c r="A177" s="112" t="s">
        <v>1185</v>
      </c>
      <c r="B177" s="112" t="s">
        <v>896</v>
      </c>
      <c r="C177" s="112" t="s">
        <v>695</v>
      </c>
      <c r="D177" s="113">
        <v>10348146</v>
      </c>
      <c r="E177" s="115">
        <v>43930</v>
      </c>
      <c r="F177" s="114">
        <v>202101</v>
      </c>
      <c r="G177" s="112" t="s">
        <v>1091</v>
      </c>
      <c r="H177" s="112" t="s">
        <v>1015</v>
      </c>
      <c r="I177" s="112" t="s">
        <v>767</v>
      </c>
      <c r="J177" s="112" t="s">
        <v>1195</v>
      </c>
      <c r="K177" s="112" t="s">
        <v>1382</v>
      </c>
      <c r="L177" s="116">
        <v>23581.49</v>
      </c>
      <c r="M177" s="116">
        <f t="shared" si="2"/>
        <v>23.581490000000002</v>
      </c>
    </row>
    <row r="178" spans="1:13" x14ac:dyDescent="0.35">
      <c r="A178" s="112" t="s">
        <v>1185</v>
      </c>
      <c r="B178" s="112" t="s">
        <v>896</v>
      </c>
      <c r="C178" s="112" t="s">
        <v>695</v>
      </c>
      <c r="D178" s="113">
        <v>10348146</v>
      </c>
      <c r="E178" s="115">
        <v>43930</v>
      </c>
      <c r="F178" s="114">
        <v>202101</v>
      </c>
      <c r="G178" s="112" t="s">
        <v>1091</v>
      </c>
      <c r="H178" s="112" t="s">
        <v>1015</v>
      </c>
      <c r="I178" s="112" t="s">
        <v>767</v>
      </c>
      <c r="J178" s="112" t="s">
        <v>1195</v>
      </c>
      <c r="K178" s="112" t="s">
        <v>1383</v>
      </c>
      <c r="L178" s="116">
        <v>11952.26</v>
      </c>
      <c r="M178" s="116">
        <f t="shared" si="2"/>
        <v>11.952260000000001</v>
      </c>
    </row>
    <row r="179" spans="1:13" x14ac:dyDescent="0.35">
      <c r="A179" s="112" t="s">
        <v>1185</v>
      </c>
      <c r="B179" s="112" t="s">
        <v>896</v>
      </c>
      <c r="C179" s="112" t="s">
        <v>695</v>
      </c>
      <c r="D179" s="113">
        <v>10348146</v>
      </c>
      <c r="E179" s="115">
        <v>43930</v>
      </c>
      <c r="F179" s="114">
        <v>202101</v>
      </c>
      <c r="G179" s="112" t="s">
        <v>1091</v>
      </c>
      <c r="H179" s="112" t="s">
        <v>1015</v>
      </c>
      <c r="I179" s="112" t="s">
        <v>767</v>
      </c>
      <c r="J179" s="112" t="s">
        <v>1195</v>
      </c>
      <c r="K179" s="112" t="s">
        <v>1384</v>
      </c>
      <c r="L179" s="116">
        <v>2046.3</v>
      </c>
      <c r="M179" s="116">
        <f t="shared" si="2"/>
        <v>2.0463</v>
      </c>
    </row>
    <row r="180" spans="1:13" x14ac:dyDescent="0.35">
      <c r="A180" s="112" t="s">
        <v>1185</v>
      </c>
      <c r="B180" s="112" t="s">
        <v>896</v>
      </c>
      <c r="C180" s="112" t="s">
        <v>695</v>
      </c>
      <c r="D180" s="113">
        <v>10348146</v>
      </c>
      <c r="E180" s="115">
        <v>43930</v>
      </c>
      <c r="F180" s="114">
        <v>202101</v>
      </c>
      <c r="G180" s="112" t="s">
        <v>1091</v>
      </c>
      <c r="H180" s="112" t="s">
        <v>1015</v>
      </c>
      <c r="I180" s="112" t="s">
        <v>767</v>
      </c>
      <c r="J180" s="112" t="s">
        <v>1195</v>
      </c>
      <c r="K180" s="112" t="s">
        <v>1385</v>
      </c>
      <c r="L180" s="116">
        <v>30631</v>
      </c>
      <c r="M180" s="116">
        <f t="shared" si="2"/>
        <v>30.631</v>
      </c>
    </row>
    <row r="181" spans="1:13" x14ac:dyDescent="0.35">
      <c r="A181" s="112" t="s">
        <v>1185</v>
      </c>
      <c r="B181" s="112" t="s">
        <v>896</v>
      </c>
      <c r="C181" s="112" t="s">
        <v>695</v>
      </c>
      <c r="D181" s="113">
        <v>10348146</v>
      </c>
      <c r="E181" s="115">
        <v>43930</v>
      </c>
      <c r="F181" s="114">
        <v>202101</v>
      </c>
      <c r="G181" s="112" t="s">
        <v>1091</v>
      </c>
      <c r="H181" s="112" t="s">
        <v>1015</v>
      </c>
      <c r="I181" s="112" t="s">
        <v>767</v>
      </c>
      <c r="J181" s="112" t="s">
        <v>1195</v>
      </c>
      <c r="K181" s="112" t="s">
        <v>1386</v>
      </c>
      <c r="L181" s="116">
        <v>75000</v>
      </c>
      <c r="M181" s="116">
        <f t="shared" si="2"/>
        <v>75</v>
      </c>
    </row>
    <row r="182" spans="1:13" x14ac:dyDescent="0.35">
      <c r="A182" s="112" t="s">
        <v>1185</v>
      </c>
      <c r="B182" s="112" t="s">
        <v>896</v>
      </c>
      <c r="C182" s="112" t="s">
        <v>695</v>
      </c>
      <c r="D182" s="113">
        <v>10348146</v>
      </c>
      <c r="E182" s="115">
        <v>43930</v>
      </c>
      <c r="F182" s="114">
        <v>202101</v>
      </c>
      <c r="G182" s="112" t="s">
        <v>1091</v>
      </c>
      <c r="H182" s="112" t="s">
        <v>1015</v>
      </c>
      <c r="I182" s="112" t="s">
        <v>767</v>
      </c>
      <c r="J182" s="112" t="s">
        <v>1195</v>
      </c>
      <c r="K182" s="112" t="s">
        <v>1387</v>
      </c>
      <c r="L182" s="116">
        <v>984</v>
      </c>
      <c r="M182" s="116">
        <f t="shared" si="2"/>
        <v>0.98399999999999999</v>
      </c>
    </row>
    <row r="183" spans="1:13" x14ac:dyDescent="0.35">
      <c r="A183" s="112" t="s">
        <v>1185</v>
      </c>
      <c r="B183" s="112" t="s">
        <v>896</v>
      </c>
      <c r="C183" s="112" t="s">
        <v>695</v>
      </c>
      <c r="D183" s="113">
        <v>10348146</v>
      </c>
      <c r="E183" s="115">
        <v>43930</v>
      </c>
      <c r="F183" s="114">
        <v>202101</v>
      </c>
      <c r="G183" s="112" t="s">
        <v>1091</v>
      </c>
      <c r="H183" s="112" t="s">
        <v>1015</v>
      </c>
      <c r="I183" s="112" t="s">
        <v>767</v>
      </c>
      <c r="J183" s="112" t="s">
        <v>1195</v>
      </c>
      <c r="K183" s="112" t="s">
        <v>1388</v>
      </c>
      <c r="L183" s="116">
        <v>868</v>
      </c>
      <c r="M183" s="116">
        <f t="shared" si="2"/>
        <v>0.86799999999999999</v>
      </c>
    </row>
    <row r="184" spans="1:13" x14ac:dyDescent="0.35">
      <c r="A184" s="112" t="s">
        <v>1185</v>
      </c>
      <c r="B184" s="112" t="s">
        <v>896</v>
      </c>
      <c r="C184" s="112" t="s">
        <v>695</v>
      </c>
      <c r="D184" s="113">
        <v>10348146</v>
      </c>
      <c r="E184" s="115">
        <v>43930</v>
      </c>
      <c r="F184" s="114">
        <v>202101</v>
      </c>
      <c r="G184" s="112" t="s">
        <v>1091</v>
      </c>
      <c r="H184" s="112" t="s">
        <v>1015</v>
      </c>
      <c r="I184" s="112" t="s">
        <v>767</v>
      </c>
      <c r="J184" s="112" t="s">
        <v>1195</v>
      </c>
      <c r="K184" s="112" t="s">
        <v>1364</v>
      </c>
      <c r="L184" s="116">
        <v>-535.65</v>
      </c>
      <c r="M184" s="116">
        <f t="shared" si="2"/>
        <v>-0.53564999999999996</v>
      </c>
    </row>
    <row r="185" spans="1:13" x14ac:dyDescent="0.35">
      <c r="A185" s="112" t="s">
        <v>1185</v>
      </c>
      <c r="B185" s="112" t="s">
        <v>896</v>
      </c>
      <c r="C185" s="112" t="s">
        <v>695</v>
      </c>
      <c r="D185" s="113">
        <v>10348146</v>
      </c>
      <c r="E185" s="115">
        <v>43930</v>
      </c>
      <c r="F185" s="114">
        <v>202101</v>
      </c>
      <c r="G185" s="112" t="s">
        <v>1091</v>
      </c>
      <c r="H185" s="112" t="s">
        <v>1015</v>
      </c>
      <c r="I185" s="112" t="s">
        <v>767</v>
      </c>
      <c r="J185" s="112" t="s">
        <v>1195</v>
      </c>
      <c r="K185" s="112" t="s">
        <v>1389</v>
      </c>
      <c r="L185" s="116">
        <v>-2951.37</v>
      </c>
      <c r="M185" s="116">
        <f t="shared" si="2"/>
        <v>-2.9513699999999998</v>
      </c>
    </row>
    <row r="186" spans="1:13" x14ac:dyDescent="0.35">
      <c r="A186" s="112" t="s">
        <v>1185</v>
      </c>
      <c r="B186" s="112" t="s">
        <v>896</v>
      </c>
      <c r="C186" s="112" t="s">
        <v>695</v>
      </c>
      <c r="D186" s="113">
        <v>10348146</v>
      </c>
      <c r="E186" s="115">
        <v>43930</v>
      </c>
      <c r="F186" s="114">
        <v>202101</v>
      </c>
      <c r="G186" s="112" t="s">
        <v>1091</v>
      </c>
      <c r="H186" s="112" t="s">
        <v>1015</v>
      </c>
      <c r="I186" s="112" t="s">
        <v>767</v>
      </c>
      <c r="J186" s="112" t="s">
        <v>1195</v>
      </c>
      <c r="K186" s="112" t="s">
        <v>1390</v>
      </c>
      <c r="L186" s="116">
        <v>3680</v>
      </c>
      <c r="M186" s="116">
        <f t="shared" si="2"/>
        <v>3.68</v>
      </c>
    </row>
    <row r="187" spans="1:13" x14ac:dyDescent="0.35">
      <c r="A187" s="112" t="s">
        <v>1185</v>
      </c>
      <c r="B187" s="112" t="s">
        <v>896</v>
      </c>
      <c r="C187" s="112" t="s">
        <v>695</v>
      </c>
      <c r="D187" s="113">
        <v>10348146</v>
      </c>
      <c r="E187" s="115">
        <v>43930</v>
      </c>
      <c r="F187" s="114">
        <v>202101</v>
      </c>
      <c r="G187" s="112" t="s">
        <v>1091</v>
      </c>
      <c r="H187" s="112" t="s">
        <v>1015</v>
      </c>
      <c r="I187" s="112" t="s">
        <v>767</v>
      </c>
      <c r="J187" s="112" t="s">
        <v>1195</v>
      </c>
      <c r="K187" s="112" t="s">
        <v>1391</v>
      </c>
      <c r="L187" s="116">
        <v>-30715.15</v>
      </c>
      <c r="M187" s="116">
        <f t="shared" si="2"/>
        <v>-30.715150000000001</v>
      </c>
    </row>
    <row r="188" spans="1:13" x14ac:dyDescent="0.35">
      <c r="A188" s="112" t="s">
        <v>1185</v>
      </c>
      <c r="B188" s="112" t="s">
        <v>896</v>
      </c>
      <c r="C188" s="112" t="s">
        <v>695</v>
      </c>
      <c r="D188" s="113">
        <v>10348146</v>
      </c>
      <c r="E188" s="115">
        <v>43930</v>
      </c>
      <c r="F188" s="114">
        <v>202101</v>
      </c>
      <c r="G188" s="112" t="s">
        <v>1091</v>
      </c>
      <c r="H188" s="112" t="s">
        <v>1015</v>
      </c>
      <c r="I188" s="112" t="s">
        <v>767</v>
      </c>
      <c r="J188" s="112" t="s">
        <v>1195</v>
      </c>
      <c r="K188" s="112" t="s">
        <v>1392</v>
      </c>
      <c r="L188" s="116">
        <v>-610</v>
      </c>
      <c r="M188" s="116">
        <f t="shared" si="2"/>
        <v>-0.61</v>
      </c>
    </row>
    <row r="189" spans="1:13" x14ac:dyDescent="0.35">
      <c r="A189" s="112" t="s">
        <v>1185</v>
      </c>
      <c r="B189" s="112" t="s">
        <v>896</v>
      </c>
      <c r="C189" s="112" t="s">
        <v>695</v>
      </c>
      <c r="D189" s="113">
        <v>10348146</v>
      </c>
      <c r="E189" s="115">
        <v>43930</v>
      </c>
      <c r="F189" s="114">
        <v>202101</v>
      </c>
      <c r="G189" s="112" t="s">
        <v>1091</v>
      </c>
      <c r="H189" s="112" t="s">
        <v>1015</v>
      </c>
      <c r="I189" s="112" t="s">
        <v>767</v>
      </c>
      <c r="J189" s="112" t="s">
        <v>1195</v>
      </c>
      <c r="K189" s="112" t="s">
        <v>1393</v>
      </c>
      <c r="L189" s="116">
        <v>-5171.51</v>
      </c>
      <c r="M189" s="116">
        <f t="shared" si="2"/>
        <v>-5.1715100000000005</v>
      </c>
    </row>
    <row r="190" spans="1:13" x14ac:dyDescent="0.35">
      <c r="A190" s="112" t="s">
        <v>1185</v>
      </c>
      <c r="B190" s="112" t="s">
        <v>896</v>
      </c>
      <c r="C190" s="112" t="s">
        <v>695</v>
      </c>
      <c r="D190" s="113">
        <v>10348146</v>
      </c>
      <c r="E190" s="115">
        <v>43930</v>
      </c>
      <c r="F190" s="114">
        <v>202101</v>
      </c>
      <c r="G190" s="112" t="s">
        <v>1091</v>
      </c>
      <c r="H190" s="112" t="s">
        <v>1015</v>
      </c>
      <c r="I190" s="112" t="s">
        <v>767</v>
      </c>
      <c r="J190" s="112" t="s">
        <v>1195</v>
      </c>
      <c r="K190" s="112" t="s">
        <v>1394</v>
      </c>
      <c r="L190" s="116">
        <v>1450.4</v>
      </c>
      <c r="M190" s="116">
        <f t="shared" si="2"/>
        <v>1.4504000000000001</v>
      </c>
    </row>
    <row r="191" spans="1:13" x14ac:dyDescent="0.35">
      <c r="A191" s="112" t="s">
        <v>1185</v>
      </c>
      <c r="B191" s="112" t="s">
        <v>896</v>
      </c>
      <c r="C191" s="112" t="s">
        <v>695</v>
      </c>
      <c r="D191" s="113">
        <v>10348146</v>
      </c>
      <c r="E191" s="115">
        <v>43930</v>
      </c>
      <c r="F191" s="114">
        <v>202101</v>
      </c>
      <c r="G191" s="112" t="s">
        <v>1091</v>
      </c>
      <c r="H191" s="112" t="s">
        <v>1015</v>
      </c>
      <c r="I191" s="112" t="s">
        <v>767</v>
      </c>
      <c r="J191" s="112" t="s">
        <v>1195</v>
      </c>
      <c r="K191" s="112" t="s">
        <v>1392</v>
      </c>
      <c r="L191" s="116">
        <v>610</v>
      </c>
      <c r="M191" s="116">
        <f t="shared" si="2"/>
        <v>0.61</v>
      </c>
    </row>
    <row r="192" spans="1:13" x14ac:dyDescent="0.35">
      <c r="A192" s="112" t="s">
        <v>1185</v>
      </c>
      <c r="B192" s="112" t="s">
        <v>896</v>
      </c>
      <c r="C192" s="112" t="s">
        <v>695</v>
      </c>
      <c r="D192" s="113">
        <v>10348146</v>
      </c>
      <c r="E192" s="115">
        <v>43930</v>
      </c>
      <c r="F192" s="114">
        <v>202101</v>
      </c>
      <c r="G192" s="112" t="s">
        <v>1091</v>
      </c>
      <c r="H192" s="112" t="s">
        <v>1015</v>
      </c>
      <c r="I192" s="112" t="s">
        <v>767</v>
      </c>
      <c r="J192" s="112" t="s">
        <v>1195</v>
      </c>
      <c r="K192" s="112" t="s">
        <v>1393</v>
      </c>
      <c r="L192" s="116">
        <v>5171.51</v>
      </c>
      <c r="M192" s="116">
        <f t="shared" si="2"/>
        <v>5.1715100000000005</v>
      </c>
    </row>
    <row r="193" spans="1:13" x14ac:dyDescent="0.35">
      <c r="A193" s="112" t="s">
        <v>1185</v>
      </c>
      <c r="B193" s="112" t="s">
        <v>896</v>
      </c>
      <c r="C193" s="112" t="s">
        <v>695</v>
      </c>
      <c r="D193" s="113">
        <v>10348146</v>
      </c>
      <c r="E193" s="115">
        <v>43930</v>
      </c>
      <c r="F193" s="114">
        <v>202101</v>
      </c>
      <c r="G193" s="112" t="s">
        <v>1091</v>
      </c>
      <c r="H193" s="112" t="s">
        <v>1015</v>
      </c>
      <c r="I193" s="112" t="s">
        <v>767</v>
      </c>
      <c r="J193" s="112" t="s">
        <v>1195</v>
      </c>
      <c r="K193" s="112" t="s">
        <v>1395</v>
      </c>
      <c r="L193" s="116">
        <v>3179.45</v>
      </c>
      <c r="M193" s="116">
        <f t="shared" si="2"/>
        <v>3.1794499999999997</v>
      </c>
    </row>
    <row r="194" spans="1:13" x14ac:dyDescent="0.35">
      <c r="A194" s="112" t="s">
        <v>1185</v>
      </c>
      <c r="B194" s="112" t="s">
        <v>896</v>
      </c>
      <c r="C194" s="112" t="s">
        <v>695</v>
      </c>
      <c r="D194" s="113">
        <v>10348146</v>
      </c>
      <c r="E194" s="115">
        <v>43930</v>
      </c>
      <c r="F194" s="114">
        <v>202101</v>
      </c>
      <c r="G194" s="112" t="s">
        <v>1091</v>
      </c>
      <c r="H194" s="112" t="s">
        <v>1015</v>
      </c>
      <c r="I194" s="112" t="s">
        <v>767</v>
      </c>
      <c r="J194" s="112" t="s">
        <v>1195</v>
      </c>
      <c r="K194" s="112" t="s">
        <v>1396</v>
      </c>
      <c r="L194" s="116">
        <v>797.42</v>
      </c>
      <c r="M194" s="116">
        <f t="shared" si="2"/>
        <v>0.79741999999999991</v>
      </c>
    </row>
    <row r="195" spans="1:13" x14ac:dyDescent="0.35">
      <c r="A195" s="112" t="s">
        <v>1185</v>
      </c>
      <c r="B195" s="112" t="s">
        <v>896</v>
      </c>
      <c r="C195" s="112" t="s">
        <v>695</v>
      </c>
      <c r="D195" s="113">
        <v>10348146</v>
      </c>
      <c r="E195" s="115">
        <v>43930</v>
      </c>
      <c r="F195" s="114">
        <v>202101</v>
      </c>
      <c r="G195" s="112" t="s">
        <v>1091</v>
      </c>
      <c r="H195" s="112" t="s">
        <v>1015</v>
      </c>
      <c r="I195" s="112" t="s">
        <v>767</v>
      </c>
      <c r="J195" s="112" t="s">
        <v>1195</v>
      </c>
      <c r="K195" s="112" t="s">
        <v>1397</v>
      </c>
      <c r="L195" s="116">
        <v>4253.57</v>
      </c>
      <c r="M195" s="116">
        <f t="shared" ref="M195:M258" si="3">L195/1000</f>
        <v>4.2535699999999999</v>
      </c>
    </row>
    <row r="196" spans="1:13" x14ac:dyDescent="0.35">
      <c r="A196" s="112" t="s">
        <v>1185</v>
      </c>
      <c r="B196" s="112" t="s">
        <v>896</v>
      </c>
      <c r="C196" s="112" t="s">
        <v>695</v>
      </c>
      <c r="D196" s="113">
        <v>10348146</v>
      </c>
      <c r="E196" s="115">
        <v>43930</v>
      </c>
      <c r="F196" s="114">
        <v>202101</v>
      </c>
      <c r="G196" s="112" t="s">
        <v>1091</v>
      </c>
      <c r="H196" s="112" t="s">
        <v>1015</v>
      </c>
      <c r="I196" s="112" t="s">
        <v>767</v>
      </c>
      <c r="J196" s="112" t="s">
        <v>1195</v>
      </c>
      <c r="K196" s="112" t="s">
        <v>1398</v>
      </c>
      <c r="L196" s="116">
        <v>9370</v>
      </c>
      <c r="M196" s="116">
        <f t="shared" si="3"/>
        <v>9.3699999999999992</v>
      </c>
    </row>
    <row r="197" spans="1:13" hidden="1" x14ac:dyDescent="0.35">
      <c r="A197" s="112" t="s">
        <v>1185</v>
      </c>
      <c r="B197" s="112" t="s">
        <v>895</v>
      </c>
      <c r="C197" s="112" t="s">
        <v>695</v>
      </c>
      <c r="D197" s="113">
        <v>10347981</v>
      </c>
      <c r="E197" s="115">
        <v>43924</v>
      </c>
      <c r="F197" s="114">
        <v>202101</v>
      </c>
      <c r="G197" s="112" t="s">
        <v>1091</v>
      </c>
      <c r="H197" s="112" t="s">
        <v>1015</v>
      </c>
      <c r="I197" s="112" t="s">
        <v>1402</v>
      </c>
      <c r="J197" s="112" t="s">
        <v>1272</v>
      </c>
      <c r="K197" s="112" t="s">
        <v>1403</v>
      </c>
      <c r="L197" s="116">
        <v>-10</v>
      </c>
      <c r="M197" s="116">
        <f t="shared" si="3"/>
        <v>-0.01</v>
      </c>
    </row>
    <row r="198" spans="1:13" x14ac:dyDescent="0.35">
      <c r="A198" s="112" t="s">
        <v>1185</v>
      </c>
      <c r="B198" s="112" t="s">
        <v>896</v>
      </c>
      <c r="C198" s="112" t="s">
        <v>695</v>
      </c>
      <c r="D198" s="113">
        <v>10348204</v>
      </c>
      <c r="E198" s="115">
        <v>43935</v>
      </c>
      <c r="F198" s="114">
        <v>202101</v>
      </c>
      <c r="G198" s="112" t="s">
        <v>1091</v>
      </c>
      <c r="H198" s="112" t="s">
        <v>1015</v>
      </c>
      <c r="I198" s="112" t="s">
        <v>761</v>
      </c>
      <c r="J198" s="112" t="s">
        <v>1195</v>
      </c>
      <c r="K198" s="112" t="s">
        <v>1424</v>
      </c>
      <c r="L198" s="116">
        <v>51000</v>
      </c>
      <c r="M198" s="116">
        <f t="shared" si="3"/>
        <v>51</v>
      </c>
    </row>
    <row r="199" spans="1:13" hidden="1" x14ac:dyDescent="0.35">
      <c r="A199" s="112" t="s">
        <v>1185</v>
      </c>
      <c r="B199" s="112" t="s">
        <v>898</v>
      </c>
      <c r="C199" s="112" t="s">
        <v>695</v>
      </c>
      <c r="D199" s="113">
        <v>10348204</v>
      </c>
      <c r="E199" s="115">
        <v>43935</v>
      </c>
      <c r="F199" s="114">
        <v>202101</v>
      </c>
      <c r="G199" s="112" t="s">
        <v>1091</v>
      </c>
      <c r="H199" s="112" t="s">
        <v>1015</v>
      </c>
      <c r="I199" s="112" t="s">
        <v>761</v>
      </c>
      <c r="J199" s="112" t="s">
        <v>1244</v>
      </c>
      <c r="K199" s="112" t="s">
        <v>1425</v>
      </c>
      <c r="L199" s="116">
        <v>11721.6</v>
      </c>
      <c r="M199" s="116">
        <f t="shared" si="3"/>
        <v>11.7216</v>
      </c>
    </row>
    <row r="200" spans="1:13" x14ac:dyDescent="0.35">
      <c r="A200" s="112" t="s">
        <v>1185</v>
      </c>
      <c r="B200" s="112" t="s">
        <v>896</v>
      </c>
      <c r="C200" s="112" t="s">
        <v>695</v>
      </c>
      <c r="D200" s="113">
        <v>10348055</v>
      </c>
      <c r="E200" s="115">
        <v>43928</v>
      </c>
      <c r="F200" s="114">
        <v>202101</v>
      </c>
      <c r="G200" s="112" t="s">
        <v>1091</v>
      </c>
      <c r="H200" s="112" t="s">
        <v>1015</v>
      </c>
      <c r="I200" s="112" t="s">
        <v>1267</v>
      </c>
      <c r="J200" s="112" t="s">
        <v>1268</v>
      </c>
      <c r="K200" s="112" t="s">
        <v>1434</v>
      </c>
      <c r="L200" s="116">
        <v>-1088.06</v>
      </c>
      <c r="M200" s="116">
        <f t="shared" si="3"/>
        <v>-1.08806</v>
      </c>
    </row>
    <row r="201" spans="1:13" x14ac:dyDescent="0.35">
      <c r="A201" s="112" t="s">
        <v>1185</v>
      </c>
      <c r="B201" s="112" t="s">
        <v>896</v>
      </c>
      <c r="C201" s="112" t="s">
        <v>695</v>
      </c>
      <c r="D201" s="113">
        <v>10348001</v>
      </c>
      <c r="E201" s="115">
        <v>43927</v>
      </c>
      <c r="F201" s="114">
        <v>202101</v>
      </c>
      <c r="G201" s="112" t="s">
        <v>1091</v>
      </c>
      <c r="H201" s="112" t="s">
        <v>1015</v>
      </c>
      <c r="I201" s="112" t="s">
        <v>767</v>
      </c>
      <c r="J201" s="112" t="s">
        <v>1195</v>
      </c>
      <c r="K201" s="112" t="s">
        <v>1365</v>
      </c>
      <c r="L201" s="116">
        <v>5372.01</v>
      </c>
      <c r="M201" s="116">
        <f t="shared" si="3"/>
        <v>5.3720100000000004</v>
      </c>
    </row>
    <row r="202" spans="1:13" x14ac:dyDescent="0.35">
      <c r="A202" s="112" t="s">
        <v>1185</v>
      </c>
      <c r="B202" s="112" t="s">
        <v>896</v>
      </c>
      <c r="C202" s="112" t="s">
        <v>695</v>
      </c>
      <c r="D202" s="113">
        <v>10348001</v>
      </c>
      <c r="E202" s="115">
        <v>43927</v>
      </c>
      <c r="F202" s="114">
        <v>202101</v>
      </c>
      <c r="G202" s="112" t="s">
        <v>1091</v>
      </c>
      <c r="H202" s="112" t="s">
        <v>1015</v>
      </c>
      <c r="I202" s="112" t="s">
        <v>767</v>
      </c>
      <c r="J202" s="112" t="s">
        <v>1195</v>
      </c>
      <c r="K202" s="112" t="s">
        <v>1372</v>
      </c>
      <c r="L202" s="116">
        <v>1991.31</v>
      </c>
      <c r="M202" s="116">
        <f t="shared" si="3"/>
        <v>1.9913099999999999</v>
      </c>
    </row>
    <row r="203" spans="1:13" hidden="1" x14ac:dyDescent="0.35">
      <c r="A203" s="112" t="s">
        <v>1185</v>
      </c>
      <c r="B203" s="112" t="s">
        <v>898</v>
      </c>
      <c r="C203" s="112" t="s">
        <v>695</v>
      </c>
      <c r="D203" s="113">
        <v>10348001</v>
      </c>
      <c r="E203" s="115">
        <v>43927</v>
      </c>
      <c r="F203" s="114">
        <v>202101</v>
      </c>
      <c r="G203" s="112" t="s">
        <v>1091</v>
      </c>
      <c r="H203" s="112" t="s">
        <v>1015</v>
      </c>
      <c r="I203" s="112" t="s">
        <v>1102</v>
      </c>
      <c r="J203" s="112" t="s">
        <v>1213</v>
      </c>
      <c r="K203" s="112" t="s">
        <v>1374</v>
      </c>
      <c r="L203" s="116">
        <v>776.71</v>
      </c>
      <c r="M203" s="116">
        <f t="shared" si="3"/>
        <v>0.77671000000000001</v>
      </c>
    </row>
    <row r="204" spans="1:13" x14ac:dyDescent="0.35">
      <c r="A204" s="112" t="s">
        <v>1185</v>
      </c>
      <c r="B204" s="112" t="s">
        <v>896</v>
      </c>
      <c r="C204" s="112" t="s">
        <v>695</v>
      </c>
      <c r="D204" s="113">
        <v>10348001</v>
      </c>
      <c r="E204" s="115">
        <v>43927</v>
      </c>
      <c r="F204" s="114">
        <v>202101</v>
      </c>
      <c r="G204" s="112" t="s">
        <v>1091</v>
      </c>
      <c r="H204" s="112" t="s">
        <v>1015</v>
      </c>
      <c r="I204" s="112" t="s">
        <v>767</v>
      </c>
      <c r="J204" s="112" t="s">
        <v>1195</v>
      </c>
      <c r="K204" s="112" t="s">
        <v>1435</v>
      </c>
      <c r="L204" s="116">
        <v>3489.89</v>
      </c>
      <c r="M204" s="116">
        <f t="shared" si="3"/>
        <v>3.4898899999999999</v>
      </c>
    </row>
    <row r="205" spans="1:13" x14ac:dyDescent="0.35">
      <c r="A205" s="112" t="s">
        <v>1185</v>
      </c>
      <c r="B205" s="112" t="s">
        <v>896</v>
      </c>
      <c r="C205" s="112" t="s">
        <v>695</v>
      </c>
      <c r="D205" s="113">
        <v>10348001</v>
      </c>
      <c r="E205" s="115">
        <v>43927</v>
      </c>
      <c r="F205" s="114">
        <v>202101</v>
      </c>
      <c r="G205" s="112" t="s">
        <v>1091</v>
      </c>
      <c r="H205" s="112" t="s">
        <v>1015</v>
      </c>
      <c r="I205" s="112" t="s">
        <v>767</v>
      </c>
      <c r="J205" s="112" t="s">
        <v>1195</v>
      </c>
      <c r="K205" s="112" t="s">
        <v>1367</v>
      </c>
      <c r="L205" s="116">
        <v>6757.18</v>
      </c>
      <c r="M205" s="116">
        <f t="shared" si="3"/>
        <v>6.75718</v>
      </c>
    </row>
    <row r="206" spans="1:13" x14ac:dyDescent="0.35">
      <c r="A206" s="112" t="s">
        <v>1185</v>
      </c>
      <c r="B206" s="112" t="s">
        <v>896</v>
      </c>
      <c r="C206" s="112" t="s">
        <v>695</v>
      </c>
      <c r="D206" s="113">
        <v>10348001</v>
      </c>
      <c r="E206" s="115">
        <v>43927</v>
      </c>
      <c r="F206" s="114">
        <v>202101</v>
      </c>
      <c r="G206" s="112" t="s">
        <v>1091</v>
      </c>
      <c r="H206" s="112" t="s">
        <v>1015</v>
      </c>
      <c r="I206" s="112" t="s">
        <v>767</v>
      </c>
      <c r="J206" s="112" t="s">
        <v>1195</v>
      </c>
      <c r="K206" s="112" t="s">
        <v>1366</v>
      </c>
      <c r="L206" s="116">
        <v>12129.08</v>
      </c>
      <c r="M206" s="116">
        <f t="shared" si="3"/>
        <v>12.12908</v>
      </c>
    </row>
    <row r="207" spans="1:13" x14ac:dyDescent="0.35">
      <c r="A207" s="112" t="s">
        <v>1185</v>
      </c>
      <c r="B207" s="112" t="s">
        <v>896</v>
      </c>
      <c r="C207" s="112" t="s">
        <v>695</v>
      </c>
      <c r="D207" s="113">
        <v>10348001</v>
      </c>
      <c r="E207" s="115">
        <v>43927</v>
      </c>
      <c r="F207" s="114">
        <v>202101</v>
      </c>
      <c r="G207" s="112" t="s">
        <v>1091</v>
      </c>
      <c r="H207" s="112" t="s">
        <v>1015</v>
      </c>
      <c r="I207" s="112" t="s">
        <v>767</v>
      </c>
      <c r="J207" s="112" t="s">
        <v>1195</v>
      </c>
      <c r="K207" s="112" t="s">
        <v>1436</v>
      </c>
      <c r="L207" s="116">
        <v>3402.05</v>
      </c>
      <c r="M207" s="116">
        <f t="shared" si="3"/>
        <v>3.40205</v>
      </c>
    </row>
    <row r="208" spans="1:13" x14ac:dyDescent="0.35">
      <c r="A208" s="112" t="s">
        <v>1185</v>
      </c>
      <c r="B208" s="112" t="s">
        <v>896</v>
      </c>
      <c r="C208" s="112" t="s">
        <v>695</v>
      </c>
      <c r="D208" s="113">
        <v>10348001</v>
      </c>
      <c r="E208" s="115">
        <v>43927</v>
      </c>
      <c r="F208" s="114">
        <v>202101</v>
      </c>
      <c r="G208" s="112" t="s">
        <v>1091</v>
      </c>
      <c r="H208" s="112" t="s">
        <v>1015</v>
      </c>
      <c r="I208" s="112" t="s">
        <v>767</v>
      </c>
      <c r="J208" s="112" t="s">
        <v>1195</v>
      </c>
      <c r="K208" s="112" t="s">
        <v>1370</v>
      </c>
      <c r="L208" s="116">
        <v>652.44000000000005</v>
      </c>
      <c r="M208" s="116">
        <f t="shared" si="3"/>
        <v>0.65244000000000002</v>
      </c>
    </row>
    <row r="209" spans="1:13" x14ac:dyDescent="0.35">
      <c r="A209" s="112" t="s">
        <v>1185</v>
      </c>
      <c r="B209" s="112" t="s">
        <v>896</v>
      </c>
      <c r="C209" s="112" t="s">
        <v>695</v>
      </c>
      <c r="D209" s="113">
        <v>10348055</v>
      </c>
      <c r="E209" s="115">
        <v>43928</v>
      </c>
      <c r="F209" s="114">
        <v>202101</v>
      </c>
      <c r="G209" s="112" t="s">
        <v>1091</v>
      </c>
      <c r="H209" s="112" t="s">
        <v>1015</v>
      </c>
      <c r="I209" s="112" t="s">
        <v>767</v>
      </c>
      <c r="J209" s="112" t="s">
        <v>1195</v>
      </c>
      <c r="K209" s="112" t="s">
        <v>1444</v>
      </c>
      <c r="L209" s="116">
        <v>9370</v>
      </c>
      <c r="M209" s="116">
        <f t="shared" si="3"/>
        <v>9.3699999999999992</v>
      </c>
    </row>
    <row r="210" spans="1:13" x14ac:dyDescent="0.35">
      <c r="A210" s="112" t="s">
        <v>1185</v>
      </c>
      <c r="B210" s="112" t="s">
        <v>896</v>
      </c>
      <c r="C210" s="112" t="s">
        <v>695</v>
      </c>
      <c r="D210" s="113">
        <v>10348055</v>
      </c>
      <c r="E210" s="115">
        <v>43928</v>
      </c>
      <c r="F210" s="114">
        <v>202101</v>
      </c>
      <c r="G210" s="112" t="s">
        <v>1091</v>
      </c>
      <c r="H210" s="112" t="s">
        <v>1015</v>
      </c>
      <c r="I210" s="112" t="s">
        <v>765</v>
      </c>
      <c r="J210" s="112" t="s">
        <v>1268</v>
      </c>
      <c r="K210" s="112" t="s">
        <v>1445</v>
      </c>
      <c r="L210" s="116">
        <v>-625</v>
      </c>
      <c r="M210" s="116">
        <f t="shared" si="3"/>
        <v>-0.625</v>
      </c>
    </row>
    <row r="211" spans="1:13" x14ac:dyDescent="0.35">
      <c r="A211" s="112" t="s">
        <v>1185</v>
      </c>
      <c r="B211" s="112" t="s">
        <v>896</v>
      </c>
      <c r="C211" s="112" t="s">
        <v>695</v>
      </c>
      <c r="D211" s="113">
        <v>10348055</v>
      </c>
      <c r="E211" s="115">
        <v>43928</v>
      </c>
      <c r="F211" s="114">
        <v>202101</v>
      </c>
      <c r="G211" s="112" t="s">
        <v>1091</v>
      </c>
      <c r="H211" s="112" t="s">
        <v>1015</v>
      </c>
      <c r="I211" s="112" t="s">
        <v>765</v>
      </c>
      <c r="J211" s="112" t="s">
        <v>1268</v>
      </c>
      <c r="K211" s="112" t="s">
        <v>1446</v>
      </c>
      <c r="L211" s="116">
        <v>-22650</v>
      </c>
      <c r="M211" s="116">
        <f t="shared" si="3"/>
        <v>-22.65</v>
      </c>
    </row>
    <row r="212" spans="1:13" x14ac:dyDescent="0.35">
      <c r="A212" s="112" t="s">
        <v>1185</v>
      </c>
      <c r="B212" s="112" t="s">
        <v>896</v>
      </c>
      <c r="C212" s="112" t="s">
        <v>695</v>
      </c>
      <c r="D212" s="113">
        <v>10348055</v>
      </c>
      <c r="E212" s="115">
        <v>43928</v>
      </c>
      <c r="F212" s="114">
        <v>202101</v>
      </c>
      <c r="G212" s="112" t="s">
        <v>1091</v>
      </c>
      <c r="H212" s="112" t="s">
        <v>1015</v>
      </c>
      <c r="I212" s="112" t="s">
        <v>761</v>
      </c>
      <c r="J212" s="112" t="s">
        <v>1195</v>
      </c>
      <c r="K212" s="112" t="s">
        <v>1447</v>
      </c>
      <c r="L212" s="116">
        <v>-51000</v>
      </c>
      <c r="M212" s="116">
        <f t="shared" si="3"/>
        <v>-51</v>
      </c>
    </row>
    <row r="213" spans="1:13" x14ac:dyDescent="0.35">
      <c r="A213" s="112" t="s">
        <v>1185</v>
      </c>
      <c r="B213" s="112" t="s">
        <v>896</v>
      </c>
      <c r="C213" s="112" t="s">
        <v>695</v>
      </c>
      <c r="D213" s="113">
        <v>10348055</v>
      </c>
      <c r="E213" s="115">
        <v>43928</v>
      </c>
      <c r="F213" s="114">
        <v>202101</v>
      </c>
      <c r="G213" s="112" t="s">
        <v>1091</v>
      </c>
      <c r="H213" s="112" t="s">
        <v>1015</v>
      </c>
      <c r="I213" s="112" t="s">
        <v>761</v>
      </c>
      <c r="J213" s="112" t="s">
        <v>1195</v>
      </c>
      <c r="K213" s="112" t="s">
        <v>1448</v>
      </c>
      <c r="L213" s="116">
        <v>-45600</v>
      </c>
      <c r="M213" s="116">
        <f t="shared" si="3"/>
        <v>-45.6</v>
      </c>
    </row>
    <row r="214" spans="1:13" x14ac:dyDescent="0.35">
      <c r="A214" s="112" t="s">
        <v>1185</v>
      </c>
      <c r="B214" s="112" t="s">
        <v>896</v>
      </c>
      <c r="C214" s="112" t="s">
        <v>695</v>
      </c>
      <c r="D214" s="113">
        <v>10348055</v>
      </c>
      <c r="E214" s="115">
        <v>43928</v>
      </c>
      <c r="F214" s="114">
        <v>202101</v>
      </c>
      <c r="G214" s="112" t="s">
        <v>1091</v>
      </c>
      <c r="H214" s="112" t="s">
        <v>1015</v>
      </c>
      <c r="I214" s="112" t="s">
        <v>1267</v>
      </c>
      <c r="J214" s="112" t="s">
        <v>1268</v>
      </c>
      <c r="K214" s="112" t="s">
        <v>1449</v>
      </c>
      <c r="L214" s="116">
        <v>-4552.38</v>
      </c>
      <c r="M214" s="116">
        <f t="shared" si="3"/>
        <v>-4.5523800000000003</v>
      </c>
    </row>
    <row r="215" spans="1:13" x14ac:dyDescent="0.35">
      <c r="A215" s="112" t="s">
        <v>1185</v>
      </c>
      <c r="B215" s="112" t="s">
        <v>896</v>
      </c>
      <c r="C215" s="112" t="s">
        <v>695</v>
      </c>
      <c r="D215" s="113">
        <v>10348001</v>
      </c>
      <c r="E215" s="115">
        <v>43927</v>
      </c>
      <c r="F215" s="114">
        <v>202101</v>
      </c>
      <c r="G215" s="112" t="s">
        <v>1091</v>
      </c>
      <c r="H215" s="112" t="s">
        <v>1015</v>
      </c>
      <c r="I215" s="112" t="s">
        <v>767</v>
      </c>
      <c r="J215" s="112" t="s">
        <v>1195</v>
      </c>
      <c r="K215" s="112" t="s">
        <v>1373</v>
      </c>
      <c r="L215" s="116">
        <v>8994.58</v>
      </c>
      <c r="M215" s="116">
        <f t="shared" si="3"/>
        <v>8.9945799999999991</v>
      </c>
    </row>
    <row r="216" spans="1:13" x14ac:dyDescent="0.35">
      <c r="A216" s="112" t="s">
        <v>1185</v>
      </c>
      <c r="B216" s="112" t="s">
        <v>896</v>
      </c>
      <c r="C216" s="112" t="s">
        <v>695</v>
      </c>
      <c r="D216" s="113">
        <v>10347981</v>
      </c>
      <c r="E216" s="115">
        <v>43924</v>
      </c>
      <c r="F216" s="114">
        <v>202101</v>
      </c>
      <c r="G216" s="112" t="s">
        <v>1091</v>
      </c>
      <c r="H216" s="112" t="s">
        <v>1015</v>
      </c>
      <c r="I216" s="112" t="s">
        <v>1092</v>
      </c>
      <c r="J216" s="112" t="s">
        <v>1199</v>
      </c>
      <c r="K216" s="112" t="s">
        <v>1450</v>
      </c>
      <c r="L216" s="116">
        <v>-31.5</v>
      </c>
      <c r="M216" s="116">
        <f t="shared" si="3"/>
        <v>-3.15E-2</v>
      </c>
    </row>
    <row r="217" spans="1:13" hidden="1" x14ac:dyDescent="0.35">
      <c r="A217" s="112" t="s">
        <v>1185</v>
      </c>
      <c r="B217" s="112" t="s">
        <v>897</v>
      </c>
      <c r="C217" s="112" t="s">
        <v>695</v>
      </c>
      <c r="D217" s="113">
        <v>10347981</v>
      </c>
      <c r="E217" s="115">
        <v>43924</v>
      </c>
      <c r="F217" s="114">
        <v>202101</v>
      </c>
      <c r="G217" s="112" t="s">
        <v>1091</v>
      </c>
      <c r="H217" s="112" t="s">
        <v>1015</v>
      </c>
      <c r="I217" s="112" t="s">
        <v>1092</v>
      </c>
      <c r="J217" s="112" t="s">
        <v>1186</v>
      </c>
      <c r="K217" s="112" t="s">
        <v>1451</v>
      </c>
      <c r="L217" s="116">
        <v>-33.5</v>
      </c>
      <c r="M217" s="116">
        <f t="shared" si="3"/>
        <v>-3.3500000000000002E-2</v>
      </c>
    </row>
    <row r="218" spans="1:13" x14ac:dyDescent="0.35">
      <c r="A218" s="112" t="s">
        <v>1185</v>
      </c>
      <c r="B218" s="112" t="s">
        <v>896</v>
      </c>
      <c r="C218" s="112" t="s">
        <v>695</v>
      </c>
      <c r="D218" s="113">
        <v>10347981</v>
      </c>
      <c r="E218" s="115">
        <v>43924</v>
      </c>
      <c r="F218" s="114">
        <v>202101</v>
      </c>
      <c r="G218" s="112" t="s">
        <v>1091</v>
      </c>
      <c r="H218" s="112" t="s">
        <v>1015</v>
      </c>
      <c r="I218" s="112" t="s">
        <v>767</v>
      </c>
      <c r="J218" s="112" t="s">
        <v>1195</v>
      </c>
      <c r="K218" s="112" t="s">
        <v>1252</v>
      </c>
      <c r="L218" s="116">
        <v>-1575</v>
      </c>
      <c r="M218" s="116">
        <f t="shared" si="3"/>
        <v>-1.575</v>
      </c>
    </row>
    <row r="219" spans="1:13" hidden="1" x14ac:dyDescent="0.35">
      <c r="A219" s="112" t="s">
        <v>1185</v>
      </c>
      <c r="B219" s="112" t="s">
        <v>895</v>
      </c>
      <c r="C219" s="112" t="s">
        <v>695</v>
      </c>
      <c r="D219" s="113">
        <v>10347981</v>
      </c>
      <c r="E219" s="115">
        <v>43924</v>
      </c>
      <c r="F219" s="114">
        <v>202101</v>
      </c>
      <c r="G219" s="112" t="s">
        <v>1091</v>
      </c>
      <c r="H219" s="112" t="s">
        <v>1015</v>
      </c>
      <c r="I219" s="112" t="s">
        <v>1271</v>
      </c>
      <c r="J219" s="112" t="s">
        <v>1272</v>
      </c>
      <c r="K219" s="112" t="s">
        <v>1273</v>
      </c>
      <c r="L219" s="116">
        <v>-298.75</v>
      </c>
      <c r="M219" s="116">
        <f t="shared" si="3"/>
        <v>-0.29875000000000002</v>
      </c>
    </row>
    <row r="220" spans="1:13" x14ac:dyDescent="0.35">
      <c r="A220" s="112" t="s">
        <v>1185</v>
      </c>
      <c r="B220" s="112" t="s">
        <v>896</v>
      </c>
      <c r="C220" s="112" t="s">
        <v>695</v>
      </c>
      <c r="D220" s="113">
        <v>10348166</v>
      </c>
      <c r="E220" s="115">
        <v>43930</v>
      </c>
      <c r="F220" s="114">
        <v>202101</v>
      </c>
      <c r="G220" s="112" t="s">
        <v>1091</v>
      </c>
      <c r="H220" s="112" t="s">
        <v>1015</v>
      </c>
      <c r="I220" s="112" t="s">
        <v>1246</v>
      </c>
      <c r="J220" s="112" t="s">
        <v>1195</v>
      </c>
      <c r="K220" s="112" t="s">
        <v>1458</v>
      </c>
      <c r="L220" s="116">
        <v>12770.73</v>
      </c>
      <c r="M220" s="116">
        <f t="shared" si="3"/>
        <v>12.77073</v>
      </c>
    </row>
    <row r="221" spans="1:13" x14ac:dyDescent="0.35">
      <c r="A221" s="112" t="s">
        <v>1185</v>
      </c>
      <c r="B221" s="112" t="s">
        <v>896</v>
      </c>
      <c r="C221" s="112" t="s">
        <v>695</v>
      </c>
      <c r="D221" s="113">
        <v>10348001</v>
      </c>
      <c r="E221" s="115">
        <v>43927</v>
      </c>
      <c r="F221" s="114">
        <v>202101</v>
      </c>
      <c r="G221" s="112" t="s">
        <v>1091</v>
      </c>
      <c r="H221" s="112" t="s">
        <v>1015</v>
      </c>
      <c r="I221" s="112" t="s">
        <v>767</v>
      </c>
      <c r="J221" s="112" t="s">
        <v>1195</v>
      </c>
      <c r="K221" s="112" t="s">
        <v>1383</v>
      </c>
      <c r="L221" s="116">
        <v>11952.26</v>
      </c>
      <c r="M221" s="116">
        <f t="shared" si="3"/>
        <v>11.952260000000001</v>
      </c>
    </row>
    <row r="222" spans="1:13" hidden="1" x14ac:dyDescent="0.35">
      <c r="A222" s="112" t="s">
        <v>1185</v>
      </c>
      <c r="B222" s="112" t="s">
        <v>897</v>
      </c>
      <c r="C222" s="112" t="s">
        <v>695</v>
      </c>
      <c r="D222" s="113">
        <v>10348385</v>
      </c>
      <c r="E222" s="115">
        <v>43943</v>
      </c>
      <c r="F222" s="114">
        <v>202101</v>
      </c>
      <c r="G222" s="112" t="s">
        <v>1091</v>
      </c>
      <c r="H222" s="112" t="s">
        <v>1015</v>
      </c>
      <c r="I222" s="112" t="s">
        <v>1459</v>
      </c>
      <c r="J222" s="112" t="s">
        <v>1203</v>
      </c>
      <c r="K222" s="112" t="s">
        <v>1460</v>
      </c>
      <c r="L222" s="116">
        <v>-15860</v>
      </c>
      <c r="M222" s="116">
        <f t="shared" si="3"/>
        <v>-15.86</v>
      </c>
    </row>
    <row r="223" spans="1:13" hidden="1" x14ac:dyDescent="0.35">
      <c r="A223" s="112" t="s">
        <v>1185</v>
      </c>
      <c r="B223" s="112" t="s">
        <v>898</v>
      </c>
      <c r="C223" s="112" t="s">
        <v>695</v>
      </c>
      <c r="D223" s="113">
        <v>10347981</v>
      </c>
      <c r="E223" s="115">
        <v>43924</v>
      </c>
      <c r="F223" s="114">
        <v>202101</v>
      </c>
      <c r="G223" s="112" t="s">
        <v>1091</v>
      </c>
      <c r="H223" s="112" t="s">
        <v>1015</v>
      </c>
      <c r="I223" s="112" t="s">
        <v>1461</v>
      </c>
      <c r="J223" s="112" t="s">
        <v>1244</v>
      </c>
      <c r="K223" s="112" t="s">
        <v>1463</v>
      </c>
      <c r="L223" s="116">
        <v>-650</v>
      </c>
      <c r="M223" s="116">
        <f t="shared" si="3"/>
        <v>-0.65</v>
      </c>
    </row>
    <row r="224" spans="1:13" hidden="1" x14ac:dyDescent="0.35">
      <c r="A224" s="112" t="s">
        <v>1185</v>
      </c>
      <c r="B224" s="112" t="s">
        <v>898</v>
      </c>
      <c r="C224" s="112" t="s">
        <v>695</v>
      </c>
      <c r="D224" s="113">
        <v>10347981</v>
      </c>
      <c r="E224" s="115">
        <v>43924</v>
      </c>
      <c r="F224" s="114">
        <v>202101</v>
      </c>
      <c r="G224" s="112" t="s">
        <v>1091</v>
      </c>
      <c r="H224" s="112" t="s">
        <v>1015</v>
      </c>
      <c r="I224" s="112" t="s">
        <v>1464</v>
      </c>
      <c r="J224" s="112" t="s">
        <v>1244</v>
      </c>
      <c r="K224" s="112" t="s">
        <v>1465</v>
      </c>
      <c r="L224" s="116">
        <v>-197.5</v>
      </c>
      <c r="M224" s="116">
        <f t="shared" si="3"/>
        <v>-0.19750000000000001</v>
      </c>
    </row>
    <row r="225" spans="1:13" hidden="1" x14ac:dyDescent="0.35">
      <c r="A225" s="112" t="s">
        <v>1185</v>
      </c>
      <c r="B225" s="112" t="s">
        <v>898</v>
      </c>
      <c r="C225" s="112" t="s">
        <v>695</v>
      </c>
      <c r="D225" s="113">
        <v>10347981</v>
      </c>
      <c r="E225" s="115">
        <v>43924</v>
      </c>
      <c r="F225" s="114">
        <v>202101</v>
      </c>
      <c r="G225" s="112" t="s">
        <v>1091</v>
      </c>
      <c r="H225" s="112" t="s">
        <v>1015</v>
      </c>
      <c r="I225" s="112" t="s">
        <v>1461</v>
      </c>
      <c r="J225" s="112" t="s">
        <v>1244</v>
      </c>
      <c r="K225" s="112" t="s">
        <v>1466</v>
      </c>
      <c r="L225" s="116">
        <v>-1564.8</v>
      </c>
      <c r="M225" s="116">
        <f t="shared" si="3"/>
        <v>-1.5648</v>
      </c>
    </row>
    <row r="226" spans="1:13" hidden="1" x14ac:dyDescent="0.35">
      <c r="A226" s="112" t="s">
        <v>1185</v>
      </c>
      <c r="B226" s="112" t="s">
        <v>898</v>
      </c>
      <c r="C226" s="112" t="s">
        <v>695</v>
      </c>
      <c r="D226" s="113">
        <v>10347981</v>
      </c>
      <c r="E226" s="115">
        <v>43924</v>
      </c>
      <c r="F226" s="114">
        <v>202101</v>
      </c>
      <c r="G226" s="112" t="s">
        <v>1091</v>
      </c>
      <c r="H226" s="112" t="s">
        <v>1015</v>
      </c>
      <c r="I226" s="112" t="s">
        <v>1461</v>
      </c>
      <c r="J226" s="112" t="s">
        <v>1467</v>
      </c>
      <c r="K226" s="112" t="s">
        <v>1468</v>
      </c>
      <c r="L226" s="116">
        <v>-10000</v>
      </c>
      <c r="M226" s="116">
        <f t="shared" si="3"/>
        <v>-10</v>
      </c>
    </row>
    <row r="227" spans="1:13" x14ac:dyDescent="0.35">
      <c r="A227" s="112" t="s">
        <v>1185</v>
      </c>
      <c r="B227" s="112" t="s">
        <v>896</v>
      </c>
      <c r="C227" s="112" t="s">
        <v>695</v>
      </c>
      <c r="D227" s="113">
        <v>10347981</v>
      </c>
      <c r="E227" s="115">
        <v>43924</v>
      </c>
      <c r="F227" s="114">
        <v>202101</v>
      </c>
      <c r="G227" s="112" t="s">
        <v>1091</v>
      </c>
      <c r="H227" s="112" t="s">
        <v>1015</v>
      </c>
      <c r="I227" s="112" t="s">
        <v>1092</v>
      </c>
      <c r="J227" s="112" t="s">
        <v>1199</v>
      </c>
      <c r="K227" s="112" t="s">
        <v>1450</v>
      </c>
      <c r="L227" s="116">
        <v>-31.5</v>
      </c>
      <c r="M227" s="116">
        <f t="shared" si="3"/>
        <v>-3.15E-2</v>
      </c>
    </row>
    <row r="228" spans="1:13" hidden="1" x14ac:dyDescent="0.35">
      <c r="A228" s="112" t="s">
        <v>1185</v>
      </c>
      <c r="B228" s="112" t="s">
        <v>1192</v>
      </c>
      <c r="C228" s="112" t="s">
        <v>695</v>
      </c>
      <c r="D228" s="113">
        <v>10347981</v>
      </c>
      <c r="E228" s="115">
        <v>43924</v>
      </c>
      <c r="F228" s="114">
        <v>202101</v>
      </c>
      <c r="G228" s="112" t="s">
        <v>1091</v>
      </c>
      <c r="H228" s="112" t="s">
        <v>1015</v>
      </c>
      <c r="I228" s="112" t="s">
        <v>761</v>
      </c>
      <c r="J228" s="112" t="s">
        <v>1193</v>
      </c>
      <c r="K228" s="112" t="s">
        <v>1469</v>
      </c>
      <c r="L228" s="116">
        <v>-2375</v>
      </c>
      <c r="M228" s="116">
        <f t="shared" si="3"/>
        <v>-2.375</v>
      </c>
    </row>
    <row r="229" spans="1:13" hidden="1" x14ac:dyDescent="0.35">
      <c r="A229" s="112" t="s">
        <v>1185</v>
      </c>
      <c r="B229" s="112" t="s">
        <v>898</v>
      </c>
      <c r="C229" s="112" t="s">
        <v>695</v>
      </c>
      <c r="D229" s="113">
        <v>10347981</v>
      </c>
      <c r="E229" s="115">
        <v>43924</v>
      </c>
      <c r="F229" s="114">
        <v>202101</v>
      </c>
      <c r="G229" s="112" t="s">
        <v>1091</v>
      </c>
      <c r="H229" s="112" t="s">
        <v>1015</v>
      </c>
      <c r="I229" s="112" t="s">
        <v>1464</v>
      </c>
      <c r="J229" s="112" t="s">
        <v>1244</v>
      </c>
      <c r="K229" s="112" t="s">
        <v>1470</v>
      </c>
      <c r="L229" s="116">
        <v>-300</v>
      </c>
      <c r="M229" s="116">
        <f t="shared" si="3"/>
        <v>-0.3</v>
      </c>
    </row>
    <row r="230" spans="1:13" hidden="1" x14ac:dyDescent="0.35">
      <c r="A230" s="112" t="s">
        <v>1185</v>
      </c>
      <c r="B230" s="112" t="s">
        <v>897</v>
      </c>
      <c r="C230" s="112" t="s">
        <v>695</v>
      </c>
      <c r="D230" s="113">
        <v>10347981</v>
      </c>
      <c r="E230" s="115">
        <v>43924</v>
      </c>
      <c r="F230" s="114">
        <v>202101</v>
      </c>
      <c r="G230" s="112" t="s">
        <v>1091</v>
      </c>
      <c r="H230" s="112" t="s">
        <v>1015</v>
      </c>
      <c r="I230" s="112" t="s">
        <v>1471</v>
      </c>
      <c r="J230" s="112" t="s">
        <v>1191</v>
      </c>
      <c r="K230" s="112" t="s">
        <v>1472</v>
      </c>
      <c r="L230" s="116">
        <v>-5.65</v>
      </c>
      <c r="M230" s="116">
        <f t="shared" si="3"/>
        <v>-5.6500000000000005E-3</v>
      </c>
    </row>
    <row r="231" spans="1:13" hidden="1" x14ac:dyDescent="0.35">
      <c r="A231" s="112" t="s">
        <v>1185</v>
      </c>
      <c r="B231" s="112" t="s">
        <v>898</v>
      </c>
      <c r="C231" s="112" t="s">
        <v>695</v>
      </c>
      <c r="D231" s="113">
        <v>10348055</v>
      </c>
      <c r="E231" s="115">
        <v>43928</v>
      </c>
      <c r="F231" s="114">
        <v>202101</v>
      </c>
      <c r="G231" s="112" t="s">
        <v>1091</v>
      </c>
      <c r="H231" s="112" t="s">
        <v>1015</v>
      </c>
      <c r="I231" s="112" t="s">
        <v>1473</v>
      </c>
      <c r="J231" s="112" t="s">
        <v>1244</v>
      </c>
      <c r="K231" s="112" t="s">
        <v>1474</v>
      </c>
      <c r="L231" s="116">
        <v>7000</v>
      </c>
      <c r="M231" s="116">
        <f t="shared" si="3"/>
        <v>7</v>
      </c>
    </row>
    <row r="232" spans="1:13" hidden="1" x14ac:dyDescent="0.35">
      <c r="A232" s="112" t="s">
        <v>1185</v>
      </c>
      <c r="B232" s="112" t="s">
        <v>897</v>
      </c>
      <c r="C232" s="112" t="s">
        <v>695</v>
      </c>
      <c r="D232" s="113">
        <v>10348052</v>
      </c>
      <c r="E232" s="115">
        <v>43928</v>
      </c>
      <c r="F232" s="114">
        <v>202101</v>
      </c>
      <c r="G232" s="112" t="s">
        <v>1091</v>
      </c>
      <c r="H232" s="112" t="s">
        <v>1015</v>
      </c>
      <c r="I232" s="112" t="s">
        <v>1459</v>
      </c>
      <c r="J232" s="112" t="s">
        <v>1203</v>
      </c>
      <c r="K232" s="112" t="s">
        <v>1475</v>
      </c>
      <c r="L232" s="116">
        <v>15860</v>
      </c>
      <c r="M232" s="116">
        <f t="shared" si="3"/>
        <v>15.86</v>
      </c>
    </row>
    <row r="233" spans="1:13" hidden="1" x14ac:dyDescent="0.35">
      <c r="A233" s="112" t="s">
        <v>1185</v>
      </c>
      <c r="B233" s="112" t="s">
        <v>898</v>
      </c>
      <c r="C233" s="112" t="s">
        <v>695</v>
      </c>
      <c r="D233" s="113">
        <v>10348202</v>
      </c>
      <c r="E233" s="115">
        <v>43935</v>
      </c>
      <c r="F233" s="114">
        <v>202101</v>
      </c>
      <c r="G233" s="112" t="s">
        <v>1091</v>
      </c>
      <c r="H233" s="112" t="s">
        <v>1015</v>
      </c>
      <c r="I233" s="112" t="s">
        <v>1476</v>
      </c>
      <c r="J233" s="112" t="s">
        <v>1207</v>
      </c>
      <c r="K233" s="112" t="s">
        <v>1477</v>
      </c>
      <c r="L233" s="116">
        <v>-134314</v>
      </c>
      <c r="M233" s="116">
        <f t="shared" si="3"/>
        <v>-134.31399999999999</v>
      </c>
    </row>
    <row r="234" spans="1:13" hidden="1" x14ac:dyDescent="0.35">
      <c r="A234" s="112" t="s">
        <v>1185</v>
      </c>
      <c r="B234" s="112" t="s">
        <v>898</v>
      </c>
      <c r="C234" s="112" t="s">
        <v>695</v>
      </c>
      <c r="D234" s="113">
        <v>10348202</v>
      </c>
      <c r="E234" s="115">
        <v>43935</v>
      </c>
      <c r="F234" s="114">
        <v>202101</v>
      </c>
      <c r="G234" s="112" t="s">
        <v>1091</v>
      </c>
      <c r="H234" s="112" t="s">
        <v>1015</v>
      </c>
      <c r="I234" s="112" t="s">
        <v>1476</v>
      </c>
      <c r="J234" s="112" t="s">
        <v>1207</v>
      </c>
      <c r="K234" s="112" t="s">
        <v>1478</v>
      </c>
      <c r="L234" s="116">
        <v>-8840</v>
      </c>
      <c r="M234" s="116">
        <f t="shared" si="3"/>
        <v>-8.84</v>
      </c>
    </row>
    <row r="235" spans="1:13" x14ac:dyDescent="0.35">
      <c r="A235" s="112" t="s">
        <v>1185</v>
      </c>
      <c r="B235" s="112" t="s">
        <v>896</v>
      </c>
      <c r="C235" s="112" t="s">
        <v>695</v>
      </c>
      <c r="D235" s="113">
        <v>10348001</v>
      </c>
      <c r="E235" s="115">
        <v>43927</v>
      </c>
      <c r="F235" s="114">
        <v>202101</v>
      </c>
      <c r="G235" s="112" t="s">
        <v>1091</v>
      </c>
      <c r="H235" s="112" t="s">
        <v>1015</v>
      </c>
      <c r="I235" s="112" t="s">
        <v>767</v>
      </c>
      <c r="J235" s="112" t="s">
        <v>1195</v>
      </c>
      <c r="K235" s="112" t="s">
        <v>1395</v>
      </c>
      <c r="L235" s="116">
        <v>3179.45</v>
      </c>
      <c r="M235" s="116">
        <f t="shared" si="3"/>
        <v>3.1794499999999997</v>
      </c>
    </row>
    <row r="236" spans="1:13" hidden="1" x14ac:dyDescent="0.35">
      <c r="A236" s="112" t="s">
        <v>1185</v>
      </c>
      <c r="B236" s="112" t="s">
        <v>1192</v>
      </c>
      <c r="C236" s="112" t="s">
        <v>695</v>
      </c>
      <c r="D236" s="113">
        <v>10347981</v>
      </c>
      <c r="E236" s="115">
        <v>43924</v>
      </c>
      <c r="F236" s="114">
        <v>202101</v>
      </c>
      <c r="G236" s="112" t="s">
        <v>1091</v>
      </c>
      <c r="H236" s="112" t="s">
        <v>1015</v>
      </c>
      <c r="I236" s="112" t="s">
        <v>761</v>
      </c>
      <c r="J236" s="112" t="s">
        <v>1193</v>
      </c>
      <c r="K236" s="112" t="s">
        <v>1204</v>
      </c>
      <c r="L236" s="116">
        <v>-5700</v>
      </c>
      <c r="M236" s="116">
        <f t="shared" si="3"/>
        <v>-5.7</v>
      </c>
    </row>
    <row r="237" spans="1:13" x14ac:dyDescent="0.35">
      <c r="A237" s="112" t="s">
        <v>1185</v>
      </c>
      <c r="B237" s="112" t="s">
        <v>896</v>
      </c>
      <c r="C237" s="112" t="s">
        <v>695</v>
      </c>
      <c r="D237" s="113">
        <v>10348001</v>
      </c>
      <c r="E237" s="115">
        <v>43927</v>
      </c>
      <c r="F237" s="114">
        <v>202101</v>
      </c>
      <c r="G237" s="112" t="s">
        <v>1091</v>
      </c>
      <c r="H237" s="112" t="s">
        <v>1015</v>
      </c>
      <c r="I237" s="112" t="s">
        <v>767</v>
      </c>
      <c r="J237" s="112" t="s">
        <v>1195</v>
      </c>
      <c r="K237" s="112" t="s">
        <v>1393</v>
      </c>
      <c r="L237" s="116">
        <v>5171.51</v>
      </c>
      <c r="M237" s="116">
        <f t="shared" si="3"/>
        <v>5.1715100000000005</v>
      </c>
    </row>
    <row r="238" spans="1:13" x14ac:dyDescent="0.35">
      <c r="A238" s="112" t="s">
        <v>1185</v>
      </c>
      <c r="B238" s="112" t="s">
        <v>896</v>
      </c>
      <c r="C238" s="112" t="s">
        <v>695</v>
      </c>
      <c r="D238" s="113">
        <v>10348001</v>
      </c>
      <c r="E238" s="115">
        <v>43927</v>
      </c>
      <c r="F238" s="114">
        <v>202101</v>
      </c>
      <c r="G238" s="112" t="s">
        <v>1091</v>
      </c>
      <c r="H238" s="112" t="s">
        <v>1015</v>
      </c>
      <c r="I238" s="112" t="s">
        <v>767</v>
      </c>
      <c r="J238" s="112" t="s">
        <v>1195</v>
      </c>
      <c r="K238" s="112" t="s">
        <v>1387</v>
      </c>
      <c r="L238" s="116">
        <v>984</v>
      </c>
      <c r="M238" s="116">
        <f t="shared" si="3"/>
        <v>0.98399999999999999</v>
      </c>
    </row>
    <row r="239" spans="1:13" x14ac:dyDescent="0.35">
      <c r="A239" s="112" t="s">
        <v>1185</v>
      </c>
      <c r="B239" s="112" t="s">
        <v>896</v>
      </c>
      <c r="C239" s="112" t="s">
        <v>695</v>
      </c>
      <c r="D239" s="113">
        <v>10348001</v>
      </c>
      <c r="E239" s="115">
        <v>43927</v>
      </c>
      <c r="F239" s="114">
        <v>202101</v>
      </c>
      <c r="G239" s="112" t="s">
        <v>1091</v>
      </c>
      <c r="H239" s="112" t="s">
        <v>1015</v>
      </c>
      <c r="I239" s="112" t="s">
        <v>767</v>
      </c>
      <c r="J239" s="112" t="s">
        <v>1195</v>
      </c>
      <c r="K239" s="112" t="s">
        <v>1358</v>
      </c>
      <c r="L239" s="116">
        <v>52</v>
      </c>
      <c r="M239" s="116">
        <f t="shared" si="3"/>
        <v>5.1999999999999998E-2</v>
      </c>
    </row>
    <row r="240" spans="1:13" x14ac:dyDescent="0.35">
      <c r="A240" s="112" t="s">
        <v>1185</v>
      </c>
      <c r="B240" s="112" t="s">
        <v>896</v>
      </c>
      <c r="C240" s="112" t="s">
        <v>695</v>
      </c>
      <c r="D240" s="113">
        <v>10348001</v>
      </c>
      <c r="E240" s="115">
        <v>43927</v>
      </c>
      <c r="F240" s="114">
        <v>202101</v>
      </c>
      <c r="G240" s="112" t="s">
        <v>1091</v>
      </c>
      <c r="H240" s="112" t="s">
        <v>1015</v>
      </c>
      <c r="I240" s="112" t="s">
        <v>767</v>
      </c>
      <c r="J240" s="112" t="s">
        <v>1195</v>
      </c>
      <c r="K240" s="112" t="s">
        <v>1480</v>
      </c>
      <c r="L240" s="116">
        <v>13219.23</v>
      </c>
      <c r="M240" s="116">
        <f t="shared" si="3"/>
        <v>13.21923</v>
      </c>
    </row>
    <row r="241" spans="1:13" x14ac:dyDescent="0.35">
      <c r="A241" s="112" t="s">
        <v>1185</v>
      </c>
      <c r="B241" s="112" t="s">
        <v>896</v>
      </c>
      <c r="C241" s="112" t="s">
        <v>695</v>
      </c>
      <c r="D241" s="113">
        <v>10348001</v>
      </c>
      <c r="E241" s="115">
        <v>43927</v>
      </c>
      <c r="F241" s="114">
        <v>202101</v>
      </c>
      <c r="G241" s="112" t="s">
        <v>1091</v>
      </c>
      <c r="H241" s="112" t="s">
        <v>1015</v>
      </c>
      <c r="I241" s="112" t="s">
        <v>767</v>
      </c>
      <c r="J241" s="112" t="s">
        <v>1195</v>
      </c>
      <c r="K241" s="112" t="s">
        <v>1481</v>
      </c>
      <c r="L241" s="116">
        <v>3690.11</v>
      </c>
      <c r="M241" s="116">
        <f t="shared" si="3"/>
        <v>3.6901100000000002</v>
      </c>
    </row>
    <row r="242" spans="1:13" x14ac:dyDescent="0.35">
      <c r="A242" s="112" t="s">
        <v>1185</v>
      </c>
      <c r="B242" s="112" t="s">
        <v>896</v>
      </c>
      <c r="C242" s="112" t="s">
        <v>695</v>
      </c>
      <c r="D242" s="113">
        <v>10348001</v>
      </c>
      <c r="E242" s="115">
        <v>43927</v>
      </c>
      <c r="F242" s="114">
        <v>202101</v>
      </c>
      <c r="G242" s="112" t="s">
        <v>1091</v>
      </c>
      <c r="H242" s="112" t="s">
        <v>1015</v>
      </c>
      <c r="I242" s="112" t="s">
        <v>767</v>
      </c>
      <c r="J242" s="112" t="s">
        <v>1195</v>
      </c>
      <c r="K242" s="112" t="s">
        <v>1482</v>
      </c>
      <c r="L242" s="116">
        <v>3044.02</v>
      </c>
      <c r="M242" s="116">
        <f t="shared" si="3"/>
        <v>3.0440200000000002</v>
      </c>
    </row>
    <row r="243" spans="1:13" x14ac:dyDescent="0.35">
      <c r="A243" s="112" t="s">
        <v>1185</v>
      </c>
      <c r="B243" s="112" t="s">
        <v>896</v>
      </c>
      <c r="C243" s="112" t="s">
        <v>695</v>
      </c>
      <c r="D243" s="113">
        <v>10348001</v>
      </c>
      <c r="E243" s="115">
        <v>43927</v>
      </c>
      <c r="F243" s="114">
        <v>202101</v>
      </c>
      <c r="G243" s="112" t="s">
        <v>1091</v>
      </c>
      <c r="H243" s="112" t="s">
        <v>1015</v>
      </c>
      <c r="I243" s="112" t="s">
        <v>767</v>
      </c>
      <c r="J243" s="112" t="s">
        <v>1195</v>
      </c>
      <c r="K243" s="112" t="s">
        <v>1391</v>
      </c>
      <c r="L243" s="116">
        <v>30715.15</v>
      </c>
      <c r="M243" s="116">
        <f t="shared" si="3"/>
        <v>30.715150000000001</v>
      </c>
    </row>
    <row r="244" spans="1:13" x14ac:dyDescent="0.35">
      <c r="A244" s="112" t="s">
        <v>1185</v>
      </c>
      <c r="B244" s="112" t="s">
        <v>896</v>
      </c>
      <c r="C244" s="112" t="s">
        <v>695</v>
      </c>
      <c r="D244" s="113">
        <v>10348001</v>
      </c>
      <c r="E244" s="115">
        <v>43927</v>
      </c>
      <c r="F244" s="114">
        <v>202101</v>
      </c>
      <c r="G244" s="112" t="s">
        <v>1091</v>
      </c>
      <c r="H244" s="112" t="s">
        <v>1015</v>
      </c>
      <c r="I244" s="112" t="s">
        <v>767</v>
      </c>
      <c r="J244" s="112" t="s">
        <v>1195</v>
      </c>
      <c r="K244" s="112" t="s">
        <v>1377</v>
      </c>
      <c r="L244" s="116">
        <v>1188.8900000000001</v>
      </c>
      <c r="M244" s="116">
        <f t="shared" si="3"/>
        <v>1.18889</v>
      </c>
    </row>
    <row r="245" spans="1:13" x14ac:dyDescent="0.35">
      <c r="A245" s="112" t="s">
        <v>1185</v>
      </c>
      <c r="B245" s="112" t="s">
        <v>896</v>
      </c>
      <c r="C245" s="112" t="s">
        <v>695</v>
      </c>
      <c r="D245" s="113">
        <v>10348001</v>
      </c>
      <c r="E245" s="115">
        <v>43927</v>
      </c>
      <c r="F245" s="114">
        <v>202101</v>
      </c>
      <c r="G245" s="112" t="s">
        <v>1091</v>
      </c>
      <c r="H245" s="112" t="s">
        <v>1015</v>
      </c>
      <c r="I245" s="112" t="s">
        <v>767</v>
      </c>
      <c r="J245" s="112" t="s">
        <v>1195</v>
      </c>
      <c r="K245" s="112" t="s">
        <v>1389</v>
      </c>
      <c r="L245" s="116">
        <v>2951.37</v>
      </c>
      <c r="M245" s="116">
        <f t="shared" si="3"/>
        <v>2.9513699999999998</v>
      </c>
    </row>
    <row r="246" spans="1:13" x14ac:dyDescent="0.35">
      <c r="A246" s="112" t="s">
        <v>1185</v>
      </c>
      <c r="B246" s="112" t="s">
        <v>896</v>
      </c>
      <c r="C246" s="112" t="s">
        <v>695</v>
      </c>
      <c r="D246" s="113">
        <v>10348001</v>
      </c>
      <c r="E246" s="115">
        <v>43927</v>
      </c>
      <c r="F246" s="114">
        <v>202101</v>
      </c>
      <c r="G246" s="112" t="s">
        <v>1091</v>
      </c>
      <c r="H246" s="112" t="s">
        <v>1015</v>
      </c>
      <c r="I246" s="112" t="s">
        <v>767</v>
      </c>
      <c r="J246" s="112" t="s">
        <v>1195</v>
      </c>
      <c r="K246" s="112" t="s">
        <v>1364</v>
      </c>
      <c r="L246" s="116">
        <v>535.65</v>
      </c>
      <c r="M246" s="116">
        <f t="shared" si="3"/>
        <v>0.53564999999999996</v>
      </c>
    </row>
    <row r="247" spans="1:13" x14ac:dyDescent="0.35">
      <c r="A247" s="112" t="s">
        <v>1185</v>
      </c>
      <c r="B247" s="112" t="s">
        <v>896</v>
      </c>
      <c r="C247" s="112" t="s">
        <v>695</v>
      </c>
      <c r="D247" s="113">
        <v>10348001</v>
      </c>
      <c r="E247" s="115">
        <v>43927</v>
      </c>
      <c r="F247" s="114">
        <v>202101</v>
      </c>
      <c r="G247" s="112" t="s">
        <v>1091</v>
      </c>
      <c r="H247" s="112" t="s">
        <v>1015</v>
      </c>
      <c r="I247" s="112" t="s">
        <v>767</v>
      </c>
      <c r="J247" s="112" t="s">
        <v>1195</v>
      </c>
      <c r="K247" s="112" t="s">
        <v>1483</v>
      </c>
      <c r="L247" s="116">
        <v>77010.48</v>
      </c>
      <c r="M247" s="116">
        <f t="shared" si="3"/>
        <v>77.010480000000001</v>
      </c>
    </row>
    <row r="248" spans="1:13" x14ac:dyDescent="0.35">
      <c r="A248" s="112" t="s">
        <v>1185</v>
      </c>
      <c r="B248" s="112" t="s">
        <v>896</v>
      </c>
      <c r="C248" s="112" t="s">
        <v>695</v>
      </c>
      <c r="D248" s="113">
        <v>10348001</v>
      </c>
      <c r="E248" s="115">
        <v>43927</v>
      </c>
      <c r="F248" s="114">
        <v>202101</v>
      </c>
      <c r="G248" s="112" t="s">
        <v>1091</v>
      </c>
      <c r="H248" s="112" t="s">
        <v>1015</v>
      </c>
      <c r="I248" s="112" t="s">
        <v>767</v>
      </c>
      <c r="J248" s="112" t="s">
        <v>1195</v>
      </c>
      <c r="K248" s="112" t="s">
        <v>1484</v>
      </c>
      <c r="L248" s="116">
        <v>7015.3</v>
      </c>
      <c r="M248" s="116">
        <f t="shared" si="3"/>
        <v>7.0152999999999999</v>
      </c>
    </row>
    <row r="249" spans="1:13" x14ac:dyDescent="0.35">
      <c r="A249" s="112" t="s">
        <v>1185</v>
      </c>
      <c r="B249" s="112" t="s">
        <v>896</v>
      </c>
      <c r="C249" s="112" t="s">
        <v>695</v>
      </c>
      <c r="D249" s="113">
        <v>10348001</v>
      </c>
      <c r="E249" s="115">
        <v>43927</v>
      </c>
      <c r="F249" s="114">
        <v>202101</v>
      </c>
      <c r="G249" s="112" t="s">
        <v>1091</v>
      </c>
      <c r="H249" s="112" t="s">
        <v>1015</v>
      </c>
      <c r="I249" s="112" t="s">
        <v>767</v>
      </c>
      <c r="J249" s="112" t="s">
        <v>1195</v>
      </c>
      <c r="K249" s="112" t="s">
        <v>1485</v>
      </c>
      <c r="L249" s="116">
        <v>12805.81</v>
      </c>
      <c r="M249" s="116">
        <f t="shared" si="3"/>
        <v>12.805809999999999</v>
      </c>
    </row>
    <row r="250" spans="1:13" x14ac:dyDescent="0.35">
      <c r="A250" s="112" t="s">
        <v>1185</v>
      </c>
      <c r="B250" s="112" t="s">
        <v>896</v>
      </c>
      <c r="C250" s="112" t="s">
        <v>695</v>
      </c>
      <c r="D250" s="113">
        <v>10348001</v>
      </c>
      <c r="E250" s="115">
        <v>43927</v>
      </c>
      <c r="F250" s="114">
        <v>202101</v>
      </c>
      <c r="G250" s="112" t="s">
        <v>1091</v>
      </c>
      <c r="H250" s="112" t="s">
        <v>1015</v>
      </c>
      <c r="I250" s="112" t="s">
        <v>767</v>
      </c>
      <c r="J250" s="112" t="s">
        <v>1195</v>
      </c>
      <c r="K250" s="112" t="s">
        <v>1486</v>
      </c>
      <c r="L250" s="116">
        <v>1002.75</v>
      </c>
      <c r="M250" s="116">
        <f t="shared" si="3"/>
        <v>1.00275</v>
      </c>
    </row>
    <row r="251" spans="1:13" x14ac:dyDescent="0.35">
      <c r="A251" s="112" t="s">
        <v>1185</v>
      </c>
      <c r="B251" s="112" t="s">
        <v>896</v>
      </c>
      <c r="C251" s="112" t="s">
        <v>695</v>
      </c>
      <c r="D251" s="113">
        <v>10348001</v>
      </c>
      <c r="E251" s="115">
        <v>43927</v>
      </c>
      <c r="F251" s="114">
        <v>202101</v>
      </c>
      <c r="G251" s="112" t="s">
        <v>1091</v>
      </c>
      <c r="H251" s="112" t="s">
        <v>1015</v>
      </c>
      <c r="I251" s="112" t="s">
        <v>767</v>
      </c>
      <c r="J251" s="112" t="s">
        <v>1195</v>
      </c>
      <c r="K251" s="112" t="s">
        <v>1371</v>
      </c>
      <c r="L251" s="116">
        <v>6448.56</v>
      </c>
      <c r="M251" s="116">
        <f t="shared" si="3"/>
        <v>6.4485600000000005</v>
      </c>
    </row>
    <row r="252" spans="1:13" x14ac:dyDescent="0.35">
      <c r="A252" s="112" t="s">
        <v>1185</v>
      </c>
      <c r="B252" s="112" t="s">
        <v>896</v>
      </c>
      <c r="C252" s="112" t="s">
        <v>695</v>
      </c>
      <c r="D252" s="113">
        <v>10348001</v>
      </c>
      <c r="E252" s="115">
        <v>43927</v>
      </c>
      <c r="F252" s="114">
        <v>202101</v>
      </c>
      <c r="G252" s="112" t="s">
        <v>1091</v>
      </c>
      <c r="H252" s="112" t="s">
        <v>1015</v>
      </c>
      <c r="I252" s="112" t="s">
        <v>761</v>
      </c>
      <c r="J252" s="112" t="s">
        <v>1195</v>
      </c>
      <c r="K252" s="112" t="s">
        <v>1487</v>
      </c>
      <c r="L252" s="116">
        <v>10118.75</v>
      </c>
      <c r="M252" s="116">
        <f t="shared" si="3"/>
        <v>10.11875</v>
      </c>
    </row>
    <row r="253" spans="1:13" hidden="1" x14ac:dyDescent="0.35">
      <c r="A253" s="112" t="s">
        <v>1185</v>
      </c>
      <c r="B253" s="112" t="s">
        <v>898</v>
      </c>
      <c r="C253" s="112" t="s">
        <v>695</v>
      </c>
      <c r="D253" s="113">
        <v>10348001</v>
      </c>
      <c r="E253" s="115">
        <v>43927</v>
      </c>
      <c r="F253" s="114">
        <v>202101</v>
      </c>
      <c r="G253" s="112" t="s">
        <v>1091</v>
      </c>
      <c r="H253" s="112" t="s">
        <v>1015</v>
      </c>
      <c r="I253" s="112" t="s">
        <v>1400</v>
      </c>
      <c r="J253" s="112" t="s">
        <v>1301</v>
      </c>
      <c r="K253" s="112" t="s">
        <v>1488</v>
      </c>
      <c r="L253" s="116">
        <v>701.37</v>
      </c>
      <c r="M253" s="116">
        <f t="shared" si="3"/>
        <v>0.70137000000000005</v>
      </c>
    </row>
    <row r="254" spans="1:13" x14ac:dyDescent="0.35">
      <c r="A254" s="112" t="s">
        <v>1185</v>
      </c>
      <c r="B254" s="112" t="s">
        <v>896</v>
      </c>
      <c r="C254" s="112" t="s">
        <v>695</v>
      </c>
      <c r="D254" s="113">
        <v>10348001</v>
      </c>
      <c r="E254" s="115">
        <v>43927</v>
      </c>
      <c r="F254" s="114">
        <v>202101</v>
      </c>
      <c r="G254" s="112" t="s">
        <v>1091</v>
      </c>
      <c r="H254" s="112" t="s">
        <v>1015</v>
      </c>
      <c r="I254" s="112" t="s">
        <v>767</v>
      </c>
      <c r="J254" s="112" t="s">
        <v>1195</v>
      </c>
      <c r="K254" s="112" t="s">
        <v>1369</v>
      </c>
      <c r="L254" s="116">
        <v>2286.15</v>
      </c>
      <c r="M254" s="116">
        <f t="shared" si="3"/>
        <v>2.2861500000000001</v>
      </c>
    </row>
    <row r="255" spans="1:13" x14ac:dyDescent="0.35">
      <c r="A255" s="112" t="s">
        <v>1185</v>
      </c>
      <c r="B255" s="112" t="s">
        <v>896</v>
      </c>
      <c r="C255" s="112" t="s">
        <v>695</v>
      </c>
      <c r="D255" s="113">
        <v>10348001</v>
      </c>
      <c r="E255" s="115">
        <v>43927</v>
      </c>
      <c r="F255" s="114">
        <v>202101</v>
      </c>
      <c r="G255" s="112" t="s">
        <v>1091</v>
      </c>
      <c r="H255" s="112" t="s">
        <v>1015</v>
      </c>
      <c r="I255" s="112" t="s">
        <v>767</v>
      </c>
      <c r="J255" s="112" t="s">
        <v>1195</v>
      </c>
      <c r="K255" s="112" t="s">
        <v>1330</v>
      </c>
      <c r="L255" s="116">
        <v>459.12</v>
      </c>
      <c r="M255" s="116">
        <f t="shared" si="3"/>
        <v>0.45912000000000003</v>
      </c>
    </row>
    <row r="256" spans="1:13" x14ac:dyDescent="0.35">
      <c r="A256" s="112" t="s">
        <v>1185</v>
      </c>
      <c r="B256" s="112" t="s">
        <v>896</v>
      </c>
      <c r="C256" s="112" t="s">
        <v>695</v>
      </c>
      <c r="D256" s="113">
        <v>10348001</v>
      </c>
      <c r="E256" s="115">
        <v>43927</v>
      </c>
      <c r="F256" s="114">
        <v>202101</v>
      </c>
      <c r="G256" s="112" t="s">
        <v>1091</v>
      </c>
      <c r="H256" s="112" t="s">
        <v>1015</v>
      </c>
      <c r="I256" s="112" t="s">
        <v>767</v>
      </c>
      <c r="J256" s="112" t="s">
        <v>1195</v>
      </c>
      <c r="K256" s="112" t="s">
        <v>1343</v>
      </c>
      <c r="L256" s="116">
        <v>1738.36</v>
      </c>
      <c r="M256" s="116">
        <f t="shared" si="3"/>
        <v>1.7383599999999999</v>
      </c>
    </row>
    <row r="257" spans="1:13" x14ac:dyDescent="0.35">
      <c r="A257" s="112" t="s">
        <v>1185</v>
      </c>
      <c r="B257" s="112" t="s">
        <v>896</v>
      </c>
      <c r="C257" s="112" t="s">
        <v>695</v>
      </c>
      <c r="D257" s="113">
        <v>10348001</v>
      </c>
      <c r="E257" s="115">
        <v>43927</v>
      </c>
      <c r="F257" s="114">
        <v>202101</v>
      </c>
      <c r="G257" s="112" t="s">
        <v>1091</v>
      </c>
      <c r="H257" s="112" t="s">
        <v>1015</v>
      </c>
      <c r="I257" s="112" t="s">
        <v>767</v>
      </c>
      <c r="J257" s="112" t="s">
        <v>1195</v>
      </c>
      <c r="K257" s="112" t="s">
        <v>1356</v>
      </c>
      <c r="L257" s="116">
        <v>2434.21</v>
      </c>
      <c r="M257" s="116">
        <f t="shared" si="3"/>
        <v>2.4342100000000002</v>
      </c>
    </row>
    <row r="258" spans="1:13" x14ac:dyDescent="0.35">
      <c r="A258" s="112" t="s">
        <v>1185</v>
      </c>
      <c r="B258" s="112" t="s">
        <v>896</v>
      </c>
      <c r="C258" s="112" t="s">
        <v>695</v>
      </c>
      <c r="D258" s="113">
        <v>10347981</v>
      </c>
      <c r="E258" s="115">
        <v>43924</v>
      </c>
      <c r="F258" s="114">
        <v>202101</v>
      </c>
      <c r="G258" s="112" t="s">
        <v>1091</v>
      </c>
      <c r="H258" s="112" t="s">
        <v>1015</v>
      </c>
      <c r="I258" s="112" t="s">
        <v>769</v>
      </c>
      <c r="J258" s="112" t="s">
        <v>1188</v>
      </c>
      <c r="K258" s="112" t="s">
        <v>1489</v>
      </c>
      <c r="L258" s="116">
        <v>-2727.5</v>
      </c>
      <c r="M258" s="116">
        <f t="shared" si="3"/>
        <v>-2.7275</v>
      </c>
    </row>
    <row r="259" spans="1:13" x14ac:dyDescent="0.35">
      <c r="A259" s="112" t="s">
        <v>1185</v>
      </c>
      <c r="B259" s="112" t="s">
        <v>896</v>
      </c>
      <c r="C259" s="112" t="s">
        <v>695</v>
      </c>
      <c r="D259" s="113">
        <v>10348146</v>
      </c>
      <c r="E259" s="115">
        <v>43930</v>
      </c>
      <c r="F259" s="114">
        <v>202101</v>
      </c>
      <c r="G259" s="112" t="s">
        <v>1091</v>
      </c>
      <c r="H259" s="112" t="s">
        <v>1015</v>
      </c>
      <c r="I259" s="112" t="s">
        <v>767</v>
      </c>
      <c r="J259" s="112" t="s">
        <v>1195</v>
      </c>
      <c r="K259" s="112" t="s">
        <v>1486</v>
      </c>
      <c r="L259" s="116">
        <v>-1002.75</v>
      </c>
      <c r="M259" s="116">
        <f t="shared" ref="M259:M322" si="4">L259/1000</f>
        <v>-1.00275</v>
      </c>
    </row>
    <row r="260" spans="1:13" x14ac:dyDescent="0.35">
      <c r="A260" s="112" t="s">
        <v>1185</v>
      </c>
      <c r="B260" s="112" t="s">
        <v>896</v>
      </c>
      <c r="C260" s="112" t="s">
        <v>695</v>
      </c>
      <c r="D260" s="113">
        <v>10348146</v>
      </c>
      <c r="E260" s="115">
        <v>43930</v>
      </c>
      <c r="F260" s="114">
        <v>202101</v>
      </c>
      <c r="G260" s="112" t="s">
        <v>1091</v>
      </c>
      <c r="H260" s="112" t="s">
        <v>1015</v>
      </c>
      <c r="I260" s="112" t="s">
        <v>767</v>
      </c>
      <c r="J260" s="112" t="s">
        <v>1195</v>
      </c>
      <c r="K260" s="112" t="s">
        <v>1490</v>
      </c>
      <c r="L260" s="116">
        <v>1000</v>
      </c>
      <c r="M260" s="116">
        <f t="shared" si="4"/>
        <v>1</v>
      </c>
    </row>
    <row r="261" spans="1:13" x14ac:dyDescent="0.35">
      <c r="A261" s="112" t="s">
        <v>1185</v>
      </c>
      <c r="B261" s="112" t="s">
        <v>896</v>
      </c>
      <c r="C261" s="112" t="s">
        <v>695</v>
      </c>
      <c r="D261" s="113">
        <v>10348146</v>
      </c>
      <c r="E261" s="115">
        <v>43930</v>
      </c>
      <c r="F261" s="114">
        <v>202101</v>
      </c>
      <c r="G261" s="112" t="s">
        <v>1091</v>
      </c>
      <c r="H261" s="112" t="s">
        <v>1015</v>
      </c>
      <c r="I261" s="112" t="s">
        <v>767</v>
      </c>
      <c r="J261" s="112" t="s">
        <v>1195</v>
      </c>
      <c r="K261" s="112" t="s">
        <v>1491</v>
      </c>
      <c r="L261" s="116">
        <v>1288.1400000000001</v>
      </c>
      <c r="M261" s="116">
        <f t="shared" si="4"/>
        <v>1.2881400000000001</v>
      </c>
    </row>
    <row r="262" spans="1:13" x14ac:dyDescent="0.35">
      <c r="A262" s="112" t="s">
        <v>1185</v>
      </c>
      <c r="B262" s="112" t="s">
        <v>896</v>
      </c>
      <c r="C262" s="112" t="s">
        <v>695</v>
      </c>
      <c r="D262" s="113">
        <v>10348146</v>
      </c>
      <c r="E262" s="115">
        <v>43930</v>
      </c>
      <c r="F262" s="114">
        <v>202101</v>
      </c>
      <c r="G262" s="112" t="s">
        <v>1091</v>
      </c>
      <c r="H262" s="112" t="s">
        <v>1015</v>
      </c>
      <c r="I262" s="112" t="s">
        <v>767</v>
      </c>
      <c r="J262" s="112" t="s">
        <v>1195</v>
      </c>
      <c r="K262" s="112" t="s">
        <v>1373</v>
      </c>
      <c r="L262" s="116">
        <v>8994.58</v>
      </c>
      <c r="M262" s="116">
        <f t="shared" si="4"/>
        <v>8.9945799999999991</v>
      </c>
    </row>
    <row r="263" spans="1:13" x14ac:dyDescent="0.35">
      <c r="A263" s="112" t="s">
        <v>1185</v>
      </c>
      <c r="B263" s="112" t="s">
        <v>896</v>
      </c>
      <c r="C263" s="112" t="s">
        <v>695</v>
      </c>
      <c r="D263" s="113">
        <v>10348146</v>
      </c>
      <c r="E263" s="115">
        <v>43930</v>
      </c>
      <c r="F263" s="114">
        <v>202101</v>
      </c>
      <c r="G263" s="112" t="s">
        <v>1091</v>
      </c>
      <c r="H263" s="112" t="s">
        <v>1015</v>
      </c>
      <c r="I263" s="112" t="s">
        <v>767</v>
      </c>
      <c r="J263" s="112" t="s">
        <v>1195</v>
      </c>
      <c r="K263" s="112" t="s">
        <v>1492</v>
      </c>
      <c r="L263" s="116">
        <v>618.71</v>
      </c>
      <c r="M263" s="116">
        <f t="shared" si="4"/>
        <v>0.61870999999999998</v>
      </c>
    </row>
    <row r="264" spans="1:13" x14ac:dyDescent="0.35">
      <c r="A264" s="112" t="s">
        <v>1185</v>
      </c>
      <c r="B264" s="112" t="s">
        <v>896</v>
      </c>
      <c r="C264" s="112" t="s">
        <v>695</v>
      </c>
      <c r="D264" s="113">
        <v>10348146</v>
      </c>
      <c r="E264" s="115">
        <v>43930</v>
      </c>
      <c r="F264" s="114">
        <v>202101</v>
      </c>
      <c r="G264" s="112" t="s">
        <v>1091</v>
      </c>
      <c r="H264" s="112" t="s">
        <v>1015</v>
      </c>
      <c r="I264" s="112" t="s">
        <v>767</v>
      </c>
      <c r="J264" s="112" t="s">
        <v>1195</v>
      </c>
      <c r="K264" s="112" t="s">
        <v>1493</v>
      </c>
      <c r="L264" s="116">
        <v>894.16</v>
      </c>
      <c r="M264" s="116">
        <f t="shared" si="4"/>
        <v>0.89415999999999995</v>
      </c>
    </row>
    <row r="265" spans="1:13" x14ac:dyDescent="0.35">
      <c r="A265" s="112" t="s">
        <v>1185</v>
      </c>
      <c r="B265" s="112" t="s">
        <v>896</v>
      </c>
      <c r="C265" s="112" t="s">
        <v>695</v>
      </c>
      <c r="D265" s="113">
        <v>10348146</v>
      </c>
      <c r="E265" s="115">
        <v>43930</v>
      </c>
      <c r="F265" s="114">
        <v>202101</v>
      </c>
      <c r="G265" s="112" t="s">
        <v>1091</v>
      </c>
      <c r="H265" s="112" t="s">
        <v>1015</v>
      </c>
      <c r="I265" s="112" t="s">
        <v>767</v>
      </c>
      <c r="J265" s="112" t="s">
        <v>1195</v>
      </c>
      <c r="K265" s="112" t="s">
        <v>1435</v>
      </c>
      <c r="L265" s="116">
        <v>3489.89</v>
      </c>
      <c r="M265" s="116">
        <f t="shared" si="4"/>
        <v>3.4898899999999999</v>
      </c>
    </row>
    <row r="266" spans="1:13" x14ac:dyDescent="0.35">
      <c r="A266" s="112" t="s">
        <v>1185</v>
      </c>
      <c r="B266" s="112" t="s">
        <v>896</v>
      </c>
      <c r="C266" s="112" t="s">
        <v>695</v>
      </c>
      <c r="D266" s="113">
        <v>10348146</v>
      </c>
      <c r="E266" s="115">
        <v>43930</v>
      </c>
      <c r="F266" s="114">
        <v>202101</v>
      </c>
      <c r="G266" s="112" t="s">
        <v>1091</v>
      </c>
      <c r="H266" s="112" t="s">
        <v>1015</v>
      </c>
      <c r="I266" s="112" t="s">
        <v>767</v>
      </c>
      <c r="J266" s="112" t="s">
        <v>1195</v>
      </c>
      <c r="K266" s="112" t="s">
        <v>1368</v>
      </c>
      <c r="L266" s="116">
        <v>729.47</v>
      </c>
      <c r="M266" s="116">
        <f t="shared" si="4"/>
        <v>0.72947000000000006</v>
      </c>
    </row>
    <row r="267" spans="1:13" x14ac:dyDescent="0.35">
      <c r="A267" s="112" t="s">
        <v>1185</v>
      </c>
      <c r="B267" s="112" t="s">
        <v>896</v>
      </c>
      <c r="C267" s="112" t="s">
        <v>695</v>
      </c>
      <c r="D267" s="113">
        <v>10348146</v>
      </c>
      <c r="E267" s="115">
        <v>43930</v>
      </c>
      <c r="F267" s="114">
        <v>202101</v>
      </c>
      <c r="G267" s="112" t="s">
        <v>1091</v>
      </c>
      <c r="H267" s="112" t="s">
        <v>1015</v>
      </c>
      <c r="I267" s="112" t="s">
        <v>767</v>
      </c>
      <c r="J267" s="112" t="s">
        <v>1195</v>
      </c>
      <c r="K267" s="112" t="s">
        <v>1494</v>
      </c>
      <c r="L267" s="116">
        <v>581</v>
      </c>
      <c r="M267" s="116">
        <f t="shared" si="4"/>
        <v>0.58099999999999996</v>
      </c>
    </row>
    <row r="268" spans="1:13" x14ac:dyDescent="0.35">
      <c r="A268" s="112" t="s">
        <v>1185</v>
      </c>
      <c r="B268" s="112" t="s">
        <v>896</v>
      </c>
      <c r="C268" s="112" t="s">
        <v>695</v>
      </c>
      <c r="D268" s="113">
        <v>10348146</v>
      </c>
      <c r="E268" s="115">
        <v>43930</v>
      </c>
      <c r="F268" s="114">
        <v>202101</v>
      </c>
      <c r="G268" s="112" t="s">
        <v>1091</v>
      </c>
      <c r="H268" s="112" t="s">
        <v>1015</v>
      </c>
      <c r="I268" s="112" t="s">
        <v>767</v>
      </c>
      <c r="J268" s="112" t="s">
        <v>1195</v>
      </c>
      <c r="K268" s="112" t="s">
        <v>1371</v>
      </c>
      <c r="L268" s="116">
        <v>6448.56</v>
      </c>
      <c r="M268" s="116">
        <f t="shared" si="4"/>
        <v>6.4485600000000005</v>
      </c>
    </row>
    <row r="269" spans="1:13" x14ac:dyDescent="0.35">
      <c r="A269" s="112" t="s">
        <v>1185</v>
      </c>
      <c r="B269" s="112" t="s">
        <v>896</v>
      </c>
      <c r="C269" s="112" t="s">
        <v>695</v>
      </c>
      <c r="D269" s="113">
        <v>10348146</v>
      </c>
      <c r="E269" s="115">
        <v>43930</v>
      </c>
      <c r="F269" s="114">
        <v>202101</v>
      </c>
      <c r="G269" s="112" t="s">
        <v>1091</v>
      </c>
      <c r="H269" s="112" t="s">
        <v>1015</v>
      </c>
      <c r="I269" s="112" t="s">
        <v>767</v>
      </c>
      <c r="J269" s="112" t="s">
        <v>1195</v>
      </c>
      <c r="K269" s="112" t="s">
        <v>1369</v>
      </c>
      <c r="L269" s="116">
        <v>14781.06</v>
      </c>
      <c r="M269" s="116">
        <f t="shared" si="4"/>
        <v>14.78106</v>
      </c>
    </row>
    <row r="270" spans="1:13" x14ac:dyDescent="0.35">
      <c r="A270" s="112" t="s">
        <v>1185</v>
      </c>
      <c r="B270" s="112" t="s">
        <v>896</v>
      </c>
      <c r="C270" s="112" t="s">
        <v>695</v>
      </c>
      <c r="D270" s="113">
        <v>10348146</v>
      </c>
      <c r="E270" s="115">
        <v>43930</v>
      </c>
      <c r="F270" s="114">
        <v>202101</v>
      </c>
      <c r="G270" s="112" t="s">
        <v>1091</v>
      </c>
      <c r="H270" s="112" t="s">
        <v>1015</v>
      </c>
      <c r="I270" s="112" t="s">
        <v>767</v>
      </c>
      <c r="J270" s="112" t="s">
        <v>1195</v>
      </c>
      <c r="K270" s="112" t="s">
        <v>1370</v>
      </c>
      <c r="L270" s="116">
        <v>652.44000000000005</v>
      </c>
      <c r="M270" s="116">
        <f t="shared" si="4"/>
        <v>0.65244000000000002</v>
      </c>
    </row>
    <row r="271" spans="1:13" x14ac:dyDescent="0.35">
      <c r="A271" s="112" t="s">
        <v>1185</v>
      </c>
      <c r="B271" s="112" t="s">
        <v>896</v>
      </c>
      <c r="C271" s="112" t="s">
        <v>695</v>
      </c>
      <c r="D271" s="113">
        <v>10348146</v>
      </c>
      <c r="E271" s="115">
        <v>43930</v>
      </c>
      <c r="F271" s="114">
        <v>202101</v>
      </c>
      <c r="G271" s="112" t="s">
        <v>1091</v>
      </c>
      <c r="H271" s="112" t="s">
        <v>1015</v>
      </c>
      <c r="I271" s="112" t="s">
        <v>767</v>
      </c>
      <c r="J271" s="112" t="s">
        <v>1195</v>
      </c>
      <c r="K271" s="112" t="s">
        <v>1367</v>
      </c>
      <c r="L271" s="116">
        <v>6757.18</v>
      </c>
      <c r="M271" s="116">
        <f t="shared" si="4"/>
        <v>6.75718</v>
      </c>
    </row>
    <row r="272" spans="1:13" x14ac:dyDescent="0.35">
      <c r="A272" s="112" t="s">
        <v>1185</v>
      </c>
      <c r="B272" s="112" t="s">
        <v>896</v>
      </c>
      <c r="C272" s="112" t="s">
        <v>695</v>
      </c>
      <c r="D272" s="113">
        <v>10348146</v>
      </c>
      <c r="E272" s="115">
        <v>43930</v>
      </c>
      <c r="F272" s="114">
        <v>202101</v>
      </c>
      <c r="G272" s="112" t="s">
        <v>1091</v>
      </c>
      <c r="H272" s="112" t="s">
        <v>1015</v>
      </c>
      <c r="I272" s="112" t="s">
        <v>767</v>
      </c>
      <c r="J272" s="112" t="s">
        <v>1195</v>
      </c>
      <c r="K272" s="112" t="s">
        <v>1480</v>
      </c>
      <c r="L272" s="116">
        <v>-13219.23</v>
      </c>
      <c r="M272" s="116">
        <f t="shared" si="4"/>
        <v>-13.21923</v>
      </c>
    </row>
    <row r="273" spans="1:13" x14ac:dyDescent="0.35">
      <c r="A273" s="112" t="s">
        <v>1185</v>
      </c>
      <c r="B273" s="112" t="s">
        <v>896</v>
      </c>
      <c r="C273" s="112" t="s">
        <v>695</v>
      </c>
      <c r="D273" s="113">
        <v>10348146</v>
      </c>
      <c r="E273" s="115">
        <v>43930</v>
      </c>
      <c r="F273" s="114">
        <v>202101</v>
      </c>
      <c r="G273" s="112" t="s">
        <v>1091</v>
      </c>
      <c r="H273" s="112" t="s">
        <v>1015</v>
      </c>
      <c r="I273" s="112" t="s">
        <v>767</v>
      </c>
      <c r="J273" s="112" t="s">
        <v>1195</v>
      </c>
      <c r="K273" s="112" t="s">
        <v>1481</v>
      </c>
      <c r="L273" s="116">
        <v>-3690.11</v>
      </c>
      <c r="M273" s="116">
        <f t="shared" si="4"/>
        <v>-3.6901100000000002</v>
      </c>
    </row>
    <row r="274" spans="1:13" x14ac:dyDescent="0.35">
      <c r="A274" s="112" t="s">
        <v>1185</v>
      </c>
      <c r="B274" s="112" t="s">
        <v>896</v>
      </c>
      <c r="C274" s="112" t="s">
        <v>695</v>
      </c>
      <c r="D274" s="113">
        <v>10348146</v>
      </c>
      <c r="E274" s="115">
        <v>43930</v>
      </c>
      <c r="F274" s="114">
        <v>202101</v>
      </c>
      <c r="G274" s="112" t="s">
        <v>1091</v>
      </c>
      <c r="H274" s="112" t="s">
        <v>1015</v>
      </c>
      <c r="I274" s="112" t="s">
        <v>767</v>
      </c>
      <c r="J274" s="112" t="s">
        <v>1195</v>
      </c>
      <c r="K274" s="112" t="s">
        <v>1436</v>
      </c>
      <c r="L274" s="116">
        <v>-3402.05</v>
      </c>
      <c r="M274" s="116">
        <f t="shared" si="4"/>
        <v>-3.40205</v>
      </c>
    </row>
    <row r="275" spans="1:13" x14ac:dyDescent="0.35">
      <c r="A275" s="112" t="s">
        <v>1185</v>
      </c>
      <c r="B275" s="112" t="s">
        <v>896</v>
      </c>
      <c r="C275" s="112" t="s">
        <v>695</v>
      </c>
      <c r="D275" s="113">
        <v>10348146</v>
      </c>
      <c r="E275" s="115">
        <v>43930</v>
      </c>
      <c r="F275" s="114">
        <v>202101</v>
      </c>
      <c r="G275" s="112" t="s">
        <v>1091</v>
      </c>
      <c r="H275" s="112" t="s">
        <v>1015</v>
      </c>
      <c r="I275" s="112" t="s">
        <v>767</v>
      </c>
      <c r="J275" s="112" t="s">
        <v>1195</v>
      </c>
      <c r="K275" s="112" t="s">
        <v>1491</v>
      </c>
      <c r="L275" s="116">
        <v>-1288.1400000000001</v>
      </c>
      <c r="M275" s="116">
        <f t="shared" si="4"/>
        <v>-1.2881400000000001</v>
      </c>
    </row>
    <row r="276" spans="1:13" x14ac:dyDescent="0.35">
      <c r="A276" s="112" t="s">
        <v>1185</v>
      </c>
      <c r="B276" s="112" t="s">
        <v>896</v>
      </c>
      <c r="C276" s="112" t="s">
        <v>695</v>
      </c>
      <c r="D276" s="113">
        <v>10348146</v>
      </c>
      <c r="E276" s="115">
        <v>43930</v>
      </c>
      <c r="F276" s="114">
        <v>202101</v>
      </c>
      <c r="G276" s="112" t="s">
        <v>1091</v>
      </c>
      <c r="H276" s="112" t="s">
        <v>1015</v>
      </c>
      <c r="I276" s="112" t="s">
        <v>767</v>
      </c>
      <c r="J276" s="112" t="s">
        <v>1195</v>
      </c>
      <c r="K276" s="112" t="s">
        <v>1396</v>
      </c>
      <c r="L276" s="116">
        <v>-797.42</v>
      </c>
      <c r="M276" s="116">
        <f t="shared" si="4"/>
        <v>-0.79741999999999991</v>
      </c>
    </row>
    <row r="277" spans="1:13" x14ac:dyDescent="0.35">
      <c r="A277" s="112" t="s">
        <v>1185</v>
      </c>
      <c r="B277" s="112" t="s">
        <v>896</v>
      </c>
      <c r="C277" s="112" t="s">
        <v>695</v>
      </c>
      <c r="D277" s="113">
        <v>10348146</v>
      </c>
      <c r="E277" s="115">
        <v>43930</v>
      </c>
      <c r="F277" s="114">
        <v>202101</v>
      </c>
      <c r="G277" s="112" t="s">
        <v>1091</v>
      </c>
      <c r="H277" s="112" t="s">
        <v>1015</v>
      </c>
      <c r="I277" s="112" t="s">
        <v>767</v>
      </c>
      <c r="J277" s="112" t="s">
        <v>1195</v>
      </c>
      <c r="K277" s="112" t="s">
        <v>1480</v>
      </c>
      <c r="L277" s="116">
        <v>13219.23</v>
      </c>
      <c r="M277" s="116">
        <f t="shared" si="4"/>
        <v>13.21923</v>
      </c>
    </row>
    <row r="278" spans="1:13" x14ac:dyDescent="0.35">
      <c r="A278" s="112" t="s">
        <v>1185</v>
      </c>
      <c r="B278" s="112" t="s">
        <v>896</v>
      </c>
      <c r="C278" s="112" t="s">
        <v>695</v>
      </c>
      <c r="D278" s="113">
        <v>10348146</v>
      </c>
      <c r="E278" s="115">
        <v>43930</v>
      </c>
      <c r="F278" s="114">
        <v>202101</v>
      </c>
      <c r="G278" s="112" t="s">
        <v>1091</v>
      </c>
      <c r="H278" s="112" t="s">
        <v>1015</v>
      </c>
      <c r="I278" s="112" t="s">
        <v>767</v>
      </c>
      <c r="J278" s="112" t="s">
        <v>1195</v>
      </c>
      <c r="K278" s="112" t="s">
        <v>1495</v>
      </c>
      <c r="L278" s="116">
        <v>2337.63</v>
      </c>
      <c r="M278" s="116">
        <f t="shared" si="4"/>
        <v>2.3376300000000003</v>
      </c>
    </row>
    <row r="279" spans="1:13" x14ac:dyDescent="0.35">
      <c r="A279" s="112" t="s">
        <v>1185</v>
      </c>
      <c r="B279" s="112" t="s">
        <v>896</v>
      </c>
      <c r="C279" s="112" t="s">
        <v>695</v>
      </c>
      <c r="D279" s="113">
        <v>10348146</v>
      </c>
      <c r="E279" s="115">
        <v>43930</v>
      </c>
      <c r="F279" s="114">
        <v>202101</v>
      </c>
      <c r="G279" s="112" t="s">
        <v>1091</v>
      </c>
      <c r="H279" s="112" t="s">
        <v>1015</v>
      </c>
      <c r="I279" s="112" t="s">
        <v>767</v>
      </c>
      <c r="J279" s="112" t="s">
        <v>1195</v>
      </c>
      <c r="K279" s="112" t="s">
        <v>1387</v>
      </c>
      <c r="L279" s="116">
        <v>-984</v>
      </c>
      <c r="M279" s="116">
        <f t="shared" si="4"/>
        <v>-0.98399999999999999</v>
      </c>
    </row>
    <row r="280" spans="1:13" x14ac:dyDescent="0.35">
      <c r="A280" s="112" t="s">
        <v>1185</v>
      </c>
      <c r="B280" s="112" t="s">
        <v>896</v>
      </c>
      <c r="C280" s="112" t="s">
        <v>695</v>
      </c>
      <c r="D280" s="113">
        <v>10348146</v>
      </c>
      <c r="E280" s="115">
        <v>43930</v>
      </c>
      <c r="F280" s="114">
        <v>202101</v>
      </c>
      <c r="G280" s="112" t="s">
        <v>1091</v>
      </c>
      <c r="H280" s="112" t="s">
        <v>1015</v>
      </c>
      <c r="I280" s="112" t="s">
        <v>767</v>
      </c>
      <c r="J280" s="112" t="s">
        <v>1195</v>
      </c>
      <c r="K280" s="112" t="s">
        <v>1484</v>
      </c>
      <c r="L280" s="116">
        <v>-7015.3</v>
      </c>
      <c r="M280" s="116">
        <f t="shared" si="4"/>
        <v>-7.0152999999999999</v>
      </c>
    </row>
    <row r="281" spans="1:13" x14ac:dyDescent="0.35">
      <c r="A281" s="112" t="s">
        <v>1185</v>
      </c>
      <c r="B281" s="112" t="s">
        <v>896</v>
      </c>
      <c r="C281" s="112" t="s">
        <v>695</v>
      </c>
      <c r="D281" s="113">
        <v>10348146</v>
      </c>
      <c r="E281" s="115">
        <v>43930</v>
      </c>
      <c r="F281" s="114">
        <v>202101</v>
      </c>
      <c r="G281" s="112" t="s">
        <v>1091</v>
      </c>
      <c r="H281" s="112" t="s">
        <v>1015</v>
      </c>
      <c r="I281" s="112" t="s">
        <v>767</v>
      </c>
      <c r="J281" s="112" t="s">
        <v>1195</v>
      </c>
      <c r="K281" s="112" t="s">
        <v>1485</v>
      </c>
      <c r="L281" s="116">
        <v>-12805.81</v>
      </c>
      <c r="M281" s="116">
        <f t="shared" si="4"/>
        <v>-12.805809999999999</v>
      </c>
    </row>
    <row r="282" spans="1:13" x14ac:dyDescent="0.35">
      <c r="A282" s="112" t="s">
        <v>1185</v>
      </c>
      <c r="B282" s="112" t="s">
        <v>896</v>
      </c>
      <c r="C282" s="112" t="s">
        <v>695</v>
      </c>
      <c r="D282" s="113">
        <v>10348146</v>
      </c>
      <c r="E282" s="115">
        <v>43930</v>
      </c>
      <c r="F282" s="114">
        <v>202101</v>
      </c>
      <c r="G282" s="112" t="s">
        <v>1091</v>
      </c>
      <c r="H282" s="112" t="s">
        <v>1015</v>
      </c>
      <c r="I282" s="112" t="s">
        <v>767</v>
      </c>
      <c r="J282" s="112" t="s">
        <v>1195</v>
      </c>
      <c r="K282" s="112" t="s">
        <v>1496</v>
      </c>
      <c r="L282" s="116">
        <v>2429.15</v>
      </c>
      <c r="M282" s="116">
        <f t="shared" si="4"/>
        <v>2.4291499999999999</v>
      </c>
    </row>
    <row r="283" spans="1:13" x14ac:dyDescent="0.35">
      <c r="A283" s="112" t="s">
        <v>1185</v>
      </c>
      <c r="B283" s="112" t="s">
        <v>896</v>
      </c>
      <c r="C283" s="112" t="s">
        <v>695</v>
      </c>
      <c r="D283" s="113">
        <v>10348146</v>
      </c>
      <c r="E283" s="115">
        <v>43930</v>
      </c>
      <c r="F283" s="114">
        <v>202101</v>
      </c>
      <c r="G283" s="112" t="s">
        <v>1091</v>
      </c>
      <c r="H283" s="112" t="s">
        <v>1015</v>
      </c>
      <c r="I283" s="112" t="s">
        <v>767</v>
      </c>
      <c r="J283" s="112" t="s">
        <v>1195</v>
      </c>
      <c r="K283" s="112" t="s">
        <v>1482</v>
      </c>
      <c r="L283" s="116">
        <v>-3044.02</v>
      </c>
      <c r="M283" s="116">
        <f t="shared" si="4"/>
        <v>-3.0440200000000002</v>
      </c>
    </row>
    <row r="284" spans="1:13" x14ac:dyDescent="0.35">
      <c r="A284" s="112" t="s">
        <v>1185</v>
      </c>
      <c r="B284" s="112" t="s">
        <v>896</v>
      </c>
      <c r="C284" s="112" t="s">
        <v>695</v>
      </c>
      <c r="D284" s="113">
        <v>10348146</v>
      </c>
      <c r="E284" s="115">
        <v>43930</v>
      </c>
      <c r="F284" s="114">
        <v>202101</v>
      </c>
      <c r="G284" s="112" t="s">
        <v>1091</v>
      </c>
      <c r="H284" s="112" t="s">
        <v>1015</v>
      </c>
      <c r="I284" s="112" t="s">
        <v>761</v>
      </c>
      <c r="J284" s="112" t="s">
        <v>1195</v>
      </c>
      <c r="K284" s="112" t="s">
        <v>1487</v>
      </c>
      <c r="L284" s="116">
        <v>-10118.75</v>
      </c>
      <c r="M284" s="116">
        <f t="shared" si="4"/>
        <v>-10.11875</v>
      </c>
    </row>
    <row r="285" spans="1:13" hidden="1" x14ac:dyDescent="0.35">
      <c r="A285" s="112" t="s">
        <v>1185</v>
      </c>
      <c r="B285" s="112" t="s">
        <v>898</v>
      </c>
      <c r="C285" s="112" t="s">
        <v>695</v>
      </c>
      <c r="D285" s="113">
        <v>10348146</v>
      </c>
      <c r="E285" s="115">
        <v>43930</v>
      </c>
      <c r="F285" s="114">
        <v>202101</v>
      </c>
      <c r="G285" s="112" t="s">
        <v>1091</v>
      </c>
      <c r="H285" s="112" t="s">
        <v>1015</v>
      </c>
      <c r="I285" s="112" t="s">
        <v>1400</v>
      </c>
      <c r="J285" s="112" t="s">
        <v>1301</v>
      </c>
      <c r="K285" s="112" t="s">
        <v>1488</v>
      </c>
      <c r="L285" s="116">
        <v>-701.37</v>
      </c>
      <c r="M285" s="116">
        <f t="shared" si="4"/>
        <v>-0.70137000000000005</v>
      </c>
    </row>
    <row r="286" spans="1:13" x14ac:dyDescent="0.35">
      <c r="A286" s="112" t="s">
        <v>1185</v>
      </c>
      <c r="B286" s="112" t="s">
        <v>896</v>
      </c>
      <c r="C286" s="112" t="s">
        <v>695</v>
      </c>
      <c r="D286" s="113">
        <v>10348146</v>
      </c>
      <c r="E286" s="115">
        <v>43930</v>
      </c>
      <c r="F286" s="114">
        <v>202101</v>
      </c>
      <c r="G286" s="112" t="s">
        <v>1091</v>
      </c>
      <c r="H286" s="112" t="s">
        <v>1015</v>
      </c>
      <c r="I286" s="112" t="s">
        <v>767</v>
      </c>
      <c r="J286" s="112" t="s">
        <v>1195</v>
      </c>
      <c r="K286" s="112" t="s">
        <v>1388</v>
      </c>
      <c r="L286" s="116">
        <v>-868</v>
      </c>
      <c r="M286" s="116">
        <f t="shared" si="4"/>
        <v>-0.86799999999999999</v>
      </c>
    </row>
    <row r="287" spans="1:13" x14ac:dyDescent="0.35">
      <c r="A287" s="112" t="s">
        <v>1185</v>
      </c>
      <c r="B287" s="112" t="s">
        <v>896</v>
      </c>
      <c r="C287" s="112" t="s">
        <v>695</v>
      </c>
      <c r="D287" s="113">
        <v>10348146</v>
      </c>
      <c r="E287" s="115">
        <v>43930</v>
      </c>
      <c r="F287" s="114">
        <v>202101</v>
      </c>
      <c r="G287" s="112" t="s">
        <v>1091</v>
      </c>
      <c r="H287" s="112" t="s">
        <v>1015</v>
      </c>
      <c r="I287" s="112" t="s">
        <v>767</v>
      </c>
      <c r="J287" s="112" t="s">
        <v>1195</v>
      </c>
      <c r="K287" s="112" t="s">
        <v>1395</v>
      </c>
      <c r="L287" s="116">
        <v>-3179.45</v>
      </c>
      <c r="M287" s="116">
        <f t="shared" si="4"/>
        <v>-3.1794499999999997</v>
      </c>
    </row>
    <row r="288" spans="1:13" x14ac:dyDescent="0.35">
      <c r="A288" s="112" t="s">
        <v>1185</v>
      </c>
      <c r="B288" s="112" t="s">
        <v>896</v>
      </c>
      <c r="C288" s="112" t="s">
        <v>695</v>
      </c>
      <c r="D288" s="113">
        <v>10348146</v>
      </c>
      <c r="E288" s="115">
        <v>43930</v>
      </c>
      <c r="F288" s="114">
        <v>202101</v>
      </c>
      <c r="G288" s="112" t="s">
        <v>1091</v>
      </c>
      <c r="H288" s="112" t="s">
        <v>1015</v>
      </c>
      <c r="I288" s="112" t="s">
        <v>767</v>
      </c>
      <c r="J288" s="112" t="s">
        <v>1195</v>
      </c>
      <c r="K288" s="112" t="s">
        <v>1493</v>
      </c>
      <c r="L288" s="116">
        <v>-894.16</v>
      </c>
      <c r="M288" s="116">
        <f t="shared" si="4"/>
        <v>-0.89415999999999995</v>
      </c>
    </row>
    <row r="289" spans="1:13" x14ac:dyDescent="0.35">
      <c r="A289" s="112" t="s">
        <v>1185</v>
      </c>
      <c r="B289" s="112" t="s">
        <v>896</v>
      </c>
      <c r="C289" s="112" t="s">
        <v>695</v>
      </c>
      <c r="D289" s="113">
        <v>10348146</v>
      </c>
      <c r="E289" s="115">
        <v>43930</v>
      </c>
      <c r="F289" s="114">
        <v>202101</v>
      </c>
      <c r="G289" s="112" t="s">
        <v>1091</v>
      </c>
      <c r="H289" s="112" t="s">
        <v>1015</v>
      </c>
      <c r="I289" s="112" t="s">
        <v>767</v>
      </c>
      <c r="J289" s="112" t="s">
        <v>1195</v>
      </c>
      <c r="K289" s="112" t="s">
        <v>1435</v>
      </c>
      <c r="L289" s="116">
        <v>-3489.89</v>
      </c>
      <c r="M289" s="116">
        <f t="shared" si="4"/>
        <v>-3.4898899999999999</v>
      </c>
    </row>
    <row r="290" spans="1:13" x14ac:dyDescent="0.35">
      <c r="A290" s="112" t="s">
        <v>1185</v>
      </c>
      <c r="B290" s="112" t="s">
        <v>896</v>
      </c>
      <c r="C290" s="112" t="s">
        <v>695</v>
      </c>
      <c r="D290" s="113">
        <v>10348146</v>
      </c>
      <c r="E290" s="115">
        <v>43930</v>
      </c>
      <c r="F290" s="114">
        <v>202101</v>
      </c>
      <c r="G290" s="112" t="s">
        <v>1091</v>
      </c>
      <c r="H290" s="112" t="s">
        <v>1015</v>
      </c>
      <c r="I290" s="112" t="s">
        <v>767</v>
      </c>
      <c r="J290" s="112" t="s">
        <v>1195</v>
      </c>
      <c r="K290" s="112" t="s">
        <v>1394</v>
      </c>
      <c r="L290" s="116">
        <v>-1450.4</v>
      </c>
      <c r="M290" s="116">
        <f t="shared" si="4"/>
        <v>-1.4504000000000001</v>
      </c>
    </row>
    <row r="291" spans="1:13" x14ac:dyDescent="0.35">
      <c r="A291" s="112" t="s">
        <v>1185</v>
      </c>
      <c r="B291" s="112" t="s">
        <v>896</v>
      </c>
      <c r="C291" s="112" t="s">
        <v>695</v>
      </c>
      <c r="D291" s="113">
        <v>10348146</v>
      </c>
      <c r="E291" s="115">
        <v>43930</v>
      </c>
      <c r="F291" s="114">
        <v>202101</v>
      </c>
      <c r="G291" s="112" t="s">
        <v>1091</v>
      </c>
      <c r="H291" s="112" t="s">
        <v>1015</v>
      </c>
      <c r="I291" s="112" t="s">
        <v>767</v>
      </c>
      <c r="J291" s="112" t="s">
        <v>1195</v>
      </c>
      <c r="K291" s="112" t="s">
        <v>1494</v>
      </c>
      <c r="L291" s="116">
        <v>-581</v>
      </c>
      <c r="M291" s="116">
        <f t="shared" si="4"/>
        <v>-0.58099999999999996</v>
      </c>
    </row>
    <row r="292" spans="1:13" x14ac:dyDescent="0.35">
      <c r="A292" s="112" t="s">
        <v>1185</v>
      </c>
      <c r="B292" s="112" t="s">
        <v>896</v>
      </c>
      <c r="C292" s="112" t="s">
        <v>695</v>
      </c>
      <c r="D292" s="113">
        <v>10348146</v>
      </c>
      <c r="E292" s="115">
        <v>43930</v>
      </c>
      <c r="F292" s="114">
        <v>202101</v>
      </c>
      <c r="G292" s="112" t="s">
        <v>1091</v>
      </c>
      <c r="H292" s="112" t="s">
        <v>1015</v>
      </c>
      <c r="I292" s="112" t="s">
        <v>767</v>
      </c>
      <c r="J292" s="112" t="s">
        <v>1195</v>
      </c>
      <c r="K292" s="112" t="s">
        <v>1483</v>
      </c>
      <c r="L292" s="116">
        <v>-77010.48</v>
      </c>
      <c r="M292" s="116">
        <f t="shared" si="4"/>
        <v>-77.010480000000001</v>
      </c>
    </row>
    <row r="293" spans="1:13" x14ac:dyDescent="0.35">
      <c r="A293" s="112" t="s">
        <v>1185</v>
      </c>
      <c r="B293" s="112" t="s">
        <v>896</v>
      </c>
      <c r="C293" s="112" t="s">
        <v>695</v>
      </c>
      <c r="D293" s="113">
        <v>10348166</v>
      </c>
      <c r="E293" s="115">
        <v>43930</v>
      </c>
      <c r="F293" s="114">
        <v>202101</v>
      </c>
      <c r="G293" s="112" t="s">
        <v>1091</v>
      </c>
      <c r="H293" s="112" t="s">
        <v>1015</v>
      </c>
      <c r="I293" s="112" t="s">
        <v>765</v>
      </c>
      <c r="J293" s="112" t="s">
        <v>1268</v>
      </c>
      <c r="K293" s="112" t="s">
        <v>1497</v>
      </c>
      <c r="L293" s="116">
        <v>22650</v>
      </c>
      <c r="M293" s="116">
        <f t="shared" si="4"/>
        <v>22.65</v>
      </c>
    </row>
    <row r="294" spans="1:13" x14ac:dyDescent="0.35">
      <c r="A294" s="112" t="s">
        <v>1185</v>
      </c>
      <c r="B294" s="112" t="s">
        <v>896</v>
      </c>
      <c r="C294" s="112" t="s">
        <v>695</v>
      </c>
      <c r="D294" s="113">
        <v>10348146</v>
      </c>
      <c r="E294" s="115">
        <v>43930</v>
      </c>
      <c r="F294" s="114">
        <v>202101</v>
      </c>
      <c r="G294" s="112" t="s">
        <v>1091</v>
      </c>
      <c r="H294" s="112" t="s">
        <v>1015</v>
      </c>
      <c r="I294" s="112" t="s">
        <v>767</v>
      </c>
      <c r="J294" s="112" t="s">
        <v>1195</v>
      </c>
      <c r="K294" s="112" t="s">
        <v>1372</v>
      </c>
      <c r="L294" s="116">
        <v>-1991.31</v>
      </c>
      <c r="M294" s="116">
        <f t="shared" si="4"/>
        <v>-1.9913099999999999</v>
      </c>
    </row>
    <row r="295" spans="1:13" x14ac:dyDescent="0.35">
      <c r="A295" s="112" t="s">
        <v>1185</v>
      </c>
      <c r="B295" s="112" t="s">
        <v>896</v>
      </c>
      <c r="C295" s="112" t="s">
        <v>695</v>
      </c>
      <c r="D295" s="113">
        <v>10348146</v>
      </c>
      <c r="E295" s="115">
        <v>43930</v>
      </c>
      <c r="F295" s="114">
        <v>202101</v>
      </c>
      <c r="G295" s="112" t="s">
        <v>1091</v>
      </c>
      <c r="H295" s="112" t="s">
        <v>1015</v>
      </c>
      <c r="I295" s="112" t="s">
        <v>761</v>
      </c>
      <c r="J295" s="112" t="s">
        <v>1195</v>
      </c>
      <c r="K295" s="112" t="s">
        <v>1487</v>
      </c>
      <c r="L295" s="116">
        <v>10118.75</v>
      </c>
      <c r="M295" s="116">
        <f t="shared" si="4"/>
        <v>10.11875</v>
      </c>
    </row>
    <row r="296" spans="1:13" x14ac:dyDescent="0.35">
      <c r="A296" s="112" t="s">
        <v>1185</v>
      </c>
      <c r="B296" s="112" t="s">
        <v>896</v>
      </c>
      <c r="C296" s="112" t="s">
        <v>695</v>
      </c>
      <c r="D296" s="113">
        <v>10348146</v>
      </c>
      <c r="E296" s="115">
        <v>43930</v>
      </c>
      <c r="F296" s="114">
        <v>202101</v>
      </c>
      <c r="G296" s="112" t="s">
        <v>1091</v>
      </c>
      <c r="H296" s="112" t="s">
        <v>1015</v>
      </c>
      <c r="I296" s="112" t="s">
        <v>767</v>
      </c>
      <c r="J296" s="112" t="s">
        <v>1195</v>
      </c>
      <c r="K296" s="112" t="s">
        <v>1366</v>
      </c>
      <c r="L296" s="116">
        <v>12129.08</v>
      </c>
      <c r="M296" s="116">
        <f t="shared" si="4"/>
        <v>12.12908</v>
      </c>
    </row>
    <row r="297" spans="1:13" x14ac:dyDescent="0.35">
      <c r="A297" s="112" t="s">
        <v>1185</v>
      </c>
      <c r="B297" s="112" t="s">
        <v>896</v>
      </c>
      <c r="C297" s="112" t="s">
        <v>695</v>
      </c>
      <c r="D297" s="113">
        <v>10348146</v>
      </c>
      <c r="E297" s="115">
        <v>43930</v>
      </c>
      <c r="F297" s="114">
        <v>202101</v>
      </c>
      <c r="G297" s="112" t="s">
        <v>1091</v>
      </c>
      <c r="H297" s="112" t="s">
        <v>1015</v>
      </c>
      <c r="I297" s="112" t="s">
        <v>767</v>
      </c>
      <c r="J297" s="112" t="s">
        <v>1195</v>
      </c>
      <c r="K297" s="112" t="s">
        <v>1397</v>
      </c>
      <c r="L297" s="116">
        <v>-4253.57</v>
      </c>
      <c r="M297" s="116">
        <f t="shared" si="4"/>
        <v>-4.2535699999999999</v>
      </c>
    </row>
    <row r="298" spans="1:13" x14ac:dyDescent="0.35">
      <c r="A298" s="112" t="s">
        <v>1185</v>
      </c>
      <c r="B298" s="112" t="s">
        <v>896</v>
      </c>
      <c r="C298" s="112" t="s">
        <v>695</v>
      </c>
      <c r="D298" s="113">
        <v>10348146</v>
      </c>
      <c r="E298" s="115">
        <v>43930</v>
      </c>
      <c r="F298" s="114">
        <v>202101</v>
      </c>
      <c r="G298" s="112" t="s">
        <v>1091</v>
      </c>
      <c r="H298" s="112" t="s">
        <v>1015</v>
      </c>
      <c r="I298" s="112" t="s">
        <v>767</v>
      </c>
      <c r="J298" s="112" t="s">
        <v>1195</v>
      </c>
      <c r="K298" s="112" t="s">
        <v>1436</v>
      </c>
      <c r="L298" s="116">
        <v>3402.05</v>
      </c>
      <c r="M298" s="116">
        <f t="shared" si="4"/>
        <v>3.40205</v>
      </c>
    </row>
    <row r="299" spans="1:13" x14ac:dyDescent="0.35">
      <c r="A299" s="112" t="s">
        <v>1185</v>
      </c>
      <c r="B299" s="112" t="s">
        <v>896</v>
      </c>
      <c r="C299" s="112" t="s">
        <v>695</v>
      </c>
      <c r="D299" s="113">
        <v>10348146</v>
      </c>
      <c r="E299" s="115">
        <v>43930</v>
      </c>
      <c r="F299" s="114">
        <v>202101</v>
      </c>
      <c r="G299" s="112" t="s">
        <v>1091</v>
      </c>
      <c r="H299" s="112" t="s">
        <v>1015</v>
      </c>
      <c r="I299" s="112" t="s">
        <v>767</v>
      </c>
      <c r="J299" s="112" t="s">
        <v>1195</v>
      </c>
      <c r="K299" s="112" t="s">
        <v>1498</v>
      </c>
      <c r="L299" s="116">
        <v>8613.33</v>
      </c>
      <c r="M299" s="116">
        <f t="shared" si="4"/>
        <v>8.6133299999999995</v>
      </c>
    </row>
    <row r="300" spans="1:13" x14ac:dyDescent="0.35">
      <c r="A300" s="112" t="s">
        <v>1185</v>
      </c>
      <c r="B300" s="112" t="s">
        <v>896</v>
      </c>
      <c r="C300" s="112" t="s">
        <v>695</v>
      </c>
      <c r="D300" s="113">
        <v>10348146</v>
      </c>
      <c r="E300" s="115">
        <v>43930</v>
      </c>
      <c r="F300" s="114">
        <v>202101</v>
      </c>
      <c r="G300" s="112" t="s">
        <v>1091</v>
      </c>
      <c r="H300" s="112" t="s">
        <v>1015</v>
      </c>
      <c r="I300" s="112" t="s">
        <v>767</v>
      </c>
      <c r="J300" s="112" t="s">
        <v>1195</v>
      </c>
      <c r="K300" s="112" t="s">
        <v>1499</v>
      </c>
      <c r="L300" s="116">
        <v>4755</v>
      </c>
      <c r="M300" s="116">
        <f t="shared" si="4"/>
        <v>4.7549999999999999</v>
      </c>
    </row>
    <row r="301" spans="1:13" x14ac:dyDescent="0.35">
      <c r="A301" s="112" t="s">
        <v>1185</v>
      </c>
      <c r="B301" s="112" t="s">
        <v>896</v>
      </c>
      <c r="C301" s="112" t="s">
        <v>695</v>
      </c>
      <c r="D301" s="113">
        <v>10348166</v>
      </c>
      <c r="E301" s="115">
        <v>43930</v>
      </c>
      <c r="F301" s="114">
        <v>202101</v>
      </c>
      <c r="G301" s="112" t="s">
        <v>1091</v>
      </c>
      <c r="H301" s="112" t="s">
        <v>1015</v>
      </c>
      <c r="I301" s="112" t="s">
        <v>1267</v>
      </c>
      <c r="J301" s="112" t="s">
        <v>1268</v>
      </c>
      <c r="K301" s="112" t="s">
        <v>1500</v>
      </c>
      <c r="L301" s="116">
        <v>4552.38</v>
      </c>
      <c r="M301" s="116">
        <f t="shared" si="4"/>
        <v>4.5523800000000003</v>
      </c>
    </row>
    <row r="302" spans="1:13" x14ac:dyDescent="0.35">
      <c r="A302" s="112" t="s">
        <v>1185</v>
      </c>
      <c r="B302" s="112" t="s">
        <v>896</v>
      </c>
      <c r="C302" s="112" t="s">
        <v>695</v>
      </c>
      <c r="D302" s="113">
        <v>10348146</v>
      </c>
      <c r="E302" s="115">
        <v>43930</v>
      </c>
      <c r="F302" s="114">
        <v>202101</v>
      </c>
      <c r="G302" s="112" t="s">
        <v>1091</v>
      </c>
      <c r="H302" s="112" t="s">
        <v>1015</v>
      </c>
      <c r="I302" s="112" t="s">
        <v>767</v>
      </c>
      <c r="J302" s="112" t="s">
        <v>1195</v>
      </c>
      <c r="K302" s="112" t="s">
        <v>1356</v>
      </c>
      <c r="L302" s="116">
        <v>2434.21</v>
      </c>
      <c r="M302" s="116">
        <f t="shared" si="4"/>
        <v>2.4342100000000002</v>
      </c>
    </row>
    <row r="303" spans="1:13" hidden="1" x14ac:dyDescent="0.35">
      <c r="A303" s="112" t="s">
        <v>1185</v>
      </c>
      <c r="B303" s="112" t="s">
        <v>898</v>
      </c>
      <c r="C303" s="112" t="s">
        <v>695</v>
      </c>
      <c r="D303" s="113">
        <v>10348146</v>
      </c>
      <c r="E303" s="115">
        <v>43930</v>
      </c>
      <c r="F303" s="114">
        <v>202101</v>
      </c>
      <c r="G303" s="112" t="s">
        <v>1091</v>
      </c>
      <c r="H303" s="112" t="s">
        <v>1015</v>
      </c>
      <c r="I303" s="112" t="s">
        <v>1400</v>
      </c>
      <c r="J303" s="112" t="s">
        <v>1301</v>
      </c>
      <c r="K303" s="112" t="s">
        <v>1488</v>
      </c>
      <c r="L303" s="116">
        <v>701.37</v>
      </c>
      <c r="M303" s="116">
        <f t="shared" si="4"/>
        <v>0.70137000000000005</v>
      </c>
    </row>
    <row r="304" spans="1:13" hidden="1" x14ac:dyDescent="0.35">
      <c r="A304" s="112" t="s">
        <v>1185</v>
      </c>
      <c r="B304" s="112" t="s">
        <v>898</v>
      </c>
      <c r="C304" s="112" t="s">
        <v>695</v>
      </c>
      <c r="D304" s="113">
        <v>10348146</v>
      </c>
      <c r="E304" s="115">
        <v>43930</v>
      </c>
      <c r="F304" s="114">
        <v>202101</v>
      </c>
      <c r="G304" s="112" t="s">
        <v>1091</v>
      </c>
      <c r="H304" s="112" t="s">
        <v>1015</v>
      </c>
      <c r="I304" s="112" t="s">
        <v>1102</v>
      </c>
      <c r="J304" s="112" t="s">
        <v>1213</v>
      </c>
      <c r="K304" s="112" t="s">
        <v>1374</v>
      </c>
      <c r="L304" s="116">
        <v>776.71</v>
      </c>
      <c r="M304" s="116">
        <f t="shared" si="4"/>
        <v>0.77671000000000001</v>
      </c>
    </row>
    <row r="305" spans="1:13" hidden="1" x14ac:dyDescent="0.35">
      <c r="A305" s="112" t="s">
        <v>1185</v>
      </c>
      <c r="B305" s="112" t="s">
        <v>897</v>
      </c>
      <c r="C305" s="112" t="s">
        <v>695</v>
      </c>
      <c r="D305" s="113">
        <v>10347981</v>
      </c>
      <c r="E305" s="115">
        <v>43924</v>
      </c>
      <c r="F305" s="114">
        <v>202101</v>
      </c>
      <c r="G305" s="112" t="s">
        <v>1091</v>
      </c>
      <c r="H305" s="112" t="s">
        <v>1015</v>
      </c>
      <c r="I305" s="112" t="s">
        <v>1201</v>
      </c>
      <c r="J305" s="112" t="s">
        <v>1186</v>
      </c>
      <c r="K305" s="112" t="s">
        <v>1253</v>
      </c>
      <c r="L305" s="116">
        <v>-228.8</v>
      </c>
      <c r="M305" s="116">
        <f t="shared" si="4"/>
        <v>-0.2288</v>
      </c>
    </row>
    <row r="306" spans="1:13" x14ac:dyDescent="0.35">
      <c r="A306" s="112" t="s">
        <v>1185</v>
      </c>
      <c r="B306" s="112" t="s">
        <v>896</v>
      </c>
      <c r="C306" s="112" t="s">
        <v>695</v>
      </c>
      <c r="D306" s="113">
        <v>10348166</v>
      </c>
      <c r="E306" s="115">
        <v>43930</v>
      </c>
      <c r="F306" s="114">
        <v>202101</v>
      </c>
      <c r="G306" s="112" t="s">
        <v>1091</v>
      </c>
      <c r="H306" s="112" t="s">
        <v>1015</v>
      </c>
      <c r="I306" s="112" t="s">
        <v>1277</v>
      </c>
      <c r="J306" s="112" t="s">
        <v>1195</v>
      </c>
      <c r="K306" s="112" t="s">
        <v>1501</v>
      </c>
      <c r="L306" s="116">
        <v>-14500</v>
      </c>
      <c r="M306" s="116">
        <f t="shared" si="4"/>
        <v>-14.5</v>
      </c>
    </row>
    <row r="307" spans="1:13" x14ac:dyDescent="0.35">
      <c r="A307" s="112" t="s">
        <v>1185</v>
      </c>
      <c r="B307" s="112" t="s">
        <v>896</v>
      </c>
      <c r="C307" s="112" t="s">
        <v>695</v>
      </c>
      <c r="D307" s="113">
        <v>10348146</v>
      </c>
      <c r="E307" s="115">
        <v>43930</v>
      </c>
      <c r="F307" s="114">
        <v>202101</v>
      </c>
      <c r="G307" s="112" t="s">
        <v>1091</v>
      </c>
      <c r="H307" s="112" t="s">
        <v>1015</v>
      </c>
      <c r="I307" s="112" t="s">
        <v>767</v>
      </c>
      <c r="J307" s="112" t="s">
        <v>1195</v>
      </c>
      <c r="K307" s="112" t="s">
        <v>1492</v>
      </c>
      <c r="L307" s="116">
        <v>-618.71</v>
      </c>
      <c r="M307" s="116">
        <f t="shared" si="4"/>
        <v>-0.61870999999999998</v>
      </c>
    </row>
    <row r="308" spans="1:13" x14ac:dyDescent="0.35">
      <c r="A308" s="112" t="s">
        <v>1185</v>
      </c>
      <c r="B308" s="112" t="s">
        <v>896</v>
      </c>
      <c r="C308" s="112" t="s">
        <v>695</v>
      </c>
      <c r="D308" s="113">
        <v>10348166</v>
      </c>
      <c r="E308" s="115">
        <v>43930</v>
      </c>
      <c r="F308" s="114">
        <v>202101</v>
      </c>
      <c r="G308" s="112" t="s">
        <v>1091</v>
      </c>
      <c r="H308" s="112" t="s">
        <v>1015</v>
      </c>
      <c r="I308" s="112" t="s">
        <v>1502</v>
      </c>
      <c r="J308" s="112" t="s">
        <v>1195</v>
      </c>
      <c r="K308" s="112" t="s">
        <v>1503</v>
      </c>
      <c r="L308" s="116">
        <v>710</v>
      </c>
      <c r="M308" s="116">
        <f t="shared" si="4"/>
        <v>0.71</v>
      </c>
    </row>
    <row r="309" spans="1:13" x14ac:dyDescent="0.35">
      <c r="A309" s="112" t="s">
        <v>1185</v>
      </c>
      <c r="B309" s="112" t="s">
        <v>896</v>
      </c>
      <c r="C309" s="112" t="s">
        <v>695</v>
      </c>
      <c r="D309" s="113">
        <v>10348166</v>
      </c>
      <c r="E309" s="115">
        <v>43930</v>
      </c>
      <c r="F309" s="114">
        <v>202101</v>
      </c>
      <c r="G309" s="112" t="s">
        <v>1091</v>
      </c>
      <c r="H309" s="112" t="s">
        <v>1015</v>
      </c>
      <c r="I309" s="112" t="s">
        <v>1246</v>
      </c>
      <c r="J309" s="112" t="s">
        <v>1195</v>
      </c>
      <c r="K309" s="112" t="s">
        <v>1504</v>
      </c>
      <c r="L309" s="116">
        <v>8423.25</v>
      </c>
      <c r="M309" s="116">
        <f t="shared" si="4"/>
        <v>8.4232499999999995</v>
      </c>
    </row>
    <row r="310" spans="1:13" x14ac:dyDescent="0.35">
      <c r="A310" s="112" t="s">
        <v>1185</v>
      </c>
      <c r="B310" s="112" t="s">
        <v>896</v>
      </c>
      <c r="C310" s="112" t="s">
        <v>695</v>
      </c>
      <c r="D310" s="113">
        <v>10348146</v>
      </c>
      <c r="E310" s="115">
        <v>43930</v>
      </c>
      <c r="F310" s="114">
        <v>202101</v>
      </c>
      <c r="G310" s="112" t="s">
        <v>1091</v>
      </c>
      <c r="H310" s="112" t="s">
        <v>1015</v>
      </c>
      <c r="I310" s="112" t="s">
        <v>767</v>
      </c>
      <c r="J310" s="112" t="s">
        <v>1195</v>
      </c>
      <c r="K310" s="112" t="s">
        <v>1383</v>
      </c>
      <c r="L310" s="116">
        <v>-11952.26</v>
      </c>
      <c r="M310" s="116">
        <f t="shared" si="4"/>
        <v>-11.952260000000001</v>
      </c>
    </row>
    <row r="311" spans="1:13" x14ac:dyDescent="0.35">
      <c r="A311" s="112" t="s">
        <v>1185</v>
      </c>
      <c r="B311" s="112" t="s">
        <v>896</v>
      </c>
      <c r="C311" s="112" t="s">
        <v>695</v>
      </c>
      <c r="D311" s="113">
        <v>10348166</v>
      </c>
      <c r="E311" s="115">
        <v>43930</v>
      </c>
      <c r="F311" s="114">
        <v>202101</v>
      </c>
      <c r="G311" s="112" t="s">
        <v>1091</v>
      </c>
      <c r="H311" s="112" t="s">
        <v>1015</v>
      </c>
      <c r="I311" s="112" t="s">
        <v>1502</v>
      </c>
      <c r="J311" s="112" t="s">
        <v>1195</v>
      </c>
      <c r="K311" s="112" t="s">
        <v>1506</v>
      </c>
      <c r="L311" s="116">
        <v>14723.6</v>
      </c>
      <c r="M311" s="116">
        <f t="shared" si="4"/>
        <v>14.723600000000001</v>
      </c>
    </row>
    <row r="312" spans="1:13" x14ac:dyDescent="0.35">
      <c r="A312" s="112" t="s">
        <v>1185</v>
      </c>
      <c r="B312" s="112" t="s">
        <v>896</v>
      </c>
      <c r="C312" s="112" t="s">
        <v>695</v>
      </c>
      <c r="D312" s="113">
        <v>10348166</v>
      </c>
      <c r="E312" s="115">
        <v>43930</v>
      </c>
      <c r="F312" s="114">
        <v>202101</v>
      </c>
      <c r="G312" s="112" t="s">
        <v>1091</v>
      </c>
      <c r="H312" s="112" t="s">
        <v>1015</v>
      </c>
      <c r="I312" s="112" t="s">
        <v>1246</v>
      </c>
      <c r="J312" s="112" t="s">
        <v>1195</v>
      </c>
      <c r="K312" s="112" t="s">
        <v>1507</v>
      </c>
      <c r="L312" s="116">
        <v>8366</v>
      </c>
      <c r="M312" s="116">
        <f t="shared" si="4"/>
        <v>8.3659999999999997</v>
      </c>
    </row>
    <row r="313" spans="1:13" x14ac:dyDescent="0.35">
      <c r="A313" s="112" t="s">
        <v>1185</v>
      </c>
      <c r="B313" s="112" t="s">
        <v>896</v>
      </c>
      <c r="C313" s="112" t="s">
        <v>695</v>
      </c>
      <c r="D313" s="113">
        <v>10348001</v>
      </c>
      <c r="E313" s="115">
        <v>43927</v>
      </c>
      <c r="F313" s="114">
        <v>202101</v>
      </c>
      <c r="G313" s="112" t="s">
        <v>1091</v>
      </c>
      <c r="H313" s="112" t="s">
        <v>1015</v>
      </c>
      <c r="I313" s="112" t="s">
        <v>767</v>
      </c>
      <c r="J313" s="112" t="s">
        <v>1195</v>
      </c>
      <c r="K313" s="112" t="s">
        <v>1491</v>
      </c>
      <c r="L313" s="116">
        <v>1288.1400000000001</v>
      </c>
      <c r="M313" s="116">
        <f t="shared" si="4"/>
        <v>1.2881400000000001</v>
      </c>
    </row>
    <row r="314" spans="1:13" x14ac:dyDescent="0.35">
      <c r="A314" s="112" t="s">
        <v>1185</v>
      </c>
      <c r="B314" s="112" t="s">
        <v>896</v>
      </c>
      <c r="C314" s="112" t="s">
        <v>695</v>
      </c>
      <c r="D314" s="113">
        <v>10348001</v>
      </c>
      <c r="E314" s="115">
        <v>43927</v>
      </c>
      <c r="F314" s="114">
        <v>202101</v>
      </c>
      <c r="G314" s="112" t="s">
        <v>1091</v>
      </c>
      <c r="H314" s="112" t="s">
        <v>1015</v>
      </c>
      <c r="I314" s="112" t="s">
        <v>767</v>
      </c>
      <c r="J314" s="112" t="s">
        <v>1195</v>
      </c>
      <c r="K314" s="112" t="s">
        <v>1368</v>
      </c>
      <c r="L314" s="116">
        <v>729.47</v>
      </c>
      <c r="M314" s="116">
        <f t="shared" si="4"/>
        <v>0.72947000000000006</v>
      </c>
    </row>
    <row r="315" spans="1:13" x14ac:dyDescent="0.35">
      <c r="A315" s="112" t="s">
        <v>1185</v>
      </c>
      <c r="B315" s="112" t="s">
        <v>896</v>
      </c>
      <c r="C315" s="112" t="s">
        <v>695</v>
      </c>
      <c r="D315" s="113">
        <v>10348001</v>
      </c>
      <c r="E315" s="115">
        <v>43927</v>
      </c>
      <c r="F315" s="114">
        <v>202101</v>
      </c>
      <c r="G315" s="112" t="s">
        <v>1091</v>
      </c>
      <c r="H315" s="112" t="s">
        <v>1015</v>
      </c>
      <c r="I315" s="112" t="s">
        <v>767</v>
      </c>
      <c r="J315" s="112" t="s">
        <v>1195</v>
      </c>
      <c r="K315" s="112" t="s">
        <v>1388</v>
      </c>
      <c r="L315" s="116">
        <v>868</v>
      </c>
      <c r="M315" s="116">
        <f t="shared" si="4"/>
        <v>0.86799999999999999</v>
      </c>
    </row>
    <row r="316" spans="1:13" x14ac:dyDescent="0.35">
      <c r="A316" s="112" t="s">
        <v>1185</v>
      </c>
      <c r="B316" s="112" t="s">
        <v>896</v>
      </c>
      <c r="C316" s="112" t="s">
        <v>695</v>
      </c>
      <c r="D316" s="113">
        <v>10348001</v>
      </c>
      <c r="E316" s="115">
        <v>43927</v>
      </c>
      <c r="F316" s="114">
        <v>202101</v>
      </c>
      <c r="G316" s="112" t="s">
        <v>1091</v>
      </c>
      <c r="H316" s="112" t="s">
        <v>1015</v>
      </c>
      <c r="I316" s="112" t="s">
        <v>767</v>
      </c>
      <c r="J316" s="112" t="s">
        <v>1195</v>
      </c>
      <c r="K316" s="112" t="s">
        <v>1397</v>
      </c>
      <c r="L316" s="116">
        <v>4253.57</v>
      </c>
      <c r="M316" s="116">
        <f t="shared" si="4"/>
        <v>4.2535699999999999</v>
      </c>
    </row>
    <row r="317" spans="1:13" x14ac:dyDescent="0.35">
      <c r="A317" s="112" t="s">
        <v>1185</v>
      </c>
      <c r="B317" s="112" t="s">
        <v>896</v>
      </c>
      <c r="C317" s="112" t="s">
        <v>695</v>
      </c>
      <c r="D317" s="113">
        <v>10348001</v>
      </c>
      <c r="E317" s="115">
        <v>43927</v>
      </c>
      <c r="F317" s="114">
        <v>202101</v>
      </c>
      <c r="G317" s="112" t="s">
        <v>1091</v>
      </c>
      <c r="H317" s="112" t="s">
        <v>1015</v>
      </c>
      <c r="I317" s="112" t="s">
        <v>767</v>
      </c>
      <c r="J317" s="112" t="s">
        <v>1195</v>
      </c>
      <c r="K317" s="112" t="s">
        <v>1396</v>
      </c>
      <c r="L317" s="116">
        <v>797.42</v>
      </c>
      <c r="M317" s="116">
        <f t="shared" si="4"/>
        <v>0.79741999999999991</v>
      </c>
    </row>
    <row r="318" spans="1:13" x14ac:dyDescent="0.35">
      <c r="A318" s="112" t="s">
        <v>1185</v>
      </c>
      <c r="B318" s="112" t="s">
        <v>896</v>
      </c>
      <c r="C318" s="112" t="s">
        <v>695</v>
      </c>
      <c r="D318" s="113">
        <v>10348001</v>
      </c>
      <c r="E318" s="115">
        <v>43927</v>
      </c>
      <c r="F318" s="114">
        <v>202101</v>
      </c>
      <c r="G318" s="112" t="s">
        <v>1091</v>
      </c>
      <c r="H318" s="112" t="s">
        <v>1015</v>
      </c>
      <c r="I318" s="112" t="s">
        <v>767</v>
      </c>
      <c r="J318" s="112" t="s">
        <v>1195</v>
      </c>
      <c r="K318" s="112" t="s">
        <v>1493</v>
      </c>
      <c r="L318" s="116">
        <v>894.16</v>
      </c>
      <c r="M318" s="116">
        <f t="shared" si="4"/>
        <v>0.89415999999999995</v>
      </c>
    </row>
    <row r="319" spans="1:13" x14ac:dyDescent="0.35">
      <c r="A319" s="112" t="s">
        <v>1185</v>
      </c>
      <c r="B319" s="112" t="s">
        <v>896</v>
      </c>
      <c r="C319" s="112" t="s">
        <v>695</v>
      </c>
      <c r="D319" s="113">
        <v>10348001</v>
      </c>
      <c r="E319" s="115">
        <v>43927</v>
      </c>
      <c r="F319" s="114">
        <v>202101</v>
      </c>
      <c r="G319" s="112" t="s">
        <v>1091</v>
      </c>
      <c r="H319" s="112" t="s">
        <v>1015</v>
      </c>
      <c r="I319" s="112" t="s">
        <v>767</v>
      </c>
      <c r="J319" s="112" t="s">
        <v>1195</v>
      </c>
      <c r="K319" s="112" t="s">
        <v>1394</v>
      </c>
      <c r="L319" s="116">
        <v>1450.4</v>
      </c>
      <c r="M319" s="116">
        <f t="shared" si="4"/>
        <v>1.4504000000000001</v>
      </c>
    </row>
    <row r="320" spans="1:13" x14ac:dyDescent="0.35">
      <c r="A320" s="112" t="s">
        <v>1185</v>
      </c>
      <c r="B320" s="112" t="s">
        <v>896</v>
      </c>
      <c r="C320" s="112" t="s">
        <v>695</v>
      </c>
      <c r="D320" s="113">
        <v>10348001</v>
      </c>
      <c r="E320" s="115">
        <v>43927</v>
      </c>
      <c r="F320" s="114">
        <v>202101</v>
      </c>
      <c r="G320" s="112" t="s">
        <v>1091</v>
      </c>
      <c r="H320" s="112" t="s">
        <v>1015</v>
      </c>
      <c r="I320" s="112" t="s">
        <v>767</v>
      </c>
      <c r="J320" s="112" t="s">
        <v>1195</v>
      </c>
      <c r="K320" s="112" t="s">
        <v>1392</v>
      </c>
      <c r="L320" s="116">
        <v>610</v>
      </c>
      <c r="M320" s="116">
        <f t="shared" si="4"/>
        <v>0.61</v>
      </c>
    </row>
    <row r="321" spans="1:13" x14ac:dyDescent="0.35">
      <c r="A321" s="112" t="s">
        <v>1185</v>
      </c>
      <c r="B321" s="112" t="s">
        <v>896</v>
      </c>
      <c r="C321" s="112" t="s">
        <v>695</v>
      </c>
      <c r="D321" s="113">
        <v>10348001</v>
      </c>
      <c r="E321" s="115">
        <v>43927</v>
      </c>
      <c r="F321" s="114">
        <v>202101</v>
      </c>
      <c r="G321" s="112" t="s">
        <v>1091</v>
      </c>
      <c r="H321" s="112" t="s">
        <v>1015</v>
      </c>
      <c r="I321" s="112" t="s">
        <v>767</v>
      </c>
      <c r="J321" s="112" t="s">
        <v>1195</v>
      </c>
      <c r="K321" s="112" t="s">
        <v>1494</v>
      </c>
      <c r="L321" s="116">
        <v>581</v>
      </c>
      <c r="M321" s="116">
        <f t="shared" si="4"/>
        <v>0.58099999999999996</v>
      </c>
    </row>
    <row r="322" spans="1:13" x14ac:dyDescent="0.35">
      <c r="A322" s="112" t="s">
        <v>1185</v>
      </c>
      <c r="B322" s="112" t="s">
        <v>896</v>
      </c>
      <c r="C322" s="112" t="s">
        <v>695</v>
      </c>
      <c r="D322" s="113">
        <v>10348001</v>
      </c>
      <c r="E322" s="115">
        <v>43927</v>
      </c>
      <c r="F322" s="114">
        <v>202101</v>
      </c>
      <c r="G322" s="112" t="s">
        <v>1091</v>
      </c>
      <c r="H322" s="112" t="s">
        <v>1015</v>
      </c>
      <c r="I322" s="112" t="s">
        <v>767</v>
      </c>
      <c r="J322" s="112" t="s">
        <v>1195</v>
      </c>
      <c r="K322" s="112" t="s">
        <v>1492</v>
      </c>
      <c r="L322" s="116">
        <v>618.71</v>
      </c>
      <c r="M322" s="116">
        <f t="shared" si="4"/>
        <v>0.61870999999999998</v>
      </c>
    </row>
    <row r="323" spans="1:13" hidden="1" x14ac:dyDescent="0.35">
      <c r="A323" s="112" t="s">
        <v>1509</v>
      </c>
      <c r="B323" s="112" t="s">
        <v>1510</v>
      </c>
      <c r="C323" s="112" t="s">
        <v>695</v>
      </c>
      <c r="D323" s="113">
        <v>10347977</v>
      </c>
      <c r="E323" s="115">
        <v>43924</v>
      </c>
      <c r="F323" s="114">
        <v>202101</v>
      </c>
      <c r="G323" s="112" t="s">
        <v>1091</v>
      </c>
      <c r="H323" s="112" t="s">
        <v>1015</v>
      </c>
      <c r="I323" s="112" t="s">
        <v>749</v>
      </c>
      <c r="J323" s="112" t="s">
        <v>1514</v>
      </c>
      <c r="K323" s="112" t="s">
        <v>1515</v>
      </c>
      <c r="L323" s="116">
        <v>-430</v>
      </c>
      <c r="M323" s="116">
        <f t="shared" ref="M323:M386" si="5">L323/1000</f>
        <v>-0.43</v>
      </c>
    </row>
    <row r="324" spans="1:13" hidden="1" x14ac:dyDescent="0.35">
      <c r="A324" s="112" t="s">
        <v>1509</v>
      </c>
      <c r="B324" s="112" t="s">
        <v>1510</v>
      </c>
      <c r="C324" s="112" t="s">
        <v>695</v>
      </c>
      <c r="D324" s="113">
        <v>10347977</v>
      </c>
      <c r="E324" s="115">
        <v>43924</v>
      </c>
      <c r="F324" s="114">
        <v>202101</v>
      </c>
      <c r="G324" s="112" t="s">
        <v>1091</v>
      </c>
      <c r="H324" s="112" t="s">
        <v>1015</v>
      </c>
      <c r="I324" s="112" t="s">
        <v>749</v>
      </c>
      <c r="J324" s="112" t="s">
        <v>1512</v>
      </c>
      <c r="K324" s="112" t="s">
        <v>1524</v>
      </c>
      <c r="L324" s="116">
        <v>-299</v>
      </c>
      <c r="M324" s="116">
        <f t="shared" si="5"/>
        <v>-0.29899999999999999</v>
      </c>
    </row>
    <row r="325" spans="1:13" hidden="1" x14ac:dyDescent="0.35">
      <c r="A325" s="112" t="s">
        <v>1509</v>
      </c>
      <c r="B325" s="112" t="s">
        <v>1510</v>
      </c>
      <c r="C325" s="112" t="s">
        <v>695</v>
      </c>
      <c r="D325" s="113">
        <v>10347977</v>
      </c>
      <c r="E325" s="115">
        <v>43924</v>
      </c>
      <c r="F325" s="114">
        <v>202101</v>
      </c>
      <c r="G325" s="112" t="s">
        <v>1091</v>
      </c>
      <c r="H325" s="112" t="s">
        <v>1015</v>
      </c>
      <c r="I325" s="112" t="s">
        <v>749</v>
      </c>
      <c r="J325" s="112" t="s">
        <v>1525</v>
      </c>
      <c r="K325" s="112" t="s">
        <v>1526</v>
      </c>
      <c r="L325" s="116">
        <v>-19</v>
      </c>
      <c r="M325" s="116">
        <f t="shared" si="5"/>
        <v>-1.9E-2</v>
      </c>
    </row>
    <row r="326" spans="1:13" hidden="1" x14ac:dyDescent="0.35">
      <c r="A326" s="112" t="s">
        <v>1509</v>
      </c>
      <c r="B326" s="112" t="s">
        <v>1510</v>
      </c>
      <c r="C326" s="112" t="s">
        <v>695</v>
      </c>
      <c r="D326" s="113">
        <v>10347977</v>
      </c>
      <c r="E326" s="115">
        <v>43924</v>
      </c>
      <c r="F326" s="114">
        <v>202101</v>
      </c>
      <c r="G326" s="112" t="s">
        <v>1091</v>
      </c>
      <c r="H326" s="112" t="s">
        <v>1015</v>
      </c>
      <c r="I326" s="112" t="s">
        <v>757</v>
      </c>
      <c r="J326" s="112" t="s">
        <v>1512</v>
      </c>
      <c r="K326" s="112" t="s">
        <v>1528</v>
      </c>
      <c r="L326" s="116">
        <v>-47</v>
      </c>
      <c r="M326" s="116">
        <f t="shared" si="5"/>
        <v>-4.7E-2</v>
      </c>
    </row>
    <row r="327" spans="1:13" hidden="1" x14ac:dyDescent="0.35">
      <c r="A327" s="112" t="s">
        <v>1509</v>
      </c>
      <c r="B327" s="112" t="s">
        <v>1510</v>
      </c>
      <c r="C327" s="112" t="s">
        <v>695</v>
      </c>
      <c r="D327" s="113">
        <v>10348420</v>
      </c>
      <c r="E327" s="115">
        <v>43945</v>
      </c>
      <c r="F327" s="114">
        <v>202101</v>
      </c>
      <c r="G327" s="112" t="s">
        <v>1091</v>
      </c>
      <c r="H327" s="112" t="s">
        <v>1015</v>
      </c>
      <c r="I327" s="112" t="s">
        <v>1532</v>
      </c>
      <c r="J327" s="112" t="s">
        <v>1533</v>
      </c>
      <c r="K327" s="112" t="s">
        <v>1534</v>
      </c>
      <c r="L327" s="116">
        <v>-2054.84</v>
      </c>
      <c r="M327" s="116">
        <f t="shared" si="5"/>
        <v>-2.05484</v>
      </c>
    </row>
    <row r="328" spans="1:13" hidden="1" x14ac:dyDescent="0.35">
      <c r="A328" s="112" t="s">
        <v>1509</v>
      </c>
      <c r="B328" s="112" t="s">
        <v>1510</v>
      </c>
      <c r="C328" s="112" t="s">
        <v>695</v>
      </c>
      <c r="D328" s="113">
        <v>10348420</v>
      </c>
      <c r="E328" s="115">
        <v>43945</v>
      </c>
      <c r="F328" s="114">
        <v>202101</v>
      </c>
      <c r="G328" s="112" t="s">
        <v>1091</v>
      </c>
      <c r="H328" s="112" t="s">
        <v>1015</v>
      </c>
      <c r="I328" s="112" t="s">
        <v>1532</v>
      </c>
      <c r="J328" s="112" t="s">
        <v>1533</v>
      </c>
      <c r="K328" s="112" t="s">
        <v>1535</v>
      </c>
      <c r="L328" s="116">
        <v>-1969.72</v>
      </c>
      <c r="M328" s="116">
        <f t="shared" si="5"/>
        <v>-1.9697200000000001</v>
      </c>
    </row>
    <row r="329" spans="1:13" hidden="1" x14ac:dyDescent="0.35">
      <c r="A329" s="112" t="s">
        <v>1509</v>
      </c>
      <c r="B329" s="112" t="s">
        <v>902</v>
      </c>
      <c r="C329" s="112" t="s">
        <v>695</v>
      </c>
      <c r="D329" s="113">
        <v>10348222</v>
      </c>
      <c r="E329" s="115">
        <v>43936</v>
      </c>
      <c r="F329" s="114">
        <v>202101</v>
      </c>
      <c r="G329" s="112" t="s">
        <v>1091</v>
      </c>
      <c r="H329" s="112" t="s">
        <v>1016</v>
      </c>
      <c r="I329" s="112" t="s">
        <v>680</v>
      </c>
      <c r="J329" s="112" t="s">
        <v>1517</v>
      </c>
      <c r="K329" s="112" t="s">
        <v>1542</v>
      </c>
      <c r="L329" s="116">
        <v>31123.83</v>
      </c>
      <c r="M329" s="116">
        <f t="shared" si="5"/>
        <v>31.123830000000002</v>
      </c>
    </row>
    <row r="330" spans="1:13" hidden="1" x14ac:dyDescent="0.35">
      <c r="A330" s="112" t="s">
        <v>1509</v>
      </c>
      <c r="B330" s="112" t="s">
        <v>902</v>
      </c>
      <c r="C330" s="112" t="s">
        <v>695</v>
      </c>
      <c r="D330" s="113">
        <v>10348222</v>
      </c>
      <c r="E330" s="115">
        <v>43936</v>
      </c>
      <c r="F330" s="114">
        <v>202101</v>
      </c>
      <c r="G330" s="112" t="s">
        <v>1091</v>
      </c>
      <c r="H330" s="112" t="s">
        <v>1016</v>
      </c>
      <c r="I330" s="112" t="s">
        <v>1131</v>
      </c>
      <c r="J330" s="112" t="s">
        <v>1517</v>
      </c>
      <c r="K330" s="112" t="s">
        <v>1543</v>
      </c>
      <c r="L330" s="116">
        <v>20000</v>
      </c>
      <c r="M330" s="116">
        <f t="shared" si="5"/>
        <v>20</v>
      </c>
    </row>
    <row r="331" spans="1:13" hidden="1" x14ac:dyDescent="0.35">
      <c r="A331" s="112" t="s">
        <v>1509</v>
      </c>
      <c r="B331" s="112" t="s">
        <v>902</v>
      </c>
      <c r="C331" s="112" t="s">
        <v>695</v>
      </c>
      <c r="D331" s="113">
        <v>10348240</v>
      </c>
      <c r="E331" s="115">
        <v>43936</v>
      </c>
      <c r="F331" s="114">
        <v>202101</v>
      </c>
      <c r="G331" s="112" t="s">
        <v>1091</v>
      </c>
      <c r="H331" s="112" t="s">
        <v>1016</v>
      </c>
      <c r="I331" s="112" t="s">
        <v>1131</v>
      </c>
      <c r="J331" s="112" t="s">
        <v>1545</v>
      </c>
      <c r="K331" s="112" t="s">
        <v>1546</v>
      </c>
      <c r="L331" s="116">
        <v>101325</v>
      </c>
      <c r="M331" s="116">
        <f t="shared" si="5"/>
        <v>101.325</v>
      </c>
    </row>
    <row r="332" spans="1:13" hidden="1" x14ac:dyDescent="0.35">
      <c r="A332" s="112" t="s">
        <v>1509</v>
      </c>
      <c r="B332" s="112" t="s">
        <v>902</v>
      </c>
      <c r="C332" s="112" t="s">
        <v>695</v>
      </c>
      <c r="D332" s="113">
        <v>10348240</v>
      </c>
      <c r="E332" s="115">
        <v>43936</v>
      </c>
      <c r="F332" s="114">
        <v>202101</v>
      </c>
      <c r="G332" s="112" t="s">
        <v>1091</v>
      </c>
      <c r="H332" s="112" t="s">
        <v>1016</v>
      </c>
      <c r="I332" s="112" t="s">
        <v>1131</v>
      </c>
      <c r="J332" s="112" t="s">
        <v>1545</v>
      </c>
      <c r="K332" s="112" t="s">
        <v>1547</v>
      </c>
      <c r="L332" s="116">
        <v>27757.74</v>
      </c>
      <c r="M332" s="116">
        <f t="shared" si="5"/>
        <v>27.757740000000002</v>
      </c>
    </row>
    <row r="333" spans="1:13" hidden="1" x14ac:dyDescent="0.35">
      <c r="A333" s="112" t="s">
        <v>1509</v>
      </c>
      <c r="B333" s="112" t="s">
        <v>1510</v>
      </c>
      <c r="C333" s="112" t="s">
        <v>695</v>
      </c>
      <c r="D333" s="113">
        <v>10347977</v>
      </c>
      <c r="E333" s="115">
        <v>43924</v>
      </c>
      <c r="F333" s="114">
        <v>202101</v>
      </c>
      <c r="G333" s="112" t="s">
        <v>1091</v>
      </c>
      <c r="H333" s="112" t="s">
        <v>1015</v>
      </c>
      <c r="I333" s="112" t="s">
        <v>749</v>
      </c>
      <c r="J333" s="112" t="s">
        <v>1514</v>
      </c>
      <c r="K333" s="112" t="s">
        <v>1548</v>
      </c>
      <c r="L333" s="116">
        <v>-8</v>
      </c>
      <c r="M333" s="116">
        <f t="shared" si="5"/>
        <v>-8.0000000000000002E-3</v>
      </c>
    </row>
    <row r="334" spans="1:13" hidden="1" x14ac:dyDescent="0.35">
      <c r="A334" s="112" t="s">
        <v>1509</v>
      </c>
      <c r="B334" s="112" t="s">
        <v>1510</v>
      </c>
      <c r="C334" s="112" t="s">
        <v>695</v>
      </c>
      <c r="D334" s="113">
        <v>10348420</v>
      </c>
      <c r="E334" s="115">
        <v>43945</v>
      </c>
      <c r="F334" s="114">
        <v>202101</v>
      </c>
      <c r="G334" s="112" t="s">
        <v>1091</v>
      </c>
      <c r="H334" s="112" t="s">
        <v>1015</v>
      </c>
      <c r="I334" s="112" t="s">
        <v>1532</v>
      </c>
      <c r="J334" s="112" t="s">
        <v>1533</v>
      </c>
      <c r="K334" s="112" t="s">
        <v>1550</v>
      </c>
      <c r="L334" s="116">
        <v>-2377.0300000000002</v>
      </c>
      <c r="M334" s="116">
        <f t="shared" si="5"/>
        <v>-2.3770300000000004</v>
      </c>
    </row>
    <row r="335" spans="1:13" hidden="1" x14ac:dyDescent="0.35">
      <c r="A335" s="112" t="s">
        <v>1509</v>
      </c>
      <c r="B335" s="112" t="s">
        <v>1510</v>
      </c>
      <c r="C335" s="112" t="s">
        <v>695</v>
      </c>
      <c r="D335" s="113">
        <v>10348420</v>
      </c>
      <c r="E335" s="115">
        <v>43945</v>
      </c>
      <c r="F335" s="114">
        <v>202101</v>
      </c>
      <c r="G335" s="112" t="s">
        <v>1091</v>
      </c>
      <c r="H335" s="112" t="s">
        <v>1015</v>
      </c>
      <c r="I335" s="112" t="s">
        <v>1532</v>
      </c>
      <c r="J335" s="112" t="s">
        <v>1533</v>
      </c>
      <c r="K335" s="112" t="s">
        <v>1552</v>
      </c>
      <c r="L335" s="116">
        <v>-2048.8000000000002</v>
      </c>
      <c r="M335" s="116">
        <f t="shared" si="5"/>
        <v>-2.0488000000000004</v>
      </c>
    </row>
    <row r="336" spans="1:13" hidden="1" x14ac:dyDescent="0.35">
      <c r="A336" s="112" t="s">
        <v>1509</v>
      </c>
      <c r="B336" s="112" t="s">
        <v>1510</v>
      </c>
      <c r="C336" s="112" t="s">
        <v>695</v>
      </c>
      <c r="D336" s="113">
        <v>10347977</v>
      </c>
      <c r="E336" s="115">
        <v>43924</v>
      </c>
      <c r="F336" s="114">
        <v>202101</v>
      </c>
      <c r="G336" s="112" t="s">
        <v>1091</v>
      </c>
      <c r="H336" s="112" t="s">
        <v>1015</v>
      </c>
      <c r="I336" s="112" t="s">
        <v>749</v>
      </c>
      <c r="J336" s="112" t="s">
        <v>1512</v>
      </c>
      <c r="K336" s="112" t="s">
        <v>1553</v>
      </c>
      <c r="L336" s="116">
        <v>-1722</v>
      </c>
      <c r="M336" s="116">
        <f t="shared" si="5"/>
        <v>-1.722</v>
      </c>
    </row>
    <row r="337" spans="1:13" hidden="1" x14ac:dyDescent="0.35">
      <c r="A337" s="112" t="s">
        <v>1509</v>
      </c>
      <c r="B337" s="112" t="s">
        <v>1510</v>
      </c>
      <c r="C337" s="112" t="s">
        <v>695</v>
      </c>
      <c r="D337" s="113">
        <v>10347977</v>
      </c>
      <c r="E337" s="115">
        <v>43924</v>
      </c>
      <c r="F337" s="114">
        <v>202101</v>
      </c>
      <c r="G337" s="112" t="s">
        <v>1091</v>
      </c>
      <c r="H337" s="112" t="s">
        <v>1015</v>
      </c>
      <c r="I337" s="112" t="s">
        <v>757</v>
      </c>
      <c r="J337" s="112" t="s">
        <v>1512</v>
      </c>
      <c r="K337" s="112" t="s">
        <v>1554</v>
      </c>
      <c r="L337" s="116">
        <v>-199</v>
      </c>
      <c r="M337" s="116">
        <f t="shared" si="5"/>
        <v>-0.19900000000000001</v>
      </c>
    </row>
    <row r="338" spans="1:13" hidden="1" x14ac:dyDescent="0.35">
      <c r="A338" s="112" t="s">
        <v>1509</v>
      </c>
      <c r="B338" s="112" t="s">
        <v>1510</v>
      </c>
      <c r="C338" s="112" t="s">
        <v>695</v>
      </c>
      <c r="D338" s="113">
        <v>10348420</v>
      </c>
      <c r="E338" s="115">
        <v>43945</v>
      </c>
      <c r="F338" s="114">
        <v>202101</v>
      </c>
      <c r="G338" s="112" t="s">
        <v>1091</v>
      </c>
      <c r="H338" s="112" t="s">
        <v>1015</v>
      </c>
      <c r="I338" s="112" t="s">
        <v>1532</v>
      </c>
      <c r="J338" s="112" t="s">
        <v>1525</v>
      </c>
      <c r="K338" s="112" t="s">
        <v>1555</v>
      </c>
      <c r="L338" s="116">
        <v>206.08</v>
      </c>
      <c r="M338" s="116">
        <f t="shared" si="5"/>
        <v>0.20608000000000001</v>
      </c>
    </row>
    <row r="339" spans="1:13" hidden="1" x14ac:dyDescent="0.35">
      <c r="A339" s="112" t="s">
        <v>1509</v>
      </c>
      <c r="B339" s="112" t="s">
        <v>1510</v>
      </c>
      <c r="C339" s="112" t="s">
        <v>695</v>
      </c>
      <c r="D339" s="113">
        <v>10347977</v>
      </c>
      <c r="E339" s="115">
        <v>43924</v>
      </c>
      <c r="F339" s="114">
        <v>202101</v>
      </c>
      <c r="G339" s="112" t="s">
        <v>1091</v>
      </c>
      <c r="H339" s="112" t="s">
        <v>1015</v>
      </c>
      <c r="I339" s="112" t="s">
        <v>757</v>
      </c>
      <c r="J339" s="112" t="s">
        <v>1512</v>
      </c>
      <c r="K339" s="112" t="s">
        <v>1556</v>
      </c>
      <c r="L339" s="116">
        <v>-117</v>
      </c>
      <c r="M339" s="116">
        <f t="shared" si="5"/>
        <v>-0.11700000000000001</v>
      </c>
    </row>
    <row r="340" spans="1:13" hidden="1" x14ac:dyDescent="0.35">
      <c r="A340" s="112" t="s">
        <v>1509</v>
      </c>
      <c r="B340" s="112" t="s">
        <v>1510</v>
      </c>
      <c r="C340" s="112" t="s">
        <v>695</v>
      </c>
      <c r="D340" s="113">
        <v>10348429</v>
      </c>
      <c r="E340" s="115">
        <v>43945</v>
      </c>
      <c r="F340" s="114">
        <v>202101</v>
      </c>
      <c r="G340" s="112" t="s">
        <v>1091</v>
      </c>
      <c r="H340" s="112" t="s">
        <v>1015</v>
      </c>
      <c r="I340" s="112" t="s">
        <v>1557</v>
      </c>
      <c r="J340" s="112" t="s">
        <v>1514</v>
      </c>
      <c r="K340" s="112" t="s">
        <v>1558</v>
      </c>
      <c r="L340" s="116">
        <v>5060.47</v>
      </c>
      <c r="M340" s="116">
        <f t="shared" si="5"/>
        <v>5.0604700000000005</v>
      </c>
    </row>
    <row r="341" spans="1:13" hidden="1" x14ac:dyDescent="0.35">
      <c r="A341" s="112" t="s">
        <v>1509</v>
      </c>
      <c r="B341" s="112" t="s">
        <v>1510</v>
      </c>
      <c r="C341" s="112" t="s">
        <v>695</v>
      </c>
      <c r="D341" s="113">
        <v>10347977</v>
      </c>
      <c r="E341" s="115">
        <v>43924</v>
      </c>
      <c r="F341" s="114">
        <v>202101</v>
      </c>
      <c r="G341" s="112" t="s">
        <v>1091</v>
      </c>
      <c r="H341" s="112" t="s">
        <v>1015</v>
      </c>
      <c r="I341" s="112" t="s">
        <v>749</v>
      </c>
      <c r="J341" s="112" t="s">
        <v>1512</v>
      </c>
      <c r="K341" s="112" t="s">
        <v>1553</v>
      </c>
      <c r="L341" s="116">
        <v>-202</v>
      </c>
      <c r="M341" s="116">
        <f t="shared" si="5"/>
        <v>-0.20200000000000001</v>
      </c>
    </row>
    <row r="342" spans="1:13" hidden="1" x14ac:dyDescent="0.35">
      <c r="A342" s="112" t="s">
        <v>1509</v>
      </c>
      <c r="B342" s="112" t="s">
        <v>1510</v>
      </c>
      <c r="C342" s="112" t="s">
        <v>695</v>
      </c>
      <c r="D342" s="113">
        <v>10347977</v>
      </c>
      <c r="E342" s="115">
        <v>43924</v>
      </c>
      <c r="F342" s="114">
        <v>202101</v>
      </c>
      <c r="G342" s="112" t="s">
        <v>1091</v>
      </c>
      <c r="H342" s="112" t="s">
        <v>1015</v>
      </c>
      <c r="I342" s="112" t="s">
        <v>757</v>
      </c>
      <c r="J342" s="112" t="s">
        <v>1514</v>
      </c>
      <c r="K342" s="112" t="s">
        <v>1561</v>
      </c>
      <c r="L342" s="116">
        <v>-156</v>
      </c>
      <c r="M342" s="116">
        <f t="shared" si="5"/>
        <v>-0.156</v>
      </c>
    </row>
    <row r="343" spans="1:13" hidden="1" x14ac:dyDescent="0.35">
      <c r="A343" s="112" t="s">
        <v>1509</v>
      </c>
      <c r="B343" s="112" t="s">
        <v>1510</v>
      </c>
      <c r="C343" s="112" t="s">
        <v>695</v>
      </c>
      <c r="D343" s="113">
        <v>10347977</v>
      </c>
      <c r="E343" s="115">
        <v>43924</v>
      </c>
      <c r="F343" s="114">
        <v>202101</v>
      </c>
      <c r="G343" s="112" t="s">
        <v>1091</v>
      </c>
      <c r="H343" s="112" t="s">
        <v>1015</v>
      </c>
      <c r="I343" s="112" t="s">
        <v>749</v>
      </c>
      <c r="J343" s="112" t="s">
        <v>1514</v>
      </c>
      <c r="K343" s="112" t="s">
        <v>1548</v>
      </c>
      <c r="L343" s="116">
        <v>-42</v>
      </c>
      <c r="M343" s="116">
        <f t="shared" si="5"/>
        <v>-4.2000000000000003E-2</v>
      </c>
    </row>
    <row r="344" spans="1:13" hidden="1" x14ac:dyDescent="0.35">
      <c r="A344" s="112" t="s">
        <v>1509</v>
      </c>
      <c r="B344" s="112" t="s">
        <v>1510</v>
      </c>
      <c r="C344" s="112" t="s">
        <v>695</v>
      </c>
      <c r="D344" s="113">
        <v>10348420</v>
      </c>
      <c r="E344" s="115">
        <v>43945</v>
      </c>
      <c r="F344" s="114">
        <v>202101</v>
      </c>
      <c r="G344" s="112" t="s">
        <v>1091</v>
      </c>
      <c r="H344" s="112" t="s">
        <v>1015</v>
      </c>
      <c r="I344" s="112" t="s">
        <v>1532</v>
      </c>
      <c r="J344" s="112" t="s">
        <v>1533</v>
      </c>
      <c r="K344" s="112" t="s">
        <v>1568</v>
      </c>
      <c r="L344" s="116">
        <v>-2111.58</v>
      </c>
      <c r="M344" s="116">
        <f t="shared" si="5"/>
        <v>-2.11158</v>
      </c>
    </row>
    <row r="345" spans="1:13" hidden="1" x14ac:dyDescent="0.35">
      <c r="A345" s="112" t="s">
        <v>1509</v>
      </c>
      <c r="B345" s="112" t="s">
        <v>1510</v>
      </c>
      <c r="C345" s="112" t="s">
        <v>695</v>
      </c>
      <c r="D345" s="113">
        <v>10347977</v>
      </c>
      <c r="E345" s="115">
        <v>43924</v>
      </c>
      <c r="F345" s="114">
        <v>202101</v>
      </c>
      <c r="G345" s="112" t="s">
        <v>1091</v>
      </c>
      <c r="H345" s="112" t="s">
        <v>1015</v>
      </c>
      <c r="I345" s="112" t="s">
        <v>749</v>
      </c>
      <c r="J345" s="112" t="s">
        <v>1512</v>
      </c>
      <c r="K345" s="112" t="s">
        <v>1569</v>
      </c>
      <c r="L345" s="116">
        <v>-250</v>
      </c>
      <c r="M345" s="116">
        <f t="shared" si="5"/>
        <v>-0.25</v>
      </c>
    </row>
    <row r="346" spans="1:13" hidden="1" x14ac:dyDescent="0.35">
      <c r="A346" s="112" t="s">
        <v>1509</v>
      </c>
      <c r="B346" s="112" t="s">
        <v>1510</v>
      </c>
      <c r="C346" s="112" t="s">
        <v>695</v>
      </c>
      <c r="D346" s="113">
        <v>10348420</v>
      </c>
      <c r="E346" s="115">
        <v>43945</v>
      </c>
      <c r="F346" s="114">
        <v>202101</v>
      </c>
      <c r="G346" s="112" t="s">
        <v>1091</v>
      </c>
      <c r="H346" s="112" t="s">
        <v>1015</v>
      </c>
      <c r="I346" s="112" t="s">
        <v>1532</v>
      </c>
      <c r="J346" s="112" t="s">
        <v>1533</v>
      </c>
      <c r="K346" s="112" t="s">
        <v>1570</v>
      </c>
      <c r="L346" s="116">
        <v>-1975.76</v>
      </c>
      <c r="M346" s="116">
        <f t="shared" si="5"/>
        <v>-1.97576</v>
      </c>
    </row>
    <row r="347" spans="1:13" hidden="1" x14ac:dyDescent="0.35">
      <c r="A347" s="112" t="s">
        <v>1509</v>
      </c>
      <c r="B347" s="112" t="s">
        <v>1510</v>
      </c>
      <c r="C347" s="112" t="s">
        <v>695</v>
      </c>
      <c r="D347" s="113">
        <v>10347977</v>
      </c>
      <c r="E347" s="115">
        <v>43924</v>
      </c>
      <c r="F347" s="114">
        <v>202101</v>
      </c>
      <c r="G347" s="112" t="s">
        <v>1091</v>
      </c>
      <c r="H347" s="112" t="s">
        <v>1015</v>
      </c>
      <c r="I347" s="112" t="s">
        <v>749</v>
      </c>
      <c r="J347" s="112" t="s">
        <v>1514</v>
      </c>
      <c r="K347" s="112" t="s">
        <v>1571</v>
      </c>
      <c r="L347" s="116">
        <v>-115</v>
      </c>
      <c r="M347" s="116">
        <f t="shared" si="5"/>
        <v>-0.115</v>
      </c>
    </row>
    <row r="348" spans="1:13" hidden="1" x14ac:dyDescent="0.35">
      <c r="A348" s="112" t="s">
        <v>1509</v>
      </c>
      <c r="B348" s="112" t="s">
        <v>1510</v>
      </c>
      <c r="C348" s="112" t="s">
        <v>695</v>
      </c>
      <c r="D348" s="113">
        <v>10347977</v>
      </c>
      <c r="E348" s="115">
        <v>43924</v>
      </c>
      <c r="F348" s="114">
        <v>202101</v>
      </c>
      <c r="G348" s="112" t="s">
        <v>1091</v>
      </c>
      <c r="H348" s="112" t="s">
        <v>1015</v>
      </c>
      <c r="I348" s="112" t="s">
        <v>757</v>
      </c>
      <c r="J348" s="112" t="s">
        <v>1514</v>
      </c>
      <c r="K348" s="112" t="s">
        <v>1572</v>
      </c>
      <c r="L348" s="116">
        <v>-105</v>
      </c>
      <c r="M348" s="116">
        <f t="shared" si="5"/>
        <v>-0.105</v>
      </c>
    </row>
    <row r="349" spans="1:13" hidden="1" x14ac:dyDescent="0.35">
      <c r="A349" s="112" t="s">
        <v>1509</v>
      </c>
      <c r="B349" s="112" t="s">
        <v>1510</v>
      </c>
      <c r="C349" s="112" t="s">
        <v>695</v>
      </c>
      <c r="D349" s="113">
        <v>10347977</v>
      </c>
      <c r="E349" s="115">
        <v>43924</v>
      </c>
      <c r="F349" s="114">
        <v>202101</v>
      </c>
      <c r="G349" s="112" t="s">
        <v>1091</v>
      </c>
      <c r="H349" s="112" t="s">
        <v>1015</v>
      </c>
      <c r="I349" s="112" t="s">
        <v>757</v>
      </c>
      <c r="J349" s="112" t="s">
        <v>1514</v>
      </c>
      <c r="K349" s="112" t="s">
        <v>1573</v>
      </c>
      <c r="L349" s="116">
        <v>-522</v>
      </c>
      <c r="M349" s="116">
        <f t="shared" si="5"/>
        <v>-0.52200000000000002</v>
      </c>
    </row>
    <row r="350" spans="1:13" hidden="1" x14ac:dyDescent="0.35">
      <c r="A350" s="112" t="s">
        <v>1509</v>
      </c>
      <c r="B350" s="112" t="s">
        <v>1510</v>
      </c>
      <c r="C350" s="112" t="s">
        <v>695</v>
      </c>
      <c r="D350" s="113">
        <v>10347977</v>
      </c>
      <c r="E350" s="115">
        <v>43924</v>
      </c>
      <c r="F350" s="114">
        <v>202101</v>
      </c>
      <c r="G350" s="112" t="s">
        <v>1091</v>
      </c>
      <c r="H350" s="112" t="s">
        <v>1015</v>
      </c>
      <c r="I350" s="112" t="s">
        <v>757</v>
      </c>
      <c r="J350" s="112" t="s">
        <v>1512</v>
      </c>
      <c r="K350" s="112" t="s">
        <v>1574</v>
      </c>
      <c r="L350" s="116">
        <v>-8</v>
      </c>
      <c r="M350" s="116">
        <f t="shared" si="5"/>
        <v>-8.0000000000000002E-3</v>
      </c>
    </row>
    <row r="351" spans="1:13" hidden="1" x14ac:dyDescent="0.35">
      <c r="A351" s="112" t="s">
        <v>1509</v>
      </c>
      <c r="B351" s="112" t="s">
        <v>1510</v>
      </c>
      <c r="C351" s="112" t="s">
        <v>695</v>
      </c>
      <c r="D351" s="113">
        <v>10347977</v>
      </c>
      <c r="E351" s="115">
        <v>43924</v>
      </c>
      <c r="F351" s="114">
        <v>202101</v>
      </c>
      <c r="G351" s="112" t="s">
        <v>1091</v>
      </c>
      <c r="H351" s="112" t="s">
        <v>1015</v>
      </c>
      <c r="I351" s="112" t="s">
        <v>749</v>
      </c>
      <c r="J351" s="112" t="s">
        <v>1514</v>
      </c>
      <c r="K351" s="112" t="s">
        <v>1575</v>
      </c>
      <c r="L351" s="116">
        <v>-55</v>
      </c>
      <c r="M351" s="116">
        <f t="shared" si="5"/>
        <v>-5.5E-2</v>
      </c>
    </row>
    <row r="352" spans="1:13" hidden="1" x14ac:dyDescent="0.35">
      <c r="A352" s="112" t="s">
        <v>1509</v>
      </c>
      <c r="B352" s="112" t="s">
        <v>1510</v>
      </c>
      <c r="C352" s="112" t="s">
        <v>695</v>
      </c>
      <c r="D352" s="113">
        <v>10348420</v>
      </c>
      <c r="E352" s="115">
        <v>43945</v>
      </c>
      <c r="F352" s="114">
        <v>202101</v>
      </c>
      <c r="G352" s="112" t="s">
        <v>1091</v>
      </c>
      <c r="H352" s="112" t="s">
        <v>1015</v>
      </c>
      <c r="I352" s="112" t="s">
        <v>1532</v>
      </c>
      <c r="J352" s="112" t="s">
        <v>1533</v>
      </c>
      <c r="K352" s="112" t="s">
        <v>1576</v>
      </c>
      <c r="L352" s="116">
        <v>-1969.72</v>
      </c>
      <c r="M352" s="116">
        <f t="shared" si="5"/>
        <v>-1.9697200000000001</v>
      </c>
    </row>
    <row r="353" spans="1:13" hidden="1" x14ac:dyDescent="0.35">
      <c r="A353" s="112" t="s">
        <v>1509</v>
      </c>
      <c r="B353" s="112" t="s">
        <v>1510</v>
      </c>
      <c r="C353" s="112" t="s">
        <v>695</v>
      </c>
      <c r="D353" s="113">
        <v>10347977</v>
      </c>
      <c r="E353" s="115">
        <v>43924</v>
      </c>
      <c r="F353" s="114">
        <v>202101</v>
      </c>
      <c r="G353" s="112" t="s">
        <v>1091</v>
      </c>
      <c r="H353" s="112" t="s">
        <v>1015</v>
      </c>
      <c r="I353" s="112" t="s">
        <v>757</v>
      </c>
      <c r="J353" s="112" t="s">
        <v>1514</v>
      </c>
      <c r="K353" s="112" t="s">
        <v>1578</v>
      </c>
      <c r="L353" s="116">
        <v>-23</v>
      </c>
      <c r="M353" s="116">
        <f t="shared" si="5"/>
        <v>-2.3E-2</v>
      </c>
    </row>
    <row r="354" spans="1:13" hidden="1" x14ac:dyDescent="0.35">
      <c r="A354" s="112" t="s">
        <v>1509</v>
      </c>
      <c r="B354" s="112" t="s">
        <v>1510</v>
      </c>
      <c r="C354" s="112" t="s">
        <v>695</v>
      </c>
      <c r="D354" s="113">
        <v>10347977</v>
      </c>
      <c r="E354" s="115">
        <v>43924</v>
      </c>
      <c r="F354" s="114">
        <v>202101</v>
      </c>
      <c r="G354" s="112" t="s">
        <v>1091</v>
      </c>
      <c r="H354" s="112" t="s">
        <v>1015</v>
      </c>
      <c r="I354" s="112" t="s">
        <v>749</v>
      </c>
      <c r="J354" s="112" t="s">
        <v>1514</v>
      </c>
      <c r="K354" s="112" t="s">
        <v>1579</v>
      </c>
      <c r="L354" s="116">
        <v>-97</v>
      </c>
      <c r="M354" s="116">
        <f t="shared" si="5"/>
        <v>-9.7000000000000003E-2</v>
      </c>
    </row>
    <row r="355" spans="1:13" hidden="1" x14ac:dyDescent="0.35">
      <c r="A355" s="112" t="s">
        <v>1509</v>
      </c>
      <c r="B355" s="112" t="s">
        <v>1510</v>
      </c>
      <c r="C355" s="112" t="s">
        <v>695</v>
      </c>
      <c r="D355" s="113">
        <v>10348420</v>
      </c>
      <c r="E355" s="115">
        <v>43945</v>
      </c>
      <c r="F355" s="114">
        <v>202101</v>
      </c>
      <c r="G355" s="112" t="s">
        <v>1091</v>
      </c>
      <c r="H355" s="112" t="s">
        <v>1015</v>
      </c>
      <c r="I355" s="112" t="s">
        <v>1532</v>
      </c>
      <c r="J355" s="112" t="s">
        <v>1533</v>
      </c>
      <c r="K355" s="112" t="s">
        <v>1582</v>
      </c>
      <c r="L355" s="116">
        <v>-2377.0300000000002</v>
      </c>
      <c r="M355" s="116">
        <f t="shared" si="5"/>
        <v>-2.3770300000000004</v>
      </c>
    </row>
    <row r="356" spans="1:13" hidden="1" x14ac:dyDescent="0.35">
      <c r="A356" s="112" t="s">
        <v>1509</v>
      </c>
      <c r="B356" s="112" t="s">
        <v>1510</v>
      </c>
      <c r="C356" s="112" t="s">
        <v>695</v>
      </c>
      <c r="D356" s="113">
        <v>10348420</v>
      </c>
      <c r="E356" s="115">
        <v>43945</v>
      </c>
      <c r="F356" s="114">
        <v>202101</v>
      </c>
      <c r="G356" s="112" t="s">
        <v>1091</v>
      </c>
      <c r="H356" s="112" t="s">
        <v>1015</v>
      </c>
      <c r="I356" s="112" t="s">
        <v>1532</v>
      </c>
      <c r="J356" s="112" t="s">
        <v>1533</v>
      </c>
      <c r="K356" s="112" t="s">
        <v>1583</v>
      </c>
      <c r="L356" s="116">
        <v>-2054.84</v>
      </c>
      <c r="M356" s="116">
        <f t="shared" si="5"/>
        <v>-2.05484</v>
      </c>
    </row>
    <row r="357" spans="1:13" hidden="1" x14ac:dyDescent="0.35">
      <c r="A357" s="112" t="s">
        <v>1509</v>
      </c>
      <c r="B357" s="112" t="s">
        <v>1510</v>
      </c>
      <c r="C357" s="112" t="s">
        <v>695</v>
      </c>
      <c r="D357" s="113">
        <v>10347977</v>
      </c>
      <c r="E357" s="115">
        <v>43924</v>
      </c>
      <c r="F357" s="114">
        <v>202101</v>
      </c>
      <c r="G357" s="112" t="s">
        <v>1091</v>
      </c>
      <c r="H357" s="112" t="s">
        <v>1015</v>
      </c>
      <c r="I357" s="112" t="s">
        <v>749</v>
      </c>
      <c r="J357" s="112" t="s">
        <v>1512</v>
      </c>
      <c r="K357" s="112" t="s">
        <v>1584</v>
      </c>
      <c r="L357" s="116">
        <v>-105</v>
      </c>
      <c r="M357" s="116">
        <f t="shared" si="5"/>
        <v>-0.105</v>
      </c>
    </row>
    <row r="358" spans="1:13" hidden="1" x14ac:dyDescent="0.35">
      <c r="A358" s="112" t="s">
        <v>1509</v>
      </c>
      <c r="B358" s="112" t="s">
        <v>1510</v>
      </c>
      <c r="C358" s="112" t="s">
        <v>695</v>
      </c>
      <c r="D358" s="113">
        <v>10347977</v>
      </c>
      <c r="E358" s="115">
        <v>43924</v>
      </c>
      <c r="F358" s="114">
        <v>202101</v>
      </c>
      <c r="G358" s="112" t="s">
        <v>1091</v>
      </c>
      <c r="H358" s="112" t="s">
        <v>1015</v>
      </c>
      <c r="I358" s="112" t="s">
        <v>749</v>
      </c>
      <c r="J358" s="112" t="s">
        <v>1525</v>
      </c>
      <c r="K358" s="112" t="s">
        <v>1587</v>
      </c>
      <c r="L358" s="116">
        <v>-43</v>
      </c>
      <c r="M358" s="116">
        <f t="shared" si="5"/>
        <v>-4.2999999999999997E-2</v>
      </c>
    </row>
    <row r="359" spans="1:13" hidden="1" x14ac:dyDescent="0.35">
      <c r="A359" s="112" t="s">
        <v>1509</v>
      </c>
      <c r="B359" s="112" t="s">
        <v>903</v>
      </c>
      <c r="C359" s="112" t="s">
        <v>695</v>
      </c>
      <c r="D359" s="113">
        <v>10348296</v>
      </c>
      <c r="E359" s="115">
        <v>43938</v>
      </c>
      <c r="F359" s="114">
        <v>202101</v>
      </c>
      <c r="G359" s="112" t="s">
        <v>1091</v>
      </c>
      <c r="H359" s="112" t="s">
        <v>1015</v>
      </c>
      <c r="I359" s="112" t="s">
        <v>763</v>
      </c>
      <c r="J359" s="112" t="s">
        <v>1551</v>
      </c>
      <c r="K359" s="112" t="s">
        <v>1590</v>
      </c>
      <c r="L359" s="116">
        <v>-28282.720000000001</v>
      </c>
      <c r="M359" s="116">
        <f t="shared" si="5"/>
        <v>-28.282720000000001</v>
      </c>
    </row>
    <row r="360" spans="1:13" hidden="1" x14ac:dyDescent="0.35">
      <c r="A360" s="112" t="s">
        <v>1509</v>
      </c>
      <c r="B360" s="112" t="s">
        <v>902</v>
      </c>
      <c r="C360" s="112" t="s">
        <v>695</v>
      </c>
      <c r="D360" s="113">
        <v>10348188</v>
      </c>
      <c r="E360" s="115">
        <v>43934</v>
      </c>
      <c r="F360" s="114">
        <v>202101</v>
      </c>
      <c r="G360" s="112" t="s">
        <v>1091</v>
      </c>
      <c r="H360" s="112" t="s">
        <v>1015</v>
      </c>
      <c r="I360" s="112" t="s">
        <v>761</v>
      </c>
      <c r="J360" s="112" t="s">
        <v>1517</v>
      </c>
      <c r="K360" s="112" t="s">
        <v>1610</v>
      </c>
      <c r="L360" s="116">
        <v>-2400</v>
      </c>
      <c r="M360" s="116">
        <f t="shared" si="5"/>
        <v>-2.4</v>
      </c>
    </row>
    <row r="361" spans="1:13" hidden="1" x14ac:dyDescent="0.35">
      <c r="A361" s="112" t="s">
        <v>1509</v>
      </c>
      <c r="B361" s="112" t="s">
        <v>1510</v>
      </c>
      <c r="C361" s="112" t="s">
        <v>695</v>
      </c>
      <c r="D361" s="113">
        <v>10347999</v>
      </c>
      <c r="E361" s="115">
        <v>43927</v>
      </c>
      <c r="F361" s="114">
        <v>202101</v>
      </c>
      <c r="G361" s="112" t="s">
        <v>1091</v>
      </c>
      <c r="H361" s="112" t="s">
        <v>1015</v>
      </c>
      <c r="I361" s="112" t="s">
        <v>1617</v>
      </c>
      <c r="J361" s="112" t="s">
        <v>1618</v>
      </c>
      <c r="K361" s="112" t="s">
        <v>1619</v>
      </c>
      <c r="L361" s="116">
        <v>-1298.53</v>
      </c>
      <c r="M361" s="116">
        <f t="shared" si="5"/>
        <v>-1.29853</v>
      </c>
    </row>
    <row r="362" spans="1:13" hidden="1" x14ac:dyDescent="0.35">
      <c r="A362" s="112" t="s">
        <v>1509</v>
      </c>
      <c r="B362" s="112" t="s">
        <v>1520</v>
      </c>
      <c r="C362" s="112" t="s">
        <v>695</v>
      </c>
      <c r="D362" s="113">
        <v>10347981</v>
      </c>
      <c r="E362" s="115">
        <v>43924</v>
      </c>
      <c r="F362" s="114">
        <v>202101</v>
      </c>
      <c r="G362" s="112" t="s">
        <v>1091</v>
      </c>
      <c r="H362" s="112" t="s">
        <v>1015</v>
      </c>
      <c r="I362" s="112" t="s">
        <v>763</v>
      </c>
      <c r="J362" s="112" t="s">
        <v>1537</v>
      </c>
      <c r="K362" s="112" t="s">
        <v>1631</v>
      </c>
      <c r="L362" s="116">
        <v>-10000</v>
      </c>
      <c r="M362" s="116">
        <f t="shared" si="5"/>
        <v>-10</v>
      </c>
    </row>
    <row r="363" spans="1:13" hidden="1" x14ac:dyDescent="0.35">
      <c r="A363" s="112" t="s">
        <v>1509</v>
      </c>
      <c r="B363" s="112" t="s">
        <v>1510</v>
      </c>
      <c r="C363" s="112" t="s">
        <v>695</v>
      </c>
      <c r="D363" s="113">
        <v>10348420</v>
      </c>
      <c r="E363" s="115">
        <v>43945</v>
      </c>
      <c r="F363" s="114">
        <v>202101</v>
      </c>
      <c r="G363" s="112" t="s">
        <v>1091</v>
      </c>
      <c r="H363" s="112" t="s">
        <v>1015</v>
      </c>
      <c r="I363" s="112" t="s">
        <v>1532</v>
      </c>
      <c r="J363" s="112" t="s">
        <v>1533</v>
      </c>
      <c r="K363" s="112" t="s">
        <v>1634</v>
      </c>
      <c r="L363" s="116">
        <v>-2048.8000000000002</v>
      </c>
      <c r="M363" s="116">
        <f t="shared" si="5"/>
        <v>-2.0488000000000004</v>
      </c>
    </row>
    <row r="364" spans="1:13" hidden="1" x14ac:dyDescent="0.35">
      <c r="A364" s="112" t="s">
        <v>1509</v>
      </c>
      <c r="B364" s="112" t="s">
        <v>1510</v>
      </c>
      <c r="C364" s="112" t="s">
        <v>695</v>
      </c>
      <c r="D364" s="113">
        <v>10348420</v>
      </c>
      <c r="E364" s="115">
        <v>43945</v>
      </c>
      <c r="F364" s="114">
        <v>202101</v>
      </c>
      <c r="G364" s="112" t="s">
        <v>1091</v>
      </c>
      <c r="H364" s="112" t="s">
        <v>1015</v>
      </c>
      <c r="I364" s="112" t="s">
        <v>1532</v>
      </c>
      <c r="J364" s="112" t="s">
        <v>1533</v>
      </c>
      <c r="K364" s="112" t="s">
        <v>1639</v>
      </c>
      <c r="L364" s="116">
        <v>-2377.0300000000002</v>
      </c>
      <c r="M364" s="116">
        <f t="shared" si="5"/>
        <v>-2.3770300000000004</v>
      </c>
    </row>
    <row r="365" spans="1:13" hidden="1" x14ac:dyDescent="0.35">
      <c r="A365" s="112" t="s">
        <v>1509</v>
      </c>
      <c r="B365" s="112" t="s">
        <v>902</v>
      </c>
      <c r="C365" s="112" t="s">
        <v>695</v>
      </c>
      <c r="D365" s="113">
        <v>10348240</v>
      </c>
      <c r="E365" s="115">
        <v>43936</v>
      </c>
      <c r="F365" s="114">
        <v>202101</v>
      </c>
      <c r="G365" s="112" t="s">
        <v>1091</v>
      </c>
      <c r="H365" s="112" t="s">
        <v>1015</v>
      </c>
      <c r="I365" s="112" t="s">
        <v>763</v>
      </c>
      <c r="J365" s="112" t="s">
        <v>1545</v>
      </c>
      <c r="K365" s="112" t="s">
        <v>1642</v>
      </c>
      <c r="L365" s="116">
        <v>-5252.4</v>
      </c>
      <c r="M365" s="116">
        <f t="shared" si="5"/>
        <v>-5.2523999999999997</v>
      </c>
    </row>
    <row r="366" spans="1:13" hidden="1" x14ac:dyDescent="0.35">
      <c r="A366" s="112" t="s">
        <v>1509</v>
      </c>
      <c r="B366" s="112" t="s">
        <v>902</v>
      </c>
      <c r="C366" s="112" t="s">
        <v>695</v>
      </c>
      <c r="D366" s="113">
        <v>10348240</v>
      </c>
      <c r="E366" s="115">
        <v>43936</v>
      </c>
      <c r="F366" s="114">
        <v>202101</v>
      </c>
      <c r="G366" s="112" t="s">
        <v>1091</v>
      </c>
      <c r="H366" s="112" t="s">
        <v>1015</v>
      </c>
      <c r="I366" s="112" t="s">
        <v>763</v>
      </c>
      <c r="J366" s="112" t="s">
        <v>1545</v>
      </c>
      <c r="K366" s="112" t="s">
        <v>1664</v>
      </c>
      <c r="L366" s="116">
        <v>-12454</v>
      </c>
      <c r="M366" s="116">
        <f t="shared" si="5"/>
        <v>-12.454000000000001</v>
      </c>
    </row>
    <row r="367" spans="1:13" hidden="1" x14ac:dyDescent="0.35">
      <c r="A367" s="112" t="s">
        <v>1509</v>
      </c>
      <c r="B367" s="112" t="s">
        <v>1510</v>
      </c>
      <c r="C367" s="112" t="s">
        <v>695</v>
      </c>
      <c r="D367" s="113">
        <v>10347977</v>
      </c>
      <c r="E367" s="115">
        <v>43924</v>
      </c>
      <c r="F367" s="114">
        <v>202101</v>
      </c>
      <c r="G367" s="112" t="s">
        <v>1091</v>
      </c>
      <c r="H367" s="112" t="s">
        <v>1015</v>
      </c>
      <c r="I367" s="112" t="s">
        <v>749</v>
      </c>
      <c r="J367" s="112" t="s">
        <v>1514</v>
      </c>
      <c r="K367" s="112" t="s">
        <v>1665</v>
      </c>
      <c r="L367" s="116">
        <v>-143</v>
      </c>
      <c r="M367" s="116">
        <f t="shared" si="5"/>
        <v>-0.14299999999999999</v>
      </c>
    </row>
    <row r="368" spans="1:13" hidden="1" x14ac:dyDescent="0.35">
      <c r="A368" s="112" t="s">
        <v>1509</v>
      </c>
      <c r="B368" s="112" t="s">
        <v>1510</v>
      </c>
      <c r="C368" s="112" t="s">
        <v>695</v>
      </c>
      <c r="D368" s="113">
        <v>10347977</v>
      </c>
      <c r="E368" s="115">
        <v>43924</v>
      </c>
      <c r="F368" s="114">
        <v>202101</v>
      </c>
      <c r="G368" s="112" t="s">
        <v>1091</v>
      </c>
      <c r="H368" s="112" t="s">
        <v>1015</v>
      </c>
      <c r="I368" s="112" t="s">
        <v>749</v>
      </c>
      <c r="J368" s="112" t="s">
        <v>1525</v>
      </c>
      <c r="K368" s="112" t="s">
        <v>1666</v>
      </c>
      <c r="L368" s="116">
        <v>-53</v>
      </c>
      <c r="M368" s="116">
        <f t="shared" si="5"/>
        <v>-5.2999999999999999E-2</v>
      </c>
    </row>
    <row r="369" spans="1:13" hidden="1" x14ac:dyDescent="0.35">
      <c r="A369" s="112" t="s">
        <v>1509</v>
      </c>
      <c r="B369" s="112" t="s">
        <v>1510</v>
      </c>
      <c r="C369" s="112" t="s">
        <v>695</v>
      </c>
      <c r="D369" s="113">
        <v>10347977</v>
      </c>
      <c r="E369" s="115">
        <v>43924</v>
      </c>
      <c r="F369" s="114">
        <v>202101</v>
      </c>
      <c r="G369" s="112" t="s">
        <v>1091</v>
      </c>
      <c r="H369" s="112" t="s">
        <v>1015</v>
      </c>
      <c r="I369" s="112" t="s">
        <v>749</v>
      </c>
      <c r="J369" s="112" t="s">
        <v>1514</v>
      </c>
      <c r="K369" s="112" t="s">
        <v>1665</v>
      </c>
      <c r="L369" s="116">
        <v>-138</v>
      </c>
      <c r="M369" s="116">
        <f t="shared" si="5"/>
        <v>-0.13800000000000001</v>
      </c>
    </row>
    <row r="370" spans="1:13" hidden="1" x14ac:dyDescent="0.35">
      <c r="A370" s="112" t="s">
        <v>1509</v>
      </c>
      <c r="B370" s="112" t="s">
        <v>1510</v>
      </c>
      <c r="C370" s="112" t="s">
        <v>695</v>
      </c>
      <c r="D370" s="113">
        <v>10347977</v>
      </c>
      <c r="E370" s="115">
        <v>43924</v>
      </c>
      <c r="F370" s="114">
        <v>202101</v>
      </c>
      <c r="G370" s="112" t="s">
        <v>1091</v>
      </c>
      <c r="H370" s="112" t="s">
        <v>1015</v>
      </c>
      <c r="I370" s="112" t="s">
        <v>757</v>
      </c>
      <c r="J370" s="112" t="s">
        <v>1514</v>
      </c>
      <c r="K370" s="112" t="s">
        <v>1667</v>
      </c>
      <c r="L370" s="116">
        <v>-29</v>
      </c>
      <c r="M370" s="116">
        <f t="shared" si="5"/>
        <v>-2.9000000000000001E-2</v>
      </c>
    </row>
    <row r="371" spans="1:13" hidden="1" x14ac:dyDescent="0.35">
      <c r="A371" s="112" t="s">
        <v>1509</v>
      </c>
      <c r="B371" s="112" t="s">
        <v>1510</v>
      </c>
      <c r="C371" s="112" t="s">
        <v>695</v>
      </c>
      <c r="D371" s="113">
        <v>10347977</v>
      </c>
      <c r="E371" s="115">
        <v>43924</v>
      </c>
      <c r="F371" s="114">
        <v>202101</v>
      </c>
      <c r="G371" s="112" t="s">
        <v>1091</v>
      </c>
      <c r="H371" s="112" t="s">
        <v>1015</v>
      </c>
      <c r="I371" s="112" t="s">
        <v>751</v>
      </c>
      <c r="J371" s="112" t="s">
        <v>1525</v>
      </c>
      <c r="K371" s="112" t="s">
        <v>1668</v>
      </c>
      <c r="L371" s="116">
        <v>-365</v>
      </c>
      <c r="M371" s="116">
        <f t="shared" si="5"/>
        <v>-0.36499999999999999</v>
      </c>
    </row>
    <row r="372" spans="1:13" hidden="1" x14ac:dyDescent="0.35">
      <c r="A372" s="112" t="s">
        <v>1509</v>
      </c>
      <c r="B372" s="112" t="s">
        <v>1510</v>
      </c>
      <c r="C372" s="112" t="s">
        <v>695</v>
      </c>
      <c r="D372" s="113">
        <v>10347977</v>
      </c>
      <c r="E372" s="115">
        <v>43924</v>
      </c>
      <c r="F372" s="114">
        <v>202101</v>
      </c>
      <c r="G372" s="112" t="s">
        <v>1091</v>
      </c>
      <c r="H372" s="112" t="s">
        <v>1015</v>
      </c>
      <c r="I372" s="112" t="s">
        <v>757</v>
      </c>
      <c r="J372" s="112" t="s">
        <v>1514</v>
      </c>
      <c r="K372" s="112" t="s">
        <v>1669</v>
      </c>
      <c r="L372" s="116">
        <v>-78</v>
      </c>
      <c r="M372" s="116">
        <f t="shared" si="5"/>
        <v>-7.8E-2</v>
      </c>
    </row>
    <row r="373" spans="1:13" hidden="1" x14ac:dyDescent="0.35">
      <c r="A373" s="112" t="s">
        <v>1509</v>
      </c>
      <c r="B373" s="112" t="s">
        <v>1510</v>
      </c>
      <c r="C373" s="112" t="s">
        <v>695</v>
      </c>
      <c r="D373" s="113">
        <v>10347977</v>
      </c>
      <c r="E373" s="115">
        <v>43924</v>
      </c>
      <c r="F373" s="114">
        <v>202101</v>
      </c>
      <c r="G373" s="112" t="s">
        <v>1091</v>
      </c>
      <c r="H373" s="112" t="s">
        <v>1015</v>
      </c>
      <c r="I373" s="112" t="s">
        <v>749</v>
      </c>
      <c r="J373" s="112" t="s">
        <v>1514</v>
      </c>
      <c r="K373" s="112" t="s">
        <v>1670</v>
      </c>
      <c r="L373" s="116">
        <v>-75</v>
      </c>
      <c r="M373" s="116">
        <f t="shared" si="5"/>
        <v>-7.4999999999999997E-2</v>
      </c>
    </row>
    <row r="374" spans="1:13" hidden="1" x14ac:dyDescent="0.35">
      <c r="A374" s="112" t="s">
        <v>1509</v>
      </c>
      <c r="B374" s="112" t="s">
        <v>1510</v>
      </c>
      <c r="C374" s="112" t="s">
        <v>695</v>
      </c>
      <c r="D374" s="113">
        <v>10347977</v>
      </c>
      <c r="E374" s="115">
        <v>43924</v>
      </c>
      <c r="F374" s="114">
        <v>202101</v>
      </c>
      <c r="G374" s="112" t="s">
        <v>1091</v>
      </c>
      <c r="H374" s="112" t="s">
        <v>1015</v>
      </c>
      <c r="I374" s="112" t="s">
        <v>749</v>
      </c>
      <c r="J374" s="112" t="s">
        <v>1514</v>
      </c>
      <c r="K374" s="112" t="s">
        <v>1671</v>
      </c>
      <c r="L374" s="116">
        <v>-19</v>
      </c>
      <c r="M374" s="116">
        <f t="shared" si="5"/>
        <v>-1.9E-2</v>
      </c>
    </row>
    <row r="375" spans="1:13" hidden="1" x14ac:dyDescent="0.35">
      <c r="A375" s="112" t="s">
        <v>1509</v>
      </c>
      <c r="B375" s="112" t="s">
        <v>1510</v>
      </c>
      <c r="C375" s="112" t="s">
        <v>695</v>
      </c>
      <c r="D375" s="113">
        <v>10347977</v>
      </c>
      <c r="E375" s="115">
        <v>43924</v>
      </c>
      <c r="F375" s="114">
        <v>202101</v>
      </c>
      <c r="G375" s="112" t="s">
        <v>1091</v>
      </c>
      <c r="H375" s="112" t="s">
        <v>1015</v>
      </c>
      <c r="I375" s="112" t="s">
        <v>757</v>
      </c>
      <c r="J375" s="112" t="s">
        <v>1512</v>
      </c>
      <c r="K375" s="112" t="s">
        <v>1672</v>
      </c>
      <c r="L375" s="116">
        <v>-25</v>
      </c>
      <c r="M375" s="116">
        <f t="shared" si="5"/>
        <v>-2.5000000000000001E-2</v>
      </c>
    </row>
    <row r="376" spans="1:13" hidden="1" x14ac:dyDescent="0.35">
      <c r="A376" s="112" t="s">
        <v>1509</v>
      </c>
      <c r="B376" s="112" t="s">
        <v>1510</v>
      </c>
      <c r="C376" s="112" t="s">
        <v>695</v>
      </c>
      <c r="D376" s="113">
        <v>10347977</v>
      </c>
      <c r="E376" s="115">
        <v>43924</v>
      </c>
      <c r="F376" s="114">
        <v>202101</v>
      </c>
      <c r="G376" s="112" t="s">
        <v>1091</v>
      </c>
      <c r="H376" s="112" t="s">
        <v>1015</v>
      </c>
      <c r="I376" s="112" t="s">
        <v>749</v>
      </c>
      <c r="J376" s="112" t="s">
        <v>1525</v>
      </c>
      <c r="K376" s="112" t="s">
        <v>1673</v>
      </c>
      <c r="L376" s="116">
        <v>-200</v>
      </c>
      <c r="M376" s="116">
        <f t="shared" si="5"/>
        <v>-0.2</v>
      </c>
    </row>
    <row r="377" spans="1:13" hidden="1" x14ac:dyDescent="0.35">
      <c r="A377" s="112" t="s">
        <v>1509</v>
      </c>
      <c r="B377" s="112" t="s">
        <v>1510</v>
      </c>
      <c r="C377" s="112" t="s">
        <v>695</v>
      </c>
      <c r="D377" s="113">
        <v>10347977</v>
      </c>
      <c r="E377" s="115">
        <v>43924</v>
      </c>
      <c r="F377" s="114">
        <v>202101</v>
      </c>
      <c r="G377" s="112" t="s">
        <v>1091</v>
      </c>
      <c r="H377" s="112" t="s">
        <v>1015</v>
      </c>
      <c r="I377" s="112" t="s">
        <v>757</v>
      </c>
      <c r="J377" s="112" t="s">
        <v>1514</v>
      </c>
      <c r="K377" s="112" t="s">
        <v>1674</v>
      </c>
      <c r="L377" s="116">
        <v>-123</v>
      </c>
      <c r="M377" s="116">
        <f t="shared" si="5"/>
        <v>-0.123</v>
      </c>
    </row>
    <row r="378" spans="1:13" hidden="1" x14ac:dyDescent="0.35">
      <c r="A378" s="112" t="s">
        <v>1509</v>
      </c>
      <c r="B378" s="112" t="s">
        <v>1510</v>
      </c>
      <c r="C378" s="112" t="s">
        <v>695</v>
      </c>
      <c r="D378" s="113">
        <v>10347977</v>
      </c>
      <c r="E378" s="115">
        <v>43924</v>
      </c>
      <c r="F378" s="114">
        <v>202101</v>
      </c>
      <c r="G378" s="112" t="s">
        <v>1091</v>
      </c>
      <c r="H378" s="112" t="s">
        <v>1015</v>
      </c>
      <c r="I378" s="112" t="s">
        <v>751</v>
      </c>
      <c r="J378" s="112" t="s">
        <v>1611</v>
      </c>
      <c r="K378" s="112" t="s">
        <v>1675</v>
      </c>
      <c r="L378" s="116">
        <v>-224</v>
      </c>
      <c r="M378" s="116">
        <f t="shared" si="5"/>
        <v>-0.224</v>
      </c>
    </row>
    <row r="379" spans="1:13" hidden="1" x14ac:dyDescent="0.35">
      <c r="A379" s="112" t="s">
        <v>1509</v>
      </c>
      <c r="B379" s="112" t="s">
        <v>1510</v>
      </c>
      <c r="C379" s="112" t="s">
        <v>695</v>
      </c>
      <c r="D379" s="113">
        <v>10347977</v>
      </c>
      <c r="E379" s="115">
        <v>43924</v>
      </c>
      <c r="F379" s="114">
        <v>202101</v>
      </c>
      <c r="G379" s="112" t="s">
        <v>1091</v>
      </c>
      <c r="H379" s="112" t="s">
        <v>1015</v>
      </c>
      <c r="I379" s="112" t="s">
        <v>749</v>
      </c>
      <c r="J379" s="112" t="s">
        <v>1611</v>
      </c>
      <c r="K379" s="112" t="s">
        <v>1676</v>
      </c>
      <c r="L379" s="116">
        <v>-402</v>
      </c>
      <c r="M379" s="116">
        <f t="shared" si="5"/>
        <v>-0.40200000000000002</v>
      </c>
    </row>
    <row r="380" spans="1:13" hidden="1" x14ac:dyDescent="0.35">
      <c r="A380" s="112" t="s">
        <v>1509</v>
      </c>
      <c r="B380" s="112" t="s">
        <v>1510</v>
      </c>
      <c r="C380" s="112" t="s">
        <v>695</v>
      </c>
      <c r="D380" s="113">
        <v>10347977</v>
      </c>
      <c r="E380" s="115">
        <v>43924</v>
      </c>
      <c r="F380" s="114">
        <v>202101</v>
      </c>
      <c r="G380" s="112" t="s">
        <v>1091</v>
      </c>
      <c r="H380" s="112" t="s">
        <v>1015</v>
      </c>
      <c r="I380" s="112" t="s">
        <v>749</v>
      </c>
      <c r="J380" s="112" t="s">
        <v>1514</v>
      </c>
      <c r="K380" s="112" t="s">
        <v>1677</v>
      </c>
      <c r="L380" s="116">
        <v>-264</v>
      </c>
      <c r="M380" s="116">
        <f t="shared" si="5"/>
        <v>-0.26400000000000001</v>
      </c>
    </row>
    <row r="381" spans="1:13" hidden="1" x14ac:dyDescent="0.35">
      <c r="A381" s="112" t="s">
        <v>1509</v>
      </c>
      <c r="B381" s="112" t="s">
        <v>1510</v>
      </c>
      <c r="C381" s="112" t="s">
        <v>695</v>
      </c>
      <c r="D381" s="113">
        <v>10347977</v>
      </c>
      <c r="E381" s="115">
        <v>43924</v>
      </c>
      <c r="F381" s="114">
        <v>202101</v>
      </c>
      <c r="G381" s="112" t="s">
        <v>1091</v>
      </c>
      <c r="H381" s="112" t="s">
        <v>1015</v>
      </c>
      <c r="I381" s="112" t="s">
        <v>749</v>
      </c>
      <c r="J381" s="112" t="s">
        <v>1514</v>
      </c>
      <c r="K381" s="112" t="s">
        <v>1678</v>
      </c>
      <c r="L381" s="116">
        <v>-20</v>
      </c>
      <c r="M381" s="116">
        <f t="shared" si="5"/>
        <v>-0.02</v>
      </c>
    </row>
    <row r="382" spans="1:13" hidden="1" x14ac:dyDescent="0.35">
      <c r="A382" s="112" t="s">
        <v>1509</v>
      </c>
      <c r="B382" s="112" t="s">
        <v>1510</v>
      </c>
      <c r="C382" s="112" t="s">
        <v>695</v>
      </c>
      <c r="D382" s="113">
        <v>10347977</v>
      </c>
      <c r="E382" s="115">
        <v>43924</v>
      </c>
      <c r="F382" s="114">
        <v>202101</v>
      </c>
      <c r="G382" s="112" t="s">
        <v>1091</v>
      </c>
      <c r="H382" s="112" t="s">
        <v>1015</v>
      </c>
      <c r="I382" s="112" t="s">
        <v>751</v>
      </c>
      <c r="J382" s="112" t="s">
        <v>1514</v>
      </c>
      <c r="K382" s="112" t="s">
        <v>1679</v>
      </c>
      <c r="L382" s="116">
        <v>-61</v>
      </c>
      <c r="M382" s="116">
        <f t="shared" si="5"/>
        <v>-6.0999999999999999E-2</v>
      </c>
    </row>
    <row r="383" spans="1:13" hidden="1" x14ac:dyDescent="0.35">
      <c r="A383" s="112" t="s">
        <v>1509</v>
      </c>
      <c r="B383" s="112" t="s">
        <v>1510</v>
      </c>
      <c r="C383" s="112" t="s">
        <v>695</v>
      </c>
      <c r="D383" s="113">
        <v>10347977</v>
      </c>
      <c r="E383" s="115">
        <v>43924</v>
      </c>
      <c r="F383" s="114">
        <v>202101</v>
      </c>
      <c r="G383" s="112" t="s">
        <v>1091</v>
      </c>
      <c r="H383" s="112" t="s">
        <v>1015</v>
      </c>
      <c r="I383" s="112" t="s">
        <v>749</v>
      </c>
      <c r="J383" s="112" t="s">
        <v>1611</v>
      </c>
      <c r="K383" s="112" t="s">
        <v>1680</v>
      </c>
      <c r="L383" s="116">
        <v>-144</v>
      </c>
      <c r="M383" s="116">
        <f t="shared" si="5"/>
        <v>-0.14399999999999999</v>
      </c>
    </row>
    <row r="384" spans="1:13" hidden="1" x14ac:dyDescent="0.35">
      <c r="A384" s="112" t="s">
        <v>1509</v>
      </c>
      <c r="B384" s="112" t="s">
        <v>1510</v>
      </c>
      <c r="C384" s="112" t="s">
        <v>695</v>
      </c>
      <c r="D384" s="113">
        <v>10347977</v>
      </c>
      <c r="E384" s="115">
        <v>43924</v>
      </c>
      <c r="F384" s="114">
        <v>202101</v>
      </c>
      <c r="G384" s="112" t="s">
        <v>1091</v>
      </c>
      <c r="H384" s="112" t="s">
        <v>1015</v>
      </c>
      <c r="I384" s="112" t="s">
        <v>757</v>
      </c>
      <c r="J384" s="112" t="s">
        <v>1611</v>
      </c>
      <c r="K384" s="112" t="s">
        <v>1681</v>
      </c>
      <c r="L384" s="116">
        <v>-507</v>
      </c>
      <c r="M384" s="116">
        <f t="shared" si="5"/>
        <v>-0.50700000000000001</v>
      </c>
    </row>
    <row r="385" spans="1:13" hidden="1" x14ac:dyDescent="0.35">
      <c r="A385" s="112" t="s">
        <v>1509</v>
      </c>
      <c r="B385" s="112" t="s">
        <v>1510</v>
      </c>
      <c r="C385" s="112" t="s">
        <v>695</v>
      </c>
      <c r="D385" s="113">
        <v>10347977</v>
      </c>
      <c r="E385" s="115">
        <v>43924</v>
      </c>
      <c r="F385" s="114">
        <v>202101</v>
      </c>
      <c r="G385" s="112" t="s">
        <v>1091</v>
      </c>
      <c r="H385" s="112" t="s">
        <v>1015</v>
      </c>
      <c r="I385" s="112" t="s">
        <v>749</v>
      </c>
      <c r="J385" s="112" t="s">
        <v>1514</v>
      </c>
      <c r="K385" s="112" t="s">
        <v>1682</v>
      </c>
      <c r="L385" s="116">
        <v>-54</v>
      </c>
      <c r="M385" s="116">
        <f t="shared" si="5"/>
        <v>-5.3999999999999999E-2</v>
      </c>
    </row>
    <row r="386" spans="1:13" hidden="1" x14ac:dyDescent="0.35">
      <c r="A386" s="112" t="s">
        <v>1509</v>
      </c>
      <c r="B386" s="112" t="s">
        <v>1510</v>
      </c>
      <c r="C386" s="112" t="s">
        <v>695</v>
      </c>
      <c r="D386" s="113">
        <v>10347977</v>
      </c>
      <c r="E386" s="115">
        <v>43924</v>
      </c>
      <c r="F386" s="114">
        <v>202101</v>
      </c>
      <c r="G386" s="112" t="s">
        <v>1091</v>
      </c>
      <c r="H386" s="112" t="s">
        <v>1015</v>
      </c>
      <c r="I386" s="112" t="s">
        <v>751</v>
      </c>
      <c r="J386" s="112" t="s">
        <v>1514</v>
      </c>
      <c r="K386" s="112" t="s">
        <v>1683</v>
      </c>
      <c r="L386" s="116">
        <v>-39</v>
      </c>
      <c r="M386" s="116">
        <f t="shared" si="5"/>
        <v>-3.9E-2</v>
      </c>
    </row>
    <row r="387" spans="1:13" hidden="1" x14ac:dyDescent="0.35">
      <c r="A387" s="112" t="s">
        <v>1509</v>
      </c>
      <c r="B387" s="112" t="s">
        <v>1510</v>
      </c>
      <c r="C387" s="112" t="s">
        <v>695</v>
      </c>
      <c r="D387" s="113">
        <v>10347977</v>
      </c>
      <c r="E387" s="115">
        <v>43924</v>
      </c>
      <c r="F387" s="114">
        <v>202101</v>
      </c>
      <c r="G387" s="112" t="s">
        <v>1091</v>
      </c>
      <c r="H387" s="112" t="s">
        <v>1015</v>
      </c>
      <c r="I387" s="112" t="s">
        <v>757</v>
      </c>
      <c r="J387" s="112" t="s">
        <v>1514</v>
      </c>
      <c r="K387" s="112" t="s">
        <v>1684</v>
      </c>
      <c r="L387" s="116">
        <v>-49</v>
      </c>
      <c r="M387" s="116">
        <f t="shared" ref="M387:M450" si="6">L387/1000</f>
        <v>-4.9000000000000002E-2</v>
      </c>
    </row>
    <row r="388" spans="1:13" hidden="1" x14ac:dyDescent="0.35">
      <c r="A388" s="112" t="s">
        <v>1509</v>
      </c>
      <c r="B388" s="112" t="s">
        <v>1510</v>
      </c>
      <c r="C388" s="112" t="s">
        <v>695</v>
      </c>
      <c r="D388" s="113">
        <v>10347977</v>
      </c>
      <c r="E388" s="115">
        <v>43924</v>
      </c>
      <c r="F388" s="114">
        <v>202101</v>
      </c>
      <c r="G388" s="112" t="s">
        <v>1091</v>
      </c>
      <c r="H388" s="112" t="s">
        <v>1015</v>
      </c>
      <c r="I388" s="112" t="s">
        <v>749</v>
      </c>
      <c r="J388" s="112" t="s">
        <v>1512</v>
      </c>
      <c r="K388" s="112" t="s">
        <v>1685</v>
      </c>
      <c r="L388" s="116">
        <v>-162</v>
      </c>
      <c r="M388" s="116">
        <f t="shared" si="6"/>
        <v>-0.16200000000000001</v>
      </c>
    </row>
    <row r="389" spans="1:13" hidden="1" x14ac:dyDescent="0.35">
      <c r="A389" s="112" t="s">
        <v>1509</v>
      </c>
      <c r="B389" s="112" t="s">
        <v>902</v>
      </c>
      <c r="C389" s="112" t="s">
        <v>695</v>
      </c>
      <c r="D389" s="113">
        <v>10348240</v>
      </c>
      <c r="E389" s="115">
        <v>43936</v>
      </c>
      <c r="F389" s="114">
        <v>202101</v>
      </c>
      <c r="G389" s="112" t="s">
        <v>1091</v>
      </c>
      <c r="H389" s="112" t="s">
        <v>1015</v>
      </c>
      <c r="I389" s="112" t="s">
        <v>763</v>
      </c>
      <c r="J389" s="112" t="s">
        <v>1545</v>
      </c>
      <c r="K389" s="112" t="s">
        <v>1686</v>
      </c>
      <c r="L389" s="116">
        <v>-237079</v>
      </c>
      <c r="M389" s="116">
        <f t="shared" si="6"/>
        <v>-237.07900000000001</v>
      </c>
    </row>
    <row r="390" spans="1:13" hidden="1" x14ac:dyDescent="0.35">
      <c r="A390" s="112" t="s">
        <v>1509</v>
      </c>
      <c r="B390" s="112" t="s">
        <v>1510</v>
      </c>
      <c r="C390" s="112" t="s">
        <v>695</v>
      </c>
      <c r="D390" s="113">
        <v>10348018</v>
      </c>
      <c r="E390" s="115">
        <v>43927</v>
      </c>
      <c r="F390" s="114">
        <v>202101</v>
      </c>
      <c r="G390" s="112" t="s">
        <v>1091</v>
      </c>
      <c r="H390" s="112" t="s">
        <v>1015</v>
      </c>
      <c r="I390" s="112" t="s">
        <v>1532</v>
      </c>
      <c r="J390" s="112" t="s">
        <v>1618</v>
      </c>
      <c r="K390" s="112" t="s">
        <v>1689</v>
      </c>
      <c r="L390" s="116">
        <v>-2054.84</v>
      </c>
      <c r="M390" s="116">
        <f t="shared" si="6"/>
        <v>-2.05484</v>
      </c>
    </row>
    <row r="391" spans="1:13" hidden="1" x14ac:dyDescent="0.35">
      <c r="A391" s="112" t="s">
        <v>1509</v>
      </c>
      <c r="B391" s="112" t="s">
        <v>1510</v>
      </c>
      <c r="C391" s="112" t="s">
        <v>695</v>
      </c>
      <c r="D391" s="113">
        <v>10347977</v>
      </c>
      <c r="E391" s="115">
        <v>43924</v>
      </c>
      <c r="F391" s="114">
        <v>202101</v>
      </c>
      <c r="G391" s="112" t="s">
        <v>1091</v>
      </c>
      <c r="H391" s="112" t="s">
        <v>1015</v>
      </c>
      <c r="I391" s="112" t="s">
        <v>749</v>
      </c>
      <c r="J391" s="112" t="s">
        <v>1533</v>
      </c>
      <c r="K391" s="112" t="s">
        <v>1690</v>
      </c>
      <c r="L391" s="116">
        <v>-482</v>
      </c>
      <c r="M391" s="116">
        <f t="shared" si="6"/>
        <v>-0.48199999999999998</v>
      </c>
    </row>
    <row r="392" spans="1:13" hidden="1" x14ac:dyDescent="0.35">
      <c r="A392" s="112" t="s">
        <v>1509</v>
      </c>
      <c r="B392" s="112" t="s">
        <v>1510</v>
      </c>
      <c r="C392" s="112" t="s">
        <v>695</v>
      </c>
      <c r="D392" s="113">
        <v>10347977</v>
      </c>
      <c r="E392" s="115">
        <v>43924</v>
      </c>
      <c r="F392" s="114">
        <v>202101</v>
      </c>
      <c r="G392" s="112" t="s">
        <v>1091</v>
      </c>
      <c r="H392" s="112" t="s">
        <v>1015</v>
      </c>
      <c r="I392" s="112" t="s">
        <v>749</v>
      </c>
      <c r="J392" s="112" t="s">
        <v>1514</v>
      </c>
      <c r="K392" s="112" t="s">
        <v>1691</v>
      </c>
      <c r="L392" s="116">
        <v>-11</v>
      </c>
      <c r="M392" s="116">
        <f t="shared" si="6"/>
        <v>-1.0999999999999999E-2</v>
      </c>
    </row>
    <row r="393" spans="1:13" hidden="1" x14ac:dyDescent="0.35">
      <c r="A393" s="112" t="s">
        <v>1509</v>
      </c>
      <c r="B393" s="112" t="s">
        <v>1510</v>
      </c>
      <c r="C393" s="112" t="s">
        <v>695</v>
      </c>
      <c r="D393" s="113">
        <v>10347977</v>
      </c>
      <c r="E393" s="115">
        <v>43924</v>
      </c>
      <c r="F393" s="114">
        <v>202101</v>
      </c>
      <c r="G393" s="112" t="s">
        <v>1091</v>
      </c>
      <c r="H393" s="112" t="s">
        <v>1015</v>
      </c>
      <c r="I393" s="112" t="s">
        <v>749</v>
      </c>
      <c r="J393" s="112" t="s">
        <v>1514</v>
      </c>
      <c r="K393" s="112" t="s">
        <v>1682</v>
      </c>
      <c r="L393" s="116">
        <v>-1087</v>
      </c>
      <c r="M393" s="116">
        <f t="shared" si="6"/>
        <v>-1.087</v>
      </c>
    </row>
    <row r="394" spans="1:13" hidden="1" x14ac:dyDescent="0.35">
      <c r="A394" s="112" t="s">
        <v>1509</v>
      </c>
      <c r="B394" s="112" t="s">
        <v>1520</v>
      </c>
      <c r="C394" s="112" t="s">
        <v>695</v>
      </c>
      <c r="D394" s="113">
        <v>10347981</v>
      </c>
      <c r="E394" s="115">
        <v>43924</v>
      </c>
      <c r="F394" s="114">
        <v>202101</v>
      </c>
      <c r="G394" s="112" t="s">
        <v>1091</v>
      </c>
      <c r="H394" s="112" t="s">
        <v>1015</v>
      </c>
      <c r="I394" s="112" t="s">
        <v>763</v>
      </c>
      <c r="J394" s="112" t="s">
        <v>1692</v>
      </c>
      <c r="K394" s="112" t="s">
        <v>1693</v>
      </c>
      <c r="L394" s="116">
        <v>-5092.74</v>
      </c>
      <c r="M394" s="116">
        <f t="shared" si="6"/>
        <v>-5.09274</v>
      </c>
    </row>
    <row r="395" spans="1:13" hidden="1" x14ac:dyDescent="0.35">
      <c r="A395" s="112" t="s">
        <v>1509</v>
      </c>
      <c r="B395" s="112" t="s">
        <v>1520</v>
      </c>
      <c r="C395" s="112" t="s">
        <v>695</v>
      </c>
      <c r="D395" s="113">
        <v>10347979</v>
      </c>
      <c r="E395" s="115">
        <v>43924</v>
      </c>
      <c r="F395" s="114">
        <v>202101</v>
      </c>
      <c r="G395" s="112" t="s">
        <v>1091</v>
      </c>
      <c r="H395" s="112" t="s">
        <v>1015</v>
      </c>
      <c r="I395" s="112" t="s">
        <v>1536</v>
      </c>
      <c r="J395" s="112" t="s">
        <v>1537</v>
      </c>
      <c r="K395" s="112" t="s">
        <v>1698</v>
      </c>
      <c r="L395" s="116">
        <v>-9</v>
      </c>
      <c r="M395" s="116">
        <f t="shared" si="6"/>
        <v>-8.9999999999999993E-3</v>
      </c>
    </row>
    <row r="396" spans="1:13" hidden="1" x14ac:dyDescent="0.35">
      <c r="A396" s="112" t="s">
        <v>1509</v>
      </c>
      <c r="B396" s="112" t="s">
        <v>1520</v>
      </c>
      <c r="C396" s="112" t="s">
        <v>695</v>
      </c>
      <c r="D396" s="113">
        <v>10347973</v>
      </c>
      <c r="E396" s="115">
        <v>43924</v>
      </c>
      <c r="F396" s="114">
        <v>202101</v>
      </c>
      <c r="G396" s="112" t="s">
        <v>1091</v>
      </c>
      <c r="H396" s="112" t="s">
        <v>1015</v>
      </c>
      <c r="I396" s="112" t="s">
        <v>1699</v>
      </c>
      <c r="J396" s="112" t="s">
        <v>1537</v>
      </c>
      <c r="K396" s="112" t="s">
        <v>865</v>
      </c>
      <c r="L396" s="116">
        <v>-60.79</v>
      </c>
      <c r="M396" s="116">
        <f t="shared" si="6"/>
        <v>-6.0789999999999997E-2</v>
      </c>
    </row>
    <row r="397" spans="1:13" hidden="1" x14ac:dyDescent="0.35">
      <c r="A397" s="112" t="s">
        <v>1509</v>
      </c>
      <c r="B397" s="112" t="s">
        <v>1510</v>
      </c>
      <c r="C397" s="112" t="s">
        <v>695</v>
      </c>
      <c r="D397" s="113">
        <v>10348018</v>
      </c>
      <c r="E397" s="115">
        <v>43927</v>
      </c>
      <c r="F397" s="114">
        <v>202101</v>
      </c>
      <c r="G397" s="112" t="s">
        <v>1091</v>
      </c>
      <c r="H397" s="112" t="s">
        <v>1015</v>
      </c>
      <c r="I397" s="112" t="s">
        <v>1643</v>
      </c>
      <c r="J397" s="112" t="s">
        <v>1525</v>
      </c>
      <c r="K397" s="112" t="s">
        <v>1689</v>
      </c>
      <c r="L397" s="116">
        <v>-223.2</v>
      </c>
      <c r="M397" s="116">
        <f t="shared" si="6"/>
        <v>-0.22319999999999998</v>
      </c>
    </row>
    <row r="398" spans="1:13" hidden="1" x14ac:dyDescent="0.35">
      <c r="A398" s="112" t="s">
        <v>1509</v>
      </c>
      <c r="B398" s="112" t="s">
        <v>1520</v>
      </c>
      <c r="C398" s="112" t="s">
        <v>695</v>
      </c>
      <c r="D398" s="113">
        <v>10348473</v>
      </c>
      <c r="E398" s="115">
        <v>43948</v>
      </c>
      <c r="F398" s="114">
        <v>202101</v>
      </c>
      <c r="G398" s="112" t="s">
        <v>1091</v>
      </c>
      <c r="H398" s="112" t="s">
        <v>1016</v>
      </c>
      <c r="I398" s="112" t="s">
        <v>1328</v>
      </c>
      <c r="J398" s="112" t="s">
        <v>1537</v>
      </c>
      <c r="K398" s="112" t="s">
        <v>1703</v>
      </c>
      <c r="L398" s="116">
        <v>25000</v>
      </c>
      <c r="M398" s="116">
        <f t="shared" si="6"/>
        <v>25</v>
      </c>
    </row>
    <row r="399" spans="1:13" hidden="1" x14ac:dyDescent="0.35">
      <c r="A399" s="112" t="s">
        <v>1509</v>
      </c>
      <c r="B399" s="112" t="s">
        <v>1510</v>
      </c>
      <c r="C399" s="112" t="s">
        <v>695</v>
      </c>
      <c r="D399" s="113">
        <v>10347977</v>
      </c>
      <c r="E399" s="115">
        <v>43924</v>
      </c>
      <c r="F399" s="114">
        <v>202101</v>
      </c>
      <c r="G399" s="112" t="s">
        <v>1091</v>
      </c>
      <c r="H399" s="112" t="s">
        <v>1015</v>
      </c>
      <c r="I399" s="112" t="s">
        <v>749</v>
      </c>
      <c r="J399" s="112" t="s">
        <v>1512</v>
      </c>
      <c r="K399" s="112" t="s">
        <v>1704</v>
      </c>
      <c r="L399" s="116">
        <v>-1041</v>
      </c>
      <c r="M399" s="116">
        <f t="shared" si="6"/>
        <v>-1.0409999999999999</v>
      </c>
    </row>
    <row r="400" spans="1:13" hidden="1" x14ac:dyDescent="0.35">
      <c r="A400" s="112" t="s">
        <v>1509</v>
      </c>
      <c r="B400" s="112" t="s">
        <v>1510</v>
      </c>
      <c r="C400" s="112" t="s">
        <v>695</v>
      </c>
      <c r="D400" s="113">
        <v>10347977</v>
      </c>
      <c r="E400" s="115">
        <v>43924</v>
      </c>
      <c r="F400" s="114">
        <v>202101</v>
      </c>
      <c r="G400" s="112" t="s">
        <v>1091</v>
      </c>
      <c r="H400" s="112" t="s">
        <v>1015</v>
      </c>
      <c r="I400" s="112" t="s">
        <v>749</v>
      </c>
      <c r="J400" s="112" t="s">
        <v>1514</v>
      </c>
      <c r="K400" s="112" t="s">
        <v>1705</v>
      </c>
      <c r="L400" s="116">
        <v>-59</v>
      </c>
      <c r="M400" s="116">
        <f t="shared" si="6"/>
        <v>-5.8999999999999997E-2</v>
      </c>
    </row>
    <row r="401" spans="1:13" hidden="1" x14ac:dyDescent="0.35">
      <c r="A401" s="112" t="s">
        <v>1509</v>
      </c>
      <c r="B401" s="112" t="s">
        <v>1510</v>
      </c>
      <c r="C401" s="112" t="s">
        <v>695</v>
      </c>
      <c r="D401" s="113">
        <v>10347977</v>
      </c>
      <c r="E401" s="115">
        <v>43924</v>
      </c>
      <c r="F401" s="114">
        <v>202101</v>
      </c>
      <c r="G401" s="112" t="s">
        <v>1091</v>
      </c>
      <c r="H401" s="112" t="s">
        <v>1015</v>
      </c>
      <c r="I401" s="112" t="s">
        <v>749</v>
      </c>
      <c r="J401" s="112" t="s">
        <v>1512</v>
      </c>
      <c r="K401" s="112" t="s">
        <v>1706</v>
      </c>
      <c r="L401" s="116">
        <v>-27</v>
      </c>
      <c r="M401" s="116">
        <f t="shared" si="6"/>
        <v>-2.7E-2</v>
      </c>
    </row>
    <row r="402" spans="1:13" hidden="1" x14ac:dyDescent="0.35">
      <c r="A402" s="112" t="s">
        <v>1509</v>
      </c>
      <c r="B402" s="112" t="s">
        <v>1510</v>
      </c>
      <c r="C402" s="112" t="s">
        <v>695</v>
      </c>
      <c r="D402" s="113">
        <v>10347977</v>
      </c>
      <c r="E402" s="115">
        <v>43924</v>
      </c>
      <c r="F402" s="114">
        <v>202101</v>
      </c>
      <c r="G402" s="112" t="s">
        <v>1091</v>
      </c>
      <c r="H402" s="112" t="s">
        <v>1015</v>
      </c>
      <c r="I402" s="112" t="s">
        <v>749</v>
      </c>
      <c r="J402" s="112" t="s">
        <v>1514</v>
      </c>
      <c r="K402" s="112" t="s">
        <v>1571</v>
      </c>
      <c r="L402" s="116">
        <v>-84</v>
      </c>
      <c r="M402" s="116">
        <f t="shared" si="6"/>
        <v>-8.4000000000000005E-2</v>
      </c>
    </row>
    <row r="403" spans="1:13" hidden="1" x14ac:dyDescent="0.35">
      <c r="A403" s="112" t="s">
        <v>1509</v>
      </c>
      <c r="B403" s="112" t="s">
        <v>1510</v>
      </c>
      <c r="C403" s="112" t="s">
        <v>695</v>
      </c>
      <c r="D403" s="113">
        <v>10347977</v>
      </c>
      <c r="E403" s="115">
        <v>43924</v>
      </c>
      <c r="F403" s="114">
        <v>202101</v>
      </c>
      <c r="G403" s="112" t="s">
        <v>1091</v>
      </c>
      <c r="H403" s="112" t="s">
        <v>1015</v>
      </c>
      <c r="I403" s="112" t="s">
        <v>749</v>
      </c>
      <c r="J403" s="112" t="s">
        <v>1514</v>
      </c>
      <c r="K403" s="112" t="s">
        <v>1571</v>
      </c>
      <c r="L403" s="116">
        <v>-17</v>
      </c>
      <c r="M403" s="116">
        <f t="shared" si="6"/>
        <v>-1.7000000000000001E-2</v>
      </c>
    </row>
    <row r="404" spans="1:13" hidden="1" x14ac:dyDescent="0.35">
      <c r="A404" s="112" t="s">
        <v>1509</v>
      </c>
      <c r="B404" s="112" t="s">
        <v>1510</v>
      </c>
      <c r="C404" s="112" t="s">
        <v>695</v>
      </c>
      <c r="D404" s="113">
        <v>10347977</v>
      </c>
      <c r="E404" s="115">
        <v>43924</v>
      </c>
      <c r="F404" s="114">
        <v>202101</v>
      </c>
      <c r="G404" s="112" t="s">
        <v>1091</v>
      </c>
      <c r="H404" s="112" t="s">
        <v>1015</v>
      </c>
      <c r="I404" s="112" t="s">
        <v>749</v>
      </c>
      <c r="J404" s="112" t="s">
        <v>1512</v>
      </c>
      <c r="K404" s="112" t="s">
        <v>1708</v>
      </c>
      <c r="L404" s="116">
        <v>-793</v>
      </c>
      <c r="M404" s="116">
        <f t="shared" si="6"/>
        <v>-0.79300000000000004</v>
      </c>
    </row>
    <row r="405" spans="1:13" hidden="1" x14ac:dyDescent="0.35">
      <c r="A405" s="112" t="s">
        <v>1509</v>
      </c>
      <c r="B405" s="112" t="s">
        <v>1510</v>
      </c>
      <c r="C405" s="112" t="s">
        <v>695</v>
      </c>
      <c r="D405" s="113">
        <v>10347977</v>
      </c>
      <c r="E405" s="115">
        <v>43924</v>
      </c>
      <c r="F405" s="114">
        <v>202101</v>
      </c>
      <c r="G405" s="112" t="s">
        <v>1091</v>
      </c>
      <c r="H405" s="112" t="s">
        <v>1015</v>
      </c>
      <c r="I405" s="112" t="s">
        <v>749</v>
      </c>
      <c r="J405" s="112" t="s">
        <v>1512</v>
      </c>
      <c r="K405" s="112" t="s">
        <v>1708</v>
      </c>
      <c r="L405" s="116">
        <v>-17</v>
      </c>
      <c r="M405" s="116">
        <f t="shared" si="6"/>
        <v>-1.7000000000000001E-2</v>
      </c>
    </row>
    <row r="406" spans="1:13" hidden="1" x14ac:dyDescent="0.35">
      <c r="A406" s="112" t="s">
        <v>1509</v>
      </c>
      <c r="B406" s="112" t="s">
        <v>1510</v>
      </c>
      <c r="C406" s="112" t="s">
        <v>695</v>
      </c>
      <c r="D406" s="113">
        <v>10347977</v>
      </c>
      <c r="E406" s="115">
        <v>43924</v>
      </c>
      <c r="F406" s="114">
        <v>202101</v>
      </c>
      <c r="G406" s="112" t="s">
        <v>1091</v>
      </c>
      <c r="H406" s="112" t="s">
        <v>1015</v>
      </c>
      <c r="I406" s="112" t="s">
        <v>749</v>
      </c>
      <c r="J406" s="112" t="s">
        <v>1514</v>
      </c>
      <c r="K406" s="112" t="s">
        <v>1710</v>
      </c>
      <c r="L406" s="116">
        <v>-93</v>
      </c>
      <c r="M406" s="116">
        <f t="shared" si="6"/>
        <v>-9.2999999999999999E-2</v>
      </c>
    </row>
    <row r="407" spans="1:13" hidden="1" x14ac:dyDescent="0.35">
      <c r="A407" s="112" t="s">
        <v>1509</v>
      </c>
      <c r="B407" s="112" t="s">
        <v>1510</v>
      </c>
      <c r="C407" s="112" t="s">
        <v>695</v>
      </c>
      <c r="D407" s="113">
        <v>10347977</v>
      </c>
      <c r="E407" s="115">
        <v>43924</v>
      </c>
      <c r="F407" s="114">
        <v>202101</v>
      </c>
      <c r="G407" s="112" t="s">
        <v>1091</v>
      </c>
      <c r="H407" s="112" t="s">
        <v>1015</v>
      </c>
      <c r="I407" s="112" t="s">
        <v>757</v>
      </c>
      <c r="J407" s="112" t="s">
        <v>1514</v>
      </c>
      <c r="K407" s="112" t="s">
        <v>1711</v>
      </c>
      <c r="L407" s="116">
        <v>-79</v>
      </c>
      <c r="M407" s="116">
        <f t="shared" si="6"/>
        <v>-7.9000000000000001E-2</v>
      </c>
    </row>
    <row r="408" spans="1:13" hidden="1" x14ac:dyDescent="0.35">
      <c r="A408" s="112" t="s">
        <v>1509</v>
      </c>
      <c r="B408" s="112" t="s">
        <v>1510</v>
      </c>
      <c r="C408" s="112" t="s">
        <v>695</v>
      </c>
      <c r="D408" s="113">
        <v>10347977</v>
      </c>
      <c r="E408" s="115">
        <v>43924</v>
      </c>
      <c r="F408" s="114">
        <v>202101</v>
      </c>
      <c r="G408" s="112" t="s">
        <v>1091</v>
      </c>
      <c r="H408" s="112" t="s">
        <v>1015</v>
      </c>
      <c r="I408" s="112" t="s">
        <v>749</v>
      </c>
      <c r="J408" s="112" t="s">
        <v>1514</v>
      </c>
      <c r="K408" s="112" t="s">
        <v>1710</v>
      </c>
      <c r="L408" s="116">
        <v>-224</v>
      </c>
      <c r="M408" s="116">
        <f t="shared" si="6"/>
        <v>-0.224</v>
      </c>
    </row>
    <row r="409" spans="1:13" hidden="1" x14ac:dyDescent="0.35">
      <c r="A409" s="112" t="s">
        <v>1509</v>
      </c>
      <c r="B409" s="112" t="s">
        <v>1510</v>
      </c>
      <c r="C409" s="112" t="s">
        <v>695</v>
      </c>
      <c r="D409" s="113">
        <v>10347977</v>
      </c>
      <c r="E409" s="115">
        <v>43924</v>
      </c>
      <c r="F409" s="114">
        <v>202101</v>
      </c>
      <c r="G409" s="112" t="s">
        <v>1091</v>
      </c>
      <c r="H409" s="112" t="s">
        <v>1015</v>
      </c>
      <c r="I409" s="112" t="s">
        <v>749</v>
      </c>
      <c r="J409" s="112" t="s">
        <v>1512</v>
      </c>
      <c r="K409" s="112" t="s">
        <v>1712</v>
      </c>
      <c r="L409" s="116">
        <v>-148</v>
      </c>
      <c r="M409" s="116">
        <f t="shared" si="6"/>
        <v>-0.14799999999999999</v>
      </c>
    </row>
    <row r="410" spans="1:13" hidden="1" x14ac:dyDescent="0.35">
      <c r="A410" s="112" t="s">
        <v>1509</v>
      </c>
      <c r="B410" s="112" t="s">
        <v>1510</v>
      </c>
      <c r="C410" s="112" t="s">
        <v>695</v>
      </c>
      <c r="D410" s="113">
        <v>10347977</v>
      </c>
      <c r="E410" s="115">
        <v>43924</v>
      </c>
      <c r="F410" s="114">
        <v>202101</v>
      </c>
      <c r="G410" s="112" t="s">
        <v>1091</v>
      </c>
      <c r="H410" s="112" t="s">
        <v>1015</v>
      </c>
      <c r="I410" s="112" t="s">
        <v>751</v>
      </c>
      <c r="J410" s="112" t="s">
        <v>1514</v>
      </c>
      <c r="K410" s="112" t="s">
        <v>1713</v>
      </c>
      <c r="L410" s="116">
        <v>-94</v>
      </c>
      <c r="M410" s="116">
        <f t="shared" si="6"/>
        <v>-9.4E-2</v>
      </c>
    </row>
    <row r="411" spans="1:13" hidden="1" x14ac:dyDescent="0.35">
      <c r="A411" s="112" t="s">
        <v>1509</v>
      </c>
      <c r="B411" s="112" t="s">
        <v>1510</v>
      </c>
      <c r="C411" s="112" t="s">
        <v>695</v>
      </c>
      <c r="D411" s="113">
        <v>10347977</v>
      </c>
      <c r="E411" s="115">
        <v>43924</v>
      </c>
      <c r="F411" s="114">
        <v>202101</v>
      </c>
      <c r="G411" s="112" t="s">
        <v>1091</v>
      </c>
      <c r="H411" s="112" t="s">
        <v>1015</v>
      </c>
      <c r="I411" s="112" t="s">
        <v>749</v>
      </c>
      <c r="J411" s="112" t="s">
        <v>1514</v>
      </c>
      <c r="K411" s="112" t="s">
        <v>1714</v>
      </c>
      <c r="L411" s="116">
        <v>-107</v>
      </c>
      <c r="M411" s="116">
        <f t="shared" si="6"/>
        <v>-0.107</v>
      </c>
    </row>
    <row r="412" spans="1:13" hidden="1" x14ac:dyDescent="0.35">
      <c r="A412" s="112" t="s">
        <v>1509</v>
      </c>
      <c r="B412" s="112" t="s">
        <v>1510</v>
      </c>
      <c r="C412" s="112" t="s">
        <v>695</v>
      </c>
      <c r="D412" s="113">
        <v>10347977</v>
      </c>
      <c r="E412" s="115">
        <v>43924</v>
      </c>
      <c r="F412" s="114">
        <v>202101</v>
      </c>
      <c r="G412" s="112" t="s">
        <v>1091</v>
      </c>
      <c r="H412" s="112" t="s">
        <v>1015</v>
      </c>
      <c r="I412" s="112" t="s">
        <v>749</v>
      </c>
      <c r="J412" s="112" t="s">
        <v>1514</v>
      </c>
      <c r="K412" s="112" t="s">
        <v>1714</v>
      </c>
      <c r="L412" s="116">
        <v>-326</v>
      </c>
      <c r="M412" s="116">
        <f t="shared" si="6"/>
        <v>-0.32600000000000001</v>
      </c>
    </row>
    <row r="413" spans="1:13" hidden="1" x14ac:dyDescent="0.35">
      <c r="A413" s="112" t="s">
        <v>1509</v>
      </c>
      <c r="B413" s="112" t="s">
        <v>1510</v>
      </c>
      <c r="C413" s="112" t="s">
        <v>695</v>
      </c>
      <c r="D413" s="113">
        <v>10347977</v>
      </c>
      <c r="E413" s="115">
        <v>43924</v>
      </c>
      <c r="F413" s="114">
        <v>202101</v>
      </c>
      <c r="G413" s="112" t="s">
        <v>1091</v>
      </c>
      <c r="H413" s="112" t="s">
        <v>1015</v>
      </c>
      <c r="I413" s="112" t="s">
        <v>757</v>
      </c>
      <c r="J413" s="112" t="s">
        <v>1514</v>
      </c>
      <c r="K413" s="112" t="s">
        <v>1715</v>
      </c>
      <c r="L413" s="116">
        <v>-9</v>
      </c>
      <c r="M413" s="116">
        <f t="shared" si="6"/>
        <v>-8.9999999999999993E-3</v>
      </c>
    </row>
    <row r="414" spans="1:13" hidden="1" x14ac:dyDescent="0.35">
      <c r="A414" s="112" t="s">
        <v>1509</v>
      </c>
      <c r="B414" s="112" t="s">
        <v>1510</v>
      </c>
      <c r="C414" s="112" t="s">
        <v>695</v>
      </c>
      <c r="D414" s="113">
        <v>10347977</v>
      </c>
      <c r="E414" s="115">
        <v>43924</v>
      </c>
      <c r="F414" s="114">
        <v>202101</v>
      </c>
      <c r="G414" s="112" t="s">
        <v>1091</v>
      </c>
      <c r="H414" s="112" t="s">
        <v>1015</v>
      </c>
      <c r="I414" s="112" t="s">
        <v>751</v>
      </c>
      <c r="J414" s="112" t="s">
        <v>1514</v>
      </c>
      <c r="K414" s="112" t="s">
        <v>1716</v>
      </c>
      <c r="L414" s="116">
        <v>-103</v>
      </c>
      <c r="M414" s="116">
        <f t="shared" si="6"/>
        <v>-0.10299999999999999</v>
      </c>
    </row>
    <row r="415" spans="1:13" hidden="1" x14ac:dyDescent="0.35">
      <c r="A415" s="112" t="s">
        <v>1509</v>
      </c>
      <c r="B415" s="112" t="s">
        <v>1510</v>
      </c>
      <c r="C415" s="112" t="s">
        <v>695</v>
      </c>
      <c r="D415" s="113">
        <v>10347977</v>
      </c>
      <c r="E415" s="115">
        <v>43924</v>
      </c>
      <c r="F415" s="114">
        <v>202101</v>
      </c>
      <c r="G415" s="112" t="s">
        <v>1091</v>
      </c>
      <c r="H415" s="112" t="s">
        <v>1015</v>
      </c>
      <c r="I415" s="112" t="s">
        <v>749</v>
      </c>
      <c r="J415" s="112" t="s">
        <v>1512</v>
      </c>
      <c r="K415" s="112" t="s">
        <v>1717</v>
      </c>
      <c r="L415" s="116">
        <v>-108</v>
      </c>
      <c r="M415" s="116">
        <f t="shared" si="6"/>
        <v>-0.108</v>
      </c>
    </row>
    <row r="416" spans="1:13" hidden="1" x14ac:dyDescent="0.35">
      <c r="A416" s="112" t="s">
        <v>1509</v>
      </c>
      <c r="B416" s="112" t="s">
        <v>1510</v>
      </c>
      <c r="C416" s="112" t="s">
        <v>695</v>
      </c>
      <c r="D416" s="113">
        <v>10347977</v>
      </c>
      <c r="E416" s="115">
        <v>43924</v>
      </c>
      <c r="F416" s="114">
        <v>202101</v>
      </c>
      <c r="G416" s="112" t="s">
        <v>1091</v>
      </c>
      <c r="H416" s="112" t="s">
        <v>1015</v>
      </c>
      <c r="I416" s="112" t="s">
        <v>757</v>
      </c>
      <c r="J416" s="112" t="s">
        <v>1512</v>
      </c>
      <c r="K416" s="112" t="s">
        <v>1718</v>
      </c>
      <c r="L416" s="116">
        <v>-80</v>
      </c>
      <c r="M416" s="116">
        <f t="shared" si="6"/>
        <v>-0.08</v>
      </c>
    </row>
    <row r="417" spans="1:13" hidden="1" x14ac:dyDescent="0.35">
      <c r="A417" s="112" t="s">
        <v>1509</v>
      </c>
      <c r="B417" s="112" t="s">
        <v>1510</v>
      </c>
      <c r="C417" s="112" t="s">
        <v>695</v>
      </c>
      <c r="D417" s="113">
        <v>10347977</v>
      </c>
      <c r="E417" s="115">
        <v>43924</v>
      </c>
      <c r="F417" s="114">
        <v>202101</v>
      </c>
      <c r="G417" s="112" t="s">
        <v>1091</v>
      </c>
      <c r="H417" s="112" t="s">
        <v>1015</v>
      </c>
      <c r="I417" s="112" t="s">
        <v>757</v>
      </c>
      <c r="J417" s="112" t="s">
        <v>1514</v>
      </c>
      <c r="K417" s="112" t="s">
        <v>1719</v>
      </c>
      <c r="L417" s="116">
        <v>-243</v>
      </c>
      <c r="M417" s="116">
        <f t="shared" si="6"/>
        <v>-0.24299999999999999</v>
      </c>
    </row>
    <row r="418" spans="1:13" hidden="1" x14ac:dyDescent="0.35">
      <c r="A418" s="112" t="s">
        <v>1509</v>
      </c>
      <c r="B418" s="112" t="s">
        <v>1510</v>
      </c>
      <c r="C418" s="112" t="s">
        <v>695</v>
      </c>
      <c r="D418" s="113">
        <v>10347977</v>
      </c>
      <c r="E418" s="115">
        <v>43924</v>
      </c>
      <c r="F418" s="114">
        <v>202101</v>
      </c>
      <c r="G418" s="112" t="s">
        <v>1091</v>
      </c>
      <c r="H418" s="112" t="s">
        <v>1015</v>
      </c>
      <c r="I418" s="112" t="s">
        <v>749</v>
      </c>
      <c r="J418" s="112" t="s">
        <v>1512</v>
      </c>
      <c r="K418" s="112" t="s">
        <v>1720</v>
      </c>
      <c r="L418" s="116">
        <v>-83</v>
      </c>
      <c r="M418" s="116">
        <f t="shared" si="6"/>
        <v>-8.3000000000000004E-2</v>
      </c>
    </row>
    <row r="419" spans="1:13" hidden="1" x14ac:dyDescent="0.35">
      <c r="A419" s="112" t="s">
        <v>1509</v>
      </c>
      <c r="B419" s="112" t="s">
        <v>1510</v>
      </c>
      <c r="C419" s="112" t="s">
        <v>695</v>
      </c>
      <c r="D419" s="113">
        <v>10347977</v>
      </c>
      <c r="E419" s="115">
        <v>43924</v>
      </c>
      <c r="F419" s="114">
        <v>202101</v>
      </c>
      <c r="G419" s="112" t="s">
        <v>1091</v>
      </c>
      <c r="H419" s="112" t="s">
        <v>1015</v>
      </c>
      <c r="I419" s="112" t="s">
        <v>749</v>
      </c>
      <c r="J419" s="112" t="s">
        <v>1514</v>
      </c>
      <c r="K419" s="112" t="s">
        <v>1721</v>
      </c>
      <c r="L419" s="116">
        <v>-61</v>
      </c>
      <c r="M419" s="116">
        <f t="shared" si="6"/>
        <v>-6.0999999999999999E-2</v>
      </c>
    </row>
    <row r="420" spans="1:13" hidden="1" x14ac:dyDescent="0.35">
      <c r="A420" s="112" t="s">
        <v>1509</v>
      </c>
      <c r="B420" s="112" t="s">
        <v>1510</v>
      </c>
      <c r="C420" s="112" t="s">
        <v>695</v>
      </c>
      <c r="D420" s="113">
        <v>10347977</v>
      </c>
      <c r="E420" s="115">
        <v>43924</v>
      </c>
      <c r="F420" s="114">
        <v>202101</v>
      </c>
      <c r="G420" s="112" t="s">
        <v>1091</v>
      </c>
      <c r="H420" s="112" t="s">
        <v>1015</v>
      </c>
      <c r="I420" s="112" t="s">
        <v>757</v>
      </c>
      <c r="J420" s="112" t="s">
        <v>1514</v>
      </c>
      <c r="K420" s="112" t="s">
        <v>1722</v>
      </c>
      <c r="L420" s="116">
        <v>-97</v>
      </c>
      <c r="M420" s="116">
        <f t="shared" si="6"/>
        <v>-9.7000000000000003E-2</v>
      </c>
    </row>
    <row r="421" spans="1:13" hidden="1" x14ac:dyDescent="0.35">
      <c r="A421" s="112" t="s">
        <v>1509</v>
      </c>
      <c r="B421" s="112" t="s">
        <v>1510</v>
      </c>
      <c r="C421" s="112" t="s">
        <v>695</v>
      </c>
      <c r="D421" s="113">
        <v>10347977</v>
      </c>
      <c r="E421" s="115">
        <v>43924</v>
      </c>
      <c r="F421" s="114">
        <v>202101</v>
      </c>
      <c r="G421" s="112" t="s">
        <v>1091</v>
      </c>
      <c r="H421" s="112" t="s">
        <v>1015</v>
      </c>
      <c r="I421" s="112" t="s">
        <v>751</v>
      </c>
      <c r="J421" s="112" t="s">
        <v>1514</v>
      </c>
      <c r="K421" s="112" t="s">
        <v>1723</v>
      </c>
      <c r="L421" s="116">
        <v>-54</v>
      </c>
      <c r="M421" s="116">
        <f t="shared" si="6"/>
        <v>-5.3999999999999999E-2</v>
      </c>
    </row>
    <row r="422" spans="1:13" hidden="1" x14ac:dyDescent="0.35">
      <c r="A422" s="112" t="s">
        <v>1509</v>
      </c>
      <c r="B422" s="112" t="s">
        <v>1510</v>
      </c>
      <c r="C422" s="112" t="s">
        <v>695</v>
      </c>
      <c r="D422" s="113">
        <v>10347977</v>
      </c>
      <c r="E422" s="115">
        <v>43924</v>
      </c>
      <c r="F422" s="114">
        <v>202101</v>
      </c>
      <c r="G422" s="112" t="s">
        <v>1091</v>
      </c>
      <c r="H422" s="112" t="s">
        <v>1015</v>
      </c>
      <c r="I422" s="112" t="s">
        <v>749</v>
      </c>
      <c r="J422" s="112" t="s">
        <v>1514</v>
      </c>
      <c r="K422" s="112" t="s">
        <v>1724</v>
      </c>
      <c r="L422" s="116">
        <v>-22</v>
      </c>
      <c r="M422" s="116">
        <f t="shared" si="6"/>
        <v>-2.1999999999999999E-2</v>
      </c>
    </row>
    <row r="423" spans="1:13" hidden="1" x14ac:dyDescent="0.35">
      <c r="A423" s="112" t="s">
        <v>1509</v>
      </c>
      <c r="B423" s="112" t="s">
        <v>1510</v>
      </c>
      <c r="C423" s="112" t="s">
        <v>695</v>
      </c>
      <c r="D423" s="113">
        <v>10347977</v>
      </c>
      <c r="E423" s="115">
        <v>43924</v>
      </c>
      <c r="F423" s="114">
        <v>202101</v>
      </c>
      <c r="G423" s="112" t="s">
        <v>1091</v>
      </c>
      <c r="H423" s="112" t="s">
        <v>1015</v>
      </c>
      <c r="I423" s="112" t="s">
        <v>751</v>
      </c>
      <c r="J423" s="112" t="s">
        <v>1514</v>
      </c>
      <c r="K423" s="112" t="s">
        <v>1725</v>
      </c>
      <c r="L423" s="116">
        <v>-656</v>
      </c>
      <c r="M423" s="116">
        <f t="shared" si="6"/>
        <v>-0.65600000000000003</v>
      </c>
    </row>
    <row r="424" spans="1:13" hidden="1" x14ac:dyDescent="0.35">
      <c r="A424" s="112" t="s">
        <v>1509</v>
      </c>
      <c r="B424" s="112" t="s">
        <v>1510</v>
      </c>
      <c r="C424" s="112" t="s">
        <v>695</v>
      </c>
      <c r="D424" s="113">
        <v>10347977</v>
      </c>
      <c r="E424" s="115">
        <v>43924</v>
      </c>
      <c r="F424" s="114">
        <v>202101</v>
      </c>
      <c r="G424" s="112" t="s">
        <v>1091</v>
      </c>
      <c r="H424" s="112" t="s">
        <v>1015</v>
      </c>
      <c r="I424" s="112" t="s">
        <v>751</v>
      </c>
      <c r="J424" s="112" t="s">
        <v>1514</v>
      </c>
      <c r="K424" s="112" t="s">
        <v>1726</v>
      </c>
      <c r="L424" s="116">
        <v>-37</v>
      </c>
      <c r="M424" s="116">
        <f t="shared" si="6"/>
        <v>-3.6999999999999998E-2</v>
      </c>
    </row>
    <row r="425" spans="1:13" hidden="1" x14ac:dyDescent="0.35">
      <c r="A425" s="112" t="s">
        <v>1509</v>
      </c>
      <c r="B425" s="112" t="s">
        <v>1510</v>
      </c>
      <c r="C425" s="112" t="s">
        <v>695</v>
      </c>
      <c r="D425" s="113">
        <v>10347977</v>
      </c>
      <c r="E425" s="115">
        <v>43924</v>
      </c>
      <c r="F425" s="114">
        <v>202101</v>
      </c>
      <c r="G425" s="112" t="s">
        <v>1091</v>
      </c>
      <c r="H425" s="112" t="s">
        <v>1015</v>
      </c>
      <c r="I425" s="112" t="s">
        <v>757</v>
      </c>
      <c r="J425" s="112" t="s">
        <v>1514</v>
      </c>
      <c r="K425" s="112" t="s">
        <v>1727</v>
      </c>
      <c r="L425" s="116">
        <v>-3</v>
      </c>
      <c r="M425" s="116">
        <f t="shared" si="6"/>
        <v>-3.0000000000000001E-3</v>
      </c>
    </row>
    <row r="426" spans="1:13" hidden="1" x14ac:dyDescent="0.35">
      <c r="A426" s="112" t="s">
        <v>1509</v>
      </c>
      <c r="B426" s="112" t="s">
        <v>1510</v>
      </c>
      <c r="C426" s="112" t="s">
        <v>695</v>
      </c>
      <c r="D426" s="113">
        <v>10347977</v>
      </c>
      <c r="E426" s="115">
        <v>43924</v>
      </c>
      <c r="F426" s="114">
        <v>202101</v>
      </c>
      <c r="G426" s="112" t="s">
        <v>1091</v>
      </c>
      <c r="H426" s="112" t="s">
        <v>1015</v>
      </c>
      <c r="I426" s="112" t="s">
        <v>749</v>
      </c>
      <c r="J426" s="112" t="s">
        <v>1514</v>
      </c>
      <c r="K426" s="112" t="s">
        <v>1728</v>
      </c>
      <c r="L426" s="116">
        <v>-777</v>
      </c>
      <c r="M426" s="116">
        <f t="shared" si="6"/>
        <v>-0.77700000000000002</v>
      </c>
    </row>
    <row r="427" spans="1:13" hidden="1" x14ac:dyDescent="0.35">
      <c r="A427" s="112" t="s">
        <v>1509</v>
      </c>
      <c r="B427" s="112" t="s">
        <v>1510</v>
      </c>
      <c r="C427" s="112" t="s">
        <v>695</v>
      </c>
      <c r="D427" s="113">
        <v>10347977</v>
      </c>
      <c r="E427" s="115">
        <v>43924</v>
      </c>
      <c r="F427" s="114">
        <v>202101</v>
      </c>
      <c r="G427" s="112" t="s">
        <v>1091</v>
      </c>
      <c r="H427" s="112" t="s">
        <v>1015</v>
      </c>
      <c r="I427" s="112" t="s">
        <v>749</v>
      </c>
      <c r="J427" s="112" t="s">
        <v>1514</v>
      </c>
      <c r="K427" s="112" t="s">
        <v>1729</v>
      </c>
      <c r="L427" s="116">
        <v>-23</v>
      </c>
      <c r="M427" s="116">
        <f t="shared" si="6"/>
        <v>-2.3E-2</v>
      </c>
    </row>
    <row r="428" spans="1:13" hidden="1" x14ac:dyDescent="0.35">
      <c r="A428" s="112" t="s">
        <v>1509</v>
      </c>
      <c r="B428" s="112" t="s">
        <v>1510</v>
      </c>
      <c r="C428" s="112" t="s">
        <v>695</v>
      </c>
      <c r="D428" s="113">
        <v>10347977</v>
      </c>
      <c r="E428" s="115">
        <v>43924</v>
      </c>
      <c r="F428" s="114">
        <v>202101</v>
      </c>
      <c r="G428" s="112" t="s">
        <v>1091</v>
      </c>
      <c r="H428" s="112" t="s">
        <v>1015</v>
      </c>
      <c r="I428" s="112" t="s">
        <v>757</v>
      </c>
      <c r="J428" s="112" t="s">
        <v>1525</v>
      </c>
      <c r="K428" s="112" t="s">
        <v>1732</v>
      </c>
      <c r="L428" s="116">
        <v>-329</v>
      </c>
      <c r="M428" s="116">
        <f t="shared" si="6"/>
        <v>-0.32900000000000001</v>
      </c>
    </row>
    <row r="429" spans="1:13" hidden="1" x14ac:dyDescent="0.35">
      <c r="A429" s="112" t="s">
        <v>1509</v>
      </c>
      <c r="B429" s="112" t="s">
        <v>1510</v>
      </c>
      <c r="C429" s="112" t="s">
        <v>695</v>
      </c>
      <c r="D429" s="113">
        <v>10347977</v>
      </c>
      <c r="E429" s="115">
        <v>43924</v>
      </c>
      <c r="F429" s="114">
        <v>202101</v>
      </c>
      <c r="G429" s="112" t="s">
        <v>1091</v>
      </c>
      <c r="H429" s="112" t="s">
        <v>1015</v>
      </c>
      <c r="I429" s="112" t="s">
        <v>749</v>
      </c>
      <c r="J429" s="112" t="s">
        <v>1514</v>
      </c>
      <c r="K429" s="112" t="s">
        <v>1734</v>
      </c>
      <c r="L429" s="116">
        <v>-133</v>
      </c>
      <c r="M429" s="116">
        <f t="shared" si="6"/>
        <v>-0.13300000000000001</v>
      </c>
    </row>
    <row r="430" spans="1:13" hidden="1" x14ac:dyDescent="0.35">
      <c r="A430" s="112" t="s">
        <v>1509</v>
      </c>
      <c r="B430" s="112" t="s">
        <v>1510</v>
      </c>
      <c r="C430" s="112" t="s">
        <v>695</v>
      </c>
      <c r="D430" s="113">
        <v>10347977</v>
      </c>
      <c r="E430" s="115">
        <v>43924</v>
      </c>
      <c r="F430" s="114">
        <v>202101</v>
      </c>
      <c r="G430" s="112" t="s">
        <v>1091</v>
      </c>
      <c r="H430" s="112" t="s">
        <v>1015</v>
      </c>
      <c r="I430" s="112" t="s">
        <v>751</v>
      </c>
      <c r="J430" s="112" t="s">
        <v>1512</v>
      </c>
      <c r="K430" s="112" t="s">
        <v>1739</v>
      </c>
      <c r="L430" s="116">
        <v>-93</v>
      </c>
      <c r="M430" s="116">
        <f t="shared" si="6"/>
        <v>-9.2999999999999999E-2</v>
      </c>
    </row>
    <row r="431" spans="1:13" hidden="1" x14ac:dyDescent="0.35">
      <c r="A431" s="112" t="s">
        <v>1509</v>
      </c>
      <c r="B431" s="112" t="s">
        <v>1510</v>
      </c>
      <c r="C431" s="112" t="s">
        <v>695</v>
      </c>
      <c r="D431" s="113">
        <v>10347977</v>
      </c>
      <c r="E431" s="115">
        <v>43924</v>
      </c>
      <c r="F431" s="114">
        <v>202101</v>
      </c>
      <c r="G431" s="112" t="s">
        <v>1091</v>
      </c>
      <c r="H431" s="112" t="s">
        <v>1015</v>
      </c>
      <c r="I431" s="112" t="s">
        <v>749</v>
      </c>
      <c r="J431" s="112" t="s">
        <v>1512</v>
      </c>
      <c r="K431" s="112" t="s">
        <v>1741</v>
      </c>
      <c r="L431" s="116">
        <v>-69</v>
      </c>
      <c r="M431" s="116">
        <f t="shared" si="6"/>
        <v>-6.9000000000000006E-2</v>
      </c>
    </row>
    <row r="432" spans="1:13" hidden="1" x14ac:dyDescent="0.35">
      <c r="A432" s="112" t="s">
        <v>1509</v>
      </c>
      <c r="B432" s="112" t="s">
        <v>1510</v>
      </c>
      <c r="C432" s="112" t="s">
        <v>695</v>
      </c>
      <c r="D432" s="113">
        <v>10347977</v>
      </c>
      <c r="E432" s="115">
        <v>43924</v>
      </c>
      <c r="F432" s="114">
        <v>202101</v>
      </c>
      <c r="G432" s="112" t="s">
        <v>1091</v>
      </c>
      <c r="H432" s="112" t="s">
        <v>1015</v>
      </c>
      <c r="I432" s="112" t="s">
        <v>751</v>
      </c>
      <c r="J432" s="112" t="s">
        <v>1514</v>
      </c>
      <c r="K432" s="112" t="s">
        <v>1742</v>
      </c>
      <c r="L432" s="116">
        <v>-123</v>
      </c>
      <c r="M432" s="116">
        <f t="shared" si="6"/>
        <v>-0.123</v>
      </c>
    </row>
    <row r="433" spans="1:13" hidden="1" x14ac:dyDescent="0.35">
      <c r="A433" s="112" t="s">
        <v>1509</v>
      </c>
      <c r="B433" s="112" t="s">
        <v>902</v>
      </c>
      <c r="C433" s="112" t="s">
        <v>695</v>
      </c>
      <c r="D433" s="113">
        <v>10348240</v>
      </c>
      <c r="E433" s="115">
        <v>43936</v>
      </c>
      <c r="F433" s="114">
        <v>202101</v>
      </c>
      <c r="G433" s="112" t="s">
        <v>1091</v>
      </c>
      <c r="H433" s="112" t="s">
        <v>1015</v>
      </c>
      <c r="I433" s="112" t="s">
        <v>763</v>
      </c>
      <c r="J433" s="112" t="s">
        <v>1545</v>
      </c>
      <c r="K433" s="112" t="s">
        <v>1743</v>
      </c>
      <c r="L433" s="116">
        <v>-101343</v>
      </c>
      <c r="M433" s="116">
        <f t="shared" si="6"/>
        <v>-101.343</v>
      </c>
    </row>
    <row r="434" spans="1:13" hidden="1" x14ac:dyDescent="0.35">
      <c r="A434" s="112" t="s">
        <v>1509</v>
      </c>
      <c r="B434" s="112" t="s">
        <v>1510</v>
      </c>
      <c r="C434" s="112" t="s">
        <v>695</v>
      </c>
      <c r="D434" s="113">
        <v>10348420</v>
      </c>
      <c r="E434" s="115">
        <v>43945</v>
      </c>
      <c r="F434" s="114">
        <v>202101</v>
      </c>
      <c r="G434" s="112" t="s">
        <v>1091</v>
      </c>
      <c r="H434" s="112" t="s">
        <v>1015</v>
      </c>
      <c r="I434" s="112" t="s">
        <v>1532</v>
      </c>
      <c r="J434" s="112" t="s">
        <v>1533</v>
      </c>
      <c r="K434" s="112" t="s">
        <v>1744</v>
      </c>
      <c r="L434" s="116">
        <v>-2377.0300000000002</v>
      </c>
      <c r="M434" s="116">
        <f t="shared" si="6"/>
        <v>-2.3770300000000004</v>
      </c>
    </row>
    <row r="435" spans="1:13" hidden="1" x14ac:dyDescent="0.35">
      <c r="A435" s="112" t="s">
        <v>1509</v>
      </c>
      <c r="B435" s="112" t="s">
        <v>902</v>
      </c>
      <c r="C435" s="112" t="s">
        <v>695</v>
      </c>
      <c r="D435" s="113">
        <v>10348188</v>
      </c>
      <c r="E435" s="115">
        <v>43934</v>
      </c>
      <c r="F435" s="114">
        <v>202101</v>
      </c>
      <c r="G435" s="112" t="s">
        <v>1091</v>
      </c>
      <c r="H435" s="112" t="s">
        <v>1016</v>
      </c>
      <c r="I435" s="112" t="s">
        <v>860</v>
      </c>
      <c r="J435" s="112" t="s">
        <v>1606</v>
      </c>
      <c r="K435" s="112" t="s">
        <v>1745</v>
      </c>
      <c r="L435" s="116">
        <v>-23750</v>
      </c>
      <c r="M435" s="116">
        <f t="shared" si="6"/>
        <v>-23.75</v>
      </c>
    </row>
    <row r="436" spans="1:13" hidden="1" x14ac:dyDescent="0.35">
      <c r="A436" s="112" t="s">
        <v>1509</v>
      </c>
      <c r="B436" s="112" t="s">
        <v>1510</v>
      </c>
      <c r="C436" s="112" t="s">
        <v>695</v>
      </c>
      <c r="D436" s="113">
        <v>10348188</v>
      </c>
      <c r="E436" s="115">
        <v>43934</v>
      </c>
      <c r="F436" s="114">
        <v>202101</v>
      </c>
      <c r="G436" s="112" t="s">
        <v>1091</v>
      </c>
      <c r="H436" s="112" t="s">
        <v>1016</v>
      </c>
      <c r="I436" s="112" t="s">
        <v>1746</v>
      </c>
      <c r="J436" s="112" t="s">
        <v>1533</v>
      </c>
      <c r="K436" s="112" t="s">
        <v>1747</v>
      </c>
      <c r="L436" s="116">
        <v>6279.15</v>
      </c>
      <c r="M436" s="116">
        <f t="shared" si="6"/>
        <v>6.2791499999999996</v>
      </c>
    </row>
    <row r="437" spans="1:13" hidden="1" x14ac:dyDescent="0.35">
      <c r="A437" s="112" t="s">
        <v>1509</v>
      </c>
      <c r="B437" s="112" t="s">
        <v>1510</v>
      </c>
      <c r="C437" s="112" t="s">
        <v>695</v>
      </c>
      <c r="D437" s="113">
        <v>10348188</v>
      </c>
      <c r="E437" s="115">
        <v>43934</v>
      </c>
      <c r="F437" s="114">
        <v>202101</v>
      </c>
      <c r="G437" s="112" t="s">
        <v>1091</v>
      </c>
      <c r="H437" s="112" t="s">
        <v>1016</v>
      </c>
      <c r="I437" s="112" t="s">
        <v>1746</v>
      </c>
      <c r="J437" s="112" t="s">
        <v>1533</v>
      </c>
      <c r="K437" s="112" t="s">
        <v>1748</v>
      </c>
      <c r="L437" s="116">
        <v>3700</v>
      </c>
      <c r="M437" s="116">
        <f t="shared" si="6"/>
        <v>3.7</v>
      </c>
    </row>
    <row r="438" spans="1:13" hidden="1" x14ac:dyDescent="0.35">
      <c r="A438" s="112" t="s">
        <v>1509</v>
      </c>
      <c r="B438" s="112" t="s">
        <v>1510</v>
      </c>
      <c r="C438" s="112" t="s">
        <v>695</v>
      </c>
      <c r="D438" s="113">
        <v>10348211</v>
      </c>
      <c r="E438" s="115">
        <v>43935</v>
      </c>
      <c r="F438" s="114">
        <v>202101</v>
      </c>
      <c r="G438" s="112" t="s">
        <v>1091</v>
      </c>
      <c r="H438" s="112" t="s">
        <v>1016</v>
      </c>
      <c r="I438" s="112" t="s">
        <v>823</v>
      </c>
      <c r="J438" s="112" t="s">
        <v>1525</v>
      </c>
      <c r="K438" s="112" t="s">
        <v>1749</v>
      </c>
      <c r="L438" s="116">
        <v>-2111.66</v>
      </c>
      <c r="M438" s="116">
        <f t="shared" si="6"/>
        <v>-2.1116599999999996</v>
      </c>
    </row>
    <row r="439" spans="1:13" hidden="1" x14ac:dyDescent="0.35">
      <c r="A439" s="112" t="s">
        <v>1509</v>
      </c>
      <c r="B439" s="112" t="s">
        <v>1510</v>
      </c>
      <c r="C439" s="112" t="s">
        <v>695</v>
      </c>
      <c r="D439" s="113">
        <v>10348211</v>
      </c>
      <c r="E439" s="115">
        <v>43935</v>
      </c>
      <c r="F439" s="114">
        <v>202101</v>
      </c>
      <c r="G439" s="112" t="s">
        <v>1091</v>
      </c>
      <c r="H439" s="112" t="s">
        <v>1016</v>
      </c>
      <c r="I439" s="112" t="s">
        <v>823</v>
      </c>
      <c r="J439" s="112" t="s">
        <v>1512</v>
      </c>
      <c r="K439" s="112" t="s">
        <v>1750</v>
      </c>
      <c r="L439" s="116">
        <v>-12929.17</v>
      </c>
      <c r="M439" s="116">
        <f t="shared" si="6"/>
        <v>-12.929170000000001</v>
      </c>
    </row>
    <row r="440" spans="1:13" hidden="1" x14ac:dyDescent="0.35">
      <c r="A440" s="112" t="s">
        <v>1509</v>
      </c>
      <c r="B440" s="112" t="s">
        <v>1510</v>
      </c>
      <c r="C440" s="112" t="s">
        <v>695</v>
      </c>
      <c r="D440" s="113">
        <v>10348211</v>
      </c>
      <c r="E440" s="115">
        <v>43935</v>
      </c>
      <c r="F440" s="114">
        <v>202101</v>
      </c>
      <c r="G440" s="112" t="s">
        <v>1091</v>
      </c>
      <c r="H440" s="112" t="s">
        <v>1016</v>
      </c>
      <c r="I440" s="112" t="s">
        <v>823</v>
      </c>
      <c r="J440" s="112" t="s">
        <v>1514</v>
      </c>
      <c r="K440" s="112" t="s">
        <v>1751</v>
      </c>
      <c r="L440" s="116">
        <v>-324835.38</v>
      </c>
      <c r="M440" s="116">
        <f t="shared" si="6"/>
        <v>-324.83537999999999</v>
      </c>
    </row>
    <row r="441" spans="1:13" hidden="1" x14ac:dyDescent="0.35">
      <c r="A441" s="112" t="s">
        <v>1509</v>
      </c>
      <c r="B441" s="112" t="s">
        <v>1510</v>
      </c>
      <c r="C441" s="112" t="s">
        <v>695</v>
      </c>
      <c r="D441" s="113">
        <v>10348211</v>
      </c>
      <c r="E441" s="115">
        <v>43935</v>
      </c>
      <c r="F441" s="114">
        <v>202101</v>
      </c>
      <c r="G441" s="112" t="s">
        <v>1091</v>
      </c>
      <c r="H441" s="112" t="s">
        <v>1016</v>
      </c>
      <c r="I441" s="112" t="s">
        <v>1752</v>
      </c>
      <c r="J441" s="112" t="s">
        <v>1611</v>
      </c>
      <c r="K441" s="112" t="s">
        <v>1753</v>
      </c>
      <c r="L441" s="116">
        <v>-1875</v>
      </c>
      <c r="M441" s="116">
        <f t="shared" si="6"/>
        <v>-1.875</v>
      </c>
    </row>
    <row r="442" spans="1:13" hidden="1" x14ac:dyDescent="0.35">
      <c r="A442" s="112" t="s">
        <v>1509</v>
      </c>
      <c r="B442" s="112" t="s">
        <v>1510</v>
      </c>
      <c r="C442" s="112" t="s">
        <v>695</v>
      </c>
      <c r="D442" s="113">
        <v>10348211</v>
      </c>
      <c r="E442" s="115">
        <v>43935</v>
      </c>
      <c r="F442" s="114">
        <v>202101</v>
      </c>
      <c r="G442" s="112" t="s">
        <v>1091</v>
      </c>
      <c r="H442" s="112" t="s">
        <v>1016</v>
      </c>
      <c r="I442" s="112" t="s">
        <v>823</v>
      </c>
      <c r="J442" s="112" t="s">
        <v>1611</v>
      </c>
      <c r="K442" s="112" t="s">
        <v>1753</v>
      </c>
      <c r="L442" s="116">
        <v>-9950</v>
      </c>
      <c r="M442" s="116">
        <f t="shared" si="6"/>
        <v>-9.9499999999999993</v>
      </c>
    </row>
    <row r="443" spans="1:13" hidden="1" x14ac:dyDescent="0.35">
      <c r="A443" s="112" t="s">
        <v>1509</v>
      </c>
      <c r="B443" s="112" t="s">
        <v>1510</v>
      </c>
      <c r="C443" s="112" t="s">
        <v>695</v>
      </c>
      <c r="D443" s="113">
        <v>10348211</v>
      </c>
      <c r="E443" s="115">
        <v>43935</v>
      </c>
      <c r="F443" s="114">
        <v>202101</v>
      </c>
      <c r="G443" s="112" t="s">
        <v>1091</v>
      </c>
      <c r="H443" s="112" t="s">
        <v>1016</v>
      </c>
      <c r="I443" s="112" t="s">
        <v>823</v>
      </c>
      <c r="J443" s="112" t="s">
        <v>1514</v>
      </c>
      <c r="K443" s="112" t="s">
        <v>1754</v>
      </c>
      <c r="L443" s="116">
        <v>-431481.67</v>
      </c>
      <c r="M443" s="116">
        <f t="shared" si="6"/>
        <v>-431.48167000000001</v>
      </c>
    </row>
    <row r="444" spans="1:13" hidden="1" x14ac:dyDescent="0.35">
      <c r="A444" s="112" t="s">
        <v>1509</v>
      </c>
      <c r="B444" s="112" t="s">
        <v>1510</v>
      </c>
      <c r="C444" s="112" t="s">
        <v>695</v>
      </c>
      <c r="D444" s="113">
        <v>10348211</v>
      </c>
      <c r="E444" s="115">
        <v>43935</v>
      </c>
      <c r="F444" s="114">
        <v>202101</v>
      </c>
      <c r="G444" s="112" t="s">
        <v>1091</v>
      </c>
      <c r="H444" s="112" t="s">
        <v>1016</v>
      </c>
      <c r="I444" s="112" t="s">
        <v>823</v>
      </c>
      <c r="J444" s="112" t="s">
        <v>1512</v>
      </c>
      <c r="K444" s="112" t="s">
        <v>1755</v>
      </c>
      <c r="L444" s="116">
        <v>-75698.75</v>
      </c>
      <c r="M444" s="116">
        <f t="shared" si="6"/>
        <v>-75.698750000000004</v>
      </c>
    </row>
    <row r="445" spans="1:13" hidden="1" x14ac:dyDescent="0.35">
      <c r="A445" s="112" t="s">
        <v>1509</v>
      </c>
      <c r="B445" s="112" t="s">
        <v>1510</v>
      </c>
      <c r="C445" s="112" t="s">
        <v>695</v>
      </c>
      <c r="D445" s="113">
        <v>10348211</v>
      </c>
      <c r="E445" s="115">
        <v>43935</v>
      </c>
      <c r="F445" s="114">
        <v>202101</v>
      </c>
      <c r="G445" s="112" t="s">
        <v>1091</v>
      </c>
      <c r="H445" s="112" t="s">
        <v>1016</v>
      </c>
      <c r="I445" s="112" t="s">
        <v>823</v>
      </c>
      <c r="J445" s="112" t="s">
        <v>1525</v>
      </c>
      <c r="K445" s="112" t="s">
        <v>1756</v>
      </c>
      <c r="L445" s="116">
        <v>-7603.57</v>
      </c>
      <c r="M445" s="116">
        <f t="shared" si="6"/>
        <v>-7.6035699999999995</v>
      </c>
    </row>
    <row r="446" spans="1:13" hidden="1" x14ac:dyDescent="0.35">
      <c r="A446" s="112" t="s">
        <v>1509</v>
      </c>
      <c r="B446" s="112" t="s">
        <v>1510</v>
      </c>
      <c r="C446" s="112" t="s">
        <v>695</v>
      </c>
      <c r="D446" s="113">
        <v>10348211</v>
      </c>
      <c r="E446" s="115">
        <v>43935</v>
      </c>
      <c r="F446" s="114">
        <v>202101</v>
      </c>
      <c r="G446" s="112" t="s">
        <v>1091</v>
      </c>
      <c r="H446" s="112" t="s">
        <v>1016</v>
      </c>
      <c r="I446" s="112" t="s">
        <v>860</v>
      </c>
      <c r="J446" s="112" t="s">
        <v>1514</v>
      </c>
      <c r="K446" s="112" t="s">
        <v>1751</v>
      </c>
      <c r="L446" s="116">
        <v>-1004194.55</v>
      </c>
      <c r="M446" s="116">
        <f t="shared" si="6"/>
        <v>-1004.19455</v>
      </c>
    </row>
    <row r="447" spans="1:13" hidden="1" x14ac:dyDescent="0.35">
      <c r="A447" s="112" t="s">
        <v>1509</v>
      </c>
      <c r="B447" s="112" t="s">
        <v>1510</v>
      </c>
      <c r="C447" s="112" t="s">
        <v>695</v>
      </c>
      <c r="D447" s="113">
        <v>10348211</v>
      </c>
      <c r="E447" s="115">
        <v>43935</v>
      </c>
      <c r="F447" s="114">
        <v>202101</v>
      </c>
      <c r="G447" s="112" t="s">
        <v>1091</v>
      </c>
      <c r="H447" s="112" t="s">
        <v>1016</v>
      </c>
      <c r="I447" s="112" t="s">
        <v>860</v>
      </c>
      <c r="J447" s="112" t="s">
        <v>1514</v>
      </c>
      <c r="K447" s="112" t="s">
        <v>1754</v>
      </c>
      <c r="L447" s="116">
        <v>-634159.53</v>
      </c>
      <c r="M447" s="116">
        <f t="shared" si="6"/>
        <v>-634.15953000000002</v>
      </c>
    </row>
    <row r="448" spans="1:13" hidden="1" x14ac:dyDescent="0.35">
      <c r="A448" s="112" t="s">
        <v>1509</v>
      </c>
      <c r="B448" s="112" t="s">
        <v>1510</v>
      </c>
      <c r="C448" s="112" t="s">
        <v>695</v>
      </c>
      <c r="D448" s="113">
        <v>10348188</v>
      </c>
      <c r="E448" s="115">
        <v>43934</v>
      </c>
      <c r="F448" s="114">
        <v>202101</v>
      </c>
      <c r="G448" s="112" t="s">
        <v>1091</v>
      </c>
      <c r="H448" s="112" t="s">
        <v>1016</v>
      </c>
      <c r="I448" s="112" t="s">
        <v>823</v>
      </c>
      <c r="J448" s="112" t="s">
        <v>1611</v>
      </c>
      <c r="K448" s="112" t="s">
        <v>1757</v>
      </c>
      <c r="L448" s="116">
        <v>-5875</v>
      </c>
      <c r="M448" s="116">
        <f t="shared" si="6"/>
        <v>-5.875</v>
      </c>
    </row>
    <row r="449" spans="1:13" hidden="1" x14ac:dyDescent="0.35">
      <c r="A449" s="112" t="s">
        <v>1509</v>
      </c>
      <c r="B449" s="112" t="s">
        <v>1510</v>
      </c>
      <c r="C449" s="112" t="s">
        <v>695</v>
      </c>
      <c r="D449" s="113">
        <v>10348188</v>
      </c>
      <c r="E449" s="115">
        <v>43934</v>
      </c>
      <c r="F449" s="114">
        <v>202101</v>
      </c>
      <c r="G449" s="112" t="s">
        <v>1091</v>
      </c>
      <c r="H449" s="112" t="s">
        <v>1016</v>
      </c>
      <c r="I449" s="112" t="s">
        <v>823</v>
      </c>
      <c r="J449" s="112" t="s">
        <v>1611</v>
      </c>
      <c r="K449" s="112" t="s">
        <v>1765</v>
      </c>
      <c r="L449" s="116">
        <v>-4075</v>
      </c>
      <c r="M449" s="116">
        <f t="shared" si="6"/>
        <v>-4.0750000000000002</v>
      </c>
    </row>
    <row r="450" spans="1:13" hidden="1" x14ac:dyDescent="0.35">
      <c r="A450" s="112" t="s">
        <v>1509</v>
      </c>
      <c r="B450" s="112" t="s">
        <v>1520</v>
      </c>
      <c r="C450" s="112" t="s">
        <v>695</v>
      </c>
      <c r="D450" s="113">
        <v>10348163</v>
      </c>
      <c r="E450" s="115">
        <v>43930</v>
      </c>
      <c r="F450" s="114">
        <v>202101</v>
      </c>
      <c r="G450" s="112" t="s">
        <v>1091</v>
      </c>
      <c r="H450" s="112" t="s">
        <v>1016</v>
      </c>
      <c r="I450" s="112" t="s">
        <v>1328</v>
      </c>
      <c r="J450" s="112" t="s">
        <v>1537</v>
      </c>
      <c r="K450" s="112" t="s">
        <v>1772</v>
      </c>
      <c r="L450" s="116">
        <v>426000</v>
      </c>
      <c r="M450" s="116">
        <f t="shared" si="6"/>
        <v>426</v>
      </c>
    </row>
    <row r="451" spans="1:13" hidden="1" x14ac:dyDescent="0.35">
      <c r="A451" s="112" t="s">
        <v>1509</v>
      </c>
      <c r="B451" s="112" t="s">
        <v>1520</v>
      </c>
      <c r="C451" s="112" t="s">
        <v>695</v>
      </c>
      <c r="D451" s="113">
        <v>10348163</v>
      </c>
      <c r="E451" s="115">
        <v>43930</v>
      </c>
      <c r="F451" s="114">
        <v>202101</v>
      </c>
      <c r="G451" s="112" t="s">
        <v>1091</v>
      </c>
      <c r="H451" s="112" t="s">
        <v>1016</v>
      </c>
      <c r="I451" s="112" t="s">
        <v>1328</v>
      </c>
      <c r="J451" s="112" t="s">
        <v>1537</v>
      </c>
      <c r="K451" s="112" t="s">
        <v>1773</v>
      </c>
      <c r="L451" s="116">
        <v>25000</v>
      </c>
      <c r="M451" s="116">
        <f t="shared" ref="M451:M514" si="7">L451/1000</f>
        <v>25</v>
      </c>
    </row>
    <row r="452" spans="1:13" hidden="1" x14ac:dyDescent="0.35">
      <c r="A452" s="112" t="s">
        <v>1509</v>
      </c>
      <c r="B452" s="112" t="s">
        <v>1510</v>
      </c>
      <c r="C452" s="112" t="s">
        <v>695</v>
      </c>
      <c r="D452" s="113">
        <v>10348188</v>
      </c>
      <c r="E452" s="115">
        <v>43934</v>
      </c>
      <c r="F452" s="114">
        <v>202101</v>
      </c>
      <c r="G452" s="112" t="s">
        <v>1091</v>
      </c>
      <c r="H452" s="112" t="s">
        <v>1016</v>
      </c>
      <c r="I452" s="112" t="s">
        <v>1752</v>
      </c>
      <c r="J452" s="112" t="s">
        <v>1512</v>
      </c>
      <c r="K452" s="112" t="s">
        <v>1774</v>
      </c>
      <c r="L452" s="116">
        <v>25000</v>
      </c>
      <c r="M452" s="116">
        <f t="shared" si="7"/>
        <v>25</v>
      </c>
    </row>
    <row r="453" spans="1:13" hidden="1" x14ac:dyDescent="0.35">
      <c r="A453" s="112" t="s">
        <v>1509</v>
      </c>
      <c r="B453" s="112" t="s">
        <v>1510</v>
      </c>
      <c r="C453" s="112" t="s">
        <v>695</v>
      </c>
      <c r="D453" s="113">
        <v>10348188</v>
      </c>
      <c r="E453" s="115">
        <v>43934</v>
      </c>
      <c r="F453" s="114">
        <v>202101</v>
      </c>
      <c r="G453" s="112" t="s">
        <v>1091</v>
      </c>
      <c r="H453" s="112" t="s">
        <v>1016</v>
      </c>
      <c r="I453" s="112" t="s">
        <v>1752</v>
      </c>
      <c r="J453" s="112" t="s">
        <v>1611</v>
      </c>
      <c r="K453" s="112" t="s">
        <v>1775</v>
      </c>
      <c r="L453" s="116">
        <v>13773</v>
      </c>
      <c r="M453" s="116">
        <f t="shared" si="7"/>
        <v>13.773</v>
      </c>
    </row>
    <row r="454" spans="1:13" hidden="1" x14ac:dyDescent="0.35">
      <c r="A454" s="112" t="s">
        <v>1509</v>
      </c>
      <c r="B454" s="112" t="s">
        <v>1510</v>
      </c>
      <c r="C454" s="112" t="s">
        <v>695</v>
      </c>
      <c r="D454" s="113">
        <v>10348188</v>
      </c>
      <c r="E454" s="115">
        <v>43934</v>
      </c>
      <c r="F454" s="114">
        <v>202101</v>
      </c>
      <c r="G454" s="112" t="s">
        <v>1091</v>
      </c>
      <c r="H454" s="112" t="s">
        <v>1016</v>
      </c>
      <c r="I454" s="112" t="s">
        <v>1752</v>
      </c>
      <c r="J454" s="112" t="s">
        <v>1611</v>
      </c>
      <c r="K454" s="112" t="s">
        <v>1777</v>
      </c>
      <c r="L454" s="116">
        <v>13500</v>
      </c>
      <c r="M454" s="116">
        <f t="shared" si="7"/>
        <v>13.5</v>
      </c>
    </row>
    <row r="455" spans="1:13" hidden="1" x14ac:dyDescent="0.35">
      <c r="A455" s="112" t="s">
        <v>1509</v>
      </c>
      <c r="B455" s="112" t="s">
        <v>1520</v>
      </c>
      <c r="C455" s="112" t="s">
        <v>695</v>
      </c>
      <c r="D455" s="113">
        <v>10348439</v>
      </c>
      <c r="E455" s="115">
        <v>43945</v>
      </c>
      <c r="F455" s="114">
        <v>202101</v>
      </c>
      <c r="G455" s="112" t="s">
        <v>1091</v>
      </c>
      <c r="H455" s="112" t="s">
        <v>1016</v>
      </c>
      <c r="I455" s="112" t="s">
        <v>1328</v>
      </c>
      <c r="J455" s="112" t="s">
        <v>1537</v>
      </c>
      <c r="K455" s="112" t="s">
        <v>1779</v>
      </c>
      <c r="L455" s="116">
        <v>-25000</v>
      </c>
      <c r="M455" s="116">
        <f t="shared" si="7"/>
        <v>-25</v>
      </c>
    </row>
    <row r="456" spans="1:13" hidden="1" x14ac:dyDescent="0.35">
      <c r="A456" s="112" t="s">
        <v>1509</v>
      </c>
      <c r="B456" s="112" t="s">
        <v>1520</v>
      </c>
      <c r="C456" s="112" t="s">
        <v>695</v>
      </c>
      <c r="D456" s="113">
        <v>10348439</v>
      </c>
      <c r="E456" s="115">
        <v>43945</v>
      </c>
      <c r="F456" s="114">
        <v>202101</v>
      </c>
      <c r="G456" s="112" t="s">
        <v>1091</v>
      </c>
      <c r="H456" s="112" t="s">
        <v>1016</v>
      </c>
      <c r="I456" s="112" t="s">
        <v>1328</v>
      </c>
      <c r="J456" s="112" t="s">
        <v>1537</v>
      </c>
      <c r="K456" s="112" t="s">
        <v>1781</v>
      </c>
      <c r="L456" s="116">
        <v>25000</v>
      </c>
      <c r="M456" s="116">
        <f t="shared" si="7"/>
        <v>25</v>
      </c>
    </row>
    <row r="457" spans="1:13" hidden="1" x14ac:dyDescent="0.35">
      <c r="A457" s="112" t="s">
        <v>1509</v>
      </c>
      <c r="B457" s="112" t="s">
        <v>1520</v>
      </c>
      <c r="C457" s="112" t="s">
        <v>695</v>
      </c>
      <c r="D457" s="113">
        <v>10348439</v>
      </c>
      <c r="E457" s="115">
        <v>43945</v>
      </c>
      <c r="F457" s="114">
        <v>202101</v>
      </c>
      <c r="G457" s="112" t="s">
        <v>1091</v>
      </c>
      <c r="H457" s="112" t="s">
        <v>1016</v>
      </c>
      <c r="I457" s="112" t="s">
        <v>1328</v>
      </c>
      <c r="J457" s="112" t="s">
        <v>1537</v>
      </c>
      <c r="K457" s="112" t="s">
        <v>1782</v>
      </c>
      <c r="L457" s="116">
        <v>-25000</v>
      </c>
      <c r="M457" s="116">
        <f t="shared" si="7"/>
        <v>-25</v>
      </c>
    </row>
    <row r="458" spans="1:13" hidden="1" x14ac:dyDescent="0.35">
      <c r="A458" s="112" t="s">
        <v>1509</v>
      </c>
      <c r="B458" s="112" t="s">
        <v>903</v>
      </c>
      <c r="C458" s="112" t="s">
        <v>695</v>
      </c>
      <c r="D458" s="113">
        <v>10348034</v>
      </c>
      <c r="E458" s="115">
        <v>43928</v>
      </c>
      <c r="F458" s="114">
        <v>202101</v>
      </c>
      <c r="G458" s="112" t="s">
        <v>1091</v>
      </c>
      <c r="H458" s="112" t="s">
        <v>1015</v>
      </c>
      <c r="I458" s="112" t="s">
        <v>1211</v>
      </c>
      <c r="J458" s="112" t="s">
        <v>1551</v>
      </c>
      <c r="K458" s="112" t="s">
        <v>1784</v>
      </c>
      <c r="L458" s="116">
        <v>-12344.56</v>
      </c>
      <c r="M458" s="116">
        <f t="shared" si="7"/>
        <v>-12.34456</v>
      </c>
    </row>
    <row r="459" spans="1:13" hidden="1" x14ac:dyDescent="0.35">
      <c r="A459" s="112" t="s">
        <v>1509</v>
      </c>
      <c r="B459" s="112" t="s">
        <v>1520</v>
      </c>
      <c r="C459" s="112" t="s">
        <v>695</v>
      </c>
      <c r="D459" s="113">
        <v>10348437</v>
      </c>
      <c r="E459" s="115">
        <v>43943</v>
      </c>
      <c r="F459" s="114">
        <v>202101</v>
      </c>
      <c r="G459" s="112" t="s">
        <v>1091</v>
      </c>
      <c r="H459" s="112" t="s">
        <v>1016</v>
      </c>
      <c r="I459" s="112" t="s">
        <v>1328</v>
      </c>
      <c r="J459" s="112" t="s">
        <v>1537</v>
      </c>
      <c r="K459" s="112" t="s">
        <v>1782</v>
      </c>
      <c r="L459" s="116">
        <v>-25000</v>
      </c>
      <c r="M459" s="116">
        <f t="shared" si="7"/>
        <v>-25</v>
      </c>
    </row>
    <row r="460" spans="1:13" hidden="1" x14ac:dyDescent="0.35">
      <c r="A460" s="112" t="s">
        <v>1509</v>
      </c>
      <c r="B460" s="112" t="s">
        <v>1510</v>
      </c>
      <c r="C460" s="112" t="s">
        <v>695</v>
      </c>
      <c r="D460" s="113">
        <v>10348429</v>
      </c>
      <c r="E460" s="115">
        <v>43945</v>
      </c>
      <c r="F460" s="114">
        <v>202101</v>
      </c>
      <c r="G460" s="112" t="s">
        <v>1091</v>
      </c>
      <c r="H460" s="112" t="s">
        <v>1016</v>
      </c>
      <c r="I460" s="112" t="s">
        <v>823</v>
      </c>
      <c r="J460" s="112" t="s">
        <v>1514</v>
      </c>
      <c r="K460" s="112" t="s">
        <v>1786</v>
      </c>
      <c r="L460" s="116">
        <v>-7500</v>
      </c>
      <c r="M460" s="116">
        <f t="shared" si="7"/>
        <v>-7.5</v>
      </c>
    </row>
    <row r="461" spans="1:13" hidden="1" x14ac:dyDescent="0.35">
      <c r="A461" s="112" t="s">
        <v>1509</v>
      </c>
      <c r="B461" s="112" t="s">
        <v>1520</v>
      </c>
      <c r="C461" s="112" t="s">
        <v>695</v>
      </c>
      <c r="D461" s="113">
        <v>10348034</v>
      </c>
      <c r="E461" s="115">
        <v>43928</v>
      </c>
      <c r="F461" s="114">
        <v>202101</v>
      </c>
      <c r="G461" s="112" t="s">
        <v>1091</v>
      </c>
      <c r="H461" s="112" t="s">
        <v>1015</v>
      </c>
      <c r="I461" s="112" t="s">
        <v>1211</v>
      </c>
      <c r="J461" s="112" t="s">
        <v>1537</v>
      </c>
      <c r="K461" s="112" t="s">
        <v>1790</v>
      </c>
      <c r="L461" s="116">
        <v>-6923</v>
      </c>
      <c r="M461" s="116">
        <f t="shared" si="7"/>
        <v>-6.923</v>
      </c>
    </row>
    <row r="462" spans="1:13" hidden="1" x14ac:dyDescent="0.35">
      <c r="A462" s="112" t="s">
        <v>1509</v>
      </c>
      <c r="B462" s="112" t="s">
        <v>1510</v>
      </c>
      <c r="C462" s="112" t="s">
        <v>695</v>
      </c>
      <c r="D462" s="113">
        <v>10348429</v>
      </c>
      <c r="E462" s="115">
        <v>43945</v>
      </c>
      <c r="F462" s="114">
        <v>202101</v>
      </c>
      <c r="G462" s="112" t="s">
        <v>1091</v>
      </c>
      <c r="H462" s="112" t="s">
        <v>1016</v>
      </c>
      <c r="I462" s="112" t="s">
        <v>823</v>
      </c>
      <c r="J462" s="112" t="s">
        <v>1514</v>
      </c>
      <c r="K462" s="112" t="s">
        <v>1792</v>
      </c>
      <c r="L462" s="116">
        <v>9467.5</v>
      </c>
      <c r="M462" s="116">
        <f t="shared" si="7"/>
        <v>9.4674999999999994</v>
      </c>
    </row>
    <row r="463" spans="1:13" hidden="1" x14ac:dyDescent="0.35">
      <c r="A463" s="112" t="s">
        <v>1509</v>
      </c>
      <c r="B463" s="112" t="s">
        <v>903</v>
      </c>
      <c r="C463" s="112" t="s">
        <v>695</v>
      </c>
      <c r="D463" s="113">
        <v>10348034</v>
      </c>
      <c r="E463" s="115">
        <v>43928</v>
      </c>
      <c r="F463" s="114">
        <v>202101</v>
      </c>
      <c r="G463" s="112" t="s">
        <v>1091</v>
      </c>
      <c r="H463" s="112" t="s">
        <v>1015</v>
      </c>
      <c r="I463" s="112" t="s">
        <v>1211</v>
      </c>
      <c r="J463" s="112" t="s">
        <v>1551</v>
      </c>
      <c r="K463" s="112" t="s">
        <v>1798</v>
      </c>
      <c r="L463" s="116">
        <v>-16291.36</v>
      </c>
      <c r="M463" s="116">
        <f t="shared" si="7"/>
        <v>-16.291360000000001</v>
      </c>
    </row>
    <row r="464" spans="1:13" hidden="1" x14ac:dyDescent="0.35">
      <c r="A464" s="112" t="s">
        <v>1509</v>
      </c>
      <c r="B464" s="112" t="s">
        <v>902</v>
      </c>
      <c r="C464" s="112" t="s">
        <v>695</v>
      </c>
      <c r="D464" s="113">
        <v>10348034</v>
      </c>
      <c r="E464" s="115">
        <v>43928</v>
      </c>
      <c r="F464" s="114">
        <v>202101</v>
      </c>
      <c r="G464" s="112" t="s">
        <v>1091</v>
      </c>
      <c r="H464" s="112" t="s">
        <v>1015</v>
      </c>
      <c r="I464" s="112" t="s">
        <v>1211</v>
      </c>
      <c r="J464" s="112" t="s">
        <v>1530</v>
      </c>
      <c r="K464" s="112" t="s">
        <v>1804</v>
      </c>
      <c r="L464" s="116">
        <v>-5522.23</v>
      </c>
      <c r="M464" s="116">
        <f t="shared" si="7"/>
        <v>-5.5222299999999995</v>
      </c>
    </row>
    <row r="465" spans="1:13" hidden="1" x14ac:dyDescent="0.35">
      <c r="A465" s="112" t="s">
        <v>1509</v>
      </c>
      <c r="B465" s="112" t="s">
        <v>1510</v>
      </c>
      <c r="C465" s="112" t="s">
        <v>695</v>
      </c>
      <c r="D465" s="113">
        <v>10348188</v>
      </c>
      <c r="E465" s="115">
        <v>43934</v>
      </c>
      <c r="F465" s="114">
        <v>202101</v>
      </c>
      <c r="G465" s="112" t="s">
        <v>1091</v>
      </c>
      <c r="H465" s="112" t="s">
        <v>1016</v>
      </c>
      <c r="I465" s="112" t="s">
        <v>1752</v>
      </c>
      <c r="J465" s="112" t="s">
        <v>1512</v>
      </c>
      <c r="K465" s="112" t="s">
        <v>1809</v>
      </c>
      <c r="L465" s="116">
        <v>57817</v>
      </c>
      <c r="M465" s="116">
        <f t="shared" si="7"/>
        <v>57.817</v>
      </c>
    </row>
    <row r="466" spans="1:13" hidden="1" x14ac:dyDescent="0.35">
      <c r="A466" s="112" t="s">
        <v>1814</v>
      </c>
      <c r="B466" s="112" t="s">
        <v>906</v>
      </c>
      <c r="C466" s="112" t="s">
        <v>695</v>
      </c>
      <c r="D466" s="113">
        <v>10347954</v>
      </c>
      <c r="E466" s="115">
        <v>43923</v>
      </c>
      <c r="F466" s="114">
        <v>202101</v>
      </c>
      <c r="G466" s="112" t="s">
        <v>1091</v>
      </c>
      <c r="H466" s="112" t="s">
        <v>1015</v>
      </c>
      <c r="I466" s="112" t="s">
        <v>813</v>
      </c>
      <c r="J466" s="112" t="s">
        <v>1815</v>
      </c>
      <c r="K466" s="112" t="s">
        <v>1816</v>
      </c>
      <c r="L466" s="116">
        <v>-122.75</v>
      </c>
      <c r="M466" s="116">
        <f t="shared" si="7"/>
        <v>-0.12275</v>
      </c>
    </row>
    <row r="467" spans="1:13" hidden="1" x14ac:dyDescent="0.35">
      <c r="A467" s="112" t="s">
        <v>1814</v>
      </c>
      <c r="B467" s="112" t="s">
        <v>906</v>
      </c>
      <c r="C467" s="112" t="s">
        <v>695</v>
      </c>
      <c r="D467" s="113">
        <v>10347954</v>
      </c>
      <c r="E467" s="115">
        <v>43923</v>
      </c>
      <c r="F467" s="114">
        <v>202101</v>
      </c>
      <c r="G467" s="112" t="s">
        <v>1091</v>
      </c>
      <c r="H467" s="112" t="s">
        <v>1015</v>
      </c>
      <c r="I467" s="112" t="s">
        <v>813</v>
      </c>
      <c r="J467" s="112" t="s">
        <v>1815</v>
      </c>
      <c r="K467" s="112" t="s">
        <v>1818</v>
      </c>
      <c r="L467" s="116">
        <v>-549.02</v>
      </c>
      <c r="M467" s="116">
        <f t="shared" si="7"/>
        <v>-0.54901999999999995</v>
      </c>
    </row>
    <row r="468" spans="1:13" hidden="1" x14ac:dyDescent="0.35">
      <c r="A468" s="112" t="s">
        <v>1814</v>
      </c>
      <c r="B468" s="112" t="s">
        <v>906</v>
      </c>
      <c r="C468" s="112" t="s">
        <v>695</v>
      </c>
      <c r="D468" s="113">
        <v>10347954</v>
      </c>
      <c r="E468" s="115">
        <v>43923</v>
      </c>
      <c r="F468" s="114">
        <v>202101</v>
      </c>
      <c r="G468" s="112" t="s">
        <v>1091</v>
      </c>
      <c r="H468" s="112" t="s">
        <v>1015</v>
      </c>
      <c r="I468" s="112" t="s">
        <v>813</v>
      </c>
      <c r="J468" s="112" t="s">
        <v>1815</v>
      </c>
      <c r="K468" s="112" t="s">
        <v>1819</v>
      </c>
      <c r="L468" s="116">
        <v>-195.52</v>
      </c>
      <c r="M468" s="116">
        <f t="shared" si="7"/>
        <v>-0.19552</v>
      </c>
    </row>
    <row r="469" spans="1:13" hidden="1" x14ac:dyDescent="0.35">
      <c r="A469" s="112" t="s">
        <v>1814</v>
      </c>
      <c r="B469" s="112" t="s">
        <v>906</v>
      </c>
      <c r="C469" s="112" t="s">
        <v>695</v>
      </c>
      <c r="D469" s="113">
        <v>10347954</v>
      </c>
      <c r="E469" s="115">
        <v>43923</v>
      </c>
      <c r="F469" s="114">
        <v>202101</v>
      </c>
      <c r="G469" s="112" t="s">
        <v>1091</v>
      </c>
      <c r="H469" s="112" t="s">
        <v>1015</v>
      </c>
      <c r="I469" s="112" t="s">
        <v>1820</v>
      </c>
      <c r="J469" s="112" t="s">
        <v>1815</v>
      </c>
      <c r="K469" s="112" t="s">
        <v>1821</v>
      </c>
      <c r="L469" s="116">
        <v>-1076.71</v>
      </c>
      <c r="M469" s="116">
        <f t="shared" si="7"/>
        <v>-1.0767100000000001</v>
      </c>
    </row>
    <row r="470" spans="1:13" hidden="1" x14ac:dyDescent="0.35">
      <c r="A470" s="112" t="s">
        <v>1814</v>
      </c>
      <c r="B470" s="112" t="s">
        <v>905</v>
      </c>
      <c r="C470" s="112" t="s">
        <v>695</v>
      </c>
      <c r="D470" s="113">
        <v>10347977</v>
      </c>
      <c r="E470" s="115">
        <v>43924</v>
      </c>
      <c r="F470" s="114">
        <v>202101</v>
      </c>
      <c r="G470" s="112" t="s">
        <v>1091</v>
      </c>
      <c r="H470" s="112" t="s">
        <v>1015</v>
      </c>
      <c r="I470" s="112" t="s">
        <v>757</v>
      </c>
      <c r="J470" s="112" t="s">
        <v>1822</v>
      </c>
      <c r="K470" s="112" t="s">
        <v>1823</v>
      </c>
      <c r="L470" s="116">
        <v>-77</v>
      </c>
      <c r="M470" s="116">
        <f t="shared" si="7"/>
        <v>-7.6999999999999999E-2</v>
      </c>
    </row>
    <row r="471" spans="1:13" hidden="1" x14ac:dyDescent="0.35">
      <c r="A471" s="112" t="s">
        <v>1814</v>
      </c>
      <c r="B471" s="112" t="s">
        <v>906</v>
      </c>
      <c r="C471" s="112" t="s">
        <v>695</v>
      </c>
      <c r="D471" s="113">
        <v>10347954</v>
      </c>
      <c r="E471" s="115">
        <v>43923</v>
      </c>
      <c r="F471" s="114">
        <v>202101</v>
      </c>
      <c r="G471" s="112" t="s">
        <v>1091</v>
      </c>
      <c r="H471" s="112" t="s">
        <v>1015</v>
      </c>
      <c r="I471" s="112" t="s">
        <v>813</v>
      </c>
      <c r="J471" s="112" t="s">
        <v>1815</v>
      </c>
      <c r="K471" s="112" t="s">
        <v>1824</v>
      </c>
      <c r="L471" s="116">
        <v>-34.85</v>
      </c>
      <c r="M471" s="116">
        <f t="shared" si="7"/>
        <v>-3.4849999999999999E-2</v>
      </c>
    </row>
    <row r="472" spans="1:13" hidden="1" x14ac:dyDescent="0.35">
      <c r="A472" s="112" t="s">
        <v>1814</v>
      </c>
      <c r="B472" s="112" t="s">
        <v>905</v>
      </c>
      <c r="C472" s="112" t="s">
        <v>695</v>
      </c>
      <c r="D472" s="113">
        <v>10347977</v>
      </c>
      <c r="E472" s="115">
        <v>43924</v>
      </c>
      <c r="F472" s="114">
        <v>202101</v>
      </c>
      <c r="G472" s="112" t="s">
        <v>1091</v>
      </c>
      <c r="H472" s="112" t="s">
        <v>1015</v>
      </c>
      <c r="I472" s="112" t="s">
        <v>757</v>
      </c>
      <c r="J472" s="112" t="s">
        <v>1822</v>
      </c>
      <c r="K472" s="112" t="s">
        <v>1825</v>
      </c>
      <c r="L472" s="116">
        <v>-258</v>
      </c>
      <c r="M472" s="116">
        <f t="shared" si="7"/>
        <v>-0.25800000000000001</v>
      </c>
    </row>
    <row r="473" spans="1:13" hidden="1" x14ac:dyDescent="0.35">
      <c r="A473" s="112" t="s">
        <v>1814</v>
      </c>
      <c r="B473" s="112" t="s">
        <v>906</v>
      </c>
      <c r="C473" s="112" t="s">
        <v>695</v>
      </c>
      <c r="D473" s="113">
        <v>10347954</v>
      </c>
      <c r="E473" s="115">
        <v>43923</v>
      </c>
      <c r="F473" s="114">
        <v>202101</v>
      </c>
      <c r="G473" s="112" t="s">
        <v>1091</v>
      </c>
      <c r="H473" s="112" t="s">
        <v>1015</v>
      </c>
      <c r="I473" s="112" t="s">
        <v>813</v>
      </c>
      <c r="J473" s="112" t="s">
        <v>1815</v>
      </c>
      <c r="K473" s="112" t="s">
        <v>1826</v>
      </c>
      <c r="L473" s="116">
        <v>-480.88</v>
      </c>
      <c r="M473" s="116">
        <f t="shared" si="7"/>
        <v>-0.48087999999999997</v>
      </c>
    </row>
    <row r="474" spans="1:13" hidden="1" x14ac:dyDescent="0.35">
      <c r="A474" s="112" t="s">
        <v>1814</v>
      </c>
      <c r="B474" s="112" t="s">
        <v>905</v>
      </c>
      <c r="C474" s="112" t="s">
        <v>695</v>
      </c>
      <c r="D474" s="113">
        <v>10347977</v>
      </c>
      <c r="E474" s="115">
        <v>43924</v>
      </c>
      <c r="F474" s="114">
        <v>202101</v>
      </c>
      <c r="G474" s="112" t="s">
        <v>1091</v>
      </c>
      <c r="H474" s="112" t="s">
        <v>1015</v>
      </c>
      <c r="I474" s="112" t="s">
        <v>757</v>
      </c>
      <c r="J474" s="112" t="s">
        <v>1822</v>
      </c>
      <c r="K474" s="112" t="s">
        <v>1828</v>
      </c>
      <c r="L474" s="116">
        <v>-39</v>
      </c>
      <c r="M474" s="116">
        <f t="shared" si="7"/>
        <v>-3.9E-2</v>
      </c>
    </row>
    <row r="475" spans="1:13" hidden="1" x14ac:dyDescent="0.35">
      <c r="A475" s="112" t="s">
        <v>1814</v>
      </c>
      <c r="B475" s="112" t="s">
        <v>906</v>
      </c>
      <c r="C475" s="112" t="s">
        <v>695</v>
      </c>
      <c r="D475" s="113">
        <v>10347952</v>
      </c>
      <c r="E475" s="115">
        <v>43923</v>
      </c>
      <c r="F475" s="114">
        <v>202101</v>
      </c>
      <c r="G475" s="112" t="s">
        <v>1091</v>
      </c>
      <c r="H475" s="112" t="s">
        <v>1015</v>
      </c>
      <c r="I475" s="112" t="s">
        <v>1820</v>
      </c>
      <c r="J475" s="112" t="s">
        <v>1815</v>
      </c>
      <c r="K475" s="112" t="s">
        <v>1829</v>
      </c>
      <c r="L475" s="116">
        <v>-38.99</v>
      </c>
      <c r="M475" s="116">
        <f t="shared" si="7"/>
        <v>-3.8990000000000004E-2</v>
      </c>
    </row>
    <row r="476" spans="1:13" hidden="1" x14ac:dyDescent="0.35">
      <c r="A476" s="112" t="s">
        <v>1814</v>
      </c>
      <c r="B476" s="112" t="s">
        <v>906</v>
      </c>
      <c r="C476" s="112" t="s">
        <v>695</v>
      </c>
      <c r="D476" s="113">
        <v>10347954</v>
      </c>
      <c r="E476" s="115">
        <v>43923</v>
      </c>
      <c r="F476" s="114">
        <v>202101</v>
      </c>
      <c r="G476" s="112" t="s">
        <v>1091</v>
      </c>
      <c r="H476" s="112" t="s">
        <v>1015</v>
      </c>
      <c r="I476" s="112" t="s">
        <v>813</v>
      </c>
      <c r="J476" s="112" t="s">
        <v>1815</v>
      </c>
      <c r="K476" s="112" t="s">
        <v>1830</v>
      </c>
      <c r="L476" s="116">
        <v>-616.21</v>
      </c>
      <c r="M476" s="116">
        <f t="shared" si="7"/>
        <v>-0.61621000000000004</v>
      </c>
    </row>
    <row r="477" spans="1:13" hidden="1" x14ac:dyDescent="0.35">
      <c r="A477" s="112" t="s">
        <v>1814</v>
      </c>
      <c r="B477" s="112" t="s">
        <v>906</v>
      </c>
      <c r="C477" s="112" t="s">
        <v>695</v>
      </c>
      <c r="D477" s="113">
        <v>10347954</v>
      </c>
      <c r="E477" s="115">
        <v>43923</v>
      </c>
      <c r="F477" s="114">
        <v>202101</v>
      </c>
      <c r="G477" s="112" t="s">
        <v>1091</v>
      </c>
      <c r="H477" s="112" t="s">
        <v>1015</v>
      </c>
      <c r="I477" s="112" t="s">
        <v>1820</v>
      </c>
      <c r="J477" s="112" t="s">
        <v>1815</v>
      </c>
      <c r="K477" s="112" t="s">
        <v>1831</v>
      </c>
      <c r="L477" s="116">
        <v>-1404.06</v>
      </c>
      <c r="M477" s="116">
        <f t="shared" si="7"/>
        <v>-1.4040599999999999</v>
      </c>
    </row>
    <row r="478" spans="1:13" hidden="1" x14ac:dyDescent="0.35">
      <c r="A478" s="112" t="s">
        <v>1814</v>
      </c>
      <c r="B478" s="112" t="s">
        <v>906</v>
      </c>
      <c r="C478" s="112" t="s">
        <v>695</v>
      </c>
      <c r="D478" s="113">
        <v>10347954</v>
      </c>
      <c r="E478" s="115">
        <v>43923</v>
      </c>
      <c r="F478" s="114">
        <v>202101</v>
      </c>
      <c r="G478" s="112" t="s">
        <v>1091</v>
      </c>
      <c r="H478" s="112" t="s">
        <v>1015</v>
      </c>
      <c r="I478" s="112" t="s">
        <v>1820</v>
      </c>
      <c r="J478" s="112" t="s">
        <v>1815</v>
      </c>
      <c r="K478" s="112" t="s">
        <v>1832</v>
      </c>
      <c r="L478" s="116">
        <v>-838.5</v>
      </c>
      <c r="M478" s="116">
        <f t="shared" si="7"/>
        <v>-0.83850000000000002</v>
      </c>
    </row>
    <row r="479" spans="1:13" hidden="1" x14ac:dyDescent="0.35">
      <c r="A479" s="112" t="s">
        <v>1814</v>
      </c>
      <c r="B479" s="112" t="s">
        <v>906</v>
      </c>
      <c r="C479" s="112" t="s">
        <v>695</v>
      </c>
      <c r="D479" s="113">
        <v>10347954</v>
      </c>
      <c r="E479" s="115">
        <v>43923</v>
      </c>
      <c r="F479" s="114">
        <v>202101</v>
      </c>
      <c r="G479" s="112" t="s">
        <v>1091</v>
      </c>
      <c r="H479" s="112" t="s">
        <v>1015</v>
      </c>
      <c r="I479" s="112" t="s">
        <v>813</v>
      </c>
      <c r="J479" s="112" t="s">
        <v>1815</v>
      </c>
      <c r="K479" s="112" t="s">
        <v>1833</v>
      </c>
      <c r="L479" s="116">
        <v>-233.44</v>
      </c>
      <c r="M479" s="116">
        <f t="shared" si="7"/>
        <v>-0.23344000000000001</v>
      </c>
    </row>
    <row r="480" spans="1:13" hidden="1" x14ac:dyDescent="0.35">
      <c r="A480" s="112" t="s">
        <v>1814</v>
      </c>
      <c r="B480" s="112" t="s">
        <v>905</v>
      </c>
      <c r="C480" s="112" t="s">
        <v>695</v>
      </c>
      <c r="D480" s="113">
        <v>10347977</v>
      </c>
      <c r="E480" s="115">
        <v>43924</v>
      </c>
      <c r="F480" s="114">
        <v>202101</v>
      </c>
      <c r="G480" s="112" t="s">
        <v>1091</v>
      </c>
      <c r="H480" s="112" t="s">
        <v>1015</v>
      </c>
      <c r="I480" s="112" t="s">
        <v>751</v>
      </c>
      <c r="J480" s="112" t="s">
        <v>1822</v>
      </c>
      <c r="K480" s="112" t="s">
        <v>1834</v>
      </c>
      <c r="L480" s="116">
        <v>-71</v>
      </c>
      <c r="M480" s="116">
        <f t="shared" si="7"/>
        <v>-7.0999999999999994E-2</v>
      </c>
    </row>
    <row r="481" spans="1:13" hidden="1" x14ac:dyDescent="0.35">
      <c r="A481" s="112" t="s">
        <v>1814</v>
      </c>
      <c r="B481" s="112" t="s">
        <v>906</v>
      </c>
      <c r="C481" s="112" t="s">
        <v>695</v>
      </c>
      <c r="D481" s="113">
        <v>10347954</v>
      </c>
      <c r="E481" s="115">
        <v>43923</v>
      </c>
      <c r="F481" s="114">
        <v>202101</v>
      </c>
      <c r="G481" s="112" t="s">
        <v>1091</v>
      </c>
      <c r="H481" s="112" t="s">
        <v>1015</v>
      </c>
      <c r="I481" s="112" t="s">
        <v>813</v>
      </c>
      <c r="J481" s="112" t="s">
        <v>1815</v>
      </c>
      <c r="K481" s="112" t="s">
        <v>1833</v>
      </c>
      <c r="L481" s="116">
        <v>-92.6</v>
      </c>
      <c r="M481" s="116">
        <f t="shared" si="7"/>
        <v>-9.2599999999999988E-2</v>
      </c>
    </row>
    <row r="482" spans="1:13" hidden="1" x14ac:dyDescent="0.35">
      <c r="A482" s="112" t="s">
        <v>1814</v>
      </c>
      <c r="B482" s="112" t="s">
        <v>905</v>
      </c>
      <c r="C482" s="112" t="s">
        <v>695</v>
      </c>
      <c r="D482" s="113">
        <v>10347977</v>
      </c>
      <c r="E482" s="115">
        <v>43924</v>
      </c>
      <c r="F482" s="114">
        <v>202101</v>
      </c>
      <c r="G482" s="112" t="s">
        <v>1091</v>
      </c>
      <c r="H482" s="112" t="s">
        <v>1015</v>
      </c>
      <c r="I482" s="112" t="s">
        <v>757</v>
      </c>
      <c r="J482" s="112" t="s">
        <v>1822</v>
      </c>
      <c r="K482" s="112" t="s">
        <v>1835</v>
      </c>
      <c r="L482" s="116">
        <v>-45</v>
      </c>
      <c r="M482" s="116">
        <f t="shared" si="7"/>
        <v>-4.4999999999999998E-2</v>
      </c>
    </row>
    <row r="483" spans="1:13" hidden="1" x14ac:dyDescent="0.35">
      <c r="A483" s="112" t="s">
        <v>1814</v>
      </c>
      <c r="B483" s="112" t="s">
        <v>906</v>
      </c>
      <c r="C483" s="112" t="s">
        <v>695</v>
      </c>
      <c r="D483" s="113">
        <v>10347954</v>
      </c>
      <c r="E483" s="115">
        <v>43923</v>
      </c>
      <c r="F483" s="114">
        <v>202101</v>
      </c>
      <c r="G483" s="112" t="s">
        <v>1091</v>
      </c>
      <c r="H483" s="112" t="s">
        <v>1015</v>
      </c>
      <c r="I483" s="112" t="s">
        <v>813</v>
      </c>
      <c r="J483" s="112" t="s">
        <v>1815</v>
      </c>
      <c r="K483" s="112" t="s">
        <v>1836</v>
      </c>
      <c r="L483" s="116">
        <v>-404.56</v>
      </c>
      <c r="M483" s="116">
        <f t="shared" si="7"/>
        <v>-0.40455999999999998</v>
      </c>
    </row>
    <row r="484" spans="1:13" hidden="1" x14ac:dyDescent="0.35">
      <c r="A484" s="112" t="s">
        <v>1814</v>
      </c>
      <c r="B484" s="112" t="s">
        <v>906</v>
      </c>
      <c r="C484" s="112" t="s">
        <v>695</v>
      </c>
      <c r="D484" s="113">
        <v>10347954</v>
      </c>
      <c r="E484" s="115">
        <v>43923</v>
      </c>
      <c r="F484" s="114">
        <v>202101</v>
      </c>
      <c r="G484" s="112" t="s">
        <v>1091</v>
      </c>
      <c r="H484" s="112" t="s">
        <v>1015</v>
      </c>
      <c r="I484" s="112" t="s">
        <v>813</v>
      </c>
      <c r="J484" s="112" t="s">
        <v>1815</v>
      </c>
      <c r="K484" s="112" t="s">
        <v>1837</v>
      </c>
      <c r="L484" s="116">
        <v>-414.22</v>
      </c>
      <c r="M484" s="116">
        <f t="shared" si="7"/>
        <v>-0.41422000000000003</v>
      </c>
    </row>
    <row r="485" spans="1:13" hidden="1" x14ac:dyDescent="0.35">
      <c r="A485" s="112" t="s">
        <v>1814</v>
      </c>
      <c r="B485" s="112" t="s">
        <v>905</v>
      </c>
      <c r="C485" s="112" t="s">
        <v>695</v>
      </c>
      <c r="D485" s="113">
        <v>10347977</v>
      </c>
      <c r="E485" s="115">
        <v>43924</v>
      </c>
      <c r="F485" s="114">
        <v>202101</v>
      </c>
      <c r="G485" s="112" t="s">
        <v>1091</v>
      </c>
      <c r="H485" s="112" t="s">
        <v>1015</v>
      </c>
      <c r="I485" s="112" t="s">
        <v>751</v>
      </c>
      <c r="J485" s="112" t="s">
        <v>1839</v>
      </c>
      <c r="K485" s="112" t="s">
        <v>1840</v>
      </c>
      <c r="L485" s="116">
        <v>-77</v>
      </c>
      <c r="M485" s="116">
        <f t="shared" si="7"/>
        <v>-7.6999999999999999E-2</v>
      </c>
    </row>
    <row r="486" spans="1:13" hidden="1" x14ac:dyDescent="0.35">
      <c r="A486" s="112" t="s">
        <v>1814</v>
      </c>
      <c r="B486" s="112" t="s">
        <v>905</v>
      </c>
      <c r="C486" s="112" t="s">
        <v>695</v>
      </c>
      <c r="D486" s="113">
        <v>10347977</v>
      </c>
      <c r="E486" s="115">
        <v>43924</v>
      </c>
      <c r="F486" s="114">
        <v>202101</v>
      </c>
      <c r="G486" s="112" t="s">
        <v>1091</v>
      </c>
      <c r="H486" s="112" t="s">
        <v>1015</v>
      </c>
      <c r="I486" s="112" t="s">
        <v>749</v>
      </c>
      <c r="J486" s="112" t="s">
        <v>1822</v>
      </c>
      <c r="K486" s="112" t="s">
        <v>1841</v>
      </c>
      <c r="L486" s="116">
        <v>-34</v>
      </c>
      <c r="M486" s="116">
        <f t="shared" si="7"/>
        <v>-3.4000000000000002E-2</v>
      </c>
    </row>
    <row r="487" spans="1:13" hidden="1" x14ac:dyDescent="0.35">
      <c r="A487" s="112" t="s">
        <v>1814</v>
      </c>
      <c r="B487" s="112" t="s">
        <v>905</v>
      </c>
      <c r="C487" s="112" t="s">
        <v>695</v>
      </c>
      <c r="D487" s="113">
        <v>10347977</v>
      </c>
      <c r="E487" s="115">
        <v>43924</v>
      </c>
      <c r="F487" s="114">
        <v>202101</v>
      </c>
      <c r="G487" s="112" t="s">
        <v>1091</v>
      </c>
      <c r="H487" s="112" t="s">
        <v>1015</v>
      </c>
      <c r="I487" s="112" t="s">
        <v>749</v>
      </c>
      <c r="J487" s="112" t="s">
        <v>1839</v>
      </c>
      <c r="K487" s="112" t="s">
        <v>1844</v>
      </c>
      <c r="L487" s="116">
        <v>-113</v>
      </c>
      <c r="M487" s="116">
        <f t="shared" si="7"/>
        <v>-0.113</v>
      </c>
    </row>
    <row r="488" spans="1:13" hidden="1" x14ac:dyDescent="0.35">
      <c r="A488" s="112" t="s">
        <v>1814</v>
      </c>
      <c r="B488" s="112" t="s">
        <v>905</v>
      </c>
      <c r="C488" s="112" t="s">
        <v>695</v>
      </c>
      <c r="D488" s="113">
        <v>10347977</v>
      </c>
      <c r="E488" s="115">
        <v>43924</v>
      </c>
      <c r="F488" s="114">
        <v>202101</v>
      </c>
      <c r="G488" s="112" t="s">
        <v>1091</v>
      </c>
      <c r="H488" s="112" t="s">
        <v>1015</v>
      </c>
      <c r="I488" s="112" t="s">
        <v>749</v>
      </c>
      <c r="J488" s="112" t="s">
        <v>1822</v>
      </c>
      <c r="K488" s="112" t="s">
        <v>1847</v>
      </c>
      <c r="L488" s="116">
        <v>-202</v>
      </c>
      <c r="M488" s="116">
        <f t="shared" si="7"/>
        <v>-0.20200000000000001</v>
      </c>
    </row>
    <row r="489" spans="1:13" hidden="1" x14ac:dyDescent="0.35">
      <c r="A489" s="112" t="s">
        <v>1814</v>
      </c>
      <c r="B489" s="112" t="s">
        <v>906</v>
      </c>
      <c r="C489" s="112" t="s">
        <v>695</v>
      </c>
      <c r="D489" s="113">
        <v>10347977</v>
      </c>
      <c r="E489" s="115">
        <v>43924</v>
      </c>
      <c r="F489" s="114">
        <v>202101</v>
      </c>
      <c r="G489" s="112" t="s">
        <v>1091</v>
      </c>
      <c r="H489" s="112" t="s">
        <v>1015</v>
      </c>
      <c r="I489" s="112" t="s">
        <v>749</v>
      </c>
      <c r="J489" s="112" t="s">
        <v>1815</v>
      </c>
      <c r="K489" s="112" t="s">
        <v>1848</v>
      </c>
      <c r="L489" s="116">
        <v>-79</v>
      </c>
      <c r="M489" s="116">
        <f t="shared" si="7"/>
        <v>-7.9000000000000001E-2</v>
      </c>
    </row>
    <row r="490" spans="1:13" hidden="1" x14ac:dyDescent="0.35">
      <c r="A490" s="112" t="s">
        <v>1814</v>
      </c>
      <c r="B490" s="112" t="s">
        <v>906</v>
      </c>
      <c r="C490" s="112" t="s">
        <v>695</v>
      </c>
      <c r="D490" s="113">
        <v>10347977</v>
      </c>
      <c r="E490" s="115">
        <v>43924</v>
      </c>
      <c r="F490" s="114">
        <v>202101</v>
      </c>
      <c r="G490" s="112" t="s">
        <v>1091</v>
      </c>
      <c r="H490" s="112" t="s">
        <v>1015</v>
      </c>
      <c r="I490" s="112" t="s">
        <v>749</v>
      </c>
      <c r="J490" s="112" t="s">
        <v>1815</v>
      </c>
      <c r="K490" s="112" t="s">
        <v>1849</v>
      </c>
      <c r="L490" s="116">
        <v>-33</v>
      </c>
      <c r="M490" s="116">
        <f t="shared" si="7"/>
        <v>-3.3000000000000002E-2</v>
      </c>
    </row>
    <row r="491" spans="1:13" hidden="1" x14ac:dyDescent="0.35">
      <c r="A491" s="112" t="s">
        <v>1814</v>
      </c>
      <c r="B491" s="112" t="s">
        <v>905</v>
      </c>
      <c r="C491" s="112" t="s">
        <v>695</v>
      </c>
      <c r="D491" s="113">
        <v>10347977</v>
      </c>
      <c r="E491" s="115">
        <v>43924</v>
      </c>
      <c r="F491" s="114">
        <v>202101</v>
      </c>
      <c r="G491" s="112" t="s">
        <v>1091</v>
      </c>
      <c r="H491" s="112" t="s">
        <v>1015</v>
      </c>
      <c r="I491" s="112" t="s">
        <v>751</v>
      </c>
      <c r="J491" s="112" t="s">
        <v>1822</v>
      </c>
      <c r="K491" s="112" t="s">
        <v>1850</v>
      </c>
      <c r="L491" s="116">
        <v>-91</v>
      </c>
      <c r="M491" s="116">
        <f t="shared" si="7"/>
        <v>-9.0999999999999998E-2</v>
      </c>
    </row>
    <row r="492" spans="1:13" hidden="1" x14ac:dyDescent="0.35">
      <c r="A492" s="112" t="s">
        <v>1814</v>
      </c>
      <c r="B492" s="112" t="s">
        <v>905</v>
      </c>
      <c r="C492" s="112" t="s">
        <v>695</v>
      </c>
      <c r="D492" s="113">
        <v>10347977</v>
      </c>
      <c r="E492" s="115">
        <v>43924</v>
      </c>
      <c r="F492" s="114">
        <v>202101</v>
      </c>
      <c r="G492" s="112" t="s">
        <v>1091</v>
      </c>
      <c r="H492" s="112" t="s">
        <v>1015</v>
      </c>
      <c r="I492" s="112" t="s">
        <v>751</v>
      </c>
      <c r="J492" s="112" t="s">
        <v>1822</v>
      </c>
      <c r="K492" s="112" t="s">
        <v>1853</v>
      </c>
      <c r="L492" s="116">
        <v>-209</v>
      </c>
      <c r="M492" s="116">
        <f t="shared" si="7"/>
        <v>-0.20899999999999999</v>
      </c>
    </row>
    <row r="493" spans="1:13" hidden="1" x14ac:dyDescent="0.35">
      <c r="A493" s="112" t="s">
        <v>1814</v>
      </c>
      <c r="B493" s="112" t="s">
        <v>905</v>
      </c>
      <c r="C493" s="112" t="s">
        <v>695</v>
      </c>
      <c r="D493" s="113">
        <v>10347977</v>
      </c>
      <c r="E493" s="115">
        <v>43924</v>
      </c>
      <c r="F493" s="114">
        <v>202101</v>
      </c>
      <c r="G493" s="112" t="s">
        <v>1091</v>
      </c>
      <c r="H493" s="112" t="s">
        <v>1015</v>
      </c>
      <c r="I493" s="112" t="s">
        <v>749</v>
      </c>
      <c r="J493" s="112" t="s">
        <v>1822</v>
      </c>
      <c r="K493" s="112" t="s">
        <v>1854</v>
      </c>
      <c r="L493" s="116">
        <v>-102</v>
      </c>
      <c r="M493" s="116">
        <f t="shared" si="7"/>
        <v>-0.10199999999999999</v>
      </c>
    </row>
    <row r="494" spans="1:13" hidden="1" x14ac:dyDescent="0.35">
      <c r="A494" s="112" t="s">
        <v>1814</v>
      </c>
      <c r="B494" s="112" t="s">
        <v>905</v>
      </c>
      <c r="C494" s="112" t="s">
        <v>695</v>
      </c>
      <c r="D494" s="113">
        <v>10347977</v>
      </c>
      <c r="E494" s="115">
        <v>43924</v>
      </c>
      <c r="F494" s="114">
        <v>202101</v>
      </c>
      <c r="G494" s="112" t="s">
        <v>1091</v>
      </c>
      <c r="H494" s="112" t="s">
        <v>1015</v>
      </c>
      <c r="I494" s="112" t="s">
        <v>749</v>
      </c>
      <c r="J494" s="112" t="s">
        <v>1822</v>
      </c>
      <c r="K494" s="112" t="s">
        <v>1855</v>
      </c>
      <c r="L494" s="116">
        <v>-306</v>
      </c>
      <c r="M494" s="116">
        <f t="shared" si="7"/>
        <v>-0.30599999999999999</v>
      </c>
    </row>
    <row r="495" spans="1:13" hidden="1" x14ac:dyDescent="0.35">
      <c r="A495" s="112" t="s">
        <v>1814</v>
      </c>
      <c r="B495" s="112" t="s">
        <v>905</v>
      </c>
      <c r="C495" s="112" t="s">
        <v>695</v>
      </c>
      <c r="D495" s="113">
        <v>10347977</v>
      </c>
      <c r="E495" s="115">
        <v>43924</v>
      </c>
      <c r="F495" s="114">
        <v>202101</v>
      </c>
      <c r="G495" s="112" t="s">
        <v>1091</v>
      </c>
      <c r="H495" s="112" t="s">
        <v>1015</v>
      </c>
      <c r="I495" s="112" t="s">
        <v>749</v>
      </c>
      <c r="J495" s="112" t="s">
        <v>1822</v>
      </c>
      <c r="K495" s="112" t="s">
        <v>1857</v>
      </c>
      <c r="L495" s="116">
        <v>-302</v>
      </c>
      <c r="M495" s="116">
        <f t="shared" si="7"/>
        <v>-0.30199999999999999</v>
      </c>
    </row>
    <row r="496" spans="1:13" hidden="1" x14ac:dyDescent="0.35">
      <c r="A496" s="112" t="s">
        <v>1814</v>
      </c>
      <c r="B496" s="112" t="s">
        <v>905</v>
      </c>
      <c r="C496" s="112" t="s">
        <v>695</v>
      </c>
      <c r="D496" s="113">
        <v>10347977</v>
      </c>
      <c r="E496" s="115">
        <v>43924</v>
      </c>
      <c r="F496" s="114">
        <v>202101</v>
      </c>
      <c r="G496" s="112" t="s">
        <v>1091</v>
      </c>
      <c r="H496" s="112" t="s">
        <v>1015</v>
      </c>
      <c r="I496" s="112" t="s">
        <v>757</v>
      </c>
      <c r="J496" s="112" t="s">
        <v>1822</v>
      </c>
      <c r="K496" s="112" t="s">
        <v>1858</v>
      </c>
      <c r="L496" s="116">
        <v>-25</v>
      </c>
      <c r="M496" s="116">
        <f t="shared" si="7"/>
        <v>-2.5000000000000001E-2</v>
      </c>
    </row>
    <row r="497" spans="1:13" hidden="1" x14ac:dyDescent="0.35">
      <c r="A497" s="112" t="s">
        <v>1814</v>
      </c>
      <c r="B497" s="112" t="s">
        <v>905</v>
      </c>
      <c r="C497" s="112" t="s">
        <v>695</v>
      </c>
      <c r="D497" s="113">
        <v>10347977</v>
      </c>
      <c r="E497" s="115">
        <v>43924</v>
      </c>
      <c r="F497" s="114">
        <v>202101</v>
      </c>
      <c r="G497" s="112" t="s">
        <v>1091</v>
      </c>
      <c r="H497" s="112" t="s">
        <v>1015</v>
      </c>
      <c r="I497" s="112" t="s">
        <v>749</v>
      </c>
      <c r="J497" s="112" t="s">
        <v>1822</v>
      </c>
      <c r="K497" s="112" t="s">
        <v>1860</v>
      </c>
      <c r="L497" s="116">
        <v>-115</v>
      </c>
      <c r="M497" s="116">
        <f t="shared" si="7"/>
        <v>-0.115</v>
      </c>
    </row>
    <row r="498" spans="1:13" hidden="1" x14ac:dyDescent="0.35">
      <c r="A498" s="112" t="s">
        <v>1814</v>
      </c>
      <c r="B498" s="112" t="s">
        <v>905</v>
      </c>
      <c r="C498" s="112" t="s">
        <v>695</v>
      </c>
      <c r="D498" s="113">
        <v>10347977</v>
      </c>
      <c r="E498" s="115">
        <v>43924</v>
      </c>
      <c r="F498" s="114">
        <v>202101</v>
      </c>
      <c r="G498" s="112" t="s">
        <v>1091</v>
      </c>
      <c r="H498" s="112" t="s">
        <v>1015</v>
      </c>
      <c r="I498" s="112" t="s">
        <v>757</v>
      </c>
      <c r="J498" s="112" t="s">
        <v>1822</v>
      </c>
      <c r="K498" s="112" t="s">
        <v>1861</v>
      </c>
      <c r="L498" s="116">
        <v>-69</v>
      </c>
      <c r="M498" s="116">
        <f t="shared" si="7"/>
        <v>-6.9000000000000006E-2</v>
      </c>
    </row>
    <row r="499" spans="1:13" hidden="1" x14ac:dyDescent="0.35">
      <c r="A499" s="112" t="s">
        <v>1814</v>
      </c>
      <c r="B499" s="112" t="s">
        <v>905</v>
      </c>
      <c r="C499" s="112" t="s">
        <v>695</v>
      </c>
      <c r="D499" s="113">
        <v>10347977</v>
      </c>
      <c r="E499" s="115">
        <v>43924</v>
      </c>
      <c r="F499" s="114">
        <v>202101</v>
      </c>
      <c r="G499" s="112" t="s">
        <v>1091</v>
      </c>
      <c r="H499" s="112" t="s">
        <v>1015</v>
      </c>
      <c r="I499" s="112" t="s">
        <v>751</v>
      </c>
      <c r="J499" s="112" t="s">
        <v>1822</v>
      </c>
      <c r="K499" s="112" t="s">
        <v>1862</v>
      </c>
      <c r="L499" s="116">
        <v>-91</v>
      </c>
      <c r="M499" s="116">
        <f t="shared" si="7"/>
        <v>-9.0999999999999998E-2</v>
      </c>
    </row>
    <row r="500" spans="1:13" hidden="1" x14ac:dyDescent="0.35">
      <c r="A500" s="112" t="s">
        <v>1814</v>
      </c>
      <c r="B500" s="112" t="s">
        <v>905</v>
      </c>
      <c r="C500" s="112" t="s">
        <v>695</v>
      </c>
      <c r="D500" s="113">
        <v>10347977</v>
      </c>
      <c r="E500" s="115">
        <v>43924</v>
      </c>
      <c r="F500" s="114">
        <v>202101</v>
      </c>
      <c r="G500" s="112" t="s">
        <v>1091</v>
      </c>
      <c r="H500" s="112" t="s">
        <v>1015</v>
      </c>
      <c r="I500" s="112" t="s">
        <v>751</v>
      </c>
      <c r="J500" s="112" t="s">
        <v>1839</v>
      </c>
      <c r="K500" s="112" t="s">
        <v>1863</v>
      </c>
      <c r="L500" s="116">
        <v>-206</v>
      </c>
      <c r="M500" s="116">
        <f t="shared" si="7"/>
        <v>-0.20599999999999999</v>
      </c>
    </row>
    <row r="501" spans="1:13" hidden="1" x14ac:dyDescent="0.35">
      <c r="A501" s="112" t="s">
        <v>1814</v>
      </c>
      <c r="B501" s="112" t="s">
        <v>905</v>
      </c>
      <c r="C501" s="112" t="s">
        <v>695</v>
      </c>
      <c r="D501" s="113">
        <v>10347977</v>
      </c>
      <c r="E501" s="115">
        <v>43924</v>
      </c>
      <c r="F501" s="114">
        <v>202101</v>
      </c>
      <c r="G501" s="112" t="s">
        <v>1091</v>
      </c>
      <c r="H501" s="112" t="s">
        <v>1015</v>
      </c>
      <c r="I501" s="112" t="s">
        <v>751</v>
      </c>
      <c r="J501" s="112" t="s">
        <v>1822</v>
      </c>
      <c r="K501" s="112" t="s">
        <v>1864</v>
      </c>
      <c r="L501" s="116">
        <v>-84</v>
      </c>
      <c r="M501" s="116">
        <f t="shared" si="7"/>
        <v>-8.4000000000000005E-2</v>
      </c>
    </row>
    <row r="502" spans="1:13" hidden="1" x14ac:dyDescent="0.35">
      <c r="A502" s="112" t="s">
        <v>1814</v>
      </c>
      <c r="B502" s="112" t="s">
        <v>905</v>
      </c>
      <c r="C502" s="112" t="s">
        <v>695</v>
      </c>
      <c r="D502" s="113">
        <v>10347977</v>
      </c>
      <c r="E502" s="115">
        <v>43924</v>
      </c>
      <c r="F502" s="114">
        <v>202101</v>
      </c>
      <c r="G502" s="112" t="s">
        <v>1091</v>
      </c>
      <c r="H502" s="112" t="s">
        <v>1015</v>
      </c>
      <c r="I502" s="112" t="s">
        <v>749</v>
      </c>
      <c r="J502" s="112" t="s">
        <v>1822</v>
      </c>
      <c r="K502" s="112" t="s">
        <v>1865</v>
      </c>
      <c r="L502" s="116">
        <v>-144</v>
      </c>
      <c r="M502" s="116">
        <f t="shared" si="7"/>
        <v>-0.14399999999999999</v>
      </c>
    </row>
    <row r="503" spans="1:13" hidden="1" x14ac:dyDescent="0.35">
      <c r="A503" s="112" t="s">
        <v>1814</v>
      </c>
      <c r="B503" s="112" t="s">
        <v>906</v>
      </c>
      <c r="C503" s="112" t="s">
        <v>695</v>
      </c>
      <c r="D503" s="113">
        <v>10347948</v>
      </c>
      <c r="E503" s="115">
        <v>43923</v>
      </c>
      <c r="F503" s="114">
        <v>202101</v>
      </c>
      <c r="G503" s="112" t="s">
        <v>1091</v>
      </c>
      <c r="H503" s="112" t="s">
        <v>1015</v>
      </c>
      <c r="I503" s="112" t="s">
        <v>1866</v>
      </c>
      <c r="J503" s="112" t="s">
        <v>1815</v>
      </c>
      <c r="K503" s="112" t="s">
        <v>1867</v>
      </c>
      <c r="L503" s="116">
        <v>-15204.9</v>
      </c>
      <c r="M503" s="116">
        <f t="shared" si="7"/>
        <v>-15.2049</v>
      </c>
    </row>
    <row r="504" spans="1:13" hidden="1" x14ac:dyDescent="0.35">
      <c r="A504" s="112" t="s">
        <v>1814</v>
      </c>
      <c r="B504" s="112" t="s">
        <v>906</v>
      </c>
      <c r="C504" s="112" t="s">
        <v>695</v>
      </c>
      <c r="D504" s="113">
        <v>10347948</v>
      </c>
      <c r="E504" s="115">
        <v>43923</v>
      </c>
      <c r="F504" s="114">
        <v>202101</v>
      </c>
      <c r="G504" s="112" t="s">
        <v>1091</v>
      </c>
      <c r="H504" s="112" t="s">
        <v>1015</v>
      </c>
      <c r="I504" s="112" t="s">
        <v>1868</v>
      </c>
      <c r="J504" s="112" t="s">
        <v>1815</v>
      </c>
      <c r="K504" s="112" t="s">
        <v>1869</v>
      </c>
      <c r="L504" s="116">
        <v>-2203.3000000000002</v>
      </c>
      <c r="M504" s="116">
        <f t="shared" si="7"/>
        <v>-2.2033</v>
      </c>
    </row>
    <row r="505" spans="1:13" hidden="1" x14ac:dyDescent="0.35">
      <c r="A505" s="112" t="s">
        <v>1814</v>
      </c>
      <c r="B505" s="112" t="s">
        <v>906</v>
      </c>
      <c r="C505" s="112" t="s">
        <v>695</v>
      </c>
      <c r="D505" s="113">
        <v>10347948</v>
      </c>
      <c r="E505" s="115">
        <v>43923</v>
      </c>
      <c r="F505" s="114">
        <v>202101</v>
      </c>
      <c r="G505" s="112" t="s">
        <v>1091</v>
      </c>
      <c r="H505" s="112" t="s">
        <v>1015</v>
      </c>
      <c r="I505" s="112" t="s">
        <v>1868</v>
      </c>
      <c r="J505" s="112" t="s">
        <v>1815</v>
      </c>
      <c r="K505" s="112" t="s">
        <v>1870</v>
      </c>
      <c r="L505" s="116">
        <v>-184.25</v>
      </c>
      <c r="M505" s="116">
        <f t="shared" si="7"/>
        <v>-0.18425</v>
      </c>
    </row>
    <row r="506" spans="1:13" hidden="1" x14ac:dyDescent="0.35">
      <c r="A506" s="112" t="s">
        <v>1814</v>
      </c>
      <c r="B506" s="112" t="s">
        <v>906</v>
      </c>
      <c r="C506" s="112" t="s">
        <v>695</v>
      </c>
      <c r="D506" s="113">
        <v>10347948</v>
      </c>
      <c r="E506" s="115">
        <v>43923</v>
      </c>
      <c r="F506" s="114">
        <v>202101</v>
      </c>
      <c r="G506" s="112" t="s">
        <v>1091</v>
      </c>
      <c r="H506" s="112" t="s">
        <v>1015</v>
      </c>
      <c r="I506" s="112" t="s">
        <v>1871</v>
      </c>
      <c r="J506" s="112" t="s">
        <v>1815</v>
      </c>
      <c r="K506" s="112" t="s">
        <v>1872</v>
      </c>
      <c r="L506" s="116">
        <v>-75</v>
      </c>
      <c r="M506" s="116">
        <f t="shared" si="7"/>
        <v>-7.4999999999999997E-2</v>
      </c>
    </row>
    <row r="507" spans="1:13" hidden="1" x14ac:dyDescent="0.35">
      <c r="A507" s="112" t="s">
        <v>1814</v>
      </c>
      <c r="B507" s="112" t="s">
        <v>906</v>
      </c>
      <c r="C507" s="112" t="s">
        <v>695</v>
      </c>
      <c r="D507" s="113">
        <v>10347948</v>
      </c>
      <c r="E507" s="115">
        <v>43923</v>
      </c>
      <c r="F507" s="114">
        <v>202101</v>
      </c>
      <c r="G507" s="112" t="s">
        <v>1091</v>
      </c>
      <c r="H507" s="112" t="s">
        <v>1015</v>
      </c>
      <c r="I507" s="112" t="s">
        <v>1873</v>
      </c>
      <c r="J507" s="112" t="s">
        <v>1815</v>
      </c>
      <c r="K507" s="112" t="s">
        <v>1110</v>
      </c>
      <c r="L507" s="116">
        <v>-189.75</v>
      </c>
      <c r="M507" s="116">
        <f t="shared" si="7"/>
        <v>-0.18975</v>
      </c>
    </row>
    <row r="508" spans="1:13" hidden="1" x14ac:dyDescent="0.35">
      <c r="A508" s="112" t="s">
        <v>1814</v>
      </c>
      <c r="B508" s="112" t="s">
        <v>906</v>
      </c>
      <c r="C508" s="112" t="s">
        <v>695</v>
      </c>
      <c r="D508" s="113">
        <v>10347948</v>
      </c>
      <c r="E508" s="115">
        <v>43923</v>
      </c>
      <c r="F508" s="114">
        <v>202101</v>
      </c>
      <c r="G508" s="112" t="s">
        <v>1091</v>
      </c>
      <c r="H508" s="112" t="s">
        <v>1015</v>
      </c>
      <c r="I508" s="112" t="s">
        <v>1873</v>
      </c>
      <c r="J508" s="112" t="s">
        <v>1815</v>
      </c>
      <c r="K508" s="112" t="s">
        <v>1110</v>
      </c>
      <c r="L508" s="116">
        <v>-95</v>
      </c>
      <c r="M508" s="116">
        <f t="shared" si="7"/>
        <v>-9.5000000000000001E-2</v>
      </c>
    </row>
    <row r="509" spans="1:13" hidden="1" x14ac:dyDescent="0.35">
      <c r="A509" s="112" t="s">
        <v>1814</v>
      </c>
      <c r="B509" s="112" t="s">
        <v>906</v>
      </c>
      <c r="C509" s="112" t="s">
        <v>695</v>
      </c>
      <c r="D509" s="113">
        <v>10347948</v>
      </c>
      <c r="E509" s="115">
        <v>43923</v>
      </c>
      <c r="F509" s="114">
        <v>202101</v>
      </c>
      <c r="G509" s="112" t="s">
        <v>1091</v>
      </c>
      <c r="H509" s="112" t="s">
        <v>1015</v>
      </c>
      <c r="I509" s="112" t="s">
        <v>1873</v>
      </c>
      <c r="J509" s="112" t="s">
        <v>1815</v>
      </c>
      <c r="K509" s="112" t="s">
        <v>1110</v>
      </c>
      <c r="L509" s="116">
        <v>-95</v>
      </c>
      <c r="M509" s="116">
        <f t="shared" si="7"/>
        <v>-9.5000000000000001E-2</v>
      </c>
    </row>
    <row r="510" spans="1:13" hidden="1" x14ac:dyDescent="0.35">
      <c r="A510" s="112" t="s">
        <v>1814</v>
      </c>
      <c r="B510" s="112" t="s">
        <v>905</v>
      </c>
      <c r="C510" s="112" t="s">
        <v>695</v>
      </c>
      <c r="D510" s="113">
        <v>10347977</v>
      </c>
      <c r="E510" s="115">
        <v>43924</v>
      </c>
      <c r="F510" s="114">
        <v>202101</v>
      </c>
      <c r="G510" s="112" t="s">
        <v>1091</v>
      </c>
      <c r="H510" s="112" t="s">
        <v>1015</v>
      </c>
      <c r="I510" s="112" t="s">
        <v>749</v>
      </c>
      <c r="J510" s="112" t="s">
        <v>1822</v>
      </c>
      <c r="K510" s="112" t="s">
        <v>1875</v>
      </c>
      <c r="L510" s="116">
        <v>-80</v>
      </c>
      <c r="M510" s="116">
        <f t="shared" si="7"/>
        <v>-0.08</v>
      </c>
    </row>
    <row r="511" spans="1:13" hidden="1" x14ac:dyDescent="0.35">
      <c r="A511" s="112" t="s">
        <v>1814</v>
      </c>
      <c r="B511" s="112" t="s">
        <v>905</v>
      </c>
      <c r="C511" s="112" t="s">
        <v>695</v>
      </c>
      <c r="D511" s="113">
        <v>10347977</v>
      </c>
      <c r="E511" s="115">
        <v>43924</v>
      </c>
      <c r="F511" s="114">
        <v>202101</v>
      </c>
      <c r="G511" s="112" t="s">
        <v>1091</v>
      </c>
      <c r="H511" s="112" t="s">
        <v>1015</v>
      </c>
      <c r="I511" s="112" t="s">
        <v>757</v>
      </c>
      <c r="J511" s="112" t="s">
        <v>1822</v>
      </c>
      <c r="K511" s="112" t="s">
        <v>1876</v>
      </c>
      <c r="L511" s="116">
        <v>-60</v>
      </c>
      <c r="M511" s="116">
        <f t="shared" si="7"/>
        <v>-0.06</v>
      </c>
    </row>
    <row r="512" spans="1:13" hidden="1" x14ac:dyDescent="0.35">
      <c r="A512" s="112" t="s">
        <v>1814</v>
      </c>
      <c r="B512" s="112" t="s">
        <v>906</v>
      </c>
      <c r="C512" s="112" t="s">
        <v>695</v>
      </c>
      <c r="D512" s="113">
        <v>10347948</v>
      </c>
      <c r="E512" s="115">
        <v>43923</v>
      </c>
      <c r="F512" s="114">
        <v>202101</v>
      </c>
      <c r="G512" s="112" t="s">
        <v>1091</v>
      </c>
      <c r="H512" s="112" t="s">
        <v>1015</v>
      </c>
      <c r="I512" s="112" t="s">
        <v>1873</v>
      </c>
      <c r="J512" s="112" t="s">
        <v>1815</v>
      </c>
      <c r="K512" s="112" t="s">
        <v>1110</v>
      </c>
      <c r="L512" s="116">
        <v>-330</v>
      </c>
      <c r="M512" s="116">
        <f t="shared" si="7"/>
        <v>-0.33</v>
      </c>
    </row>
    <row r="513" spans="1:13" hidden="1" x14ac:dyDescent="0.35">
      <c r="A513" s="112" t="s">
        <v>1814</v>
      </c>
      <c r="B513" s="112" t="s">
        <v>906</v>
      </c>
      <c r="C513" s="112" t="s">
        <v>695</v>
      </c>
      <c r="D513" s="113">
        <v>10347948</v>
      </c>
      <c r="E513" s="115">
        <v>43923</v>
      </c>
      <c r="F513" s="114">
        <v>202101</v>
      </c>
      <c r="G513" s="112" t="s">
        <v>1091</v>
      </c>
      <c r="H513" s="112" t="s">
        <v>1015</v>
      </c>
      <c r="I513" s="112" t="s">
        <v>1873</v>
      </c>
      <c r="J513" s="112" t="s">
        <v>1815</v>
      </c>
      <c r="K513" s="112" t="s">
        <v>1110</v>
      </c>
      <c r="L513" s="116">
        <v>-330</v>
      </c>
      <c r="M513" s="116">
        <f t="shared" si="7"/>
        <v>-0.33</v>
      </c>
    </row>
    <row r="514" spans="1:13" hidden="1" x14ac:dyDescent="0.35">
      <c r="A514" s="112" t="s">
        <v>1814</v>
      </c>
      <c r="B514" s="112" t="s">
        <v>906</v>
      </c>
      <c r="C514" s="112" t="s">
        <v>695</v>
      </c>
      <c r="D514" s="113">
        <v>10347948</v>
      </c>
      <c r="E514" s="115">
        <v>43923</v>
      </c>
      <c r="F514" s="114">
        <v>202101</v>
      </c>
      <c r="G514" s="112" t="s">
        <v>1091</v>
      </c>
      <c r="H514" s="112" t="s">
        <v>1015</v>
      </c>
      <c r="I514" s="112" t="s">
        <v>1873</v>
      </c>
      <c r="J514" s="112" t="s">
        <v>1815</v>
      </c>
      <c r="K514" s="112" t="s">
        <v>1110</v>
      </c>
      <c r="L514" s="116">
        <v>-618.26</v>
      </c>
      <c r="M514" s="116">
        <f t="shared" si="7"/>
        <v>-0.61826000000000003</v>
      </c>
    </row>
    <row r="515" spans="1:13" hidden="1" x14ac:dyDescent="0.35">
      <c r="A515" s="112" t="s">
        <v>1814</v>
      </c>
      <c r="B515" s="112" t="s">
        <v>905</v>
      </c>
      <c r="C515" s="112" t="s">
        <v>695</v>
      </c>
      <c r="D515" s="113">
        <v>10347977</v>
      </c>
      <c r="E515" s="115">
        <v>43924</v>
      </c>
      <c r="F515" s="114">
        <v>202101</v>
      </c>
      <c r="G515" s="112" t="s">
        <v>1091</v>
      </c>
      <c r="H515" s="112" t="s">
        <v>1015</v>
      </c>
      <c r="I515" s="112" t="s">
        <v>757</v>
      </c>
      <c r="J515" s="112" t="s">
        <v>1822</v>
      </c>
      <c r="K515" s="112" t="s">
        <v>1879</v>
      </c>
      <c r="L515" s="116">
        <v>-94</v>
      </c>
      <c r="M515" s="116">
        <f t="shared" ref="M515:M578" si="8">L515/1000</f>
        <v>-9.4E-2</v>
      </c>
    </row>
    <row r="516" spans="1:13" hidden="1" x14ac:dyDescent="0.35">
      <c r="A516" s="112" t="s">
        <v>1814</v>
      </c>
      <c r="B516" s="112" t="s">
        <v>906</v>
      </c>
      <c r="C516" s="112" t="s">
        <v>695</v>
      </c>
      <c r="D516" s="113">
        <v>10347948</v>
      </c>
      <c r="E516" s="115">
        <v>43923</v>
      </c>
      <c r="F516" s="114">
        <v>202101</v>
      </c>
      <c r="G516" s="112" t="s">
        <v>1091</v>
      </c>
      <c r="H516" s="112" t="s">
        <v>1015</v>
      </c>
      <c r="I516" s="112" t="s">
        <v>1873</v>
      </c>
      <c r="J516" s="112" t="s">
        <v>1815</v>
      </c>
      <c r="K516" s="112" t="s">
        <v>1110</v>
      </c>
      <c r="L516" s="116">
        <v>-495</v>
      </c>
      <c r="M516" s="116">
        <f t="shared" si="8"/>
        <v>-0.495</v>
      </c>
    </row>
    <row r="517" spans="1:13" hidden="1" x14ac:dyDescent="0.35">
      <c r="A517" s="112" t="s">
        <v>1814</v>
      </c>
      <c r="B517" s="112" t="s">
        <v>905</v>
      </c>
      <c r="C517" s="112" t="s">
        <v>695</v>
      </c>
      <c r="D517" s="113">
        <v>10347977</v>
      </c>
      <c r="E517" s="115">
        <v>43924</v>
      </c>
      <c r="F517" s="114">
        <v>202101</v>
      </c>
      <c r="G517" s="112" t="s">
        <v>1091</v>
      </c>
      <c r="H517" s="112" t="s">
        <v>1015</v>
      </c>
      <c r="I517" s="112" t="s">
        <v>749</v>
      </c>
      <c r="J517" s="112" t="s">
        <v>1822</v>
      </c>
      <c r="K517" s="112" t="s">
        <v>1882</v>
      </c>
      <c r="L517" s="116">
        <v>-22</v>
      </c>
      <c r="M517" s="116">
        <f t="shared" si="8"/>
        <v>-2.1999999999999999E-2</v>
      </c>
    </row>
    <row r="518" spans="1:13" hidden="1" x14ac:dyDescent="0.35">
      <c r="A518" s="112" t="s">
        <v>1814</v>
      </c>
      <c r="B518" s="112" t="s">
        <v>906</v>
      </c>
      <c r="C518" s="112" t="s">
        <v>695</v>
      </c>
      <c r="D518" s="113">
        <v>10347977</v>
      </c>
      <c r="E518" s="115">
        <v>43924</v>
      </c>
      <c r="F518" s="114">
        <v>202101</v>
      </c>
      <c r="G518" s="112" t="s">
        <v>1091</v>
      </c>
      <c r="H518" s="112" t="s">
        <v>1015</v>
      </c>
      <c r="I518" s="112" t="s">
        <v>749</v>
      </c>
      <c r="J518" s="112" t="s">
        <v>1815</v>
      </c>
      <c r="K518" s="112" t="s">
        <v>1883</v>
      </c>
      <c r="L518" s="116">
        <v>-370</v>
      </c>
      <c r="M518" s="116">
        <f t="shared" si="8"/>
        <v>-0.37</v>
      </c>
    </row>
    <row r="519" spans="1:13" hidden="1" x14ac:dyDescent="0.35">
      <c r="A519" s="112" t="s">
        <v>1814</v>
      </c>
      <c r="B519" s="112" t="s">
        <v>906</v>
      </c>
      <c r="C519" s="112" t="s">
        <v>695</v>
      </c>
      <c r="D519" s="113">
        <v>10347952</v>
      </c>
      <c r="E519" s="115">
        <v>43923</v>
      </c>
      <c r="F519" s="114">
        <v>202101</v>
      </c>
      <c r="G519" s="112" t="s">
        <v>1091</v>
      </c>
      <c r="H519" s="112" t="s">
        <v>1015</v>
      </c>
      <c r="I519" s="112" t="s">
        <v>1820</v>
      </c>
      <c r="J519" s="112" t="s">
        <v>1815</v>
      </c>
      <c r="K519" s="112" t="s">
        <v>1884</v>
      </c>
      <c r="L519" s="116">
        <v>-22.15</v>
      </c>
      <c r="M519" s="116">
        <f t="shared" si="8"/>
        <v>-2.215E-2</v>
      </c>
    </row>
    <row r="520" spans="1:13" hidden="1" x14ac:dyDescent="0.35">
      <c r="A520" s="112" t="s">
        <v>1814</v>
      </c>
      <c r="B520" s="112" t="s">
        <v>906</v>
      </c>
      <c r="C520" s="112" t="s">
        <v>695</v>
      </c>
      <c r="D520" s="113">
        <v>10347952</v>
      </c>
      <c r="E520" s="115">
        <v>43923</v>
      </c>
      <c r="F520" s="114">
        <v>202101</v>
      </c>
      <c r="G520" s="112" t="s">
        <v>1091</v>
      </c>
      <c r="H520" s="112" t="s">
        <v>1015</v>
      </c>
      <c r="I520" s="112" t="s">
        <v>1820</v>
      </c>
      <c r="J520" s="112" t="s">
        <v>1815</v>
      </c>
      <c r="K520" s="112" t="s">
        <v>1885</v>
      </c>
      <c r="L520" s="116">
        <v>-406.6</v>
      </c>
      <c r="M520" s="116">
        <f t="shared" si="8"/>
        <v>-0.40660000000000002</v>
      </c>
    </row>
    <row r="521" spans="1:13" hidden="1" x14ac:dyDescent="0.35">
      <c r="A521" s="112" t="s">
        <v>1814</v>
      </c>
      <c r="B521" s="112" t="s">
        <v>905</v>
      </c>
      <c r="C521" s="112" t="s">
        <v>695</v>
      </c>
      <c r="D521" s="113">
        <v>10347977</v>
      </c>
      <c r="E521" s="115">
        <v>43924</v>
      </c>
      <c r="F521" s="114">
        <v>202101</v>
      </c>
      <c r="G521" s="112" t="s">
        <v>1091</v>
      </c>
      <c r="H521" s="112" t="s">
        <v>1015</v>
      </c>
      <c r="I521" s="112" t="s">
        <v>757</v>
      </c>
      <c r="J521" s="112" t="s">
        <v>1822</v>
      </c>
      <c r="K521" s="112" t="s">
        <v>1886</v>
      </c>
      <c r="L521" s="116">
        <v>-178</v>
      </c>
      <c r="M521" s="116">
        <f t="shared" si="8"/>
        <v>-0.17799999999999999</v>
      </c>
    </row>
    <row r="522" spans="1:13" hidden="1" x14ac:dyDescent="0.35">
      <c r="A522" s="112" t="s">
        <v>1814</v>
      </c>
      <c r="B522" s="112" t="s">
        <v>906</v>
      </c>
      <c r="C522" s="112" t="s">
        <v>695</v>
      </c>
      <c r="D522" s="113">
        <v>10347954</v>
      </c>
      <c r="E522" s="115">
        <v>43923</v>
      </c>
      <c r="F522" s="114">
        <v>202101</v>
      </c>
      <c r="G522" s="112" t="s">
        <v>1091</v>
      </c>
      <c r="H522" s="112" t="s">
        <v>1015</v>
      </c>
      <c r="I522" s="112" t="s">
        <v>1820</v>
      </c>
      <c r="J522" s="112" t="s">
        <v>1815</v>
      </c>
      <c r="K522" s="112" t="s">
        <v>1887</v>
      </c>
      <c r="L522" s="116">
        <v>-456.89</v>
      </c>
      <c r="M522" s="116">
        <f t="shared" si="8"/>
        <v>-0.45688999999999996</v>
      </c>
    </row>
    <row r="523" spans="1:13" hidden="1" x14ac:dyDescent="0.35">
      <c r="A523" s="112" t="s">
        <v>1814</v>
      </c>
      <c r="B523" s="112" t="s">
        <v>906</v>
      </c>
      <c r="C523" s="112" t="s">
        <v>695</v>
      </c>
      <c r="D523" s="113">
        <v>10347956</v>
      </c>
      <c r="E523" s="115">
        <v>43923</v>
      </c>
      <c r="F523" s="114">
        <v>202101</v>
      </c>
      <c r="G523" s="112" t="s">
        <v>1091</v>
      </c>
      <c r="H523" s="112" t="s">
        <v>1015</v>
      </c>
      <c r="I523" s="112" t="s">
        <v>1820</v>
      </c>
      <c r="J523" s="112" t="s">
        <v>1815</v>
      </c>
      <c r="K523" s="112" t="s">
        <v>1888</v>
      </c>
      <c r="L523" s="116">
        <v>-48.9</v>
      </c>
      <c r="M523" s="116">
        <f t="shared" si="8"/>
        <v>-4.8899999999999999E-2</v>
      </c>
    </row>
    <row r="524" spans="1:13" hidden="1" x14ac:dyDescent="0.35">
      <c r="A524" s="112" t="s">
        <v>1814</v>
      </c>
      <c r="B524" s="112" t="s">
        <v>906</v>
      </c>
      <c r="C524" s="112" t="s">
        <v>695</v>
      </c>
      <c r="D524" s="113">
        <v>10347956</v>
      </c>
      <c r="E524" s="115">
        <v>43923</v>
      </c>
      <c r="F524" s="114">
        <v>202101</v>
      </c>
      <c r="G524" s="112" t="s">
        <v>1091</v>
      </c>
      <c r="H524" s="112" t="s">
        <v>1015</v>
      </c>
      <c r="I524" s="112" t="s">
        <v>1820</v>
      </c>
      <c r="J524" s="112" t="s">
        <v>1815</v>
      </c>
      <c r="K524" s="112" t="s">
        <v>1888</v>
      </c>
      <c r="L524" s="116">
        <v>-22.15</v>
      </c>
      <c r="M524" s="116">
        <f t="shared" si="8"/>
        <v>-2.215E-2</v>
      </c>
    </row>
    <row r="525" spans="1:13" hidden="1" x14ac:dyDescent="0.35">
      <c r="A525" s="112" t="s">
        <v>1814</v>
      </c>
      <c r="B525" s="112" t="s">
        <v>906</v>
      </c>
      <c r="C525" s="112" t="s">
        <v>695</v>
      </c>
      <c r="D525" s="113">
        <v>10347956</v>
      </c>
      <c r="E525" s="115">
        <v>43923</v>
      </c>
      <c r="F525" s="114">
        <v>202101</v>
      </c>
      <c r="G525" s="112" t="s">
        <v>1091</v>
      </c>
      <c r="H525" s="112" t="s">
        <v>1015</v>
      </c>
      <c r="I525" s="112" t="s">
        <v>1820</v>
      </c>
      <c r="J525" s="112" t="s">
        <v>1815</v>
      </c>
      <c r="K525" s="112" t="s">
        <v>1889</v>
      </c>
      <c r="L525" s="116">
        <v>-29.16</v>
      </c>
      <c r="M525" s="116">
        <f t="shared" si="8"/>
        <v>-2.9159999999999998E-2</v>
      </c>
    </row>
    <row r="526" spans="1:13" hidden="1" x14ac:dyDescent="0.35">
      <c r="A526" s="112" t="s">
        <v>1814</v>
      </c>
      <c r="B526" s="112" t="s">
        <v>906</v>
      </c>
      <c r="C526" s="112" t="s">
        <v>695</v>
      </c>
      <c r="D526" s="113">
        <v>10347956</v>
      </c>
      <c r="E526" s="115">
        <v>43923</v>
      </c>
      <c r="F526" s="114">
        <v>202101</v>
      </c>
      <c r="G526" s="112" t="s">
        <v>1091</v>
      </c>
      <c r="H526" s="112" t="s">
        <v>1015</v>
      </c>
      <c r="I526" s="112" t="s">
        <v>1820</v>
      </c>
      <c r="J526" s="112" t="s">
        <v>1815</v>
      </c>
      <c r="K526" s="112" t="s">
        <v>1890</v>
      </c>
      <c r="L526" s="116">
        <v>-95.61</v>
      </c>
      <c r="M526" s="116">
        <f t="shared" si="8"/>
        <v>-9.5610000000000001E-2</v>
      </c>
    </row>
    <row r="527" spans="1:13" hidden="1" x14ac:dyDescent="0.35">
      <c r="A527" s="112" t="s">
        <v>1814</v>
      </c>
      <c r="B527" s="112" t="s">
        <v>906</v>
      </c>
      <c r="C527" s="112" t="s">
        <v>695</v>
      </c>
      <c r="D527" s="113">
        <v>10347956</v>
      </c>
      <c r="E527" s="115">
        <v>43923</v>
      </c>
      <c r="F527" s="114">
        <v>202101</v>
      </c>
      <c r="G527" s="112" t="s">
        <v>1091</v>
      </c>
      <c r="H527" s="112" t="s">
        <v>1015</v>
      </c>
      <c r="I527" s="112" t="s">
        <v>813</v>
      </c>
      <c r="J527" s="112" t="s">
        <v>1815</v>
      </c>
      <c r="K527" s="112" t="s">
        <v>1891</v>
      </c>
      <c r="L527" s="116">
        <v>-34.85</v>
      </c>
      <c r="M527" s="116">
        <f t="shared" si="8"/>
        <v>-3.4849999999999999E-2</v>
      </c>
    </row>
    <row r="528" spans="1:13" hidden="1" x14ac:dyDescent="0.35">
      <c r="A528" s="112" t="s">
        <v>1814</v>
      </c>
      <c r="B528" s="112" t="s">
        <v>906</v>
      </c>
      <c r="C528" s="112" t="s">
        <v>695</v>
      </c>
      <c r="D528" s="113">
        <v>10347956</v>
      </c>
      <c r="E528" s="115">
        <v>43923</v>
      </c>
      <c r="F528" s="114">
        <v>202101</v>
      </c>
      <c r="G528" s="112" t="s">
        <v>1091</v>
      </c>
      <c r="H528" s="112" t="s">
        <v>1015</v>
      </c>
      <c r="I528" s="112" t="s">
        <v>813</v>
      </c>
      <c r="J528" s="112" t="s">
        <v>1815</v>
      </c>
      <c r="K528" s="112" t="s">
        <v>1833</v>
      </c>
      <c r="L528" s="116">
        <v>-46.46</v>
      </c>
      <c r="M528" s="116">
        <f t="shared" si="8"/>
        <v>-4.6460000000000001E-2</v>
      </c>
    </row>
    <row r="529" spans="1:13" hidden="1" x14ac:dyDescent="0.35">
      <c r="A529" s="112" t="s">
        <v>1814</v>
      </c>
      <c r="B529" s="112" t="s">
        <v>906</v>
      </c>
      <c r="C529" s="112" t="s">
        <v>695</v>
      </c>
      <c r="D529" s="113">
        <v>10347956</v>
      </c>
      <c r="E529" s="115">
        <v>43923</v>
      </c>
      <c r="F529" s="114">
        <v>202101</v>
      </c>
      <c r="G529" s="112" t="s">
        <v>1091</v>
      </c>
      <c r="H529" s="112" t="s">
        <v>1015</v>
      </c>
      <c r="I529" s="112" t="s">
        <v>813</v>
      </c>
      <c r="J529" s="112" t="s">
        <v>1815</v>
      </c>
      <c r="K529" s="112" t="s">
        <v>1892</v>
      </c>
      <c r="L529" s="116">
        <v>-89.26</v>
      </c>
      <c r="M529" s="116">
        <f t="shared" si="8"/>
        <v>-8.9260000000000006E-2</v>
      </c>
    </row>
    <row r="530" spans="1:13" hidden="1" x14ac:dyDescent="0.35">
      <c r="A530" s="112" t="s">
        <v>1814</v>
      </c>
      <c r="B530" s="112" t="s">
        <v>906</v>
      </c>
      <c r="C530" s="112" t="s">
        <v>695</v>
      </c>
      <c r="D530" s="113">
        <v>10347956</v>
      </c>
      <c r="E530" s="115">
        <v>43923</v>
      </c>
      <c r="F530" s="114">
        <v>202101</v>
      </c>
      <c r="G530" s="112" t="s">
        <v>1091</v>
      </c>
      <c r="H530" s="112" t="s">
        <v>1015</v>
      </c>
      <c r="I530" s="112" t="s">
        <v>1820</v>
      </c>
      <c r="J530" s="112" t="s">
        <v>1815</v>
      </c>
      <c r="K530" s="112" t="s">
        <v>1893</v>
      </c>
      <c r="L530" s="116">
        <v>-33.229999999999997</v>
      </c>
      <c r="M530" s="116">
        <f t="shared" si="8"/>
        <v>-3.3229999999999996E-2</v>
      </c>
    </row>
    <row r="531" spans="1:13" hidden="1" x14ac:dyDescent="0.35">
      <c r="A531" s="112" t="s">
        <v>1814</v>
      </c>
      <c r="B531" s="112" t="s">
        <v>906</v>
      </c>
      <c r="C531" s="112" t="s">
        <v>695</v>
      </c>
      <c r="D531" s="113">
        <v>10347954</v>
      </c>
      <c r="E531" s="115">
        <v>43923</v>
      </c>
      <c r="F531" s="114">
        <v>202101</v>
      </c>
      <c r="G531" s="112" t="s">
        <v>1091</v>
      </c>
      <c r="H531" s="112" t="s">
        <v>1015</v>
      </c>
      <c r="I531" s="112" t="s">
        <v>1894</v>
      </c>
      <c r="J531" s="112" t="s">
        <v>1815</v>
      </c>
      <c r="K531" s="112" t="s">
        <v>1895</v>
      </c>
      <c r="L531" s="116">
        <v>-92.85</v>
      </c>
      <c r="M531" s="116">
        <f t="shared" si="8"/>
        <v>-9.2849999999999988E-2</v>
      </c>
    </row>
    <row r="532" spans="1:13" hidden="1" x14ac:dyDescent="0.35">
      <c r="A532" s="112" t="s">
        <v>1814</v>
      </c>
      <c r="B532" s="112" t="s">
        <v>906</v>
      </c>
      <c r="C532" s="112" t="s">
        <v>695</v>
      </c>
      <c r="D532" s="113">
        <v>10347954</v>
      </c>
      <c r="E532" s="115">
        <v>43923</v>
      </c>
      <c r="F532" s="114">
        <v>202101</v>
      </c>
      <c r="G532" s="112" t="s">
        <v>1091</v>
      </c>
      <c r="H532" s="112" t="s">
        <v>1015</v>
      </c>
      <c r="I532" s="112" t="s">
        <v>1873</v>
      </c>
      <c r="J532" s="112" t="s">
        <v>1815</v>
      </c>
      <c r="K532" s="112" t="s">
        <v>1110</v>
      </c>
      <c r="L532" s="116">
        <v>-1425.55</v>
      </c>
      <c r="M532" s="116">
        <f t="shared" si="8"/>
        <v>-1.4255499999999999</v>
      </c>
    </row>
    <row r="533" spans="1:13" hidden="1" x14ac:dyDescent="0.35">
      <c r="A533" s="112" t="s">
        <v>1814</v>
      </c>
      <c r="B533" s="112" t="s">
        <v>906</v>
      </c>
      <c r="C533" s="112" t="s">
        <v>695</v>
      </c>
      <c r="D533" s="113">
        <v>10347954</v>
      </c>
      <c r="E533" s="115">
        <v>43923</v>
      </c>
      <c r="F533" s="114">
        <v>202101</v>
      </c>
      <c r="G533" s="112" t="s">
        <v>1091</v>
      </c>
      <c r="H533" s="112" t="s">
        <v>1015</v>
      </c>
      <c r="I533" s="112" t="s">
        <v>1820</v>
      </c>
      <c r="J533" s="112" t="s">
        <v>1815</v>
      </c>
      <c r="K533" s="112" t="s">
        <v>1896</v>
      </c>
      <c r="L533" s="116">
        <v>-56.73</v>
      </c>
      <c r="M533" s="116">
        <f t="shared" si="8"/>
        <v>-5.6729999999999996E-2</v>
      </c>
    </row>
    <row r="534" spans="1:13" hidden="1" x14ac:dyDescent="0.35">
      <c r="A534" s="112" t="s">
        <v>1814</v>
      </c>
      <c r="B534" s="112" t="s">
        <v>906</v>
      </c>
      <c r="C534" s="112" t="s">
        <v>695</v>
      </c>
      <c r="D534" s="113">
        <v>10347954</v>
      </c>
      <c r="E534" s="115">
        <v>43923</v>
      </c>
      <c r="F534" s="114">
        <v>202101</v>
      </c>
      <c r="G534" s="112" t="s">
        <v>1091</v>
      </c>
      <c r="H534" s="112" t="s">
        <v>1015</v>
      </c>
      <c r="I534" s="112" t="s">
        <v>1873</v>
      </c>
      <c r="J534" s="112" t="s">
        <v>1815</v>
      </c>
      <c r="K534" s="112" t="s">
        <v>1110</v>
      </c>
      <c r="L534" s="116">
        <v>-977.57</v>
      </c>
      <c r="M534" s="116">
        <f t="shared" si="8"/>
        <v>-0.97757000000000005</v>
      </c>
    </row>
    <row r="535" spans="1:13" hidden="1" x14ac:dyDescent="0.35">
      <c r="A535" s="112" t="s">
        <v>1814</v>
      </c>
      <c r="B535" s="112" t="s">
        <v>906</v>
      </c>
      <c r="C535" s="112" t="s">
        <v>695</v>
      </c>
      <c r="D535" s="113">
        <v>10347954</v>
      </c>
      <c r="E535" s="115">
        <v>43923</v>
      </c>
      <c r="F535" s="114">
        <v>202101</v>
      </c>
      <c r="G535" s="112" t="s">
        <v>1091</v>
      </c>
      <c r="H535" s="112" t="s">
        <v>1015</v>
      </c>
      <c r="I535" s="112" t="s">
        <v>1820</v>
      </c>
      <c r="J535" s="112" t="s">
        <v>1815</v>
      </c>
      <c r="K535" s="112" t="s">
        <v>1887</v>
      </c>
      <c r="L535" s="116">
        <v>-55.1</v>
      </c>
      <c r="M535" s="116">
        <f t="shared" si="8"/>
        <v>-5.5100000000000003E-2</v>
      </c>
    </row>
    <row r="536" spans="1:13" hidden="1" x14ac:dyDescent="0.35">
      <c r="A536" s="112" t="s">
        <v>1814</v>
      </c>
      <c r="B536" s="112" t="s">
        <v>906</v>
      </c>
      <c r="C536" s="112" t="s">
        <v>695</v>
      </c>
      <c r="D536" s="113">
        <v>10347954</v>
      </c>
      <c r="E536" s="115">
        <v>43923</v>
      </c>
      <c r="F536" s="114">
        <v>202101</v>
      </c>
      <c r="G536" s="112" t="s">
        <v>1091</v>
      </c>
      <c r="H536" s="112" t="s">
        <v>1015</v>
      </c>
      <c r="I536" s="112" t="s">
        <v>1820</v>
      </c>
      <c r="J536" s="112" t="s">
        <v>1815</v>
      </c>
      <c r="K536" s="112" t="s">
        <v>1897</v>
      </c>
      <c r="L536" s="116">
        <v>-275.3</v>
      </c>
      <c r="M536" s="116">
        <f t="shared" si="8"/>
        <v>-0.27529999999999999</v>
      </c>
    </row>
    <row r="537" spans="1:13" hidden="1" x14ac:dyDescent="0.35">
      <c r="A537" s="112" t="s">
        <v>1814</v>
      </c>
      <c r="B537" s="112" t="s">
        <v>906</v>
      </c>
      <c r="C537" s="112" t="s">
        <v>695</v>
      </c>
      <c r="D537" s="113">
        <v>10347954</v>
      </c>
      <c r="E537" s="115">
        <v>43923</v>
      </c>
      <c r="F537" s="114">
        <v>202101</v>
      </c>
      <c r="G537" s="112" t="s">
        <v>1091</v>
      </c>
      <c r="H537" s="112" t="s">
        <v>1015</v>
      </c>
      <c r="I537" s="112" t="s">
        <v>1820</v>
      </c>
      <c r="J537" s="112" t="s">
        <v>1815</v>
      </c>
      <c r="K537" s="112" t="s">
        <v>1898</v>
      </c>
      <c r="L537" s="116">
        <v>-291.69</v>
      </c>
      <c r="M537" s="116">
        <f t="shared" si="8"/>
        <v>-0.29169</v>
      </c>
    </row>
    <row r="538" spans="1:13" hidden="1" x14ac:dyDescent="0.35">
      <c r="A538" s="112" t="s">
        <v>1814</v>
      </c>
      <c r="B538" s="112" t="s">
        <v>906</v>
      </c>
      <c r="C538" s="112" t="s">
        <v>695</v>
      </c>
      <c r="D538" s="113">
        <v>10347954</v>
      </c>
      <c r="E538" s="115">
        <v>43923</v>
      </c>
      <c r="F538" s="114">
        <v>202101</v>
      </c>
      <c r="G538" s="112" t="s">
        <v>1091</v>
      </c>
      <c r="H538" s="112" t="s">
        <v>1015</v>
      </c>
      <c r="I538" s="112" t="s">
        <v>1820</v>
      </c>
      <c r="J538" s="112" t="s">
        <v>1815</v>
      </c>
      <c r="K538" s="112" t="s">
        <v>1899</v>
      </c>
      <c r="L538" s="116">
        <v>-56.73</v>
      </c>
      <c r="M538" s="116">
        <f t="shared" si="8"/>
        <v>-5.6729999999999996E-2</v>
      </c>
    </row>
    <row r="539" spans="1:13" hidden="1" x14ac:dyDescent="0.35">
      <c r="A539" s="112" t="s">
        <v>1814</v>
      </c>
      <c r="B539" s="112" t="s">
        <v>905</v>
      </c>
      <c r="C539" s="112" t="s">
        <v>695</v>
      </c>
      <c r="D539" s="113">
        <v>10347954</v>
      </c>
      <c r="E539" s="115">
        <v>43923</v>
      </c>
      <c r="F539" s="114">
        <v>202101</v>
      </c>
      <c r="G539" s="112" t="s">
        <v>1091</v>
      </c>
      <c r="H539" s="112" t="s">
        <v>1015</v>
      </c>
      <c r="I539" s="112" t="s">
        <v>1900</v>
      </c>
      <c r="J539" s="112" t="s">
        <v>1901</v>
      </c>
      <c r="K539" s="112" t="s">
        <v>1902</v>
      </c>
      <c r="L539" s="116">
        <v>-294.42</v>
      </c>
      <c r="M539" s="116">
        <f t="shared" si="8"/>
        <v>-0.29442000000000002</v>
      </c>
    </row>
    <row r="540" spans="1:13" hidden="1" x14ac:dyDescent="0.35">
      <c r="A540" s="112" t="s">
        <v>1814</v>
      </c>
      <c r="B540" s="112" t="s">
        <v>906</v>
      </c>
      <c r="C540" s="112" t="s">
        <v>695</v>
      </c>
      <c r="D540" s="113">
        <v>10347954</v>
      </c>
      <c r="E540" s="115">
        <v>43923</v>
      </c>
      <c r="F540" s="114">
        <v>202101</v>
      </c>
      <c r="G540" s="112" t="s">
        <v>1091</v>
      </c>
      <c r="H540" s="112" t="s">
        <v>1015</v>
      </c>
      <c r="I540" s="112" t="s">
        <v>1820</v>
      </c>
      <c r="J540" s="112" t="s">
        <v>1815</v>
      </c>
      <c r="K540" s="112" t="s">
        <v>1903</v>
      </c>
      <c r="L540" s="116">
        <v>-152.31</v>
      </c>
      <c r="M540" s="116">
        <f t="shared" si="8"/>
        <v>-0.15231</v>
      </c>
    </row>
    <row r="541" spans="1:13" hidden="1" x14ac:dyDescent="0.35">
      <c r="A541" s="112" t="s">
        <v>1814</v>
      </c>
      <c r="B541" s="112" t="s">
        <v>905</v>
      </c>
      <c r="C541" s="112" t="s">
        <v>695</v>
      </c>
      <c r="D541" s="113">
        <v>10347954</v>
      </c>
      <c r="E541" s="115">
        <v>43923</v>
      </c>
      <c r="F541" s="114">
        <v>202101</v>
      </c>
      <c r="G541" s="112" t="s">
        <v>1091</v>
      </c>
      <c r="H541" s="112" t="s">
        <v>1015</v>
      </c>
      <c r="I541" s="112" t="s">
        <v>1900</v>
      </c>
      <c r="J541" s="112" t="s">
        <v>1839</v>
      </c>
      <c r="K541" s="112" t="s">
        <v>1904</v>
      </c>
      <c r="L541" s="116">
        <v>-72.39</v>
      </c>
      <c r="M541" s="116">
        <f t="shared" si="8"/>
        <v>-7.2389999999999996E-2</v>
      </c>
    </row>
    <row r="542" spans="1:13" hidden="1" x14ac:dyDescent="0.35">
      <c r="A542" s="112" t="s">
        <v>1814</v>
      </c>
      <c r="B542" s="112" t="s">
        <v>906</v>
      </c>
      <c r="C542" s="112" t="s">
        <v>695</v>
      </c>
      <c r="D542" s="113">
        <v>10347954</v>
      </c>
      <c r="E542" s="115">
        <v>43923</v>
      </c>
      <c r="F542" s="114">
        <v>202101</v>
      </c>
      <c r="G542" s="112" t="s">
        <v>1091</v>
      </c>
      <c r="H542" s="112" t="s">
        <v>1015</v>
      </c>
      <c r="I542" s="112" t="s">
        <v>1894</v>
      </c>
      <c r="J542" s="112" t="s">
        <v>1815</v>
      </c>
      <c r="K542" s="112" t="s">
        <v>1905</v>
      </c>
      <c r="L542" s="116">
        <v>-66.45</v>
      </c>
      <c r="M542" s="116">
        <f t="shared" si="8"/>
        <v>-6.6450000000000009E-2</v>
      </c>
    </row>
    <row r="543" spans="1:13" hidden="1" x14ac:dyDescent="0.35">
      <c r="A543" s="112" t="s">
        <v>1814</v>
      </c>
      <c r="B543" s="112" t="s">
        <v>906</v>
      </c>
      <c r="C543" s="112" t="s">
        <v>695</v>
      </c>
      <c r="D543" s="113">
        <v>10347954</v>
      </c>
      <c r="E543" s="115">
        <v>43923</v>
      </c>
      <c r="F543" s="114">
        <v>202101</v>
      </c>
      <c r="G543" s="112" t="s">
        <v>1091</v>
      </c>
      <c r="H543" s="112" t="s">
        <v>1015</v>
      </c>
      <c r="I543" s="112" t="s">
        <v>1820</v>
      </c>
      <c r="J543" s="112" t="s">
        <v>1815</v>
      </c>
      <c r="K543" s="112" t="s">
        <v>1906</v>
      </c>
      <c r="L543" s="116">
        <v>-418.03</v>
      </c>
      <c r="M543" s="116">
        <f t="shared" si="8"/>
        <v>-0.41802999999999996</v>
      </c>
    </row>
    <row r="544" spans="1:13" hidden="1" x14ac:dyDescent="0.35">
      <c r="A544" s="112" t="s">
        <v>1814</v>
      </c>
      <c r="B544" s="112" t="s">
        <v>906</v>
      </c>
      <c r="C544" s="112" t="s">
        <v>695</v>
      </c>
      <c r="D544" s="113">
        <v>10347954</v>
      </c>
      <c r="E544" s="115">
        <v>43923</v>
      </c>
      <c r="F544" s="114">
        <v>202101</v>
      </c>
      <c r="G544" s="112" t="s">
        <v>1091</v>
      </c>
      <c r="H544" s="112" t="s">
        <v>1015</v>
      </c>
      <c r="I544" s="112" t="s">
        <v>1820</v>
      </c>
      <c r="J544" s="112" t="s">
        <v>1815</v>
      </c>
      <c r="K544" s="112" t="s">
        <v>1907</v>
      </c>
      <c r="L544" s="116">
        <v>-56.73</v>
      </c>
      <c r="M544" s="116">
        <f t="shared" si="8"/>
        <v>-5.6729999999999996E-2</v>
      </c>
    </row>
    <row r="545" spans="1:13" hidden="1" x14ac:dyDescent="0.35">
      <c r="A545" s="112" t="s">
        <v>1814</v>
      </c>
      <c r="B545" s="112" t="s">
        <v>906</v>
      </c>
      <c r="C545" s="112" t="s">
        <v>695</v>
      </c>
      <c r="D545" s="113">
        <v>10347954</v>
      </c>
      <c r="E545" s="115">
        <v>43923</v>
      </c>
      <c r="F545" s="114">
        <v>202101</v>
      </c>
      <c r="G545" s="112" t="s">
        <v>1091</v>
      </c>
      <c r="H545" s="112" t="s">
        <v>1015</v>
      </c>
      <c r="I545" s="112" t="s">
        <v>1820</v>
      </c>
      <c r="J545" s="112" t="s">
        <v>1815</v>
      </c>
      <c r="K545" s="112" t="s">
        <v>1908</v>
      </c>
      <c r="L545" s="116">
        <v>-22.15</v>
      </c>
      <c r="M545" s="116">
        <f t="shared" si="8"/>
        <v>-2.215E-2</v>
      </c>
    </row>
    <row r="546" spans="1:13" hidden="1" x14ac:dyDescent="0.35">
      <c r="A546" s="112" t="s">
        <v>1814</v>
      </c>
      <c r="B546" s="112" t="s">
        <v>906</v>
      </c>
      <c r="C546" s="112" t="s">
        <v>695</v>
      </c>
      <c r="D546" s="113">
        <v>10347954</v>
      </c>
      <c r="E546" s="115">
        <v>43923</v>
      </c>
      <c r="F546" s="114">
        <v>202101</v>
      </c>
      <c r="G546" s="112" t="s">
        <v>1091</v>
      </c>
      <c r="H546" s="112" t="s">
        <v>1015</v>
      </c>
      <c r="I546" s="112" t="s">
        <v>1820</v>
      </c>
      <c r="J546" s="112" t="s">
        <v>1815</v>
      </c>
      <c r="K546" s="112" t="s">
        <v>1910</v>
      </c>
      <c r="L546" s="116">
        <v>-28.8</v>
      </c>
      <c r="M546" s="116">
        <f t="shared" si="8"/>
        <v>-2.8799999999999999E-2</v>
      </c>
    </row>
    <row r="547" spans="1:13" hidden="1" x14ac:dyDescent="0.35">
      <c r="A547" s="112" t="s">
        <v>1814</v>
      </c>
      <c r="B547" s="112" t="s">
        <v>906</v>
      </c>
      <c r="C547" s="112" t="s">
        <v>695</v>
      </c>
      <c r="D547" s="113">
        <v>10347956</v>
      </c>
      <c r="E547" s="115">
        <v>43923</v>
      </c>
      <c r="F547" s="114">
        <v>202101</v>
      </c>
      <c r="G547" s="112" t="s">
        <v>1091</v>
      </c>
      <c r="H547" s="112" t="s">
        <v>1015</v>
      </c>
      <c r="I547" s="112" t="s">
        <v>1873</v>
      </c>
      <c r="J547" s="112" t="s">
        <v>1815</v>
      </c>
      <c r="K547" s="112" t="s">
        <v>1110</v>
      </c>
      <c r="L547" s="116">
        <v>-44.3</v>
      </c>
      <c r="M547" s="116">
        <f t="shared" si="8"/>
        <v>-4.4299999999999999E-2</v>
      </c>
    </row>
    <row r="548" spans="1:13" hidden="1" x14ac:dyDescent="0.35">
      <c r="A548" s="112" t="s">
        <v>1814</v>
      </c>
      <c r="B548" s="112" t="s">
        <v>906</v>
      </c>
      <c r="C548" s="112" t="s">
        <v>695</v>
      </c>
      <c r="D548" s="113">
        <v>10347954</v>
      </c>
      <c r="E548" s="115">
        <v>43923</v>
      </c>
      <c r="F548" s="114">
        <v>202101</v>
      </c>
      <c r="G548" s="112" t="s">
        <v>1091</v>
      </c>
      <c r="H548" s="112" t="s">
        <v>1015</v>
      </c>
      <c r="I548" s="112" t="s">
        <v>1820</v>
      </c>
      <c r="J548" s="112" t="s">
        <v>1815</v>
      </c>
      <c r="K548" s="112" t="s">
        <v>1911</v>
      </c>
      <c r="L548" s="116">
        <v>-311.10000000000002</v>
      </c>
      <c r="M548" s="116">
        <f t="shared" si="8"/>
        <v>-0.31110000000000004</v>
      </c>
    </row>
    <row r="549" spans="1:13" hidden="1" x14ac:dyDescent="0.35">
      <c r="A549" s="112" t="s">
        <v>1814</v>
      </c>
      <c r="B549" s="112" t="s">
        <v>906</v>
      </c>
      <c r="C549" s="112" t="s">
        <v>695</v>
      </c>
      <c r="D549" s="113">
        <v>10347956</v>
      </c>
      <c r="E549" s="115">
        <v>43923</v>
      </c>
      <c r="F549" s="114">
        <v>202101</v>
      </c>
      <c r="G549" s="112" t="s">
        <v>1091</v>
      </c>
      <c r="H549" s="112" t="s">
        <v>1015</v>
      </c>
      <c r="I549" s="112" t="s">
        <v>813</v>
      </c>
      <c r="J549" s="112" t="s">
        <v>1815</v>
      </c>
      <c r="K549" s="112" t="s">
        <v>1891</v>
      </c>
      <c r="L549" s="116">
        <v>-441.41</v>
      </c>
      <c r="M549" s="116">
        <f t="shared" si="8"/>
        <v>-0.44141000000000002</v>
      </c>
    </row>
    <row r="550" spans="1:13" hidden="1" x14ac:dyDescent="0.35">
      <c r="A550" s="112" t="s">
        <v>1814</v>
      </c>
      <c r="B550" s="112" t="s">
        <v>906</v>
      </c>
      <c r="C550" s="112" t="s">
        <v>695</v>
      </c>
      <c r="D550" s="113">
        <v>10347956</v>
      </c>
      <c r="E550" s="115">
        <v>43923</v>
      </c>
      <c r="F550" s="114">
        <v>202101</v>
      </c>
      <c r="G550" s="112" t="s">
        <v>1091</v>
      </c>
      <c r="H550" s="112" t="s">
        <v>1015</v>
      </c>
      <c r="I550" s="112" t="s">
        <v>1820</v>
      </c>
      <c r="J550" s="112" t="s">
        <v>1815</v>
      </c>
      <c r="K550" s="112" t="s">
        <v>1912</v>
      </c>
      <c r="L550" s="116">
        <v>-29.16</v>
      </c>
      <c r="M550" s="116">
        <f t="shared" si="8"/>
        <v>-2.9159999999999998E-2</v>
      </c>
    </row>
    <row r="551" spans="1:13" hidden="1" x14ac:dyDescent="0.35">
      <c r="A551" s="112" t="s">
        <v>1814</v>
      </c>
      <c r="B551" s="112" t="s">
        <v>906</v>
      </c>
      <c r="C551" s="112" t="s">
        <v>695</v>
      </c>
      <c r="D551" s="113">
        <v>10347956</v>
      </c>
      <c r="E551" s="115">
        <v>43923</v>
      </c>
      <c r="F551" s="114">
        <v>202101</v>
      </c>
      <c r="G551" s="112" t="s">
        <v>1091</v>
      </c>
      <c r="H551" s="112" t="s">
        <v>1015</v>
      </c>
      <c r="I551" s="112" t="s">
        <v>1820</v>
      </c>
      <c r="J551" s="112" t="s">
        <v>1815</v>
      </c>
      <c r="K551" s="112" t="s">
        <v>1913</v>
      </c>
      <c r="L551" s="116">
        <v>-21.26</v>
      </c>
      <c r="M551" s="116">
        <f t="shared" si="8"/>
        <v>-2.1260000000000001E-2</v>
      </c>
    </row>
    <row r="552" spans="1:13" hidden="1" x14ac:dyDescent="0.35">
      <c r="A552" s="112" t="s">
        <v>1814</v>
      </c>
      <c r="B552" s="112" t="s">
        <v>906</v>
      </c>
      <c r="C552" s="112" t="s">
        <v>695</v>
      </c>
      <c r="D552" s="113">
        <v>10347956</v>
      </c>
      <c r="E552" s="115">
        <v>43923</v>
      </c>
      <c r="F552" s="114">
        <v>202101</v>
      </c>
      <c r="G552" s="112" t="s">
        <v>1091</v>
      </c>
      <c r="H552" s="112" t="s">
        <v>1015</v>
      </c>
      <c r="I552" s="112" t="s">
        <v>813</v>
      </c>
      <c r="J552" s="112" t="s">
        <v>1815</v>
      </c>
      <c r="K552" s="112" t="s">
        <v>1891</v>
      </c>
      <c r="L552" s="116">
        <v>-46.46</v>
      </c>
      <c r="M552" s="116">
        <f t="shared" si="8"/>
        <v>-4.6460000000000001E-2</v>
      </c>
    </row>
    <row r="553" spans="1:13" hidden="1" x14ac:dyDescent="0.35">
      <c r="A553" s="112" t="s">
        <v>1814</v>
      </c>
      <c r="B553" s="112" t="s">
        <v>906</v>
      </c>
      <c r="C553" s="112" t="s">
        <v>695</v>
      </c>
      <c r="D553" s="113">
        <v>10347956</v>
      </c>
      <c r="E553" s="115">
        <v>43923</v>
      </c>
      <c r="F553" s="114">
        <v>202101</v>
      </c>
      <c r="G553" s="112" t="s">
        <v>1091</v>
      </c>
      <c r="H553" s="112" t="s">
        <v>1015</v>
      </c>
      <c r="I553" s="112" t="s">
        <v>1820</v>
      </c>
      <c r="J553" s="112" t="s">
        <v>1815</v>
      </c>
      <c r="K553" s="112" t="s">
        <v>1914</v>
      </c>
      <c r="L553" s="116">
        <v>-706.84</v>
      </c>
      <c r="M553" s="116">
        <f t="shared" si="8"/>
        <v>-0.70684000000000002</v>
      </c>
    </row>
    <row r="554" spans="1:13" hidden="1" x14ac:dyDescent="0.35">
      <c r="A554" s="112" t="s">
        <v>1814</v>
      </c>
      <c r="B554" s="112" t="s">
        <v>906</v>
      </c>
      <c r="C554" s="112" t="s">
        <v>695</v>
      </c>
      <c r="D554" s="113">
        <v>10347956</v>
      </c>
      <c r="E554" s="115">
        <v>43923</v>
      </c>
      <c r="F554" s="114">
        <v>202101</v>
      </c>
      <c r="G554" s="112" t="s">
        <v>1091</v>
      </c>
      <c r="H554" s="112" t="s">
        <v>1015</v>
      </c>
      <c r="I554" s="112" t="s">
        <v>1820</v>
      </c>
      <c r="J554" s="112" t="s">
        <v>1815</v>
      </c>
      <c r="K554" s="112" t="s">
        <v>1915</v>
      </c>
      <c r="L554" s="116">
        <v>-38.89</v>
      </c>
      <c r="M554" s="116">
        <f t="shared" si="8"/>
        <v>-3.8890000000000001E-2</v>
      </c>
    </row>
    <row r="555" spans="1:13" hidden="1" x14ac:dyDescent="0.35">
      <c r="A555" s="112" t="s">
        <v>1814</v>
      </c>
      <c r="B555" s="112" t="s">
        <v>906</v>
      </c>
      <c r="C555" s="112" t="s">
        <v>695</v>
      </c>
      <c r="D555" s="113">
        <v>10347956</v>
      </c>
      <c r="E555" s="115">
        <v>43923</v>
      </c>
      <c r="F555" s="114">
        <v>202101</v>
      </c>
      <c r="G555" s="112" t="s">
        <v>1091</v>
      </c>
      <c r="H555" s="112" t="s">
        <v>1015</v>
      </c>
      <c r="I555" s="112" t="s">
        <v>1820</v>
      </c>
      <c r="J555" s="112" t="s">
        <v>1815</v>
      </c>
      <c r="K555" s="112" t="s">
        <v>1918</v>
      </c>
      <c r="L555" s="116">
        <v>-39.44</v>
      </c>
      <c r="M555" s="116">
        <f t="shared" si="8"/>
        <v>-3.9439999999999996E-2</v>
      </c>
    </row>
    <row r="556" spans="1:13" hidden="1" x14ac:dyDescent="0.35">
      <c r="A556" s="112" t="s">
        <v>1814</v>
      </c>
      <c r="B556" s="112" t="s">
        <v>906</v>
      </c>
      <c r="C556" s="112" t="s">
        <v>695</v>
      </c>
      <c r="D556" s="113">
        <v>10347956</v>
      </c>
      <c r="E556" s="115">
        <v>43923</v>
      </c>
      <c r="F556" s="114">
        <v>202101</v>
      </c>
      <c r="G556" s="112" t="s">
        <v>1091</v>
      </c>
      <c r="H556" s="112" t="s">
        <v>1015</v>
      </c>
      <c r="I556" s="112" t="s">
        <v>813</v>
      </c>
      <c r="J556" s="112" t="s">
        <v>1815</v>
      </c>
      <c r="K556" s="112" t="s">
        <v>1919</v>
      </c>
      <c r="L556" s="116">
        <v>-139.38999999999999</v>
      </c>
      <c r="M556" s="116">
        <f t="shared" si="8"/>
        <v>-0.13938999999999999</v>
      </c>
    </row>
    <row r="557" spans="1:13" hidden="1" x14ac:dyDescent="0.35">
      <c r="A557" s="112" t="s">
        <v>1814</v>
      </c>
      <c r="B557" s="112" t="s">
        <v>906</v>
      </c>
      <c r="C557" s="112" t="s">
        <v>695</v>
      </c>
      <c r="D557" s="113">
        <v>10347956</v>
      </c>
      <c r="E557" s="115">
        <v>43923</v>
      </c>
      <c r="F557" s="114">
        <v>202101</v>
      </c>
      <c r="G557" s="112" t="s">
        <v>1091</v>
      </c>
      <c r="H557" s="112" t="s">
        <v>1015</v>
      </c>
      <c r="I557" s="112" t="s">
        <v>813</v>
      </c>
      <c r="J557" s="112" t="s">
        <v>1815</v>
      </c>
      <c r="K557" s="112" t="s">
        <v>1891</v>
      </c>
      <c r="L557" s="116">
        <v>-129.06</v>
      </c>
      <c r="M557" s="116">
        <f t="shared" si="8"/>
        <v>-0.12906000000000001</v>
      </c>
    </row>
    <row r="558" spans="1:13" hidden="1" x14ac:dyDescent="0.35">
      <c r="A558" s="112" t="s">
        <v>1814</v>
      </c>
      <c r="B558" s="112" t="s">
        <v>906</v>
      </c>
      <c r="C558" s="112" t="s">
        <v>695</v>
      </c>
      <c r="D558" s="113">
        <v>10347956</v>
      </c>
      <c r="E558" s="115">
        <v>43923</v>
      </c>
      <c r="F558" s="114">
        <v>202101</v>
      </c>
      <c r="G558" s="112" t="s">
        <v>1091</v>
      </c>
      <c r="H558" s="112" t="s">
        <v>1015</v>
      </c>
      <c r="I558" s="112" t="s">
        <v>813</v>
      </c>
      <c r="J558" s="112" t="s">
        <v>1815</v>
      </c>
      <c r="K558" s="112" t="s">
        <v>1920</v>
      </c>
      <c r="L558" s="116">
        <v>-107.91</v>
      </c>
      <c r="M558" s="116">
        <f t="shared" si="8"/>
        <v>-0.10790999999999999</v>
      </c>
    </row>
    <row r="559" spans="1:13" hidden="1" x14ac:dyDescent="0.35">
      <c r="A559" s="112" t="s">
        <v>1814</v>
      </c>
      <c r="B559" s="112" t="s">
        <v>906</v>
      </c>
      <c r="C559" s="112" t="s">
        <v>695</v>
      </c>
      <c r="D559" s="113">
        <v>10347956</v>
      </c>
      <c r="E559" s="115">
        <v>43923</v>
      </c>
      <c r="F559" s="114">
        <v>202101</v>
      </c>
      <c r="G559" s="112" t="s">
        <v>1091</v>
      </c>
      <c r="H559" s="112" t="s">
        <v>1015</v>
      </c>
      <c r="I559" s="112" t="s">
        <v>813</v>
      </c>
      <c r="J559" s="112" t="s">
        <v>1815</v>
      </c>
      <c r="K559" s="112" t="s">
        <v>1905</v>
      </c>
      <c r="L559" s="116">
        <v>-116.16</v>
      </c>
      <c r="M559" s="116">
        <f t="shared" si="8"/>
        <v>-0.11616</v>
      </c>
    </row>
    <row r="560" spans="1:13" hidden="1" x14ac:dyDescent="0.35">
      <c r="A560" s="112" t="s">
        <v>1814</v>
      </c>
      <c r="B560" s="112" t="s">
        <v>906</v>
      </c>
      <c r="C560" s="112" t="s">
        <v>695</v>
      </c>
      <c r="D560" s="113">
        <v>10347956</v>
      </c>
      <c r="E560" s="115">
        <v>43923</v>
      </c>
      <c r="F560" s="114">
        <v>202101</v>
      </c>
      <c r="G560" s="112" t="s">
        <v>1091</v>
      </c>
      <c r="H560" s="112" t="s">
        <v>1015</v>
      </c>
      <c r="I560" s="112" t="s">
        <v>813</v>
      </c>
      <c r="J560" s="112" t="s">
        <v>1815</v>
      </c>
      <c r="K560" s="112" t="s">
        <v>1837</v>
      </c>
      <c r="L560" s="116">
        <v>-323.52</v>
      </c>
      <c r="M560" s="116">
        <f t="shared" si="8"/>
        <v>-0.32351999999999997</v>
      </c>
    </row>
    <row r="561" spans="1:13" hidden="1" x14ac:dyDescent="0.35">
      <c r="A561" s="112" t="s">
        <v>1814</v>
      </c>
      <c r="B561" s="112" t="s">
        <v>906</v>
      </c>
      <c r="C561" s="112" t="s">
        <v>695</v>
      </c>
      <c r="D561" s="113">
        <v>10347956</v>
      </c>
      <c r="E561" s="115">
        <v>43923</v>
      </c>
      <c r="F561" s="114">
        <v>202101</v>
      </c>
      <c r="G561" s="112" t="s">
        <v>1091</v>
      </c>
      <c r="H561" s="112" t="s">
        <v>1015</v>
      </c>
      <c r="I561" s="112" t="s">
        <v>813</v>
      </c>
      <c r="J561" s="112" t="s">
        <v>1815</v>
      </c>
      <c r="K561" s="112" t="s">
        <v>1819</v>
      </c>
      <c r="L561" s="116">
        <v>-172.18</v>
      </c>
      <c r="M561" s="116">
        <f t="shared" si="8"/>
        <v>-0.17218</v>
      </c>
    </row>
    <row r="562" spans="1:13" hidden="1" x14ac:dyDescent="0.35">
      <c r="A562" s="112" t="s">
        <v>1814</v>
      </c>
      <c r="B562" s="112" t="s">
        <v>906</v>
      </c>
      <c r="C562" s="112" t="s">
        <v>695</v>
      </c>
      <c r="D562" s="113">
        <v>10347956</v>
      </c>
      <c r="E562" s="115">
        <v>43923</v>
      </c>
      <c r="F562" s="114">
        <v>202101</v>
      </c>
      <c r="G562" s="112" t="s">
        <v>1091</v>
      </c>
      <c r="H562" s="112" t="s">
        <v>1015</v>
      </c>
      <c r="I562" s="112" t="s">
        <v>813</v>
      </c>
      <c r="J562" s="112" t="s">
        <v>1815</v>
      </c>
      <c r="K562" s="112" t="s">
        <v>1921</v>
      </c>
      <c r="L562" s="116">
        <v>-526.5</v>
      </c>
      <c r="M562" s="116">
        <f t="shared" si="8"/>
        <v>-0.52649999999999997</v>
      </c>
    </row>
    <row r="563" spans="1:13" hidden="1" x14ac:dyDescent="0.35">
      <c r="A563" s="112" t="s">
        <v>1814</v>
      </c>
      <c r="B563" s="112" t="s">
        <v>906</v>
      </c>
      <c r="C563" s="112" t="s">
        <v>695</v>
      </c>
      <c r="D563" s="113">
        <v>10347956</v>
      </c>
      <c r="E563" s="115">
        <v>43923</v>
      </c>
      <c r="F563" s="114">
        <v>202101</v>
      </c>
      <c r="G563" s="112" t="s">
        <v>1091</v>
      </c>
      <c r="H563" s="112" t="s">
        <v>1015</v>
      </c>
      <c r="I563" s="112" t="s">
        <v>813</v>
      </c>
      <c r="J563" s="112" t="s">
        <v>1815</v>
      </c>
      <c r="K563" s="112" t="s">
        <v>1891</v>
      </c>
      <c r="L563" s="116">
        <v>-51.88</v>
      </c>
      <c r="M563" s="116">
        <f t="shared" si="8"/>
        <v>-5.1880000000000003E-2</v>
      </c>
    </row>
    <row r="564" spans="1:13" hidden="1" x14ac:dyDescent="0.35">
      <c r="A564" s="112" t="s">
        <v>1814</v>
      </c>
      <c r="B564" s="112" t="s">
        <v>906</v>
      </c>
      <c r="C564" s="112" t="s">
        <v>695</v>
      </c>
      <c r="D564" s="113">
        <v>10347956</v>
      </c>
      <c r="E564" s="115">
        <v>43923</v>
      </c>
      <c r="F564" s="114">
        <v>202101</v>
      </c>
      <c r="G564" s="112" t="s">
        <v>1091</v>
      </c>
      <c r="H564" s="112" t="s">
        <v>1015</v>
      </c>
      <c r="I564" s="112" t="s">
        <v>813</v>
      </c>
      <c r="J564" s="112" t="s">
        <v>1815</v>
      </c>
      <c r="K564" s="112" t="s">
        <v>1833</v>
      </c>
      <c r="L564" s="116">
        <v>-295.01</v>
      </c>
      <c r="M564" s="116">
        <f t="shared" si="8"/>
        <v>-0.29500999999999999</v>
      </c>
    </row>
    <row r="565" spans="1:13" hidden="1" x14ac:dyDescent="0.35">
      <c r="A565" s="112" t="s">
        <v>1814</v>
      </c>
      <c r="B565" s="112" t="s">
        <v>906</v>
      </c>
      <c r="C565" s="112" t="s">
        <v>695</v>
      </c>
      <c r="D565" s="113">
        <v>10347956</v>
      </c>
      <c r="E565" s="115">
        <v>43923</v>
      </c>
      <c r="F565" s="114">
        <v>202101</v>
      </c>
      <c r="G565" s="112" t="s">
        <v>1091</v>
      </c>
      <c r="H565" s="112" t="s">
        <v>1015</v>
      </c>
      <c r="I565" s="112" t="s">
        <v>813</v>
      </c>
      <c r="J565" s="112" t="s">
        <v>1815</v>
      </c>
      <c r="K565" s="112" t="s">
        <v>1833</v>
      </c>
      <c r="L565" s="116">
        <v>-25.94</v>
      </c>
      <c r="M565" s="116">
        <f t="shared" si="8"/>
        <v>-2.5940000000000001E-2</v>
      </c>
    </row>
    <row r="566" spans="1:13" hidden="1" x14ac:dyDescent="0.35">
      <c r="A566" s="112" t="s">
        <v>1814</v>
      </c>
      <c r="B566" s="112" t="s">
        <v>906</v>
      </c>
      <c r="C566" s="112" t="s">
        <v>695</v>
      </c>
      <c r="D566" s="113">
        <v>10347956</v>
      </c>
      <c r="E566" s="115">
        <v>43923</v>
      </c>
      <c r="F566" s="114">
        <v>202101</v>
      </c>
      <c r="G566" s="112" t="s">
        <v>1091</v>
      </c>
      <c r="H566" s="112" t="s">
        <v>1015</v>
      </c>
      <c r="I566" s="112" t="s">
        <v>813</v>
      </c>
      <c r="J566" s="112" t="s">
        <v>1815</v>
      </c>
      <c r="K566" s="112" t="s">
        <v>1892</v>
      </c>
      <c r="L566" s="116">
        <v>-130.59</v>
      </c>
      <c r="M566" s="116">
        <f t="shared" si="8"/>
        <v>-0.13059000000000001</v>
      </c>
    </row>
    <row r="567" spans="1:13" hidden="1" x14ac:dyDescent="0.35">
      <c r="A567" s="112" t="s">
        <v>1814</v>
      </c>
      <c r="B567" s="112" t="s">
        <v>906</v>
      </c>
      <c r="C567" s="112" t="s">
        <v>695</v>
      </c>
      <c r="D567" s="113">
        <v>10347956</v>
      </c>
      <c r="E567" s="115">
        <v>43923</v>
      </c>
      <c r="F567" s="114">
        <v>202101</v>
      </c>
      <c r="G567" s="112" t="s">
        <v>1091</v>
      </c>
      <c r="H567" s="112" t="s">
        <v>1015</v>
      </c>
      <c r="I567" s="112" t="s">
        <v>813</v>
      </c>
      <c r="J567" s="112" t="s">
        <v>1815</v>
      </c>
      <c r="K567" s="112" t="s">
        <v>1826</v>
      </c>
      <c r="L567" s="116">
        <v>-53.27</v>
      </c>
      <c r="M567" s="116">
        <f t="shared" si="8"/>
        <v>-5.3270000000000005E-2</v>
      </c>
    </row>
    <row r="568" spans="1:13" hidden="1" x14ac:dyDescent="0.35">
      <c r="A568" s="112" t="s">
        <v>1814</v>
      </c>
      <c r="B568" s="112" t="s">
        <v>906</v>
      </c>
      <c r="C568" s="112" t="s">
        <v>695</v>
      </c>
      <c r="D568" s="113">
        <v>10347956</v>
      </c>
      <c r="E568" s="115">
        <v>43923</v>
      </c>
      <c r="F568" s="114">
        <v>202101</v>
      </c>
      <c r="G568" s="112" t="s">
        <v>1091</v>
      </c>
      <c r="H568" s="112" t="s">
        <v>1015</v>
      </c>
      <c r="I568" s="112" t="s">
        <v>1873</v>
      </c>
      <c r="J568" s="112" t="s">
        <v>1815</v>
      </c>
      <c r="K568" s="112" t="s">
        <v>1110</v>
      </c>
      <c r="L568" s="116">
        <v>-64.849999999999994</v>
      </c>
      <c r="M568" s="116">
        <f t="shared" si="8"/>
        <v>-6.4849999999999991E-2</v>
      </c>
    </row>
    <row r="569" spans="1:13" hidden="1" x14ac:dyDescent="0.35">
      <c r="A569" s="112" t="s">
        <v>1814</v>
      </c>
      <c r="B569" s="112" t="s">
        <v>906</v>
      </c>
      <c r="C569" s="112" t="s">
        <v>695</v>
      </c>
      <c r="D569" s="113">
        <v>10347956</v>
      </c>
      <c r="E569" s="115">
        <v>43923</v>
      </c>
      <c r="F569" s="114">
        <v>202101</v>
      </c>
      <c r="G569" s="112" t="s">
        <v>1091</v>
      </c>
      <c r="H569" s="112" t="s">
        <v>1015</v>
      </c>
      <c r="I569" s="112" t="s">
        <v>813</v>
      </c>
      <c r="J569" s="112" t="s">
        <v>1815</v>
      </c>
      <c r="K569" s="112" t="s">
        <v>1905</v>
      </c>
      <c r="L569" s="116">
        <v>-106.48</v>
      </c>
      <c r="M569" s="116">
        <f t="shared" si="8"/>
        <v>-0.10648000000000001</v>
      </c>
    </row>
    <row r="570" spans="1:13" hidden="1" x14ac:dyDescent="0.35">
      <c r="A570" s="112" t="s">
        <v>1814</v>
      </c>
      <c r="B570" s="112" t="s">
        <v>906</v>
      </c>
      <c r="C570" s="112" t="s">
        <v>695</v>
      </c>
      <c r="D570" s="113">
        <v>10347954</v>
      </c>
      <c r="E570" s="115">
        <v>43923</v>
      </c>
      <c r="F570" s="114">
        <v>202101</v>
      </c>
      <c r="G570" s="112" t="s">
        <v>1091</v>
      </c>
      <c r="H570" s="112" t="s">
        <v>1015</v>
      </c>
      <c r="I570" s="112" t="s">
        <v>813</v>
      </c>
      <c r="J570" s="112" t="s">
        <v>1815</v>
      </c>
      <c r="K570" s="112" t="s">
        <v>1905</v>
      </c>
      <c r="L570" s="116">
        <v>-8504.6299999999992</v>
      </c>
      <c r="M570" s="116">
        <f t="shared" si="8"/>
        <v>-8.5046299999999988</v>
      </c>
    </row>
    <row r="571" spans="1:13" hidden="1" x14ac:dyDescent="0.35">
      <c r="A571" s="112" t="s">
        <v>1814</v>
      </c>
      <c r="B571" s="112" t="s">
        <v>906</v>
      </c>
      <c r="C571" s="112" t="s">
        <v>695</v>
      </c>
      <c r="D571" s="113">
        <v>10347954</v>
      </c>
      <c r="E571" s="115">
        <v>43923</v>
      </c>
      <c r="F571" s="114">
        <v>202101</v>
      </c>
      <c r="G571" s="112" t="s">
        <v>1091</v>
      </c>
      <c r="H571" s="112" t="s">
        <v>1015</v>
      </c>
      <c r="I571" s="112" t="s">
        <v>1820</v>
      </c>
      <c r="J571" s="112" t="s">
        <v>1815</v>
      </c>
      <c r="K571" s="112" t="s">
        <v>1922</v>
      </c>
      <c r="L571" s="116">
        <v>-194.46</v>
      </c>
      <c r="M571" s="116">
        <f t="shared" si="8"/>
        <v>-0.19446000000000002</v>
      </c>
    </row>
    <row r="572" spans="1:13" hidden="1" x14ac:dyDescent="0.35">
      <c r="A572" s="112" t="s">
        <v>1814</v>
      </c>
      <c r="B572" s="112" t="s">
        <v>906</v>
      </c>
      <c r="C572" s="112" t="s">
        <v>695</v>
      </c>
      <c r="D572" s="113">
        <v>10347954</v>
      </c>
      <c r="E572" s="115">
        <v>43923</v>
      </c>
      <c r="F572" s="114">
        <v>202101</v>
      </c>
      <c r="G572" s="112" t="s">
        <v>1091</v>
      </c>
      <c r="H572" s="112" t="s">
        <v>1015</v>
      </c>
      <c r="I572" s="112" t="s">
        <v>813</v>
      </c>
      <c r="J572" s="112" t="s">
        <v>1815</v>
      </c>
      <c r="K572" s="112" t="s">
        <v>1891</v>
      </c>
      <c r="L572" s="116">
        <v>-116.16</v>
      </c>
      <c r="M572" s="116">
        <f t="shared" si="8"/>
        <v>-0.11616</v>
      </c>
    </row>
    <row r="573" spans="1:13" hidden="1" x14ac:dyDescent="0.35">
      <c r="A573" s="112" t="s">
        <v>1814</v>
      </c>
      <c r="B573" s="112" t="s">
        <v>905</v>
      </c>
      <c r="C573" s="112" t="s">
        <v>695</v>
      </c>
      <c r="D573" s="113">
        <v>10347977</v>
      </c>
      <c r="E573" s="115">
        <v>43924</v>
      </c>
      <c r="F573" s="114">
        <v>202101</v>
      </c>
      <c r="G573" s="112" t="s">
        <v>1091</v>
      </c>
      <c r="H573" s="112" t="s">
        <v>1015</v>
      </c>
      <c r="I573" s="112" t="s">
        <v>749</v>
      </c>
      <c r="J573" s="112" t="s">
        <v>1822</v>
      </c>
      <c r="K573" s="112" t="s">
        <v>1923</v>
      </c>
      <c r="L573" s="116">
        <v>-215</v>
      </c>
      <c r="M573" s="116">
        <f t="shared" si="8"/>
        <v>-0.215</v>
      </c>
    </row>
    <row r="574" spans="1:13" hidden="1" x14ac:dyDescent="0.35">
      <c r="A574" s="112" t="s">
        <v>1814</v>
      </c>
      <c r="B574" s="112" t="s">
        <v>906</v>
      </c>
      <c r="C574" s="112" t="s">
        <v>695</v>
      </c>
      <c r="D574" s="113">
        <v>10347954</v>
      </c>
      <c r="E574" s="115">
        <v>43923</v>
      </c>
      <c r="F574" s="114">
        <v>202101</v>
      </c>
      <c r="G574" s="112" t="s">
        <v>1091</v>
      </c>
      <c r="H574" s="112" t="s">
        <v>1015</v>
      </c>
      <c r="I574" s="112" t="s">
        <v>813</v>
      </c>
      <c r="J574" s="112" t="s">
        <v>1815</v>
      </c>
      <c r="K574" s="112" t="s">
        <v>1836</v>
      </c>
      <c r="L574" s="116">
        <v>-290.39</v>
      </c>
      <c r="M574" s="116">
        <f t="shared" si="8"/>
        <v>-0.29038999999999998</v>
      </c>
    </row>
    <row r="575" spans="1:13" hidden="1" x14ac:dyDescent="0.35">
      <c r="A575" s="112" t="s">
        <v>1814</v>
      </c>
      <c r="B575" s="112" t="s">
        <v>905</v>
      </c>
      <c r="C575" s="112" t="s">
        <v>695</v>
      </c>
      <c r="D575" s="113">
        <v>10347977</v>
      </c>
      <c r="E575" s="115">
        <v>43924</v>
      </c>
      <c r="F575" s="114">
        <v>202101</v>
      </c>
      <c r="G575" s="112" t="s">
        <v>1091</v>
      </c>
      <c r="H575" s="112" t="s">
        <v>1015</v>
      </c>
      <c r="I575" s="112" t="s">
        <v>751</v>
      </c>
      <c r="J575" s="112" t="s">
        <v>1822</v>
      </c>
      <c r="K575" s="112" t="s">
        <v>1924</v>
      </c>
      <c r="L575" s="116">
        <v>-89</v>
      </c>
      <c r="M575" s="116">
        <f t="shared" si="8"/>
        <v>-8.8999999999999996E-2</v>
      </c>
    </row>
    <row r="576" spans="1:13" hidden="1" x14ac:dyDescent="0.35">
      <c r="A576" s="112" t="s">
        <v>1814</v>
      </c>
      <c r="B576" s="112" t="s">
        <v>906</v>
      </c>
      <c r="C576" s="112" t="s">
        <v>695</v>
      </c>
      <c r="D576" s="113">
        <v>10347954</v>
      </c>
      <c r="E576" s="115">
        <v>43923</v>
      </c>
      <c r="F576" s="114">
        <v>202101</v>
      </c>
      <c r="G576" s="112" t="s">
        <v>1091</v>
      </c>
      <c r="H576" s="112" t="s">
        <v>1015</v>
      </c>
      <c r="I576" s="112" t="s">
        <v>813</v>
      </c>
      <c r="J576" s="112" t="s">
        <v>1815</v>
      </c>
      <c r="K576" s="112" t="s">
        <v>1925</v>
      </c>
      <c r="L576" s="116">
        <v>-155.62</v>
      </c>
      <c r="M576" s="116">
        <f t="shared" si="8"/>
        <v>-0.15562000000000001</v>
      </c>
    </row>
    <row r="577" spans="1:13" hidden="1" x14ac:dyDescent="0.35">
      <c r="A577" s="112" t="s">
        <v>1814</v>
      </c>
      <c r="B577" s="112" t="s">
        <v>906</v>
      </c>
      <c r="C577" s="112" t="s">
        <v>695</v>
      </c>
      <c r="D577" s="113">
        <v>10347954</v>
      </c>
      <c r="E577" s="115">
        <v>43923</v>
      </c>
      <c r="F577" s="114">
        <v>202101</v>
      </c>
      <c r="G577" s="112" t="s">
        <v>1091</v>
      </c>
      <c r="H577" s="112" t="s">
        <v>1015</v>
      </c>
      <c r="I577" s="112" t="s">
        <v>813</v>
      </c>
      <c r="J577" s="112" t="s">
        <v>1815</v>
      </c>
      <c r="K577" s="112" t="s">
        <v>1837</v>
      </c>
      <c r="L577" s="116">
        <v>-53.3</v>
      </c>
      <c r="M577" s="116">
        <f t="shared" si="8"/>
        <v>-5.33E-2</v>
      </c>
    </row>
    <row r="578" spans="1:13" hidden="1" x14ac:dyDescent="0.35">
      <c r="A578" s="112" t="s">
        <v>1814</v>
      </c>
      <c r="B578" s="112" t="s">
        <v>906</v>
      </c>
      <c r="C578" s="112" t="s">
        <v>695</v>
      </c>
      <c r="D578" s="113">
        <v>10347954</v>
      </c>
      <c r="E578" s="115">
        <v>43923</v>
      </c>
      <c r="F578" s="114">
        <v>202101</v>
      </c>
      <c r="G578" s="112" t="s">
        <v>1091</v>
      </c>
      <c r="H578" s="112" t="s">
        <v>1015</v>
      </c>
      <c r="I578" s="112" t="s">
        <v>1820</v>
      </c>
      <c r="J578" s="112" t="s">
        <v>1815</v>
      </c>
      <c r="K578" s="112" t="s">
        <v>1926</v>
      </c>
      <c r="L578" s="116">
        <v>-226.84</v>
      </c>
      <c r="M578" s="116">
        <f t="shared" si="8"/>
        <v>-0.22684000000000001</v>
      </c>
    </row>
    <row r="579" spans="1:13" hidden="1" x14ac:dyDescent="0.35">
      <c r="A579" s="112" t="s">
        <v>1814</v>
      </c>
      <c r="B579" s="112" t="s">
        <v>906</v>
      </c>
      <c r="C579" s="112" t="s">
        <v>695</v>
      </c>
      <c r="D579" s="113">
        <v>10347954</v>
      </c>
      <c r="E579" s="115">
        <v>43923</v>
      </c>
      <c r="F579" s="114">
        <v>202101</v>
      </c>
      <c r="G579" s="112" t="s">
        <v>1091</v>
      </c>
      <c r="H579" s="112" t="s">
        <v>1015</v>
      </c>
      <c r="I579" s="112" t="s">
        <v>1820</v>
      </c>
      <c r="J579" s="112" t="s">
        <v>1815</v>
      </c>
      <c r="K579" s="112" t="s">
        <v>1927</v>
      </c>
      <c r="L579" s="116">
        <v>-77.81</v>
      </c>
      <c r="M579" s="116">
        <f t="shared" ref="M579:M642" si="9">L579/1000</f>
        <v>-7.7810000000000004E-2</v>
      </c>
    </row>
    <row r="580" spans="1:13" hidden="1" x14ac:dyDescent="0.35">
      <c r="A580" s="112" t="s">
        <v>1814</v>
      </c>
      <c r="B580" s="112" t="s">
        <v>906</v>
      </c>
      <c r="C580" s="112" t="s">
        <v>695</v>
      </c>
      <c r="D580" s="113">
        <v>10347954</v>
      </c>
      <c r="E580" s="115">
        <v>43923</v>
      </c>
      <c r="F580" s="114">
        <v>202101</v>
      </c>
      <c r="G580" s="112" t="s">
        <v>1091</v>
      </c>
      <c r="H580" s="112" t="s">
        <v>1015</v>
      </c>
      <c r="I580" s="112" t="s">
        <v>813</v>
      </c>
      <c r="J580" s="112" t="s">
        <v>1815</v>
      </c>
      <c r="K580" s="112" t="s">
        <v>1833</v>
      </c>
      <c r="L580" s="116">
        <v>-3991.35</v>
      </c>
      <c r="M580" s="116">
        <f t="shared" si="9"/>
        <v>-3.9913499999999997</v>
      </c>
    </row>
    <row r="581" spans="1:13" hidden="1" x14ac:dyDescent="0.35">
      <c r="A581" s="112" t="s">
        <v>1814</v>
      </c>
      <c r="B581" s="112" t="s">
        <v>906</v>
      </c>
      <c r="C581" s="112" t="s">
        <v>695</v>
      </c>
      <c r="D581" s="113">
        <v>10347954</v>
      </c>
      <c r="E581" s="115">
        <v>43923</v>
      </c>
      <c r="F581" s="114">
        <v>202101</v>
      </c>
      <c r="G581" s="112" t="s">
        <v>1091</v>
      </c>
      <c r="H581" s="112" t="s">
        <v>1015</v>
      </c>
      <c r="I581" s="112" t="s">
        <v>813</v>
      </c>
      <c r="J581" s="112" t="s">
        <v>1815</v>
      </c>
      <c r="K581" s="112" t="s">
        <v>1928</v>
      </c>
      <c r="L581" s="116">
        <v>-51.88</v>
      </c>
      <c r="M581" s="116">
        <f t="shared" si="9"/>
        <v>-5.1880000000000003E-2</v>
      </c>
    </row>
    <row r="582" spans="1:13" hidden="1" x14ac:dyDescent="0.35">
      <c r="A582" s="112" t="s">
        <v>1814</v>
      </c>
      <c r="B582" s="112" t="s">
        <v>906</v>
      </c>
      <c r="C582" s="112" t="s">
        <v>695</v>
      </c>
      <c r="D582" s="113">
        <v>10347954</v>
      </c>
      <c r="E582" s="115">
        <v>43923</v>
      </c>
      <c r="F582" s="114">
        <v>202101</v>
      </c>
      <c r="G582" s="112" t="s">
        <v>1091</v>
      </c>
      <c r="H582" s="112" t="s">
        <v>1015</v>
      </c>
      <c r="I582" s="112" t="s">
        <v>813</v>
      </c>
      <c r="J582" s="112" t="s">
        <v>1815</v>
      </c>
      <c r="K582" s="112" t="s">
        <v>1830</v>
      </c>
      <c r="L582" s="116">
        <v>-58.08</v>
      </c>
      <c r="M582" s="116">
        <f t="shared" si="9"/>
        <v>-5.808E-2</v>
      </c>
    </row>
    <row r="583" spans="1:13" hidden="1" x14ac:dyDescent="0.35">
      <c r="A583" s="112" t="s">
        <v>1814</v>
      </c>
      <c r="B583" s="112" t="s">
        <v>906</v>
      </c>
      <c r="C583" s="112" t="s">
        <v>695</v>
      </c>
      <c r="D583" s="113">
        <v>10347954</v>
      </c>
      <c r="E583" s="115">
        <v>43923</v>
      </c>
      <c r="F583" s="114">
        <v>202101</v>
      </c>
      <c r="G583" s="112" t="s">
        <v>1091</v>
      </c>
      <c r="H583" s="112" t="s">
        <v>1015</v>
      </c>
      <c r="I583" s="112" t="s">
        <v>813</v>
      </c>
      <c r="J583" s="112" t="s">
        <v>1815</v>
      </c>
      <c r="K583" s="112" t="s">
        <v>1833</v>
      </c>
      <c r="L583" s="116">
        <v>-144.34</v>
      </c>
      <c r="M583" s="116">
        <f t="shared" si="9"/>
        <v>-0.14434</v>
      </c>
    </row>
    <row r="584" spans="1:13" hidden="1" x14ac:dyDescent="0.35">
      <c r="A584" s="112" t="s">
        <v>1814</v>
      </c>
      <c r="B584" s="112" t="s">
        <v>906</v>
      </c>
      <c r="C584" s="112" t="s">
        <v>695</v>
      </c>
      <c r="D584" s="113">
        <v>10347954</v>
      </c>
      <c r="E584" s="115">
        <v>43923</v>
      </c>
      <c r="F584" s="114">
        <v>202101</v>
      </c>
      <c r="G584" s="112" t="s">
        <v>1091</v>
      </c>
      <c r="H584" s="112" t="s">
        <v>1015</v>
      </c>
      <c r="I584" s="112" t="s">
        <v>813</v>
      </c>
      <c r="J584" s="112" t="s">
        <v>1815</v>
      </c>
      <c r="K584" s="112" t="s">
        <v>1837</v>
      </c>
      <c r="L584" s="116">
        <v>-262.86</v>
      </c>
      <c r="M584" s="116">
        <f t="shared" si="9"/>
        <v>-0.26286000000000004</v>
      </c>
    </row>
    <row r="585" spans="1:13" hidden="1" x14ac:dyDescent="0.35">
      <c r="A585" s="112" t="s">
        <v>1814</v>
      </c>
      <c r="B585" s="112" t="s">
        <v>906</v>
      </c>
      <c r="C585" s="112" t="s">
        <v>695</v>
      </c>
      <c r="D585" s="113">
        <v>10347954</v>
      </c>
      <c r="E585" s="115">
        <v>43923</v>
      </c>
      <c r="F585" s="114">
        <v>202101</v>
      </c>
      <c r="G585" s="112" t="s">
        <v>1091</v>
      </c>
      <c r="H585" s="112" t="s">
        <v>1015</v>
      </c>
      <c r="I585" s="112" t="s">
        <v>1820</v>
      </c>
      <c r="J585" s="112" t="s">
        <v>1815</v>
      </c>
      <c r="K585" s="112" t="s">
        <v>1829</v>
      </c>
      <c r="L585" s="116">
        <v>-172.5</v>
      </c>
      <c r="M585" s="116">
        <f t="shared" si="9"/>
        <v>-0.17249999999999999</v>
      </c>
    </row>
    <row r="586" spans="1:13" hidden="1" x14ac:dyDescent="0.35">
      <c r="A586" s="112" t="s">
        <v>1814</v>
      </c>
      <c r="B586" s="112" t="s">
        <v>906</v>
      </c>
      <c r="C586" s="112" t="s">
        <v>695</v>
      </c>
      <c r="D586" s="113">
        <v>10347954</v>
      </c>
      <c r="E586" s="115">
        <v>43923</v>
      </c>
      <c r="F586" s="114">
        <v>202101</v>
      </c>
      <c r="G586" s="112" t="s">
        <v>1091</v>
      </c>
      <c r="H586" s="112" t="s">
        <v>1015</v>
      </c>
      <c r="I586" s="112" t="s">
        <v>1820</v>
      </c>
      <c r="J586" s="112" t="s">
        <v>1815</v>
      </c>
      <c r="K586" s="112" t="s">
        <v>1930</v>
      </c>
      <c r="L586" s="116">
        <v>-1010.23</v>
      </c>
      <c r="M586" s="116">
        <f t="shared" si="9"/>
        <v>-1.01023</v>
      </c>
    </row>
    <row r="587" spans="1:13" hidden="1" x14ac:dyDescent="0.35">
      <c r="A587" s="112" t="s">
        <v>1814</v>
      </c>
      <c r="B587" s="112" t="s">
        <v>906</v>
      </c>
      <c r="C587" s="112" t="s">
        <v>695</v>
      </c>
      <c r="D587" s="113">
        <v>10347954</v>
      </c>
      <c r="E587" s="115">
        <v>43923</v>
      </c>
      <c r="F587" s="114">
        <v>202101</v>
      </c>
      <c r="G587" s="112" t="s">
        <v>1091</v>
      </c>
      <c r="H587" s="112" t="s">
        <v>1015</v>
      </c>
      <c r="I587" s="112" t="s">
        <v>813</v>
      </c>
      <c r="J587" s="112" t="s">
        <v>1815</v>
      </c>
      <c r="K587" s="112" t="s">
        <v>1833</v>
      </c>
      <c r="L587" s="116">
        <v>-4337.38</v>
      </c>
      <c r="M587" s="116">
        <f t="shared" si="9"/>
        <v>-4.3373800000000005</v>
      </c>
    </row>
    <row r="588" spans="1:13" hidden="1" x14ac:dyDescent="0.35">
      <c r="A588" s="112" t="s">
        <v>1814</v>
      </c>
      <c r="B588" s="112" t="s">
        <v>906</v>
      </c>
      <c r="C588" s="112" t="s">
        <v>695</v>
      </c>
      <c r="D588" s="113">
        <v>10347954</v>
      </c>
      <c r="E588" s="115">
        <v>43923</v>
      </c>
      <c r="F588" s="114">
        <v>202101</v>
      </c>
      <c r="G588" s="112" t="s">
        <v>1091</v>
      </c>
      <c r="H588" s="112" t="s">
        <v>1015</v>
      </c>
      <c r="I588" s="112" t="s">
        <v>813</v>
      </c>
      <c r="J588" s="112" t="s">
        <v>1815</v>
      </c>
      <c r="K588" s="112" t="s">
        <v>1819</v>
      </c>
      <c r="L588" s="116">
        <v>-1490.47</v>
      </c>
      <c r="M588" s="116">
        <f t="shared" si="9"/>
        <v>-1.49047</v>
      </c>
    </row>
    <row r="589" spans="1:13" hidden="1" x14ac:dyDescent="0.35">
      <c r="A589" s="112" t="s">
        <v>1814</v>
      </c>
      <c r="B589" s="112" t="s">
        <v>906</v>
      </c>
      <c r="C589" s="112" t="s">
        <v>695</v>
      </c>
      <c r="D589" s="113">
        <v>10347954</v>
      </c>
      <c r="E589" s="115">
        <v>43923</v>
      </c>
      <c r="F589" s="114">
        <v>202101</v>
      </c>
      <c r="G589" s="112" t="s">
        <v>1091</v>
      </c>
      <c r="H589" s="112" t="s">
        <v>1015</v>
      </c>
      <c r="I589" s="112" t="s">
        <v>813</v>
      </c>
      <c r="J589" s="112" t="s">
        <v>1815</v>
      </c>
      <c r="K589" s="112" t="s">
        <v>1833</v>
      </c>
      <c r="L589" s="116">
        <v>-237.55</v>
      </c>
      <c r="M589" s="116">
        <f t="shared" si="9"/>
        <v>-0.23755000000000001</v>
      </c>
    </row>
    <row r="590" spans="1:13" hidden="1" x14ac:dyDescent="0.35">
      <c r="A590" s="112" t="s">
        <v>1814</v>
      </c>
      <c r="B590" s="112" t="s">
        <v>906</v>
      </c>
      <c r="C590" s="112" t="s">
        <v>695</v>
      </c>
      <c r="D590" s="113">
        <v>10347954</v>
      </c>
      <c r="E590" s="115">
        <v>43923</v>
      </c>
      <c r="F590" s="114">
        <v>202101</v>
      </c>
      <c r="G590" s="112" t="s">
        <v>1091</v>
      </c>
      <c r="H590" s="112" t="s">
        <v>1015</v>
      </c>
      <c r="I590" s="112" t="s">
        <v>1820</v>
      </c>
      <c r="J590" s="112" t="s">
        <v>1815</v>
      </c>
      <c r="K590" s="112" t="s">
        <v>1931</v>
      </c>
      <c r="L590" s="116">
        <v>-390.96</v>
      </c>
      <c r="M590" s="116">
        <f t="shared" si="9"/>
        <v>-0.39095999999999997</v>
      </c>
    </row>
    <row r="591" spans="1:13" hidden="1" x14ac:dyDescent="0.35">
      <c r="A591" s="112" t="s">
        <v>1814</v>
      </c>
      <c r="B591" s="112" t="s">
        <v>906</v>
      </c>
      <c r="C591" s="112" t="s">
        <v>695</v>
      </c>
      <c r="D591" s="113">
        <v>10347954</v>
      </c>
      <c r="E591" s="115">
        <v>43923</v>
      </c>
      <c r="F591" s="114">
        <v>202101</v>
      </c>
      <c r="G591" s="112" t="s">
        <v>1091</v>
      </c>
      <c r="H591" s="112" t="s">
        <v>1015</v>
      </c>
      <c r="I591" s="112" t="s">
        <v>813</v>
      </c>
      <c r="J591" s="112" t="s">
        <v>1815</v>
      </c>
      <c r="K591" s="112" t="s">
        <v>1932</v>
      </c>
      <c r="L591" s="116">
        <v>-201.58</v>
      </c>
      <c r="M591" s="116">
        <f t="shared" si="9"/>
        <v>-0.20158000000000001</v>
      </c>
    </row>
    <row r="592" spans="1:13" hidden="1" x14ac:dyDescent="0.35">
      <c r="A592" s="112" t="s">
        <v>1814</v>
      </c>
      <c r="B592" s="112" t="s">
        <v>905</v>
      </c>
      <c r="C592" s="112" t="s">
        <v>695</v>
      </c>
      <c r="D592" s="113">
        <v>10347954</v>
      </c>
      <c r="E592" s="115">
        <v>43923</v>
      </c>
      <c r="F592" s="114">
        <v>202101</v>
      </c>
      <c r="G592" s="112" t="s">
        <v>1091</v>
      </c>
      <c r="H592" s="112" t="s">
        <v>1015</v>
      </c>
      <c r="I592" s="112" t="s">
        <v>1900</v>
      </c>
      <c r="J592" s="112" t="s">
        <v>1839</v>
      </c>
      <c r="K592" s="112" t="s">
        <v>1933</v>
      </c>
      <c r="L592" s="116">
        <v>-232.55</v>
      </c>
      <c r="M592" s="116">
        <f t="shared" si="9"/>
        <v>-0.23255000000000001</v>
      </c>
    </row>
    <row r="593" spans="1:13" hidden="1" x14ac:dyDescent="0.35">
      <c r="A593" s="112" t="s">
        <v>1814</v>
      </c>
      <c r="B593" s="112" t="s">
        <v>905</v>
      </c>
      <c r="C593" s="112" t="s">
        <v>695</v>
      </c>
      <c r="D593" s="113">
        <v>10347954</v>
      </c>
      <c r="E593" s="115">
        <v>43923</v>
      </c>
      <c r="F593" s="114">
        <v>202101</v>
      </c>
      <c r="G593" s="112" t="s">
        <v>1091</v>
      </c>
      <c r="H593" s="112" t="s">
        <v>1015</v>
      </c>
      <c r="I593" s="112" t="s">
        <v>1900</v>
      </c>
      <c r="J593" s="112" t="s">
        <v>1901</v>
      </c>
      <c r="K593" s="112" t="s">
        <v>1934</v>
      </c>
      <c r="L593" s="116">
        <v>-357.94</v>
      </c>
      <c r="M593" s="116">
        <f t="shared" si="9"/>
        <v>-0.35793999999999998</v>
      </c>
    </row>
    <row r="594" spans="1:13" hidden="1" x14ac:dyDescent="0.35">
      <c r="A594" s="112" t="s">
        <v>1814</v>
      </c>
      <c r="B594" s="112" t="s">
        <v>906</v>
      </c>
      <c r="C594" s="112" t="s">
        <v>695</v>
      </c>
      <c r="D594" s="113">
        <v>10347954</v>
      </c>
      <c r="E594" s="115">
        <v>43923</v>
      </c>
      <c r="F594" s="114">
        <v>202101</v>
      </c>
      <c r="G594" s="112" t="s">
        <v>1091</v>
      </c>
      <c r="H594" s="112" t="s">
        <v>1015</v>
      </c>
      <c r="I594" s="112" t="s">
        <v>1894</v>
      </c>
      <c r="J594" s="112" t="s">
        <v>1815</v>
      </c>
      <c r="K594" s="112" t="s">
        <v>1826</v>
      </c>
      <c r="L594" s="116">
        <v>-48.79</v>
      </c>
      <c r="M594" s="116">
        <f t="shared" si="9"/>
        <v>-4.879E-2</v>
      </c>
    </row>
    <row r="595" spans="1:13" hidden="1" x14ac:dyDescent="0.35">
      <c r="A595" s="112" t="s">
        <v>1814</v>
      </c>
      <c r="B595" s="112" t="s">
        <v>906</v>
      </c>
      <c r="C595" s="112" t="s">
        <v>695</v>
      </c>
      <c r="D595" s="113">
        <v>10347954</v>
      </c>
      <c r="E595" s="115">
        <v>43923</v>
      </c>
      <c r="F595" s="114">
        <v>202101</v>
      </c>
      <c r="G595" s="112" t="s">
        <v>1091</v>
      </c>
      <c r="H595" s="112" t="s">
        <v>1015</v>
      </c>
      <c r="I595" s="112" t="s">
        <v>1820</v>
      </c>
      <c r="J595" s="112" t="s">
        <v>1815</v>
      </c>
      <c r="K595" s="112" t="s">
        <v>1935</v>
      </c>
      <c r="L595" s="116">
        <v>-58.35</v>
      </c>
      <c r="M595" s="116">
        <f t="shared" si="9"/>
        <v>-5.8349999999999999E-2</v>
      </c>
    </row>
    <row r="596" spans="1:13" hidden="1" x14ac:dyDescent="0.35">
      <c r="A596" s="112" t="s">
        <v>1814</v>
      </c>
      <c r="B596" s="112" t="s">
        <v>906</v>
      </c>
      <c r="C596" s="112" t="s">
        <v>695</v>
      </c>
      <c r="D596" s="113">
        <v>10347954</v>
      </c>
      <c r="E596" s="115">
        <v>43923</v>
      </c>
      <c r="F596" s="114">
        <v>202101</v>
      </c>
      <c r="G596" s="112" t="s">
        <v>1091</v>
      </c>
      <c r="H596" s="112" t="s">
        <v>1015</v>
      </c>
      <c r="I596" s="112" t="s">
        <v>813</v>
      </c>
      <c r="J596" s="112" t="s">
        <v>1815</v>
      </c>
      <c r="K596" s="112" t="s">
        <v>1936</v>
      </c>
      <c r="L596" s="116">
        <v>-532.46</v>
      </c>
      <c r="M596" s="116">
        <f t="shared" si="9"/>
        <v>-0.53246000000000004</v>
      </c>
    </row>
    <row r="597" spans="1:13" hidden="1" x14ac:dyDescent="0.35">
      <c r="A597" s="112" t="s">
        <v>1814</v>
      </c>
      <c r="B597" s="112" t="s">
        <v>905</v>
      </c>
      <c r="C597" s="112" t="s">
        <v>695</v>
      </c>
      <c r="D597" s="113">
        <v>10347954</v>
      </c>
      <c r="E597" s="115">
        <v>43923</v>
      </c>
      <c r="F597" s="114">
        <v>202101</v>
      </c>
      <c r="G597" s="112" t="s">
        <v>1091</v>
      </c>
      <c r="H597" s="112" t="s">
        <v>1015</v>
      </c>
      <c r="I597" s="112" t="s">
        <v>813</v>
      </c>
      <c r="J597" s="112" t="s">
        <v>1822</v>
      </c>
      <c r="K597" s="112" t="s">
        <v>1937</v>
      </c>
      <c r="L597" s="116">
        <v>-37.880000000000003</v>
      </c>
      <c r="M597" s="116">
        <f t="shared" si="9"/>
        <v>-3.7880000000000004E-2</v>
      </c>
    </row>
    <row r="598" spans="1:13" hidden="1" x14ac:dyDescent="0.35">
      <c r="A598" s="112" t="s">
        <v>1814</v>
      </c>
      <c r="B598" s="112" t="s">
        <v>905</v>
      </c>
      <c r="C598" s="112" t="s">
        <v>695</v>
      </c>
      <c r="D598" s="113">
        <v>10347977</v>
      </c>
      <c r="E598" s="115">
        <v>43924</v>
      </c>
      <c r="F598" s="114">
        <v>202101</v>
      </c>
      <c r="G598" s="112" t="s">
        <v>1091</v>
      </c>
      <c r="H598" s="112" t="s">
        <v>1015</v>
      </c>
      <c r="I598" s="112" t="s">
        <v>749</v>
      </c>
      <c r="J598" s="112" t="s">
        <v>1822</v>
      </c>
      <c r="K598" s="112" t="s">
        <v>1938</v>
      </c>
      <c r="L598" s="116">
        <v>-870</v>
      </c>
      <c r="M598" s="116">
        <f t="shared" si="9"/>
        <v>-0.87</v>
      </c>
    </row>
    <row r="599" spans="1:13" hidden="1" x14ac:dyDescent="0.35">
      <c r="A599" s="112" t="s">
        <v>1814</v>
      </c>
      <c r="B599" s="112" t="s">
        <v>906</v>
      </c>
      <c r="C599" s="112" t="s">
        <v>695</v>
      </c>
      <c r="D599" s="113">
        <v>10347954</v>
      </c>
      <c r="E599" s="115">
        <v>43923</v>
      </c>
      <c r="F599" s="114">
        <v>202101</v>
      </c>
      <c r="G599" s="112" t="s">
        <v>1091</v>
      </c>
      <c r="H599" s="112" t="s">
        <v>1015</v>
      </c>
      <c r="I599" s="112" t="s">
        <v>813</v>
      </c>
      <c r="J599" s="112" t="s">
        <v>1815</v>
      </c>
      <c r="K599" s="112" t="s">
        <v>1939</v>
      </c>
      <c r="L599" s="116">
        <v>-63.27</v>
      </c>
      <c r="M599" s="116">
        <f t="shared" si="9"/>
        <v>-6.3270000000000007E-2</v>
      </c>
    </row>
    <row r="600" spans="1:13" hidden="1" x14ac:dyDescent="0.35">
      <c r="A600" s="112" t="s">
        <v>1814</v>
      </c>
      <c r="B600" s="112" t="s">
        <v>906</v>
      </c>
      <c r="C600" s="112" t="s">
        <v>695</v>
      </c>
      <c r="D600" s="113">
        <v>10347954</v>
      </c>
      <c r="E600" s="115">
        <v>43923</v>
      </c>
      <c r="F600" s="114">
        <v>202101</v>
      </c>
      <c r="G600" s="112" t="s">
        <v>1091</v>
      </c>
      <c r="H600" s="112" t="s">
        <v>1015</v>
      </c>
      <c r="I600" s="112" t="s">
        <v>813</v>
      </c>
      <c r="J600" s="112" t="s">
        <v>1815</v>
      </c>
      <c r="K600" s="112" t="s">
        <v>1818</v>
      </c>
      <c r="L600" s="116">
        <v>-58.61</v>
      </c>
      <c r="M600" s="116">
        <f t="shared" si="9"/>
        <v>-5.8610000000000002E-2</v>
      </c>
    </row>
    <row r="601" spans="1:13" hidden="1" x14ac:dyDescent="0.35">
      <c r="A601" s="112" t="s">
        <v>1814</v>
      </c>
      <c r="B601" s="112" t="s">
        <v>906</v>
      </c>
      <c r="C601" s="112" t="s">
        <v>695</v>
      </c>
      <c r="D601" s="113">
        <v>10347954</v>
      </c>
      <c r="E601" s="115">
        <v>43923</v>
      </c>
      <c r="F601" s="114">
        <v>202101</v>
      </c>
      <c r="G601" s="112" t="s">
        <v>1091</v>
      </c>
      <c r="H601" s="112" t="s">
        <v>1015</v>
      </c>
      <c r="I601" s="112" t="s">
        <v>813</v>
      </c>
      <c r="J601" s="112" t="s">
        <v>1815</v>
      </c>
      <c r="K601" s="112" t="s">
        <v>1925</v>
      </c>
      <c r="L601" s="116">
        <v>-6743.82</v>
      </c>
      <c r="M601" s="116">
        <f t="shared" si="9"/>
        <v>-6.7438199999999995</v>
      </c>
    </row>
    <row r="602" spans="1:13" hidden="1" x14ac:dyDescent="0.35">
      <c r="A602" s="112" t="s">
        <v>1814</v>
      </c>
      <c r="B602" s="112" t="s">
        <v>906</v>
      </c>
      <c r="C602" s="112" t="s">
        <v>695</v>
      </c>
      <c r="D602" s="113">
        <v>10347954</v>
      </c>
      <c r="E602" s="115">
        <v>43923</v>
      </c>
      <c r="F602" s="114">
        <v>202101</v>
      </c>
      <c r="G602" s="112" t="s">
        <v>1091</v>
      </c>
      <c r="H602" s="112" t="s">
        <v>1015</v>
      </c>
      <c r="I602" s="112" t="s">
        <v>1820</v>
      </c>
      <c r="J602" s="112" t="s">
        <v>1815</v>
      </c>
      <c r="K602" s="112" t="s">
        <v>1940</v>
      </c>
      <c r="L602" s="116">
        <v>-875.32</v>
      </c>
      <c r="M602" s="116">
        <f t="shared" si="9"/>
        <v>-0.8753200000000001</v>
      </c>
    </row>
    <row r="603" spans="1:13" hidden="1" x14ac:dyDescent="0.35">
      <c r="A603" s="112" t="s">
        <v>1814</v>
      </c>
      <c r="B603" s="112" t="s">
        <v>906</v>
      </c>
      <c r="C603" s="112" t="s">
        <v>695</v>
      </c>
      <c r="D603" s="113">
        <v>10347954</v>
      </c>
      <c r="E603" s="115">
        <v>43923</v>
      </c>
      <c r="F603" s="114">
        <v>202101</v>
      </c>
      <c r="G603" s="112" t="s">
        <v>1091</v>
      </c>
      <c r="H603" s="112" t="s">
        <v>1015</v>
      </c>
      <c r="I603" s="112" t="s">
        <v>813</v>
      </c>
      <c r="J603" s="112" t="s">
        <v>1815</v>
      </c>
      <c r="K603" s="112" t="s">
        <v>1110</v>
      </c>
      <c r="L603" s="116">
        <v>-2641.64</v>
      </c>
      <c r="M603" s="116">
        <f t="shared" si="9"/>
        <v>-2.6416399999999998</v>
      </c>
    </row>
    <row r="604" spans="1:13" hidden="1" x14ac:dyDescent="0.35">
      <c r="A604" s="112" t="s">
        <v>1814</v>
      </c>
      <c r="B604" s="112" t="s">
        <v>906</v>
      </c>
      <c r="C604" s="112" t="s">
        <v>695</v>
      </c>
      <c r="D604" s="113">
        <v>10347954</v>
      </c>
      <c r="E604" s="115">
        <v>43923</v>
      </c>
      <c r="F604" s="114">
        <v>202101</v>
      </c>
      <c r="G604" s="112" t="s">
        <v>1091</v>
      </c>
      <c r="H604" s="112" t="s">
        <v>1015</v>
      </c>
      <c r="I604" s="112" t="s">
        <v>1894</v>
      </c>
      <c r="J604" s="112" t="s">
        <v>1815</v>
      </c>
      <c r="K604" s="112" t="s">
        <v>1826</v>
      </c>
      <c r="L604" s="116">
        <v>-970.87</v>
      </c>
      <c r="M604" s="116">
        <f t="shared" si="9"/>
        <v>-0.97087000000000001</v>
      </c>
    </row>
    <row r="605" spans="1:13" hidden="1" x14ac:dyDescent="0.35">
      <c r="A605" s="112" t="s">
        <v>1814</v>
      </c>
      <c r="B605" s="112" t="s">
        <v>906</v>
      </c>
      <c r="C605" s="112" t="s">
        <v>695</v>
      </c>
      <c r="D605" s="113">
        <v>10347954</v>
      </c>
      <c r="E605" s="115">
        <v>43923</v>
      </c>
      <c r="F605" s="114">
        <v>202101</v>
      </c>
      <c r="G605" s="112" t="s">
        <v>1091</v>
      </c>
      <c r="H605" s="112" t="s">
        <v>1015</v>
      </c>
      <c r="I605" s="112" t="s">
        <v>1820</v>
      </c>
      <c r="J605" s="112" t="s">
        <v>1815</v>
      </c>
      <c r="K605" s="112" t="s">
        <v>1941</v>
      </c>
      <c r="L605" s="116">
        <v>-423.6</v>
      </c>
      <c r="M605" s="116">
        <f t="shared" si="9"/>
        <v>-0.42360000000000003</v>
      </c>
    </row>
    <row r="606" spans="1:13" hidden="1" x14ac:dyDescent="0.35">
      <c r="A606" s="112" t="s">
        <v>1814</v>
      </c>
      <c r="B606" s="112" t="s">
        <v>906</v>
      </c>
      <c r="C606" s="112" t="s">
        <v>695</v>
      </c>
      <c r="D606" s="113">
        <v>10347977</v>
      </c>
      <c r="E606" s="115">
        <v>43924</v>
      </c>
      <c r="F606" s="114">
        <v>202101</v>
      </c>
      <c r="G606" s="112" t="s">
        <v>1091</v>
      </c>
      <c r="H606" s="112" t="s">
        <v>1015</v>
      </c>
      <c r="I606" s="112" t="s">
        <v>749</v>
      </c>
      <c r="J606" s="112" t="s">
        <v>1942</v>
      </c>
      <c r="K606" s="112" t="s">
        <v>1943</v>
      </c>
      <c r="L606" s="116">
        <v>-26</v>
      </c>
      <c r="M606" s="116">
        <f t="shared" si="9"/>
        <v>-2.5999999999999999E-2</v>
      </c>
    </row>
    <row r="607" spans="1:13" hidden="1" x14ac:dyDescent="0.35">
      <c r="A607" s="112" t="s">
        <v>1814</v>
      </c>
      <c r="B607" s="112" t="s">
        <v>906</v>
      </c>
      <c r="C607" s="112" t="s">
        <v>695</v>
      </c>
      <c r="D607" s="113">
        <v>10347954</v>
      </c>
      <c r="E607" s="115">
        <v>43923</v>
      </c>
      <c r="F607" s="114">
        <v>202101</v>
      </c>
      <c r="G607" s="112" t="s">
        <v>1091</v>
      </c>
      <c r="H607" s="112" t="s">
        <v>1015</v>
      </c>
      <c r="I607" s="112" t="s">
        <v>813</v>
      </c>
      <c r="J607" s="112" t="s">
        <v>1815</v>
      </c>
      <c r="K607" s="112" t="s">
        <v>1833</v>
      </c>
      <c r="L607" s="116">
        <v>-46.46</v>
      </c>
      <c r="M607" s="116">
        <f t="shared" si="9"/>
        <v>-4.6460000000000001E-2</v>
      </c>
    </row>
    <row r="608" spans="1:13" hidden="1" x14ac:dyDescent="0.35">
      <c r="A608" s="112" t="s">
        <v>1814</v>
      </c>
      <c r="B608" s="112" t="s">
        <v>905</v>
      </c>
      <c r="C608" s="112" t="s">
        <v>695</v>
      </c>
      <c r="D608" s="113">
        <v>10347977</v>
      </c>
      <c r="E608" s="115">
        <v>43924</v>
      </c>
      <c r="F608" s="114">
        <v>202101</v>
      </c>
      <c r="G608" s="112" t="s">
        <v>1091</v>
      </c>
      <c r="H608" s="112" t="s">
        <v>1015</v>
      </c>
      <c r="I608" s="112" t="s">
        <v>749</v>
      </c>
      <c r="J608" s="112" t="s">
        <v>1822</v>
      </c>
      <c r="K608" s="112" t="s">
        <v>1944</v>
      </c>
      <c r="L608" s="116">
        <v>-141</v>
      </c>
      <c r="M608" s="116">
        <f t="shared" si="9"/>
        <v>-0.14099999999999999</v>
      </c>
    </row>
    <row r="609" spans="1:13" hidden="1" x14ac:dyDescent="0.35">
      <c r="A609" s="112" t="s">
        <v>1814</v>
      </c>
      <c r="B609" s="112" t="s">
        <v>906</v>
      </c>
      <c r="C609" s="112" t="s">
        <v>695</v>
      </c>
      <c r="D609" s="113">
        <v>10347954</v>
      </c>
      <c r="E609" s="115">
        <v>43923</v>
      </c>
      <c r="F609" s="114">
        <v>202101</v>
      </c>
      <c r="G609" s="112" t="s">
        <v>1091</v>
      </c>
      <c r="H609" s="112" t="s">
        <v>1015</v>
      </c>
      <c r="I609" s="112" t="s">
        <v>813</v>
      </c>
      <c r="J609" s="112" t="s">
        <v>1815</v>
      </c>
      <c r="K609" s="112" t="s">
        <v>1836</v>
      </c>
      <c r="L609" s="116">
        <v>-633.9</v>
      </c>
      <c r="M609" s="116">
        <f t="shared" si="9"/>
        <v>-0.63390000000000002</v>
      </c>
    </row>
    <row r="610" spans="1:13" hidden="1" x14ac:dyDescent="0.35">
      <c r="A610" s="112" t="s">
        <v>1814</v>
      </c>
      <c r="B610" s="112" t="s">
        <v>905</v>
      </c>
      <c r="C610" s="112" t="s">
        <v>695</v>
      </c>
      <c r="D610" s="113">
        <v>10347977</v>
      </c>
      <c r="E610" s="115">
        <v>43924</v>
      </c>
      <c r="F610" s="114">
        <v>202101</v>
      </c>
      <c r="G610" s="112" t="s">
        <v>1091</v>
      </c>
      <c r="H610" s="112" t="s">
        <v>1015</v>
      </c>
      <c r="I610" s="112" t="s">
        <v>749</v>
      </c>
      <c r="J610" s="112" t="s">
        <v>1822</v>
      </c>
      <c r="K610" s="112" t="s">
        <v>1945</v>
      </c>
      <c r="L610" s="116">
        <v>-70</v>
      </c>
      <c r="M610" s="116">
        <f t="shared" si="9"/>
        <v>-7.0000000000000007E-2</v>
      </c>
    </row>
    <row r="611" spans="1:13" hidden="1" x14ac:dyDescent="0.35">
      <c r="A611" s="112" t="s">
        <v>1814</v>
      </c>
      <c r="B611" s="112" t="s">
        <v>905</v>
      </c>
      <c r="C611" s="112" t="s">
        <v>695</v>
      </c>
      <c r="D611" s="113">
        <v>10347977</v>
      </c>
      <c r="E611" s="115">
        <v>43924</v>
      </c>
      <c r="F611" s="114">
        <v>202101</v>
      </c>
      <c r="G611" s="112" t="s">
        <v>1091</v>
      </c>
      <c r="H611" s="112" t="s">
        <v>1015</v>
      </c>
      <c r="I611" s="112" t="s">
        <v>757</v>
      </c>
      <c r="J611" s="112" t="s">
        <v>1822</v>
      </c>
      <c r="K611" s="112" t="s">
        <v>1946</v>
      </c>
      <c r="L611" s="116">
        <v>-32</v>
      </c>
      <c r="M611" s="116">
        <f t="shared" si="9"/>
        <v>-3.2000000000000001E-2</v>
      </c>
    </row>
    <row r="612" spans="1:13" hidden="1" x14ac:dyDescent="0.35">
      <c r="A612" s="112" t="s">
        <v>1814</v>
      </c>
      <c r="B612" s="112" t="s">
        <v>906</v>
      </c>
      <c r="C612" s="112" t="s">
        <v>695</v>
      </c>
      <c r="D612" s="113">
        <v>10347954</v>
      </c>
      <c r="E612" s="115">
        <v>43923</v>
      </c>
      <c r="F612" s="114">
        <v>202101</v>
      </c>
      <c r="G612" s="112" t="s">
        <v>1091</v>
      </c>
      <c r="H612" s="112" t="s">
        <v>1015</v>
      </c>
      <c r="I612" s="112" t="s">
        <v>1820</v>
      </c>
      <c r="J612" s="112" t="s">
        <v>1815</v>
      </c>
      <c r="K612" s="112" t="s">
        <v>1947</v>
      </c>
      <c r="L612" s="116">
        <v>-751.87</v>
      </c>
      <c r="M612" s="116">
        <f t="shared" si="9"/>
        <v>-0.75187000000000004</v>
      </c>
    </row>
    <row r="613" spans="1:13" hidden="1" x14ac:dyDescent="0.35">
      <c r="A613" s="112" t="s">
        <v>1814</v>
      </c>
      <c r="B613" s="112" t="s">
        <v>906</v>
      </c>
      <c r="C613" s="112" t="s">
        <v>695</v>
      </c>
      <c r="D613" s="113">
        <v>10347954</v>
      </c>
      <c r="E613" s="115">
        <v>43923</v>
      </c>
      <c r="F613" s="114">
        <v>202101</v>
      </c>
      <c r="G613" s="112" t="s">
        <v>1091</v>
      </c>
      <c r="H613" s="112" t="s">
        <v>1015</v>
      </c>
      <c r="I613" s="112" t="s">
        <v>813</v>
      </c>
      <c r="J613" s="112" t="s">
        <v>1815</v>
      </c>
      <c r="K613" s="112" t="s">
        <v>1891</v>
      </c>
      <c r="L613" s="116">
        <v>-193.59</v>
      </c>
      <c r="M613" s="116">
        <f t="shared" si="9"/>
        <v>-0.19359000000000001</v>
      </c>
    </row>
    <row r="614" spans="1:13" hidden="1" x14ac:dyDescent="0.35">
      <c r="A614" s="112" t="s">
        <v>1814</v>
      </c>
      <c r="B614" s="112" t="s">
        <v>906</v>
      </c>
      <c r="C614" s="112" t="s">
        <v>695</v>
      </c>
      <c r="D614" s="113">
        <v>10347954</v>
      </c>
      <c r="E614" s="115">
        <v>43923</v>
      </c>
      <c r="F614" s="114">
        <v>202101</v>
      </c>
      <c r="G614" s="112" t="s">
        <v>1091</v>
      </c>
      <c r="H614" s="112" t="s">
        <v>1015</v>
      </c>
      <c r="I614" s="112" t="s">
        <v>813</v>
      </c>
      <c r="J614" s="112" t="s">
        <v>1815</v>
      </c>
      <c r="K614" s="112" t="s">
        <v>1833</v>
      </c>
      <c r="L614" s="116">
        <v>-241.76</v>
      </c>
      <c r="M614" s="116">
        <f t="shared" si="9"/>
        <v>-0.24176</v>
      </c>
    </row>
    <row r="615" spans="1:13" hidden="1" x14ac:dyDescent="0.35">
      <c r="A615" s="112" t="s">
        <v>1814</v>
      </c>
      <c r="B615" s="112" t="s">
        <v>906</v>
      </c>
      <c r="C615" s="112" t="s">
        <v>695</v>
      </c>
      <c r="D615" s="113">
        <v>10347954</v>
      </c>
      <c r="E615" s="115">
        <v>43923</v>
      </c>
      <c r="F615" s="114">
        <v>202101</v>
      </c>
      <c r="G615" s="112" t="s">
        <v>1091</v>
      </c>
      <c r="H615" s="112" t="s">
        <v>1015</v>
      </c>
      <c r="I615" s="112" t="s">
        <v>1820</v>
      </c>
      <c r="J615" s="112" t="s">
        <v>1815</v>
      </c>
      <c r="K615" s="112" t="s">
        <v>1948</v>
      </c>
      <c r="L615" s="116">
        <v>-116.67</v>
      </c>
      <c r="M615" s="116">
        <f t="shared" si="9"/>
        <v>-0.11667</v>
      </c>
    </row>
    <row r="616" spans="1:13" hidden="1" x14ac:dyDescent="0.35">
      <c r="A616" s="112" t="s">
        <v>1814</v>
      </c>
      <c r="B616" s="112" t="s">
        <v>906</v>
      </c>
      <c r="C616" s="112" t="s">
        <v>695</v>
      </c>
      <c r="D616" s="113">
        <v>10347954</v>
      </c>
      <c r="E616" s="115">
        <v>43923</v>
      </c>
      <c r="F616" s="114">
        <v>202101</v>
      </c>
      <c r="G616" s="112" t="s">
        <v>1091</v>
      </c>
      <c r="H616" s="112" t="s">
        <v>1015</v>
      </c>
      <c r="I616" s="112" t="s">
        <v>813</v>
      </c>
      <c r="J616" s="112" t="s">
        <v>1815</v>
      </c>
      <c r="K616" s="112" t="s">
        <v>1949</v>
      </c>
      <c r="L616" s="116">
        <v>-262.5</v>
      </c>
      <c r="M616" s="116">
        <f t="shared" si="9"/>
        <v>-0.26250000000000001</v>
      </c>
    </row>
    <row r="617" spans="1:13" hidden="1" x14ac:dyDescent="0.35">
      <c r="A617" s="112" t="s">
        <v>1814</v>
      </c>
      <c r="B617" s="112" t="s">
        <v>905</v>
      </c>
      <c r="C617" s="112" t="s">
        <v>695</v>
      </c>
      <c r="D617" s="113">
        <v>10348138</v>
      </c>
      <c r="E617" s="115">
        <v>43930</v>
      </c>
      <c r="F617" s="114">
        <v>202101</v>
      </c>
      <c r="G617" s="112" t="s">
        <v>1091</v>
      </c>
      <c r="H617" s="112" t="s">
        <v>1015</v>
      </c>
      <c r="I617" s="112" t="s">
        <v>1950</v>
      </c>
      <c r="J617" s="112" t="s">
        <v>1839</v>
      </c>
      <c r="K617" s="112" t="s">
        <v>1951</v>
      </c>
      <c r="L617" s="116">
        <v>1157.04</v>
      </c>
      <c r="M617" s="116">
        <f t="shared" si="9"/>
        <v>1.1570400000000001</v>
      </c>
    </row>
    <row r="618" spans="1:13" hidden="1" x14ac:dyDescent="0.35">
      <c r="A618" s="112" t="s">
        <v>1814</v>
      </c>
      <c r="B618" s="112" t="s">
        <v>905</v>
      </c>
      <c r="C618" s="112" t="s">
        <v>695</v>
      </c>
      <c r="D618" s="113">
        <v>10348509</v>
      </c>
      <c r="E618" s="115">
        <v>43949</v>
      </c>
      <c r="F618" s="114">
        <v>202101</v>
      </c>
      <c r="G618" s="112" t="s">
        <v>1091</v>
      </c>
      <c r="H618" s="112" t="s">
        <v>1015</v>
      </c>
      <c r="I618" s="112" t="s">
        <v>1605</v>
      </c>
      <c r="J618" s="112" t="s">
        <v>1959</v>
      </c>
      <c r="K618" s="112" t="s">
        <v>1960</v>
      </c>
      <c r="L618" s="116">
        <v>-209118</v>
      </c>
      <c r="M618" s="116">
        <f t="shared" si="9"/>
        <v>-209.11799999999999</v>
      </c>
    </row>
    <row r="619" spans="1:13" hidden="1" x14ac:dyDescent="0.35">
      <c r="A619" s="112" t="s">
        <v>1814</v>
      </c>
      <c r="B619" s="112" t="s">
        <v>905</v>
      </c>
      <c r="C619" s="112" t="s">
        <v>695</v>
      </c>
      <c r="D619" s="113">
        <v>10348509</v>
      </c>
      <c r="E619" s="115">
        <v>43949</v>
      </c>
      <c r="F619" s="114">
        <v>202101</v>
      </c>
      <c r="G619" s="112" t="s">
        <v>1091</v>
      </c>
      <c r="H619" s="112" t="s">
        <v>1015</v>
      </c>
      <c r="I619" s="112" t="s">
        <v>1605</v>
      </c>
      <c r="J619" s="112" t="s">
        <v>1959</v>
      </c>
      <c r="K619" s="112" t="s">
        <v>1961</v>
      </c>
      <c r="L619" s="116">
        <v>-118190</v>
      </c>
      <c r="M619" s="116">
        <f t="shared" si="9"/>
        <v>-118.19</v>
      </c>
    </row>
    <row r="620" spans="1:13" hidden="1" x14ac:dyDescent="0.35">
      <c r="A620" s="112" t="s">
        <v>1814</v>
      </c>
      <c r="B620" s="112" t="s">
        <v>905</v>
      </c>
      <c r="C620" s="112" t="s">
        <v>695</v>
      </c>
      <c r="D620" s="113">
        <v>10348509</v>
      </c>
      <c r="E620" s="115">
        <v>43949</v>
      </c>
      <c r="F620" s="114">
        <v>202101</v>
      </c>
      <c r="G620" s="112" t="s">
        <v>1091</v>
      </c>
      <c r="H620" s="112" t="s">
        <v>1015</v>
      </c>
      <c r="I620" s="112" t="s">
        <v>1605</v>
      </c>
      <c r="J620" s="112" t="s">
        <v>1959</v>
      </c>
      <c r="K620" s="112" t="s">
        <v>1962</v>
      </c>
      <c r="L620" s="116">
        <v>-111688</v>
      </c>
      <c r="M620" s="116">
        <f t="shared" si="9"/>
        <v>-111.688</v>
      </c>
    </row>
    <row r="621" spans="1:13" hidden="1" x14ac:dyDescent="0.35">
      <c r="A621" s="112" t="s">
        <v>1814</v>
      </c>
      <c r="B621" s="112" t="s">
        <v>905</v>
      </c>
      <c r="C621" s="112" t="s">
        <v>695</v>
      </c>
      <c r="D621" s="113">
        <v>10348509</v>
      </c>
      <c r="E621" s="115">
        <v>43949</v>
      </c>
      <c r="F621" s="114">
        <v>202101</v>
      </c>
      <c r="G621" s="112" t="s">
        <v>1091</v>
      </c>
      <c r="H621" s="112" t="s">
        <v>1015</v>
      </c>
      <c r="I621" s="112" t="s">
        <v>1605</v>
      </c>
      <c r="J621" s="112" t="s">
        <v>1959</v>
      </c>
      <c r="K621" s="112" t="s">
        <v>1963</v>
      </c>
      <c r="L621" s="116">
        <v>-80256</v>
      </c>
      <c r="M621" s="116">
        <f t="shared" si="9"/>
        <v>-80.256</v>
      </c>
    </row>
    <row r="622" spans="1:13" hidden="1" x14ac:dyDescent="0.35">
      <c r="A622" s="112" t="s">
        <v>1814</v>
      </c>
      <c r="B622" s="112" t="s">
        <v>905</v>
      </c>
      <c r="C622" s="112" t="s">
        <v>695</v>
      </c>
      <c r="D622" s="113">
        <v>10348136</v>
      </c>
      <c r="E622" s="115">
        <v>43930</v>
      </c>
      <c r="F622" s="114">
        <v>202101</v>
      </c>
      <c r="G622" s="112" t="s">
        <v>1091</v>
      </c>
      <c r="H622" s="112" t="s">
        <v>1015</v>
      </c>
      <c r="I622" s="112" t="s">
        <v>1964</v>
      </c>
      <c r="J622" s="112" t="s">
        <v>1827</v>
      </c>
      <c r="K622" s="112" t="s">
        <v>1965</v>
      </c>
      <c r="L622" s="116">
        <v>873.75</v>
      </c>
      <c r="M622" s="116">
        <f t="shared" si="9"/>
        <v>0.87375000000000003</v>
      </c>
    </row>
    <row r="623" spans="1:13" hidden="1" x14ac:dyDescent="0.35">
      <c r="A623" s="112" t="s">
        <v>1814</v>
      </c>
      <c r="B623" s="112" t="s">
        <v>905</v>
      </c>
      <c r="C623" s="112" t="s">
        <v>695</v>
      </c>
      <c r="D623" s="113">
        <v>10348136</v>
      </c>
      <c r="E623" s="115">
        <v>43930</v>
      </c>
      <c r="F623" s="114">
        <v>202101</v>
      </c>
      <c r="G623" s="112" t="s">
        <v>1091</v>
      </c>
      <c r="H623" s="112" t="s">
        <v>1015</v>
      </c>
      <c r="I623" s="112" t="s">
        <v>1966</v>
      </c>
      <c r="J623" s="112" t="s">
        <v>1839</v>
      </c>
      <c r="K623" s="112" t="s">
        <v>1967</v>
      </c>
      <c r="L623" s="116">
        <v>-5492</v>
      </c>
      <c r="M623" s="116">
        <f t="shared" si="9"/>
        <v>-5.492</v>
      </c>
    </row>
    <row r="624" spans="1:13" hidden="1" x14ac:dyDescent="0.35">
      <c r="A624" s="112" t="s">
        <v>1814</v>
      </c>
      <c r="B624" s="112" t="s">
        <v>905</v>
      </c>
      <c r="C624" s="112" t="s">
        <v>695</v>
      </c>
      <c r="D624" s="113">
        <v>10348136</v>
      </c>
      <c r="E624" s="115">
        <v>43930</v>
      </c>
      <c r="F624" s="114">
        <v>202101</v>
      </c>
      <c r="G624" s="112" t="s">
        <v>1091</v>
      </c>
      <c r="H624" s="112" t="s">
        <v>1015</v>
      </c>
      <c r="I624" s="112" t="s">
        <v>1968</v>
      </c>
      <c r="J624" s="112" t="s">
        <v>1817</v>
      </c>
      <c r="K624" s="112" t="s">
        <v>1969</v>
      </c>
      <c r="L624" s="116">
        <v>-48609</v>
      </c>
      <c r="M624" s="116">
        <f t="shared" si="9"/>
        <v>-48.609000000000002</v>
      </c>
    </row>
    <row r="625" spans="1:13" hidden="1" x14ac:dyDescent="0.35">
      <c r="A625" s="112" t="s">
        <v>1814</v>
      </c>
      <c r="B625" s="112" t="s">
        <v>905</v>
      </c>
      <c r="C625" s="112" t="s">
        <v>695</v>
      </c>
      <c r="D625" s="113">
        <v>10348136</v>
      </c>
      <c r="E625" s="115">
        <v>43930</v>
      </c>
      <c r="F625" s="114">
        <v>202101</v>
      </c>
      <c r="G625" s="112" t="s">
        <v>1091</v>
      </c>
      <c r="H625" s="112" t="s">
        <v>1015</v>
      </c>
      <c r="I625" s="112" t="s">
        <v>1605</v>
      </c>
      <c r="J625" s="112" t="s">
        <v>1842</v>
      </c>
      <c r="K625" s="112" t="s">
        <v>1970</v>
      </c>
      <c r="L625" s="116">
        <v>-675</v>
      </c>
      <c r="M625" s="116">
        <f t="shared" si="9"/>
        <v>-0.67500000000000004</v>
      </c>
    </row>
    <row r="626" spans="1:13" hidden="1" x14ac:dyDescent="0.35">
      <c r="A626" s="112" t="s">
        <v>1814</v>
      </c>
      <c r="B626" s="112" t="s">
        <v>905</v>
      </c>
      <c r="C626" s="112" t="s">
        <v>695</v>
      </c>
      <c r="D626" s="113">
        <v>10348136</v>
      </c>
      <c r="E626" s="115">
        <v>43930</v>
      </c>
      <c r="F626" s="114">
        <v>202101</v>
      </c>
      <c r="G626" s="112" t="s">
        <v>1091</v>
      </c>
      <c r="H626" s="112" t="s">
        <v>1015</v>
      </c>
      <c r="I626" s="112" t="s">
        <v>1952</v>
      </c>
      <c r="J626" s="112" t="s">
        <v>1971</v>
      </c>
      <c r="K626" s="112" t="s">
        <v>1972</v>
      </c>
      <c r="L626" s="116">
        <v>209102.4</v>
      </c>
      <c r="M626" s="116">
        <f t="shared" si="9"/>
        <v>209.10239999999999</v>
      </c>
    </row>
    <row r="627" spans="1:13" hidden="1" x14ac:dyDescent="0.35">
      <c r="A627" s="112" t="s">
        <v>1814</v>
      </c>
      <c r="B627" s="112" t="s">
        <v>905</v>
      </c>
      <c r="C627" s="112" t="s">
        <v>695</v>
      </c>
      <c r="D627" s="113">
        <v>10348136</v>
      </c>
      <c r="E627" s="115">
        <v>43930</v>
      </c>
      <c r="F627" s="114">
        <v>202101</v>
      </c>
      <c r="G627" s="112" t="s">
        <v>1091</v>
      </c>
      <c r="H627" s="112" t="s">
        <v>1015</v>
      </c>
      <c r="I627" s="112" t="s">
        <v>1964</v>
      </c>
      <c r="J627" s="112" t="s">
        <v>1827</v>
      </c>
      <c r="K627" s="112" t="s">
        <v>1973</v>
      </c>
      <c r="L627" s="116">
        <v>10980.37</v>
      </c>
      <c r="M627" s="116">
        <f t="shared" si="9"/>
        <v>10.980370000000001</v>
      </c>
    </row>
    <row r="628" spans="1:13" hidden="1" x14ac:dyDescent="0.35">
      <c r="A628" s="112" t="s">
        <v>1814</v>
      </c>
      <c r="B628" s="112" t="s">
        <v>905</v>
      </c>
      <c r="C628" s="112" t="s">
        <v>695</v>
      </c>
      <c r="D628" s="113">
        <v>10348138</v>
      </c>
      <c r="E628" s="115">
        <v>43930</v>
      </c>
      <c r="F628" s="114">
        <v>202101</v>
      </c>
      <c r="G628" s="112" t="s">
        <v>1091</v>
      </c>
      <c r="H628" s="112" t="s">
        <v>1015</v>
      </c>
      <c r="I628" s="112" t="s">
        <v>1950</v>
      </c>
      <c r="J628" s="112" t="s">
        <v>1839</v>
      </c>
      <c r="K628" s="112" t="s">
        <v>1951</v>
      </c>
      <c r="L628" s="116">
        <v>49143.9</v>
      </c>
      <c r="M628" s="116">
        <f t="shared" si="9"/>
        <v>49.143900000000002</v>
      </c>
    </row>
    <row r="629" spans="1:13" hidden="1" x14ac:dyDescent="0.35">
      <c r="A629" s="112" t="s">
        <v>1814</v>
      </c>
      <c r="B629" s="112" t="s">
        <v>905</v>
      </c>
      <c r="C629" s="112" t="s">
        <v>695</v>
      </c>
      <c r="D629" s="113">
        <v>10348138</v>
      </c>
      <c r="E629" s="115">
        <v>43930</v>
      </c>
      <c r="F629" s="114">
        <v>202101</v>
      </c>
      <c r="G629" s="112" t="s">
        <v>1091</v>
      </c>
      <c r="H629" s="112" t="s">
        <v>1015</v>
      </c>
      <c r="I629" s="112" t="s">
        <v>1950</v>
      </c>
      <c r="J629" s="112" t="s">
        <v>1839</v>
      </c>
      <c r="K629" s="112" t="s">
        <v>1951</v>
      </c>
      <c r="L629" s="116">
        <v>-49143.9</v>
      </c>
      <c r="M629" s="116">
        <f t="shared" si="9"/>
        <v>-49.143900000000002</v>
      </c>
    </row>
    <row r="630" spans="1:13" hidden="1" x14ac:dyDescent="0.35">
      <c r="A630" s="112" t="s">
        <v>1814</v>
      </c>
      <c r="B630" s="112" t="s">
        <v>905</v>
      </c>
      <c r="C630" s="112" t="s">
        <v>695</v>
      </c>
      <c r="D630" s="113">
        <v>10348138</v>
      </c>
      <c r="E630" s="115">
        <v>43930</v>
      </c>
      <c r="F630" s="114">
        <v>202101</v>
      </c>
      <c r="G630" s="112" t="s">
        <v>1091</v>
      </c>
      <c r="H630" s="112" t="s">
        <v>1015</v>
      </c>
      <c r="I630" s="112" t="s">
        <v>1950</v>
      </c>
      <c r="J630" s="112" t="s">
        <v>1839</v>
      </c>
      <c r="K630" s="112" t="s">
        <v>1951</v>
      </c>
      <c r="L630" s="116">
        <v>-1157.04</v>
      </c>
      <c r="M630" s="116">
        <f t="shared" si="9"/>
        <v>-1.1570400000000001</v>
      </c>
    </row>
    <row r="631" spans="1:13" hidden="1" x14ac:dyDescent="0.35">
      <c r="A631" s="112" t="s">
        <v>1814</v>
      </c>
      <c r="B631" s="112" t="s">
        <v>905</v>
      </c>
      <c r="C631" s="112" t="s">
        <v>695</v>
      </c>
      <c r="D631" s="113">
        <v>10348335</v>
      </c>
      <c r="E631" s="115">
        <v>43941</v>
      </c>
      <c r="F631" s="114">
        <v>202101</v>
      </c>
      <c r="G631" s="112" t="s">
        <v>1091</v>
      </c>
      <c r="H631" s="112" t="s">
        <v>1016</v>
      </c>
      <c r="I631" s="112" t="s">
        <v>1131</v>
      </c>
      <c r="J631" s="112" t="s">
        <v>1842</v>
      </c>
      <c r="K631" s="112" t="s">
        <v>1975</v>
      </c>
      <c r="L631" s="116">
        <v>-44672.93</v>
      </c>
      <c r="M631" s="116">
        <f t="shared" si="9"/>
        <v>-44.672930000000001</v>
      </c>
    </row>
    <row r="632" spans="1:13" hidden="1" x14ac:dyDescent="0.35">
      <c r="A632" s="112" t="s">
        <v>1814</v>
      </c>
      <c r="B632" s="112" t="s">
        <v>906</v>
      </c>
      <c r="C632" s="112" t="s">
        <v>695</v>
      </c>
      <c r="D632" s="113">
        <v>10348335</v>
      </c>
      <c r="E632" s="115">
        <v>43941</v>
      </c>
      <c r="F632" s="114">
        <v>202101</v>
      </c>
      <c r="G632" s="112" t="s">
        <v>1091</v>
      </c>
      <c r="H632" s="112" t="s">
        <v>1016</v>
      </c>
      <c r="I632" s="112" t="s">
        <v>779</v>
      </c>
      <c r="J632" s="112" t="s">
        <v>1815</v>
      </c>
      <c r="K632" s="112" t="s">
        <v>1976</v>
      </c>
      <c r="L632" s="116">
        <v>488.83</v>
      </c>
      <c r="M632" s="116">
        <f t="shared" si="9"/>
        <v>0.48882999999999999</v>
      </c>
    </row>
    <row r="633" spans="1:13" hidden="1" x14ac:dyDescent="0.35">
      <c r="A633" s="112" t="s">
        <v>1814</v>
      </c>
      <c r="B633" s="112" t="s">
        <v>906</v>
      </c>
      <c r="C633" s="112" t="s">
        <v>695</v>
      </c>
      <c r="D633" s="113">
        <v>10348335</v>
      </c>
      <c r="E633" s="115">
        <v>43941</v>
      </c>
      <c r="F633" s="114">
        <v>202101</v>
      </c>
      <c r="G633" s="112" t="s">
        <v>1091</v>
      </c>
      <c r="H633" s="112" t="s">
        <v>1016</v>
      </c>
      <c r="I633" s="112" t="s">
        <v>779</v>
      </c>
      <c r="J633" s="112" t="s">
        <v>1815</v>
      </c>
      <c r="K633" s="112" t="s">
        <v>1977</v>
      </c>
      <c r="L633" s="116">
        <v>5671.64</v>
      </c>
      <c r="M633" s="116">
        <f t="shared" si="9"/>
        <v>5.67164</v>
      </c>
    </row>
    <row r="634" spans="1:13" hidden="1" x14ac:dyDescent="0.35">
      <c r="A634" s="112" t="s">
        <v>1814</v>
      </c>
      <c r="B634" s="112" t="s">
        <v>906</v>
      </c>
      <c r="C634" s="112" t="s">
        <v>695</v>
      </c>
      <c r="D634" s="113">
        <v>10348335</v>
      </c>
      <c r="E634" s="115">
        <v>43941</v>
      </c>
      <c r="F634" s="114">
        <v>202101</v>
      </c>
      <c r="G634" s="112" t="s">
        <v>1091</v>
      </c>
      <c r="H634" s="112" t="s">
        <v>1016</v>
      </c>
      <c r="I634" s="112" t="s">
        <v>779</v>
      </c>
      <c r="J634" s="112" t="s">
        <v>1815</v>
      </c>
      <c r="K634" s="112" t="s">
        <v>1978</v>
      </c>
      <c r="L634" s="116">
        <v>2803.16</v>
      </c>
      <c r="M634" s="116">
        <f t="shared" si="9"/>
        <v>2.8031599999999997</v>
      </c>
    </row>
    <row r="635" spans="1:13" hidden="1" x14ac:dyDescent="0.35">
      <c r="A635" s="112" t="s">
        <v>1814</v>
      </c>
      <c r="B635" s="112" t="s">
        <v>906</v>
      </c>
      <c r="C635" s="112" t="s">
        <v>695</v>
      </c>
      <c r="D635" s="113">
        <v>10348335</v>
      </c>
      <c r="E635" s="115">
        <v>43941</v>
      </c>
      <c r="F635" s="114">
        <v>202101</v>
      </c>
      <c r="G635" s="112" t="s">
        <v>1091</v>
      </c>
      <c r="H635" s="112" t="s">
        <v>1016</v>
      </c>
      <c r="I635" s="112" t="s">
        <v>779</v>
      </c>
      <c r="J635" s="112" t="s">
        <v>1815</v>
      </c>
      <c r="K635" s="112" t="s">
        <v>1979</v>
      </c>
      <c r="L635" s="116">
        <v>2275.1999999999998</v>
      </c>
      <c r="M635" s="116">
        <f t="shared" si="9"/>
        <v>2.2751999999999999</v>
      </c>
    </row>
    <row r="636" spans="1:13" hidden="1" x14ac:dyDescent="0.35">
      <c r="A636" s="112" t="s">
        <v>1814</v>
      </c>
      <c r="B636" s="112" t="s">
        <v>906</v>
      </c>
      <c r="C636" s="112" t="s">
        <v>695</v>
      </c>
      <c r="D636" s="113">
        <v>10348335</v>
      </c>
      <c r="E636" s="115">
        <v>43941</v>
      </c>
      <c r="F636" s="114">
        <v>202101</v>
      </c>
      <c r="G636" s="112" t="s">
        <v>1091</v>
      </c>
      <c r="H636" s="112" t="s">
        <v>1016</v>
      </c>
      <c r="I636" s="112" t="s">
        <v>779</v>
      </c>
      <c r="J636" s="112" t="s">
        <v>1815</v>
      </c>
      <c r="K636" s="112" t="s">
        <v>1980</v>
      </c>
      <c r="L636" s="116">
        <v>2126.25</v>
      </c>
      <c r="M636" s="116">
        <f t="shared" si="9"/>
        <v>2.1262500000000002</v>
      </c>
    </row>
    <row r="637" spans="1:13" hidden="1" x14ac:dyDescent="0.35">
      <c r="A637" s="112" t="s">
        <v>1814</v>
      </c>
      <c r="B637" s="112" t="s">
        <v>906</v>
      </c>
      <c r="C637" s="112" t="s">
        <v>695</v>
      </c>
      <c r="D637" s="113">
        <v>10348335</v>
      </c>
      <c r="E637" s="115">
        <v>43941</v>
      </c>
      <c r="F637" s="114">
        <v>202101</v>
      </c>
      <c r="G637" s="112" t="s">
        <v>1091</v>
      </c>
      <c r="H637" s="112" t="s">
        <v>1016</v>
      </c>
      <c r="I637" s="112" t="s">
        <v>779</v>
      </c>
      <c r="J637" s="112" t="s">
        <v>1815</v>
      </c>
      <c r="K637" s="112" t="s">
        <v>1981</v>
      </c>
      <c r="L637" s="116">
        <v>2626.25</v>
      </c>
      <c r="M637" s="116">
        <f t="shared" si="9"/>
        <v>2.6262500000000002</v>
      </c>
    </row>
    <row r="638" spans="1:13" hidden="1" x14ac:dyDescent="0.35">
      <c r="A638" s="112" t="s">
        <v>1814</v>
      </c>
      <c r="B638" s="112" t="s">
        <v>906</v>
      </c>
      <c r="C638" s="112" t="s">
        <v>695</v>
      </c>
      <c r="D638" s="113">
        <v>10348335</v>
      </c>
      <c r="E638" s="115">
        <v>43941</v>
      </c>
      <c r="F638" s="114">
        <v>202101</v>
      </c>
      <c r="G638" s="112" t="s">
        <v>1091</v>
      </c>
      <c r="H638" s="112" t="s">
        <v>1016</v>
      </c>
      <c r="I638" s="112" t="s">
        <v>779</v>
      </c>
      <c r="J638" s="112" t="s">
        <v>1815</v>
      </c>
      <c r="K638" s="112" t="s">
        <v>1982</v>
      </c>
      <c r="L638" s="116">
        <v>540</v>
      </c>
      <c r="M638" s="116">
        <f t="shared" si="9"/>
        <v>0.54</v>
      </c>
    </row>
    <row r="639" spans="1:13" hidden="1" x14ac:dyDescent="0.35">
      <c r="A639" s="112" t="s">
        <v>1814</v>
      </c>
      <c r="B639" s="112" t="s">
        <v>906</v>
      </c>
      <c r="C639" s="112" t="s">
        <v>695</v>
      </c>
      <c r="D639" s="113">
        <v>10348402</v>
      </c>
      <c r="E639" s="115">
        <v>43943</v>
      </c>
      <c r="F639" s="114">
        <v>202101</v>
      </c>
      <c r="G639" s="112" t="s">
        <v>1091</v>
      </c>
      <c r="H639" s="112" t="s">
        <v>1015</v>
      </c>
      <c r="I639" s="112" t="s">
        <v>813</v>
      </c>
      <c r="J639" s="112" t="s">
        <v>1815</v>
      </c>
      <c r="K639" s="112" t="s">
        <v>2001</v>
      </c>
      <c r="L639" s="116">
        <v>-12977.1</v>
      </c>
      <c r="M639" s="116">
        <f t="shared" si="9"/>
        <v>-12.9771</v>
      </c>
    </row>
    <row r="640" spans="1:13" hidden="1" x14ac:dyDescent="0.35">
      <c r="A640" s="112" t="s">
        <v>1814</v>
      </c>
      <c r="B640" s="112" t="s">
        <v>905</v>
      </c>
      <c r="C640" s="112" t="s">
        <v>695</v>
      </c>
      <c r="D640" s="113">
        <v>10347981</v>
      </c>
      <c r="E640" s="115">
        <v>43924</v>
      </c>
      <c r="F640" s="114">
        <v>202101</v>
      </c>
      <c r="G640" s="112" t="s">
        <v>1091</v>
      </c>
      <c r="H640" s="112" t="s">
        <v>1015</v>
      </c>
      <c r="I640" s="112" t="s">
        <v>763</v>
      </c>
      <c r="J640" s="112" t="s">
        <v>1827</v>
      </c>
      <c r="K640" s="112" t="s">
        <v>2002</v>
      </c>
      <c r="L640" s="116">
        <v>-35</v>
      </c>
      <c r="M640" s="116">
        <f t="shared" si="9"/>
        <v>-3.5000000000000003E-2</v>
      </c>
    </row>
    <row r="641" spans="1:13" hidden="1" x14ac:dyDescent="0.35">
      <c r="A641" s="112" t="s">
        <v>1814</v>
      </c>
      <c r="B641" s="112" t="s">
        <v>906</v>
      </c>
      <c r="C641" s="112" t="s">
        <v>695</v>
      </c>
      <c r="D641" s="113">
        <v>10348402</v>
      </c>
      <c r="E641" s="115">
        <v>43943</v>
      </c>
      <c r="F641" s="114">
        <v>202101</v>
      </c>
      <c r="G641" s="112" t="s">
        <v>1091</v>
      </c>
      <c r="H641" s="112" t="s">
        <v>1015</v>
      </c>
      <c r="I641" s="112" t="s">
        <v>813</v>
      </c>
      <c r="J641" s="112" t="s">
        <v>1815</v>
      </c>
      <c r="K641" s="112" t="s">
        <v>2001</v>
      </c>
      <c r="L641" s="116">
        <v>12977.1</v>
      </c>
      <c r="M641" s="116">
        <f t="shared" si="9"/>
        <v>12.9771</v>
      </c>
    </row>
    <row r="642" spans="1:13" hidden="1" x14ac:dyDescent="0.35">
      <c r="A642" s="112" t="s">
        <v>1814</v>
      </c>
      <c r="B642" s="112" t="s">
        <v>905</v>
      </c>
      <c r="C642" s="112" t="s">
        <v>695</v>
      </c>
      <c r="D642" s="113">
        <v>10348407</v>
      </c>
      <c r="E642" s="115">
        <v>43943</v>
      </c>
      <c r="F642" s="114">
        <v>202101</v>
      </c>
      <c r="G642" s="112" t="s">
        <v>1091</v>
      </c>
      <c r="H642" s="112" t="s">
        <v>1015</v>
      </c>
      <c r="I642" s="112" t="s">
        <v>767</v>
      </c>
      <c r="J642" s="112" t="s">
        <v>1827</v>
      </c>
      <c r="K642" s="112" t="s">
        <v>1782</v>
      </c>
      <c r="L642" s="116">
        <v>-10081.68</v>
      </c>
      <c r="M642" s="116">
        <f t="shared" si="9"/>
        <v>-10.08168</v>
      </c>
    </row>
    <row r="643" spans="1:13" hidden="1" x14ac:dyDescent="0.35">
      <c r="A643" s="112" t="s">
        <v>1814</v>
      </c>
      <c r="B643" s="112" t="s">
        <v>905</v>
      </c>
      <c r="C643" s="112" t="s">
        <v>695</v>
      </c>
      <c r="D643" s="113">
        <v>10347979</v>
      </c>
      <c r="E643" s="115">
        <v>43924</v>
      </c>
      <c r="F643" s="114">
        <v>202101</v>
      </c>
      <c r="G643" s="112" t="s">
        <v>1091</v>
      </c>
      <c r="H643" s="112" t="s">
        <v>1015</v>
      </c>
      <c r="I643" s="112" t="s">
        <v>1952</v>
      </c>
      <c r="J643" s="112" t="s">
        <v>1817</v>
      </c>
      <c r="K643" s="112" t="s">
        <v>1698</v>
      </c>
      <c r="L643" s="116">
        <v>-1000</v>
      </c>
      <c r="M643" s="116">
        <f t="shared" ref="M643:M706" si="10">L643/1000</f>
        <v>-1</v>
      </c>
    </row>
    <row r="644" spans="1:13" hidden="1" x14ac:dyDescent="0.35">
      <c r="A644" s="112" t="s">
        <v>1814</v>
      </c>
      <c r="B644" s="112" t="s">
        <v>905</v>
      </c>
      <c r="C644" s="112" t="s">
        <v>695</v>
      </c>
      <c r="D644" s="113">
        <v>10347973</v>
      </c>
      <c r="E644" s="115">
        <v>43924</v>
      </c>
      <c r="F644" s="114">
        <v>202101</v>
      </c>
      <c r="G644" s="112" t="s">
        <v>1091</v>
      </c>
      <c r="H644" s="112" t="s">
        <v>1015</v>
      </c>
      <c r="I644" s="112" t="s">
        <v>1699</v>
      </c>
      <c r="J644" s="112" t="s">
        <v>1827</v>
      </c>
      <c r="K644" s="112" t="s">
        <v>865</v>
      </c>
      <c r="L644" s="116">
        <v>-105.09</v>
      </c>
      <c r="M644" s="116">
        <f t="shared" si="10"/>
        <v>-0.10509</v>
      </c>
    </row>
    <row r="645" spans="1:13" hidden="1" x14ac:dyDescent="0.35">
      <c r="A645" s="112" t="s">
        <v>1814</v>
      </c>
      <c r="B645" s="112" t="s">
        <v>905</v>
      </c>
      <c r="C645" s="112" t="s">
        <v>695</v>
      </c>
      <c r="D645" s="113">
        <v>10347973</v>
      </c>
      <c r="E645" s="115">
        <v>43924</v>
      </c>
      <c r="F645" s="114">
        <v>202101</v>
      </c>
      <c r="G645" s="112" t="s">
        <v>1091</v>
      </c>
      <c r="H645" s="112" t="s">
        <v>1015</v>
      </c>
      <c r="I645" s="112" t="s">
        <v>1699</v>
      </c>
      <c r="J645" s="112" t="s">
        <v>1839</v>
      </c>
      <c r="K645" s="112" t="s">
        <v>865</v>
      </c>
      <c r="L645" s="116">
        <v>-496.46</v>
      </c>
      <c r="M645" s="116">
        <f t="shared" si="10"/>
        <v>-0.49645999999999996</v>
      </c>
    </row>
    <row r="646" spans="1:13" hidden="1" x14ac:dyDescent="0.35">
      <c r="A646" s="112" t="s">
        <v>1814</v>
      </c>
      <c r="B646" s="112" t="s">
        <v>905</v>
      </c>
      <c r="C646" s="112" t="s">
        <v>695</v>
      </c>
      <c r="D646" s="113">
        <v>10348186</v>
      </c>
      <c r="E646" s="115">
        <v>43930</v>
      </c>
      <c r="F646" s="114">
        <v>202101</v>
      </c>
      <c r="G646" s="112" t="s">
        <v>1091</v>
      </c>
      <c r="H646" s="112" t="s">
        <v>1015</v>
      </c>
      <c r="I646" s="112" t="s">
        <v>1605</v>
      </c>
      <c r="J646" s="112" t="s">
        <v>1842</v>
      </c>
      <c r="K646" s="112" t="s">
        <v>2037</v>
      </c>
      <c r="L646" s="116">
        <v>-11769.5</v>
      </c>
      <c r="M646" s="116">
        <f t="shared" si="10"/>
        <v>-11.769500000000001</v>
      </c>
    </row>
    <row r="647" spans="1:13" hidden="1" x14ac:dyDescent="0.35">
      <c r="A647" s="112" t="s">
        <v>1814</v>
      </c>
      <c r="B647" s="112" t="s">
        <v>905</v>
      </c>
      <c r="C647" s="112" t="s">
        <v>695</v>
      </c>
      <c r="D647" s="113">
        <v>10348186</v>
      </c>
      <c r="E647" s="115">
        <v>43930</v>
      </c>
      <c r="F647" s="114">
        <v>202101</v>
      </c>
      <c r="G647" s="112" t="s">
        <v>1091</v>
      </c>
      <c r="H647" s="112" t="s">
        <v>1015</v>
      </c>
      <c r="I647" s="112" t="s">
        <v>1605</v>
      </c>
      <c r="J647" s="112" t="s">
        <v>1878</v>
      </c>
      <c r="K647" s="112" t="s">
        <v>2038</v>
      </c>
      <c r="L647" s="116">
        <v>-6307</v>
      </c>
      <c r="M647" s="116">
        <f t="shared" si="10"/>
        <v>-6.3070000000000004</v>
      </c>
    </row>
    <row r="648" spans="1:13" hidden="1" x14ac:dyDescent="0.35">
      <c r="A648" s="112" t="s">
        <v>1814</v>
      </c>
      <c r="B648" s="112" t="s">
        <v>905</v>
      </c>
      <c r="C648" s="112" t="s">
        <v>695</v>
      </c>
      <c r="D648" s="113">
        <v>10348186</v>
      </c>
      <c r="E648" s="115">
        <v>43930</v>
      </c>
      <c r="F648" s="114">
        <v>202101</v>
      </c>
      <c r="G648" s="112" t="s">
        <v>1091</v>
      </c>
      <c r="H648" s="112" t="s">
        <v>1015</v>
      </c>
      <c r="I648" s="112" t="s">
        <v>1605</v>
      </c>
      <c r="J648" s="112" t="s">
        <v>1878</v>
      </c>
      <c r="K648" s="112" t="s">
        <v>2039</v>
      </c>
      <c r="L648" s="116">
        <v>-7104.25</v>
      </c>
      <c r="M648" s="116">
        <f t="shared" si="10"/>
        <v>-7.1042500000000004</v>
      </c>
    </row>
    <row r="649" spans="1:13" hidden="1" x14ac:dyDescent="0.35">
      <c r="A649" s="112" t="s">
        <v>1814</v>
      </c>
      <c r="B649" s="112" t="s">
        <v>905</v>
      </c>
      <c r="C649" s="112" t="s">
        <v>695</v>
      </c>
      <c r="D649" s="113">
        <v>10348186</v>
      </c>
      <c r="E649" s="115">
        <v>43930</v>
      </c>
      <c r="F649" s="114">
        <v>202101</v>
      </c>
      <c r="G649" s="112" t="s">
        <v>1091</v>
      </c>
      <c r="H649" s="112" t="s">
        <v>1015</v>
      </c>
      <c r="I649" s="112" t="s">
        <v>1605</v>
      </c>
      <c r="J649" s="112" t="s">
        <v>1878</v>
      </c>
      <c r="K649" s="112" t="s">
        <v>2040</v>
      </c>
      <c r="L649" s="116">
        <v>-14425</v>
      </c>
      <c r="M649" s="116">
        <f t="shared" si="10"/>
        <v>-14.425000000000001</v>
      </c>
    </row>
    <row r="650" spans="1:13" hidden="1" x14ac:dyDescent="0.35">
      <c r="A650" s="112" t="s">
        <v>1814</v>
      </c>
      <c r="B650" s="112" t="s">
        <v>905</v>
      </c>
      <c r="C650" s="112" t="s">
        <v>695</v>
      </c>
      <c r="D650" s="113">
        <v>10348186</v>
      </c>
      <c r="E650" s="115">
        <v>43930</v>
      </c>
      <c r="F650" s="114">
        <v>202101</v>
      </c>
      <c r="G650" s="112" t="s">
        <v>1091</v>
      </c>
      <c r="H650" s="112" t="s">
        <v>1015</v>
      </c>
      <c r="I650" s="112" t="s">
        <v>1605</v>
      </c>
      <c r="J650" s="112" t="s">
        <v>1878</v>
      </c>
      <c r="K650" s="112" t="s">
        <v>2041</v>
      </c>
      <c r="L650" s="116">
        <v>-7104.25</v>
      </c>
      <c r="M650" s="116">
        <f t="shared" si="10"/>
        <v>-7.1042500000000004</v>
      </c>
    </row>
    <row r="651" spans="1:13" hidden="1" x14ac:dyDescent="0.35">
      <c r="A651" s="112" t="s">
        <v>1814</v>
      </c>
      <c r="B651" s="112" t="s">
        <v>905</v>
      </c>
      <c r="C651" s="112" t="s">
        <v>695</v>
      </c>
      <c r="D651" s="113">
        <v>10348186</v>
      </c>
      <c r="E651" s="115">
        <v>43930</v>
      </c>
      <c r="F651" s="114">
        <v>202101</v>
      </c>
      <c r="G651" s="112" t="s">
        <v>1091</v>
      </c>
      <c r="H651" s="112" t="s">
        <v>1015</v>
      </c>
      <c r="I651" s="112" t="s">
        <v>1605</v>
      </c>
      <c r="J651" s="112" t="s">
        <v>1878</v>
      </c>
      <c r="K651" s="112" t="s">
        <v>2042</v>
      </c>
      <c r="L651" s="116">
        <v>-8509.5</v>
      </c>
      <c r="M651" s="116">
        <f t="shared" si="10"/>
        <v>-8.5094999999999992</v>
      </c>
    </row>
    <row r="652" spans="1:13" hidden="1" x14ac:dyDescent="0.35">
      <c r="A652" s="112" t="s">
        <v>1814</v>
      </c>
      <c r="B652" s="112" t="s">
        <v>905</v>
      </c>
      <c r="C652" s="112" t="s">
        <v>695</v>
      </c>
      <c r="D652" s="113">
        <v>10348186</v>
      </c>
      <c r="E652" s="115">
        <v>43930</v>
      </c>
      <c r="F652" s="114">
        <v>202101</v>
      </c>
      <c r="G652" s="112" t="s">
        <v>1091</v>
      </c>
      <c r="H652" s="112" t="s">
        <v>1015</v>
      </c>
      <c r="I652" s="112" t="s">
        <v>1605</v>
      </c>
      <c r="J652" s="112" t="s">
        <v>1959</v>
      </c>
      <c r="K652" s="112" t="s">
        <v>2043</v>
      </c>
      <c r="L652" s="116">
        <v>-6450</v>
      </c>
      <c r="M652" s="116">
        <f t="shared" si="10"/>
        <v>-6.45</v>
      </c>
    </row>
    <row r="653" spans="1:13" hidden="1" x14ac:dyDescent="0.35">
      <c r="A653" s="112" t="s">
        <v>1814</v>
      </c>
      <c r="B653" s="112" t="s">
        <v>905</v>
      </c>
      <c r="C653" s="112" t="s">
        <v>695</v>
      </c>
      <c r="D653" s="113">
        <v>10348352</v>
      </c>
      <c r="E653" s="115">
        <v>43942</v>
      </c>
      <c r="F653" s="114">
        <v>202101</v>
      </c>
      <c r="G653" s="112" t="s">
        <v>1091</v>
      </c>
      <c r="H653" s="112" t="s">
        <v>1016</v>
      </c>
      <c r="I653" s="112" t="s">
        <v>1131</v>
      </c>
      <c r="J653" s="112" t="s">
        <v>1842</v>
      </c>
      <c r="K653" s="112" t="s">
        <v>1975</v>
      </c>
      <c r="L653" s="116">
        <v>-42672.53</v>
      </c>
      <c r="M653" s="116">
        <f t="shared" si="10"/>
        <v>-42.672530000000002</v>
      </c>
    </row>
    <row r="654" spans="1:13" hidden="1" x14ac:dyDescent="0.35">
      <c r="A654" s="112" t="s">
        <v>1814</v>
      </c>
      <c r="B654" s="112" t="s">
        <v>905</v>
      </c>
      <c r="C654" s="112" t="s">
        <v>695</v>
      </c>
      <c r="D654" s="113">
        <v>10348352</v>
      </c>
      <c r="E654" s="115">
        <v>43942</v>
      </c>
      <c r="F654" s="114">
        <v>202101</v>
      </c>
      <c r="G654" s="112" t="s">
        <v>1091</v>
      </c>
      <c r="H654" s="112" t="s">
        <v>1016</v>
      </c>
      <c r="I654" s="112" t="s">
        <v>1131</v>
      </c>
      <c r="J654" s="112" t="s">
        <v>1842</v>
      </c>
      <c r="K654" s="112" t="s">
        <v>2075</v>
      </c>
      <c r="L654" s="116">
        <v>44672.93</v>
      </c>
      <c r="M654" s="116">
        <f t="shared" si="10"/>
        <v>44.672930000000001</v>
      </c>
    </row>
    <row r="655" spans="1:13" hidden="1" x14ac:dyDescent="0.35">
      <c r="A655" s="112" t="s">
        <v>1814</v>
      </c>
      <c r="B655" s="112" t="s">
        <v>905</v>
      </c>
      <c r="C655" s="112" t="s">
        <v>695</v>
      </c>
      <c r="D655" s="113">
        <v>10347977</v>
      </c>
      <c r="E655" s="115">
        <v>43924</v>
      </c>
      <c r="F655" s="114">
        <v>202101</v>
      </c>
      <c r="G655" s="112" t="s">
        <v>1091</v>
      </c>
      <c r="H655" s="112" t="s">
        <v>1015</v>
      </c>
      <c r="I655" s="112" t="s">
        <v>751</v>
      </c>
      <c r="J655" s="112" t="s">
        <v>1822</v>
      </c>
      <c r="K655" s="112" t="s">
        <v>2103</v>
      </c>
      <c r="L655" s="116">
        <v>-45</v>
      </c>
      <c r="M655" s="116">
        <f t="shared" si="10"/>
        <v>-4.4999999999999998E-2</v>
      </c>
    </row>
    <row r="656" spans="1:13" hidden="1" x14ac:dyDescent="0.35">
      <c r="A656" s="112" t="s">
        <v>1814</v>
      </c>
      <c r="B656" s="112" t="s">
        <v>905</v>
      </c>
      <c r="C656" s="112" t="s">
        <v>695</v>
      </c>
      <c r="D656" s="113">
        <v>10347977</v>
      </c>
      <c r="E656" s="115">
        <v>43924</v>
      </c>
      <c r="F656" s="114">
        <v>202101</v>
      </c>
      <c r="G656" s="112" t="s">
        <v>1091</v>
      </c>
      <c r="H656" s="112" t="s">
        <v>1015</v>
      </c>
      <c r="I656" s="112" t="s">
        <v>749</v>
      </c>
      <c r="J656" s="112" t="s">
        <v>1822</v>
      </c>
      <c r="K656" s="112" t="s">
        <v>2104</v>
      </c>
      <c r="L656" s="116">
        <v>-155</v>
      </c>
      <c r="M656" s="116">
        <f t="shared" si="10"/>
        <v>-0.155</v>
      </c>
    </row>
    <row r="657" spans="1:13" hidden="1" x14ac:dyDescent="0.35">
      <c r="A657" s="112" t="s">
        <v>1814</v>
      </c>
      <c r="B657" s="112" t="s">
        <v>905</v>
      </c>
      <c r="C657" s="112" t="s">
        <v>695</v>
      </c>
      <c r="D657" s="113">
        <v>10347977</v>
      </c>
      <c r="E657" s="115">
        <v>43924</v>
      </c>
      <c r="F657" s="114">
        <v>202101</v>
      </c>
      <c r="G657" s="112" t="s">
        <v>1091</v>
      </c>
      <c r="H657" s="112" t="s">
        <v>1015</v>
      </c>
      <c r="I657" s="112" t="s">
        <v>749</v>
      </c>
      <c r="J657" s="112" t="s">
        <v>1822</v>
      </c>
      <c r="K657" s="112" t="s">
        <v>2105</v>
      </c>
      <c r="L657" s="116">
        <v>-33</v>
      </c>
      <c r="M657" s="116">
        <f t="shared" si="10"/>
        <v>-3.3000000000000002E-2</v>
      </c>
    </row>
    <row r="658" spans="1:13" hidden="1" x14ac:dyDescent="0.35">
      <c r="A658" s="112" t="s">
        <v>1814</v>
      </c>
      <c r="B658" s="112" t="s">
        <v>905</v>
      </c>
      <c r="C658" s="112" t="s">
        <v>695</v>
      </c>
      <c r="D658" s="113">
        <v>10347977</v>
      </c>
      <c r="E658" s="115">
        <v>43924</v>
      </c>
      <c r="F658" s="114">
        <v>202101</v>
      </c>
      <c r="G658" s="112" t="s">
        <v>1091</v>
      </c>
      <c r="H658" s="112" t="s">
        <v>1015</v>
      </c>
      <c r="I658" s="112" t="s">
        <v>749</v>
      </c>
      <c r="J658" s="112" t="s">
        <v>1839</v>
      </c>
      <c r="K658" s="112" t="s">
        <v>2106</v>
      </c>
      <c r="L658" s="116">
        <v>-139</v>
      </c>
      <c r="M658" s="116">
        <f t="shared" si="10"/>
        <v>-0.13900000000000001</v>
      </c>
    </row>
    <row r="659" spans="1:13" hidden="1" x14ac:dyDescent="0.35">
      <c r="A659" s="112" t="s">
        <v>1814</v>
      </c>
      <c r="B659" s="112" t="s">
        <v>905</v>
      </c>
      <c r="C659" s="112" t="s">
        <v>695</v>
      </c>
      <c r="D659" s="113">
        <v>10347977</v>
      </c>
      <c r="E659" s="115">
        <v>43924</v>
      </c>
      <c r="F659" s="114">
        <v>202101</v>
      </c>
      <c r="G659" s="112" t="s">
        <v>1091</v>
      </c>
      <c r="H659" s="112" t="s">
        <v>1015</v>
      </c>
      <c r="I659" s="112" t="s">
        <v>757</v>
      </c>
      <c r="J659" s="112" t="s">
        <v>1822</v>
      </c>
      <c r="K659" s="112" t="s">
        <v>2107</v>
      </c>
      <c r="L659" s="116">
        <v>-124</v>
      </c>
      <c r="M659" s="116">
        <f t="shared" si="10"/>
        <v>-0.124</v>
      </c>
    </row>
    <row r="660" spans="1:13" hidden="1" x14ac:dyDescent="0.35">
      <c r="A660" s="112" t="s">
        <v>1814</v>
      </c>
      <c r="B660" s="112" t="s">
        <v>905</v>
      </c>
      <c r="C660" s="112" t="s">
        <v>695</v>
      </c>
      <c r="D660" s="113">
        <v>10347977</v>
      </c>
      <c r="E660" s="115">
        <v>43924</v>
      </c>
      <c r="F660" s="114">
        <v>202101</v>
      </c>
      <c r="G660" s="112" t="s">
        <v>1091</v>
      </c>
      <c r="H660" s="112" t="s">
        <v>1015</v>
      </c>
      <c r="I660" s="112" t="s">
        <v>757</v>
      </c>
      <c r="J660" s="112" t="s">
        <v>1822</v>
      </c>
      <c r="K660" s="112" t="s">
        <v>2108</v>
      </c>
      <c r="L660" s="116">
        <v>-40</v>
      </c>
      <c r="M660" s="116">
        <f t="shared" si="10"/>
        <v>-0.04</v>
      </c>
    </row>
    <row r="661" spans="1:13" hidden="1" x14ac:dyDescent="0.35">
      <c r="A661" s="112" t="s">
        <v>1814</v>
      </c>
      <c r="B661" s="112" t="s">
        <v>905</v>
      </c>
      <c r="C661" s="112" t="s">
        <v>695</v>
      </c>
      <c r="D661" s="113">
        <v>10347977</v>
      </c>
      <c r="E661" s="115">
        <v>43924</v>
      </c>
      <c r="F661" s="114">
        <v>202101</v>
      </c>
      <c r="G661" s="112" t="s">
        <v>1091</v>
      </c>
      <c r="H661" s="112" t="s">
        <v>1015</v>
      </c>
      <c r="I661" s="112" t="s">
        <v>751</v>
      </c>
      <c r="J661" s="112" t="s">
        <v>1822</v>
      </c>
      <c r="K661" s="112" t="s">
        <v>2109</v>
      </c>
      <c r="L661" s="116">
        <v>-77</v>
      </c>
      <c r="M661" s="116">
        <f t="shared" si="10"/>
        <v>-7.6999999999999999E-2</v>
      </c>
    </row>
    <row r="662" spans="1:13" hidden="1" x14ac:dyDescent="0.35">
      <c r="A662" s="112" t="s">
        <v>1814</v>
      </c>
      <c r="B662" s="112" t="s">
        <v>905</v>
      </c>
      <c r="C662" s="112" t="s">
        <v>695</v>
      </c>
      <c r="D662" s="113">
        <v>10347977</v>
      </c>
      <c r="E662" s="115">
        <v>43924</v>
      </c>
      <c r="F662" s="114">
        <v>202101</v>
      </c>
      <c r="G662" s="112" t="s">
        <v>1091</v>
      </c>
      <c r="H662" s="112" t="s">
        <v>1015</v>
      </c>
      <c r="I662" s="112" t="s">
        <v>751</v>
      </c>
      <c r="J662" s="112" t="s">
        <v>1822</v>
      </c>
      <c r="K662" s="112" t="s">
        <v>2110</v>
      </c>
      <c r="L662" s="116">
        <v>-66</v>
      </c>
      <c r="M662" s="116">
        <f t="shared" si="10"/>
        <v>-6.6000000000000003E-2</v>
      </c>
    </row>
    <row r="663" spans="1:13" hidden="1" x14ac:dyDescent="0.35">
      <c r="A663" s="112" t="s">
        <v>1814</v>
      </c>
      <c r="B663" s="112" t="s">
        <v>905</v>
      </c>
      <c r="C663" s="112" t="s">
        <v>695</v>
      </c>
      <c r="D663" s="113">
        <v>10347977</v>
      </c>
      <c r="E663" s="115">
        <v>43924</v>
      </c>
      <c r="F663" s="114">
        <v>202101</v>
      </c>
      <c r="G663" s="112" t="s">
        <v>1091</v>
      </c>
      <c r="H663" s="112" t="s">
        <v>1015</v>
      </c>
      <c r="I663" s="112" t="s">
        <v>749</v>
      </c>
      <c r="J663" s="112" t="s">
        <v>1822</v>
      </c>
      <c r="K663" s="112" t="s">
        <v>2111</v>
      </c>
      <c r="L663" s="116">
        <v>-43</v>
      </c>
      <c r="M663" s="116">
        <f t="shared" si="10"/>
        <v>-4.2999999999999997E-2</v>
      </c>
    </row>
    <row r="664" spans="1:13" hidden="1" x14ac:dyDescent="0.35">
      <c r="A664" s="112" t="s">
        <v>1814</v>
      </c>
      <c r="B664" s="112" t="s">
        <v>905</v>
      </c>
      <c r="C664" s="112" t="s">
        <v>695</v>
      </c>
      <c r="D664" s="113">
        <v>10347977</v>
      </c>
      <c r="E664" s="115">
        <v>43924</v>
      </c>
      <c r="F664" s="114">
        <v>202101</v>
      </c>
      <c r="G664" s="112" t="s">
        <v>1091</v>
      </c>
      <c r="H664" s="112" t="s">
        <v>1015</v>
      </c>
      <c r="I664" s="112" t="s">
        <v>749</v>
      </c>
      <c r="J664" s="112" t="s">
        <v>1822</v>
      </c>
      <c r="K664" s="112" t="s">
        <v>2112</v>
      </c>
      <c r="L664" s="116">
        <v>-110</v>
      </c>
      <c r="M664" s="116">
        <f t="shared" si="10"/>
        <v>-0.11</v>
      </c>
    </row>
    <row r="665" spans="1:13" hidden="1" x14ac:dyDescent="0.35">
      <c r="A665" s="112" t="s">
        <v>1814</v>
      </c>
      <c r="B665" s="112" t="s">
        <v>905</v>
      </c>
      <c r="C665" s="112" t="s">
        <v>695</v>
      </c>
      <c r="D665" s="113">
        <v>10347977</v>
      </c>
      <c r="E665" s="115">
        <v>43924</v>
      </c>
      <c r="F665" s="114">
        <v>202101</v>
      </c>
      <c r="G665" s="112" t="s">
        <v>1091</v>
      </c>
      <c r="H665" s="112" t="s">
        <v>1015</v>
      </c>
      <c r="I665" s="112" t="s">
        <v>749</v>
      </c>
      <c r="J665" s="112" t="s">
        <v>1839</v>
      </c>
      <c r="K665" s="112" t="s">
        <v>2113</v>
      </c>
      <c r="L665" s="116">
        <v>-194</v>
      </c>
      <c r="M665" s="116">
        <f t="shared" si="10"/>
        <v>-0.19400000000000001</v>
      </c>
    </row>
    <row r="666" spans="1:13" hidden="1" x14ac:dyDescent="0.35">
      <c r="A666" s="112" t="s">
        <v>1814</v>
      </c>
      <c r="B666" s="112" t="s">
        <v>905</v>
      </c>
      <c r="C666" s="112" t="s">
        <v>695</v>
      </c>
      <c r="D666" s="113">
        <v>10347977</v>
      </c>
      <c r="E666" s="115">
        <v>43924</v>
      </c>
      <c r="F666" s="114">
        <v>202101</v>
      </c>
      <c r="G666" s="112" t="s">
        <v>1091</v>
      </c>
      <c r="H666" s="112" t="s">
        <v>1015</v>
      </c>
      <c r="I666" s="112" t="s">
        <v>749</v>
      </c>
      <c r="J666" s="112" t="s">
        <v>1839</v>
      </c>
      <c r="K666" s="112" t="s">
        <v>2114</v>
      </c>
      <c r="L666" s="116">
        <v>-180</v>
      </c>
      <c r="M666" s="116">
        <f t="shared" si="10"/>
        <v>-0.18</v>
      </c>
    </row>
    <row r="667" spans="1:13" hidden="1" x14ac:dyDescent="0.35">
      <c r="A667" s="112" t="s">
        <v>1814</v>
      </c>
      <c r="B667" s="112" t="s">
        <v>905</v>
      </c>
      <c r="C667" s="112" t="s">
        <v>695</v>
      </c>
      <c r="D667" s="113">
        <v>10347977</v>
      </c>
      <c r="E667" s="115">
        <v>43924</v>
      </c>
      <c r="F667" s="114">
        <v>202101</v>
      </c>
      <c r="G667" s="112" t="s">
        <v>1091</v>
      </c>
      <c r="H667" s="112" t="s">
        <v>1015</v>
      </c>
      <c r="I667" s="112" t="s">
        <v>749</v>
      </c>
      <c r="J667" s="112" t="s">
        <v>1839</v>
      </c>
      <c r="K667" s="112" t="s">
        <v>2115</v>
      </c>
      <c r="L667" s="116">
        <v>-244</v>
      </c>
      <c r="M667" s="116">
        <f t="shared" si="10"/>
        <v>-0.24399999999999999</v>
      </c>
    </row>
    <row r="668" spans="1:13" hidden="1" x14ac:dyDescent="0.35">
      <c r="A668" s="112" t="s">
        <v>1814</v>
      </c>
      <c r="B668" s="112" t="s">
        <v>905</v>
      </c>
      <c r="C668" s="112" t="s">
        <v>695</v>
      </c>
      <c r="D668" s="113">
        <v>10347977</v>
      </c>
      <c r="E668" s="115">
        <v>43924</v>
      </c>
      <c r="F668" s="114">
        <v>202101</v>
      </c>
      <c r="G668" s="112" t="s">
        <v>1091</v>
      </c>
      <c r="H668" s="112" t="s">
        <v>1015</v>
      </c>
      <c r="I668" s="112" t="s">
        <v>749</v>
      </c>
      <c r="J668" s="112" t="s">
        <v>1822</v>
      </c>
      <c r="K668" s="112" t="s">
        <v>2116</v>
      </c>
      <c r="L668" s="116">
        <v>-46</v>
      </c>
      <c r="M668" s="116">
        <f t="shared" si="10"/>
        <v>-4.5999999999999999E-2</v>
      </c>
    </row>
    <row r="669" spans="1:13" hidden="1" x14ac:dyDescent="0.35">
      <c r="A669" s="112" t="s">
        <v>1814</v>
      </c>
      <c r="B669" s="112" t="s">
        <v>905</v>
      </c>
      <c r="C669" s="112" t="s">
        <v>695</v>
      </c>
      <c r="D669" s="113">
        <v>10347977</v>
      </c>
      <c r="E669" s="115">
        <v>43924</v>
      </c>
      <c r="F669" s="114">
        <v>202101</v>
      </c>
      <c r="G669" s="112" t="s">
        <v>1091</v>
      </c>
      <c r="H669" s="112" t="s">
        <v>1015</v>
      </c>
      <c r="I669" s="112" t="s">
        <v>751</v>
      </c>
      <c r="J669" s="112" t="s">
        <v>1822</v>
      </c>
      <c r="K669" s="112" t="s">
        <v>2117</v>
      </c>
      <c r="L669" s="116">
        <v>-106</v>
      </c>
      <c r="M669" s="116">
        <f t="shared" si="10"/>
        <v>-0.106</v>
      </c>
    </row>
    <row r="670" spans="1:13" hidden="1" x14ac:dyDescent="0.35">
      <c r="A670" s="112" t="s">
        <v>1814</v>
      </c>
      <c r="B670" s="112" t="s">
        <v>905</v>
      </c>
      <c r="C670" s="112" t="s">
        <v>695</v>
      </c>
      <c r="D670" s="113">
        <v>10348473</v>
      </c>
      <c r="E670" s="115">
        <v>43948</v>
      </c>
      <c r="F670" s="114">
        <v>202101</v>
      </c>
      <c r="G670" s="112" t="s">
        <v>1091</v>
      </c>
      <c r="H670" s="112" t="s">
        <v>1015</v>
      </c>
      <c r="I670" s="112" t="s">
        <v>1605</v>
      </c>
      <c r="J670" s="112" t="s">
        <v>1842</v>
      </c>
      <c r="K670" s="112" t="s">
        <v>2120</v>
      </c>
      <c r="L670" s="116">
        <v>11769.5</v>
      </c>
      <c r="M670" s="116">
        <f t="shared" si="10"/>
        <v>11.769500000000001</v>
      </c>
    </row>
    <row r="671" spans="1:13" hidden="1" x14ac:dyDescent="0.35">
      <c r="A671" s="112" t="s">
        <v>1814</v>
      </c>
      <c r="B671" s="112" t="s">
        <v>905</v>
      </c>
      <c r="C671" s="112" t="s">
        <v>695</v>
      </c>
      <c r="D671" s="113">
        <v>10347977</v>
      </c>
      <c r="E671" s="115">
        <v>43924</v>
      </c>
      <c r="F671" s="114">
        <v>202101</v>
      </c>
      <c r="G671" s="112" t="s">
        <v>1091</v>
      </c>
      <c r="H671" s="112" t="s">
        <v>1015</v>
      </c>
      <c r="I671" s="112" t="s">
        <v>751</v>
      </c>
      <c r="J671" s="112" t="s">
        <v>1822</v>
      </c>
      <c r="K671" s="112" t="s">
        <v>2128</v>
      </c>
      <c r="L671" s="116">
        <v>-48</v>
      </c>
      <c r="M671" s="116">
        <f t="shared" si="10"/>
        <v>-4.8000000000000001E-2</v>
      </c>
    </row>
    <row r="672" spans="1:13" hidden="1" x14ac:dyDescent="0.35">
      <c r="A672" s="112" t="s">
        <v>1814</v>
      </c>
      <c r="B672" s="112" t="s">
        <v>906</v>
      </c>
      <c r="C672" s="112" t="s">
        <v>695</v>
      </c>
      <c r="D672" s="113">
        <v>10348237</v>
      </c>
      <c r="E672" s="115">
        <v>43936</v>
      </c>
      <c r="F672" s="114">
        <v>202101</v>
      </c>
      <c r="G672" s="112" t="s">
        <v>1091</v>
      </c>
      <c r="H672" s="112" t="s">
        <v>1015</v>
      </c>
      <c r="I672" s="112" t="s">
        <v>1102</v>
      </c>
      <c r="J672" s="112" t="s">
        <v>1852</v>
      </c>
      <c r="K672" s="112" t="s">
        <v>2134</v>
      </c>
      <c r="L672" s="116">
        <v>10421.780000000001</v>
      </c>
      <c r="M672" s="116">
        <f t="shared" si="10"/>
        <v>10.42178</v>
      </c>
    </row>
    <row r="673" spans="1:13" hidden="1" x14ac:dyDescent="0.35">
      <c r="A673" s="112" t="s">
        <v>1814</v>
      </c>
      <c r="B673" s="112" t="s">
        <v>905</v>
      </c>
      <c r="C673" s="112" t="s">
        <v>695</v>
      </c>
      <c r="D673" s="113">
        <v>10347977</v>
      </c>
      <c r="E673" s="115">
        <v>43924</v>
      </c>
      <c r="F673" s="114">
        <v>202101</v>
      </c>
      <c r="G673" s="112" t="s">
        <v>1091</v>
      </c>
      <c r="H673" s="112" t="s">
        <v>1015</v>
      </c>
      <c r="I673" s="112" t="s">
        <v>751</v>
      </c>
      <c r="J673" s="112" t="s">
        <v>1822</v>
      </c>
      <c r="K673" s="112" t="s">
        <v>2186</v>
      </c>
      <c r="L673" s="116">
        <v>-75</v>
      </c>
      <c r="M673" s="116">
        <f t="shared" si="10"/>
        <v>-7.4999999999999997E-2</v>
      </c>
    </row>
    <row r="674" spans="1:13" hidden="1" x14ac:dyDescent="0.35">
      <c r="A674" s="112" t="s">
        <v>1814</v>
      </c>
      <c r="B674" s="112" t="s">
        <v>905</v>
      </c>
      <c r="C674" s="112" t="s">
        <v>695</v>
      </c>
      <c r="D674" s="113">
        <v>10347977</v>
      </c>
      <c r="E674" s="115">
        <v>43924</v>
      </c>
      <c r="F674" s="114">
        <v>202101</v>
      </c>
      <c r="G674" s="112" t="s">
        <v>1091</v>
      </c>
      <c r="H674" s="112" t="s">
        <v>1015</v>
      </c>
      <c r="I674" s="112" t="s">
        <v>751</v>
      </c>
      <c r="J674" s="112" t="s">
        <v>1822</v>
      </c>
      <c r="K674" s="112" t="s">
        <v>2187</v>
      </c>
      <c r="L674" s="116">
        <v>-109</v>
      </c>
      <c r="M674" s="116">
        <f t="shared" si="10"/>
        <v>-0.109</v>
      </c>
    </row>
    <row r="675" spans="1:13" hidden="1" x14ac:dyDescent="0.35">
      <c r="A675" s="112" t="s">
        <v>1814</v>
      </c>
      <c r="B675" s="112" t="s">
        <v>905</v>
      </c>
      <c r="C675" s="112" t="s">
        <v>695</v>
      </c>
      <c r="D675" s="113">
        <v>10347977</v>
      </c>
      <c r="E675" s="115">
        <v>43924</v>
      </c>
      <c r="F675" s="114">
        <v>202101</v>
      </c>
      <c r="G675" s="112" t="s">
        <v>1091</v>
      </c>
      <c r="H675" s="112" t="s">
        <v>1015</v>
      </c>
      <c r="I675" s="112" t="s">
        <v>749</v>
      </c>
      <c r="J675" s="112" t="s">
        <v>1822</v>
      </c>
      <c r="K675" s="112" t="s">
        <v>2188</v>
      </c>
      <c r="L675" s="116">
        <v>-31</v>
      </c>
      <c r="M675" s="116">
        <f t="shared" si="10"/>
        <v>-3.1E-2</v>
      </c>
    </row>
    <row r="676" spans="1:13" hidden="1" x14ac:dyDescent="0.35">
      <c r="A676" s="112" t="s">
        <v>1814</v>
      </c>
      <c r="B676" s="112" t="s">
        <v>905</v>
      </c>
      <c r="C676" s="112" t="s">
        <v>695</v>
      </c>
      <c r="D676" s="113">
        <v>10347977</v>
      </c>
      <c r="E676" s="115">
        <v>43924</v>
      </c>
      <c r="F676" s="114">
        <v>202101</v>
      </c>
      <c r="G676" s="112" t="s">
        <v>1091</v>
      </c>
      <c r="H676" s="112" t="s">
        <v>1015</v>
      </c>
      <c r="I676" s="112" t="s">
        <v>749</v>
      </c>
      <c r="J676" s="112" t="s">
        <v>1822</v>
      </c>
      <c r="K676" s="112" t="s">
        <v>2189</v>
      </c>
      <c r="L676" s="116">
        <v>-109</v>
      </c>
      <c r="M676" s="116">
        <f t="shared" si="10"/>
        <v>-0.109</v>
      </c>
    </row>
    <row r="677" spans="1:13" hidden="1" x14ac:dyDescent="0.35">
      <c r="A677" s="112" t="s">
        <v>1814</v>
      </c>
      <c r="B677" s="112" t="s">
        <v>905</v>
      </c>
      <c r="C677" s="112" t="s">
        <v>695</v>
      </c>
      <c r="D677" s="113">
        <v>10347977</v>
      </c>
      <c r="E677" s="115">
        <v>43924</v>
      </c>
      <c r="F677" s="114">
        <v>202101</v>
      </c>
      <c r="G677" s="112" t="s">
        <v>1091</v>
      </c>
      <c r="H677" s="112" t="s">
        <v>1015</v>
      </c>
      <c r="I677" s="112" t="s">
        <v>751</v>
      </c>
      <c r="J677" s="112" t="s">
        <v>1822</v>
      </c>
      <c r="K677" s="112" t="s">
        <v>2190</v>
      </c>
      <c r="L677" s="116">
        <v>-73</v>
      </c>
      <c r="M677" s="116">
        <f t="shared" si="10"/>
        <v>-7.2999999999999995E-2</v>
      </c>
    </row>
    <row r="678" spans="1:13" hidden="1" x14ac:dyDescent="0.35">
      <c r="A678" s="112" t="s">
        <v>1814</v>
      </c>
      <c r="B678" s="112" t="s">
        <v>905</v>
      </c>
      <c r="C678" s="112" t="s">
        <v>695</v>
      </c>
      <c r="D678" s="113">
        <v>10347977</v>
      </c>
      <c r="E678" s="115">
        <v>43924</v>
      </c>
      <c r="F678" s="114">
        <v>202101</v>
      </c>
      <c r="G678" s="112" t="s">
        <v>1091</v>
      </c>
      <c r="H678" s="112" t="s">
        <v>1015</v>
      </c>
      <c r="I678" s="112" t="s">
        <v>757</v>
      </c>
      <c r="J678" s="112" t="s">
        <v>1822</v>
      </c>
      <c r="K678" s="112" t="s">
        <v>2191</v>
      </c>
      <c r="L678" s="116">
        <v>-49</v>
      </c>
      <c r="M678" s="116">
        <f t="shared" si="10"/>
        <v>-4.9000000000000002E-2</v>
      </c>
    </row>
    <row r="679" spans="1:13" hidden="1" x14ac:dyDescent="0.35">
      <c r="A679" s="112" t="s">
        <v>1814</v>
      </c>
      <c r="B679" s="112" t="s">
        <v>905</v>
      </c>
      <c r="C679" s="112" t="s">
        <v>695</v>
      </c>
      <c r="D679" s="113">
        <v>10347977</v>
      </c>
      <c r="E679" s="115">
        <v>43924</v>
      </c>
      <c r="F679" s="114">
        <v>202101</v>
      </c>
      <c r="G679" s="112" t="s">
        <v>1091</v>
      </c>
      <c r="H679" s="112" t="s">
        <v>1015</v>
      </c>
      <c r="I679" s="112" t="s">
        <v>749</v>
      </c>
      <c r="J679" s="112" t="s">
        <v>1822</v>
      </c>
      <c r="K679" s="112" t="s">
        <v>2192</v>
      </c>
      <c r="L679" s="116">
        <v>-643</v>
      </c>
      <c r="M679" s="116">
        <f t="shared" si="10"/>
        <v>-0.64300000000000002</v>
      </c>
    </row>
    <row r="680" spans="1:13" hidden="1" x14ac:dyDescent="0.35">
      <c r="A680" s="112" t="s">
        <v>1814</v>
      </c>
      <c r="B680" s="112" t="s">
        <v>905</v>
      </c>
      <c r="C680" s="112" t="s">
        <v>695</v>
      </c>
      <c r="D680" s="113">
        <v>10347977</v>
      </c>
      <c r="E680" s="115">
        <v>43924</v>
      </c>
      <c r="F680" s="114">
        <v>202101</v>
      </c>
      <c r="G680" s="112" t="s">
        <v>1091</v>
      </c>
      <c r="H680" s="112" t="s">
        <v>1015</v>
      </c>
      <c r="I680" s="112" t="s">
        <v>749</v>
      </c>
      <c r="J680" s="112" t="s">
        <v>1822</v>
      </c>
      <c r="K680" s="112" t="s">
        <v>2193</v>
      </c>
      <c r="L680" s="116">
        <v>-476</v>
      </c>
      <c r="M680" s="116">
        <f t="shared" si="10"/>
        <v>-0.47599999999999998</v>
      </c>
    </row>
    <row r="681" spans="1:13" hidden="1" x14ac:dyDescent="0.35">
      <c r="A681" s="112" t="s">
        <v>1814</v>
      </c>
      <c r="B681" s="112" t="s">
        <v>905</v>
      </c>
      <c r="C681" s="112" t="s">
        <v>695</v>
      </c>
      <c r="D681" s="113">
        <v>10347977</v>
      </c>
      <c r="E681" s="115">
        <v>43924</v>
      </c>
      <c r="F681" s="114">
        <v>202101</v>
      </c>
      <c r="G681" s="112" t="s">
        <v>1091</v>
      </c>
      <c r="H681" s="112" t="s">
        <v>1015</v>
      </c>
      <c r="I681" s="112" t="s">
        <v>749</v>
      </c>
      <c r="J681" s="112" t="s">
        <v>1839</v>
      </c>
      <c r="K681" s="112" t="s">
        <v>2194</v>
      </c>
      <c r="L681" s="116">
        <v>-918</v>
      </c>
      <c r="M681" s="116">
        <f t="shared" si="10"/>
        <v>-0.91800000000000004</v>
      </c>
    </row>
    <row r="682" spans="1:13" hidden="1" x14ac:dyDescent="0.35">
      <c r="A682" s="112" t="s">
        <v>1814</v>
      </c>
      <c r="B682" s="112" t="s">
        <v>905</v>
      </c>
      <c r="C682" s="112" t="s">
        <v>695</v>
      </c>
      <c r="D682" s="113">
        <v>10347977</v>
      </c>
      <c r="E682" s="115">
        <v>43924</v>
      </c>
      <c r="F682" s="114">
        <v>202101</v>
      </c>
      <c r="G682" s="112" t="s">
        <v>1091</v>
      </c>
      <c r="H682" s="112" t="s">
        <v>1015</v>
      </c>
      <c r="I682" s="112" t="s">
        <v>751</v>
      </c>
      <c r="J682" s="112" t="s">
        <v>1839</v>
      </c>
      <c r="K682" s="112" t="s">
        <v>2195</v>
      </c>
      <c r="L682" s="116">
        <v>-990</v>
      </c>
      <c r="M682" s="116">
        <f t="shared" si="10"/>
        <v>-0.99</v>
      </c>
    </row>
    <row r="683" spans="1:13" hidden="1" x14ac:dyDescent="0.35">
      <c r="A683" s="112" t="s">
        <v>1814</v>
      </c>
      <c r="B683" s="112" t="s">
        <v>905</v>
      </c>
      <c r="C683" s="112" t="s">
        <v>695</v>
      </c>
      <c r="D683" s="113">
        <v>10347977</v>
      </c>
      <c r="E683" s="115">
        <v>43924</v>
      </c>
      <c r="F683" s="114">
        <v>202101</v>
      </c>
      <c r="G683" s="112" t="s">
        <v>1091</v>
      </c>
      <c r="H683" s="112" t="s">
        <v>1015</v>
      </c>
      <c r="I683" s="112" t="s">
        <v>757</v>
      </c>
      <c r="J683" s="112" t="s">
        <v>1822</v>
      </c>
      <c r="K683" s="112" t="s">
        <v>2196</v>
      </c>
      <c r="L683" s="116">
        <v>-28</v>
      </c>
      <c r="M683" s="116">
        <f t="shared" si="10"/>
        <v>-2.8000000000000001E-2</v>
      </c>
    </row>
    <row r="684" spans="1:13" hidden="1" x14ac:dyDescent="0.35">
      <c r="A684" s="112" t="s">
        <v>1814</v>
      </c>
      <c r="B684" s="112" t="s">
        <v>905</v>
      </c>
      <c r="C684" s="112" t="s">
        <v>695</v>
      </c>
      <c r="D684" s="113">
        <v>10347977</v>
      </c>
      <c r="E684" s="115">
        <v>43924</v>
      </c>
      <c r="F684" s="114">
        <v>202101</v>
      </c>
      <c r="G684" s="112" t="s">
        <v>1091</v>
      </c>
      <c r="H684" s="112" t="s">
        <v>1015</v>
      </c>
      <c r="I684" s="112" t="s">
        <v>751</v>
      </c>
      <c r="J684" s="112" t="s">
        <v>1822</v>
      </c>
      <c r="K684" s="112" t="s">
        <v>2197</v>
      </c>
      <c r="L684" s="116">
        <v>-108</v>
      </c>
      <c r="M684" s="116">
        <f t="shared" si="10"/>
        <v>-0.108</v>
      </c>
    </row>
    <row r="685" spans="1:13" hidden="1" x14ac:dyDescent="0.35">
      <c r="A685" s="112" t="s">
        <v>1814</v>
      </c>
      <c r="B685" s="112" t="s">
        <v>905</v>
      </c>
      <c r="C685" s="112" t="s">
        <v>695</v>
      </c>
      <c r="D685" s="113">
        <v>10347977</v>
      </c>
      <c r="E685" s="115">
        <v>43924</v>
      </c>
      <c r="F685" s="114">
        <v>202101</v>
      </c>
      <c r="G685" s="112" t="s">
        <v>1091</v>
      </c>
      <c r="H685" s="112" t="s">
        <v>1015</v>
      </c>
      <c r="I685" s="112" t="s">
        <v>749</v>
      </c>
      <c r="J685" s="112" t="s">
        <v>1822</v>
      </c>
      <c r="K685" s="112" t="s">
        <v>2198</v>
      </c>
      <c r="L685" s="116">
        <v>-72</v>
      </c>
      <c r="M685" s="116">
        <f t="shared" si="10"/>
        <v>-7.1999999999999995E-2</v>
      </c>
    </row>
    <row r="686" spans="1:13" hidden="1" x14ac:dyDescent="0.35">
      <c r="A686" s="112" t="s">
        <v>1814</v>
      </c>
      <c r="B686" s="112" t="s">
        <v>905</v>
      </c>
      <c r="C686" s="112" t="s">
        <v>695</v>
      </c>
      <c r="D686" s="113">
        <v>10347977</v>
      </c>
      <c r="E686" s="115">
        <v>43924</v>
      </c>
      <c r="F686" s="114">
        <v>202101</v>
      </c>
      <c r="G686" s="112" t="s">
        <v>1091</v>
      </c>
      <c r="H686" s="112" t="s">
        <v>1015</v>
      </c>
      <c r="I686" s="112" t="s">
        <v>757</v>
      </c>
      <c r="J686" s="112" t="s">
        <v>1822</v>
      </c>
      <c r="K686" s="112" t="s">
        <v>2199</v>
      </c>
      <c r="L686" s="116">
        <v>-62</v>
      </c>
      <c r="M686" s="116">
        <f t="shared" si="10"/>
        <v>-6.2E-2</v>
      </c>
    </row>
    <row r="687" spans="1:13" hidden="1" x14ac:dyDescent="0.35">
      <c r="A687" s="112" t="s">
        <v>1814</v>
      </c>
      <c r="B687" s="112" t="s">
        <v>906</v>
      </c>
      <c r="C687" s="112" t="s">
        <v>695</v>
      </c>
      <c r="D687" s="113">
        <v>10347977</v>
      </c>
      <c r="E687" s="115">
        <v>43924</v>
      </c>
      <c r="F687" s="114">
        <v>202101</v>
      </c>
      <c r="G687" s="112" t="s">
        <v>1091</v>
      </c>
      <c r="H687" s="112" t="s">
        <v>1015</v>
      </c>
      <c r="I687" s="112" t="s">
        <v>749</v>
      </c>
      <c r="J687" s="112" t="s">
        <v>1815</v>
      </c>
      <c r="K687" s="112" t="s">
        <v>1883</v>
      </c>
      <c r="L687" s="116">
        <v>-7</v>
      </c>
      <c r="M687" s="116">
        <f t="shared" si="10"/>
        <v>-7.0000000000000001E-3</v>
      </c>
    </row>
    <row r="688" spans="1:13" hidden="1" x14ac:dyDescent="0.35">
      <c r="A688" s="112" t="s">
        <v>1814</v>
      </c>
      <c r="B688" s="112" t="s">
        <v>905</v>
      </c>
      <c r="C688" s="112" t="s">
        <v>695</v>
      </c>
      <c r="D688" s="113">
        <v>10347977</v>
      </c>
      <c r="E688" s="115">
        <v>43924</v>
      </c>
      <c r="F688" s="114">
        <v>202101</v>
      </c>
      <c r="G688" s="112" t="s">
        <v>1091</v>
      </c>
      <c r="H688" s="112" t="s">
        <v>1015</v>
      </c>
      <c r="I688" s="112" t="s">
        <v>757</v>
      </c>
      <c r="J688" s="112" t="s">
        <v>1822</v>
      </c>
      <c r="K688" s="112" t="s">
        <v>2200</v>
      </c>
      <c r="L688" s="116">
        <v>-38</v>
      </c>
      <c r="M688" s="116">
        <f t="shared" si="10"/>
        <v>-3.7999999999999999E-2</v>
      </c>
    </row>
    <row r="689" spans="1:13" hidden="1" x14ac:dyDescent="0.35">
      <c r="A689" s="112" t="s">
        <v>1814</v>
      </c>
      <c r="B689" s="112" t="s">
        <v>905</v>
      </c>
      <c r="C689" s="112" t="s">
        <v>695</v>
      </c>
      <c r="D689" s="113">
        <v>10347977</v>
      </c>
      <c r="E689" s="115">
        <v>43924</v>
      </c>
      <c r="F689" s="114">
        <v>202101</v>
      </c>
      <c r="G689" s="112" t="s">
        <v>1091</v>
      </c>
      <c r="H689" s="112" t="s">
        <v>1015</v>
      </c>
      <c r="I689" s="112" t="s">
        <v>757</v>
      </c>
      <c r="J689" s="112" t="s">
        <v>1822</v>
      </c>
      <c r="K689" s="112" t="s">
        <v>2201</v>
      </c>
      <c r="L689" s="116">
        <v>-178</v>
      </c>
      <c r="M689" s="116">
        <f t="shared" si="10"/>
        <v>-0.17799999999999999</v>
      </c>
    </row>
    <row r="690" spans="1:13" hidden="1" x14ac:dyDescent="0.35">
      <c r="A690" s="112" t="s">
        <v>1814</v>
      </c>
      <c r="B690" s="112" t="s">
        <v>906</v>
      </c>
      <c r="C690" s="112" t="s">
        <v>695</v>
      </c>
      <c r="D690" s="113">
        <v>10347981</v>
      </c>
      <c r="E690" s="115">
        <v>43924</v>
      </c>
      <c r="F690" s="114">
        <v>202101</v>
      </c>
      <c r="G690" s="112" t="s">
        <v>1091</v>
      </c>
      <c r="H690" s="112" t="s">
        <v>1015</v>
      </c>
      <c r="I690" s="112" t="s">
        <v>747</v>
      </c>
      <c r="J690" s="112" t="s">
        <v>1815</v>
      </c>
      <c r="K690" s="112" t="s">
        <v>2202</v>
      </c>
      <c r="L690" s="116">
        <v>-1530</v>
      </c>
      <c r="M690" s="116">
        <f t="shared" si="10"/>
        <v>-1.53</v>
      </c>
    </row>
    <row r="691" spans="1:13" hidden="1" x14ac:dyDescent="0.35">
      <c r="A691" s="112" t="s">
        <v>1814</v>
      </c>
      <c r="B691" s="112" t="s">
        <v>906</v>
      </c>
      <c r="C691" s="112" t="s">
        <v>695</v>
      </c>
      <c r="D691" s="113">
        <v>10347981</v>
      </c>
      <c r="E691" s="115">
        <v>43924</v>
      </c>
      <c r="F691" s="114">
        <v>202101</v>
      </c>
      <c r="G691" s="112" t="s">
        <v>1091</v>
      </c>
      <c r="H691" s="112" t="s">
        <v>1015</v>
      </c>
      <c r="I691" s="112" t="s">
        <v>745</v>
      </c>
      <c r="J691" s="112" t="s">
        <v>1815</v>
      </c>
      <c r="K691" s="112" t="s">
        <v>2208</v>
      </c>
      <c r="L691" s="116">
        <v>-231.8</v>
      </c>
      <c r="M691" s="116">
        <f t="shared" si="10"/>
        <v>-0.23180000000000001</v>
      </c>
    </row>
    <row r="692" spans="1:13" hidden="1" x14ac:dyDescent="0.35">
      <c r="A692" s="112" t="s">
        <v>1814</v>
      </c>
      <c r="B692" s="112" t="s">
        <v>906</v>
      </c>
      <c r="C692" s="112" t="s">
        <v>695</v>
      </c>
      <c r="D692" s="113">
        <v>10347981</v>
      </c>
      <c r="E692" s="115">
        <v>43924</v>
      </c>
      <c r="F692" s="114">
        <v>202101</v>
      </c>
      <c r="G692" s="112" t="s">
        <v>1091</v>
      </c>
      <c r="H692" s="112" t="s">
        <v>1015</v>
      </c>
      <c r="I692" s="112" t="s">
        <v>745</v>
      </c>
      <c r="J692" s="112" t="s">
        <v>1815</v>
      </c>
      <c r="K692" s="112" t="s">
        <v>2209</v>
      </c>
      <c r="L692" s="116">
        <v>-380</v>
      </c>
      <c r="M692" s="116">
        <f t="shared" si="10"/>
        <v>-0.38</v>
      </c>
    </row>
    <row r="693" spans="1:13" hidden="1" x14ac:dyDescent="0.35">
      <c r="A693" s="112" t="s">
        <v>1814</v>
      </c>
      <c r="B693" s="112" t="s">
        <v>906</v>
      </c>
      <c r="C693" s="112" t="s">
        <v>695</v>
      </c>
      <c r="D693" s="113">
        <v>10347981</v>
      </c>
      <c r="E693" s="115">
        <v>43924</v>
      </c>
      <c r="F693" s="114">
        <v>202101</v>
      </c>
      <c r="G693" s="112" t="s">
        <v>1091</v>
      </c>
      <c r="H693" s="112" t="s">
        <v>1015</v>
      </c>
      <c r="I693" s="112" t="s">
        <v>745</v>
      </c>
      <c r="J693" s="112" t="s">
        <v>1815</v>
      </c>
      <c r="K693" s="112" t="s">
        <v>2210</v>
      </c>
      <c r="L693" s="116">
        <v>-525</v>
      </c>
      <c r="M693" s="116">
        <f t="shared" si="10"/>
        <v>-0.52500000000000002</v>
      </c>
    </row>
    <row r="694" spans="1:13" hidden="1" x14ac:dyDescent="0.35">
      <c r="A694" s="112" t="s">
        <v>1814</v>
      </c>
      <c r="B694" s="112" t="s">
        <v>906</v>
      </c>
      <c r="C694" s="112" t="s">
        <v>695</v>
      </c>
      <c r="D694" s="113">
        <v>10347981</v>
      </c>
      <c r="E694" s="115">
        <v>43924</v>
      </c>
      <c r="F694" s="114">
        <v>202101</v>
      </c>
      <c r="G694" s="112" t="s">
        <v>1091</v>
      </c>
      <c r="H694" s="112" t="s">
        <v>1015</v>
      </c>
      <c r="I694" s="112" t="s">
        <v>745</v>
      </c>
      <c r="J694" s="112" t="s">
        <v>1815</v>
      </c>
      <c r="K694" s="112" t="s">
        <v>2211</v>
      </c>
      <c r="L694" s="116">
        <v>-227.2</v>
      </c>
      <c r="M694" s="116">
        <f t="shared" si="10"/>
        <v>-0.22719999999999999</v>
      </c>
    </row>
    <row r="695" spans="1:13" hidden="1" x14ac:dyDescent="0.35">
      <c r="A695" s="112" t="s">
        <v>1814</v>
      </c>
      <c r="B695" s="112" t="s">
        <v>906</v>
      </c>
      <c r="C695" s="112" t="s">
        <v>695</v>
      </c>
      <c r="D695" s="113">
        <v>10347981</v>
      </c>
      <c r="E695" s="115">
        <v>43924</v>
      </c>
      <c r="F695" s="114">
        <v>202101</v>
      </c>
      <c r="G695" s="112" t="s">
        <v>1091</v>
      </c>
      <c r="H695" s="112" t="s">
        <v>1015</v>
      </c>
      <c r="I695" s="112" t="s">
        <v>747</v>
      </c>
      <c r="J695" s="112" t="s">
        <v>1815</v>
      </c>
      <c r="K695" s="112" t="s">
        <v>2212</v>
      </c>
      <c r="L695" s="116">
        <v>-1530</v>
      </c>
      <c r="M695" s="116">
        <f t="shared" si="10"/>
        <v>-1.53</v>
      </c>
    </row>
    <row r="696" spans="1:13" hidden="1" x14ac:dyDescent="0.35">
      <c r="A696" s="112" t="s">
        <v>1814</v>
      </c>
      <c r="B696" s="112" t="s">
        <v>906</v>
      </c>
      <c r="C696" s="112" t="s">
        <v>695</v>
      </c>
      <c r="D696" s="113">
        <v>10347981</v>
      </c>
      <c r="E696" s="115">
        <v>43924</v>
      </c>
      <c r="F696" s="114">
        <v>202101</v>
      </c>
      <c r="G696" s="112" t="s">
        <v>1091</v>
      </c>
      <c r="H696" s="112" t="s">
        <v>1015</v>
      </c>
      <c r="I696" s="112" t="s">
        <v>745</v>
      </c>
      <c r="J696" s="112" t="s">
        <v>1815</v>
      </c>
      <c r="K696" s="112" t="s">
        <v>2213</v>
      </c>
      <c r="L696" s="116">
        <v>-450</v>
      </c>
      <c r="M696" s="116">
        <f t="shared" si="10"/>
        <v>-0.45</v>
      </c>
    </row>
    <row r="697" spans="1:13" hidden="1" x14ac:dyDescent="0.35">
      <c r="A697" s="112" t="s">
        <v>1814</v>
      </c>
      <c r="B697" s="112" t="s">
        <v>906</v>
      </c>
      <c r="C697" s="112" t="s">
        <v>695</v>
      </c>
      <c r="D697" s="113">
        <v>10347981</v>
      </c>
      <c r="E697" s="115">
        <v>43924</v>
      </c>
      <c r="F697" s="114">
        <v>202101</v>
      </c>
      <c r="G697" s="112" t="s">
        <v>1091</v>
      </c>
      <c r="H697" s="112" t="s">
        <v>1015</v>
      </c>
      <c r="I697" s="112" t="s">
        <v>745</v>
      </c>
      <c r="J697" s="112" t="s">
        <v>1815</v>
      </c>
      <c r="K697" s="112" t="s">
        <v>2214</v>
      </c>
      <c r="L697" s="116">
        <v>-719</v>
      </c>
      <c r="M697" s="116">
        <f t="shared" si="10"/>
        <v>-0.71899999999999997</v>
      </c>
    </row>
    <row r="698" spans="1:13" hidden="1" x14ac:dyDescent="0.35">
      <c r="A698" s="112" t="s">
        <v>1814</v>
      </c>
      <c r="B698" s="112" t="s">
        <v>906</v>
      </c>
      <c r="C698" s="112" t="s">
        <v>695</v>
      </c>
      <c r="D698" s="113">
        <v>10347981</v>
      </c>
      <c r="E698" s="115">
        <v>43924</v>
      </c>
      <c r="F698" s="114">
        <v>202101</v>
      </c>
      <c r="G698" s="112" t="s">
        <v>1091</v>
      </c>
      <c r="H698" s="112" t="s">
        <v>1015</v>
      </c>
      <c r="I698" s="112" t="s">
        <v>745</v>
      </c>
      <c r="J698" s="112" t="s">
        <v>1815</v>
      </c>
      <c r="K698" s="112" t="s">
        <v>2217</v>
      </c>
      <c r="L698" s="116">
        <v>-754.48</v>
      </c>
      <c r="M698" s="116">
        <f t="shared" si="10"/>
        <v>-0.75448000000000004</v>
      </c>
    </row>
    <row r="699" spans="1:13" hidden="1" x14ac:dyDescent="0.35">
      <c r="A699" s="112" t="s">
        <v>1814</v>
      </c>
      <c r="B699" s="112" t="s">
        <v>906</v>
      </c>
      <c r="C699" s="112" t="s">
        <v>695</v>
      </c>
      <c r="D699" s="113">
        <v>10347981</v>
      </c>
      <c r="E699" s="115">
        <v>43924</v>
      </c>
      <c r="F699" s="114">
        <v>202101</v>
      </c>
      <c r="G699" s="112" t="s">
        <v>1091</v>
      </c>
      <c r="H699" s="112" t="s">
        <v>1015</v>
      </c>
      <c r="I699" s="112" t="s">
        <v>745</v>
      </c>
      <c r="J699" s="112" t="s">
        <v>1815</v>
      </c>
      <c r="K699" s="112" t="s">
        <v>2218</v>
      </c>
      <c r="L699" s="116">
        <v>-306.89</v>
      </c>
      <c r="M699" s="116">
        <f t="shared" si="10"/>
        <v>-0.30689</v>
      </c>
    </row>
    <row r="700" spans="1:13" hidden="1" x14ac:dyDescent="0.35">
      <c r="A700" s="112" t="s">
        <v>1814</v>
      </c>
      <c r="B700" s="112" t="s">
        <v>906</v>
      </c>
      <c r="C700" s="112" t="s">
        <v>695</v>
      </c>
      <c r="D700" s="113">
        <v>10347981</v>
      </c>
      <c r="E700" s="115">
        <v>43924</v>
      </c>
      <c r="F700" s="114">
        <v>202101</v>
      </c>
      <c r="G700" s="112" t="s">
        <v>1091</v>
      </c>
      <c r="H700" s="112" t="s">
        <v>1015</v>
      </c>
      <c r="I700" s="112" t="s">
        <v>745</v>
      </c>
      <c r="J700" s="112" t="s">
        <v>1815</v>
      </c>
      <c r="K700" s="112" t="s">
        <v>2219</v>
      </c>
      <c r="L700" s="116">
        <v>-252.1</v>
      </c>
      <c r="M700" s="116">
        <f t="shared" si="10"/>
        <v>-0.25209999999999999</v>
      </c>
    </row>
    <row r="701" spans="1:13" hidden="1" x14ac:dyDescent="0.35">
      <c r="A701" s="112" t="s">
        <v>1814</v>
      </c>
      <c r="B701" s="112" t="s">
        <v>906</v>
      </c>
      <c r="C701" s="112" t="s">
        <v>695</v>
      </c>
      <c r="D701" s="113">
        <v>10347981</v>
      </c>
      <c r="E701" s="115">
        <v>43924</v>
      </c>
      <c r="F701" s="114">
        <v>202101</v>
      </c>
      <c r="G701" s="112" t="s">
        <v>1091</v>
      </c>
      <c r="H701" s="112" t="s">
        <v>1015</v>
      </c>
      <c r="I701" s="112" t="s">
        <v>745</v>
      </c>
      <c r="J701" s="112" t="s">
        <v>1815</v>
      </c>
      <c r="K701" s="112" t="s">
        <v>2220</v>
      </c>
      <c r="L701" s="116">
        <v>-366.6</v>
      </c>
      <c r="M701" s="116">
        <f t="shared" si="10"/>
        <v>-0.36660000000000004</v>
      </c>
    </row>
    <row r="702" spans="1:13" hidden="1" x14ac:dyDescent="0.35">
      <c r="A702" s="112" t="s">
        <v>1814</v>
      </c>
      <c r="B702" s="112" t="s">
        <v>906</v>
      </c>
      <c r="C702" s="112" t="s">
        <v>695</v>
      </c>
      <c r="D702" s="113">
        <v>10347981</v>
      </c>
      <c r="E702" s="115">
        <v>43924</v>
      </c>
      <c r="F702" s="114">
        <v>202101</v>
      </c>
      <c r="G702" s="112" t="s">
        <v>1091</v>
      </c>
      <c r="H702" s="112" t="s">
        <v>1015</v>
      </c>
      <c r="I702" s="112" t="s">
        <v>747</v>
      </c>
      <c r="J702" s="112" t="s">
        <v>1815</v>
      </c>
      <c r="K702" s="112" t="s">
        <v>2221</v>
      </c>
      <c r="L702" s="116">
        <v>-776.63</v>
      </c>
      <c r="M702" s="116">
        <f t="shared" si="10"/>
        <v>-0.77663000000000004</v>
      </c>
    </row>
    <row r="703" spans="1:13" hidden="1" x14ac:dyDescent="0.35">
      <c r="A703" s="112" t="s">
        <v>1814</v>
      </c>
      <c r="B703" s="112" t="s">
        <v>906</v>
      </c>
      <c r="C703" s="112" t="s">
        <v>695</v>
      </c>
      <c r="D703" s="113">
        <v>10347981</v>
      </c>
      <c r="E703" s="115">
        <v>43924</v>
      </c>
      <c r="F703" s="114">
        <v>202101</v>
      </c>
      <c r="G703" s="112" t="s">
        <v>1091</v>
      </c>
      <c r="H703" s="112" t="s">
        <v>1015</v>
      </c>
      <c r="I703" s="112" t="s">
        <v>747</v>
      </c>
      <c r="J703" s="112" t="s">
        <v>1815</v>
      </c>
      <c r="K703" s="112" t="s">
        <v>2222</v>
      </c>
      <c r="L703" s="116">
        <v>-500</v>
      </c>
      <c r="M703" s="116">
        <f t="shared" si="10"/>
        <v>-0.5</v>
      </c>
    </row>
    <row r="704" spans="1:13" hidden="1" x14ac:dyDescent="0.35">
      <c r="A704" s="112" t="s">
        <v>1814</v>
      </c>
      <c r="B704" s="112" t="s">
        <v>906</v>
      </c>
      <c r="C704" s="112" t="s">
        <v>695</v>
      </c>
      <c r="D704" s="113">
        <v>10347981</v>
      </c>
      <c r="E704" s="115">
        <v>43924</v>
      </c>
      <c r="F704" s="114">
        <v>202101</v>
      </c>
      <c r="G704" s="112" t="s">
        <v>1091</v>
      </c>
      <c r="H704" s="112" t="s">
        <v>1015</v>
      </c>
      <c r="I704" s="112" t="s">
        <v>2223</v>
      </c>
      <c r="J704" s="112" t="s">
        <v>1815</v>
      </c>
      <c r="K704" s="112" t="s">
        <v>2224</v>
      </c>
      <c r="L704" s="116">
        <v>-1193</v>
      </c>
      <c r="M704" s="116">
        <f t="shared" si="10"/>
        <v>-1.1930000000000001</v>
      </c>
    </row>
    <row r="705" spans="1:13" hidden="1" x14ac:dyDescent="0.35">
      <c r="A705" s="112" t="s">
        <v>1814</v>
      </c>
      <c r="B705" s="112" t="s">
        <v>906</v>
      </c>
      <c r="C705" s="112" t="s">
        <v>695</v>
      </c>
      <c r="D705" s="113">
        <v>10347981</v>
      </c>
      <c r="E705" s="115">
        <v>43924</v>
      </c>
      <c r="F705" s="114">
        <v>202101</v>
      </c>
      <c r="G705" s="112" t="s">
        <v>1091</v>
      </c>
      <c r="H705" s="112" t="s">
        <v>1015</v>
      </c>
      <c r="I705" s="112" t="s">
        <v>745</v>
      </c>
      <c r="J705" s="112" t="s">
        <v>1815</v>
      </c>
      <c r="K705" s="112" t="s">
        <v>2225</v>
      </c>
      <c r="L705" s="116">
        <v>-250</v>
      </c>
      <c r="M705" s="116">
        <f t="shared" si="10"/>
        <v>-0.25</v>
      </c>
    </row>
    <row r="706" spans="1:13" hidden="1" x14ac:dyDescent="0.35">
      <c r="A706" s="112" t="s">
        <v>1814</v>
      </c>
      <c r="B706" s="112" t="s">
        <v>906</v>
      </c>
      <c r="C706" s="112" t="s">
        <v>695</v>
      </c>
      <c r="D706" s="113">
        <v>10347981</v>
      </c>
      <c r="E706" s="115">
        <v>43924</v>
      </c>
      <c r="F706" s="114">
        <v>202101</v>
      </c>
      <c r="G706" s="112" t="s">
        <v>1091</v>
      </c>
      <c r="H706" s="112" t="s">
        <v>1015</v>
      </c>
      <c r="I706" s="112" t="s">
        <v>745</v>
      </c>
      <c r="J706" s="112" t="s">
        <v>1815</v>
      </c>
      <c r="K706" s="112" t="s">
        <v>2226</v>
      </c>
      <c r="L706" s="116">
        <v>-400</v>
      </c>
      <c r="M706" s="116">
        <f t="shared" si="10"/>
        <v>-0.4</v>
      </c>
    </row>
    <row r="707" spans="1:13" hidden="1" x14ac:dyDescent="0.35">
      <c r="A707" s="112" t="s">
        <v>1814</v>
      </c>
      <c r="B707" s="112" t="s">
        <v>905</v>
      </c>
      <c r="C707" s="112" t="s">
        <v>695</v>
      </c>
      <c r="D707" s="113">
        <v>10347977</v>
      </c>
      <c r="E707" s="115">
        <v>43924</v>
      </c>
      <c r="F707" s="114">
        <v>202101</v>
      </c>
      <c r="G707" s="112" t="s">
        <v>1091</v>
      </c>
      <c r="H707" s="112" t="s">
        <v>1015</v>
      </c>
      <c r="I707" s="112" t="s">
        <v>751</v>
      </c>
      <c r="J707" s="112" t="s">
        <v>1822</v>
      </c>
      <c r="K707" s="112" t="s">
        <v>2227</v>
      </c>
      <c r="L707" s="116">
        <v>-131</v>
      </c>
      <c r="M707" s="116">
        <f t="shared" ref="M707:M770" si="11">L707/1000</f>
        <v>-0.13100000000000001</v>
      </c>
    </row>
    <row r="708" spans="1:13" hidden="1" x14ac:dyDescent="0.35">
      <c r="A708" s="112" t="s">
        <v>1814</v>
      </c>
      <c r="B708" s="112" t="s">
        <v>905</v>
      </c>
      <c r="C708" s="112" t="s">
        <v>695</v>
      </c>
      <c r="D708" s="113">
        <v>10347977</v>
      </c>
      <c r="E708" s="115">
        <v>43924</v>
      </c>
      <c r="F708" s="114">
        <v>202101</v>
      </c>
      <c r="G708" s="112" t="s">
        <v>1091</v>
      </c>
      <c r="H708" s="112" t="s">
        <v>1015</v>
      </c>
      <c r="I708" s="112" t="s">
        <v>757</v>
      </c>
      <c r="J708" s="112" t="s">
        <v>1822</v>
      </c>
      <c r="K708" s="112" t="s">
        <v>2228</v>
      </c>
      <c r="L708" s="116">
        <v>-111</v>
      </c>
      <c r="M708" s="116">
        <f t="shared" si="11"/>
        <v>-0.111</v>
      </c>
    </row>
    <row r="709" spans="1:13" hidden="1" x14ac:dyDescent="0.35">
      <c r="A709" s="112" t="s">
        <v>1814</v>
      </c>
      <c r="B709" s="112" t="s">
        <v>906</v>
      </c>
      <c r="C709" s="112" t="s">
        <v>695</v>
      </c>
      <c r="D709" s="113">
        <v>10347948</v>
      </c>
      <c r="E709" s="115">
        <v>43923</v>
      </c>
      <c r="F709" s="114">
        <v>202101</v>
      </c>
      <c r="G709" s="112" t="s">
        <v>1091</v>
      </c>
      <c r="H709" s="112" t="s">
        <v>1015</v>
      </c>
      <c r="I709" s="112" t="s">
        <v>813</v>
      </c>
      <c r="J709" s="112" t="s">
        <v>1815</v>
      </c>
      <c r="K709" s="112" t="s">
        <v>1905</v>
      </c>
      <c r="L709" s="116">
        <v>-128.83000000000001</v>
      </c>
      <c r="M709" s="116">
        <f t="shared" si="11"/>
        <v>-0.12883</v>
      </c>
    </row>
    <row r="710" spans="1:13" hidden="1" x14ac:dyDescent="0.35">
      <c r="A710" s="112" t="s">
        <v>1814</v>
      </c>
      <c r="B710" s="112" t="s">
        <v>905</v>
      </c>
      <c r="C710" s="112" t="s">
        <v>695</v>
      </c>
      <c r="D710" s="113">
        <v>10347977</v>
      </c>
      <c r="E710" s="115">
        <v>43924</v>
      </c>
      <c r="F710" s="114">
        <v>202101</v>
      </c>
      <c r="G710" s="112" t="s">
        <v>1091</v>
      </c>
      <c r="H710" s="112" t="s">
        <v>1015</v>
      </c>
      <c r="I710" s="112" t="s">
        <v>751</v>
      </c>
      <c r="J710" s="112" t="s">
        <v>1822</v>
      </c>
      <c r="K710" s="112" t="s">
        <v>2257</v>
      </c>
      <c r="L710" s="116">
        <v>-54</v>
      </c>
      <c r="M710" s="116">
        <f t="shared" si="11"/>
        <v>-5.3999999999999999E-2</v>
      </c>
    </row>
    <row r="711" spans="1:13" hidden="1" x14ac:dyDescent="0.35">
      <c r="A711" s="112" t="s">
        <v>1814</v>
      </c>
      <c r="B711" s="112" t="s">
        <v>905</v>
      </c>
      <c r="C711" s="112" t="s">
        <v>695</v>
      </c>
      <c r="D711" s="113">
        <v>10348547</v>
      </c>
      <c r="E711" s="115">
        <v>43952</v>
      </c>
      <c r="F711" s="114">
        <v>202101</v>
      </c>
      <c r="G711" s="112" t="s">
        <v>1091</v>
      </c>
      <c r="H711" s="112" t="s">
        <v>1015</v>
      </c>
      <c r="I711" s="112" t="s">
        <v>1950</v>
      </c>
      <c r="J711" s="112" t="s">
        <v>1839</v>
      </c>
      <c r="K711" s="112" t="s">
        <v>2258</v>
      </c>
      <c r="L711" s="116">
        <v>4107.84</v>
      </c>
      <c r="M711" s="116">
        <f t="shared" si="11"/>
        <v>4.1078400000000004</v>
      </c>
    </row>
    <row r="712" spans="1:13" hidden="1" x14ac:dyDescent="0.35">
      <c r="A712" s="112" t="s">
        <v>1814</v>
      </c>
      <c r="B712" s="112" t="s">
        <v>905</v>
      </c>
      <c r="C712" s="112" t="s">
        <v>695</v>
      </c>
      <c r="D712" s="113">
        <v>10348547</v>
      </c>
      <c r="E712" s="115">
        <v>43952</v>
      </c>
      <c r="F712" s="114">
        <v>202101</v>
      </c>
      <c r="G712" s="112" t="s">
        <v>1091</v>
      </c>
      <c r="H712" s="112" t="s">
        <v>1015</v>
      </c>
      <c r="I712" s="112" t="s">
        <v>1950</v>
      </c>
      <c r="J712" s="112" t="s">
        <v>1839</v>
      </c>
      <c r="K712" s="112" t="s">
        <v>2259</v>
      </c>
      <c r="L712" s="116">
        <v>-1157.04</v>
      </c>
      <c r="M712" s="116">
        <f t="shared" si="11"/>
        <v>-1.1570400000000001</v>
      </c>
    </row>
    <row r="713" spans="1:13" hidden="1" x14ac:dyDescent="0.35">
      <c r="A713" s="112" t="s">
        <v>1814</v>
      </c>
      <c r="B713" s="112" t="s">
        <v>905</v>
      </c>
      <c r="C713" s="112" t="s">
        <v>695</v>
      </c>
      <c r="D713" s="113">
        <v>10348547</v>
      </c>
      <c r="E713" s="115">
        <v>43952</v>
      </c>
      <c r="F713" s="114">
        <v>202101</v>
      </c>
      <c r="G713" s="112" t="s">
        <v>1091</v>
      </c>
      <c r="H713" s="112" t="s">
        <v>1015</v>
      </c>
      <c r="I713" s="112" t="s">
        <v>1950</v>
      </c>
      <c r="J713" s="112" t="s">
        <v>1839</v>
      </c>
      <c r="K713" s="112" t="s">
        <v>2259</v>
      </c>
      <c r="L713" s="116">
        <v>-49143.9</v>
      </c>
      <c r="M713" s="116">
        <f t="shared" si="11"/>
        <v>-49.143900000000002</v>
      </c>
    </row>
    <row r="714" spans="1:13" hidden="1" x14ac:dyDescent="0.35">
      <c r="A714" s="112" t="s">
        <v>1814</v>
      </c>
      <c r="B714" s="112" t="s">
        <v>905</v>
      </c>
      <c r="C714" s="112" t="s">
        <v>695</v>
      </c>
      <c r="D714" s="113">
        <v>10348547</v>
      </c>
      <c r="E714" s="115">
        <v>43952</v>
      </c>
      <c r="F714" s="114">
        <v>202101</v>
      </c>
      <c r="G714" s="112" t="s">
        <v>1091</v>
      </c>
      <c r="H714" s="112" t="s">
        <v>1015</v>
      </c>
      <c r="I714" s="112" t="s">
        <v>1950</v>
      </c>
      <c r="J714" s="112" t="s">
        <v>1839</v>
      </c>
      <c r="K714" s="112" t="s">
        <v>2260</v>
      </c>
      <c r="L714" s="116">
        <v>1157.04</v>
      </c>
      <c r="M714" s="116">
        <f t="shared" si="11"/>
        <v>1.1570400000000001</v>
      </c>
    </row>
    <row r="715" spans="1:13" hidden="1" x14ac:dyDescent="0.35">
      <c r="A715" s="112" t="s">
        <v>1814</v>
      </c>
      <c r="B715" s="112" t="s">
        <v>905</v>
      </c>
      <c r="C715" s="112" t="s">
        <v>695</v>
      </c>
      <c r="D715" s="113">
        <v>10348547</v>
      </c>
      <c r="E715" s="115">
        <v>43952</v>
      </c>
      <c r="F715" s="114">
        <v>202101</v>
      </c>
      <c r="G715" s="112" t="s">
        <v>1091</v>
      </c>
      <c r="H715" s="112" t="s">
        <v>1015</v>
      </c>
      <c r="I715" s="112" t="s">
        <v>1950</v>
      </c>
      <c r="J715" s="112" t="s">
        <v>1839</v>
      </c>
      <c r="K715" s="112" t="s">
        <v>2260</v>
      </c>
      <c r="L715" s="116">
        <v>49143.9</v>
      </c>
      <c r="M715" s="116">
        <f t="shared" si="11"/>
        <v>49.143900000000002</v>
      </c>
    </row>
    <row r="716" spans="1:13" hidden="1" x14ac:dyDescent="0.35">
      <c r="A716" s="112" t="s">
        <v>1814</v>
      </c>
      <c r="B716" s="112" t="s">
        <v>905</v>
      </c>
      <c r="C716" s="112" t="s">
        <v>695</v>
      </c>
      <c r="D716" s="113">
        <v>10347977</v>
      </c>
      <c r="E716" s="115">
        <v>43924</v>
      </c>
      <c r="F716" s="114">
        <v>202101</v>
      </c>
      <c r="G716" s="112" t="s">
        <v>1091</v>
      </c>
      <c r="H716" s="112" t="s">
        <v>1015</v>
      </c>
      <c r="I716" s="112" t="s">
        <v>749</v>
      </c>
      <c r="J716" s="112" t="s">
        <v>1822</v>
      </c>
      <c r="K716" s="112" t="s">
        <v>2261</v>
      </c>
      <c r="L716" s="116">
        <v>-114</v>
      </c>
      <c r="M716" s="116">
        <f t="shared" si="11"/>
        <v>-0.114</v>
      </c>
    </row>
    <row r="717" spans="1:13" hidden="1" x14ac:dyDescent="0.35">
      <c r="A717" s="112" t="s">
        <v>1814</v>
      </c>
      <c r="B717" s="112" t="s">
        <v>906</v>
      </c>
      <c r="C717" s="112" t="s">
        <v>695</v>
      </c>
      <c r="D717" s="113">
        <v>10347948</v>
      </c>
      <c r="E717" s="115">
        <v>43923</v>
      </c>
      <c r="F717" s="114">
        <v>202101</v>
      </c>
      <c r="G717" s="112" t="s">
        <v>1091</v>
      </c>
      <c r="H717" s="112" t="s">
        <v>1015</v>
      </c>
      <c r="I717" s="112" t="s">
        <v>813</v>
      </c>
      <c r="J717" s="112" t="s">
        <v>1815</v>
      </c>
      <c r="K717" s="112" t="s">
        <v>1830</v>
      </c>
      <c r="L717" s="116">
        <v>-2499.2800000000002</v>
      </c>
      <c r="M717" s="116">
        <f t="shared" si="11"/>
        <v>-2.4992800000000002</v>
      </c>
    </row>
    <row r="718" spans="1:13" hidden="1" x14ac:dyDescent="0.35">
      <c r="A718" s="112" t="s">
        <v>1814</v>
      </c>
      <c r="B718" s="112" t="s">
        <v>906</v>
      </c>
      <c r="C718" s="112" t="s">
        <v>695</v>
      </c>
      <c r="D718" s="113">
        <v>10347954</v>
      </c>
      <c r="E718" s="115">
        <v>43923</v>
      </c>
      <c r="F718" s="114">
        <v>202101</v>
      </c>
      <c r="G718" s="112" t="s">
        <v>1091</v>
      </c>
      <c r="H718" s="112" t="s">
        <v>1015</v>
      </c>
      <c r="I718" s="112" t="s">
        <v>813</v>
      </c>
      <c r="J718" s="112" t="s">
        <v>1815</v>
      </c>
      <c r="K718" s="112" t="s">
        <v>1836</v>
      </c>
      <c r="L718" s="116">
        <v>-267.68</v>
      </c>
      <c r="M718" s="116">
        <f t="shared" si="11"/>
        <v>-0.26768000000000003</v>
      </c>
    </row>
    <row r="719" spans="1:13" hidden="1" x14ac:dyDescent="0.35">
      <c r="A719" s="112" t="s">
        <v>1814</v>
      </c>
      <c r="B719" s="112" t="s">
        <v>906</v>
      </c>
      <c r="C719" s="112" t="s">
        <v>695</v>
      </c>
      <c r="D719" s="113">
        <v>10347954</v>
      </c>
      <c r="E719" s="115">
        <v>43923</v>
      </c>
      <c r="F719" s="114">
        <v>202101</v>
      </c>
      <c r="G719" s="112" t="s">
        <v>1091</v>
      </c>
      <c r="H719" s="112" t="s">
        <v>1015</v>
      </c>
      <c r="I719" s="112" t="s">
        <v>813</v>
      </c>
      <c r="J719" s="112" t="s">
        <v>1815</v>
      </c>
      <c r="K719" s="112" t="s">
        <v>2262</v>
      </c>
      <c r="L719" s="116">
        <v>-3931.09</v>
      </c>
      <c r="M719" s="116">
        <f t="shared" si="11"/>
        <v>-3.9310900000000002</v>
      </c>
    </row>
    <row r="720" spans="1:13" hidden="1" x14ac:dyDescent="0.35">
      <c r="A720" s="112" t="s">
        <v>1814</v>
      </c>
      <c r="B720" s="112" t="s">
        <v>906</v>
      </c>
      <c r="C720" s="112" t="s">
        <v>695</v>
      </c>
      <c r="D720" s="113">
        <v>10347954</v>
      </c>
      <c r="E720" s="115">
        <v>43923</v>
      </c>
      <c r="F720" s="114">
        <v>202101</v>
      </c>
      <c r="G720" s="112" t="s">
        <v>1091</v>
      </c>
      <c r="H720" s="112" t="s">
        <v>1015</v>
      </c>
      <c r="I720" s="112" t="s">
        <v>813</v>
      </c>
      <c r="J720" s="112" t="s">
        <v>1815</v>
      </c>
      <c r="K720" s="112" t="s">
        <v>1833</v>
      </c>
      <c r="L720" s="116">
        <v>-376.11</v>
      </c>
      <c r="M720" s="116">
        <f t="shared" si="11"/>
        <v>-0.37611</v>
      </c>
    </row>
    <row r="721" spans="1:13" hidden="1" x14ac:dyDescent="0.35">
      <c r="A721" s="112" t="s">
        <v>1814</v>
      </c>
      <c r="B721" s="112" t="s">
        <v>906</v>
      </c>
      <c r="C721" s="112" t="s">
        <v>695</v>
      </c>
      <c r="D721" s="113">
        <v>10347954</v>
      </c>
      <c r="E721" s="115">
        <v>43923</v>
      </c>
      <c r="F721" s="114">
        <v>202101</v>
      </c>
      <c r="G721" s="112" t="s">
        <v>1091</v>
      </c>
      <c r="H721" s="112" t="s">
        <v>1015</v>
      </c>
      <c r="I721" s="112" t="s">
        <v>813</v>
      </c>
      <c r="J721" s="112" t="s">
        <v>1815</v>
      </c>
      <c r="K721" s="112" t="s">
        <v>2265</v>
      </c>
      <c r="L721" s="116">
        <v>-97.25</v>
      </c>
      <c r="M721" s="116">
        <f t="shared" si="11"/>
        <v>-9.7250000000000003E-2</v>
      </c>
    </row>
    <row r="722" spans="1:13" hidden="1" x14ac:dyDescent="0.35">
      <c r="A722" s="112" t="s">
        <v>1814</v>
      </c>
      <c r="B722" s="112" t="s">
        <v>906</v>
      </c>
      <c r="C722" s="112" t="s">
        <v>695</v>
      </c>
      <c r="D722" s="113">
        <v>10347954</v>
      </c>
      <c r="E722" s="115">
        <v>43923</v>
      </c>
      <c r="F722" s="114">
        <v>202101</v>
      </c>
      <c r="G722" s="112" t="s">
        <v>1091</v>
      </c>
      <c r="H722" s="112" t="s">
        <v>1015</v>
      </c>
      <c r="I722" s="112" t="s">
        <v>813</v>
      </c>
      <c r="J722" s="112" t="s">
        <v>1815</v>
      </c>
      <c r="K722" s="112" t="s">
        <v>1830</v>
      </c>
      <c r="L722" s="116">
        <v>-119.99</v>
      </c>
      <c r="M722" s="116">
        <f t="shared" si="11"/>
        <v>-0.11999</v>
      </c>
    </row>
    <row r="723" spans="1:13" hidden="1" x14ac:dyDescent="0.35">
      <c r="A723" s="112" t="s">
        <v>1814</v>
      </c>
      <c r="B723" s="112" t="s">
        <v>906</v>
      </c>
      <c r="C723" s="112" t="s">
        <v>695</v>
      </c>
      <c r="D723" s="113">
        <v>10347954</v>
      </c>
      <c r="E723" s="115">
        <v>43923</v>
      </c>
      <c r="F723" s="114">
        <v>202101</v>
      </c>
      <c r="G723" s="112" t="s">
        <v>1091</v>
      </c>
      <c r="H723" s="112" t="s">
        <v>1015</v>
      </c>
      <c r="I723" s="112" t="s">
        <v>813</v>
      </c>
      <c r="J723" s="112" t="s">
        <v>1815</v>
      </c>
      <c r="K723" s="112" t="s">
        <v>1110</v>
      </c>
      <c r="L723" s="116">
        <v>-1126.53</v>
      </c>
      <c r="M723" s="116">
        <f t="shared" si="11"/>
        <v>-1.12653</v>
      </c>
    </row>
    <row r="724" spans="1:13" hidden="1" x14ac:dyDescent="0.35">
      <c r="A724" s="112" t="s">
        <v>1814</v>
      </c>
      <c r="B724" s="112" t="s">
        <v>906</v>
      </c>
      <c r="C724" s="112" t="s">
        <v>695</v>
      </c>
      <c r="D724" s="113">
        <v>10347954</v>
      </c>
      <c r="E724" s="115">
        <v>43923</v>
      </c>
      <c r="F724" s="114">
        <v>202101</v>
      </c>
      <c r="G724" s="112" t="s">
        <v>1091</v>
      </c>
      <c r="H724" s="112" t="s">
        <v>1015</v>
      </c>
      <c r="I724" s="112" t="s">
        <v>813</v>
      </c>
      <c r="J724" s="112" t="s">
        <v>1815</v>
      </c>
      <c r="K724" s="112" t="s">
        <v>1833</v>
      </c>
      <c r="L724" s="116">
        <v>-4907.53</v>
      </c>
      <c r="M724" s="116">
        <f t="shared" si="11"/>
        <v>-4.9075299999999995</v>
      </c>
    </row>
    <row r="725" spans="1:13" hidden="1" x14ac:dyDescent="0.35">
      <c r="A725" s="112" t="s">
        <v>1814</v>
      </c>
      <c r="B725" s="112" t="s">
        <v>906</v>
      </c>
      <c r="C725" s="112" t="s">
        <v>695</v>
      </c>
      <c r="D725" s="113">
        <v>10347954</v>
      </c>
      <c r="E725" s="115">
        <v>43923</v>
      </c>
      <c r="F725" s="114">
        <v>202101</v>
      </c>
      <c r="G725" s="112" t="s">
        <v>1091</v>
      </c>
      <c r="H725" s="112" t="s">
        <v>1015</v>
      </c>
      <c r="I725" s="112" t="s">
        <v>813</v>
      </c>
      <c r="J725" s="112" t="s">
        <v>1815</v>
      </c>
      <c r="K725" s="112" t="s">
        <v>2266</v>
      </c>
      <c r="L725" s="116">
        <v>-550.44000000000005</v>
      </c>
      <c r="M725" s="116">
        <f t="shared" si="11"/>
        <v>-0.55044000000000004</v>
      </c>
    </row>
    <row r="726" spans="1:13" hidden="1" x14ac:dyDescent="0.35">
      <c r="A726" s="112" t="s">
        <v>1814</v>
      </c>
      <c r="B726" s="112" t="s">
        <v>906</v>
      </c>
      <c r="C726" s="112" t="s">
        <v>695</v>
      </c>
      <c r="D726" s="113">
        <v>10347954</v>
      </c>
      <c r="E726" s="115">
        <v>43923</v>
      </c>
      <c r="F726" s="114">
        <v>202101</v>
      </c>
      <c r="G726" s="112" t="s">
        <v>1091</v>
      </c>
      <c r="H726" s="112" t="s">
        <v>1015</v>
      </c>
      <c r="I726" s="112" t="s">
        <v>813</v>
      </c>
      <c r="J726" s="112" t="s">
        <v>1815</v>
      </c>
      <c r="K726" s="112" t="s">
        <v>1836</v>
      </c>
      <c r="L726" s="116">
        <v>-965.72</v>
      </c>
      <c r="M726" s="116">
        <f t="shared" si="11"/>
        <v>-0.96572000000000002</v>
      </c>
    </row>
    <row r="727" spans="1:13" hidden="1" x14ac:dyDescent="0.35">
      <c r="A727" s="112" t="s">
        <v>1814</v>
      </c>
      <c r="B727" s="112" t="s">
        <v>906</v>
      </c>
      <c r="C727" s="112" t="s">
        <v>695</v>
      </c>
      <c r="D727" s="113">
        <v>10347954</v>
      </c>
      <c r="E727" s="115">
        <v>43923</v>
      </c>
      <c r="F727" s="114">
        <v>202101</v>
      </c>
      <c r="G727" s="112" t="s">
        <v>1091</v>
      </c>
      <c r="H727" s="112" t="s">
        <v>1015</v>
      </c>
      <c r="I727" s="112" t="s">
        <v>813</v>
      </c>
      <c r="J727" s="112" t="s">
        <v>1815</v>
      </c>
      <c r="K727" s="112" t="s">
        <v>2267</v>
      </c>
      <c r="L727" s="116">
        <v>-235.18</v>
      </c>
      <c r="M727" s="116">
        <f t="shared" si="11"/>
        <v>-0.23518</v>
      </c>
    </row>
    <row r="728" spans="1:13" hidden="1" x14ac:dyDescent="0.35">
      <c r="A728" s="112" t="s">
        <v>1814</v>
      </c>
      <c r="B728" s="112" t="s">
        <v>906</v>
      </c>
      <c r="C728" s="112" t="s">
        <v>695</v>
      </c>
      <c r="D728" s="113">
        <v>10347954</v>
      </c>
      <c r="E728" s="115">
        <v>43923</v>
      </c>
      <c r="F728" s="114">
        <v>202101</v>
      </c>
      <c r="G728" s="112" t="s">
        <v>1091</v>
      </c>
      <c r="H728" s="112" t="s">
        <v>1015</v>
      </c>
      <c r="I728" s="112" t="s">
        <v>813</v>
      </c>
      <c r="J728" s="112" t="s">
        <v>1815</v>
      </c>
      <c r="K728" s="112" t="s">
        <v>2268</v>
      </c>
      <c r="L728" s="116">
        <v>-58.08</v>
      </c>
      <c r="M728" s="116">
        <f t="shared" si="11"/>
        <v>-5.808E-2</v>
      </c>
    </row>
    <row r="729" spans="1:13" hidden="1" x14ac:dyDescent="0.35">
      <c r="A729" s="112" t="s">
        <v>1814</v>
      </c>
      <c r="B729" s="112" t="s">
        <v>906</v>
      </c>
      <c r="C729" s="112" t="s">
        <v>695</v>
      </c>
      <c r="D729" s="113">
        <v>10347954</v>
      </c>
      <c r="E729" s="115">
        <v>43923</v>
      </c>
      <c r="F729" s="114">
        <v>202101</v>
      </c>
      <c r="G729" s="112" t="s">
        <v>1091</v>
      </c>
      <c r="H729" s="112" t="s">
        <v>1015</v>
      </c>
      <c r="I729" s="112" t="s">
        <v>813</v>
      </c>
      <c r="J729" s="112" t="s">
        <v>1815</v>
      </c>
      <c r="K729" s="112" t="s">
        <v>2269</v>
      </c>
      <c r="L729" s="116">
        <v>-1904.89</v>
      </c>
      <c r="M729" s="116">
        <f t="shared" si="11"/>
        <v>-1.9048900000000002</v>
      </c>
    </row>
    <row r="730" spans="1:13" hidden="1" x14ac:dyDescent="0.35">
      <c r="A730" s="112" t="s">
        <v>1814</v>
      </c>
      <c r="B730" s="112" t="s">
        <v>906</v>
      </c>
      <c r="C730" s="112" t="s">
        <v>695</v>
      </c>
      <c r="D730" s="113">
        <v>10347954</v>
      </c>
      <c r="E730" s="115">
        <v>43923</v>
      </c>
      <c r="F730" s="114">
        <v>202101</v>
      </c>
      <c r="G730" s="112" t="s">
        <v>1091</v>
      </c>
      <c r="H730" s="112" t="s">
        <v>1015</v>
      </c>
      <c r="I730" s="112" t="s">
        <v>813</v>
      </c>
      <c r="J730" s="112" t="s">
        <v>1815</v>
      </c>
      <c r="K730" s="112" t="s">
        <v>1836</v>
      </c>
      <c r="L730" s="116">
        <v>-314.17</v>
      </c>
      <c r="M730" s="116">
        <f t="shared" si="11"/>
        <v>-0.31417</v>
      </c>
    </row>
    <row r="731" spans="1:13" hidden="1" x14ac:dyDescent="0.35">
      <c r="A731" s="112" t="s">
        <v>1814</v>
      </c>
      <c r="B731" s="112" t="s">
        <v>906</v>
      </c>
      <c r="C731" s="112" t="s">
        <v>695</v>
      </c>
      <c r="D731" s="113">
        <v>10347954</v>
      </c>
      <c r="E731" s="115">
        <v>43923</v>
      </c>
      <c r="F731" s="114">
        <v>202101</v>
      </c>
      <c r="G731" s="112" t="s">
        <v>1091</v>
      </c>
      <c r="H731" s="112" t="s">
        <v>1015</v>
      </c>
      <c r="I731" s="112" t="s">
        <v>813</v>
      </c>
      <c r="J731" s="112" t="s">
        <v>1815</v>
      </c>
      <c r="K731" s="112" t="s">
        <v>1891</v>
      </c>
      <c r="L731" s="116">
        <v>-159.80000000000001</v>
      </c>
      <c r="M731" s="116">
        <f t="shared" si="11"/>
        <v>-0.1598</v>
      </c>
    </row>
    <row r="732" spans="1:13" hidden="1" x14ac:dyDescent="0.35">
      <c r="A732" s="112" t="s">
        <v>1814</v>
      </c>
      <c r="B732" s="112" t="s">
        <v>906</v>
      </c>
      <c r="C732" s="112" t="s">
        <v>695</v>
      </c>
      <c r="D732" s="113">
        <v>10347954</v>
      </c>
      <c r="E732" s="115">
        <v>43923</v>
      </c>
      <c r="F732" s="114">
        <v>202101</v>
      </c>
      <c r="G732" s="112" t="s">
        <v>1091</v>
      </c>
      <c r="H732" s="112" t="s">
        <v>1015</v>
      </c>
      <c r="I732" s="112" t="s">
        <v>759</v>
      </c>
      <c r="J732" s="112" t="s">
        <v>1815</v>
      </c>
      <c r="K732" s="112" t="s">
        <v>1110</v>
      </c>
      <c r="L732" s="116">
        <v>-1.86</v>
      </c>
      <c r="M732" s="116">
        <f t="shared" si="11"/>
        <v>-1.8600000000000001E-3</v>
      </c>
    </row>
    <row r="733" spans="1:13" hidden="1" x14ac:dyDescent="0.35">
      <c r="A733" s="112" t="s">
        <v>1814</v>
      </c>
      <c r="B733" s="112" t="s">
        <v>906</v>
      </c>
      <c r="C733" s="112" t="s">
        <v>695</v>
      </c>
      <c r="D733" s="113">
        <v>10348237</v>
      </c>
      <c r="E733" s="115">
        <v>43936</v>
      </c>
      <c r="F733" s="114">
        <v>202101</v>
      </c>
      <c r="G733" s="112" t="s">
        <v>1091</v>
      </c>
      <c r="H733" s="112" t="s">
        <v>1016</v>
      </c>
      <c r="I733" s="112" t="s">
        <v>1131</v>
      </c>
      <c r="J733" s="112" t="s">
        <v>1815</v>
      </c>
      <c r="K733" s="112" t="s">
        <v>2270</v>
      </c>
      <c r="L733" s="116">
        <v>14195.57</v>
      </c>
      <c r="M733" s="116">
        <f t="shared" si="11"/>
        <v>14.19557</v>
      </c>
    </row>
    <row r="734" spans="1:13" hidden="1" x14ac:dyDescent="0.35">
      <c r="A734" s="112" t="s">
        <v>1814</v>
      </c>
      <c r="B734" s="112" t="s">
        <v>906</v>
      </c>
      <c r="C734" s="112" t="s">
        <v>695</v>
      </c>
      <c r="D734" s="113">
        <v>10347956</v>
      </c>
      <c r="E734" s="115">
        <v>43923</v>
      </c>
      <c r="F734" s="114">
        <v>202101</v>
      </c>
      <c r="G734" s="112" t="s">
        <v>1091</v>
      </c>
      <c r="H734" s="112" t="s">
        <v>1015</v>
      </c>
      <c r="I734" s="112" t="s">
        <v>817</v>
      </c>
      <c r="J734" s="112" t="s">
        <v>1815</v>
      </c>
      <c r="K734" s="112" t="s">
        <v>2273</v>
      </c>
      <c r="L734" s="116">
        <v>-185.85</v>
      </c>
      <c r="M734" s="116">
        <f t="shared" si="11"/>
        <v>-0.18584999999999999</v>
      </c>
    </row>
    <row r="735" spans="1:13" hidden="1" x14ac:dyDescent="0.35">
      <c r="A735" s="112" t="s">
        <v>1814</v>
      </c>
      <c r="B735" s="112" t="s">
        <v>906</v>
      </c>
      <c r="C735" s="112" t="s">
        <v>695</v>
      </c>
      <c r="D735" s="113">
        <v>10347956</v>
      </c>
      <c r="E735" s="115">
        <v>43923</v>
      </c>
      <c r="F735" s="114">
        <v>202101</v>
      </c>
      <c r="G735" s="112" t="s">
        <v>1091</v>
      </c>
      <c r="H735" s="112" t="s">
        <v>1015</v>
      </c>
      <c r="I735" s="112" t="s">
        <v>817</v>
      </c>
      <c r="J735" s="112" t="s">
        <v>1815</v>
      </c>
      <c r="K735" s="112" t="s">
        <v>1891</v>
      </c>
      <c r="L735" s="116">
        <v>-128.51</v>
      </c>
      <c r="M735" s="116">
        <f t="shared" si="11"/>
        <v>-0.12850999999999999</v>
      </c>
    </row>
    <row r="736" spans="1:13" hidden="1" x14ac:dyDescent="0.35">
      <c r="A736" s="112" t="s">
        <v>1814</v>
      </c>
      <c r="B736" s="112" t="s">
        <v>906</v>
      </c>
      <c r="C736" s="112" t="s">
        <v>695</v>
      </c>
      <c r="D736" s="113">
        <v>10347956</v>
      </c>
      <c r="E736" s="115">
        <v>43923</v>
      </c>
      <c r="F736" s="114">
        <v>202101</v>
      </c>
      <c r="G736" s="112" t="s">
        <v>1091</v>
      </c>
      <c r="H736" s="112" t="s">
        <v>1015</v>
      </c>
      <c r="I736" s="112" t="s">
        <v>817</v>
      </c>
      <c r="J736" s="112" t="s">
        <v>1815</v>
      </c>
      <c r="K736" s="112" t="s">
        <v>1110</v>
      </c>
      <c r="L736" s="116">
        <v>-1136.97</v>
      </c>
      <c r="M736" s="116">
        <f t="shared" si="11"/>
        <v>-1.13697</v>
      </c>
    </row>
    <row r="737" spans="1:13" hidden="1" x14ac:dyDescent="0.35">
      <c r="A737" s="112" t="s">
        <v>1814</v>
      </c>
      <c r="B737" s="112" t="s">
        <v>906</v>
      </c>
      <c r="C737" s="112" t="s">
        <v>695</v>
      </c>
      <c r="D737" s="113">
        <v>10347956</v>
      </c>
      <c r="E737" s="115">
        <v>43923</v>
      </c>
      <c r="F737" s="114">
        <v>202101</v>
      </c>
      <c r="G737" s="112" t="s">
        <v>1091</v>
      </c>
      <c r="H737" s="112" t="s">
        <v>1015</v>
      </c>
      <c r="I737" s="112" t="s">
        <v>759</v>
      </c>
      <c r="J737" s="112" t="s">
        <v>1815</v>
      </c>
      <c r="K737" s="112" t="s">
        <v>2276</v>
      </c>
      <c r="L737" s="116">
        <v>-257.25</v>
      </c>
      <c r="M737" s="116">
        <f t="shared" si="11"/>
        <v>-0.25724999999999998</v>
      </c>
    </row>
    <row r="738" spans="1:13" hidden="1" x14ac:dyDescent="0.35">
      <c r="A738" s="112" t="s">
        <v>1814</v>
      </c>
      <c r="B738" s="112" t="s">
        <v>906</v>
      </c>
      <c r="C738" s="112" t="s">
        <v>695</v>
      </c>
      <c r="D738" s="113">
        <v>10347956</v>
      </c>
      <c r="E738" s="115">
        <v>43923</v>
      </c>
      <c r="F738" s="114">
        <v>202101</v>
      </c>
      <c r="G738" s="112" t="s">
        <v>1091</v>
      </c>
      <c r="H738" s="112" t="s">
        <v>1015</v>
      </c>
      <c r="I738" s="112" t="s">
        <v>759</v>
      </c>
      <c r="J738" s="112" t="s">
        <v>1815</v>
      </c>
      <c r="K738" s="112" t="s">
        <v>2277</v>
      </c>
      <c r="L738" s="116">
        <v>-117.33</v>
      </c>
      <c r="M738" s="116">
        <f t="shared" si="11"/>
        <v>-0.11733</v>
      </c>
    </row>
    <row r="739" spans="1:13" hidden="1" x14ac:dyDescent="0.35">
      <c r="A739" s="112" t="s">
        <v>1814</v>
      </c>
      <c r="B739" s="112" t="s">
        <v>906</v>
      </c>
      <c r="C739" s="112" t="s">
        <v>695</v>
      </c>
      <c r="D739" s="113">
        <v>10347956</v>
      </c>
      <c r="E739" s="115">
        <v>43923</v>
      </c>
      <c r="F739" s="114">
        <v>202101</v>
      </c>
      <c r="G739" s="112" t="s">
        <v>1091</v>
      </c>
      <c r="H739" s="112" t="s">
        <v>1015</v>
      </c>
      <c r="I739" s="112" t="s">
        <v>817</v>
      </c>
      <c r="J739" s="112" t="s">
        <v>1815</v>
      </c>
      <c r="K739" s="112" t="s">
        <v>2278</v>
      </c>
      <c r="L739" s="116">
        <v>-166.87</v>
      </c>
      <c r="M739" s="116">
        <f t="shared" si="11"/>
        <v>-0.16687000000000002</v>
      </c>
    </row>
    <row r="740" spans="1:13" hidden="1" x14ac:dyDescent="0.35">
      <c r="A740" s="112" t="s">
        <v>1814</v>
      </c>
      <c r="B740" s="112" t="s">
        <v>906</v>
      </c>
      <c r="C740" s="112" t="s">
        <v>695</v>
      </c>
      <c r="D740" s="113">
        <v>10347956</v>
      </c>
      <c r="E740" s="115">
        <v>43923</v>
      </c>
      <c r="F740" s="114">
        <v>202101</v>
      </c>
      <c r="G740" s="112" t="s">
        <v>1091</v>
      </c>
      <c r="H740" s="112" t="s">
        <v>1015</v>
      </c>
      <c r="I740" s="112" t="s">
        <v>817</v>
      </c>
      <c r="J740" s="112" t="s">
        <v>1815</v>
      </c>
      <c r="K740" s="112" t="s">
        <v>1833</v>
      </c>
      <c r="L740" s="116">
        <v>-69.7</v>
      </c>
      <c r="M740" s="116">
        <f t="shared" si="11"/>
        <v>-6.9699999999999998E-2</v>
      </c>
    </row>
    <row r="741" spans="1:13" hidden="1" x14ac:dyDescent="0.35">
      <c r="A741" s="112" t="s">
        <v>1814</v>
      </c>
      <c r="B741" s="112" t="s">
        <v>906</v>
      </c>
      <c r="C741" s="112" t="s">
        <v>695</v>
      </c>
      <c r="D741" s="113">
        <v>10347956</v>
      </c>
      <c r="E741" s="115">
        <v>43923</v>
      </c>
      <c r="F741" s="114">
        <v>202101</v>
      </c>
      <c r="G741" s="112" t="s">
        <v>1091</v>
      </c>
      <c r="H741" s="112" t="s">
        <v>1015</v>
      </c>
      <c r="I741" s="112" t="s">
        <v>817</v>
      </c>
      <c r="J741" s="112" t="s">
        <v>1815</v>
      </c>
      <c r="K741" s="112" t="s">
        <v>1110</v>
      </c>
      <c r="L741" s="116">
        <v>-200.02</v>
      </c>
      <c r="M741" s="116">
        <f t="shared" si="11"/>
        <v>-0.20002</v>
      </c>
    </row>
    <row r="742" spans="1:13" hidden="1" x14ac:dyDescent="0.35">
      <c r="A742" s="112" t="s">
        <v>1814</v>
      </c>
      <c r="B742" s="112" t="s">
        <v>906</v>
      </c>
      <c r="C742" s="112" t="s">
        <v>695</v>
      </c>
      <c r="D742" s="113">
        <v>10347956</v>
      </c>
      <c r="E742" s="115">
        <v>43923</v>
      </c>
      <c r="F742" s="114">
        <v>202101</v>
      </c>
      <c r="G742" s="112" t="s">
        <v>1091</v>
      </c>
      <c r="H742" s="112" t="s">
        <v>1015</v>
      </c>
      <c r="I742" s="112" t="s">
        <v>813</v>
      </c>
      <c r="J742" s="112" t="s">
        <v>1815</v>
      </c>
      <c r="K742" s="112" t="s">
        <v>1824</v>
      </c>
      <c r="L742" s="116">
        <v>-129.69</v>
      </c>
      <c r="M742" s="116">
        <f t="shared" si="11"/>
        <v>-0.12969</v>
      </c>
    </row>
    <row r="743" spans="1:13" hidden="1" x14ac:dyDescent="0.35">
      <c r="A743" s="112" t="s">
        <v>1814</v>
      </c>
      <c r="B743" s="112" t="s">
        <v>906</v>
      </c>
      <c r="C743" s="112" t="s">
        <v>695</v>
      </c>
      <c r="D743" s="113">
        <v>10347956</v>
      </c>
      <c r="E743" s="115">
        <v>43923</v>
      </c>
      <c r="F743" s="114">
        <v>202101</v>
      </c>
      <c r="G743" s="112" t="s">
        <v>1091</v>
      </c>
      <c r="H743" s="112" t="s">
        <v>1015</v>
      </c>
      <c r="I743" s="112" t="s">
        <v>813</v>
      </c>
      <c r="J743" s="112" t="s">
        <v>1815</v>
      </c>
      <c r="K743" s="112" t="s">
        <v>1932</v>
      </c>
      <c r="L743" s="116">
        <v>-77.13</v>
      </c>
      <c r="M743" s="116">
        <f t="shared" si="11"/>
        <v>-7.712999999999999E-2</v>
      </c>
    </row>
    <row r="744" spans="1:13" hidden="1" x14ac:dyDescent="0.35">
      <c r="A744" s="112" t="s">
        <v>1814</v>
      </c>
      <c r="B744" s="112" t="s">
        <v>906</v>
      </c>
      <c r="C744" s="112" t="s">
        <v>695</v>
      </c>
      <c r="D744" s="113">
        <v>10347956</v>
      </c>
      <c r="E744" s="115">
        <v>43923</v>
      </c>
      <c r="F744" s="114">
        <v>202101</v>
      </c>
      <c r="G744" s="112" t="s">
        <v>1091</v>
      </c>
      <c r="H744" s="112" t="s">
        <v>1015</v>
      </c>
      <c r="I744" s="112" t="s">
        <v>813</v>
      </c>
      <c r="J744" s="112" t="s">
        <v>1815</v>
      </c>
      <c r="K744" s="112" t="s">
        <v>1836</v>
      </c>
      <c r="L744" s="116">
        <v>-116.16</v>
      </c>
      <c r="M744" s="116">
        <f t="shared" si="11"/>
        <v>-0.11616</v>
      </c>
    </row>
    <row r="745" spans="1:13" hidden="1" x14ac:dyDescent="0.35">
      <c r="A745" s="112" t="s">
        <v>1814</v>
      </c>
      <c r="B745" s="112" t="s">
        <v>906</v>
      </c>
      <c r="C745" s="112" t="s">
        <v>695</v>
      </c>
      <c r="D745" s="113">
        <v>10347956</v>
      </c>
      <c r="E745" s="115">
        <v>43923</v>
      </c>
      <c r="F745" s="114">
        <v>202101</v>
      </c>
      <c r="G745" s="112" t="s">
        <v>1091</v>
      </c>
      <c r="H745" s="112" t="s">
        <v>1015</v>
      </c>
      <c r="I745" s="112" t="s">
        <v>817</v>
      </c>
      <c r="J745" s="112" t="s">
        <v>1815</v>
      </c>
      <c r="K745" s="112" t="s">
        <v>1833</v>
      </c>
      <c r="L745" s="116">
        <v>-177.55</v>
      </c>
      <c r="M745" s="116">
        <f t="shared" si="11"/>
        <v>-0.17755000000000001</v>
      </c>
    </row>
    <row r="746" spans="1:13" hidden="1" x14ac:dyDescent="0.35">
      <c r="A746" s="112" t="s">
        <v>1814</v>
      </c>
      <c r="B746" s="112" t="s">
        <v>906</v>
      </c>
      <c r="C746" s="112" t="s">
        <v>695</v>
      </c>
      <c r="D746" s="113">
        <v>10347954</v>
      </c>
      <c r="E746" s="115">
        <v>43923</v>
      </c>
      <c r="F746" s="114">
        <v>202101</v>
      </c>
      <c r="G746" s="112" t="s">
        <v>1091</v>
      </c>
      <c r="H746" s="112" t="s">
        <v>1015</v>
      </c>
      <c r="I746" s="112" t="s">
        <v>813</v>
      </c>
      <c r="J746" s="112" t="s">
        <v>1815</v>
      </c>
      <c r="K746" s="112" t="s">
        <v>1919</v>
      </c>
      <c r="L746" s="116">
        <v>-267.17</v>
      </c>
      <c r="M746" s="116">
        <f t="shared" si="11"/>
        <v>-0.26717000000000002</v>
      </c>
    </row>
    <row r="747" spans="1:13" hidden="1" x14ac:dyDescent="0.35">
      <c r="A747" s="112" t="s">
        <v>1814</v>
      </c>
      <c r="B747" s="112" t="s">
        <v>906</v>
      </c>
      <c r="C747" s="112" t="s">
        <v>695</v>
      </c>
      <c r="D747" s="113">
        <v>10347954</v>
      </c>
      <c r="E747" s="115">
        <v>43923</v>
      </c>
      <c r="F747" s="114">
        <v>202101</v>
      </c>
      <c r="G747" s="112" t="s">
        <v>1091</v>
      </c>
      <c r="H747" s="112" t="s">
        <v>1015</v>
      </c>
      <c r="I747" s="112" t="s">
        <v>813</v>
      </c>
      <c r="J747" s="112" t="s">
        <v>1815</v>
      </c>
      <c r="K747" s="112" t="s">
        <v>1836</v>
      </c>
      <c r="L747" s="116">
        <v>-58.61</v>
      </c>
      <c r="M747" s="116">
        <f t="shared" si="11"/>
        <v>-5.8610000000000002E-2</v>
      </c>
    </row>
    <row r="748" spans="1:13" hidden="1" x14ac:dyDescent="0.35">
      <c r="A748" s="112" t="s">
        <v>1814</v>
      </c>
      <c r="B748" s="112" t="s">
        <v>906</v>
      </c>
      <c r="C748" s="112" t="s">
        <v>695</v>
      </c>
      <c r="D748" s="113">
        <v>10347954</v>
      </c>
      <c r="E748" s="115">
        <v>43923</v>
      </c>
      <c r="F748" s="114">
        <v>202101</v>
      </c>
      <c r="G748" s="112" t="s">
        <v>1091</v>
      </c>
      <c r="H748" s="112" t="s">
        <v>1015</v>
      </c>
      <c r="I748" s="112" t="s">
        <v>813</v>
      </c>
      <c r="J748" s="112" t="s">
        <v>1815</v>
      </c>
      <c r="K748" s="112" t="s">
        <v>1919</v>
      </c>
      <c r="L748" s="116">
        <v>-58.61</v>
      </c>
      <c r="M748" s="116">
        <f t="shared" si="11"/>
        <v>-5.8610000000000002E-2</v>
      </c>
    </row>
    <row r="749" spans="1:13" hidden="1" x14ac:dyDescent="0.35">
      <c r="A749" s="112" t="s">
        <v>1814</v>
      </c>
      <c r="B749" s="112" t="s">
        <v>906</v>
      </c>
      <c r="C749" s="112" t="s">
        <v>695</v>
      </c>
      <c r="D749" s="113">
        <v>10347954</v>
      </c>
      <c r="E749" s="115">
        <v>43923</v>
      </c>
      <c r="F749" s="114">
        <v>202101</v>
      </c>
      <c r="G749" s="112" t="s">
        <v>1091</v>
      </c>
      <c r="H749" s="112" t="s">
        <v>1015</v>
      </c>
      <c r="I749" s="112" t="s">
        <v>813</v>
      </c>
      <c r="J749" s="112" t="s">
        <v>1815</v>
      </c>
      <c r="K749" s="112" t="s">
        <v>2269</v>
      </c>
      <c r="L749" s="116">
        <v>-232.32</v>
      </c>
      <c r="M749" s="116">
        <f t="shared" si="11"/>
        <v>-0.23232</v>
      </c>
    </row>
    <row r="750" spans="1:13" hidden="1" x14ac:dyDescent="0.35">
      <c r="A750" s="112" t="s">
        <v>1814</v>
      </c>
      <c r="B750" s="112" t="s">
        <v>906</v>
      </c>
      <c r="C750" s="112" t="s">
        <v>695</v>
      </c>
      <c r="D750" s="113">
        <v>10347954</v>
      </c>
      <c r="E750" s="115">
        <v>43923</v>
      </c>
      <c r="F750" s="114">
        <v>202101</v>
      </c>
      <c r="G750" s="112" t="s">
        <v>1091</v>
      </c>
      <c r="H750" s="112" t="s">
        <v>1015</v>
      </c>
      <c r="I750" s="112" t="s">
        <v>813</v>
      </c>
      <c r="J750" s="112" t="s">
        <v>1815</v>
      </c>
      <c r="K750" s="112" t="s">
        <v>1905</v>
      </c>
      <c r="L750" s="116">
        <v>-231.85</v>
      </c>
      <c r="M750" s="116">
        <f t="shared" si="11"/>
        <v>-0.23185</v>
      </c>
    </row>
    <row r="751" spans="1:13" hidden="1" x14ac:dyDescent="0.35">
      <c r="A751" s="112" t="s">
        <v>1814</v>
      </c>
      <c r="B751" s="112" t="s">
        <v>906</v>
      </c>
      <c r="C751" s="112" t="s">
        <v>695</v>
      </c>
      <c r="D751" s="113">
        <v>10348539</v>
      </c>
      <c r="E751" s="115">
        <v>43951</v>
      </c>
      <c r="F751" s="114">
        <v>202101</v>
      </c>
      <c r="G751" s="112" t="s">
        <v>1091</v>
      </c>
      <c r="H751" s="112" t="s">
        <v>1015</v>
      </c>
      <c r="I751" s="112" t="s">
        <v>747</v>
      </c>
      <c r="J751" s="112" t="s">
        <v>1815</v>
      </c>
      <c r="K751" s="112" t="s">
        <v>2282</v>
      </c>
      <c r="L751" s="116">
        <v>500</v>
      </c>
      <c r="M751" s="116">
        <f t="shared" si="11"/>
        <v>0.5</v>
      </c>
    </row>
    <row r="752" spans="1:13" hidden="1" x14ac:dyDescent="0.35">
      <c r="A752" s="112" t="s">
        <v>1814</v>
      </c>
      <c r="B752" s="112" t="s">
        <v>906</v>
      </c>
      <c r="C752" s="112" t="s">
        <v>695</v>
      </c>
      <c r="D752" s="113">
        <v>10348539</v>
      </c>
      <c r="E752" s="115">
        <v>43951</v>
      </c>
      <c r="F752" s="114">
        <v>202101</v>
      </c>
      <c r="G752" s="112" t="s">
        <v>1091</v>
      </c>
      <c r="H752" s="112" t="s">
        <v>1015</v>
      </c>
      <c r="I752" s="112" t="s">
        <v>747</v>
      </c>
      <c r="J752" s="112" t="s">
        <v>1815</v>
      </c>
      <c r="K752" s="112" t="s">
        <v>2283</v>
      </c>
      <c r="L752" s="116">
        <v>776.63</v>
      </c>
      <c r="M752" s="116">
        <f t="shared" si="11"/>
        <v>0.77663000000000004</v>
      </c>
    </row>
    <row r="753" spans="1:13" hidden="1" x14ac:dyDescent="0.35">
      <c r="A753" s="112" t="s">
        <v>1814</v>
      </c>
      <c r="B753" s="112" t="s">
        <v>905</v>
      </c>
      <c r="C753" s="112" t="s">
        <v>695</v>
      </c>
      <c r="D753" s="113">
        <v>10348461</v>
      </c>
      <c r="E753" s="115">
        <v>43948</v>
      </c>
      <c r="F753" s="114">
        <v>202101</v>
      </c>
      <c r="G753" s="112" t="s">
        <v>1091</v>
      </c>
      <c r="H753" s="112" t="s">
        <v>1016</v>
      </c>
      <c r="I753" s="112" t="s">
        <v>2290</v>
      </c>
      <c r="J753" s="112" t="s">
        <v>1827</v>
      </c>
      <c r="K753" s="112" t="s">
        <v>2291</v>
      </c>
      <c r="L753" s="116">
        <v>-1320</v>
      </c>
      <c r="M753" s="116">
        <f t="shared" si="11"/>
        <v>-1.32</v>
      </c>
    </row>
    <row r="754" spans="1:13" hidden="1" x14ac:dyDescent="0.35">
      <c r="A754" s="112" t="s">
        <v>1814</v>
      </c>
      <c r="B754" s="112" t="s">
        <v>906</v>
      </c>
      <c r="C754" s="112" t="s">
        <v>695</v>
      </c>
      <c r="D754" s="113">
        <v>10347948</v>
      </c>
      <c r="E754" s="115">
        <v>43923</v>
      </c>
      <c r="F754" s="114">
        <v>202101</v>
      </c>
      <c r="G754" s="112" t="s">
        <v>1091</v>
      </c>
      <c r="H754" s="112" t="s">
        <v>1015</v>
      </c>
      <c r="I754" s="112" t="s">
        <v>759</v>
      </c>
      <c r="J754" s="112" t="s">
        <v>1815</v>
      </c>
      <c r="K754" s="112" t="s">
        <v>1110</v>
      </c>
      <c r="L754" s="116">
        <v>-44.52</v>
      </c>
      <c r="M754" s="116">
        <f t="shared" si="11"/>
        <v>-4.4520000000000004E-2</v>
      </c>
    </row>
    <row r="755" spans="1:13" hidden="1" x14ac:dyDescent="0.35">
      <c r="A755" s="112" t="s">
        <v>1814</v>
      </c>
      <c r="B755" s="112" t="s">
        <v>906</v>
      </c>
      <c r="C755" s="112" t="s">
        <v>695</v>
      </c>
      <c r="D755" s="113">
        <v>10347948</v>
      </c>
      <c r="E755" s="115">
        <v>43923</v>
      </c>
      <c r="F755" s="114">
        <v>202101</v>
      </c>
      <c r="G755" s="112" t="s">
        <v>1091</v>
      </c>
      <c r="H755" s="112" t="s">
        <v>1015</v>
      </c>
      <c r="I755" s="112" t="s">
        <v>813</v>
      </c>
      <c r="J755" s="112" t="s">
        <v>1815</v>
      </c>
      <c r="K755" s="112" t="s">
        <v>1891</v>
      </c>
      <c r="L755" s="116">
        <v>-27.07</v>
      </c>
      <c r="M755" s="116">
        <f t="shared" si="11"/>
        <v>-2.707E-2</v>
      </c>
    </row>
    <row r="756" spans="1:13" hidden="1" x14ac:dyDescent="0.35">
      <c r="A756" s="112" t="s">
        <v>1814</v>
      </c>
      <c r="B756" s="112" t="s">
        <v>906</v>
      </c>
      <c r="C756" s="112" t="s">
        <v>695</v>
      </c>
      <c r="D756" s="113">
        <v>10348345</v>
      </c>
      <c r="E756" s="115">
        <v>43942</v>
      </c>
      <c r="F756" s="114">
        <v>202101</v>
      </c>
      <c r="G756" s="112" t="s">
        <v>1091</v>
      </c>
      <c r="H756" s="112" t="s">
        <v>1015</v>
      </c>
      <c r="I756" s="112" t="s">
        <v>817</v>
      </c>
      <c r="J756" s="112" t="s">
        <v>1815</v>
      </c>
      <c r="K756" s="112" t="s">
        <v>2293</v>
      </c>
      <c r="L756" s="116">
        <v>-277.10000000000002</v>
      </c>
      <c r="M756" s="116">
        <f t="shared" si="11"/>
        <v>-0.27710000000000001</v>
      </c>
    </row>
    <row r="757" spans="1:13" hidden="1" x14ac:dyDescent="0.35">
      <c r="A757" s="112" t="s">
        <v>1814</v>
      </c>
      <c r="B757" s="112" t="s">
        <v>906</v>
      </c>
      <c r="C757" s="112" t="s">
        <v>695</v>
      </c>
      <c r="D757" s="113">
        <v>10348429</v>
      </c>
      <c r="E757" s="115">
        <v>43945</v>
      </c>
      <c r="F757" s="114">
        <v>202101</v>
      </c>
      <c r="G757" s="112" t="s">
        <v>1091</v>
      </c>
      <c r="H757" s="112" t="s">
        <v>1015</v>
      </c>
      <c r="I757" s="112" t="s">
        <v>2076</v>
      </c>
      <c r="J757" s="112" t="s">
        <v>1815</v>
      </c>
      <c r="K757" s="112" t="s">
        <v>2294</v>
      </c>
      <c r="L757" s="116">
        <v>-8195</v>
      </c>
      <c r="M757" s="116">
        <f t="shared" si="11"/>
        <v>-8.1950000000000003</v>
      </c>
    </row>
    <row r="758" spans="1:13" hidden="1" x14ac:dyDescent="0.35">
      <c r="A758" s="112" t="s">
        <v>1814</v>
      </c>
      <c r="B758" s="112" t="s">
        <v>906</v>
      </c>
      <c r="C758" s="112" t="s">
        <v>695</v>
      </c>
      <c r="D758" s="113">
        <v>10347948</v>
      </c>
      <c r="E758" s="115">
        <v>43923</v>
      </c>
      <c r="F758" s="114">
        <v>202101</v>
      </c>
      <c r="G758" s="112" t="s">
        <v>1091</v>
      </c>
      <c r="H758" s="112" t="s">
        <v>1015</v>
      </c>
      <c r="I758" s="112" t="s">
        <v>813</v>
      </c>
      <c r="J758" s="112" t="s">
        <v>1815</v>
      </c>
      <c r="K758" s="112" t="s">
        <v>1830</v>
      </c>
      <c r="L758" s="116">
        <v>-245.7</v>
      </c>
      <c r="M758" s="116">
        <f t="shared" si="11"/>
        <v>-0.2457</v>
      </c>
    </row>
    <row r="759" spans="1:13" hidden="1" x14ac:dyDescent="0.35">
      <c r="A759" s="112" t="s">
        <v>1814</v>
      </c>
      <c r="B759" s="112" t="s">
        <v>905</v>
      </c>
      <c r="C759" s="112" t="s">
        <v>695</v>
      </c>
      <c r="D759" s="113">
        <v>10347977</v>
      </c>
      <c r="E759" s="115">
        <v>43924</v>
      </c>
      <c r="F759" s="114">
        <v>202101</v>
      </c>
      <c r="G759" s="112" t="s">
        <v>1091</v>
      </c>
      <c r="H759" s="112" t="s">
        <v>1015</v>
      </c>
      <c r="I759" s="112" t="s">
        <v>749</v>
      </c>
      <c r="J759" s="112" t="s">
        <v>1822</v>
      </c>
      <c r="K759" s="112" t="s">
        <v>2309</v>
      </c>
      <c r="L759" s="116">
        <v>-820</v>
      </c>
      <c r="M759" s="116">
        <f t="shared" si="11"/>
        <v>-0.82</v>
      </c>
    </row>
    <row r="760" spans="1:13" hidden="1" x14ac:dyDescent="0.35">
      <c r="A760" s="112" t="s">
        <v>1814</v>
      </c>
      <c r="B760" s="112" t="s">
        <v>905</v>
      </c>
      <c r="C760" s="112" t="s">
        <v>695</v>
      </c>
      <c r="D760" s="113">
        <v>10348136</v>
      </c>
      <c r="E760" s="115">
        <v>43930</v>
      </c>
      <c r="F760" s="114">
        <v>202101</v>
      </c>
      <c r="G760" s="112" t="s">
        <v>1091</v>
      </c>
      <c r="H760" s="112" t="s">
        <v>1015</v>
      </c>
      <c r="I760" s="112" t="s">
        <v>1153</v>
      </c>
      <c r="J760" s="112" t="s">
        <v>1842</v>
      </c>
      <c r="K760" s="112" t="s">
        <v>2311</v>
      </c>
      <c r="L760" s="116">
        <v>-9663.2099999999991</v>
      </c>
      <c r="M760" s="116">
        <f t="shared" si="11"/>
        <v>-9.6632099999999994</v>
      </c>
    </row>
    <row r="761" spans="1:13" hidden="1" x14ac:dyDescent="0.35">
      <c r="A761" s="112" t="s">
        <v>1814</v>
      </c>
      <c r="B761" s="112" t="s">
        <v>905</v>
      </c>
      <c r="C761" s="112" t="s">
        <v>695</v>
      </c>
      <c r="D761" s="113">
        <v>10347977</v>
      </c>
      <c r="E761" s="115">
        <v>43924</v>
      </c>
      <c r="F761" s="114">
        <v>202101</v>
      </c>
      <c r="G761" s="112" t="s">
        <v>1091</v>
      </c>
      <c r="H761" s="112" t="s">
        <v>1015</v>
      </c>
      <c r="I761" s="112" t="s">
        <v>751</v>
      </c>
      <c r="J761" s="112" t="s">
        <v>1822</v>
      </c>
      <c r="K761" s="112" t="s">
        <v>2316</v>
      </c>
      <c r="L761" s="116">
        <v>-77</v>
      </c>
      <c r="M761" s="116">
        <f t="shared" si="11"/>
        <v>-7.6999999999999999E-2</v>
      </c>
    </row>
    <row r="762" spans="1:13" hidden="1" x14ac:dyDescent="0.35">
      <c r="A762" s="112" t="s">
        <v>1814</v>
      </c>
      <c r="B762" s="112" t="s">
        <v>905</v>
      </c>
      <c r="C762" s="112" t="s">
        <v>695</v>
      </c>
      <c r="D762" s="113">
        <v>10348163</v>
      </c>
      <c r="E762" s="115">
        <v>43930</v>
      </c>
      <c r="F762" s="114">
        <v>202101</v>
      </c>
      <c r="G762" s="112" t="s">
        <v>1091</v>
      </c>
      <c r="H762" s="112" t="s">
        <v>1016</v>
      </c>
      <c r="I762" s="112" t="s">
        <v>2290</v>
      </c>
      <c r="J762" s="112" t="s">
        <v>1827</v>
      </c>
      <c r="K762" s="112" t="s">
        <v>2317</v>
      </c>
      <c r="L762" s="116">
        <v>1320</v>
      </c>
      <c r="M762" s="116">
        <f t="shared" si="11"/>
        <v>1.32</v>
      </c>
    </row>
    <row r="763" spans="1:13" hidden="1" x14ac:dyDescent="0.35">
      <c r="A763" s="112" t="s">
        <v>1814</v>
      </c>
      <c r="B763" s="112" t="s">
        <v>905</v>
      </c>
      <c r="C763" s="112" t="s">
        <v>695</v>
      </c>
      <c r="D763" s="113">
        <v>10347977</v>
      </c>
      <c r="E763" s="115">
        <v>43924</v>
      </c>
      <c r="F763" s="114">
        <v>202101</v>
      </c>
      <c r="G763" s="112" t="s">
        <v>1091</v>
      </c>
      <c r="H763" s="112" t="s">
        <v>1015</v>
      </c>
      <c r="I763" s="112" t="s">
        <v>757</v>
      </c>
      <c r="J763" s="112" t="s">
        <v>1822</v>
      </c>
      <c r="K763" s="112" t="s">
        <v>2320</v>
      </c>
      <c r="L763" s="116">
        <v>-84</v>
      </c>
      <c r="M763" s="116">
        <f t="shared" si="11"/>
        <v>-8.4000000000000005E-2</v>
      </c>
    </row>
    <row r="764" spans="1:13" hidden="1" x14ac:dyDescent="0.35">
      <c r="A764" s="112" t="s">
        <v>1814</v>
      </c>
      <c r="B764" s="112" t="s">
        <v>905</v>
      </c>
      <c r="C764" s="112" t="s">
        <v>695</v>
      </c>
      <c r="D764" s="113">
        <v>10347977</v>
      </c>
      <c r="E764" s="115">
        <v>43924</v>
      </c>
      <c r="F764" s="114">
        <v>202101</v>
      </c>
      <c r="G764" s="112" t="s">
        <v>1091</v>
      </c>
      <c r="H764" s="112" t="s">
        <v>1015</v>
      </c>
      <c r="I764" s="112" t="s">
        <v>757</v>
      </c>
      <c r="J764" s="112" t="s">
        <v>1822</v>
      </c>
      <c r="K764" s="112" t="s">
        <v>2321</v>
      </c>
      <c r="L764" s="116">
        <v>-130</v>
      </c>
      <c r="M764" s="116">
        <f t="shared" si="11"/>
        <v>-0.13</v>
      </c>
    </row>
    <row r="765" spans="1:13" hidden="1" x14ac:dyDescent="0.35">
      <c r="A765" s="112" t="s">
        <v>1814</v>
      </c>
      <c r="B765" s="112" t="s">
        <v>905</v>
      </c>
      <c r="C765" s="112" t="s">
        <v>695</v>
      </c>
      <c r="D765" s="113">
        <v>10347977</v>
      </c>
      <c r="E765" s="115">
        <v>43924</v>
      </c>
      <c r="F765" s="114">
        <v>202101</v>
      </c>
      <c r="G765" s="112" t="s">
        <v>1091</v>
      </c>
      <c r="H765" s="112" t="s">
        <v>1015</v>
      </c>
      <c r="I765" s="112" t="s">
        <v>757</v>
      </c>
      <c r="J765" s="112" t="s">
        <v>1822</v>
      </c>
      <c r="K765" s="112" t="s">
        <v>2322</v>
      </c>
      <c r="L765" s="116">
        <v>-103</v>
      </c>
      <c r="M765" s="116">
        <f t="shared" si="11"/>
        <v>-0.10299999999999999</v>
      </c>
    </row>
    <row r="766" spans="1:13" hidden="1" x14ac:dyDescent="0.35">
      <c r="A766" s="112" t="s">
        <v>1814</v>
      </c>
      <c r="B766" s="112" t="s">
        <v>906</v>
      </c>
      <c r="C766" s="112" t="s">
        <v>695</v>
      </c>
      <c r="D766" s="113">
        <v>10348429</v>
      </c>
      <c r="E766" s="115">
        <v>43945</v>
      </c>
      <c r="F766" s="114">
        <v>202101</v>
      </c>
      <c r="G766" s="112" t="s">
        <v>1091</v>
      </c>
      <c r="H766" s="112" t="s">
        <v>1015</v>
      </c>
      <c r="I766" s="112" t="s">
        <v>761</v>
      </c>
      <c r="J766" s="112" t="s">
        <v>1815</v>
      </c>
      <c r="K766" s="112" t="s">
        <v>2325</v>
      </c>
      <c r="L766" s="116">
        <v>-6280</v>
      </c>
      <c r="M766" s="116">
        <f t="shared" si="11"/>
        <v>-6.28</v>
      </c>
    </row>
    <row r="767" spans="1:13" hidden="1" x14ac:dyDescent="0.35">
      <c r="A767" s="112" t="s">
        <v>1814</v>
      </c>
      <c r="B767" s="112" t="s">
        <v>905</v>
      </c>
      <c r="C767" s="112" t="s">
        <v>695</v>
      </c>
      <c r="D767" s="113">
        <v>10347977</v>
      </c>
      <c r="E767" s="115">
        <v>43924</v>
      </c>
      <c r="F767" s="114">
        <v>202101</v>
      </c>
      <c r="G767" s="112" t="s">
        <v>1091</v>
      </c>
      <c r="H767" s="112" t="s">
        <v>1015</v>
      </c>
      <c r="I767" s="112" t="s">
        <v>751</v>
      </c>
      <c r="J767" s="112" t="s">
        <v>1822</v>
      </c>
      <c r="K767" s="112" t="s">
        <v>2326</v>
      </c>
      <c r="L767" s="116">
        <v>-88</v>
      </c>
      <c r="M767" s="116">
        <f t="shared" si="11"/>
        <v>-8.7999999999999995E-2</v>
      </c>
    </row>
    <row r="768" spans="1:13" hidden="1" x14ac:dyDescent="0.35">
      <c r="A768" s="112" t="s">
        <v>1814</v>
      </c>
      <c r="B768" s="112" t="s">
        <v>905</v>
      </c>
      <c r="C768" s="112" t="s">
        <v>695</v>
      </c>
      <c r="D768" s="113">
        <v>10348136</v>
      </c>
      <c r="E768" s="115">
        <v>43930</v>
      </c>
      <c r="F768" s="114">
        <v>202101</v>
      </c>
      <c r="G768" s="112" t="s">
        <v>1091</v>
      </c>
      <c r="H768" s="112" t="s">
        <v>1015</v>
      </c>
      <c r="I768" s="112" t="s">
        <v>1153</v>
      </c>
      <c r="J768" s="112" t="s">
        <v>1842</v>
      </c>
      <c r="K768" s="112" t="s">
        <v>2327</v>
      </c>
      <c r="L768" s="116">
        <v>-5670</v>
      </c>
      <c r="M768" s="116">
        <f t="shared" si="11"/>
        <v>-5.67</v>
      </c>
    </row>
    <row r="769" spans="1:13" hidden="1" x14ac:dyDescent="0.35">
      <c r="A769" s="112" t="s">
        <v>1814</v>
      </c>
      <c r="B769" s="112" t="s">
        <v>905</v>
      </c>
      <c r="C769" s="112" t="s">
        <v>695</v>
      </c>
      <c r="D769" s="113">
        <v>10348136</v>
      </c>
      <c r="E769" s="115">
        <v>43930</v>
      </c>
      <c r="F769" s="114">
        <v>202101</v>
      </c>
      <c r="G769" s="112" t="s">
        <v>1091</v>
      </c>
      <c r="H769" s="112" t="s">
        <v>1015</v>
      </c>
      <c r="I769" s="112" t="s">
        <v>1153</v>
      </c>
      <c r="J769" s="112" t="s">
        <v>1842</v>
      </c>
      <c r="K769" s="112" t="s">
        <v>2328</v>
      </c>
      <c r="L769" s="116">
        <v>-4800</v>
      </c>
      <c r="M769" s="116">
        <f t="shared" si="11"/>
        <v>-4.8</v>
      </c>
    </row>
    <row r="770" spans="1:13" hidden="1" x14ac:dyDescent="0.35">
      <c r="A770" s="112" t="s">
        <v>1814</v>
      </c>
      <c r="B770" s="112" t="s">
        <v>905</v>
      </c>
      <c r="C770" s="112" t="s">
        <v>695</v>
      </c>
      <c r="D770" s="113">
        <v>10348136</v>
      </c>
      <c r="E770" s="115">
        <v>43930</v>
      </c>
      <c r="F770" s="114">
        <v>202101</v>
      </c>
      <c r="G770" s="112" t="s">
        <v>1091</v>
      </c>
      <c r="H770" s="112" t="s">
        <v>1015</v>
      </c>
      <c r="I770" s="112" t="s">
        <v>1153</v>
      </c>
      <c r="J770" s="112" t="s">
        <v>1842</v>
      </c>
      <c r="K770" s="112" t="s">
        <v>2329</v>
      </c>
      <c r="L770" s="116">
        <v>24000</v>
      </c>
      <c r="M770" s="116">
        <f t="shared" si="11"/>
        <v>24</v>
      </c>
    </row>
    <row r="771" spans="1:13" hidden="1" x14ac:dyDescent="0.35">
      <c r="A771" s="112" t="s">
        <v>1814</v>
      </c>
      <c r="B771" s="112" t="s">
        <v>905</v>
      </c>
      <c r="C771" s="112" t="s">
        <v>695</v>
      </c>
      <c r="D771" s="113">
        <v>10347977</v>
      </c>
      <c r="E771" s="115">
        <v>43924</v>
      </c>
      <c r="F771" s="114">
        <v>202101</v>
      </c>
      <c r="G771" s="112" t="s">
        <v>1091</v>
      </c>
      <c r="H771" s="112" t="s">
        <v>1015</v>
      </c>
      <c r="I771" s="112" t="s">
        <v>749</v>
      </c>
      <c r="J771" s="112" t="s">
        <v>1839</v>
      </c>
      <c r="K771" s="112" t="s">
        <v>2330</v>
      </c>
      <c r="L771" s="116">
        <v>-463</v>
      </c>
      <c r="M771" s="116">
        <f t="shared" ref="M771:M834" si="12">L771/1000</f>
        <v>-0.46300000000000002</v>
      </c>
    </row>
    <row r="772" spans="1:13" hidden="1" x14ac:dyDescent="0.35">
      <c r="A772" s="112" t="s">
        <v>1814</v>
      </c>
      <c r="B772" s="112" t="s">
        <v>905</v>
      </c>
      <c r="C772" s="112" t="s">
        <v>695</v>
      </c>
      <c r="D772" s="113">
        <v>10348136</v>
      </c>
      <c r="E772" s="115">
        <v>43930</v>
      </c>
      <c r="F772" s="114">
        <v>202101</v>
      </c>
      <c r="G772" s="112" t="s">
        <v>1091</v>
      </c>
      <c r="H772" s="112" t="s">
        <v>1015</v>
      </c>
      <c r="I772" s="112" t="s">
        <v>1153</v>
      </c>
      <c r="J772" s="112" t="s">
        <v>1842</v>
      </c>
      <c r="K772" s="112" t="s">
        <v>2331</v>
      </c>
      <c r="L772" s="116">
        <v>-119.92</v>
      </c>
      <c r="M772" s="116">
        <f t="shared" si="12"/>
        <v>-0.11992</v>
      </c>
    </row>
    <row r="773" spans="1:13" hidden="1" x14ac:dyDescent="0.35">
      <c r="A773" s="112" t="s">
        <v>1814</v>
      </c>
      <c r="B773" s="112" t="s">
        <v>905</v>
      </c>
      <c r="C773" s="112" t="s">
        <v>695</v>
      </c>
      <c r="D773" s="113">
        <v>10348136</v>
      </c>
      <c r="E773" s="115">
        <v>43930</v>
      </c>
      <c r="F773" s="114">
        <v>202101</v>
      </c>
      <c r="G773" s="112" t="s">
        <v>1091</v>
      </c>
      <c r="H773" s="112" t="s">
        <v>1015</v>
      </c>
      <c r="I773" s="112" t="s">
        <v>1153</v>
      </c>
      <c r="J773" s="112" t="s">
        <v>1842</v>
      </c>
      <c r="K773" s="112" t="s">
        <v>2332</v>
      </c>
      <c r="L773" s="116">
        <v>-2157.3000000000002</v>
      </c>
      <c r="M773" s="116">
        <f t="shared" si="12"/>
        <v>-2.1573000000000002</v>
      </c>
    </row>
    <row r="774" spans="1:13" hidden="1" x14ac:dyDescent="0.35">
      <c r="A774" s="112" t="s">
        <v>1814</v>
      </c>
      <c r="B774" s="112" t="s">
        <v>905</v>
      </c>
      <c r="C774" s="112" t="s">
        <v>695</v>
      </c>
      <c r="D774" s="113">
        <v>10348136</v>
      </c>
      <c r="E774" s="115">
        <v>43930</v>
      </c>
      <c r="F774" s="114">
        <v>202101</v>
      </c>
      <c r="G774" s="112" t="s">
        <v>1091</v>
      </c>
      <c r="H774" s="112" t="s">
        <v>1016</v>
      </c>
      <c r="I774" s="112" t="s">
        <v>2337</v>
      </c>
      <c r="J774" s="112" t="s">
        <v>1827</v>
      </c>
      <c r="K774" s="112" t="s">
        <v>2338</v>
      </c>
      <c r="L774" s="116">
        <v>1800</v>
      </c>
      <c r="M774" s="116">
        <f t="shared" si="12"/>
        <v>1.8</v>
      </c>
    </row>
    <row r="775" spans="1:13" hidden="1" x14ac:dyDescent="0.35">
      <c r="A775" s="112" t="s">
        <v>1814</v>
      </c>
      <c r="B775" s="112" t="s">
        <v>905</v>
      </c>
      <c r="C775" s="112" t="s">
        <v>695</v>
      </c>
      <c r="D775" s="113">
        <v>10347977</v>
      </c>
      <c r="E775" s="115">
        <v>43924</v>
      </c>
      <c r="F775" s="114">
        <v>202101</v>
      </c>
      <c r="G775" s="112" t="s">
        <v>1091</v>
      </c>
      <c r="H775" s="112" t="s">
        <v>1015</v>
      </c>
      <c r="I775" s="112" t="s">
        <v>749</v>
      </c>
      <c r="J775" s="112" t="s">
        <v>1822</v>
      </c>
      <c r="K775" s="112" t="s">
        <v>2343</v>
      </c>
      <c r="L775" s="116">
        <v>-12</v>
      </c>
      <c r="M775" s="116">
        <f t="shared" si="12"/>
        <v>-1.2E-2</v>
      </c>
    </row>
    <row r="776" spans="1:13" hidden="1" x14ac:dyDescent="0.35">
      <c r="A776" s="112" t="s">
        <v>1814</v>
      </c>
      <c r="B776" s="112" t="s">
        <v>905</v>
      </c>
      <c r="C776" s="112" t="s">
        <v>695</v>
      </c>
      <c r="D776" s="113">
        <v>10348034</v>
      </c>
      <c r="E776" s="115">
        <v>43928</v>
      </c>
      <c r="F776" s="114">
        <v>202101</v>
      </c>
      <c r="G776" s="112" t="s">
        <v>1091</v>
      </c>
      <c r="H776" s="112" t="s">
        <v>1015</v>
      </c>
      <c r="I776" s="112" t="s">
        <v>1211</v>
      </c>
      <c r="J776" s="112" t="s">
        <v>1842</v>
      </c>
      <c r="K776" s="112" t="s">
        <v>2346</v>
      </c>
      <c r="L776" s="116">
        <v>-1653.06</v>
      </c>
      <c r="M776" s="116">
        <f t="shared" si="12"/>
        <v>-1.65306</v>
      </c>
    </row>
    <row r="777" spans="1:13" hidden="1" x14ac:dyDescent="0.35">
      <c r="A777" s="112" t="s">
        <v>1814</v>
      </c>
      <c r="B777" s="112" t="s">
        <v>905</v>
      </c>
      <c r="C777" s="112" t="s">
        <v>695</v>
      </c>
      <c r="D777" s="113">
        <v>10347977</v>
      </c>
      <c r="E777" s="115">
        <v>43924</v>
      </c>
      <c r="F777" s="114">
        <v>202101</v>
      </c>
      <c r="G777" s="112" t="s">
        <v>1091</v>
      </c>
      <c r="H777" s="112" t="s">
        <v>1015</v>
      </c>
      <c r="I777" s="112" t="s">
        <v>749</v>
      </c>
      <c r="J777" s="112" t="s">
        <v>1822</v>
      </c>
      <c r="K777" s="112" t="s">
        <v>2347</v>
      </c>
      <c r="L777" s="116">
        <v>-27</v>
      </c>
      <c r="M777" s="116">
        <f t="shared" si="12"/>
        <v>-2.7E-2</v>
      </c>
    </row>
    <row r="778" spans="1:13" hidden="1" x14ac:dyDescent="0.35">
      <c r="A778" s="112" t="s">
        <v>1814</v>
      </c>
      <c r="B778" s="112" t="s">
        <v>905</v>
      </c>
      <c r="C778" s="112" t="s">
        <v>695</v>
      </c>
      <c r="D778" s="113">
        <v>10347977</v>
      </c>
      <c r="E778" s="115">
        <v>43924</v>
      </c>
      <c r="F778" s="114">
        <v>202101</v>
      </c>
      <c r="G778" s="112" t="s">
        <v>1091</v>
      </c>
      <c r="H778" s="112" t="s">
        <v>1015</v>
      </c>
      <c r="I778" s="112" t="s">
        <v>751</v>
      </c>
      <c r="J778" s="112" t="s">
        <v>1822</v>
      </c>
      <c r="K778" s="112" t="s">
        <v>2348</v>
      </c>
      <c r="L778" s="116">
        <v>-64</v>
      </c>
      <c r="M778" s="116">
        <f t="shared" si="12"/>
        <v>-6.4000000000000001E-2</v>
      </c>
    </row>
    <row r="779" spans="1:13" hidden="1" x14ac:dyDescent="0.35">
      <c r="A779" s="112" t="s">
        <v>1814</v>
      </c>
      <c r="B779" s="112" t="s">
        <v>905</v>
      </c>
      <c r="C779" s="112" t="s">
        <v>695</v>
      </c>
      <c r="D779" s="113">
        <v>10347977</v>
      </c>
      <c r="E779" s="115">
        <v>43924</v>
      </c>
      <c r="F779" s="114">
        <v>202101</v>
      </c>
      <c r="G779" s="112" t="s">
        <v>1091</v>
      </c>
      <c r="H779" s="112" t="s">
        <v>1015</v>
      </c>
      <c r="I779" s="112" t="s">
        <v>757</v>
      </c>
      <c r="J779" s="112" t="s">
        <v>1822</v>
      </c>
      <c r="K779" s="112" t="s">
        <v>2349</v>
      </c>
      <c r="L779" s="116">
        <v>-28</v>
      </c>
      <c r="M779" s="116">
        <f t="shared" si="12"/>
        <v>-2.8000000000000001E-2</v>
      </c>
    </row>
    <row r="780" spans="1:13" hidden="1" x14ac:dyDescent="0.35">
      <c r="A780" s="112" t="s">
        <v>1814</v>
      </c>
      <c r="B780" s="112" t="s">
        <v>906</v>
      </c>
      <c r="C780" s="112" t="s">
        <v>695</v>
      </c>
      <c r="D780" s="113">
        <v>10347977</v>
      </c>
      <c r="E780" s="115">
        <v>43924</v>
      </c>
      <c r="F780" s="114">
        <v>202101</v>
      </c>
      <c r="G780" s="112" t="s">
        <v>1091</v>
      </c>
      <c r="H780" s="112" t="s">
        <v>1015</v>
      </c>
      <c r="I780" s="112" t="s">
        <v>757</v>
      </c>
      <c r="J780" s="112" t="s">
        <v>1874</v>
      </c>
      <c r="K780" s="112" t="s">
        <v>2351</v>
      </c>
      <c r="L780" s="116">
        <v>-6</v>
      </c>
      <c r="M780" s="116">
        <f t="shared" si="12"/>
        <v>-6.0000000000000001E-3</v>
      </c>
    </row>
    <row r="781" spans="1:13" hidden="1" x14ac:dyDescent="0.35">
      <c r="A781" s="112" t="s">
        <v>1814</v>
      </c>
      <c r="B781" s="112" t="s">
        <v>905</v>
      </c>
      <c r="C781" s="112" t="s">
        <v>695</v>
      </c>
      <c r="D781" s="113">
        <v>10347977</v>
      </c>
      <c r="E781" s="115">
        <v>43924</v>
      </c>
      <c r="F781" s="114">
        <v>202101</v>
      </c>
      <c r="G781" s="112" t="s">
        <v>1091</v>
      </c>
      <c r="H781" s="112" t="s">
        <v>1015</v>
      </c>
      <c r="I781" s="112" t="s">
        <v>749</v>
      </c>
      <c r="J781" s="112" t="s">
        <v>1822</v>
      </c>
      <c r="K781" s="112" t="s">
        <v>2353</v>
      </c>
      <c r="L781" s="116">
        <v>-29</v>
      </c>
      <c r="M781" s="116">
        <f t="shared" si="12"/>
        <v>-2.9000000000000001E-2</v>
      </c>
    </row>
    <row r="782" spans="1:13" hidden="1" x14ac:dyDescent="0.35">
      <c r="A782" s="112" t="s">
        <v>1814</v>
      </c>
      <c r="B782" s="112" t="s">
        <v>905</v>
      </c>
      <c r="C782" s="112" t="s">
        <v>695</v>
      </c>
      <c r="D782" s="113">
        <v>10347977</v>
      </c>
      <c r="E782" s="115">
        <v>43924</v>
      </c>
      <c r="F782" s="114">
        <v>202101</v>
      </c>
      <c r="G782" s="112" t="s">
        <v>1091</v>
      </c>
      <c r="H782" s="112" t="s">
        <v>1015</v>
      </c>
      <c r="I782" s="112" t="s">
        <v>751</v>
      </c>
      <c r="J782" s="112" t="s">
        <v>1822</v>
      </c>
      <c r="K782" s="112" t="s">
        <v>2355</v>
      </c>
      <c r="L782" s="116">
        <v>-119</v>
      </c>
      <c r="M782" s="116">
        <f t="shared" si="12"/>
        <v>-0.11899999999999999</v>
      </c>
    </row>
    <row r="783" spans="1:13" hidden="1" x14ac:dyDescent="0.35">
      <c r="A783" s="112" t="s">
        <v>1814</v>
      </c>
      <c r="B783" s="112" t="s">
        <v>905</v>
      </c>
      <c r="C783" s="112" t="s">
        <v>695</v>
      </c>
      <c r="D783" s="113">
        <v>10347977</v>
      </c>
      <c r="E783" s="115">
        <v>43924</v>
      </c>
      <c r="F783" s="114">
        <v>202101</v>
      </c>
      <c r="G783" s="112" t="s">
        <v>1091</v>
      </c>
      <c r="H783" s="112" t="s">
        <v>1015</v>
      </c>
      <c r="I783" s="112" t="s">
        <v>751</v>
      </c>
      <c r="J783" s="112" t="s">
        <v>1822</v>
      </c>
      <c r="K783" s="112" t="s">
        <v>2359</v>
      </c>
      <c r="L783" s="116">
        <v>-101</v>
      </c>
      <c r="M783" s="116">
        <f t="shared" si="12"/>
        <v>-0.10100000000000001</v>
      </c>
    </row>
    <row r="784" spans="1:13" hidden="1" x14ac:dyDescent="0.35">
      <c r="A784" s="112" t="s">
        <v>1814</v>
      </c>
      <c r="B784" s="112" t="s">
        <v>905</v>
      </c>
      <c r="C784" s="112" t="s">
        <v>695</v>
      </c>
      <c r="D784" s="113">
        <v>10347977</v>
      </c>
      <c r="E784" s="115">
        <v>43924</v>
      </c>
      <c r="F784" s="114">
        <v>202101</v>
      </c>
      <c r="G784" s="112" t="s">
        <v>1091</v>
      </c>
      <c r="H784" s="112" t="s">
        <v>1015</v>
      </c>
      <c r="I784" s="112" t="s">
        <v>757</v>
      </c>
      <c r="J784" s="112" t="s">
        <v>1822</v>
      </c>
      <c r="K784" s="112" t="s">
        <v>2360</v>
      </c>
      <c r="L784" s="116">
        <v>-45</v>
      </c>
      <c r="M784" s="116">
        <f t="shared" si="12"/>
        <v>-4.4999999999999998E-2</v>
      </c>
    </row>
    <row r="785" spans="1:13" hidden="1" x14ac:dyDescent="0.35">
      <c r="A785" s="112" t="s">
        <v>1814</v>
      </c>
      <c r="B785" s="112" t="s">
        <v>905</v>
      </c>
      <c r="C785" s="112" t="s">
        <v>695</v>
      </c>
      <c r="D785" s="113">
        <v>10347977</v>
      </c>
      <c r="E785" s="115">
        <v>43924</v>
      </c>
      <c r="F785" s="114">
        <v>202101</v>
      </c>
      <c r="G785" s="112" t="s">
        <v>1091</v>
      </c>
      <c r="H785" s="112" t="s">
        <v>1015</v>
      </c>
      <c r="I785" s="112" t="s">
        <v>749</v>
      </c>
      <c r="J785" s="112" t="s">
        <v>1822</v>
      </c>
      <c r="K785" s="112" t="s">
        <v>2361</v>
      </c>
      <c r="L785" s="116">
        <v>-206</v>
      </c>
      <c r="M785" s="116">
        <f t="shared" si="12"/>
        <v>-0.20599999999999999</v>
      </c>
    </row>
    <row r="786" spans="1:13" hidden="1" x14ac:dyDescent="0.35">
      <c r="A786" s="112" t="s">
        <v>1814</v>
      </c>
      <c r="B786" s="112" t="s">
        <v>906</v>
      </c>
      <c r="C786" s="112" t="s">
        <v>695</v>
      </c>
      <c r="D786" s="113">
        <v>10347977</v>
      </c>
      <c r="E786" s="115">
        <v>43924</v>
      </c>
      <c r="F786" s="114">
        <v>202101</v>
      </c>
      <c r="G786" s="112" t="s">
        <v>1091</v>
      </c>
      <c r="H786" s="112" t="s">
        <v>1015</v>
      </c>
      <c r="I786" s="112" t="s">
        <v>749</v>
      </c>
      <c r="J786" s="112" t="s">
        <v>1942</v>
      </c>
      <c r="K786" s="112" t="s">
        <v>2362</v>
      </c>
      <c r="L786" s="116">
        <v>-9</v>
      </c>
      <c r="M786" s="116">
        <f t="shared" si="12"/>
        <v>-8.9999999999999993E-3</v>
      </c>
    </row>
    <row r="787" spans="1:13" hidden="1" x14ac:dyDescent="0.35">
      <c r="A787" s="112" t="s">
        <v>1814</v>
      </c>
      <c r="B787" s="112" t="s">
        <v>905</v>
      </c>
      <c r="C787" s="112" t="s">
        <v>695</v>
      </c>
      <c r="D787" s="113">
        <v>10347977</v>
      </c>
      <c r="E787" s="115">
        <v>43924</v>
      </c>
      <c r="F787" s="114">
        <v>202101</v>
      </c>
      <c r="G787" s="112" t="s">
        <v>1091</v>
      </c>
      <c r="H787" s="112" t="s">
        <v>1015</v>
      </c>
      <c r="I787" s="112" t="s">
        <v>749</v>
      </c>
      <c r="J787" s="112" t="s">
        <v>1822</v>
      </c>
      <c r="K787" s="112" t="s">
        <v>2364</v>
      </c>
      <c r="L787" s="116">
        <v>-252</v>
      </c>
      <c r="M787" s="116">
        <f t="shared" si="12"/>
        <v>-0.252</v>
      </c>
    </row>
    <row r="788" spans="1:13" hidden="1" x14ac:dyDescent="0.35">
      <c r="A788" s="112" t="s">
        <v>1814</v>
      </c>
      <c r="B788" s="112" t="s">
        <v>905</v>
      </c>
      <c r="C788" s="112" t="s">
        <v>695</v>
      </c>
      <c r="D788" s="113">
        <v>10347977</v>
      </c>
      <c r="E788" s="115">
        <v>43924</v>
      </c>
      <c r="F788" s="114">
        <v>202101</v>
      </c>
      <c r="G788" s="112" t="s">
        <v>1091</v>
      </c>
      <c r="H788" s="112" t="s">
        <v>1015</v>
      </c>
      <c r="I788" s="112" t="s">
        <v>749</v>
      </c>
      <c r="J788" s="112" t="s">
        <v>1822</v>
      </c>
      <c r="K788" s="112" t="s">
        <v>2365</v>
      </c>
      <c r="L788" s="116">
        <v>-68</v>
      </c>
      <c r="M788" s="116">
        <f t="shared" si="12"/>
        <v>-6.8000000000000005E-2</v>
      </c>
    </row>
    <row r="789" spans="1:13" hidden="1" x14ac:dyDescent="0.35">
      <c r="A789" s="112" t="s">
        <v>1814</v>
      </c>
      <c r="B789" s="112" t="s">
        <v>905</v>
      </c>
      <c r="C789" s="112" t="s">
        <v>695</v>
      </c>
      <c r="D789" s="113">
        <v>10347977</v>
      </c>
      <c r="E789" s="115">
        <v>43924</v>
      </c>
      <c r="F789" s="114">
        <v>202101</v>
      </c>
      <c r="G789" s="112" t="s">
        <v>1091</v>
      </c>
      <c r="H789" s="112" t="s">
        <v>1015</v>
      </c>
      <c r="I789" s="112" t="s">
        <v>757</v>
      </c>
      <c r="J789" s="112" t="s">
        <v>1822</v>
      </c>
      <c r="K789" s="112" t="s">
        <v>2366</v>
      </c>
      <c r="L789" s="116">
        <v>-27</v>
      </c>
      <c r="M789" s="116">
        <f t="shared" si="12"/>
        <v>-2.7E-2</v>
      </c>
    </row>
    <row r="790" spans="1:13" hidden="1" x14ac:dyDescent="0.35">
      <c r="A790" s="112" t="s">
        <v>1814</v>
      </c>
      <c r="B790" s="112" t="s">
        <v>905</v>
      </c>
      <c r="C790" s="112" t="s">
        <v>695</v>
      </c>
      <c r="D790" s="113">
        <v>10347977</v>
      </c>
      <c r="E790" s="115">
        <v>43924</v>
      </c>
      <c r="F790" s="114">
        <v>202101</v>
      </c>
      <c r="G790" s="112" t="s">
        <v>1091</v>
      </c>
      <c r="H790" s="112" t="s">
        <v>1015</v>
      </c>
      <c r="I790" s="112" t="s">
        <v>749</v>
      </c>
      <c r="J790" s="112" t="s">
        <v>1822</v>
      </c>
      <c r="K790" s="112" t="s">
        <v>2367</v>
      </c>
      <c r="L790" s="116">
        <v>-152</v>
      </c>
      <c r="M790" s="116">
        <f t="shared" si="12"/>
        <v>-0.152</v>
      </c>
    </row>
    <row r="791" spans="1:13" hidden="1" x14ac:dyDescent="0.35">
      <c r="A791" s="112" t="s">
        <v>1814</v>
      </c>
      <c r="B791" s="112" t="s">
        <v>905</v>
      </c>
      <c r="C791" s="112" t="s">
        <v>695</v>
      </c>
      <c r="D791" s="113">
        <v>10347977</v>
      </c>
      <c r="E791" s="115">
        <v>43924</v>
      </c>
      <c r="F791" s="114">
        <v>202101</v>
      </c>
      <c r="G791" s="112" t="s">
        <v>1091</v>
      </c>
      <c r="H791" s="112" t="s">
        <v>1015</v>
      </c>
      <c r="I791" s="112" t="s">
        <v>751</v>
      </c>
      <c r="J791" s="112" t="s">
        <v>1822</v>
      </c>
      <c r="K791" s="112" t="s">
        <v>2369</v>
      </c>
      <c r="L791" s="116">
        <v>-27</v>
      </c>
      <c r="M791" s="116">
        <f t="shared" si="12"/>
        <v>-2.7E-2</v>
      </c>
    </row>
    <row r="792" spans="1:13" hidden="1" x14ac:dyDescent="0.35">
      <c r="A792" s="112" t="s">
        <v>1814</v>
      </c>
      <c r="B792" s="112" t="s">
        <v>905</v>
      </c>
      <c r="C792" s="112" t="s">
        <v>695</v>
      </c>
      <c r="D792" s="113">
        <v>10347977</v>
      </c>
      <c r="E792" s="115">
        <v>43924</v>
      </c>
      <c r="F792" s="114">
        <v>202101</v>
      </c>
      <c r="G792" s="112" t="s">
        <v>1091</v>
      </c>
      <c r="H792" s="112" t="s">
        <v>1015</v>
      </c>
      <c r="I792" s="112" t="s">
        <v>757</v>
      </c>
      <c r="J792" s="112" t="s">
        <v>1822</v>
      </c>
      <c r="K792" s="112" t="s">
        <v>2371</v>
      </c>
      <c r="L792" s="116">
        <v>-35</v>
      </c>
      <c r="M792" s="116">
        <f t="shared" si="12"/>
        <v>-3.5000000000000003E-2</v>
      </c>
    </row>
    <row r="793" spans="1:13" hidden="1" x14ac:dyDescent="0.35">
      <c r="A793" s="112" t="s">
        <v>1814</v>
      </c>
      <c r="B793" s="112" t="s">
        <v>905</v>
      </c>
      <c r="C793" s="112" t="s">
        <v>695</v>
      </c>
      <c r="D793" s="113">
        <v>10347977</v>
      </c>
      <c r="E793" s="115">
        <v>43924</v>
      </c>
      <c r="F793" s="114">
        <v>202101</v>
      </c>
      <c r="G793" s="112" t="s">
        <v>1091</v>
      </c>
      <c r="H793" s="112" t="s">
        <v>1015</v>
      </c>
      <c r="I793" s="112" t="s">
        <v>749</v>
      </c>
      <c r="J793" s="112" t="s">
        <v>1822</v>
      </c>
      <c r="K793" s="112" t="s">
        <v>2374</v>
      </c>
      <c r="L793" s="116">
        <v>-180</v>
      </c>
      <c r="M793" s="116">
        <f t="shared" si="12"/>
        <v>-0.18</v>
      </c>
    </row>
    <row r="794" spans="1:13" hidden="1" x14ac:dyDescent="0.35">
      <c r="A794" s="112" t="s">
        <v>1814</v>
      </c>
      <c r="B794" s="112" t="s">
        <v>905</v>
      </c>
      <c r="C794" s="112" t="s">
        <v>695</v>
      </c>
      <c r="D794" s="113">
        <v>10348513</v>
      </c>
      <c r="E794" s="115">
        <v>43949</v>
      </c>
      <c r="F794" s="114">
        <v>202101</v>
      </c>
      <c r="G794" s="112" t="s">
        <v>1091</v>
      </c>
      <c r="H794" s="112" t="s">
        <v>1016</v>
      </c>
      <c r="I794" s="112" t="s">
        <v>680</v>
      </c>
      <c r="J794" s="112" t="s">
        <v>1959</v>
      </c>
      <c r="K794" s="112" t="s">
        <v>2380</v>
      </c>
      <c r="L794" s="116">
        <v>241850</v>
      </c>
      <c r="M794" s="116">
        <f t="shared" si="12"/>
        <v>241.85</v>
      </c>
    </row>
    <row r="795" spans="1:13" hidden="1" x14ac:dyDescent="0.35">
      <c r="A795" s="112" t="s">
        <v>1814</v>
      </c>
      <c r="B795" s="112" t="s">
        <v>906</v>
      </c>
      <c r="C795" s="112" t="s">
        <v>695</v>
      </c>
      <c r="D795" s="113">
        <v>10347956</v>
      </c>
      <c r="E795" s="115">
        <v>43923</v>
      </c>
      <c r="F795" s="114">
        <v>202101</v>
      </c>
      <c r="G795" s="112" t="s">
        <v>1091</v>
      </c>
      <c r="H795" s="112" t="s">
        <v>1015</v>
      </c>
      <c r="I795" s="112" t="s">
        <v>813</v>
      </c>
      <c r="J795" s="112" t="s">
        <v>1815</v>
      </c>
      <c r="K795" s="112" t="s">
        <v>1818</v>
      </c>
      <c r="L795" s="116">
        <v>-46.46</v>
      </c>
      <c r="M795" s="116">
        <f t="shared" si="12"/>
        <v>-4.6460000000000001E-2</v>
      </c>
    </row>
    <row r="796" spans="1:13" hidden="1" x14ac:dyDescent="0.35">
      <c r="A796" s="112" t="s">
        <v>1814</v>
      </c>
      <c r="B796" s="112" t="s">
        <v>906</v>
      </c>
      <c r="C796" s="112" t="s">
        <v>695</v>
      </c>
      <c r="D796" s="113">
        <v>10347956</v>
      </c>
      <c r="E796" s="115">
        <v>43923</v>
      </c>
      <c r="F796" s="114">
        <v>202101</v>
      </c>
      <c r="G796" s="112" t="s">
        <v>1091</v>
      </c>
      <c r="H796" s="112" t="s">
        <v>1015</v>
      </c>
      <c r="I796" s="112" t="s">
        <v>813</v>
      </c>
      <c r="J796" s="112" t="s">
        <v>1815</v>
      </c>
      <c r="K796" s="112" t="s">
        <v>1833</v>
      </c>
      <c r="L796" s="116">
        <v>-93.36</v>
      </c>
      <c r="M796" s="116">
        <f t="shared" si="12"/>
        <v>-9.3359999999999999E-2</v>
      </c>
    </row>
    <row r="797" spans="1:13" hidden="1" x14ac:dyDescent="0.35">
      <c r="A797" s="112" t="s">
        <v>1814</v>
      </c>
      <c r="B797" s="112" t="s">
        <v>905</v>
      </c>
      <c r="C797" s="112" t="s">
        <v>695</v>
      </c>
      <c r="D797" s="113">
        <v>10347977</v>
      </c>
      <c r="E797" s="115">
        <v>43924</v>
      </c>
      <c r="F797" s="114">
        <v>202101</v>
      </c>
      <c r="G797" s="112" t="s">
        <v>1091</v>
      </c>
      <c r="H797" s="112" t="s">
        <v>1015</v>
      </c>
      <c r="I797" s="112" t="s">
        <v>751</v>
      </c>
      <c r="J797" s="112" t="s">
        <v>1822</v>
      </c>
      <c r="K797" s="112" t="s">
        <v>2387</v>
      </c>
      <c r="L797" s="116">
        <v>-103</v>
      </c>
      <c r="M797" s="116">
        <f t="shared" si="12"/>
        <v>-0.10299999999999999</v>
      </c>
    </row>
    <row r="798" spans="1:13" hidden="1" x14ac:dyDescent="0.35">
      <c r="A798" s="112" t="s">
        <v>1814</v>
      </c>
      <c r="B798" s="112" t="s">
        <v>906</v>
      </c>
      <c r="C798" s="112" t="s">
        <v>695</v>
      </c>
      <c r="D798" s="113">
        <v>10347956</v>
      </c>
      <c r="E798" s="115">
        <v>43923</v>
      </c>
      <c r="F798" s="114">
        <v>202101</v>
      </c>
      <c r="G798" s="112" t="s">
        <v>1091</v>
      </c>
      <c r="H798" s="112" t="s">
        <v>1015</v>
      </c>
      <c r="I798" s="112" t="s">
        <v>813</v>
      </c>
      <c r="J798" s="112" t="s">
        <v>1815</v>
      </c>
      <c r="K798" s="112" t="s">
        <v>1830</v>
      </c>
      <c r="L798" s="116">
        <v>-69.7</v>
      </c>
      <c r="M798" s="116">
        <f t="shared" si="12"/>
        <v>-6.9699999999999998E-2</v>
      </c>
    </row>
    <row r="799" spans="1:13" hidden="1" x14ac:dyDescent="0.35">
      <c r="A799" s="112" t="s">
        <v>1814</v>
      </c>
      <c r="B799" s="112" t="s">
        <v>905</v>
      </c>
      <c r="C799" s="112" t="s">
        <v>695</v>
      </c>
      <c r="D799" s="113">
        <v>10347977</v>
      </c>
      <c r="E799" s="115">
        <v>43924</v>
      </c>
      <c r="F799" s="114">
        <v>202101</v>
      </c>
      <c r="G799" s="112" t="s">
        <v>1091</v>
      </c>
      <c r="H799" s="112" t="s">
        <v>1015</v>
      </c>
      <c r="I799" s="112" t="s">
        <v>749</v>
      </c>
      <c r="J799" s="112" t="s">
        <v>1822</v>
      </c>
      <c r="K799" s="112" t="s">
        <v>2390</v>
      </c>
      <c r="L799" s="116">
        <v>-142</v>
      </c>
      <c r="M799" s="116">
        <f t="shared" si="12"/>
        <v>-0.14199999999999999</v>
      </c>
    </row>
    <row r="800" spans="1:13" hidden="1" x14ac:dyDescent="0.35">
      <c r="A800" s="112" t="s">
        <v>1814</v>
      </c>
      <c r="B800" s="112" t="s">
        <v>905</v>
      </c>
      <c r="C800" s="112" t="s">
        <v>695</v>
      </c>
      <c r="D800" s="113">
        <v>10347977</v>
      </c>
      <c r="E800" s="115">
        <v>43924</v>
      </c>
      <c r="F800" s="114">
        <v>202101</v>
      </c>
      <c r="G800" s="112" t="s">
        <v>1091</v>
      </c>
      <c r="H800" s="112" t="s">
        <v>1015</v>
      </c>
      <c r="I800" s="112" t="s">
        <v>751</v>
      </c>
      <c r="J800" s="112" t="s">
        <v>1822</v>
      </c>
      <c r="K800" s="112" t="s">
        <v>2394</v>
      </c>
      <c r="L800" s="116">
        <v>-257</v>
      </c>
      <c r="M800" s="116">
        <f t="shared" si="12"/>
        <v>-0.25700000000000001</v>
      </c>
    </row>
    <row r="801" spans="1:13" hidden="1" x14ac:dyDescent="0.35">
      <c r="A801" s="112" t="s">
        <v>1814</v>
      </c>
      <c r="B801" s="112" t="s">
        <v>905</v>
      </c>
      <c r="C801" s="112" t="s">
        <v>695</v>
      </c>
      <c r="D801" s="113">
        <v>10347977</v>
      </c>
      <c r="E801" s="115">
        <v>43924</v>
      </c>
      <c r="F801" s="114">
        <v>202101</v>
      </c>
      <c r="G801" s="112" t="s">
        <v>1091</v>
      </c>
      <c r="H801" s="112" t="s">
        <v>1015</v>
      </c>
      <c r="I801" s="112" t="s">
        <v>749</v>
      </c>
      <c r="J801" s="112" t="s">
        <v>1822</v>
      </c>
      <c r="K801" s="112" t="s">
        <v>2395</v>
      </c>
      <c r="L801" s="116">
        <v>-31</v>
      </c>
      <c r="M801" s="116">
        <f t="shared" si="12"/>
        <v>-3.1E-2</v>
      </c>
    </row>
    <row r="802" spans="1:13" hidden="1" x14ac:dyDescent="0.35">
      <c r="A802" s="112" t="s">
        <v>1814</v>
      </c>
      <c r="B802" s="112" t="s">
        <v>906</v>
      </c>
      <c r="C802" s="112" t="s">
        <v>695</v>
      </c>
      <c r="D802" s="113">
        <v>10347956</v>
      </c>
      <c r="E802" s="115">
        <v>43923</v>
      </c>
      <c r="F802" s="114">
        <v>202101</v>
      </c>
      <c r="G802" s="112" t="s">
        <v>1091</v>
      </c>
      <c r="H802" s="112" t="s">
        <v>1015</v>
      </c>
      <c r="I802" s="112" t="s">
        <v>1873</v>
      </c>
      <c r="J802" s="112" t="s">
        <v>1815</v>
      </c>
      <c r="K802" s="112" t="s">
        <v>1110</v>
      </c>
      <c r="L802" s="116">
        <v>-49.29</v>
      </c>
      <c r="M802" s="116">
        <f t="shared" si="12"/>
        <v>-4.929E-2</v>
      </c>
    </row>
    <row r="803" spans="1:13" hidden="1" x14ac:dyDescent="0.35">
      <c r="A803" s="112" t="s">
        <v>1814</v>
      </c>
      <c r="B803" s="112" t="s">
        <v>905</v>
      </c>
      <c r="C803" s="112" t="s">
        <v>695</v>
      </c>
      <c r="D803" s="113">
        <v>10347977</v>
      </c>
      <c r="E803" s="115">
        <v>43924</v>
      </c>
      <c r="F803" s="114">
        <v>202101</v>
      </c>
      <c r="G803" s="112" t="s">
        <v>1091</v>
      </c>
      <c r="H803" s="112" t="s">
        <v>1015</v>
      </c>
      <c r="I803" s="112" t="s">
        <v>749</v>
      </c>
      <c r="J803" s="112" t="s">
        <v>1839</v>
      </c>
      <c r="K803" s="112" t="s">
        <v>1844</v>
      </c>
      <c r="L803" s="116">
        <v>-138</v>
      </c>
      <c r="M803" s="116">
        <f t="shared" si="12"/>
        <v>-0.13800000000000001</v>
      </c>
    </row>
    <row r="804" spans="1:13" hidden="1" x14ac:dyDescent="0.35">
      <c r="A804" s="112" t="s">
        <v>1814</v>
      </c>
      <c r="B804" s="112" t="s">
        <v>905</v>
      </c>
      <c r="C804" s="112" t="s">
        <v>695</v>
      </c>
      <c r="D804" s="113">
        <v>10347977</v>
      </c>
      <c r="E804" s="115">
        <v>43924</v>
      </c>
      <c r="F804" s="114">
        <v>202101</v>
      </c>
      <c r="G804" s="112" t="s">
        <v>1091</v>
      </c>
      <c r="H804" s="112" t="s">
        <v>1015</v>
      </c>
      <c r="I804" s="112" t="s">
        <v>751</v>
      </c>
      <c r="J804" s="112" t="s">
        <v>1822</v>
      </c>
      <c r="K804" s="112" t="s">
        <v>2396</v>
      </c>
      <c r="L804" s="116">
        <v>-83</v>
      </c>
      <c r="M804" s="116">
        <f t="shared" si="12"/>
        <v>-8.3000000000000004E-2</v>
      </c>
    </row>
    <row r="805" spans="1:13" hidden="1" x14ac:dyDescent="0.35">
      <c r="A805" s="112" t="s">
        <v>1814</v>
      </c>
      <c r="B805" s="112" t="s">
        <v>906</v>
      </c>
      <c r="C805" s="112" t="s">
        <v>695</v>
      </c>
      <c r="D805" s="113">
        <v>10347956</v>
      </c>
      <c r="E805" s="115">
        <v>43923</v>
      </c>
      <c r="F805" s="114">
        <v>202101</v>
      </c>
      <c r="G805" s="112" t="s">
        <v>1091</v>
      </c>
      <c r="H805" s="112" t="s">
        <v>1015</v>
      </c>
      <c r="I805" s="112" t="s">
        <v>1873</v>
      </c>
      <c r="J805" s="112" t="s">
        <v>1815</v>
      </c>
      <c r="K805" s="112" t="s">
        <v>1110</v>
      </c>
      <c r="L805" s="116">
        <v>-824.72</v>
      </c>
      <c r="M805" s="116">
        <f t="shared" si="12"/>
        <v>-0.82472000000000001</v>
      </c>
    </row>
    <row r="806" spans="1:13" hidden="1" x14ac:dyDescent="0.35">
      <c r="A806" s="112" t="s">
        <v>1814</v>
      </c>
      <c r="B806" s="112" t="s">
        <v>905</v>
      </c>
      <c r="C806" s="112" t="s">
        <v>695</v>
      </c>
      <c r="D806" s="113">
        <v>10347977</v>
      </c>
      <c r="E806" s="115">
        <v>43924</v>
      </c>
      <c r="F806" s="114">
        <v>202101</v>
      </c>
      <c r="G806" s="112" t="s">
        <v>1091</v>
      </c>
      <c r="H806" s="112" t="s">
        <v>1015</v>
      </c>
      <c r="I806" s="112" t="s">
        <v>751</v>
      </c>
      <c r="J806" s="112" t="s">
        <v>1822</v>
      </c>
      <c r="K806" s="112" t="s">
        <v>2398</v>
      </c>
      <c r="L806" s="116">
        <v>-48</v>
      </c>
      <c r="M806" s="116">
        <f t="shared" si="12"/>
        <v>-4.8000000000000001E-2</v>
      </c>
    </row>
    <row r="807" spans="1:13" hidden="1" x14ac:dyDescent="0.35">
      <c r="A807" s="112" t="s">
        <v>1814</v>
      </c>
      <c r="B807" s="112" t="s">
        <v>906</v>
      </c>
      <c r="C807" s="112" t="s">
        <v>695</v>
      </c>
      <c r="D807" s="113">
        <v>10347956</v>
      </c>
      <c r="E807" s="115">
        <v>43923</v>
      </c>
      <c r="F807" s="114">
        <v>202101</v>
      </c>
      <c r="G807" s="112" t="s">
        <v>1091</v>
      </c>
      <c r="H807" s="112" t="s">
        <v>1015</v>
      </c>
      <c r="I807" s="112" t="s">
        <v>1873</v>
      </c>
      <c r="J807" s="112" t="s">
        <v>1815</v>
      </c>
      <c r="K807" s="112" t="s">
        <v>1110</v>
      </c>
      <c r="L807" s="116">
        <v>-678.5</v>
      </c>
      <c r="M807" s="116">
        <f t="shared" si="12"/>
        <v>-0.67849999999999999</v>
      </c>
    </row>
    <row r="808" spans="1:13" hidden="1" x14ac:dyDescent="0.35">
      <c r="A808" s="112" t="s">
        <v>1814</v>
      </c>
      <c r="B808" s="112" t="s">
        <v>905</v>
      </c>
      <c r="C808" s="112" t="s">
        <v>695</v>
      </c>
      <c r="D808" s="113">
        <v>10347977</v>
      </c>
      <c r="E808" s="115">
        <v>43924</v>
      </c>
      <c r="F808" s="114">
        <v>202101</v>
      </c>
      <c r="G808" s="112" t="s">
        <v>1091</v>
      </c>
      <c r="H808" s="112" t="s">
        <v>1015</v>
      </c>
      <c r="I808" s="112" t="s">
        <v>749</v>
      </c>
      <c r="J808" s="112" t="s">
        <v>1822</v>
      </c>
      <c r="K808" s="112" t="s">
        <v>2401</v>
      </c>
      <c r="L808" s="116">
        <v>-120</v>
      </c>
      <c r="M808" s="116">
        <f t="shared" si="12"/>
        <v>-0.12</v>
      </c>
    </row>
    <row r="809" spans="1:13" hidden="1" x14ac:dyDescent="0.35">
      <c r="A809" s="112" t="s">
        <v>1814</v>
      </c>
      <c r="B809" s="112" t="s">
        <v>905</v>
      </c>
      <c r="C809" s="112" t="s">
        <v>695</v>
      </c>
      <c r="D809" s="113">
        <v>10347977</v>
      </c>
      <c r="E809" s="115">
        <v>43924</v>
      </c>
      <c r="F809" s="114">
        <v>202101</v>
      </c>
      <c r="G809" s="112" t="s">
        <v>1091</v>
      </c>
      <c r="H809" s="112" t="s">
        <v>1015</v>
      </c>
      <c r="I809" s="112" t="s">
        <v>749</v>
      </c>
      <c r="J809" s="112" t="s">
        <v>1822</v>
      </c>
      <c r="K809" s="112" t="s">
        <v>2402</v>
      </c>
      <c r="L809" s="116">
        <v>-146</v>
      </c>
      <c r="M809" s="116">
        <f t="shared" si="12"/>
        <v>-0.14599999999999999</v>
      </c>
    </row>
    <row r="810" spans="1:13" hidden="1" x14ac:dyDescent="0.35">
      <c r="A810" s="112" t="s">
        <v>1814</v>
      </c>
      <c r="B810" s="112" t="s">
        <v>906</v>
      </c>
      <c r="C810" s="112" t="s">
        <v>695</v>
      </c>
      <c r="D810" s="113">
        <v>10347956</v>
      </c>
      <c r="E810" s="115">
        <v>43923</v>
      </c>
      <c r="F810" s="114">
        <v>202101</v>
      </c>
      <c r="G810" s="112" t="s">
        <v>1091</v>
      </c>
      <c r="H810" s="112" t="s">
        <v>1015</v>
      </c>
      <c r="I810" s="112" t="s">
        <v>813</v>
      </c>
      <c r="J810" s="112" t="s">
        <v>1815</v>
      </c>
      <c r="K810" s="112" t="s">
        <v>2268</v>
      </c>
      <c r="L810" s="116">
        <v>-46.46</v>
      </c>
      <c r="M810" s="116">
        <f t="shared" si="12"/>
        <v>-4.6460000000000001E-2</v>
      </c>
    </row>
    <row r="811" spans="1:13" hidden="1" x14ac:dyDescent="0.35">
      <c r="A811" s="112" t="s">
        <v>1814</v>
      </c>
      <c r="B811" s="112" t="s">
        <v>905</v>
      </c>
      <c r="C811" s="112" t="s">
        <v>695</v>
      </c>
      <c r="D811" s="113">
        <v>10347977</v>
      </c>
      <c r="E811" s="115">
        <v>43924</v>
      </c>
      <c r="F811" s="114">
        <v>202101</v>
      </c>
      <c r="G811" s="112" t="s">
        <v>1091</v>
      </c>
      <c r="H811" s="112" t="s">
        <v>1015</v>
      </c>
      <c r="I811" s="112" t="s">
        <v>757</v>
      </c>
      <c r="J811" s="112" t="s">
        <v>1822</v>
      </c>
      <c r="K811" s="112" t="s">
        <v>2404</v>
      </c>
      <c r="L811" s="116">
        <v>-51</v>
      </c>
      <c r="M811" s="116">
        <f t="shared" si="12"/>
        <v>-5.0999999999999997E-2</v>
      </c>
    </row>
    <row r="812" spans="1:13" hidden="1" x14ac:dyDescent="0.35">
      <c r="A812" s="112" t="s">
        <v>1814</v>
      </c>
      <c r="B812" s="112" t="s">
        <v>905</v>
      </c>
      <c r="C812" s="112" t="s">
        <v>695</v>
      </c>
      <c r="D812" s="113">
        <v>10347977</v>
      </c>
      <c r="E812" s="115">
        <v>43924</v>
      </c>
      <c r="F812" s="114">
        <v>202101</v>
      </c>
      <c r="G812" s="112" t="s">
        <v>1091</v>
      </c>
      <c r="H812" s="112" t="s">
        <v>1015</v>
      </c>
      <c r="I812" s="112" t="s">
        <v>749</v>
      </c>
      <c r="J812" s="112" t="s">
        <v>1822</v>
      </c>
      <c r="K812" s="112" t="s">
        <v>2405</v>
      </c>
      <c r="L812" s="116">
        <v>-21</v>
      </c>
      <c r="M812" s="116">
        <f t="shared" si="12"/>
        <v>-2.1000000000000001E-2</v>
      </c>
    </row>
    <row r="813" spans="1:13" hidden="1" x14ac:dyDescent="0.35">
      <c r="A813" s="112" t="s">
        <v>1814</v>
      </c>
      <c r="B813" s="112" t="s">
        <v>905</v>
      </c>
      <c r="C813" s="112" t="s">
        <v>695</v>
      </c>
      <c r="D813" s="113">
        <v>10347977</v>
      </c>
      <c r="E813" s="115">
        <v>43924</v>
      </c>
      <c r="F813" s="114">
        <v>202101</v>
      </c>
      <c r="G813" s="112" t="s">
        <v>1091</v>
      </c>
      <c r="H813" s="112" t="s">
        <v>1015</v>
      </c>
      <c r="I813" s="112" t="s">
        <v>749</v>
      </c>
      <c r="J813" s="112" t="s">
        <v>1822</v>
      </c>
      <c r="K813" s="112" t="s">
        <v>2406</v>
      </c>
      <c r="L813" s="116">
        <v>-150</v>
      </c>
      <c r="M813" s="116">
        <f t="shared" si="12"/>
        <v>-0.15</v>
      </c>
    </row>
    <row r="814" spans="1:13" hidden="1" x14ac:dyDescent="0.35">
      <c r="A814" s="112" t="s">
        <v>1814</v>
      </c>
      <c r="B814" s="112" t="s">
        <v>905</v>
      </c>
      <c r="C814" s="112" t="s">
        <v>695</v>
      </c>
      <c r="D814" s="113">
        <v>10347977</v>
      </c>
      <c r="E814" s="115">
        <v>43924</v>
      </c>
      <c r="F814" s="114">
        <v>202101</v>
      </c>
      <c r="G814" s="112" t="s">
        <v>1091</v>
      </c>
      <c r="H814" s="112" t="s">
        <v>1015</v>
      </c>
      <c r="I814" s="112" t="s">
        <v>757</v>
      </c>
      <c r="J814" s="112" t="s">
        <v>1822</v>
      </c>
      <c r="K814" s="112" t="s">
        <v>2407</v>
      </c>
      <c r="L814" s="116">
        <v>-51</v>
      </c>
      <c r="M814" s="116">
        <f t="shared" si="12"/>
        <v>-5.0999999999999997E-2</v>
      </c>
    </row>
    <row r="815" spans="1:13" hidden="1" x14ac:dyDescent="0.35">
      <c r="A815" s="112" t="s">
        <v>1814</v>
      </c>
      <c r="B815" s="112" t="s">
        <v>905</v>
      </c>
      <c r="C815" s="112" t="s">
        <v>695</v>
      </c>
      <c r="D815" s="113">
        <v>10347977</v>
      </c>
      <c r="E815" s="115">
        <v>43924</v>
      </c>
      <c r="F815" s="114">
        <v>202101</v>
      </c>
      <c r="G815" s="112" t="s">
        <v>1091</v>
      </c>
      <c r="H815" s="112" t="s">
        <v>1015</v>
      </c>
      <c r="I815" s="112" t="s">
        <v>751</v>
      </c>
      <c r="J815" s="112" t="s">
        <v>1822</v>
      </c>
      <c r="K815" s="112" t="s">
        <v>2408</v>
      </c>
      <c r="L815" s="116">
        <v>-56</v>
      </c>
      <c r="M815" s="116">
        <f t="shared" si="12"/>
        <v>-5.6000000000000001E-2</v>
      </c>
    </row>
    <row r="816" spans="1:13" hidden="1" x14ac:dyDescent="0.35">
      <c r="A816" s="112" t="s">
        <v>1814</v>
      </c>
      <c r="B816" s="112" t="s">
        <v>905</v>
      </c>
      <c r="C816" s="112" t="s">
        <v>695</v>
      </c>
      <c r="D816" s="113">
        <v>10347977</v>
      </c>
      <c r="E816" s="115">
        <v>43924</v>
      </c>
      <c r="F816" s="114">
        <v>202101</v>
      </c>
      <c r="G816" s="112" t="s">
        <v>1091</v>
      </c>
      <c r="H816" s="112" t="s">
        <v>1015</v>
      </c>
      <c r="I816" s="112" t="s">
        <v>757</v>
      </c>
      <c r="J816" s="112" t="s">
        <v>1822</v>
      </c>
      <c r="K816" s="112" t="s">
        <v>2409</v>
      </c>
      <c r="L816" s="116">
        <v>-17</v>
      </c>
      <c r="M816" s="116">
        <f t="shared" si="12"/>
        <v>-1.7000000000000001E-2</v>
      </c>
    </row>
    <row r="817" spans="1:13" hidden="1" x14ac:dyDescent="0.35">
      <c r="A817" s="112" t="s">
        <v>1814</v>
      </c>
      <c r="B817" s="112" t="s">
        <v>905</v>
      </c>
      <c r="C817" s="112" t="s">
        <v>695</v>
      </c>
      <c r="D817" s="113">
        <v>10347977</v>
      </c>
      <c r="E817" s="115">
        <v>43924</v>
      </c>
      <c r="F817" s="114">
        <v>202101</v>
      </c>
      <c r="G817" s="112" t="s">
        <v>1091</v>
      </c>
      <c r="H817" s="112" t="s">
        <v>1015</v>
      </c>
      <c r="I817" s="112" t="s">
        <v>749</v>
      </c>
      <c r="J817" s="112" t="s">
        <v>1822</v>
      </c>
      <c r="K817" s="112" t="s">
        <v>2410</v>
      </c>
      <c r="L817" s="116">
        <v>-146</v>
      </c>
      <c r="M817" s="116">
        <f t="shared" si="12"/>
        <v>-0.14599999999999999</v>
      </c>
    </row>
    <row r="818" spans="1:13" hidden="1" x14ac:dyDescent="0.35">
      <c r="A818" s="112" t="s">
        <v>1814</v>
      </c>
      <c r="B818" s="112" t="s">
        <v>905</v>
      </c>
      <c r="C818" s="112" t="s">
        <v>695</v>
      </c>
      <c r="D818" s="113">
        <v>10347977</v>
      </c>
      <c r="E818" s="115">
        <v>43924</v>
      </c>
      <c r="F818" s="114">
        <v>202101</v>
      </c>
      <c r="G818" s="112" t="s">
        <v>1091</v>
      </c>
      <c r="H818" s="112" t="s">
        <v>1015</v>
      </c>
      <c r="I818" s="112" t="s">
        <v>749</v>
      </c>
      <c r="J818" s="112" t="s">
        <v>1822</v>
      </c>
      <c r="K818" s="112" t="s">
        <v>2412</v>
      </c>
      <c r="L818" s="116">
        <v>-228</v>
      </c>
      <c r="M818" s="116">
        <f t="shared" si="12"/>
        <v>-0.22800000000000001</v>
      </c>
    </row>
    <row r="819" spans="1:13" hidden="1" x14ac:dyDescent="0.35">
      <c r="A819" s="112" t="s">
        <v>1814</v>
      </c>
      <c r="B819" s="112" t="s">
        <v>905</v>
      </c>
      <c r="C819" s="112" t="s">
        <v>695</v>
      </c>
      <c r="D819" s="113">
        <v>10347977</v>
      </c>
      <c r="E819" s="115">
        <v>43924</v>
      </c>
      <c r="F819" s="114">
        <v>202101</v>
      </c>
      <c r="G819" s="112" t="s">
        <v>1091</v>
      </c>
      <c r="H819" s="112" t="s">
        <v>1015</v>
      </c>
      <c r="I819" s="112" t="s">
        <v>751</v>
      </c>
      <c r="J819" s="112" t="s">
        <v>1822</v>
      </c>
      <c r="K819" s="112" t="s">
        <v>2413</v>
      </c>
      <c r="L819" s="116">
        <v>-130</v>
      </c>
      <c r="M819" s="116">
        <f t="shared" si="12"/>
        <v>-0.13</v>
      </c>
    </row>
    <row r="820" spans="1:13" hidden="1" x14ac:dyDescent="0.35">
      <c r="A820" s="112" t="s">
        <v>1814</v>
      </c>
      <c r="B820" s="112" t="s">
        <v>905</v>
      </c>
      <c r="C820" s="112" t="s">
        <v>695</v>
      </c>
      <c r="D820" s="113">
        <v>10347977</v>
      </c>
      <c r="E820" s="115">
        <v>43924</v>
      </c>
      <c r="F820" s="114">
        <v>202101</v>
      </c>
      <c r="G820" s="112" t="s">
        <v>1091</v>
      </c>
      <c r="H820" s="112" t="s">
        <v>1015</v>
      </c>
      <c r="I820" s="112" t="s">
        <v>757</v>
      </c>
      <c r="J820" s="112" t="s">
        <v>1822</v>
      </c>
      <c r="K820" s="112" t="s">
        <v>2414</v>
      </c>
      <c r="L820" s="116">
        <v>-109</v>
      </c>
      <c r="M820" s="116">
        <f t="shared" si="12"/>
        <v>-0.109</v>
      </c>
    </row>
    <row r="821" spans="1:13" hidden="1" x14ac:dyDescent="0.35">
      <c r="A821" s="112" t="s">
        <v>1814</v>
      </c>
      <c r="B821" s="112" t="s">
        <v>905</v>
      </c>
      <c r="C821" s="112" t="s">
        <v>695</v>
      </c>
      <c r="D821" s="113">
        <v>10347977</v>
      </c>
      <c r="E821" s="115">
        <v>43924</v>
      </c>
      <c r="F821" s="114">
        <v>202101</v>
      </c>
      <c r="G821" s="112" t="s">
        <v>1091</v>
      </c>
      <c r="H821" s="112" t="s">
        <v>1015</v>
      </c>
      <c r="I821" s="112" t="s">
        <v>757</v>
      </c>
      <c r="J821" s="112" t="s">
        <v>1822</v>
      </c>
      <c r="K821" s="112" t="s">
        <v>2415</v>
      </c>
      <c r="L821" s="116">
        <v>-30</v>
      </c>
      <c r="M821" s="116">
        <f t="shared" si="12"/>
        <v>-0.03</v>
      </c>
    </row>
    <row r="822" spans="1:13" hidden="1" x14ac:dyDescent="0.35">
      <c r="A822" s="112" t="s">
        <v>1814</v>
      </c>
      <c r="B822" s="112" t="s">
        <v>905</v>
      </c>
      <c r="C822" s="112" t="s">
        <v>695</v>
      </c>
      <c r="D822" s="113">
        <v>10347977</v>
      </c>
      <c r="E822" s="115">
        <v>43924</v>
      </c>
      <c r="F822" s="114">
        <v>202101</v>
      </c>
      <c r="G822" s="112" t="s">
        <v>1091</v>
      </c>
      <c r="H822" s="112" t="s">
        <v>1015</v>
      </c>
      <c r="I822" s="112" t="s">
        <v>749</v>
      </c>
      <c r="J822" s="112" t="s">
        <v>1822</v>
      </c>
      <c r="K822" s="112" t="s">
        <v>2418</v>
      </c>
      <c r="L822" s="116">
        <v>-81</v>
      </c>
      <c r="M822" s="116">
        <f t="shared" si="12"/>
        <v>-8.1000000000000003E-2</v>
      </c>
    </row>
    <row r="823" spans="1:13" hidden="1" x14ac:dyDescent="0.35">
      <c r="A823" s="112" t="s">
        <v>1814</v>
      </c>
      <c r="B823" s="112" t="s">
        <v>905</v>
      </c>
      <c r="C823" s="112" t="s">
        <v>695</v>
      </c>
      <c r="D823" s="113">
        <v>10347977</v>
      </c>
      <c r="E823" s="115">
        <v>43924</v>
      </c>
      <c r="F823" s="114">
        <v>202101</v>
      </c>
      <c r="G823" s="112" t="s">
        <v>1091</v>
      </c>
      <c r="H823" s="112" t="s">
        <v>1015</v>
      </c>
      <c r="I823" s="112" t="s">
        <v>749</v>
      </c>
      <c r="J823" s="112" t="s">
        <v>1839</v>
      </c>
      <c r="K823" s="112" t="s">
        <v>1844</v>
      </c>
      <c r="L823" s="116">
        <v>-355</v>
      </c>
      <c r="M823" s="116">
        <f t="shared" si="12"/>
        <v>-0.35499999999999998</v>
      </c>
    </row>
    <row r="824" spans="1:13" hidden="1" x14ac:dyDescent="0.35">
      <c r="A824" s="112" t="s">
        <v>1814</v>
      </c>
      <c r="B824" s="112" t="s">
        <v>905</v>
      </c>
      <c r="C824" s="112" t="s">
        <v>695</v>
      </c>
      <c r="D824" s="113">
        <v>10347977</v>
      </c>
      <c r="E824" s="115">
        <v>43924</v>
      </c>
      <c r="F824" s="114">
        <v>202101</v>
      </c>
      <c r="G824" s="112" t="s">
        <v>1091</v>
      </c>
      <c r="H824" s="112" t="s">
        <v>1015</v>
      </c>
      <c r="I824" s="112" t="s">
        <v>757</v>
      </c>
      <c r="J824" s="112" t="s">
        <v>1822</v>
      </c>
      <c r="K824" s="112" t="s">
        <v>2419</v>
      </c>
      <c r="L824" s="116">
        <v>-26</v>
      </c>
      <c r="M824" s="116">
        <f t="shared" si="12"/>
        <v>-2.5999999999999999E-2</v>
      </c>
    </row>
    <row r="825" spans="1:13" hidden="1" x14ac:dyDescent="0.35">
      <c r="A825" s="112" t="s">
        <v>1814</v>
      </c>
      <c r="B825" s="112" t="s">
        <v>906</v>
      </c>
      <c r="C825" s="112" t="s">
        <v>695</v>
      </c>
      <c r="D825" s="113">
        <v>10348034</v>
      </c>
      <c r="E825" s="115">
        <v>43928</v>
      </c>
      <c r="F825" s="114">
        <v>202101</v>
      </c>
      <c r="G825" s="112" t="s">
        <v>1091</v>
      </c>
      <c r="H825" s="112" t="s">
        <v>1015</v>
      </c>
      <c r="I825" s="112" t="s">
        <v>1211</v>
      </c>
      <c r="J825" s="112" t="s">
        <v>1852</v>
      </c>
      <c r="K825" s="112" t="s">
        <v>2420</v>
      </c>
      <c r="L825" s="116">
        <v>-1406</v>
      </c>
      <c r="M825" s="116">
        <f t="shared" si="12"/>
        <v>-1.4059999999999999</v>
      </c>
    </row>
    <row r="826" spans="1:13" hidden="1" x14ac:dyDescent="0.35">
      <c r="A826" s="112" t="s">
        <v>1814</v>
      </c>
      <c r="B826" s="112" t="s">
        <v>905</v>
      </c>
      <c r="C826" s="112" t="s">
        <v>695</v>
      </c>
      <c r="D826" s="113">
        <v>10347977</v>
      </c>
      <c r="E826" s="115">
        <v>43924</v>
      </c>
      <c r="F826" s="114">
        <v>202101</v>
      </c>
      <c r="G826" s="112" t="s">
        <v>1091</v>
      </c>
      <c r="H826" s="112" t="s">
        <v>1015</v>
      </c>
      <c r="I826" s="112" t="s">
        <v>757</v>
      </c>
      <c r="J826" s="112" t="s">
        <v>1822</v>
      </c>
      <c r="K826" s="112" t="s">
        <v>2421</v>
      </c>
      <c r="L826" s="116">
        <v>-86</v>
      </c>
      <c r="M826" s="116">
        <f t="shared" si="12"/>
        <v>-8.5999999999999993E-2</v>
      </c>
    </row>
    <row r="827" spans="1:13" hidden="1" x14ac:dyDescent="0.35">
      <c r="A827" s="112" t="s">
        <v>1814</v>
      </c>
      <c r="B827" s="112" t="s">
        <v>905</v>
      </c>
      <c r="C827" s="112" t="s">
        <v>695</v>
      </c>
      <c r="D827" s="113">
        <v>10347977</v>
      </c>
      <c r="E827" s="115">
        <v>43924</v>
      </c>
      <c r="F827" s="114">
        <v>202101</v>
      </c>
      <c r="G827" s="112" t="s">
        <v>1091</v>
      </c>
      <c r="H827" s="112" t="s">
        <v>1015</v>
      </c>
      <c r="I827" s="112" t="s">
        <v>757</v>
      </c>
      <c r="J827" s="112" t="s">
        <v>1822</v>
      </c>
      <c r="K827" s="112" t="s">
        <v>2422</v>
      </c>
      <c r="L827" s="116">
        <v>-30</v>
      </c>
      <c r="M827" s="116">
        <f t="shared" si="12"/>
        <v>-0.03</v>
      </c>
    </row>
    <row r="828" spans="1:13" hidden="1" x14ac:dyDescent="0.35">
      <c r="A828" s="112" t="s">
        <v>1814</v>
      </c>
      <c r="B828" s="112" t="s">
        <v>906</v>
      </c>
      <c r="C828" s="112" t="s">
        <v>695</v>
      </c>
      <c r="D828" s="113">
        <v>10347956</v>
      </c>
      <c r="E828" s="115">
        <v>43923</v>
      </c>
      <c r="F828" s="114">
        <v>202101</v>
      </c>
      <c r="G828" s="112" t="s">
        <v>1091</v>
      </c>
      <c r="H828" s="112" t="s">
        <v>1015</v>
      </c>
      <c r="I828" s="112" t="s">
        <v>813</v>
      </c>
      <c r="J828" s="112" t="s">
        <v>1815</v>
      </c>
      <c r="K828" s="112" t="s">
        <v>2424</v>
      </c>
      <c r="L828" s="116">
        <v>-139.38999999999999</v>
      </c>
      <c r="M828" s="116">
        <f t="shared" si="12"/>
        <v>-0.13938999999999999</v>
      </c>
    </row>
    <row r="829" spans="1:13" hidden="1" x14ac:dyDescent="0.35">
      <c r="A829" s="112" t="s">
        <v>1814</v>
      </c>
      <c r="B829" s="112" t="s">
        <v>906</v>
      </c>
      <c r="C829" s="112" t="s">
        <v>695</v>
      </c>
      <c r="D829" s="113">
        <v>10348034</v>
      </c>
      <c r="E829" s="115">
        <v>43928</v>
      </c>
      <c r="F829" s="114">
        <v>202101</v>
      </c>
      <c r="G829" s="112" t="s">
        <v>1091</v>
      </c>
      <c r="H829" s="112" t="s">
        <v>1015</v>
      </c>
      <c r="I829" s="112" t="s">
        <v>1211</v>
      </c>
      <c r="J829" s="112" t="s">
        <v>1852</v>
      </c>
      <c r="K829" s="112" t="s">
        <v>2425</v>
      </c>
      <c r="L829" s="116">
        <v>-10833.09</v>
      </c>
      <c r="M829" s="116">
        <f t="shared" si="12"/>
        <v>-10.83309</v>
      </c>
    </row>
    <row r="830" spans="1:13" hidden="1" x14ac:dyDescent="0.35">
      <c r="A830" s="112" t="s">
        <v>1814</v>
      </c>
      <c r="B830" s="112" t="s">
        <v>905</v>
      </c>
      <c r="C830" s="112" t="s">
        <v>695</v>
      </c>
      <c r="D830" s="113">
        <v>10347977</v>
      </c>
      <c r="E830" s="115">
        <v>43924</v>
      </c>
      <c r="F830" s="114">
        <v>202101</v>
      </c>
      <c r="G830" s="112" t="s">
        <v>1091</v>
      </c>
      <c r="H830" s="112" t="s">
        <v>1015</v>
      </c>
      <c r="I830" s="112" t="s">
        <v>749</v>
      </c>
      <c r="J830" s="112" t="s">
        <v>1822</v>
      </c>
      <c r="K830" s="112" t="s">
        <v>2427</v>
      </c>
      <c r="L830" s="116">
        <v>-233</v>
      </c>
      <c r="M830" s="116">
        <f t="shared" si="12"/>
        <v>-0.23300000000000001</v>
      </c>
    </row>
    <row r="831" spans="1:13" hidden="1" x14ac:dyDescent="0.35">
      <c r="A831" s="112" t="s">
        <v>1814</v>
      </c>
      <c r="B831" s="112" t="s">
        <v>906</v>
      </c>
      <c r="C831" s="112" t="s">
        <v>695</v>
      </c>
      <c r="D831" s="113">
        <v>10347956</v>
      </c>
      <c r="E831" s="115">
        <v>43923</v>
      </c>
      <c r="F831" s="114">
        <v>202101</v>
      </c>
      <c r="G831" s="112" t="s">
        <v>1091</v>
      </c>
      <c r="H831" s="112" t="s">
        <v>1015</v>
      </c>
      <c r="I831" s="112" t="s">
        <v>813</v>
      </c>
      <c r="J831" s="112" t="s">
        <v>1815</v>
      </c>
      <c r="K831" s="112" t="s">
        <v>1891</v>
      </c>
      <c r="L831" s="116">
        <v>-46.46</v>
      </c>
      <c r="M831" s="116">
        <f t="shared" si="12"/>
        <v>-4.6460000000000001E-2</v>
      </c>
    </row>
    <row r="832" spans="1:13" hidden="1" x14ac:dyDescent="0.35">
      <c r="A832" s="112" t="s">
        <v>1814</v>
      </c>
      <c r="B832" s="112" t="s">
        <v>906</v>
      </c>
      <c r="C832" s="112" t="s">
        <v>695</v>
      </c>
      <c r="D832" s="113">
        <v>10347956</v>
      </c>
      <c r="E832" s="115">
        <v>43923</v>
      </c>
      <c r="F832" s="114">
        <v>202101</v>
      </c>
      <c r="G832" s="112" t="s">
        <v>1091</v>
      </c>
      <c r="H832" s="112" t="s">
        <v>1015</v>
      </c>
      <c r="I832" s="112" t="s">
        <v>813</v>
      </c>
      <c r="J832" s="112" t="s">
        <v>1815</v>
      </c>
      <c r="K832" s="112" t="s">
        <v>1836</v>
      </c>
      <c r="L832" s="116">
        <v>-69.7</v>
      </c>
      <c r="M832" s="116">
        <f t="shared" si="12"/>
        <v>-6.9699999999999998E-2</v>
      </c>
    </row>
    <row r="833" spans="1:13" hidden="1" x14ac:dyDescent="0.35">
      <c r="A833" s="112" t="s">
        <v>1814</v>
      </c>
      <c r="B833" s="112" t="s">
        <v>906</v>
      </c>
      <c r="C833" s="112" t="s">
        <v>695</v>
      </c>
      <c r="D833" s="113">
        <v>10347956</v>
      </c>
      <c r="E833" s="115">
        <v>43923</v>
      </c>
      <c r="F833" s="114">
        <v>202101</v>
      </c>
      <c r="G833" s="112" t="s">
        <v>1091</v>
      </c>
      <c r="H833" s="112" t="s">
        <v>1015</v>
      </c>
      <c r="I833" s="112" t="s">
        <v>813</v>
      </c>
      <c r="J833" s="112" t="s">
        <v>1815</v>
      </c>
      <c r="K833" s="112" t="s">
        <v>1826</v>
      </c>
      <c r="L833" s="116">
        <v>-38.909999999999997</v>
      </c>
      <c r="M833" s="116">
        <f t="shared" si="12"/>
        <v>-3.8909999999999993E-2</v>
      </c>
    </row>
    <row r="834" spans="1:13" hidden="1" x14ac:dyDescent="0.35">
      <c r="A834" s="112" t="s">
        <v>1814</v>
      </c>
      <c r="B834" s="112" t="s">
        <v>905</v>
      </c>
      <c r="C834" s="112" t="s">
        <v>695</v>
      </c>
      <c r="D834" s="113">
        <v>10347977</v>
      </c>
      <c r="E834" s="115">
        <v>43924</v>
      </c>
      <c r="F834" s="114">
        <v>202101</v>
      </c>
      <c r="G834" s="112" t="s">
        <v>1091</v>
      </c>
      <c r="H834" s="112" t="s">
        <v>1015</v>
      </c>
      <c r="I834" s="112" t="s">
        <v>749</v>
      </c>
      <c r="J834" s="112" t="s">
        <v>1822</v>
      </c>
      <c r="K834" s="112" t="s">
        <v>2429</v>
      </c>
      <c r="L834" s="116">
        <v>-205</v>
      </c>
      <c r="M834" s="116">
        <f t="shared" si="12"/>
        <v>-0.20499999999999999</v>
      </c>
    </row>
    <row r="835" spans="1:13" hidden="1" x14ac:dyDescent="0.35">
      <c r="A835" s="112" t="s">
        <v>1814</v>
      </c>
      <c r="B835" s="112" t="s">
        <v>905</v>
      </c>
      <c r="C835" s="112" t="s">
        <v>695</v>
      </c>
      <c r="D835" s="113">
        <v>10347977</v>
      </c>
      <c r="E835" s="115">
        <v>43924</v>
      </c>
      <c r="F835" s="114">
        <v>202101</v>
      </c>
      <c r="G835" s="112" t="s">
        <v>1091</v>
      </c>
      <c r="H835" s="112" t="s">
        <v>1015</v>
      </c>
      <c r="I835" s="112" t="s">
        <v>749</v>
      </c>
      <c r="J835" s="112" t="s">
        <v>1822</v>
      </c>
      <c r="K835" s="112" t="s">
        <v>2430</v>
      </c>
      <c r="L835" s="116">
        <v>-154</v>
      </c>
      <c r="M835" s="116">
        <f t="shared" ref="M835:M898" si="13">L835/1000</f>
        <v>-0.154</v>
      </c>
    </row>
    <row r="836" spans="1:13" hidden="1" x14ac:dyDescent="0.35">
      <c r="A836" s="112" t="s">
        <v>1814</v>
      </c>
      <c r="B836" s="112" t="s">
        <v>906</v>
      </c>
      <c r="C836" s="112" t="s">
        <v>695</v>
      </c>
      <c r="D836" s="113">
        <v>10347956</v>
      </c>
      <c r="E836" s="115">
        <v>43923</v>
      </c>
      <c r="F836" s="114">
        <v>202101</v>
      </c>
      <c r="G836" s="112" t="s">
        <v>1091</v>
      </c>
      <c r="H836" s="112" t="s">
        <v>1015</v>
      </c>
      <c r="I836" s="112" t="s">
        <v>813</v>
      </c>
      <c r="J836" s="112" t="s">
        <v>1815</v>
      </c>
      <c r="K836" s="112" t="s">
        <v>2446</v>
      </c>
      <c r="L836" s="116">
        <v>-90.79</v>
      </c>
      <c r="M836" s="116">
        <f t="shared" si="13"/>
        <v>-9.079000000000001E-2</v>
      </c>
    </row>
    <row r="837" spans="1:13" hidden="1" x14ac:dyDescent="0.35">
      <c r="A837" s="112" t="s">
        <v>1814</v>
      </c>
      <c r="B837" s="112" t="s">
        <v>906</v>
      </c>
      <c r="C837" s="112" t="s">
        <v>695</v>
      </c>
      <c r="D837" s="113">
        <v>10348402</v>
      </c>
      <c r="E837" s="115">
        <v>43943</v>
      </c>
      <c r="F837" s="114">
        <v>202101</v>
      </c>
      <c r="G837" s="112" t="s">
        <v>1091</v>
      </c>
      <c r="H837" s="112" t="s">
        <v>1015</v>
      </c>
      <c r="I837" s="112" t="s">
        <v>2118</v>
      </c>
      <c r="J837" s="112" t="s">
        <v>1815</v>
      </c>
      <c r="K837" s="112" t="s">
        <v>2452</v>
      </c>
      <c r="L837" s="116">
        <v>-22736.98</v>
      </c>
      <c r="M837" s="116">
        <f t="shared" si="13"/>
        <v>-22.736979999999999</v>
      </c>
    </row>
    <row r="838" spans="1:13" hidden="1" x14ac:dyDescent="0.35">
      <c r="A838" s="112" t="s">
        <v>1814</v>
      </c>
      <c r="B838" s="112" t="s">
        <v>906</v>
      </c>
      <c r="C838" s="112" t="s">
        <v>695</v>
      </c>
      <c r="D838" s="113">
        <v>10348402</v>
      </c>
      <c r="E838" s="115">
        <v>43943</v>
      </c>
      <c r="F838" s="114">
        <v>202101</v>
      </c>
      <c r="G838" s="112" t="s">
        <v>1091</v>
      </c>
      <c r="H838" s="112" t="s">
        <v>1015</v>
      </c>
      <c r="I838" s="112" t="s">
        <v>2118</v>
      </c>
      <c r="J838" s="112" t="s">
        <v>1815</v>
      </c>
      <c r="K838" s="112" t="s">
        <v>2453</v>
      </c>
      <c r="L838" s="116">
        <v>-83933.03</v>
      </c>
      <c r="M838" s="116">
        <f t="shared" si="13"/>
        <v>-83.933030000000002</v>
      </c>
    </row>
    <row r="839" spans="1:13" hidden="1" x14ac:dyDescent="0.35">
      <c r="A839" s="112" t="s">
        <v>1814</v>
      </c>
      <c r="B839" s="112" t="s">
        <v>906</v>
      </c>
      <c r="C839" s="112" t="s">
        <v>695</v>
      </c>
      <c r="D839" s="113">
        <v>10348402</v>
      </c>
      <c r="E839" s="115">
        <v>43943</v>
      </c>
      <c r="F839" s="114">
        <v>202101</v>
      </c>
      <c r="G839" s="112" t="s">
        <v>1091</v>
      </c>
      <c r="H839" s="112" t="s">
        <v>1015</v>
      </c>
      <c r="I839" s="112" t="s">
        <v>2118</v>
      </c>
      <c r="J839" s="112" t="s">
        <v>1815</v>
      </c>
      <c r="K839" s="112" t="s">
        <v>2452</v>
      </c>
      <c r="L839" s="116">
        <v>22736.98</v>
      </c>
      <c r="M839" s="116">
        <f t="shared" si="13"/>
        <v>22.736979999999999</v>
      </c>
    </row>
    <row r="840" spans="1:13" hidden="1" x14ac:dyDescent="0.35">
      <c r="A840" s="112" t="s">
        <v>1814</v>
      </c>
      <c r="B840" s="112" t="s">
        <v>906</v>
      </c>
      <c r="C840" s="112" t="s">
        <v>695</v>
      </c>
      <c r="D840" s="113">
        <v>10348402</v>
      </c>
      <c r="E840" s="115">
        <v>43943</v>
      </c>
      <c r="F840" s="114">
        <v>202101</v>
      </c>
      <c r="G840" s="112" t="s">
        <v>1091</v>
      </c>
      <c r="H840" s="112" t="s">
        <v>1015</v>
      </c>
      <c r="I840" s="112" t="s">
        <v>2118</v>
      </c>
      <c r="J840" s="112" t="s">
        <v>1815</v>
      </c>
      <c r="K840" s="112" t="s">
        <v>2453</v>
      </c>
      <c r="L840" s="116">
        <v>83933.03</v>
      </c>
      <c r="M840" s="116">
        <f t="shared" si="13"/>
        <v>83.933030000000002</v>
      </c>
    </row>
    <row r="841" spans="1:13" hidden="1" x14ac:dyDescent="0.35">
      <c r="A841" s="112" t="s">
        <v>1814</v>
      </c>
      <c r="B841" s="112" t="s">
        <v>906</v>
      </c>
      <c r="C841" s="112" t="s">
        <v>695</v>
      </c>
      <c r="D841" s="113">
        <v>10348237</v>
      </c>
      <c r="E841" s="115">
        <v>43936</v>
      </c>
      <c r="F841" s="114">
        <v>202101</v>
      </c>
      <c r="G841" s="112" t="s">
        <v>1091</v>
      </c>
      <c r="H841" s="112" t="s">
        <v>1015</v>
      </c>
      <c r="I841" s="112" t="s">
        <v>2118</v>
      </c>
      <c r="J841" s="112" t="s">
        <v>1815</v>
      </c>
      <c r="K841" s="112" t="s">
        <v>2452</v>
      </c>
      <c r="L841" s="116">
        <v>22736.98</v>
      </c>
      <c r="M841" s="116">
        <f t="shared" si="13"/>
        <v>22.736979999999999</v>
      </c>
    </row>
    <row r="842" spans="1:13" hidden="1" x14ac:dyDescent="0.35">
      <c r="A842" s="112" t="s">
        <v>1814</v>
      </c>
      <c r="B842" s="112" t="s">
        <v>906</v>
      </c>
      <c r="C842" s="112" t="s">
        <v>695</v>
      </c>
      <c r="D842" s="113">
        <v>10348237</v>
      </c>
      <c r="E842" s="115">
        <v>43936</v>
      </c>
      <c r="F842" s="114">
        <v>202101</v>
      </c>
      <c r="G842" s="112" t="s">
        <v>1091</v>
      </c>
      <c r="H842" s="112" t="s">
        <v>1015</v>
      </c>
      <c r="I842" s="112" t="s">
        <v>813</v>
      </c>
      <c r="J842" s="112" t="s">
        <v>1815</v>
      </c>
      <c r="K842" s="112" t="s">
        <v>2001</v>
      </c>
      <c r="L842" s="116">
        <v>12977.1</v>
      </c>
      <c r="M842" s="116">
        <f t="shared" si="13"/>
        <v>12.9771</v>
      </c>
    </row>
    <row r="843" spans="1:13" hidden="1" x14ac:dyDescent="0.35">
      <c r="A843" s="112" t="s">
        <v>1814</v>
      </c>
      <c r="B843" s="112" t="s">
        <v>906</v>
      </c>
      <c r="C843" s="112" t="s">
        <v>695</v>
      </c>
      <c r="D843" s="113">
        <v>10348237</v>
      </c>
      <c r="E843" s="115">
        <v>43936</v>
      </c>
      <c r="F843" s="114">
        <v>202101</v>
      </c>
      <c r="G843" s="112" t="s">
        <v>1091</v>
      </c>
      <c r="H843" s="112" t="s">
        <v>1015</v>
      </c>
      <c r="I843" s="112" t="s">
        <v>2118</v>
      </c>
      <c r="J843" s="112" t="s">
        <v>1815</v>
      </c>
      <c r="K843" s="112" t="s">
        <v>2453</v>
      </c>
      <c r="L843" s="116">
        <v>83933.03</v>
      </c>
      <c r="M843" s="116">
        <f t="shared" si="13"/>
        <v>83.933030000000002</v>
      </c>
    </row>
    <row r="844" spans="1:13" hidden="1" x14ac:dyDescent="0.35">
      <c r="A844" s="112" t="s">
        <v>2479</v>
      </c>
      <c r="B844" s="112" t="s">
        <v>909</v>
      </c>
      <c r="C844" s="112" t="s">
        <v>695</v>
      </c>
      <c r="D844" s="113">
        <v>10348420</v>
      </c>
      <c r="E844" s="115">
        <v>43945</v>
      </c>
      <c r="F844" s="114">
        <v>202101</v>
      </c>
      <c r="G844" s="112" t="s">
        <v>1091</v>
      </c>
      <c r="H844" s="112" t="s">
        <v>1015</v>
      </c>
      <c r="I844" s="112" t="s">
        <v>1532</v>
      </c>
      <c r="J844" s="112" t="s">
        <v>2480</v>
      </c>
      <c r="K844" s="112" t="s">
        <v>2481</v>
      </c>
      <c r="L844" s="116">
        <v>-21.93</v>
      </c>
      <c r="M844" s="116">
        <f t="shared" si="13"/>
        <v>-2.1929999999999998E-2</v>
      </c>
    </row>
    <row r="845" spans="1:13" hidden="1" x14ac:dyDescent="0.35">
      <c r="A845" s="112" t="s">
        <v>2479</v>
      </c>
      <c r="B845" s="112" t="s">
        <v>908</v>
      </c>
      <c r="C845" s="112" t="s">
        <v>695</v>
      </c>
      <c r="D845" s="113">
        <v>10348243</v>
      </c>
      <c r="E845" s="115">
        <v>43937</v>
      </c>
      <c r="F845" s="114">
        <v>202101</v>
      </c>
      <c r="G845" s="112" t="s">
        <v>1091</v>
      </c>
      <c r="H845" s="112" t="s">
        <v>1016</v>
      </c>
      <c r="I845" s="112" t="s">
        <v>819</v>
      </c>
      <c r="J845" s="112" t="s">
        <v>2501</v>
      </c>
      <c r="K845" s="112" t="s">
        <v>2538</v>
      </c>
      <c r="L845" s="116">
        <v>-61683.79</v>
      </c>
      <c r="M845" s="116">
        <f t="shared" si="13"/>
        <v>-61.683790000000002</v>
      </c>
    </row>
    <row r="846" spans="1:13" hidden="1" x14ac:dyDescent="0.35">
      <c r="A846" s="112" t="s">
        <v>2479</v>
      </c>
      <c r="B846" s="112" t="s">
        <v>909</v>
      </c>
      <c r="C846" s="112" t="s">
        <v>695</v>
      </c>
      <c r="D846" s="113">
        <v>10348175</v>
      </c>
      <c r="E846" s="115">
        <v>43931</v>
      </c>
      <c r="F846" s="114">
        <v>202101</v>
      </c>
      <c r="G846" s="112" t="s">
        <v>1091</v>
      </c>
      <c r="H846" s="112" t="s">
        <v>1015</v>
      </c>
      <c r="I846" s="112" t="s">
        <v>2495</v>
      </c>
      <c r="J846" s="112" t="s">
        <v>2496</v>
      </c>
      <c r="K846" s="112" t="s">
        <v>2549</v>
      </c>
      <c r="L846" s="116">
        <v>-4307</v>
      </c>
      <c r="M846" s="116">
        <f t="shared" si="13"/>
        <v>-4.3070000000000004</v>
      </c>
    </row>
    <row r="847" spans="1:13" hidden="1" x14ac:dyDescent="0.35">
      <c r="A847" s="112" t="s">
        <v>2479</v>
      </c>
      <c r="B847" s="112" t="s">
        <v>909</v>
      </c>
      <c r="C847" s="112" t="s">
        <v>695</v>
      </c>
      <c r="D847" s="113">
        <v>10348420</v>
      </c>
      <c r="E847" s="115">
        <v>43945</v>
      </c>
      <c r="F847" s="114">
        <v>202101</v>
      </c>
      <c r="G847" s="112" t="s">
        <v>1091</v>
      </c>
      <c r="H847" s="112" t="s">
        <v>1015</v>
      </c>
      <c r="I847" s="112" t="s">
        <v>1532</v>
      </c>
      <c r="J847" s="112" t="s">
        <v>2480</v>
      </c>
      <c r="K847" s="112" t="s">
        <v>2605</v>
      </c>
      <c r="L847" s="116">
        <v>-20.85</v>
      </c>
      <c r="M847" s="116">
        <f t="shared" si="13"/>
        <v>-2.085E-2</v>
      </c>
    </row>
    <row r="848" spans="1:13" hidden="1" x14ac:dyDescent="0.35">
      <c r="A848" s="112" t="s">
        <v>2479</v>
      </c>
      <c r="B848" s="112" t="s">
        <v>908</v>
      </c>
      <c r="C848" s="112" t="s">
        <v>695</v>
      </c>
      <c r="D848" s="113">
        <v>10348200</v>
      </c>
      <c r="E848" s="115">
        <v>43935</v>
      </c>
      <c r="F848" s="114">
        <v>202101</v>
      </c>
      <c r="G848" s="112" t="s">
        <v>1091</v>
      </c>
      <c r="H848" s="112" t="s">
        <v>1015</v>
      </c>
      <c r="I848" s="112" t="s">
        <v>763</v>
      </c>
      <c r="J848" s="112" t="s">
        <v>2625</v>
      </c>
      <c r="K848" s="112" t="s">
        <v>2626</v>
      </c>
      <c r="L848" s="116">
        <v>-7997</v>
      </c>
      <c r="M848" s="116">
        <f t="shared" si="13"/>
        <v>-7.9969999999999999</v>
      </c>
    </row>
    <row r="849" spans="1:13" hidden="1" x14ac:dyDescent="0.35">
      <c r="A849" s="112" t="s">
        <v>2479</v>
      </c>
      <c r="B849" s="112" t="s">
        <v>908</v>
      </c>
      <c r="C849" s="112" t="s">
        <v>695</v>
      </c>
      <c r="D849" s="113">
        <v>10348200</v>
      </c>
      <c r="E849" s="115">
        <v>43935</v>
      </c>
      <c r="F849" s="114">
        <v>202101</v>
      </c>
      <c r="G849" s="112" t="s">
        <v>1091</v>
      </c>
      <c r="H849" s="112" t="s">
        <v>1015</v>
      </c>
      <c r="I849" s="112" t="s">
        <v>763</v>
      </c>
      <c r="J849" s="112" t="s">
        <v>2625</v>
      </c>
      <c r="K849" s="112" t="s">
        <v>2628</v>
      </c>
      <c r="L849" s="116">
        <v>-9403</v>
      </c>
      <c r="M849" s="116">
        <f t="shared" si="13"/>
        <v>-9.4030000000000005</v>
      </c>
    </row>
    <row r="850" spans="1:13" hidden="1" x14ac:dyDescent="0.35">
      <c r="A850" s="112" t="s">
        <v>2479</v>
      </c>
      <c r="B850" s="112" t="s">
        <v>908</v>
      </c>
      <c r="C850" s="112" t="s">
        <v>695</v>
      </c>
      <c r="D850" s="113">
        <v>10348200</v>
      </c>
      <c r="E850" s="115">
        <v>43935</v>
      </c>
      <c r="F850" s="114">
        <v>202101</v>
      </c>
      <c r="G850" s="112" t="s">
        <v>1091</v>
      </c>
      <c r="H850" s="112" t="s">
        <v>1015</v>
      </c>
      <c r="I850" s="112" t="s">
        <v>767</v>
      </c>
      <c r="J850" s="112" t="s">
        <v>2498</v>
      </c>
      <c r="K850" s="112" t="s">
        <v>2629</v>
      </c>
      <c r="L850" s="116">
        <v>13000</v>
      </c>
      <c r="M850" s="116">
        <f t="shared" si="13"/>
        <v>13</v>
      </c>
    </row>
    <row r="851" spans="1:13" hidden="1" x14ac:dyDescent="0.35">
      <c r="A851" s="112" t="s">
        <v>2479</v>
      </c>
      <c r="B851" s="112" t="s">
        <v>909</v>
      </c>
      <c r="C851" s="112" t="s">
        <v>695</v>
      </c>
      <c r="D851" s="113">
        <v>10348431</v>
      </c>
      <c r="E851" s="115">
        <v>43945</v>
      </c>
      <c r="F851" s="114">
        <v>202101</v>
      </c>
      <c r="G851" s="112" t="s">
        <v>1091</v>
      </c>
      <c r="H851" s="112" t="s">
        <v>1015</v>
      </c>
      <c r="I851" s="112" t="s">
        <v>761</v>
      </c>
      <c r="J851" s="112" t="s">
        <v>2480</v>
      </c>
      <c r="K851" s="112" t="s">
        <v>2658</v>
      </c>
      <c r="L851" s="116">
        <v>60</v>
      </c>
      <c r="M851" s="116">
        <f t="shared" si="13"/>
        <v>0.06</v>
      </c>
    </row>
    <row r="852" spans="1:13" hidden="1" x14ac:dyDescent="0.35">
      <c r="A852" s="112" t="s">
        <v>2479</v>
      </c>
      <c r="B852" s="112" t="s">
        <v>909</v>
      </c>
      <c r="C852" s="112" t="s">
        <v>695</v>
      </c>
      <c r="D852" s="113">
        <v>10348152</v>
      </c>
      <c r="E852" s="115">
        <v>43930</v>
      </c>
      <c r="F852" s="114">
        <v>202101</v>
      </c>
      <c r="G852" s="112" t="s">
        <v>1091</v>
      </c>
      <c r="H852" s="112" t="s">
        <v>1016</v>
      </c>
      <c r="I852" s="112" t="s">
        <v>2709</v>
      </c>
      <c r="J852" s="112" t="s">
        <v>2673</v>
      </c>
      <c r="K852" s="112" t="s">
        <v>2710</v>
      </c>
      <c r="L852" s="116">
        <v>-1742</v>
      </c>
      <c r="M852" s="116">
        <f t="shared" si="13"/>
        <v>-1.742</v>
      </c>
    </row>
    <row r="853" spans="1:13" hidden="1" x14ac:dyDescent="0.35">
      <c r="A853" s="112" t="s">
        <v>2479</v>
      </c>
      <c r="B853" s="112" t="s">
        <v>909</v>
      </c>
      <c r="C853" s="112" t="s">
        <v>695</v>
      </c>
      <c r="D853" s="113">
        <v>10348152</v>
      </c>
      <c r="E853" s="115">
        <v>43930</v>
      </c>
      <c r="F853" s="114">
        <v>202101</v>
      </c>
      <c r="G853" s="112" t="s">
        <v>1091</v>
      </c>
      <c r="H853" s="112" t="s">
        <v>1016</v>
      </c>
      <c r="I853" s="112" t="s">
        <v>2709</v>
      </c>
      <c r="J853" s="112" t="s">
        <v>2711</v>
      </c>
      <c r="K853" s="112" t="s">
        <v>2712</v>
      </c>
      <c r="L853" s="116">
        <v>-22000</v>
      </c>
      <c r="M853" s="116">
        <f t="shared" si="13"/>
        <v>-22</v>
      </c>
    </row>
    <row r="854" spans="1:13" hidden="1" x14ac:dyDescent="0.35">
      <c r="A854" s="112" t="s">
        <v>2479</v>
      </c>
      <c r="B854" s="112" t="s">
        <v>908</v>
      </c>
      <c r="C854" s="112" t="s">
        <v>695</v>
      </c>
      <c r="D854" s="113">
        <v>10347981</v>
      </c>
      <c r="E854" s="115">
        <v>43924</v>
      </c>
      <c r="F854" s="114">
        <v>202101</v>
      </c>
      <c r="G854" s="112" t="s">
        <v>1091</v>
      </c>
      <c r="H854" s="112" t="s">
        <v>1015</v>
      </c>
      <c r="I854" s="112" t="s">
        <v>761</v>
      </c>
      <c r="J854" s="112" t="s">
        <v>2484</v>
      </c>
      <c r="K854" s="112" t="s">
        <v>2713</v>
      </c>
      <c r="L854" s="116">
        <v>-1000</v>
      </c>
      <c r="M854" s="116">
        <f t="shared" si="13"/>
        <v>-1</v>
      </c>
    </row>
    <row r="855" spans="1:13" hidden="1" x14ac:dyDescent="0.35">
      <c r="A855" s="112" t="s">
        <v>2479</v>
      </c>
      <c r="B855" s="112" t="s">
        <v>908</v>
      </c>
      <c r="C855" s="112" t="s">
        <v>695</v>
      </c>
      <c r="D855" s="113">
        <v>10347981</v>
      </c>
      <c r="E855" s="115">
        <v>43924</v>
      </c>
      <c r="F855" s="114">
        <v>202101</v>
      </c>
      <c r="G855" s="112" t="s">
        <v>1091</v>
      </c>
      <c r="H855" s="112" t="s">
        <v>1015</v>
      </c>
      <c r="I855" s="112" t="s">
        <v>761</v>
      </c>
      <c r="J855" s="112" t="s">
        <v>2553</v>
      </c>
      <c r="K855" s="112" t="s">
        <v>2714</v>
      </c>
      <c r="L855" s="116">
        <v>-22</v>
      </c>
      <c r="M855" s="116">
        <f t="shared" si="13"/>
        <v>-2.1999999999999999E-2</v>
      </c>
    </row>
    <row r="856" spans="1:13" hidden="1" x14ac:dyDescent="0.35">
      <c r="A856" s="112" t="s">
        <v>2479</v>
      </c>
      <c r="B856" s="112" t="s">
        <v>908</v>
      </c>
      <c r="C856" s="112" t="s">
        <v>695</v>
      </c>
      <c r="D856" s="113">
        <v>10347981</v>
      </c>
      <c r="E856" s="115">
        <v>43924</v>
      </c>
      <c r="F856" s="114">
        <v>202101</v>
      </c>
      <c r="G856" s="112" t="s">
        <v>1091</v>
      </c>
      <c r="H856" s="112" t="s">
        <v>1015</v>
      </c>
      <c r="I856" s="112" t="s">
        <v>761</v>
      </c>
      <c r="J856" s="112" t="s">
        <v>2553</v>
      </c>
      <c r="K856" s="112" t="s">
        <v>2715</v>
      </c>
      <c r="L856" s="116">
        <v>-14</v>
      </c>
      <c r="M856" s="116">
        <f t="shared" si="13"/>
        <v>-1.4E-2</v>
      </c>
    </row>
    <row r="857" spans="1:13" hidden="1" x14ac:dyDescent="0.35">
      <c r="A857" s="112" t="s">
        <v>2479</v>
      </c>
      <c r="B857" s="112" t="s">
        <v>908</v>
      </c>
      <c r="C857" s="112" t="s">
        <v>695</v>
      </c>
      <c r="D857" s="113">
        <v>10347981</v>
      </c>
      <c r="E857" s="115">
        <v>43924</v>
      </c>
      <c r="F857" s="114">
        <v>202101</v>
      </c>
      <c r="G857" s="112" t="s">
        <v>1091</v>
      </c>
      <c r="H857" s="112" t="s">
        <v>1015</v>
      </c>
      <c r="I857" s="112" t="s">
        <v>761</v>
      </c>
      <c r="J857" s="112" t="s">
        <v>2484</v>
      </c>
      <c r="K857" s="112" t="s">
        <v>2721</v>
      </c>
      <c r="L857" s="116">
        <v>-630</v>
      </c>
      <c r="M857" s="116">
        <f t="shared" si="13"/>
        <v>-0.63</v>
      </c>
    </row>
    <row r="858" spans="1:13" hidden="1" x14ac:dyDescent="0.35">
      <c r="A858" s="112" t="s">
        <v>2479</v>
      </c>
      <c r="B858" s="112" t="s">
        <v>909</v>
      </c>
      <c r="C858" s="112" t="s">
        <v>695</v>
      </c>
      <c r="D858" s="113">
        <v>10347981</v>
      </c>
      <c r="E858" s="115">
        <v>43924</v>
      </c>
      <c r="F858" s="114">
        <v>202101</v>
      </c>
      <c r="G858" s="112" t="s">
        <v>1091</v>
      </c>
      <c r="H858" s="112" t="s">
        <v>1015</v>
      </c>
      <c r="I858" s="112" t="s">
        <v>1092</v>
      </c>
      <c r="J858" s="112" t="s">
        <v>2673</v>
      </c>
      <c r="K858" s="112" t="s">
        <v>1208</v>
      </c>
      <c r="L858" s="116">
        <v>-47</v>
      </c>
      <c r="M858" s="116">
        <f t="shared" si="13"/>
        <v>-4.7E-2</v>
      </c>
    </row>
    <row r="859" spans="1:13" hidden="1" x14ac:dyDescent="0.35">
      <c r="A859" s="112" t="s">
        <v>2479</v>
      </c>
      <c r="B859" s="112" t="s">
        <v>908</v>
      </c>
      <c r="C859" s="112" t="s">
        <v>695</v>
      </c>
      <c r="D859" s="113">
        <v>10347979</v>
      </c>
      <c r="E859" s="115">
        <v>43924</v>
      </c>
      <c r="F859" s="114">
        <v>202101</v>
      </c>
      <c r="G859" s="112" t="s">
        <v>1091</v>
      </c>
      <c r="H859" s="112" t="s">
        <v>1016</v>
      </c>
      <c r="I859" s="112" t="s">
        <v>1788</v>
      </c>
      <c r="J859" s="112" t="s">
        <v>2498</v>
      </c>
      <c r="K859" s="112" t="s">
        <v>1698</v>
      </c>
      <c r="L859" s="116">
        <v>180</v>
      </c>
      <c r="M859" s="116">
        <f t="shared" si="13"/>
        <v>0.18</v>
      </c>
    </row>
    <row r="860" spans="1:13" hidden="1" x14ac:dyDescent="0.35">
      <c r="A860" s="112" t="s">
        <v>2479</v>
      </c>
      <c r="B860" s="112" t="s">
        <v>908</v>
      </c>
      <c r="C860" s="112" t="s">
        <v>695</v>
      </c>
      <c r="D860" s="113">
        <v>10347979</v>
      </c>
      <c r="E860" s="115">
        <v>43924</v>
      </c>
      <c r="F860" s="114">
        <v>202101</v>
      </c>
      <c r="G860" s="112" t="s">
        <v>1091</v>
      </c>
      <c r="H860" s="112" t="s">
        <v>1016</v>
      </c>
      <c r="I860" s="112" t="s">
        <v>819</v>
      </c>
      <c r="J860" s="112" t="s">
        <v>2501</v>
      </c>
      <c r="K860" s="112" t="s">
        <v>1698</v>
      </c>
      <c r="L860" s="116">
        <v>166.67</v>
      </c>
      <c r="M860" s="116">
        <f t="shared" si="13"/>
        <v>0.16666999999999998</v>
      </c>
    </row>
    <row r="861" spans="1:13" hidden="1" x14ac:dyDescent="0.35">
      <c r="A861" s="112" t="s">
        <v>2479</v>
      </c>
      <c r="B861" s="112" t="s">
        <v>909</v>
      </c>
      <c r="C861" s="112" t="s">
        <v>695</v>
      </c>
      <c r="D861" s="113">
        <v>10347981</v>
      </c>
      <c r="E861" s="115">
        <v>43924</v>
      </c>
      <c r="F861" s="114">
        <v>202101</v>
      </c>
      <c r="G861" s="112" t="s">
        <v>1091</v>
      </c>
      <c r="H861" s="112" t="s">
        <v>1015</v>
      </c>
      <c r="I861" s="112" t="s">
        <v>1092</v>
      </c>
      <c r="J861" s="112" t="s">
        <v>2673</v>
      </c>
      <c r="K861" s="112" t="s">
        <v>1262</v>
      </c>
      <c r="L861" s="116">
        <v>-47</v>
      </c>
      <c r="M861" s="116">
        <f t="shared" si="13"/>
        <v>-4.7E-2</v>
      </c>
    </row>
    <row r="862" spans="1:13" hidden="1" x14ac:dyDescent="0.35">
      <c r="A862" s="112" t="s">
        <v>2479</v>
      </c>
      <c r="B862" s="112" t="s">
        <v>908</v>
      </c>
      <c r="C862" s="112" t="s">
        <v>695</v>
      </c>
      <c r="D862" s="113">
        <v>10347981</v>
      </c>
      <c r="E862" s="115">
        <v>43924</v>
      </c>
      <c r="F862" s="114">
        <v>202101</v>
      </c>
      <c r="G862" s="112" t="s">
        <v>1091</v>
      </c>
      <c r="H862" s="112" t="s">
        <v>1015</v>
      </c>
      <c r="I862" s="112" t="s">
        <v>761</v>
      </c>
      <c r="J862" s="112" t="s">
        <v>2553</v>
      </c>
      <c r="K862" s="112" t="s">
        <v>2735</v>
      </c>
      <c r="L862" s="116">
        <v>-66.92</v>
      </c>
      <c r="M862" s="116">
        <f t="shared" si="13"/>
        <v>-6.6920000000000007E-2</v>
      </c>
    </row>
    <row r="863" spans="1:13" hidden="1" x14ac:dyDescent="0.35">
      <c r="A863" s="112" t="s">
        <v>2479</v>
      </c>
      <c r="B863" s="112" t="s">
        <v>908</v>
      </c>
      <c r="C863" s="112" t="s">
        <v>695</v>
      </c>
      <c r="D863" s="113">
        <v>10347981</v>
      </c>
      <c r="E863" s="115">
        <v>43924</v>
      </c>
      <c r="F863" s="114">
        <v>202101</v>
      </c>
      <c r="G863" s="112" t="s">
        <v>1091</v>
      </c>
      <c r="H863" s="112" t="s">
        <v>1015</v>
      </c>
      <c r="I863" s="112" t="s">
        <v>1133</v>
      </c>
      <c r="J863" s="112" t="s">
        <v>2520</v>
      </c>
      <c r="K863" s="112" t="s">
        <v>2736</v>
      </c>
      <c r="L863" s="116">
        <v>-90</v>
      </c>
      <c r="M863" s="116">
        <f t="shared" si="13"/>
        <v>-0.09</v>
      </c>
    </row>
    <row r="864" spans="1:13" hidden="1" x14ac:dyDescent="0.35">
      <c r="A864" s="112" t="s">
        <v>2479</v>
      </c>
      <c r="B864" s="112" t="s">
        <v>908</v>
      </c>
      <c r="C864" s="112" t="s">
        <v>695</v>
      </c>
      <c r="D864" s="113">
        <v>10347981</v>
      </c>
      <c r="E864" s="115">
        <v>43924</v>
      </c>
      <c r="F864" s="114">
        <v>202101</v>
      </c>
      <c r="G864" s="112" t="s">
        <v>1091</v>
      </c>
      <c r="H864" s="112" t="s">
        <v>1015</v>
      </c>
      <c r="I864" s="112" t="s">
        <v>761</v>
      </c>
      <c r="J864" s="112" t="s">
        <v>2501</v>
      </c>
      <c r="K864" s="112" t="s">
        <v>2737</v>
      </c>
      <c r="L864" s="116">
        <v>-463.65</v>
      </c>
      <c r="M864" s="116">
        <f t="shared" si="13"/>
        <v>-0.46364999999999995</v>
      </c>
    </row>
    <row r="865" spans="1:13" hidden="1" x14ac:dyDescent="0.35">
      <c r="A865" s="112" t="s">
        <v>2479</v>
      </c>
      <c r="B865" s="112" t="s">
        <v>908</v>
      </c>
      <c r="C865" s="112" t="s">
        <v>695</v>
      </c>
      <c r="D865" s="113">
        <v>10347981</v>
      </c>
      <c r="E865" s="115">
        <v>43924</v>
      </c>
      <c r="F865" s="114">
        <v>202101</v>
      </c>
      <c r="G865" s="112" t="s">
        <v>1091</v>
      </c>
      <c r="H865" s="112" t="s">
        <v>1015</v>
      </c>
      <c r="I865" s="112" t="s">
        <v>1399</v>
      </c>
      <c r="J865" s="112" t="s">
        <v>2584</v>
      </c>
      <c r="K865" s="112" t="s">
        <v>2738</v>
      </c>
      <c r="L865" s="116">
        <v>-536.75</v>
      </c>
      <c r="M865" s="116">
        <f t="shared" si="13"/>
        <v>-0.53674999999999995</v>
      </c>
    </row>
    <row r="866" spans="1:13" hidden="1" x14ac:dyDescent="0.35">
      <c r="A866" s="112" t="s">
        <v>2479</v>
      </c>
      <c r="B866" s="112" t="s">
        <v>909</v>
      </c>
      <c r="C866" s="112" t="s">
        <v>695</v>
      </c>
      <c r="D866" s="113">
        <v>10347981</v>
      </c>
      <c r="E866" s="115">
        <v>43924</v>
      </c>
      <c r="F866" s="114">
        <v>202101</v>
      </c>
      <c r="G866" s="112" t="s">
        <v>1091</v>
      </c>
      <c r="H866" s="112" t="s">
        <v>1015</v>
      </c>
      <c r="I866" s="112" t="s">
        <v>761</v>
      </c>
      <c r="J866" s="112" t="s">
        <v>2523</v>
      </c>
      <c r="K866" s="112" t="s">
        <v>2740</v>
      </c>
      <c r="L866" s="116">
        <v>-810</v>
      </c>
      <c r="M866" s="116">
        <f t="shared" si="13"/>
        <v>-0.81</v>
      </c>
    </row>
    <row r="867" spans="1:13" hidden="1" x14ac:dyDescent="0.35">
      <c r="A867" s="112" t="s">
        <v>2479</v>
      </c>
      <c r="B867" s="112" t="s">
        <v>908</v>
      </c>
      <c r="C867" s="112" t="s">
        <v>695</v>
      </c>
      <c r="D867" s="113">
        <v>10347981</v>
      </c>
      <c r="E867" s="115">
        <v>43924</v>
      </c>
      <c r="F867" s="114">
        <v>202101</v>
      </c>
      <c r="G867" s="112" t="s">
        <v>1091</v>
      </c>
      <c r="H867" s="112" t="s">
        <v>1015</v>
      </c>
      <c r="I867" s="112" t="s">
        <v>761</v>
      </c>
      <c r="J867" s="112" t="s">
        <v>2520</v>
      </c>
      <c r="K867" s="112" t="s">
        <v>2744</v>
      </c>
      <c r="L867" s="116">
        <v>-250</v>
      </c>
      <c r="M867" s="116">
        <f t="shared" si="13"/>
        <v>-0.25</v>
      </c>
    </row>
    <row r="868" spans="1:13" hidden="1" x14ac:dyDescent="0.35">
      <c r="A868" s="112" t="s">
        <v>2479</v>
      </c>
      <c r="B868" s="112" t="s">
        <v>908</v>
      </c>
      <c r="C868" s="112" t="s">
        <v>695</v>
      </c>
      <c r="D868" s="113">
        <v>10347981</v>
      </c>
      <c r="E868" s="115">
        <v>43924</v>
      </c>
      <c r="F868" s="114">
        <v>202101</v>
      </c>
      <c r="G868" s="112" t="s">
        <v>1091</v>
      </c>
      <c r="H868" s="112" t="s">
        <v>1015</v>
      </c>
      <c r="I868" s="112" t="s">
        <v>761</v>
      </c>
      <c r="J868" s="112" t="s">
        <v>2484</v>
      </c>
      <c r="K868" s="112" t="s">
        <v>2745</v>
      </c>
      <c r="L868" s="116">
        <v>-20</v>
      </c>
      <c r="M868" s="116">
        <f t="shared" si="13"/>
        <v>-0.02</v>
      </c>
    </row>
    <row r="869" spans="1:13" hidden="1" x14ac:dyDescent="0.35">
      <c r="A869" s="112" t="s">
        <v>2479</v>
      </c>
      <c r="B869" s="112" t="s">
        <v>908</v>
      </c>
      <c r="C869" s="112" t="s">
        <v>695</v>
      </c>
      <c r="D869" s="113">
        <v>10347981</v>
      </c>
      <c r="E869" s="115">
        <v>43924</v>
      </c>
      <c r="F869" s="114">
        <v>202101</v>
      </c>
      <c r="G869" s="112" t="s">
        <v>1091</v>
      </c>
      <c r="H869" s="112" t="s">
        <v>1015</v>
      </c>
      <c r="I869" s="112" t="s">
        <v>761</v>
      </c>
      <c r="J869" s="112" t="s">
        <v>2553</v>
      </c>
      <c r="K869" s="112" t="s">
        <v>2748</v>
      </c>
      <c r="L869" s="116">
        <v>-185.6</v>
      </c>
      <c r="M869" s="116">
        <f t="shared" si="13"/>
        <v>-0.18559999999999999</v>
      </c>
    </row>
    <row r="870" spans="1:13" hidden="1" x14ac:dyDescent="0.35">
      <c r="A870" s="112" t="s">
        <v>2479</v>
      </c>
      <c r="B870" s="112" t="s">
        <v>908</v>
      </c>
      <c r="C870" s="112" t="s">
        <v>695</v>
      </c>
      <c r="D870" s="113">
        <v>10347981</v>
      </c>
      <c r="E870" s="115">
        <v>43924</v>
      </c>
      <c r="F870" s="114">
        <v>202101</v>
      </c>
      <c r="G870" s="112" t="s">
        <v>1091</v>
      </c>
      <c r="H870" s="112" t="s">
        <v>1015</v>
      </c>
      <c r="I870" s="112" t="s">
        <v>1102</v>
      </c>
      <c r="J870" s="112" t="s">
        <v>2513</v>
      </c>
      <c r="K870" s="112" t="s">
        <v>2751</v>
      </c>
      <c r="L870" s="116">
        <v>-348.39</v>
      </c>
      <c r="M870" s="116">
        <f t="shared" si="13"/>
        <v>-0.34838999999999998</v>
      </c>
    </row>
    <row r="871" spans="1:13" hidden="1" x14ac:dyDescent="0.35">
      <c r="A871" s="112" t="s">
        <v>2479</v>
      </c>
      <c r="B871" s="112" t="s">
        <v>908</v>
      </c>
      <c r="C871" s="112" t="s">
        <v>695</v>
      </c>
      <c r="D871" s="113">
        <v>10347981</v>
      </c>
      <c r="E871" s="115">
        <v>43924</v>
      </c>
      <c r="F871" s="114">
        <v>202101</v>
      </c>
      <c r="G871" s="112" t="s">
        <v>1091</v>
      </c>
      <c r="H871" s="112" t="s">
        <v>1015</v>
      </c>
      <c r="I871" s="112" t="s">
        <v>761</v>
      </c>
      <c r="J871" s="112" t="s">
        <v>2520</v>
      </c>
      <c r="K871" s="112" t="s">
        <v>2756</v>
      </c>
      <c r="L871" s="116">
        <v>-19.600000000000001</v>
      </c>
      <c r="M871" s="116">
        <f t="shared" si="13"/>
        <v>-1.9600000000000003E-2</v>
      </c>
    </row>
    <row r="872" spans="1:13" hidden="1" x14ac:dyDescent="0.35">
      <c r="A872" s="112" t="s">
        <v>2479</v>
      </c>
      <c r="B872" s="112" t="s">
        <v>908</v>
      </c>
      <c r="C872" s="112" t="s">
        <v>695</v>
      </c>
      <c r="D872" s="113">
        <v>10347981</v>
      </c>
      <c r="E872" s="115">
        <v>43924</v>
      </c>
      <c r="F872" s="114">
        <v>202101</v>
      </c>
      <c r="G872" s="112" t="s">
        <v>1091</v>
      </c>
      <c r="H872" s="112" t="s">
        <v>1015</v>
      </c>
      <c r="I872" s="112" t="s">
        <v>1092</v>
      </c>
      <c r="J872" s="112" t="s">
        <v>2484</v>
      </c>
      <c r="K872" s="112" t="s">
        <v>1451</v>
      </c>
      <c r="L872" s="116">
        <v>-51</v>
      </c>
      <c r="M872" s="116">
        <f t="shared" si="13"/>
        <v>-5.0999999999999997E-2</v>
      </c>
    </row>
    <row r="873" spans="1:13" hidden="1" x14ac:dyDescent="0.35">
      <c r="A873" s="112" t="s">
        <v>2479</v>
      </c>
      <c r="B873" s="112" t="s">
        <v>908</v>
      </c>
      <c r="C873" s="112" t="s">
        <v>695</v>
      </c>
      <c r="D873" s="113">
        <v>10347981</v>
      </c>
      <c r="E873" s="115">
        <v>43924</v>
      </c>
      <c r="F873" s="114">
        <v>202101</v>
      </c>
      <c r="G873" s="112" t="s">
        <v>1091</v>
      </c>
      <c r="H873" s="112" t="s">
        <v>1015</v>
      </c>
      <c r="I873" s="112" t="s">
        <v>1182</v>
      </c>
      <c r="J873" s="112" t="s">
        <v>2584</v>
      </c>
      <c r="K873" s="112" t="s">
        <v>2757</v>
      </c>
      <c r="L873" s="116">
        <v>-228</v>
      </c>
      <c r="M873" s="116">
        <f t="shared" si="13"/>
        <v>-0.22800000000000001</v>
      </c>
    </row>
    <row r="874" spans="1:13" hidden="1" x14ac:dyDescent="0.35">
      <c r="A874" s="112" t="s">
        <v>2479</v>
      </c>
      <c r="B874" s="112" t="s">
        <v>909</v>
      </c>
      <c r="C874" s="112" t="s">
        <v>695</v>
      </c>
      <c r="D874" s="113">
        <v>10348431</v>
      </c>
      <c r="E874" s="115">
        <v>43945</v>
      </c>
      <c r="F874" s="114">
        <v>202101</v>
      </c>
      <c r="G874" s="112" t="s">
        <v>1091</v>
      </c>
      <c r="H874" s="112" t="s">
        <v>1015</v>
      </c>
      <c r="I874" s="112" t="s">
        <v>1643</v>
      </c>
      <c r="J874" s="112" t="s">
        <v>2480</v>
      </c>
      <c r="K874" s="112" t="s">
        <v>2780</v>
      </c>
      <c r="L874" s="116">
        <v>189</v>
      </c>
      <c r="M874" s="116">
        <f t="shared" si="13"/>
        <v>0.189</v>
      </c>
    </row>
    <row r="875" spans="1:13" hidden="1" x14ac:dyDescent="0.35">
      <c r="A875" s="112" t="s">
        <v>2479</v>
      </c>
      <c r="B875" s="112" t="s">
        <v>908</v>
      </c>
      <c r="C875" s="112" t="s">
        <v>695</v>
      </c>
      <c r="D875" s="113">
        <v>10347981</v>
      </c>
      <c r="E875" s="115">
        <v>43924</v>
      </c>
      <c r="F875" s="114">
        <v>202101</v>
      </c>
      <c r="G875" s="112" t="s">
        <v>1091</v>
      </c>
      <c r="H875" s="112" t="s">
        <v>1015</v>
      </c>
      <c r="I875" s="112" t="s">
        <v>1605</v>
      </c>
      <c r="J875" s="112" t="s">
        <v>2484</v>
      </c>
      <c r="K875" s="112" t="s">
        <v>2791</v>
      </c>
      <c r="L875" s="116">
        <v>-11.54</v>
      </c>
      <c r="M875" s="116">
        <f t="shared" si="13"/>
        <v>-1.154E-2</v>
      </c>
    </row>
    <row r="876" spans="1:13" hidden="1" x14ac:dyDescent="0.35">
      <c r="A876" s="112" t="s">
        <v>2479</v>
      </c>
      <c r="B876" s="112" t="s">
        <v>908</v>
      </c>
      <c r="C876" s="112" t="s">
        <v>695</v>
      </c>
      <c r="D876" s="113">
        <v>10347981</v>
      </c>
      <c r="E876" s="115">
        <v>43924</v>
      </c>
      <c r="F876" s="114">
        <v>202101</v>
      </c>
      <c r="G876" s="112" t="s">
        <v>1091</v>
      </c>
      <c r="H876" s="112" t="s">
        <v>1015</v>
      </c>
      <c r="I876" s="112" t="s">
        <v>761</v>
      </c>
      <c r="J876" s="112" t="s">
        <v>2520</v>
      </c>
      <c r="K876" s="112" t="s">
        <v>2792</v>
      </c>
      <c r="L876" s="116">
        <v>-100</v>
      </c>
      <c r="M876" s="116">
        <f t="shared" si="13"/>
        <v>-0.1</v>
      </c>
    </row>
    <row r="877" spans="1:13" hidden="1" x14ac:dyDescent="0.35">
      <c r="A877" s="112" t="s">
        <v>2479</v>
      </c>
      <c r="B877" s="112" t="s">
        <v>908</v>
      </c>
      <c r="C877" s="112" t="s">
        <v>695</v>
      </c>
      <c r="D877" s="113">
        <v>10347981</v>
      </c>
      <c r="E877" s="115">
        <v>43924</v>
      </c>
      <c r="F877" s="114">
        <v>202101</v>
      </c>
      <c r="G877" s="112" t="s">
        <v>1091</v>
      </c>
      <c r="H877" s="112" t="s">
        <v>1015</v>
      </c>
      <c r="I877" s="112" t="s">
        <v>761</v>
      </c>
      <c r="J877" s="112" t="s">
        <v>2553</v>
      </c>
      <c r="K877" s="112" t="s">
        <v>2793</v>
      </c>
      <c r="L877" s="116">
        <v>-500</v>
      </c>
      <c r="M877" s="116">
        <f t="shared" si="13"/>
        <v>-0.5</v>
      </c>
    </row>
    <row r="878" spans="1:13" hidden="1" x14ac:dyDescent="0.35">
      <c r="A878" s="112" t="s">
        <v>2479</v>
      </c>
      <c r="B878" s="112" t="s">
        <v>908</v>
      </c>
      <c r="C878" s="112" t="s">
        <v>695</v>
      </c>
      <c r="D878" s="113">
        <v>10347981</v>
      </c>
      <c r="E878" s="115">
        <v>43924</v>
      </c>
      <c r="F878" s="114">
        <v>202101</v>
      </c>
      <c r="G878" s="112" t="s">
        <v>1091</v>
      </c>
      <c r="H878" s="112" t="s">
        <v>1015</v>
      </c>
      <c r="I878" s="112" t="s">
        <v>761</v>
      </c>
      <c r="J878" s="112" t="s">
        <v>2501</v>
      </c>
      <c r="K878" s="112" t="s">
        <v>2799</v>
      </c>
      <c r="L878" s="116">
        <v>-41.91</v>
      </c>
      <c r="M878" s="116">
        <f t="shared" si="13"/>
        <v>-4.1909999999999996E-2</v>
      </c>
    </row>
    <row r="879" spans="1:13" hidden="1" x14ac:dyDescent="0.35">
      <c r="A879" s="112" t="s">
        <v>2479</v>
      </c>
      <c r="B879" s="112" t="s">
        <v>909</v>
      </c>
      <c r="C879" s="112" t="s">
        <v>695</v>
      </c>
      <c r="D879" s="113">
        <v>10347981</v>
      </c>
      <c r="E879" s="115">
        <v>43924</v>
      </c>
      <c r="F879" s="114">
        <v>202101</v>
      </c>
      <c r="G879" s="112" t="s">
        <v>1091</v>
      </c>
      <c r="H879" s="112" t="s">
        <v>1015</v>
      </c>
      <c r="I879" s="112" t="s">
        <v>761</v>
      </c>
      <c r="J879" s="112" t="s">
        <v>2523</v>
      </c>
      <c r="K879" s="112" t="s">
        <v>2800</v>
      </c>
      <c r="L879" s="116">
        <v>-221.6</v>
      </c>
      <c r="M879" s="116">
        <f t="shared" si="13"/>
        <v>-0.22159999999999999</v>
      </c>
    </row>
    <row r="880" spans="1:13" hidden="1" x14ac:dyDescent="0.35">
      <c r="A880" s="112" t="s">
        <v>2479</v>
      </c>
      <c r="B880" s="112" t="s">
        <v>908</v>
      </c>
      <c r="C880" s="112" t="s">
        <v>695</v>
      </c>
      <c r="D880" s="113">
        <v>10347981</v>
      </c>
      <c r="E880" s="115">
        <v>43924</v>
      </c>
      <c r="F880" s="114">
        <v>202101</v>
      </c>
      <c r="G880" s="112" t="s">
        <v>1091</v>
      </c>
      <c r="H880" s="112" t="s">
        <v>1015</v>
      </c>
      <c r="I880" s="112" t="s">
        <v>761</v>
      </c>
      <c r="J880" s="112" t="s">
        <v>2584</v>
      </c>
      <c r="K880" s="112" t="s">
        <v>2802</v>
      </c>
      <c r="L880" s="116">
        <v>-29.76</v>
      </c>
      <c r="M880" s="116">
        <f t="shared" si="13"/>
        <v>-2.9760000000000002E-2</v>
      </c>
    </row>
    <row r="881" spans="1:13" hidden="1" x14ac:dyDescent="0.35">
      <c r="A881" s="112" t="s">
        <v>2479</v>
      </c>
      <c r="B881" s="112" t="s">
        <v>908</v>
      </c>
      <c r="C881" s="112" t="s">
        <v>695</v>
      </c>
      <c r="D881" s="113">
        <v>10348200</v>
      </c>
      <c r="E881" s="115">
        <v>43935</v>
      </c>
      <c r="F881" s="114">
        <v>202101</v>
      </c>
      <c r="G881" s="112" t="s">
        <v>1091</v>
      </c>
      <c r="H881" s="112" t="s">
        <v>1016</v>
      </c>
      <c r="I881" s="112" t="s">
        <v>1293</v>
      </c>
      <c r="J881" s="112" t="s">
        <v>2484</v>
      </c>
      <c r="K881" s="112" t="s">
        <v>2805</v>
      </c>
      <c r="L881" s="116">
        <v>36250</v>
      </c>
      <c r="M881" s="116">
        <f t="shared" si="13"/>
        <v>36.25</v>
      </c>
    </row>
    <row r="882" spans="1:13" hidden="1" x14ac:dyDescent="0.35">
      <c r="A882" s="112" t="s">
        <v>2479</v>
      </c>
      <c r="B882" s="112" t="s">
        <v>908</v>
      </c>
      <c r="C882" s="112" t="s">
        <v>695</v>
      </c>
      <c r="D882" s="113">
        <v>10348200</v>
      </c>
      <c r="E882" s="115">
        <v>43935</v>
      </c>
      <c r="F882" s="114">
        <v>202101</v>
      </c>
      <c r="G882" s="112" t="s">
        <v>1091</v>
      </c>
      <c r="H882" s="112" t="s">
        <v>1016</v>
      </c>
      <c r="I882" s="112" t="s">
        <v>2806</v>
      </c>
      <c r="J882" s="112" t="s">
        <v>2553</v>
      </c>
      <c r="K882" s="112" t="s">
        <v>2807</v>
      </c>
      <c r="L882" s="116">
        <v>-8489.89</v>
      </c>
      <c r="M882" s="116">
        <f t="shared" si="13"/>
        <v>-8.489889999999999</v>
      </c>
    </row>
    <row r="883" spans="1:13" hidden="1" x14ac:dyDescent="0.35">
      <c r="A883" s="112" t="s">
        <v>2479</v>
      </c>
      <c r="B883" s="112" t="s">
        <v>908</v>
      </c>
      <c r="C883" s="112" t="s">
        <v>695</v>
      </c>
      <c r="D883" s="113">
        <v>10348200</v>
      </c>
      <c r="E883" s="115">
        <v>43935</v>
      </c>
      <c r="F883" s="114">
        <v>202101</v>
      </c>
      <c r="G883" s="112" t="s">
        <v>1091</v>
      </c>
      <c r="H883" s="112" t="s">
        <v>1016</v>
      </c>
      <c r="I883" s="112" t="s">
        <v>2806</v>
      </c>
      <c r="J883" s="112" t="s">
        <v>2516</v>
      </c>
      <c r="K883" s="112" t="s">
        <v>2808</v>
      </c>
      <c r="L883" s="116">
        <v>-16680.419999999998</v>
      </c>
      <c r="M883" s="116">
        <f t="shared" si="13"/>
        <v>-16.680419999999998</v>
      </c>
    </row>
    <row r="884" spans="1:13" hidden="1" x14ac:dyDescent="0.35">
      <c r="A884" s="112" t="s">
        <v>2479</v>
      </c>
      <c r="B884" s="112" t="s">
        <v>908</v>
      </c>
      <c r="C884" s="112" t="s">
        <v>695</v>
      </c>
      <c r="D884" s="113">
        <v>10348200</v>
      </c>
      <c r="E884" s="115">
        <v>43935</v>
      </c>
      <c r="F884" s="114">
        <v>202101</v>
      </c>
      <c r="G884" s="112" t="s">
        <v>1091</v>
      </c>
      <c r="H884" s="112" t="s">
        <v>1016</v>
      </c>
      <c r="I884" s="112" t="s">
        <v>680</v>
      </c>
      <c r="J884" s="112" t="s">
        <v>2625</v>
      </c>
      <c r="K884" s="112" t="s">
        <v>2809</v>
      </c>
      <c r="L884" s="116">
        <v>-40921.21</v>
      </c>
      <c r="M884" s="116">
        <f t="shared" si="13"/>
        <v>-40.921210000000002</v>
      </c>
    </row>
    <row r="885" spans="1:13" hidden="1" x14ac:dyDescent="0.35">
      <c r="A885" s="112" t="s">
        <v>2479</v>
      </c>
      <c r="B885" s="112" t="s">
        <v>908</v>
      </c>
      <c r="C885" s="112" t="s">
        <v>695</v>
      </c>
      <c r="D885" s="113">
        <v>10347981</v>
      </c>
      <c r="E885" s="115">
        <v>43924</v>
      </c>
      <c r="F885" s="114">
        <v>202101</v>
      </c>
      <c r="G885" s="112" t="s">
        <v>1091</v>
      </c>
      <c r="H885" s="112" t="s">
        <v>1015</v>
      </c>
      <c r="I885" s="112" t="s">
        <v>761</v>
      </c>
      <c r="J885" s="112" t="s">
        <v>2501</v>
      </c>
      <c r="K885" s="112" t="s">
        <v>2892</v>
      </c>
      <c r="L885" s="116">
        <v>-310</v>
      </c>
      <c r="M885" s="116">
        <f t="shared" si="13"/>
        <v>-0.31</v>
      </c>
    </row>
    <row r="886" spans="1:13" hidden="1" x14ac:dyDescent="0.35">
      <c r="A886" s="112" t="s">
        <v>2479</v>
      </c>
      <c r="B886" s="112" t="s">
        <v>909</v>
      </c>
      <c r="C886" s="112" t="s">
        <v>695</v>
      </c>
      <c r="D886" s="113">
        <v>10348539</v>
      </c>
      <c r="E886" s="115">
        <v>43951</v>
      </c>
      <c r="F886" s="114">
        <v>202101</v>
      </c>
      <c r="G886" s="112" t="s">
        <v>1091</v>
      </c>
      <c r="H886" s="112" t="s">
        <v>1015</v>
      </c>
      <c r="I886" s="112" t="s">
        <v>761</v>
      </c>
      <c r="J886" s="112" t="s">
        <v>2523</v>
      </c>
      <c r="K886" s="112" t="s">
        <v>2979</v>
      </c>
      <c r="L886" s="116">
        <v>810</v>
      </c>
      <c r="M886" s="116">
        <f t="shared" si="13"/>
        <v>0.81</v>
      </c>
    </row>
    <row r="887" spans="1:13" hidden="1" x14ac:dyDescent="0.35">
      <c r="A887" s="112" t="s">
        <v>2479</v>
      </c>
      <c r="B887" s="112" t="s">
        <v>908</v>
      </c>
      <c r="C887" s="112" t="s">
        <v>695</v>
      </c>
      <c r="D887" s="113">
        <v>10347981</v>
      </c>
      <c r="E887" s="115">
        <v>43924</v>
      </c>
      <c r="F887" s="114">
        <v>202101</v>
      </c>
      <c r="G887" s="112" t="s">
        <v>1091</v>
      </c>
      <c r="H887" s="112" t="s">
        <v>1015</v>
      </c>
      <c r="I887" s="112" t="s">
        <v>1102</v>
      </c>
      <c r="J887" s="112" t="s">
        <v>2520</v>
      </c>
      <c r="K887" s="112" t="s">
        <v>2985</v>
      </c>
      <c r="L887" s="116">
        <v>-21.56</v>
      </c>
      <c r="M887" s="116">
        <f t="shared" si="13"/>
        <v>-2.1559999999999999E-2</v>
      </c>
    </row>
    <row r="888" spans="1:13" hidden="1" x14ac:dyDescent="0.35">
      <c r="A888" s="112" t="s">
        <v>2479</v>
      </c>
      <c r="B888" s="112" t="s">
        <v>908</v>
      </c>
      <c r="C888" s="112" t="s">
        <v>695</v>
      </c>
      <c r="D888" s="113">
        <v>10347979</v>
      </c>
      <c r="E888" s="115">
        <v>43924</v>
      </c>
      <c r="F888" s="114">
        <v>202101</v>
      </c>
      <c r="G888" s="112" t="s">
        <v>1091</v>
      </c>
      <c r="H888" s="112" t="s">
        <v>1015</v>
      </c>
      <c r="I888" s="112" t="s">
        <v>1536</v>
      </c>
      <c r="J888" s="112" t="s">
        <v>2513</v>
      </c>
      <c r="K888" s="112" t="s">
        <v>1698</v>
      </c>
      <c r="L888" s="116">
        <v>-24</v>
      </c>
      <c r="M888" s="116">
        <f t="shared" si="13"/>
        <v>-2.4E-2</v>
      </c>
    </row>
    <row r="889" spans="1:13" hidden="1" x14ac:dyDescent="0.35">
      <c r="A889" s="112" t="s">
        <v>2479</v>
      </c>
      <c r="B889" s="112" t="s">
        <v>909</v>
      </c>
      <c r="C889" s="112" t="s">
        <v>695</v>
      </c>
      <c r="D889" s="113">
        <v>10347973</v>
      </c>
      <c r="E889" s="115">
        <v>43924</v>
      </c>
      <c r="F889" s="114">
        <v>202101</v>
      </c>
      <c r="G889" s="112" t="s">
        <v>1091</v>
      </c>
      <c r="H889" s="112" t="s">
        <v>1015</v>
      </c>
      <c r="I889" s="112" t="s">
        <v>1699</v>
      </c>
      <c r="J889" s="112" t="s">
        <v>2480</v>
      </c>
      <c r="K889" s="112" t="s">
        <v>865</v>
      </c>
      <c r="L889" s="116">
        <v>-123.27</v>
      </c>
      <c r="M889" s="116">
        <f t="shared" si="13"/>
        <v>-0.12326999999999999</v>
      </c>
    </row>
    <row r="890" spans="1:13" hidden="1" x14ac:dyDescent="0.35">
      <c r="A890" s="112" t="s">
        <v>2479</v>
      </c>
      <c r="B890" s="112" t="s">
        <v>908</v>
      </c>
      <c r="C890" s="112" t="s">
        <v>695</v>
      </c>
      <c r="D890" s="113">
        <v>10347981</v>
      </c>
      <c r="E890" s="115">
        <v>43924</v>
      </c>
      <c r="F890" s="114">
        <v>202101</v>
      </c>
      <c r="G890" s="112" t="s">
        <v>1091</v>
      </c>
      <c r="H890" s="112" t="s">
        <v>1015</v>
      </c>
      <c r="I890" s="112" t="s">
        <v>2997</v>
      </c>
      <c r="J890" s="112" t="s">
        <v>2520</v>
      </c>
      <c r="K890" s="112" t="s">
        <v>2998</v>
      </c>
      <c r="L890" s="116">
        <v>-20</v>
      </c>
      <c r="M890" s="116">
        <f t="shared" si="13"/>
        <v>-0.02</v>
      </c>
    </row>
    <row r="891" spans="1:13" hidden="1" x14ac:dyDescent="0.35">
      <c r="A891" s="112" t="s">
        <v>2479</v>
      </c>
      <c r="B891" s="112" t="s">
        <v>909</v>
      </c>
      <c r="C891" s="112" t="s">
        <v>695</v>
      </c>
      <c r="D891" s="113">
        <v>10348018</v>
      </c>
      <c r="E891" s="115">
        <v>43927</v>
      </c>
      <c r="F891" s="114">
        <v>202101</v>
      </c>
      <c r="G891" s="112" t="s">
        <v>1091</v>
      </c>
      <c r="H891" s="112" t="s">
        <v>1015</v>
      </c>
      <c r="I891" s="112" t="s">
        <v>1643</v>
      </c>
      <c r="J891" s="112" t="s">
        <v>2480</v>
      </c>
      <c r="K891" s="112" t="s">
        <v>1689</v>
      </c>
      <c r="L891" s="116">
        <v>-21.93</v>
      </c>
      <c r="M891" s="116">
        <f t="shared" si="13"/>
        <v>-2.1929999999999998E-2</v>
      </c>
    </row>
    <row r="892" spans="1:13" hidden="1" x14ac:dyDescent="0.35">
      <c r="A892" s="112" t="s">
        <v>2479</v>
      </c>
      <c r="B892" s="112" t="s">
        <v>908</v>
      </c>
      <c r="C892" s="112" t="s">
        <v>695</v>
      </c>
      <c r="D892" s="113">
        <v>10347981</v>
      </c>
      <c r="E892" s="115">
        <v>43924</v>
      </c>
      <c r="F892" s="114">
        <v>202101</v>
      </c>
      <c r="G892" s="112" t="s">
        <v>1091</v>
      </c>
      <c r="H892" s="112" t="s">
        <v>1015</v>
      </c>
      <c r="I892" s="112" t="s">
        <v>1182</v>
      </c>
      <c r="J892" s="112" t="s">
        <v>2584</v>
      </c>
      <c r="K892" s="112" t="s">
        <v>2757</v>
      </c>
      <c r="L892" s="116">
        <v>-25.2</v>
      </c>
      <c r="M892" s="116">
        <f t="shared" si="13"/>
        <v>-2.52E-2</v>
      </c>
    </row>
    <row r="893" spans="1:13" hidden="1" x14ac:dyDescent="0.35">
      <c r="A893" s="112" t="s">
        <v>2479</v>
      </c>
      <c r="B893" s="112" t="s">
        <v>908</v>
      </c>
      <c r="C893" s="112" t="s">
        <v>695</v>
      </c>
      <c r="D893" s="113">
        <v>10347981</v>
      </c>
      <c r="E893" s="115">
        <v>43924</v>
      </c>
      <c r="F893" s="114">
        <v>202101</v>
      </c>
      <c r="G893" s="112" t="s">
        <v>1091</v>
      </c>
      <c r="H893" s="112" t="s">
        <v>1015</v>
      </c>
      <c r="I893" s="112" t="s">
        <v>761</v>
      </c>
      <c r="J893" s="112" t="s">
        <v>2584</v>
      </c>
      <c r="K893" s="112" t="s">
        <v>3019</v>
      </c>
      <c r="L893" s="116">
        <v>-32</v>
      </c>
      <c r="M893" s="116">
        <f t="shared" si="13"/>
        <v>-3.2000000000000001E-2</v>
      </c>
    </row>
    <row r="894" spans="1:13" hidden="1" x14ac:dyDescent="0.35">
      <c r="A894" s="112" t="s">
        <v>2479</v>
      </c>
      <c r="B894" s="112" t="s">
        <v>908</v>
      </c>
      <c r="C894" s="112" t="s">
        <v>695</v>
      </c>
      <c r="D894" s="113">
        <v>10347981</v>
      </c>
      <c r="E894" s="115">
        <v>43924</v>
      </c>
      <c r="F894" s="114">
        <v>202101</v>
      </c>
      <c r="G894" s="112" t="s">
        <v>1091</v>
      </c>
      <c r="H894" s="112" t="s">
        <v>1015</v>
      </c>
      <c r="I894" s="112" t="s">
        <v>761</v>
      </c>
      <c r="J894" s="112" t="s">
        <v>2553</v>
      </c>
      <c r="K894" s="112" t="s">
        <v>3024</v>
      </c>
      <c r="L894" s="116">
        <v>-98</v>
      </c>
      <c r="M894" s="116">
        <f t="shared" si="13"/>
        <v>-9.8000000000000004E-2</v>
      </c>
    </row>
    <row r="895" spans="1:13" hidden="1" x14ac:dyDescent="0.35">
      <c r="A895" s="112" t="s">
        <v>2479</v>
      </c>
      <c r="B895" s="112" t="s">
        <v>909</v>
      </c>
      <c r="C895" s="112" t="s">
        <v>695</v>
      </c>
      <c r="D895" s="113">
        <v>10347981</v>
      </c>
      <c r="E895" s="115">
        <v>43924</v>
      </c>
      <c r="F895" s="114">
        <v>202101</v>
      </c>
      <c r="G895" s="112" t="s">
        <v>1091</v>
      </c>
      <c r="H895" s="112" t="s">
        <v>1015</v>
      </c>
      <c r="I895" s="112" t="s">
        <v>1399</v>
      </c>
      <c r="J895" s="112" t="s">
        <v>2480</v>
      </c>
      <c r="K895" s="112" t="s">
        <v>3025</v>
      </c>
      <c r="L895" s="116">
        <v>-108</v>
      </c>
      <c r="M895" s="116">
        <f t="shared" si="13"/>
        <v>-0.108</v>
      </c>
    </row>
    <row r="896" spans="1:13" hidden="1" x14ac:dyDescent="0.35">
      <c r="A896" s="112" t="s">
        <v>2479</v>
      </c>
      <c r="B896" s="112" t="s">
        <v>908</v>
      </c>
      <c r="C896" s="112" t="s">
        <v>695</v>
      </c>
      <c r="D896" s="113">
        <v>10347981</v>
      </c>
      <c r="E896" s="115">
        <v>43924</v>
      </c>
      <c r="F896" s="114">
        <v>202101</v>
      </c>
      <c r="G896" s="112" t="s">
        <v>1091</v>
      </c>
      <c r="H896" s="112" t="s">
        <v>1015</v>
      </c>
      <c r="I896" s="112" t="s">
        <v>761</v>
      </c>
      <c r="J896" s="112" t="s">
        <v>2553</v>
      </c>
      <c r="K896" s="112" t="s">
        <v>3027</v>
      </c>
      <c r="L896" s="116">
        <v>-22</v>
      </c>
      <c r="M896" s="116">
        <f t="shared" si="13"/>
        <v>-2.1999999999999999E-2</v>
      </c>
    </row>
    <row r="897" spans="1:13" hidden="1" x14ac:dyDescent="0.35">
      <c r="A897" s="112" t="s">
        <v>2479</v>
      </c>
      <c r="B897" s="112" t="s">
        <v>908</v>
      </c>
      <c r="C897" s="112" t="s">
        <v>695</v>
      </c>
      <c r="D897" s="113">
        <v>10347981</v>
      </c>
      <c r="E897" s="115">
        <v>43924</v>
      </c>
      <c r="F897" s="114">
        <v>202101</v>
      </c>
      <c r="G897" s="112" t="s">
        <v>1091</v>
      </c>
      <c r="H897" s="112" t="s">
        <v>1015</v>
      </c>
      <c r="I897" s="112" t="s">
        <v>763</v>
      </c>
      <c r="J897" s="112" t="s">
        <v>2520</v>
      </c>
      <c r="K897" s="112" t="s">
        <v>3028</v>
      </c>
      <c r="L897" s="116">
        <v>-23.36</v>
      </c>
      <c r="M897" s="116">
        <f t="shared" si="13"/>
        <v>-2.3359999999999999E-2</v>
      </c>
    </row>
    <row r="898" spans="1:13" hidden="1" x14ac:dyDescent="0.35">
      <c r="A898" s="112" t="s">
        <v>2479</v>
      </c>
      <c r="B898" s="112" t="s">
        <v>908</v>
      </c>
      <c r="C898" s="112" t="s">
        <v>695</v>
      </c>
      <c r="D898" s="113">
        <v>10347981</v>
      </c>
      <c r="E898" s="115">
        <v>43924</v>
      </c>
      <c r="F898" s="114">
        <v>202101</v>
      </c>
      <c r="G898" s="112" t="s">
        <v>1091</v>
      </c>
      <c r="H898" s="112" t="s">
        <v>1015</v>
      </c>
      <c r="I898" s="112" t="s">
        <v>761</v>
      </c>
      <c r="J898" s="112" t="s">
        <v>2553</v>
      </c>
      <c r="K898" s="112" t="s">
        <v>3029</v>
      </c>
      <c r="L898" s="116">
        <v>-80.53</v>
      </c>
      <c r="M898" s="116">
        <f t="shared" si="13"/>
        <v>-8.0530000000000004E-2</v>
      </c>
    </row>
    <row r="899" spans="1:13" hidden="1" x14ac:dyDescent="0.35">
      <c r="A899" s="112" t="s">
        <v>2479</v>
      </c>
      <c r="B899" s="112" t="s">
        <v>909</v>
      </c>
      <c r="C899" s="112" t="s">
        <v>695</v>
      </c>
      <c r="D899" s="113">
        <v>10347981</v>
      </c>
      <c r="E899" s="115">
        <v>43924</v>
      </c>
      <c r="F899" s="114">
        <v>202101</v>
      </c>
      <c r="G899" s="112" t="s">
        <v>1091</v>
      </c>
      <c r="H899" s="112" t="s">
        <v>1015</v>
      </c>
      <c r="I899" s="112" t="s">
        <v>761</v>
      </c>
      <c r="J899" s="112" t="s">
        <v>2480</v>
      </c>
      <c r="K899" s="112" t="s">
        <v>3031</v>
      </c>
      <c r="L899" s="116">
        <v>-60</v>
      </c>
      <c r="M899" s="116">
        <f t="shared" ref="M899:M962" si="14">L899/1000</f>
        <v>-0.06</v>
      </c>
    </row>
    <row r="900" spans="1:13" hidden="1" x14ac:dyDescent="0.35">
      <c r="A900" s="112" t="s">
        <v>2479</v>
      </c>
      <c r="B900" s="112" t="s">
        <v>908</v>
      </c>
      <c r="C900" s="112" t="s">
        <v>695</v>
      </c>
      <c r="D900" s="113">
        <v>10347981</v>
      </c>
      <c r="E900" s="115">
        <v>43924</v>
      </c>
      <c r="F900" s="114">
        <v>202101</v>
      </c>
      <c r="G900" s="112" t="s">
        <v>1091</v>
      </c>
      <c r="H900" s="112" t="s">
        <v>1015</v>
      </c>
      <c r="I900" s="112" t="s">
        <v>761</v>
      </c>
      <c r="J900" s="112" t="s">
        <v>2584</v>
      </c>
      <c r="K900" s="112" t="s">
        <v>3034</v>
      </c>
      <c r="L900" s="116">
        <v>-135</v>
      </c>
      <c r="M900" s="116">
        <f t="shared" si="14"/>
        <v>-0.13500000000000001</v>
      </c>
    </row>
    <row r="901" spans="1:13" hidden="1" x14ac:dyDescent="0.35">
      <c r="A901" s="112" t="s">
        <v>2479</v>
      </c>
      <c r="B901" s="112" t="s">
        <v>908</v>
      </c>
      <c r="C901" s="112" t="s">
        <v>695</v>
      </c>
      <c r="D901" s="113">
        <v>10347981</v>
      </c>
      <c r="E901" s="115">
        <v>43924</v>
      </c>
      <c r="F901" s="114">
        <v>202101</v>
      </c>
      <c r="G901" s="112" t="s">
        <v>1091</v>
      </c>
      <c r="H901" s="112" t="s">
        <v>1015</v>
      </c>
      <c r="I901" s="112" t="s">
        <v>761</v>
      </c>
      <c r="J901" s="112" t="s">
        <v>3045</v>
      </c>
      <c r="K901" s="112" t="s">
        <v>3046</v>
      </c>
      <c r="L901" s="116">
        <v>-1639.5</v>
      </c>
      <c r="M901" s="116">
        <f t="shared" si="14"/>
        <v>-1.6395</v>
      </c>
    </row>
    <row r="902" spans="1:13" hidden="1" x14ac:dyDescent="0.35">
      <c r="A902" s="112" t="s">
        <v>2479</v>
      </c>
      <c r="B902" s="112" t="s">
        <v>908</v>
      </c>
      <c r="C902" s="112" t="s">
        <v>695</v>
      </c>
      <c r="D902" s="113">
        <v>10347981</v>
      </c>
      <c r="E902" s="115">
        <v>43924</v>
      </c>
      <c r="F902" s="114">
        <v>202101</v>
      </c>
      <c r="G902" s="112" t="s">
        <v>1091</v>
      </c>
      <c r="H902" s="112" t="s">
        <v>1015</v>
      </c>
      <c r="I902" s="112" t="s">
        <v>761</v>
      </c>
      <c r="J902" s="112" t="s">
        <v>2484</v>
      </c>
      <c r="K902" s="112" t="s">
        <v>3049</v>
      </c>
      <c r="L902" s="116">
        <v>-14</v>
      </c>
      <c r="M902" s="116">
        <f t="shared" si="14"/>
        <v>-1.4E-2</v>
      </c>
    </row>
    <row r="903" spans="1:13" hidden="1" x14ac:dyDescent="0.35">
      <c r="A903" s="112" t="s">
        <v>2479</v>
      </c>
      <c r="B903" s="112" t="s">
        <v>908</v>
      </c>
      <c r="C903" s="112" t="s">
        <v>695</v>
      </c>
      <c r="D903" s="113">
        <v>10347981</v>
      </c>
      <c r="E903" s="115">
        <v>43924</v>
      </c>
      <c r="F903" s="114">
        <v>202101</v>
      </c>
      <c r="G903" s="112" t="s">
        <v>1091</v>
      </c>
      <c r="H903" s="112" t="s">
        <v>1015</v>
      </c>
      <c r="I903" s="112" t="s">
        <v>2502</v>
      </c>
      <c r="J903" s="112" t="s">
        <v>2503</v>
      </c>
      <c r="K903" s="112" t="s">
        <v>3051</v>
      </c>
      <c r="L903" s="116">
        <v>-7.07</v>
      </c>
      <c r="M903" s="116">
        <f t="shared" si="14"/>
        <v>-7.0699999999999999E-3</v>
      </c>
    </row>
    <row r="904" spans="1:13" hidden="1" x14ac:dyDescent="0.35">
      <c r="A904" s="112" t="s">
        <v>2479</v>
      </c>
      <c r="B904" s="112" t="s">
        <v>908</v>
      </c>
      <c r="C904" s="112" t="s">
        <v>695</v>
      </c>
      <c r="D904" s="113">
        <v>10347981</v>
      </c>
      <c r="E904" s="115">
        <v>43924</v>
      </c>
      <c r="F904" s="114">
        <v>202101</v>
      </c>
      <c r="G904" s="112" t="s">
        <v>1091</v>
      </c>
      <c r="H904" s="112" t="s">
        <v>1015</v>
      </c>
      <c r="I904" s="112" t="s">
        <v>761</v>
      </c>
      <c r="J904" s="112" t="s">
        <v>2584</v>
      </c>
      <c r="K904" s="112" t="s">
        <v>3034</v>
      </c>
      <c r="L904" s="116">
        <v>-2240</v>
      </c>
      <c r="M904" s="116">
        <f t="shared" si="14"/>
        <v>-2.2400000000000002</v>
      </c>
    </row>
    <row r="905" spans="1:13" hidden="1" x14ac:dyDescent="0.35">
      <c r="A905" s="112" t="s">
        <v>2479</v>
      </c>
      <c r="B905" s="112" t="s">
        <v>908</v>
      </c>
      <c r="C905" s="112" t="s">
        <v>695</v>
      </c>
      <c r="D905" s="113">
        <v>10348126</v>
      </c>
      <c r="E905" s="115">
        <v>43565</v>
      </c>
      <c r="F905" s="114">
        <v>202101</v>
      </c>
      <c r="G905" s="112" t="s">
        <v>1091</v>
      </c>
      <c r="H905" s="112" t="s">
        <v>1015</v>
      </c>
      <c r="I905" s="112" t="s">
        <v>1264</v>
      </c>
      <c r="J905" s="112" t="s">
        <v>2484</v>
      </c>
      <c r="K905" s="112" t="s">
        <v>3088</v>
      </c>
      <c r="L905" s="116">
        <v>1400</v>
      </c>
      <c r="M905" s="116">
        <f t="shared" si="14"/>
        <v>1.4</v>
      </c>
    </row>
    <row r="906" spans="1:13" hidden="1" x14ac:dyDescent="0.35">
      <c r="A906" s="112" t="s">
        <v>2479</v>
      </c>
      <c r="B906" s="112" t="s">
        <v>908</v>
      </c>
      <c r="C906" s="112" t="s">
        <v>695</v>
      </c>
      <c r="D906" s="113">
        <v>10347981</v>
      </c>
      <c r="E906" s="115">
        <v>43924</v>
      </c>
      <c r="F906" s="114">
        <v>202101</v>
      </c>
      <c r="G906" s="112" t="s">
        <v>1091</v>
      </c>
      <c r="H906" s="112" t="s">
        <v>1015</v>
      </c>
      <c r="I906" s="112" t="s">
        <v>2997</v>
      </c>
      <c r="J906" s="112" t="s">
        <v>2520</v>
      </c>
      <c r="K906" s="112" t="s">
        <v>3090</v>
      </c>
      <c r="L906" s="116">
        <v>-20</v>
      </c>
      <c r="M906" s="116">
        <f t="shared" si="14"/>
        <v>-0.02</v>
      </c>
    </row>
    <row r="907" spans="1:13" hidden="1" x14ac:dyDescent="0.35">
      <c r="A907" s="112" t="s">
        <v>2479</v>
      </c>
      <c r="B907" s="112" t="s">
        <v>908</v>
      </c>
      <c r="C907" s="112" t="s">
        <v>695</v>
      </c>
      <c r="D907" s="113">
        <v>10347981</v>
      </c>
      <c r="E907" s="115">
        <v>43924</v>
      </c>
      <c r="F907" s="114">
        <v>202101</v>
      </c>
      <c r="G907" s="112" t="s">
        <v>1091</v>
      </c>
      <c r="H907" s="112" t="s">
        <v>1015</v>
      </c>
      <c r="I907" s="112" t="s">
        <v>1182</v>
      </c>
      <c r="J907" s="112" t="s">
        <v>2584</v>
      </c>
      <c r="K907" s="112" t="s">
        <v>2757</v>
      </c>
      <c r="L907" s="116">
        <v>-39</v>
      </c>
      <c r="M907" s="116">
        <f t="shared" si="14"/>
        <v>-3.9E-2</v>
      </c>
    </row>
    <row r="908" spans="1:13" hidden="1" x14ac:dyDescent="0.35">
      <c r="A908" s="112" t="s">
        <v>2479</v>
      </c>
      <c r="B908" s="112" t="s">
        <v>909</v>
      </c>
      <c r="C908" s="112" t="s">
        <v>695</v>
      </c>
      <c r="D908" s="113">
        <v>10347981</v>
      </c>
      <c r="E908" s="115">
        <v>43924</v>
      </c>
      <c r="F908" s="114">
        <v>202101</v>
      </c>
      <c r="G908" s="112" t="s">
        <v>1091</v>
      </c>
      <c r="H908" s="112" t="s">
        <v>1015</v>
      </c>
      <c r="I908" s="112" t="s">
        <v>775</v>
      </c>
      <c r="J908" s="112" t="s">
        <v>3123</v>
      </c>
      <c r="K908" s="112" t="s">
        <v>3124</v>
      </c>
      <c r="L908" s="116">
        <v>-500</v>
      </c>
      <c r="M908" s="116">
        <f t="shared" si="14"/>
        <v>-0.5</v>
      </c>
    </row>
    <row r="909" spans="1:13" hidden="1" x14ac:dyDescent="0.35">
      <c r="A909" s="112" t="s">
        <v>2479</v>
      </c>
      <c r="B909" s="112" t="s">
        <v>908</v>
      </c>
      <c r="C909" s="112" t="s">
        <v>695</v>
      </c>
      <c r="D909" s="113">
        <v>10347981</v>
      </c>
      <c r="E909" s="115">
        <v>43924</v>
      </c>
      <c r="F909" s="114">
        <v>202101</v>
      </c>
      <c r="G909" s="112" t="s">
        <v>1091</v>
      </c>
      <c r="H909" s="112" t="s">
        <v>1015</v>
      </c>
      <c r="I909" s="112" t="s">
        <v>761</v>
      </c>
      <c r="J909" s="112" t="s">
        <v>2584</v>
      </c>
      <c r="K909" s="112" t="s">
        <v>3127</v>
      </c>
      <c r="L909" s="116">
        <v>-12.8</v>
      </c>
      <c r="M909" s="116">
        <f t="shared" si="14"/>
        <v>-1.2800000000000001E-2</v>
      </c>
    </row>
    <row r="910" spans="1:13" hidden="1" x14ac:dyDescent="0.35">
      <c r="A910" s="112" t="s">
        <v>2479</v>
      </c>
      <c r="B910" s="112" t="s">
        <v>908</v>
      </c>
      <c r="C910" s="112" t="s">
        <v>695</v>
      </c>
      <c r="D910" s="113">
        <v>10347981</v>
      </c>
      <c r="E910" s="115">
        <v>43924</v>
      </c>
      <c r="F910" s="114">
        <v>202101</v>
      </c>
      <c r="G910" s="112" t="s">
        <v>1091</v>
      </c>
      <c r="H910" s="112" t="s">
        <v>1015</v>
      </c>
      <c r="I910" s="112" t="s">
        <v>1102</v>
      </c>
      <c r="J910" s="112" t="s">
        <v>2520</v>
      </c>
      <c r="K910" s="112" t="s">
        <v>3140</v>
      </c>
      <c r="L910" s="116">
        <v>-82.66</v>
      </c>
      <c r="M910" s="116">
        <f t="shared" si="14"/>
        <v>-8.2659999999999997E-2</v>
      </c>
    </row>
    <row r="911" spans="1:13" hidden="1" x14ac:dyDescent="0.35">
      <c r="A911" s="112" t="s">
        <v>2479</v>
      </c>
      <c r="B911" s="112" t="s">
        <v>908</v>
      </c>
      <c r="C911" s="112" t="s">
        <v>695</v>
      </c>
      <c r="D911" s="113">
        <v>10347981</v>
      </c>
      <c r="E911" s="115">
        <v>43924</v>
      </c>
      <c r="F911" s="114">
        <v>202101</v>
      </c>
      <c r="G911" s="112" t="s">
        <v>1091</v>
      </c>
      <c r="H911" s="112" t="s">
        <v>1015</v>
      </c>
      <c r="I911" s="112" t="s">
        <v>761</v>
      </c>
      <c r="J911" s="112" t="s">
        <v>2484</v>
      </c>
      <c r="K911" s="112" t="s">
        <v>2748</v>
      </c>
      <c r="L911" s="116">
        <v>-546</v>
      </c>
      <c r="M911" s="116">
        <f t="shared" si="14"/>
        <v>-0.54600000000000004</v>
      </c>
    </row>
    <row r="912" spans="1:13" hidden="1" x14ac:dyDescent="0.35">
      <c r="A912" s="112" t="s">
        <v>2479</v>
      </c>
      <c r="B912" s="112" t="s">
        <v>908</v>
      </c>
      <c r="C912" s="112" t="s">
        <v>695</v>
      </c>
      <c r="D912" s="113">
        <v>10347981</v>
      </c>
      <c r="E912" s="115">
        <v>43924</v>
      </c>
      <c r="F912" s="114">
        <v>202101</v>
      </c>
      <c r="G912" s="112" t="s">
        <v>1091</v>
      </c>
      <c r="H912" s="112" t="s">
        <v>1015</v>
      </c>
      <c r="I912" s="112" t="s">
        <v>1182</v>
      </c>
      <c r="J912" s="112" t="s">
        <v>2584</v>
      </c>
      <c r="K912" s="112" t="s">
        <v>3143</v>
      </c>
      <c r="L912" s="116">
        <v>-142.26</v>
      </c>
      <c r="M912" s="116">
        <f t="shared" si="14"/>
        <v>-0.14226</v>
      </c>
    </row>
    <row r="913" spans="1:13" hidden="1" x14ac:dyDescent="0.35">
      <c r="A913" s="112" t="s">
        <v>2479</v>
      </c>
      <c r="B913" s="112" t="s">
        <v>908</v>
      </c>
      <c r="C913" s="112" t="s">
        <v>695</v>
      </c>
      <c r="D913" s="113">
        <v>10347981</v>
      </c>
      <c r="E913" s="115">
        <v>43924</v>
      </c>
      <c r="F913" s="114">
        <v>202101</v>
      </c>
      <c r="G913" s="112" t="s">
        <v>1091</v>
      </c>
      <c r="H913" s="112" t="s">
        <v>1015</v>
      </c>
      <c r="I913" s="112" t="s">
        <v>2997</v>
      </c>
      <c r="J913" s="112" t="s">
        <v>2520</v>
      </c>
      <c r="K913" s="112" t="s">
        <v>3146</v>
      </c>
      <c r="L913" s="116">
        <v>-20</v>
      </c>
      <c r="M913" s="116">
        <f t="shared" si="14"/>
        <v>-0.02</v>
      </c>
    </row>
    <row r="914" spans="1:13" hidden="1" x14ac:dyDescent="0.35">
      <c r="A914" s="112" t="s">
        <v>2479</v>
      </c>
      <c r="B914" s="112" t="s">
        <v>908</v>
      </c>
      <c r="C914" s="112" t="s">
        <v>695</v>
      </c>
      <c r="D914" s="113">
        <v>10347981</v>
      </c>
      <c r="E914" s="115">
        <v>43924</v>
      </c>
      <c r="F914" s="114">
        <v>202101</v>
      </c>
      <c r="G914" s="112" t="s">
        <v>1091</v>
      </c>
      <c r="H914" s="112" t="s">
        <v>1015</v>
      </c>
      <c r="I914" s="112" t="s">
        <v>761</v>
      </c>
      <c r="J914" s="112" t="s">
        <v>2484</v>
      </c>
      <c r="K914" s="112" t="s">
        <v>3147</v>
      </c>
      <c r="L914" s="116">
        <v>-47.2</v>
      </c>
      <c r="M914" s="116">
        <f t="shared" si="14"/>
        <v>-4.7200000000000006E-2</v>
      </c>
    </row>
    <row r="915" spans="1:13" hidden="1" x14ac:dyDescent="0.35">
      <c r="A915" s="112" t="s">
        <v>2479</v>
      </c>
      <c r="B915" s="112" t="s">
        <v>908</v>
      </c>
      <c r="C915" s="112" t="s">
        <v>695</v>
      </c>
      <c r="D915" s="113">
        <v>10347981</v>
      </c>
      <c r="E915" s="115">
        <v>43924</v>
      </c>
      <c r="F915" s="114">
        <v>202101</v>
      </c>
      <c r="G915" s="112" t="s">
        <v>1091</v>
      </c>
      <c r="H915" s="112" t="s">
        <v>1015</v>
      </c>
      <c r="I915" s="112" t="s">
        <v>761</v>
      </c>
      <c r="J915" s="112" t="s">
        <v>2484</v>
      </c>
      <c r="K915" s="112" t="s">
        <v>3148</v>
      </c>
      <c r="L915" s="116">
        <v>-500</v>
      </c>
      <c r="M915" s="116">
        <f t="shared" si="14"/>
        <v>-0.5</v>
      </c>
    </row>
    <row r="916" spans="1:13" hidden="1" x14ac:dyDescent="0.35">
      <c r="A916" s="112" t="s">
        <v>2479</v>
      </c>
      <c r="B916" s="112" t="s">
        <v>909</v>
      </c>
      <c r="C916" s="112" t="s">
        <v>695</v>
      </c>
      <c r="D916" s="113">
        <v>10347981</v>
      </c>
      <c r="E916" s="115">
        <v>43924</v>
      </c>
      <c r="F916" s="114">
        <v>202101</v>
      </c>
      <c r="G916" s="112" t="s">
        <v>1091</v>
      </c>
      <c r="H916" s="112" t="s">
        <v>1015</v>
      </c>
      <c r="I916" s="112" t="s">
        <v>1246</v>
      </c>
      <c r="J916" s="112" t="s">
        <v>2523</v>
      </c>
      <c r="K916" s="112" t="s">
        <v>3150</v>
      </c>
      <c r="L916" s="116">
        <v>-3300</v>
      </c>
      <c r="M916" s="116">
        <f t="shared" si="14"/>
        <v>-3.3</v>
      </c>
    </row>
    <row r="917" spans="1:13" hidden="1" x14ac:dyDescent="0.35">
      <c r="A917" s="112" t="s">
        <v>2479</v>
      </c>
      <c r="B917" s="112" t="s">
        <v>908</v>
      </c>
      <c r="C917" s="112" t="s">
        <v>695</v>
      </c>
      <c r="D917" s="113">
        <v>10347981</v>
      </c>
      <c r="E917" s="115">
        <v>43924</v>
      </c>
      <c r="F917" s="114">
        <v>202101</v>
      </c>
      <c r="G917" s="112" t="s">
        <v>1091</v>
      </c>
      <c r="H917" s="112" t="s">
        <v>1015</v>
      </c>
      <c r="I917" s="112" t="s">
        <v>761</v>
      </c>
      <c r="J917" s="112" t="s">
        <v>2553</v>
      </c>
      <c r="K917" s="112" t="s">
        <v>3152</v>
      </c>
      <c r="L917" s="116">
        <v>-45.9</v>
      </c>
      <c r="M917" s="116">
        <f t="shared" si="14"/>
        <v>-4.5899999999999996E-2</v>
      </c>
    </row>
    <row r="918" spans="1:13" hidden="1" x14ac:dyDescent="0.35">
      <c r="A918" s="112" t="s">
        <v>2479</v>
      </c>
      <c r="B918" s="112" t="s">
        <v>908</v>
      </c>
      <c r="C918" s="112" t="s">
        <v>695</v>
      </c>
      <c r="D918" s="113">
        <v>10347981</v>
      </c>
      <c r="E918" s="115">
        <v>43924</v>
      </c>
      <c r="F918" s="114">
        <v>202101</v>
      </c>
      <c r="G918" s="112" t="s">
        <v>1091</v>
      </c>
      <c r="H918" s="112" t="s">
        <v>1015</v>
      </c>
      <c r="I918" s="112" t="s">
        <v>2502</v>
      </c>
      <c r="J918" s="112" t="s">
        <v>2503</v>
      </c>
      <c r="K918" s="112" t="s">
        <v>3153</v>
      </c>
      <c r="L918" s="116">
        <v>-61.29</v>
      </c>
      <c r="M918" s="116">
        <f t="shared" si="14"/>
        <v>-6.1289999999999997E-2</v>
      </c>
    </row>
    <row r="919" spans="1:13" hidden="1" x14ac:dyDescent="0.35">
      <c r="A919" s="112" t="s">
        <v>2479</v>
      </c>
      <c r="B919" s="112" t="s">
        <v>908</v>
      </c>
      <c r="C919" s="112" t="s">
        <v>695</v>
      </c>
      <c r="D919" s="113">
        <v>10347981</v>
      </c>
      <c r="E919" s="115">
        <v>43924</v>
      </c>
      <c r="F919" s="114">
        <v>202101</v>
      </c>
      <c r="G919" s="112" t="s">
        <v>1091</v>
      </c>
      <c r="H919" s="112" t="s">
        <v>1015</v>
      </c>
      <c r="I919" s="112" t="s">
        <v>761</v>
      </c>
      <c r="J919" s="112" t="s">
        <v>2553</v>
      </c>
      <c r="K919" s="112" t="s">
        <v>3154</v>
      </c>
      <c r="L919" s="116">
        <v>-28.68</v>
      </c>
      <c r="M919" s="116">
        <f t="shared" si="14"/>
        <v>-2.8680000000000001E-2</v>
      </c>
    </row>
    <row r="920" spans="1:13" hidden="1" x14ac:dyDescent="0.35">
      <c r="A920" s="112" t="s">
        <v>2479</v>
      </c>
      <c r="B920" s="112" t="s">
        <v>908</v>
      </c>
      <c r="C920" s="112" t="s">
        <v>695</v>
      </c>
      <c r="D920" s="113">
        <v>10347981</v>
      </c>
      <c r="E920" s="115">
        <v>43924</v>
      </c>
      <c r="F920" s="114">
        <v>202101</v>
      </c>
      <c r="G920" s="112" t="s">
        <v>1091</v>
      </c>
      <c r="H920" s="112" t="s">
        <v>1015</v>
      </c>
      <c r="I920" s="112" t="s">
        <v>761</v>
      </c>
      <c r="J920" s="112" t="s">
        <v>2484</v>
      </c>
      <c r="K920" s="112" t="s">
        <v>3155</v>
      </c>
      <c r="L920" s="116">
        <v>-35.42</v>
      </c>
      <c r="M920" s="116">
        <f t="shared" si="14"/>
        <v>-3.542E-2</v>
      </c>
    </row>
    <row r="921" spans="1:13" hidden="1" x14ac:dyDescent="0.35">
      <c r="A921" s="112" t="s">
        <v>2479</v>
      </c>
      <c r="B921" s="112" t="s">
        <v>908</v>
      </c>
      <c r="C921" s="112" t="s">
        <v>695</v>
      </c>
      <c r="D921" s="113">
        <v>10347981</v>
      </c>
      <c r="E921" s="115">
        <v>43924</v>
      </c>
      <c r="F921" s="114">
        <v>202101</v>
      </c>
      <c r="G921" s="112" t="s">
        <v>1091</v>
      </c>
      <c r="H921" s="112" t="s">
        <v>1015</v>
      </c>
      <c r="I921" s="112" t="s">
        <v>761</v>
      </c>
      <c r="J921" s="112" t="s">
        <v>2484</v>
      </c>
      <c r="K921" s="112" t="s">
        <v>3157</v>
      </c>
      <c r="L921" s="116">
        <v>-62</v>
      </c>
      <c r="M921" s="116">
        <f t="shared" si="14"/>
        <v>-6.2E-2</v>
      </c>
    </row>
    <row r="922" spans="1:13" hidden="1" x14ac:dyDescent="0.35">
      <c r="A922" s="112" t="s">
        <v>2479</v>
      </c>
      <c r="B922" s="112" t="s">
        <v>908</v>
      </c>
      <c r="C922" s="112" t="s">
        <v>695</v>
      </c>
      <c r="D922" s="113">
        <v>10347981</v>
      </c>
      <c r="E922" s="115">
        <v>43924</v>
      </c>
      <c r="F922" s="114">
        <v>202101</v>
      </c>
      <c r="G922" s="112" t="s">
        <v>1091</v>
      </c>
      <c r="H922" s="112" t="s">
        <v>1015</v>
      </c>
      <c r="I922" s="112" t="s">
        <v>1182</v>
      </c>
      <c r="J922" s="112" t="s">
        <v>2584</v>
      </c>
      <c r="K922" s="112" t="s">
        <v>2757</v>
      </c>
      <c r="L922" s="116">
        <v>-9</v>
      </c>
      <c r="M922" s="116">
        <f t="shared" si="14"/>
        <v>-8.9999999999999993E-3</v>
      </c>
    </row>
    <row r="923" spans="1:13" hidden="1" x14ac:dyDescent="0.35">
      <c r="A923" s="112" t="s">
        <v>2479</v>
      </c>
      <c r="B923" s="112" t="s">
        <v>908</v>
      </c>
      <c r="C923" s="112" t="s">
        <v>695</v>
      </c>
      <c r="D923" s="113">
        <v>10347981</v>
      </c>
      <c r="E923" s="115">
        <v>43924</v>
      </c>
      <c r="F923" s="114">
        <v>202101</v>
      </c>
      <c r="G923" s="112" t="s">
        <v>1091</v>
      </c>
      <c r="H923" s="112" t="s">
        <v>1015</v>
      </c>
      <c r="I923" s="112" t="s">
        <v>2997</v>
      </c>
      <c r="J923" s="112" t="s">
        <v>2520</v>
      </c>
      <c r="K923" s="112" t="s">
        <v>3160</v>
      </c>
      <c r="L923" s="116">
        <v>-20</v>
      </c>
      <c r="M923" s="116">
        <f t="shared" si="14"/>
        <v>-0.02</v>
      </c>
    </row>
    <row r="924" spans="1:13" hidden="1" x14ac:dyDescent="0.35">
      <c r="A924" s="112" t="s">
        <v>2479</v>
      </c>
      <c r="B924" s="112" t="s">
        <v>908</v>
      </c>
      <c r="C924" s="112" t="s">
        <v>695</v>
      </c>
      <c r="D924" s="113">
        <v>10347981</v>
      </c>
      <c r="E924" s="115">
        <v>43924</v>
      </c>
      <c r="F924" s="114">
        <v>202101</v>
      </c>
      <c r="G924" s="112" t="s">
        <v>1091</v>
      </c>
      <c r="H924" s="112" t="s">
        <v>1015</v>
      </c>
      <c r="I924" s="112" t="s">
        <v>761</v>
      </c>
      <c r="J924" s="112" t="s">
        <v>2584</v>
      </c>
      <c r="K924" s="112" t="s">
        <v>3186</v>
      </c>
      <c r="L924" s="116">
        <v>-46.36</v>
      </c>
      <c r="M924" s="116">
        <f t="shared" si="14"/>
        <v>-4.6359999999999998E-2</v>
      </c>
    </row>
    <row r="925" spans="1:13" hidden="1" x14ac:dyDescent="0.35">
      <c r="A925" s="112" t="s">
        <v>2479</v>
      </c>
      <c r="B925" s="112" t="s">
        <v>908</v>
      </c>
      <c r="C925" s="112" t="s">
        <v>695</v>
      </c>
      <c r="D925" s="113">
        <v>10347981</v>
      </c>
      <c r="E925" s="115">
        <v>43924</v>
      </c>
      <c r="F925" s="114">
        <v>202101</v>
      </c>
      <c r="G925" s="112" t="s">
        <v>1091</v>
      </c>
      <c r="H925" s="112" t="s">
        <v>1015</v>
      </c>
      <c r="I925" s="112" t="s">
        <v>761</v>
      </c>
      <c r="J925" s="112" t="s">
        <v>2553</v>
      </c>
      <c r="K925" s="112" t="s">
        <v>3187</v>
      </c>
      <c r="L925" s="116">
        <v>-43.79</v>
      </c>
      <c r="M925" s="116">
        <f t="shared" si="14"/>
        <v>-4.3790000000000003E-2</v>
      </c>
    </row>
    <row r="926" spans="1:13" hidden="1" x14ac:dyDescent="0.35">
      <c r="A926" s="112" t="s">
        <v>2479</v>
      </c>
      <c r="B926" s="112" t="s">
        <v>908</v>
      </c>
      <c r="C926" s="112" t="s">
        <v>695</v>
      </c>
      <c r="D926" s="113">
        <v>10347981</v>
      </c>
      <c r="E926" s="115">
        <v>43924</v>
      </c>
      <c r="F926" s="114">
        <v>202101</v>
      </c>
      <c r="G926" s="112" t="s">
        <v>1091</v>
      </c>
      <c r="H926" s="112" t="s">
        <v>1015</v>
      </c>
      <c r="I926" s="112" t="s">
        <v>761</v>
      </c>
      <c r="J926" s="112" t="s">
        <v>2553</v>
      </c>
      <c r="K926" s="112" t="s">
        <v>3189</v>
      </c>
      <c r="L926" s="116">
        <v>-166.66</v>
      </c>
      <c r="M926" s="116">
        <f t="shared" si="14"/>
        <v>-0.16666</v>
      </c>
    </row>
    <row r="927" spans="1:13" hidden="1" x14ac:dyDescent="0.35">
      <c r="A927" s="112" t="s">
        <v>2479</v>
      </c>
      <c r="B927" s="112" t="s">
        <v>908</v>
      </c>
      <c r="C927" s="112" t="s">
        <v>695</v>
      </c>
      <c r="D927" s="113">
        <v>10347981</v>
      </c>
      <c r="E927" s="115">
        <v>43924</v>
      </c>
      <c r="F927" s="114">
        <v>202101</v>
      </c>
      <c r="G927" s="112" t="s">
        <v>1091</v>
      </c>
      <c r="H927" s="112" t="s">
        <v>1015</v>
      </c>
      <c r="I927" s="112" t="s">
        <v>761</v>
      </c>
      <c r="J927" s="112" t="s">
        <v>2553</v>
      </c>
      <c r="K927" s="112" t="s">
        <v>3192</v>
      </c>
      <c r="L927" s="116">
        <v>-28</v>
      </c>
      <c r="M927" s="116">
        <f t="shared" si="14"/>
        <v>-2.8000000000000001E-2</v>
      </c>
    </row>
    <row r="928" spans="1:13" hidden="1" x14ac:dyDescent="0.35">
      <c r="A928" s="112" t="s">
        <v>2479</v>
      </c>
      <c r="B928" s="112" t="s">
        <v>909</v>
      </c>
      <c r="C928" s="112" t="s">
        <v>695</v>
      </c>
      <c r="D928" s="113">
        <v>10347981</v>
      </c>
      <c r="E928" s="115">
        <v>43924</v>
      </c>
      <c r="F928" s="114">
        <v>202101</v>
      </c>
      <c r="G928" s="112" t="s">
        <v>1091</v>
      </c>
      <c r="H928" s="112" t="s">
        <v>1015</v>
      </c>
      <c r="I928" s="112" t="s">
        <v>1182</v>
      </c>
      <c r="J928" s="112" t="s">
        <v>2523</v>
      </c>
      <c r="K928" s="112" t="s">
        <v>3195</v>
      </c>
      <c r="L928" s="116">
        <v>-270</v>
      </c>
      <c r="M928" s="116">
        <f t="shared" si="14"/>
        <v>-0.27</v>
      </c>
    </row>
    <row r="929" spans="1:13" hidden="1" x14ac:dyDescent="0.35">
      <c r="A929" s="112" t="s">
        <v>2479</v>
      </c>
      <c r="B929" s="112" t="s">
        <v>908</v>
      </c>
      <c r="C929" s="112" t="s">
        <v>695</v>
      </c>
      <c r="D929" s="113">
        <v>10347981</v>
      </c>
      <c r="E929" s="115">
        <v>43924</v>
      </c>
      <c r="F929" s="114">
        <v>202101</v>
      </c>
      <c r="G929" s="112" t="s">
        <v>1091</v>
      </c>
      <c r="H929" s="112" t="s">
        <v>1015</v>
      </c>
      <c r="I929" s="112" t="s">
        <v>761</v>
      </c>
      <c r="J929" s="112" t="s">
        <v>2484</v>
      </c>
      <c r="K929" s="112" t="s">
        <v>3196</v>
      </c>
      <c r="L929" s="116">
        <v>-38</v>
      </c>
      <c r="M929" s="116">
        <f t="shared" si="14"/>
        <v>-3.7999999999999999E-2</v>
      </c>
    </row>
    <row r="930" spans="1:13" hidden="1" x14ac:dyDescent="0.35">
      <c r="A930" s="112" t="s">
        <v>2479</v>
      </c>
      <c r="B930" s="112" t="s">
        <v>908</v>
      </c>
      <c r="C930" s="112" t="s">
        <v>695</v>
      </c>
      <c r="D930" s="113">
        <v>10347981</v>
      </c>
      <c r="E930" s="115">
        <v>43924</v>
      </c>
      <c r="F930" s="114">
        <v>202101</v>
      </c>
      <c r="G930" s="112" t="s">
        <v>1091</v>
      </c>
      <c r="H930" s="112" t="s">
        <v>1015</v>
      </c>
      <c r="I930" s="112" t="s">
        <v>761</v>
      </c>
      <c r="J930" s="112" t="s">
        <v>2553</v>
      </c>
      <c r="K930" s="112" t="s">
        <v>3197</v>
      </c>
      <c r="L930" s="116">
        <v>-16.399999999999999</v>
      </c>
      <c r="M930" s="116">
        <f t="shared" si="14"/>
        <v>-1.6399999999999998E-2</v>
      </c>
    </row>
    <row r="931" spans="1:13" hidden="1" x14ac:dyDescent="0.35">
      <c r="A931" s="112" t="s">
        <v>2479</v>
      </c>
      <c r="B931" s="112" t="s">
        <v>908</v>
      </c>
      <c r="C931" s="112" t="s">
        <v>695</v>
      </c>
      <c r="D931" s="113">
        <v>10347981</v>
      </c>
      <c r="E931" s="115">
        <v>43924</v>
      </c>
      <c r="F931" s="114">
        <v>202101</v>
      </c>
      <c r="G931" s="112" t="s">
        <v>1091</v>
      </c>
      <c r="H931" s="112" t="s">
        <v>1015</v>
      </c>
      <c r="I931" s="112" t="s">
        <v>761</v>
      </c>
      <c r="J931" s="112" t="s">
        <v>2484</v>
      </c>
      <c r="K931" s="112" t="s">
        <v>3198</v>
      </c>
      <c r="L931" s="116">
        <v>-2.5</v>
      </c>
      <c r="M931" s="116">
        <f t="shared" si="14"/>
        <v>-2.5000000000000001E-3</v>
      </c>
    </row>
    <row r="932" spans="1:13" hidden="1" x14ac:dyDescent="0.35">
      <c r="A932" s="112" t="s">
        <v>2479</v>
      </c>
      <c r="B932" s="112" t="s">
        <v>908</v>
      </c>
      <c r="C932" s="112" t="s">
        <v>695</v>
      </c>
      <c r="D932" s="113">
        <v>10347981</v>
      </c>
      <c r="E932" s="115">
        <v>43924</v>
      </c>
      <c r="F932" s="114">
        <v>202101</v>
      </c>
      <c r="G932" s="112" t="s">
        <v>1091</v>
      </c>
      <c r="H932" s="112" t="s">
        <v>1015</v>
      </c>
      <c r="I932" s="112" t="s">
        <v>761</v>
      </c>
      <c r="J932" s="112" t="s">
        <v>2484</v>
      </c>
      <c r="K932" s="112" t="s">
        <v>3199</v>
      </c>
      <c r="L932" s="116">
        <v>-16</v>
      </c>
      <c r="M932" s="116">
        <f t="shared" si="14"/>
        <v>-1.6E-2</v>
      </c>
    </row>
    <row r="933" spans="1:13" hidden="1" x14ac:dyDescent="0.35">
      <c r="A933" s="112" t="s">
        <v>2479</v>
      </c>
      <c r="B933" s="112" t="s">
        <v>908</v>
      </c>
      <c r="C933" s="112" t="s">
        <v>695</v>
      </c>
      <c r="D933" s="113">
        <v>10347981</v>
      </c>
      <c r="E933" s="115">
        <v>43924</v>
      </c>
      <c r="F933" s="114">
        <v>202101</v>
      </c>
      <c r="G933" s="112" t="s">
        <v>1091</v>
      </c>
      <c r="H933" s="112" t="s">
        <v>1015</v>
      </c>
      <c r="I933" s="112" t="s">
        <v>761</v>
      </c>
      <c r="J933" s="112" t="s">
        <v>2553</v>
      </c>
      <c r="K933" s="112" t="s">
        <v>3203</v>
      </c>
      <c r="L933" s="116">
        <v>-45.53</v>
      </c>
      <c r="M933" s="116">
        <f t="shared" si="14"/>
        <v>-4.5530000000000001E-2</v>
      </c>
    </row>
    <row r="934" spans="1:13" hidden="1" x14ac:dyDescent="0.35">
      <c r="A934" s="112" t="s">
        <v>2479</v>
      </c>
      <c r="B934" s="112" t="s">
        <v>908</v>
      </c>
      <c r="C934" s="112" t="s">
        <v>695</v>
      </c>
      <c r="D934" s="113">
        <v>10347981</v>
      </c>
      <c r="E934" s="115">
        <v>43924</v>
      </c>
      <c r="F934" s="114">
        <v>202101</v>
      </c>
      <c r="G934" s="112" t="s">
        <v>1091</v>
      </c>
      <c r="H934" s="112" t="s">
        <v>1015</v>
      </c>
      <c r="I934" s="112" t="s">
        <v>2997</v>
      </c>
      <c r="J934" s="112" t="s">
        <v>2520</v>
      </c>
      <c r="K934" s="112" t="s">
        <v>3204</v>
      </c>
      <c r="L934" s="116">
        <v>-20</v>
      </c>
      <c r="M934" s="116">
        <f t="shared" si="14"/>
        <v>-0.02</v>
      </c>
    </row>
    <row r="935" spans="1:13" hidden="1" x14ac:dyDescent="0.35">
      <c r="A935" s="112" t="s">
        <v>2479</v>
      </c>
      <c r="B935" s="112" t="s">
        <v>909</v>
      </c>
      <c r="C935" s="112" t="s">
        <v>695</v>
      </c>
      <c r="D935" s="113">
        <v>10347981</v>
      </c>
      <c r="E935" s="115">
        <v>43924</v>
      </c>
      <c r="F935" s="114">
        <v>202101</v>
      </c>
      <c r="G935" s="112" t="s">
        <v>1091</v>
      </c>
      <c r="H935" s="112" t="s">
        <v>1015</v>
      </c>
      <c r="I935" s="112" t="s">
        <v>1643</v>
      </c>
      <c r="J935" s="112" t="s">
        <v>2480</v>
      </c>
      <c r="K935" s="112" t="s">
        <v>3205</v>
      </c>
      <c r="L935" s="116">
        <v>-189</v>
      </c>
      <c r="M935" s="116">
        <f t="shared" si="14"/>
        <v>-0.189</v>
      </c>
    </row>
    <row r="936" spans="1:13" hidden="1" x14ac:dyDescent="0.35">
      <c r="A936" s="112" t="s">
        <v>2479</v>
      </c>
      <c r="B936" s="112" t="s">
        <v>908</v>
      </c>
      <c r="C936" s="112" t="s">
        <v>695</v>
      </c>
      <c r="D936" s="113">
        <v>10347981</v>
      </c>
      <c r="E936" s="115">
        <v>43924</v>
      </c>
      <c r="F936" s="114">
        <v>202101</v>
      </c>
      <c r="G936" s="112" t="s">
        <v>1091</v>
      </c>
      <c r="H936" s="112" t="s">
        <v>1015</v>
      </c>
      <c r="I936" s="112" t="s">
        <v>1102</v>
      </c>
      <c r="J936" s="112" t="s">
        <v>2520</v>
      </c>
      <c r="K936" s="112" t="s">
        <v>3206</v>
      </c>
      <c r="L936" s="116">
        <v>-19.600000000000001</v>
      </c>
      <c r="M936" s="116">
        <f t="shared" si="14"/>
        <v>-1.9600000000000003E-2</v>
      </c>
    </row>
    <row r="937" spans="1:13" hidden="1" x14ac:dyDescent="0.35">
      <c r="A937" s="112" t="s">
        <v>2479</v>
      </c>
      <c r="B937" s="112" t="s">
        <v>909</v>
      </c>
      <c r="C937" s="112" t="s">
        <v>695</v>
      </c>
      <c r="D937" s="113">
        <v>10347981</v>
      </c>
      <c r="E937" s="115">
        <v>43924</v>
      </c>
      <c r="F937" s="114">
        <v>202101</v>
      </c>
      <c r="G937" s="112" t="s">
        <v>1091</v>
      </c>
      <c r="H937" s="112" t="s">
        <v>1015</v>
      </c>
      <c r="I937" s="112" t="s">
        <v>761</v>
      </c>
      <c r="J937" s="112" t="s">
        <v>3217</v>
      </c>
      <c r="K937" s="112" t="s">
        <v>3218</v>
      </c>
      <c r="L937" s="116">
        <v>-9.9499999999999993</v>
      </c>
      <c r="M937" s="116">
        <f t="shared" si="14"/>
        <v>-9.9499999999999988E-3</v>
      </c>
    </row>
    <row r="938" spans="1:13" hidden="1" x14ac:dyDescent="0.35">
      <c r="A938" s="112" t="s">
        <v>2479</v>
      </c>
      <c r="B938" s="112" t="s">
        <v>908</v>
      </c>
      <c r="C938" s="112" t="s">
        <v>695</v>
      </c>
      <c r="D938" s="113">
        <v>10347981</v>
      </c>
      <c r="E938" s="115">
        <v>43924</v>
      </c>
      <c r="F938" s="114">
        <v>202101</v>
      </c>
      <c r="G938" s="112" t="s">
        <v>1091</v>
      </c>
      <c r="H938" s="112" t="s">
        <v>1015</v>
      </c>
      <c r="I938" s="112" t="s">
        <v>761</v>
      </c>
      <c r="J938" s="112" t="s">
        <v>2584</v>
      </c>
      <c r="K938" s="112" t="s">
        <v>3220</v>
      </c>
      <c r="L938" s="116">
        <v>-480</v>
      </c>
      <c r="M938" s="116">
        <f t="shared" si="14"/>
        <v>-0.48</v>
      </c>
    </row>
    <row r="939" spans="1:13" hidden="1" x14ac:dyDescent="0.35">
      <c r="A939" s="112" t="s">
        <v>2479</v>
      </c>
      <c r="B939" s="112" t="s">
        <v>909</v>
      </c>
      <c r="C939" s="112" t="s">
        <v>695</v>
      </c>
      <c r="D939" s="113">
        <v>10348152</v>
      </c>
      <c r="E939" s="115">
        <v>43930</v>
      </c>
      <c r="F939" s="114">
        <v>202101</v>
      </c>
      <c r="G939" s="112" t="s">
        <v>1091</v>
      </c>
      <c r="H939" s="112" t="s">
        <v>1015</v>
      </c>
      <c r="I939" s="112" t="s">
        <v>761</v>
      </c>
      <c r="J939" s="112" t="s">
        <v>3217</v>
      </c>
      <c r="K939" s="112" t="s">
        <v>3222</v>
      </c>
      <c r="L939" s="116">
        <v>-5538.4</v>
      </c>
      <c r="M939" s="116">
        <f t="shared" si="14"/>
        <v>-5.5383999999999993</v>
      </c>
    </row>
    <row r="940" spans="1:13" hidden="1" x14ac:dyDescent="0.35">
      <c r="A940" s="112" t="s">
        <v>2479</v>
      </c>
      <c r="B940" s="112" t="s">
        <v>908</v>
      </c>
      <c r="C940" s="112" t="s">
        <v>695</v>
      </c>
      <c r="D940" s="113">
        <v>10347981</v>
      </c>
      <c r="E940" s="115">
        <v>43924</v>
      </c>
      <c r="F940" s="114">
        <v>202101</v>
      </c>
      <c r="G940" s="112" t="s">
        <v>1091</v>
      </c>
      <c r="H940" s="112" t="s">
        <v>1015</v>
      </c>
      <c r="I940" s="112" t="s">
        <v>1182</v>
      </c>
      <c r="J940" s="112" t="s">
        <v>2584</v>
      </c>
      <c r="K940" s="112" t="s">
        <v>3223</v>
      </c>
      <c r="L940" s="116">
        <v>-139.1</v>
      </c>
      <c r="M940" s="116">
        <f t="shared" si="14"/>
        <v>-0.1391</v>
      </c>
    </row>
    <row r="941" spans="1:13" hidden="1" x14ac:dyDescent="0.35">
      <c r="A941" s="112" t="s">
        <v>2479</v>
      </c>
      <c r="B941" s="112" t="s">
        <v>908</v>
      </c>
      <c r="C941" s="112" t="s">
        <v>695</v>
      </c>
      <c r="D941" s="113">
        <v>10347981</v>
      </c>
      <c r="E941" s="115">
        <v>43924</v>
      </c>
      <c r="F941" s="114">
        <v>202101</v>
      </c>
      <c r="G941" s="112" t="s">
        <v>1091</v>
      </c>
      <c r="H941" s="112" t="s">
        <v>1015</v>
      </c>
      <c r="I941" s="112" t="s">
        <v>2502</v>
      </c>
      <c r="J941" s="112" t="s">
        <v>2503</v>
      </c>
      <c r="K941" s="112" t="s">
        <v>3227</v>
      </c>
      <c r="L941" s="116">
        <v>-5.2</v>
      </c>
      <c r="M941" s="116">
        <f t="shared" si="14"/>
        <v>-5.1999999999999998E-3</v>
      </c>
    </row>
    <row r="942" spans="1:13" hidden="1" x14ac:dyDescent="0.35">
      <c r="A942" s="112" t="s">
        <v>2479</v>
      </c>
      <c r="B942" s="112" t="s">
        <v>909</v>
      </c>
      <c r="C942" s="112" t="s">
        <v>695</v>
      </c>
      <c r="D942" s="113">
        <v>10347981</v>
      </c>
      <c r="E942" s="115">
        <v>43924</v>
      </c>
      <c r="F942" s="114">
        <v>202101</v>
      </c>
      <c r="G942" s="112" t="s">
        <v>1091</v>
      </c>
      <c r="H942" s="112" t="s">
        <v>1015</v>
      </c>
      <c r="I942" s="112" t="s">
        <v>761</v>
      </c>
      <c r="J942" s="112" t="s">
        <v>2523</v>
      </c>
      <c r="K942" s="112" t="s">
        <v>3229</v>
      </c>
      <c r="L942" s="116">
        <v>-154.5</v>
      </c>
      <c r="M942" s="116">
        <f t="shared" si="14"/>
        <v>-0.1545</v>
      </c>
    </row>
    <row r="943" spans="1:13" hidden="1" x14ac:dyDescent="0.35">
      <c r="A943" s="112" t="s">
        <v>2479</v>
      </c>
      <c r="B943" s="112" t="s">
        <v>908</v>
      </c>
      <c r="C943" s="112" t="s">
        <v>695</v>
      </c>
      <c r="D943" s="113">
        <v>10347981</v>
      </c>
      <c r="E943" s="115">
        <v>43924</v>
      </c>
      <c r="F943" s="114">
        <v>202101</v>
      </c>
      <c r="G943" s="112" t="s">
        <v>1091</v>
      </c>
      <c r="H943" s="112" t="s">
        <v>1015</v>
      </c>
      <c r="I943" s="112" t="s">
        <v>1102</v>
      </c>
      <c r="J943" s="112" t="s">
        <v>2520</v>
      </c>
      <c r="K943" s="112" t="s">
        <v>3230</v>
      </c>
      <c r="L943" s="116">
        <v>-31.36</v>
      </c>
      <c r="M943" s="116">
        <f t="shared" si="14"/>
        <v>-3.1359999999999999E-2</v>
      </c>
    </row>
    <row r="944" spans="1:13" hidden="1" x14ac:dyDescent="0.35">
      <c r="A944" s="112" t="s">
        <v>2479</v>
      </c>
      <c r="B944" s="112" t="s">
        <v>909</v>
      </c>
      <c r="C944" s="112" t="s">
        <v>695</v>
      </c>
      <c r="D944" s="113">
        <v>10347981</v>
      </c>
      <c r="E944" s="115">
        <v>43924</v>
      </c>
      <c r="F944" s="114">
        <v>202101</v>
      </c>
      <c r="G944" s="112" t="s">
        <v>1091</v>
      </c>
      <c r="H944" s="112" t="s">
        <v>1015</v>
      </c>
      <c r="I944" s="112" t="s">
        <v>1092</v>
      </c>
      <c r="J944" s="112" t="s">
        <v>2673</v>
      </c>
      <c r="K944" s="112" t="s">
        <v>1450</v>
      </c>
      <c r="L944" s="116">
        <v>-47</v>
      </c>
      <c r="M944" s="116">
        <f t="shared" si="14"/>
        <v>-4.7E-2</v>
      </c>
    </row>
    <row r="945" spans="1:13" hidden="1" x14ac:dyDescent="0.35">
      <c r="A945" s="112" t="s">
        <v>2479</v>
      </c>
      <c r="B945" s="112" t="s">
        <v>908</v>
      </c>
      <c r="C945" s="112" t="s">
        <v>695</v>
      </c>
      <c r="D945" s="113">
        <v>10347981</v>
      </c>
      <c r="E945" s="115">
        <v>43924</v>
      </c>
      <c r="F945" s="114">
        <v>202101</v>
      </c>
      <c r="G945" s="112" t="s">
        <v>1091</v>
      </c>
      <c r="H945" s="112" t="s">
        <v>1015</v>
      </c>
      <c r="I945" s="112" t="s">
        <v>2997</v>
      </c>
      <c r="J945" s="112" t="s">
        <v>2520</v>
      </c>
      <c r="K945" s="112" t="s">
        <v>3234</v>
      </c>
      <c r="L945" s="116">
        <v>-20</v>
      </c>
      <c r="M945" s="116">
        <f t="shared" si="14"/>
        <v>-0.02</v>
      </c>
    </row>
    <row r="946" spans="1:13" hidden="1" x14ac:dyDescent="0.35">
      <c r="A946" s="112" t="s">
        <v>2479</v>
      </c>
      <c r="B946" s="112" t="s">
        <v>908</v>
      </c>
      <c r="C946" s="112" t="s">
        <v>695</v>
      </c>
      <c r="D946" s="113">
        <v>10347981</v>
      </c>
      <c r="E946" s="115">
        <v>43924</v>
      </c>
      <c r="F946" s="114">
        <v>202101</v>
      </c>
      <c r="G946" s="112" t="s">
        <v>1091</v>
      </c>
      <c r="H946" s="112" t="s">
        <v>1015</v>
      </c>
      <c r="I946" s="112" t="s">
        <v>1277</v>
      </c>
      <c r="J946" s="112" t="s">
        <v>2501</v>
      </c>
      <c r="K946" s="112" t="s">
        <v>3235</v>
      </c>
      <c r="L946" s="116">
        <v>-671.88</v>
      </c>
      <c r="M946" s="116">
        <f t="shared" si="14"/>
        <v>-0.67188000000000003</v>
      </c>
    </row>
    <row r="947" spans="1:13" hidden="1" x14ac:dyDescent="0.35">
      <c r="A947" s="112" t="s">
        <v>2479</v>
      </c>
      <c r="B947" s="112" t="s">
        <v>908</v>
      </c>
      <c r="C947" s="112" t="s">
        <v>695</v>
      </c>
      <c r="D947" s="113">
        <v>10347981</v>
      </c>
      <c r="E947" s="115">
        <v>43924</v>
      </c>
      <c r="F947" s="114">
        <v>202101</v>
      </c>
      <c r="G947" s="112" t="s">
        <v>1091</v>
      </c>
      <c r="H947" s="112" t="s">
        <v>1015</v>
      </c>
      <c r="I947" s="112" t="s">
        <v>761</v>
      </c>
      <c r="J947" s="112" t="s">
        <v>2553</v>
      </c>
      <c r="K947" s="112" t="s">
        <v>2713</v>
      </c>
      <c r="L947" s="116">
        <v>-34.799999999999997</v>
      </c>
      <c r="M947" s="116">
        <f t="shared" si="14"/>
        <v>-3.4799999999999998E-2</v>
      </c>
    </row>
    <row r="948" spans="1:13" hidden="1" x14ac:dyDescent="0.35">
      <c r="A948" s="112" t="s">
        <v>2479</v>
      </c>
      <c r="B948" s="112" t="s">
        <v>908</v>
      </c>
      <c r="C948" s="112" t="s">
        <v>695</v>
      </c>
      <c r="D948" s="113">
        <v>10347981</v>
      </c>
      <c r="E948" s="115">
        <v>43924</v>
      </c>
      <c r="F948" s="114">
        <v>202101</v>
      </c>
      <c r="G948" s="112" t="s">
        <v>1091</v>
      </c>
      <c r="H948" s="112" t="s">
        <v>1015</v>
      </c>
      <c r="I948" s="112" t="s">
        <v>761</v>
      </c>
      <c r="J948" s="112" t="s">
        <v>2484</v>
      </c>
      <c r="K948" s="112" t="s">
        <v>3236</v>
      </c>
      <c r="L948" s="116">
        <v>-230</v>
      </c>
      <c r="M948" s="116">
        <f t="shared" si="14"/>
        <v>-0.23</v>
      </c>
    </row>
    <row r="949" spans="1:13" hidden="1" x14ac:dyDescent="0.35">
      <c r="A949" s="112" t="s">
        <v>2479</v>
      </c>
      <c r="B949" s="112" t="s">
        <v>909</v>
      </c>
      <c r="C949" s="112" t="s">
        <v>695</v>
      </c>
      <c r="D949" s="113">
        <v>10347981</v>
      </c>
      <c r="E949" s="115">
        <v>43924</v>
      </c>
      <c r="F949" s="114">
        <v>202101</v>
      </c>
      <c r="G949" s="112" t="s">
        <v>1091</v>
      </c>
      <c r="H949" s="112" t="s">
        <v>1015</v>
      </c>
      <c r="I949" s="112" t="s">
        <v>1182</v>
      </c>
      <c r="J949" s="112" t="s">
        <v>2523</v>
      </c>
      <c r="K949" s="112" t="s">
        <v>3237</v>
      </c>
      <c r="L949" s="116">
        <v>-210.1</v>
      </c>
      <c r="M949" s="116">
        <f t="shared" si="14"/>
        <v>-0.21009999999999998</v>
      </c>
    </row>
    <row r="950" spans="1:13" hidden="1" x14ac:dyDescent="0.35">
      <c r="A950" s="112" t="s">
        <v>2479</v>
      </c>
      <c r="B950" s="112" t="s">
        <v>908</v>
      </c>
      <c r="C950" s="112" t="s">
        <v>695</v>
      </c>
      <c r="D950" s="113">
        <v>10347981</v>
      </c>
      <c r="E950" s="115">
        <v>43924</v>
      </c>
      <c r="F950" s="114">
        <v>202101</v>
      </c>
      <c r="G950" s="112" t="s">
        <v>1091</v>
      </c>
      <c r="H950" s="112" t="s">
        <v>1015</v>
      </c>
      <c r="I950" s="112" t="s">
        <v>761</v>
      </c>
      <c r="J950" s="112" t="s">
        <v>2501</v>
      </c>
      <c r="K950" s="112" t="s">
        <v>3238</v>
      </c>
      <c r="L950" s="116">
        <v>-90</v>
      </c>
      <c r="M950" s="116">
        <f t="shared" si="14"/>
        <v>-0.09</v>
      </c>
    </row>
    <row r="951" spans="1:13" hidden="1" x14ac:dyDescent="0.35">
      <c r="A951" s="112" t="s">
        <v>2479</v>
      </c>
      <c r="B951" s="112" t="s">
        <v>908</v>
      </c>
      <c r="C951" s="112" t="s">
        <v>695</v>
      </c>
      <c r="D951" s="113">
        <v>10347981</v>
      </c>
      <c r="E951" s="115">
        <v>43924</v>
      </c>
      <c r="F951" s="114">
        <v>202101</v>
      </c>
      <c r="G951" s="112" t="s">
        <v>1091</v>
      </c>
      <c r="H951" s="112" t="s">
        <v>1015</v>
      </c>
      <c r="I951" s="112" t="s">
        <v>1182</v>
      </c>
      <c r="J951" s="112" t="s">
        <v>2584</v>
      </c>
      <c r="K951" s="112" t="s">
        <v>2757</v>
      </c>
      <c r="L951" s="116">
        <v>-21.96</v>
      </c>
      <c r="M951" s="116">
        <f t="shared" si="14"/>
        <v>-2.196E-2</v>
      </c>
    </row>
    <row r="952" spans="1:13" hidden="1" x14ac:dyDescent="0.35">
      <c r="A952" s="112" t="s">
        <v>2479</v>
      </c>
      <c r="B952" s="112" t="s">
        <v>908</v>
      </c>
      <c r="C952" s="112" t="s">
        <v>695</v>
      </c>
      <c r="D952" s="113">
        <v>10347981</v>
      </c>
      <c r="E952" s="115">
        <v>43924</v>
      </c>
      <c r="F952" s="114">
        <v>202101</v>
      </c>
      <c r="G952" s="112" t="s">
        <v>1091</v>
      </c>
      <c r="H952" s="112" t="s">
        <v>1015</v>
      </c>
      <c r="I952" s="112" t="s">
        <v>1102</v>
      </c>
      <c r="J952" s="112" t="s">
        <v>2520</v>
      </c>
      <c r="K952" s="112" t="s">
        <v>3244</v>
      </c>
      <c r="L952" s="116">
        <v>-29.4</v>
      </c>
      <c r="M952" s="116">
        <f t="shared" si="14"/>
        <v>-2.9399999999999999E-2</v>
      </c>
    </row>
    <row r="953" spans="1:13" hidden="1" x14ac:dyDescent="0.35">
      <c r="A953" s="112" t="s">
        <v>2479</v>
      </c>
      <c r="B953" s="112" t="s">
        <v>909</v>
      </c>
      <c r="C953" s="112" t="s">
        <v>695</v>
      </c>
      <c r="D953" s="113">
        <v>10347981</v>
      </c>
      <c r="E953" s="115">
        <v>43924</v>
      </c>
      <c r="F953" s="114">
        <v>202101</v>
      </c>
      <c r="G953" s="112" t="s">
        <v>1091</v>
      </c>
      <c r="H953" s="112" t="s">
        <v>1015</v>
      </c>
      <c r="I953" s="112" t="s">
        <v>761</v>
      </c>
      <c r="J953" s="112" t="s">
        <v>2480</v>
      </c>
      <c r="K953" s="112" t="s">
        <v>3245</v>
      </c>
      <c r="L953" s="116">
        <v>-50</v>
      </c>
      <c r="M953" s="116">
        <f t="shared" si="14"/>
        <v>-0.05</v>
      </c>
    </row>
    <row r="954" spans="1:13" hidden="1" x14ac:dyDescent="0.35">
      <c r="A954" s="112" t="s">
        <v>2479</v>
      </c>
      <c r="B954" s="112" t="s">
        <v>909</v>
      </c>
      <c r="C954" s="112" t="s">
        <v>695</v>
      </c>
      <c r="D954" s="113">
        <v>10347981</v>
      </c>
      <c r="E954" s="115">
        <v>43924</v>
      </c>
      <c r="F954" s="114">
        <v>202101</v>
      </c>
      <c r="G954" s="112" t="s">
        <v>1091</v>
      </c>
      <c r="H954" s="112" t="s">
        <v>1015</v>
      </c>
      <c r="I954" s="112" t="s">
        <v>761</v>
      </c>
      <c r="J954" s="112" t="s">
        <v>3248</v>
      </c>
      <c r="K954" s="112" t="s">
        <v>3249</v>
      </c>
      <c r="L954" s="116">
        <v>-347.88</v>
      </c>
      <c r="M954" s="116">
        <f t="shared" si="14"/>
        <v>-0.34788000000000002</v>
      </c>
    </row>
    <row r="955" spans="1:13" hidden="1" x14ac:dyDescent="0.35">
      <c r="A955" s="112" t="s">
        <v>2479</v>
      </c>
      <c r="B955" s="112" t="s">
        <v>909</v>
      </c>
      <c r="C955" s="112" t="s">
        <v>695</v>
      </c>
      <c r="D955" s="113">
        <v>10347981</v>
      </c>
      <c r="E955" s="115">
        <v>43924</v>
      </c>
      <c r="F955" s="114">
        <v>202101</v>
      </c>
      <c r="G955" s="112" t="s">
        <v>1091</v>
      </c>
      <c r="H955" s="112" t="s">
        <v>1015</v>
      </c>
      <c r="I955" s="112" t="s">
        <v>775</v>
      </c>
      <c r="J955" s="112" t="s">
        <v>3123</v>
      </c>
      <c r="K955" s="112" t="s">
        <v>3250</v>
      </c>
      <c r="L955" s="116">
        <v>-3000</v>
      </c>
      <c r="M955" s="116">
        <f t="shared" si="14"/>
        <v>-3</v>
      </c>
    </row>
    <row r="956" spans="1:13" hidden="1" x14ac:dyDescent="0.35">
      <c r="A956" s="112" t="s">
        <v>2479</v>
      </c>
      <c r="B956" s="112" t="s">
        <v>908</v>
      </c>
      <c r="C956" s="112" t="s">
        <v>695</v>
      </c>
      <c r="D956" s="113">
        <v>10347981</v>
      </c>
      <c r="E956" s="115">
        <v>43924</v>
      </c>
      <c r="F956" s="114">
        <v>202101</v>
      </c>
      <c r="G956" s="112" t="s">
        <v>1091</v>
      </c>
      <c r="H956" s="112" t="s">
        <v>1015</v>
      </c>
      <c r="I956" s="112" t="s">
        <v>2502</v>
      </c>
      <c r="J956" s="112" t="s">
        <v>2503</v>
      </c>
      <c r="K956" s="112" t="s">
        <v>3252</v>
      </c>
      <c r="L956" s="116">
        <v>-8.93</v>
      </c>
      <c r="M956" s="116">
        <f t="shared" si="14"/>
        <v>-8.9300000000000004E-3</v>
      </c>
    </row>
    <row r="957" spans="1:13" hidden="1" x14ac:dyDescent="0.35">
      <c r="A957" s="112" t="s">
        <v>2479</v>
      </c>
      <c r="B957" s="112" t="s">
        <v>908</v>
      </c>
      <c r="C957" s="112" t="s">
        <v>695</v>
      </c>
      <c r="D957" s="113">
        <v>10347981</v>
      </c>
      <c r="E957" s="115">
        <v>43924</v>
      </c>
      <c r="F957" s="114">
        <v>202101</v>
      </c>
      <c r="G957" s="112" t="s">
        <v>1091</v>
      </c>
      <c r="H957" s="112" t="s">
        <v>1015</v>
      </c>
      <c r="I957" s="112" t="s">
        <v>1605</v>
      </c>
      <c r="J957" s="112" t="s">
        <v>2484</v>
      </c>
      <c r="K957" s="112" t="s">
        <v>2793</v>
      </c>
      <c r="L957" s="116">
        <v>-1000</v>
      </c>
      <c r="M957" s="116">
        <f t="shared" si="14"/>
        <v>-1</v>
      </c>
    </row>
    <row r="958" spans="1:13" hidden="1" x14ac:dyDescent="0.35">
      <c r="A958" s="112" t="s">
        <v>2479</v>
      </c>
      <c r="B958" s="112" t="s">
        <v>908</v>
      </c>
      <c r="C958" s="112" t="s">
        <v>695</v>
      </c>
      <c r="D958" s="113">
        <v>10347981</v>
      </c>
      <c r="E958" s="115">
        <v>43924</v>
      </c>
      <c r="F958" s="114">
        <v>202101</v>
      </c>
      <c r="G958" s="112" t="s">
        <v>1091</v>
      </c>
      <c r="H958" s="112" t="s">
        <v>1015</v>
      </c>
      <c r="I958" s="112" t="s">
        <v>761</v>
      </c>
      <c r="J958" s="112" t="s">
        <v>2553</v>
      </c>
      <c r="K958" s="112" t="s">
        <v>2791</v>
      </c>
      <c r="L958" s="116">
        <v>-136.15</v>
      </c>
      <c r="M958" s="116">
        <f t="shared" si="14"/>
        <v>-0.13614999999999999</v>
      </c>
    </row>
    <row r="959" spans="1:13" hidden="1" x14ac:dyDescent="0.35">
      <c r="A959" s="112" t="s">
        <v>2479</v>
      </c>
      <c r="B959" s="112" t="s">
        <v>908</v>
      </c>
      <c r="C959" s="112" t="s">
        <v>695</v>
      </c>
      <c r="D959" s="113">
        <v>10347981</v>
      </c>
      <c r="E959" s="115">
        <v>43924</v>
      </c>
      <c r="F959" s="114">
        <v>202101</v>
      </c>
      <c r="G959" s="112" t="s">
        <v>1091</v>
      </c>
      <c r="H959" s="112" t="s">
        <v>1015</v>
      </c>
      <c r="I959" s="112" t="s">
        <v>761</v>
      </c>
      <c r="J959" s="112" t="s">
        <v>2484</v>
      </c>
      <c r="K959" s="112" t="s">
        <v>3253</v>
      </c>
      <c r="L959" s="116">
        <v>-19.8</v>
      </c>
      <c r="M959" s="116">
        <f t="shared" si="14"/>
        <v>-1.9800000000000002E-2</v>
      </c>
    </row>
    <row r="960" spans="1:13" hidden="1" x14ac:dyDescent="0.35">
      <c r="A960" s="112" t="s">
        <v>2479</v>
      </c>
      <c r="B960" s="112" t="s">
        <v>909</v>
      </c>
      <c r="C960" s="112" t="s">
        <v>695</v>
      </c>
      <c r="D960" s="113">
        <v>10347981</v>
      </c>
      <c r="E960" s="115">
        <v>43924</v>
      </c>
      <c r="F960" s="114">
        <v>202101</v>
      </c>
      <c r="G960" s="112" t="s">
        <v>1091</v>
      </c>
      <c r="H960" s="112" t="s">
        <v>1015</v>
      </c>
      <c r="I960" s="112" t="s">
        <v>1092</v>
      </c>
      <c r="J960" s="112" t="s">
        <v>2480</v>
      </c>
      <c r="K960" s="112" t="s">
        <v>1208</v>
      </c>
      <c r="L960" s="116">
        <v>-47</v>
      </c>
      <c r="M960" s="116">
        <f t="shared" si="14"/>
        <v>-4.7E-2</v>
      </c>
    </row>
    <row r="961" spans="1:13" hidden="1" x14ac:dyDescent="0.35">
      <c r="A961" s="112" t="s">
        <v>2479</v>
      </c>
      <c r="B961" s="112" t="s">
        <v>908</v>
      </c>
      <c r="C961" s="112" t="s">
        <v>695</v>
      </c>
      <c r="D961" s="113">
        <v>10347981</v>
      </c>
      <c r="E961" s="115">
        <v>43924</v>
      </c>
      <c r="F961" s="114">
        <v>202101</v>
      </c>
      <c r="G961" s="112" t="s">
        <v>1091</v>
      </c>
      <c r="H961" s="112" t="s">
        <v>1015</v>
      </c>
      <c r="I961" s="112" t="s">
        <v>3257</v>
      </c>
      <c r="J961" s="112" t="s">
        <v>2584</v>
      </c>
      <c r="K961" s="112" t="s">
        <v>3258</v>
      </c>
      <c r="L961" s="116">
        <v>-150</v>
      </c>
      <c r="M961" s="116">
        <f t="shared" si="14"/>
        <v>-0.15</v>
      </c>
    </row>
    <row r="962" spans="1:13" hidden="1" x14ac:dyDescent="0.35">
      <c r="A962" s="112" t="s">
        <v>2479</v>
      </c>
      <c r="B962" s="112" t="s">
        <v>908</v>
      </c>
      <c r="C962" s="112" t="s">
        <v>695</v>
      </c>
      <c r="D962" s="113">
        <v>10347981</v>
      </c>
      <c r="E962" s="115">
        <v>43924</v>
      </c>
      <c r="F962" s="114">
        <v>202101</v>
      </c>
      <c r="G962" s="112" t="s">
        <v>1091</v>
      </c>
      <c r="H962" s="112" t="s">
        <v>1015</v>
      </c>
      <c r="I962" s="112" t="s">
        <v>1471</v>
      </c>
      <c r="J962" s="112" t="s">
        <v>2501</v>
      </c>
      <c r="K962" s="112" t="s">
        <v>3259</v>
      </c>
      <c r="L962" s="116">
        <v>-200</v>
      </c>
      <c r="M962" s="116">
        <f t="shared" si="14"/>
        <v>-0.2</v>
      </c>
    </row>
    <row r="963" spans="1:13" hidden="1" x14ac:dyDescent="0.35">
      <c r="A963" s="112" t="s">
        <v>2479</v>
      </c>
      <c r="B963" s="112" t="s">
        <v>908</v>
      </c>
      <c r="C963" s="112" t="s">
        <v>695</v>
      </c>
      <c r="D963" s="113">
        <v>10347981</v>
      </c>
      <c r="E963" s="115">
        <v>43924</v>
      </c>
      <c r="F963" s="114">
        <v>202101</v>
      </c>
      <c r="G963" s="112" t="s">
        <v>1091</v>
      </c>
      <c r="H963" s="112" t="s">
        <v>1015</v>
      </c>
      <c r="I963" s="112" t="s">
        <v>3257</v>
      </c>
      <c r="J963" s="112" t="s">
        <v>2584</v>
      </c>
      <c r="K963" s="112" t="s">
        <v>3260</v>
      </c>
      <c r="L963" s="116">
        <v>-15</v>
      </c>
      <c r="M963" s="116">
        <f t="shared" ref="M963:M1026" si="15">L963/1000</f>
        <v>-1.4999999999999999E-2</v>
      </c>
    </row>
    <row r="964" spans="1:13" hidden="1" x14ac:dyDescent="0.35">
      <c r="A964" s="112" t="s">
        <v>2479</v>
      </c>
      <c r="B964" s="112" t="s">
        <v>908</v>
      </c>
      <c r="C964" s="112" t="s">
        <v>695</v>
      </c>
      <c r="D964" s="113">
        <v>10348052</v>
      </c>
      <c r="E964" s="115">
        <v>43928</v>
      </c>
      <c r="F964" s="114">
        <v>202101</v>
      </c>
      <c r="G964" s="112" t="s">
        <v>1091</v>
      </c>
      <c r="H964" s="112" t="s">
        <v>1015</v>
      </c>
      <c r="I964" s="112" t="s">
        <v>1459</v>
      </c>
      <c r="J964" s="112" t="s">
        <v>2498</v>
      </c>
      <c r="K964" s="112" t="s">
        <v>1475</v>
      </c>
      <c r="L964" s="116">
        <v>-15860</v>
      </c>
      <c r="M964" s="116">
        <f t="shared" si="15"/>
        <v>-15.86</v>
      </c>
    </row>
    <row r="965" spans="1:13" hidden="1" x14ac:dyDescent="0.35">
      <c r="A965" s="112" t="s">
        <v>2479</v>
      </c>
      <c r="B965" s="112" t="s">
        <v>908</v>
      </c>
      <c r="C965" s="112" t="s">
        <v>695</v>
      </c>
      <c r="D965" s="113">
        <v>10348385</v>
      </c>
      <c r="E965" s="115">
        <v>43943</v>
      </c>
      <c r="F965" s="114">
        <v>202101</v>
      </c>
      <c r="G965" s="112" t="s">
        <v>1091</v>
      </c>
      <c r="H965" s="112" t="s">
        <v>1015</v>
      </c>
      <c r="I965" s="112" t="s">
        <v>1459</v>
      </c>
      <c r="J965" s="112" t="s">
        <v>2498</v>
      </c>
      <c r="K965" s="112" t="s">
        <v>1460</v>
      </c>
      <c r="L965" s="116">
        <v>15860</v>
      </c>
      <c r="M965" s="116">
        <f t="shared" si="15"/>
        <v>15.86</v>
      </c>
    </row>
    <row r="966" spans="1:13" hidden="1" x14ac:dyDescent="0.35">
      <c r="A966" s="112" t="s">
        <v>2479</v>
      </c>
      <c r="B966" s="112" t="s">
        <v>909</v>
      </c>
      <c r="C966" s="112" t="s">
        <v>695</v>
      </c>
      <c r="D966" s="113">
        <v>10347981</v>
      </c>
      <c r="E966" s="115">
        <v>43924</v>
      </c>
      <c r="F966" s="114">
        <v>202101</v>
      </c>
      <c r="G966" s="112" t="s">
        <v>1091</v>
      </c>
      <c r="H966" s="112" t="s">
        <v>1015</v>
      </c>
      <c r="I966" s="112" t="s">
        <v>1471</v>
      </c>
      <c r="J966" s="112" t="s">
        <v>2673</v>
      </c>
      <c r="K966" s="112" t="s">
        <v>3265</v>
      </c>
      <c r="L966" s="116">
        <v>-110</v>
      </c>
      <c r="M966" s="116">
        <f t="shared" si="15"/>
        <v>-0.11</v>
      </c>
    </row>
    <row r="967" spans="1:13" hidden="1" x14ac:dyDescent="0.35">
      <c r="A967" s="112" t="s">
        <v>2479</v>
      </c>
      <c r="B967" s="112" t="s">
        <v>908</v>
      </c>
      <c r="C967" s="112" t="s">
        <v>695</v>
      </c>
      <c r="D967" s="113">
        <v>10347981</v>
      </c>
      <c r="E967" s="115">
        <v>43924</v>
      </c>
      <c r="F967" s="114">
        <v>202101</v>
      </c>
      <c r="G967" s="112" t="s">
        <v>1091</v>
      </c>
      <c r="H967" s="112" t="s">
        <v>1015</v>
      </c>
      <c r="I967" s="112" t="s">
        <v>3266</v>
      </c>
      <c r="J967" s="112" t="s">
        <v>2501</v>
      </c>
      <c r="K967" s="112" t="s">
        <v>3267</v>
      </c>
      <c r="L967" s="116">
        <v>-845</v>
      </c>
      <c r="M967" s="116">
        <f t="shared" si="15"/>
        <v>-0.84499999999999997</v>
      </c>
    </row>
    <row r="968" spans="1:13" hidden="1" x14ac:dyDescent="0.35">
      <c r="A968" s="112" t="s">
        <v>2479</v>
      </c>
      <c r="B968" s="112" t="s">
        <v>908</v>
      </c>
      <c r="C968" s="112" t="s">
        <v>695</v>
      </c>
      <c r="D968" s="113">
        <v>10348034</v>
      </c>
      <c r="E968" s="115">
        <v>43928</v>
      </c>
      <c r="F968" s="114">
        <v>202101</v>
      </c>
      <c r="G968" s="112" t="s">
        <v>1091</v>
      </c>
      <c r="H968" s="112" t="s">
        <v>1015</v>
      </c>
      <c r="I968" s="112" t="s">
        <v>1211</v>
      </c>
      <c r="J968" s="112" t="s">
        <v>2501</v>
      </c>
      <c r="K968" s="112" t="s">
        <v>3268</v>
      </c>
      <c r="L968" s="116">
        <v>-15179.9</v>
      </c>
      <c r="M968" s="116">
        <f t="shared" si="15"/>
        <v>-15.1799</v>
      </c>
    </row>
    <row r="969" spans="1:13" hidden="1" x14ac:dyDescent="0.35">
      <c r="A969" s="112" t="s">
        <v>2479</v>
      </c>
      <c r="B969" s="112" t="s">
        <v>908</v>
      </c>
      <c r="C969" s="112" t="s">
        <v>695</v>
      </c>
      <c r="D969" s="113">
        <v>10348034</v>
      </c>
      <c r="E969" s="115">
        <v>43928</v>
      </c>
      <c r="F969" s="114">
        <v>202101</v>
      </c>
      <c r="G969" s="112" t="s">
        <v>1091</v>
      </c>
      <c r="H969" s="112" t="s">
        <v>1015</v>
      </c>
      <c r="I969" s="112" t="s">
        <v>1211</v>
      </c>
      <c r="J969" s="112" t="s">
        <v>2501</v>
      </c>
      <c r="K969" s="112" t="s">
        <v>3269</v>
      </c>
      <c r="L969" s="116">
        <v>-8414</v>
      </c>
      <c r="M969" s="116">
        <f t="shared" si="15"/>
        <v>-8.4139999999999997</v>
      </c>
    </row>
    <row r="970" spans="1:13" hidden="1" x14ac:dyDescent="0.35">
      <c r="A970" s="112" t="s">
        <v>2479</v>
      </c>
      <c r="B970" s="112" t="s">
        <v>908</v>
      </c>
      <c r="C970" s="112" t="s">
        <v>695</v>
      </c>
      <c r="D970" s="113">
        <v>10347981</v>
      </c>
      <c r="E970" s="115">
        <v>43924</v>
      </c>
      <c r="F970" s="114">
        <v>202101</v>
      </c>
      <c r="G970" s="112" t="s">
        <v>1091</v>
      </c>
      <c r="H970" s="112" t="s">
        <v>1015</v>
      </c>
      <c r="I970" s="112" t="s">
        <v>3266</v>
      </c>
      <c r="J970" s="112" t="s">
        <v>2584</v>
      </c>
      <c r="K970" s="112" t="s">
        <v>3272</v>
      </c>
      <c r="L970" s="116">
        <v>-750</v>
      </c>
      <c r="M970" s="116">
        <f t="shared" si="15"/>
        <v>-0.75</v>
      </c>
    </row>
    <row r="971" spans="1:13" hidden="1" x14ac:dyDescent="0.35">
      <c r="A971" s="112" t="s">
        <v>2479</v>
      </c>
      <c r="B971" s="112" t="s">
        <v>908</v>
      </c>
      <c r="C971" s="112" t="s">
        <v>695</v>
      </c>
      <c r="D971" s="113">
        <v>10348034</v>
      </c>
      <c r="E971" s="115">
        <v>43928</v>
      </c>
      <c r="F971" s="114">
        <v>202101</v>
      </c>
      <c r="G971" s="112" t="s">
        <v>1091</v>
      </c>
      <c r="H971" s="112" t="s">
        <v>1015</v>
      </c>
      <c r="I971" s="112" t="s">
        <v>1211</v>
      </c>
      <c r="J971" s="112" t="s">
        <v>2584</v>
      </c>
      <c r="K971" s="112" t="s">
        <v>3275</v>
      </c>
      <c r="L971" s="116">
        <v>-3962.09</v>
      </c>
      <c r="M971" s="116">
        <f t="shared" si="15"/>
        <v>-3.9620900000000003</v>
      </c>
    </row>
    <row r="972" spans="1:13" hidden="1" x14ac:dyDescent="0.35">
      <c r="A972" s="112" t="s">
        <v>2479</v>
      </c>
      <c r="B972" s="112" t="s">
        <v>908</v>
      </c>
      <c r="C972" s="112" t="s">
        <v>695</v>
      </c>
      <c r="D972" s="113">
        <v>10348034</v>
      </c>
      <c r="E972" s="115">
        <v>43928</v>
      </c>
      <c r="F972" s="114">
        <v>202101</v>
      </c>
      <c r="G972" s="112" t="s">
        <v>1091</v>
      </c>
      <c r="H972" s="112" t="s">
        <v>1015</v>
      </c>
      <c r="I972" s="112" t="s">
        <v>1211</v>
      </c>
      <c r="J972" s="112" t="s">
        <v>2625</v>
      </c>
      <c r="K972" s="112" t="s">
        <v>3276</v>
      </c>
      <c r="L972" s="116">
        <v>-2930.33</v>
      </c>
      <c r="M972" s="116">
        <f t="shared" si="15"/>
        <v>-2.9303300000000001</v>
      </c>
    </row>
    <row r="973" spans="1:13" hidden="1" x14ac:dyDescent="0.35">
      <c r="A973" s="112" t="s">
        <v>2479</v>
      </c>
      <c r="B973" s="112" t="s">
        <v>908</v>
      </c>
      <c r="C973" s="112" t="s">
        <v>695</v>
      </c>
      <c r="D973" s="113">
        <v>10348034</v>
      </c>
      <c r="E973" s="115">
        <v>43928</v>
      </c>
      <c r="F973" s="114">
        <v>202101</v>
      </c>
      <c r="G973" s="112" t="s">
        <v>1091</v>
      </c>
      <c r="H973" s="112" t="s">
        <v>1015</v>
      </c>
      <c r="I973" s="112" t="s">
        <v>1211</v>
      </c>
      <c r="J973" s="112" t="s">
        <v>2625</v>
      </c>
      <c r="K973" s="112" t="s">
        <v>3277</v>
      </c>
      <c r="L973" s="116">
        <v>-3268.25</v>
      </c>
      <c r="M973" s="116">
        <f t="shared" si="15"/>
        <v>-3.2682500000000001</v>
      </c>
    </row>
    <row r="974" spans="1:13" hidden="1" x14ac:dyDescent="0.35">
      <c r="A974" s="112" t="s">
        <v>2479</v>
      </c>
      <c r="B974" s="112" t="s">
        <v>908</v>
      </c>
      <c r="C974" s="112" t="s">
        <v>695</v>
      </c>
      <c r="D974" s="113">
        <v>10348034</v>
      </c>
      <c r="E974" s="115">
        <v>43928</v>
      </c>
      <c r="F974" s="114">
        <v>202101</v>
      </c>
      <c r="G974" s="112" t="s">
        <v>1091</v>
      </c>
      <c r="H974" s="112" t="s">
        <v>1015</v>
      </c>
      <c r="I974" s="112" t="s">
        <v>1211</v>
      </c>
      <c r="J974" s="112" t="s">
        <v>2625</v>
      </c>
      <c r="K974" s="112" t="s">
        <v>3278</v>
      </c>
      <c r="L974" s="116">
        <v>-3309.11</v>
      </c>
      <c r="M974" s="116">
        <f t="shared" si="15"/>
        <v>-3.30911</v>
      </c>
    </row>
    <row r="975" spans="1:13" hidden="1" x14ac:dyDescent="0.35">
      <c r="A975" s="112" t="s">
        <v>2479</v>
      </c>
      <c r="B975" s="112" t="s">
        <v>908</v>
      </c>
      <c r="C975" s="112" t="s">
        <v>695</v>
      </c>
      <c r="D975" s="113">
        <v>10348034</v>
      </c>
      <c r="E975" s="115">
        <v>43928</v>
      </c>
      <c r="F975" s="114">
        <v>202101</v>
      </c>
      <c r="G975" s="112" t="s">
        <v>1091</v>
      </c>
      <c r="H975" s="112" t="s">
        <v>1015</v>
      </c>
      <c r="I975" s="112" t="s">
        <v>1211</v>
      </c>
      <c r="J975" s="112" t="s">
        <v>2516</v>
      </c>
      <c r="K975" s="112" t="s">
        <v>3280</v>
      </c>
      <c r="L975" s="116">
        <v>-5433.69</v>
      </c>
      <c r="M975" s="116">
        <f t="shared" si="15"/>
        <v>-5.4336899999999995</v>
      </c>
    </row>
    <row r="976" spans="1:13" hidden="1" x14ac:dyDescent="0.35">
      <c r="A976" s="112" t="s">
        <v>2479</v>
      </c>
      <c r="B976" s="112" t="s">
        <v>908</v>
      </c>
      <c r="C976" s="112" t="s">
        <v>695</v>
      </c>
      <c r="D976" s="113">
        <v>10348034</v>
      </c>
      <c r="E976" s="115">
        <v>43928</v>
      </c>
      <c r="F976" s="114">
        <v>202101</v>
      </c>
      <c r="G976" s="112" t="s">
        <v>1091</v>
      </c>
      <c r="H976" s="112" t="s">
        <v>1015</v>
      </c>
      <c r="I976" s="112" t="s">
        <v>1211</v>
      </c>
      <c r="J976" s="112" t="s">
        <v>2516</v>
      </c>
      <c r="K976" s="112" t="s">
        <v>3281</v>
      </c>
      <c r="L976" s="116">
        <v>-1611.07</v>
      </c>
      <c r="M976" s="116">
        <f t="shared" si="15"/>
        <v>-1.61107</v>
      </c>
    </row>
    <row r="977" spans="1:13" hidden="1" x14ac:dyDescent="0.35">
      <c r="A977" s="112" t="s">
        <v>2479</v>
      </c>
      <c r="B977" s="112" t="s">
        <v>908</v>
      </c>
      <c r="C977" s="112" t="s">
        <v>695</v>
      </c>
      <c r="D977" s="113">
        <v>10348034</v>
      </c>
      <c r="E977" s="115">
        <v>43928</v>
      </c>
      <c r="F977" s="114">
        <v>202101</v>
      </c>
      <c r="G977" s="112" t="s">
        <v>1091</v>
      </c>
      <c r="H977" s="112" t="s">
        <v>1015</v>
      </c>
      <c r="I977" s="112" t="s">
        <v>1211</v>
      </c>
      <c r="J977" s="112" t="s">
        <v>2516</v>
      </c>
      <c r="K977" s="112" t="s">
        <v>3281</v>
      </c>
      <c r="L977" s="116">
        <v>-2414</v>
      </c>
      <c r="M977" s="116">
        <f t="shared" si="15"/>
        <v>-2.4140000000000001</v>
      </c>
    </row>
    <row r="978" spans="1:13" hidden="1" x14ac:dyDescent="0.35">
      <c r="A978" s="112" t="s">
        <v>3283</v>
      </c>
      <c r="B978" s="112" t="s">
        <v>912</v>
      </c>
      <c r="C978" s="112" t="s">
        <v>695</v>
      </c>
      <c r="D978" s="113">
        <v>10348148</v>
      </c>
      <c r="E978" s="115">
        <v>43930</v>
      </c>
      <c r="F978" s="114">
        <v>202101</v>
      </c>
      <c r="G978" s="112" t="s">
        <v>1091</v>
      </c>
      <c r="H978" s="112" t="s">
        <v>1016</v>
      </c>
      <c r="I978" s="112" t="s">
        <v>680</v>
      </c>
      <c r="J978" s="112" t="s">
        <v>3292</v>
      </c>
      <c r="K978" s="112" t="s">
        <v>3294</v>
      </c>
      <c r="L978" s="116">
        <v>-887</v>
      </c>
      <c r="M978" s="116">
        <f t="shared" si="15"/>
        <v>-0.88700000000000001</v>
      </c>
    </row>
    <row r="979" spans="1:13" hidden="1" x14ac:dyDescent="0.35">
      <c r="A979" s="112" t="s">
        <v>3283</v>
      </c>
      <c r="B979" s="112" t="s">
        <v>912</v>
      </c>
      <c r="C979" s="112" t="s">
        <v>695</v>
      </c>
      <c r="D979" s="113">
        <v>10348148</v>
      </c>
      <c r="E979" s="115">
        <v>43930</v>
      </c>
      <c r="F979" s="114">
        <v>202101</v>
      </c>
      <c r="G979" s="112" t="s">
        <v>1091</v>
      </c>
      <c r="H979" s="112" t="s">
        <v>1016</v>
      </c>
      <c r="I979" s="112" t="s">
        <v>680</v>
      </c>
      <c r="J979" s="112" t="s">
        <v>3292</v>
      </c>
      <c r="K979" s="112" t="s">
        <v>3296</v>
      </c>
      <c r="L979" s="116">
        <v>-15000</v>
      </c>
      <c r="M979" s="116">
        <f t="shared" si="15"/>
        <v>-15</v>
      </c>
    </row>
    <row r="980" spans="1:13" hidden="1" x14ac:dyDescent="0.35">
      <c r="A980" s="112" t="s">
        <v>3283</v>
      </c>
      <c r="B980" s="112" t="s">
        <v>910</v>
      </c>
      <c r="C980" s="112" t="s">
        <v>695</v>
      </c>
      <c r="D980" s="113">
        <v>10348148</v>
      </c>
      <c r="E980" s="115">
        <v>43930</v>
      </c>
      <c r="F980" s="114">
        <v>202101</v>
      </c>
      <c r="G980" s="112" t="s">
        <v>1091</v>
      </c>
      <c r="H980" s="112" t="s">
        <v>1016</v>
      </c>
      <c r="I980" s="112" t="s">
        <v>1293</v>
      </c>
      <c r="J980" s="112" t="s">
        <v>3286</v>
      </c>
      <c r="K980" s="112" t="s">
        <v>3302</v>
      </c>
      <c r="L980" s="116">
        <v>-45345.5</v>
      </c>
      <c r="M980" s="116">
        <f t="shared" si="15"/>
        <v>-45.345500000000001</v>
      </c>
    </row>
    <row r="981" spans="1:13" hidden="1" x14ac:dyDescent="0.35">
      <c r="A981" s="112" t="s">
        <v>3283</v>
      </c>
      <c r="B981" s="112" t="s">
        <v>911</v>
      </c>
      <c r="C981" s="112" t="s">
        <v>695</v>
      </c>
      <c r="D981" s="113">
        <v>10348157</v>
      </c>
      <c r="E981" s="115">
        <v>43930</v>
      </c>
      <c r="F981" s="114">
        <v>202101</v>
      </c>
      <c r="G981" s="112" t="s">
        <v>1091</v>
      </c>
      <c r="H981" s="112" t="s">
        <v>1016</v>
      </c>
      <c r="I981" s="112" t="s">
        <v>680</v>
      </c>
      <c r="J981" s="112" t="s">
        <v>3284</v>
      </c>
      <c r="K981" s="112" t="s">
        <v>3303</v>
      </c>
      <c r="L981" s="116">
        <v>1219000</v>
      </c>
      <c r="M981" s="116">
        <f t="shared" si="15"/>
        <v>1219</v>
      </c>
    </row>
    <row r="982" spans="1:13" hidden="1" x14ac:dyDescent="0.35">
      <c r="A982" s="112" t="s">
        <v>3283</v>
      </c>
      <c r="B982" s="112" t="s">
        <v>911</v>
      </c>
      <c r="C982" s="112" t="s">
        <v>695</v>
      </c>
      <c r="D982" s="113">
        <v>10348150</v>
      </c>
      <c r="E982" s="115">
        <v>43930</v>
      </c>
      <c r="F982" s="114">
        <v>202101</v>
      </c>
      <c r="G982" s="112" t="s">
        <v>1091</v>
      </c>
      <c r="H982" s="112" t="s">
        <v>1015</v>
      </c>
      <c r="I982" s="112" t="s">
        <v>761</v>
      </c>
      <c r="J982" s="112" t="s">
        <v>3284</v>
      </c>
      <c r="K982" s="112" t="s">
        <v>3308</v>
      </c>
      <c r="L982" s="116">
        <v>-11965.38</v>
      </c>
      <c r="M982" s="116">
        <f t="shared" si="15"/>
        <v>-11.96538</v>
      </c>
    </row>
    <row r="983" spans="1:13" hidden="1" x14ac:dyDescent="0.35">
      <c r="A983" s="112" t="s">
        <v>3283</v>
      </c>
      <c r="B983" s="112" t="s">
        <v>912</v>
      </c>
      <c r="C983" s="112" t="s">
        <v>695</v>
      </c>
      <c r="D983" s="113">
        <v>10348150</v>
      </c>
      <c r="E983" s="115">
        <v>43930</v>
      </c>
      <c r="F983" s="114">
        <v>202101</v>
      </c>
      <c r="G983" s="112" t="s">
        <v>1091</v>
      </c>
      <c r="H983" s="112" t="s">
        <v>1015</v>
      </c>
      <c r="I983" s="112" t="s">
        <v>763</v>
      </c>
      <c r="J983" s="112" t="s">
        <v>3306</v>
      </c>
      <c r="K983" s="112" t="s">
        <v>3310</v>
      </c>
      <c r="L983" s="116">
        <v>-10750</v>
      </c>
      <c r="M983" s="116">
        <f t="shared" si="15"/>
        <v>-10.75</v>
      </c>
    </row>
    <row r="984" spans="1:13" hidden="1" x14ac:dyDescent="0.35">
      <c r="A984" s="112" t="s">
        <v>3283</v>
      </c>
      <c r="B984" s="112" t="s">
        <v>912</v>
      </c>
      <c r="C984" s="112" t="s">
        <v>695</v>
      </c>
      <c r="D984" s="113">
        <v>10348150</v>
      </c>
      <c r="E984" s="115">
        <v>43930</v>
      </c>
      <c r="F984" s="114">
        <v>202101</v>
      </c>
      <c r="G984" s="112" t="s">
        <v>1091</v>
      </c>
      <c r="H984" s="112" t="s">
        <v>1015</v>
      </c>
      <c r="I984" s="112" t="s">
        <v>763</v>
      </c>
      <c r="J984" s="112" t="s">
        <v>3292</v>
      </c>
      <c r="K984" s="112" t="s">
        <v>3313</v>
      </c>
      <c r="L984" s="116">
        <v>-8559.66</v>
      </c>
      <c r="M984" s="116">
        <f t="shared" si="15"/>
        <v>-8.5596599999999992</v>
      </c>
    </row>
    <row r="985" spans="1:13" hidden="1" x14ac:dyDescent="0.35">
      <c r="A985" s="112" t="s">
        <v>3283</v>
      </c>
      <c r="B985" s="112" t="s">
        <v>912</v>
      </c>
      <c r="C985" s="112" t="s">
        <v>695</v>
      </c>
      <c r="D985" s="113">
        <v>10348150</v>
      </c>
      <c r="E985" s="115">
        <v>43930</v>
      </c>
      <c r="F985" s="114">
        <v>202101</v>
      </c>
      <c r="G985" s="112" t="s">
        <v>1091</v>
      </c>
      <c r="H985" s="112" t="s">
        <v>1015</v>
      </c>
      <c r="I985" s="112" t="s">
        <v>763</v>
      </c>
      <c r="J985" s="112" t="s">
        <v>3292</v>
      </c>
      <c r="K985" s="112" t="s">
        <v>3314</v>
      </c>
      <c r="L985" s="116">
        <v>-133000</v>
      </c>
      <c r="M985" s="116">
        <f t="shared" si="15"/>
        <v>-133</v>
      </c>
    </row>
    <row r="986" spans="1:13" hidden="1" x14ac:dyDescent="0.35">
      <c r="A986" s="112" t="s">
        <v>3283</v>
      </c>
      <c r="B986" s="112" t="s">
        <v>912</v>
      </c>
      <c r="C986" s="112" t="s">
        <v>695</v>
      </c>
      <c r="D986" s="113">
        <v>10348148</v>
      </c>
      <c r="E986" s="115">
        <v>43930</v>
      </c>
      <c r="F986" s="114">
        <v>202101</v>
      </c>
      <c r="G986" s="112" t="s">
        <v>1091</v>
      </c>
      <c r="H986" s="112" t="s">
        <v>1016</v>
      </c>
      <c r="I986" s="112" t="s">
        <v>680</v>
      </c>
      <c r="J986" s="112" t="s">
        <v>3292</v>
      </c>
      <c r="K986" s="112" t="s">
        <v>3340</v>
      </c>
      <c r="L986" s="116">
        <v>-15000</v>
      </c>
      <c r="M986" s="116">
        <f t="shared" si="15"/>
        <v>-15</v>
      </c>
    </row>
    <row r="987" spans="1:13" hidden="1" x14ac:dyDescent="0.35">
      <c r="A987" s="112" t="s">
        <v>3283</v>
      </c>
      <c r="B987" s="112" t="s">
        <v>912</v>
      </c>
      <c r="C987" s="112" t="s">
        <v>695</v>
      </c>
      <c r="D987" s="113">
        <v>10347981</v>
      </c>
      <c r="E987" s="115">
        <v>43924</v>
      </c>
      <c r="F987" s="114">
        <v>202101</v>
      </c>
      <c r="G987" s="112" t="s">
        <v>1091</v>
      </c>
      <c r="H987" s="112" t="s">
        <v>1015</v>
      </c>
      <c r="I987" s="112" t="s">
        <v>1182</v>
      </c>
      <c r="J987" s="112" t="s">
        <v>3288</v>
      </c>
      <c r="K987" s="112" t="s">
        <v>3345</v>
      </c>
      <c r="L987" s="116">
        <v>-95.13</v>
      </c>
      <c r="M987" s="116">
        <f t="shared" si="15"/>
        <v>-9.5129999999999992E-2</v>
      </c>
    </row>
    <row r="988" spans="1:13" hidden="1" x14ac:dyDescent="0.35">
      <c r="A988" s="112" t="s">
        <v>3283</v>
      </c>
      <c r="B988" s="112" t="s">
        <v>910</v>
      </c>
      <c r="C988" s="112" t="s">
        <v>695</v>
      </c>
      <c r="D988" s="113">
        <v>10347981</v>
      </c>
      <c r="E988" s="115">
        <v>43924</v>
      </c>
      <c r="F988" s="114">
        <v>202101</v>
      </c>
      <c r="G988" s="112" t="s">
        <v>1091</v>
      </c>
      <c r="H988" s="112" t="s">
        <v>1015</v>
      </c>
      <c r="I988" s="112" t="s">
        <v>763</v>
      </c>
      <c r="J988" s="112" t="s">
        <v>3286</v>
      </c>
      <c r="K988" s="112" t="s">
        <v>3354</v>
      </c>
      <c r="L988" s="116">
        <v>-1650</v>
      </c>
      <c r="M988" s="116">
        <f t="shared" si="15"/>
        <v>-1.65</v>
      </c>
    </row>
    <row r="989" spans="1:13" hidden="1" x14ac:dyDescent="0.35">
      <c r="A989" s="112" t="s">
        <v>3283</v>
      </c>
      <c r="B989" s="112" t="s">
        <v>912</v>
      </c>
      <c r="C989" s="112" t="s">
        <v>695</v>
      </c>
      <c r="D989" s="113">
        <v>10347981</v>
      </c>
      <c r="E989" s="115">
        <v>43924</v>
      </c>
      <c r="F989" s="114">
        <v>202101</v>
      </c>
      <c r="G989" s="112" t="s">
        <v>1091</v>
      </c>
      <c r="H989" s="112" t="s">
        <v>1015</v>
      </c>
      <c r="I989" s="112" t="s">
        <v>761</v>
      </c>
      <c r="J989" s="112" t="s">
        <v>3292</v>
      </c>
      <c r="K989" s="112" t="s">
        <v>3392</v>
      </c>
      <c r="L989" s="116">
        <v>-4344.5</v>
      </c>
      <c r="M989" s="116">
        <f t="shared" si="15"/>
        <v>-4.3445</v>
      </c>
    </row>
    <row r="990" spans="1:13" hidden="1" x14ac:dyDescent="0.35">
      <c r="A990" s="112" t="s">
        <v>3283</v>
      </c>
      <c r="B990" s="112" t="s">
        <v>912</v>
      </c>
      <c r="C990" s="112" t="s">
        <v>695</v>
      </c>
      <c r="D990" s="113">
        <v>10347981</v>
      </c>
      <c r="E990" s="115">
        <v>43924</v>
      </c>
      <c r="F990" s="114">
        <v>202101</v>
      </c>
      <c r="G990" s="112" t="s">
        <v>1091</v>
      </c>
      <c r="H990" s="112" t="s">
        <v>1015</v>
      </c>
      <c r="I990" s="112" t="s">
        <v>761</v>
      </c>
      <c r="J990" s="112" t="s">
        <v>3292</v>
      </c>
      <c r="K990" s="112" t="s">
        <v>3396</v>
      </c>
      <c r="L990" s="116">
        <v>-125</v>
      </c>
      <c r="M990" s="116">
        <f t="shared" si="15"/>
        <v>-0.125</v>
      </c>
    </row>
    <row r="991" spans="1:13" hidden="1" x14ac:dyDescent="0.35">
      <c r="A991" s="112" t="s">
        <v>3283</v>
      </c>
      <c r="B991" s="112" t="s">
        <v>910</v>
      </c>
      <c r="C991" s="112" t="s">
        <v>695</v>
      </c>
      <c r="D991" s="113">
        <v>10347981</v>
      </c>
      <c r="E991" s="115">
        <v>43924</v>
      </c>
      <c r="F991" s="114">
        <v>202101</v>
      </c>
      <c r="G991" s="112" t="s">
        <v>1091</v>
      </c>
      <c r="H991" s="112" t="s">
        <v>1015</v>
      </c>
      <c r="I991" s="112" t="s">
        <v>763</v>
      </c>
      <c r="J991" s="112" t="s">
        <v>3286</v>
      </c>
      <c r="K991" s="112" t="s">
        <v>3398</v>
      </c>
      <c r="L991" s="116">
        <v>-2833.4</v>
      </c>
      <c r="M991" s="116">
        <f t="shared" si="15"/>
        <v>-2.8334000000000001</v>
      </c>
    </row>
    <row r="992" spans="1:13" hidden="1" x14ac:dyDescent="0.35">
      <c r="A992" s="112" t="s">
        <v>3283</v>
      </c>
      <c r="B992" s="112" t="s">
        <v>911</v>
      </c>
      <c r="C992" s="112" t="s">
        <v>695</v>
      </c>
      <c r="D992" s="113">
        <v>10347981</v>
      </c>
      <c r="E992" s="115">
        <v>43924</v>
      </c>
      <c r="F992" s="114">
        <v>202101</v>
      </c>
      <c r="G992" s="112" t="s">
        <v>1091</v>
      </c>
      <c r="H992" s="112" t="s">
        <v>1015</v>
      </c>
      <c r="I992" s="112" t="s">
        <v>763</v>
      </c>
      <c r="J992" s="112" t="s">
        <v>3284</v>
      </c>
      <c r="K992" s="112" t="s">
        <v>3399</v>
      </c>
      <c r="L992" s="116">
        <v>-36113</v>
      </c>
      <c r="M992" s="116">
        <f t="shared" si="15"/>
        <v>-36.113</v>
      </c>
    </row>
    <row r="993" spans="1:13" hidden="1" x14ac:dyDescent="0.35">
      <c r="A993" s="112" t="s">
        <v>3283</v>
      </c>
      <c r="B993" s="112" t="s">
        <v>910</v>
      </c>
      <c r="C993" s="112" t="s">
        <v>695</v>
      </c>
      <c r="D993" s="113">
        <v>10347981</v>
      </c>
      <c r="E993" s="115">
        <v>43924</v>
      </c>
      <c r="F993" s="114">
        <v>202101</v>
      </c>
      <c r="G993" s="112" t="s">
        <v>1091</v>
      </c>
      <c r="H993" s="112" t="s">
        <v>1015</v>
      </c>
      <c r="I993" s="112" t="s">
        <v>1102</v>
      </c>
      <c r="J993" s="112" t="s">
        <v>3286</v>
      </c>
      <c r="K993" s="112" t="s">
        <v>3400</v>
      </c>
      <c r="L993" s="116">
        <v>-500</v>
      </c>
      <c r="M993" s="116">
        <f t="shared" si="15"/>
        <v>-0.5</v>
      </c>
    </row>
    <row r="994" spans="1:13" hidden="1" x14ac:dyDescent="0.35">
      <c r="A994" s="112" t="s">
        <v>3283</v>
      </c>
      <c r="B994" s="112" t="s">
        <v>910</v>
      </c>
      <c r="C994" s="112" t="s">
        <v>695</v>
      </c>
      <c r="D994" s="113">
        <v>10347981</v>
      </c>
      <c r="E994" s="115">
        <v>43924</v>
      </c>
      <c r="F994" s="114">
        <v>202101</v>
      </c>
      <c r="G994" s="112" t="s">
        <v>1091</v>
      </c>
      <c r="H994" s="112" t="s">
        <v>1015</v>
      </c>
      <c r="I994" s="112" t="s">
        <v>1277</v>
      </c>
      <c r="J994" s="112" t="s">
        <v>3286</v>
      </c>
      <c r="K994" s="112" t="s">
        <v>3235</v>
      </c>
      <c r="L994" s="116">
        <v>-671.88</v>
      </c>
      <c r="M994" s="116">
        <f t="shared" si="15"/>
        <v>-0.67188000000000003</v>
      </c>
    </row>
    <row r="995" spans="1:13" hidden="1" x14ac:dyDescent="0.35">
      <c r="A995" s="112" t="s">
        <v>3283</v>
      </c>
      <c r="B995" s="112" t="s">
        <v>911</v>
      </c>
      <c r="C995" s="112" t="s">
        <v>695</v>
      </c>
      <c r="D995" s="113">
        <v>10347981</v>
      </c>
      <c r="E995" s="115">
        <v>43924</v>
      </c>
      <c r="F995" s="114">
        <v>202101</v>
      </c>
      <c r="G995" s="112" t="s">
        <v>1091</v>
      </c>
      <c r="H995" s="112" t="s">
        <v>1015</v>
      </c>
      <c r="I995" s="112" t="s">
        <v>763</v>
      </c>
      <c r="J995" s="112" t="s">
        <v>3284</v>
      </c>
      <c r="K995" s="112" t="s">
        <v>3401</v>
      </c>
      <c r="L995" s="116">
        <v>-2000</v>
      </c>
      <c r="M995" s="116">
        <f t="shared" si="15"/>
        <v>-2</v>
      </c>
    </row>
    <row r="996" spans="1:13" hidden="1" x14ac:dyDescent="0.35">
      <c r="A996" s="112" t="s">
        <v>3283</v>
      </c>
      <c r="B996" s="112" t="s">
        <v>910</v>
      </c>
      <c r="C996" s="112" t="s">
        <v>695</v>
      </c>
      <c r="D996" s="113">
        <v>10347981</v>
      </c>
      <c r="E996" s="115">
        <v>43924</v>
      </c>
      <c r="F996" s="114">
        <v>202101</v>
      </c>
      <c r="G996" s="112" t="s">
        <v>1091</v>
      </c>
      <c r="H996" s="112" t="s">
        <v>1015</v>
      </c>
      <c r="I996" s="112" t="s">
        <v>2693</v>
      </c>
      <c r="J996" s="112" t="s">
        <v>3286</v>
      </c>
      <c r="K996" s="112" t="s">
        <v>3402</v>
      </c>
      <c r="L996" s="116">
        <v>-1158</v>
      </c>
      <c r="M996" s="116">
        <f t="shared" si="15"/>
        <v>-1.1579999999999999</v>
      </c>
    </row>
    <row r="997" spans="1:13" hidden="1" x14ac:dyDescent="0.35">
      <c r="A997" s="112" t="s">
        <v>3283</v>
      </c>
      <c r="B997" s="112" t="s">
        <v>3298</v>
      </c>
      <c r="C997" s="112" t="s">
        <v>695</v>
      </c>
      <c r="D997" s="113">
        <v>10347981</v>
      </c>
      <c r="E997" s="115">
        <v>43924</v>
      </c>
      <c r="F997" s="114">
        <v>202101</v>
      </c>
      <c r="G997" s="112" t="s">
        <v>1091</v>
      </c>
      <c r="H997" s="112" t="s">
        <v>1015</v>
      </c>
      <c r="I997" s="112" t="s">
        <v>1536</v>
      </c>
      <c r="J997" s="112" t="s">
        <v>3299</v>
      </c>
      <c r="K997" s="112" t="s">
        <v>3403</v>
      </c>
      <c r="L997" s="116">
        <v>-1425.6</v>
      </c>
      <c r="M997" s="116">
        <f t="shared" si="15"/>
        <v>-1.4256</v>
      </c>
    </row>
    <row r="998" spans="1:13" hidden="1" x14ac:dyDescent="0.35">
      <c r="A998" s="112" t="s">
        <v>3283</v>
      </c>
      <c r="B998" s="112" t="s">
        <v>912</v>
      </c>
      <c r="C998" s="112" t="s">
        <v>695</v>
      </c>
      <c r="D998" s="113">
        <v>10347981</v>
      </c>
      <c r="E998" s="115">
        <v>43924</v>
      </c>
      <c r="F998" s="114">
        <v>202101</v>
      </c>
      <c r="G998" s="112" t="s">
        <v>1091</v>
      </c>
      <c r="H998" s="112" t="s">
        <v>1015</v>
      </c>
      <c r="I998" s="112" t="s">
        <v>763</v>
      </c>
      <c r="J998" s="112" t="s">
        <v>3292</v>
      </c>
      <c r="K998" s="112" t="s">
        <v>3404</v>
      </c>
      <c r="L998" s="116">
        <v>-3700</v>
      </c>
      <c r="M998" s="116">
        <f t="shared" si="15"/>
        <v>-3.7</v>
      </c>
    </row>
    <row r="999" spans="1:13" hidden="1" x14ac:dyDescent="0.35">
      <c r="A999" s="112" t="s">
        <v>3283</v>
      </c>
      <c r="B999" s="112" t="s">
        <v>912</v>
      </c>
      <c r="C999" s="112" t="s">
        <v>695</v>
      </c>
      <c r="D999" s="113">
        <v>10347981</v>
      </c>
      <c r="E999" s="115">
        <v>43924</v>
      </c>
      <c r="F999" s="114">
        <v>202101</v>
      </c>
      <c r="G999" s="112" t="s">
        <v>1091</v>
      </c>
      <c r="H999" s="112" t="s">
        <v>1015</v>
      </c>
      <c r="I999" s="112" t="s">
        <v>1211</v>
      </c>
      <c r="J999" s="112" t="s">
        <v>3288</v>
      </c>
      <c r="K999" s="112" t="s">
        <v>3435</v>
      </c>
      <c r="L999" s="116">
        <v>-8400</v>
      </c>
      <c r="M999" s="116">
        <f t="shared" si="15"/>
        <v>-8.4</v>
      </c>
    </row>
    <row r="1000" spans="1:13" hidden="1" x14ac:dyDescent="0.35">
      <c r="A1000" s="112" t="s">
        <v>3283</v>
      </c>
      <c r="B1000" s="112" t="s">
        <v>911</v>
      </c>
      <c r="C1000" s="112" t="s">
        <v>695</v>
      </c>
      <c r="D1000" s="113">
        <v>10347981</v>
      </c>
      <c r="E1000" s="115">
        <v>43924</v>
      </c>
      <c r="F1000" s="114">
        <v>202101</v>
      </c>
      <c r="G1000" s="112" t="s">
        <v>1091</v>
      </c>
      <c r="H1000" s="112" t="s">
        <v>1015</v>
      </c>
      <c r="I1000" s="112" t="s">
        <v>769</v>
      </c>
      <c r="J1000" s="112" t="s">
        <v>3291</v>
      </c>
      <c r="K1000" s="112" t="s">
        <v>3436</v>
      </c>
      <c r="L1000" s="116">
        <v>-117.03</v>
      </c>
      <c r="M1000" s="116">
        <f t="shared" si="15"/>
        <v>-0.11703</v>
      </c>
    </row>
    <row r="1001" spans="1:13" hidden="1" x14ac:dyDescent="0.35">
      <c r="A1001" s="112" t="s">
        <v>3283</v>
      </c>
      <c r="B1001" s="112" t="s">
        <v>911</v>
      </c>
      <c r="C1001" s="112" t="s">
        <v>695</v>
      </c>
      <c r="D1001" s="113">
        <v>10347981</v>
      </c>
      <c r="E1001" s="115">
        <v>43924</v>
      </c>
      <c r="F1001" s="114">
        <v>202101</v>
      </c>
      <c r="G1001" s="112" t="s">
        <v>1091</v>
      </c>
      <c r="H1001" s="112" t="s">
        <v>1015</v>
      </c>
      <c r="I1001" s="112" t="s">
        <v>763</v>
      </c>
      <c r="J1001" s="112" t="s">
        <v>3284</v>
      </c>
      <c r="K1001" s="112" t="s">
        <v>3449</v>
      </c>
      <c r="L1001" s="116">
        <v>-800</v>
      </c>
      <c r="M1001" s="116">
        <f t="shared" si="15"/>
        <v>-0.8</v>
      </c>
    </row>
    <row r="1002" spans="1:13" hidden="1" x14ac:dyDescent="0.35">
      <c r="A1002" s="112" t="s">
        <v>3283</v>
      </c>
      <c r="B1002" s="112" t="s">
        <v>910</v>
      </c>
      <c r="C1002" s="112" t="s">
        <v>695</v>
      </c>
      <c r="D1002" s="113">
        <v>10347981</v>
      </c>
      <c r="E1002" s="115">
        <v>43924</v>
      </c>
      <c r="F1002" s="114">
        <v>202101</v>
      </c>
      <c r="G1002" s="112" t="s">
        <v>1091</v>
      </c>
      <c r="H1002" s="112" t="s">
        <v>1015</v>
      </c>
      <c r="I1002" s="112" t="s">
        <v>763</v>
      </c>
      <c r="J1002" s="112" t="s">
        <v>3462</v>
      </c>
      <c r="K1002" s="112" t="s">
        <v>3463</v>
      </c>
      <c r="L1002" s="116">
        <v>-1650</v>
      </c>
      <c r="M1002" s="116">
        <f t="shared" si="15"/>
        <v>-1.65</v>
      </c>
    </row>
    <row r="1003" spans="1:13" hidden="1" x14ac:dyDescent="0.35">
      <c r="A1003" s="112" t="s">
        <v>3283</v>
      </c>
      <c r="B1003" s="112" t="s">
        <v>911</v>
      </c>
      <c r="C1003" s="112" t="s">
        <v>695</v>
      </c>
      <c r="D1003" s="113">
        <v>10347981</v>
      </c>
      <c r="E1003" s="115">
        <v>43924</v>
      </c>
      <c r="F1003" s="114">
        <v>202101</v>
      </c>
      <c r="G1003" s="112" t="s">
        <v>1091</v>
      </c>
      <c r="H1003" s="112" t="s">
        <v>1015</v>
      </c>
      <c r="I1003" s="112" t="s">
        <v>3478</v>
      </c>
      <c r="J1003" s="112" t="s">
        <v>3291</v>
      </c>
      <c r="K1003" s="112" t="s">
        <v>3479</v>
      </c>
      <c r="L1003" s="116">
        <v>-137.9</v>
      </c>
      <c r="M1003" s="116">
        <f t="shared" si="15"/>
        <v>-0.13789999999999999</v>
      </c>
    </row>
    <row r="1004" spans="1:13" hidden="1" x14ac:dyDescent="0.35">
      <c r="A1004" s="112" t="s">
        <v>3283</v>
      </c>
      <c r="B1004" s="112" t="s">
        <v>911</v>
      </c>
      <c r="C1004" s="112" t="s">
        <v>695</v>
      </c>
      <c r="D1004" s="113">
        <v>10348150</v>
      </c>
      <c r="E1004" s="115">
        <v>43930</v>
      </c>
      <c r="F1004" s="114">
        <v>202101</v>
      </c>
      <c r="G1004" s="112" t="s">
        <v>1091</v>
      </c>
      <c r="H1004" s="112" t="s">
        <v>1015</v>
      </c>
      <c r="I1004" s="112" t="s">
        <v>1459</v>
      </c>
      <c r="J1004" s="112" t="s">
        <v>3284</v>
      </c>
      <c r="K1004" s="112" t="s">
        <v>3514</v>
      </c>
      <c r="L1004" s="116">
        <v>-13232.75</v>
      </c>
      <c r="M1004" s="116">
        <f t="shared" si="15"/>
        <v>-13.232749999999999</v>
      </c>
    </row>
    <row r="1005" spans="1:13" hidden="1" x14ac:dyDescent="0.35">
      <c r="A1005" s="112" t="s">
        <v>3283</v>
      </c>
      <c r="B1005" s="112" t="s">
        <v>910</v>
      </c>
      <c r="C1005" s="112" t="s">
        <v>695</v>
      </c>
      <c r="D1005" s="113">
        <v>10347981</v>
      </c>
      <c r="E1005" s="115">
        <v>43924</v>
      </c>
      <c r="F1005" s="114">
        <v>202101</v>
      </c>
      <c r="G1005" s="112" t="s">
        <v>1091</v>
      </c>
      <c r="H1005" s="112" t="s">
        <v>1015</v>
      </c>
      <c r="I1005" s="112" t="s">
        <v>3262</v>
      </c>
      <c r="J1005" s="112" t="s">
        <v>3286</v>
      </c>
      <c r="K1005" s="112" t="s">
        <v>3536</v>
      </c>
      <c r="L1005" s="116">
        <v>-3339</v>
      </c>
      <c r="M1005" s="116">
        <f t="shared" si="15"/>
        <v>-3.339</v>
      </c>
    </row>
    <row r="1006" spans="1:13" hidden="1" x14ac:dyDescent="0.35">
      <c r="A1006" s="112" t="s">
        <v>3283</v>
      </c>
      <c r="B1006" s="112" t="s">
        <v>911</v>
      </c>
      <c r="C1006" s="112" t="s">
        <v>695</v>
      </c>
      <c r="D1006" s="113">
        <v>10347981</v>
      </c>
      <c r="E1006" s="115">
        <v>43924</v>
      </c>
      <c r="F1006" s="114">
        <v>202101</v>
      </c>
      <c r="G1006" s="112" t="s">
        <v>1091</v>
      </c>
      <c r="H1006" s="112" t="s">
        <v>1015</v>
      </c>
      <c r="I1006" s="112" t="s">
        <v>761</v>
      </c>
      <c r="J1006" s="112" t="s">
        <v>3369</v>
      </c>
      <c r="K1006" s="112" t="s">
        <v>3537</v>
      </c>
      <c r="L1006" s="116">
        <v>-1800</v>
      </c>
      <c r="M1006" s="116">
        <f t="shared" si="15"/>
        <v>-1.8</v>
      </c>
    </row>
    <row r="1007" spans="1:13" hidden="1" x14ac:dyDescent="0.35">
      <c r="A1007" s="112" t="s">
        <v>3283</v>
      </c>
      <c r="B1007" s="112" t="s">
        <v>910</v>
      </c>
      <c r="C1007" s="112" t="s">
        <v>695</v>
      </c>
      <c r="D1007" s="113">
        <v>10347981</v>
      </c>
      <c r="E1007" s="115">
        <v>43924</v>
      </c>
      <c r="F1007" s="114">
        <v>202101</v>
      </c>
      <c r="G1007" s="112" t="s">
        <v>1091</v>
      </c>
      <c r="H1007" s="112" t="s">
        <v>1015</v>
      </c>
      <c r="I1007" s="112" t="s">
        <v>1102</v>
      </c>
      <c r="J1007" s="112" t="s">
        <v>3286</v>
      </c>
      <c r="K1007" s="112" t="s">
        <v>3539</v>
      </c>
      <c r="L1007" s="116">
        <v>-468</v>
      </c>
      <c r="M1007" s="116">
        <f t="shared" si="15"/>
        <v>-0.46800000000000003</v>
      </c>
    </row>
    <row r="1008" spans="1:13" hidden="1" x14ac:dyDescent="0.35">
      <c r="A1008" s="112" t="s">
        <v>3283</v>
      </c>
      <c r="B1008" s="112" t="s">
        <v>911</v>
      </c>
      <c r="C1008" s="112" t="s">
        <v>695</v>
      </c>
      <c r="D1008" s="113">
        <v>10348150</v>
      </c>
      <c r="E1008" s="115">
        <v>43930</v>
      </c>
      <c r="F1008" s="114">
        <v>202101</v>
      </c>
      <c r="G1008" s="112" t="s">
        <v>1091</v>
      </c>
      <c r="H1008" s="112" t="s">
        <v>1015</v>
      </c>
      <c r="I1008" s="112" t="s">
        <v>1459</v>
      </c>
      <c r="J1008" s="112" t="s">
        <v>3284</v>
      </c>
      <c r="K1008" s="112" t="s">
        <v>3545</v>
      </c>
      <c r="L1008" s="116">
        <v>-85118.77</v>
      </c>
      <c r="M1008" s="116">
        <f t="shared" si="15"/>
        <v>-85.118769999999998</v>
      </c>
    </row>
    <row r="1009" spans="1:13" hidden="1" x14ac:dyDescent="0.35">
      <c r="A1009" s="112" t="s">
        <v>3283</v>
      </c>
      <c r="B1009" s="112" t="s">
        <v>910</v>
      </c>
      <c r="C1009" s="112" t="s">
        <v>695</v>
      </c>
      <c r="D1009" s="113">
        <v>10347979</v>
      </c>
      <c r="E1009" s="115">
        <v>43924</v>
      </c>
      <c r="F1009" s="114">
        <v>202101</v>
      </c>
      <c r="G1009" s="112" t="s">
        <v>1091</v>
      </c>
      <c r="H1009" s="112" t="s">
        <v>1016</v>
      </c>
      <c r="I1009" s="112" t="s">
        <v>1293</v>
      </c>
      <c r="J1009" s="112" t="s">
        <v>3286</v>
      </c>
      <c r="K1009" s="112" t="s">
        <v>1698</v>
      </c>
      <c r="L1009" s="116">
        <v>4907</v>
      </c>
      <c r="M1009" s="116">
        <f t="shared" si="15"/>
        <v>4.907</v>
      </c>
    </row>
    <row r="1010" spans="1:13" hidden="1" x14ac:dyDescent="0.35">
      <c r="A1010" s="112" t="s">
        <v>3283</v>
      </c>
      <c r="B1010" s="112" t="s">
        <v>910</v>
      </c>
      <c r="C1010" s="112" t="s">
        <v>695</v>
      </c>
      <c r="D1010" s="113">
        <v>10347981</v>
      </c>
      <c r="E1010" s="115">
        <v>43924</v>
      </c>
      <c r="F1010" s="114">
        <v>202101</v>
      </c>
      <c r="G1010" s="112" t="s">
        <v>1091</v>
      </c>
      <c r="H1010" s="112" t="s">
        <v>1015</v>
      </c>
      <c r="I1010" s="112" t="s">
        <v>763</v>
      </c>
      <c r="J1010" s="112" t="s">
        <v>3286</v>
      </c>
      <c r="K1010" s="112" t="s">
        <v>3553</v>
      </c>
      <c r="L1010" s="116">
        <v>-1300</v>
      </c>
      <c r="M1010" s="116">
        <f t="shared" si="15"/>
        <v>-1.3</v>
      </c>
    </row>
    <row r="1011" spans="1:13" hidden="1" x14ac:dyDescent="0.35">
      <c r="A1011" s="112" t="s">
        <v>3283</v>
      </c>
      <c r="B1011" s="112" t="s">
        <v>911</v>
      </c>
      <c r="C1011" s="112" t="s">
        <v>695</v>
      </c>
      <c r="D1011" s="113">
        <v>10347981</v>
      </c>
      <c r="E1011" s="115">
        <v>43924</v>
      </c>
      <c r="F1011" s="114">
        <v>202101</v>
      </c>
      <c r="G1011" s="112" t="s">
        <v>1091</v>
      </c>
      <c r="H1011" s="112" t="s">
        <v>1015</v>
      </c>
      <c r="I1011" s="112" t="s">
        <v>1471</v>
      </c>
      <c r="J1011" s="112" t="s">
        <v>3291</v>
      </c>
      <c r="K1011" s="112" t="s">
        <v>3557</v>
      </c>
      <c r="L1011" s="116">
        <v>-535</v>
      </c>
      <c r="M1011" s="116">
        <f t="shared" si="15"/>
        <v>-0.53500000000000003</v>
      </c>
    </row>
    <row r="1012" spans="1:13" hidden="1" x14ac:dyDescent="0.35">
      <c r="A1012" s="112" t="s">
        <v>3567</v>
      </c>
      <c r="B1012" s="112" t="s">
        <v>914</v>
      </c>
      <c r="C1012" s="112" t="s">
        <v>695</v>
      </c>
      <c r="D1012" s="113">
        <v>10348539</v>
      </c>
      <c r="E1012" s="115">
        <v>43951</v>
      </c>
      <c r="F1012" s="114">
        <v>202101</v>
      </c>
      <c r="G1012" s="112" t="s">
        <v>1091</v>
      </c>
      <c r="H1012" s="112" t="s">
        <v>1015</v>
      </c>
      <c r="I1012" s="112" t="s">
        <v>3572</v>
      </c>
      <c r="J1012" s="112" t="s">
        <v>3568</v>
      </c>
      <c r="K1012" s="112" t="s">
        <v>3573</v>
      </c>
      <c r="L1012" s="116">
        <v>530</v>
      </c>
      <c r="M1012" s="116">
        <f t="shared" si="15"/>
        <v>0.53</v>
      </c>
    </row>
    <row r="1013" spans="1:13" hidden="1" x14ac:dyDescent="0.35">
      <c r="A1013" s="112" t="s">
        <v>3567</v>
      </c>
      <c r="B1013" s="112" t="s">
        <v>914</v>
      </c>
      <c r="C1013" s="112" t="s">
        <v>695</v>
      </c>
      <c r="D1013" s="113">
        <v>10347981</v>
      </c>
      <c r="E1013" s="115">
        <v>43924</v>
      </c>
      <c r="F1013" s="114">
        <v>202101</v>
      </c>
      <c r="G1013" s="112" t="s">
        <v>1091</v>
      </c>
      <c r="H1013" s="112" t="s">
        <v>1015</v>
      </c>
      <c r="I1013" s="112" t="s">
        <v>3572</v>
      </c>
      <c r="J1013" s="112" t="s">
        <v>3568</v>
      </c>
      <c r="K1013" s="112" t="s">
        <v>3575</v>
      </c>
      <c r="L1013" s="116">
        <v>-530</v>
      </c>
      <c r="M1013" s="116">
        <f t="shared" si="15"/>
        <v>-0.53</v>
      </c>
    </row>
    <row r="1014" spans="1:13" hidden="1" x14ac:dyDescent="0.35">
      <c r="A1014" s="112" t="s">
        <v>3567</v>
      </c>
      <c r="B1014" s="112" t="s">
        <v>915</v>
      </c>
      <c r="C1014" s="112" t="s">
        <v>695</v>
      </c>
      <c r="D1014" s="113">
        <v>10348034</v>
      </c>
      <c r="E1014" s="115">
        <v>43928</v>
      </c>
      <c r="F1014" s="114">
        <v>202101</v>
      </c>
      <c r="G1014" s="112" t="s">
        <v>1091</v>
      </c>
      <c r="H1014" s="112" t="s">
        <v>1015</v>
      </c>
      <c r="I1014" s="112" t="s">
        <v>1211</v>
      </c>
      <c r="J1014" s="112" t="s">
        <v>3577</v>
      </c>
      <c r="K1014" s="112" t="s">
        <v>3578</v>
      </c>
      <c r="L1014" s="116">
        <v>-2156.52</v>
      </c>
      <c r="M1014" s="116">
        <f t="shared" si="15"/>
        <v>-2.15652</v>
      </c>
    </row>
    <row r="1015" spans="1:13" hidden="1" x14ac:dyDescent="0.35">
      <c r="A1015" s="112" t="s">
        <v>3567</v>
      </c>
      <c r="B1015" s="112" t="s">
        <v>915</v>
      </c>
      <c r="C1015" s="112" t="s">
        <v>695</v>
      </c>
      <c r="D1015" s="113">
        <v>10348034</v>
      </c>
      <c r="E1015" s="115">
        <v>43928</v>
      </c>
      <c r="F1015" s="114">
        <v>202101</v>
      </c>
      <c r="G1015" s="112" t="s">
        <v>1091</v>
      </c>
      <c r="H1015" s="112" t="s">
        <v>1015</v>
      </c>
      <c r="I1015" s="112" t="s">
        <v>1211</v>
      </c>
      <c r="J1015" s="112" t="s">
        <v>3577</v>
      </c>
      <c r="K1015" s="112" t="s">
        <v>3579</v>
      </c>
      <c r="L1015" s="116">
        <v>-2165.46</v>
      </c>
      <c r="M1015" s="116">
        <f t="shared" si="15"/>
        <v>-2.1654599999999999</v>
      </c>
    </row>
    <row r="1016" spans="1:13" hidden="1" x14ac:dyDescent="0.35">
      <c r="A1016" s="112" t="s">
        <v>3567</v>
      </c>
      <c r="B1016" s="112" t="s">
        <v>914</v>
      </c>
      <c r="C1016" s="112" t="s">
        <v>695</v>
      </c>
      <c r="D1016" s="113">
        <v>10347954</v>
      </c>
      <c r="E1016" s="115">
        <v>43923</v>
      </c>
      <c r="F1016" s="114">
        <v>202101</v>
      </c>
      <c r="G1016" s="112" t="s">
        <v>1091</v>
      </c>
      <c r="H1016" s="112" t="s">
        <v>1015</v>
      </c>
      <c r="I1016" s="112" t="s">
        <v>813</v>
      </c>
      <c r="J1016" s="112" t="s">
        <v>3584</v>
      </c>
      <c r="K1016" s="112" t="s">
        <v>1833</v>
      </c>
      <c r="L1016" s="116">
        <v>-5824.46</v>
      </c>
      <c r="M1016" s="116">
        <f t="shared" si="15"/>
        <v>-5.8244600000000002</v>
      </c>
    </row>
    <row r="1017" spans="1:13" hidden="1" x14ac:dyDescent="0.35">
      <c r="A1017" s="112" t="s">
        <v>3567</v>
      </c>
      <c r="B1017" s="112" t="s">
        <v>914</v>
      </c>
      <c r="C1017" s="112" t="s">
        <v>695</v>
      </c>
      <c r="D1017" s="113">
        <v>10347948</v>
      </c>
      <c r="E1017" s="115">
        <v>43923</v>
      </c>
      <c r="F1017" s="114">
        <v>202101</v>
      </c>
      <c r="G1017" s="112" t="s">
        <v>1091</v>
      </c>
      <c r="H1017" s="112" t="s">
        <v>1015</v>
      </c>
      <c r="I1017" s="112" t="s">
        <v>813</v>
      </c>
      <c r="J1017" s="112" t="s">
        <v>3584</v>
      </c>
      <c r="K1017" s="112" t="s">
        <v>1928</v>
      </c>
      <c r="L1017" s="116">
        <v>-12144.72</v>
      </c>
      <c r="M1017" s="116">
        <f t="shared" si="15"/>
        <v>-12.14472</v>
      </c>
    </row>
    <row r="1018" spans="1:13" hidden="1" x14ac:dyDescent="0.35">
      <c r="A1018" s="112" t="s">
        <v>3567</v>
      </c>
      <c r="B1018" s="112" t="s">
        <v>914</v>
      </c>
      <c r="C1018" s="112" t="s">
        <v>695</v>
      </c>
      <c r="D1018" s="113">
        <v>10347948</v>
      </c>
      <c r="E1018" s="115">
        <v>43923</v>
      </c>
      <c r="F1018" s="114">
        <v>202101</v>
      </c>
      <c r="G1018" s="112" t="s">
        <v>1091</v>
      </c>
      <c r="H1018" s="112" t="s">
        <v>1015</v>
      </c>
      <c r="I1018" s="112" t="s">
        <v>3585</v>
      </c>
      <c r="J1018" s="112" t="s">
        <v>3568</v>
      </c>
      <c r="K1018" s="112" t="s">
        <v>1833</v>
      </c>
      <c r="L1018" s="116">
        <v>-367.49</v>
      </c>
      <c r="M1018" s="116">
        <f t="shared" si="15"/>
        <v>-0.36748999999999998</v>
      </c>
    </row>
    <row r="1019" spans="1:13" hidden="1" x14ac:dyDescent="0.35">
      <c r="A1019" s="112" t="s">
        <v>3567</v>
      </c>
      <c r="B1019" s="112" t="s">
        <v>914</v>
      </c>
      <c r="C1019" s="112" t="s">
        <v>695</v>
      </c>
      <c r="D1019" s="113">
        <v>10347954</v>
      </c>
      <c r="E1019" s="115">
        <v>43923</v>
      </c>
      <c r="F1019" s="114">
        <v>202101</v>
      </c>
      <c r="G1019" s="112" t="s">
        <v>1091</v>
      </c>
      <c r="H1019" s="112" t="s">
        <v>1015</v>
      </c>
      <c r="I1019" s="112" t="s">
        <v>813</v>
      </c>
      <c r="J1019" s="112" t="s">
        <v>3584</v>
      </c>
      <c r="K1019" s="112" t="s">
        <v>1833</v>
      </c>
      <c r="L1019" s="116">
        <v>-2551.0500000000002</v>
      </c>
      <c r="M1019" s="116">
        <f t="shared" si="15"/>
        <v>-2.55105</v>
      </c>
    </row>
    <row r="1020" spans="1:13" hidden="1" x14ac:dyDescent="0.35">
      <c r="A1020" s="112" t="s">
        <v>3567</v>
      </c>
      <c r="B1020" s="112" t="s">
        <v>913</v>
      </c>
      <c r="C1020" s="112" t="s">
        <v>695</v>
      </c>
      <c r="D1020" s="113">
        <v>10347981</v>
      </c>
      <c r="E1020" s="115">
        <v>43924</v>
      </c>
      <c r="F1020" s="114">
        <v>202101</v>
      </c>
      <c r="G1020" s="112" t="s">
        <v>1091</v>
      </c>
      <c r="H1020" s="112" t="s">
        <v>1015</v>
      </c>
      <c r="I1020" s="112" t="s">
        <v>761</v>
      </c>
      <c r="J1020" s="112" t="s">
        <v>3574</v>
      </c>
      <c r="K1020" s="112" t="s">
        <v>3589</v>
      </c>
      <c r="L1020" s="116">
        <v>-150</v>
      </c>
      <c r="M1020" s="116">
        <f t="shared" si="15"/>
        <v>-0.15</v>
      </c>
    </row>
    <row r="1021" spans="1:13" hidden="1" x14ac:dyDescent="0.35">
      <c r="A1021" s="112" t="s">
        <v>3567</v>
      </c>
      <c r="B1021" s="112" t="s">
        <v>915</v>
      </c>
      <c r="C1021" s="112" t="s">
        <v>695</v>
      </c>
      <c r="D1021" s="113">
        <v>10347981</v>
      </c>
      <c r="E1021" s="115">
        <v>43924</v>
      </c>
      <c r="F1021" s="114">
        <v>202101</v>
      </c>
      <c r="G1021" s="112" t="s">
        <v>1091</v>
      </c>
      <c r="H1021" s="112" t="s">
        <v>1015</v>
      </c>
      <c r="I1021" s="112" t="s">
        <v>775</v>
      </c>
      <c r="J1021" s="112" t="s">
        <v>3577</v>
      </c>
      <c r="K1021" s="112" t="s">
        <v>3590</v>
      </c>
      <c r="L1021" s="116">
        <v>-24</v>
      </c>
      <c r="M1021" s="116">
        <f t="shared" si="15"/>
        <v>-2.4E-2</v>
      </c>
    </row>
    <row r="1022" spans="1:13" hidden="1" x14ac:dyDescent="0.35">
      <c r="A1022" s="112" t="s">
        <v>3567</v>
      </c>
      <c r="B1022" s="112" t="s">
        <v>915</v>
      </c>
      <c r="C1022" s="112" t="s">
        <v>695</v>
      </c>
      <c r="D1022" s="113">
        <v>10347981</v>
      </c>
      <c r="E1022" s="115">
        <v>43924</v>
      </c>
      <c r="F1022" s="114">
        <v>202101</v>
      </c>
      <c r="G1022" s="112" t="s">
        <v>1091</v>
      </c>
      <c r="H1022" s="112" t="s">
        <v>1015</v>
      </c>
      <c r="I1022" s="112" t="s">
        <v>1124</v>
      </c>
      <c r="J1022" s="112" t="s">
        <v>3582</v>
      </c>
      <c r="K1022" s="112" t="s">
        <v>3591</v>
      </c>
      <c r="L1022" s="116">
        <v>-450</v>
      </c>
      <c r="M1022" s="116">
        <f t="shared" si="15"/>
        <v>-0.45</v>
      </c>
    </row>
    <row r="1023" spans="1:13" hidden="1" x14ac:dyDescent="0.35">
      <c r="A1023" s="112" t="s">
        <v>3567</v>
      </c>
      <c r="B1023" s="112" t="s">
        <v>914</v>
      </c>
      <c r="C1023" s="112" t="s">
        <v>695</v>
      </c>
      <c r="D1023" s="113">
        <v>10347981</v>
      </c>
      <c r="E1023" s="115">
        <v>43924</v>
      </c>
      <c r="F1023" s="114">
        <v>202101</v>
      </c>
      <c r="G1023" s="112" t="s">
        <v>1091</v>
      </c>
      <c r="H1023" s="112" t="s">
        <v>1015</v>
      </c>
      <c r="I1023" s="112" t="s">
        <v>761</v>
      </c>
      <c r="J1023" s="112" t="s">
        <v>3568</v>
      </c>
      <c r="K1023" s="112" t="s">
        <v>3592</v>
      </c>
      <c r="L1023" s="116">
        <v>-250</v>
      </c>
      <c r="M1023" s="116">
        <f t="shared" si="15"/>
        <v>-0.25</v>
      </c>
    </row>
    <row r="1024" spans="1:13" hidden="1" x14ac:dyDescent="0.35">
      <c r="A1024" s="112" t="s">
        <v>3567</v>
      </c>
      <c r="B1024" s="112" t="s">
        <v>915</v>
      </c>
      <c r="C1024" s="112" t="s">
        <v>695</v>
      </c>
      <c r="D1024" s="113">
        <v>10347981</v>
      </c>
      <c r="E1024" s="115">
        <v>43924</v>
      </c>
      <c r="F1024" s="114">
        <v>202101</v>
      </c>
      <c r="G1024" s="112" t="s">
        <v>1091</v>
      </c>
      <c r="H1024" s="112" t="s">
        <v>1015</v>
      </c>
      <c r="I1024" s="112" t="s">
        <v>3586</v>
      </c>
      <c r="J1024" s="112" t="s">
        <v>3587</v>
      </c>
      <c r="K1024" s="112" t="s">
        <v>3593</v>
      </c>
      <c r="L1024" s="116">
        <v>-5000</v>
      </c>
      <c r="M1024" s="116">
        <f t="shared" si="15"/>
        <v>-5</v>
      </c>
    </row>
    <row r="1025" spans="1:13" hidden="1" x14ac:dyDescent="0.35">
      <c r="A1025" s="112" t="s">
        <v>3567</v>
      </c>
      <c r="B1025" s="112" t="s">
        <v>915</v>
      </c>
      <c r="C1025" s="112" t="s">
        <v>695</v>
      </c>
      <c r="D1025" s="113">
        <v>10348363</v>
      </c>
      <c r="E1025" s="115">
        <v>43942</v>
      </c>
      <c r="F1025" s="114">
        <v>202101</v>
      </c>
      <c r="G1025" s="112" t="s">
        <v>1091</v>
      </c>
      <c r="H1025" s="112" t="s">
        <v>1015</v>
      </c>
      <c r="I1025" s="112" t="s">
        <v>761</v>
      </c>
      <c r="J1025" s="112" t="s">
        <v>3577</v>
      </c>
      <c r="K1025" s="112" t="s">
        <v>3594</v>
      </c>
      <c r="L1025" s="116">
        <v>-1170</v>
      </c>
      <c r="M1025" s="116">
        <f t="shared" si="15"/>
        <v>-1.17</v>
      </c>
    </row>
    <row r="1026" spans="1:13" hidden="1" x14ac:dyDescent="0.35">
      <c r="A1026" s="112" t="s">
        <v>3567</v>
      </c>
      <c r="B1026" s="112" t="s">
        <v>915</v>
      </c>
      <c r="C1026" s="112" t="s">
        <v>695</v>
      </c>
      <c r="D1026" s="113">
        <v>10347981</v>
      </c>
      <c r="E1026" s="115">
        <v>43924</v>
      </c>
      <c r="F1026" s="114">
        <v>202101</v>
      </c>
      <c r="G1026" s="112" t="s">
        <v>1091</v>
      </c>
      <c r="H1026" s="112" t="s">
        <v>1015</v>
      </c>
      <c r="I1026" s="112" t="s">
        <v>3586</v>
      </c>
      <c r="J1026" s="112" t="s">
        <v>3577</v>
      </c>
      <c r="K1026" s="112" t="s">
        <v>3595</v>
      </c>
      <c r="L1026" s="116">
        <v>-6000</v>
      </c>
      <c r="M1026" s="116">
        <f t="shared" si="15"/>
        <v>-6</v>
      </c>
    </row>
    <row r="1027" spans="1:13" hidden="1" x14ac:dyDescent="0.35">
      <c r="A1027" s="112" t="s">
        <v>3567</v>
      </c>
      <c r="B1027" s="112" t="s">
        <v>914</v>
      </c>
      <c r="C1027" s="112" t="s">
        <v>695</v>
      </c>
      <c r="D1027" s="113">
        <v>10347971</v>
      </c>
      <c r="E1027" s="115">
        <v>43924</v>
      </c>
      <c r="F1027" s="114">
        <v>202101</v>
      </c>
      <c r="G1027" s="112" t="s">
        <v>1091</v>
      </c>
      <c r="H1027" s="112" t="s">
        <v>1015</v>
      </c>
      <c r="I1027" s="112" t="s">
        <v>777</v>
      </c>
      <c r="J1027" s="112" t="s">
        <v>3568</v>
      </c>
      <c r="K1027" s="112" t="s">
        <v>3599</v>
      </c>
      <c r="L1027" s="116">
        <v>-3000</v>
      </c>
      <c r="M1027" s="116">
        <f t="shared" ref="M1027:M1090" si="16">L1027/1000</f>
        <v>-3</v>
      </c>
    </row>
    <row r="1028" spans="1:13" hidden="1" x14ac:dyDescent="0.35">
      <c r="A1028" s="112" t="s">
        <v>3567</v>
      </c>
      <c r="B1028" s="112" t="s">
        <v>915</v>
      </c>
      <c r="C1028" s="112" t="s">
        <v>695</v>
      </c>
      <c r="D1028" s="113">
        <v>10347981</v>
      </c>
      <c r="E1028" s="115">
        <v>43924</v>
      </c>
      <c r="F1028" s="114">
        <v>202101</v>
      </c>
      <c r="G1028" s="112" t="s">
        <v>1091</v>
      </c>
      <c r="H1028" s="112" t="s">
        <v>1015</v>
      </c>
      <c r="I1028" s="112" t="s">
        <v>763</v>
      </c>
      <c r="J1028" s="112" t="s">
        <v>3577</v>
      </c>
      <c r="K1028" s="112" t="s">
        <v>3601</v>
      </c>
      <c r="L1028" s="116">
        <v>-12319</v>
      </c>
      <c r="M1028" s="116">
        <f t="shared" si="16"/>
        <v>-12.319000000000001</v>
      </c>
    </row>
    <row r="1029" spans="1:13" hidden="1" x14ac:dyDescent="0.35">
      <c r="A1029" s="112" t="s">
        <v>3567</v>
      </c>
      <c r="B1029" s="112" t="s">
        <v>915</v>
      </c>
      <c r="C1029" s="112" t="s">
        <v>695</v>
      </c>
      <c r="D1029" s="113">
        <v>10348179</v>
      </c>
      <c r="E1029" s="115">
        <v>43931</v>
      </c>
      <c r="F1029" s="114">
        <v>202101</v>
      </c>
      <c r="G1029" s="112" t="s">
        <v>1091</v>
      </c>
      <c r="H1029" s="112" t="s">
        <v>1016</v>
      </c>
      <c r="I1029" s="112" t="s">
        <v>680</v>
      </c>
      <c r="J1029" s="112" t="s">
        <v>3577</v>
      </c>
      <c r="K1029" s="112" t="s">
        <v>3605</v>
      </c>
      <c r="L1029" s="116">
        <v>14410</v>
      </c>
      <c r="M1029" s="116">
        <f t="shared" si="16"/>
        <v>14.41</v>
      </c>
    </row>
    <row r="1030" spans="1:13" hidden="1" x14ac:dyDescent="0.35">
      <c r="A1030" s="112" t="s">
        <v>3567</v>
      </c>
      <c r="B1030" s="112" t="s">
        <v>915</v>
      </c>
      <c r="C1030" s="112" t="s">
        <v>695</v>
      </c>
      <c r="D1030" s="113">
        <v>10348179</v>
      </c>
      <c r="E1030" s="115">
        <v>43931</v>
      </c>
      <c r="F1030" s="114">
        <v>202101</v>
      </c>
      <c r="G1030" s="112" t="s">
        <v>1091</v>
      </c>
      <c r="H1030" s="112" t="s">
        <v>1016</v>
      </c>
      <c r="I1030" s="112" t="s">
        <v>680</v>
      </c>
      <c r="J1030" s="112" t="s">
        <v>3577</v>
      </c>
      <c r="K1030" s="112" t="s">
        <v>3606</v>
      </c>
      <c r="L1030" s="116">
        <v>1779</v>
      </c>
      <c r="M1030" s="116">
        <f t="shared" si="16"/>
        <v>1.7789999999999999</v>
      </c>
    </row>
    <row r="1031" spans="1:13" hidden="1" x14ac:dyDescent="0.35">
      <c r="A1031" s="112" t="s">
        <v>3567</v>
      </c>
      <c r="B1031" s="112" t="s">
        <v>915</v>
      </c>
      <c r="C1031" s="112" t="s">
        <v>695</v>
      </c>
      <c r="D1031" s="113">
        <v>10348179</v>
      </c>
      <c r="E1031" s="115">
        <v>43931</v>
      </c>
      <c r="F1031" s="114">
        <v>202101</v>
      </c>
      <c r="G1031" s="112" t="s">
        <v>1091</v>
      </c>
      <c r="H1031" s="112" t="s">
        <v>1016</v>
      </c>
      <c r="I1031" s="112" t="s">
        <v>680</v>
      </c>
      <c r="J1031" s="112" t="s">
        <v>3582</v>
      </c>
      <c r="K1031" s="112" t="s">
        <v>3607</v>
      </c>
      <c r="L1031" s="116">
        <v>-13418.34</v>
      </c>
      <c r="M1031" s="116">
        <f t="shared" si="16"/>
        <v>-13.418340000000001</v>
      </c>
    </row>
    <row r="1032" spans="1:13" hidden="1" x14ac:dyDescent="0.35">
      <c r="A1032" s="112" t="s">
        <v>3567</v>
      </c>
      <c r="B1032" s="112" t="s">
        <v>915</v>
      </c>
      <c r="C1032" s="112" t="s">
        <v>695</v>
      </c>
      <c r="D1032" s="113">
        <v>10348179</v>
      </c>
      <c r="E1032" s="115">
        <v>43931</v>
      </c>
      <c r="F1032" s="114">
        <v>202101</v>
      </c>
      <c r="G1032" s="112" t="s">
        <v>1091</v>
      </c>
      <c r="H1032" s="112" t="s">
        <v>1016</v>
      </c>
      <c r="I1032" s="112" t="s">
        <v>680</v>
      </c>
      <c r="J1032" s="112" t="s">
        <v>3609</v>
      </c>
      <c r="K1032" s="112" t="s">
        <v>3610</v>
      </c>
      <c r="L1032" s="116">
        <v>52478.92</v>
      </c>
      <c r="M1032" s="116">
        <f t="shared" si="16"/>
        <v>52.478919999999995</v>
      </c>
    </row>
    <row r="1033" spans="1:13" hidden="1" x14ac:dyDescent="0.35">
      <c r="A1033" s="112" t="s">
        <v>3616</v>
      </c>
      <c r="B1033" s="112" t="s">
        <v>919</v>
      </c>
      <c r="C1033" s="112" t="s">
        <v>695</v>
      </c>
      <c r="D1033" s="113">
        <v>10348420</v>
      </c>
      <c r="E1033" s="115">
        <v>43945</v>
      </c>
      <c r="F1033" s="114">
        <v>202101</v>
      </c>
      <c r="G1033" s="112" t="s">
        <v>1091</v>
      </c>
      <c r="H1033" s="112" t="s">
        <v>1015</v>
      </c>
      <c r="I1033" s="112" t="s">
        <v>2454</v>
      </c>
      <c r="J1033" s="112" t="s">
        <v>3617</v>
      </c>
      <c r="K1033" s="112" t="s">
        <v>3618</v>
      </c>
      <c r="L1033" s="116">
        <v>942.45</v>
      </c>
      <c r="M1033" s="116">
        <f t="shared" si="16"/>
        <v>0.94245000000000001</v>
      </c>
    </row>
    <row r="1034" spans="1:13" hidden="1" x14ac:dyDescent="0.35">
      <c r="A1034" s="112" t="s">
        <v>3616</v>
      </c>
      <c r="B1034" s="112" t="s">
        <v>919</v>
      </c>
      <c r="C1034" s="112" t="s">
        <v>695</v>
      </c>
      <c r="D1034" s="113">
        <v>10348420</v>
      </c>
      <c r="E1034" s="115">
        <v>43945</v>
      </c>
      <c r="F1034" s="114">
        <v>202101</v>
      </c>
      <c r="G1034" s="112" t="s">
        <v>1091</v>
      </c>
      <c r="H1034" s="112" t="s">
        <v>1015</v>
      </c>
      <c r="I1034" s="112" t="s">
        <v>1532</v>
      </c>
      <c r="J1034" s="112" t="s">
        <v>3624</v>
      </c>
      <c r="K1034" s="112" t="s">
        <v>3625</v>
      </c>
      <c r="L1034" s="116">
        <v>-160.18</v>
      </c>
      <c r="M1034" s="116">
        <f t="shared" si="16"/>
        <v>-0.16018000000000002</v>
      </c>
    </row>
    <row r="1035" spans="1:13" hidden="1" x14ac:dyDescent="0.35">
      <c r="A1035" s="112" t="s">
        <v>3616</v>
      </c>
      <c r="B1035" s="112" t="s">
        <v>916</v>
      </c>
      <c r="C1035" s="112" t="s">
        <v>695</v>
      </c>
      <c r="D1035" s="113">
        <v>10348429</v>
      </c>
      <c r="E1035" s="115">
        <v>43945</v>
      </c>
      <c r="F1035" s="114">
        <v>202101</v>
      </c>
      <c r="G1035" s="112" t="s">
        <v>1091</v>
      </c>
      <c r="H1035" s="112" t="s">
        <v>1015</v>
      </c>
      <c r="I1035" s="112" t="s">
        <v>751</v>
      </c>
      <c r="J1035" s="112" t="s">
        <v>3626</v>
      </c>
      <c r="K1035" s="112" t="s">
        <v>3627</v>
      </c>
      <c r="L1035" s="116">
        <v>-6760.62</v>
      </c>
      <c r="M1035" s="116">
        <f t="shared" si="16"/>
        <v>-6.7606200000000003</v>
      </c>
    </row>
    <row r="1036" spans="1:13" hidden="1" x14ac:dyDescent="0.35">
      <c r="A1036" s="112" t="s">
        <v>3616</v>
      </c>
      <c r="B1036" s="112" t="s">
        <v>919</v>
      </c>
      <c r="C1036" s="112" t="s">
        <v>695</v>
      </c>
      <c r="D1036" s="113">
        <v>10348420</v>
      </c>
      <c r="E1036" s="115">
        <v>43945</v>
      </c>
      <c r="F1036" s="114">
        <v>202101</v>
      </c>
      <c r="G1036" s="112" t="s">
        <v>1091</v>
      </c>
      <c r="H1036" s="112" t="s">
        <v>1015</v>
      </c>
      <c r="I1036" s="112" t="s">
        <v>1532</v>
      </c>
      <c r="J1036" s="112" t="s">
        <v>3628</v>
      </c>
      <c r="K1036" s="112" t="s">
        <v>3630</v>
      </c>
      <c r="L1036" s="116">
        <v>-151.80000000000001</v>
      </c>
      <c r="M1036" s="116">
        <f t="shared" si="16"/>
        <v>-0.15180000000000002</v>
      </c>
    </row>
    <row r="1037" spans="1:13" hidden="1" x14ac:dyDescent="0.35">
      <c r="A1037" s="112" t="s">
        <v>3616</v>
      </c>
      <c r="B1037" s="112" t="s">
        <v>919</v>
      </c>
      <c r="C1037" s="112" t="s">
        <v>695</v>
      </c>
      <c r="D1037" s="113">
        <v>10348420</v>
      </c>
      <c r="E1037" s="115">
        <v>43945</v>
      </c>
      <c r="F1037" s="114">
        <v>202101</v>
      </c>
      <c r="G1037" s="112" t="s">
        <v>1091</v>
      </c>
      <c r="H1037" s="112" t="s">
        <v>1015</v>
      </c>
      <c r="I1037" s="112" t="s">
        <v>1532</v>
      </c>
      <c r="J1037" s="112" t="s">
        <v>3628</v>
      </c>
      <c r="K1037" s="112" t="s">
        <v>3631</v>
      </c>
      <c r="L1037" s="116">
        <v>-45.58</v>
      </c>
      <c r="M1037" s="116">
        <f t="shared" si="16"/>
        <v>-4.5579999999999996E-2</v>
      </c>
    </row>
    <row r="1038" spans="1:13" hidden="1" x14ac:dyDescent="0.35">
      <c r="A1038" s="112" t="s">
        <v>3616</v>
      </c>
      <c r="B1038" s="112" t="s">
        <v>919</v>
      </c>
      <c r="C1038" s="112" t="s">
        <v>695</v>
      </c>
      <c r="D1038" s="113">
        <v>10348420</v>
      </c>
      <c r="E1038" s="115">
        <v>43945</v>
      </c>
      <c r="F1038" s="114">
        <v>202101</v>
      </c>
      <c r="G1038" s="112" t="s">
        <v>1091</v>
      </c>
      <c r="H1038" s="112" t="s">
        <v>1015</v>
      </c>
      <c r="I1038" s="112" t="s">
        <v>2454</v>
      </c>
      <c r="J1038" s="112" t="s">
        <v>3634</v>
      </c>
      <c r="K1038" s="112" t="s">
        <v>3635</v>
      </c>
      <c r="L1038" s="116">
        <v>581.95000000000005</v>
      </c>
      <c r="M1038" s="116">
        <f t="shared" si="16"/>
        <v>0.58195000000000008</v>
      </c>
    </row>
    <row r="1039" spans="1:13" hidden="1" x14ac:dyDescent="0.35">
      <c r="A1039" s="112" t="s">
        <v>3616</v>
      </c>
      <c r="B1039" s="112" t="s">
        <v>921</v>
      </c>
      <c r="C1039" s="112" t="s">
        <v>695</v>
      </c>
      <c r="D1039" s="113">
        <v>10348420</v>
      </c>
      <c r="E1039" s="115">
        <v>43945</v>
      </c>
      <c r="F1039" s="114">
        <v>202101</v>
      </c>
      <c r="G1039" s="112" t="s">
        <v>1091</v>
      </c>
      <c r="H1039" s="112" t="s">
        <v>1015</v>
      </c>
      <c r="I1039" s="112" t="s">
        <v>3636</v>
      </c>
      <c r="J1039" s="112" t="s">
        <v>3620</v>
      </c>
      <c r="K1039" s="112" t="s">
        <v>3637</v>
      </c>
      <c r="L1039" s="116">
        <v>480</v>
      </c>
      <c r="M1039" s="116">
        <f t="shared" si="16"/>
        <v>0.48</v>
      </c>
    </row>
    <row r="1040" spans="1:13" hidden="1" x14ac:dyDescent="0.35">
      <c r="A1040" s="112" t="s">
        <v>3616</v>
      </c>
      <c r="B1040" s="112" t="s">
        <v>919</v>
      </c>
      <c r="C1040" s="112" t="s">
        <v>695</v>
      </c>
      <c r="D1040" s="113">
        <v>10348420</v>
      </c>
      <c r="E1040" s="115">
        <v>43945</v>
      </c>
      <c r="F1040" s="114">
        <v>202101</v>
      </c>
      <c r="G1040" s="112" t="s">
        <v>1091</v>
      </c>
      <c r="H1040" s="112" t="s">
        <v>1015</v>
      </c>
      <c r="I1040" s="112" t="s">
        <v>1532</v>
      </c>
      <c r="J1040" s="112" t="s">
        <v>3628</v>
      </c>
      <c r="K1040" s="112" t="s">
        <v>3638</v>
      </c>
      <c r="L1040" s="116">
        <v>-45.58</v>
      </c>
      <c r="M1040" s="116">
        <f t="shared" si="16"/>
        <v>-4.5579999999999996E-2</v>
      </c>
    </row>
    <row r="1041" spans="1:13" hidden="1" x14ac:dyDescent="0.35">
      <c r="A1041" s="112" t="s">
        <v>3616</v>
      </c>
      <c r="B1041" s="112" t="s">
        <v>919</v>
      </c>
      <c r="C1041" s="112" t="s">
        <v>695</v>
      </c>
      <c r="D1041" s="113">
        <v>10348431</v>
      </c>
      <c r="E1041" s="115">
        <v>43945</v>
      </c>
      <c r="F1041" s="114">
        <v>202101</v>
      </c>
      <c r="G1041" s="112" t="s">
        <v>1091</v>
      </c>
      <c r="H1041" s="112" t="s">
        <v>1015</v>
      </c>
      <c r="I1041" s="112" t="s">
        <v>2454</v>
      </c>
      <c r="J1041" s="112" t="s">
        <v>3624</v>
      </c>
      <c r="K1041" s="112" t="s">
        <v>3639</v>
      </c>
      <c r="L1041" s="116">
        <v>1067.9000000000001</v>
      </c>
      <c r="M1041" s="116">
        <f t="shared" si="16"/>
        <v>1.0679000000000001</v>
      </c>
    </row>
    <row r="1042" spans="1:13" hidden="1" x14ac:dyDescent="0.35">
      <c r="A1042" s="112" t="s">
        <v>3616</v>
      </c>
      <c r="B1042" s="112" t="s">
        <v>919</v>
      </c>
      <c r="C1042" s="112" t="s">
        <v>695</v>
      </c>
      <c r="D1042" s="113">
        <v>10348431</v>
      </c>
      <c r="E1042" s="115">
        <v>43945</v>
      </c>
      <c r="F1042" s="114">
        <v>202101</v>
      </c>
      <c r="G1042" s="112" t="s">
        <v>1091</v>
      </c>
      <c r="H1042" s="112" t="s">
        <v>1015</v>
      </c>
      <c r="I1042" s="112" t="s">
        <v>745</v>
      </c>
      <c r="J1042" s="112" t="s">
        <v>3628</v>
      </c>
      <c r="K1042" s="112" t="s">
        <v>3640</v>
      </c>
      <c r="L1042" s="116">
        <v>1775.8</v>
      </c>
      <c r="M1042" s="116">
        <f t="shared" si="16"/>
        <v>1.7758</v>
      </c>
    </row>
    <row r="1043" spans="1:13" hidden="1" x14ac:dyDescent="0.35">
      <c r="A1043" s="112" t="s">
        <v>3616</v>
      </c>
      <c r="B1043" s="112" t="s">
        <v>919</v>
      </c>
      <c r="C1043" s="112" t="s">
        <v>695</v>
      </c>
      <c r="D1043" s="113">
        <v>10348420</v>
      </c>
      <c r="E1043" s="115">
        <v>43945</v>
      </c>
      <c r="F1043" s="114">
        <v>202101</v>
      </c>
      <c r="G1043" s="112" t="s">
        <v>1091</v>
      </c>
      <c r="H1043" s="112" t="s">
        <v>1015</v>
      </c>
      <c r="I1043" s="112" t="s">
        <v>1532</v>
      </c>
      <c r="J1043" s="112" t="s">
        <v>3628</v>
      </c>
      <c r="K1043" s="112" t="s">
        <v>3641</v>
      </c>
      <c r="L1043" s="116">
        <v>-44.46</v>
      </c>
      <c r="M1043" s="116">
        <f t="shared" si="16"/>
        <v>-4.446E-2</v>
      </c>
    </row>
    <row r="1044" spans="1:13" hidden="1" x14ac:dyDescent="0.35">
      <c r="A1044" s="112" t="s">
        <v>3616</v>
      </c>
      <c r="B1044" s="112" t="s">
        <v>919</v>
      </c>
      <c r="C1044" s="112" t="s">
        <v>695</v>
      </c>
      <c r="D1044" s="113">
        <v>10348420</v>
      </c>
      <c r="E1044" s="115">
        <v>43945</v>
      </c>
      <c r="F1044" s="114">
        <v>202101</v>
      </c>
      <c r="G1044" s="112" t="s">
        <v>1091</v>
      </c>
      <c r="H1044" s="112" t="s">
        <v>1015</v>
      </c>
      <c r="I1044" s="112" t="s">
        <v>2454</v>
      </c>
      <c r="J1044" s="112" t="s">
        <v>3632</v>
      </c>
      <c r="K1044" s="112" t="s">
        <v>3644</v>
      </c>
      <c r="L1044" s="116">
        <v>185.4</v>
      </c>
      <c r="M1044" s="116">
        <f t="shared" si="16"/>
        <v>0.18540000000000001</v>
      </c>
    </row>
    <row r="1045" spans="1:13" hidden="1" x14ac:dyDescent="0.35">
      <c r="A1045" s="112" t="s">
        <v>3616</v>
      </c>
      <c r="B1045" s="112" t="s">
        <v>916</v>
      </c>
      <c r="C1045" s="112" t="s">
        <v>695</v>
      </c>
      <c r="D1045" s="113">
        <v>10347954</v>
      </c>
      <c r="E1045" s="115">
        <v>43923</v>
      </c>
      <c r="F1045" s="114">
        <v>202101</v>
      </c>
      <c r="G1045" s="112" t="s">
        <v>1091</v>
      </c>
      <c r="H1045" s="112" t="s">
        <v>1015</v>
      </c>
      <c r="I1045" s="112" t="s">
        <v>813</v>
      </c>
      <c r="J1045" s="112" t="s">
        <v>3645</v>
      </c>
      <c r="K1045" s="112" t="s">
        <v>3646</v>
      </c>
      <c r="L1045" s="116">
        <v>-13173.74</v>
      </c>
      <c r="M1045" s="116">
        <f t="shared" si="16"/>
        <v>-13.17374</v>
      </c>
    </row>
    <row r="1046" spans="1:13" hidden="1" x14ac:dyDescent="0.35">
      <c r="A1046" s="112" t="s">
        <v>3616</v>
      </c>
      <c r="B1046" s="112" t="s">
        <v>918</v>
      </c>
      <c r="C1046" s="112" t="s">
        <v>695</v>
      </c>
      <c r="D1046" s="113">
        <v>10348539</v>
      </c>
      <c r="E1046" s="115">
        <v>43951</v>
      </c>
      <c r="F1046" s="114">
        <v>202101</v>
      </c>
      <c r="G1046" s="112" t="s">
        <v>1091</v>
      </c>
      <c r="H1046" s="112" t="s">
        <v>1015</v>
      </c>
      <c r="I1046" s="112" t="s">
        <v>3648</v>
      </c>
      <c r="J1046" s="112" t="s">
        <v>3649</v>
      </c>
      <c r="K1046" s="112" t="s">
        <v>3650</v>
      </c>
      <c r="L1046" s="116">
        <v>1720</v>
      </c>
      <c r="M1046" s="116">
        <f t="shared" si="16"/>
        <v>1.72</v>
      </c>
    </row>
    <row r="1047" spans="1:13" hidden="1" x14ac:dyDescent="0.35">
      <c r="A1047" s="112" t="s">
        <v>3616</v>
      </c>
      <c r="B1047" s="112" t="s">
        <v>922</v>
      </c>
      <c r="C1047" s="112" t="s">
        <v>695</v>
      </c>
      <c r="D1047" s="113">
        <v>10348431</v>
      </c>
      <c r="E1047" s="115">
        <v>43945</v>
      </c>
      <c r="F1047" s="114">
        <v>202101</v>
      </c>
      <c r="G1047" s="112" t="s">
        <v>1091</v>
      </c>
      <c r="H1047" s="112" t="s">
        <v>1015</v>
      </c>
      <c r="I1047" s="112" t="s">
        <v>3654</v>
      </c>
      <c r="J1047" s="112" t="s">
        <v>3655</v>
      </c>
      <c r="K1047" s="112" t="s">
        <v>3656</v>
      </c>
      <c r="L1047" s="116">
        <v>1721</v>
      </c>
      <c r="M1047" s="116">
        <f t="shared" si="16"/>
        <v>1.7210000000000001</v>
      </c>
    </row>
    <row r="1048" spans="1:13" hidden="1" x14ac:dyDescent="0.35">
      <c r="A1048" s="112" t="s">
        <v>3616</v>
      </c>
      <c r="B1048" s="112" t="s">
        <v>919</v>
      </c>
      <c r="C1048" s="112" t="s">
        <v>695</v>
      </c>
      <c r="D1048" s="113">
        <v>10348420</v>
      </c>
      <c r="E1048" s="115">
        <v>43945</v>
      </c>
      <c r="F1048" s="114">
        <v>202101</v>
      </c>
      <c r="G1048" s="112" t="s">
        <v>1091</v>
      </c>
      <c r="H1048" s="112" t="s">
        <v>1015</v>
      </c>
      <c r="I1048" s="112" t="s">
        <v>2454</v>
      </c>
      <c r="J1048" s="112" t="s">
        <v>3632</v>
      </c>
      <c r="K1048" s="112" t="s">
        <v>3663</v>
      </c>
      <c r="L1048" s="116">
        <v>705.55</v>
      </c>
      <c r="M1048" s="116">
        <f t="shared" si="16"/>
        <v>0.7055499999999999</v>
      </c>
    </row>
    <row r="1049" spans="1:13" hidden="1" x14ac:dyDescent="0.35">
      <c r="A1049" s="112" t="s">
        <v>3616</v>
      </c>
      <c r="B1049" s="112" t="s">
        <v>919</v>
      </c>
      <c r="C1049" s="112" t="s">
        <v>695</v>
      </c>
      <c r="D1049" s="113">
        <v>10347981</v>
      </c>
      <c r="E1049" s="115">
        <v>43924</v>
      </c>
      <c r="F1049" s="114">
        <v>202101</v>
      </c>
      <c r="G1049" s="112" t="s">
        <v>1091</v>
      </c>
      <c r="H1049" s="112" t="s">
        <v>1015</v>
      </c>
      <c r="I1049" s="112" t="s">
        <v>2454</v>
      </c>
      <c r="J1049" s="112" t="s">
        <v>3628</v>
      </c>
      <c r="K1049" s="112" t="s">
        <v>3665</v>
      </c>
      <c r="L1049" s="116">
        <v>-1170</v>
      </c>
      <c r="M1049" s="116">
        <f t="shared" si="16"/>
        <v>-1.17</v>
      </c>
    </row>
    <row r="1050" spans="1:13" hidden="1" x14ac:dyDescent="0.35">
      <c r="A1050" s="112" t="s">
        <v>3616</v>
      </c>
      <c r="B1050" s="112" t="s">
        <v>921</v>
      </c>
      <c r="C1050" s="112" t="s">
        <v>695</v>
      </c>
      <c r="D1050" s="113">
        <v>10347981</v>
      </c>
      <c r="E1050" s="115">
        <v>43924</v>
      </c>
      <c r="F1050" s="114">
        <v>202101</v>
      </c>
      <c r="G1050" s="112" t="s">
        <v>1091</v>
      </c>
      <c r="H1050" s="112" t="s">
        <v>1015</v>
      </c>
      <c r="I1050" s="112" t="s">
        <v>3619</v>
      </c>
      <c r="J1050" s="112" t="s">
        <v>3620</v>
      </c>
      <c r="K1050" s="112" t="s">
        <v>3666</v>
      </c>
      <c r="L1050" s="116">
        <v>-39</v>
      </c>
      <c r="M1050" s="116">
        <f t="shared" si="16"/>
        <v>-3.9E-2</v>
      </c>
    </row>
    <row r="1051" spans="1:13" hidden="1" x14ac:dyDescent="0.35">
      <c r="A1051" s="112" t="s">
        <v>3616</v>
      </c>
      <c r="B1051" s="112" t="s">
        <v>921</v>
      </c>
      <c r="C1051" s="112" t="s">
        <v>695</v>
      </c>
      <c r="D1051" s="113">
        <v>10347981</v>
      </c>
      <c r="E1051" s="115">
        <v>43924</v>
      </c>
      <c r="F1051" s="114">
        <v>202101</v>
      </c>
      <c r="G1051" s="112" t="s">
        <v>1091</v>
      </c>
      <c r="H1051" s="112" t="s">
        <v>1015</v>
      </c>
      <c r="I1051" s="112" t="s">
        <v>3619</v>
      </c>
      <c r="J1051" s="112" t="s">
        <v>3620</v>
      </c>
      <c r="K1051" s="112" t="s">
        <v>3667</v>
      </c>
      <c r="L1051" s="116">
        <v>-57</v>
      </c>
      <c r="M1051" s="116">
        <f t="shared" si="16"/>
        <v>-5.7000000000000002E-2</v>
      </c>
    </row>
    <row r="1052" spans="1:13" hidden="1" x14ac:dyDescent="0.35">
      <c r="A1052" s="112" t="s">
        <v>3616</v>
      </c>
      <c r="B1052" s="112" t="s">
        <v>921</v>
      </c>
      <c r="C1052" s="112" t="s">
        <v>695</v>
      </c>
      <c r="D1052" s="113">
        <v>10347981</v>
      </c>
      <c r="E1052" s="115">
        <v>43924</v>
      </c>
      <c r="F1052" s="114">
        <v>202101</v>
      </c>
      <c r="G1052" s="112" t="s">
        <v>1091</v>
      </c>
      <c r="H1052" s="112" t="s">
        <v>1015</v>
      </c>
      <c r="I1052" s="112" t="s">
        <v>3619</v>
      </c>
      <c r="J1052" s="112" t="s">
        <v>3620</v>
      </c>
      <c r="K1052" s="112" t="s">
        <v>3668</v>
      </c>
      <c r="L1052" s="116">
        <v>-35.700000000000003</v>
      </c>
      <c r="M1052" s="116">
        <f t="shared" si="16"/>
        <v>-3.5700000000000003E-2</v>
      </c>
    </row>
    <row r="1053" spans="1:13" hidden="1" x14ac:dyDescent="0.35">
      <c r="A1053" s="112" t="s">
        <v>3616</v>
      </c>
      <c r="B1053" s="112" t="s">
        <v>921</v>
      </c>
      <c r="C1053" s="112" t="s">
        <v>695</v>
      </c>
      <c r="D1053" s="113">
        <v>10347981</v>
      </c>
      <c r="E1053" s="115">
        <v>43924</v>
      </c>
      <c r="F1053" s="114">
        <v>202101</v>
      </c>
      <c r="G1053" s="112" t="s">
        <v>1091</v>
      </c>
      <c r="H1053" s="112" t="s">
        <v>1015</v>
      </c>
      <c r="I1053" s="112" t="s">
        <v>3619</v>
      </c>
      <c r="J1053" s="112" t="s">
        <v>3620</v>
      </c>
      <c r="K1053" s="112" t="s">
        <v>3666</v>
      </c>
      <c r="L1053" s="116">
        <v>-2.46</v>
      </c>
      <c r="M1053" s="116">
        <f t="shared" si="16"/>
        <v>-2.4599999999999999E-3</v>
      </c>
    </row>
    <row r="1054" spans="1:13" hidden="1" x14ac:dyDescent="0.35">
      <c r="A1054" s="112" t="s">
        <v>3616</v>
      </c>
      <c r="B1054" s="112" t="s">
        <v>921</v>
      </c>
      <c r="C1054" s="112" t="s">
        <v>695</v>
      </c>
      <c r="D1054" s="113">
        <v>10347981</v>
      </c>
      <c r="E1054" s="115">
        <v>43924</v>
      </c>
      <c r="F1054" s="114">
        <v>202101</v>
      </c>
      <c r="G1054" s="112" t="s">
        <v>1091</v>
      </c>
      <c r="H1054" s="112" t="s">
        <v>1015</v>
      </c>
      <c r="I1054" s="112" t="s">
        <v>3619</v>
      </c>
      <c r="J1054" s="112" t="s">
        <v>3620</v>
      </c>
      <c r="K1054" s="112" t="s">
        <v>3669</v>
      </c>
      <c r="L1054" s="116">
        <v>-59.15</v>
      </c>
      <c r="M1054" s="116">
        <f t="shared" si="16"/>
        <v>-5.9150000000000001E-2</v>
      </c>
    </row>
    <row r="1055" spans="1:13" hidden="1" x14ac:dyDescent="0.35">
      <c r="A1055" s="112" t="s">
        <v>3616</v>
      </c>
      <c r="B1055" s="112" t="s">
        <v>918</v>
      </c>
      <c r="C1055" s="112" t="s">
        <v>695</v>
      </c>
      <c r="D1055" s="113">
        <v>10348504</v>
      </c>
      <c r="E1055" s="115">
        <v>43949</v>
      </c>
      <c r="F1055" s="114">
        <v>202101</v>
      </c>
      <c r="G1055" s="112" t="s">
        <v>1091</v>
      </c>
      <c r="H1055" s="112" t="s">
        <v>1015</v>
      </c>
      <c r="I1055" s="112" t="s">
        <v>3670</v>
      </c>
      <c r="J1055" s="112" t="s">
        <v>3649</v>
      </c>
      <c r="K1055" s="112" t="s">
        <v>3671</v>
      </c>
      <c r="L1055" s="116">
        <v>-1500</v>
      </c>
      <c r="M1055" s="116">
        <f t="shared" si="16"/>
        <v>-1.5</v>
      </c>
    </row>
    <row r="1056" spans="1:13" hidden="1" x14ac:dyDescent="0.35">
      <c r="A1056" s="112" t="s">
        <v>3616</v>
      </c>
      <c r="B1056" s="112" t="s">
        <v>921</v>
      </c>
      <c r="C1056" s="112" t="s">
        <v>695</v>
      </c>
      <c r="D1056" s="113">
        <v>10347981</v>
      </c>
      <c r="E1056" s="115">
        <v>43924</v>
      </c>
      <c r="F1056" s="114">
        <v>202101</v>
      </c>
      <c r="G1056" s="112" t="s">
        <v>1091</v>
      </c>
      <c r="H1056" s="112" t="s">
        <v>1015</v>
      </c>
      <c r="I1056" s="112" t="s">
        <v>3619</v>
      </c>
      <c r="J1056" s="112" t="s">
        <v>3620</v>
      </c>
      <c r="K1056" s="112" t="s">
        <v>3666</v>
      </c>
      <c r="L1056" s="116">
        <v>-82.8</v>
      </c>
      <c r="M1056" s="116">
        <f t="shared" si="16"/>
        <v>-8.2799999999999999E-2</v>
      </c>
    </row>
    <row r="1057" spans="1:13" hidden="1" x14ac:dyDescent="0.35">
      <c r="A1057" s="112" t="s">
        <v>3616</v>
      </c>
      <c r="B1057" s="112" t="s">
        <v>923</v>
      </c>
      <c r="C1057" s="112" t="s">
        <v>695</v>
      </c>
      <c r="D1057" s="113">
        <v>10348504</v>
      </c>
      <c r="E1057" s="115">
        <v>43949</v>
      </c>
      <c r="F1057" s="114">
        <v>202101</v>
      </c>
      <c r="G1057" s="112" t="s">
        <v>1091</v>
      </c>
      <c r="H1057" s="112" t="s">
        <v>1015</v>
      </c>
      <c r="I1057" s="112" t="s">
        <v>3672</v>
      </c>
      <c r="J1057" s="112" t="s">
        <v>3673</v>
      </c>
      <c r="K1057" s="112" t="s">
        <v>3671</v>
      </c>
      <c r="L1057" s="116">
        <v>1500</v>
      </c>
      <c r="M1057" s="116">
        <f t="shared" si="16"/>
        <v>1.5</v>
      </c>
    </row>
    <row r="1058" spans="1:13" hidden="1" x14ac:dyDescent="0.35">
      <c r="A1058" s="112" t="s">
        <v>3616</v>
      </c>
      <c r="B1058" s="112" t="s">
        <v>919</v>
      </c>
      <c r="C1058" s="112" t="s">
        <v>695</v>
      </c>
      <c r="D1058" s="113">
        <v>10347981</v>
      </c>
      <c r="E1058" s="115">
        <v>43924</v>
      </c>
      <c r="F1058" s="114">
        <v>202101</v>
      </c>
      <c r="G1058" s="112" t="s">
        <v>1091</v>
      </c>
      <c r="H1058" s="112" t="s">
        <v>1015</v>
      </c>
      <c r="I1058" s="112" t="s">
        <v>3619</v>
      </c>
      <c r="J1058" s="112" t="s">
        <v>3634</v>
      </c>
      <c r="K1058" s="112" t="s">
        <v>3674</v>
      </c>
      <c r="L1058" s="116">
        <v>-23.28</v>
      </c>
      <c r="M1058" s="116">
        <f t="shared" si="16"/>
        <v>-2.3280000000000002E-2</v>
      </c>
    </row>
    <row r="1059" spans="1:13" hidden="1" x14ac:dyDescent="0.35">
      <c r="A1059" s="112" t="s">
        <v>3616</v>
      </c>
      <c r="B1059" s="112" t="s">
        <v>923</v>
      </c>
      <c r="C1059" s="112" t="s">
        <v>695</v>
      </c>
      <c r="D1059" s="113">
        <v>10348478</v>
      </c>
      <c r="E1059" s="115">
        <v>43949</v>
      </c>
      <c r="F1059" s="114">
        <v>202101</v>
      </c>
      <c r="G1059" s="112" t="s">
        <v>1091</v>
      </c>
      <c r="H1059" s="112" t="s">
        <v>1015</v>
      </c>
      <c r="I1059" s="112" t="s">
        <v>2129</v>
      </c>
      <c r="J1059" s="112" t="s">
        <v>3673</v>
      </c>
      <c r="K1059" s="112" t="s">
        <v>3675</v>
      </c>
      <c r="L1059" s="116">
        <v>4166.67</v>
      </c>
      <c r="M1059" s="116">
        <f t="shared" si="16"/>
        <v>4.1666699999999999</v>
      </c>
    </row>
    <row r="1060" spans="1:13" hidden="1" x14ac:dyDescent="0.35">
      <c r="A1060" s="112" t="s">
        <v>3616</v>
      </c>
      <c r="B1060" s="112" t="s">
        <v>919</v>
      </c>
      <c r="C1060" s="112" t="s">
        <v>695</v>
      </c>
      <c r="D1060" s="113">
        <v>10347981</v>
      </c>
      <c r="E1060" s="115">
        <v>43924</v>
      </c>
      <c r="F1060" s="114">
        <v>202101</v>
      </c>
      <c r="G1060" s="112" t="s">
        <v>1091</v>
      </c>
      <c r="H1060" s="112" t="s">
        <v>1015</v>
      </c>
      <c r="I1060" s="112" t="s">
        <v>3619</v>
      </c>
      <c r="J1060" s="112" t="s">
        <v>3624</v>
      </c>
      <c r="K1060" s="112" t="s">
        <v>3676</v>
      </c>
      <c r="L1060" s="116">
        <v>-1.56</v>
      </c>
      <c r="M1060" s="116">
        <f t="shared" si="16"/>
        <v>-1.56E-3</v>
      </c>
    </row>
    <row r="1061" spans="1:13" hidden="1" x14ac:dyDescent="0.35">
      <c r="A1061" s="112" t="s">
        <v>3616</v>
      </c>
      <c r="B1061" s="112" t="s">
        <v>921</v>
      </c>
      <c r="C1061" s="112" t="s">
        <v>695</v>
      </c>
      <c r="D1061" s="113">
        <v>10348090</v>
      </c>
      <c r="E1061" s="115">
        <v>43929</v>
      </c>
      <c r="F1061" s="114">
        <v>202101</v>
      </c>
      <c r="G1061" s="112" t="s">
        <v>1091</v>
      </c>
      <c r="H1061" s="112" t="s">
        <v>1015</v>
      </c>
      <c r="I1061" s="112" t="s">
        <v>3677</v>
      </c>
      <c r="J1061" s="112" t="s">
        <v>3620</v>
      </c>
      <c r="K1061" s="112" t="s">
        <v>3678</v>
      </c>
      <c r="L1061" s="116">
        <v>-700</v>
      </c>
      <c r="M1061" s="116">
        <f t="shared" si="16"/>
        <v>-0.7</v>
      </c>
    </row>
    <row r="1062" spans="1:13" hidden="1" x14ac:dyDescent="0.35">
      <c r="A1062" s="112" t="s">
        <v>3616</v>
      </c>
      <c r="B1062" s="112" t="s">
        <v>921</v>
      </c>
      <c r="C1062" s="112" t="s">
        <v>695</v>
      </c>
      <c r="D1062" s="113">
        <v>10348090</v>
      </c>
      <c r="E1062" s="115">
        <v>43929</v>
      </c>
      <c r="F1062" s="114">
        <v>202101</v>
      </c>
      <c r="G1062" s="112" t="s">
        <v>1091</v>
      </c>
      <c r="H1062" s="112" t="s">
        <v>1015</v>
      </c>
      <c r="I1062" s="112" t="s">
        <v>757</v>
      </c>
      <c r="J1062" s="112" t="s">
        <v>3622</v>
      </c>
      <c r="K1062" s="112" t="s">
        <v>3679</v>
      </c>
      <c r="L1062" s="116">
        <v>-2200</v>
      </c>
      <c r="M1062" s="116">
        <f t="shared" si="16"/>
        <v>-2.2000000000000002</v>
      </c>
    </row>
    <row r="1063" spans="1:13" hidden="1" x14ac:dyDescent="0.35">
      <c r="A1063" s="112" t="s">
        <v>3616</v>
      </c>
      <c r="B1063" s="112" t="s">
        <v>921</v>
      </c>
      <c r="C1063" s="112" t="s">
        <v>695</v>
      </c>
      <c r="D1063" s="113">
        <v>10348090</v>
      </c>
      <c r="E1063" s="115">
        <v>43929</v>
      </c>
      <c r="F1063" s="114">
        <v>202101</v>
      </c>
      <c r="G1063" s="112" t="s">
        <v>1091</v>
      </c>
      <c r="H1063" s="112" t="s">
        <v>1015</v>
      </c>
      <c r="I1063" s="112" t="s">
        <v>751</v>
      </c>
      <c r="J1063" s="112" t="s">
        <v>3622</v>
      </c>
      <c r="K1063" s="112" t="s">
        <v>3680</v>
      </c>
      <c r="L1063" s="116">
        <v>-1000</v>
      </c>
      <c r="M1063" s="116">
        <f t="shared" si="16"/>
        <v>-1</v>
      </c>
    </row>
    <row r="1064" spans="1:13" hidden="1" x14ac:dyDescent="0.35">
      <c r="A1064" s="112" t="s">
        <v>3616</v>
      </c>
      <c r="B1064" s="112" t="s">
        <v>921</v>
      </c>
      <c r="C1064" s="112" t="s">
        <v>695</v>
      </c>
      <c r="D1064" s="113">
        <v>10348090</v>
      </c>
      <c r="E1064" s="115">
        <v>43929</v>
      </c>
      <c r="F1064" s="114">
        <v>202101</v>
      </c>
      <c r="G1064" s="112" t="s">
        <v>1091</v>
      </c>
      <c r="H1064" s="112" t="s">
        <v>1015</v>
      </c>
      <c r="I1064" s="112" t="s">
        <v>751</v>
      </c>
      <c r="J1064" s="112" t="s">
        <v>3651</v>
      </c>
      <c r="K1064" s="112" t="s">
        <v>3681</v>
      </c>
      <c r="L1064" s="116">
        <v>-3800</v>
      </c>
      <c r="M1064" s="116">
        <f t="shared" si="16"/>
        <v>-3.8</v>
      </c>
    </row>
    <row r="1065" spans="1:13" hidden="1" x14ac:dyDescent="0.35">
      <c r="A1065" s="112" t="s">
        <v>3616</v>
      </c>
      <c r="B1065" s="112" t="s">
        <v>921</v>
      </c>
      <c r="C1065" s="112" t="s">
        <v>695</v>
      </c>
      <c r="D1065" s="113">
        <v>10347981</v>
      </c>
      <c r="E1065" s="115">
        <v>43924</v>
      </c>
      <c r="F1065" s="114">
        <v>202101</v>
      </c>
      <c r="G1065" s="112" t="s">
        <v>1091</v>
      </c>
      <c r="H1065" s="112" t="s">
        <v>1015</v>
      </c>
      <c r="I1065" s="112" t="s">
        <v>3619</v>
      </c>
      <c r="J1065" s="112" t="s">
        <v>3620</v>
      </c>
      <c r="K1065" s="112" t="s">
        <v>3682</v>
      </c>
      <c r="L1065" s="116">
        <v>-48.89</v>
      </c>
      <c r="M1065" s="116">
        <f t="shared" si="16"/>
        <v>-4.8890000000000003E-2</v>
      </c>
    </row>
    <row r="1066" spans="1:13" hidden="1" x14ac:dyDescent="0.35">
      <c r="A1066" s="112" t="s">
        <v>3616</v>
      </c>
      <c r="B1066" s="112" t="s">
        <v>921</v>
      </c>
      <c r="C1066" s="112" t="s">
        <v>695</v>
      </c>
      <c r="D1066" s="113">
        <v>10348090</v>
      </c>
      <c r="E1066" s="115">
        <v>43929</v>
      </c>
      <c r="F1066" s="114">
        <v>202101</v>
      </c>
      <c r="G1066" s="112" t="s">
        <v>1091</v>
      </c>
      <c r="H1066" s="112" t="s">
        <v>1015</v>
      </c>
      <c r="I1066" s="112" t="s">
        <v>757</v>
      </c>
      <c r="J1066" s="112" t="s">
        <v>3651</v>
      </c>
      <c r="K1066" s="112" t="s">
        <v>3683</v>
      </c>
      <c r="L1066" s="116">
        <v>-2800</v>
      </c>
      <c r="M1066" s="116">
        <f t="shared" si="16"/>
        <v>-2.8</v>
      </c>
    </row>
    <row r="1067" spans="1:13" hidden="1" x14ac:dyDescent="0.35">
      <c r="A1067" s="112" t="s">
        <v>3616</v>
      </c>
      <c r="B1067" s="112" t="s">
        <v>921</v>
      </c>
      <c r="C1067" s="112" t="s">
        <v>695</v>
      </c>
      <c r="D1067" s="113">
        <v>10348090</v>
      </c>
      <c r="E1067" s="115">
        <v>43929</v>
      </c>
      <c r="F1067" s="114">
        <v>202101</v>
      </c>
      <c r="G1067" s="112" t="s">
        <v>1091</v>
      </c>
      <c r="H1067" s="112" t="s">
        <v>1015</v>
      </c>
      <c r="I1067" s="112" t="s">
        <v>749</v>
      </c>
      <c r="J1067" s="112" t="s">
        <v>3622</v>
      </c>
      <c r="K1067" s="112" t="s">
        <v>3684</v>
      </c>
      <c r="L1067" s="116">
        <v>-4200</v>
      </c>
      <c r="M1067" s="116">
        <f t="shared" si="16"/>
        <v>-4.2</v>
      </c>
    </row>
    <row r="1068" spans="1:13" hidden="1" x14ac:dyDescent="0.35">
      <c r="A1068" s="112" t="s">
        <v>3616</v>
      </c>
      <c r="B1068" s="112" t="s">
        <v>921</v>
      </c>
      <c r="C1068" s="112" t="s">
        <v>695</v>
      </c>
      <c r="D1068" s="113">
        <v>10348090</v>
      </c>
      <c r="E1068" s="115">
        <v>43929</v>
      </c>
      <c r="F1068" s="114">
        <v>202101</v>
      </c>
      <c r="G1068" s="112" t="s">
        <v>1091</v>
      </c>
      <c r="H1068" s="112" t="s">
        <v>1015</v>
      </c>
      <c r="I1068" s="112" t="s">
        <v>749</v>
      </c>
      <c r="J1068" s="112" t="s">
        <v>3651</v>
      </c>
      <c r="K1068" s="112" t="s">
        <v>3685</v>
      </c>
      <c r="L1068" s="116">
        <v>-5100</v>
      </c>
      <c r="M1068" s="116">
        <f t="shared" si="16"/>
        <v>-5.0999999999999996</v>
      </c>
    </row>
    <row r="1069" spans="1:13" hidden="1" x14ac:dyDescent="0.35">
      <c r="A1069" s="112" t="s">
        <v>3616</v>
      </c>
      <c r="B1069" s="112" t="s">
        <v>921</v>
      </c>
      <c r="C1069" s="112" t="s">
        <v>695</v>
      </c>
      <c r="D1069" s="113">
        <v>10347981</v>
      </c>
      <c r="E1069" s="115">
        <v>43924</v>
      </c>
      <c r="F1069" s="114">
        <v>202101</v>
      </c>
      <c r="G1069" s="112" t="s">
        <v>1091</v>
      </c>
      <c r="H1069" s="112" t="s">
        <v>1015</v>
      </c>
      <c r="I1069" s="112" t="s">
        <v>3686</v>
      </c>
      <c r="J1069" s="112" t="s">
        <v>3620</v>
      </c>
      <c r="K1069" s="112" t="s">
        <v>3687</v>
      </c>
      <c r="L1069" s="116">
        <v>-43.5</v>
      </c>
      <c r="M1069" s="116">
        <f t="shared" si="16"/>
        <v>-4.3499999999999997E-2</v>
      </c>
    </row>
    <row r="1070" spans="1:13" hidden="1" x14ac:dyDescent="0.35">
      <c r="A1070" s="112" t="s">
        <v>3616</v>
      </c>
      <c r="B1070" s="112" t="s">
        <v>923</v>
      </c>
      <c r="C1070" s="112" t="s">
        <v>695</v>
      </c>
      <c r="D1070" s="113">
        <v>10348478</v>
      </c>
      <c r="E1070" s="115">
        <v>43949</v>
      </c>
      <c r="F1070" s="114">
        <v>202101</v>
      </c>
      <c r="G1070" s="112" t="s">
        <v>1091</v>
      </c>
      <c r="H1070" s="112" t="s">
        <v>1015</v>
      </c>
      <c r="I1070" s="112" t="s">
        <v>761</v>
      </c>
      <c r="J1070" s="112" t="s">
        <v>3673</v>
      </c>
      <c r="K1070" s="112" t="s">
        <v>3689</v>
      </c>
      <c r="L1070" s="116">
        <v>-5000</v>
      </c>
      <c r="M1070" s="116">
        <f t="shared" si="16"/>
        <v>-5</v>
      </c>
    </row>
    <row r="1071" spans="1:13" hidden="1" x14ac:dyDescent="0.35">
      <c r="A1071" s="112" t="s">
        <v>3616</v>
      </c>
      <c r="B1071" s="112" t="s">
        <v>923</v>
      </c>
      <c r="C1071" s="112" t="s">
        <v>695</v>
      </c>
      <c r="D1071" s="113">
        <v>10348478</v>
      </c>
      <c r="E1071" s="115">
        <v>43949</v>
      </c>
      <c r="F1071" s="114">
        <v>202101</v>
      </c>
      <c r="G1071" s="112" t="s">
        <v>1091</v>
      </c>
      <c r="H1071" s="112" t="s">
        <v>1015</v>
      </c>
      <c r="I1071" s="112" t="s">
        <v>761</v>
      </c>
      <c r="J1071" s="112" t="s">
        <v>3673</v>
      </c>
      <c r="K1071" s="112" t="s">
        <v>3675</v>
      </c>
      <c r="L1071" s="116">
        <v>5000</v>
      </c>
      <c r="M1071" s="116">
        <f t="shared" si="16"/>
        <v>5</v>
      </c>
    </row>
    <row r="1072" spans="1:13" hidden="1" x14ac:dyDescent="0.35">
      <c r="A1072" s="112" t="s">
        <v>3616</v>
      </c>
      <c r="B1072" s="112" t="s">
        <v>923</v>
      </c>
      <c r="C1072" s="112" t="s">
        <v>695</v>
      </c>
      <c r="D1072" s="113">
        <v>10348478</v>
      </c>
      <c r="E1072" s="115">
        <v>43949</v>
      </c>
      <c r="F1072" s="114">
        <v>202101</v>
      </c>
      <c r="G1072" s="112" t="s">
        <v>1091</v>
      </c>
      <c r="H1072" s="112" t="s">
        <v>1015</v>
      </c>
      <c r="I1072" s="112" t="s">
        <v>2129</v>
      </c>
      <c r="J1072" s="112" t="s">
        <v>3673</v>
      </c>
      <c r="K1072" s="112" t="s">
        <v>3689</v>
      </c>
      <c r="L1072" s="116">
        <v>-8400</v>
      </c>
      <c r="M1072" s="116">
        <f t="shared" si="16"/>
        <v>-8.4</v>
      </c>
    </row>
    <row r="1073" spans="1:13" hidden="1" x14ac:dyDescent="0.35">
      <c r="A1073" s="112" t="s">
        <v>3616</v>
      </c>
      <c r="B1073" s="112" t="s">
        <v>923</v>
      </c>
      <c r="C1073" s="112" t="s">
        <v>695</v>
      </c>
      <c r="D1073" s="113">
        <v>10348478</v>
      </c>
      <c r="E1073" s="115">
        <v>43949</v>
      </c>
      <c r="F1073" s="114">
        <v>202101</v>
      </c>
      <c r="G1073" s="112" t="s">
        <v>1091</v>
      </c>
      <c r="H1073" s="112" t="s">
        <v>1015</v>
      </c>
      <c r="I1073" s="112" t="s">
        <v>2129</v>
      </c>
      <c r="J1073" s="112" t="s">
        <v>3673</v>
      </c>
      <c r="K1073" s="112" t="s">
        <v>3689</v>
      </c>
      <c r="L1073" s="116">
        <v>-4166.67</v>
      </c>
      <c r="M1073" s="116">
        <f t="shared" si="16"/>
        <v>-4.1666699999999999</v>
      </c>
    </row>
    <row r="1074" spans="1:13" hidden="1" x14ac:dyDescent="0.35">
      <c r="A1074" s="112" t="s">
        <v>3616</v>
      </c>
      <c r="B1074" s="112" t="s">
        <v>923</v>
      </c>
      <c r="C1074" s="112" t="s">
        <v>695</v>
      </c>
      <c r="D1074" s="113">
        <v>10348478</v>
      </c>
      <c r="E1074" s="115">
        <v>43949</v>
      </c>
      <c r="F1074" s="114">
        <v>202101</v>
      </c>
      <c r="G1074" s="112" t="s">
        <v>1091</v>
      </c>
      <c r="H1074" s="112" t="s">
        <v>1015</v>
      </c>
      <c r="I1074" s="112" t="s">
        <v>2129</v>
      </c>
      <c r="J1074" s="112" t="s">
        <v>3673</v>
      </c>
      <c r="K1074" s="112" t="s">
        <v>3690</v>
      </c>
      <c r="L1074" s="116">
        <v>8400</v>
      </c>
      <c r="M1074" s="116">
        <f t="shared" si="16"/>
        <v>8.4</v>
      </c>
    </row>
    <row r="1075" spans="1:13" hidden="1" x14ac:dyDescent="0.35">
      <c r="A1075" s="112" t="s">
        <v>3616</v>
      </c>
      <c r="B1075" s="112" t="s">
        <v>921</v>
      </c>
      <c r="C1075" s="112" t="s">
        <v>695</v>
      </c>
      <c r="D1075" s="113">
        <v>10347981</v>
      </c>
      <c r="E1075" s="115">
        <v>43924</v>
      </c>
      <c r="F1075" s="114">
        <v>202101</v>
      </c>
      <c r="G1075" s="112" t="s">
        <v>1091</v>
      </c>
      <c r="H1075" s="112" t="s">
        <v>1015</v>
      </c>
      <c r="I1075" s="112" t="s">
        <v>3636</v>
      </c>
      <c r="J1075" s="112" t="s">
        <v>3620</v>
      </c>
      <c r="K1075" s="112" t="s">
        <v>3693</v>
      </c>
      <c r="L1075" s="116">
        <v>-480</v>
      </c>
      <c r="M1075" s="116">
        <f t="shared" si="16"/>
        <v>-0.48</v>
      </c>
    </row>
    <row r="1076" spans="1:13" hidden="1" x14ac:dyDescent="0.35">
      <c r="A1076" s="112" t="s">
        <v>3616</v>
      </c>
      <c r="B1076" s="112" t="s">
        <v>918</v>
      </c>
      <c r="C1076" s="112" t="s">
        <v>695</v>
      </c>
      <c r="D1076" s="113">
        <v>10348494</v>
      </c>
      <c r="E1076" s="115">
        <v>43949</v>
      </c>
      <c r="F1076" s="114">
        <v>202101</v>
      </c>
      <c r="G1076" s="112" t="s">
        <v>1091</v>
      </c>
      <c r="H1076" s="112" t="s">
        <v>1015</v>
      </c>
      <c r="I1076" s="112" t="s">
        <v>1868</v>
      </c>
      <c r="J1076" s="112" t="s">
        <v>3649</v>
      </c>
      <c r="K1076" s="112" t="s">
        <v>3694</v>
      </c>
      <c r="L1076" s="116">
        <v>1825.52</v>
      </c>
      <c r="M1076" s="116">
        <f t="shared" si="16"/>
        <v>1.82552</v>
      </c>
    </row>
    <row r="1077" spans="1:13" hidden="1" x14ac:dyDescent="0.35">
      <c r="A1077" s="112" t="s">
        <v>3616</v>
      </c>
      <c r="B1077" s="112" t="s">
        <v>918</v>
      </c>
      <c r="C1077" s="112" t="s">
        <v>695</v>
      </c>
      <c r="D1077" s="113">
        <v>10348494</v>
      </c>
      <c r="E1077" s="115">
        <v>43949</v>
      </c>
      <c r="F1077" s="114">
        <v>202101</v>
      </c>
      <c r="G1077" s="112" t="s">
        <v>1091</v>
      </c>
      <c r="H1077" s="112" t="s">
        <v>1015</v>
      </c>
      <c r="I1077" s="112" t="s">
        <v>1868</v>
      </c>
      <c r="J1077" s="112" t="s">
        <v>3695</v>
      </c>
      <c r="K1077" s="112" t="s">
        <v>3696</v>
      </c>
      <c r="L1077" s="116">
        <v>7362.74</v>
      </c>
      <c r="M1077" s="116">
        <f t="shared" si="16"/>
        <v>7.3627399999999996</v>
      </c>
    </row>
    <row r="1078" spans="1:13" hidden="1" x14ac:dyDescent="0.35">
      <c r="A1078" s="112" t="s">
        <v>3616</v>
      </c>
      <c r="B1078" s="112" t="s">
        <v>918</v>
      </c>
      <c r="C1078" s="112" t="s">
        <v>695</v>
      </c>
      <c r="D1078" s="113">
        <v>10348494</v>
      </c>
      <c r="E1078" s="115">
        <v>43949</v>
      </c>
      <c r="F1078" s="114">
        <v>202101</v>
      </c>
      <c r="G1078" s="112" t="s">
        <v>1091</v>
      </c>
      <c r="H1078" s="112" t="s">
        <v>1015</v>
      </c>
      <c r="I1078" s="112" t="s">
        <v>1868</v>
      </c>
      <c r="J1078" s="112" t="s">
        <v>3695</v>
      </c>
      <c r="K1078" s="112" t="s">
        <v>3697</v>
      </c>
      <c r="L1078" s="116">
        <v>850</v>
      </c>
      <c r="M1078" s="116">
        <f t="shared" si="16"/>
        <v>0.85</v>
      </c>
    </row>
    <row r="1079" spans="1:13" hidden="1" x14ac:dyDescent="0.35">
      <c r="A1079" s="112" t="s">
        <v>3616</v>
      </c>
      <c r="B1079" s="112" t="s">
        <v>919</v>
      </c>
      <c r="C1079" s="112" t="s">
        <v>695</v>
      </c>
      <c r="D1079" s="113">
        <v>10347981</v>
      </c>
      <c r="E1079" s="115">
        <v>43924</v>
      </c>
      <c r="F1079" s="114">
        <v>202101</v>
      </c>
      <c r="G1079" s="112" t="s">
        <v>1091</v>
      </c>
      <c r="H1079" s="112" t="s">
        <v>1015</v>
      </c>
      <c r="I1079" s="112" t="s">
        <v>3619</v>
      </c>
      <c r="J1079" s="112" t="s">
        <v>3617</v>
      </c>
      <c r="K1079" s="112" t="s">
        <v>3698</v>
      </c>
      <c r="L1079" s="116">
        <v>-14.61</v>
      </c>
      <c r="M1079" s="116">
        <f t="shared" si="16"/>
        <v>-1.461E-2</v>
      </c>
    </row>
    <row r="1080" spans="1:13" hidden="1" x14ac:dyDescent="0.35">
      <c r="A1080" s="112" t="s">
        <v>3616</v>
      </c>
      <c r="B1080" s="112" t="s">
        <v>919</v>
      </c>
      <c r="C1080" s="112" t="s">
        <v>695</v>
      </c>
      <c r="D1080" s="113">
        <v>10347981</v>
      </c>
      <c r="E1080" s="115">
        <v>43924</v>
      </c>
      <c r="F1080" s="114">
        <v>202101</v>
      </c>
      <c r="G1080" s="112" t="s">
        <v>1091</v>
      </c>
      <c r="H1080" s="112" t="s">
        <v>1015</v>
      </c>
      <c r="I1080" s="112" t="s">
        <v>2454</v>
      </c>
      <c r="J1080" s="112" t="s">
        <v>3628</v>
      </c>
      <c r="K1080" s="112" t="s">
        <v>3699</v>
      </c>
      <c r="L1080" s="116">
        <v>-1240</v>
      </c>
      <c r="M1080" s="116">
        <f t="shared" si="16"/>
        <v>-1.24</v>
      </c>
    </row>
    <row r="1081" spans="1:13" hidden="1" x14ac:dyDescent="0.35">
      <c r="A1081" s="112" t="s">
        <v>3616</v>
      </c>
      <c r="B1081" s="112" t="s">
        <v>918</v>
      </c>
      <c r="C1081" s="112" t="s">
        <v>695</v>
      </c>
      <c r="D1081" s="113">
        <v>10348494</v>
      </c>
      <c r="E1081" s="115">
        <v>43949</v>
      </c>
      <c r="F1081" s="114">
        <v>202101</v>
      </c>
      <c r="G1081" s="112" t="s">
        <v>1091</v>
      </c>
      <c r="H1081" s="112" t="s">
        <v>1015</v>
      </c>
      <c r="I1081" s="112" t="s">
        <v>761</v>
      </c>
      <c r="J1081" s="112" t="s">
        <v>3695</v>
      </c>
      <c r="K1081" s="112" t="s">
        <v>3700</v>
      </c>
      <c r="L1081" s="116">
        <v>500</v>
      </c>
      <c r="M1081" s="116">
        <f t="shared" si="16"/>
        <v>0.5</v>
      </c>
    </row>
    <row r="1082" spans="1:13" hidden="1" x14ac:dyDescent="0.35">
      <c r="A1082" s="112" t="s">
        <v>3616</v>
      </c>
      <c r="B1082" s="112" t="s">
        <v>919</v>
      </c>
      <c r="C1082" s="112" t="s">
        <v>695</v>
      </c>
      <c r="D1082" s="113">
        <v>10347981</v>
      </c>
      <c r="E1082" s="115">
        <v>43924</v>
      </c>
      <c r="F1082" s="114">
        <v>202101</v>
      </c>
      <c r="G1082" s="112" t="s">
        <v>1091</v>
      </c>
      <c r="H1082" s="112" t="s">
        <v>1015</v>
      </c>
      <c r="I1082" s="112" t="s">
        <v>3619</v>
      </c>
      <c r="J1082" s="112" t="s">
        <v>3632</v>
      </c>
      <c r="K1082" s="112" t="s">
        <v>3701</v>
      </c>
      <c r="L1082" s="116">
        <v>-36.51</v>
      </c>
      <c r="M1082" s="116">
        <f t="shared" si="16"/>
        <v>-3.6510000000000001E-2</v>
      </c>
    </row>
    <row r="1083" spans="1:13" hidden="1" x14ac:dyDescent="0.35">
      <c r="A1083" s="112" t="s">
        <v>3616</v>
      </c>
      <c r="B1083" s="112" t="s">
        <v>921</v>
      </c>
      <c r="C1083" s="112" t="s">
        <v>695</v>
      </c>
      <c r="D1083" s="113">
        <v>10347981</v>
      </c>
      <c r="E1083" s="115">
        <v>43924</v>
      </c>
      <c r="F1083" s="114">
        <v>202101</v>
      </c>
      <c r="G1083" s="112" t="s">
        <v>1091</v>
      </c>
      <c r="H1083" s="112" t="s">
        <v>1015</v>
      </c>
      <c r="I1083" s="112" t="s">
        <v>3619</v>
      </c>
      <c r="J1083" s="112" t="s">
        <v>3620</v>
      </c>
      <c r="K1083" s="112" t="s">
        <v>3702</v>
      </c>
      <c r="L1083" s="116">
        <v>-3.28</v>
      </c>
      <c r="M1083" s="116">
        <f t="shared" si="16"/>
        <v>-3.2799999999999999E-3</v>
      </c>
    </row>
    <row r="1084" spans="1:13" hidden="1" x14ac:dyDescent="0.35">
      <c r="A1084" s="112" t="s">
        <v>3616</v>
      </c>
      <c r="B1084" s="112" t="s">
        <v>919</v>
      </c>
      <c r="C1084" s="112" t="s">
        <v>695</v>
      </c>
      <c r="D1084" s="113">
        <v>10347981</v>
      </c>
      <c r="E1084" s="115">
        <v>43924</v>
      </c>
      <c r="F1084" s="114">
        <v>202101</v>
      </c>
      <c r="G1084" s="112" t="s">
        <v>1091</v>
      </c>
      <c r="H1084" s="112" t="s">
        <v>1015</v>
      </c>
      <c r="I1084" s="112" t="s">
        <v>3619</v>
      </c>
      <c r="J1084" s="112" t="s">
        <v>3624</v>
      </c>
      <c r="K1084" s="112" t="s">
        <v>3703</v>
      </c>
      <c r="L1084" s="116">
        <v>-10.84</v>
      </c>
      <c r="M1084" s="116">
        <f t="shared" si="16"/>
        <v>-1.0840000000000001E-2</v>
      </c>
    </row>
    <row r="1085" spans="1:13" hidden="1" x14ac:dyDescent="0.35">
      <c r="A1085" s="112" t="s">
        <v>3616</v>
      </c>
      <c r="B1085" s="112" t="s">
        <v>921</v>
      </c>
      <c r="C1085" s="112" t="s">
        <v>695</v>
      </c>
      <c r="D1085" s="113">
        <v>10347981</v>
      </c>
      <c r="E1085" s="115">
        <v>43924</v>
      </c>
      <c r="F1085" s="114">
        <v>202101</v>
      </c>
      <c r="G1085" s="112" t="s">
        <v>1091</v>
      </c>
      <c r="H1085" s="112" t="s">
        <v>1015</v>
      </c>
      <c r="I1085" s="112" t="s">
        <v>3619</v>
      </c>
      <c r="J1085" s="112" t="s">
        <v>3620</v>
      </c>
      <c r="K1085" s="112" t="s">
        <v>3704</v>
      </c>
      <c r="L1085" s="116">
        <v>-55</v>
      </c>
      <c r="M1085" s="116">
        <f t="shared" si="16"/>
        <v>-5.5E-2</v>
      </c>
    </row>
    <row r="1086" spans="1:13" hidden="1" x14ac:dyDescent="0.35">
      <c r="A1086" s="112" t="s">
        <v>3616</v>
      </c>
      <c r="B1086" s="112" t="s">
        <v>918</v>
      </c>
      <c r="C1086" s="112" t="s">
        <v>695</v>
      </c>
      <c r="D1086" s="113">
        <v>10348519</v>
      </c>
      <c r="E1086" s="115">
        <v>43950</v>
      </c>
      <c r="F1086" s="114">
        <v>202101</v>
      </c>
      <c r="G1086" s="112" t="s">
        <v>1091</v>
      </c>
      <c r="H1086" s="112" t="s">
        <v>1015</v>
      </c>
      <c r="I1086" s="112" t="s">
        <v>1868</v>
      </c>
      <c r="J1086" s="112" t="s">
        <v>3649</v>
      </c>
      <c r="K1086" s="112" t="s">
        <v>3705</v>
      </c>
      <c r="L1086" s="116">
        <v>-1825.52</v>
      </c>
      <c r="M1086" s="116">
        <f t="shared" si="16"/>
        <v>-1.82552</v>
      </c>
    </row>
    <row r="1087" spans="1:13" hidden="1" x14ac:dyDescent="0.35">
      <c r="A1087" s="112" t="s">
        <v>3616</v>
      </c>
      <c r="B1087" s="112" t="s">
        <v>921</v>
      </c>
      <c r="C1087" s="112" t="s">
        <v>695</v>
      </c>
      <c r="D1087" s="113">
        <v>10347981</v>
      </c>
      <c r="E1087" s="115">
        <v>43924</v>
      </c>
      <c r="F1087" s="114">
        <v>202101</v>
      </c>
      <c r="G1087" s="112" t="s">
        <v>1091</v>
      </c>
      <c r="H1087" s="112" t="s">
        <v>1015</v>
      </c>
      <c r="I1087" s="112" t="s">
        <v>745</v>
      </c>
      <c r="J1087" s="112" t="s">
        <v>3620</v>
      </c>
      <c r="K1087" s="112" t="s">
        <v>3706</v>
      </c>
      <c r="L1087" s="116">
        <v>-1040</v>
      </c>
      <c r="M1087" s="116">
        <f t="shared" si="16"/>
        <v>-1.04</v>
      </c>
    </row>
    <row r="1088" spans="1:13" hidden="1" x14ac:dyDescent="0.35">
      <c r="A1088" s="112" t="s">
        <v>3616</v>
      </c>
      <c r="B1088" s="112" t="s">
        <v>921</v>
      </c>
      <c r="C1088" s="112" t="s">
        <v>695</v>
      </c>
      <c r="D1088" s="113">
        <v>10347981</v>
      </c>
      <c r="E1088" s="115">
        <v>43924</v>
      </c>
      <c r="F1088" s="114">
        <v>202101</v>
      </c>
      <c r="G1088" s="112" t="s">
        <v>1091</v>
      </c>
      <c r="H1088" s="112" t="s">
        <v>1015</v>
      </c>
      <c r="I1088" s="112" t="s">
        <v>3619</v>
      </c>
      <c r="J1088" s="112" t="s">
        <v>3620</v>
      </c>
      <c r="K1088" s="112" t="s">
        <v>3707</v>
      </c>
      <c r="L1088" s="116">
        <v>-16</v>
      </c>
      <c r="M1088" s="116">
        <f t="shared" si="16"/>
        <v>-1.6E-2</v>
      </c>
    </row>
    <row r="1089" spans="1:13" hidden="1" x14ac:dyDescent="0.35">
      <c r="A1089" s="112" t="s">
        <v>3616</v>
      </c>
      <c r="B1089" s="112" t="s">
        <v>919</v>
      </c>
      <c r="C1089" s="112" t="s">
        <v>695</v>
      </c>
      <c r="D1089" s="113">
        <v>10347981</v>
      </c>
      <c r="E1089" s="115">
        <v>43924</v>
      </c>
      <c r="F1089" s="114">
        <v>202101</v>
      </c>
      <c r="G1089" s="112" t="s">
        <v>1091</v>
      </c>
      <c r="H1089" s="112" t="s">
        <v>1015</v>
      </c>
      <c r="I1089" s="112" t="s">
        <v>3686</v>
      </c>
      <c r="J1089" s="112" t="s">
        <v>3634</v>
      </c>
      <c r="K1089" s="112" t="s">
        <v>3708</v>
      </c>
      <c r="L1089" s="116">
        <v>-147</v>
      </c>
      <c r="M1089" s="116">
        <f t="shared" si="16"/>
        <v>-0.14699999999999999</v>
      </c>
    </row>
    <row r="1090" spans="1:13" hidden="1" x14ac:dyDescent="0.35">
      <c r="A1090" s="112" t="s">
        <v>3616</v>
      </c>
      <c r="B1090" s="112" t="s">
        <v>919</v>
      </c>
      <c r="C1090" s="112" t="s">
        <v>695</v>
      </c>
      <c r="D1090" s="113">
        <v>10347981</v>
      </c>
      <c r="E1090" s="115">
        <v>43924</v>
      </c>
      <c r="F1090" s="114">
        <v>202101</v>
      </c>
      <c r="G1090" s="112" t="s">
        <v>1091</v>
      </c>
      <c r="H1090" s="112" t="s">
        <v>1015</v>
      </c>
      <c r="I1090" s="112" t="s">
        <v>3686</v>
      </c>
      <c r="J1090" s="112" t="s">
        <v>3632</v>
      </c>
      <c r="K1090" s="112" t="s">
        <v>3711</v>
      </c>
      <c r="L1090" s="116">
        <v>-22.5</v>
      </c>
      <c r="M1090" s="116">
        <f t="shared" si="16"/>
        <v>-2.2499999999999999E-2</v>
      </c>
    </row>
    <row r="1091" spans="1:13" hidden="1" x14ac:dyDescent="0.35">
      <c r="A1091" s="112" t="s">
        <v>3616</v>
      </c>
      <c r="B1091" s="112" t="s">
        <v>919</v>
      </c>
      <c r="C1091" s="112" t="s">
        <v>695</v>
      </c>
      <c r="D1091" s="113">
        <v>10347981</v>
      </c>
      <c r="E1091" s="115">
        <v>43924</v>
      </c>
      <c r="F1091" s="114">
        <v>202101</v>
      </c>
      <c r="G1091" s="112" t="s">
        <v>1091</v>
      </c>
      <c r="H1091" s="112" t="s">
        <v>1015</v>
      </c>
      <c r="I1091" s="112" t="s">
        <v>2454</v>
      </c>
      <c r="J1091" s="112" t="s">
        <v>3628</v>
      </c>
      <c r="K1091" s="112" t="s">
        <v>3712</v>
      </c>
      <c r="L1091" s="116">
        <v>-2095</v>
      </c>
      <c r="M1091" s="116">
        <f t="shared" ref="M1091:M1154" si="17">L1091/1000</f>
        <v>-2.0950000000000002</v>
      </c>
    </row>
    <row r="1092" spans="1:13" hidden="1" x14ac:dyDescent="0.35">
      <c r="A1092" s="112" t="s">
        <v>3616</v>
      </c>
      <c r="B1092" s="112" t="s">
        <v>918</v>
      </c>
      <c r="C1092" s="112" t="s">
        <v>695</v>
      </c>
      <c r="D1092" s="113">
        <v>10347971</v>
      </c>
      <c r="E1092" s="115">
        <v>43924</v>
      </c>
      <c r="F1092" s="114">
        <v>202101</v>
      </c>
      <c r="G1092" s="112" t="s">
        <v>1091</v>
      </c>
      <c r="H1092" s="112" t="s">
        <v>1015</v>
      </c>
      <c r="I1092" s="112" t="s">
        <v>3648</v>
      </c>
      <c r="J1092" s="112" t="s">
        <v>3649</v>
      </c>
      <c r="K1092" s="112" t="s">
        <v>3713</v>
      </c>
      <c r="L1092" s="116">
        <v>-1720</v>
      </c>
      <c r="M1092" s="116">
        <f t="shared" si="17"/>
        <v>-1.72</v>
      </c>
    </row>
    <row r="1093" spans="1:13" hidden="1" x14ac:dyDescent="0.35">
      <c r="A1093" s="112" t="s">
        <v>3616</v>
      </c>
      <c r="B1093" s="112" t="s">
        <v>923</v>
      </c>
      <c r="C1093" s="112" t="s">
        <v>695</v>
      </c>
      <c r="D1093" s="113">
        <v>10348172</v>
      </c>
      <c r="E1093" s="115">
        <v>43929</v>
      </c>
      <c r="F1093" s="114">
        <v>202101</v>
      </c>
      <c r="G1093" s="112" t="s">
        <v>1091</v>
      </c>
      <c r="H1093" s="112" t="s">
        <v>1015</v>
      </c>
      <c r="I1093" s="112" t="s">
        <v>3672</v>
      </c>
      <c r="J1093" s="112" t="s">
        <v>3714</v>
      </c>
      <c r="K1093" s="112" t="s">
        <v>3715</v>
      </c>
      <c r="L1093" s="116">
        <v>250</v>
      </c>
      <c r="M1093" s="116">
        <f t="shared" si="17"/>
        <v>0.25</v>
      </c>
    </row>
    <row r="1094" spans="1:13" hidden="1" x14ac:dyDescent="0.35">
      <c r="A1094" s="112" t="s">
        <v>3616</v>
      </c>
      <c r="B1094" s="112" t="s">
        <v>923</v>
      </c>
      <c r="C1094" s="112" t="s">
        <v>695</v>
      </c>
      <c r="D1094" s="113">
        <v>10348172</v>
      </c>
      <c r="E1094" s="115">
        <v>43929</v>
      </c>
      <c r="F1094" s="114">
        <v>202101</v>
      </c>
      <c r="G1094" s="112" t="s">
        <v>1091</v>
      </c>
      <c r="H1094" s="112" t="s">
        <v>1015</v>
      </c>
      <c r="I1094" s="112" t="s">
        <v>3672</v>
      </c>
      <c r="J1094" s="112" t="s">
        <v>3714</v>
      </c>
      <c r="K1094" s="112" t="s">
        <v>3716</v>
      </c>
      <c r="L1094" s="116">
        <v>300</v>
      </c>
      <c r="M1094" s="116">
        <f t="shared" si="17"/>
        <v>0.3</v>
      </c>
    </row>
    <row r="1095" spans="1:13" hidden="1" x14ac:dyDescent="0.35">
      <c r="A1095" s="112" t="s">
        <v>3616</v>
      </c>
      <c r="B1095" s="112" t="s">
        <v>923</v>
      </c>
      <c r="C1095" s="112" t="s">
        <v>695</v>
      </c>
      <c r="D1095" s="113">
        <v>10348172</v>
      </c>
      <c r="E1095" s="115">
        <v>43929</v>
      </c>
      <c r="F1095" s="114">
        <v>202101</v>
      </c>
      <c r="G1095" s="112" t="s">
        <v>1091</v>
      </c>
      <c r="H1095" s="112" t="s">
        <v>1015</v>
      </c>
      <c r="I1095" s="112" t="s">
        <v>3672</v>
      </c>
      <c r="J1095" s="112" t="s">
        <v>3714</v>
      </c>
      <c r="K1095" s="112" t="s">
        <v>3717</v>
      </c>
      <c r="L1095" s="116">
        <v>250</v>
      </c>
      <c r="M1095" s="116">
        <f t="shared" si="17"/>
        <v>0.25</v>
      </c>
    </row>
    <row r="1096" spans="1:13" hidden="1" x14ac:dyDescent="0.35">
      <c r="A1096" s="112" t="s">
        <v>3616</v>
      </c>
      <c r="B1096" s="112" t="s">
        <v>923</v>
      </c>
      <c r="C1096" s="112" t="s">
        <v>695</v>
      </c>
      <c r="D1096" s="113">
        <v>10348172</v>
      </c>
      <c r="E1096" s="115">
        <v>43929</v>
      </c>
      <c r="F1096" s="114">
        <v>202101</v>
      </c>
      <c r="G1096" s="112" t="s">
        <v>1091</v>
      </c>
      <c r="H1096" s="112" t="s">
        <v>1015</v>
      </c>
      <c r="I1096" s="112" t="s">
        <v>3672</v>
      </c>
      <c r="J1096" s="112" t="s">
        <v>3714</v>
      </c>
      <c r="K1096" s="112" t="s">
        <v>3718</v>
      </c>
      <c r="L1096" s="116">
        <v>350</v>
      </c>
      <c r="M1096" s="116">
        <f t="shared" si="17"/>
        <v>0.35</v>
      </c>
    </row>
    <row r="1097" spans="1:13" hidden="1" x14ac:dyDescent="0.35">
      <c r="A1097" s="112" t="s">
        <v>3616</v>
      </c>
      <c r="B1097" s="112" t="s">
        <v>918</v>
      </c>
      <c r="C1097" s="112" t="s">
        <v>695</v>
      </c>
      <c r="D1097" s="113">
        <v>10348469</v>
      </c>
      <c r="E1097" s="115">
        <v>43948</v>
      </c>
      <c r="F1097" s="114">
        <v>202101</v>
      </c>
      <c r="G1097" s="112" t="s">
        <v>1091</v>
      </c>
      <c r="H1097" s="112" t="s">
        <v>1015</v>
      </c>
      <c r="I1097" s="112" t="s">
        <v>761</v>
      </c>
      <c r="J1097" s="112" t="s">
        <v>3695</v>
      </c>
      <c r="K1097" s="112" t="s">
        <v>3719</v>
      </c>
      <c r="L1097" s="116">
        <v>500</v>
      </c>
      <c r="M1097" s="116">
        <f t="shared" si="17"/>
        <v>0.5</v>
      </c>
    </row>
    <row r="1098" spans="1:13" hidden="1" x14ac:dyDescent="0.35">
      <c r="A1098" s="112" t="s">
        <v>3616</v>
      </c>
      <c r="B1098" s="112" t="s">
        <v>918</v>
      </c>
      <c r="C1098" s="112" t="s">
        <v>695</v>
      </c>
      <c r="D1098" s="113">
        <v>10348469</v>
      </c>
      <c r="E1098" s="115">
        <v>43948</v>
      </c>
      <c r="F1098" s="114">
        <v>202101</v>
      </c>
      <c r="G1098" s="112" t="s">
        <v>1091</v>
      </c>
      <c r="H1098" s="112" t="s">
        <v>1015</v>
      </c>
      <c r="I1098" s="112" t="s">
        <v>1868</v>
      </c>
      <c r="J1098" s="112" t="s">
        <v>3695</v>
      </c>
      <c r="K1098" s="112" t="s">
        <v>3721</v>
      </c>
      <c r="L1098" s="116">
        <v>850</v>
      </c>
      <c r="M1098" s="116">
        <f t="shared" si="17"/>
        <v>0.85</v>
      </c>
    </row>
    <row r="1099" spans="1:13" hidden="1" x14ac:dyDescent="0.35">
      <c r="A1099" s="112" t="s">
        <v>3616</v>
      </c>
      <c r="B1099" s="112" t="s">
        <v>918</v>
      </c>
      <c r="C1099" s="112" t="s">
        <v>695</v>
      </c>
      <c r="D1099" s="113">
        <v>10348469</v>
      </c>
      <c r="E1099" s="115">
        <v>43948</v>
      </c>
      <c r="F1099" s="114">
        <v>202101</v>
      </c>
      <c r="G1099" s="112" t="s">
        <v>1091</v>
      </c>
      <c r="H1099" s="112" t="s">
        <v>1015</v>
      </c>
      <c r="I1099" s="112" t="s">
        <v>1868</v>
      </c>
      <c r="J1099" s="112" t="s">
        <v>3695</v>
      </c>
      <c r="K1099" s="112" t="s">
        <v>3722</v>
      </c>
      <c r="L1099" s="116">
        <v>7362.74</v>
      </c>
      <c r="M1099" s="116">
        <f t="shared" si="17"/>
        <v>7.3627399999999996</v>
      </c>
    </row>
    <row r="1100" spans="1:13" hidden="1" x14ac:dyDescent="0.35">
      <c r="A1100" s="112" t="s">
        <v>3616</v>
      </c>
      <c r="B1100" s="112" t="s">
        <v>918</v>
      </c>
      <c r="C1100" s="112" t="s">
        <v>695</v>
      </c>
      <c r="D1100" s="113">
        <v>10348469</v>
      </c>
      <c r="E1100" s="115">
        <v>43948</v>
      </c>
      <c r="F1100" s="114">
        <v>202101</v>
      </c>
      <c r="G1100" s="112" t="s">
        <v>1091</v>
      </c>
      <c r="H1100" s="112" t="s">
        <v>1015</v>
      </c>
      <c r="I1100" s="112" t="s">
        <v>1868</v>
      </c>
      <c r="J1100" s="112" t="s">
        <v>3649</v>
      </c>
      <c r="K1100" s="112" t="s">
        <v>3723</v>
      </c>
      <c r="L1100" s="116">
        <v>1825.52</v>
      </c>
      <c r="M1100" s="116">
        <f t="shared" si="17"/>
        <v>1.82552</v>
      </c>
    </row>
    <row r="1101" spans="1:13" hidden="1" x14ac:dyDescent="0.35">
      <c r="A1101" s="112" t="s">
        <v>3616</v>
      </c>
      <c r="B1101" s="112" t="s">
        <v>916</v>
      </c>
      <c r="C1101" s="112" t="s">
        <v>695</v>
      </c>
      <c r="D1101" s="113">
        <v>10348043</v>
      </c>
      <c r="E1101" s="115">
        <v>43928</v>
      </c>
      <c r="F1101" s="114">
        <v>202101</v>
      </c>
      <c r="G1101" s="112" t="s">
        <v>1091</v>
      </c>
      <c r="H1101" s="112" t="s">
        <v>1015</v>
      </c>
      <c r="I1101" s="112" t="s">
        <v>749</v>
      </c>
      <c r="J1101" s="112" t="s">
        <v>3626</v>
      </c>
      <c r="K1101" s="112" t="s">
        <v>3727</v>
      </c>
      <c r="L1101" s="116">
        <v>-2800</v>
      </c>
      <c r="M1101" s="116">
        <f t="shared" si="17"/>
        <v>-2.8</v>
      </c>
    </row>
    <row r="1102" spans="1:13" hidden="1" x14ac:dyDescent="0.35">
      <c r="A1102" s="112" t="s">
        <v>3616</v>
      </c>
      <c r="B1102" s="112" t="s">
        <v>916</v>
      </c>
      <c r="C1102" s="112" t="s">
        <v>695</v>
      </c>
      <c r="D1102" s="113">
        <v>10348043</v>
      </c>
      <c r="E1102" s="115">
        <v>43928</v>
      </c>
      <c r="F1102" s="114">
        <v>202101</v>
      </c>
      <c r="G1102" s="112" t="s">
        <v>1091</v>
      </c>
      <c r="H1102" s="112" t="s">
        <v>1015</v>
      </c>
      <c r="I1102" s="112" t="s">
        <v>749</v>
      </c>
      <c r="J1102" s="112" t="s">
        <v>3626</v>
      </c>
      <c r="K1102" s="112" t="s">
        <v>3728</v>
      </c>
      <c r="L1102" s="116">
        <v>-12600</v>
      </c>
      <c r="M1102" s="116">
        <f t="shared" si="17"/>
        <v>-12.6</v>
      </c>
    </row>
    <row r="1103" spans="1:13" hidden="1" x14ac:dyDescent="0.35">
      <c r="A1103" s="112" t="s">
        <v>3616</v>
      </c>
      <c r="B1103" s="112" t="s">
        <v>916</v>
      </c>
      <c r="C1103" s="112" t="s">
        <v>695</v>
      </c>
      <c r="D1103" s="113">
        <v>10348043</v>
      </c>
      <c r="E1103" s="115">
        <v>43928</v>
      </c>
      <c r="F1103" s="114">
        <v>202101</v>
      </c>
      <c r="G1103" s="112" t="s">
        <v>1091</v>
      </c>
      <c r="H1103" s="112" t="s">
        <v>1015</v>
      </c>
      <c r="I1103" s="112" t="s">
        <v>751</v>
      </c>
      <c r="J1103" s="112" t="s">
        <v>3626</v>
      </c>
      <c r="K1103" s="112" t="s">
        <v>3729</v>
      </c>
      <c r="L1103" s="116">
        <v>-1400</v>
      </c>
      <c r="M1103" s="116">
        <f t="shared" si="17"/>
        <v>-1.4</v>
      </c>
    </row>
    <row r="1104" spans="1:13" hidden="1" x14ac:dyDescent="0.35">
      <c r="A1104" s="112" t="s">
        <v>3616</v>
      </c>
      <c r="B1104" s="112" t="s">
        <v>916</v>
      </c>
      <c r="C1104" s="112" t="s">
        <v>695</v>
      </c>
      <c r="D1104" s="113">
        <v>10348043</v>
      </c>
      <c r="E1104" s="115">
        <v>43928</v>
      </c>
      <c r="F1104" s="114">
        <v>202101</v>
      </c>
      <c r="G1104" s="112" t="s">
        <v>1091</v>
      </c>
      <c r="H1104" s="112" t="s">
        <v>1015</v>
      </c>
      <c r="I1104" s="112" t="s">
        <v>751</v>
      </c>
      <c r="J1104" s="112" t="s">
        <v>3626</v>
      </c>
      <c r="K1104" s="112" t="s">
        <v>3730</v>
      </c>
      <c r="L1104" s="116">
        <v>-6000</v>
      </c>
      <c r="M1104" s="116">
        <f t="shared" si="17"/>
        <v>-6</v>
      </c>
    </row>
    <row r="1105" spans="1:13" hidden="1" x14ac:dyDescent="0.35">
      <c r="A1105" s="112" t="s">
        <v>3616</v>
      </c>
      <c r="B1105" s="112" t="s">
        <v>916</v>
      </c>
      <c r="C1105" s="112" t="s">
        <v>695</v>
      </c>
      <c r="D1105" s="113">
        <v>10348043</v>
      </c>
      <c r="E1105" s="115">
        <v>43928</v>
      </c>
      <c r="F1105" s="114">
        <v>202101</v>
      </c>
      <c r="G1105" s="112" t="s">
        <v>1091</v>
      </c>
      <c r="H1105" s="112" t="s">
        <v>1015</v>
      </c>
      <c r="I1105" s="112" t="s">
        <v>751</v>
      </c>
      <c r="J1105" s="112" t="s">
        <v>3626</v>
      </c>
      <c r="K1105" s="112" t="s">
        <v>3731</v>
      </c>
      <c r="L1105" s="116">
        <v>-2500</v>
      </c>
      <c r="M1105" s="116">
        <f t="shared" si="17"/>
        <v>-2.5</v>
      </c>
    </row>
    <row r="1106" spans="1:13" hidden="1" x14ac:dyDescent="0.35">
      <c r="A1106" s="112" t="s">
        <v>3616</v>
      </c>
      <c r="B1106" s="112" t="s">
        <v>916</v>
      </c>
      <c r="C1106" s="112" t="s">
        <v>695</v>
      </c>
      <c r="D1106" s="113">
        <v>10348043</v>
      </c>
      <c r="E1106" s="115">
        <v>43928</v>
      </c>
      <c r="F1106" s="114">
        <v>202101</v>
      </c>
      <c r="G1106" s="112" t="s">
        <v>1091</v>
      </c>
      <c r="H1106" s="112" t="s">
        <v>1015</v>
      </c>
      <c r="I1106" s="112" t="s">
        <v>751</v>
      </c>
      <c r="J1106" s="112" t="s">
        <v>3626</v>
      </c>
      <c r="K1106" s="112" t="s">
        <v>3732</v>
      </c>
      <c r="L1106" s="116">
        <v>-6300</v>
      </c>
      <c r="M1106" s="116">
        <f t="shared" si="17"/>
        <v>-6.3</v>
      </c>
    </row>
    <row r="1107" spans="1:13" hidden="1" x14ac:dyDescent="0.35">
      <c r="A1107" s="112" t="s">
        <v>3616</v>
      </c>
      <c r="B1107" s="112" t="s">
        <v>916</v>
      </c>
      <c r="C1107" s="112" t="s">
        <v>695</v>
      </c>
      <c r="D1107" s="113">
        <v>10348043</v>
      </c>
      <c r="E1107" s="115">
        <v>43928</v>
      </c>
      <c r="F1107" s="114">
        <v>202101</v>
      </c>
      <c r="G1107" s="112" t="s">
        <v>1091</v>
      </c>
      <c r="H1107" s="112" t="s">
        <v>1015</v>
      </c>
      <c r="I1107" s="112" t="s">
        <v>751</v>
      </c>
      <c r="J1107" s="112" t="s">
        <v>3626</v>
      </c>
      <c r="K1107" s="112" t="s">
        <v>3733</v>
      </c>
      <c r="L1107" s="116">
        <v>-3000</v>
      </c>
      <c r="M1107" s="116">
        <f t="shared" si="17"/>
        <v>-3</v>
      </c>
    </row>
    <row r="1108" spans="1:13" hidden="1" x14ac:dyDescent="0.35">
      <c r="A1108" s="112" t="s">
        <v>3616</v>
      </c>
      <c r="B1108" s="112" t="s">
        <v>916</v>
      </c>
      <c r="C1108" s="112" t="s">
        <v>695</v>
      </c>
      <c r="D1108" s="113">
        <v>10348043</v>
      </c>
      <c r="E1108" s="115">
        <v>43928</v>
      </c>
      <c r="F1108" s="114">
        <v>202101</v>
      </c>
      <c r="G1108" s="112" t="s">
        <v>1091</v>
      </c>
      <c r="H1108" s="112" t="s">
        <v>1015</v>
      </c>
      <c r="I1108" s="112" t="s">
        <v>751</v>
      </c>
      <c r="J1108" s="112" t="s">
        <v>3626</v>
      </c>
      <c r="K1108" s="112" t="s">
        <v>3734</v>
      </c>
      <c r="L1108" s="116">
        <v>-4200</v>
      </c>
      <c r="M1108" s="116">
        <f t="shared" si="17"/>
        <v>-4.2</v>
      </c>
    </row>
    <row r="1109" spans="1:13" hidden="1" x14ac:dyDescent="0.35">
      <c r="A1109" s="112" t="s">
        <v>3616</v>
      </c>
      <c r="B1109" s="112" t="s">
        <v>916</v>
      </c>
      <c r="C1109" s="112" t="s">
        <v>695</v>
      </c>
      <c r="D1109" s="113">
        <v>10348043</v>
      </c>
      <c r="E1109" s="115">
        <v>43928</v>
      </c>
      <c r="F1109" s="114">
        <v>202101</v>
      </c>
      <c r="G1109" s="112" t="s">
        <v>1091</v>
      </c>
      <c r="H1109" s="112" t="s">
        <v>1015</v>
      </c>
      <c r="I1109" s="112" t="s">
        <v>749</v>
      </c>
      <c r="J1109" s="112" t="s">
        <v>3626</v>
      </c>
      <c r="K1109" s="112" t="s">
        <v>3735</v>
      </c>
      <c r="L1109" s="116">
        <v>-10000</v>
      </c>
      <c r="M1109" s="116">
        <f t="shared" si="17"/>
        <v>-10</v>
      </c>
    </row>
    <row r="1110" spans="1:13" hidden="1" x14ac:dyDescent="0.35">
      <c r="A1110" s="112" t="s">
        <v>3616</v>
      </c>
      <c r="B1110" s="112" t="s">
        <v>916</v>
      </c>
      <c r="C1110" s="112" t="s">
        <v>695</v>
      </c>
      <c r="D1110" s="113">
        <v>10348043</v>
      </c>
      <c r="E1110" s="115">
        <v>43928</v>
      </c>
      <c r="F1110" s="114">
        <v>202101</v>
      </c>
      <c r="G1110" s="112" t="s">
        <v>1091</v>
      </c>
      <c r="H1110" s="112" t="s">
        <v>1015</v>
      </c>
      <c r="I1110" s="112" t="s">
        <v>749</v>
      </c>
      <c r="J1110" s="112" t="s">
        <v>3626</v>
      </c>
      <c r="K1110" s="112" t="s">
        <v>3736</v>
      </c>
      <c r="L1110" s="116">
        <v>-2000</v>
      </c>
      <c r="M1110" s="116">
        <f t="shared" si="17"/>
        <v>-2</v>
      </c>
    </row>
    <row r="1111" spans="1:13" hidden="1" x14ac:dyDescent="0.35">
      <c r="A1111" s="112" t="s">
        <v>3616</v>
      </c>
      <c r="B1111" s="112" t="s">
        <v>916</v>
      </c>
      <c r="C1111" s="112" t="s">
        <v>695</v>
      </c>
      <c r="D1111" s="113">
        <v>10348043</v>
      </c>
      <c r="E1111" s="115">
        <v>43928</v>
      </c>
      <c r="F1111" s="114">
        <v>202101</v>
      </c>
      <c r="G1111" s="112" t="s">
        <v>1091</v>
      </c>
      <c r="H1111" s="112" t="s">
        <v>1015</v>
      </c>
      <c r="I1111" s="112" t="s">
        <v>749</v>
      </c>
      <c r="J1111" s="112" t="s">
        <v>3626</v>
      </c>
      <c r="K1111" s="112" t="s">
        <v>3737</v>
      </c>
      <c r="L1111" s="116">
        <v>-5700</v>
      </c>
      <c r="M1111" s="116">
        <f t="shared" si="17"/>
        <v>-5.7</v>
      </c>
    </row>
    <row r="1112" spans="1:13" hidden="1" x14ac:dyDescent="0.35">
      <c r="A1112" s="112" t="s">
        <v>3616</v>
      </c>
      <c r="B1112" s="112" t="s">
        <v>919</v>
      </c>
      <c r="C1112" s="112" t="s">
        <v>695</v>
      </c>
      <c r="D1112" s="113">
        <v>10348018</v>
      </c>
      <c r="E1112" s="115">
        <v>43927</v>
      </c>
      <c r="F1112" s="114">
        <v>202101</v>
      </c>
      <c r="G1112" s="112" t="s">
        <v>1091</v>
      </c>
      <c r="H1112" s="112" t="s">
        <v>1015</v>
      </c>
      <c r="I1112" s="112" t="s">
        <v>1532</v>
      </c>
      <c r="J1112" s="112" t="s">
        <v>3634</v>
      </c>
      <c r="K1112" s="112" t="s">
        <v>1689</v>
      </c>
      <c r="L1112" s="116">
        <v>-190.9</v>
      </c>
      <c r="M1112" s="116">
        <f t="shared" si="17"/>
        <v>-0.19090000000000001</v>
      </c>
    </row>
    <row r="1113" spans="1:13" hidden="1" x14ac:dyDescent="0.35">
      <c r="A1113" s="112" t="s">
        <v>3616</v>
      </c>
      <c r="B1113" s="112" t="s">
        <v>923</v>
      </c>
      <c r="C1113" s="112" t="s">
        <v>695</v>
      </c>
      <c r="D1113" s="113">
        <v>10348172</v>
      </c>
      <c r="E1113" s="115">
        <v>43929</v>
      </c>
      <c r="F1113" s="114">
        <v>202101</v>
      </c>
      <c r="G1113" s="112" t="s">
        <v>1091</v>
      </c>
      <c r="H1113" s="112" t="s">
        <v>1015</v>
      </c>
      <c r="I1113" s="112" t="s">
        <v>3672</v>
      </c>
      <c r="J1113" s="112" t="s">
        <v>3714</v>
      </c>
      <c r="K1113" s="112" t="s">
        <v>3740</v>
      </c>
      <c r="L1113" s="116">
        <v>250</v>
      </c>
      <c r="M1113" s="116">
        <f t="shared" si="17"/>
        <v>0.25</v>
      </c>
    </row>
    <row r="1114" spans="1:13" hidden="1" x14ac:dyDescent="0.35">
      <c r="A1114" s="112" t="s">
        <v>3616</v>
      </c>
      <c r="B1114" s="112" t="s">
        <v>918</v>
      </c>
      <c r="C1114" s="112" t="s">
        <v>695</v>
      </c>
      <c r="D1114" s="113">
        <v>10348393</v>
      </c>
      <c r="E1114" s="115">
        <v>43943</v>
      </c>
      <c r="F1114" s="114">
        <v>202101</v>
      </c>
      <c r="G1114" s="112" t="s">
        <v>1091</v>
      </c>
      <c r="H1114" s="112" t="s">
        <v>1015</v>
      </c>
      <c r="I1114" s="112" t="s">
        <v>2591</v>
      </c>
      <c r="J1114" s="112" t="s">
        <v>3649</v>
      </c>
      <c r="K1114" s="112" t="s">
        <v>3741</v>
      </c>
      <c r="L1114" s="116">
        <v>50.39</v>
      </c>
      <c r="M1114" s="116">
        <f t="shared" si="17"/>
        <v>5.0389999999999997E-2</v>
      </c>
    </row>
    <row r="1115" spans="1:13" hidden="1" x14ac:dyDescent="0.35">
      <c r="A1115" s="112" t="s">
        <v>3616</v>
      </c>
      <c r="B1115" s="112" t="s">
        <v>918</v>
      </c>
      <c r="C1115" s="112" t="s">
        <v>695</v>
      </c>
      <c r="D1115" s="113">
        <v>10348393</v>
      </c>
      <c r="E1115" s="115">
        <v>43943</v>
      </c>
      <c r="F1115" s="114">
        <v>202101</v>
      </c>
      <c r="G1115" s="112" t="s">
        <v>1091</v>
      </c>
      <c r="H1115" s="112" t="s">
        <v>1015</v>
      </c>
      <c r="I1115" s="112" t="s">
        <v>2591</v>
      </c>
      <c r="J1115" s="112" t="s">
        <v>3695</v>
      </c>
      <c r="K1115" s="112" t="s">
        <v>3741</v>
      </c>
      <c r="L1115" s="116">
        <v>-50.39</v>
      </c>
      <c r="M1115" s="116">
        <f t="shared" si="17"/>
        <v>-5.0389999999999997E-2</v>
      </c>
    </row>
    <row r="1116" spans="1:13" hidden="1" x14ac:dyDescent="0.35">
      <c r="A1116" s="112" t="s">
        <v>3616</v>
      </c>
      <c r="B1116" s="112" t="s">
        <v>918</v>
      </c>
      <c r="C1116" s="112" t="s">
        <v>695</v>
      </c>
      <c r="D1116" s="113">
        <v>10348393</v>
      </c>
      <c r="E1116" s="115">
        <v>43943</v>
      </c>
      <c r="F1116" s="114">
        <v>202101</v>
      </c>
      <c r="G1116" s="112" t="s">
        <v>1091</v>
      </c>
      <c r="H1116" s="112" t="s">
        <v>1015</v>
      </c>
      <c r="I1116" s="112" t="s">
        <v>1092</v>
      </c>
      <c r="J1116" s="112" t="s">
        <v>3695</v>
      </c>
      <c r="K1116" s="112" t="s">
        <v>3749</v>
      </c>
      <c r="L1116" s="116">
        <v>51</v>
      </c>
      <c r="M1116" s="116">
        <f t="shared" si="17"/>
        <v>5.0999999999999997E-2</v>
      </c>
    </row>
    <row r="1117" spans="1:13" hidden="1" x14ac:dyDescent="0.35">
      <c r="A1117" s="112" t="s">
        <v>3616</v>
      </c>
      <c r="B1117" s="112" t="s">
        <v>918</v>
      </c>
      <c r="C1117" s="112" t="s">
        <v>695</v>
      </c>
      <c r="D1117" s="113">
        <v>10348393</v>
      </c>
      <c r="E1117" s="115">
        <v>43943</v>
      </c>
      <c r="F1117" s="114">
        <v>202101</v>
      </c>
      <c r="G1117" s="112" t="s">
        <v>1091</v>
      </c>
      <c r="H1117" s="112" t="s">
        <v>1015</v>
      </c>
      <c r="I1117" s="112" t="s">
        <v>1092</v>
      </c>
      <c r="J1117" s="112" t="s">
        <v>3695</v>
      </c>
      <c r="K1117" s="112" t="s">
        <v>3749</v>
      </c>
      <c r="L1117" s="116">
        <v>-51</v>
      </c>
      <c r="M1117" s="116">
        <f t="shared" si="17"/>
        <v>-5.0999999999999997E-2</v>
      </c>
    </row>
    <row r="1118" spans="1:13" hidden="1" x14ac:dyDescent="0.35">
      <c r="A1118" s="112" t="s">
        <v>3616</v>
      </c>
      <c r="B1118" s="112" t="s">
        <v>921</v>
      </c>
      <c r="C1118" s="112" t="s">
        <v>695</v>
      </c>
      <c r="D1118" s="113">
        <v>10348090</v>
      </c>
      <c r="E1118" s="115">
        <v>43929</v>
      </c>
      <c r="F1118" s="114">
        <v>202101</v>
      </c>
      <c r="G1118" s="112" t="s">
        <v>1091</v>
      </c>
      <c r="H1118" s="112" t="s">
        <v>1015</v>
      </c>
      <c r="I1118" s="112" t="s">
        <v>745</v>
      </c>
      <c r="J1118" s="112" t="s">
        <v>3620</v>
      </c>
      <c r="K1118" s="112" t="s">
        <v>3754</v>
      </c>
      <c r="L1118" s="116">
        <v>-4800</v>
      </c>
      <c r="M1118" s="116">
        <f t="shared" si="17"/>
        <v>-4.8</v>
      </c>
    </row>
    <row r="1119" spans="1:13" hidden="1" x14ac:dyDescent="0.35">
      <c r="A1119" s="112" t="s">
        <v>3616</v>
      </c>
      <c r="B1119" s="112" t="s">
        <v>918</v>
      </c>
      <c r="C1119" s="112" t="s">
        <v>695</v>
      </c>
      <c r="D1119" s="113">
        <v>10347971</v>
      </c>
      <c r="E1119" s="115">
        <v>43924</v>
      </c>
      <c r="F1119" s="114">
        <v>202101</v>
      </c>
      <c r="G1119" s="112" t="s">
        <v>1091</v>
      </c>
      <c r="H1119" s="112" t="s">
        <v>1015</v>
      </c>
      <c r="I1119" s="112" t="s">
        <v>3768</v>
      </c>
      <c r="J1119" s="112" t="s">
        <v>3649</v>
      </c>
      <c r="K1119" s="112" t="s">
        <v>3769</v>
      </c>
      <c r="L1119" s="116">
        <v>-6745</v>
      </c>
      <c r="M1119" s="116">
        <f t="shared" si="17"/>
        <v>-6.7450000000000001</v>
      </c>
    </row>
    <row r="1120" spans="1:13" hidden="1" x14ac:dyDescent="0.35">
      <c r="A1120" s="112" t="s">
        <v>3616</v>
      </c>
      <c r="B1120" s="112" t="s">
        <v>918</v>
      </c>
      <c r="C1120" s="112" t="s">
        <v>695</v>
      </c>
      <c r="D1120" s="113">
        <v>10347971</v>
      </c>
      <c r="E1120" s="115">
        <v>43924</v>
      </c>
      <c r="F1120" s="114">
        <v>202101</v>
      </c>
      <c r="G1120" s="112" t="s">
        <v>1091</v>
      </c>
      <c r="H1120" s="112" t="s">
        <v>1015</v>
      </c>
      <c r="I1120" s="112" t="s">
        <v>745</v>
      </c>
      <c r="J1120" s="112" t="s">
        <v>3649</v>
      </c>
      <c r="K1120" s="112" t="s">
        <v>3770</v>
      </c>
      <c r="L1120" s="116">
        <v>-4000</v>
      </c>
      <c r="M1120" s="116">
        <f t="shared" si="17"/>
        <v>-4</v>
      </c>
    </row>
    <row r="1121" spans="1:13" hidden="1" x14ac:dyDescent="0.35">
      <c r="A1121" s="112" t="s">
        <v>3616</v>
      </c>
      <c r="B1121" s="112" t="s">
        <v>921</v>
      </c>
      <c r="C1121" s="112" t="s">
        <v>695</v>
      </c>
      <c r="D1121" s="113">
        <v>10347981</v>
      </c>
      <c r="E1121" s="115">
        <v>43924</v>
      </c>
      <c r="F1121" s="114">
        <v>202101</v>
      </c>
      <c r="G1121" s="112" t="s">
        <v>1091</v>
      </c>
      <c r="H1121" s="112" t="s">
        <v>1015</v>
      </c>
      <c r="I1121" s="112" t="s">
        <v>3619</v>
      </c>
      <c r="J1121" s="112" t="s">
        <v>3620</v>
      </c>
      <c r="K1121" s="112" t="s">
        <v>3773</v>
      </c>
      <c r="L1121" s="116">
        <v>-8.84</v>
      </c>
      <c r="M1121" s="116">
        <f t="shared" si="17"/>
        <v>-8.8400000000000006E-3</v>
      </c>
    </row>
    <row r="1122" spans="1:13" hidden="1" x14ac:dyDescent="0.35">
      <c r="A1122" s="112" t="s">
        <v>3616</v>
      </c>
      <c r="B1122" s="112" t="s">
        <v>923</v>
      </c>
      <c r="C1122" s="112" t="s">
        <v>695</v>
      </c>
      <c r="D1122" s="113">
        <v>10348172</v>
      </c>
      <c r="E1122" s="115">
        <v>43929</v>
      </c>
      <c r="F1122" s="114">
        <v>202101</v>
      </c>
      <c r="G1122" s="112" t="s">
        <v>1091</v>
      </c>
      <c r="H1122" s="112" t="s">
        <v>1015</v>
      </c>
      <c r="I1122" s="112" t="s">
        <v>3672</v>
      </c>
      <c r="J1122" s="112" t="s">
        <v>3714</v>
      </c>
      <c r="K1122" s="112" t="s">
        <v>3774</v>
      </c>
      <c r="L1122" s="116">
        <v>300</v>
      </c>
      <c r="M1122" s="116">
        <f t="shared" si="17"/>
        <v>0.3</v>
      </c>
    </row>
    <row r="1123" spans="1:13" hidden="1" x14ac:dyDescent="0.35">
      <c r="A1123" s="112" t="s">
        <v>3616</v>
      </c>
      <c r="B1123" s="112" t="s">
        <v>921</v>
      </c>
      <c r="C1123" s="112" t="s">
        <v>695</v>
      </c>
      <c r="D1123" s="113">
        <v>10347981</v>
      </c>
      <c r="E1123" s="115">
        <v>43924</v>
      </c>
      <c r="F1123" s="114">
        <v>202101</v>
      </c>
      <c r="G1123" s="112" t="s">
        <v>1091</v>
      </c>
      <c r="H1123" s="112" t="s">
        <v>1015</v>
      </c>
      <c r="I1123" s="112" t="s">
        <v>3686</v>
      </c>
      <c r="J1123" s="112" t="s">
        <v>3620</v>
      </c>
      <c r="K1123" s="112" t="s">
        <v>3687</v>
      </c>
      <c r="L1123" s="116">
        <v>-43.5</v>
      </c>
      <c r="M1123" s="116">
        <f t="shared" si="17"/>
        <v>-4.3499999999999997E-2</v>
      </c>
    </row>
    <row r="1124" spans="1:13" hidden="1" x14ac:dyDescent="0.35">
      <c r="A1124" s="112" t="s">
        <v>3616</v>
      </c>
      <c r="B1124" s="112" t="s">
        <v>921</v>
      </c>
      <c r="C1124" s="112" t="s">
        <v>695</v>
      </c>
      <c r="D1124" s="113">
        <v>10347981</v>
      </c>
      <c r="E1124" s="115">
        <v>43924</v>
      </c>
      <c r="F1124" s="114">
        <v>202101</v>
      </c>
      <c r="G1124" s="112" t="s">
        <v>1091</v>
      </c>
      <c r="H1124" s="112" t="s">
        <v>1015</v>
      </c>
      <c r="I1124" s="112" t="s">
        <v>3619</v>
      </c>
      <c r="J1124" s="112" t="s">
        <v>3620</v>
      </c>
      <c r="K1124" s="112" t="s">
        <v>3666</v>
      </c>
      <c r="L1124" s="116">
        <v>-109.7</v>
      </c>
      <c r="M1124" s="116">
        <f t="shared" si="17"/>
        <v>-0.10970000000000001</v>
      </c>
    </row>
    <row r="1125" spans="1:13" hidden="1" x14ac:dyDescent="0.35">
      <c r="A1125" s="112" t="s">
        <v>3616</v>
      </c>
      <c r="B1125" s="112" t="s">
        <v>921</v>
      </c>
      <c r="C1125" s="112" t="s">
        <v>695</v>
      </c>
      <c r="D1125" s="113">
        <v>10347981</v>
      </c>
      <c r="E1125" s="115">
        <v>43924</v>
      </c>
      <c r="F1125" s="114">
        <v>202101</v>
      </c>
      <c r="G1125" s="112" t="s">
        <v>1091</v>
      </c>
      <c r="H1125" s="112" t="s">
        <v>1015</v>
      </c>
      <c r="I1125" s="112" t="s">
        <v>3619</v>
      </c>
      <c r="J1125" s="112" t="s">
        <v>3620</v>
      </c>
      <c r="K1125" s="112" t="s">
        <v>3776</v>
      </c>
      <c r="L1125" s="116">
        <v>-137.44</v>
      </c>
      <c r="M1125" s="116">
        <f t="shared" si="17"/>
        <v>-0.13744000000000001</v>
      </c>
    </row>
    <row r="1126" spans="1:13" hidden="1" x14ac:dyDescent="0.35">
      <c r="A1126" s="112" t="s">
        <v>3616</v>
      </c>
      <c r="B1126" s="112" t="s">
        <v>921</v>
      </c>
      <c r="C1126" s="112" t="s">
        <v>695</v>
      </c>
      <c r="D1126" s="113">
        <v>10347981</v>
      </c>
      <c r="E1126" s="115">
        <v>43924</v>
      </c>
      <c r="F1126" s="114">
        <v>202101</v>
      </c>
      <c r="G1126" s="112" t="s">
        <v>1091</v>
      </c>
      <c r="H1126" s="112" t="s">
        <v>1015</v>
      </c>
      <c r="I1126" s="112" t="s">
        <v>3686</v>
      </c>
      <c r="J1126" s="112" t="s">
        <v>3620</v>
      </c>
      <c r="K1126" s="112" t="s">
        <v>3687</v>
      </c>
      <c r="L1126" s="116">
        <v>-486.6</v>
      </c>
      <c r="M1126" s="116">
        <f t="shared" si="17"/>
        <v>-0.48660000000000003</v>
      </c>
    </row>
    <row r="1127" spans="1:13" hidden="1" x14ac:dyDescent="0.35">
      <c r="A1127" s="112" t="s">
        <v>3616</v>
      </c>
      <c r="B1127" s="112" t="s">
        <v>921</v>
      </c>
      <c r="C1127" s="112" t="s">
        <v>695</v>
      </c>
      <c r="D1127" s="113">
        <v>10347981</v>
      </c>
      <c r="E1127" s="115">
        <v>43924</v>
      </c>
      <c r="F1127" s="114">
        <v>202101</v>
      </c>
      <c r="G1127" s="112" t="s">
        <v>1091</v>
      </c>
      <c r="H1127" s="112" t="s">
        <v>1015</v>
      </c>
      <c r="I1127" s="112" t="s">
        <v>3619</v>
      </c>
      <c r="J1127" s="112" t="s">
        <v>3620</v>
      </c>
      <c r="K1127" s="112" t="s">
        <v>3704</v>
      </c>
      <c r="L1127" s="116">
        <v>-87.76</v>
      </c>
      <c r="M1127" s="116">
        <f t="shared" si="17"/>
        <v>-8.7760000000000005E-2</v>
      </c>
    </row>
    <row r="1128" spans="1:13" hidden="1" x14ac:dyDescent="0.35">
      <c r="A1128" s="112" t="s">
        <v>3616</v>
      </c>
      <c r="B1128" s="112" t="s">
        <v>919</v>
      </c>
      <c r="C1128" s="112" t="s">
        <v>695</v>
      </c>
      <c r="D1128" s="113">
        <v>10347981</v>
      </c>
      <c r="E1128" s="115">
        <v>43924</v>
      </c>
      <c r="F1128" s="114">
        <v>202101</v>
      </c>
      <c r="G1128" s="112" t="s">
        <v>1091</v>
      </c>
      <c r="H1128" s="112" t="s">
        <v>1015</v>
      </c>
      <c r="I1128" s="112" t="s">
        <v>3686</v>
      </c>
      <c r="J1128" s="112" t="s">
        <v>3617</v>
      </c>
      <c r="K1128" s="112" t="s">
        <v>3778</v>
      </c>
      <c r="L1128" s="116">
        <v>-52.2</v>
      </c>
      <c r="M1128" s="116">
        <f t="shared" si="17"/>
        <v>-5.2200000000000003E-2</v>
      </c>
    </row>
    <row r="1129" spans="1:13" hidden="1" x14ac:dyDescent="0.35">
      <c r="A1129" s="112" t="s">
        <v>3616</v>
      </c>
      <c r="B1129" s="112" t="s">
        <v>921</v>
      </c>
      <c r="C1129" s="112" t="s">
        <v>695</v>
      </c>
      <c r="D1129" s="113">
        <v>10347981</v>
      </c>
      <c r="E1129" s="115">
        <v>43924</v>
      </c>
      <c r="F1129" s="114">
        <v>202101</v>
      </c>
      <c r="G1129" s="112" t="s">
        <v>1091</v>
      </c>
      <c r="H1129" s="112" t="s">
        <v>1015</v>
      </c>
      <c r="I1129" s="112" t="s">
        <v>3619</v>
      </c>
      <c r="J1129" s="112" t="s">
        <v>3620</v>
      </c>
      <c r="K1129" s="112" t="s">
        <v>3666</v>
      </c>
      <c r="L1129" s="116">
        <v>-21.8</v>
      </c>
      <c r="M1129" s="116">
        <f t="shared" si="17"/>
        <v>-2.18E-2</v>
      </c>
    </row>
    <row r="1130" spans="1:13" hidden="1" x14ac:dyDescent="0.35">
      <c r="A1130" s="112" t="s">
        <v>3616</v>
      </c>
      <c r="B1130" s="112" t="s">
        <v>919</v>
      </c>
      <c r="C1130" s="112" t="s">
        <v>695</v>
      </c>
      <c r="D1130" s="113">
        <v>10347981</v>
      </c>
      <c r="E1130" s="115">
        <v>43924</v>
      </c>
      <c r="F1130" s="114">
        <v>202101</v>
      </c>
      <c r="G1130" s="112" t="s">
        <v>1091</v>
      </c>
      <c r="H1130" s="112" t="s">
        <v>1015</v>
      </c>
      <c r="I1130" s="112" t="s">
        <v>3619</v>
      </c>
      <c r="J1130" s="112" t="s">
        <v>3624</v>
      </c>
      <c r="K1130" s="112" t="s">
        <v>3779</v>
      </c>
      <c r="L1130" s="116">
        <v>-40.72</v>
      </c>
      <c r="M1130" s="116">
        <f t="shared" si="17"/>
        <v>-4.0719999999999999E-2</v>
      </c>
    </row>
    <row r="1131" spans="1:13" hidden="1" x14ac:dyDescent="0.35">
      <c r="A1131" s="112" t="s">
        <v>3616</v>
      </c>
      <c r="B1131" s="112" t="s">
        <v>921</v>
      </c>
      <c r="C1131" s="112" t="s">
        <v>695</v>
      </c>
      <c r="D1131" s="113">
        <v>10347981</v>
      </c>
      <c r="E1131" s="115">
        <v>43924</v>
      </c>
      <c r="F1131" s="114">
        <v>202101</v>
      </c>
      <c r="G1131" s="112" t="s">
        <v>1091</v>
      </c>
      <c r="H1131" s="112" t="s">
        <v>1015</v>
      </c>
      <c r="I1131" s="112" t="s">
        <v>3619</v>
      </c>
      <c r="J1131" s="112" t="s">
        <v>3620</v>
      </c>
      <c r="K1131" s="112" t="s">
        <v>3666</v>
      </c>
      <c r="L1131" s="116">
        <v>-33</v>
      </c>
      <c r="M1131" s="116">
        <f t="shared" si="17"/>
        <v>-3.3000000000000002E-2</v>
      </c>
    </row>
    <row r="1132" spans="1:13" hidden="1" x14ac:dyDescent="0.35">
      <c r="A1132" s="112" t="s">
        <v>3616</v>
      </c>
      <c r="B1132" s="112" t="s">
        <v>922</v>
      </c>
      <c r="C1132" s="112" t="s">
        <v>695</v>
      </c>
      <c r="D1132" s="113">
        <v>10347981</v>
      </c>
      <c r="E1132" s="115">
        <v>43924</v>
      </c>
      <c r="F1132" s="114">
        <v>202101</v>
      </c>
      <c r="G1132" s="112" t="s">
        <v>1091</v>
      </c>
      <c r="H1132" s="112" t="s">
        <v>1015</v>
      </c>
      <c r="I1132" s="112" t="s">
        <v>3654</v>
      </c>
      <c r="J1132" s="112" t="s">
        <v>3655</v>
      </c>
      <c r="K1132" s="112" t="s">
        <v>3780</v>
      </c>
      <c r="L1132" s="116">
        <v>-1721</v>
      </c>
      <c r="M1132" s="116">
        <f t="shared" si="17"/>
        <v>-1.7210000000000001</v>
      </c>
    </row>
    <row r="1133" spans="1:13" hidden="1" x14ac:dyDescent="0.35">
      <c r="A1133" s="112" t="s">
        <v>3616</v>
      </c>
      <c r="B1133" s="112" t="s">
        <v>921</v>
      </c>
      <c r="C1133" s="112" t="s">
        <v>695</v>
      </c>
      <c r="D1133" s="113">
        <v>10347981</v>
      </c>
      <c r="E1133" s="115">
        <v>43924</v>
      </c>
      <c r="F1133" s="114">
        <v>202101</v>
      </c>
      <c r="G1133" s="112" t="s">
        <v>1091</v>
      </c>
      <c r="H1133" s="112" t="s">
        <v>1015</v>
      </c>
      <c r="I1133" s="112" t="s">
        <v>3619</v>
      </c>
      <c r="J1133" s="112" t="s">
        <v>3620</v>
      </c>
      <c r="K1133" s="112" t="s">
        <v>3666</v>
      </c>
      <c r="L1133" s="116">
        <v>-17.850000000000001</v>
      </c>
      <c r="M1133" s="116">
        <f t="shared" si="17"/>
        <v>-1.7850000000000001E-2</v>
      </c>
    </row>
    <row r="1134" spans="1:13" hidden="1" x14ac:dyDescent="0.35">
      <c r="A1134" s="112" t="s">
        <v>3616</v>
      </c>
      <c r="B1134" s="112" t="s">
        <v>919</v>
      </c>
      <c r="C1134" s="112" t="s">
        <v>695</v>
      </c>
      <c r="D1134" s="113">
        <v>10347981</v>
      </c>
      <c r="E1134" s="115">
        <v>43924</v>
      </c>
      <c r="F1134" s="114">
        <v>202101</v>
      </c>
      <c r="G1134" s="112" t="s">
        <v>1091</v>
      </c>
      <c r="H1134" s="112" t="s">
        <v>1015</v>
      </c>
      <c r="I1134" s="112" t="s">
        <v>3619</v>
      </c>
      <c r="J1134" s="112" t="s">
        <v>3634</v>
      </c>
      <c r="K1134" s="112" t="s">
        <v>3783</v>
      </c>
      <c r="L1134" s="116">
        <v>-296.86</v>
      </c>
      <c r="M1134" s="116">
        <f t="shared" si="17"/>
        <v>-0.29686000000000001</v>
      </c>
    </row>
    <row r="1135" spans="1:13" hidden="1" x14ac:dyDescent="0.35">
      <c r="A1135" s="112" t="s">
        <v>3616</v>
      </c>
      <c r="B1135" s="112" t="s">
        <v>921</v>
      </c>
      <c r="C1135" s="112" t="s">
        <v>695</v>
      </c>
      <c r="D1135" s="113">
        <v>10347981</v>
      </c>
      <c r="E1135" s="115">
        <v>43924</v>
      </c>
      <c r="F1135" s="114">
        <v>202101</v>
      </c>
      <c r="G1135" s="112" t="s">
        <v>1091</v>
      </c>
      <c r="H1135" s="112" t="s">
        <v>1015</v>
      </c>
      <c r="I1135" s="112" t="s">
        <v>3686</v>
      </c>
      <c r="J1135" s="112" t="s">
        <v>3620</v>
      </c>
      <c r="K1135" s="112" t="s">
        <v>3687</v>
      </c>
      <c r="L1135" s="116">
        <v>-22.5</v>
      </c>
      <c r="M1135" s="116">
        <f t="shared" si="17"/>
        <v>-2.2499999999999999E-2</v>
      </c>
    </row>
    <row r="1136" spans="1:13" hidden="1" x14ac:dyDescent="0.35">
      <c r="A1136" s="112" t="s">
        <v>3616</v>
      </c>
      <c r="B1136" s="112" t="s">
        <v>922</v>
      </c>
      <c r="C1136" s="112" t="s">
        <v>695</v>
      </c>
      <c r="D1136" s="113">
        <v>10348119</v>
      </c>
      <c r="E1136" s="115">
        <v>43930</v>
      </c>
      <c r="F1136" s="114">
        <v>202101</v>
      </c>
      <c r="G1136" s="112" t="s">
        <v>1091</v>
      </c>
      <c r="H1136" s="112" t="s">
        <v>1015</v>
      </c>
      <c r="I1136" s="112" t="s">
        <v>3742</v>
      </c>
      <c r="J1136" s="112" t="s">
        <v>3784</v>
      </c>
      <c r="K1136" s="112" t="s">
        <v>3785</v>
      </c>
      <c r="L1136" s="116">
        <v>4593.17</v>
      </c>
      <c r="M1136" s="116">
        <f t="shared" si="17"/>
        <v>4.5931699999999998</v>
      </c>
    </row>
    <row r="1137" spans="1:13" hidden="1" x14ac:dyDescent="0.35">
      <c r="A1137" s="112" t="s">
        <v>3616</v>
      </c>
      <c r="B1137" s="112" t="s">
        <v>921</v>
      </c>
      <c r="C1137" s="112" t="s">
        <v>695</v>
      </c>
      <c r="D1137" s="113">
        <v>10347981</v>
      </c>
      <c r="E1137" s="115">
        <v>43924</v>
      </c>
      <c r="F1137" s="114">
        <v>202101</v>
      </c>
      <c r="G1137" s="112" t="s">
        <v>1091</v>
      </c>
      <c r="H1137" s="112" t="s">
        <v>1015</v>
      </c>
      <c r="I1137" s="112" t="s">
        <v>3619</v>
      </c>
      <c r="J1137" s="112" t="s">
        <v>3620</v>
      </c>
      <c r="K1137" s="112" t="s">
        <v>3786</v>
      </c>
      <c r="L1137" s="116">
        <v>-148.41</v>
      </c>
      <c r="M1137" s="116">
        <f t="shared" si="17"/>
        <v>-0.14840999999999999</v>
      </c>
    </row>
    <row r="1138" spans="1:13" hidden="1" x14ac:dyDescent="0.35">
      <c r="A1138" s="112" t="s">
        <v>3616</v>
      </c>
      <c r="B1138" s="112" t="s">
        <v>919</v>
      </c>
      <c r="C1138" s="112" t="s">
        <v>695</v>
      </c>
      <c r="D1138" s="113">
        <v>10347981</v>
      </c>
      <c r="E1138" s="115">
        <v>43924</v>
      </c>
      <c r="F1138" s="114">
        <v>202101</v>
      </c>
      <c r="G1138" s="112" t="s">
        <v>1091</v>
      </c>
      <c r="H1138" s="112" t="s">
        <v>1015</v>
      </c>
      <c r="I1138" s="112" t="s">
        <v>3686</v>
      </c>
      <c r="J1138" s="112" t="s">
        <v>3624</v>
      </c>
      <c r="K1138" s="112" t="s">
        <v>3787</v>
      </c>
      <c r="L1138" s="116">
        <v>-486.6</v>
      </c>
      <c r="M1138" s="116">
        <f t="shared" si="17"/>
        <v>-0.48660000000000003</v>
      </c>
    </row>
    <row r="1139" spans="1:13" hidden="1" x14ac:dyDescent="0.35">
      <c r="A1139" s="112" t="s">
        <v>3616</v>
      </c>
      <c r="B1139" s="112" t="s">
        <v>919</v>
      </c>
      <c r="C1139" s="112" t="s">
        <v>695</v>
      </c>
      <c r="D1139" s="113">
        <v>10347981</v>
      </c>
      <c r="E1139" s="115">
        <v>43924</v>
      </c>
      <c r="F1139" s="114">
        <v>202101</v>
      </c>
      <c r="G1139" s="112" t="s">
        <v>1091</v>
      </c>
      <c r="H1139" s="112" t="s">
        <v>1015</v>
      </c>
      <c r="I1139" s="112" t="s">
        <v>3619</v>
      </c>
      <c r="J1139" s="112" t="s">
        <v>3632</v>
      </c>
      <c r="K1139" s="112" t="s">
        <v>3788</v>
      </c>
      <c r="L1139" s="116">
        <v>-26.06</v>
      </c>
      <c r="M1139" s="116">
        <f t="shared" si="17"/>
        <v>-2.606E-2</v>
      </c>
    </row>
    <row r="1140" spans="1:13" hidden="1" x14ac:dyDescent="0.35">
      <c r="A1140" s="112" t="s">
        <v>3616</v>
      </c>
      <c r="B1140" s="112" t="s">
        <v>919</v>
      </c>
      <c r="C1140" s="112" t="s">
        <v>695</v>
      </c>
      <c r="D1140" s="113">
        <v>10347981</v>
      </c>
      <c r="E1140" s="115">
        <v>43924</v>
      </c>
      <c r="F1140" s="114">
        <v>202101</v>
      </c>
      <c r="G1140" s="112" t="s">
        <v>1091</v>
      </c>
      <c r="H1140" s="112" t="s">
        <v>1015</v>
      </c>
      <c r="I1140" s="112" t="s">
        <v>3686</v>
      </c>
      <c r="J1140" s="112" t="s">
        <v>3632</v>
      </c>
      <c r="K1140" s="112" t="s">
        <v>3789</v>
      </c>
      <c r="L1140" s="116">
        <v>-43.5</v>
      </c>
      <c r="M1140" s="116">
        <f t="shared" si="17"/>
        <v>-4.3499999999999997E-2</v>
      </c>
    </row>
    <row r="1141" spans="1:13" hidden="1" x14ac:dyDescent="0.35">
      <c r="A1141" s="112" t="s">
        <v>3616</v>
      </c>
      <c r="B1141" s="112" t="s">
        <v>922</v>
      </c>
      <c r="C1141" s="112" t="s">
        <v>695</v>
      </c>
      <c r="D1141" s="113">
        <v>10348128</v>
      </c>
      <c r="E1141" s="115">
        <v>43929</v>
      </c>
      <c r="F1141" s="114">
        <v>202101</v>
      </c>
      <c r="G1141" s="112" t="s">
        <v>1091</v>
      </c>
      <c r="H1141" s="112" t="s">
        <v>1015</v>
      </c>
      <c r="I1141" s="112" t="s">
        <v>3790</v>
      </c>
      <c r="J1141" s="112" t="s">
        <v>3791</v>
      </c>
      <c r="K1141" s="112" t="s">
        <v>3792</v>
      </c>
      <c r="L1141" s="116">
        <v>1140</v>
      </c>
      <c r="M1141" s="116">
        <f t="shared" si="17"/>
        <v>1.1399999999999999</v>
      </c>
    </row>
    <row r="1142" spans="1:13" hidden="1" x14ac:dyDescent="0.35">
      <c r="A1142" s="112" t="s">
        <v>3616</v>
      </c>
      <c r="B1142" s="112" t="s">
        <v>922</v>
      </c>
      <c r="C1142" s="112" t="s">
        <v>695</v>
      </c>
      <c r="D1142" s="113">
        <v>10348128</v>
      </c>
      <c r="E1142" s="115">
        <v>43929</v>
      </c>
      <c r="F1142" s="114">
        <v>202101</v>
      </c>
      <c r="G1142" s="112" t="s">
        <v>1091</v>
      </c>
      <c r="H1142" s="112" t="s">
        <v>1015</v>
      </c>
      <c r="I1142" s="112" t="s">
        <v>761</v>
      </c>
      <c r="J1142" s="112" t="s">
        <v>3784</v>
      </c>
      <c r="K1142" s="112" t="s">
        <v>3793</v>
      </c>
      <c r="L1142" s="116">
        <v>3202.72</v>
      </c>
      <c r="M1142" s="116">
        <f t="shared" si="17"/>
        <v>3.2027199999999998</v>
      </c>
    </row>
    <row r="1143" spans="1:13" hidden="1" x14ac:dyDescent="0.35">
      <c r="A1143" s="112" t="s">
        <v>3616</v>
      </c>
      <c r="B1143" s="112" t="s">
        <v>922</v>
      </c>
      <c r="C1143" s="112" t="s">
        <v>695</v>
      </c>
      <c r="D1143" s="113">
        <v>10348128</v>
      </c>
      <c r="E1143" s="115">
        <v>43929</v>
      </c>
      <c r="F1143" s="114">
        <v>202101</v>
      </c>
      <c r="G1143" s="112" t="s">
        <v>1091</v>
      </c>
      <c r="H1143" s="112" t="s">
        <v>1015</v>
      </c>
      <c r="I1143" s="112" t="s">
        <v>761</v>
      </c>
      <c r="J1143" s="112" t="s">
        <v>3794</v>
      </c>
      <c r="K1143" s="112" t="s">
        <v>3795</v>
      </c>
      <c r="L1143" s="116">
        <v>-4500</v>
      </c>
      <c r="M1143" s="116">
        <f t="shared" si="17"/>
        <v>-4.5</v>
      </c>
    </row>
    <row r="1144" spans="1:13" hidden="1" x14ac:dyDescent="0.35">
      <c r="A1144" s="112" t="s">
        <v>3616</v>
      </c>
      <c r="B1144" s="112" t="s">
        <v>922</v>
      </c>
      <c r="C1144" s="112" t="s">
        <v>695</v>
      </c>
      <c r="D1144" s="113">
        <v>10348128</v>
      </c>
      <c r="E1144" s="115">
        <v>43929</v>
      </c>
      <c r="F1144" s="114">
        <v>202101</v>
      </c>
      <c r="G1144" s="112" t="s">
        <v>1091</v>
      </c>
      <c r="H1144" s="112" t="s">
        <v>1015</v>
      </c>
      <c r="I1144" s="112" t="s">
        <v>3672</v>
      </c>
      <c r="J1144" s="112" t="s">
        <v>3794</v>
      </c>
      <c r="K1144" s="112" t="s">
        <v>3799</v>
      </c>
      <c r="L1144" s="116">
        <v>-2563.75</v>
      </c>
      <c r="M1144" s="116">
        <f t="shared" si="17"/>
        <v>-2.5637500000000002</v>
      </c>
    </row>
    <row r="1145" spans="1:13" hidden="1" x14ac:dyDescent="0.35">
      <c r="A1145" s="112" t="s">
        <v>3616</v>
      </c>
      <c r="B1145" s="112" t="s">
        <v>922</v>
      </c>
      <c r="C1145" s="112" t="s">
        <v>695</v>
      </c>
      <c r="D1145" s="113">
        <v>10348128</v>
      </c>
      <c r="E1145" s="115">
        <v>43929</v>
      </c>
      <c r="F1145" s="114">
        <v>202101</v>
      </c>
      <c r="G1145" s="112" t="s">
        <v>1091</v>
      </c>
      <c r="H1145" s="112" t="s">
        <v>1015</v>
      </c>
      <c r="I1145" s="112" t="s">
        <v>3672</v>
      </c>
      <c r="J1145" s="112" t="s">
        <v>3794</v>
      </c>
      <c r="K1145" s="112" t="s">
        <v>3800</v>
      </c>
      <c r="L1145" s="116">
        <v>-2563.75</v>
      </c>
      <c r="M1145" s="116">
        <f t="shared" si="17"/>
        <v>-2.5637500000000002</v>
      </c>
    </row>
    <row r="1146" spans="1:13" hidden="1" x14ac:dyDescent="0.35">
      <c r="A1146" s="112" t="s">
        <v>3616</v>
      </c>
      <c r="B1146" s="112" t="s">
        <v>918</v>
      </c>
      <c r="C1146" s="112" t="s">
        <v>695</v>
      </c>
      <c r="D1146" s="113">
        <v>10348519</v>
      </c>
      <c r="E1146" s="115">
        <v>43950</v>
      </c>
      <c r="F1146" s="114">
        <v>202101</v>
      </c>
      <c r="G1146" s="112" t="s">
        <v>1091</v>
      </c>
      <c r="H1146" s="112" t="s">
        <v>1015</v>
      </c>
      <c r="I1146" s="112" t="s">
        <v>761</v>
      </c>
      <c r="J1146" s="112" t="s">
        <v>3695</v>
      </c>
      <c r="K1146" s="112" t="s">
        <v>3705</v>
      </c>
      <c r="L1146" s="116">
        <v>-500</v>
      </c>
      <c r="M1146" s="116">
        <f t="shared" si="17"/>
        <v>-0.5</v>
      </c>
    </row>
    <row r="1147" spans="1:13" hidden="1" x14ac:dyDescent="0.35">
      <c r="A1147" s="112" t="s">
        <v>3616</v>
      </c>
      <c r="B1147" s="112" t="s">
        <v>921</v>
      </c>
      <c r="C1147" s="112" t="s">
        <v>695</v>
      </c>
      <c r="D1147" s="113">
        <v>10347981</v>
      </c>
      <c r="E1147" s="115">
        <v>43924</v>
      </c>
      <c r="F1147" s="114">
        <v>202101</v>
      </c>
      <c r="G1147" s="112" t="s">
        <v>1091</v>
      </c>
      <c r="H1147" s="112" t="s">
        <v>1015</v>
      </c>
      <c r="I1147" s="112" t="s">
        <v>3619</v>
      </c>
      <c r="J1147" s="112" t="s">
        <v>3620</v>
      </c>
      <c r="K1147" s="112" t="s">
        <v>3704</v>
      </c>
      <c r="L1147" s="116">
        <v>-7.3</v>
      </c>
      <c r="M1147" s="116">
        <f t="shared" si="17"/>
        <v>-7.3000000000000001E-3</v>
      </c>
    </row>
    <row r="1148" spans="1:13" hidden="1" x14ac:dyDescent="0.35">
      <c r="A1148" s="112" t="s">
        <v>3616</v>
      </c>
      <c r="B1148" s="112" t="s">
        <v>921</v>
      </c>
      <c r="C1148" s="112" t="s">
        <v>695</v>
      </c>
      <c r="D1148" s="113">
        <v>10347981</v>
      </c>
      <c r="E1148" s="115">
        <v>43924</v>
      </c>
      <c r="F1148" s="114">
        <v>202101</v>
      </c>
      <c r="G1148" s="112" t="s">
        <v>1091</v>
      </c>
      <c r="H1148" s="112" t="s">
        <v>1015</v>
      </c>
      <c r="I1148" s="112" t="s">
        <v>3619</v>
      </c>
      <c r="J1148" s="112" t="s">
        <v>3620</v>
      </c>
      <c r="K1148" s="112" t="s">
        <v>3666</v>
      </c>
      <c r="L1148" s="116">
        <v>-5.89</v>
      </c>
      <c r="M1148" s="116">
        <f t="shared" si="17"/>
        <v>-5.8899999999999994E-3</v>
      </c>
    </row>
    <row r="1149" spans="1:13" hidden="1" x14ac:dyDescent="0.35">
      <c r="A1149" s="112" t="s">
        <v>3616</v>
      </c>
      <c r="B1149" s="112" t="s">
        <v>921</v>
      </c>
      <c r="C1149" s="112" t="s">
        <v>695</v>
      </c>
      <c r="D1149" s="113">
        <v>10347981</v>
      </c>
      <c r="E1149" s="115">
        <v>43924</v>
      </c>
      <c r="F1149" s="114">
        <v>202101</v>
      </c>
      <c r="G1149" s="112" t="s">
        <v>1091</v>
      </c>
      <c r="H1149" s="112" t="s">
        <v>1015</v>
      </c>
      <c r="I1149" s="112" t="s">
        <v>3619</v>
      </c>
      <c r="J1149" s="112" t="s">
        <v>3620</v>
      </c>
      <c r="K1149" s="112" t="s">
        <v>3801</v>
      </c>
      <c r="L1149" s="116">
        <v>-186.84</v>
      </c>
      <c r="M1149" s="116">
        <f t="shared" si="17"/>
        <v>-0.18684000000000001</v>
      </c>
    </row>
    <row r="1150" spans="1:13" hidden="1" x14ac:dyDescent="0.35">
      <c r="A1150" s="112" t="s">
        <v>3616</v>
      </c>
      <c r="B1150" s="112" t="s">
        <v>921</v>
      </c>
      <c r="C1150" s="112" t="s">
        <v>695</v>
      </c>
      <c r="D1150" s="113">
        <v>10347981</v>
      </c>
      <c r="E1150" s="115">
        <v>43924</v>
      </c>
      <c r="F1150" s="114">
        <v>202101</v>
      </c>
      <c r="G1150" s="112" t="s">
        <v>1091</v>
      </c>
      <c r="H1150" s="112" t="s">
        <v>1015</v>
      </c>
      <c r="I1150" s="112" t="s">
        <v>3686</v>
      </c>
      <c r="J1150" s="112" t="s">
        <v>3620</v>
      </c>
      <c r="K1150" s="112" t="s">
        <v>3687</v>
      </c>
      <c r="L1150" s="116">
        <v>-495.6</v>
      </c>
      <c r="M1150" s="116">
        <f t="shared" si="17"/>
        <v>-0.49560000000000004</v>
      </c>
    </row>
    <row r="1151" spans="1:13" hidden="1" x14ac:dyDescent="0.35">
      <c r="A1151" s="112" t="s">
        <v>3616</v>
      </c>
      <c r="B1151" s="112" t="s">
        <v>921</v>
      </c>
      <c r="C1151" s="112" t="s">
        <v>695</v>
      </c>
      <c r="D1151" s="113">
        <v>10347981</v>
      </c>
      <c r="E1151" s="115">
        <v>43924</v>
      </c>
      <c r="F1151" s="114">
        <v>202101</v>
      </c>
      <c r="G1151" s="112" t="s">
        <v>1091</v>
      </c>
      <c r="H1151" s="112" t="s">
        <v>1015</v>
      </c>
      <c r="I1151" s="112" t="s">
        <v>3619</v>
      </c>
      <c r="J1151" s="112" t="s">
        <v>3620</v>
      </c>
      <c r="K1151" s="112" t="s">
        <v>3666</v>
      </c>
      <c r="L1151" s="116">
        <v>-59.9</v>
      </c>
      <c r="M1151" s="116">
        <f t="shared" si="17"/>
        <v>-5.9900000000000002E-2</v>
      </c>
    </row>
    <row r="1152" spans="1:13" hidden="1" x14ac:dyDescent="0.35">
      <c r="A1152" s="112" t="s">
        <v>3616</v>
      </c>
      <c r="B1152" s="112" t="s">
        <v>921</v>
      </c>
      <c r="C1152" s="112" t="s">
        <v>695</v>
      </c>
      <c r="D1152" s="113">
        <v>10347981</v>
      </c>
      <c r="E1152" s="115">
        <v>43924</v>
      </c>
      <c r="F1152" s="114">
        <v>202101</v>
      </c>
      <c r="G1152" s="112" t="s">
        <v>1091</v>
      </c>
      <c r="H1152" s="112" t="s">
        <v>1015</v>
      </c>
      <c r="I1152" s="112" t="s">
        <v>3619</v>
      </c>
      <c r="J1152" s="112" t="s">
        <v>3620</v>
      </c>
      <c r="K1152" s="112" t="s">
        <v>3802</v>
      </c>
      <c r="L1152" s="116">
        <v>-16</v>
      </c>
      <c r="M1152" s="116">
        <f t="shared" si="17"/>
        <v>-1.6E-2</v>
      </c>
    </row>
    <row r="1153" spans="1:13" hidden="1" x14ac:dyDescent="0.35">
      <c r="A1153" s="112" t="s">
        <v>3616</v>
      </c>
      <c r="B1153" s="112" t="s">
        <v>919</v>
      </c>
      <c r="C1153" s="112" t="s">
        <v>695</v>
      </c>
      <c r="D1153" s="113">
        <v>10347981</v>
      </c>
      <c r="E1153" s="115">
        <v>43924</v>
      </c>
      <c r="F1153" s="114">
        <v>202101</v>
      </c>
      <c r="G1153" s="112" t="s">
        <v>1091</v>
      </c>
      <c r="H1153" s="112" t="s">
        <v>1015</v>
      </c>
      <c r="I1153" s="112" t="s">
        <v>3619</v>
      </c>
      <c r="J1153" s="112" t="s">
        <v>3624</v>
      </c>
      <c r="K1153" s="112" t="s">
        <v>3803</v>
      </c>
      <c r="L1153" s="116">
        <v>-10.98</v>
      </c>
      <c r="M1153" s="116">
        <f t="shared" si="17"/>
        <v>-1.098E-2</v>
      </c>
    </row>
    <row r="1154" spans="1:13" hidden="1" x14ac:dyDescent="0.35">
      <c r="A1154" s="112" t="s">
        <v>3616</v>
      </c>
      <c r="B1154" s="112" t="s">
        <v>919</v>
      </c>
      <c r="C1154" s="112" t="s">
        <v>695</v>
      </c>
      <c r="D1154" s="113">
        <v>10347981</v>
      </c>
      <c r="E1154" s="115">
        <v>43924</v>
      </c>
      <c r="F1154" s="114">
        <v>202101</v>
      </c>
      <c r="G1154" s="112" t="s">
        <v>1091</v>
      </c>
      <c r="H1154" s="112" t="s">
        <v>1015</v>
      </c>
      <c r="I1154" s="112" t="s">
        <v>2454</v>
      </c>
      <c r="J1154" s="112" t="s">
        <v>3628</v>
      </c>
      <c r="K1154" s="112" t="s">
        <v>3804</v>
      </c>
      <c r="L1154" s="116">
        <v>-820</v>
      </c>
      <c r="M1154" s="116">
        <f t="shared" si="17"/>
        <v>-0.82</v>
      </c>
    </row>
    <row r="1155" spans="1:13" hidden="1" x14ac:dyDescent="0.35">
      <c r="A1155" s="112" t="s">
        <v>3616</v>
      </c>
      <c r="B1155" s="112" t="s">
        <v>921</v>
      </c>
      <c r="C1155" s="112" t="s">
        <v>695</v>
      </c>
      <c r="D1155" s="113">
        <v>10347981</v>
      </c>
      <c r="E1155" s="115">
        <v>43924</v>
      </c>
      <c r="F1155" s="114">
        <v>202101</v>
      </c>
      <c r="G1155" s="112" t="s">
        <v>1091</v>
      </c>
      <c r="H1155" s="112" t="s">
        <v>1015</v>
      </c>
      <c r="I1155" s="112" t="s">
        <v>3686</v>
      </c>
      <c r="J1155" s="112" t="s">
        <v>3620</v>
      </c>
      <c r="K1155" s="112" t="s">
        <v>3687</v>
      </c>
      <c r="L1155" s="116">
        <v>-244.5</v>
      </c>
      <c r="M1155" s="116">
        <f t="shared" ref="M1155:M1218" si="18">L1155/1000</f>
        <v>-0.2445</v>
      </c>
    </row>
    <row r="1156" spans="1:13" hidden="1" x14ac:dyDescent="0.35">
      <c r="A1156" s="112" t="s">
        <v>3616</v>
      </c>
      <c r="B1156" s="112" t="s">
        <v>922</v>
      </c>
      <c r="C1156" s="112" t="s">
        <v>695</v>
      </c>
      <c r="D1156" s="113">
        <v>10348521</v>
      </c>
      <c r="E1156" s="115">
        <v>43949</v>
      </c>
      <c r="F1156" s="114">
        <v>202101</v>
      </c>
      <c r="G1156" s="112" t="s">
        <v>1091</v>
      </c>
      <c r="H1156" s="112" t="s">
        <v>1015</v>
      </c>
      <c r="I1156" s="112" t="s">
        <v>2495</v>
      </c>
      <c r="J1156" s="112" t="s">
        <v>3805</v>
      </c>
      <c r="K1156" s="112" t="s">
        <v>3806</v>
      </c>
      <c r="L1156" s="116">
        <v>-12218</v>
      </c>
      <c r="M1156" s="116">
        <f t="shared" si="18"/>
        <v>-12.218</v>
      </c>
    </row>
    <row r="1157" spans="1:13" hidden="1" x14ac:dyDescent="0.35">
      <c r="A1157" s="112" t="s">
        <v>3616</v>
      </c>
      <c r="B1157" s="112" t="s">
        <v>919</v>
      </c>
      <c r="C1157" s="112" t="s">
        <v>695</v>
      </c>
      <c r="D1157" s="113">
        <v>10348539</v>
      </c>
      <c r="E1157" s="115">
        <v>43951</v>
      </c>
      <c r="F1157" s="114">
        <v>202101</v>
      </c>
      <c r="G1157" s="112" t="s">
        <v>1091</v>
      </c>
      <c r="H1157" s="112" t="s">
        <v>1015</v>
      </c>
      <c r="I1157" s="112" t="s">
        <v>2454</v>
      </c>
      <c r="J1157" s="112" t="s">
        <v>3628</v>
      </c>
      <c r="K1157" s="112" t="s">
        <v>3807</v>
      </c>
      <c r="L1157" s="116">
        <v>820</v>
      </c>
      <c r="M1157" s="116">
        <f t="shared" si="18"/>
        <v>0.82</v>
      </c>
    </row>
    <row r="1158" spans="1:13" hidden="1" x14ac:dyDescent="0.35">
      <c r="A1158" s="112" t="s">
        <v>3616</v>
      </c>
      <c r="B1158" s="112" t="s">
        <v>919</v>
      </c>
      <c r="C1158" s="112" t="s">
        <v>695</v>
      </c>
      <c r="D1158" s="113">
        <v>10348539</v>
      </c>
      <c r="E1158" s="115">
        <v>43951</v>
      </c>
      <c r="F1158" s="114">
        <v>202101</v>
      </c>
      <c r="G1158" s="112" t="s">
        <v>1091</v>
      </c>
      <c r="H1158" s="112" t="s">
        <v>1015</v>
      </c>
      <c r="I1158" s="112" t="s">
        <v>2454</v>
      </c>
      <c r="J1158" s="112" t="s">
        <v>3628</v>
      </c>
      <c r="K1158" s="112" t="s">
        <v>3808</v>
      </c>
      <c r="L1158" s="116">
        <v>1170</v>
      </c>
      <c r="M1158" s="116">
        <f t="shared" si="18"/>
        <v>1.17</v>
      </c>
    </row>
    <row r="1159" spans="1:13" hidden="1" x14ac:dyDescent="0.35">
      <c r="A1159" s="112" t="s">
        <v>3616</v>
      </c>
      <c r="B1159" s="112" t="s">
        <v>919</v>
      </c>
      <c r="C1159" s="112" t="s">
        <v>695</v>
      </c>
      <c r="D1159" s="113">
        <v>10348539</v>
      </c>
      <c r="E1159" s="115">
        <v>43951</v>
      </c>
      <c r="F1159" s="114">
        <v>202101</v>
      </c>
      <c r="G1159" s="112" t="s">
        <v>1091</v>
      </c>
      <c r="H1159" s="112" t="s">
        <v>1015</v>
      </c>
      <c r="I1159" s="112" t="s">
        <v>2454</v>
      </c>
      <c r="J1159" s="112" t="s">
        <v>3628</v>
      </c>
      <c r="K1159" s="112" t="s">
        <v>3809</v>
      </c>
      <c r="L1159" s="116">
        <v>1240</v>
      </c>
      <c r="M1159" s="116">
        <f t="shared" si="18"/>
        <v>1.24</v>
      </c>
    </row>
    <row r="1160" spans="1:13" hidden="1" x14ac:dyDescent="0.35">
      <c r="A1160" s="112" t="s">
        <v>3616</v>
      </c>
      <c r="B1160" s="112" t="s">
        <v>919</v>
      </c>
      <c r="C1160" s="112" t="s">
        <v>695</v>
      </c>
      <c r="D1160" s="113">
        <v>10348539</v>
      </c>
      <c r="E1160" s="115">
        <v>43951</v>
      </c>
      <c r="F1160" s="114">
        <v>202101</v>
      </c>
      <c r="G1160" s="112" t="s">
        <v>1091</v>
      </c>
      <c r="H1160" s="112" t="s">
        <v>1015</v>
      </c>
      <c r="I1160" s="112" t="s">
        <v>2454</v>
      </c>
      <c r="J1160" s="112" t="s">
        <v>3628</v>
      </c>
      <c r="K1160" s="112" t="s">
        <v>3810</v>
      </c>
      <c r="L1160" s="116">
        <v>1240</v>
      </c>
      <c r="M1160" s="116">
        <f t="shared" si="18"/>
        <v>1.24</v>
      </c>
    </row>
    <row r="1161" spans="1:13" hidden="1" x14ac:dyDescent="0.35">
      <c r="A1161" s="112" t="s">
        <v>3616</v>
      </c>
      <c r="B1161" s="112" t="s">
        <v>919</v>
      </c>
      <c r="C1161" s="112" t="s">
        <v>695</v>
      </c>
      <c r="D1161" s="113">
        <v>10348539</v>
      </c>
      <c r="E1161" s="115">
        <v>43951</v>
      </c>
      <c r="F1161" s="114">
        <v>202101</v>
      </c>
      <c r="G1161" s="112" t="s">
        <v>1091</v>
      </c>
      <c r="H1161" s="112" t="s">
        <v>1015</v>
      </c>
      <c r="I1161" s="112" t="s">
        <v>2454</v>
      </c>
      <c r="J1161" s="112" t="s">
        <v>3628</v>
      </c>
      <c r="K1161" s="112" t="s">
        <v>3811</v>
      </c>
      <c r="L1161" s="116">
        <v>1520</v>
      </c>
      <c r="M1161" s="116">
        <f t="shared" si="18"/>
        <v>1.52</v>
      </c>
    </row>
    <row r="1162" spans="1:13" hidden="1" x14ac:dyDescent="0.35">
      <c r="A1162" s="112" t="s">
        <v>3616</v>
      </c>
      <c r="B1162" s="112" t="s">
        <v>919</v>
      </c>
      <c r="C1162" s="112" t="s">
        <v>695</v>
      </c>
      <c r="D1162" s="113">
        <v>10348539</v>
      </c>
      <c r="E1162" s="115">
        <v>43951</v>
      </c>
      <c r="F1162" s="114">
        <v>202101</v>
      </c>
      <c r="G1162" s="112" t="s">
        <v>1091</v>
      </c>
      <c r="H1162" s="112" t="s">
        <v>1015</v>
      </c>
      <c r="I1162" s="112" t="s">
        <v>2454</v>
      </c>
      <c r="J1162" s="112" t="s">
        <v>3628</v>
      </c>
      <c r="K1162" s="112" t="s">
        <v>3812</v>
      </c>
      <c r="L1162" s="116">
        <v>2095</v>
      </c>
      <c r="M1162" s="116">
        <f t="shared" si="18"/>
        <v>2.0950000000000002</v>
      </c>
    </row>
    <row r="1163" spans="1:13" hidden="1" x14ac:dyDescent="0.35">
      <c r="A1163" s="112" t="s">
        <v>3616</v>
      </c>
      <c r="B1163" s="112" t="s">
        <v>919</v>
      </c>
      <c r="C1163" s="112" t="s">
        <v>695</v>
      </c>
      <c r="D1163" s="113">
        <v>10347981</v>
      </c>
      <c r="E1163" s="115">
        <v>43924</v>
      </c>
      <c r="F1163" s="114">
        <v>202101</v>
      </c>
      <c r="G1163" s="112" t="s">
        <v>1091</v>
      </c>
      <c r="H1163" s="112" t="s">
        <v>1015</v>
      </c>
      <c r="I1163" s="112" t="s">
        <v>745</v>
      </c>
      <c r="J1163" s="112" t="s">
        <v>3628</v>
      </c>
      <c r="K1163" s="112" t="s">
        <v>3813</v>
      </c>
      <c r="L1163" s="116">
        <v>-1775.8</v>
      </c>
      <c r="M1163" s="116">
        <f t="shared" si="18"/>
        <v>-1.7758</v>
      </c>
    </row>
    <row r="1164" spans="1:13" hidden="1" x14ac:dyDescent="0.35">
      <c r="A1164" s="112" t="s">
        <v>3616</v>
      </c>
      <c r="B1164" s="112" t="s">
        <v>919</v>
      </c>
      <c r="C1164" s="112" t="s">
        <v>695</v>
      </c>
      <c r="D1164" s="113">
        <v>10347981</v>
      </c>
      <c r="E1164" s="115">
        <v>43924</v>
      </c>
      <c r="F1164" s="114">
        <v>202101</v>
      </c>
      <c r="G1164" s="112" t="s">
        <v>1091</v>
      </c>
      <c r="H1164" s="112" t="s">
        <v>1015</v>
      </c>
      <c r="I1164" s="112" t="s">
        <v>2454</v>
      </c>
      <c r="J1164" s="112" t="s">
        <v>3634</v>
      </c>
      <c r="K1164" s="112" t="s">
        <v>3815</v>
      </c>
      <c r="L1164" s="116">
        <v>-581.95000000000005</v>
      </c>
      <c r="M1164" s="116">
        <f t="shared" si="18"/>
        <v>-0.58195000000000008</v>
      </c>
    </row>
    <row r="1165" spans="1:13" hidden="1" x14ac:dyDescent="0.35">
      <c r="A1165" s="112" t="s">
        <v>3616</v>
      </c>
      <c r="B1165" s="112" t="s">
        <v>921</v>
      </c>
      <c r="C1165" s="112" t="s">
        <v>695</v>
      </c>
      <c r="D1165" s="113">
        <v>10347981</v>
      </c>
      <c r="E1165" s="115">
        <v>43924</v>
      </c>
      <c r="F1165" s="114">
        <v>202101</v>
      </c>
      <c r="G1165" s="112" t="s">
        <v>1091</v>
      </c>
      <c r="H1165" s="112" t="s">
        <v>1015</v>
      </c>
      <c r="I1165" s="112" t="s">
        <v>3619</v>
      </c>
      <c r="J1165" s="112" t="s">
        <v>3620</v>
      </c>
      <c r="K1165" s="112" t="s">
        <v>3668</v>
      </c>
      <c r="L1165" s="116">
        <v>-71.400000000000006</v>
      </c>
      <c r="M1165" s="116">
        <f t="shared" si="18"/>
        <v>-7.1400000000000005E-2</v>
      </c>
    </row>
    <row r="1166" spans="1:13" hidden="1" x14ac:dyDescent="0.35">
      <c r="A1166" s="112" t="s">
        <v>3616</v>
      </c>
      <c r="B1166" s="112" t="s">
        <v>919</v>
      </c>
      <c r="C1166" s="112" t="s">
        <v>695</v>
      </c>
      <c r="D1166" s="113">
        <v>10347981</v>
      </c>
      <c r="E1166" s="115">
        <v>43924</v>
      </c>
      <c r="F1166" s="114">
        <v>202101</v>
      </c>
      <c r="G1166" s="112" t="s">
        <v>1091</v>
      </c>
      <c r="H1166" s="112" t="s">
        <v>1015</v>
      </c>
      <c r="I1166" s="112" t="s">
        <v>3619</v>
      </c>
      <c r="J1166" s="112" t="s">
        <v>3634</v>
      </c>
      <c r="K1166" s="112" t="s">
        <v>3816</v>
      </c>
      <c r="L1166" s="116">
        <v>-21.08</v>
      </c>
      <c r="M1166" s="116">
        <f t="shared" si="18"/>
        <v>-2.1079999999999998E-2</v>
      </c>
    </row>
    <row r="1167" spans="1:13" hidden="1" x14ac:dyDescent="0.35">
      <c r="A1167" s="112" t="s">
        <v>3616</v>
      </c>
      <c r="B1167" s="112" t="s">
        <v>921</v>
      </c>
      <c r="C1167" s="112" t="s">
        <v>695</v>
      </c>
      <c r="D1167" s="113">
        <v>10347981</v>
      </c>
      <c r="E1167" s="115">
        <v>43924</v>
      </c>
      <c r="F1167" s="114">
        <v>202101</v>
      </c>
      <c r="G1167" s="112" t="s">
        <v>1091</v>
      </c>
      <c r="H1167" s="112" t="s">
        <v>1015</v>
      </c>
      <c r="I1167" s="112" t="s">
        <v>3619</v>
      </c>
      <c r="J1167" s="112" t="s">
        <v>3620</v>
      </c>
      <c r="K1167" s="112" t="s">
        <v>3704</v>
      </c>
      <c r="L1167" s="116">
        <v>-16.260000000000002</v>
      </c>
      <c r="M1167" s="116">
        <f t="shared" si="18"/>
        <v>-1.626E-2</v>
      </c>
    </row>
    <row r="1168" spans="1:13" hidden="1" x14ac:dyDescent="0.35">
      <c r="A1168" s="112" t="s">
        <v>3616</v>
      </c>
      <c r="B1168" s="112" t="s">
        <v>919</v>
      </c>
      <c r="C1168" s="112" t="s">
        <v>695</v>
      </c>
      <c r="D1168" s="113">
        <v>10347981</v>
      </c>
      <c r="E1168" s="115">
        <v>43924</v>
      </c>
      <c r="F1168" s="114">
        <v>202101</v>
      </c>
      <c r="G1168" s="112" t="s">
        <v>1091</v>
      </c>
      <c r="H1168" s="112" t="s">
        <v>1015</v>
      </c>
      <c r="I1168" s="112" t="s">
        <v>3686</v>
      </c>
      <c r="J1168" s="112" t="s">
        <v>3624</v>
      </c>
      <c r="K1168" s="112" t="s">
        <v>3817</v>
      </c>
      <c r="L1168" s="116">
        <v>-30</v>
      </c>
      <c r="M1168" s="116">
        <f t="shared" si="18"/>
        <v>-0.03</v>
      </c>
    </row>
    <row r="1169" spans="1:13" hidden="1" x14ac:dyDescent="0.35">
      <c r="A1169" s="112" t="s">
        <v>3616</v>
      </c>
      <c r="B1169" s="112" t="s">
        <v>921</v>
      </c>
      <c r="C1169" s="112" t="s">
        <v>695</v>
      </c>
      <c r="D1169" s="113">
        <v>10347981</v>
      </c>
      <c r="E1169" s="115">
        <v>43924</v>
      </c>
      <c r="F1169" s="114">
        <v>202101</v>
      </c>
      <c r="G1169" s="112" t="s">
        <v>1091</v>
      </c>
      <c r="H1169" s="112" t="s">
        <v>1015</v>
      </c>
      <c r="I1169" s="112" t="s">
        <v>3619</v>
      </c>
      <c r="J1169" s="112" t="s">
        <v>3620</v>
      </c>
      <c r="K1169" s="112" t="s">
        <v>3818</v>
      </c>
      <c r="L1169" s="116">
        <v>-18.14</v>
      </c>
      <c r="M1169" s="116">
        <f t="shared" si="18"/>
        <v>-1.814E-2</v>
      </c>
    </row>
    <row r="1170" spans="1:13" hidden="1" x14ac:dyDescent="0.35">
      <c r="A1170" s="112" t="s">
        <v>3616</v>
      </c>
      <c r="B1170" s="112" t="s">
        <v>923</v>
      </c>
      <c r="C1170" s="112" t="s">
        <v>695</v>
      </c>
      <c r="D1170" s="113">
        <v>10348172</v>
      </c>
      <c r="E1170" s="115">
        <v>43929</v>
      </c>
      <c r="F1170" s="114">
        <v>202101</v>
      </c>
      <c r="G1170" s="112" t="s">
        <v>1091</v>
      </c>
      <c r="H1170" s="112" t="s">
        <v>1015</v>
      </c>
      <c r="I1170" s="112" t="s">
        <v>3672</v>
      </c>
      <c r="J1170" s="112" t="s">
        <v>3714</v>
      </c>
      <c r="K1170" s="112" t="s">
        <v>3819</v>
      </c>
      <c r="L1170" s="116">
        <v>1000</v>
      </c>
      <c r="M1170" s="116">
        <f t="shared" si="18"/>
        <v>1</v>
      </c>
    </row>
    <row r="1171" spans="1:13" hidden="1" x14ac:dyDescent="0.35">
      <c r="A1171" s="112" t="s">
        <v>3616</v>
      </c>
      <c r="B1171" s="112" t="s">
        <v>919</v>
      </c>
      <c r="C1171" s="112" t="s">
        <v>695</v>
      </c>
      <c r="D1171" s="113">
        <v>10347981</v>
      </c>
      <c r="E1171" s="115">
        <v>43924</v>
      </c>
      <c r="F1171" s="114">
        <v>202101</v>
      </c>
      <c r="G1171" s="112" t="s">
        <v>1091</v>
      </c>
      <c r="H1171" s="112" t="s">
        <v>1015</v>
      </c>
      <c r="I1171" s="112" t="s">
        <v>3619</v>
      </c>
      <c r="J1171" s="112" t="s">
        <v>3617</v>
      </c>
      <c r="K1171" s="112" t="s">
        <v>3821</v>
      </c>
      <c r="L1171" s="116">
        <v>-28.68</v>
      </c>
      <c r="M1171" s="116">
        <f t="shared" si="18"/>
        <v>-2.8680000000000001E-2</v>
      </c>
    </row>
    <row r="1172" spans="1:13" hidden="1" x14ac:dyDescent="0.35">
      <c r="A1172" s="112" t="s">
        <v>3616</v>
      </c>
      <c r="B1172" s="112" t="s">
        <v>919</v>
      </c>
      <c r="C1172" s="112" t="s">
        <v>695</v>
      </c>
      <c r="D1172" s="113">
        <v>10347981</v>
      </c>
      <c r="E1172" s="115">
        <v>43924</v>
      </c>
      <c r="F1172" s="114">
        <v>202101</v>
      </c>
      <c r="G1172" s="112" t="s">
        <v>1091</v>
      </c>
      <c r="H1172" s="112" t="s">
        <v>1015</v>
      </c>
      <c r="I1172" s="112" t="s">
        <v>2454</v>
      </c>
      <c r="J1172" s="112" t="s">
        <v>3628</v>
      </c>
      <c r="K1172" s="112" t="s">
        <v>3822</v>
      </c>
      <c r="L1172" s="116">
        <v>-1520</v>
      </c>
      <c r="M1172" s="116">
        <f t="shared" si="18"/>
        <v>-1.52</v>
      </c>
    </row>
    <row r="1173" spans="1:13" hidden="1" x14ac:dyDescent="0.35">
      <c r="A1173" s="112" t="s">
        <v>3616</v>
      </c>
      <c r="B1173" s="112" t="s">
        <v>919</v>
      </c>
      <c r="C1173" s="112" t="s">
        <v>695</v>
      </c>
      <c r="D1173" s="113">
        <v>10347981</v>
      </c>
      <c r="E1173" s="115">
        <v>43924</v>
      </c>
      <c r="F1173" s="114">
        <v>202101</v>
      </c>
      <c r="G1173" s="112" t="s">
        <v>1091</v>
      </c>
      <c r="H1173" s="112" t="s">
        <v>1015</v>
      </c>
      <c r="I1173" s="112" t="s">
        <v>3619</v>
      </c>
      <c r="J1173" s="112" t="s">
        <v>3624</v>
      </c>
      <c r="K1173" s="112" t="s">
        <v>3823</v>
      </c>
      <c r="L1173" s="116">
        <v>-14.95</v>
      </c>
      <c r="M1173" s="116">
        <f t="shared" si="18"/>
        <v>-1.495E-2</v>
      </c>
    </row>
    <row r="1174" spans="1:13" hidden="1" x14ac:dyDescent="0.35">
      <c r="A1174" s="112" t="s">
        <v>3616</v>
      </c>
      <c r="B1174" s="112" t="s">
        <v>919</v>
      </c>
      <c r="C1174" s="112" t="s">
        <v>695</v>
      </c>
      <c r="D1174" s="113">
        <v>10347981</v>
      </c>
      <c r="E1174" s="115">
        <v>43924</v>
      </c>
      <c r="F1174" s="114">
        <v>202101</v>
      </c>
      <c r="G1174" s="112" t="s">
        <v>1091</v>
      </c>
      <c r="H1174" s="112" t="s">
        <v>1015</v>
      </c>
      <c r="I1174" s="112" t="s">
        <v>2454</v>
      </c>
      <c r="J1174" s="112" t="s">
        <v>3632</v>
      </c>
      <c r="K1174" s="112" t="s">
        <v>3824</v>
      </c>
      <c r="L1174" s="116">
        <v>-705.55</v>
      </c>
      <c r="M1174" s="116">
        <f t="shared" si="18"/>
        <v>-0.7055499999999999</v>
      </c>
    </row>
    <row r="1175" spans="1:13" hidden="1" x14ac:dyDescent="0.35">
      <c r="A1175" s="112" t="s">
        <v>3616</v>
      </c>
      <c r="B1175" s="112" t="s">
        <v>921</v>
      </c>
      <c r="C1175" s="112" t="s">
        <v>695</v>
      </c>
      <c r="D1175" s="113">
        <v>10347981</v>
      </c>
      <c r="E1175" s="115">
        <v>43924</v>
      </c>
      <c r="F1175" s="114">
        <v>202101</v>
      </c>
      <c r="G1175" s="112" t="s">
        <v>1091</v>
      </c>
      <c r="H1175" s="112" t="s">
        <v>1015</v>
      </c>
      <c r="I1175" s="112" t="s">
        <v>745</v>
      </c>
      <c r="J1175" s="112" t="s">
        <v>3620</v>
      </c>
      <c r="K1175" s="112" t="s">
        <v>3825</v>
      </c>
      <c r="L1175" s="116">
        <v>-42</v>
      </c>
      <c r="M1175" s="116">
        <f t="shared" si="18"/>
        <v>-4.2000000000000003E-2</v>
      </c>
    </row>
    <row r="1176" spans="1:13" hidden="1" x14ac:dyDescent="0.35">
      <c r="A1176" s="112" t="s">
        <v>3616</v>
      </c>
      <c r="B1176" s="112" t="s">
        <v>919</v>
      </c>
      <c r="C1176" s="112" t="s">
        <v>695</v>
      </c>
      <c r="D1176" s="113">
        <v>10347981</v>
      </c>
      <c r="E1176" s="115">
        <v>43924</v>
      </c>
      <c r="F1176" s="114">
        <v>202101</v>
      </c>
      <c r="G1176" s="112" t="s">
        <v>1091</v>
      </c>
      <c r="H1176" s="112" t="s">
        <v>1015</v>
      </c>
      <c r="I1176" s="112" t="s">
        <v>3619</v>
      </c>
      <c r="J1176" s="112" t="s">
        <v>3617</v>
      </c>
      <c r="K1176" s="112" t="s">
        <v>3826</v>
      </c>
      <c r="L1176" s="116">
        <v>-57.24</v>
      </c>
      <c r="M1176" s="116">
        <f t="shared" si="18"/>
        <v>-5.7239999999999999E-2</v>
      </c>
    </row>
    <row r="1177" spans="1:13" hidden="1" x14ac:dyDescent="0.35">
      <c r="A1177" s="112" t="s">
        <v>3616</v>
      </c>
      <c r="B1177" s="112" t="s">
        <v>919</v>
      </c>
      <c r="C1177" s="112" t="s">
        <v>695</v>
      </c>
      <c r="D1177" s="113">
        <v>10347981</v>
      </c>
      <c r="E1177" s="115">
        <v>43924</v>
      </c>
      <c r="F1177" s="114">
        <v>202101</v>
      </c>
      <c r="G1177" s="112" t="s">
        <v>1091</v>
      </c>
      <c r="H1177" s="112" t="s">
        <v>1015</v>
      </c>
      <c r="I1177" s="112" t="s">
        <v>2454</v>
      </c>
      <c r="J1177" s="112" t="s">
        <v>3617</v>
      </c>
      <c r="K1177" s="112" t="s">
        <v>3827</v>
      </c>
      <c r="L1177" s="116">
        <v>-942.45</v>
      </c>
      <c r="M1177" s="116">
        <f t="shared" si="18"/>
        <v>-0.94245000000000001</v>
      </c>
    </row>
    <row r="1178" spans="1:13" hidden="1" x14ac:dyDescent="0.35">
      <c r="A1178" s="112" t="s">
        <v>3616</v>
      </c>
      <c r="B1178" s="112" t="s">
        <v>919</v>
      </c>
      <c r="C1178" s="112" t="s">
        <v>695</v>
      </c>
      <c r="D1178" s="113">
        <v>10347981</v>
      </c>
      <c r="E1178" s="115">
        <v>43924</v>
      </c>
      <c r="F1178" s="114">
        <v>202101</v>
      </c>
      <c r="G1178" s="112" t="s">
        <v>1091</v>
      </c>
      <c r="H1178" s="112" t="s">
        <v>1015</v>
      </c>
      <c r="I1178" s="112" t="s">
        <v>3686</v>
      </c>
      <c r="J1178" s="112" t="s">
        <v>3617</v>
      </c>
      <c r="K1178" s="112" t="s">
        <v>3828</v>
      </c>
      <c r="L1178" s="116">
        <v>-20</v>
      </c>
      <c r="M1178" s="116">
        <f t="shared" si="18"/>
        <v>-0.02</v>
      </c>
    </row>
    <row r="1179" spans="1:13" hidden="1" x14ac:dyDescent="0.35">
      <c r="A1179" s="112" t="s">
        <v>3616</v>
      </c>
      <c r="B1179" s="112" t="s">
        <v>919</v>
      </c>
      <c r="C1179" s="112" t="s">
        <v>695</v>
      </c>
      <c r="D1179" s="113">
        <v>10347981</v>
      </c>
      <c r="E1179" s="115">
        <v>43924</v>
      </c>
      <c r="F1179" s="114">
        <v>202101</v>
      </c>
      <c r="G1179" s="112" t="s">
        <v>1091</v>
      </c>
      <c r="H1179" s="112" t="s">
        <v>1015</v>
      </c>
      <c r="I1179" s="112" t="s">
        <v>2454</v>
      </c>
      <c r="J1179" s="112" t="s">
        <v>3632</v>
      </c>
      <c r="K1179" s="112" t="s">
        <v>3829</v>
      </c>
      <c r="L1179" s="116">
        <v>-185.4</v>
      </c>
      <c r="M1179" s="116">
        <f t="shared" si="18"/>
        <v>-0.18540000000000001</v>
      </c>
    </row>
    <row r="1180" spans="1:13" hidden="1" x14ac:dyDescent="0.35">
      <c r="A1180" s="112" t="s">
        <v>3616</v>
      </c>
      <c r="B1180" s="112" t="s">
        <v>921</v>
      </c>
      <c r="C1180" s="112" t="s">
        <v>695</v>
      </c>
      <c r="D1180" s="113">
        <v>10347981</v>
      </c>
      <c r="E1180" s="115">
        <v>43924</v>
      </c>
      <c r="F1180" s="114">
        <v>202101</v>
      </c>
      <c r="G1180" s="112" t="s">
        <v>1091</v>
      </c>
      <c r="H1180" s="112" t="s">
        <v>1015</v>
      </c>
      <c r="I1180" s="112" t="s">
        <v>745</v>
      </c>
      <c r="J1180" s="112" t="s">
        <v>3620</v>
      </c>
      <c r="K1180" s="112" t="s">
        <v>3830</v>
      </c>
      <c r="L1180" s="116">
        <v>-174</v>
      </c>
      <c r="M1180" s="116">
        <f t="shared" si="18"/>
        <v>-0.17399999999999999</v>
      </c>
    </row>
    <row r="1181" spans="1:13" hidden="1" x14ac:dyDescent="0.35">
      <c r="A1181" s="112" t="s">
        <v>3616</v>
      </c>
      <c r="B1181" s="112" t="s">
        <v>921</v>
      </c>
      <c r="C1181" s="112" t="s">
        <v>695</v>
      </c>
      <c r="D1181" s="113">
        <v>10347981</v>
      </c>
      <c r="E1181" s="115">
        <v>43924</v>
      </c>
      <c r="F1181" s="114">
        <v>202101</v>
      </c>
      <c r="G1181" s="112" t="s">
        <v>1091</v>
      </c>
      <c r="H1181" s="112" t="s">
        <v>1015</v>
      </c>
      <c r="I1181" s="112" t="s">
        <v>3686</v>
      </c>
      <c r="J1181" s="112" t="s">
        <v>3620</v>
      </c>
      <c r="K1181" s="112" t="s">
        <v>3687</v>
      </c>
      <c r="L1181" s="116">
        <v>-28.5</v>
      </c>
      <c r="M1181" s="116">
        <f t="shared" si="18"/>
        <v>-2.8500000000000001E-2</v>
      </c>
    </row>
    <row r="1182" spans="1:13" hidden="1" x14ac:dyDescent="0.35">
      <c r="A1182" s="112" t="s">
        <v>3616</v>
      </c>
      <c r="B1182" s="112" t="s">
        <v>922</v>
      </c>
      <c r="C1182" s="112" t="s">
        <v>695</v>
      </c>
      <c r="D1182" s="113">
        <v>10348128</v>
      </c>
      <c r="E1182" s="115">
        <v>43929</v>
      </c>
      <c r="F1182" s="114">
        <v>202101</v>
      </c>
      <c r="G1182" s="112" t="s">
        <v>1091</v>
      </c>
      <c r="H1182" s="112" t="s">
        <v>1015</v>
      </c>
      <c r="I1182" s="112" t="s">
        <v>1164</v>
      </c>
      <c r="J1182" s="112" t="s">
        <v>3791</v>
      </c>
      <c r="K1182" s="112" t="s">
        <v>3831</v>
      </c>
      <c r="L1182" s="116">
        <v>120</v>
      </c>
      <c r="M1182" s="116">
        <f t="shared" si="18"/>
        <v>0.12</v>
      </c>
    </row>
    <row r="1183" spans="1:13" hidden="1" x14ac:dyDescent="0.35">
      <c r="A1183" s="112" t="s">
        <v>3616</v>
      </c>
      <c r="B1183" s="112" t="s">
        <v>919</v>
      </c>
      <c r="C1183" s="112" t="s">
        <v>695</v>
      </c>
      <c r="D1183" s="113">
        <v>10347981</v>
      </c>
      <c r="E1183" s="115">
        <v>43924</v>
      </c>
      <c r="F1183" s="114">
        <v>202101</v>
      </c>
      <c r="G1183" s="112" t="s">
        <v>1091</v>
      </c>
      <c r="H1183" s="112" t="s">
        <v>1015</v>
      </c>
      <c r="I1183" s="112" t="s">
        <v>2454</v>
      </c>
      <c r="J1183" s="112" t="s">
        <v>3624</v>
      </c>
      <c r="K1183" s="112" t="s">
        <v>3832</v>
      </c>
      <c r="L1183" s="116">
        <v>-1067.9000000000001</v>
      </c>
      <c r="M1183" s="116">
        <f t="shared" si="18"/>
        <v>-1.0679000000000001</v>
      </c>
    </row>
    <row r="1184" spans="1:13" hidden="1" x14ac:dyDescent="0.35">
      <c r="A1184" s="112" t="s">
        <v>3616</v>
      </c>
      <c r="B1184" s="112" t="s">
        <v>919</v>
      </c>
      <c r="C1184" s="112" t="s">
        <v>695</v>
      </c>
      <c r="D1184" s="113">
        <v>10347981</v>
      </c>
      <c r="E1184" s="115">
        <v>43924</v>
      </c>
      <c r="F1184" s="114">
        <v>202101</v>
      </c>
      <c r="G1184" s="112" t="s">
        <v>1091</v>
      </c>
      <c r="H1184" s="112" t="s">
        <v>1015</v>
      </c>
      <c r="I1184" s="112" t="s">
        <v>2454</v>
      </c>
      <c r="J1184" s="112" t="s">
        <v>3628</v>
      </c>
      <c r="K1184" s="112" t="s">
        <v>3833</v>
      </c>
      <c r="L1184" s="116">
        <v>-1240</v>
      </c>
      <c r="M1184" s="116">
        <f t="shared" si="18"/>
        <v>-1.24</v>
      </c>
    </row>
    <row r="1185" spans="1:13" hidden="1" x14ac:dyDescent="0.35">
      <c r="A1185" s="112" t="s">
        <v>3616</v>
      </c>
      <c r="B1185" s="112" t="s">
        <v>921</v>
      </c>
      <c r="C1185" s="112" t="s">
        <v>695</v>
      </c>
      <c r="D1185" s="113">
        <v>10347981</v>
      </c>
      <c r="E1185" s="115">
        <v>43924</v>
      </c>
      <c r="F1185" s="114">
        <v>202101</v>
      </c>
      <c r="G1185" s="112" t="s">
        <v>1091</v>
      </c>
      <c r="H1185" s="112" t="s">
        <v>1015</v>
      </c>
      <c r="I1185" s="112" t="s">
        <v>3619</v>
      </c>
      <c r="J1185" s="112" t="s">
        <v>3620</v>
      </c>
      <c r="K1185" s="112" t="s">
        <v>3834</v>
      </c>
      <c r="L1185" s="116">
        <v>-112.44</v>
      </c>
      <c r="M1185" s="116">
        <f t="shared" si="18"/>
        <v>-0.11244</v>
      </c>
    </row>
    <row r="1186" spans="1:13" hidden="1" x14ac:dyDescent="0.35">
      <c r="A1186" s="112" t="s">
        <v>3616</v>
      </c>
      <c r="B1186" s="112" t="s">
        <v>921</v>
      </c>
      <c r="C1186" s="112" t="s">
        <v>695</v>
      </c>
      <c r="D1186" s="113">
        <v>10347981</v>
      </c>
      <c r="E1186" s="115">
        <v>43924</v>
      </c>
      <c r="F1186" s="114">
        <v>202101</v>
      </c>
      <c r="G1186" s="112" t="s">
        <v>1091</v>
      </c>
      <c r="H1186" s="112" t="s">
        <v>1015</v>
      </c>
      <c r="I1186" s="112" t="s">
        <v>3619</v>
      </c>
      <c r="J1186" s="112" t="s">
        <v>3620</v>
      </c>
      <c r="K1186" s="112" t="s">
        <v>3668</v>
      </c>
      <c r="L1186" s="116">
        <v>-71.400000000000006</v>
      </c>
      <c r="M1186" s="116">
        <f t="shared" si="18"/>
        <v>-7.1400000000000005E-2</v>
      </c>
    </row>
    <row r="1187" spans="1:13" hidden="1" x14ac:dyDescent="0.35">
      <c r="A1187" s="112" t="s">
        <v>3616</v>
      </c>
      <c r="B1187" s="112" t="s">
        <v>919</v>
      </c>
      <c r="C1187" s="112" t="s">
        <v>695</v>
      </c>
      <c r="D1187" s="113">
        <v>10347981</v>
      </c>
      <c r="E1187" s="115">
        <v>43924</v>
      </c>
      <c r="F1187" s="114">
        <v>202101</v>
      </c>
      <c r="G1187" s="112" t="s">
        <v>1091</v>
      </c>
      <c r="H1187" s="112" t="s">
        <v>1015</v>
      </c>
      <c r="I1187" s="112" t="s">
        <v>3619</v>
      </c>
      <c r="J1187" s="112" t="s">
        <v>3617</v>
      </c>
      <c r="K1187" s="112" t="s">
        <v>3835</v>
      </c>
      <c r="L1187" s="116">
        <v>-91.14</v>
      </c>
      <c r="M1187" s="116">
        <f t="shared" si="18"/>
        <v>-9.1139999999999999E-2</v>
      </c>
    </row>
    <row r="1188" spans="1:13" hidden="1" x14ac:dyDescent="0.35">
      <c r="A1188" s="112" t="s">
        <v>3616</v>
      </c>
      <c r="B1188" s="112" t="s">
        <v>921</v>
      </c>
      <c r="C1188" s="112" t="s">
        <v>695</v>
      </c>
      <c r="D1188" s="113">
        <v>10347981</v>
      </c>
      <c r="E1188" s="115">
        <v>43924</v>
      </c>
      <c r="F1188" s="114">
        <v>202101</v>
      </c>
      <c r="G1188" s="112" t="s">
        <v>1091</v>
      </c>
      <c r="H1188" s="112" t="s">
        <v>1015</v>
      </c>
      <c r="I1188" s="112" t="s">
        <v>745</v>
      </c>
      <c r="J1188" s="112" t="s">
        <v>3620</v>
      </c>
      <c r="K1188" s="112" t="s">
        <v>3836</v>
      </c>
      <c r="L1188" s="116">
        <v>-73.3</v>
      </c>
      <c r="M1188" s="116">
        <f t="shared" si="18"/>
        <v>-7.3300000000000004E-2</v>
      </c>
    </row>
    <row r="1189" spans="1:13" hidden="1" x14ac:dyDescent="0.35">
      <c r="A1189" s="112" t="s">
        <v>3616</v>
      </c>
      <c r="B1189" s="112" t="s">
        <v>921</v>
      </c>
      <c r="C1189" s="112" t="s">
        <v>695</v>
      </c>
      <c r="D1189" s="113">
        <v>10347981</v>
      </c>
      <c r="E1189" s="115">
        <v>43924</v>
      </c>
      <c r="F1189" s="114">
        <v>202101</v>
      </c>
      <c r="G1189" s="112" t="s">
        <v>1091</v>
      </c>
      <c r="H1189" s="112" t="s">
        <v>1015</v>
      </c>
      <c r="I1189" s="112" t="s">
        <v>3619</v>
      </c>
      <c r="J1189" s="112" t="s">
        <v>3620</v>
      </c>
      <c r="K1189" s="112" t="s">
        <v>3704</v>
      </c>
      <c r="L1189" s="116">
        <v>-16.260000000000002</v>
      </c>
      <c r="M1189" s="116">
        <f t="shared" si="18"/>
        <v>-1.626E-2</v>
      </c>
    </row>
    <row r="1190" spans="1:13" hidden="1" x14ac:dyDescent="0.35">
      <c r="A1190" s="112" t="s">
        <v>3616</v>
      </c>
      <c r="B1190" s="112" t="s">
        <v>918</v>
      </c>
      <c r="C1190" s="112" t="s">
        <v>695</v>
      </c>
      <c r="D1190" s="113">
        <v>10348519</v>
      </c>
      <c r="E1190" s="115">
        <v>43950</v>
      </c>
      <c r="F1190" s="114">
        <v>202101</v>
      </c>
      <c r="G1190" s="112" t="s">
        <v>1091</v>
      </c>
      <c r="H1190" s="112" t="s">
        <v>1015</v>
      </c>
      <c r="I1190" s="112" t="s">
        <v>1868</v>
      </c>
      <c r="J1190" s="112" t="s">
        <v>3695</v>
      </c>
      <c r="K1190" s="112" t="s">
        <v>3705</v>
      </c>
      <c r="L1190" s="116">
        <v>-7362.74</v>
      </c>
      <c r="M1190" s="116">
        <f t="shared" si="18"/>
        <v>-7.3627399999999996</v>
      </c>
    </row>
    <row r="1191" spans="1:13" hidden="1" x14ac:dyDescent="0.35">
      <c r="A1191" s="112" t="s">
        <v>3616</v>
      </c>
      <c r="B1191" s="112" t="s">
        <v>919</v>
      </c>
      <c r="C1191" s="112" t="s">
        <v>695</v>
      </c>
      <c r="D1191" s="113">
        <v>10347981</v>
      </c>
      <c r="E1191" s="115">
        <v>43924</v>
      </c>
      <c r="F1191" s="114">
        <v>202101</v>
      </c>
      <c r="G1191" s="112" t="s">
        <v>1091</v>
      </c>
      <c r="H1191" s="112" t="s">
        <v>1015</v>
      </c>
      <c r="I1191" s="112" t="s">
        <v>3619</v>
      </c>
      <c r="J1191" s="112" t="s">
        <v>3617</v>
      </c>
      <c r="K1191" s="112" t="s">
        <v>3837</v>
      </c>
      <c r="L1191" s="116">
        <v>-43.75</v>
      </c>
      <c r="M1191" s="116">
        <f t="shared" si="18"/>
        <v>-4.3749999999999997E-2</v>
      </c>
    </row>
    <row r="1192" spans="1:13" hidden="1" x14ac:dyDescent="0.35">
      <c r="A1192" s="112" t="s">
        <v>3616</v>
      </c>
      <c r="B1192" s="112" t="s">
        <v>919</v>
      </c>
      <c r="C1192" s="112" t="s">
        <v>695</v>
      </c>
      <c r="D1192" s="113">
        <v>10347981</v>
      </c>
      <c r="E1192" s="115">
        <v>43924</v>
      </c>
      <c r="F1192" s="114">
        <v>202101</v>
      </c>
      <c r="G1192" s="112" t="s">
        <v>1091</v>
      </c>
      <c r="H1192" s="112" t="s">
        <v>1015</v>
      </c>
      <c r="I1192" s="112" t="s">
        <v>3686</v>
      </c>
      <c r="J1192" s="112" t="s">
        <v>3624</v>
      </c>
      <c r="K1192" s="112" t="s">
        <v>3838</v>
      </c>
      <c r="L1192" s="116">
        <v>-14.08</v>
      </c>
      <c r="M1192" s="116">
        <f t="shared" si="18"/>
        <v>-1.4080000000000001E-2</v>
      </c>
    </row>
    <row r="1193" spans="1:13" hidden="1" x14ac:dyDescent="0.35">
      <c r="A1193" s="112" t="s">
        <v>3616</v>
      </c>
      <c r="B1193" s="112" t="s">
        <v>916</v>
      </c>
      <c r="C1193" s="112" t="s">
        <v>695</v>
      </c>
      <c r="D1193" s="113">
        <v>10347981</v>
      </c>
      <c r="E1193" s="115">
        <v>43924</v>
      </c>
      <c r="F1193" s="114">
        <v>202101</v>
      </c>
      <c r="G1193" s="112" t="s">
        <v>1091</v>
      </c>
      <c r="H1193" s="112" t="s">
        <v>1015</v>
      </c>
      <c r="I1193" s="112" t="s">
        <v>745</v>
      </c>
      <c r="J1193" s="112" t="s">
        <v>3645</v>
      </c>
      <c r="K1193" s="112" t="s">
        <v>3839</v>
      </c>
      <c r="L1193" s="116">
        <v>-680</v>
      </c>
      <c r="M1193" s="116">
        <f t="shared" si="18"/>
        <v>-0.68</v>
      </c>
    </row>
    <row r="1194" spans="1:13" hidden="1" x14ac:dyDescent="0.35">
      <c r="A1194" s="112" t="s">
        <v>3616</v>
      </c>
      <c r="B1194" s="112" t="s">
        <v>921</v>
      </c>
      <c r="C1194" s="112" t="s">
        <v>695</v>
      </c>
      <c r="D1194" s="113">
        <v>10347981</v>
      </c>
      <c r="E1194" s="115">
        <v>43924</v>
      </c>
      <c r="F1194" s="114">
        <v>202101</v>
      </c>
      <c r="G1194" s="112" t="s">
        <v>1091</v>
      </c>
      <c r="H1194" s="112" t="s">
        <v>1015</v>
      </c>
      <c r="I1194" s="112" t="s">
        <v>3619</v>
      </c>
      <c r="J1194" s="112" t="s">
        <v>3620</v>
      </c>
      <c r="K1194" s="112" t="s">
        <v>3666</v>
      </c>
      <c r="L1194" s="116">
        <v>-10.71</v>
      </c>
      <c r="M1194" s="116">
        <f t="shared" si="18"/>
        <v>-1.0710000000000001E-2</v>
      </c>
    </row>
    <row r="1195" spans="1:13" hidden="1" x14ac:dyDescent="0.35">
      <c r="A1195" s="112" t="s">
        <v>3616</v>
      </c>
      <c r="B1195" s="112" t="s">
        <v>921</v>
      </c>
      <c r="C1195" s="112" t="s">
        <v>695</v>
      </c>
      <c r="D1195" s="113">
        <v>10347981</v>
      </c>
      <c r="E1195" s="115">
        <v>43924</v>
      </c>
      <c r="F1195" s="114">
        <v>202101</v>
      </c>
      <c r="G1195" s="112" t="s">
        <v>1091</v>
      </c>
      <c r="H1195" s="112" t="s">
        <v>1015</v>
      </c>
      <c r="I1195" s="112" t="s">
        <v>3619</v>
      </c>
      <c r="J1195" s="112" t="s">
        <v>3620</v>
      </c>
      <c r="K1195" s="112" t="s">
        <v>3840</v>
      </c>
      <c r="L1195" s="116">
        <v>-20.52</v>
      </c>
      <c r="M1195" s="116">
        <f t="shared" si="18"/>
        <v>-2.052E-2</v>
      </c>
    </row>
    <row r="1196" spans="1:13" hidden="1" x14ac:dyDescent="0.35">
      <c r="A1196" s="112" t="s">
        <v>3616</v>
      </c>
      <c r="B1196" s="112" t="s">
        <v>916</v>
      </c>
      <c r="C1196" s="112" t="s">
        <v>695</v>
      </c>
      <c r="D1196" s="113">
        <v>10347981</v>
      </c>
      <c r="E1196" s="115">
        <v>43924</v>
      </c>
      <c r="F1196" s="114">
        <v>202101</v>
      </c>
      <c r="G1196" s="112" t="s">
        <v>1091</v>
      </c>
      <c r="H1196" s="112" t="s">
        <v>1015</v>
      </c>
      <c r="I1196" s="112" t="s">
        <v>753</v>
      </c>
      <c r="J1196" s="112" t="s">
        <v>3626</v>
      </c>
      <c r="K1196" s="112" t="s">
        <v>3841</v>
      </c>
      <c r="L1196" s="116">
        <v>-22509.1</v>
      </c>
      <c r="M1196" s="116">
        <f t="shared" si="18"/>
        <v>-22.5091</v>
      </c>
    </row>
    <row r="1197" spans="1:13" hidden="1" x14ac:dyDescent="0.35">
      <c r="A1197" s="112" t="s">
        <v>3616</v>
      </c>
      <c r="B1197" s="112" t="s">
        <v>918</v>
      </c>
      <c r="C1197" s="112" t="s">
        <v>695</v>
      </c>
      <c r="D1197" s="113">
        <v>10348519</v>
      </c>
      <c r="E1197" s="115">
        <v>43950</v>
      </c>
      <c r="F1197" s="114">
        <v>202101</v>
      </c>
      <c r="G1197" s="112" t="s">
        <v>1091</v>
      </c>
      <c r="H1197" s="112" t="s">
        <v>1015</v>
      </c>
      <c r="I1197" s="112" t="s">
        <v>1868</v>
      </c>
      <c r="J1197" s="112" t="s">
        <v>3695</v>
      </c>
      <c r="K1197" s="112" t="s">
        <v>3705</v>
      </c>
      <c r="L1197" s="116">
        <v>-850</v>
      </c>
      <c r="M1197" s="116">
        <f t="shared" si="18"/>
        <v>-0.85</v>
      </c>
    </row>
    <row r="1198" spans="1:13" hidden="1" x14ac:dyDescent="0.35">
      <c r="A1198" s="112" t="s">
        <v>3616</v>
      </c>
      <c r="B1198" s="112" t="s">
        <v>921</v>
      </c>
      <c r="C1198" s="112" t="s">
        <v>695</v>
      </c>
      <c r="D1198" s="113">
        <v>10347981</v>
      </c>
      <c r="E1198" s="115">
        <v>43924</v>
      </c>
      <c r="F1198" s="114">
        <v>202101</v>
      </c>
      <c r="G1198" s="112" t="s">
        <v>1091</v>
      </c>
      <c r="H1198" s="112" t="s">
        <v>1015</v>
      </c>
      <c r="I1198" s="112" t="s">
        <v>3619</v>
      </c>
      <c r="J1198" s="112" t="s">
        <v>3620</v>
      </c>
      <c r="K1198" s="112" t="s">
        <v>3776</v>
      </c>
      <c r="L1198" s="116">
        <v>-35.1</v>
      </c>
      <c r="M1198" s="116">
        <f t="shared" si="18"/>
        <v>-3.5099999999999999E-2</v>
      </c>
    </row>
    <row r="1199" spans="1:13" hidden="1" x14ac:dyDescent="0.35">
      <c r="A1199" s="112" t="s">
        <v>3616</v>
      </c>
      <c r="B1199" s="112" t="s">
        <v>921</v>
      </c>
      <c r="C1199" s="112" t="s">
        <v>695</v>
      </c>
      <c r="D1199" s="113">
        <v>10347981</v>
      </c>
      <c r="E1199" s="115">
        <v>43924</v>
      </c>
      <c r="F1199" s="114">
        <v>202101</v>
      </c>
      <c r="G1199" s="112" t="s">
        <v>1091</v>
      </c>
      <c r="H1199" s="112" t="s">
        <v>1015</v>
      </c>
      <c r="I1199" s="112" t="s">
        <v>3686</v>
      </c>
      <c r="J1199" s="112" t="s">
        <v>3620</v>
      </c>
      <c r="K1199" s="112" t="s">
        <v>3842</v>
      </c>
      <c r="L1199" s="116">
        <v>-68.5</v>
      </c>
      <c r="M1199" s="116">
        <f t="shared" si="18"/>
        <v>-6.8500000000000005E-2</v>
      </c>
    </row>
    <row r="1200" spans="1:13" hidden="1" x14ac:dyDescent="0.35">
      <c r="A1200" s="112" t="s">
        <v>3616</v>
      </c>
      <c r="B1200" s="112" t="s">
        <v>919</v>
      </c>
      <c r="C1200" s="112" t="s">
        <v>695</v>
      </c>
      <c r="D1200" s="113">
        <v>10348077</v>
      </c>
      <c r="E1200" s="115">
        <v>43929</v>
      </c>
      <c r="F1200" s="114">
        <v>202101</v>
      </c>
      <c r="G1200" s="112" t="s">
        <v>1091</v>
      </c>
      <c r="H1200" s="112" t="s">
        <v>1016</v>
      </c>
      <c r="I1200" s="112" t="s">
        <v>1752</v>
      </c>
      <c r="J1200" s="112" t="s">
        <v>3634</v>
      </c>
      <c r="K1200" s="112" t="s">
        <v>3843</v>
      </c>
      <c r="L1200" s="116">
        <v>-1500</v>
      </c>
      <c r="M1200" s="116">
        <f t="shared" si="18"/>
        <v>-1.5</v>
      </c>
    </row>
    <row r="1201" spans="1:13" hidden="1" x14ac:dyDescent="0.35">
      <c r="A1201" s="112" t="s">
        <v>3616</v>
      </c>
      <c r="B1201" s="112" t="s">
        <v>919</v>
      </c>
      <c r="C1201" s="112" t="s">
        <v>695</v>
      </c>
      <c r="D1201" s="113">
        <v>10348077</v>
      </c>
      <c r="E1201" s="115">
        <v>43929</v>
      </c>
      <c r="F1201" s="114">
        <v>202101</v>
      </c>
      <c r="G1201" s="112" t="s">
        <v>1091</v>
      </c>
      <c r="H1201" s="112" t="s">
        <v>1016</v>
      </c>
      <c r="I1201" s="112" t="s">
        <v>823</v>
      </c>
      <c r="J1201" s="112" t="s">
        <v>3634</v>
      </c>
      <c r="K1201" s="112" t="s">
        <v>3844</v>
      </c>
      <c r="L1201" s="116">
        <v>15808</v>
      </c>
      <c r="M1201" s="116">
        <f t="shared" si="18"/>
        <v>15.808</v>
      </c>
    </row>
    <row r="1202" spans="1:13" hidden="1" x14ac:dyDescent="0.35">
      <c r="A1202" s="112" t="s">
        <v>3616</v>
      </c>
      <c r="B1202" s="112" t="s">
        <v>919</v>
      </c>
      <c r="C1202" s="112" t="s">
        <v>695</v>
      </c>
      <c r="D1202" s="113">
        <v>10348077</v>
      </c>
      <c r="E1202" s="115">
        <v>43929</v>
      </c>
      <c r="F1202" s="114">
        <v>202101</v>
      </c>
      <c r="G1202" s="112" t="s">
        <v>1091</v>
      </c>
      <c r="H1202" s="112" t="s">
        <v>1016</v>
      </c>
      <c r="I1202" s="112" t="s">
        <v>823</v>
      </c>
      <c r="J1202" s="112" t="s">
        <v>3634</v>
      </c>
      <c r="K1202" s="112" t="s">
        <v>3845</v>
      </c>
      <c r="L1202" s="116">
        <v>-2025</v>
      </c>
      <c r="M1202" s="116">
        <f t="shared" si="18"/>
        <v>-2.0249999999999999</v>
      </c>
    </row>
    <row r="1203" spans="1:13" hidden="1" x14ac:dyDescent="0.35">
      <c r="A1203" s="112" t="s">
        <v>3616</v>
      </c>
      <c r="B1203" s="112" t="s">
        <v>919</v>
      </c>
      <c r="C1203" s="112" t="s">
        <v>695</v>
      </c>
      <c r="D1203" s="113">
        <v>10348077</v>
      </c>
      <c r="E1203" s="115">
        <v>43929</v>
      </c>
      <c r="F1203" s="114">
        <v>202101</v>
      </c>
      <c r="G1203" s="112" t="s">
        <v>1091</v>
      </c>
      <c r="H1203" s="112" t="s">
        <v>1016</v>
      </c>
      <c r="I1203" s="112" t="s">
        <v>823</v>
      </c>
      <c r="J1203" s="112" t="s">
        <v>3624</v>
      </c>
      <c r="K1203" s="112" t="s">
        <v>3848</v>
      </c>
      <c r="L1203" s="116">
        <v>-12000</v>
      </c>
      <c r="M1203" s="116">
        <f t="shared" si="18"/>
        <v>-12</v>
      </c>
    </row>
    <row r="1204" spans="1:13" hidden="1" x14ac:dyDescent="0.35">
      <c r="A1204" s="112" t="s">
        <v>3616</v>
      </c>
      <c r="B1204" s="112" t="s">
        <v>919</v>
      </c>
      <c r="C1204" s="112" t="s">
        <v>695</v>
      </c>
      <c r="D1204" s="113">
        <v>10348077</v>
      </c>
      <c r="E1204" s="115">
        <v>43929</v>
      </c>
      <c r="F1204" s="114">
        <v>202101</v>
      </c>
      <c r="G1204" s="112" t="s">
        <v>1091</v>
      </c>
      <c r="H1204" s="112" t="s">
        <v>1016</v>
      </c>
      <c r="I1204" s="112" t="s">
        <v>823</v>
      </c>
      <c r="J1204" s="112" t="s">
        <v>3624</v>
      </c>
      <c r="K1204" s="112" t="s">
        <v>3849</v>
      </c>
      <c r="L1204" s="116">
        <v>-3116.5</v>
      </c>
      <c r="M1204" s="116">
        <f t="shared" si="18"/>
        <v>-3.1164999999999998</v>
      </c>
    </row>
    <row r="1205" spans="1:13" hidden="1" x14ac:dyDescent="0.35">
      <c r="A1205" s="112" t="s">
        <v>3616</v>
      </c>
      <c r="B1205" s="112" t="s">
        <v>919</v>
      </c>
      <c r="C1205" s="112" t="s">
        <v>695</v>
      </c>
      <c r="D1205" s="113">
        <v>10348077</v>
      </c>
      <c r="E1205" s="115">
        <v>43929</v>
      </c>
      <c r="F1205" s="114">
        <v>202101</v>
      </c>
      <c r="G1205" s="112" t="s">
        <v>1091</v>
      </c>
      <c r="H1205" s="112" t="s">
        <v>1016</v>
      </c>
      <c r="I1205" s="112" t="s">
        <v>1752</v>
      </c>
      <c r="J1205" s="112" t="s">
        <v>3624</v>
      </c>
      <c r="K1205" s="112" t="s">
        <v>3848</v>
      </c>
      <c r="L1205" s="116">
        <v>-3512.5</v>
      </c>
      <c r="M1205" s="116">
        <f t="shared" si="18"/>
        <v>-3.5125000000000002</v>
      </c>
    </row>
    <row r="1206" spans="1:13" hidden="1" x14ac:dyDescent="0.35">
      <c r="A1206" s="112" t="s">
        <v>3616</v>
      </c>
      <c r="B1206" s="112" t="s">
        <v>923</v>
      </c>
      <c r="C1206" s="112" t="s">
        <v>695</v>
      </c>
      <c r="D1206" s="113">
        <v>10348034</v>
      </c>
      <c r="E1206" s="115">
        <v>43928</v>
      </c>
      <c r="F1206" s="114">
        <v>202101</v>
      </c>
      <c r="G1206" s="112" t="s">
        <v>1091</v>
      </c>
      <c r="H1206" s="112" t="s">
        <v>1015</v>
      </c>
      <c r="I1206" s="112" t="s">
        <v>1211</v>
      </c>
      <c r="J1206" s="112" t="s">
        <v>3750</v>
      </c>
      <c r="K1206" s="112" t="s">
        <v>3850</v>
      </c>
      <c r="L1206" s="116">
        <v>-6499</v>
      </c>
      <c r="M1206" s="116">
        <f t="shared" si="18"/>
        <v>-6.4989999999999997</v>
      </c>
    </row>
    <row r="1207" spans="1:13" hidden="1" x14ac:dyDescent="0.35">
      <c r="A1207" s="112" t="s">
        <v>3616</v>
      </c>
      <c r="B1207" s="112" t="s">
        <v>922</v>
      </c>
      <c r="C1207" s="112" t="s">
        <v>695</v>
      </c>
      <c r="D1207" s="113">
        <v>10348191</v>
      </c>
      <c r="E1207" s="115">
        <v>43929</v>
      </c>
      <c r="F1207" s="114">
        <v>202101</v>
      </c>
      <c r="G1207" s="112" t="s">
        <v>1091</v>
      </c>
      <c r="H1207" s="112" t="s">
        <v>1015</v>
      </c>
      <c r="I1207" s="112" t="s">
        <v>761</v>
      </c>
      <c r="J1207" s="112" t="s">
        <v>3691</v>
      </c>
      <c r="K1207" s="112" t="s">
        <v>3857</v>
      </c>
      <c r="L1207" s="116">
        <v>-170.9</v>
      </c>
      <c r="M1207" s="116">
        <f t="shared" si="18"/>
        <v>-0.1709</v>
      </c>
    </row>
    <row r="1208" spans="1:13" hidden="1" x14ac:dyDescent="0.35">
      <c r="A1208" s="112" t="s">
        <v>3616</v>
      </c>
      <c r="B1208" s="112" t="s">
        <v>919</v>
      </c>
      <c r="C1208" s="112" t="s">
        <v>695</v>
      </c>
      <c r="D1208" s="113">
        <v>10348429</v>
      </c>
      <c r="E1208" s="115">
        <v>43945</v>
      </c>
      <c r="F1208" s="114">
        <v>202101</v>
      </c>
      <c r="G1208" s="112" t="s">
        <v>1091</v>
      </c>
      <c r="H1208" s="112" t="s">
        <v>1016</v>
      </c>
      <c r="I1208" s="112" t="s">
        <v>1293</v>
      </c>
      <c r="J1208" s="112" t="s">
        <v>3632</v>
      </c>
      <c r="K1208" s="112" t="s">
        <v>3895</v>
      </c>
      <c r="L1208" s="116">
        <v>13243.99</v>
      </c>
      <c r="M1208" s="116">
        <f t="shared" si="18"/>
        <v>13.24399</v>
      </c>
    </row>
    <row r="1209" spans="1:13" hidden="1" x14ac:dyDescent="0.35">
      <c r="A1209" s="112" t="s">
        <v>3616</v>
      </c>
      <c r="B1209" s="112" t="s">
        <v>919</v>
      </c>
      <c r="C1209" s="112" t="s">
        <v>695</v>
      </c>
      <c r="D1209" s="113">
        <v>10348429</v>
      </c>
      <c r="E1209" s="115">
        <v>43945</v>
      </c>
      <c r="F1209" s="114">
        <v>202101</v>
      </c>
      <c r="G1209" s="112" t="s">
        <v>1091</v>
      </c>
      <c r="H1209" s="112" t="s">
        <v>1016</v>
      </c>
      <c r="I1209" s="112" t="s">
        <v>823</v>
      </c>
      <c r="J1209" s="112" t="s">
        <v>3634</v>
      </c>
      <c r="K1209" s="112" t="s">
        <v>3896</v>
      </c>
      <c r="L1209" s="116">
        <v>22500</v>
      </c>
      <c r="M1209" s="116">
        <f t="shared" si="18"/>
        <v>22.5</v>
      </c>
    </row>
    <row r="1210" spans="1:13" hidden="1" x14ac:dyDescent="0.35">
      <c r="A1210" s="112" t="s">
        <v>3616</v>
      </c>
      <c r="B1210" s="112" t="s">
        <v>916</v>
      </c>
      <c r="C1210" s="112" t="s">
        <v>695</v>
      </c>
      <c r="D1210" s="113">
        <v>10348043</v>
      </c>
      <c r="E1210" s="115">
        <v>43928</v>
      </c>
      <c r="F1210" s="114">
        <v>202101</v>
      </c>
      <c r="G1210" s="112" t="s">
        <v>1091</v>
      </c>
      <c r="H1210" s="112" t="s">
        <v>1016</v>
      </c>
      <c r="I1210" s="112" t="s">
        <v>1291</v>
      </c>
      <c r="J1210" s="112" t="s">
        <v>3626</v>
      </c>
      <c r="K1210" s="112" t="s">
        <v>3909</v>
      </c>
      <c r="L1210" s="116">
        <v>160000</v>
      </c>
      <c r="M1210" s="116">
        <f t="shared" si="18"/>
        <v>160</v>
      </c>
    </row>
    <row r="1211" spans="1:13" hidden="1" x14ac:dyDescent="0.35">
      <c r="A1211" s="112" t="s">
        <v>3616</v>
      </c>
      <c r="B1211" s="112" t="s">
        <v>916</v>
      </c>
      <c r="C1211" s="112" t="s">
        <v>695</v>
      </c>
      <c r="D1211" s="113">
        <v>10348043</v>
      </c>
      <c r="E1211" s="115">
        <v>43928</v>
      </c>
      <c r="F1211" s="114">
        <v>202101</v>
      </c>
      <c r="G1211" s="112" t="s">
        <v>1091</v>
      </c>
      <c r="H1211" s="112" t="s">
        <v>1016</v>
      </c>
      <c r="I1211" s="112" t="s">
        <v>1291</v>
      </c>
      <c r="J1211" s="112" t="s">
        <v>3626</v>
      </c>
      <c r="K1211" s="112" t="s">
        <v>3910</v>
      </c>
      <c r="L1211" s="116">
        <v>2200</v>
      </c>
      <c r="M1211" s="116">
        <f t="shared" si="18"/>
        <v>2.2000000000000002</v>
      </c>
    </row>
    <row r="1212" spans="1:13" hidden="1" x14ac:dyDescent="0.35">
      <c r="A1212" s="112" t="s">
        <v>3616</v>
      </c>
      <c r="B1212" s="112" t="s">
        <v>916</v>
      </c>
      <c r="C1212" s="112" t="s">
        <v>695</v>
      </c>
      <c r="D1212" s="113">
        <v>10348043</v>
      </c>
      <c r="E1212" s="115">
        <v>43928</v>
      </c>
      <c r="F1212" s="114">
        <v>202101</v>
      </c>
      <c r="G1212" s="112" t="s">
        <v>1091</v>
      </c>
      <c r="H1212" s="112" t="s">
        <v>1016</v>
      </c>
      <c r="I1212" s="112" t="s">
        <v>1291</v>
      </c>
      <c r="J1212" s="112" t="s">
        <v>3626</v>
      </c>
      <c r="K1212" s="112" t="s">
        <v>3911</v>
      </c>
      <c r="L1212" s="116">
        <v>42580</v>
      </c>
      <c r="M1212" s="116">
        <f t="shared" si="18"/>
        <v>42.58</v>
      </c>
    </row>
    <row r="1213" spans="1:13" hidden="1" x14ac:dyDescent="0.35">
      <c r="A1213" s="112" t="s">
        <v>3616</v>
      </c>
      <c r="B1213" s="112" t="s">
        <v>916</v>
      </c>
      <c r="C1213" s="112" t="s">
        <v>695</v>
      </c>
      <c r="D1213" s="113">
        <v>10348043</v>
      </c>
      <c r="E1213" s="115">
        <v>43928</v>
      </c>
      <c r="F1213" s="114">
        <v>202101</v>
      </c>
      <c r="G1213" s="112" t="s">
        <v>1091</v>
      </c>
      <c r="H1213" s="112" t="s">
        <v>1016</v>
      </c>
      <c r="I1213" s="112" t="s">
        <v>1291</v>
      </c>
      <c r="J1213" s="112" t="s">
        <v>3626</v>
      </c>
      <c r="K1213" s="112" t="s">
        <v>3912</v>
      </c>
      <c r="L1213" s="116">
        <v>5600</v>
      </c>
      <c r="M1213" s="116">
        <f t="shared" si="18"/>
        <v>5.6</v>
      </c>
    </row>
    <row r="1214" spans="1:13" hidden="1" x14ac:dyDescent="0.35">
      <c r="A1214" s="112" t="s">
        <v>3616</v>
      </c>
      <c r="B1214" s="112" t="s">
        <v>916</v>
      </c>
      <c r="C1214" s="112" t="s">
        <v>695</v>
      </c>
      <c r="D1214" s="113">
        <v>10348043</v>
      </c>
      <c r="E1214" s="115">
        <v>43928</v>
      </c>
      <c r="F1214" s="114">
        <v>202101</v>
      </c>
      <c r="G1214" s="112" t="s">
        <v>1091</v>
      </c>
      <c r="H1214" s="112" t="s">
        <v>1016</v>
      </c>
      <c r="I1214" s="112" t="s">
        <v>1291</v>
      </c>
      <c r="J1214" s="112" t="s">
        <v>3626</v>
      </c>
      <c r="K1214" s="112" t="s">
        <v>3913</v>
      </c>
      <c r="L1214" s="116">
        <v>560</v>
      </c>
      <c r="M1214" s="116">
        <f t="shared" si="18"/>
        <v>0.56000000000000005</v>
      </c>
    </row>
    <row r="1215" spans="1:13" hidden="1" x14ac:dyDescent="0.35">
      <c r="A1215" s="112" t="s">
        <v>3616</v>
      </c>
      <c r="B1215" s="112" t="s">
        <v>916</v>
      </c>
      <c r="C1215" s="112" t="s">
        <v>695</v>
      </c>
      <c r="D1215" s="113">
        <v>10348043</v>
      </c>
      <c r="E1215" s="115">
        <v>43928</v>
      </c>
      <c r="F1215" s="114">
        <v>202101</v>
      </c>
      <c r="G1215" s="112" t="s">
        <v>1091</v>
      </c>
      <c r="H1215" s="112" t="s">
        <v>1016</v>
      </c>
      <c r="I1215" s="112" t="s">
        <v>1291</v>
      </c>
      <c r="J1215" s="112" t="s">
        <v>3626</v>
      </c>
      <c r="K1215" s="112" t="s">
        <v>3914</v>
      </c>
      <c r="L1215" s="116">
        <v>22509.1</v>
      </c>
      <c r="M1215" s="116">
        <f t="shared" si="18"/>
        <v>22.5091</v>
      </c>
    </row>
    <row r="1216" spans="1:13" hidden="1" x14ac:dyDescent="0.35">
      <c r="A1216" s="112" t="s">
        <v>3616</v>
      </c>
      <c r="B1216" s="112" t="s">
        <v>921</v>
      </c>
      <c r="C1216" s="112" t="s">
        <v>695</v>
      </c>
      <c r="D1216" s="113">
        <v>10348038</v>
      </c>
      <c r="E1216" s="115">
        <v>43928</v>
      </c>
      <c r="F1216" s="114">
        <v>202101</v>
      </c>
      <c r="G1216" s="112" t="s">
        <v>1091</v>
      </c>
      <c r="H1216" s="112" t="s">
        <v>1016</v>
      </c>
      <c r="I1216" s="112" t="s">
        <v>3899</v>
      </c>
      <c r="J1216" s="112" t="s">
        <v>3709</v>
      </c>
      <c r="K1216" s="112" t="s">
        <v>3916</v>
      </c>
      <c r="L1216" s="116">
        <v>-227.08</v>
      </c>
      <c r="M1216" s="116">
        <f t="shared" si="18"/>
        <v>-0.22708</v>
      </c>
    </row>
    <row r="1217" spans="1:13" hidden="1" x14ac:dyDescent="0.35">
      <c r="A1217" s="112" t="s">
        <v>3616</v>
      </c>
      <c r="B1217" s="112" t="s">
        <v>921</v>
      </c>
      <c r="C1217" s="112" t="s">
        <v>695</v>
      </c>
      <c r="D1217" s="113">
        <v>10348038</v>
      </c>
      <c r="E1217" s="115">
        <v>43928</v>
      </c>
      <c r="F1217" s="114">
        <v>202101</v>
      </c>
      <c r="G1217" s="112" t="s">
        <v>1091</v>
      </c>
      <c r="H1217" s="112" t="s">
        <v>1016</v>
      </c>
      <c r="I1217" s="112" t="s">
        <v>3899</v>
      </c>
      <c r="J1217" s="112" t="s">
        <v>3709</v>
      </c>
      <c r="K1217" s="112" t="s">
        <v>3917</v>
      </c>
      <c r="L1217" s="116">
        <v>-625</v>
      </c>
      <c r="M1217" s="116">
        <f t="shared" si="18"/>
        <v>-0.625</v>
      </c>
    </row>
    <row r="1218" spans="1:13" hidden="1" x14ac:dyDescent="0.35">
      <c r="A1218" s="112" t="s">
        <v>3616</v>
      </c>
      <c r="B1218" s="112" t="s">
        <v>921</v>
      </c>
      <c r="C1218" s="112" t="s">
        <v>695</v>
      </c>
      <c r="D1218" s="113">
        <v>10348038</v>
      </c>
      <c r="E1218" s="115">
        <v>43928</v>
      </c>
      <c r="F1218" s="114">
        <v>202101</v>
      </c>
      <c r="G1218" s="112" t="s">
        <v>1091</v>
      </c>
      <c r="H1218" s="112" t="s">
        <v>1016</v>
      </c>
      <c r="I1218" s="112" t="s">
        <v>3846</v>
      </c>
      <c r="J1218" s="112" t="s">
        <v>3709</v>
      </c>
      <c r="K1218" s="112" t="s">
        <v>3918</v>
      </c>
      <c r="L1218" s="116">
        <v>-375</v>
      </c>
      <c r="M1218" s="116">
        <f t="shared" si="18"/>
        <v>-0.375</v>
      </c>
    </row>
    <row r="1219" spans="1:13" hidden="1" x14ac:dyDescent="0.35">
      <c r="A1219" s="112" t="s">
        <v>3616</v>
      </c>
      <c r="B1219" s="112" t="s">
        <v>921</v>
      </c>
      <c r="C1219" s="112" t="s">
        <v>695</v>
      </c>
      <c r="D1219" s="113">
        <v>10348038</v>
      </c>
      <c r="E1219" s="115">
        <v>43928</v>
      </c>
      <c r="F1219" s="114">
        <v>202101</v>
      </c>
      <c r="G1219" s="112" t="s">
        <v>1091</v>
      </c>
      <c r="H1219" s="112" t="s">
        <v>1016</v>
      </c>
      <c r="I1219" s="112" t="s">
        <v>3846</v>
      </c>
      <c r="J1219" s="112" t="s">
        <v>3709</v>
      </c>
      <c r="K1219" s="112" t="s">
        <v>3919</v>
      </c>
      <c r="L1219" s="116">
        <v>1089</v>
      </c>
      <c r="M1219" s="116">
        <f t="shared" ref="M1219:M1282" si="19">L1219/1000</f>
        <v>1.089</v>
      </c>
    </row>
    <row r="1220" spans="1:13" hidden="1" x14ac:dyDescent="0.35">
      <c r="A1220" s="112" t="s">
        <v>3616</v>
      </c>
      <c r="B1220" s="112" t="s">
        <v>921</v>
      </c>
      <c r="C1220" s="112" t="s">
        <v>695</v>
      </c>
      <c r="D1220" s="113">
        <v>10348038</v>
      </c>
      <c r="E1220" s="115">
        <v>43928</v>
      </c>
      <c r="F1220" s="114">
        <v>202101</v>
      </c>
      <c r="G1220" s="112" t="s">
        <v>1091</v>
      </c>
      <c r="H1220" s="112" t="s">
        <v>1016</v>
      </c>
      <c r="I1220" s="112" t="s">
        <v>3846</v>
      </c>
      <c r="J1220" s="112" t="s">
        <v>3709</v>
      </c>
      <c r="K1220" s="112" t="s">
        <v>3920</v>
      </c>
      <c r="L1220" s="116">
        <v>-112.5</v>
      </c>
      <c r="M1220" s="116">
        <f t="shared" si="19"/>
        <v>-0.1125</v>
      </c>
    </row>
    <row r="1221" spans="1:13" hidden="1" x14ac:dyDescent="0.35">
      <c r="A1221" s="112" t="s">
        <v>3616</v>
      </c>
      <c r="B1221" s="112" t="s">
        <v>921</v>
      </c>
      <c r="C1221" s="112" t="s">
        <v>695</v>
      </c>
      <c r="D1221" s="113">
        <v>10348038</v>
      </c>
      <c r="E1221" s="115">
        <v>43928</v>
      </c>
      <c r="F1221" s="114">
        <v>202101</v>
      </c>
      <c r="G1221" s="112" t="s">
        <v>1091</v>
      </c>
      <c r="H1221" s="112" t="s">
        <v>1016</v>
      </c>
      <c r="I1221" s="112" t="s">
        <v>3899</v>
      </c>
      <c r="J1221" s="112" t="s">
        <v>3709</v>
      </c>
      <c r="K1221" s="112" t="s">
        <v>3921</v>
      </c>
      <c r="L1221" s="116">
        <v>-262.5</v>
      </c>
      <c r="M1221" s="116">
        <f t="shared" si="19"/>
        <v>-0.26250000000000001</v>
      </c>
    </row>
    <row r="1222" spans="1:13" hidden="1" x14ac:dyDescent="0.35">
      <c r="A1222" s="112" t="s">
        <v>3616</v>
      </c>
      <c r="B1222" s="112" t="s">
        <v>921</v>
      </c>
      <c r="C1222" s="112" t="s">
        <v>695</v>
      </c>
      <c r="D1222" s="113">
        <v>10348038</v>
      </c>
      <c r="E1222" s="115">
        <v>43928</v>
      </c>
      <c r="F1222" s="114">
        <v>202101</v>
      </c>
      <c r="G1222" s="112" t="s">
        <v>1091</v>
      </c>
      <c r="H1222" s="112" t="s">
        <v>1016</v>
      </c>
      <c r="I1222" s="112" t="s">
        <v>3899</v>
      </c>
      <c r="J1222" s="112" t="s">
        <v>3709</v>
      </c>
      <c r="K1222" s="112" t="s">
        <v>3922</v>
      </c>
      <c r="L1222" s="116">
        <v>-262.5</v>
      </c>
      <c r="M1222" s="116">
        <f t="shared" si="19"/>
        <v>-0.26250000000000001</v>
      </c>
    </row>
    <row r="1223" spans="1:13" hidden="1" x14ac:dyDescent="0.35">
      <c r="A1223" s="112" t="s">
        <v>3616</v>
      </c>
      <c r="B1223" s="112" t="s">
        <v>921</v>
      </c>
      <c r="C1223" s="112" t="s">
        <v>695</v>
      </c>
      <c r="D1223" s="113">
        <v>10348038</v>
      </c>
      <c r="E1223" s="115">
        <v>43928</v>
      </c>
      <c r="F1223" s="114">
        <v>202101</v>
      </c>
      <c r="G1223" s="112" t="s">
        <v>1091</v>
      </c>
      <c r="H1223" s="112" t="s">
        <v>1016</v>
      </c>
      <c r="I1223" s="112" t="s">
        <v>3899</v>
      </c>
      <c r="J1223" s="112" t="s">
        <v>3709</v>
      </c>
      <c r="K1223" s="112" t="s">
        <v>3923</v>
      </c>
      <c r="L1223" s="116">
        <v>-262.5</v>
      </c>
      <c r="M1223" s="116">
        <f t="shared" si="19"/>
        <v>-0.26250000000000001</v>
      </c>
    </row>
    <row r="1224" spans="1:13" hidden="1" x14ac:dyDescent="0.35">
      <c r="A1224" s="112" t="s">
        <v>3616</v>
      </c>
      <c r="B1224" s="112" t="s">
        <v>921</v>
      </c>
      <c r="C1224" s="112" t="s">
        <v>695</v>
      </c>
      <c r="D1224" s="113">
        <v>10348038</v>
      </c>
      <c r="E1224" s="115">
        <v>43928</v>
      </c>
      <c r="F1224" s="114">
        <v>202101</v>
      </c>
      <c r="G1224" s="112" t="s">
        <v>1091</v>
      </c>
      <c r="H1224" s="112" t="s">
        <v>1016</v>
      </c>
      <c r="I1224" s="112" t="s">
        <v>3899</v>
      </c>
      <c r="J1224" s="112" t="s">
        <v>3709</v>
      </c>
      <c r="K1224" s="112" t="s">
        <v>3924</v>
      </c>
      <c r="L1224" s="116">
        <v>-1353.75</v>
      </c>
      <c r="M1224" s="116">
        <f t="shared" si="19"/>
        <v>-1.35375</v>
      </c>
    </row>
    <row r="1225" spans="1:13" hidden="1" x14ac:dyDescent="0.35">
      <c r="A1225" s="112" t="s">
        <v>3616</v>
      </c>
      <c r="B1225" s="112" t="s">
        <v>921</v>
      </c>
      <c r="C1225" s="112" t="s">
        <v>695</v>
      </c>
      <c r="D1225" s="113">
        <v>10348038</v>
      </c>
      <c r="E1225" s="115">
        <v>43928</v>
      </c>
      <c r="F1225" s="114">
        <v>202101</v>
      </c>
      <c r="G1225" s="112" t="s">
        <v>1091</v>
      </c>
      <c r="H1225" s="112" t="s">
        <v>1016</v>
      </c>
      <c r="I1225" s="112" t="s">
        <v>3899</v>
      </c>
      <c r="J1225" s="112" t="s">
        <v>3709</v>
      </c>
      <c r="K1225" s="112" t="s">
        <v>3925</v>
      </c>
      <c r="L1225" s="116">
        <v>-262.5</v>
      </c>
      <c r="M1225" s="116">
        <f t="shared" si="19"/>
        <v>-0.26250000000000001</v>
      </c>
    </row>
    <row r="1226" spans="1:13" hidden="1" x14ac:dyDescent="0.35">
      <c r="A1226" s="112" t="s">
        <v>3616</v>
      </c>
      <c r="B1226" s="112" t="s">
        <v>921</v>
      </c>
      <c r="C1226" s="112" t="s">
        <v>695</v>
      </c>
      <c r="D1226" s="113">
        <v>10348038</v>
      </c>
      <c r="E1226" s="115">
        <v>43928</v>
      </c>
      <c r="F1226" s="114">
        <v>202101</v>
      </c>
      <c r="G1226" s="112" t="s">
        <v>1091</v>
      </c>
      <c r="H1226" s="112" t="s">
        <v>1016</v>
      </c>
      <c r="I1226" s="112" t="s">
        <v>3846</v>
      </c>
      <c r="J1226" s="112" t="s">
        <v>3709</v>
      </c>
      <c r="K1226" s="112" t="s">
        <v>3926</v>
      </c>
      <c r="L1226" s="116">
        <v>-187.5</v>
      </c>
      <c r="M1226" s="116">
        <f t="shared" si="19"/>
        <v>-0.1875</v>
      </c>
    </row>
    <row r="1227" spans="1:13" hidden="1" x14ac:dyDescent="0.35">
      <c r="A1227" s="112" t="s">
        <v>3616</v>
      </c>
      <c r="B1227" s="112" t="s">
        <v>921</v>
      </c>
      <c r="C1227" s="112" t="s">
        <v>695</v>
      </c>
      <c r="D1227" s="113">
        <v>10348034</v>
      </c>
      <c r="E1227" s="115">
        <v>43928</v>
      </c>
      <c r="F1227" s="114">
        <v>202101</v>
      </c>
      <c r="G1227" s="112" t="s">
        <v>1091</v>
      </c>
      <c r="H1227" s="112" t="s">
        <v>1015</v>
      </c>
      <c r="I1227" s="112" t="s">
        <v>1211</v>
      </c>
      <c r="J1227" s="112" t="s">
        <v>3620</v>
      </c>
      <c r="K1227" s="112" t="s">
        <v>3927</v>
      </c>
      <c r="L1227" s="116">
        <v>-445.45</v>
      </c>
      <c r="M1227" s="116">
        <f t="shared" si="19"/>
        <v>-0.44545000000000001</v>
      </c>
    </row>
    <row r="1228" spans="1:13" hidden="1" x14ac:dyDescent="0.35">
      <c r="A1228" s="112" t="s">
        <v>3616</v>
      </c>
      <c r="B1228" s="112" t="s">
        <v>918</v>
      </c>
      <c r="C1228" s="112" t="s">
        <v>695</v>
      </c>
      <c r="D1228" s="113">
        <v>10348539</v>
      </c>
      <c r="E1228" s="115">
        <v>43951</v>
      </c>
      <c r="F1228" s="114">
        <v>202101</v>
      </c>
      <c r="G1228" s="112" t="s">
        <v>1091</v>
      </c>
      <c r="H1228" s="112" t="s">
        <v>1015</v>
      </c>
      <c r="I1228" s="112" t="s">
        <v>1868</v>
      </c>
      <c r="J1228" s="112" t="s">
        <v>3695</v>
      </c>
      <c r="K1228" s="112" t="s">
        <v>3929</v>
      </c>
      <c r="L1228" s="116">
        <v>850</v>
      </c>
      <c r="M1228" s="116">
        <f t="shared" si="19"/>
        <v>0.85</v>
      </c>
    </row>
    <row r="1229" spans="1:13" hidden="1" x14ac:dyDescent="0.35">
      <c r="A1229" s="112" t="s">
        <v>3616</v>
      </c>
      <c r="B1229" s="112" t="s">
        <v>921</v>
      </c>
      <c r="C1229" s="112" t="s">
        <v>695</v>
      </c>
      <c r="D1229" s="113">
        <v>10348038</v>
      </c>
      <c r="E1229" s="115">
        <v>43928</v>
      </c>
      <c r="F1229" s="114">
        <v>202101</v>
      </c>
      <c r="G1229" s="112" t="s">
        <v>1091</v>
      </c>
      <c r="H1229" s="112" t="s">
        <v>1016</v>
      </c>
      <c r="I1229" s="112" t="s">
        <v>819</v>
      </c>
      <c r="J1229" s="112" t="s">
        <v>3709</v>
      </c>
      <c r="K1229" s="112" t="s">
        <v>3930</v>
      </c>
      <c r="L1229" s="116">
        <v>337.5</v>
      </c>
      <c r="M1229" s="116">
        <f t="shared" si="19"/>
        <v>0.33750000000000002</v>
      </c>
    </row>
    <row r="1230" spans="1:13" hidden="1" x14ac:dyDescent="0.35">
      <c r="A1230" s="112" t="s">
        <v>3616</v>
      </c>
      <c r="B1230" s="112" t="s">
        <v>918</v>
      </c>
      <c r="C1230" s="112" t="s">
        <v>695</v>
      </c>
      <c r="D1230" s="113">
        <v>10348539</v>
      </c>
      <c r="E1230" s="115">
        <v>43951</v>
      </c>
      <c r="F1230" s="114">
        <v>202101</v>
      </c>
      <c r="G1230" s="112" t="s">
        <v>1091</v>
      </c>
      <c r="H1230" s="112" t="s">
        <v>1015</v>
      </c>
      <c r="I1230" s="112" t="s">
        <v>1868</v>
      </c>
      <c r="J1230" s="112" t="s">
        <v>3695</v>
      </c>
      <c r="K1230" s="112" t="s">
        <v>3929</v>
      </c>
      <c r="L1230" s="116">
        <v>200</v>
      </c>
      <c r="M1230" s="116">
        <f t="shared" si="19"/>
        <v>0.2</v>
      </c>
    </row>
    <row r="1231" spans="1:13" hidden="1" x14ac:dyDescent="0.35">
      <c r="A1231" s="112" t="s">
        <v>3616</v>
      </c>
      <c r="B1231" s="112" t="s">
        <v>918</v>
      </c>
      <c r="C1231" s="112" t="s">
        <v>695</v>
      </c>
      <c r="D1231" s="113">
        <v>10348539</v>
      </c>
      <c r="E1231" s="115">
        <v>43951</v>
      </c>
      <c r="F1231" s="114">
        <v>202101</v>
      </c>
      <c r="G1231" s="112" t="s">
        <v>1091</v>
      </c>
      <c r="H1231" s="112" t="s">
        <v>1015</v>
      </c>
      <c r="I1231" s="112" t="s">
        <v>1868</v>
      </c>
      <c r="J1231" s="112" t="s">
        <v>3695</v>
      </c>
      <c r="K1231" s="112" t="s">
        <v>3931</v>
      </c>
      <c r="L1231" s="116">
        <v>2049.75</v>
      </c>
      <c r="M1231" s="116">
        <f t="shared" si="19"/>
        <v>2.04975</v>
      </c>
    </row>
    <row r="1232" spans="1:13" hidden="1" x14ac:dyDescent="0.35">
      <c r="A1232" s="112" t="s">
        <v>3616</v>
      </c>
      <c r="B1232" s="112" t="s">
        <v>921</v>
      </c>
      <c r="C1232" s="112" t="s">
        <v>695</v>
      </c>
      <c r="D1232" s="113">
        <v>10348038</v>
      </c>
      <c r="E1232" s="115">
        <v>43928</v>
      </c>
      <c r="F1232" s="114">
        <v>202101</v>
      </c>
      <c r="G1232" s="112" t="s">
        <v>1091</v>
      </c>
      <c r="H1232" s="112" t="s">
        <v>1016</v>
      </c>
      <c r="I1232" s="112" t="s">
        <v>819</v>
      </c>
      <c r="J1232" s="112" t="s">
        <v>3709</v>
      </c>
      <c r="K1232" s="112" t="s">
        <v>3932</v>
      </c>
      <c r="L1232" s="116">
        <v>-150</v>
      </c>
      <c r="M1232" s="116">
        <f t="shared" si="19"/>
        <v>-0.15</v>
      </c>
    </row>
    <row r="1233" spans="1:13" hidden="1" x14ac:dyDescent="0.35">
      <c r="A1233" s="112" t="s">
        <v>3616</v>
      </c>
      <c r="B1233" s="112" t="s">
        <v>918</v>
      </c>
      <c r="C1233" s="112" t="s">
        <v>695</v>
      </c>
      <c r="D1233" s="113">
        <v>10348539</v>
      </c>
      <c r="E1233" s="115">
        <v>43951</v>
      </c>
      <c r="F1233" s="114">
        <v>202101</v>
      </c>
      <c r="G1233" s="112" t="s">
        <v>1091</v>
      </c>
      <c r="H1233" s="112" t="s">
        <v>1015</v>
      </c>
      <c r="I1233" s="112" t="s">
        <v>761</v>
      </c>
      <c r="J1233" s="112" t="s">
        <v>3649</v>
      </c>
      <c r="K1233" s="112" t="s">
        <v>3933</v>
      </c>
      <c r="L1233" s="116">
        <v>1705</v>
      </c>
      <c r="M1233" s="116">
        <f t="shared" si="19"/>
        <v>1.7050000000000001</v>
      </c>
    </row>
    <row r="1234" spans="1:13" hidden="1" x14ac:dyDescent="0.35">
      <c r="A1234" s="112" t="s">
        <v>3616</v>
      </c>
      <c r="B1234" s="112" t="s">
        <v>918</v>
      </c>
      <c r="C1234" s="112" t="s">
        <v>695</v>
      </c>
      <c r="D1234" s="113">
        <v>10348539</v>
      </c>
      <c r="E1234" s="115">
        <v>43951</v>
      </c>
      <c r="F1234" s="114">
        <v>202101</v>
      </c>
      <c r="G1234" s="112" t="s">
        <v>1091</v>
      </c>
      <c r="H1234" s="112" t="s">
        <v>1015</v>
      </c>
      <c r="I1234" s="112" t="s">
        <v>761</v>
      </c>
      <c r="J1234" s="112" t="s">
        <v>3649</v>
      </c>
      <c r="K1234" s="112" t="s">
        <v>3933</v>
      </c>
      <c r="L1234" s="116">
        <v>2480</v>
      </c>
      <c r="M1234" s="116">
        <f t="shared" si="19"/>
        <v>2.48</v>
      </c>
    </row>
    <row r="1235" spans="1:13" hidden="1" x14ac:dyDescent="0.35">
      <c r="A1235" s="112" t="s">
        <v>3616</v>
      </c>
      <c r="B1235" s="112" t="s">
        <v>921</v>
      </c>
      <c r="C1235" s="112" t="s">
        <v>695</v>
      </c>
      <c r="D1235" s="113">
        <v>10348038</v>
      </c>
      <c r="E1235" s="115">
        <v>43928</v>
      </c>
      <c r="F1235" s="114">
        <v>202101</v>
      </c>
      <c r="G1235" s="112" t="s">
        <v>1091</v>
      </c>
      <c r="H1235" s="112" t="s">
        <v>1016</v>
      </c>
      <c r="I1235" s="112" t="s">
        <v>819</v>
      </c>
      <c r="J1235" s="112" t="s">
        <v>3709</v>
      </c>
      <c r="K1235" s="112" t="s">
        <v>3934</v>
      </c>
      <c r="L1235" s="116">
        <v>-420</v>
      </c>
      <c r="M1235" s="116">
        <f t="shared" si="19"/>
        <v>-0.42</v>
      </c>
    </row>
    <row r="1236" spans="1:13" hidden="1" x14ac:dyDescent="0.35">
      <c r="A1236" s="112" t="s">
        <v>3616</v>
      </c>
      <c r="B1236" s="112" t="s">
        <v>921</v>
      </c>
      <c r="C1236" s="112" t="s">
        <v>695</v>
      </c>
      <c r="D1236" s="113">
        <v>10348038</v>
      </c>
      <c r="E1236" s="115">
        <v>43928</v>
      </c>
      <c r="F1236" s="114">
        <v>202101</v>
      </c>
      <c r="G1236" s="112" t="s">
        <v>1091</v>
      </c>
      <c r="H1236" s="112" t="s">
        <v>1016</v>
      </c>
      <c r="I1236" s="112" t="s">
        <v>819</v>
      </c>
      <c r="J1236" s="112" t="s">
        <v>3709</v>
      </c>
      <c r="K1236" s="112" t="s">
        <v>3935</v>
      </c>
      <c r="L1236" s="116">
        <v>262.5</v>
      </c>
      <c r="M1236" s="116">
        <f t="shared" si="19"/>
        <v>0.26250000000000001</v>
      </c>
    </row>
    <row r="1237" spans="1:13" hidden="1" x14ac:dyDescent="0.35">
      <c r="A1237" s="112" t="s">
        <v>3616</v>
      </c>
      <c r="B1237" s="112" t="s">
        <v>921</v>
      </c>
      <c r="C1237" s="112" t="s">
        <v>695</v>
      </c>
      <c r="D1237" s="113">
        <v>10348038</v>
      </c>
      <c r="E1237" s="115">
        <v>43928</v>
      </c>
      <c r="F1237" s="114">
        <v>202101</v>
      </c>
      <c r="G1237" s="112" t="s">
        <v>1091</v>
      </c>
      <c r="H1237" s="112" t="s">
        <v>1016</v>
      </c>
      <c r="I1237" s="112" t="s">
        <v>3846</v>
      </c>
      <c r="J1237" s="112" t="s">
        <v>3709</v>
      </c>
      <c r="K1237" s="112" t="s">
        <v>3936</v>
      </c>
      <c r="L1237" s="116">
        <v>-1551.25</v>
      </c>
      <c r="M1237" s="116">
        <f t="shared" si="19"/>
        <v>-1.55125</v>
      </c>
    </row>
    <row r="1238" spans="1:13" hidden="1" x14ac:dyDescent="0.35">
      <c r="A1238" s="112" t="s">
        <v>3616</v>
      </c>
      <c r="B1238" s="112" t="s">
        <v>921</v>
      </c>
      <c r="C1238" s="112" t="s">
        <v>695</v>
      </c>
      <c r="D1238" s="113">
        <v>10348038</v>
      </c>
      <c r="E1238" s="115">
        <v>43928</v>
      </c>
      <c r="F1238" s="114">
        <v>202101</v>
      </c>
      <c r="G1238" s="112" t="s">
        <v>1091</v>
      </c>
      <c r="H1238" s="112" t="s">
        <v>1016</v>
      </c>
      <c r="I1238" s="112" t="s">
        <v>3846</v>
      </c>
      <c r="J1238" s="112" t="s">
        <v>3709</v>
      </c>
      <c r="K1238" s="112" t="s">
        <v>3937</v>
      </c>
      <c r="L1238" s="116">
        <v>-257.5</v>
      </c>
      <c r="M1238" s="116">
        <f t="shared" si="19"/>
        <v>-0.25750000000000001</v>
      </c>
    </row>
    <row r="1239" spans="1:13" hidden="1" x14ac:dyDescent="0.35">
      <c r="A1239" s="112" t="s">
        <v>3616</v>
      </c>
      <c r="B1239" s="112" t="s">
        <v>923</v>
      </c>
      <c r="C1239" s="112" t="s">
        <v>695</v>
      </c>
      <c r="D1239" s="113">
        <v>10348539</v>
      </c>
      <c r="E1239" s="115">
        <v>43951</v>
      </c>
      <c r="F1239" s="114">
        <v>202101</v>
      </c>
      <c r="G1239" s="112" t="s">
        <v>1091</v>
      </c>
      <c r="H1239" s="112" t="s">
        <v>1015</v>
      </c>
      <c r="I1239" s="112" t="s">
        <v>1182</v>
      </c>
      <c r="J1239" s="112" t="s">
        <v>3714</v>
      </c>
      <c r="K1239" s="112" t="s">
        <v>3939</v>
      </c>
      <c r="L1239" s="116">
        <v>60</v>
      </c>
      <c r="M1239" s="116">
        <f t="shared" si="19"/>
        <v>0.06</v>
      </c>
    </row>
    <row r="1240" spans="1:13" hidden="1" x14ac:dyDescent="0.35">
      <c r="A1240" s="112" t="s">
        <v>3616</v>
      </c>
      <c r="B1240" s="112" t="s">
        <v>921</v>
      </c>
      <c r="C1240" s="112" t="s">
        <v>695</v>
      </c>
      <c r="D1240" s="113">
        <v>10348038</v>
      </c>
      <c r="E1240" s="115">
        <v>43928</v>
      </c>
      <c r="F1240" s="114">
        <v>202101</v>
      </c>
      <c r="G1240" s="112" t="s">
        <v>1091</v>
      </c>
      <c r="H1240" s="112" t="s">
        <v>1016</v>
      </c>
      <c r="I1240" s="112" t="s">
        <v>3846</v>
      </c>
      <c r="J1240" s="112" t="s">
        <v>3709</v>
      </c>
      <c r="K1240" s="112" t="s">
        <v>3946</v>
      </c>
      <c r="L1240" s="116">
        <v>-3045</v>
      </c>
      <c r="M1240" s="116">
        <f t="shared" si="19"/>
        <v>-3.0449999999999999</v>
      </c>
    </row>
    <row r="1241" spans="1:13" hidden="1" x14ac:dyDescent="0.35">
      <c r="A1241" s="112" t="s">
        <v>3616</v>
      </c>
      <c r="B1241" s="112" t="s">
        <v>921</v>
      </c>
      <c r="C1241" s="112" t="s">
        <v>695</v>
      </c>
      <c r="D1241" s="113">
        <v>10348038</v>
      </c>
      <c r="E1241" s="115">
        <v>43928</v>
      </c>
      <c r="F1241" s="114">
        <v>202101</v>
      </c>
      <c r="G1241" s="112" t="s">
        <v>1091</v>
      </c>
      <c r="H1241" s="112" t="s">
        <v>1016</v>
      </c>
      <c r="I1241" s="112" t="s">
        <v>3846</v>
      </c>
      <c r="J1241" s="112" t="s">
        <v>3709</v>
      </c>
      <c r="K1241" s="112" t="s">
        <v>3947</v>
      </c>
      <c r="L1241" s="116">
        <v>-320</v>
      </c>
      <c r="M1241" s="116">
        <f t="shared" si="19"/>
        <v>-0.32</v>
      </c>
    </row>
    <row r="1242" spans="1:13" hidden="1" x14ac:dyDescent="0.35">
      <c r="A1242" s="112" t="s">
        <v>3616</v>
      </c>
      <c r="B1242" s="112" t="s">
        <v>921</v>
      </c>
      <c r="C1242" s="112" t="s">
        <v>695</v>
      </c>
      <c r="D1242" s="113">
        <v>10348038</v>
      </c>
      <c r="E1242" s="115">
        <v>43928</v>
      </c>
      <c r="F1242" s="114">
        <v>202101</v>
      </c>
      <c r="G1242" s="112" t="s">
        <v>1091</v>
      </c>
      <c r="H1242" s="112" t="s">
        <v>1016</v>
      </c>
      <c r="I1242" s="112" t="s">
        <v>3846</v>
      </c>
      <c r="J1242" s="112" t="s">
        <v>3709</v>
      </c>
      <c r="K1242" s="112" t="s">
        <v>3948</v>
      </c>
      <c r="L1242" s="116">
        <v>2040</v>
      </c>
      <c r="M1242" s="116">
        <f t="shared" si="19"/>
        <v>2.04</v>
      </c>
    </row>
    <row r="1243" spans="1:13" hidden="1" x14ac:dyDescent="0.35">
      <c r="A1243" s="112" t="s">
        <v>3616</v>
      </c>
      <c r="B1243" s="112" t="s">
        <v>921</v>
      </c>
      <c r="C1243" s="112" t="s">
        <v>695</v>
      </c>
      <c r="D1243" s="113">
        <v>10348038</v>
      </c>
      <c r="E1243" s="115">
        <v>43928</v>
      </c>
      <c r="F1243" s="114">
        <v>202101</v>
      </c>
      <c r="G1243" s="112" t="s">
        <v>1091</v>
      </c>
      <c r="H1243" s="112" t="s">
        <v>1016</v>
      </c>
      <c r="I1243" s="112" t="s">
        <v>3846</v>
      </c>
      <c r="J1243" s="112" t="s">
        <v>3709</v>
      </c>
      <c r="K1243" s="112" t="s">
        <v>3932</v>
      </c>
      <c r="L1243" s="116">
        <v>-1085</v>
      </c>
      <c r="M1243" s="116">
        <f t="shared" si="19"/>
        <v>-1.085</v>
      </c>
    </row>
    <row r="1244" spans="1:13" hidden="1" x14ac:dyDescent="0.35">
      <c r="A1244" s="112" t="s">
        <v>3616</v>
      </c>
      <c r="B1244" s="112" t="s">
        <v>922</v>
      </c>
      <c r="C1244" s="112" t="s">
        <v>695</v>
      </c>
      <c r="D1244" s="113">
        <v>10348539</v>
      </c>
      <c r="E1244" s="115">
        <v>43951</v>
      </c>
      <c r="F1244" s="114">
        <v>202101</v>
      </c>
      <c r="G1244" s="112" t="s">
        <v>1091</v>
      </c>
      <c r="H1244" s="112" t="s">
        <v>1015</v>
      </c>
      <c r="I1244" s="112" t="s">
        <v>761</v>
      </c>
      <c r="J1244" s="112" t="s">
        <v>3794</v>
      </c>
      <c r="K1244" s="112" t="s">
        <v>3949</v>
      </c>
      <c r="L1244" s="116">
        <v>45</v>
      </c>
      <c r="M1244" s="116">
        <f t="shared" si="19"/>
        <v>4.4999999999999998E-2</v>
      </c>
    </row>
    <row r="1245" spans="1:13" hidden="1" x14ac:dyDescent="0.35">
      <c r="A1245" s="112" t="s">
        <v>3616</v>
      </c>
      <c r="B1245" s="112" t="s">
        <v>922</v>
      </c>
      <c r="C1245" s="112" t="s">
        <v>695</v>
      </c>
      <c r="D1245" s="113">
        <v>10348128</v>
      </c>
      <c r="E1245" s="115">
        <v>43929</v>
      </c>
      <c r="F1245" s="114">
        <v>202101</v>
      </c>
      <c r="G1245" s="112" t="s">
        <v>1091</v>
      </c>
      <c r="H1245" s="112" t="s">
        <v>1015</v>
      </c>
      <c r="I1245" s="112" t="s">
        <v>761</v>
      </c>
      <c r="J1245" s="112" t="s">
        <v>3954</v>
      </c>
      <c r="K1245" s="112" t="s">
        <v>3955</v>
      </c>
      <c r="L1245" s="116">
        <v>-5000</v>
      </c>
      <c r="M1245" s="116">
        <f t="shared" si="19"/>
        <v>-5</v>
      </c>
    </row>
    <row r="1246" spans="1:13" hidden="1" x14ac:dyDescent="0.35">
      <c r="A1246" s="112" t="s">
        <v>3616</v>
      </c>
      <c r="B1246" s="112" t="s">
        <v>921</v>
      </c>
      <c r="C1246" s="112" t="s">
        <v>695</v>
      </c>
      <c r="D1246" s="113">
        <v>10347981</v>
      </c>
      <c r="E1246" s="115">
        <v>43924</v>
      </c>
      <c r="F1246" s="114">
        <v>202101</v>
      </c>
      <c r="G1246" s="112" t="s">
        <v>1091</v>
      </c>
      <c r="H1246" s="112" t="s">
        <v>1015</v>
      </c>
      <c r="I1246" s="112" t="s">
        <v>1211</v>
      </c>
      <c r="J1246" s="112" t="s">
        <v>3620</v>
      </c>
      <c r="K1246" s="112" t="s">
        <v>3966</v>
      </c>
      <c r="L1246" s="116">
        <v>-179.63</v>
      </c>
      <c r="M1246" s="116">
        <f t="shared" si="19"/>
        <v>-0.17962999999999998</v>
      </c>
    </row>
    <row r="1247" spans="1:13" hidden="1" x14ac:dyDescent="0.35">
      <c r="A1247" s="112" t="s">
        <v>3616</v>
      </c>
      <c r="B1247" s="112" t="s">
        <v>923</v>
      </c>
      <c r="C1247" s="112" t="s">
        <v>695</v>
      </c>
      <c r="D1247" s="113">
        <v>10348277</v>
      </c>
      <c r="E1247" s="115">
        <v>43929</v>
      </c>
      <c r="F1247" s="114">
        <v>202101</v>
      </c>
      <c r="G1247" s="112" t="s">
        <v>1091</v>
      </c>
      <c r="H1247" s="112" t="s">
        <v>1015</v>
      </c>
      <c r="I1247" s="112" t="s">
        <v>761</v>
      </c>
      <c r="J1247" s="112" t="s">
        <v>3673</v>
      </c>
      <c r="K1247" s="112" t="s">
        <v>3967</v>
      </c>
      <c r="L1247" s="116">
        <v>5000</v>
      </c>
      <c r="M1247" s="116">
        <f t="shared" si="19"/>
        <v>5</v>
      </c>
    </row>
    <row r="1248" spans="1:13" hidden="1" x14ac:dyDescent="0.35">
      <c r="A1248" s="112" t="s">
        <v>3616</v>
      </c>
      <c r="B1248" s="112" t="s">
        <v>923</v>
      </c>
      <c r="C1248" s="112" t="s">
        <v>695</v>
      </c>
      <c r="D1248" s="113">
        <v>10348275</v>
      </c>
      <c r="E1248" s="115">
        <v>43929</v>
      </c>
      <c r="F1248" s="114">
        <v>202101</v>
      </c>
      <c r="G1248" s="112" t="s">
        <v>1091</v>
      </c>
      <c r="H1248" s="112" t="s">
        <v>1015</v>
      </c>
      <c r="I1248" s="112" t="s">
        <v>3672</v>
      </c>
      <c r="J1248" s="112" t="s">
        <v>3673</v>
      </c>
      <c r="K1248" s="112" t="s">
        <v>3968</v>
      </c>
      <c r="L1248" s="116">
        <v>1000</v>
      </c>
      <c r="M1248" s="116">
        <f t="shared" si="19"/>
        <v>1</v>
      </c>
    </row>
    <row r="1249" spans="1:13" hidden="1" x14ac:dyDescent="0.35">
      <c r="A1249" s="112" t="s">
        <v>3616</v>
      </c>
      <c r="B1249" s="112" t="s">
        <v>923</v>
      </c>
      <c r="C1249" s="112" t="s">
        <v>695</v>
      </c>
      <c r="D1249" s="113">
        <v>10348275</v>
      </c>
      <c r="E1249" s="115">
        <v>43929</v>
      </c>
      <c r="F1249" s="114">
        <v>202101</v>
      </c>
      <c r="G1249" s="112" t="s">
        <v>1091</v>
      </c>
      <c r="H1249" s="112" t="s">
        <v>1015</v>
      </c>
      <c r="I1249" s="112" t="s">
        <v>2129</v>
      </c>
      <c r="J1249" s="112" t="s">
        <v>3673</v>
      </c>
      <c r="K1249" s="112" t="s">
        <v>3969</v>
      </c>
      <c r="L1249" s="116">
        <v>4166.67</v>
      </c>
      <c r="M1249" s="116">
        <f t="shared" si="19"/>
        <v>4.1666699999999999</v>
      </c>
    </row>
    <row r="1250" spans="1:13" hidden="1" x14ac:dyDescent="0.35">
      <c r="A1250" s="112" t="s">
        <v>3616</v>
      </c>
      <c r="B1250" s="112" t="s">
        <v>923</v>
      </c>
      <c r="C1250" s="112" t="s">
        <v>695</v>
      </c>
      <c r="D1250" s="113">
        <v>10348275</v>
      </c>
      <c r="E1250" s="115">
        <v>43929</v>
      </c>
      <c r="F1250" s="114">
        <v>202101</v>
      </c>
      <c r="G1250" s="112" t="s">
        <v>1091</v>
      </c>
      <c r="H1250" s="112" t="s">
        <v>1015</v>
      </c>
      <c r="I1250" s="112" t="s">
        <v>2129</v>
      </c>
      <c r="J1250" s="112" t="s">
        <v>3673</v>
      </c>
      <c r="K1250" s="112" t="s">
        <v>3970</v>
      </c>
      <c r="L1250" s="116">
        <v>8400</v>
      </c>
      <c r="M1250" s="116">
        <f t="shared" si="19"/>
        <v>8.4</v>
      </c>
    </row>
    <row r="1251" spans="1:13" hidden="1" x14ac:dyDescent="0.35">
      <c r="A1251" s="112" t="s">
        <v>3616</v>
      </c>
      <c r="B1251" s="112" t="s">
        <v>921</v>
      </c>
      <c r="C1251" s="112" t="s">
        <v>695</v>
      </c>
      <c r="D1251" s="113">
        <v>10347981</v>
      </c>
      <c r="E1251" s="115">
        <v>43924</v>
      </c>
      <c r="F1251" s="114">
        <v>202101</v>
      </c>
      <c r="G1251" s="112" t="s">
        <v>1091</v>
      </c>
      <c r="H1251" s="112" t="s">
        <v>1015</v>
      </c>
      <c r="I1251" s="112" t="s">
        <v>1211</v>
      </c>
      <c r="J1251" s="112" t="s">
        <v>3620</v>
      </c>
      <c r="K1251" s="112" t="s">
        <v>3966</v>
      </c>
      <c r="L1251" s="116">
        <v>-179.63</v>
      </c>
      <c r="M1251" s="116">
        <f t="shared" si="19"/>
        <v>-0.17962999999999998</v>
      </c>
    </row>
    <row r="1252" spans="1:13" hidden="1" x14ac:dyDescent="0.35">
      <c r="A1252" s="112" t="s">
        <v>3616</v>
      </c>
      <c r="B1252" s="112" t="s">
        <v>923</v>
      </c>
      <c r="C1252" s="112" t="s">
        <v>695</v>
      </c>
      <c r="D1252" s="113">
        <v>10348275</v>
      </c>
      <c r="E1252" s="115">
        <v>43929</v>
      </c>
      <c r="F1252" s="114">
        <v>202101</v>
      </c>
      <c r="G1252" s="112" t="s">
        <v>1091</v>
      </c>
      <c r="H1252" s="112" t="s">
        <v>1015</v>
      </c>
      <c r="I1252" s="112" t="s">
        <v>761</v>
      </c>
      <c r="J1252" s="112" t="s">
        <v>3673</v>
      </c>
      <c r="K1252" s="112" t="s">
        <v>3971</v>
      </c>
      <c r="L1252" s="116">
        <v>5000</v>
      </c>
      <c r="M1252" s="116">
        <f t="shared" si="19"/>
        <v>5</v>
      </c>
    </row>
    <row r="1253" spans="1:13" hidden="1" x14ac:dyDescent="0.35">
      <c r="A1253" s="112" t="s">
        <v>3616</v>
      </c>
      <c r="B1253" s="112" t="s">
        <v>923</v>
      </c>
      <c r="C1253" s="112" t="s">
        <v>695</v>
      </c>
      <c r="D1253" s="113">
        <v>10348275</v>
      </c>
      <c r="E1253" s="115">
        <v>43929</v>
      </c>
      <c r="F1253" s="114">
        <v>202101</v>
      </c>
      <c r="G1253" s="112" t="s">
        <v>1091</v>
      </c>
      <c r="H1253" s="112" t="s">
        <v>1015</v>
      </c>
      <c r="I1253" s="112" t="s">
        <v>761</v>
      </c>
      <c r="J1253" s="112" t="s">
        <v>3673</v>
      </c>
      <c r="K1253" s="112" t="s">
        <v>3972</v>
      </c>
      <c r="L1253" s="116">
        <v>5000</v>
      </c>
      <c r="M1253" s="116">
        <f t="shared" si="19"/>
        <v>5</v>
      </c>
    </row>
    <row r="1254" spans="1:13" hidden="1" x14ac:dyDescent="0.35">
      <c r="A1254" s="112" t="s">
        <v>3616</v>
      </c>
      <c r="B1254" s="112" t="s">
        <v>921</v>
      </c>
      <c r="C1254" s="112" t="s">
        <v>695</v>
      </c>
      <c r="D1254" s="113">
        <v>10347981</v>
      </c>
      <c r="E1254" s="115">
        <v>43924</v>
      </c>
      <c r="F1254" s="114">
        <v>202101</v>
      </c>
      <c r="G1254" s="112" t="s">
        <v>1091</v>
      </c>
      <c r="H1254" s="112" t="s">
        <v>1015</v>
      </c>
      <c r="I1254" s="112" t="s">
        <v>1211</v>
      </c>
      <c r="J1254" s="112" t="s">
        <v>3620</v>
      </c>
      <c r="K1254" s="112" t="s">
        <v>3966</v>
      </c>
      <c r="L1254" s="116">
        <v>-179.63</v>
      </c>
      <c r="M1254" s="116">
        <f t="shared" si="19"/>
        <v>-0.17962999999999998</v>
      </c>
    </row>
    <row r="1255" spans="1:13" hidden="1" x14ac:dyDescent="0.35">
      <c r="A1255" s="112" t="s">
        <v>3616</v>
      </c>
      <c r="B1255" s="112" t="s">
        <v>916</v>
      </c>
      <c r="C1255" s="112" t="s">
        <v>695</v>
      </c>
      <c r="D1255" s="113">
        <v>10348539</v>
      </c>
      <c r="E1255" s="115">
        <v>43951</v>
      </c>
      <c r="F1255" s="114">
        <v>202101</v>
      </c>
      <c r="G1255" s="112" t="s">
        <v>1091</v>
      </c>
      <c r="H1255" s="112" t="s">
        <v>1015</v>
      </c>
      <c r="I1255" s="112" t="s">
        <v>2591</v>
      </c>
      <c r="J1255" s="112" t="s">
        <v>3771</v>
      </c>
      <c r="K1255" s="112" t="s">
        <v>3981</v>
      </c>
      <c r="L1255" s="116">
        <v>782</v>
      </c>
      <c r="M1255" s="116">
        <f t="shared" si="19"/>
        <v>0.78200000000000003</v>
      </c>
    </row>
    <row r="1256" spans="1:13" hidden="1" x14ac:dyDescent="0.35">
      <c r="A1256" s="112" t="s">
        <v>3616</v>
      </c>
      <c r="B1256" s="112" t="s">
        <v>923</v>
      </c>
      <c r="C1256" s="112" t="s">
        <v>695</v>
      </c>
      <c r="D1256" s="113">
        <v>10347981</v>
      </c>
      <c r="E1256" s="115">
        <v>43924</v>
      </c>
      <c r="F1256" s="114">
        <v>202101</v>
      </c>
      <c r="G1256" s="112" t="s">
        <v>1091</v>
      </c>
      <c r="H1256" s="112" t="s">
        <v>1015</v>
      </c>
      <c r="I1256" s="112" t="s">
        <v>761</v>
      </c>
      <c r="J1256" s="112" t="s">
        <v>3673</v>
      </c>
      <c r="K1256" s="112" t="s">
        <v>3982</v>
      </c>
      <c r="L1256" s="116">
        <v>-5000</v>
      </c>
      <c r="M1256" s="116">
        <f t="shared" si="19"/>
        <v>-5</v>
      </c>
    </row>
    <row r="1257" spans="1:13" hidden="1" x14ac:dyDescent="0.35">
      <c r="A1257" s="112" t="s">
        <v>3616</v>
      </c>
      <c r="B1257" s="112" t="s">
        <v>921</v>
      </c>
      <c r="C1257" s="112" t="s">
        <v>695</v>
      </c>
      <c r="D1257" s="113">
        <v>10347981</v>
      </c>
      <c r="E1257" s="115">
        <v>43924</v>
      </c>
      <c r="F1257" s="114">
        <v>202101</v>
      </c>
      <c r="G1257" s="112" t="s">
        <v>1091</v>
      </c>
      <c r="H1257" s="112" t="s">
        <v>1015</v>
      </c>
      <c r="I1257" s="112" t="s">
        <v>2495</v>
      </c>
      <c r="J1257" s="112" t="s">
        <v>3620</v>
      </c>
      <c r="K1257" s="112" t="s">
        <v>3983</v>
      </c>
      <c r="L1257" s="116">
        <v>-480</v>
      </c>
      <c r="M1257" s="116">
        <f t="shared" si="19"/>
        <v>-0.48</v>
      </c>
    </row>
    <row r="1258" spans="1:13" hidden="1" x14ac:dyDescent="0.35">
      <c r="A1258" s="112" t="s">
        <v>3616</v>
      </c>
      <c r="B1258" s="112" t="s">
        <v>921</v>
      </c>
      <c r="C1258" s="112" t="s">
        <v>695</v>
      </c>
      <c r="D1258" s="113">
        <v>10347981</v>
      </c>
      <c r="E1258" s="115">
        <v>43924</v>
      </c>
      <c r="F1258" s="114">
        <v>202101</v>
      </c>
      <c r="G1258" s="112" t="s">
        <v>1091</v>
      </c>
      <c r="H1258" s="112" t="s">
        <v>1015</v>
      </c>
      <c r="I1258" s="112" t="s">
        <v>2495</v>
      </c>
      <c r="J1258" s="112" t="s">
        <v>3620</v>
      </c>
      <c r="K1258" s="112" t="s">
        <v>3984</v>
      </c>
      <c r="L1258" s="116">
        <v>-600</v>
      </c>
      <c r="M1258" s="116">
        <f t="shared" si="19"/>
        <v>-0.6</v>
      </c>
    </row>
    <row r="1259" spans="1:13" hidden="1" x14ac:dyDescent="0.35">
      <c r="A1259" s="112" t="s">
        <v>3616</v>
      </c>
      <c r="B1259" s="112" t="s">
        <v>916</v>
      </c>
      <c r="C1259" s="112" t="s">
        <v>695</v>
      </c>
      <c r="D1259" s="113">
        <v>10347981</v>
      </c>
      <c r="E1259" s="115">
        <v>43924</v>
      </c>
      <c r="F1259" s="114">
        <v>202101</v>
      </c>
      <c r="G1259" s="112" t="s">
        <v>1091</v>
      </c>
      <c r="H1259" s="112" t="s">
        <v>1015</v>
      </c>
      <c r="I1259" s="112" t="s">
        <v>1201</v>
      </c>
      <c r="J1259" s="112" t="s">
        <v>3771</v>
      </c>
      <c r="K1259" s="112" t="s">
        <v>3985</v>
      </c>
      <c r="L1259" s="116">
        <v>-45.44</v>
      </c>
      <c r="M1259" s="116">
        <f t="shared" si="19"/>
        <v>-4.5439999999999994E-2</v>
      </c>
    </row>
    <row r="1260" spans="1:13" hidden="1" x14ac:dyDescent="0.35">
      <c r="A1260" s="112" t="s">
        <v>3616</v>
      </c>
      <c r="B1260" s="112" t="s">
        <v>919</v>
      </c>
      <c r="C1260" s="112" t="s">
        <v>695</v>
      </c>
      <c r="D1260" s="113">
        <v>10347981</v>
      </c>
      <c r="E1260" s="115">
        <v>43924</v>
      </c>
      <c r="F1260" s="114">
        <v>202101</v>
      </c>
      <c r="G1260" s="112" t="s">
        <v>1091</v>
      </c>
      <c r="H1260" s="112" t="s">
        <v>1015</v>
      </c>
      <c r="I1260" s="112" t="s">
        <v>761</v>
      </c>
      <c r="J1260" s="112" t="s">
        <v>3624</v>
      </c>
      <c r="K1260" s="112" t="s">
        <v>3986</v>
      </c>
      <c r="L1260" s="116">
        <v>-309</v>
      </c>
      <c r="M1260" s="116">
        <f t="shared" si="19"/>
        <v>-0.309</v>
      </c>
    </row>
    <row r="1261" spans="1:13" hidden="1" x14ac:dyDescent="0.35">
      <c r="A1261" s="112" t="s">
        <v>3616</v>
      </c>
      <c r="B1261" s="112" t="s">
        <v>920</v>
      </c>
      <c r="C1261" s="112" t="s">
        <v>695</v>
      </c>
      <c r="D1261" s="113">
        <v>10347981</v>
      </c>
      <c r="E1261" s="115">
        <v>43924</v>
      </c>
      <c r="F1261" s="114">
        <v>202101</v>
      </c>
      <c r="G1261" s="112" t="s">
        <v>1091</v>
      </c>
      <c r="H1261" s="112" t="s">
        <v>1015</v>
      </c>
      <c r="I1261" s="112" t="s">
        <v>1182</v>
      </c>
      <c r="J1261" s="112" t="s">
        <v>3755</v>
      </c>
      <c r="K1261" s="112" t="s">
        <v>3987</v>
      </c>
      <c r="L1261" s="116">
        <v>-59.06</v>
      </c>
      <c r="M1261" s="116">
        <f t="shared" si="19"/>
        <v>-5.9060000000000001E-2</v>
      </c>
    </row>
    <row r="1262" spans="1:13" hidden="1" x14ac:dyDescent="0.35">
      <c r="A1262" s="112" t="s">
        <v>3616</v>
      </c>
      <c r="B1262" s="112" t="s">
        <v>923</v>
      </c>
      <c r="C1262" s="112" t="s">
        <v>695</v>
      </c>
      <c r="D1262" s="113">
        <v>10347981</v>
      </c>
      <c r="E1262" s="115">
        <v>43924</v>
      </c>
      <c r="F1262" s="114">
        <v>202101</v>
      </c>
      <c r="G1262" s="112" t="s">
        <v>1091</v>
      </c>
      <c r="H1262" s="112" t="s">
        <v>1015</v>
      </c>
      <c r="I1262" s="112" t="s">
        <v>761</v>
      </c>
      <c r="J1262" s="112" t="s">
        <v>3988</v>
      </c>
      <c r="K1262" s="112" t="s">
        <v>3989</v>
      </c>
      <c r="L1262" s="116">
        <v>-900</v>
      </c>
      <c r="M1262" s="116">
        <f t="shared" si="19"/>
        <v>-0.9</v>
      </c>
    </row>
    <row r="1263" spans="1:13" hidden="1" x14ac:dyDescent="0.35">
      <c r="A1263" s="112" t="s">
        <v>3616</v>
      </c>
      <c r="B1263" s="112" t="s">
        <v>922</v>
      </c>
      <c r="C1263" s="112" t="s">
        <v>695</v>
      </c>
      <c r="D1263" s="113">
        <v>10347981</v>
      </c>
      <c r="E1263" s="115">
        <v>43924</v>
      </c>
      <c r="F1263" s="114">
        <v>202101</v>
      </c>
      <c r="G1263" s="112" t="s">
        <v>1091</v>
      </c>
      <c r="H1263" s="112" t="s">
        <v>1015</v>
      </c>
      <c r="I1263" s="112" t="s">
        <v>761</v>
      </c>
      <c r="J1263" s="112" t="s">
        <v>3861</v>
      </c>
      <c r="K1263" s="112" t="s">
        <v>3990</v>
      </c>
      <c r="L1263" s="116">
        <v>-50</v>
      </c>
      <c r="M1263" s="116">
        <f t="shared" si="19"/>
        <v>-0.05</v>
      </c>
    </row>
    <row r="1264" spans="1:13" hidden="1" x14ac:dyDescent="0.35">
      <c r="A1264" s="112" t="s">
        <v>3616</v>
      </c>
      <c r="B1264" s="112" t="s">
        <v>919</v>
      </c>
      <c r="C1264" s="112" t="s">
        <v>695</v>
      </c>
      <c r="D1264" s="113">
        <v>10347981</v>
      </c>
      <c r="E1264" s="115">
        <v>43924</v>
      </c>
      <c r="F1264" s="114">
        <v>202101</v>
      </c>
      <c r="G1264" s="112" t="s">
        <v>1091</v>
      </c>
      <c r="H1264" s="112" t="s">
        <v>1015</v>
      </c>
      <c r="I1264" s="112" t="s">
        <v>1182</v>
      </c>
      <c r="J1264" s="112" t="s">
        <v>3624</v>
      </c>
      <c r="K1264" s="112" t="s">
        <v>3991</v>
      </c>
      <c r="L1264" s="116">
        <v>-7540.27</v>
      </c>
      <c r="M1264" s="116">
        <f t="shared" si="19"/>
        <v>-7.5402700000000005</v>
      </c>
    </row>
    <row r="1265" spans="1:13" hidden="1" x14ac:dyDescent="0.35">
      <c r="A1265" s="112" t="s">
        <v>3616</v>
      </c>
      <c r="B1265" s="112" t="s">
        <v>918</v>
      </c>
      <c r="C1265" s="112" t="s">
        <v>695</v>
      </c>
      <c r="D1265" s="113">
        <v>10347948</v>
      </c>
      <c r="E1265" s="115">
        <v>43923</v>
      </c>
      <c r="F1265" s="114">
        <v>202101</v>
      </c>
      <c r="G1265" s="112" t="s">
        <v>1091</v>
      </c>
      <c r="H1265" s="112" t="s">
        <v>1015</v>
      </c>
      <c r="I1265" s="112" t="s">
        <v>777</v>
      </c>
      <c r="J1265" s="112" t="s">
        <v>3695</v>
      </c>
      <c r="K1265" s="112" t="s">
        <v>4000</v>
      </c>
      <c r="L1265" s="116">
        <v>-188.45</v>
      </c>
      <c r="M1265" s="116">
        <f t="shared" si="19"/>
        <v>-0.18844999999999998</v>
      </c>
    </row>
    <row r="1266" spans="1:13" hidden="1" x14ac:dyDescent="0.35">
      <c r="A1266" s="112" t="s">
        <v>3616</v>
      </c>
      <c r="B1266" s="112" t="s">
        <v>919</v>
      </c>
      <c r="C1266" s="112" t="s">
        <v>695</v>
      </c>
      <c r="D1266" s="113">
        <v>10347981</v>
      </c>
      <c r="E1266" s="115">
        <v>43924</v>
      </c>
      <c r="F1266" s="114">
        <v>202101</v>
      </c>
      <c r="G1266" s="112" t="s">
        <v>1091</v>
      </c>
      <c r="H1266" s="112" t="s">
        <v>1015</v>
      </c>
      <c r="I1266" s="112" t="s">
        <v>2495</v>
      </c>
      <c r="J1266" s="112" t="s">
        <v>3632</v>
      </c>
      <c r="K1266" s="112" t="s">
        <v>4002</v>
      </c>
      <c r="L1266" s="116">
        <v>-157.5</v>
      </c>
      <c r="M1266" s="116">
        <f t="shared" si="19"/>
        <v>-0.1575</v>
      </c>
    </row>
    <row r="1267" spans="1:13" hidden="1" x14ac:dyDescent="0.35">
      <c r="A1267" s="112" t="s">
        <v>3616</v>
      </c>
      <c r="B1267" s="112" t="s">
        <v>919</v>
      </c>
      <c r="C1267" s="112" t="s">
        <v>695</v>
      </c>
      <c r="D1267" s="113">
        <v>10347981</v>
      </c>
      <c r="E1267" s="115">
        <v>43924</v>
      </c>
      <c r="F1267" s="114">
        <v>202101</v>
      </c>
      <c r="G1267" s="112" t="s">
        <v>1091</v>
      </c>
      <c r="H1267" s="112" t="s">
        <v>1015</v>
      </c>
      <c r="I1267" s="112" t="s">
        <v>1643</v>
      </c>
      <c r="J1267" s="112" t="s">
        <v>3628</v>
      </c>
      <c r="K1267" s="112" t="s">
        <v>4003</v>
      </c>
      <c r="L1267" s="116">
        <v>-42.13</v>
      </c>
      <c r="M1267" s="116">
        <f t="shared" si="19"/>
        <v>-4.2130000000000001E-2</v>
      </c>
    </row>
    <row r="1268" spans="1:13" hidden="1" x14ac:dyDescent="0.35">
      <c r="A1268" s="112" t="s">
        <v>3616</v>
      </c>
      <c r="B1268" s="112" t="s">
        <v>921</v>
      </c>
      <c r="C1268" s="112" t="s">
        <v>695</v>
      </c>
      <c r="D1268" s="113">
        <v>10347981</v>
      </c>
      <c r="E1268" s="115">
        <v>43924</v>
      </c>
      <c r="F1268" s="114">
        <v>202101</v>
      </c>
      <c r="G1268" s="112" t="s">
        <v>1091</v>
      </c>
      <c r="H1268" s="112" t="s">
        <v>1015</v>
      </c>
      <c r="I1268" s="112" t="s">
        <v>2693</v>
      </c>
      <c r="J1268" s="112" t="s">
        <v>3620</v>
      </c>
      <c r="K1268" s="112" t="s">
        <v>4004</v>
      </c>
      <c r="L1268" s="116">
        <v>-100</v>
      </c>
      <c r="M1268" s="116">
        <f t="shared" si="19"/>
        <v>-0.1</v>
      </c>
    </row>
    <row r="1269" spans="1:13" hidden="1" x14ac:dyDescent="0.35">
      <c r="A1269" s="112" t="s">
        <v>3616</v>
      </c>
      <c r="B1269" s="112" t="s">
        <v>918</v>
      </c>
      <c r="C1269" s="112" t="s">
        <v>695</v>
      </c>
      <c r="D1269" s="113">
        <v>10347981</v>
      </c>
      <c r="E1269" s="115">
        <v>43924</v>
      </c>
      <c r="F1269" s="114">
        <v>202101</v>
      </c>
      <c r="G1269" s="112" t="s">
        <v>1091</v>
      </c>
      <c r="H1269" s="112" t="s">
        <v>1015</v>
      </c>
      <c r="I1269" s="112" t="s">
        <v>2591</v>
      </c>
      <c r="J1269" s="112" t="s">
        <v>3695</v>
      </c>
      <c r="K1269" s="112" t="s">
        <v>4005</v>
      </c>
      <c r="L1269" s="116">
        <v>-50.39</v>
      </c>
      <c r="M1269" s="116">
        <f t="shared" si="19"/>
        <v>-5.0389999999999997E-2</v>
      </c>
    </row>
    <row r="1270" spans="1:13" hidden="1" x14ac:dyDescent="0.35">
      <c r="A1270" s="112" t="s">
        <v>3616</v>
      </c>
      <c r="B1270" s="112" t="s">
        <v>920</v>
      </c>
      <c r="C1270" s="112" t="s">
        <v>695</v>
      </c>
      <c r="D1270" s="113">
        <v>10347981</v>
      </c>
      <c r="E1270" s="115">
        <v>43924</v>
      </c>
      <c r="F1270" s="114">
        <v>202101</v>
      </c>
      <c r="G1270" s="112" t="s">
        <v>1091</v>
      </c>
      <c r="H1270" s="112" t="s">
        <v>1015</v>
      </c>
      <c r="I1270" s="112" t="s">
        <v>761</v>
      </c>
      <c r="J1270" s="112" t="s">
        <v>3755</v>
      </c>
      <c r="K1270" s="112" t="s">
        <v>4006</v>
      </c>
      <c r="L1270" s="116">
        <v>-56</v>
      </c>
      <c r="M1270" s="116">
        <f t="shared" si="19"/>
        <v>-5.6000000000000001E-2</v>
      </c>
    </row>
    <row r="1271" spans="1:13" hidden="1" x14ac:dyDescent="0.35">
      <c r="A1271" s="112" t="s">
        <v>3616</v>
      </c>
      <c r="B1271" s="112" t="s">
        <v>920</v>
      </c>
      <c r="C1271" s="112" t="s">
        <v>695</v>
      </c>
      <c r="D1271" s="113">
        <v>10347981</v>
      </c>
      <c r="E1271" s="115">
        <v>43924</v>
      </c>
      <c r="F1271" s="114">
        <v>202101</v>
      </c>
      <c r="G1271" s="112" t="s">
        <v>1091</v>
      </c>
      <c r="H1271" s="112" t="s">
        <v>1015</v>
      </c>
      <c r="I1271" s="112" t="s">
        <v>1182</v>
      </c>
      <c r="J1271" s="112" t="s">
        <v>3755</v>
      </c>
      <c r="K1271" s="112" t="s">
        <v>4007</v>
      </c>
      <c r="L1271" s="116">
        <v>-229.8</v>
      </c>
      <c r="M1271" s="116">
        <f t="shared" si="19"/>
        <v>-0.2298</v>
      </c>
    </row>
    <row r="1272" spans="1:13" hidden="1" x14ac:dyDescent="0.35">
      <c r="A1272" s="112" t="s">
        <v>3616</v>
      </c>
      <c r="B1272" s="112" t="s">
        <v>921</v>
      </c>
      <c r="C1272" s="112" t="s">
        <v>695</v>
      </c>
      <c r="D1272" s="113">
        <v>10347981</v>
      </c>
      <c r="E1272" s="115">
        <v>43924</v>
      </c>
      <c r="F1272" s="114">
        <v>202101</v>
      </c>
      <c r="G1272" s="112" t="s">
        <v>1091</v>
      </c>
      <c r="H1272" s="112" t="s">
        <v>1015</v>
      </c>
      <c r="I1272" s="112" t="s">
        <v>2591</v>
      </c>
      <c r="J1272" s="112" t="s">
        <v>3620</v>
      </c>
      <c r="K1272" s="112" t="s">
        <v>4008</v>
      </c>
      <c r="L1272" s="116">
        <v>-11.59</v>
      </c>
      <c r="M1272" s="116">
        <f t="shared" si="19"/>
        <v>-1.159E-2</v>
      </c>
    </row>
    <row r="1273" spans="1:13" hidden="1" x14ac:dyDescent="0.35">
      <c r="A1273" s="112" t="s">
        <v>3616</v>
      </c>
      <c r="B1273" s="112" t="s">
        <v>920</v>
      </c>
      <c r="C1273" s="112" t="s">
        <v>695</v>
      </c>
      <c r="D1273" s="113">
        <v>10347981</v>
      </c>
      <c r="E1273" s="115">
        <v>43924</v>
      </c>
      <c r="F1273" s="114">
        <v>202101</v>
      </c>
      <c r="G1273" s="112" t="s">
        <v>1091</v>
      </c>
      <c r="H1273" s="112" t="s">
        <v>1015</v>
      </c>
      <c r="I1273" s="112" t="s">
        <v>761</v>
      </c>
      <c r="J1273" s="112" t="s">
        <v>3755</v>
      </c>
      <c r="K1273" s="112" t="s">
        <v>4009</v>
      </c>
      <c r="L1273" s="116">
        <v>-140</v>
      </c>
      <c r="M1273" s="116">
        <f t="shared" si="19"/>
        <v>-0.14000000000000001</v>
      </c>
    </row>
    <row r="1274" spans="1:13" hidden="1" x14ac:dyDescent="0.35">
      <c r="A1274" s="112" t="s">
        <v>3616</v>
      </c>
      <c r="B1274" s="112" t="s">
        <v>919</v>
      </c>
      <c r="C1274" s="112" t="s">
        <v>695</v>
      </c>
      <c r="D1274" s="113">
        <v>10347981</v>
      </c>
      <c r="E1274" s="115">
        <v>43924</v>
      </c>
      <c r="F1274" s="114">
        <v>202101</v>
      </c>
      <c r="G1274" s="112" t="s">
        <v>1091</v>
      </c>
      <c r="H1274" s="112" t="s">
        <v>1015</v>
      </c>
      <c r="I1274" s="112" t="s">
        <v>1124</v>
      </c>
      <c r="J1274" s="112" t="s">
        <v>3617</v>
      </c>
      <c r="K1274" s="112" t="s">
        <v>4010</v>
      </c>
      <c r="L1274" s="116">
        <v>-228.17</v>
      </c>
      <c r="M1274" s="116">
        <f t="shared" si="19"/>
        <v>-0.22816999999999998</v>
      </c>
    </row>
    <row r="1275" spans="1:13" hidden="1" x14ac:dyDescent="0.35">
      <c r="A1275" s="112" t="s">
        <v>3616</v>
      </c>
      <c r="B1275" s="112" t="s">
        <v>922</v>
      </c>
      <c r="C1275" s="112" t="s">
        <v>695</v>
      </c>
      <c r="D1275" s="113">
        <v>10347981</v>
      </c>
      <c r="E1275" s="115">
        <v>43924</v>
      </c>
      <c r="F1275" s="114">
        <v>202101</v>
      </c>
      <c r="G1275" s="112" t="s">
        <v>1091</v>
      </c>
      <c r="H1275" s="112" t="s">
        <v>1015</v>
      </c>
      <c r="I1275" s="112" t="s">
        <v>3742</v>
      </c>
      <c r="J1275" s="112" t="s">
        <v>3784</v>
      </c>
      <c r="K1275" s="112" t="s">
        <v>4011</v>
      </c>
      <c r="L1275" s="116">
        <v>-13.83</v>
      </c>
      <c r="M1275" s="116">
        <f t="shared" si="19"/>
        <v>-1.383E-2</v>
      </c>
    </row>
    <row r="1276" spans="1:13" hidden="1" x14ac:dyDescent="0.35">
      <c r="A1276" s="112" t="s">
        <v>3616</v>
      </c>
      <c r="B1276" s="112" t="s">
        <v>919</v>
      </c>
      <c r="C1276" s="112" t="s">
        <v>695</v>
      </c>
      <c r="D1276" s="113">
        <v>10347981</v>
      </c>
      <c r="E1276" s="115">
        <v>43924</v>
      </c>
      <c r="F1276" s="114">
        <v>202101</v>
      </c>
      <c r="G1276" s="112" t="s">
        <v>1091</v>
      </c>
      <c r="H1276" s="112" t="s">
        <v>1015</v>
      </c>
      <c r="I1276" s="112" t="s">
        <v>1182</v>
      </c>
      <c r="J1276" s="112" t="s">
        <v>3624</v>
      </c>
      <c r="K1276" s="112" t="s">
        <v>4012</v>
      </c>
      <c r="L1276" s="116">
        <v>-103.07</v>
      </c>
      <c r="M1276" s="116">
        <f t="shared" si="19"/>
        <v>-0.10306999999999999</v>
      </c>
    </row>
    <row r="1277" spans="1:13" hidden="1" x14ac:dyDescent="0.35">
      <c r="A1277" s="112" t="s">
        <v>3616</v>
      </c>
      <c r="B1277" s="112" t="s">
        <v>922</v>
      </c>
      <c r="C1277" s="112" t="s">
        <v>695</v>
      </c>
      <c r="D1277" s="113">
        <v>10347981</v>
      </c>
      <c r="E1277" s="115">
        <v>43924</v>
      </c>
      <c r="F1277" s="114">
        <v>202101</v>
      </c>
      <c r="G1277" s="112" t="s">
        <v>1091</v>
      </c>
      <c r="H1277" s="112" t="s">
        <v>1015</v>
      </c>
      <c r="I1277" s="112" t="s">
        <v>761</v>
      </c>
      <c r="J1277" s="112" t="s">
        <v>3791</v>
      </c>
      <c r="K1277" s="112" t="s">
        <v>4013</v>
      </c>
      <c r="L1277" s="116">
        <v>-320</v>
      </c>
      <c r="M1277" s="116">
        <f t="shared" si="19"/>
        <v>-0.32</v>
      </c>
    </row>
    <row r="1278" spans="1:13" hidden="1" x14ac:dyDescent="0.35">
      <c r="A1278" s="112" t="s">
        <v>3616</v>
      </c>
      <c r="B1278" s="112" t="s">
        <v>921</v>
      </c>
      <c r="C1278" s="112" t="s">
        <v>695</v>
      </c>
      <c r="D1278" s="113">
        <v>10347981</v>
      </c>
      <c r="E1278" s="115">
        <v>43924</v>
      </c>
      <c r="F1278" s="114">
        <v>202101</v>
      </c>
      <c r="G1278" s="112" t="s">
        <v>1091</v>
      </c>
      <c r="H1278" s="112" t="s">
        <v>1015</v>
      </c>
      <c r="I1278" s="112" t="s">
        <v>1182</v>
      </c>
      <c r="J1278" s="112" t="s">
        <v>3620</v>
      </c>
      <c r="K1278" s="112" t="s">
        <v>4014</v>
      </c>
      <c r="L1278" s="116">
        <v>-525</v>
      </c>
      <c r="M1278" s="116">
        <f t="shared" si="19"/>
        <v>-0.52500000000000002</v>
      </c>
    </row>
    <row r="1279" spans="1:13" hidden="1" x14ac:dyDescent="0.35">
      <c r="A1279" s="112" t="s">
        <v>3616</v>
      </c>
      <c r="B1279" s="112" t="s">
        <v>921</v>
      </c>
      <c r="C1279" s="112" t="s">
        <v>695</v>
      </c>
      <c r="D1279" s="113">
        <v>10347981</v>
      </c>
      <c r="E1279" s="115">
        <v>43924</v>
      </c>
      <c r="F1279" s="114">
        <v>202101</v>
      </c>
      <c r="G1279" s="112" t="s">
        <v>1091</v>
      </c>
      <c r="H1279" s="112" t="s">
        <v>1015</v>
      </c>
      <c r="I1279" s="112" t="s">
        <v>2693</v>
      </c>
      <c r="J1279" s="112" t="s">
        <v>3620</v>
      </c>
      <c r="K1279" s="112" t="s">
        <v>4004</v>
      </c>
      <c r="L1279" s="116">
        <v>-100</v>
      </c>
      <c r="M1279" s="116">
        <f t="shared" si="19"/>
        <v>-0.1</v>
      </c>
    </row>
    <row r="1280" spans="1:13" hidden="1" x14ac:dyDescent="0.35">
      <c r="A1280" s="112" t="s">
        <v>3616</v>
      </c>
      <c r="B1280" s="112" t="s">
        <v>921</v>
      </c>
      <c r="C1280" s="112" t="s">
        <v>695</v>
      </c>
      <c r="D1280" s="113">
        <v>10347981</v>
      </c>
      <c r="E1280" s="115">
        <v>43924</v>
      </c>
      <c r="F1280" s="114">
        <v>202101</v>
      </c>
      <c r="G1280" s="112" t="s">
        <v>1091</v>
      </c>
      <c r="H1280" s="112" t="s">
        <v>1015</v>
      </c>
      <c r="I1280" s="112" t="s">
        <v>2495</v>
      </c>
      <c r="J1280" s="112" t="s">
        <v>3620</v>
      </c>
      <c r="K1280" s="112" t="s">
        <v>4015</v>
      </c>
      <c r="L1280" s="116">
        <v>-240</v>
      </c>
      <c r="M1280" s="116">
        <f t="shared" si="19"/>
        <v>-0.24</v>
      </c>
    </row>
    <row r="1281" spans="1:13" hidden="1" x14ac:dyDescent="0.35">
      <c r="A1281" s="112" t="s">
        <v>3616</v>
      </c>
      <c r="B1281" s="112" t="s">
        <v>918</v>
      </c>
      <c r="C1281" s="112" t="s">
        <v>695</v>
      </c>
      <c r="D1281" s="113">
        <v>10347981</v>
      </c>
      <c r="E1281" s="115">
        <v>43924</v>
      </c>
      <c r="F1281" s="114">
        <v>202101</v>
      </c>
      <c r="G1281" s="112" t="s">
        <v>1091</v>
      </c>
      <c r="H1281" s="112" t="s">
        <v>1015</v>
      </c>
      <c r="I1281" s="112" t="s">
        <v>1092</v>
      </c>
      <c r="J1281" s="112" t="s">
        <v>3695</v>
      </c>
      <c r="K1281" s="112" t="s">
        <v>1451</v>
      </c>
      <c r="L1281" s="116">
        <v>-51</v>
      </c>
      <c r="M1281" s="116">
        <f t="shared" si="19"/>
        <v>-5.0999999999999997E-2</v>
      </c>
    </row>
    <row r="1282" spans="1:13" hidden="1" x14ac:dyDescent="0.35">
      <c r="A1282" s="112" t="s">
        <v>3616</v>
      </c>
      <c r="B1282" s="112" t="s">
        <v>921</v>
      </c>
      <c r="C1282" s="112" t="s">
        <v>695</v>
      </c>
      <c r="D1282" s="113">
        <v>10347981</v>
      </c>
      <c r="E1282" s="115">
        <v>43924</v>
      </c>
      <c r="F1282" s="114">
        <v>202101</v>
      </c>
      <c r="G1282" s="112" t="s">
        <v>1091</v>
      </c>
      <c r="H1282" s="112" t="s">
        <v>1015</v>
      </c>
      <c r="I1282" s="112" t="s">
        <v>2591</v>
      </c>
      <c r="J1282" s="112" t="s">
        <v>3620</v>
      </c>
      <c r="K1282" s="112" t="s">
        <v>4008</v>
      </c>
      <c r="L1282" s="116">
        <v>-11.59</v>
      </c>
      <c r="M1282" s="116">
        <f t="shared" si="19"/>
        <v>-1.159E-2</v>
      </c>
    </row>
    <row r="1283" spans="1:13" hidden="1" x14ac:dyDescent="0.35">
      <c r="A1283" s="112" t="s">
        <v>3616</v>
      </c>
      <c r="B1283" s="112" t="s">
        <v>921</v>
      </c>
      <c r="C1283" s="112" t="s">
        <v>695</v>
      </c>
      <c r="D1283" s="113">
        <v>10347981</v>
      </c>
      <c r="E1283" s="115">
        <v>43924</v>
      </c>
      <c r="F1283" s="114">
        <v>202101</v>
      </c>
      <c r="G1283" s="112" t="s">
        <v>1091</v>
      </c>
      <c r="H1283" s="112" t="s">
        <v>1015</v>
      </c>
      <c r="I1283" s="112" t="s">
        <v>1643</v>
      </c>
      <c r="J1283" s="112" t="s">
        <v>3620</v>
      </c>
      <c r="K1283" s="112" t="s">
        <v>4016</v>
      </c>
      <c r="L1283" s="116">
        <v>-54</v>
      </c>
      <c r="M1283" s="116">
        <f t="shared" ref="M1283:M1346" si="20">L1283/1000</f>
        <v>-5.3999999999999999E-2</v>
      </c>
    </row>
    <row r="1284" spans="1:13" hidden="1" x14ac:dyDescent="0.35">
      <c r="A1284" s="112" t="s">
        <v>3616</v>
      </c>
      <c r="B1284" s="112" t="s">
        <v>922</v>
      </c>
      <c r="C1284" s="112" t="s">
        <v>695</v>
      </c>
      <c r="D1284" s="113">
        <v>10347981</v>
      </c>
      <c r="E1284" s="115">
        <v>43924</v>
      </c>
      <c r="F1284" s="114">
        <v>202101</v>
      </c>
      <c r="G1284" s="112" t="s">
        <v>1091</v>
      </c>
      <c r="H1284" s="112" t="s">
        <v>1015</v>
      </c>
      <c r="I1284" s="112" t="s">
        <v>761</v>
      </c>
      <c r="J1284" s="112" t="s">
        <v>3766</v>
      </c>
      <c r="K1284" s="112" t="s">
        <v>4017</v>
      </c>
      <c r="L1284" s="116">
        <v>-480</v>
      </c>
      <c r="M1284" s="116">
        <f t="shared" si="20"/>
        <v>-0.48</v>
      </c>
    </row>
    <row r="1285" spans="1:13" hidden="1" x14ac:dyDescent="0.35">
      <c r="A1285" s="112" t="s">
        <v>3616</v>
      </c>
      <c r="B1285" s="112" t="s">
        <v>922</v>
      </c>
      <c r="C1285" s="112" t="s">
        <v>695</v>
      </c>
      <c r="D1285" s="113">
        <v>10347981</v>
      </c>
      <c r="E1285" s="115">
        <v>43924</v>
      </c>
      <c r="F1285" s="114">
        <v>202101</v>
      </c>
      <c r="G1285" s="112" t="s">
        <v>1091</v>
      </c>
      <c r="H1285" s="112" t="s">
        <v>1015</v>
      </c>
      <c r="I1285" s="112" t="s">
        <v>1104</v>
      </c>
      <c r="J1285" s="112" t="s">
        <v>3784</v>
      </c>
      <c r="K1285" s="112" t="s">
        <v>4018</v>
      </c>
      <c r="L1285" s="116">
        <v>-115.6</v>
      </c>
      <c r="M1285" s="116">
        <f t="shared" si="20"/>
        <v>-0.11559999999999999</v>
      </c>
    </row>
    <row r="1286" spans="1:13" hidden="1" x14ac:dyDescent="0.35">
      <c r="A1286" s="112" t="s">
        <v>3616</v>
      </c>
      <c r="B1286" s="112" t="s">
        <v>919</v>
      </c>
      <c r="C1286" s="112" t="s">
        <v>695</v>
      </c>
      <c r="D1286" s="113">
        <v>10347981</v>
      </c>
      <c r="E1286" s="115">
        <v>43924</v>
      </c>
      <c r="F1286" s="114">
        <v>202101</v>
      </c>
      <c r="G1286" s="112" t="s">
        <v>1091</v>
      </c>
      <c r="H1286" s="112" t="s">
        <v>1015</v>
      </c>
      <c r="I1286" s="112" t="s">
        <v>761</v>
      </c>
      <c r="J1286" s="112" t="s">
        <v>3628</v>
      </c>
      <c r="K1286" s="112" t="s">
        <v>4019</v>
      </c>
      <c r="L1286" s="116">
        <v>-595</v>
      </c>
      <c r="M1286" s="116">
        <f t="shared" si="20"/>
        <v>-0.59499999999999997</v>
      </c>
    </row>
    <row r="1287" spans="1:13" hidden="1" x14ac:dyDescent="0.35">
      <c r="A1287" s="112" t="s">
        <v>3616</v>
      </c>
      <c r="B1287" s="112" t="s">
        <v>919</v>
      </c>
      <c r="C1287" s="112" t="s">
        <v>695</v>
      </c>
      <c r="D1287" s="113">
        <v>10347981</v>
      </c>
      <c r="E1287" s="115">
        <v>43924</v>
      </c>
      <c r="F1287" s="114">
        <v>202101</v>
      </c>
      <c r="G1287" s="112" t="s">
        <v>1091</v>
      </c>
      <c r="H1287" s="112" t="s">
        <v>1015</v>
      </c>
      <c r="I1287" s="112" t="s">
        <v>2495</v>
      </c>
      <c r="J1287" s="112" t="s">
        <v>3617</v>
      </c>
      <c r="K1287" s="112" t="s">
        <v>4020</v>
      </c>
      <c r="L1287" s="116">
        <v>-25</v>
      </c>
      <c r="M1287" s="116">
        <f t="shared" si="20"/>
        <v>-2.5000000000000001E-2</v>
      </c>
    </row>
    <row r="1288" spans="1:13" hidden="1" x14ac:dyDescent="0.35">
      <c r="A1288" s="112" t="s">
        <v>3616</v>
      </c>
      <c r="B1288" s="112" t="s">
        <v>919</v>
      </c>
      <c r="C1288" s="112" t="s">
        <v>695</v>
      </c>
      <c r="D1288" s="113">
        <v>10347981</v>
      </c>
      <c r="E1288" s="115">
        <v>43924</v>
      </c>
      <c r="F1288" s="114">
        <v>202101</v>
      </c>
      <c r="G1288" s="112" t="s">
        <v>1091</v>
      </c>
      <c r="H1288" s="112" t="s">
        <v>1015</v>
      </c>
      <c r="I1288" s="112" t="s">
        <v>761</v>
      </c>
      <c r="J1288" s="112" t="s">
        <v>3634</v>
      </c>
      <c r="K1288" s="112" t="s">
        <v>4021</v>
      </c>
      <c r="L1288" s="116">
        <v>-402.85</v>
      </c>
      <c r="M1288" s="116">
        <f t="shared" si="20"/>
        <v>-0.40285000000000004</v>
      </c>
    </row>
    <row r="1289" spans="1:13" hidden="1" x14ac:dyDescent="0.35">
      <c r="A1289" s="112" t="s">
        <v>3616</v>
      </c>
      <c r="B1289" s="112" t="s">
        <v>922</v>
      </c>
      <c r="C1289" s="112" t="s">
        <v>695</v>
      </c>
      <c r="D1289" s="113">
        <v>10347981</v>
      </c>
      <c r="E1289" s="115">
        <v>43924</v>
      </c>
      <c r="F1289" s="114">
        <v>202101</v>
      </c>
      <c r="G1289" s="112" t="s">
        <v>1091</v>
      </c>
      <c r="H1289" s="112" t="s">
        <v>1015</v>
      </c>
      <c r="I1289" s="112" t="s">
        <v>761</v>
      </c>
      <c r="J1289" s="112" t="s">
        <v>3794</v>
      </c>
      <c r="K1289" s="112" t="s">
        <v>4022</v>
      </c>
      <c r="L1289" s="116">
        <v>-45</v>
      </c>
      <c r="M1289" s="116">
        <f t="shared" si="20"/>
        <v>-4.4999999999999998E-2</v>
      </c>
    </row>
    <row r="1290" spans="1:13" hidden="1" x14ac:dyDescent="0.35">
      <c r="A1290" s="112" t="s">
        <v>3616</v>
      </c>
      <c r="B1290" s="112" t="s">
        <v>923</v>
      </c>
      <c r="C1290" s="112" t="s">
        <v>695</v>
      </c>
      <c r="D1290" s="113">
        <v>10347981</v>
      </c>
      <c r="E1290" s="115">
        <v>43924</v>
      </c>
      <c r="F1290" s="114">
        <v>202101</v>
      </c>
      <c r="G1290" s="112" t="s">
        <v>1091</v>
      </c>
      <c r="H1290" s="112" t="s">
        <v>1015</v>
      </c>
      <c r="I1290" s="112" t="s">
        <v>1164</v>
      </c>
      <c r="J1290" s="112" t="s">
        <v>3750</v>
      </c>
      <c r="K1290" s="112" t="s">
        <v>4023</v>
      </c>
      <c r="L1290" s="116">
        <v>-54</v>
      </c>
      <c r="M1290" s="116">
        <f t="shared" si="20"/>
        <v>-5.3999999999999999E-2</v>
      </c>
    </row>
    <row r="1291" spans="1:13" hidden="1" x14ac:dyDescent="0.35">
      <c r="A1291" s="112" t="s">
        <v>3616</v>
      </c>
      <c r="B1291" s="112" t="s">
        <v>923</v>
      </c>
      <c r="C1291" s="112" t="s">
        <v>695</v>
      </c>
      <c r="D1291" s="113">
        <v>10348539</v>
      </c>
      <c r="E1291" s="115">
        <v>43951</v>
      </c>
      <c r="F1291" s="114">
        <v>202101</v>
      </c>
      <c r="G1291" s="112" t="s">
        <v>1091</v>
      </c>
      <c r="H1291" s="112" t="s">
        <v>1015</v>
      </c>
      <c r="I1291" s="112" t="s">
        <v>761</v>
      </c>
      <c r="J1291" s="112" t="s">
        <v>3714</v>
      </c>
      <c r="K1291" s="112" t="s">
        <v>4024</v>
      </c>
      <c r="L1291" s="116">
        <v>750</v>
      </c>
      <c r="M1291" s="116">
        <f t="shared" si="20"/>
        <v>0.75</v>
      </c>
    </row>
    <row r="1292" spans="1:13" hidden="1" x14ac:dyDescent="0.35">
      <c r="A1292" s="112" t="s">
        <v>3616</v>
      </c>
      <c r="B1292" s="112" t="s">
        <v>919</v>
      </c>
      <c r="C1292" s="112" t="s">
        <v>695</v>
      </c>
      <c r="D1292" s="113">
        <v>10348420</v>
      </c>
      <c r="E1292" s="115">
        <v>43945</v>
      </c>
      <c r="F1292" s="114">
        <v>202101</v>
      </c>
      <c r="G1292" s="112" t="s">
        <v>1091</v>
      </c>
      <c r="H1292" s="112" t="s">
        <v>1015</v>
      </c>
      <c r="I1292" s="112" t="s">
        <v>1643</v>
      </c>
      <c r="J1292" s="112" t="s">
        <v>3628</v>
      </c>
      <c r="K1292" s="112" t="s">
        <v>4025</v>
      </c>
      <c r="L1292" s="116">
        <v>42.13</v>
      </c>
      <c r="M1292" s="116">
        <f t="shared" si="20"/>
        <v>4.2130000000000001E-2</v>
      </c>
    </row>
    <row r="1293" spans="1:13" hidden="1" x14ac:dyDescent="0.35">
      <c r="A1293" s="112" t="s">
        <v>3616</v>
      </c>
      <c r="B1293" s="112" t="s">
        <v>921</v>
      </c>
      <c r="C1293" s="112" t="s">
        <v>695</v>
      </c>
      <c r="D1293" s="113">
        <v>10348420</v>
      </c>
      <c r="E1293" s="115">
        <v>43945</v>
      </c>
      <c r="F1293" s="114">
        <v>202101</v>
      </c>
      <c r="G1293" s="112" t="s">
        <v>1091</v>
      </c>
      <c r="H1293" s="112" t="s">
        <v>1015</v>
      </c>
      <c r="I1293" s="112" t="s">
        <v>761</v>
      </c>
      <c r="J1293" s="112" t="s">
        <v>3620</v>
      </c>
      <c r="K1293" s="112" t="s">
        <v>4039</v>
      </c>
      <c r="L1293" s="116">
        <v>310.13</v>
      </c>
      <c r="M1293" s="116">
        <f t="shared" si="20"/>
        <v>0.31013000000000002</v>
      </c>
    </row>
    <row r="1294" spans="1:13" hidden="1" x14ac:dyDescent="0.35">
      <c r="A1294" s="112" t="s">
        <v>3616</v>
      </c>
      <c r="B1294" s="112" t="s">
        <v>919</v>
      </c>
      <c r="C1294" s="112" t="s">
        <v>695</v>
      </c>
      <c r="D1294" s="113">
        <v>10348420</v>
      </c>
      <c r="E1294" s="115">
        <v>43945</v>
      </c>
      <c r="F1294" s="114">
        <v>202101</v>
      </c>
      <c r="G1294" s="112" t="s">
        <v>1091</v>
      </c>
      <c r="H1294" s="112" t="s">
        <v>1015</v>
      </c>
      <c r="I1294" s="112" t="s">
        <v>1643</v>
      </c>
      <c r="J1294" s="112" t="s">
        <v>3628</v>
      </c>
      <c r="K1294" s="112" t="s">
        <v>4040</v>
      </c>
      <c r="L1294" s="116">
        <v>38.17</v>
      </c>
      <c r="M1294" s="116">
        <f t="shared" si="20"/>
        <v>3.8170000000000003E-2</v>
      </c>
    </row>
    <row r="1295" spans="1:13" hidden="1" x14ac:dyDescent="0.35">
      <c r="A1295" s="112" t="s">
        <v>3616</v>
      </c>
      <c r="B1295" s="112" t="s">
        <v>919</v>
      </c>
      <c r="C1295" s="112" t="s">
        <v>695</v>
      </c>
      <c r="D1295" s="113">
        <v>10348420</v>
      </c>
      <c r="E1295" s="115">
        <v>43945</v>
      </c>
      <c r="F1295" s="114">
        <v>202101</v>
      </c>
      <c r="G1295" s="112" t="s">
        <v>1091</v>
      </c>
      <c r="H1295" s="112" t="s">
        <v>1015</v>
      </c>
      <c r="I1295" s="112" t="s">
        <v>1643</v>
      </c>
      <c r="J1295" s="112" t="s">
        <v>3628</v>
      </c>
      <c r="K1295" s="112" t="s">
        <v>4041</v>
      </c>
      <c r="L1295" s="116">
        <v>200</v>
      </c>
      <c r="M1295" s="116">
        <f t="shared" si="20"/>
        <v>0.2</v>
      </c>
    </row>
    <row r="1296" spans="1:13" hidden="1" x14ac:dyDescent="0.35">
      <c r="A1296" s="112" t="s">
        <v>3616</v>
      </c>
      <c r="B1296" s="112" t="s">
        <v>919</v>
      </c>
      <c r="C1296" s="112" t="s">
        <v>695</v>
      </c>
      <c r="D1296" s="113">
        <v>10348420</v>
      </c>
      <c r="E1296" s="115">
        <v>43945</v>
      </c>
      <c r="F1296" s="114">
        <v>202101</v>
      </c>
      <c r="G1296" s="112" t="s">
        <v>1091</v>
      </c>
      <c r="H1296" s="112" t="s">
        <v>1015</v>
      </c>
      <c r="I1296" s="112" t="s">
        <v>1643</v>
      </c>
      <c r="J1296" s="112" t="s">
        <v>3628</v>
      </c>
      <c r="K1296" s="112" t="s">
        <v>4042</v>
      </c>
      <c r="L1296" s="116">
        <v>211.06</v>
      </c>
      <c r="M1296" s="116">
        <f t="shared" si="20"/>
        <v>0.21106</v>
      </c>
    </row>
    <row r="1297" spans="1:13" hidden="1" x14ac:dyDescent="0.35">
      <c r="A1297" s="112" t="s">
        <v>3616</v>
      </c>
      <c r="B1297" s="112" t="s">
        <v>919</v>
      </c>
      <c r="C1297" s="112" t="s">
        <v>695</v>
      </c>
      <c r="D1297" s="113">
        <v>10348420</v>
      </c>
      <c r="E1297" s="115">
        <v>43945</v>
      </c>
      <c r="F1297" s="114">
        <v>202101</v>
      </c>
      <c r="G1297" s="112" t="s">
        <v>1091</v>
      </c>
      <c r="H1297" s="112" t="s">
        <v>1015</v>
      </c>
      <c r="I1297" s="112" t="s">
        <v>1643</v>
      </c>
      <c r="J1297" s="112" t="s">
        <v>3628</v>
      </c>
      <c r="K1297" s="112" t="s">
        <v>4044</v>
      </c>
      <c r="L1297" s="116">
        <v>90.16</v>
      </c>
      <c r="M1297" s="116">
        <f t="shared" si="20"/>
        <v>9.015999999999999E-2</v>
      </c>
    </row>
    <row r="1298" spans="1:13" hidden="1" x14ac:dyDescent="0.35">
      <c r="A1298" s="112" t="s">
        <v>3616</v>
      </c>
      <c r="B1298" s="112" t="s">
        <v>919</v>
      </c>
      <c r="C1298" s="112" t="s">
        <v>695</v>
      </c>
      <c r="D1298" s="113">
        <v>10348420</v>
      </c>
      <c r="E1298" s="115">
        <v>43945</v>
      </c>
      <c r="F1298" s="114">
        <v>202101</v>
      </c>
      <c r="G1298" s="112" t="s">
        <v>1091</v>
      </c>
      <c r="H1298" s="112" t="s">
        <v>1015</v>
      </c>
      <c r="I1298" s="112" t="s">
        <v>1643</v>
      </c>
      <c r="J1298" s="112" t="s">
        <v>3632</v>
      </c>
      <c r="K1298" s="112" t="s">
        <v>4045</v>
      </c>
      <c r="L1298" s="116">
        <v>1387.27</v>
      </c>
      <c r="M1298" s="116">
        <f t="shared" si="20"/>
        <v>1.38727</v>
      </c>
    </row>
    <row r="1299" spans="1:13" hidden="1" x14ac:dyDescent="0.35">
      <c r="A1299" s="112" t="s">
        <v>3616</v>
      </c>
      <c r="B1299" s="112" t="s">
        <v>919</v>
      </c>
      <c r="C1299" s="112" t="s">
        <v>695</v>
      </c>
      <c r="D1299" s="113">
        <v>10348420</v>
      </c>
      <c r="E1299" s="115">
        <v>43945</v>
      </c>
      <c r="F1299" s="114">
        <v>202101</v>
      </c>
      <c r="G1299" s="112" t="s">
        <v>1091</v>
      </c>
      <c r="H1299" s="112" t="s">
        <v>1015</v>
      </c>
      <c r="I1299" s="112" t="s">
        <v>1643</v>
      </c>
      <c r="J1299" s="112" t="s">
        <v>3634</v>
      </c>
      <c r="K1299" s="112" t="s">
        <v>4046</v>
      </c>
      <c r="L1299" s="116">
        <v>165.88</v>
      </c>
      <c r="M1299" s="116">
        <f t="shared" si="20"/>
        <v>0.16588</v>
      </c>
    </row>
    <row r="1300" spans="1:13" hidden="1" x14ac:dyDescent="0.35">
      <c r="A1300" s="112" t="s">
        <v>3616</v>
      </c>
      <c r="B1300" s="112" t="s">
        <v>919</v>
      </c>
      <c r="C1300" s="112" t="s">
        <v>695</v>
      </c>
      <c r="D1300" s="113">
        <v>10348420</v>
      </c>
      <c r="E1300" s="115">
        <v>43945</v>
      </c>
      <c r="F1300" s="114">
        <v>202101</v>
      </c>
      <c r="G1300" s="112" t="s">
        <v>1091</v>
      </c>
      <c r="H1300" s="112" t="s">
        <v>1015</v>
      </c>
      <c r="I1300" s="112" t="s">
        <v>1643</v>
      </c>
      <c r="J1300" s="112" t="s">
        <v>3617</v>
      </c>
      <c r="K1300" s="112" t="s">
        <v>4047</v>
      </c>
      <c r="L1300" s="116">
        <v>1092.8800000000001</v>
      </c>
      <c r="M1300" s="116">
        <f t="shared" si="20"/>
        <v>1.0928800000000001</v>
      </c>
    </row>
    <row r="1301" spans="1:13" hidden="1" x14ac:dyDescent="0.35">
      <c r="A1301" s="112" t="s">
        <v>3616</v>
      </c>
      <c r="B1301" s="112" t="s">
        <v>921</v>
      </c>
      <c r="C1301" s="112" t="s">
        <v>695</v>
      </c>
      <c r="D1301" s="113">
        <v>10348420</v>
      </c>
      <c r="E1301" s="115">
        <v>43945</v>
      </c>
      <c r="F1301" s="114">
        <v>202101</v>
      </c>
      <c r="G1301" s="112" t="s">
        <v>1091</v>
      </c>
      <c r="H1301" s="112" t="s">
        <v>1015</v>
      </c>
      <c r="I1301" s="112" t="s">
        <v>1643</v>
      </c>
      <c r="J1301" s="112" t="s">
        <v>3620</v>
      </c>
      <c r="K1301" s="112" t="s">
        <v>4048</v>
      </c>
      <c r="L1301" s="116">
        <v>-2302.7600000000002</v>
      </c>
      <c r="M1301" s="116">
        <f t="shared" si="20"/>
        <v>-2.3027600000000001</v>
      </c>
    </row>
    <row r="1302" spans="1:13" hidden="1" x14ac:dyDescent="0.35">
      <c r="A1302" s="112" t="s">
        <v>3616</v>
      </c>
      <c r="B1302" s="112" t="s">
        <v>921</v>
      </c>
      <c r="C1302" s="112" t="s">
        <v>695</v>
      </c>
      <c r="D1302" s="113">
        <v>10348420</v>
      </c>
      <c r="E1302" s="115">
        <v>43945</v>
      </c>
      <c r="F1302" s="114">
        <v>202101</v>
      </c>
      <c r="G1302" s="112" t="s">
        <v>1091</v>
      </c>
      <c r="H1302" s="112" t="s">
        <v>1015</v>
      </c>
      <c r="I1302" s="112" t="s">
        <v>1264</v>
      </c>
      <c r="J1302" s="112" t="s">
        <v>3620</v>
      </c>
      <c r="K1302" s="112" t="s">
        <v>4049</v>
      </c>
      <c r="L1302" s="116">
        <v>75</v>
      </c>
      <c r="M1302" s="116">
        <f t="shared" si="20"/>
        <v>7.4999999999999997E-2</v>
      </c>
    </row>
    <row r="1303" spans="1:13" hidden="1" x14ac:dyDescent="0.35">
      <c r="A1303" s="112" t="s">
        <v>3616</v>
      </c>
      <c r="B1303" s="112" t="s">
        <v>922</v>
      </c>
      <c r="C1303" s="112" t="s">
        <v>695</v>
      </c>
      <c r="D1303" s="113">
        <v>10348429</v>
      </c>
      <c r="E1303" s="115">
        <v>43945</v>
      </c>
      <c r="F1303" s="114">
        <v>202101</v>
      </c>
      <c r="G1303" s="112" t="s">
        <v>1091</v>
      </c>
      <c r="H1303" s="112" t="s">
        <v>1015</v>
      </c>
      <c r="I1303" s="112" t="s">
        <v>2495</v>
      </c>
      <c r="J1303" s="112" t="s">
        <v>3805</v>
      </c>
      <c r="K1303" s="112" t="s">
        <v>4050</v>
      </c>
      <c r="L1303" s="116">
        <v>12218</v>
      </c>
      <c r="M1303" s="116">
        <f t="shared" si="20"/>
        <v>12.218</v>
      </c>
    </row>
    <row r="1304" spans="1:13" hidden="1" x14ac:dyDescent="0.35">
      <c r="A1304" s="112" t="s">
        <v>3616</v>
      </c>
      <c r="B1304" s="112" t="s">
        <v>919</v>
      </c>
      <c r="C1304" s="112" t="s">
        <v>695</v>
      </c>
      <c r="D1304" s="113">
        <v>10348431</v>
      </c>
      <c r="E1304" s="115">
        <v>43945</v>
      </c>
      <c r="F1304" s="114">
        <v>202101</v>
      </c>
      <c r="G1304" s="112" t="s">
        <v>1091</v>
      </c>
      <c r="H1304" s="112" t="s">
        <v>1015</v>
      </c>
      <c r="I1304" s="112" t="s">
        <v>1643</v>
      </c>
      <c r="J1304" s="112" t="s">
        <v>3624</v>
      </c>
      <c r="K1304" s="112" t="s">
        <v>4052</v>
      </c>
      <c r="L1304" s="116">
        <v>191.27</v>
      </c>
      <c r="M1304" s="116">
        <f t="shared" si="20"/>
        <v>0.19127000000000002</v>
      </c>
    </row>
    <row r="1305" spans="1:13" hidden="1" x14ac:dyDescent="0.35">
      <c r="A1305" s="112" t="s">
        <v>3616</v>
      </c>
      <c r="B1305" s="112" t="s">
        <v>919</v>
      </c>
      <c r="C1305" s="112" t="s">
        <v>695</v>
      </c>
      <c r="D1305" s="113">
        <v>10348431</v>
      </c>
      <c r="E1305" s="115">
        <v>43945</v>
      </c>
      <c r="F1305" s="114">
        <v>202101</v>
      </c>
      <c r="G1305" s="112" t="s">
        <v>1091</v>
      </c>
      <c r="H1305" s="112" t="s">
        <v>1015</v>
      </c>
      <c r="I1305" s="112" t="s">
        <v>1643</v>
      </c>
      <c r="J1305" s="112" t="s">
        <v>3624</v>
      </c>
      <c r="K1305" s="112" t="s">
        <v>4053</v>
      </c>
      <c r="L1305" s="116">
        <v>160.18</v>
      </c>
      <c r="M1305" s="116">
        <f t="shared" si="20"/>
        <v>0.16018000000000002</v>
      </c>
    </row>
    <row r="1306" spans="1:13" hidden="1" x14ac:dyDescent="0.35">
      <c r="A1306" s="112" t="s">
        <v>3616</v>
      </c>
      <c r="B1306" s="112" t="s">
        <v>919</v>
      </c>
      <c r="C1306" s="112" t="s">
        <v>695</v>
      </c>
      <c r="D1306" s="113">
        <v>10348431</v>
      </c>
      <c r="E1306" s="115">
        <v>43945</v>
      </c>
      <c r="F1306" s="114">
        <v>202101</v>
      </c>
      <c r="G1306" s="112" t="s">
        <v>1091</v>
      </c>
      <c r="H1306" s="112" t="s">
        <v>1015</v>
      </c>
      <c r="I1306" s="112" t="s">
        <v>1643</v>
      </c>
      <c r="J1306" s="112" t="s">
        <v>3624</v>
      </c>
      <c r="K1306" s="112" t="s">
        <v>4054</v>
      </c>
      <c r="L1306" s="116">
        <v>1854</v>
      </c>
      <c r="M1306" s="116">
        <f t="shared" si="20"/>
        <v>1.8540000000000001</v>
      </c>
    </row>
    <row r="1307" spans="1:13" hidden="1" x14ac:dyDescent="0.35">
      <c r="A1307" s="112" t="s">
        <v>3616</v>
      </c>
      <c r="B1307" s="112" t="s">
        <v>922</v>
      </c>
      <c r="C1307" s="112" t="s">
        <v>695</v>
      </c>
      <c r="D1307" s="113">
        <v>10348431</v>
      </c>
      <c r="E1307" s="115">
        <v>43945</v>
      </c>
      <c r="F1307" s="114">
        <v>202101</v>
      </c>
      <c r="G1307" s="112" t="s">
        <v>1091</v>
      </c>
      <c r="H1307" s="112" t="s">
        <v>1015</v>
      </c>
      <c r="I1307" s="112" t="s">
        <v>761</v>
      </c>
      <c r="J1307" s="112" t="s">
        <v>3954</v>
      </c>
      <c r="K1307" s="112" t="s">
        <v>4055</v>
      </c>
      <c r="L1307" s="116">
        <v>446</v>
      </c>
      <c r="M1307" s="116">
        <f t="shared" si="20"/>
        <v>0.44600000000000001</v>
      </c>
    </row>
    <row r="1308" spans="1:13" hidden="1" x14ac:dyDescent="0.35">
      <c r="A1308" s="112" t="s">
        <v>3616</v>
      </c>
      <c r="B1308" s="112" t="s">
        <v>921</v>
      </c>
      <c r="C1308" s="112" t="s">
        <v>695</v>
      </c>
      <c r="D1308" s="113">
        <v>10348273</v>
      </c>
      <c r="E1308" s="115">
        <v>43929</v>
      </c>
      <c r="F1308" s="114">
        <v>202101</v>
      </c>
      <c r="G1308" s="112" t="s">
        <v>1091</v>
      </c>
      <c r="H1308" s="112" t="s">
        <v>1016</v>
      </c>
      <c r="I1308" s="112" t="s">
        <v>823</v>
      </c>
      <c r="J1308" s="112" t="s">
        <v>3709</v>
      </c>
      <c r="K1308" s="112" t="s">
        <v>4062</v>
      </c>
      <c r="L1308" s="116">
        <v>20687</v>
      </c>
      <c r="M1308" s="116">
        <f t="shared" si="20"/>
        <v>20.687000000000001</v>
      </c>
    </row>
    <row r="1309" spans="1:13" hidden="1" x14ac:dyDescent="0.35">
      <c r="A1309" s="112" t="s">
        <v>3616</v>
      </c>
      <c r="B1309" s="112" t="s">
        <v>921</v>
      </c>
      <c r="C1309" s="112" t="s">
        <v>695</v>
      </c>
      <c r="D1309" s="113">
        <v>10348273</v>
      </c>
      <c r="E1309" s="115">
        <v>43929</v>
      </c>
      <c r="F1309" s="114">
        <v>202101</v>
      </c>
      <c r="G1309" s="112" t="s">
        <v>1091</v>
      </c>
      <c r="H1309" s="112" t="s">
        <v>1016</v>
      </c>
      <c r="I1309" s="112" t="s">
        <v>823</v>
      </c>
      <c r="J1309" s="112" t="s">
        <v>3709</v>
      </c>
      <c r="K1309" s="112" t="s">
        <v>4062</v>
      </c>
      <c r="L1309" s="116">
        <v>-12500</v>
      </c>
      <c r="M1309" s="116">
        <f t="shared" si="20"/>
        <v>-12.5</v>
      </c>
    </row>
    <row r="1310" spans="1:13" hidden="1" x14ac:dyDescent="0.35">
      <c r="A1310" s="112" t="s">
        <v>3616</v>
      </c>
      <c r="B1310" s="112" t="s">
        <v>921</v>
      </c>
      <c r="C1310" s="112" t="s">
        <v>695</v>
      </c>
      <c r="D1310" s="113">
        <v>10348038</v>
      </c>
      <c r="E1310" s="115">
        <v>43928</v>
      </c>
      <c r="F1310" s="114">
        <v>202101</v>
      </c>
      <c r="G1310" s="112" t="s">
        <v>1091</v>
      </c>
      <c r="H1310" s="112" t="s">
        <v>1016</v>
      </c>
      <c r="I1310" s="112" t="s">
        <v>3899</v>
      </c>
      <c r="J1310" s="112" t="s">
        <v>3709</v>
      </c>
      <c r="K1310" s="112" t="s">
        <v>4073</v>
      </c>
      <c r="L1310" s="116">
        <v>-137.5</v>
      </c>
      <c r="M1310" s="116">
        <f t="shared" si="20"/>
        <v>-0.13750000000000001</v>
      </c>
    </row>
    <row r="1311" spans="1:13" hidden="1" x14ac:dyDescent="0.35">
      <c r="A1311" s="112" t="s">
        <v>3616</v>
      </c>
      <c r="B1311" s="112" t="s">
        <v>921</v>
      </c>
      <c r="C1311" s="112" t="s">
        <v>695</v>
      </c>
      <c r="D1311" s="113">
        <v>10348038</v>
      </c>
      <c r="E1311" s="115">
        <v>43928</v>
      </c>
      <c r="F1311" s="114">
        <v>202101</v>
      </c>
      <c r="G1311" s="112" t="s">
        <v>1091</v>
      </c>
      <c r="H1311" s="112" t="s">
        <v>1016</v>
      </c>
      <c r="I1311" s="112" t="s">
        <v>3899</v>
      </c>
      <c r="J1311" s="112" t="s">
        <v>3709</v>
      </c>
      <c r="K1311" s="112" t="s">
        <v>4074</v>
      </c>
      <c r="L1311" s="116">
        <v>-262.5</v>
      </c>
      <c r="M1311" s="116">
        <f t="shared" si="20"/>
        <v>-0.26250000000000001</v>
      </c>
    </row>
    <row r="1312" spans="1:13" hidden="1" x14ac:dyDescent="0.35">
      <c r="A1312" s="112" t="s">
        <v>3616</v>
      </c>
      <c r="B1312" s="112" t="s">
        <v>921</v>
      </c>
      <c r="C1312" s="112" t="s">
        <v>695</v>
      </c>
      <c r="D1312" s="113">
        <v>10348038</v>
      </c>
      <c r="E1312" s="115">
        <v>43928</v>
      </c>
      <c r="F1312" s="114">
        <v>202101</v>
      </c>
      <c r="G1312" s="112" t="s">
        <v>1091</v>
      </c>
      <c r="H1312" s="112" t="s">
        <v>1016</v>
      </c>
      <c r="I1312" s="112" t="s">
        <v>819</v>
      </c>
      <c r="J1312" s="112" t="s">
        <v>3709</v>
      </c>
      <c r="K1312" s="112" t="s">
        <v>4075</v>
      </c>
      <c r="L1312" s="116">
        <v>-180</v>
      </c>
      <c r="M1312" s="116">
        <f t="shared" si="20"/>
        <v>-0.18</v>
      </c>
    </row>
    <row r="1313" spans="1:13" hidden="1" x14ac:dyDescent="0.35">
      <c r="A1313" s="112" t="s">
        <v>3616</v>
      </c>
      <c r="B1313" s="112" t="s">
        <v>921</v>
      </c>
      <c r="C1313" s="112" t="s">
        <v>695</v>
      </c>
      <c r="D1313" s="113">
        <v>10348038</v>
      </c>
      <c r="E1313" s="115">
        <v>43928</v>
      </c>
      <c r="F1313" s="114">
        <v>202101</v>
      </c>
      <c r="G1313" s="112" t="s">
        <v>1091</v>
      </c>
      <c r="H1313" s="112" t="s">
        <v>1016</v>
      </c>
      <c r="I1313" s="112" t="s">
        <v>3851</v>
      </c>
      <c r="J1313" s="112" t="s">
        <v>3709</v>
      </c>
      <c r="K1313" s="112" t="s">
        <v>4076</v>
      </c>
      <c r="L1313" s="116">
        <v>-81</v>
      </c>
      <c r="M1313" s="116">
        <f t="shared" si="20"/>
        <v>-8.1000000000000003E-2</v>
      </c>
    </row>
    <row r="1314" spans="1:13" hidden="1" x14ac:dyDescent="0.35">
      <c r="A1314" s="112" t="s">
        <v>3616</v>
      </c>
      <c r="B1314" s="112" t="s">
        <v>921</v>
      </c>
      <c r="C1314" s="112" t="s">
        <v>695</v>
      </c>
      <c r="D1314" s="113">
        <v>10348038</v>
      </c>
      <c r="E1314" s="115">
        <v>43928</v>
      </c>
      <c r="F1314" s="114">
        <v>202101</v>
      </c>
      <c r="G1314" s="112" t="s">
        <v>1091</v>
      </c>
      <c r="H1314" s="112" t="s">
        <v>1016</v>
      </c>
      <c r="I1314" s="112" t="s">
        <v>819</v>
      </c>
      <c r="J1314" s="112" t="s">
        <v>3709</v>
      </c>
      <c r="K1314" s="112" t="s">
        <v>4077</v>
      </c>
      <c r="L1314" s="116">
        <v>-315</v>
      </c>
      <c r="M1314" s="116">
        <f t="shared" si="20"/>
        <v>-0.315</v>
      </c>
    </row>
    <row r="1315" spans="1:13" hidden="1" x14ac:dyDescent="0.35">
      <c r="A1315" s="112" t="s">
        <v>3616</v>
      </c>
      <c r="B1315" s="112" t="s">
        <v>921</v>
      </c>
      <c r="C1315" s="112" t="s">
        <v>695</v>
      </c>
      <c r="D1315" s="113">
        <v>10348038</v>
      </c>
      <c r="E1315" s="115">
        <v>43928</v>
      </c>
      <c r="F1315" s="114">
        <v>202101</v>
      </c>
      <c r="G1315" s="112" t="s">
        <v>1091</v>
      </c>
      <c r="H1315" s="112" t="s">
        <v>1016</v>
      </c>
      <c r="I1315" s="112" t="s">
        <v>819</v>
      </c>
      <c r="J1315" s="112" t="s">
        <v>3709</v>
      </c>
      <c r="K1315" s="112" t="s">
        <v>4078</v>
      </c>
      <c r="L1315" s="116">
        <v>420</v>
      </c>
      <c r="M1315" s="116">
        <f t="shared" si="20"/>
        <v>0.42</v>
      </c>
    </row>
    <row r="1316" spans="1:13" hidden="1" x14ac:dyDescent="0.35">
      <c r="A1316" s="112" t="s">
        <v>3616</v>
      </c>
      <c r="B1316" s="112" t="s">
        <v>921</v>
      </c>
      <c r="C1316" s="112" t="s">
        <v>695</v>
      </c>
      <c r="D1316" s="113">
        <v>10348038</v>
      </c>
      <c r="E1316" s="115">
        <v>43928</v>
      </c>
      <c r="F1316" s="114">
        <v>202101</v>
      </c>
      <c r="G1316" s="112" t="s">
        <v>1091</v>
      </c>
      <c r="H1316" s="112" t="s">
        <v>1016</v>
      </c>
      <c r="I1316" s="112" t="s">
        <v>3960</v>
      </c>
      <c r="J1316" s="112" t="s">
        <v>3709</v>
      </c>
      <c r="K1316" s="112" t="s">
        <v>4079</v>
      </c>
      <c r="L1316" s="116">
        <v>-247.5</v>
      </c>
      <c r="M1316" s="116">
        <f t="shared" si="20"/>
        <v>-0.2475</v>
      </c>
    </row>
    <row r="1317" spans="1:13" hidden="1" x14ac:dyDescent="0.35">
      <c r="A1317" s="112" t="s">
        <v>3616</v>
      </c>
      <c r="B1317" s="112" t="s">
        <v>921</v>
      </c>
      <c r="C1317" s="112" t="s">
        <v>695</v>
      </c>
      <c r="D1317" s="113">
        <v>10348038</v>
      </c>
      <c r="E1317" s="115">
        <v>43928</v>
      </c>
      <c r="F1317" s="114">
        <v>202101</v>
      </c>
      <c r="G1317" s="112" t="s">
        <v>1091</v>
      </c>
      <c r="H1317" s="112" t="s">
        <v>1016</v>
      </c>
      <c r="I1317" s="112" t="s">
        <v>3960</v>
      </c>
      <c r="J1317" s="112" t="s">
        <v>3709</v>
      </c>
      <c r="K1317" s="112" t="s">
        <v>4080</v>
      </c>
      <c r="L1317" s="116">
        <v>-3000</v>
      </c>
      <c r="M1317" s="116">
        <f t="shared" si="20"/>
        <v>-3</v>
      </c>
    </row>
    <row r="1318" spans="1:13" hidden="1" x14ac:dyDescent="0.35">
      <c r="A1318" s="112" t="s">
        <v>3616</v>
      </c>
      <c r="B1318" s="112" t="s">
        <v>921</v>
      </c>
      <c r="C1318" s="112" t="s">
        <v>695</v>
      </c>
      <c r="D1318" s="113">
        <v>10348038</v>
      </c>
      <c r="E1318" s="115">
        <v>43928</v>
      </c>
      <c r="F1318" s="114">
        <v>202101</v>
      </c>
      <c r="G1318" s="112" t="s">
        <v>1091</v>
      </c>
      <c r="H1318" s="112" t="s">
        <v>1016</v>
      </c>
      <c r="I1318" s="112" t="s">
        <v>3846</v>
      </c>
      <c r="J1318" s="112" t="s">
        <v>3709</v>
      </c>
      <c r="K1318" s="112" t="s">
        <v>4081</v>
      </c>
      <c r="L1318" s="116">
        <v>-1800</v>
      </c>
      <c r="M1318" s="116">
        <f t="shared" si="20"/>
        <v>-1.8</v>
      </c>
    </row>
    <row r="1319" spans="1:13" hidden="1" x14ac:dyDescent="0.35">
      <c r="A1319" s="112" t="s">
        <v>3616</v>
      </c>
      <c r="B1319" s="112" t="s">
        <v>921</v>
      </c>
      <c r="C1319" s="112" t="s">
        <v>695</v>
      </c>
      <c r="D1319" s="113">
        <v>10348038</v>
      </c>
      <c r="E1319" s="115">
        <v>43928</v>
      </c>
      <c r="F1319" s="114">
        <v>202101</v>
      </c>
      <c r="G1319" s="112" t="s">
        <v>1091</v>
      </c>
      <c r="H1319" s="112" t="s">
        <v>1016</v>
      </c>
      <c r="I1319" s="112" t="s">
        <v>3846</v>
      </c>
      <c r="J1319" s="112" t="s">
        <v>3709</v>
      </c>
      <c r="K1319" s="112" t="s">
        <v>4082</v>
      </c>
      <c r="L1319" s="116">
        <v>-1000</v>
      </c>
      <c r="M1319" s="116">
        <f t="shared" si="20"/>
        <v>-1</v>
      </c>
    </row>
    <row r="1320" spans="1:13" hidden="1" x14ac:dyDescent="0.35">
      <c r="A1320" s="112" t="s">
        <v>3616</v>
      </c>
      <c r="B1320" s="112" t="s">
        <v>921</v>
      </c>
      <c r="C1320" s="112" t="s">
        <v>695</v>
      </c>
      <c r="D1320" s="113">
        <v>10348038</v>
      </c>
      <c r="E1320" s="115">
        <v>43928</v>
      </c>
      <c r="F1320" s="114">
        <v>202101</v>
      </c>
      <c r="G1320" s="112" t="s">
        <v>1091</v>
      </c>
      <c r="H1320" s="112" t="s">
        <v>1016</v>
      </c>
      <c r="I1320" s="112" t="s">
        <v>3846</v>
      </c>
      <c r="J1320" s="112" t="s">
        <v>3709</v>
      </c>
      <c r="K1320" s="112" t="s">
        <v>4083</v>
      </c>
      <c r="L1320" s="116">
        <v>-787.75</v>
      </c>
      <c r="M1320" s="116">
        <f t="shared" si="20"/>
        <v>-0.78774999999999995</v>
      </c>
    </row>
    <row r="1321" spans="1:13" hidden="1" x14ac:dyDescent="0.35">
      <c r="A1321" s="112" t="s">
        <v>3616</v>
      </c>
      <c r="B1321" s="112" t="s">
        <v>921</v>
      </c>
      <c r="C1321" s="112" t="s">
        <v>695</v>
      </c>
      <c r="D1321" s="113">
        <v>10348038</v>
      </c>
      <c r="E1321" s="115">
        <v>43928</v>
      </c>
      <c r="F1321" s="114">
        <v>202101</v>
      </c>
      <c r="G1321" s="112" t="s">
        <v>1091</v>
      </c>
      <c r="H1321" s="112" t="s">
        <v>1016</v>
      </c>
      <c r="I1321" s="112" t="s">
        <v>3846</v>
      </c>
      <c r="J1321" s="112" t="s">
        <v>3709</v>
      </c>
      <c r="K1321" s="112" t="s">
        <v>4087</v>
      </c>
      <c r="L1321" s="116">
        <v>-393.88</v>
      </c>
      <c r="M1321" s="116">
        <f t="shared" si="20"/>
        <v>-0.39388000000000001</v>
      </c>
    </row>
    <row r="1322" spans="1:13" hidden="1" x14ac:dyDescent="0.35">
      <c r="A1322" s="112" t="s">
        <v>3616</v>
      </c>
      <c r="B1322" s="112" t="s">
        <v>921</v>
      </c>
      <c r="C1322" s="112" t="s">
        <v>695</v>
      </c>
      <c r="D1322" s="113">
        <v>10348038</v>
      </c>
      <c r="E1322" s="115">
        <v>43928</v>
      </c>
      <c r="F1322" s="114">
        <v>202101</v>
      </c>
      <c r="G1322" s="112" t="s">
        <v>1091</v>
      </c>
      <c r="H1322" s="112" t="s">
        <v>1016</v>
      </c>
      <c r="I1322" s="112" t="s">
        <v>3846</v>
      </c>
      <c r="J1322" s="112" t="s">
        <v>3709</v>
      </c>
      <c r="K1322" s="112" t="s">
        <v>4089</v>
      </c>
      <c r="L1322" s="116">
        <v>-560</v>
      </c>
      <c r="M1322" s="116">
        <f t="shared" si="20"/>
        <v>-0.56000000000000005</v>
      </c>
    </row>
    <row r="1323" spans="1:13" hidden="1" x14ac:dyDescent="0.35">
      <c r="A1323" s="112" t="s">
        <v>3616</v>
      </c>
      <c r="B1323" s="112" t="s">
        <v>921</v>
      </c>
      <c r="C1323" s="112" t="s">
        <v>695</v>
      </c>
      <c r="D1323" s="113">
        <v>10348038</v>
      </c>
      <c r="E1323" s="115">
        <v>43928</v>
      </c>
      <c r="F1323" s="114">
        <v>202101</v>
      </c>
      <c r="G1323" s="112" t="s">
        <v>1091</v>
      </c>
      <c r="H1323" s="112" t="s">
        <v>1016</v>
      </c>
      <c r="I1323" s="112" t="s">
        <v>3846</v>
      </c>
      <c r="J1323" s="112" t="s">
        <v>3709</v>
      </c>
      <c r="K1323" s="112" t="s">
        <v>4090</v>
      </c>
      <c r="L1323" s="116">
        <v>-560</v>
      </c>
      <c r="M1323" s="116">
        <f t="shared" si="20"/>
        <v>-0.56000000000000005</v>
      </c>
    </row>
    <row r="1324" spans="1:13" hidden="1" x14ac:dyDescent="0.35">
      <c r="A1324" s="112" t="s">
        <v>3616</v>
      </c>
      <c r="B1324" s="112" t="s">
        <v>921</v>
      </c>
      <c r="C1324" s="112" t="s">
        <v>695</v>
      </c>
      <c r="D1324" s="113">
        <v>10348038</v>
      </c>
      <c r="E1324" s="115">
        <v>43928</v>
      </c>
      <c r="F1324" s="114">
        <v>202101</v>
      </c>
      <c r="G1324" s="112" t="s">
        <v>1091</v>
      </c>
      <c r="H1324" s="112" t="s">
        <v>1016</v>
      </c>
      <c r="I1324" s="112" t="s">
        <v>3846</v>
      </c>
      <c r="J1324" s="112" t="s">
        <v>3709</v>
      </c>
      <c r="K1324" s="112" t="s">
        <v>4091</v>
      </c>
      <c r="L1324" s="116">
        <v>-379</v>
      </c>
      <c r="M1324" s="116">
        <f t="shared" si="20"/>
        <v>-0.379</v>
      </c>
    </row>
    <row r="1325" spans="1:13" hidden="1" x14ac:dyDescent="0.35">
      <c r="A1325" s="112" t="s">
        <v>3616</v>
      </c>
      <c r="B1325" s="112" t="s">
        <v>921</v>
      </c>
      <c r="C1325" s="112" t="s">
        <v>695</v>
      </c>
      <c r="D1325" s="113">
        <v>10348038</v>
      </c>
      <c r="E1325" s="115">
        <v>43928</v>
      </c>
      <c r="F1325" s="114">
        <v>202101</v>
      </c>
      <c r="G1325" s="112" t="s">
        <v>1091</v>
      </c>
      <c r="H1325" s="112" t="s">
        <v>1016</v>
      </c>
      <c r="I1325" s="112" t="s">
        <v>3899</v>
      </c>
      <c r="J1325" s="112" t="s">
        <v>3709</v>
      </c>
      <c r="K1325" s="112" t="s">
        <v>4092</v>
      </c>
      <c r="L1325" s="116">
        <v>-945</v>
      </c>
      <c r="M1325" s="116">
        <f t="shared" si="20"/>
        <v>-0.94499999999999995</v>
      </c>
    </row>
    <row r="1326" spans="1:13" hidden="1" x14ac:dyDescent="0.35">
      <c r="A1326" s="112" t="s">
        <v>3616</v>
      </c>
      <c r="B1326" s="112" t="s">
        <v>921</v>
      </c>
      <c r="C1326" s="112" t="s">
        <v>695</v>
      </c>
      <c r="D1326" s="113">
        <v>10348038</v>
      </c>
      <c r="E1326" s="115">
        <v>43928</v>
      </c>
      <c r="F1326" s="114">
        <v>202101</v>
      </c>
      <c r="G1326" s="112" t="s">
        <v>1091</v>
      </c>
      <c r="H1326" s="112" t="s">
        <v>1016</v>
      </c>
      <c r="I1326" s="112" t="s">
        <v>3899</v>
      </c>
      <c r="J1326" s="112" t="s">
        <v>3709</v>
      </c>
      <c r="K1326" s="112" t="s">
        <v>4093</v>
      </c>
      <c r="L1326" s="116">
        <v>-137.5</v>
      </c>
      <c r="M1326" s="116">
        <f t="shared" si="20"/>
        <v>-0.13750000000000001</v>
      </c>
    </row>
    <row r="1327" spans="1:13" hidden="1" x14ac:dyDescent="0.35">
      <c r="A1327" s="112" t="s">
        <v>3616</v>
      </c>
      <c r="B1327" s="112" t="s">
        <v>921</v>
      </c>
      <c r="C1327" s="112" t="s">
        <v>695</v>
      </c>
      <c r="D1327" s="113">
        <v>10348038</v>
      </c>
      <c r="E1327" s="115">
        <v>43928</v>
      </c>
      <c r="F1327" s="114">
        <v>202101</v>
      </c>
      <c r="G1327" s="112" t="s">
        <v>1091</v>
      </c>
      <c r="H1327" s="112" t="s">
        <v>1016</v>
      </c>
      <c r="I1327" s="112" t="s">
        <v>3899</v>
      </c>
      <c r="J1327" s="112" t="s">
        <v>3709</v>
      </c>
      <c r="K1327" s="112" t="s">
        <v>4094</v>
      </c>
      <c r="L1327" s="116">
        <v>-262.5</v>
      </c>
      <c r="M1327" s="116">
        <f t="shared" si="20"/>
        <v>-0.26250000000000001</v>
      </c>
    </row>
    <row r="1328" spans="1:13" hidden="1" x14ac:dyDescent="0.35">
      <c r="A1328" s="112" t="s">
        <v>3616</v>
      </c>
      <c r="B1328" s="112" t="s">
        <v>921</v>
      </c>
      <c r="C1328" s="112" t="s">
        <v>695</v>
      </c>
      <c r="D1328" s="113">
        <v>10348038</v>
      </c>
      <c r="E1328" s="115">
        <v>43928</v>
      </c>
      <c r="F1328" s="114">
        <v>202101</v>
      </c>
      <c r="G1328" s="112" t="s">
        <v>1091</v>
      </c>
      <c r="H1328" s="112" t="s">
        <v>1016</v>
      </c>
      <c r="I1328" s="112" t="s">
        <v>3899</v>
      </c>
      <c r="J1328" s="112" t="s">
        <v>3709</v>
      </c>
      <c r="K1328" s="112" t="s">
        <v>4095</v>
      </c>
      <c r="L1328" s="116">
        <v>137.5</v>
      </c>
      <c r="M1328" s="116">
        <f t="shared" si="20"/>
        <v>0.13750000000000001</v>
      </c>
    </row>
    <row r="1329" spans="1:13" hidden="1" x14ac:dyDescent="0.35">
      <c r="A1329" s="112" t="s">
        <v>3616</v>
      </c>
      <c r="B1329" s="112" t="s">
        <v>921</v>
      </c>
      <c r="C1329" s="112" t="s">
        <v>695</v>
      </c>
      <c r="D1329" s="113">
        <v>10348038</v>
      </c>
      <c r="E1329" s="115">
        <v>43928</v>
      </c>
      <c r="F1329" s="114">
        <v>202101</v>
      </c>
      <c r="G1329" s="112" t="s">
        <v>1091</v>
      </c>
      <c r="H1329" s="112" t="s">
        <v>1016</v>
      </c>
      <c r="I1329" s="112" t="s">
        <v>3899</v>
      </c>
      <c r="J1329" s="112" t="s">
        <v>3709</v>
      </c>
      <c r="K1329" s="112" t="s">
        <v>4096</v>
      </c>
      <c r="L1329" s="116">
        <v>-262.5</v>
      </c>
      <c r="M1329" s="116">
        <f t="shared" si="20"/>
        <v>-0.26250000000000001</v>
      </c>
    </row>
    <row r="1330" spans="1:13" hidden="1" x14ac:dyDescent="0.35">
      <c r="A1330" s="112" t="s">
        <v>3616</v>
      </c>
      <c r="B1330" s="112" t="s">
        <v>921</v>
      </c>
      <c r="C1330" s="112" t="s">
        <v>695</v>
      </c>
      <c r="D1330" s="113">
        <v>10348038</v>
      </c>
      <c r="E1330" s="115">
        <v>43928</v>
      </c>
      <c r="F1330" s="114">
        <v>202101</v>
      </c>
      <c r="G1330" s="112" t="s">
        <v>1091</v>
      </c>
      <c r="H1330" s="112" t="s">
        <v>1016</v>
      </c>
      <c r="I1330" s="112" t="s">
        <v>3899</v>
      </c>
      <c r="J1330" s="112" t="s">
        <v>3709</v>
      </c>
      <c r="K1330" s="112" t="s">
        <v>4097</v>
      </c>
      <c r="L1330" s="116">
        <v>-262.5</v>
      </c>
      <c r="M1330" s="116">
        <f t="shared" si="20"/>
        <v>-0.26250000000000001</v>
      </c>
    </row>
    <row r="1331" spans="1:13" hidden="1" x14ac:dyDescent="0.35">
      <c r="A1331" s="112" t="s">
        <v>3616</v>
      </c>
      <c r="B1331" s="112" t="s">
        <v>921</v>
      </c>
      <c r="C1331" s="112" t="s">
        <v>695</v>
      </c>
      <c r="D1331" s="113">
        <v>10348038</v>
      </c>
      <c r="E1331" s="115">
        <v>43928</v>
      </c>
      <c r="F1331" s="114">
        <v>202101</v>
      </c>
      <c r="G1331" s="112" t="s">
        <v>1091</v>
      </c>
      <c r="H1331" s="112" t="s">
        <v>1016</v>
      </c>
      <c r="I1331" s="112" t="s">
        <v>3846</v>
      </c>
      <c r="J1331" s="112" t="s">
        <v>3709</v>
      </c>
      <c r="K1331" s="112" t="s">
        <v>4098</v>
      </c>
      <c r="L1331" s="116">
        <v>-1064</v>
      </c>
      <c r="M1331" s="116">
        <f t="shared" si="20"/>
        <v>-1.0640000000000001</v>
      </c>
    </row>
    <row r="1332" spans="1:13" hidden="1" x14ac:dyDescent="0.35">
      <c r="A1332" s="112" t="s">
        <v>3616</v>
      </c>
      <c r="B1332" s="112" t="s">
        <v>921</v>
      </c>
      <c r="C1332" s="112" t="s">
        <v>695</v>
      </c>
      <c r="D1332" s="113">
        <v>10348038</v>
      </c>
      <c r="E1332" s="115">
        <v>43928</v>
      </c>
      <c r="F1332" s="114">
        <v>202101</v>
      </c>
      <c r="G1332" s="112" t="s">
        <v>1091</v>
      </c>
      <c r="H1332" s="112" t="s">
        <v>1016</v>
      </c>
      <c r="I1332" s="112" t="s">
        <v>3846</v>
      </c>
      <c r="J1332" s="112" t="s">
        <v>3709</v>
      </c>
      <c r="K1332" s="112" t="s">
        <v>4099</v>
      </c>
      <c r="L1332" s="116">
        <v>-896.5</v>
      </c>
      <c r="M1332" s="116">
        <f t="shared" si="20"/>
        <v>-0.89649999999999996</v>
      </c>
    </row>
    <row r="1333" spans="1:13" hidden="1" x14ac:dyDescent="0.35">
      <c r="A1333" s="112" t="s">
        <v>3616</v>
      </c>
      <c r="B1333" s="112" t="s">
        <v>921</v>
      </c>
      <c r="C1333" s="112" t="s">
        <v>695</v>
      </c>
      <c r="D1333" s="113">
        <v>10348038</v>
      </c>
      <c r="E1333" s="115">
        <v>43928</v>
      </c>
      <c r="F1333" s="114">
        <v>202101</v>
      </c>
      <c r="G1333" s="112" t="s">
        <v>1091</v>
      </c>
      <c r="H1333" s="112" t="s">
        <v>1016</v>
      </c>
      <c r="I1333" s="112" t="s">
        <v>3846</v>
      </c>
      <c r="J1333" s="112" t="s">
        <v>3709</v>
      </c>
      <c r="K1333" s="112" t="s">
        <v>4100</v>
      </c>
      <c r="L1333" s="116">
        <v>-715</v>
      </c>
      <c r="M1333" s="116">
        <f t="shared" si="20"/>
        <v>-0.71499999999999997</v>
      </c>
    </row>
    <row r="1334" spans="1:13" hidden="1" x14ac:dyDescent="0.35">
      <c r="A1334" s="112" t="s">
        <v>3616</v>
      </c>
      <c r="B1334" s="112" t="s">
        <v>921</v>
      </c>
      <c r="C1334" s="112" t="s">
        <v>695</v>
      </c>
      <c r="D1334" s="113">
        <v>10348038</v>
      </c>
      <c r="E1334" s="115">
        <v>43928</v>
      </c>
      <c r="F1334" s="114">
        <v>202101</v>
      </c>
      <c r="G1334" s="112" t="s">
        <v>1091</v>
      </c>
      <c r="H1334" s="112" t="s">
        <v>1016</v>
      </c>
      <c r="I1334" s="112" t="s">
        <v>3846</v>
      </c>
      <c r="J1334" s="112" t="s">
        <v>3709</v>
      </c>
      <c r="K1334" s="112" t="s">
        <v>4101</v>
      </c>
      <c r="L1334" s="116">
        <v>560</v>
      </c>
      <c r="M1334" s="116">
        <f t="shared" si="20"/>
        <v>0.56000000000000005</v>
      </c>
    </row>
    <row r="1335" spans="1:13" hidden="1" x14ac:dyDescent="0.35">
      <c r="A1335" s="112" t="s">
        <v>3616</v>
      </c>
      <c r="B1335" s="112" t="s">
        <v>921</v>
      </c>
      <c r="C1335" s="112" t="s">
        <v>695</v>
      </c>
      <c r="D1335" s="113">
        <v>10348038</v>
      </c>
      <c r="E1335" s="115">
        <v>43928</v>
      </c>
      <c r="F1335" s="114">
        <v>202101</v>
      </c>
      <c r="G1335" s="112" t="s">
        <v>1091</v>
      </c>
      <c r="H1335" s="112" t="s">
        <v>1016</v>
      </c>
      <c r="I1335" s="112" t="s">
        <v>3846</v>
      </c>
      <c r="J1335" s="112" t="s">
        <v>3709</v>
      </c>
      <c r="K1335" s="112" t="s">
        <v>4102</v>
      </c>
      <c r="L1335" s="116">
        <v>-450</v>
      </c>
      <c r="M1335" s="116">
        <f t="shared" si="20"/>
        <v>-0.45</v>
      </c>
    </row>
    <row r="1336" spans="1:13" hidden="1" x14ac:dyDescent="0.35">
      <c r="A1336" s="112" t="s">
        <v>3616</v>
      </c>
      <c r="B1336" s="112" t="s">
        <v>921</v>
      </c>
      <c r="C1336" s="112" t="s">
        <v>695</v>
      </c>
      <c r="D1336" s="113">
        <v>10348038</v>
      </c>
      <c r="E1336" s="115">
        <v>43928</v>
      </c>
      <c r="F1336" s="114">
        <v>202101</v>
      </c>
      <c r="G1336" s="112" t="s">
        <v>1091</v>
      </c>
      <c r="H1336" s="112" t="s">
        <v>1016</v>
      </c>
      <c r="I1336" s="112" t="s">
        <v>4103</v>
      </c>
      <c r="J1336" s="112" t="s">
        <v>3709</v>
      </c>
      <c r="K1336" s="112" t="s">
        <v>3947</v>
      </c>
      <c r="L1336" s="116">
        <v>-196</v>
      </c>
      <c r="M1336" s="116">
        <f t="shared" si="20"/>
        <v>-0.19600000000000001</v>
      </c>
    </row>
    <row r="1337" spans="1:13" hidden="1" x14ac:dyDescent="0.35">
      <c r="A1337" s="112" t="s">
        <v>3616</v>
      </c>
      <c r="B1337" s="112" t="s">
        <v>921</v>
      </c>
      <c r="C1337" s="112" t="s">
        <v>695</v>
      </c>
      <c r="D1337" s="113">
        <v>10348038</v>
      </c>
      <c r="E1337" s="115">
        <v>43928</v>
      </c>
      <c r="F1337" s="114">
        <v>202101</v>
      </c>
      <c r="G1337" s="112" t="s">
        <v>1091</v>
      </c>
      <c r="H1337" s="112" t="s">
        <v>1016</v>
      </c>
      <c r="I1337" s="112" t="s">
        <v>4103</v>
      </c>
      <c r="J1337" s="112" t="s">
        <v>3709</v>
      </c>
      <c r="K1337" s="112" t="s">
        <v>4104</v>
      </c>
      <c r="L1337" s="116">
        <v>-196</v>
      </c>
      <c r="M1337" s="116">
        <f t="shared" si="20"/>
        <v>-0.19600000000000001</v>
      </c>
    </row>
    <row r="1338" spans="1:13" hidden="1" x14ac:dyDescent="0.35">
      <c r="A1338" s="112" t="s">
        <v>3616</v>
      </c>
      <c r="B1338" s="112" t="s">
        <v>921</v>
      </c>
      <c r="C1338" s="112" t="s">
        <v>695</v>
      </c>
      <c r="D1338" s="113">
        <v>10348038</v>
      </c>
      <c r="E1338" s="115">
        <v>43928</v>
      </c>
      <c r="F1338" s="114">
        <v>202101</v>
      </c>
      <c r="G1338" s="112" t="s">
        <v>1091</v>
      </c>
      <c r="H1338" s="112" t="s">
        <v>1016</v>
      </c>
      <c r="I1338" s="112" t="s">
        <v>3899</v>
      </c>
      <c r="J1338" s="112" t="s">
        <v>3709</v>
      </c>
      <c r="K1338" s="112" t="s">
        <v>4105</v>
      </c>
      <c r="L1338" s="116">
        <v>-212.5</v>
      </c>
      <c r="M1338" s="116">
        <f t="shared" si="20"/>
        <v>-0.21249999999999999</v>
      </c>
    </row>
    <row r="1339" spans="1:13" hidden="1" x14ac:dyDescent="0.35">
      <c r="A1339" s="112" t="s">
        <v>3616</v>
      </c>
      <c r="B1339" s="112" t="s">
        <v>921</v>
      </c>
      <c r="C1339" s="112" t="s">
        <v>695</v>
      </c>
      <c r="D1339" s="113">
        <v>10348038</v>
      </c>
      <c r="E1339" s="115">
        <v>43928</v>
      </c>
      <c r="F1339" s="114">
        <v>202101</v>
      </c>
      <c r="G1339" s="112" t="s">
        <v>1091</v>
      </c>
      <c r="H1339" s="112" t="s">
        <v>1016</v>
      </c>
      <c r="I1339" s="112" t="s">
        <v>3899</v>
      </c>
      <c r="J1339" s="112" t="s">
        <v>3709</v>
      </c>
      <c r="K1339" s="112" t="s">
        <v>4106</v>
      </c>
      <c r="L1339" s="116">
        <v>-212.5</v>
      </c>
      <c r="M1339" s="116">
        <f t="shared" si="20"/>
        <v>-0.21249999999999999</v>
      </c>
    </row>
    <row r="1340" spans="1:13" hidden="1" x14ac:dyDescent="0.35">
      <c r="A1340" s="112" t="s">
        <v>3616</v>
      </c>
      <c r="B1340" s="112" t="s">
        <v>921</v>
      </c>
      <c r="C1340" s="112" t="s">
        <v>695</v>
      </c>
      <c r="D1340" s="113">
        <v>10348038</v>
      </c>
      <c r="E1340" s="115">
        <v>43928</v>
      </c>
      <c r="F1340" s="114">
        <v>202101</v>
      </c>
      <c r="G1340" s="112" t="s">
        <v>1091</v>
      </c>
      <c r="H1340" s="112" t="s">
        <v>1016</v>
      </c>
      <c r="I1340" s="112" t="s">
        <v>3899</v>
      </c>
      <c r="J1340" s="112" t="s">
        <v>3709</v>
      </c>
      <c r="K1340" s="112" t="s">
        <v>4107</v>
      </c>
      <c r="L1340" s="116">
        <v>-137.5</v>
      </c>
      <c r="M1340" s="116">
        <f t="shared" si="20"/>
        <v>-0.13750000000000001</v>
      </c>
    </row>
    <row r="1341" spans="1:13" hidden="1" x14ac:dyDescent="0.35">
      <c r="A1341" s="112" t="s">
        <v>3616</v>
      </c>
      <c r="B1341" s="112" t="s">
        <v>921</v>
      </c>
      <c r="C1341" s="112" t="s">
        <v>695</v>
      </c>
      <c r="D1341" s="113">
        <v>10348038</v>
      </c>
      <c r="E1341" s="115">
        <v>43928</v>
      </c>
      <c r="F1341" s="114">
        <v>202101</v>
      </c>
      <c r="G1341" s="112" t="s">
        <v>1091</v>
      </c>
      <c r="H1341" s="112" t="s">
        <v>1016</v>
      </c>
      <c r="I1341" s="112" t="s">
        <v>3899</v>
      </c>
      <c r="J1341" s="112" t="s">
        <v>3709</v>
      </c>
      <c r="K1341" s="112" t="s">
        <v>4108</v>
      </c>
      <c r="L1341" s="116">
        <v>-137.5</v>
      </c>
      <c r="M1341" s="116">
        <f t="shared" si="20"/>
        <v>-0.13750000000000001</v>
      </c>
    </row>
    <row r="1342" spans="1:13" hidden="1" x14ac:dyDescent="0.35">
      <c r="A1342" s="112" t="s">
        <v>3616</v>
      </c>
      <c r="B1342" s="112" t="s">
        <v>921</v>
      </c>
      <c r="C1342" s="112" t="s">
        <v>695</v>
      </c>
      <c r="D1342" s="113">
        <v>10348038</v>
      </c>
      <c r="E1342" s="115">
        <v>43928</v>
      </c>
      <c r="F1342" s="114">
        <v>202101</v>
      </c>
      <c r="G1342" s="112" t="s">
        <v>1091</v>
      </c>
      <c r="H1342" s="112" t="s">
        <v>1016</v>
      </c>
      <c r="I1342" s="112" t="s">
        <v>3899</v>
      </c>
      <c r="J1342" s="112" t="s">
        <v>3709</v>
      </c>
      <c r="K1342" s="112" t="s">
        <v>4109</v>
      </c>
      <c r="L1342" s="116">
        <v>-131.25</v>
      </c>
      <c r="M1342" s="116">
        <f t="shared" si="20"/>
        <v>-0.13125000000000001</v>
      </c>
    </row>
    <row r="1343" spans="1:13" hidden="1" x14ac:dyDescent="0.35">
      <c r="A1343" s="112" t="s">
        <v>3616</v>
      </c>
      <c r="B1343" s="112" t="s">
        <v>921</v>
      </c>
      <c r="C1343" s="112" t="s">
        <v>695</v>
      </c>
      <c r="D1343" s="113">
        <v>10348038</v>
      </c>
      <c r="E1343" s="115">
        <v>43928</v>
      </c>
      <c r="F1343" s="114">
        <v>202101</v>
      </c>
      <c r="G1343" s="112" t="s">
        <v>1091</v>
      </c>
      <c r="H1343" s="112" t="s">
        <v>1016</v>
      </c>
      <c r="I1343" s="112" t="s">
        <v>3899</v>
      </c>
      <c r="J1343" s="112" t="s">
        <v>3709</v>
      </c>
      <c r="K1343" s="112" t="s">
        <v>4110</v>
      </c>
      <c r="L1343" s="116">
        <v>-131.25</v>
      </c>
      <c r="M1343" s="116">
        <f t="shared" si="20"/>
        <v>-0.13125000000000001</v>
      </c>
    </row>
    <row r="1344" spans="1:13" hidden="1" x14ac:dyDescent="0.35">
      <c r="A1344" s="112" t="s">
        <v>3616</v>
      </c>
      <c r="B1344" s="112" t="s">
        <v>921</v>
      </c>
      <c r="C1344" s="112" t="s">
        <v>695</v>
      </c>
      <c r="D1344" s="113">
        <v>10348038</v>
      </c>
      <c r="E1344" s="115">
        <v>43928</v>
      </c>
      <c r="F1344" s="114">
        <v>202101</v>
      </c>
      <c r="G1344" s="112" t="s">
        <v>1091</v>
      </c>
      <c r="H1344" s="112" t="s">
        <v>1016</v>
      </c>
      <c r="I1344" s="112" t="s">
        <v>3899</v>
      </c>
      <c r="J1344" s="112" t="s">
        <v>3709</v>
      </c>
      <c r="K1344" s="112" t="s">
        <v>4111</v>
      </c>
      <c r="L1344" s="116">
        <v>-262.5</v>
      </c>
      <c r="M1344" s="116">
        <f t="shared" si="20"/>
        <v>-0.26250000000000001</v>
      </c>
    </row>
    <row r="1345" spans="1:13" hidden="1" x14ac:dyDescent="0.35">
      <c r="A1345" s="112" t="s">
        <v>3616</v>
      </c>
      <c r="B1345" s="112" t="s">
        <v>921</v>
      </c>
      <c r="C1345" s="112" t="s">
        <v>695</v>
      </c>
      <c r="D1345" s="113">
        <v>10348038</v>
      </c>
      <c r="E1345" s="115">
        <v>43928</v>
      </c>
      <c r="F1345" s="114">
        <v>202101</v>
      </c>
      <c r="G1345" s="112" t="s">
        <v>1091</v>
      </c>
      <c r="H1345" s="112" t="s">
        <v>1016</v>
      </c>
      <c r="I1345" s="112" t="s">
        <v>3846</v>
      </c>
      <c r="J1345" s="112" t="s">
        <v>3709</v>
      </c>
      <c r="K1345" s="112" t="s">
        <v>4112</v>
      </c>
      <c r="L1345" s="116">
        <v>-1930</v>
      </c>
      <c r="M1345" s="116">
        <f t="shared" si="20"/>
        <v>-1.93</v>
      </c>
    </row>
    <row r="1346" spans="1:13" hidden="1" x14ac:dyDescent="0.35">
      <c r="A1346" s="112" t="s">
        <v>3616</v>
      </c>
      <c r="B1346" s="112" t="s">
        <v>921</v>
      </c>
      <c r="C1346" s="112" t="s">
        <v>695</v>
      </c>
      <c r="D1346" s="113">
        <v>10348038</v>
      </c>
      <c r="E1346" s="115">
        <v>43928</v>
      </c>
      <c r="F1346" s="114">
        <v>202101</v>
      </c>
      <c r="G1346" s="112" t="s">
        <v>1091</v>
      </c>
      <c r="H1346" s="112" t="s">
        <v>1016</v>
      </c>
      <c r="I1346" s="112" t="s">
        <v>3846</v>
      </c>
      <c r="J1346" s="112" t="s">
        <v>3709</v>
      </c>
      <c r="K1346" s="112" t="s">
        <v>4113</v>
      </c>
      <c r="L1346" s="116">
        <v>-875</v>
      </c>
      <c r="M1346" s="116">
        <f t="shared" si="20"/>
        <v>-0.875</v>
      </c>
    </row>
    <row r="1347" spans="1:13" hidden="1" x14ac:dyDescent="0.35">
      <c r="A1347" s="112" t="s">
        <v>3616</v>
      </c>
      <c r="B1347" s="112" t="s">
        <v>921</v>
      </c>
      <c r="C1347" s="112" t="s">
        <v>695</v>
      </c>
      <c r="D1347" s="113">
        <v>10348038</v>
      </c>
      <c r="E1347" s="115">
        <v>43928</v>
      </c>
      <c r="F1347" s="114">
        <v>202101</v>
      </c>
      <c r="G1347" s="112" t="s">
        <v>1091</v>
      </c>
      <c r="H1347" s="112" t="s">
        <v>1016</v>
      </c>
      <c r="I1347" s="112" t="s">
        <v>3846</v>
      </c>
      <c r="J1347" s="112" t="s">
        <v>3709</v>
      </c>
      <c r="K1347" s="112" t="s">
        <v>4114</v>
      </c>
      <c r="L1347" s="116">
        <v>-870</v>
      </c>
      <c r="M1347" s="116">
        <f t="shared" ref="M1347:M1410" si="21">L1347/1000</f>
        <v>-0.87</v>
      </c>
    </row>
    <row r="1348" spans="1:13" hidden="1" x14ac:dyDescent="0.35">
      <c r="A1348" s="112" t="s">
        <v>3616</v>
      </c>
      <c r="B1348" s="112" t="s">
        <v>921</v>
      </c>
      <c r="C1348" s="112" t="s">
        <v>695</v>
      </c>
      <c r="D1348" s="113">
        <v>10348038</v>
      </c>
      <c r="E1348" s="115">
        <v>43928</v>
      </c>
      <c r="F1348" s="114">
        <v>202101</v>
      </c>
      <c r="G1348" s="112" t="s">
        <v>1091</v>
      </c>
      <c r="H1348" s="112" t="s">
        <v>1016</v>
      </c>
      <c r="I1348" s="112" t="s">
        <v>3846</v>
      </c>
      <c r="J1348" s="112" t="s">
        <v>3709</v>
      </c>
      <c r="K1348" s="112" t="s">
        <v>4115</v>
      </c>
      <c r="L1348" s="116">
        <v>720</v>
      </c>
      <c r="M1348" s="116">
        <f t="shared" si="21"/>
        <v>0.72</v>
      </c>
    </row>
    <row r="1349" spans="1:13" hidden="1" x14ac:dyDescent="0.35">
      <c r="A1349" s="112" t="s">
        <v>3616</v>
      </c>
      <c r="B1349" s="112" t="s">
        <v>921</v>
      </c>
      <c r="C1349" s="112" t="s">
        <v>695</v>
      </c>
      <c r="D1349" s="113">
        <v>10348038</v>
      </c>
      <c r="E1349" s="115">
        <v>43928</v>
      </c>
      <c r="F1349" s="114">
        <v>202101</v>
      </c>
      <c r="G1349" s="112" t="s">
        <v>1091</v>
      </c>
      <c r="H1349" s="112" t="s">
        <v>1016</v>
      </c>
      <c r="I1349" s="112" t="s">
        <v>3846</v>
      </c>
      <c r="J1349" s="112" t="s">
        <v>3709</v>
      </c>
      <c r="K1349" s="112" t="s">
        <v>4116</v>
      </c>
      <c r="L1349" s="116">
        <v>1064</v>
      </c>
      <c r="M1349" s="116">
        <f t="shared" si="21"/>
        <v>1.0640000000000001</v>
      </c>
    </row>
    <row r="1350" spans="1:13" hidden="1" x14ac:dyDescent="0.35">
      <c r="A1350" s="112" t="s">
        <v>3616</v>
      </c>
      <c r="B1350" s="112" t="s">
        <v>921</v>
      </c>
      <c r="C1350" s="112" t="s">
        <v>695</v>
      </c>
      <c r="D1350" s="113">
        <v>10348038</v>
      </c>
      <c r="E1350" s="115">
        <v>43928</v>
      </c>
      <c r="F1350" s="114">
        <v>202101</v>
      </c>
      <c r="G1350" s="112" t="s">
        <v>1091</v>
      </c>
      <c r="H1350" s="112" t="s">
        <v>1016</v>
      </c>
      <c r="I1350" s="112" t="s">
        <v>3846</v>
      </c>
      <c r="J1350" s="112" t="s">
        <v>3709</v>
      </c>
      <c r="K1350" s="112" t="s">
        <v>4117</v>
      </c>
      <c r="L1350" s="116">
        <v>-1332</v>
      </c>
      <c r="M1350" s="116">
        <f t="shared" si="21"/>
        <v>-1.3320000000000001</v>
      </c>
    </row>
    <row r="1351" spans="1:13" hidden="1" x14ac:dyDescent="0.35">
      <c r="A1351" s="112" t="s">
        <v>3616</v>
      </c>
      <c r="B1351" s="112" t="s">
        <v>921</v>
      </c>
      <c r="C1351" s="112" t="s">
        <v>695</v>
      </c>
      <c r="D1351" s="113">
        <v>10348038</v>
      </c>
      <c r="E1351" s="115">
        <v>43928</v>
      </c>
      <c r="F1351" s="114">
        <v>202101</v>
      </c>
      <c r="G1351" s="112" t="s">
        <v>1091</v>
      </c>
      <c r="H1351" s="112" t="s">
        <v>1016</v>
      </c>
      <c r="I1351" s="112" t="s">
        <v>3846</v>
      </c>
      <c r="J1351" s="112" t="s">
        <v>3709</v>
      </c>
      <c r="K1351" s="112" t="s">
        <v>4118</v>
      </c>
      <c r="L1351" s="116">
        <v>-379</v>
      </c>
      <c r="M1351" s="116">
        <f t="shared" si="21"/>
        <v>-0.379</v>
      </c>
    </row>
    <row r="1352" spans="1:13" hidden="1" x14ac:dyDescent="0.35">
      <c r="A1352" s="112" t="s">
        <v>3616</v>
      </c>
      <c r="B1352" s="112" t="s">
        <v>921</v>
      </c>
      <c r="C1352" s="112" t="s">
        <v>695</v>
      </c>
      <c r="D1352" s="113">
        <v>10348038</v>
      </c>
      <c r="E1352" s="115">
        <v>43928</v>
      </c>
      <c r="F1352" s="114">
        <v>202101</v>
      </c>
      <c r="G1352" s="112" t="s">
        <v>1091</v>
      </c>
      <c r="H1352" s="112" t="s">
        <v>1016</v>
      </c>
      <c r="I1352" s="112" t="s">
        <v>3846</v>
      </c>
      <c r="J1352" s="112" t="s">
        <v>3709</v>
      </c>
      <c r="K1352" s="112" t="s">
        <v>4119</v>
      </c>
      <c r="L1352" s="116">
        <v>-18225</v>
      </c>
      <c r="M1352" s="116">
        <f t="shared" si="21"/>
        <v>-18.225000000000001</v>
      </c>
    </row>
    <row r="1353" spans="1:13" hidden="1" x14ac:dyDescent="0.35">
      <c r="A1353" s="112" t="s">
        <v>3616</v>
      </c>
      <c r="B1353" s="112" t="s">
        <v>921</v>
      </c>
      <c r="C1353" s="112" t="s">
        <v>695</v>
      </c>
      <c r="D1353" s="113">
        <v>10348038</v>
      </c>
      <c r="E1353" s="115">
        <v>43928</v>
      </c>
      <c r="F1353" s="114">
        <v>202101</v>
      </c>
      <c r="G1353" s="112" t="s">
        <v>1091</v>
      </c>
      <c r="H1353" s="112" t="s">
        <v>1016</v>
      </c>
      <c r="I1353" s="112" t="s">
        <v>3846</v>
      </c>
      <c r="J1353" s="112" t="s">
        <v>3709</v>
      </c>
      <c r="K1353" s="112" t="s">
        <v>4120</v>
      </c>
      <c r="L1353" s="116">
        <v>-400</v>
      </c>
      <c r="M1353" s="116">
        <f t="shared" si="21"/>
        <v>-0.4</v>
      </c>
    </row>
    <row r="1354" spans="1:13" hidden="1" x14ac:dyDescent="0.35">
      <c r="A1354" s="112" t="s">
        <v>3616</v>
      </c>
      <c r="B1354" s="112" t="s">
        <v>921</v>
      </c>
      <c r="C1354" s="112" t="s">
        <v>695</v>
      </c>
      <c r="D1354" s="113">
        <v>10348038</v>
      </c>
      <c r="E1354" s="115">
        <v>43928</v>
      </c>
      <c r="F1354" s="114">
        <v>202101</v>
      </c>
      <c r="G1354" s="112" t="s">
        <v>1091</v>
      </c>
      <c r="H1354" s="112" t="s">
        <v>1016</v>
      </c>
      <c r="I1354" s="112" t="s">
        <v>4103</v>
      </c>
      <c r="J1354" s="112" t="s">
        <v>3709</v>
      </c>
      <c r="K1354" s="112" t="s">
        <v>3926</v>
      </c>
      <c r="L1354" s="116">
        <v>-100</v>
      </c>
      <c r="M1354" s="116">
        <f t="shared" si="21"/>
        <v>-0.1</v>
      </c>
    </row>
    <row r="1355" spans="1:13" hidden="1" x14ac:dyDescent="0.35">
      <c r="A1355" s="112" t="s">
        <v>3616</v>
      </c>
      <c r="B1355" s="112" t="s">
        <v>921</v>
      </c>
      <c r="C1355" s="112" t="s">
        <v>695</v>
      </c>
      <c r="D1355" s="113">
        <v>10348038</v>
      </c>
      <c r="E1355" s="115">
        <v>43928</v>
      </c>
      <c r="F1355" s="114">
        <v>202101</v>
      </c>
      <c r="G1355" s="112" t="s">
        <v>1091</v>
      </c>
      <c r="H1355" s="112" t="s">
        <v>1016</v>
      </c>
      <c r="I1355" s="112" t="s">
        <v>4103</v>
      </c>
      <c r="J1355" s="112" t="s">
        <v>3709</v>
      </c>
      <c r="K1355" s="112" t="s">
        <v>4121</v>
      </c>
      <c r="L1355" s="116">
        <v>-350</v>
      </c>
      <c r="M1355" s="116">
        <f t="shared" si="21"/>
        <v>-0.35</v>
      </c>
    </row>
    <row r="1356" spans="1:13" hidden="1" x14ac:dyDescent="0.35">
      <c r="A1356" s="112" t="s">
        <v>3616</v>
      </c>
      <c r="B1356" s="112" t="s">
        <v>921</v>
      </c>
      <c r="C1356" s="112" t="s">
        <v>695</v>
      </c>
      <c r="D1356" s="113">
        <v>10348038</v>
      </c>
      <c r="E1356" s="115">
        <v>43928</v>
      </c>
      <c r="F1356" s="114">
        <v>202101</v>
      </c>
      <c r="G1356" s="112" t="s">
        <v>1091</v>
      </c>
      <c r="H1356" s="112" t="s">
        <v>1016</v>
      </c>
      <c r="I1356" s="112" t="s">
        <v>4103</v>
      </c>
      <c r="J1356" s="112" t="s">
        <v>3709</v>
      </c>
      <c r="K1356" s="112" t="s">
        <v>4122</v>
      </c>
      <c r="L1356" s="116">
        <v>100</v>
      </c>
      <c r="M1356" s="116">
        <f t="shared" si="21"/>
        <v>0.1</v>
      </c>
    </row>
    <row r="1357" spans="1:13" hidden="1" x14ac:dyDescent="0.35">
      <c r="A1357" s="112" t="s">
        <v>3616</v>
      </c>
      <c r="B1357" s="112" t="s">
        <v>921</v>
      </c>
      <c r="C1357" s="112" t="s">
        <v>695</v>
      </c>
      <c r="D1357" s="113">
        <v>10348038</v>
      </c>
      <c r="E1357" s="115">
        <v>43928</v>
      </c>
      <c r="F1357" s="114">
        <v>202101</v>
      </c>
      <c r="G1357" s="112" t="s">
        <v>1091</v>
      </c>
      <c r="H1357" s="112" t="s">
        <v>1016</v>
      </c>
      <c r="I1357" s="112" t="s">
        <v>3851</v>
      </c>
      <c r="J1357" s="112" t="s">
        <v>3709</v>
      </c>
      <c r="K1357" s="112" t="s">
        <v>4102</v>
      </c>
      <c r="L1357" s="116">
        <v>-57</v>
      </c>
      <c r="M1357" s="116">
        <f t="shared" si="21"/>
        <v>-5.7000000000000002E-2</v>
      </c>
    </row>
    <row r="1358" spans="1:13" hidden="1" x14ac:dyDescent="0.35">
      <c r="A1358" s="112" t="s">
        <v>3616</v>
      </c>
      <c r="B1358" s="112" t="s">
        <v>921</v>
      </c>
      <c r="C1358" s="112" t="s">
        <v>695</v>
      </c>
      <c r="D1358" s="113">
        <v>10348038</v>
      </c>
      <c r="E1358" s="115">
        <v>43928</v>
      </c>
      <c r="F1358" s="114">
        <v>202101</v>
      </c>
      <c r="G1358" s="112" t="s">
        <v>1091</v>
      </c>
      <c r="H1358" s="112" t="s">
        <v>1016</v>
      </c>
      <c r="I1358" s="112" t="s">
        <v>3851</v>
      </c>
      <c r="J1358" s="112" t="s">
        <v>3709</v>
      </c>
      <c r="K1358" s="112" t="s">
        <v>4123</v>
      </c>
      <c r="L1358" s="116">
        <v>-189.75</v>
      </c>
      <c r="M1358" s="116">
        <f t="shared" si="21"/>
        <v>-0.18975</v>
      </c>
    </row>
    <row r="1359" spans="1:13" hidden="1" x14ac:dyDescent="0.35">
      <c r="A1359" s="112" t="s">
        <v>3616</v>
      </c>
      <c r="B1359" s="112" t="s">
        <v>921</v>
      </c>
      <c r="C1359" s="112" t="s">
        <v>695</v>
      </c>
      <c r="D1359" s="113">
        <v>10348038</v>
      </c>
      <c r="E1359" s="115">
        <v>43928</v>
      </c>
      <c r="F1359" s="114">
        <v>202101</v>
      </c>
      <c r="G1359" s="112" t="s">
        <v>1091</v>
      </c>
      <c r="H1359" s="112" t="s">
        <v>1016</v>
      </c>
      <c r="I1359" s="112" t="s">
        <v>3851</v>
      </c>
      <c r="J1359" s="112" t="s">
        <v>3709</v>
      </c>
      <c r="K1359" s="112" t="s">
        <v>4124</v>
      </c>
      <c r="L1359" s="116">
        <v>-54.6</v>
      </c>
      <c r="M1359" s="116">
        <f t="shared" si="21"/>
        <v>-5.4600000000000003E-2</v>
      </c>
    </row>
    <row r="1360" spans="1:13" hidden="1" x14ac:dyDescent="0.35">
      <c r="A1360" s="112" t="s">
        <v>3616</v>
      </c>
      <c r="B1360" s="112" t="s">
        <v>921</v>
      </c>
      <c r="C1360" s="112" t="s">
        <v>695</v>
      </c>
      <c r="D1360" s="113">
        <v>10348038</v>
      </c>
      <c r="E1360" s="115">
        <v>43928</v>
      </c>
      <c r="F1360" s="114">
        <v>202101</v>
      </c>
      <c r="G1360" s="112" t="s">
        <v>1091</v>
      </c>
      <c r="H1360" s="112" t="s">
        <v>1016</v>
      </c>
      <c r="I1360" s="112" t="s">
        <v>819</v>
      </c>
      <c r="J1360" s="112" t="s">
        <v>3709</v>
      </c>
      <c r="K1360" s="112" t="s">
        <v>4125</v>
      </c>
      <c r="L1360" s="116">
        <v>625</v>
      </c>
      <c r="M1360" s="116">
        <f t="shared" si="21"/>
        <v>0.625</v>
      </c>
    </row>
    <row r="1361" spans="1:13" hidden="1" x14ac:dyDescent="0.35">
      <c r="A1361" s="112" t="s">
        <v>3616</v>
      </c>
      <c r="B1361" s="112" t="s">
        <v>921</v>
      </c>
      <c r="C1361" s="112" t="s">
        <v>695</v>
      </c>
      <c r="D1361" s="113">
        <v>10348038</v>
      </c>
      <c r="E1361" s="115">
        <v>43928</v>
      </c>
      <c r="F1361" s="114">
        <v>202101</v>
      </c>
      <c r="G1361" s="112" t="s">
        <v>1091</v>
      </c>
      <c r="H1361" s="112" t="s">
        <v>1016</v>
      </c>
      <c r="I1361" s="112" t="s">
        <v>819</v>
      </c>
      <c r="J1361" s="112" t="s">
        <v>3709</v>
      </c>
      <c r="K1361" s="112" t="s">
        <v>4126</v>
      </c>
      <c r="L1361" s="116">
        <v>262.5</v>
      </c>
      <c r="M1361" s="116">
        <f t="shared" si="21"/>
        <v>0.26250000000000001</v>
      </c>
    </row>
    <row r="1362" spans="1:13" hidden="1" x14ac:dyDescent="0.35">
      <c r="A1362" s="112" t="s">
        <v>3616</v>
      </c>
      <c r="B1362" s="112" t="s">
        <v>921</v>
      </c>
      <c r="C1362" s="112" t="s">
        <v>695</v>
      </c>
      <c r="D1362" s="113">
        <v>10348038</v>
      </c>
      <c r="E1362" s="115">
        <v>43928</v>
      </c>
      <c r="F1362" s="114">
        <v>202101</v>
      </c>
      <c r="G1362" s="112" t="s">
        <v>1091</v>
      </c>
      <c r="H1362" s="112" t="s">
        <v>1016</v>
      </c>
      <c r="I1362" s="112" t="s">
        <v>3899</v>
      </c>
      <c r="J1362" s="112" t="s">
        <v>3709</v>
      </c>
      <c r="K1362" s="112" t="s">
        <v>4127</v>
      </c>
      <c r="L1362" s="116">
        <v>-114.59</v>
      </c>
      <c r="M1362" s="116">
        <f t="shared" si="21"/>
        <v>-0.11459</v>
      </c>
    </row>
    <row r="1363" spans="1:13" hidden="1" x14ac:dyDescent="0.35">
      <c r="A1363" s="112" t="s">
        <v>3616</v>
      </c>
      <c r="B1363" s="112" t="s">
        <v>921</v>
      </c>
      <c r="C1363" s="112" t="s">
        <v>695</v>
      </c>
      <c r="D1363" s="113">
        <v>10348038</v>
      </c>
      <c r="E1363" s="115">
        <v>43928</v>
      </c>
      <c r="F1363" s="114">
        <v>202101</v>
      </c>
      <c r="G1363" s="112" t="s">
        <v>1091</v>
      </c>
      <c r="H1363" s="112" t="s">
        <v>1016</v>
      </c>
      <c r="I1363" s="112" t="s">
        <v>3899</v>
      </c>
      <c r="J1363" s="112" t="s">
        <v>3709</v>
      </c>
      <c r="K1363" s="112" t="s">
        <v>4128</v>
      </c>
      <c r="L1363" s="116">
        <v>-1073.75</v>
      </c>
      <c r="M1363" s="116">
        <f t="shared" si="21"/>
        <v>-1.07375</v>
      </c>
    </row>
    <row r="1364" spans="1:13" hidden="1" x14ac:dyDescent="0.35">
      <c r="A1364" s="112" t="s">
        <v>3616</v>
      </c>
      <c r="B1364" s="112" t="s">
        <v>921</v>
      </c>
      <c r="C1364" s="112" t="s">
        <v>695</v>
      </c>
      <c r="D1364" s="113">
        <v>10348038</v>
      </c>
      <c r="E1364" s="115">
        <v>43928</v>
      </c>
      <c r="F1364" s="114">
        <v>202101</v>
      </c>
      <c r="G1364" s="112" t="s">
        <v>1091</v>
      </c>
      <c r="H1364" s="112" t="s">
        <v>1016</v>
      </c>
      <c r="I1364" s="112" t="s">
        <v>3846</v>
      </c>
      <c r="J1364" s="112" t="s">
        <v>3709</v>
      </c>
      <c r="K1364" s="112" t="s">
        <v>4129</v>
      </c>
      <c r="L1364" s="116">
        <v>-720</v>
      </c>
      <c r="M1364" s="116">
        <f t="shared" si="21"/>
        <v>-0.72</v>
      </c>
    </row>
    <row r="1365" spans="1:13" hidden="1" x14ac:dyDescent="0.35">
      <c r="A1365" s="112" t="s">
        <v>3616</v>
      </c>
      <c r="B1365" s="112" t="s">
        <v>921</v>
      </c>
      <c r="C1365" s="112" t="s">
        <v>695</v>
      </c>
      <c r="D1365" s="113">
        <v>10348038</v>
      </c>
      <c r="E1365" s="115">
        <v>43928</v>
      </c>
      <c r="F1365" s="114">
        <v>202101</v>
      </c>
      <c r="G1365" s="112" t="s">
        <v>1091</v>
      </c>
      <c r="H1365" s="112" t="s">
        <v>1016</v>
      </c>
      <c r="I1365" s="112" t="s">
        <v>3846</v>
      </c>
      <c r="J1365" s="112" t="s">
        <v>3709</v>
      </c>
      <c r="K1365" s="112" t="s">
        <v>4130</v>
      </c>
      <c r="L1365" s="116">
        <v>-379</v>
      </c>
      <c r="M1365" s="116">
        <f t="shared" si="21"/>
        <v>-0.379</v>
      </c>
    </row>
    <row r="1366" spans="1:13" hidden="1" x14ac:dyDescent="0.35">
      <c r="A1366" s="112" t="s">
        <v>3616</v>
      </c>
      <c r="B1366" s="112" t="s">
        <v>921</v>
      </c>
      <c r="C1366" s="112" t="s">
        <v>695</v>
      </c>
      <c r="D1366" s="113">
        <v>10348038</v>
      </c>
      <c r="E1366" s="115">
        <v>43928</v>
      </c>
      <c r="F1366" s="114">
        <v>202101</v>
      </c>
      <c r="G1366" s="112" t="s">
        <v>1091</v>
      </c>
      <c r="H1366" s="112" t="s">
        <v>1016</v>
      </c>
      <c r="I1366" s="112" t="s">
        <v>3846</v>
      </c>
      <c r="J1366" s="112" t="s">
        <v>3709</v>
      </c>
      <c r="K1366" s="112" t="s">
        <v>4131</v>
      </c>
      <c r="L1366" s="116">
        <v>-500</v>
      </c>
      <c r="M1366" s="116">
        <f t="shared" si="21"/>
        <v>-0.5</v>
      </c>
    </row>
    <row r="1367" spans="1:13" hidden="1" x14ac:dyDescent="0.35">
      <c r="A1367" s="112" t="s">
        <v>3616</v>
      </c>
      <c r="B1367" s="112" t="s">
        <v>921</v>
      </c>
      <c r="C1367" s="112" t="s">
        <v>695</v>
      </c>
      <c r="D1367" s="113">
        <v>10348038</v>
      </c>
      <c r="E1367" s="115">
        <v>43928</v>
      </c>
      <c r="F1367" s="114">
        <v>202101</v>
      </c>
      <c r="G1367" s="112" t="s">
        <v>1091</v>
      </c>
      <c r="H1367" s="112" t="s">
        <v>1016</v>
      </c>
      <c r="I1367" s="112" t="s">
        <v>3846</v>
      </c>
      <c r="J1367" s="112" t="s">
        <v>3709</v>
      </c>
      <c r="K1367" s="112" t="s">
        <v>4078</v>
      </c>
      <c r="L1367" s="116">
        <v>2500</v>
      </c>
      <c r="M1367" s="116">
        <f t="shared" si="21"/>
        <v>2.5</v>
      </c>
    </row>
    <row r="1368" spans="1:13" hidden="1" x14ac:dyDescent="0.35">
      <c r="A1368" s="112" t="s">
        <v>3616</v>
      </c>
      <c r="B1368" s="112" t="s">
        <v>921</v>
      </c>
      <c r="C1368" s="112" t="s">
        <v>695</v>
      </c>
      <c r="D1368" s="113">
        <v>10348038</v>
      </c>
      <c r="E1368" s="115">
        <v>43928</v>
      </c>
      <c r="F1368" s="114">
        <v>202101</v>
      </c>
      <c r="G1368" s="112" t="s">
        <v>1091</v>
      </c>
      <c r="H1368" s="112" t="s">
        <v>1016</v>
      </c>
      <c r="I1368" s="112" t="s">
        <v>3846</v>
      </c>
      <c r="J1368" s="112" t="s">
        <v>3709</v>
      </c>
      <c r="K1368" s="112" t="s">
        <v>4132</v>
      </c>
      <c r="L1368" s="116">
        <v>307.5</v>
      </c>
      <c r="M1368" s="116">
        <f t="shared" si="21"/>
        <v>0.3075</v>
      </c>
    </row>
    <row r="1369" spans="1:13" hidden="1" x14ac:dyDescent="0.35">
      <c r="A1369" s="112" t="s">
        <v>3616</v>
      </c>
      <c r="B1369" s="112" t="s">
        <v>921</v>
      </c>
      <c r="C1369" s="112" t="s">
        <v>695</v>
      </c>
      <c r="D1369" s="113">
        <v>10348038</v>
      </c>
      <c r="E1369" s="115">
        <v>43928</v>
      </c>
      <c r="F1369" s="114">
        <v>202101</v>
      </c>
      <c r="G1369" s="112" t="s">
        <v>1091</v>
      </c>
      <c r="H1369" s="112" t="s">
        <v>1016</v>
      </c>
      <c r="I1369" s="112" t="s">
        <v>3846</v>
      </c>
      <c r="J1369" s="112" t="s">
        <v>3709</v>
      </c>
      <c r="K1369" s="112" t="s">
        <v>4133</v>
      </c>
      <c r="L1369" s="116">
        <v>187.5</v>
      </c>
      <c r="M1369" s="116">
        <f t="shared" si="21"/>
        <v>0.1875</v>
      </c>
    </row>
    <row r="1370" spans="1:13" hidden="1" x14ac:dyDescent="0.35">
      <c r="A1370" s="112" t="s">
        <v>3616</v>
      </c>
      <c r="B1370" s="112" t="s">
        <v>921</v>
      </c>
      <c r="C1370" s="112" t="s">
        <v>695</v>
      </c>
      <c r="D1370" s="113">
        <v>10348038</v>
      </c>
      <c r="E1370" s="115">
        <v>43928</v>
      </c>
      <c r="F1370" s="114">
        <v>202101</v>
      </c>
      <c r="G1370" s="112" t="s">
        <v>1091</v>
      </c>
      <c r="H1370" s="112" t="s">
        <v>1016</v>
      </c>
      <c r="I1370" s="112" t="s">
        <v>3846</v>
      </c>
      <c r="J1370" s="112" t="s">
        <v>3709</v>
      </c>
      <c r="K1370" s="112" t="s">
        <v>4137</v>
      </c>
      <c r="L1370" s="116">
        <v>-797</v>
      </c>
      <c r="M1370" s="116">
        <f t="shared" si="21"/>
        <v>-0.79700000000000004</v>
      </c>
    </row>
    <row r="1371" spans="1:13" hidden="1" x14ac:dyDescent="0.35">
      <c r="A1371" s="112" t="s">
        <v>3616</v>
      </c>
      <c r="B1371" s="112" t="s">
        <v>921</v>
      </c>
      <c r="C1371" s="112" t="s">
        <v>695</v>
      </c>
      <c r="D1371" s="113">
        <v>10348038</v>
      </c>
      <c r="E1371" s="115">
        <v>43928</v>
      </c>
      <c r="F1371" s="114">
        <v>202101</v>
      </c>
      <c r="G1371" s="112" t="s">
        <v>1091</v>
      </c>
      <c r="H1371" s="112" t="s">
        <v>1016</v>
      </c>
      <c r="I1371" s="112" t="s">
        <v>3846</v>
      </c>
      <c r="J1371" s="112" t="s">
        <v>3709</v>
      </c>
      <c r="K1371" s="112" t="s">
        <v>4138</v>
      </c>
      <c r="L1371" s="116">
        <v>-975</v>
      </c>
      <c r="M1371" s="116">
        <f t="shared" si="21"/>
        <v>-0.97499999999999998</v>
      </c>
    </row>
    <row r="1372" spans="1:13" hidden="1" x14ac:dyDescent="0.35">
      <c r="A1372" s="112" t="s">
        <v>3616</v>
      </c>
      <c r="B1372" s="112" t="s">
        <v>921</v>
      </c>
      <c r="C1372" s="112" t="s">
        <v>695</v>
      </c>
      <c r="D1372" s="113">
        <v>10348038</v>
      </c>
      <c r="E1372" s="115">
        <v>43928</v>
      </c>
      <c r="F1372" s="114">
        <v>202101</v>
      </c>
      <c r="G1372" s="112" t="s">
        <v>1091</v>
      </c>
      <c r="H1372" s="112" t="s">
        <v>1016</v>
      </c>
      <c r="I1372" s="112" t="s">
        <v>3846</v>
      </c>
      <c r="J1372" s="112" t="s">
        <v>3709</v>
      </c>
      <c r="K1372" s="112" t="s">
        <v>4140</v>
      </c>
      <c r="L1372" s="116">
        <v>-1560</v>
      </c>
      <c r="M1372" s="116">
        <f t="shared" si="21"/>
        <v>-1.56</v>
      </c>
    </row>
    <row r="1373" spans="1:13" hidden="1" x14ac:dyDescent="0.35">
      <c r="A1373" s="112" t="s">
        <v>3616</v>
      </c>
      <c r="B1373" s="112" t="s">
        <v>921</v>
      </c>
      <c r="C1373" s="112" t="s">
        <v>695</v>
      </c>
      <c r="D1373" s="113">
        <v>10348038</v>
      </c>
      <c r="E1373" s="115">
        <v>43928</v>
      </c>
      <c r="F1373" s="114">
        <v>202101</v>
      </c>
      <c r="G1373" s="112" t="s">
        <v>1091</v>
      </c>
      <c r="H1373" s="112" t="s">
        <v>1016</v>
      </c>
      <c r="I1373" s="112" t="s">
        <v>3858</v>
      </c>
      <c r="J1373" s="112" t="s">
        <v>3709</v>
      </c>
      <c r="K1373" s="112" t="s">
        <v>4141</v>
      </c>
      <c r="L1373" s="116">
        <v>131.25</v>
      </c>
      <c r="M1373" s="116">
        <f t="shared" si="21"/>
        <v>0.13125000000000001</v>
      </c>
    </row>
    <row r="1374" spans="1:13" hidden="1" x14ac:dyDescent="0.35">
      <c r="A1374" s="112" t="s">
        <v>3616</v>
      </c>
      <c r="B1374" s="112" t="s">
        <v>921</v>
      </c>
      <c r="C1374" s="112" t="s">
        <v>695</v>
      </c>
      <c r="D1374" s="113">
        <v>10348038</v>
      </c>
      <c r="E1374" s="115">
        <v>43928</v>
      </c>
      <c r="F1374" s="114">
        <v>202101</v>
      </c>
      <c r="G1374" s="112" t="s">
        <v>1091</v>
      </c>
      <c r="H1374" s="112" t="s">
        <v>1016</v>
      </c>
      <c r="I1374" s="112" t="s">
        <v>3858</v>
      </c>
      <c r="J1374" s="112" t="s">
        <v>3709</v>
      </c>
      <c r="K1374" s="112" t="s">
        <v>4142</v>
      </c>
      <c r="L1374" s="116">
        <v>131.25</v>
      </c>
      <c r="M1374" s="116">
        <f t="shared" si="21"/>
        <v>0.13125000000000001</v>
      </c>
    </row>
    <row r="1375" spans="1:13" hidden="1" x14ac:dyDescent="0.35">
      <c r="A1375" s="112" t="s">
        <v>3616</v>
      </c>
      <c r="B1375" s="112" t="s">
        <v>921</v>
      </c>
      <c r="C1375" s="112" t="s">
        <v>695</v>
      </c>
      <c r="D1375" s="113">
        <v>10348038</v>
      </c>
      <c r="E1375" s="115">
        <v>43928</v>
      </c>
      <c r="F1375" s="114">
        <v>202101</v>
      </c>
      <c r="G1375" s="112" t="s">
        <v>1091</v>
      </c>
      <c r="H1375" s="112" t="s">
        <v>1016</v>
      </c>
      <c r="I1375" s="112" t="s">
        <v>4103</v>
      </c>
      <c r="J1375" s="112" t="s">
        <v>3709</v>
      </c>
      <c r="K1375" s="112" t="s">
        <v>4102</v>
      </c>
      <c r="L1375" s="116">
        <v>-100</v>
      </c>
      <c r="M1375" s="116">
        <f t="shared" si="21"/>
        <v>-0.1</v>
      </c>
    </row>
    <row r="1376" spans="1:13" hidden="1" x14ac:dyDescent="0.35">
      <c r="A1376" s="112" t="s">
        <v>3616</v>
      </c>
      <c r="B1376" s="112" t="s">
        <v>921</v>
      </c>
      <c r="C1376" s="112" t="s">
        <v>695</v>
      </c>
      <c r="D1376" s="113">
        <v>10348038</v>
      </c>
      <c r="E1376" s="115">
        <v>43928</v>
      </c>
      <c r="F1376" s="114">
        <v>202101</v>
      </c>
      <c r="G1376" s="112" t="s">
        <v>1091</v>
      </c>
      <c r="H1376" s="112" t="s">
        <v>1016</v>
      </c>
      <c r="I1376" s="112" t="s">
        <v>4103</v>
      </c>
      <c r="J1376" s="112" t="s">
        <v>3709</v>
      </c>
      <c r="K1376" s="112" t="s">
        <v>4143</v>
      </c>
      <c r="L1376" s="116">
        <v>-50</v>
      </c>
      <c r="M1376" s="116">
        <f t="shared" si="21"/>
        <v>-0.05</v>
      </c>
    </row>
    <row r="1377" spans="1:13" hidden="1" x14ac:dyDescent="0.35">
      <c r="A1377" s="112" t="s">
        <v>3616</v>
      </c>
      <c r="B1377" s="112" t="s">
        <v>921</v>
      </c>
      <c r="C1377" s="112" t="s">
        <v>695</v>
      </c>
      <c r="D1377" s="113">
        <v>10348038</v>
      </c>
      <c r="E1377" s="115">
        <v>43928</v>
      </c>
      <c r="F1377" s="114">
        <v>202101</v>
      </c>
      <c r="G1377" s="112" t="s">
        <v>1091</v>
      </c>
      <c r="H1377" s="112" t="s">
        <v>1016</v>
      </c>
      <c r="I1377" s="112" t="s">
        <v>4103</v>
      </c>
      <c r="J1377" s="112" t="s">
        <v>3709</v>
      </c>
      <c r="K1377" s="112" t="s">
        <v>4144</v>
      </c>
      <c r="L1377" s="116">
        <v>-50</v>
      </c>
      <c r="M1377" s="116">
        <f t="shared" si="21"/>
        <v>-0.05</v>
      </c>
    </row>
    <row r="1378" spans="1:13" hidden="1" x14ac:dyDescent="0.35">
      <c r="A1378" s="112" t="s">
        <v>3616</v>
      </c>
      <c r="B1378" s="112" t="s">
        <v>921</v>
      </c>
      <c r="C1378" s="112" t="s">
        <v>695</v>
      </c>
      <c r="D1378" s="113">
        <v>10348038</v>
      </c>
      <c r="E1378" s="115">
        <v>43928</v>
      </c>
      <c r="F1378" s="114">
        <v>202101</v>
      </c>
      <c r="G1378" s="112" t="s">
        <v>1091</v>
      </c>
      <c r="H1378" s="112" t="s">
        <v>1016</v>
      </c>
      <c r="I1378" s="112" t="s">
        <v>4103</v>
      </c>
      <c r="J1378" s="112" t="s">
        <v>3709</v>
      </c>
      <c r="K1378" s="112" t="s">
        <v>4120</v>
      </c>
      <c r="L1378" s="116">
        <v>-100</v>
      </c>
      <c r="M1378" s="116">
        <f t="shared" si="21"/>
        <v>-0.1</v>
      </c>
    </row>
    <row r="1379" spans="1:13" hidden="1" x14ac:dyDescent="0.35">
      <c r="A1379" s="112" t="s">
        <v>3616</v>
      </c>
      <c r="B1379" s="112" t="s">
        <v>921</v>
      </c>
      <c r="C1379" s="112" t="s">
        <v>695</v>
      </c>
      <c r="D1379" s="113">
        <v>10348038</v>
      </c>
      <c r="E1379" s="115">
        <v>43928</v>
      </c>
      <c r="F1379" s="114">
        <v>202101</v>
      </c>
      <c r="G1379" s="112" t="s">
        <v>1091</v>
      </c>
      <c r="H1379" s="112" t="s">
        <v>1016</v>
      </c>
      <c r="I1379" s="112" t="s">
        <v>4103</v>
      </c>
      <c r="J1379" s="112" t="s">
        <v>3709</v>
      </c>
      <c r="K1379" s="112" t="s">
        <v>4145</v>
      </c>
      <c r="L1379" s="116">
        <v>-196</v>
      </c>
      <c r="M1379" s="116">
        <f t="shared" si="21"/>
        <v>-0.19600000000000001</v>
      </c>
    </row>
    <row r="1380" spans="1:13" hidden="1" x14ac:dyDescent="0.35">
      <c r="A1380" s="112" t="s">
        <v>3616</v>
      </c>
      <c r="B1380" s="112" t="s">
        <v>921</v>
      </c>
      <c r="C1380" s="112" t="s">
        <v>695</v>
      </c>
      <c r="D1380" s="113">
        <v>10348038</v>
      </c>
      <c r="E1380" s="115">
        <v>43928</v>
      </c>
      <c r="F1380" s="114">
        <v>202101</v>
      </c>
      <c r="G1380" s="112" t="s">
        <v>1091</v>
      </c>
      <c r="H1380" s="112" t="s">
        <v>1016</v>
      </c>
      <c r="I1380" s="112" t="s">
        <v>4103</v>
      </c>
      <c r="J1380" s="112" t="s">
        <v>3709</v>
      </c>
      <c r="K1380" s="112" t="s">
        <v>4146</v>
      </c>
      <c r="L1380" s="116">
        <v>196</v>
      </c>
      <c r="M1380" s="116">
        <f t="shared" si="21"/>
        <v>0.19600000000000001</v>
      </c>
    </row>
    <row r="1381" spans="1:13" hidden="1" x14ac:dyDescent="0.35">
      <c r="A1381" s="112" t="s">
        <v>3616</v>
      </c>
      <c r="B1381" s="112" t="s">
        <v>921</v>
      </c>
      <c r="C1381" s="112" t="s">
        <v>695</v>
      </c>
      <c r="D1381" s="113">
        <v>10348038</v>
      </c>
      <c r="E1381" s="115">
        <v>43928</v>
      </c>
      <c r="F1381" s="114">
        <v>202101</v>
      </c>
      <c r="G1381" s="112" t="s">
        <v>1091</v>
      </c>
      <c r="H1381" s="112" t="s">
        <v>1016</v>
      </c>
      <c r="I1381" s="112" t="s">
        <v>3899</v>
      </c>
      <c r="J1381" s="112" t="s">
        <v>3709</v>
      </c>
      <c r="K1381" s="112" t="s">
        <v>4147</v>
      </c>
      <c r="L1381" s="116">
        <v>-262.5</v>
      </c>
      <c r="M1381" s="116">
        <f t="shared" si="21"/>
        <v>-0.26250000000000001</v>
      </c>
    </row>
    <row r="1382" spans="1:13" hidden="1" x14ac:dyDescent="0.35">
      <c r="A1382" s="112" t="s">
        <v>3616</v>
      </c>
      <c r="B1382" s="112" t="s">
        <v>921</v>
      </c>
      <c r="C1382" s="112" t="s">
        <v>695</v>
      </c>
      <c r="D1382" s="113">
        <v>10348038</v>
      </c>
      <c r="E1382" s="115">
        <v>43928</v>
      </c>
      <c r="F1382" s="114">
        <v>202101</v>
      </c>
      <c r="G1382" s="112" t="s">
        <v>1091</v>
      </c>
      <c r="H1382" s="112" t="s">
        <v>1016</v>
      </c>
      <c r="I1382" s="112" t="s">
        <v>3846</v>
      </c>
      <c r="J1382" s="112" t="s">
        <v>3709</v>
      </c>
      <c r="K1382" s="112" t="s">
        <v>4148</v>
      </c>
      <c r="L1382" s="116">
        <v>18225</v>
      </c>
      <c r="M1382" s="116">
        <f t="shared" si="21"/>
        <v>18.225000000000001</v>
      </c>
    </row>
    <row r="1383" spans="1:13" hidden="1" x14ac:dyDescent="0.35">
      <c r="A1383" s="112" t="s">
        <v>3616</v>
      </c>
      <c r="B1383" s="112" t="s">
        <v>921</v>
      </c>
      <c r="C1383" s="112" t="s">
        <v>695</v>
      </c>
      <c r="D1383" s="113">
        <v>10348038</v>
      </c>
      <c r="E1383" s="115">
        <v>43928</v>
      </c>
      <c r="F1383" s="114">
        <v>202101</v>
      </c>
      <c r="G1383" s="112" t="s">
        <v>1091</v>
      </c>
      <c r="H1383" s="112" t="s">
        <v>1016</v>
      </c>
      <c r="I1383" s="112" t="s">
        <v>3846</v>
      </c>
      <c r="J1383" s="112" t="s">
        <v>3709</v>
      </c>
      <c r="K1383" s="112" t="s">
        <v>4149</v>
      </c>
      <c r="L1383" s="116">
        <v>365</v>
      </c>
      <c r="M1383" s="116">
        <f t="shared" si="21"/>
        <v>0.36499999999999999</v>
      </c>
    </row>
    <row r="1384" spans="1:13" hidden="1" x14ac:dyDescent="0.35">
      <c r="A1384" s="112" t="s">
        <v>3616</v>
      </c>
      <c r="B1384" s="112" t="s">
        <v>921</v>
      </c>
      <c r="C1384" s="112" t="s">
        <v>695</v>
      </c>
      <c r="D1384" s="113">
        <v>10348038</v>
      </c>
      <c r="E1384" s="115">
        <v>43928</v>
      </c>
      <c r="F1384" s="114">
        <v>202101</v>
      </c>
      <c r="G1384" s="112" t="s">
        <v>1091</v>
      </c>
      <c r="H1384" s="112" t="s">
        <v>1016</v>
      </c>
      <c r="I1384" s="112" t="s">
        <v>3846</v>
      </c>
      <c r="J1384" s="112" t="s">
        <v>3709</v>
      </c>
      <c r="K1384" s="112" t="s">
        <v>4150</v>
      </c>
      <c r="L1384" s="116">
        <v>379</v>
      </c>
      <c r="M1384" s="116">
        <f t="shared" si="21"/>
        <v>0.379</v>
      </c>
    </row>
    <row r="1385" spans="1:13" hidden="1" x14ac:dyDescent="0.35">
      <c r="A1385" s="112" t="s">
        <v>3616</v>
      </c>
      <c r="B1385" s="112" t="s">
        <v>921</v>
      </c>
      <c r="C1385" s="112" t="s">
        <v>695</v>
      </c>
      <c r="D1385" s="113">
        <v>10348038</v>
      </c>
      <c r="E1385" s="115">
        <v>43928</v>
      </c>
      <c r="F1385" s="114">
        <v>202101</v>
      </c>
      <c r="G1385" s="112" t="s">
        <v>1091</v>
      </c>
      <c r="H1385" s="112" t="s">
        <v>1016</v>
      </c>
      <c r="I1385" s="112" t="s">
        <v>3899</v>
      </c>
      <c r="J1385" s="112" t="s">
        <v>3709</v>
      </c>
      <c r="K1385" s="112" t="s">
        <v>4151</v>
      </c>
      <c r="L1385" s="116">
        <v>-325</v>
      </c>
      <c r="M1385" s="116">
        <f t="shared" si="21"/>
        <v>-0.32500000000000001</v>
      </c>
    </row>
    <row r="1386" spans="1:13" hidden="1" x14ac:dyDescent="0.35">
      <c r="A1386" s="112" t="s">
        <v>3616</v>
      </c>
      <c r="B1386" s="112" t="s">
        <v>921</v>
      </c>
      <c r="C1386" s="112" t="s">
        <v>695</v>
      </c>
      <c r="D1386" s="113">
        <v>10348038</v>
      </c>
      <c r="E1386" s="115">
        <v>43928</v>
      </c>
      <c r="F1386" s="114">
        <v>202101</v>
      </c>
      <c r="G1386" s="112" t="s">
        <v>1091</v>
      </c>
      <c r="H1386" s="112" t="s">
        <v>1016</v>
      </c>
      <c r="I1386" s="112" t="s">
        <v>3899</v>
      </c>
      <c r="J1386" s="112" t="s">
        <v>3709</v>
      </c>
      <c r="K1386" s="112" t="s">
        <v>4152</v>
      </c>
      <c r="L1386" s="116">
        <v>-293.75</v>
      </c>
      <c r="M1386" s="116">
        <f t="shared" si="21"/>
        <v>-0.29375000000000001</v>
      </c>
    </row>
    <row r="1387" spans="1:13" hidden="1" x14ac:dyDescent="0.35">
      <c r="A1387" s="112" t="s">
        <v>3616</v>
      </c>
      <c r="B1387" s="112" t="s">
        <v>921</v>
      </c>
      <c r="C1387" s="112" t="s">
        <v>695</v>
      </c>
      <c r="D1387" s="113">
        <v>10348038</v>
      </c>
      <c r="E1387" s="115">
        <v>43928</v>
      </c>
      <c r="F1387" s="114">
        <v>202101</v>
      </c>
      <c r="G1387" s="112" t="s">
        <v>1091</v>
      </c>
      <c r="H1387" s="112" t="s">
        <v>1016</v>
      </c>
      <c r="I1387" s="112" t="s">
        <v>3960</v>
      </c>
      <c r="J1387" s="112" t="s">
        <v>3709</v>
      </c>
      <c r="K1387" s="112" t="s">
        <v>4080</v>
      </c>
      <c r="L1387" s="116">
        <v>-3000</v>
      </c>
      <c r="M1387" s="116">
        <f t="shared" si="21"/>
        <v>-3</v>
      </c>
    </row>
    <row r="1388" spans="1:13" hidden="1" x14ac:dyDescent="0.35">
      <c r="A1388" s="112" t="s">
        <v>3616</v>
      </c>
      <c r="B1388" s="112" t="s">
        <v>921</v>
      </c>
      <c r="C1388" s="112" t="s">
        <v>695</v>
      </c>
      <c r="D1388" s="113">
        <v>10348038</v>
      </c>
      <c r="E1388" s="115">
        <v>43928</v>
      </c>
      <c r="F1388" s="114">
        <v>202101</v>
      </c>
      <c r="G1388" s="112" t="s">
        <v>1091</v>
      </c>
      <c r="H1388" s="112" t="s">
        <v>1016</v>
      </c>
      <c r="I1388" s="112" t="s">
        <v>3899</v>
      </c>
      <c r="J1388" s="112" t="s">
        <v>3709</v>
      </c>
      <c r="K1388" s="112" t="s">
        <v>4153</v>
      </c>
      <c r="L1388" s="116">
        <v>-262.5</v>
      </c>
      <c r="M1388" s="116">
        <f t="shared" si="21"/>
        <v>-0.26250000000000001</v>
      </c>
    </row>
    <row r="1389" spans="1:13" hidden="1" x14ac:dyDescent="0.35">
      <c r="A1389" s="112" t="s">
        <v>3616</v>
      </c>
      <c r="B1389" s="112" t="s">
        <v>921</v>
      </c>
      <c r="C1389" s="112" t="s">
        <v>695</v>
      </c>
      <c r="D1389" s="113">
        <v>10348038</v>
      </c>
      <c r="E1389" s="115">
        <v>43928</v>
      </c>
      <c r="F1389" s="114">
        <v>202101</v>
      </c>
      <c r="G1389" s="112" t="s">
        <v>1091</v>
      </c>
      <c r="H1389" s="112" t="s">
        <v>1016</v>
      </c>
      <c r="I1389" s="112" t="s">
        <v>3899</v>
      </c>
      <c r="J1389" s="112" t="s">
        <v>3709</v>
      </c>
      <c r="K1389" s="112" t="s">
        <v>4154</v>
      </c>
      <c r="L1389" s="116">
        <v>-262.5</v>
      </c>
      <c r="M1389" s="116">
        <f t="shared" si="21"/>
        <v>-0.26250000000000001</v>
      </c>
    </row>
    <row r="1390" spans="1:13" hidden="1" x14ac:dyDescent="0.35">
      <c r="A1390" s="112" t="s">
        <v>3616</v>
      </c>
      <c r="B1390" s="112" t="s">
        <v>921</v>
      </c>
      <c r="C1390" s="112" t="s">
        <v>695</v>
      </c>
      <c r="D1390" s="113">
        <v>10348038</v>
      </c>
      <c r="E1390" s="115">
        <v>43928</v>
      </c>
      <c r="F1390" s="114">
        <v>202101</v>
      </c>
      <c r="G1390" s="112" t="s">
        <v>1091</v>
      </c>
      <c r="H1390" s="112" t="s">
        <v>1016</v>
      </c>
      <c r="I1390" s="112" t="s">
        <v>3899</v>
      </c>
      <c r="J1390" s="112" t="s">
        <v>3709</v>
      </c>
      <c r="K1390" s="112" t="s">
        <v>4155</v>
      </c>
      <c r="L1390" s="116">
        <v>-262.5</v>
      </c>
      <c r="M1390" s="116">
        <f t="shared" si="21"/>
        <v>-0.26250000000000001</v>
      </c>
    </row>
    <row r="1391" spans="1:13" hidden="1" x14ac:dyDescent="0.35">
      <c r="A1391" s="112" t="s">
        <v>3616</v>
      </c>
      <c r="B1391" s="112" t="s">
        <v>921</v>
      </c>
      <c r="C1391" s="112" t="s">
        <v>695</v>
      </c>
      <c r="D1391" s="113">
        <v>10348038</v>
      </c>
      <c r="E1391" s="115">
        <v>43928</v>
      </c>
      <c r="F1391" s="114">
        <v>202101</v>
      </c>
      <c r="G1391" s="112" t="s">
        <v>1091</v>
      </c>
      <c r="H1391" s="112" t="s">
        <v>1016</v>
      </c>
      <c r="I1391" s="112" t="s">
        <v>3899</v>
      </c>
      <c r="J1391" s="112" t="s">
        <v>3709</v>
      </c>
      <c r="K1391" s="112" t="s">
        <v>4156</v>
      </c>
      <c r="L1391" s="116">
        <v>-625</v>
      </c>
      <c r="M1391" s="116">
        <f t="shared" si="21"/>
        <v>-0.625</v>
      </c>
    </row>
    <row r="1392" spans="1:13" hidden="1" x14ac:dyDescent="0.35">
      <c r="A1392" s="112" t="s">
        <v>3616</v>
      </c>
      <c r="B1392" s="112" t="s">
        <v>921</v>
      </c>
      <c r="C1392" s="112" t="s">
        <v>695</v>
      </c>
      <c r="D1392" s="113">
        <v>10348038</v>
      </c>
      <c r="E1392" s="115">
        <v>43928</v>
      </c>
      <c r="F1392" s="114">
        <v>202101</v>
      </c>
      <c r="G1392" s="112" t="s">
        <v>1091</v>
      </c>
      <c r="H1392" s="112" t="s">
        <v>1016</v>
      </c>
      <c r="I1392" s="112" t="s">
        <v>3846</v>
      </c>
      <c r="J1392" s="112" t="s">
        <v>3709</v>
      </c>
      <c r="K1392" s="112" t="s">
        <v>4157</v>
      </c>
      <c r="L1392" s="116">
        <v>-320</v>
      </c>
      <c r="M1392" s="116">
        <f t="shared" si="21"/>
        <v>-0.32</v>
      </c>
    </row>
    <row r="1393" spans="1:13" hidden="1" x14ac:dyDescent="0.35">
      <c r="A1393" s="112" t="s">
        <v>3616</v>
      </c>
      <c r="B1393" s="112" t="s">
        <v>921</v>
      </c>
      <c r="C1393" s="112" t="s">
        <v>695</v>
      </c>
      <c r="D1393" s="113">
        <v>10348038</v>
      </c>
      <c r="E1393" s="115">
        <v>43928</v>
      </c>
      <c r="F1393" s="114">
        <v>202101</v>
      </c>
      <c r="G1393" s="112" t="s">
        <v>1091</v>
      </c>
      <c r="H1393" s="112" t="s">
        <v>1016</v>
      </c>
      <c r="I1393" s="112" t="s">
        <v>3846</v>
      </c>
      <c r="J1393" s="112" t="s">
        <v>3709</v>
      </c>
      <c r="K1393" s="112" t="s">
        <v>4121</v>
      </c>
      <c r="L1393" s="116">
        <v>-1872.5</v>
      </c>
      <c r="M1393" s="116">
        <f t="shared" si="21"/>
        <v>-1.8725000000000001</v>
      </c>
    </row>
    <row r="1394" spans="1:13" hidden="1" x14ac:dyDescent="0.35">
      <c r="A1394" s="112" t="s">
        <v>3616</v>
      </c>
      <c r="B1394" s="112" t="s">
        <v>921</v>
      </c>
      <c r="C1394" s="112" t="s">
        <v>695</v>
      </c>
      <c r="D1394" s="113">
        <v>10348038</v>
      </c>
      <c r="E1394" s="115">
        <v>43928</v>
      </c>
      <c r="F1394" s="114">
        <v>202101</v>
      </c>
      <c r="G1394" s="112" t="s">
        <v>1091</v>
      </c>
      <c r="H1394" s="112" t="s">
        <v>1016</v>
      </c>
      <c r="I1394" s="112" t="s">
        <v>3846</v>
      </c>
      <c r="J1394" s="112" t="s">
        <v>3709</v>
      </c>
      <c r="K1394" s="112" t="s">
        <v>4158</v>
      </c>
      <c r="L1394" s="116">
        <v>-1416</v>
      </c>
      <c r="M1394" s="116">
        <f t="shared" si="21"/>
        <v>-1.4159999999999999</v>
      </c>
    </row>
    <row r="1395" spans="1:13" hidden="1" x14ac:dyDescent="0.35">
      <c r="A1395" s="112" t="s">
        <v>3616</v>
      </c>
      <c r="B1395" s="112" t="s">
        <v>921</v>
      </c>
      <c r="C1395" s="112" t="s">
        <v>695</v>
      </c>
      <c r="D1395" s="113">
        <v>10348038</v>
      </c>
      <c r="E1395" s="115">
        <v>43928</v>
      </c>
      <c r="F1395" s="114">
        <v>202101</v>
      </c>
      <c r="G1395" s="112" t="s">
        <v>1091</v>
      </c>
      <c r="H1395" s="112" t="s">
        <v>1016</v>
      </c>
      <c r="I1395" s="112" t="s">
        <v>3846</v>
      </c>
      <c r="J1395" s="112" t="s">
        <v>3709</v>
      </c>
      <c r="K1395" s="112" t="s">
        <v>4159</v>
      </c>
      <c r="L1395" s="116">
        <v>365</v>
      </c>
      <c r="M1395" s="116">
        <f t="shared" si="21"/>
        <v>0.36499999999999999</v>
      </c>
    </row>
    <row r="1396" spans="1:13" hidden="1" x14ac:dyDescent="0.35">
      <c r="A1396" s="112" t="s">
        <v>3616</v>
      </c>
      <c r="B1396" s="112" t="s">
        <v>921</v>
      </c>
      <c r="C1396" s="112" t="s">
        <v>695</v>
      </c>
      <c r="D1396" s="113">
        <v>10348038</v>
      </c>
      <c r="E1396" s="115">
        <v>43928</v>
      </c>
      <c r="F1396" s="114">
        <v>202101</v>
      </c>
      <c r="G1396" s="112" t="s">
        <v>1091</v>
      </c>
      <c r="H1396" s="112" t="s">
        <v>1016</v>
      </c>
      <c r="I1396" s="112" t="s">
        <v>3846</v>
      </c>
      <c r="J1396" s="112" t="s">
        <v>3709</v>
      </c>
      <c r="K1396" s="112" t="s">
        <v>4160</v>
      </c>
      <c r="L1396" s="116">
        <v>-1415</v>
      </c>
      <c r="M1396" s="116">
        <f t="shared" si="21"/>
        <v>-1.415</v>
      </c>
    </row>
    <row r="1397" spans="1:13" hidden="1" x14ac:dyDescent="0.35">
      <c r="A1397" s="112" t="s">
        <v>3616</v>
      </c>
      <c r="B1397" s="112" t="s">
        <v>921</v>
      </c>
      <c r="C1397" s="112" t="s">
        <v>695</v>
      </c>
      <c r="D1397" s="113">
        <v>10348038</v>
      </c>
      <c r="E1397" s="115">
        <v>43928</v>
      </c>
      <c r="F1397" s="114">
        <v>202101</v>
      </c>
      <c r="G1397" s="112" t="s">
        <v>1091</v>
      </c>
      <c r="H1397" s="112" t="s">
        <v>1016</v>
      </c>
      <c r="I1397" s="112" t="s">
        <v>3846</v>
      </c>
      <c r="J1397" s="112" t="s">
        <v>3709</v>
      </c>
      <c r="K1397" s="112" t="s">
        <v>4161</v>
      </c>
      <c r="L1397" s="116">
        <v>-1265</v>
      </c>
      <c r="M1397" s="116">
        <f t="shared" si="21"/>
        <v>-1.2649999999999999</v>
      </c>
    </row>
    <row r="1398" spans="1:13" hidden="1" x14ac:dyDescent="0.35">
      <c r="A1398" s="112" t="s">
        <v>3616</v>
      </c>
      <c r="B1398" s="112" t="s">
        <v>921</v>
      </c>
      <c r="C1398" s="112" t="s">
        <v>695</v>
      </c>
      <c r="D1398" s="113">
        <v>10348038</v>
      </c>
      <c r="E1398" s="115">
        <v>43928</v>
      </c>
      <c r="F1398" s="114">
        <v>202101</v>
      </c>
      <c r="G1398" s="112" t="s">
        <v>1091</v>
      </c>
      <c r="H1398" s="112" t="s">
        <v>1016</v>
      </c>
      <c r="I1398" s="112" t="s">
        <v>3846</v>
      </c>
      <c r="J1398" s="112" t="s">
        <v>3709</v>
      </c>
      <c r="K1398" s="112" t="s">
        <v>4162</v>
      </c>
      <c r="L1398" s="116">
        <v>-2292.5</v>
      </c>
      <c r="M1398" s="116">
        <f t="shared" si="21"/>
        <v>-2.2925</v>
      </c>
    </row>
    <row r="1399" spans="1:13" hidden="1" x14ac:dyDescent="0.35">
      <c r="A1399" s="112" t="s">
        <v>3616</v>
      </c>
      <c r="B1399" s="112" t="s">
        <v>921</v>
      </c>
      <c r="C1399" s="112" t="s">
        <v>695</v>
      </c>
      <c r="D1399" s="113">
        <v>10348038</v>
      </c>
      <c r="E1399" s="115">
        <v>43928</v>
      </c>
      <c r="F1399" s="114">
        <v>202101</v>
      </c>
      <c r="G1399" s="112" t="s">
        <v>1091</v>
      </c>
      <c r="H1399" s="112" t="s">
        <v>1016</v>
      </c>
      <c r="I1399" s="112" t="s">
        <v>3846</v>
      </c>
      <c r="J1399" s="112" t="s">
        <v>3709</v>
      </c>
      <c r="K1399" s="112" t="s">
        <v>4163</v>
      </c>
      <c r="L1399" s="116">
        <v>-3306</v>
      </c>
      <c r="M1399" s="116">
        <f t="shared" si="21"/>
        <v>-3.306</v>
      </c>
    </row>
    <row r="1400" spans="1:13" hidden="1" x14ac:dyDescent="0.35">
      <c r="A1400" s="112" t="s">
        <v>3616</v>
      </c>
      <c r="B1400" s="112" t="s">
        <v>921</v>
      </c>
      <c r="C1400" s="112" t="s">
        <v>695</v>
      </c>
      <c r="D1400" s="113">
        <v>10348038</v>
      </c>
      <c r="E1400" s="115">
        <v>43928</v>
      </c>
      <c r="F1400" s="114">
        <v>202101</v>
      </c>
      <c r="G1400" s="112" t="s">
        <v>1091</v>
      </c>
      <c r="H1400" s="112" t="s">
        <v>1016</v>
      </c>
      <c r="I1400" s="112" t="s">
        <v>3846</v>
      </c>
      <c r="J1400" s="112" t="s">
        <v>3709</v>
      </c>
      <c r="K1400" s="112" t="s">
        <v>4164</v>
      </c>
      <c r="L1400" s="116">
        <v>-1400</v>
      </c>
      <c r="M1400" s="116">
        <f t="shared" si="21"/>
        <v>-1.4</v>
      </c>
    </row>
    <row r="1401" spans="1:13" hidden="1" x14ac:dyDescent="0.35">
      <c r="A1401" s="112" t="s">
        <v>3616</v>
      </c>
      <c r="B1401" s="112" t="s">
        <v>921</v>
      </c>
      <c r="C1401" s="112" t="s">
        <v>695</v>
      </c>
      <c r="D1401" s="113">
        <v>10348038</v>
      </c>
      <c r="E1401" s="115">
        <v>43928</v>
      </c>
      <c r="F1401" s="114">
        <v>202101</v>
      </c>
      <c r="G1401" s="112" t="s">
        <v>1091</v>
      </c>
      <c r="H1401" s="112" t="s">
        <v>1016</v>
      </c>
      <c r="I1401" s="112" t="s">
        <v>3899</v>
      </c>
      <c r="J1401" s="112" t="s">
        <v>3709</v>
      </c>
      <c r="K1401" s="112" t="s">
        <v>4165</v>
      </c>
      <c r="L1401" s="116">
        <v>-262.5</v>
      </c>
      <c r="M1401" s="116">
        <f t="shared" si="21"/>
        <v>-0.26250000000000001</v>
      </c>
    </row>
    <row r="1402" spans="1:13" hidden="1" x14ac:dyDescent="0.35">
      <c r="A1402" s="112" t="s">
        <v>3616</v>
      </c>
      <c r="B1402" s="112" t="s">
        <v>921</v>
      </c>
      <c r="C1402" s="112" t="s">
        <v>695</v>
      </c>
      <c r="D1402" s="113">
        <v>10348038</v>
      </c>
      <c r="E1402" s="115">
        <v>43928</v>
      </c>
      <c r="F1402" s="114">
        <v>202101</v>
      </c>
      <c r="G1402" s="112" t="s">
        <v>1091</v>
      </c>
      <c r="H1402" s="112" t="s">
        <v>1016</v>
      </c>
      <c r="I1402" s="112" t="s">
        <v>3899</v>
      </c>
      <c r="J1402" s="112" t="s">
        <v>3709</v>
      </c>
      <c r="K1402" s="112" t="s">
        <v>4166</v>
      </c>
      <c r="L1402" s="116">
        <v>-262.5</v>
      </c>
      <c r="M1402" s="116">
        <f t="shared" si="21"/>
        <v>-0.26250000000000001</v>
      </c>
    </row>
    <row r="1403" spans="1:13" hidden="1" x14ac:dyDescent="0.35">
      <c r="A1403" s="112" t="s">
        <v>3616</v>
      </c>
      <c r="B1403" s="112" t="s">
        <v>921</v>
      </c>
      <c r="C1403" s="112" t="s">
        <v>695</v>
      </c>
      <c r="D1403" s="113">
        <v>10348038</v>
      </c>
      <c r="E1403" s="115">
        <v>43928</v>
      </c>
      <c r="F1403" s="114">
        <v>202101</v>
      </c>
      <c r="G1403" s="112" t="s">
        <v>1091</v>
      </c>
      <c r="H1403" s="112" t="s">
        <v>1016</v>
      </c>
      <c r="I1403" s="112" t="s">
        <v>3899</v>
      </c>
      <c r="J1403" s="112" t="s">
        <v>3709</v>
      </c>
      <c r="K1403" s="112" t="s">
        <v>4167</v>
      </c>
      <c r="L1403" s="116">
        <v>-1108.3399999999999</v>
      </c>
      <c r="M1403" s="116">
        <f t="shared" si="21"/>
        <v>-1.1083399999999999</v>
      </c>
    </row>
    <row r="1404" spans="1:13" hidden="1" x14ac:dyDescent="0.35">
      <c r="A1404" s="112" t="s">
        <v>3616</v>
      </c>
      <c r="B1404" s="112" t="s">
        <v>921</v>
      </c>
      <c r="C1404" s="112" t="s">
        <v>695</v>
      </c>
      <c r="D1404" s="113">
        <v>10348038</v>
      </c>
      <c r="E1404" s="115">
        <v>43928</v>
      </c>
      <c r="F1404" s="114">
        <v>202101</v>
      </c>
      <c r="G1404" s="112" t="s">
        <v>1091</v>
      </c>
      <c r="H1404" s="112" t="s">
        <v>1016</v>
      </c>
      <c r="I1404" s="112" t="s">
        <v>3899</v>
      </c>
      <c r="J1404" s="112" t="s">
        <v>3709</v>
      </c>
      <c r="K1404" s="112" t="s">
        <v>4168</v>
      </c>
      <c r="L1404" s="116">
        <v>-982.5</v>
      </c>
      <c r="M1404" s="116">
        <f t="shared" si="21"/>
        <v>-0.98250000000000004</v>
      </c>
    </row>
    <row r="1405" spans="1:13" hidden="1" x14ac:dyDescent="0.35">
      <c r="A1405" s="112" t="s">
        <v>3616</v>
      </c>
      <c r="B1405" s="112" t="s">
        <v>921</v>
      </c>
      <c r="C1405" s="112" t="s">
        <v>695</v>
      </c>
      <c r="D1405" s="113">
        <v>10348038</v>
      </c>
      <c r="E1405" s="115">
        <v>43928</v>
      </c>
      <c r="F1405" s="114">
        <v>202101</v>
      </c>
      <c r="G1405" s="112" t="s">
        <v>1091</v>
      </c>
      <c r="H1405" s="112" t="s">
        <v>1016</v>
      </c>
      <c r="I1405" s="112" t="s">
        <v>3899</v>
      </c>
      <c r="J1405" s="112" t="s">
        <v>3709</v>
      </c>
      <c r="K1405" s="112" t="s">
        <v>4169</v>
      </c>
      <c r="L1405" s="116">
        <v>-1680</v>
      </c>
      <c r="M1405" s="116">
        <f t="shared" si="21"/>
        <v>-1.68</v>
      </c>
    </row>
    <row r="1406" spans="1:13" hidden="1" x14ac:dyDescent="0.35">
      <c r="A1406" s="112" t="s">
        <v>3616</v>
      </c>
      <c r="B1406" s="112" t="s">
        <v>921</v>
      </c>
      <c r="C1406" s="112" t="s">
        <v>695</v>
      </c>
      <c r="D1406" s="113">
        <v>10348038</v>
      </c>
      <c r="E1406" s="115">
        <v>43928</v>
      </c>
      <c r="F1406" s="114">
        <v>202101</v>
      </c>
      <c r="G1406" s="112" t="s">
        <v>1091</v>
      </c>
      <c r="H1406" s="112" t="s">
        <v>1016</v>
      </c>
      <c r="I1406" s="112" t="s">
        <v>3846</v>
      </c>
      <c r="J1406" s="112" t="s">
        <v>3709</v>
      </c>
      <c r="K1406" s="112" t="s">
        <v>4170</v>
      </c>
      <c r="L1406" s="116">
        <v>-2096</v>
      </c>
      <c r="M1406" s="116">
        <f t="shared" si="21"/>
        <v>-2.0960000000000001</v>
      </c>
    </row>
    <row r="1407" spans="1:13" hidden="1" x14ac:dyDescent="0.35">
      <c r="A1407" s="112" t="s">
        <v>3616</v>
      </c>
      <c r="B1407" s="112" t="s">
        <v>921</v>
      </c>
      <c r="C1407" s="112" t="s">
        <v>695</v>
      </c>
      <c r="D1407" s="113">
        <v>10348038</v>
      </c>
      <c r="E1407" s="115">
        <v>43928</v>
      </c>
      <c r="F1407" s="114">
        <v>202101</v>
      </c>
      <c r="G1407" s="112" t="s">
        <v>1091</v>
      </c>
      <c r="H1407" s="112" t="s">
        <v>1016</v>
      </c>
      <c r="I1407" s="112" t="s">
        <v>3846</v>
      </c>
      <c r="J1407" s="112" t="s">
        <v>3709</v>
      </c>
      <c r="K1407" s="112" t="s">
        <v>4171</v>
      </c>
      <c r="L1407" s="116">
        <v>-520</v>
      </c>
      <c r="M1407" s="116">
        <f t="shared" si="21"/>
        <v>-0.52</v>
      </c>
    </row>
    <row r="1408" spans="1:13" hidden="1" x14ac:dyDescent="0.35">
      <c r="A1408" s="112" t="s">
        <v>3616</v>
      </c>
      <c r="B1408" s="112" t="s">
        <v>921</v>
      </c>
      <c r="C1408" s="112" t="s">
        <v>695</v>
      </c>
      <c r="D1408" s="113">
        <v>10348038</v>
      </c>
      <c r="E1408" s="115">
        <v>43928</v>
      </c>
      <c r="F1408" s="114">
        <v>202101</v>
      </c>
      <c r="G1408" s="112" t="s">
        <v>1091</v>
      </c>
      <c r="H1408" s="112" t="s">
        <v>1016</v>
      </c>
      <c r="I1408" s="112" t="s">
        <v>3846</v>
      </c>
      <c r="J1408" s="112" t="s">
        <v>3709</v>
      </c>
      <c r="K1408" s="112" t="s">
        <v>4172</v>
      </c>
      <c r="L1408" s="116">
        <v>225</v>
      </c>
      <c r="M1408" s="116">
        <f t="shared" si="21"/>
        <v>0.22500000000000001</v>
      </c>
    </row>
    <row r="1409" spans="1:13" hidden="1" x14ac:dyDescent="0.35">
      <c r="A1409" s="112" t="s">
        <v>3616</v>
      </c>
      <c r="B1409" s="112" t="s">
        <v>921</v>
      </c>
      <c r="C1409" s="112" t="s">
        <v>695</v>
      </c>
      <c r="D1409" s="113">
        <v>10348038</v>
      </c>
      <c r="E1409" s="115">
        <v>43928</v>
      </c>
      <c r="F1409" s="114">
        <v>202101</v>
      </c>
      <c r="G1409" s="112" t="s">
        <v>1091</v>
      </c>
      <c r="H1409" s="112" t="s">
        <v>1016</v>
      </c>
      <c r="I1409" s="112" t="s">
        <v>3846</v>
      </c>
      <c r="J1409" s="112" t="s">
        <v>3709</v>
      </c>
      <c r="K1409" s="112" t="s">
        <v>4173</v>
      </c>
      <c r="L1409" s="116">
        <v>-12540</v>
      </c>
      <c r="M1409" s="116">
        <f t="shared" si="21"/>
        <v>-12.54</v>
      </c>
    </row>
    <row r="1410" spans="1:13" hidden="1" x14ac:dyDescent="0.35">
      <c r="A1410" s="112" t="s">
        <v>3616</v>
      </c>
      <c r="B1410" s="112" t="s">
        <v>921</v>
      </c>
      <c r="C1410" s="112" t="s">
        <v>695</v>
      </c>
      <c r="D1410" s="113">
        <v>10348038</v>
      </c>
      <c r="E1410" s="115">
        <v>43928</v>
      </c>
      <c r="F1410" s="114">
        <v>202101</v>
      </c>
      <c r="G1410" s="112" t="s">
        <v>1091</v>
      </c>
      <c r="H1410" s="112" t="s">
        <v>1016</v>
      </c>
      <c r="I1410" s="112" t="s">
        <v>3846</v>
      </c>
      <c r="J1410" s="112" t="s">
        <v>3709</v>
      </c>
      <c r="K1410" s="112" t="s">
        <v>4174</v>
      </c>
      <c r="L1410" s="116">
        <v>-1090</v>
      </c>
      <c r="M1410" s="116">
        <f t="shared" si="21"/>
        <v>-1.0900000000000001</v>
      </c>
    </row>
    <row r="1411" spans="1:13" hidden="1" x14ac:dyDescent="0.35">
      <c r="A1411" s="112" t="s">
        <v>3616</v>
      </c>
      <c r="B1411" s="112" t="s">
        <v>921</v>
      </c>
      <c r="C1411" s="112" t="s">
        <v>695</v>
      </c>
      <c r="D1411" s="113">
        <v>10348038</v>
      </c>
      <c r="E1411" s="115">
        <v>43928</v>
      </c>
      <c r="F1411" s="114">
        <v>202101</v>
      </c>
      <c r="G1411" s="112" t="s">
        <v>1091</v>
      </c>
      <c r="H1411" s="112" t="s">
        <v>1016</v>
      </c>
      <c r="I1411" s="112" t="s">
        <v>3846</v>
      </c>
      <c r="J1411" s="112" t="s">
        <v>3709</v>
      </c>
      <c r="K1411" s="112" t="s">
        <v>4175</v>
      </c>
      <c r="L1411" s="116">
        <v>-1430</v>
      </c>
      <c r="M1411" s="116">
        <f t="shared" ref="M1411:M1474" si="22">L1411/1000</f>
        <v>-1.43</v>
      </c>
    </row>
    <row r="1412" spans="1:13" hidden="1" x14ac:dyDescent="0.35">
      <c r="A1412" s="112" t="s">
        <v>3616</v>
      </c>
      <c r="B1412" s="112" t="s">
        <v>921</v>
      </c>
      <c r="C1412" s="112" t="s">
        <v>695</v>
      </c>
      <c r="D1412" s="113">
        <v>10348038</v>
      </c>
      <c r="E1412" s="115">
        <v>43928</v>
      </c>
      <c r="F1412" s="114">
        <v>202101</v>
      </c>
      <c r="G1412" s="112" t="s">
        <v>1091</v>
      </c>
      <c r="H1412" s="112" t="s">
        <v>1016</v>
      </c>
      <c r="I1412" s="112" t="s">
        <v>3846</v>
      </c>
      <c r="J1412" s="112" t="s">
        <v>3709</v>
      </c>
      <c r="K1412" s="112" t="s">
        <v>4176</v>
      </c>
      <c r="L1412" s="116">
        <v>-365</v>
      </c>
      <c r="M1412" s="116">
        <f t="shared" si="22"/>
        <v>-0.36499999999999999</v>
      </c>
    </row>
    <row r="1413" spans="1:13" hidden="1" x14ac:dyDescent="0.35">
      <c r="A1413" s="112" t="s">
        <v>3616</v>
      </c>
      <c r="B1413" s="112" t="s">
        <v>921</v>
      </c>
      <c r="C1413" s="112" t="s">
        <v>695</v>
      </c>
      <c r="D1413" s="113">
        <v>10348038</v>
      </c>
      <c r="E1413" s="115">
        <v>43928</v>
      </c>
      <c r="F1413" s="114">
        <v>202101</v>
      </c>
      <c r="G1413" s="112" t="s">
        <v>1091</v>
      </c>
      <c r="H1413" s="112" t="s">
        <v>1016</v>
      </c>
      <c r="I1413" s="112" t="s">
        <v>3846</v>
      </c>
      <c r="J1413" s="112" t="s">
        <v>3709</v>
      </c>
      <c r="K1413" s="112" t="s">
        <v>4144</v>
      </c>
      <c r="L1413" s="116">
        <v>-800</v>
      </c>
      <c r="M1413" s="116">
        <f t="shared" si="22"/>
        <v>-0.8</v>
      </c>
    </row>
    <row r="1414" spans="1:13" hidden="1" x14ac:dyDescent="0.35">
      <c r="A1414" s="112" t="s">
        <v>3616</v>
      </c>
      <c r="B1414" s="112" t="s">
        <v>921</v>
      </c>
      <c r="C1414" s="112" t="s">
        <v>695</v>
      </c>
      <c r="D1414" s="113">
        <v>10348038</v>
      </c>
      <c r="E1414" s="115">
        <v>43928</v>
      </c>
      <c r="F1414" s="114">
        <v>202101</v>
      </c>
      <c r="G1414" s="112" t="s">
        <v>1091</v>
      </c>
      <c r="H1414" s="112" t="s">
        <v>1016</v>
      </c>
      <c r="I1414" s="112" t="s">
        <v>3846</v>
      </c>
      <c r="J1414" s="112" t="s">
        <v>3709</v>
      </c>
      <c r="K1414" s="112" t="s">
        <v>4177</v>
      </c>
      <c r="L1414" s="116">
        <v>-880</v>
      </c>
      <c r="M1414" s="116">
        <f t="shared" si="22"/>
        <v>-0.88</v>
      </c>
    </row>
    <row r="1415" spans="1:13" hidden="1" x14ac:dyDescent="0.35">
      <c r="A1415" s="112" t="s">
        <v>3616</v>
      </c>
      <c r="B1415" s="112" t="s">
        <v>921</v>
      </c>
      <c r="C1415" s="112" t="s">
        <v>695</v>
      </c>
      <c r="D1415" s="113">
        <v>10348038</v>
      </c>
      <c r="E1415" s="115">
        <v>43928</v>
      </c>
      <c r="F1415" s="114">
        <v>202101</v>
      </c>
      <c r="G1415" s="112" t="s">
        <v>1091</v>
      </c>
      <c r="H1415" s="112" t="s">
        <v>1016</v>
      </c>
      <c r="I1415" s="112" t="s">
        <v>3846</v>
      </c>
      <c r="J1415" s="112" t="s">
        <v>3709</v>
      </c>
      <c r="K1415" s="112" t="s">
        <v>4178</v>
      </c>
      <c r="L1415" s="116">
        <v>-11880</v>
      </c>
      <c r="M1415" s="116">
        <f t="shared" si="22"/>
        <v>-11.88</v>
      </c>
    </row>
    <row r="1416" spans="1:13" hidden="1" x14ac:dyDescent="0.35">
      <c r="A1416" s="112" t="s">
        <v>3616</v>
      </c>
      <c r="B1416" s="112" t="s">
        <v>920</v>
      </c>
      <c r="C1416" s="112" t="s">
        <v>695</v>
      </c>
      <c r="D1416" s="113">
        <v>10348094</v>
      </c>
      <c r="E1416" s="115">
        <v>43929</v>
      </c>
      <c r="F1416" s="114">
        <v>202101</v>
      </c>
      <c r="G1416" s="112" t="s">
        <v>1091</v>
      </c>
      <c r="H1416" s="112" t="s">
        <v>1016</v>
      </c>
      <c r="I1416" s="112" t="s">
        <v>680</v>
      </c>
      <c r="J1416" s="112" t="s">
        <v>4179</v>
      </c>
      <c r="K1416" s="112" t="s">
        <v>4180</v>
      </c>
      <c r="L1416" s="116">
        <v>-9078</v>
      </c>
      <c r="M1416" s="116">
        <f t="shared" si="22"/>
        <v>-9.0779999999999994</v>
      </c>
    </row>
    <row r="1417" spans="1:13" hidden="1" x14ac:dyDescent="0.35">
      <c r="A1417" s="112" t="s">
        <v>3616</v>
      </c>
      <c r="B1417" s="112" t="s">
        <v>920</v>
      </c>
      <c r="C1417" s="112" t="s">
        <v>695</v>
      </c>
      <c r="D1417" s="113">
        <v>10348094</v>
      </c>
      <c r="E1417" s="115">
        <v>43929</v>
      </c>
      <c r="F1417" s="114">
        <v>202101</v>
      </c>
      <c r="G1417" s="112" t="s">
        <v>1091</v>
      </c>
      <c r="H1417" s="112" t="s">
        <v>1016</v>
      </c>
      <c r="I1417" s="112" t="s">
        <v>680</v>
      </c>
      <c r="J1417" s="112" t="s">
        <v>4179</v>
      </c>
      <c r="K1417" s="112" t="s">
        <v>4181</v>
      </c>
      <c r="L1417" s="116">
        <v>4500</v>
      </c>
      <c r="M1417" s="116">
        <f t="shared" si="22"/>
        <v>4.5</v>
      </c>
    </row>
    <row r="1418" spans="1:13" hidden="1" x14ac:dyDescent="0.35">
      <c r="A1418" s="112" t="s">
        <v>3616</v>
      </c>
      <c r="B1418" s="112" t="s">
        <v>921</v>
      </c>
      <c r="C1418" s="112" t="s">
        <v>695</v>
      </c>
      <c r="D1418" s="113">
        <v>10348090</v>
      </c>
      <c r="E1418" s="115">
        <v>43929</v>
      </c>
      <c r="F1418" s="114">
        <v>202101</v>
      </c>
      <c r="G1418" s="112" t="s">
        <v>1091</v>
      </c>
      <c r="H1418" s="112" t="s">
        <v>1016</v>
      </c>
      <c r="I1418" s="112" t="s">
        <v>823</v>
      </c>
      <c r="J1418" s="112" t="s">
        <v>3709</v>
      </c>
      <c r="K1418" s="112" t="s">
        <v>4182</v>
      </c>
      <c r="L1418" s="116">
        <v>12500</v>
      </c>
      <c r="M1418" s="116">
        <f t="shared" si="22"/>
        <v>12.5</v>
      </c>
    </row>
    <row r="1419" spans="1:13" hidden="1" x14ac:dyDescent="0.35">
      <c r="A1419" s="112" t="s">
        <v>3616</v>
      </c>
      <c r="B1419" s="112" t="s">
        <v>921</v>
      </c>
      <c r="C1419" s="112" t="s">
        <v>695</v>
      </c>
      <c r="D1419" s="113">
        <v>10348090</v>
      </c>
      <c r="E1419" s="115">
        <v>43929</v>
      </c>
      <c r="F1419" s="114">
        <v>202101</v>
      </c>
      <c r="G1419" s="112" t="s">
        <v>1091</v>
      </c>
      <c r="H1419" s="112" t="s">
        <v>1016</v>
      </c>
      <c r="I1419" s="112" t="s">
        <v>1752</v>
      </c>
      <c r="J1419" s="112" t="s">
        <v>3709</v>
      </c>
      <c r="K1419" s="112" t="s">
        <v>4183</v>
      </c>
      <c r="L1419" s="116">
        <v>-5819.62</v>
      </c>
      <c r="M1419" s="116">
        <f t="shared" si="22"/>
        <v>-5.8196199999999996</v>
      </c>
    </row>
    <row r="1420" spans="1:13" hidden="1" x14ac:dyDescent="0.35">
      <c r="A1420" s="112" t="s">
        <v>3616</v>
      </c>
      <c r="B1420" s="112" t="s">
        <v>921</v>
      </c>
      <c r="C1420" s="112" t="s">
        <v>695</v>
      </c>
      <c r="D1420" s="113">
        <v>10348090</v>
      </c>
      <c r="E1420" s="115">
        <v>43929</v>
      </c>
      <c r="F1420" s="114">
        <v>202101</v>
      </c>
      <c r="G1420" s="112" t="s">
        <v>1091</v>
      </c>
      <c r="H1420" s="112" t="s">
        <v>1016</v>
      </c>
      <c r="I1420" s="112" t="s">
        <v>823</v>
      </c>
      <c r="J1420" s="112" t="s">
        <v>3709</v>
      </c>
      <c r="K1420" s="112" t="s">
        <v>4184</v>
      </c>
      <c r="L1420" s="116">
        <v>-16627.5</v>
      </c>
      <c r="M1420" s="116">
        <f t="shared" si="22"/>
        <v>-16.627500000000001</v>
      </c>
    </row>
    <row r="1421" spans="1:13" hidden="1" x14ac:dyDescent="0.35">
      <c r="A1421" s="112" t="s">
        <v>3616</v>
      </c>
      <c r="B1421" s="112" t="s">
        <v>919</v>
      </c>
      <c r="C1421" s="112" t="s">
        <v>695</v>
      </c>
      <c r="D1421" s="113">
        <v>10348077</v>
      </c>
      <c r="E1421" s="115">
        <v>43929</v>
      </c>
      <c r="F1421" s="114">
        <v>202101</v>
      </c>
      <c r="G1421" s="112" t="s">
        <v>1091</v>
      </c>
      <c r="H1421" s="112" t="s">
        <v>1016</v>
      </c>
      <c r="I1421" s="112" t="s">
        <v>1293</v>
      </c>
      <c r="J1421" s="112" t="s">
        <v>3632</v>
      </c>
      <c r="K1421" s="112" t="s">
        <v>4185</v>
      </c>
      <c r="L1421" s="116">
        <v>-736.45</v>
      </c>
      <c r="M1421" s="116">
        <f t="shared" si="22"/>
        <v>-0.73645000000000005</v>
      </c>
    </row>
    <row r="1422" spans="1:13" hidden="1" x14ac:dyDescent="0.35">
      <c r="A1422" s="112" t="s">
        <v>3616</v>
      </c>
      <c r="B1422" s="112" t="s">
        <v>919</v>
      </c>
      <c r="C1422" s="112" t="s">
        <v>695</v>
      </c>
      <c r="D1422" s="113">
        <v>10348521</v>
      </c>
      <c r="E1422" s="115">
        <v>43949</v>
      </c>
      <c r="F1422" s="114">
        <v>202101</v>
      </c>
      <c r="G1422" s="112" t="s">
        <v>1091</v>
      </c>
      <c r="H1422" s="112" t="s">
        <v>1016</v>
      </c>
      <c r="I1422" s="112" t="s">
        <v>823</v>
      </c>
      <c r="J1422" s="112" t="s">
        <v>3634</v>
      </c>
      <c r="K1422" s="112" t="s">
        <v>4186</v>
      </c>
      <c r="L1422" s="116">
        <v>-15808</v>
      </c>
      <c r="M1422" s="116">
        <f t="shared" si="22"/>
        <v>-15.808</v>
      </c>
    </row>
    <row r="1423" spans="1:13" hidden="1" x14ac:dyDescent="0.35">
      <c r="A1423" s="112" t="s">
        <v>3616</v>
      </c>
      <c r="B1423" s="112" t="s">
        <v>922</v>
      </c>
      <c r="C1423" s="112" t="s">
        <v>695</v>
      </c>
      <c r="D1423" s="113">
        <v>10348128</v>
      </c>
      <c r="E1423" s="115">
        <v>43929</v>
      </c>
      <c r="F1423" s="114">
        <v>202101</v>
      </c>
      <c r="G1423" s="112" t="s">
        <v>1091</v>
      </c>
      <c r="H1423" s="112" t="s">
        <v>1016</v>
      </c>
      <c r="I1423" s="112" t="s">
        <v>680</v>
      </c>
      <c r="J1423" s="112" t="s">
        <v>3766</v>
      </c>
      <c r="K1423" s="112" t="s">
        <v>4187</v>
      </c>
      <c r="L1423" s="116">
        <v>-36475</v>
      </c>
      <c r="M1423" s="116">
        <f t="shared" si="22"/>
        <v>-36.475000000000001</v>
      </c>
    </row>
    <row r="1424" spans="1:13" hidden="1" x14ac:dyDescent="0.35">
      <c r="A1424" s="112" t="s">
        <v>3616</v>
      </c>
      <c r="B1424" s="112" t="s">
        <v>922</v>
      </c>
      <c r="C1424" s="112" t="s">
        <v>695</v>
      </c>
      <c r="D1424" s="113">
        <v>10348128</v>
      </c>
      <c r="E1424" s="115">
        <v>43929</v>
      </c>
      <c r="F1424" s="114">
        <v>202101</v>
      </c>
      <c r="G1424" s="112" t="s">
        <v>1091</v>
      </c>
      <c r="H1424" s="112" t="s">
        <v>1016</v>
      </c>
      <c r="I1424" s="112" t="s">
        <v>680</v>
      </c>
      <c r="J1424" s="112" t="s">
        <v>3766</v>
      </c>
      <c r="K1424" s="112" t="s">
        <v>4188</v>
      </c>
      <c r="L1424" s="116">
        <v>-15843</v>
      </c>
      <c r="M1424" s="116">
        <f t="shared" si="22"/>
        <v>-15.843</v>
      </c>
    </row>
    <row r="1425" spans="1:13" hidden="1" x14ac:dyDescent="0.35">
      <c r="A1425" s="112" t="s">
        <v>3616</v>
      </c>
      <c r="B1425" s="112" t="s">
        <v>922</v>
      </c>
      <c r="C1425" s="112" t="s">
        <v>695</v>
      </c>
      <c r="D1425" s="113">
        <v>10348128</v>
      </c>
      <c r="E1425" s="115">
        <v>43929</v>
      </c>
      <c r="F1425" s="114">
        <v>202101</v>
      </c>
      <c r="G1425" s="112" t="s">
        <v>1091</v>
      </c>
      <c r="H1425" s="112" t="s">
        <v>1016</v>
      </c>
      <c r="I1425" s="112" t="s">
        <v>3858</v>
      </c>
      <c r="J1425" s="112" t="s">
        <v>3859</v>
      </c>
      <c r="K1425" s="112" t="s">
        <v>4189</v>
      </c>
      <c r="L1425" s="116">
        <v>4585.9399999999996</v>
      </c>
      <c r="M1425" s="116">
        <f t="shared" si="22"/>
        <v>4.5859399999999999</v>
      </c>
    </row>
    <row r="1426" spans="1:13" hidden="1" x14ac:dyDescent="0.35">
      <c r="A1426" s="112" t="s">
        <v>3616</v>
      </c>
      <c r="B1426" s="112" t="s">
        <v>922</v>
      </c>
      <c r="C1426" s="112" t="s">
        <v>695</v>
      </c>
      <c r="D1426" s="113">
        <v>10348128</v>
      </c>
      <c r="E1426" s="115">
        <v>43929</v>
      </c>
      <c r="F1426" s="114">
        <v>202101</v>
      </c>
      <c r="G1426" s="112" t="s">
        <v>1091</v>
      </c>
      <c r="H1426" s="112" t="s">
        <v>1016</v>
      </c>
      <c r="I1426" s="112" t="s">
        <v>3858</v>
      </c>
      <c r="J1426" s="112" t="s">
        <v>3859</v>
      </c>
      <c r="K1426" s="112" t="s">
        <v>4190</v>
      </c>
      <c r="L1426" s="116">
        <v>3402.47</v>
      </c>
      <c r="M1426" s="116">
        <f t="shared" si="22"/>
        <v>3.4024699999999997</v>
      </c>
    </row>
    <row r="1427" spans="1:13" hidden="1" x14ac:dyDescent="0.35">
      <c r="A1427" s="112" t="s">
        <v>3616</v>
      </c>
      <c r="B1427" s="112" t="s">
        <v>922</v>
      </c>
      <c r="C1427" s="112" t="s">
        <v>695</v>
      </c>
      <c r="D1427" s="113">
        <v>10348128</v>
      </c>
      <c r="E1427" s="115">
        <v>43929</v>
      </c>
      <c r="F1427" s="114">
        <v>202101</v>
      </c>
      <c r="G1427" s="112" t="s">
        <v>1091</v>
      </c>
      <c r="H1427" s="112" t="s">
        <v>1016</v>
      </c>
      <c r="I1427" s="112" t="s">
        <v>1131</v>
      </c>
      <c r="J1427" s="112" t="s">
        <v>3861</v>
      </c>
      <c r="K1427" s="112" t="s">
        <v>4191</v>
      </c>
      <c r="L1427" s="116">
        <v>9795.27</v>
      </c>
      <c r="M1427" s="116">
        <f t="shared" si="22"/>
        <v>9.7952700000000004</v>
      </c>
    </row>
    <row r="1428" spans="1:13" hidden="1" x14ac:dyDescent="0.35">
      <c r="A1428" s="112" t="s">
        <v>3616</v>
      </c>
      <c r="B1428" s="112" t="s">
        <v>922</v>
      </c>
      <c r="C1428" s="112" t="s">
        <v>695</v>
      </c>
      <c r="D1428" s="113">
        <v>10348128</v>
      </c>
      <c r="E1428" s="115">
        <v>43929</v>
      </c>
      <c r="F1428" s="114">
        <v>202101</v>
      </c>
      <c r="G1428" s="112" t="s">
        <v>1091</v>
      </c>
      <c r="H1428" s="112" t="s">
        <v>1016</v>
      </c>
      <c r="I1428" s="112" t="s">
        <v>1131</v>
      </c>
      <c r="J1428" s="112" t="s">
        <v>4192</v>
      </c>
      <c r="K1428" s="112" t="s">
        <v>4193</v>
      </c>
      <c r="L1428" s="116">
        <v>-27457.98</v>
      </c>
      <c r="M1428" s="116">
        <f t="shared" si="22"/>
        <v>-27.457979999999999</v>
      </c>
    </row>
    <row r="1429" spans="1:13" hidden="1" x14ac:dyDescent="0.35">
      <c r="A1429" s="112" t="s">
        <v>3616</v>
      </c>
      <c r="B1429" s="112" t="s">
        <v>922</v>
      </c>
      <c r="C1429" s="112" t="s">
        <v>695</v>
      </c>
      <c r="D1429" s="113">
        <v>10348128</v>
      </c>
      <c r="E1429" s="115">
        <v>43929</v>
      </c>
      <c r="F1429" s="114">
        <v>202101</v>
      </c>
      <c r="G1429" s="112" t="s">
        <v>1091</v>
      </c>
      <c r="H1429" s="112" t="s">
        <v>1016</v>
      </c>
      <c r="I1429" s="112" t="s">
        <v>680</v>
      </c>
      <c r="J1429" s="112" t="s">
        <v>3691</v>
      </c>
      <c r="K1429" s="112" t="s">
        <v>4194</v>
      </c>
      <c r="L1429" s="116">
        <v>-49646.41</v>
      </c>
      <c r="M1429" s="116">
        <f t="shared" si="22"/>
        <v>-49.646410000000003</v>
      </c>
    </row>
    <row r="1430" spans="1:13" hidden="1" x14ac:dyDescent="0.35">
      <c r="A1430" s="112" t="s">
        <v>3616</v>
      </c>
      <c r="B1430" s="112" t="s">
        <v>922</v>
      </c>
      <c r="C1430" s="112" t="s">
        <v>695</v>
      </c>
      <c r="D1430" s="113">
        <v>10348128</v>
      </c>
      <c r="E1430" s="115">
        <v>43929</v>
      </c>
      <c r="F1430" s="114">
        <v>202101</v>
      </c>
      <c r="G1430" s="112" t="s">
        <v>1091</v>
      </c>
      <c r="H1430" s="112" t="s">
        <v>1016</v>
      </c>
      <c r="I1430" s="112" t="s">
        <v>1291</v>
      </c>
      <c r="J1430" s="112" t="s">
        <v>3861</v>
      </c>
      <c r="K1430" s="112" t="s">
        <v>4195</v>
      </c>
      <c r="L1430" s="116">
        <v>-630</v>
      </c>
      <c r="M1430" s="116">
        <f t="shared" si="22"/>
        <v>-0.63</v>
      </c>
    </row>
    <row r="1431" spans="1:13" hidden="1" x14ac:dyDescent="0.35">
      <c r="A1431" s="112" t="s">
        <v>3616</v>
      </c>
      <c r="B1431" s="112" t="s">
        <v>922</v>
      </c>
      <c r="C1431" s="112" t="s">
        <v>695</v>
      </c>
      <c r="D1431" s="113">
        <v>10348128</v>
      </c>
      <c r="E1431" s="115">
        <v>43929</v>
      </c>
      <c r="F1431" s="114">
        <v>202101</v>
      </c>
      <c r="G1431" s="112" t="s">
        <v>1091</v>
      </c>
      <c r="H1431" s="112" t="s">
        <v>1016</v>
      </c>
      <c r="I1431" s="112" t="s">
        <v>1746</v>
      </c>
      <c r="J1431" s="112" t="s">
        <v>4196</v>
      </c>
      <c r="K1431" s="112" t="s">
        <v>4197</v>
      </c>
      <c r="L1431" s="116">
        <v>-5844.5</v>
      </c>
      <c r="M1431" s="116">
        <f t="shared" si="22"/>
        <v>-5.8445</v>
      </c>
    </row>
    <row r="1432" spans="1:13" hidden="1" x14ac:dyDescent="0.35">
      <c r="A1432" s="112" t="s">
        <v>3616</v>
      </c>
      <c r="B1432" s="112" t="s">
        <v>922</v>
      </c>
      <c r="C1432" s="112" t="s">
        <v>695</v>
      </c>
      <c r="D1432" s="113">
        <v>10348128</v>
      </c>
      <c r="E1432" s="115">
        <v>43929</v>
      </c>
      <c r="F1432" s="114">
        <v>202101</v>
      </c>
      <c r="G1432" s="112" t="s">
        <v>1091</v>
      </c>
      <c r="H1432" s="112" t="s">
        <v>1016</v>
      </c>
      <c r="I1432" s="112" t="s">
        <v>1131</v>
      </c>
      <c r="J1432" s="112" t="s">
        <v>3954</v>
      </c>
      <c r="K1432" s="112" t="s">
        <v>4198</v>
      </c>
      <c r="L1432" s="116">
        <v>4600</v>
      </c>
      <c r="M1432" s="116">
        <f t="shared" si="22"/>
        <v>4.5999999999999996</v>
      </c>
    </row>
    <row r="1433" spans="1:13" hidden="1" x14ac:dyDescent="0.35">
      <c r="A1433" s="112" t="s">
        <v>3616</v>
      </c>
      <c r="B1433" s="112" t="s">
        <v>917</v>
      </c>
      <c r="C1433" s="112" t="s">
        <v>695</v>
      </c>
      <c r="D1433" s="113">
        <v>10348134</v>
      </c>
      <c r="E1433" s="115">
        <v>43929</v>
      </c>
      <c r="F1433" s="114">
        <v>202101</v>
      </c>
      <c r="G1433" s="112" t="s">
        <v>1091</v>
      </c>
      <c r="H1433" s="112" t="s">
        <v>1016</v>
      </c>
      <c r="I1433" s="112" t="s">
        <v>1131</v>
      </c>
      <c r="J1433" s="112" t="s">
        <v>3781</v>
      </c>
      <c r="K1433" s="112" t="s">
        <v>4199</v>
      </c>
      <c r="L1433" s="116">
        <v>6000</v>
      </c>
      <c r="M1433" s="116">
        <f t="shared" si="22"/>
        <v>6</v>
      </c>
    </row>
    <row r="1434" spans="1:13" hidden="1" x14ac:dyDescent="0.35">
      <c r="A1434" s="112" t="s">
        <v>3616</v>
      </c>
      <c r="B1434" s="112" t="s">
        <v>917</v>
      </c>
      <c r="C1434" s="112" t="s">
        <v>695</v>
      </c>
      <c r="D1434" s="113">
        <v>10348134</v>
      </c>
      <c r="E1434" s="115">
        <v>43929</v>
      </c>
      <c r="F1434" s="114">
        <v>202101</v>
      </c>
      <c r="G1434" s="112" t="s">
        <v>1091</v>
      </c>
      <c r="H1434" s="112" t="s">
        <v>1016</v>
      </c>
      <c r="I1434" s="112" t="s">
        <v>1131</v>
      </c>
      <c r="J1434" s="112" t="s">
        <v>3897</v>
      </c>
      <c r="K1434" s="112" t="s">
        <v>4200</v>
      </c>
      <c r="L1434" s="116">
        <v>-2051.12</v>
      </c>
      <c r="M1434" s="116">
        <f t="shared" si="22"/>
        <v>-2.0511200000000001</v>
      </c>
    </row>
    <row r="1435" spans="1:13" hidden="1" x14ac:dyDescent="0.35">
      <c r="A1435" s="112" t="s">
        <v>3616</v>
      </c>
      <c r="B1435" s="112" t="s">
        <v>921</v>
      </c>
      <c r="C1435" s="112" t="s">
        <v>695</v>
      </c>
      <c r="D1435" s="113">
        <v>10348038</v>
      </c>
      <c r="E1435" s="115">
        <v>43928</v>
      </c>
      <c r="F1435" s="114">
        <v>202101</v>
      </c>
      <c r="G1435" s="112" t="s">
        <v>1091</v>
      </c>
      <c r="H1435" s="112" t="s">
        <v>1016</v>
      </c>
      <c r="I1435" s="112" t="s">
        <v>3899</v>
      </c>
      <c r="J1435" s="112" t="s">
        <v>3709</v>
      </c>
      <c r="K1435" s="112" t="s">
        <v>4206</v>
      </c>
      <c r="L1435" s="116">
        <v>-137.5</v>
      </c>
      <c r="M1435" s="116">
        <f t="shared" si="22"/>
        <v>-0.13750000000000001</v>
      </c>
    </row>
    <row r="1436" spans="1:13" hidden="1" x14ac:dyDescent="0.35">
      <c r="A1436" s="112" t="s">
        <v>3616</v>
      </c>
      <c r="B1436" s="112" t="s">
        <v>921</v>
      </c>
      <c r="C1436" s="112" t="s">
        <v>695</v>
      </c>
      <c r="D1436" s="113">
        <v>10348038</v>
      </c>
      <c r="E1436" s="115">
        <v>43928</v>
      </c>
      <c r="F1436" s="114">
        <v>202101</v>
      </c>
      <c r="G1436" s="112" t="s">
        <v>1091</v>
      </c>
      <c r="H1436" s="112" t="s">
        <v>1016</v>
      </c>
      <c r="I1436" s="112" t="s">
        <v>3899</v>
      </c>
      <c r="J1436" s="112" t="s">
        <v>3709</v>
      </c>
      <c r="K1436" s="112" t="s">
        <v>4207</v>
      </c>
      <c r="L1436" s="116">
        <v>-262.5</v>
      </c>
      <c r="M1436" s="116">
        <f t="shared" si="22"/>
        <v>-0.26250000000000001</v>
      </c>
    </row>
    <row r="1437" spans="1:13" hidden="1" x14ac:dyDescent="0.35">
      <c r="A1437" s="112" t="s">
        <v>3616</v>
      </c>
      <c r="B1437" s="112" t="s">
        <v>921</v>
      </c>
      <c r="C1437" s="112" t="s">
        <v>695</v>
      </c>
      <c r="D1437" s="113">
        <v>10348038</v>
      </c>
      <c r="E1437" s="115">
        <v>43928</v>
      </c>
      <c r="F1437" s="114">
        <v>202101</v>
      </c>
      <c r="G1437" s="112" t="s">
        <v>1091</v>
      </c>
      <c r="H1437" s="112" t="s">
        <v>1016</v>
      </c>
      <c r="I1437" s="112" t="s">
        <v>3899</v>
      </c>
      <c r="J1437" s="112" t="s">
        <v>3709</v>
      </c>
      <c r="K1437" s="112" t="s">
        <v>4208</v>
      </c>
      <c r="L1437" s="116">
        <v>-262.5</v>
      </c>
      <c r="M1437" s="116">
        <f t="shared" si="22"/>
        <v>-0.26250000000000001</v>
      </c>
    </row>
    <row r="1438" spans="1:13" hidden="1" x14ac:dyDescent="0.35">
      <c r="A1438" s="112" t="s">
        <v>3616</v>
      </c>
      <c r="B1438" s="112" t="s">
        <v>921</v>
      </c>
      <c r="C1438" s="112" t="s">
        <v>695</v>
      </c>
      <c r="D1438" s="113">
        <v>10348038</v>
      </c>
      <c r="E1438" s="115">
        <v>43928</v>
      </c>
      <c r="F1438" s="114">
        <v>202101</v>
      </c>
      <c r="G1438" s="112" t="s">
        <v>1091</v>
      </c>
      <c r="H1438" s="112" t="s">
        <v>1016</v>
      </c>
      <c r="I1438" s="112" t="s">
        <v>3899</v>
      </c>
      <c r="J1438" s="112" t="s">
        <v>3709</v>
      </c>
      <c r="K1438" s="112" t="s">
        <v>4209</v>
      </c>
      <c r="L1438" s="116">
        <v>-262.5</v>
      </c>
      <c r="M1438" s="116">
        <f t="shared" si="22"/>
        <v>-0.26250000000000001</v>
      </c>
    </row>
    <row r="1439" spans="1:13" hidden="1" x14ac:dyDescent="0.35">
      <c r="A1439" s="112" t="s">
        <v>3616</v>
      </c>
      <c r="B1439" s="112" t="s">
        <v>921</v>
      </c>
      <c r="C1439" s="112" t="s">
        <v>695</v>
      </c>
      <c r="D1439" s="113">
        <v>10348038</v>
      </c>
      <c r="E1439" s="115">
        <v>43928</v>
      </c>
      <c r="F1439" s="114">
        <v>202101</v>
      </c>
      <c r="G1439" s="112" t="s">
        <v>1091</v>
      </c>
      <c r="H1439" s="112" t="s">
        <v>1016</v>
      </c>
      <c r="I1439" s="112" t="s">
        <v>3899</v>
      </c>
      <c r="J1439" s="112" t="s">
        <v>3709</v>
      </c>
      <c r="K1439" s="112" t="s">
        <v>4210</v>
      </c>
      <c r="L1439" s="116">
        <v>-817.5</v>
      </c>
      <c r="M1439" s="116">
        <f t="shared" si="22"/>
        <v>-0.8175</v>
      </c>
    </row>
    <row r="1440" spans="1:13" hidden="1" x14ac:dyDescent="0.35">
      <c r="A1440" s="112" t="s">
        <v>3616</v>
      </c>
      <c r="B1440" s="112" t="s">
        <v>919</v>
      </c>
      <c r="C1440" s="112" t="s">
        <v>695</v>
      </c>
      <c r="D1440" s="113">
        <v>10348077</v>
      </c>
      <c r="E1440" s="115">
        <v>43929</v>
      </c>
      <c r="F1440" s="114">
        <v>202101</v>
      </c>
      <c r="G1440" s="112" t="s">
        <v>1091</v>
      </c>
      <c r="H1440" s="112" t="s">
        <v>1016</v>
      </c>
      <c r="I1440" s="112" t="s">
        <v>823</v>
      </c>
      <c r="J1440" s="112" t="s">
        <v>3617</v>
      </c>
      <c r="K1440" s="112" t="s">
        <v>4213</v>
      </c>
      <c r="L1440" s="116">
        <v>-1625</v>
      </c>
      <c r="M1440" s="116">
        <f t="shared" si="22"/>
        <v>-1.625</v>
      </c>
    </row>
    <row r="1441" spans="1:13" hidden="1" x14ac:dyDescent="0.35">
      <c r="A1441" s="112" t="s">
        <v>3616</v>
      </c>
      <c r="B1441" s="112" t="s">
        <v>921</v>
      </c>
      <c r="C1441" s="112" t="s">
        <v>695</v>
      </c>
      <c r="D1441" s="113">
        <v>10348038</v>
      </c>
      <c r="E1441" s="115">
        <v>43928</v>
      </c>
      <c r="F1441" s="114">
        <v>202101</v>
      </c>
      <c r="G1441" s="112" t="s">
        <v>1091</v>
      </c>
      <c r="H1441" s="112" t="s">
        <v>1016</v>
      </c>
      <c r="I1441" s="112" t="s">
        <v>3899</v>
      </c>
      <c r="J1441" s="112" t="s">
        <v>3709</v>
      </c>
      <c r="K1441" s="112" t="s">
        <v>4214</v>
      </c>
      <c r="L1441" s="116">
        <v>-137.5</v>
      </c>
      <c r="M1441" s="116">
        <f t="shared" si="22"/>
        <v>-0.13750000000000001</v>
      </c>
    </row>
    <row r="1442" spans="1:13" hidden="1" x14ac:dyDescent="0.35">
      <c r="A1442" s="112" t="s">
        <v>3616</v>
      </c>
      <c r="B1442" s="112" t="s">
        <v>921</v>
      </c>
      <c r="C1442" s="112" t="s">
        <v>695</v>
      </c>
      <c r="D1442" s="113">
        <v>10348038</v>
      </c>
      <c r="E1442" s="115">
        <v>43928</v>
      </c>
      <c r="F1442" s="114">
        <v>202101</v>
      </c>
      <c r="G1442" s="112" t="s">
        <v>1091</v>
      </c>
      <c r="H1442" s="112" t="s">
        <v>1016</v>
      </c>
      <c r="I1442" s="112" t="s">
        <v>3846</v>
      </c>
      <c r="J1442" s="112" t="s">
        <v>3709</v>
      </c>
      <c r="K1442" s="112" t="s">
        <v>4215</v>
      </c>
      <c r="L1442" s="116">
        <v>-365</v>
      </c>
      <c r="M1442" s="116">
        <f t="shared" si="22"/>
        <v>-0.36499999999999999</v>
      </c>
    </row>
    <row r="1443" spans="1:13" hidden="1" x14ac:dyDescent="0.35">
      <c r="A1443" s="112" t="s">
        <v>3616</v>
      </c>
      <c r="B1443" s="112" t="s">
        <v>921</v>
      </c>
      <c r="C1443" s="112" t="s">
        <v>695</v>
      </c>
      <c r="D1443" s="113">
        <v>10348038</v>
      </c>
      <c r="E1443" s="115">
        <v>43928</v>
      </c>
      <c r="F1443" s="114">
        <v>202101</v>
      </c>
      <c r="G1443" s="112" t="s">
        <v>1091</v>
      </c>
      <c r="H1443" s="112" t="s">
        <v>1016</v>
      </c>
      <c r="I1443" s="112" t="s">
        <v>3846</v>
      </c>
      <c r="J1443" s="112" t="s">
        <v>3709</v>
      </c>
      <c r="K1443" s="112" t="s">
        <v>4216</v>
      </c>
      <c r="L1443" s="116">
        <v>-715</v>
      </c>
      <c r="M1443" s="116">
        <f t="shared" si="22"/>
        <v>-0.71499999999999997</v>
      </c>
    </row>
    <row r="1444" spans="1:13" hidden="1" x14ac:dyDescent="0.35">
      <c r="A1444" s="112" t="s">
        <v>3616</v>
      </c>
      <c r="B1444" s="112" t="s">
        <v>921</v>
      </c>
      <c r="C1444" s="112" t="s">
        <v>695</v>
      </c>
      <c r="D1444" s="113">
        <v>10348038</v>
      </c>
      <c r="E1444" s="115">
        <v>43928</v>
      </c>
      <c r="F1444" s="114">
        <v>202101</v>
      </c>
      <c r="G1444" s="112" t="s">
        <v>1091</v>
      </c>
      <c r="H1444" s="112" t="s">
        <v>1016</v>
      </c>
      <c r="I1444" s="112" t="s">
        <v>3846</v>
      </c>
      <c r="J1444" s="112" t="s">
        <v>3709</v>
      </c>
      <c r="K1444" s="112" t="s">
        <v>4217</v>
      </c>
      <c r="L1444" s="116">
        <v>-150</v>
      </c>
      <c r="M1444" s="116">
        <f t="shared" si="22"/>
        <v>-0.15</v>
      </c>
    </row>
    <row r="1445" spans="1:13" hidden="1" x14ac:dyDescent="0.35">
      <c r="A1445" s="112" t="s">
        <v>3616</v>
      </c>
      <c r="B1445" s="112" t="s">
        <v>921</v>
      </c>
      <c r="C1445" s="112" t="s">
        <v>695</v>
      </c>
      <c r="D1445" s="113">
        <v>10348038</v>
      </c>
      <c r="E1445" s="115">
        <v>43928</v>
      </c>
      <c r="F1445" s="114">
        <v>202101</v>
      </c>
      <c r="G1445" s="112" t="s">
        <v>1091</v>
      </c>
      <c r="H1445" s="112" t="s">
        <v>1016</v>
      </c>
      <c r="I1445" s="112" t="s">
        <v>3846</v>
      </c>
      <c r="J1445" s="112" t="s">
        <v>3709</v>
      </c>
      <c r="K1445" s="112" t="s">
        <v>4076</v>
      </c>
      <c r="L1445" s="116">
        <v>-300</v>
      </c>
      <c r="M1445" s="116">
        <f t="shared" si="22"/>
        <v>-0.3</v>
      </c>
    </row>
    <row r="1446" spans="1:13" hidden="1" x14ac:dyDescent="0.35">
      <c r="A1446" s="112" t="s">
        <v>3616</v>
      </c>
      <c r="B1446" s="112" t="s">
        <v>921</v>
      </c>
      <c r="C1446" s="112" t="s">
        <v>695</v>
      </c>
      <c r="D1446" s="113">
        <v>10348038</v>
      </c>
      <c r="E1446" s="115">
        <v>43928</v>
      </c>
      <c r="F1446" s="114">
        <v>202101</v>
      </c>
      <c r="G1446" s="112" t="s">
        <v>1091</v>
      </c>
      <c r="H1446" s="112" t="s">
        <v>1016</v>
      </c>
      <c r="I1446" s="112" t="s">
        <v>3846</v>
      </c>
      <c r="J1446" s="112" t="s">
        <v>3709</v>
      </c>
      <c r="K1446" s="112" t="s">
        <v>4218</v>
      </c>
      <c r="L1446" s="116">
        <v>-1319</v>
      </c>
      <c r="M1446" s="116">
        <f t="shared" si="22"/>
        <v>-1.319</v>
      </c>
    </row>
    <row r="1447" spans="1:13" hidden="1" x14ac:dyDescent="0.35">
      <c r="A1447" s="112" t="s">
        <v>3616</v>
      </c>
      <c r="B1447" s="112" t="s">
        <v>921</v>
      </c>
      <c r="C1447" s="112" t="s">
        <v>695</v>
      </c>
      <c r="D1447" s="113">
        <v>10348038</v>
      </c>
      <c r="E1447" s="115">
        <v>43928</v>
      </c>
      <c r="F1447" s="114">
        <v>202101</v>
      </c>
      <c r="G1447" s="112" t="s">
        <v>1091</v>
      </c>
      <c r="H1447" s="112" t="s">
        <v>1016</v>
      </c>
      <c r="I1447" s="112" t="s">
        <v>3846</v>
      </c>
      <c r="J1447" s="112" t="s">
        <v>3709</v>
      </c>
      <c r="K1447" s="112" t="s">
        <v>4219</v>
      </c>
      <c r="L1447" s="116">
        <v>733.75</v>
      </c>
      <c r="M1447" s="116">
        <f t="shared" si="22"/>
        <v>0.73375000000000001</v>
      </c>
    </row>
    <row r="1448" spans="1:13" hidden="1" x14ac:dyDescent="0.35">
      <c r="A1448" s="112" t="s">
        <v>3616</v>
      </c>
      <c r="B1448" s="112" t="s">
        <v>921</v>
      </c>
      <c r="C1448" s="112" t="s">
        <v>695</v>
      </c>
      <c r="D1448" s="113">
        <v>10348038</v>
      </c>
      <c r="E1448" s="115">
        <v>43928</v>
      </c>
      <c r="F1448" s="114">
        <v>202101</v>
      </c>
      <c r="G1448" s="112" t="s">
        <v>1091</v>
      </c>
      <c r="H1448" s="112" t="s">
        <v>1016</v>
      </c>
      <c r="I1448" s="112" t="s">
        <v>3846</v>
      </c>
      <c r="J1448" s="112" t="s">
        <v>3709</v>
      </c>
      <c r="K1448" s="112" t="s">
        <v>4220</v>
      </c>
      <c r="L1448" s="116">
        <v>-2500</v>
      </c>
      <c r="M1448" s="116">
        <f t="shared" si="22"/>
        <v>-2.5</v>
      </c>
    </row>
    <row r="1449" spans="1:13" hidden="1" x14ac:dyDescent="0.35">
      <c r="A1449" s="112" t="s">
        <v>3616</v>
      </c>
      <c r="B1449" s="112" t="s">
        <v>921</v>
      </c>
      <c r="C1449" s="112" t="s">
        <v>695</v>
      </c>
      <c r="D1449" s="113">
        <v>10348038</v>
      </c>
      <c r="E1449" s="115">
        <v>43928</v>
      </c>
      <c r="F1449" s="114">
        <v>202101</v>
      </c>
      <c r="G1449" s="112" t="s">
        <v>1091</v>
      </c>
      <c r="H1449" s="112" t="s">
        <v>1016</v>
      </c>
      <c r="I1449" s="112" t="s">
        <v>3846</v>
      </c>
      <c r="J1449" s="112" t="s">
        <v>3709</v>
      </c>
      <c r="K1449" s="112" t="s">
        <v>4221</v>
      </c>
      <c r="L1449" s="116">
        <v>-1604</v>
      </c>
      <c r="M1449" s="116">
        <f t="shared" si="22"/>
        <v>-1.6040000000000001</v>
      </c>
    </row>
    <row r="1450" spans="1:13" hidden="1" x14ac:dyDescent="0.35">
      <c r="A1450" s="112" t="s">
        <v>3616</v>
      </c>
      <c r="B1450" s="112" t="s">
        <v>921</v>
      </c>
      <c r="C1450" s="112" t="s">
        <v>695</v>
      </c>
      <c r="D1450" s="113">
        <v>10348038</v>
      </c>
      <c r="E1450" s="115">
        <v>43928</v>
      </c>
      <c r="F1450" s="114">
        <v>202101</v>
      </c>
      <c r="G1450" s="112" t="s">
        <v>1091</v>
      </c>
      <c r="H1450" s="112" t="s">
        <v>1016</v>
      </c>
      <c r="I1450" s="112" t="s">
        <v>3846</v>
      </c>
      <c r="J1450" s="112" t="s">
        <v>3709</v>
      </c>
      <c r="K1450" s="112" t="s">
        <v>4145</v>
      </c>
      <c r="L1450" s="116">
        <v>-597.6</v>
      </c>
      <c r="M1450" s="116">
        <f t="shared" si="22"/>
        <v>-0.59760000000000002</v>
      </c>
    </row>
    <row r="1451" spans="1:13" hidden="1" x14ac:dyDescent="0.35">
      <c r="A1451" s="112" t="s">
        <v>3616</v>
      </c>
      <c r="B1451" s="112" t="s">
        <v>921</v>
      </c>
      <c r="C1451" s="112" t="s">
        <v>695</v>
      </c>
      <c r="D1451" s="113">
        <v>10348038</v>
      </c>
      <c r="E1451" s="115">
        <v>43928</v>
      </c>
      <c r="F1451" s="114">
        <v>202101</v>
      </c>
      <c r="G1451" s="112" t="s">
        <v>1091</v>
      </c>
      <c r="H1451" s="112" t="s">
        <v>1016</v>
      </c>
      <c r="I1451" s="112" t="s">
        <v>3846</v>
      </c>
      <c r="J1451" s="112" t="s">
        <v>3709</v>
      </c>
      <c r="K1451" s="112" t="s">
        <v>4222</v>
      </c>
      <c r="L1451" s="116">
        <v>-1000</v>
      </c>
      <c r="M1451" s="116">
        <f t="shared" si="22"/>
        <v>-1</v>
      </c>
    </row>
    <row r="1452" spans="1:13" hidden="1" x14ac:dyDescent="0.35">
      <c r="A1452" s="112" t="s">
        <v>3616</v>
      </c>
      <c r="B1452" s="112" t="s">
        <v>921</v>
      </c>
      <c r="C1452" s="112" t="s">
        <v>695</v>
      </c>
      <c r="D1452" s="113">
        <v>10348038</v>
      </c>
      <c r="E1452" s="115">
        <v>43928</v>
      </c>
      <c r="F1452" s="114">
        <v>202101</v>
      </c>
      <c r="G1452" s="112" t="s">
        <v>1091</v>
      </c>
      <c r="H1452" s="112" t="s">
        <v>1016</v>
      </c>
      <c r="I1452" s="112" t="s">
        <v>3846</v>
      </c>
      <c r="J1452" s="112" t="s">
        <v>3709</v>
      </c>
      <c r="K1452" s="112" t="s">
        <v>4122</v>
      </c>
      <c r="L1452" s="116">
        <v>2132.5</v>
      </c>
      <c r="M1452" s="116">
        <f t="shared" si="22"/>
        <v>2.1324999999999998</v>
      </c>
    </row>
    <row r="1453" spans="1:13" hidden="1" x14ac:dyDescent="0.35">
      <c r="A1453" s="112" t="s">
        <v>3616</v>
      </c>
      <c r="B1453" s="112" t="s">
        <v>921</v>
      </c>
      <c r="C1453" s="112" t="s">
        <v>695</v>
      </c>
      <c r="D1453" s="113">
        <v>10348038</v>
      </c>
      <c r="E1453" s="115">
        <v>43928</v>
      </c>
      <c r="F1453" s="114">
        <v>202101</v>
      </c>
      <c r="G1453" s="112" t="s">
        <v>1091</v>
      </c>
      <c r="H1453" s="112" t="s">
        <v>1016</v>
      </c>
      <c r="I1453" s="112" t="s">
        <v>3899</v>
      </c>
      <c r="J1453" s="112" t="s">
        <v>3709</v>
      </c>
      <c r="K1453" s="112" t="s">
        <v>4224</v>
      </c>
      <c r="L1453" s="116">
        <v>-137.5</v>
      </c>
      <c r="M1453" s="116">
        <f t="shared" si="22"/>
        <v>-0.13750000000000001</v>
      </c>
    </row>
    <row r="1454" spans="1:13" hidden="1" x14ac:dyDescent="0.35">
      <c r="A1454" s="112" t="s">
        <v>3616</v>
      </c>
      <c r="B1454" s="112" t="s">
        <v>917</v>
      </c>
      <c r="C1454" s="112" t="s">
        <v>695</v>
      </c>
      <c r="D1454" s="113">
        <v>10348469</v>
      </c>
      <c r="E1454" s="115">
        <v>43948</v>
      </c>
      <c r="F1454" s="114">
        <v>202101</v>
      </c>
      <c r="G1454" s="112" t="s">
        <v>1091</v>
      </c>
      <c r="H1454" s="112" t="s">
        <v>1016</v>
      </c>
      <c r="I1454" s="112" t="s">
        <v>779</v>
      </c>
      <c r="J1454" s="112" t="s">
        <v>3781</v>
      </c>
      <c r="K1454" s="112" t="s">
        <v>4225</v>
      </c>
      <c r="L1454" s="116">
        <v>5000</v>
      </c>
      <c r="M1454" s="116">
        <f t="shared" si="22"/>
        <v>5</v>
      </c>
    </row>
    <row r="1455" spans="1:13" hidden="1" x14ac:dyDescent="0.35">
      <c r="A1455" s="112" t="s">
        <v>3616</v>
      </c>
      <c r="B1455" s="112" t="s">
        <v>921</v>
      </c>
      <c r="C1455" s="112" t="s">
        <v>695</v>
      </c>
      <c r="D1455" s="113">
        <v>10348038</v>
      </c>
      <c r="E1455" s="115">
        <v>43928</v>
      </c>
      <c r="F1455" s="114">
        <v>202101</v>
      </c>
      <c r="G1455" s="112" t="s">
        <v>1091</v>
      </c>
      <c r="H1455" s="112" t="s">
        <v>1016</v>
      </c>
      <c r="I1455" s="112" t="s">
        <v>3899</v>
      </c>
      <c r="J1455" s="112" t="s">
        <v>3709</v>
      </c>
      <c r="K1455" s="112" t="s">
        <v>4226</v>
      </c>
      <c r="L1455" s="116">
        <v>-262.5</v>
      </c>
      <c r="M1455" s="116">
        <f t="shared" si="22"/>
        <v>-0.26250000000000001</v>
      </c>
    </row>
    <row r="1456" spans="1:13" hidden="1" x14ac:dyDescent="0.35">
      <c r="A1456" s="112" t="s">
        <v>3616</v>
      </c>
      <c r="B1456" s="112" t="s">
        <v>921</v>
      </c>
      <c r="C1456" s="112" t="s">
        <v>695</v>
      </c>
      <c r="D1456" s="113">
        <v>10348038</v>
      </c>
      <c r="E1456" s="115">
        <v>43928</v>
      </c>
      <c r="F1456" s="114">
        <v>202101</v>
      </c>
      <c r="G1456" s="112" t="s">
        <v>1091</v>
      </c>
      <c r="H1456" s="112" t="s">
        <v>1016</v>
      </c>
      <c r="I1456" s="112" t="s">
        <v>3899</v>
      </c>
      <c r="J1456" s="112" t="s">
        <v>3709</v>
      </c>
      <c r="K1456" s="112" t="s">
        <v>4227</v>
      </c>
      <c r="L1456" s="116">
        <v>-262.5</v>
      </c>
      <c r="M1456" s="116">
        <f t="shared" si="22"/>
        <v>-0.26250000000000001</v>
      </c>
    </row>
    <row r="1457" spans="1:13" hidden="1" x14ac:dyDescent="0.35">
      <c r="A1457" s="112" t="s">
        <v>3616</v>
      </c>
      <c r="B1457" s="112" t="s">
        <v>921</v>
      </c>
      <c r="C1457" s="112" t="s">
        <v>695</v>
      </c>
      <c r="D1457" s="113">
        <v>10348038</v>
      </c>
      <c r="E1457" s="115">
        <v>43928</v>
      </c>
      <c r="F1457" s="114">
        <v>202101</v>
      </c>
      <c r="G1457" s="112" t="s">
        <v>1091</v>
      </c>
      <c r="H1457" s="112" t="s">
        <v>1016</v>
      </c>
      <c r="I1457" s="112" t="s">
        <v>3899</v>
      </c>
      <c r="J1457" s="112" t="s">
        <v>3709</v>
      </c>
      <c r="K1457" s="112" t="s">
        <v>4228</v>
      </c>
      <c r="L1457" s="116">
        <v>-262.5</v>
      </c>
      <c r="M1457" s="116">
        <f t="shared" si="22"/>
        <v>-0.26250000000000001</v>
      </c>
    </row>
    <row r="1458" spans="1:13" hidden="1" x14ac:dyDescent="0.35">
      <c r="A1458" s="112" t="s">
        <v>3616</v>
      </c>
      <c r="B1458" s="112" t="s">
        <v>921</v>
      </c>
      <c r="C1458" s="112" t="s">
        <v>695</v>
      </c>
      <c r="D1458" s="113">
        <v>10348038</v>
      </c>
      <c r="E1458" s="115">
        <v>43928</v>
      </c>
      <c r="F1458" s="114">
        <v>202101</v>
      </c>
      <c r="G1458" s="112" t="s">
        <v>1091</v>
      </c>
      <c r="H1458" s="112" t="s">
        <v>1016</v>
      </c>
      <c r="I1458" s="112" t="s">
        <v>3899</v>
      </c>
      <c r="J1458" s="112" t="s">
        <v>3709</v>
      </c>
      <c r="K1458" s="112" t="s">
        <v>4229</v>
      </c>
      <c r="L1458" s="116">
        <v>-1510</v>
      </c>
      <c r="M1458" s="116">
        <f t="shared" si="22"/>
        <v>-1.51</v>
      </c>
    </row>
    <row r="1459" spans="1:13" hidden="1" x14ac:dyDescent="0.35">
      <c r="A1459" s="112" t="s">
        <v>3616</v>
      </c>
      <c r="B1459" s="112" t="s">
        <v>921</v>
      </c>
      <c r="C1459" s="112" t="s">
        <v>695</v>
      </c>
      <c r="D1459" s="113">
        <v>10348038</v>
      </c>
      <c r="E1459" s="115">
        <v>43928</v>
      </c>
      <c r="F1459" s="114">
        <v>202101</v>
      </c>
      <c r="G1459" s="112" t="s">
        <v>1091</v>
      </c>
      <c r="H1459" s="112" t="s">
        <v>1016</v>
      </c>
      <c r="I1459" s="112" t="s">
        <v>3899</v>
      </c>
      <c r="J1459" s="112" t="s">
        <v>3709</v>
      </c>
      <c r="K1459" s="112" t="s">
        <v>4230</v>
      </c>
      <c r="L1459" s="116">
        <v>-137.5</v>
      </c>
      <c r="M1459" s="116">
        <f t="shared" si="22"/>
        <v>-0.13750000000000001</v>
      </c>
    </row>
    <row r="1460" spans="1:13" hidden="1" x14ac:dyDescent="0.35">
      <c r="A1460" s="112" t="s">
        <v>3616</v>
      </c>
      <c r="B1460" s="112" t="s">
        <v>921</v>
      </c>
      <c r="C1460" s="112" t="s">
        <v>695</v>
      </c>
      <c r="D1460" s="113">
        <v>10348038</v>
      </c>
      <c r="E1460" s="115">
        <v>43928</v>
      </c>
      <c r="F1460" s="114">
        <v>202101</v>
      </c>
      <c r="G1460" s="112" t="s">
        <v>1091</v>
      </c>
      <c r="H1460" s="112" t="s">
        <v>1016</v>
      </c>
      <c r="I1460" s="112" t="s">
        <v>3846</v>
      </c>
      <c r="J1460" s="112" t="s">
        <v>3709</v>
      </c>
      <c r="K1460" s="112" t="s">
        <v>4231</v>
      </c>
      <c r="L1460" s="116">
        <v>-1170</v>
      </c>
      <c r="M1460" s="116">
        <f t="shared" si="22"/>
        <v>-1.17</v>
      </c>
    </row>
    <row r="1461" spans="1:13" hidden="1" x14ac:dyDescent="0.35">
      <c r="A1461" s="112" t="s">
        <v>3616</v>
      </c>
      <c r="B1461" s="112" t="s">
        <v>921</v>
      </c>
      <c r="C1461" s="112" t="s">
        <v>695</v>
      </c>
      <c r="D1461" s="113">
        <v>10348038</v>
      </c>
      <c r="E1461" s="115">
        <v>43928</v>
      </c>
      <c r="F1461" s="114">
        <v>202101</v>
      </c>
      <c r="G1461" s="112" t="s">
        <v>1091</v>
      </c>
      <c r="H1461" s="112" t="s">
        <v>1016</v>
      </c>
      <c r="I1461" s="112" t="s">
        <v>3846</v>
      </c>
      <c r="J1461" s="112" t="s">
        <v>3709</v>
      </c>
      <c r="K1461" s="112" t="s">
        <v>4232</v>
      </c>
      <c r="L1461" s="116">
        <v>-365</v>
      </c>
      <c r="M1461" s="116">
        <f t="shared" si="22"/>
        <v>-0.36499999999999999</v>
      </c>
    </row>
    <row r="1462" spans="1:13" hidden="1" x14ac:dyDescent="0.35">
      <c r="A1462" s="112" t="s">
        <v>3616</v>
      </c>
      <c r="B1462" s="112" t="s">
        <v>921</v>
      </c>
      <c r="C1462" s="112" t="s">
        <v>695</v>
      </c>
      <c r="D1462" s="113">
        <v>10348038</v>
      </c>
      <c r="E1462" s="115">
        <v>43928</v>
      </c>
      <c r="F1462" s="114">
        <v>202101</v>
      </c>
      <c r="G1462" s="112" t="s">
        <v>1091</v>
      </c>
      <c r="H1462" s="112" t="s">
        <v>1016</v>
      </c>
      <c r="I1462" s="112" t="s">
        <v>3846</v>
      </c>
      <c r="J1462" s="112" t="s">
        <v>3709</v>
      </c>
      <c r="K1462" s="112" t="s">
        <v>4233</v>
      </c>
      <c r="L1462" s="116">
        <v>-365</v>
      </c>
      <c r="M1462" s="116">
        <f t="shared" si="22"/>
        <v>-0.36499999999999999</v>
      </c>
    </row>
    <row r="1463" spans="1:13" hidden="1" x14ac:dyDescent="0.35">
      <c r="A1463" s="112" t="s">
        <v>3616</v>
      </c>
      <c r="B1463" s="112" t="s">
        <v>921</v>
      </c>
      <c r="C1463" s="112" t="s">
        <v>695</v>
      </c>
      <c r="D1463" s="113">
        <v>10348038</v>
      </c>
      <c r="E1463" s="115">
        <v>43928</v>
      </c>
      <c r="F1463" s="114">
        <v>202101</v>
      </c>
      <c r="G1463" s="112" t="s">
        <v>1091</v>
      </c>
      <c r="H1463" s="112" t="s">
        <v>1016</v>
      </c>
      <c r="I1463" s="112" t="s">
        <v>3846</v>
      </c>
      <c r="J1463" s="112" t="s">
        <v>3709</v>
      </c>
      <c r="K1463" s="112" t="s">
        <v>4234</v>
      </c>
      <c r="L1463" s="116">
        <v>-556</v>
      </c>
      <c r="M1463" s="116">
        <f t="shared" si="22"/>
        <v>-0.55600000000000005</v>
      </c>
    </row>
    <row r="1464" spans="1:13" hidden="1" x14ac:dyDescent="0.35">
      <c r="A1464" s="112" t="s">
        <v>3616</v>
      </c>
      <c r="B1464" s="112" t="s">
        <v>921</v>
      </c>
      <c r="C1464" s="112" t="s">
        <v>695</v>
      </c>
      <c r="D1464" s="113">
        <v>10348038</v>
      </c>
      <c r="E1464" s="115">
        <v>43928</v>
      </c>
      <c r="F1464" s="114">
        <v>202101</v>
      </c>
      <c r="G1464" s="112" t="s">
        <v>1091</v>
      </c>
      <c r="H1464" s="112" t="s">
        <v>1016</v>
      </c>
      <c r="I1464" s="112" t="s">
        <v>3846</v>
      </c>
      <c r="J1464" s="112" t="s">
        <v>3709</v>
      </c>
      <c r="K1464" s="112" t="s">
        <v>4235</v>
      </c>
      <c r="L1464" s="116">
        <v>-1785</v>
      </c>
      <c r="M1464" s="116">
        <f t="shared" si="22"/>
        <v>-1.7849999999999999</v>
      </c>
    </row>
    <row r="1465" spans="1:13" hidden="1" x14ac:dyDescent="0.35">
      <c r="A1465" s="112" t="s">
        <v>3616</v>
      </c>
      <c r="B1465" s="112" t="s">
        <v>921</v>
      </c>
      <c r="C1465" s="112" t="s">
        <v>695</v>
      </c>
      <c r="D1465" s="113">
        <v>10348038</v>
      </c>
      <c r="E1465" s="115">
        <v>43928</v>
      </c>
      <c r="F1465" s="114">
        <v>202101</v>
      </c>
      <c r="G1465" s="112" t="s">
        <v>1091</v>
      </c>
      <c r="H1465" s="112" t="s">
        <v>1016</v>
      </c>
      <c r="I1465" s="112" t="s">
        <v>3846</v>
      </c>
      <c r="J1465" s="112" t="s">
        <v>3709</v>
      </c>
      <c r="K1465" s="112" t="s">
        <v>4236</v>
      </c>
      <c r="L1465" s="116">
        <v>366.88</v>
      </c>
      <c r="M1465" s="116">
        <f t="shared" si="22"/>
        <v>0.36687999999999998</v>
      </c>
    </row>
    <row r="1466" spans="1:13" hidden="1" x14ac:dyDescent="0.35">
      <c r="A1466" s="112" t="s">
        <v>3616</v>
      </c>
      <c r="B1466" s="112" t="s">
        <v>921</v>
      </c>
      <c r="C1466" s="112" t="s">
        <v>695</v>
      </c>
      <c r="D1466" s="113">
        <v>10348038</v>
      </c>
      <c r="E1466" s="115">
        <v>43928</v>
      </c>
      <c r="F1466" s="114">
        <v>202101</v>
      </c>
      <c r="G1466" s="112" t="s">
        <v>1091</v>
      </c>
      <c r="H1466" s="112" t="s">
        <v>1016</v>
      </c>
      <c r="I1466" s="112" t="s">
        <v>3846</v>
      </c>
      <c r="J1466" s="112" t="s">
        <v>3709</v>
      </c>
      <c r="K1466" s="112" t="s">
        <v>4237</v>
      </c>
      <c r="L1466" s="116">
        <v>787.75</v>
      </c>
      <c r="M1466" s="116">
        <f t="shared" si="22"/>
        <v>0.78774999999999995</v>
      </c>
    </row>
    <row r="1467" spans="1:13" hidden="1" x14ac:dyDescent="0.35">
      <c r="A1467" s="112" t="s">
        <v>3616</v>
      </c>
      <c r="B1467" s="112" t="s">
        <v>921</v>
      </c>
      <c r="C1467" s="112" t="s">
        <v>695</v>
      </c>
      <c r="D1467" s="113">
        <v>10348038</v>
      </c>
      <c r="E1467" s="115">
        <v>43928</v>
      </c>
      <c r="F1467" s="114">
        <v>202101</v>
      </c>
      <c r="G1467" s="112" t="s">
        <v>1091</v>
      </c>
      <c r="H1467" s="112" t="s">
        <v>1016</v>
      </c>
      <c r="I1467" s="112" t="s">
        <v>3846</v>
      </c>
      <c r="J1467" s="112" t="s">
        <v>3709</v>
      </c>
      <c r="K1467" s="112" t="s">
        <v>4238</v>
      </c>
      <c r="L1467" s="116">
        <v>1554</v>
      </c>
      <c r="M1467" s="116">
        <f t="shared" si="22"/>
        <v>1.554</v>
      </c>
    </row>
    <row r="1468" spans="1:13" hidden="1" x14ac:dyDescent="0.35">
      <c r="A1468" s="112" t="s">
        <v>3616</v>
      </c>
      <c r="B1468" s="112" t="s">
        <v>921</v>
      </c>
      <c r="C1468" s="112" t="s">
        <v>695</v>
      </c>
      <c r="D1468" s="113">
        <v>10348038</v>
      </c>
      <c r="E1468" s="115">
        <v>43928</v>
      </c>
      <c r="F1468" s="114">
        <v>202101</v>
      </c>
      <c r="G1468" s="112" t="s">
        <v>1091</v>
      </c>
      <c r="H1468" s="112" t="s">
        <v>1016</v>
      </c>
      <c r="I1468" s="112" t="s">
        <v>3846</v>
      </c>
      <c r="J1468" s="112" t="s">
        <v>3709</v>
      </c>
      <c r="K1468" s="112" t="s">
        <v>4239</v>
      </c>
      <c r="L1468" s="116">
        <v>-1872</v>
      </c>
      <c r="M1468" s="116">
        <f t="shared" si="22"/>
        <v>-1.8720000000000001</v>
      </c>
    </row>
    <row r="1469" spans="1:13" hidden="1" x14ac:dyDescent="0.35">
      <c r="A1469" s="112" t="s">
        <v>3616</v>
      </c>
      <c r="B1469" s="112" t="s">
        <v>921</v>
      </c>
      <c r="C1469" s="112" t="s">
        <v>695</v>
      </c>
      <c r="D1469" s="113">
        <v>10348038</v>
      </c>
      <c r="E1469" s="115">
        <v>43928</v>
      </c>
      <c r="F1469" s="114">
        <v>202101</v>
      </c>
      <c r="G1469" s="112" t="s">
        <v>1091</v>
      </c>
      <c r="H1469" s="112" t="s">
        <v>1016</v>
      </c>
      <c r="I1469" s="112" t="s">
        <v>3846</v>
      </c>
      <c r="J1469" s="112" t="s">
        <v>3709</v>
      </c>
      <c r="K1469" s="112" t="s">
        <v>4240</v>
      </c>
      <c r="L1469" s="116">
        <v>-2256.38</v>
      </c>
      <c r="M1469" s="116">
        <f t="shared" si="22"/>
        <v>-2.2563800000000001</v>
      </c>
    </row>
    <row r="1470" spans="1:13" hidden="1" x14ac:dyDescent="0.35">
      <c r="A1470" s="112" t="s">
        <v>3616</v>
      </c>
      <c r="B1470" s="112" t="s">
        <v>921</v>
      </c>
      <c r="C1470" s="112" t="s">
        <v>695</v>
      </c>
      <c r="D1470" s="113">
        <v>10348038</v>
      </c>
      <c r="E1470" s="115">
        <v>43928</v>
      </c>
      <c r="F1470" s="114">
        <v>202101</v>
      </c>
      <c r="G1470" s="112" t="s">
        <v>1091</v>
      </c>
      <c r="H1470" s="112" t="s">
        <v>1016</v>
      </c>
      <c r="I1470" s="112" t="s">
        <v>3846</v>
      </c>
      <c r="J1470" s="112" t="s">
        <v>3709</v>
      </c>
      <c r="K1470" s="112" t="s">
        <v>4243</v>
      </c>
      <c r="L1470" s="116">
        <v>-350</v>
      </c>
      <c r="M1470" s="116">
        <f t="shared" si="22"/>
        <v>-0.35</v>
      </c>
    </row>
    <row r="1471" spans="1:13" hidden="1" x14ac:dyDescent="0.35">
      <c r="A1471" s="112" t="s">
        <v>3616</v>
      </c>
      <c r="B1471" s="112" t="s">
        <v>921</v>
      </c>
      <c r="C1471" s="112" t="s">
        <v>695</v>
      </c>
      <c r="D1471" s="113">
        <v>10348038</v>
      </c>
      <c r="E1471" s="115">
        <v>43928</v>
      </c>
      <c r="F1471" s="114">
        <v>202101</v>
      </c>
      <c r="G1471" s="112" t="s">
        <v>1091</v>
      </c>
      <c r="H1471" s="112" t="s">
        <v>1016</v>
      </c>
      <c r="I1471" s="112" t="s">
        <v>3846</v>
      </c>
      <c r="J1471" s="112" t="s">
        <v>3709</v>
      </c>
      <c r="K1471" s="112" t="s">
        <v>4158</v>
      </c>
      <c r="L1471" s="116">
        <v>-1704</v>
      </c>
      <c r="M1471" s="116">
        <f t="shared" si="22"/>
        <v>-1.704</v>
      </c>
    </row>
    <row r="1472" spans="1:13" hidden="1" x14ac:dyDescent="0.35">
      <c r="A1472" s="112" t="s">
        <v>3616</v>
      </c>
      <c r="B1472" s="112" t="s">
        <v>921</v>
      </c>
      <c r="C1472" s="112" t="s">
        <v>695</v>
      </c>
      <c r="D1472" s="113">
        <v>10348038</v>
      </c>
      <c r="E1472" s="115">
        <v>43928</v>
      </c>
      <c r="F1472" s="114">
        <v>202101</v>
      </c>
      <c r="G1472" s="112" t="s">
        <v>1091</v>
      </c>
      <c r="H1472" s="112" t="s">
        <v>1016</v>
      </c>
      <c r="I1472" s="112" t="s">
        <v>3846</v>
      </c>
      <c r="J1472" s="112" t="s">
        <v>3709</v>
      </c>
      <c r="K1472" s="112" t="s">
        <v>4248</v>
      </c>
      <c r="L1472" s="116">
        <v>-5480.5</v>
      </c>
      <c r="M1472" s="116">
        <f t="shared" si="22"/>
        <v>-5.4805000000000001</v>
      </c>
    </row>
    <row r="1473" spans="1:13" hidden="1" x14ac:dyDescent="0.35">
      <c r="A1473" s="112" t="s">
        <v>3616</v>
      </c>
      <c r="B1473" s="112" t="s">
        <v>921</v>
      </c>
      <c r="C1473" s="112" t="s">
        <v>695</v>
      </c>
      <c r="D1473" s="113">
        <v>10348038</v>
      </c>
      <c r="E1473" s="115">
        <v>43928</v>
      </c>
      <c r="F1473" s="114">
        <v>202101</v>
      </c>
      <c r="G1473" s="112" t="s">
        <v>1091</v>
      </c>
      <c r="H1473" s="112" t="s">
        <v>1016</v>
      </c>
      <c r="I1473" s="112" t="s">
        <v>3846</v>
      </c>
      <c r="J1473" s="112" t="s">
        <v>3709</v>
      </c>
      <c r="K1473" s="112" t="s">
        <v>4249</v>
      </c>
      <c r="L1473" s="116">
        <v>-787.5</v>
      </c>
      <c r="M1473" s="116">
        <f t="shared" si="22"/>
        <v>-0.78749999999999998</v>
      </c>
    </row>
    <row r="1474" spans="1:13" hidden="1" x14ac:dyDescent="0.35">
      <c r="A1474" s="112" t="s">
        <v>3616</v>
      </c>
      <c r="B1474" s="112" t="s">
        <v>921</v>
      </c>
      <c r="C1474" s="112" t="s">
        <v>695</v>
      </c>
      <c r="D1474" s="113">
        <v>10348038</v>
      </c>
      <c r="E1474" s="115">
        <v>43928</v>
      </c>
      <c r="F1474" s="114">
        <v>202101</v>
      </c>
      <c r="G1474" s="112" t="s">
        <v>1091</v>
      </c>
      <c r="H1474" s="112" t="s">
        <v>1016</v>
      </c>
      <c r="I1474" s="112" t="s">
        <v>3846</v>
      </c>
      <c r="J1474" s="112" t="s">
        <v>3709</v>
      </c>
      <c r="K1474" s="112" t="s">
        <v>4251</v>
      </c>
      <c r="L1474" s="116">
        <v>-560</v>
      </c>
      <c r="M1474" s="116">
        <f t="shared" si="22"/>
        <v>-0.56000000000000005</v>
      </c>
    </row>
    <row r="1475" spans="1:13" hidden="1" x14ac:dyDescent="0.35">
      <c r="A1475" s="112" t="s">
        <v>3616</v>
      </c>
      <c r="B1475" s="112" t="s">
        <v>921</v>
      </c>
      <c r="C1475" s="112" t="s">
        <v>695</v>
      </c>
      <c r="D1475" s="113">
        <v>10348038</v>
      </c>
      <c r="E1475" s="115">
        <v>43928</v>
      </c>
      <c r="F1475" s="114">
        <v>202101</v>
      </c>
      <c r="G1475" s="112" t="s">
        <v>1091</v>
      </c>
      <c r="H1475" s="112" t="s">
        <v>1016</v>
      </c>
      <c r="I1475" s="112" t="s">
        <v>3846</v>
      </c>
      <c r="J1475" s="112" t="s">
        <v>3709</v>
      </c>
      <c r="K1475" s="112" t="s">
        <v>4252</v>
      </c>
      <c r="L1475" s="116">
        <v>112.5</v>
      </c>
      <c r="M1475" s="116">
        <f t="shared" ref="M1475:M1538" si="23">L1475/1000</f>
        <v>0.1125</v>
      </c>
    </row>
    <row r="1476" spans="1:13" hidden="1" x14ac:dyDescent="0.35">
      <c r="A1476" s="112" t="s">
        <v>3616</v>
      </c>
      <c r="B1476" s="112" t="s">
        <v>921</v>
      </c>
      <c r="C1476" s="112" t="s">
        <v>695</v>
      </c>
      <c r="D1476" s="113">
        <v>10348038</v>
      </c>
      <c r="E1476" s="115">
        <v>43928</v>
      </c>
      <c r="F1476" s="114">
        <v>202101</v>
      </c>
      <c r="G1476" s="112" t="s">
        <v>1091</v>
      </c>
      <c r="H1476" s="112" t="s">
        <v>1016</v>
      </c>
      <c r="I1476" s="112" t="s">
        <v>3846</v>
      </c>
      <c r="J1476" s="112" t="s">
        <v>3709</v>
      </c>
      <c r="K1476" s="112" t="s">
        <v>4254</v>
      </c>
      <c r="L1476" s="116">
        <v>-366.88</v>
      </c>
      <c r="M1476" s="116">
        <f t="shared" si="23"/>
        <v>-0.36687999999999998</v>
      </c>
    </row>
    <row r="1477" spans="1:13" hidden="1" x14ac:dyDescent="0.35">
      <c r="A1477" s="112" t="s">
        <v>3616</v>
      </c>
      <c r="B1477" s="112" t="s">
        <v>921</v>
      </c>
      <c r="C1477" s="112" t="s">
        <v>695</v>
      </c>
      <c r="D1477" s="113">
        <v>10348038</v>
      </c>
      <c r="E1477" s="115">
        <v>43928</v>
      </c>
      <c r="F1477" s="114">
        <v>202101</v>
      </c>
      <c r="G1477" s="112" t="s">
        <v>1091</v>
      </c>
      <c r="H1477" s="112" t="s">
        <v>1016</v>
      </c>
      <c r="I1477" s="112" t="s">
        <v>3846</v>
      </c>
      <c r="J1477" s="112" t="s">
        <v>3709</v>
      </c>
      <c r="K1477" s="112" t="s">
        <v>4255</v>
      </c>
      <c r="L1477" s="116">
        <v>-1900</v>
      </c>
      <c r="M1477" s="116">
        <f t="shared" si="23"/>
        <v>-1.9</v>
      </c>
    </row>
    <row r="1478" spans="1:13" hidden="1" x14ac:dyDescent="0.35">
      <c r="A1478" s="112" t="s">
        <v>3616</v>
      </c>
      <c r="B1478" s="112" t="s">
        <v>921</v>
      </c>
      <c r="C1478" s="112" t="s">
        <v>695</v>
      </c>
      <c r="D1478" s="113">
        <v>10348038</v>
      </c>
      <c r="E1478" s="115">
        <v>43928</v>
      </c>
      <c r="F1478" s="114">
        <v>202101</v>
      </c>
      <c r="G1478" s="112" t="s">
        <v>1091</v>
      </c>
      <c r="H1478" s="112" t="s">
        <v>1016</v>
      </c>
      <c r="I1478" s="112" t="s">
        <v>3899</v>
      </c>
      <c r="J1478" s="112" t="s">
        <v>3709</v>
      </c>
      <c r="K1478" s="112" t="s">
        <v>4256</v>
      </c>
      <c r="L1478" s="116">
        <v>-337.5</v>
      </c>
      <c r="M1478" s="116">
        <f t="shared" si="23"/>
        <v>-0.33750000000000002</v>
      </c>
    </row>
    <row r="1479" spans="1:13" hidden="1" x14ac:dyDescent="0.35">
      <c r="A1479" s="112" t="s">
        <v>3616</v>
      </c>
      <c r="B1479" s="112" t="s">
        <v>921</v>
      </c>
      <c r="C1479" s="112" t="s">
        <v>695</v>
      </c>
      <c r="D1479" s="113">
        <v>10348038</v>
      </c>
      <c r="E1479" s="115">
        <v>43928</v>
      </c>
      <c r="F1479" s="114">
        <v>202101</v>
      </c>
      <c r="G1479" s="112" t="s">
        <v>1091</v>
      </c>
      <c r="H1479" s="112" t="s">
        <v>1016</v>
      </c>
      <c r="I1479" s="112" t="s">
        <v>3846</v>
      </c>
      <c r="J1479" s="112" t="s">
        <v>3709</v>
      </c>
      <c r="K1479" s="112" t="s">
        <v>4258</v>
      </c>
      <c r="L1479" s="116">
        <v>-2132.5</v>
      </c>
      <c r="M1479" s="116">
        <f t="shared" si="23"/>
        <v>-2.1324999999999998</v>
      </c>
    </row>
    <row r="1480" spans="1:13" hidden="1" x14ac:dyDescent="0.35">
      <c r="A1480" s="112" t="s">
        <v>3616</v>
      </c>
      <c r="B1480" s="112" t="s">
        <v>921</v>
      </c>
      <c r="C1480" s="112" t="s">
        <v>695</v>
      </c>
      <c r="D1480" s="113">
        <v>10348038</v>
      </c>
      <c r="E1480" s="115">
        <v>43928</v>
      </c>
      <c r="F1480" s="114">
        <v>202101</v>
      </c>
      <c r="G1480" s="112" t="s">
        <v>1091</v>
      </c>
      <c r="H1480" s="112" t="s">
        <v>1016</v>
      </c>
      <c r="I1480" s="112" t="s">
        <v>3846</v>
      </c>
      <c r="J1480" s="112" t="s">
        <v>3709</v>
      </c>
      <c r="K1480" s="112" t="s">
        <v>4260</v>
      </c>
      <c r="L1480" s="116">
        <v>597.6</v>
      </c>
      <c r="M1480" s="116">
        <f t="shared" si="23"/>
        <v>0.59760000000000002</v>
      </c>
    </row>
    <row r="1481" spans="1:13" hidden="1" x14ac:dyDescent="0.35">
      <c r="A1481" s="112" t="s">
        <v>3616</v>
      </c>
      <c r="B1481" s="112" t="s">
        <v>921</v>
      </c>
      <c r="C1481" s="112" t="s">
        <v>695</v>
      </c>
      <c r="D1481" s="113">
        <v>10348038</v>
      </c>
      <c r="E1481" s="115">
        <v>43928</v>
      </c>
      <c r="F1481" s="114">
        <v>202101</v>
      </c>
      <c r="G1481" s="112" t="s">
        <v>1091</v>
      </c>
      <c r="H1481" s="112" t="s">
        <v>1016</v>
      </c>
      <c r="I1481" s="112" t="s">
        <v>3846</v>
      </c>
      <c r="J1481" s="112" t="s">
        <v>3709</v>
      </c>
      <c r="K1481" s="112" t="s">
        <v>4261</v>
      </c>
      <c r="L1481" s="116">
        <v>1319.25</v>
      </c>
      <c r="M1481" s="116">
        <f t="shared" si="23"/>
        <v>1.31925</v>
      </c>
    </row>
    <row r="1482" spans="1:13" hidden="1" x14ac:dyDescent="0.35">
      <c r="A1482" s="112" t="s">
        <v>3616</v>
      </c>
      <c r="B1482" s="112" t="s">
        <v>921</v>
      </c>
      <c r="C1482" s="112" t="s">
        <v>695</v>
      </c>
      <c r="D1482" s="113">
        <v>10348038</v>
      </c>
      <c r="E1482" s="115">
        <v>43928</v>
      </c>
      <c r="F1482" s="114">
        <v>202101</v>
      </c>
      <c r="G1482" s="112" t="s">
        <v>1091</v>
      </c>
      <c r="H1482" s="112" t="s">
        <v>1016</v>
      </c>
      <c r="I1482" s="112" t="s">
        <v>3846</v>
      </c>
      <c r="J1482" s="112" t="s">
        <v>3709</v>
      </c>
      <c r="K1482" s="112" t="s">
        <v>4262</v>
      </c>
      <c r="L1482" s="116">
        <v>-733.75</v>
      </c>
      <c r="M1482" s="116">
        <f t="shared" si="23"/>
        <v>-0.73375000000000001</v>
      </c>
    </row>
    <row r="1483" spans="1:13" hidden="1" x14ac:dyDescent="0.35">
      <c r="A1483" s="112" t="s">
        <v>3616</v>
      </c>
      <c r="B1483" s="112" t="s">
        <v>921</v>
      </c>
      <c r="C1483" s="112" t="s">
        <v>695</v>
      </c>
      <c r="D1483" s="113">
        <v>10348038</v>
      </c>
      <c r="E1483" s="115">
        <v>43928</v>
      </c>
      <c r="F1483" s="114">
        <v>202101</v>
      </c>
      <c r="G1483" s="112" t="s">
        <v>1091</v>
      </c>
      <c r="H1483" s="112" t="s">
        <v>1016</v>
      </c>
      <c r="I1483" s="112" t="s">
        <v>3846</v>
      </c>
      <c r="J1483" s="112" t="s">
        <v>3709</v>
      </c>
      <c r="K1483" s="112" t="s">
        <v>4263</v>
      </c>
      <c r="L1483" s="116">
        <v>-150</v>
      </c>
      <c r="M1483" s="116">
        <f t="shared" si="23"/>
        <v>-0.15</v>
      </c>
    </row>
    <row r="1484" spans="1:13" hidden="1" x14ac:dyDescent="0.35">
      <c r="A1484" s="112" t="s">
        <v>3616</v>
      </c>
      <c r="B1484" s="112" t="s">
        <v>921</v>
      </c>
      <c r="C1484" s="112" t="s">
        <v>695</v>
      </c>
      <c r="D1484" s="113">
        <v>10348038</v>
      </c>
      <c r="E1484" s="115">
        <v>43928</v>
      </c>
      <c r="F1484" s="114">
        <v>202101</v>
      </c>
      <c r="G1484" s="112" t="s">
        <v>1091</v>
      </c>
      <c r="H1484" s="112" t="s">
        <v>1016</v>
      </c>
      <c r="I1484" s="112" t="s">
        <v>3846</v>
      </c>
      <c r="J1484" s="112" t="s">
        <v>3709</v>
      </c>
      <c r="K1484" s="112" t="s">
        <v>4264</v>
      </c>
      <c r="L1484" s="116">
        <v>-715</v>
      </c>
      <c r="M1484" s="116">
        <f t="shared" si="23"/>
        <v>-0.71499999999999997</v>
      </c>
    </row>
    <row r="1485" spans="1:13" hidden="1" x14ac:dyDescent="0.35">
      <c r="A1485" s="112" t="s">
        <v>3616</v>
      </c>
      <c r="B1485" s="112" t="s">
        <v>921</v>
      </c>
      <c r="C1485" s="112" t="s">
        <v>695</v>
      </c>
      <c r="D1485" s="113">
        <v>10348038</v>
      </c>
      <c r="E1485" s="115">
        <v>43928</v>
      </c>
      <c r="F1485" s="114">
        <v>202101</v>
      </c>
      <c r="G1485" s="112" t="s">
        <v>1091</v>
      </c>
      <c r="H1485" s="112" t="s">
        <v>1016</v>
      </c>
      <c r="I1485" s="112" t="s">
        <v>3846</v>
      </c>
      <c r="J1485" s="112" t="s">
        <v>3709</v>
      </c>
      <c r="K1485" s="112" t="s">
        <v>4143</v>
      </c>
      <c r="L1485" s="116">
        <v>-90</v>
      </c>
      <c r="M1485" s="116">
        <f t="shared" si="23"/>
        <v>-0.09</v>
      </c>
    </row>
    <row r="1486" spans="1:13" hidden="1" x14ac:dyDescent="0.35">
      <c r="A1486" s="112" t="s">
        <v>3616</v>
      </c>
      <c r="B1486" s="112" t="s">
        <v>921</v>
      </c>
      <c r="C1486" s="112" t="s">
        <v>695</v>
      </c>
      <c r="D1486" s="113">
        <v>10348038</v>
      </c>
      <c r="E1486" s="115">
        <v>43928</v>
      </c>
      <c r="F1486" s="114">
        <v>202101</v>
      </c>
      <c r="G1486" s="112" t="s">
        <v>1091</v>
      </c>
      <c r="H1486" s="112" t="s">
        <v>1016</v>
      </c>
      <c r="I1486" s="112" t="s">
        <v>3846</v>
      </c>
      <c r="J1486" s="112" t="s">
        <v>3709</v>
      </c>
      <c r="K1486" s="112" t="s">
        <v>4265</v>
      </c>
      <c r="L1486" s="116">
        <v>-1365</v>
      </c>
      <c r="M1486" s="116">
        <f t="shared" si="23"/>
        <v>-1.365</v>
      </c>
    </row>
    <row r="1487" spans="1:13" hidden="1" x14ac:dyDescent="0.35">
      <c r="A1487" s="112" t="s">
        <v>3616</v>
      </c>
      <c r="B1487" s="112" t="s">
        <v>921</v>
      </c>
      <c r="C1487" s="112" t="s">
        <v>695</v>
      </c>
      <c r="D1487" s="113">
        <v>10348038</v>
      </c>
      <c r="E1487" s="115">
        <v>43928</v>
      </c>
      <c r="F1487" s="114">
        <v>202101</v>
      </c>
      <c r="G1487" s="112" t="s">
        <v>1091</v>
      </c>
      <c r="H1487" s="112" t="s">
        <v>1016</v>
      </c>
      <c r="I1487" s="112" t="s">
        <v>3846</v>
      </c>
      <c r="J1487" s="112" t="s">
        <v>3709</v>
      </c>
      <c r="K1487" s="112" t="s">
        <v>4266</v>
      </c>
      <c r="L1487" s="116">
        <v>-810</v>
      </c>
      <c r="M1487" s="116">
        <f t="shared" si="23"/>
        <v>-0.81</v>
      </c>
    </row>
    <row r="1488" spans="1:13" hidden="1" x14ac:dyDescent="0.35">
      <c r="A1488" s="112" t="s">
        <v>3616</v>
      </c>
      <c r="B1488" s="112" t="s">
        <v>921</v>
      </c>
      <c r="C1488" s="112" t="s">
        <v>695</v>
      </c>
      <c r="D1488" s="113">
        <v>10348038</v>
      </c>
      <c r="E1488" s="115">
        <v>43928</v>
      </c>
      <c r="F1488" s="114">
        <v>202101</v>
      </c>
      <c r="G1488" s="112" t="s">
        <v>1091</v>
      </c>
      <c r="H1488" s="112" t="s">
        <v>1016</v>
      </c>
      <c r="I1488" s="112" t="s">
        <v>3846</v>
      </c>
      <c r="J1488" s="112" t="s">
        <v>3709</v>
      </c>
      <c r="K1488" s="112" t="s">
        <v>4267</v>
      </c>
      <c r="L1488" s="116">
        <v>-1395</v>
      </c>
      <c r="M1488" s="116">
        <f t="shared" si="23"/>
        <v>-1.395</v>
      </c>
    </row>
    <row r="1489" spans="1:13" hidden="1" x14ac:dyDescent="0.35">
      <c r="A1489" s="112" t="s">
        <v>3616</v>
      </c>
      <c r="B1489" s="112" t="s">
        <v>921</v>
      </c>
      <c r="C1489" s="112" t="s">
        <v>695</v>
      </c>
      <c r="D1489" s="113">
        <v>10348038</v>
      </c>
      <c r="E1489" s="115">
        <v>43928</v>
      </c>
      <c r="F1489" s="114">
        <v>202101</v>
      </c>
      <c r="G1489" s="112" t="s">
        <v>1091</v>
      </c>
      <c r="H1489" s="112" t="s">
        <v>1016</v>
      </c>
      <c r="I1489" s="112" t="s">
        <v>3899</v>
      </c>
      <c r="J1489" s="112" t="s">
        <v>3709</v>
      </c>
      <c r="K1489" s="112" t="s">
        <v>4268</v>
      </c>
      <c r="L1489" s="116">
        <v>137.5</v>
      </c>
      <c r="M1489" s="116">
        <f t="shared" si="23"/>
        <v>0.13750000000000001</v>
      </c>
    </row>
    <row r="1490" spans="1:13" hidden="1" x14ac:dyDescent="0.35">
      <c r="A1490" s="112" t="s">
        <v>3616</v>
      </c>
      <c r="B1490" s="112" t="s">
        <v>921</v>
      </c>
      <c r="C1490" s="112" t="s">
        <v>695</v>
      </c>
      <c r="D1490" s="113">
        <v>10348038</v>
      </c>
      <c r="E1490" s="115">
        <v>43928</v>
      </c>
      <c r="F1490" s="114">
        <v>202101</v>
      </c>
      <c r="G1490" s="112" t="s">
        <v>1091</v>
      </c>
      <c r="H1490" s="112" t="s">
        <v>1016</v>
      </c>
      <c r="I1490" s="112" t="s">
        <v>3899</v>
      </c>
      <c r="J1490" s="112" t="s">
        <v>3709</v>
      </c>
      <c r="K1490" s="112" t="s">
        <v>4269</v>
      </c>
      <c r="L1490" s="116">
        <v>-137.5</v>
      </c>
      <c r="M1490" s="116">
        <f t="shared" si="23"/>
        <v>-0.13750000000000001</v>
      </c>
    </row>
    <row r="1491" spans="1:13" hidden="1" x14ac:dyDescent="0.35">
      <c r="A1491" s="112" t="s">
        <v>3616</v>
      </c>
      <c r="B1491" s="112" t="s">
        <v>921</v>
      </c>
      <c r="C1491" s="112" t="s">
        <v>695</v>
      </c>
      <c r="D1491" s="113">
        <v>10348038</v>
      </c>
      <c r="E1491" s="115">
        <v>43928</v>
      </c>
      <c r="F1491" s="114">
        <v>202101</v>
      </c>
      <c r="G1491" s="112" t="s">
        <v>1091</v>
      </c>
      <c r="H1491" s="112" t="s">
        <v>1016</v>
      </c>
      <c r="I1491" s="112" t="s">
        <v>819</v>
      </c>
      <c r="J1491" s="112" t="s">
        <v>3709</v>
      </c>
      <c r="K1491" s="112" t="s">
        <v>4210</v>
      </c>
      <c r="L1491" s="116">
        <v>-240</v>
      </c>
      <c r="M1491" s="116">
        <f t="shared" si="23"/>
        <v>-0.24</v>
      </c>
    </row>
    <row r="1492" spans="1:13" hidden="1" x14ac:dyDescent="0.35">
      <c r="A1492" s="112" t="s">
        <v>3616</v>
      </c>
      <c r="B1492" s="112" t="s">
        <v>921</v>
      </c>
      <c r="C1492" s="112" t="s">
        <v>695</v>
      </c>
      <c r="D1492" s="113">
        <v>10348038</v>
      </c>
      <c r="E1492" s="115">
        <v>43928</v>
      </c>
      <c r="F1492" s="114">
        <v>202101</v>
      </c>
      <c r="G1492" s="112" t="s">
        <v>1091</v>
      </c>
      <c r="H1492" s="112" t="s">
        <v>1016</v>
      </c>
      <c r="I1492" s="112" t="s">
        <v>3846</v>
      </c>
      <c r="J1492" s="112" t="s">
        <v>3709</v>
      </c>
      <c r="K1492" s="112" t="s">
        <v>4270</v>
      </c>
      <c r="L1492" s="116">
        <v>-1053.06</v>
      </c>
      <c r="M1492" s="116">
        <f t="shared" si="23"/>
        <v>-1.0530599999999999</v>
      </c>
    </row>
    <row r="1493" spans="1:13" hidden="1" x14ac:dyDescent="0.35">
      <c r="A1493" s="112" t="s">
        <v>3616</v>
      </c>
      <c r="B1493" s="112" t="s">
        <v>921</v>
      </c>
      <c r="C1493" s="112" t="s">
        <v>695</v>
      </c>
      <c r="D1493" s="113">
        <v>10348038</v>
      </c>
      <c r="E1493" s="115">
        <v>43928</v>
      </c>
      <c r="F1493" s="114">
        <v>202101</v>
      </c>
      <c r="G1493" s="112" t="s">
        <v>1091</v>
      </c>
      <c r="H1493" s="112" t="s">
        <v>1016</v>
      </c>
      <c r="I1493" s="112" t="s">
        <v>3846</v>
      </c>
      <c r="J1493" s="112" t="s">
        <v>3709</v>
      </c>
      <c r="K1493" s="112" t="s">
        <v>4271</v>
      </c>
      <c r="L1493" s="116">
        <v>-320</v>
      </c>
      <c r="M1493" s="116">
        <f t="shared" si="23"/>
        <v>-0.32</v>
      </c>
    </row>
    <row r="1494" spans="1:13" hidden="1" x14ac:dyDescent="0.35">
      <c r="A1494" s="112" t="s">
        <v>3616</v>
      </c>
      <c r="B1494" s="112" t="s">
        <v>921</v>
      </c>
      <c r="C1494" s="112" t="s">
        <v>695</v>
      </c>
      <c r="D1494" s="113">
        <v>10348038</v>
      </c>
      <c r="E1494" s="115">
        <v>43928</v>
      </c>
      <c r="F1494" s="114">
        <v>202101</v>
      </c>
      <c r="G1494" s="112" t="s">
        <v>1091</v>
      </c>
      <c r="H1494" s="112" t="s">
        <v>1016</v>
      </c>
      <c r="I1494" s="112" t="s">
        <v>3846</v>
      </c>
      <c r="J1494" s="112" t="s">
        <v>3709</v>
      </c>
      <c r="K1494" s="112" t="s">
        <v>4272</v>
      </c>
      <c r="L1494" s="116">
        <v>-1995</v>
      </c>
      <c r="M1494" s="116">
        <f t="shared" si="23"/>
        <v>-1.9950000000000001</v>
      </c>
    </row>
    <row r="1495" spans="1:13" hidden="1" x14ac:dyDescent="0.35">
      <c r="A1495" s="112" t="s">
        <v>3616</v>
      </c>
      <c r="B1495" s="112" t="s">
        <v>921</v>
      </c>
      <c r="C1495" s="112" t="s">
        <v>695</v>
      </c>
      <c r="D1495" s="113">
        <v>10348038</v>
      </c>
      <c r="E1495" s="115">
        <v>43928</v>
      </c>
      <c r="F1495" s="114">
        <v>202101</v>
      </c>
      <c r="G1495" s="112" t="s">
        <v>1091</v>
      </c>
      <c r="H1495" s="112" t="s">
        <v>1016</v>
      </c>
      <c r="I1495" s="112" t="s">
        <v>3846</v>
      </c>
      <c r="J1495" s="112" t="s">
        <v>3709</v>
      </c>
      <c r="K1495" s="112" t="s">
        <v>4273</v>
      </c>
      <c r="L1495" s="116">
        <v>320</v>
      </c>
      <c r="M1495" s="116">
        <f t="shared" si="23"/>
        <v>0.32</v>
      </c>
    </row>
    <row r="1496" spans="1:13" hidden="1" x14ac:dyDescent="0.35">
      <c r="A1496" s="112" t="s">
        <v>3616</v>
      </c>
      <c r="B1496" s="112" t="s">
        <v>921</v>
      </c>
      <c r="C1496" s="112" t="s">
        <v>695</v>
      </c>
      <c r="D1496" s="113">
        <v>10348038</v>
      </c>
      <c r="E1496" s="115">
        <v>43928</v>
      </c>
      <c r="F1496" s="114">
        <v>202101</v>
      </c>
      <c r="G1496" s="112" t="s">
        <v>1091</v>
      </c>
      <c r="H1496" s="112" t="s">
        <v>1016</v>
      </c>
      <c r="I1496" s="112" t="s">
        <v>3846</v>
      </c>
      <c r="J1496" s="112" t="s">
        <v>3709</v>
      </c>
      <c r="K1496" s="112" t="s">
        <v>4274</v>
      </c>
      <c r="L1496" s="116">
        <v>-1089</v>
      </c>
      <c r="M1496" s="116">
        <f t="shared" si="23"/>
        <v>-1.089</v>
      </c>
    </row>
    <row r="1497" spans="1:13" hidden="1" x14ac:dyDescent="0.35">
      <c r="A1497" s="112" t="s">
        <v>3616</v>
      </c>
      <c r="B1497" s="112" t="s">
        <v>921</v>
      </c>
      <c r="C1497" s="112" t="s">
        <v>695</v>
      </c>
      <c r="D1497" s="113">
        <v>10348038</v>
      </c>
      <c r="E1497" s="115">
        <v>43928</v>
      </c>
      <c r="F1497" s="114">
        <v>202101</v>
      </c>
      <c r="G1497" s="112" t="s">
        <v>1091</v>
      </c>
      <c r="H1497" s="112" t="s">
        <v>1016</v>
      </c>
      <c r="I1497" s="112" t="s">
        <v>3846</v>
      </c>
      <c r="J1497" s="112" t="s">
        <v>3709</v>
      </c>
      <c r="K1497" s="112" t="s">
        <v>4275</v>
      </c>
      <c r="L1497" s="116">
        <v>-393.88</v>
      </c>
      <c r="M1497" s="116">
        <f t="shared" si="23"/>
        <v>-0.39388000000000001</v>
      </c>
    </row>
    <row r="1498" spans="1:13" hidden="1" x14ac:dyDescent="0.35">
      <c r="A1498" s="112" t="s">
        <v>3616</v>
      </c>
      <c r="B1498" s="112" t="s">
        <v>921</v>
      </c>
      <c r="C1498" s="112" t="s">
        <v>695</v>
      </c>
      <c r="D1498" s="113">
        <v>10348038</v>
      </c>
      <c r="E1498" s="115">
        <v>43928</v>
      </c>
      <c r="F1498" s="114">
        <v>202101</v>
      </c>
      <c r="G1498" s="112" t="s">
        <v>1091</v>
      </c>
      <c r="H1498" s="112" t="s">
        <v>1016</v>
      </c>
      <c r="I1498" s="112" t="s">
        <v>3846</v>
      </c>
      <c r="J1498" s="112" t="s">
        <v>3709</v>
      </c>
      <c r="K1498" s="112" t="s">
        <v>4276</v>
      </c>
      <c r="L1498" s="116">
        <v>-1332</v>
      </c>
      <c r="M1498" s="116">
        <f t="shared" si="23"/>
        <v>-1.3320000000000001</v>
      </c>
    </row>
    <row r="1499" spans="1:13" hidden="1" x14ac:dyDescent="0.35">
      <c r="A1499" s="112" t="s">
        <v>3616</v>
      </c>
      <c r="B1499" s="112" t="s">
        <v>921</v>
      </c>
      <c r="C1499" s="112" t="s">
        <v>695</v>
      </c>
      <c r="D1499" s="113">
        <v>10348038</v>
      </c>
      <c r="E1499" s="115">
        <v>43928</v>
      </c>
      <c r="F1499" s="114">
        <v>202101</v>
      </c>
      <c r="G1499" s="112" t="s">
        <v>1091</v>
      </c>
      <c r="H1499" s="112" t="s">
        <v>1016</v>
      </c>
      <c r="I1499" s="112" t="s">
        <v>3846</v>
      </c>
      <c r="J1499" s="112" t="s">
        <v>3709</v>
      </c>
      <c r="K1499" s="112" t="s">
        <v>4124</v>
      </c>
      <c r="L1499" s="116">
        <v>-75</v>
      </c>
      <c r="M1499" s="116">
        <f t="shared" si="23"/>
        <v>-7.4999999999999997E-2</v>
      </c>
    </row>
    <row r="1500" spans="1:13" hidden="1" x14ac:dyDescent="0.35">
      <c r="A1500" s="112" t="s">
        <v>3616</v>
      </c>
      <c r="B1500" s="112" t="s">
        <v>921</v>
      </c>
      <c r="C1500" s="112" t="s">
        <v>695</v>
      </c>
      <c r="D1500" s="113">
        <v>10348038</v>
      </c>
      <c r="E1500" s="115">
        <v>43928</v>
      </c>
      <c r="F1500" s="114">
        <v>202101</v>
      </c>
      <c r="G1500" s="112" t="s">
        <v>1091</v>
      </c>
      <c r="H1500" s="112" t="s">
        <v>1016</v>
      </c>
      <c r="I1500" s="112" t="s">
        <v>3846</v>
      </c>
      <c r="J1500" s="112" t="s">
        <v>3709</v>
      </c>
      <c r="K1500" s="112" t="s">
        <v>4277</v>
      </c>
      <c r="L1500" s="116">
        <v>-150</v>
      </c>
      <c r="M1500" s="116">
        <f t="shared" si="23"/>
        <v>-0.15</v>
      </c>
    </row>
    <row r="1501" spans="1:13" hidden="1" x14ac:dyDescent="0.35">
      <c r="A1501" s="112" t="s">
        <v>3616</v>
      </c>
      <c r="B1501" s="112" t="s">
        <v>921</v>
      </c>
      <c r="C1501" s="112" t="s">
        <v>695</v>
      </c>
      <c r="D1501" s="113">
        <v>10348038</v>
      </c>
      <c r="E1501" s="115">
        <v>43928</v>
      </c>
      <c r="F1501" s="114">
        <v>202101</v>
      </c>
      <c r="G1501" s="112" t="s">
        <v>1091</v>
      </c>
      <c r="H1501" s="112" t="s">
        <v>1016</v>
      </c>
      <c r="I1501" s="112" t="s">
        <v>819</v>
      </c>
      <c r="J1501" s="112" t="s">
        <v>3709</v>
      </c>
      <c r="K1501" s="112" t="s">
        <v>4278</v>
      </c>
      <c r="L1501" s="116">
        <v>150</v>
      </c>
      <c r="M1501" s="116">
        <f t="shared" si="23"/>
        <v>0.15</v>
      </c>
    </row>
    <row r="1502" spans="1:13" hidden="1" x14ac:dyDescent="0.35">
      <c r="A1502" s="112" t="s">
        <v>3616</v>
      </c>
      <c r="B1502" s="112" t="s">
        <v>921</v>
      </c>
      <c r="C1502" s="112" t="s">
        <v>695</v>
      </c>
      <c r="D1502" s="113">
        <v>10348038</v>
      </c>
      <c r="E1502" s="115">
        <v>43928</v>
      </c>
      <c r="F1502" s="114">
        <v>202101</v>
      </c>
      <c r="G1502" s="112" t="s">
        <v>1091</v>
      </c>
      <c r="H1502" s="112" t="s">
        <v>1016</v>
      </c>
      <c r="I1502" s="112" t="s">
        <v>3899</v>
      </c>
      <c r="J1502" s="112" t="s">
        <v>3709</v>
      </c>
      <c r="K1502" s="112" t="s">
        <v>4279</v>
      </c>
      <c r="L1502" s="116">
        <v>-262.5</v>
      </c>
      <c r="M1502" s="116">
        <f t="shared" si="23"/>
        <v>-0.26250000000000001</v>
      </c>
    </row>
    <row r="1503" spans="1:13" hidden="1" x14ac:dyDescent="0.35">
      <c r="A1503" s="112" t="s">
        <v>3616</v>
      </c>
      <c r="B1503" s="112" t="s">
        <v>921</v>
      </c>
      <c r="C1503" s="112" t="s">
        <v>695</v>
      </c>
      <c r="D1503" s="113">
        <v>10348038</v>
      </c>
      <c r="E1503" s="115">
        <v>43928</v>
      </c>
      <c r="F1503" s="114">
        <v>202101</v>
      </c>
      <c r="G1503" s="112" t="s">
        <v>1091</v>
      </c>
      <c r="H1503" s="112" t="s">
        <v>1016</v>
      </c>
      <c r="I1503" s="112" t="s">
        <v>3899</v>
      </c>
      <c r="J1503" s="112" t="s">
        <v>3709</v>
      </c>
      <c r="K1503" s="112" t="s">
        <v>4280</v>
      </c>
      <c r="L1503" s="116">
        <v>-337.5</v>
      </c>
      <c r="M1503" s="116">
        <f t="shared" si="23"/>
        <v>-0.33750000000000002</v>
      </c>
    </row>
    <row r="1504" spans="1:13" hidden="1" x14ac:dyDescent="0.35">
      <c r="A1504" s="112" t="s">
        <v>3616</v>
      </c>
      <c r="B1504" s="112" t="s">
        <v>921</v>
      </c>
      <c r="C1504" s="112" t="s">
        <v>695</v>
      </c>
      <c r="D1504" s="113">
        <v>10348038</v>
      </c>
      <c r="E1504" s="115">
        <v>43928</v>
      </c>
      <c r="F1504" s="114">
        <v>202101</v>
      </c>
      <c r="G1504" s="112" t="s">
        <v>1091</v>
      </c>
      <c r="H1504" s="112" t="s">
        <v>1016</v>
      </c>
      <c r="I1504" s="112" t="s">
        <v>3899</v>
      </c>
      <c r="J1504" s="112" t="s">
        <v>3709</v>
      </c>
      <c r="K1504" s="112" t="s">
        <v>4281</v>
      </c>
      <c r="L1504" s="116">
        <v>-262.5</v>
      </c>
      <c r="M1504" s="116">
        <f t="shared" si="23"/>
        <v>-0.26250000000000001</v>
      </c>
    </row>
    <row r="1505" spans="1:13" hidden="1" x14ac:dyDescent="0.35">
      <c r="A1505" s="112" t="s">
        <v>3616</v>
      </c>
      <c r="B1505" s="112" t="s">
        <v>921</v>
      </c>
      <c r="C1505" s="112" t="s">
        <v>695</v>
      </c>
      <c r="D1505" s="113">
        <v>10348038</v>
      </c>
      <c r="E1505" s="115">
        <v>43928</v>
      </c>
      <c r="F1505" s="114">
        <v>202101</v>
      </c>
      <c r="G1505" s="112" t="s">
        <v>1091</v>
      </c>
      <c r="H1505" s="112" t="s">
        <v>1016</v>
      </c>
      <c r="I1505" s="112" t="s">
        <v>3899</v>
      </c>
      <c r="J1505" s="112" t="s">
        <v>3709</v>
      </c>
      <c r="K1505" s="112" t="s">
        <v>4282</v>
      </c>
      <c r="L1505" s="116">
        <v>-262.5</v>
      </c>
      <c r="M1505" s="116">
        <f t="shared" si="23"/>
        <v>-0.26250000000000001</v>
      </c>
    </row>
    <row r="1506" spans="1:13" hidden="1" x14ac:dyDescent="0.35">
      <c r="A1506" s="112" t="s">
        <v>3616</v>
      </c>
      <c r="B1506" s="112" t="s">
        <v>921</v>
      </c>
      <c r="C1506" s="112" t="s">
        <v>695</v>
      </c>
      <c r="D1506" s="113">
        <v>10348038</v>
      </c>
      <c r="E1506" s="115">
        <v>43928</v>
      </c>
      <c r="F1506" s="114">
        <v>202101</v>
      </c>
      <c r="G1506" s="112" t="s">
        <v>1091</v>
      </c>
      <c r="H1506" s="112" t="s">
        <v>1016</v>
      </c>
      <c r="I1506" s="112" t="s">
        <v>3899</v>
      </c>
      <c r="J1506" s="112" t="s">
        <v>3709</v>
      </c>
      <c r="K1506" s="112" t="s">
        <v>4283</v>
      </c>
      <c r="L1506" s="116">
        <v>-262.5</v>
      </c>
      <c r="M1506" s="116">
        <f t="shared" si="23"/>
        <v>-0.26250000000000001</v>
      </c>
    </row>
    <row r="1507" spans="1:13" hidden="1" x14ac:dyDescent="0.35">
      <c r="A1507" s="112" t="s">
        <v>3616</v>
      </c>
      <c r="B1507" s="112" t="s">
        <v>921</v>
      </c>
      <c r="C1507" s="112" t="s">
        <v>695</v>
      </c>
      <c r="D1507" s="113">
        <v>10348038</v>
      </c>
      <c r="E1507" s="115">
        <v>43928</v>
      </c>
      <c r="F1507" s="114">
        <v>202101</v>
      </c>
      <c r="G1507" s="112" t="s">
        <v>1091</v>
      </c>
      <c r="H1507" s="112" t="s">
        <v>1016</v>
      </c>
      <c r="I1507" s="112" t="s">
        <v>3846</v>
      </c>
      <c r="J1507" s="112" t="s">
        <v>3709</v>
      </c>
      <c r="K1507" s="112" t="s">
        <v>3934</v>
      </c>
      <c r="L1507" s="116">
        <v>-2500</v>
      </c>
      <c r="M1507" s="116">
        <f t="shared" si="23"/>
        <v>-2.5</v>
      </c>
    </row>
    <row r="1508" spans="1:13" hidden="1" x14ac:dyDescent="0.35">
      <c r="A1508" s="112" t="s">
        <v>3616</v>
      </c>
      <c r="B1508" s="112" t="s">
        <v>921</v>
      </c>
      <c r="C1508" s="112" t="s">
        <v>695</v>
      </c>
      <c r="D1508" s="113">
        <v>10348038</v>
      </c>
      <c r="E1508" s="115">
        <v>43928</v>
      </c>
      <c r="F1508" s="114">
        <v>202101</v>
      </c>
      <c r="G1508" s="112" t="s">
        <v>1091</v>
      </c>
      <c r="H1508" s="112" t="s">
        <v>1016</v>
      </c>
      <c r="I1508" s="112" t="s">
        <v>3846</v>
      </c>
      <c r="J1508" s="112" t="s">
        <v>3709</v>
      </c>
      <c r="K1508" s="112" t="s">
        <v>4284</v>
      </c>
      <c r="L1508" s="116">
        <v>-1344</v>
      </c>
      <c r="M1508" s="116">
        <f t="shared" si="23"/>
        <v>-1.3440000000000001</v>
      </c>
    </row>
    <row r="1509" spans="1:13" hidden="1" x14ac:dyDescent="0.35">
      <c r="A1509" s="112" t="s">
        <v>3616</v>
      </c>
      <c r="B1509" s="112" t="s">
        <v>921</v>
      </c>
      <c r="C1509" s="112" t="s">
        <v>695</v>
      </c>
      <c r="D1509" s="113">
        <v>10348038</v>
      </c>
      <c r="E1509" s="115">
        <v>43928</v>
      </c>
      <c r="F1509" s="114">
        <v>202101</v>
      </c>
      <c r="G1509" s="112" t="s">
        <v>1091</v>
      </c>
      <c r="H1509" s="112" t="s">
        <v>1016</v>
      </c>
      <c r="I1509" s="112" t="s">
        <v>3846</v>
      </c>
      <c r="J1509" s="112" t="s">
        <v>3709</v>
      </c>
      <c r="K1509" s="112" t="s">
        <v>4285</v>
      </c>
      <c r="L1509" s="116">
        <v>379</v>
      </c>
      <c r="M1509" s="116">
        <f t="shared" si="23"/>
        <v>0.379</v>
      </c>
    </row>
    <row r="1510" spans="1:13" hidden="1" x14ac:dyDescent="0.35">
      <c r="A1510" s="112" t="s">
        <v>3616</v>
      </c>
      <c r="B1510" s="112" t="s">
        <v>921</v>
      </c>
      <c r="C1510" s="112" t="s">
        <v>695</v>
      </c>
      <c r="D1510" s="113">
        <v>10348038</v>
      </c>
      <c r="E1510" s="115">
        <v>43928</v>
      </c>
      <c r="F1510" s="114">
        <v>202101</v>
      </c>
      <c r="G1510" s="112" t="s">
        <v>1091</v>
      </c>
      <c r="H1510" s="112" t="s">
        <v>1016</v>
      </c>
      <c r="I1510" s="112" t="s">
        <v>3846</v>
      </c>
      <c r="J1510" s="112" t="s">
        <v>3709</v>
      </c>
      <c r="K1510" s="112" t="s">
        <v>4286</v>
      </c>
      <c r="L1510" s="116">
        <v>-1495</v>
      </c>
      <c r="M1510" s="116">
        <f t="shared" si="23"/>
        <v>-1.4950000000000001</v>
      </c>
    </row>
    <row r="1511" spans="1:13" hidden="1" x14ac:dyDescent="0.35">
      <c r="A1511" s="112" t="s">
        <v>3616</v>
      </c>
      <c r="B1511" s="112" t="s">
        <v>921</v>
      </c>
      <c r="C1511" s="112" t="s">
        <v>695</v>
      </c>
      <c r="D1511" s="113">
        <v>10348038</v>
      </c>
      <c r="E1511" s="115">
        <v>43928</v>
      </c>
      <c r="F1511" s="114">
        <v>202101</v>
      </c>
      <c r="G1511" s="112" t="s">
        <v>1091</v>
      </c>
      <c r="H1511" s="112" t="s">
        <v>1016</v>
      </c>
      <c r="I1511" s="112" t="s">
        <v>3846</v>
      </c>
      <c r="J1511" s="112" t="s">
        <v>3709</v>
      </c>
      <c r="K1511" s="112" t="s">
        <v>4287</v>
      </c>
      <c r="L1511" s="116">
        <v>-366.88</v>
      </c>
      <c r="M1511" s="116">
        <f t="shared" si="23"/>
        <v>-0.36687999999999998</v>
      </c>
    </row>
    <row r="1512" spans="1:13" hidden="1" x14ac:dyDescent="0.35">
      <c r="A1512" s="112" t="s">
        <v>3616</v>
      </c>
      <c r="B1512" s="112" t="s">
        <v>921</v>
      </c>
      <c r="C1512" s="112" t="s">
        <v>695</v>
      </c>
      <c r="D1512" s="113">
        <v>10348038</v>
      </c>
      <c r="E1512" s="115">
        <v>43928</v>
      </c>
      <c r="F1512" s="114">
        <v>202101</v>
      </c>
      <c r="G1512" s="112" t="s">
        <v>1091</v>
      </c>
      <c r="H1512" s="112" t="s">
        <v>1016</v>
      </c>
      <c r="I1512" s="112" t="s">
        <v>3846</v>
      </c>
      <c r="J1512" s="112" t="s">
        <v>3709</v>
      </c>
      <c r="K1512" s="112" t="s">
        <v>4176</v>
      </c>
      <c r="L1512" s="116">
        <v>-365</v>
      </c>
      <c r="M1512" s="116">
        <f t="shared" si="23"/>
        <v>-0.36499999999999999</v>
      </c>
    </row>
    <row r="1513" spans="1:13" hidden="1" x14ac:dyDescent="0.35">
      <c r="A1513" s="112" t="s">
        <v>3616</v>
      </c>
      <c r="B1513" s="112" t="s">
        <v>923</v>
      </c>
      <c r="C1513" s="112" t="s">
        <v>695</v>
      </c>
      <c r="D1513" s="113">
        <v>10348537</v>
      </c>
      <c r="E1513" s="115">
        <v>43951</v>
      </c>
      <c r="F1513" s="114">
        <v>202101</v>
      </c>
      <c r="G1513" s="112" t="s">
        <v>1091</v>
      </c>
      <c r="H1513" s="112" t="s">
        <v>1015</v>
      </c>
      <c r="I1513" s="112" t="s">
        <v>1605</v>
      </c>
      <c r="J1513" s="112" t="s">
        <v>3763</v>
      </c>
      <c r="K1513" s="112" t="s">
        <v>4288</v>
      </c>
      <c r="L1513" s="116">
        <v>-10818.02</v>
      </c>
      <c r="M1513" s="116">
        <f t="shared" si="23"/>
        <v>-10.818020000000001</v>
      </c>
    </row>
    <row r="1514" spans="1:13" hidden="1" x14ac:dyDescent="0.35">
      <c r="A1514" s="112" t="s">
        <v>3616</v>
      </c>
      <c r="B1514" s="112" t="s">
        <v>921</v>
      </c>
      <c r="C1514" s="112" t="s">
        <v>695</v>
      </c>
      <c r="D1514" s="113">
        <v>10348038</v>
      </c>
      <c r="E1514" s="115">
        <v>43928</v>
      </c>
      <c r="F1514" s="114">
        <v>202101</v>
      </c>
      <c r="G1514" s="112" t="s">
        <v>1091</v>
      </c>
      <c r="H1514" s="112" t="s">
        <v>1016</v>
      </c>
      <c r="I1514" s="112" t="s">
        <v>3846</v>
      </c>
      <c r="J1514" s="112" t="s">
        <v>3709</v>
      </c>
      <c r="K1514" s="112" t="s">
        <v>4289</v>
      </c>
      <c r="L1514" s="116">
        <v>-1012</v>
      </c>
      <c r="M1514" s="116">
        <f t="shared" si="23"/>
        <v>-1.012</v>
      </c>
    </row>
    <row r="1515" spans="1:13" hidden="1" x14ac:dyDescent="0.35">
      <c r="A1515" s="112" t="s">
        <v>3616</v>
      </c>
      <c r="B1515" s="112" t="s">
        <v>921</v>
      </c>
      <c r="C1515" s="112" t="s">
        <v>695</v>
      </c>
      <c r="D1515" s="113">
        <v>10348038</v>
      </c>
      <c r="E1515" s="115">
        <v>43928</v>
      </c>
      <c r="F1515" s="114">
        <v>202101</v>
      </c>
      <c r="G1515" s="112" t="s">
        <v>1091</v>
      </c>
      <c r="H1515" s="112" t="s">
        <v>1016</v>
      </c>
      <c r="I1515" s="112" t="s">
        <v>3960</v>
      </c>
      <c r="J1515" s="112" t="s">
        <v>3709</v>
      </c>
      <c r="K1515" s="112" t="s">
        <v>4290</v>
      </c>
      <c r="L1515" s="116">
        <v>3000</v>
      </c>
      <c r="M1515" s="116">
        <f t="shared" si="23"/>
        <v>3</v>
      </c>
    </row>
    <row r="1516" spans="1:13" hidden="1" x14ac:dyDescent="0.35">
      <c r="A1516" s="112" t="s">
        <v>3616</v>
      </c>
      <c r="B1516" s="112" t="s">
        <v>921</v>
      </c>
      <c r="C1516" s="112" t="s">
        <v>695</v>
      </c>
      <c r="D1516" s="113">
        <v>10348038</v>
      </c>
      <c r="E1516" s="115">
        <v>43928</v>
      </c>
      <c r="F1516" s="114">
        <v>202101</v>
      </c>
      <c r="G1516" s="112" t="s">
        <v>1091</v>
      </c>
      <c r="H1516" s="112" t="s">
        <v>1016</v>
      </c>
      <c r="I1516" s="112" t="s">
        <v>3899</v>
      </c>
      <c r="J1516" s="112" t="s">
        <v>3709</v>
      </c>
      <c r="K1516" s="112" t="s">
        <v>4291</v>
      </c>
      <c r="L1516" s="116">
        <v>-262.5</v>
      </c>
      <c r="M1516" s="116">
        <f t="shared" si="23"/>
        <v>-0.26250000000000001</v>
      </c>
    </row>
    <row r="1517" spans="1:13" hidden="1" x14ac:dyDescent="0.35">
      <c r="A1517" s="112" t="s">
        <v>3616</v>
      </c>
      <c r="B1517" s="112" t="s">
        <v>921</v>
      </c>
      <c r="C1517" s="112" t="s">
        <v>695</v>
      </c>
      <c r="D1517" s="113">
        <v>10348038</v>
      </c>
      <c r="E1517" s="115">
        <v>43928</v>
      </c>
      <c r="F1517" s="114">
        <v>202101</v>
      </c>
      <c r="G1517" s="112" t="s">
        <v>1091</v>
      </c>
      <c r="H1517" s="112" t="s">
        <v>1016</v>
      </c>
      <c r="I1517" s="112" t="s">
        <v>3899</v>
      </c>
      <c r="J1517" s="112" t="s">
        <v>3709</v>
      </c>
      <c r="K1517" s="112" t="s">
        <v>4292</v>
      </c>
      <c r="L1517" s="116">
        <v>-262.5</v>
      </c>
      <c r="M1517" s="116">
        <f t="shared" si="23"/>
        <v>-0.26250000000000001</v>
      </c>
    </row>
    <row r="1518" spans="1:13" hidden="1" x14ac:dyDescent="0.35">
      <c r="A1518" s="112" t="s">
        <v>3616</v>
      </c>
      <c r="B1518" s="112" t="s">
        <v>921</v>
      </c>
      <c r="C1518" s="112" t="s">
        <v>695</v>
      </c>
      <c r="D1518" s="113">
        <v>10348038</v>
      </c>
      <c r="E1518" s="115">
        <v>43928</v>
      </c>
      <c r="F1518" s="114">
        <v>202101</v>
      </c>
      <c r="G1518" s="112" t="s">
        <v>1091</v>
      </c>
      <c r="H1518" s="112" t="s">
        <v>1016</v>
      </c>
      <c r="I1518" s="112" t="s">
        <v>3899</v>
      </c>
      <c r="J1518" s="112" t="s">
        <v>3709</v>
      </c>
      <c r="K1518" s="112" t="s">
        <v>4293</v>
      </c>
      <c r="L1518" s="116">
        <v>-262.5</v>
      </c>
      <c r="M1518" s="116">
        <f t="shared" si="23"/>
        <v>-0.26250000000000001</v>
      </c>
    </row>
    <row r="1519" spans="1:13" hidden="1" x14ac:dyDescent="0.35">
      <c r="A1519" s="112" t="s">
        <v>3616</v>
      </c>
      <c r="B1519" s="112" t="s">
        <v>921</v>
      </c>
      <c r="C1519" s="112" t="s">
        <v>695</v>
      </c>
      <c r="D1519" s="113">
        <v>10348038</v>
      </c>
      <c r="E1519" s="115">
        <v>43928</v>
      </c>
      <c r="F1519" s="114">
        <v>202101</v>
      </c>
      <c r="G1519" s="112" t="s">
        <v>1091</v>
      </c>
      <c r="H1519" s="112" t="s">
        <v>1016</v>
      </c>
      <c r="I1519" s="112" t="s">
        <v>4103</v>
      </c>
      <c r="J1519" s="112" t="s">
        <v>3709</v>
      </c>
      <c r="K1519" s="112" t="s">
        <v>3946</v>
      </c>
      <c r="L1519" s="116">
        <v>-100</v>
      </c>
      <c r="M1519" s="116">
        <f t="shared" si="23"/>
        <v>-0.1</v>
      </c>
    </row>
    <row r="1520" spans="1:13" hidden="1" x14ac:dyDescent="0.35">
      <c r="A1520" s="112" t="s">
        <v>3616</v>
      </c>
      <c r="B1520" s="112" t="s">
        <v>921</v>
      </c>
      <c r="C1520" s="112" t="s">
        <v>695</v>
      </c>
      <c r="D1520" s="113">
        <v>10348038</v>
      </c>
      <c r="E1520" s="115">
        <v>43928</v>
      </c>
      <c r="F1520" s="114">
        <v>202101</v>
      </c>
      <c r="G1520" s="112" t="s">
        <v>1091</v>
      </c>
      <c r="H1520" s="112" t="s">
        <v>1016</v>
      </c>
      <c r="I1520" s="112" t="s">
        <v>4103</v>
      </c>
      <c r="J1520" s="112" t="s">
        <v>3709</v>
      </c>
      <c r="K1520" s="112" t="s">
        <v>4258</v>
      </c>
      <c r="L1520" s="116">
        <v>-100</v>
      </c>
      <c r="M1520" s="116">
        <f t="shared" si="23"/>
        <v>-0.1</v>
      </c>
    </row>
    <row r="1521" spans="1:13" hidden="1" x14ac:dyDescent="0.35">
      <c r="A1521" s="112" t="s">
        <v>3616</v>
      </c>
      <c r="B1521" s="112" t="s">
        <v>921</v>
      </c>
      <c r="C1521" s="112" t="s">
        <v>695</v>
      </c>
      <c r="D1521" s="113">
        <v>10348038</v>
      </c>
      <c r="E1521" s="115">
        <v>43928</v>
      </c>
      <c r="F1521" s="114">
        <v>202101</v>
      </c>
      <c r="G1521" s="112" t="s">
        <v>1091</v>
      </c>
      <c r="H1521" s="112" t="s">
        <v>1016</v>
      </c>
      <c r="I1521" s="112" t="s">
        <v>4103</v>
      </c>
      <c r="J1521" s="112" t="s">
        <v>3709</v>
      </c>
      <c r="K1521" s="112" t="s">
        <v>4133</v>
      </c>
      <c r="L1521" s="116">
        <v>100</v>
      </c>
      <c r="M1521" s="116">
        <f t="shared" si="23"/>
        <v>0.1</v>
      </c>
    </row>
    <row r="1522" spans="1:13" hidden="1" x14ac:dyDescent="0.35">
      <c r="A1522" s="112" t="s">
        <v>3616</v>
      </c>
      <c r="B1522" s="112" t="s">
        <v>921</v>
      </c>
      <c r="C1522" s="112" t="s">
        <v>695</v>
      </c>
      <c r="D1522" s="113">
        <v>10348038</v>
      </c>
      <c r="E1522" s="115">
        <v>43928</v>
      </c>
      <c r="F1522" s="114">
        <v>202101</v>
      </c>
      <c r="G1522" s="112" t="s">
        <v>1091</v>
      </c>
      <c r="H1522" s="112" t="s">
        <v>1016</v>
      </c>
      <c r="I1522" s="112" t="s">
        <v>3899</v>
      </c>
      <c r="J1522" s="112" t="s">
        <v>3709</v>
      </c>
      <c r="K1522" s="112" t="s">
        <v>4294</v>
      </c>
      <c r="L1522" s="116">
        <v>-262.5</v>
      </c>
      <c r="M1522" s="116">
        <f t="shared" si="23"/>
        <v>-0.26250000000000001</v>
      </c>
    </row>
    <row r="1523" spans="1:13" hidden="1" x14ac:dyDescent="0.35">
      <c r="A1523" s="112" t="s">
        <v>3616</v>
      </c>
      <c r="B1523" s="112" t="s">
        <v>921</v>
      </c>
      <c r="C1523" s="112" t="s">
        <v>695</v>
      </c>
      <c r="D1523" s="113">
        <v>10348038</v>
      </c>
      <c r="E1523" s="115">
        <v>43928</v>
      </c>
      <c r="F1523" s="114">
        <v>202101</v>
      </c>
      <c r="G1523" s="112" t="s">
        <v>1091</v>
      </c>
      <c r="H1523" s="112" t="s">
        <v>1016</v>
      </c>
      <c r="I1523" s="112" t="s">
        <v>3899</v>
      </c>
      <c r="J1523" s="112" t="s">
        <v>3709</v>
      </c>
      <c r="K1523" s="112" t="s">
        <v>4210</v>
      </c>
      <c r="L1523" s="116">
        <v>-1057.5</v>
      </c>
      <c r="M1523" s="116">
        <f t="shared" si="23"/>
        <v>-1.0575000000000001</v>
      </c>
    </row>
    <row r="1524" spans="1:13" hidden="1" x14ac:dyDescent="0.35">
      <c r="A1524" s="112" t="s">
        <v>3616</v>
      </c>
      <c r="B1524" s="112" t="s">
        <v>921</v>
      </c>
      <c r="C1524" s="112" t="s">
        <v>695</v>
      </c>
      <c r="D1524" s="113">
        <v>10348038</v>
      </c>
      <c r="E1524" s="115">
        <v>43928</v>
      </c>
      <c r="F1524" s="114">
        <v>202101</v>
      </c>
      <c r="G1524" s="112" t="s">
        <v>1091</v>
      </c>
      <c r="H1524" s="112" t="s">
        <v>1016</v>
      </c>
      <c r="I1524" s="112" t="s">
        <v>3899</v>
      </c>
      <c r="J1524" s="112" t="s">
        <v>3709</v>
      </c>
      <c r="K1524" s="112" t="s">
        <v>4295</v>
      </c>
      <c r="L1524" s="116">
        <v>-262.5</v>
      </c>
      <c r="M1524" s="116">
        <f t="shared" si="23"/>
        <v>-0.26250000000000001</v>
      </c>
    </row>
    <row r="1525" spans="1:13" hidden="1" x14ac:dyDescent="0.35">
      <c r="A1525" s="112" t="s">
        <v>3616</v>
      </c>
      <c r="B1525" s="112" t="s">
        <v>921</v>
      </c>
      <c r="C1525" s="112" t="s">
        <v>695</v>
      </c>
      <c r="D1525" s="113">
        <v>10348038</v>
      </c>
      <c r="E1525" s="115">
        <v>43928</v>
      </c>
      <c r="F1525" s="114">
        <v>202101</v>
      </c>
      <c r="G1525" s="112" t="s">
        <v>1091</v>
      </c>
      <c r="H1525" s="112" t="s">
        <v>1016</v>
      </c>
      <c r="I1525" s="112" t="s">
        <v>3899</v>
      </c>
      <c r="J1525" s="112" t="s">
        <v>3709</v>
      </c>
      <c r="K1525" s="112" t="s">
        <v>4296</v>
      </c>
      <c r="L1525" s="116">
        <v>-236.25</v>
      </c>
      <c r="M1525" s="116">
        <f t="shared" si="23"/>
        <v>-0.23624999999999999</v>
      </c>
    </row>
    <row r="1526" spans="1:13" hidden="1" x14ac:dyDescent="0.35">
      <c r="A1526" s="112" t="s">
        <v>3616</v>
      </c>
      <c r="B1526" s="112" t="s">
        <v>921</v>
      </c>
      <c r="C1526" s="112" t="s">
        <v>695</v>
      </c>
      <c r="D1526" s="113">
        <v>10348038</v>
      </c>
      <c r="E1526" s="115">
        <v>43928</v>
      </c>
      <c r="F1526" s="114">
        <v>202101</v>
      </c>
      <c r="G1526" s="112" t="s">
        <v>1091</v>
      </c>
      <c r="H1526" s="112" t="s">
        <v>1016</v>
      </c>
      <c r="I1526" s="112" t="s">
        <v>3899</v>
      </c>
      <c r="J1526" s="112" t="s">
        <v>3709</v>
      </c>
      <c r="K1526" s="112" t="s">
        <v>4297</v>
      </c>
      <c r="L1526" s="116">
        <v>-137.5</v>
      </c>
      <c r="M1526" s="116">
        <f t="shared" si="23"/>
        <v>-0.13750000000000001</v>
      </c>
    </row>
    <row r="1527" spans="1:13" hidden="1" x14ac:dyDescent="0.35">
      <c r="A1527" s="112" t="s">
        <v>3616</v>
      </c>
      <c r="B1527" s="112" t="s">
        <v>921</v>
      </c>
      <c r="C1527" s="112" t="s">
        <v>695</v>
      </c>
      <c r="D1527" s="113">
        <v>10348038</v>
      </c>
      <c r="E1527" s="115">
        <v>43928</v>
      </c>
      <c r="F1527" s="114">
        <v>202101</v>
      </c>
      <c r="G1527" s="112" t="s">
        <v>1091</v>
      </c>
      <c r="H1527" s="112" t="s">
        <v>1016</v>
      </c>
      <c r="I1527" s="112" t="s">
        <v>3846</v>
      </c>
      <c r="J1527" s="112" t="s">
        <v>3709</v>
      </c>
      <c r="K1527" s="112" t="s">
        <v>4298</v>
      </c>
      <c r="L1527" s="116">
        <v>1085</v>
      </c>
      <c r="M1527" s="116">
        <f t="shared" si="23"/>
        <v>1.085</v>
      </c>
    </row>
    <row r="1528" spans="1:13" hidden="1" x14ac:dyDescent="0.35">
      <c r="A1528" s="112" t="s">
        <v>3616</v>
      </c>
      <c r="B1528" s="112" t="s">
        <v>921</v>
      </c>
      <c r="C1528" s="112" t="s">
        <v>695</v>
      </c>
      <c r="D1528" s="113">
        <v>10348038</v>
      </c>
      <c r="E1528" s="115">
        <v>43928</v>
      </c>
      <c r="F1528" s="114">
        <v>202101</v>
      </c>
      <c r="G1528" s="112" t="s">
        <v>1091</v>
      </c>
      <c r="H1528" s="112" t="s">
        <v>1016</v>
      </c>
      <c r="I1528" s="112" t="s">
        <v>3846</v>
      </c>
      <c r="J1528" s="112" t="s">
        <v>3709</v>
      </c>
      <c r="K1528" s="112" t="s">
        <v>4299</v>
      </c>
      <c r="L1528" s="116">
        <v>-1126</v>
      </c>
      <c r="M1528" s="116">
        <f t="shared" si="23"/>
        <v>-1.1259999999999999</v>
      </c>
    </row>
    <row r="1529" spans="1:13" hidden="1" x14ac:dyDescent="0.35">
      <c r="A1529" s="112" t="s">
        <v>3616</v>
      </c>
      <c r="B1529" s="112" t="s">
        <v>921</v>
      </c>
      <c r="C1529" s="112" t="s">
        <v>695</v>
      </c>
      <c r="D1529" s="113">
        <v>10348038</v>
      </c>
      <c r="E1529" s="115">
        <v>43928</v>
      </c>
      <c r="F1529" s="114">
        <v>202101</v>
      </c>
      <c r="G1529" s="112" t="s">
        <v>1091</v>
      </c>
      <c r="H1529" s="112" t="s">
        <v>1016</v>
      </c>
      <c r="I1529" s="112" t="s">
        <v>3846</v>
      </c>
      <c r="J1529" s="112" t="s">
        <v>3709</v>
      </c>
      <c r="K1529" s="112" t="s">
        <v>4176</v>
      </c>
      <c r="L1529" s="116">
        <v>-365</v>
      </c>
      <c r="M1529" s="116">
        <f t="shared" si="23"/>
        <v>-0.36499999999999999</v>
      </c>
    </row>
    <row r="1530" spans="1:13" hidden="1" x14ac:dyDescent="0.35">
      <c r="A1530" s="112" t="s">
        <v>3616</v>
      </c>
      <c r="B1530" s="112" t="s">
        <v>921</v>
      </c>
      <c r="C1530" s="112" t="s">
        <v>695</v>
      </c>
      <c r="D1530" s="113">
        <v>10348038</v>
      </c>
      <c r="E1530" s="115">
        <v>43928</v>
      </c>
      <c r="F1530" s="114">
        <v>202101</v>
      </c>
      <c r="G1530" s="112" t="s">
        <v>1091</v>
      </c>
      <c r="H1530" s="112" t="s">
        <v>1016</v>
      </c>
      <c r="I1530" s="112" t="s">
        <v>3846</v>
      </c>
      <c r="J1530" s="112" t="s">
        <v>3709</v>
      </c>
      <c r="K1530" s="112" t="s">
        <v>4300</v>
      </c>
      <c r="L1530" s="116">
        <v>-365</v>
      </c>
      <c r="M1530" s="116">
        <f t="shared" si="23"/>
        <v>-0.36499999999999999</v>
      </c>
    </row>
    <row r="1531" spans="1:13" hidden="1" x14ac:dyDescent="0.35">
      <c r="A1531" s="112" t="s">
        <v>3616</v>
      </c>
      <c r="B1531" s="112" t="s">
        <v>921</v>
      </c>
      <c r="C1531" s="112" t="s">
        <v>695</v>
      </c>
      <c r="D1531" s="113">
        <v>10348038</v>
      </c>
      <c r="E1531" s="115">
        <v>43928</v>
      </c>
      <c r="F1531" s="114">
        <v>202101</v>
      </c>
      <c r="G1531" s="112" t="s">
        <v>1091</v>
      </c>
      <c r="H1531" s="112" t="s">
        <v>1016</v>
      </c>
      <c r="I1531" s="112" t="s">
        <v>3846</v>
      </c>
      <c r="J1531" s="112" t="s">
        <v>3709</v>
      </c>
      <c r="K1531" s="112" t="s">
        <v>4301</v>
      </c>
      <c r="L1531" s="116">
        <v>-365</v>
      </c>
      <c r="M1531" s="116">
        <f t="shared" si="23"/>
        <v>-0.36499999999999999</v>
      </c>
    </row>
    <row r="1532" spans="1:13" hidden="1" x14ac:dyDescent="0.35">
      <c r="A1532" s="112" t="s">
        <v>3616</v>
      </c>
      <c r="B1532" s="112" t="s">
        <v>921</v>
      </c>
      <c r="C1532" s="112" t="s">
        <v>695</v>
      </c>
      <c r="D1532" s="113">
        <v>10348038</v>
      </c>
      <c r="E1532" s="115">
        <v>43928</v>
      </c>
      <c r="F1532" s="114">
        <v>202101</v>
      </c>
      <c r="G1532" s="112" t="s">
        <v>1091</v>
      </c>
      <c r="H1532" s="112" t="s">
        <v>1016</v>
      </c>
      <c r="I1532" s="112" t="s">
        <v>3846</v>
      </c>
      <c r="J1532" s="112" t="s">
        <v>3709</v>
      </c>
      <c r="K1532" s="112" t="s">
        <v>4302</v>
      </c>
      <c r="L1532" s="116">
        <v>-1310</v>
      </c>
      <c r="M1532" s="116">
        <f t="shared" si="23"/>
        <v>-1.31</v>
      </c>
    </row>
    <row r="1533" spans="1:13" hidden="1" x14ac:dyDescent="0.35">
      <c r="A1533" s="112" t="s">
        <v>3616</v>
      </c>
      <c r="B1533" s="112" t="s">
        <v>921</v>
      </c>
      <c r="C1533" s="112" t="s">
        <v>695</v>
      </c>
      <c r="D1533" s="113">
        <v>10348038</v>
      </c>
      <c r="E1533" s="115">
        <v>43928</v>
      </c>
      <c r="F1533" s="114">
        <v>202101</v>
      </c>
      <c r="G1533" s="112" t="s">
        <v>1091</v>
      </c>
      <c r="H1533" s="112" t="s">
        <v>1016</v>
      </c>
      <c r="I1533" s="112" t="s">
        <v>3846</v>
      </c>
      <c r="J1533" s="112" t="s">
        <v>3709</v>
      </c>
      <c r="K1533" s="112" t="s">
        <v>4303</v>
      </c>
      <c r="L1533" s="116">
        <v>-1500</v>
      </c>
      <c r="M1533" s="116">
        <f t="shared" si="23"/>
        <v>-1.5</v>
      </c>
    </row>
    <row r="1534" spans="1:13" hidden="1" x14ac:dyDescent="0.35">
      <c r="A1534" s="112" t="s">
        <v>3616</v>
      </c>
      <c r="B1534" s="112" t="s">
        <v>921</v>
      </c>
      <c r="C1534" s="112" t="s">
        <v>695</v>
      </c>
      <c r="D1534" s="113">
        <v>10348038</v>
      </c>
      <c r="E1534" s="115">
        <v>43928</v>
      </c>
      <c r="F1534" s="114">
        <v>202101</v>
      </c>
      <c r="G1534" s="112" t="s">
        <v>1091</v>
      </c>
      <c r="H1534" s="112" t="s">
        <v>1016</v>
      </c>
      <c r="I1534" s="112" t="s">
        <v>3846</v>
      </c>
      <c r="J1534" s="112" t="s">
        <v>3709</v>
      </c>
      <c r="K1534" s="112" t="s">
        <v>4304</v>
      </c>
      <c r="L1534" s="116">
        <v>-2410</v>
      </c>
      <c r="M1534" s="116">
        <f t="shared" si="23"/>
        <v>-2.41</v>
      </c>
    </row>
    <row r="1535" spans="1:13" hidden="1" x14ac:dyDescent="0.35">
      <c r="A1535" s="112" t="s">
        <v>3616</v>
      </c>
      <c r="B1535" s="112" t="s">
        <v>921</v>
      </c>
      <c r="C1535" s="112" t="s">
        <v>695</v>
      </c>
      <c r="D1535" s="113">
        <v>10348038</v>
      </c>
      <c r="E1535" s="115">
        <v>43928</v>
      </c>
      <c r="F1535" s="114">
        <v>202101</v>
      </c>
      <c r="G1535" s="112" t="s">
        <v>1091</v>
      </c>
      <c r="H1535" s="112" t="s">
        <v>1016</v>
      </c>
      <c r="I1535" s="112" t="s">
        <v>3846</v>
      </c>
      <c r="J1535" s="112" t="s">
        <v>3709</v>
      </c>
      <c r="K1535" s="112" t="s">
        <v>4305</v>
      </c>
      <c r="L1535" s="116">
        <v>-351.88</v>
      </c>
      <c r="M1535" s="116">
        <f t="shared" si="23"/>
        <v>-0.35187999999999997</v>
      </c>
    </row>
    <row r="1536" spans="1:13" hidden="1" x14ac:dyDescent="0.35">
      <c r="A1536" s="112" t="s">
        <v>3616</v>
      </c>
      <c r="B1536" s="112" t="s">
        <v>921</v>
      </c>
      <c r="C1536" s="112" t="s">
        <v>695</v>
      </c>
      <c r="D1536" s="113">
        <v>10348038</v>
      </c>
      <c r="E1536" s="115">
        <v>43928</v>
      </c>
      <c r="F1536" s="114">
        <v>202101</v>
      </c>
      <c r="G1536" s="112" t="s">
        <v>1091</v>
      </c>
      <c r="H1536" s="112" t="s">
        <v>1016</v>
      </c>
      <c r="I1536" s="112" t="s">
        <v>3846</v>
      </c>
      <c r="J1536" s="112" t="s">
        <v>3709</v>
      </c>
      <c r="K1536" s="112" t="s">
        <v>4306</v>
      </c>
      <c r="L1536" s="116">
        <v>-1145</v>
      </c>
      <c r="M1536" s="116">
        <f t="shared" si="23"/>
        <v>-1.145</v>
      </c>
    </row>
    <row r="1537" spans="1:13" hidden="1" x14ac:dyDescent="0.35">
      <c r="A1537" s="112" t="s">
        <v>3616</v>
      </c>
      <c r="B1537" s="112" t="s">
        <v>921</v>
      </c>
      <c r="C1537" s="112" t="s">
        <v>695</v>
      </c>
      <c r="D1537" s="113">
        <v>10348038</v>
      </c>
      <c r="E1537" s="115">
        <v>43928</v>
      </c>
      <c r="F1537" s="114">
        <v>202101</v>
      </c>
      <c r="G1537" s="112" t="s">
        <v>1091</v>
      </c>
      <c r="H1537" s="112" t="s">
        <v>1016</v>
      </c>
      <c r="I1537" s="112" t="s">
        <v>3846</v>
      </c>
      <c r="J1537" s="112" t="s">
        <v>3709</v>
      </c>
      <c r="K1537" s="112" t="s">
        <v>4307</v>
      </c>
      <c r="L1537" s="116">
        <v>2410</v>
      </c>
      <c r="M1537" s="116">
        <f t="shared" si="23"/>
        <v>2.41</v>
      </c>
    </row>
    <row r="1538" spans="1:13" hidden="1" x14ac:dyDescent="0.35">
      <c r="A1538" s="112" t="s">
        <v>3616</v>
      </c>
      <c r="B1538" s="112" t="s">
        <v>921</v>
      </c>
      <c r="C1538" s="112" t="s">
        <v>695</v>
      </c>
      <c r="D1538" s="113">
        <v>10348038</v>
      </c>
      <c r="E1538" s="115">
        <v>43928</v>
      </c>
      <c r="F1538" s="114">
        <v>202101</v>
      </c>
      <c r="G1538" s="112" t="s">
        <v>1091</v>
      </c>
      <c r="H1538" s="112" t="s">
        <v>1016</v>
      </c>
      <c r="I1538" s="112" t="s">
        <v>3899</v>
      </c>
      <c r="J1538" s="112" t="s">
        <v>3709</v>
      </c>
      <c r="K1538" s="112" t="s">
        <v>4308</v>
      </c>
      <c r="L1538" s="116">
        <v>-262.5</v>
      </c>
      <c r="M1538" s="116">
        <f t="shared" si="23"/>
        <v>-0.26250000000000001</v>
      </c>
    </row>
    <row r="1539" spans="1:13" hidden="1" x14ac:dyDescent="0.35">
      <c r="A1539" s="112" t="s">
        <v>3616</v>
      </c>
      <c r="B1539" s="112" t="s">
        <v>921</v>
      </c>
      <c r="C1539" s="112" t="s">
        <v>695</v>
      </c>
      <c r="D1539" s="113">
        <v>10348038</v>
      </c>
      <c r="E1539" s="115">
        <v>43928</v>
      </c>
      <c r="F1539" s="114">
        <v>202101</v>
      </c>
      <c r="G1539" s="112" t="s">
        <v>1091</v>
      </c>
      <c r="H1539" s="112" t="s">
        <v>1016</v>
      </c>
      <c r="I1539" s="112" t="s">
        <v>3899</v>
      </c>
      <c r="J1539" s="112" t="s">
        <v>3709</v>
      </c>
      <c r="K1539" s="112" t="s">
        <v>4309</v>
      </c>
      <c r="L1539" s="116">
        <v>-1563.75</v>
      </c>
      <c r="M1539" s="116">
        <f t="shared" ref="M1539:M1602" si="24">L1539/1000</f>
        <v>-1.56375</v>
      </c>
    </row>
    <row r="1540" spans="1:13" hidden="1" x14ac:dyDescent="0.35">
      <c r="A1540" s="112" t="s">
        <v>3616</v>
      </c>
      <c r="B1540" s="112" t="s">
        <v>921</v>
      </c>
      <c r="C1540" s="112" t="s">
        <v>695</v>
      </c>
      <c r="D1540" s="113">
        <v>10348038</v>
      </c>
      <c r="E1540" s="115">
        <v>43928</v>
      </c>
      <c r="F1540" s="114">
        <v>202101</v>
      </c>
      <c r="G1540" s="112" t="s">
        <v>1091</v>
      </c>
      <c r="H1540" s="112" t="s">
        <v>1016</v>
      </c>
      <c r="I1540" s="112" t="s">
        <v>3899</v>
      </c>
      <c r="J1540" s="112" t="s">
        <v>3709</v>
      </c>
      <c r="K1540" s="112" t="s">
        <v>4310</v>
      </c>
      <c r="L1540" s="116">
        <v>-836.25</v>
      </c>
      <c r="M1540" s="116">
        <f t="shared" si="24"/>
        <v>-0.83625000000000005</v>
      </c>
    </row>
    <row r="1541" spans="1:13" hidden="1" x14ac:dyDescent="0.35">
      <c r="A1541" s="112" t="s">
        <v>3616</v>
      </c>
      <c r="B1541" s="112" t="s">
        <v>921</v>
      </c>
      <c r="C1541" s="112" t="s">
        <v>695</v>
      </c>
      <c r="D1541" s="113">
        <v>10348038</v>
      </c>
      <c r="E1541" s="115">
        <v>43928</v>
      </c>
      <c r="F1541" s="114">
        <v>202101</v>
      </c>
      <c r="G1541" s="112" t="s">
        <v>1091</v>
      </c>
      <c r="H1541" s="112" t="s">
        <v>1016</v>
      </c>
      <c r="I1541" s="112" t="s">
        <v>3846</v>
      </c>
      <c r="J1541" s="112" t="s">
        <v>3709</v>
      </c>
      <c r="K1541" s="112" t="s">
        <v>4311</v>
      </c>
      <c r="L1541" s="116">
        <v>-1350</v>
      </c>
      <c r="M1541" s="116">
        <f t="shared" si="24"/>
        <v>-1.35</v>
      </c>
    </row>
    <row r="1542" spans="1:13" hidden="1" x14ac:dyDescent="0.35">
      <c r="A1542" s="112" t="s">
        <v>3616</v>
      </c>
      <c r="B1542" s="112" t="s">
        <v>921</v>
      </c>
      <c r="C1542" s="112" t="s">
        <v>695</v>
      </c>
      <c r="D1542" s="113">
        <v>10348038</v>
      </c>
      <c r="E1542" s="115">
        <v>43928</v>
      </c>
      <c r="F1542" s="114">
        <v>202101</v>
      </c>
      <c r="G1542" s="112" t="s">
        <v>1091</v>
      </c>
      <c r="H1542" s="112" t="s">
        <v>1016</v>
      </c>
      <c r="I1542" s="112" t="s">
        <v>3846</v>
      </c>
      <c r="J1542" s="112" t="s">
        <v>3709</v>
      </c>
      <c r="K1542" s="112" t="s">
        <v>4312</v>
      </c>
      <c r="L1542" s="116">
        <v>-225</v>
      </c>
      <c r="M1542" s="116">
        <f t="shared" si="24"/>
        <v>-0.22500000000000001</v>
      </c>
    </row>
    <row r="1543" spans="1:13" hidden="1" x14ac:dyDescent="0.35">
      <c r="A1543" s="112" t="s">
        <v>3616</v>
      </c>
      <c r="B1543" s="112" t="s">
        <v>921</v>
      </c>
      <c r="C1543" s="112" t="s">
        <v>695</v>
      </c>
      <c r="D1543" s="113">
        <v>10348038</v>
      </c>
      <c r="E1543" s="115">
        <v>43928</v>
      </c>
      <c r="F1543" s="114">
        <v>202101</v>
      </c>
      <c r="G1543" s="112" t="s">
        <v>1091</v>
      </c>
      <c r="H1543" s="112" t="s">
        <v>1016</v>
      </c>
      <c r="I1543" s="112" t="s">
        <v>3846</v>
      </c>
      <c r="J1543" s="112" t="s">
        <v>3709</v>
      </c>
      <c r="K1543" s="112" t="s">
        <v>4313</v>
      </c>
      <c r="L1543" s="116">
        <v>-3725</v>
      </c>
      <c r="M1543" s="116">
        <f t="shared" si="24"/>
        <v>-3.7250000000000001</v>
      </c>
    </row>
    <row r="1544" spans="1:13" hidden="1" x14ac:dyDescent="0.35">
      <c r="A1544" s="112" t="s">
        <v>3616</v>
      </c>
      <c r="B1544" s="112" t="s">
        <v>921</v>
      </c>
      <c r="C1544" s="112" t="s">
        <v>695</v>
      </c>
      <c r="D1544" s="113">
        <v>10348038</v>
      </c>
      <c r="E1544" s="115">
        <v>43928</v>
      </c>
      <c r="F1544" s="114">
        <v>202101</v>
      </c>
      <c r="G1544" s="112" t="s">
        <v>1091</v>
      </c>
      <c r="H1544" s="112" t="s">
        <v>1016</v>
      </c>
      <c r="I1544" s="112" t="s">
        <v>3846</v>
      </c>
      <c r="J1544" s="112" t="s">
        <v>3709</v>
      </c>
      <c r="K1544" s="112" t="s">
        <v>4316</v>
      </c>
      <c r="L1544" s="116">
        <v>-187.5</v>
      </c>
      <c r="M1544" s="116">
        <f t="shared" si="24"/>
        <v>-0.1875</v>
      </c>
    </row>
    <row r="1545" spans="1:13" hidden="1" x14ac:dyDescent="0.35">
      <c r="A1545" s="112" t="s">
        <v>3616</v>
      </c>
      <c r="B1545" s="112" t="s">
        <v>921</v>
      </c>
      <c r="C1545" s="112" t="s">
        <v>695</v>
      </c>
      <c r="D1545" s="113">
        <v>10348038</v>
      </c>
      <c r="E1545" s="115">
        <v>43928</v>
      </c>
      <c r="F1545" s="114">
        <v>202101</v>
      </c>
      <c r="G1545" s="112" t="s">
        <v>1091</v>
      </c>
      <c r="H1545" s="112" t="s">
        <v>1016</v>
      </c>
      <c r="I1545" s="112" t="s">
        <v>3846</v>
      </c>
      <c r="J1545" s="112" t="s">
        <v>3709</v>
      </c>
      <c r="K1545" s="112" t="s">
        <v>4320</v>
      </c>
      <c r="L1545" s="116">
        <v>-1319.25</v>
      </c>
      <c r="M1545" s="116">
        <f t="shared" si="24"/>
        <v>-1.31925</v>
      </c>
    </row>
    <row r="1546" spans="1:13" hidden="1" x14ac:dyDescent="0.35">
      <c r="A1546" s="112" t="s">
        <v>3616</v>
      </c>
      <c r="B1546" s="112" t="s">
        <v>921</v>
      </c>
      <c r="C1546" s="112" t="s">
        <v>695</v>
      </c>
      <c r="D1546" s="113">
        <v>10348038</v>
      </c>
      <c r="E1546" s="115">
        <v>43928</v>
      </c>
      <c r="F1546" s="114">
        <v>202101</v>
      </c>
      <c r="G1546" s="112" t="s">
        <v>1091</v>
      </c>
      <c r="H1546" s="112" t="s">
        <v>1016</v>
      </c>
      <c r="I1546" s="112" t="s">
        <v>3846</v>
      </c>
      <c r="J1546" s="112" t="s">
        <v>3709</v>
      </c>
      <c r="K1546" s="112" t="s">
        <v>4104</v>
      </c>
      <c r="L1546" s="116">
        <v>-400</v>
      </c>
      <c r="M1546" s="116">
        <f t="shared" si="24"/>
        <v>-0.4</v>
      </c>
    </row>
    <row r="1547" spans="1:13" hidden="1" x14ac:dyDescent="0.35">
      <c r="A1547" s="112" t="s">
        <v>3616</v>
      </c>
      <c r="B1547" s="112" t="s">
        <v>921</v>
      </c>
      <c r="C1547" s="112" t="s">
        <v>695</v>
      </c>
      <c r="D1547" s="113">
        <v>10348038</v>
      </c>
      <c r="E1547" s="115">
        <v>43928</v>
      </c>
      <c r="F1547" s="114">
        <v>202101</v>
      </c>
      <c r="G1547" s="112" t="s">
        <v>1091</v>
      </c>
      <c r="H1547" s="112" t="s">
        <v>1016</v>
      </c>
      <c r="I1547" s="112" t="s">
        <v>3846</v>
      </c>
      <c r="J1547" s="112" t="s">
        <v>3709</v>
      </c>
      <c r="K1547" s="112" t="s">
        <v>4330</v>
      </c>
      <c r="L1547" s="116">
        <v>-4600</v>
      </c>
      <c r="M1547" s="116">
        <f t="shared" si="24"/>
        <v>-4.5999999999999996</v>
      </c>
    </row>
    <row r="1548" spans="1:13" hidden="1" x14ac:dyDescent="0.35">
      <c r="A1548" s="112" t="s">
        <v>3616</v>
      </c>
      <c r="B1548" s="112" t="s">
        <v>921</v>
      </c>
      <c r="C1548" s="112" t="s">
        <v>695</v>
      </c>
      <c r="D1548" s="113">
        <v>10348038</v>
      </c>
      <c r="E1548" s="115">
        <v>43928</v>
      </c>
      <c r="F1548" s="114">
        <v>202101</v>
      </c>
      <c r="G1548" s="112" t="s">
        <v>1091</v>
      </c>
      <c r="H1548" s="112" t="s">
        <v>1016</v>
      </c>
      <c r="I1548" s="112" t="s">
        <v>3846</v>
      </c>
      <c r="J1548" s="112" t="s">
        <v>3709</v>
      </c>
      <c r="K1548" s="112" t="s">
        <v>4331</v>
      </c>
      <c r="L1548" s="116">
        <v>1704</v>
      </c>
      <c r="M1548" s="116">
        <f t="shared" si="24"/>
        <v>1.704</v>
      </c>
    </row>
    <row r="1549" spans="1:13" hidden="1" x14ac:dyDescent="0.35">
      <c r="A1549" s="112" t="s">
        <v>3616</v>
      </c>
      <c r="B1549" s="112" t="s">
        <v>921</v>
      </c>
      <c r="C1549" s="112" t="s">
        <v>695</v>
      </c>
      <c r="D1549" s="113">
        <v>10348038</v>
      </c>
      <c r="E1549" s="115">
        <v>43928</v>
      </c>
      <c r="F1549" s="114">
        <v>202101</v>
      </c>
      <c r="G1549" s="112" t="s">
        <v>1091</v>
      </c>
      <c r="H1549" s="112" t="s">
        <v>1016</v>
      </c>
      <c r="I1549" s="112" t="s">
        <v>3846</v>
      </c>
      <c r="J1549" s="112" t="s">
        <v>3709</v>
      </c>
      <c r="K1549" s="112" t="s">
        <v>4333</v>
      </c>
      <c r="L1549" s="116">
        <v>1795</v>
      </c>
      <c r="M1549" s="116">
        <f t="shared" si="24"/>
        <v>1.7949999999999999</v>
      </c>
    </row>
    <row r="1550" spans="1:13" hidden="1" x14ac:dyDescent="0.35">
      <c r="A1550" s="112" t="s">
        <v>3616</v>
      </c>
      <c r="B1550" s="112" t="s">
        <v>921</v>
      </c>
      <c r="C1550" s="112" t="s">
        <v>695</v>
      </c>
      <c r="D1550" s="113">
        <v>10348038</v>
      </c>
      <c r="E1550" s="115">
        <v>43928</v>
      </c>
      <c r="F1550" s="114">
        <v>202101</v>
      </c>
      <c r="G1550" s="112" t="s">
        <v>1091</v>
      </c>
      <c r="H1550" s="112" t="s">
        <v>1016</v>
      </c>
      <c r="I1550" s="112" t="s">
        <v>3899</v>
      </c>
      <c r="J1550" s="112" t="s">
        <v>3709</v>
      </c>
      <c r="K1550" s="112" t="s">
        <v>4334</v>
      </c>
      <c r="L1550" s="116">
        <v>-262.5</v>
      </c>
      <c r="M1550" s="116">
        <f t="shared" si="24"/>
        <v>-0.26250000000000001</v>
      </c>
    </row>
    <row r="1551" spans="1:13" hidden="1" x14ac:dyDescent="0.35">
      <c r="A1551" s="112" t="s">
        <v>3616</v>
      </c>
      <c r="B1551" s="112" t="s">
        <v>921</v>
      </c>
      <c r="C1551" s="112" t="s">
        <v>695</v>
      </c>
      <c r="D1551" s="113">
        <v>10348038</v>
      </c>
      <c r="E1551" s="115">
        <v>43928</v>
      </c>
      <c r="F1551" s="114">
        <v>202101</v>
      </c>
      <c r="G1551" s="112" t="s">
        <v>1091</v>
      </c>
      <c r="H1551" s="112" t="s">
        <v>1016</v>
      </c>
      <c r="I1551" s="112" t="s">
        <v>3899</v>
      </c>
      <c r="J1551" s="112" t="s">
        <v>3709</v>
      </c>
      <c r="K1551" s="112" t="s">
        <v>4335</v>
      </c>
      <c r="L1551" s="116">
        <v>-262.5</v>
      </c>
      <c r="M1551" s="116">
        <f t="shared" si="24"/>
        <v>-0.26250000000000001</v>
      </c>
    </row>
    <row r="1552" spans="1:13" hidden="1" x14ac:dyDescent="0.35">
      <c r="A1552" s="112" t="s">
        <v>3616</v>
      </c>
      <c r="B1552" s="112" t="s">
        <v>921</v>
      </c>
      <c r="C1552" s="112" t="s">
        <v>695</v>
      </c>
      <c r="D1552" s="113">
        <v>10348038</v>
      </c>
      <c r="E1552" s="115">
        <v>43928</v>
      </c>
      <c r="F1552" s="114">
        <v>202101</v>
      </c>
      <c r="G1552" s="112" t="s">
        <v>1091</v>
      </c>
      <c r="H1552" s="112" t="s">
        <v>1016</v>
      </c>
      <c r="I1552" s="112" t="s">
        <v>3899</v>
      </c>
      <c r="J1552" s="112" t="s">
        <v>3709</v>
      </c>
      <c r="K1552" s="112" t="s">
        <v>4338</v>
      </c>
      <c r="L1552" s="116">
        <v>-137.5</v>
      </c>
      <c r="M1552" s="116">
        <f t="shared" si="24"/>
        <v>-0.13750000000000001</v>
      </c>
    </row>
    <row r="1553" spans="1:13" hidden="1" x14ac:dyDescent="0.35">
      <c r="A1553" s="112" t="s">
        <v>3616</v>
      </c>
      <c r="B1553" s="112" t="s">
        <v>921</v>
      </c>
      <c r="C1553" s="112" t="s">
        <v>695</v>
      </c>
      <c r="D1553" s="113">
        <v>10348038</v>
      </c>
      <c r="E1553" s="115">
        <v>43928</v>
      </c>
      <c r="F1553" s="114">
        <v>202101</v>
      </c>
      <c r="G1553" s="112" t="s">
        <v>1091</v>
      </c>
      <c r="H1553" s="112" t="s">
        <v>1016</v>
      </c>
      <c r="I1553" s="112" t="s">
        <v>3899</v>
      </c>
      <c r="J1553" s="112" t="s">
        <v>3709</v>
      </c>
      <c r="K1553" s="112" t="s">
        <v>4340</v>
      </c>
      <c r="L1553" s="116">
        <v>-262.5</v>
      </c>
      <c r="M1553" s="116">
        <f t="shared" si="24"/>
        <v>-0.26250000000000001</v>
      </c>
    </row>
    <row r="1554" spans="1:13" hidden="1" x14ac:dyDescent="0.35">
      <c r="A1554" s="112" t="s">
        <v>3616</v>
      </c>
      <c r="B1554" s="112" t="s">
        <v>921</v>
      </c>
      <c r="C1554" s="112" t="s">
        <v>695</v>
      </c>
      <c r="D1554" s="113">
        <v>10348038</v>
      </c>
      <c r="E1554" s="115">
        <v>43928</v>
      </c>
      <c r="F1554" s="114">
        <v>202101</v>
      </c>
      <c r="G1554" s="112" t="s">
        <v>1091</v>
      </c>
      <c r="H1554" s="112" t="s">
        <v>1016</v>
      </c>
      <c r="I1554" s="112" t="s">
        <v>3846</v>
      </c>
      <c r="J1554" s="112" t="s">
        <v>3709</v>
      </c>
      <c r="K1554" s="112" t="s">
        <v>4342</v>
      </c>
      <c r="L1554" s="116">
        <v>-1322.85</v>
      </c>
      <c r="M1554" s="116">
        <f t="shared" si="24"/>
        <v>-1.3228499999999999</v>
      </c>
    </row>
    <row r="1555" spans="1:13" hidden="1" x14ac:dyDescent="0.35">
      <c r="A1555" s="112" t="s">
        <v>3616</v>
      </c>
      <c r="B1555" s="112" t="s">
        <v>921</v>
      </c>
      <c r="C1555" s="112" t="s">
        <v>695</v>
      </c>
      <c r="D1555" s="113">
        <v>10348038</v>
      </c>
      <c r="E1555" s="115">
        <v>43928</v>
      </c>
      <c r="F1555" s="114">
        <v>202101</v>
      </c>
      <c r="G1555" s="112" t="s">
        <v>1091</v>
      </c>
      <c r="H1555" s="112" t="s">
        <v>1016</v>
      </c>
      <c r="I1555" s="112" t="s">
        <v>3846</v>
      </c>
      <c r="J1555" s="112" t="s">
        <v>3709</v>
      </c>
      <c r="K1555" s="112" t="s">
        <v>4343</v>
      </c>
      <c r="L1555" s="116">
        <v>-307.5</v>
      </c>
      <c r="M1555" s="116">
        <f t="shared" si="24"/>
        <v>-0.3075</v>
      </c>
    </row>
    <row r="1556" spans="1:13" hidden="1" x14ac:dyDescent="0.35">
      <c r="A1556" s="112" t="s">
        <v>3616</v>
      </c>
      <c r="B1556" s="112" t="s">
        <v>921</v>
      </c>
      <c r="C1556" s="112" t="s">
        <v>695</v>
      </c>
      <c r="D1556" s="113">
        <v>10348038</v>
      </c>
      <c r="E1556" s="115">
        <v>43928</v>
      </c>
      <c r="F1556" s="114">
        <v>202101</v>
      </c>
      <c r="G1556" s="112" t="s">
        <v>1091</v>
      </c>
      <c r="H1556" s="112" t="s">
        <v>1016</v>
      </c>
      <c r="I1556" s="112" t="s">
        <v>3846</v>
      </c>
      <c r="J1556" s="112" t="s">
        <v>3709</v>
      </c>
      <c r="K1556" s="112" t="s">
        <v>4344</v>
      </c>
      <c r="L1556" s="116">
        <v>-640</v>
      </c>
      <c r="M1556" s="116">
        <f t="shared" si="24"/>
        <v>-0.64</v>
      </c>
    </row>
    <row r="1557" spans="1:13" hidden="1" x14ac:dyDescent="0.35">
      <c r="A1557" s="112" t="s">
        <v>3616</v>
      </c>
      <c r="B1557" s="112" t="s">
        <v>921</v>
      </c>
      <c r="C1557" s="112" t="s">
        <v>695</v>
      </c>
      <c r="D1557" s="113">
        <v>10348038</v>
      </c>
      <c r="E1557" s="115">
        <v>43928</v>
      </c>
      <c r="F1557" s="114">
        <v>202101</v>
      </c>
      <c r="G1557" s="112" t="s">
        <v>1091</v>
      </c>
      <c r="H1557" s="112" t="s">
        <v>1016</v>
      </c>
      <c r="I1557" s="112" t="s">
        <v>3846</v>
      </c>
      <c r="J1557" s="112" t="s">
        <v>3709</v>
      </c>
      <c r="K1557" s="112" t="s">
        <v>4347</v>
      </c>
      <c r="L1557" s="116">
        <v>1800</v>
      </c>
      <c r="M1557" s="116">
        <f t="shared" si="24"/>
        <v>1.8</v>
      </c>
    </row>
    <row r="1558" spans="1:13" hidden="1" x14ac:dyDescent="0.35">
      <c r="A1558" s="112" t="s">
        <v>3616</v>
      </c>
      <c r="B1558" s="112" t="s">
        <v>922</v>
      </c>
      <c r="C1558" s="112" t="s">
        <v>695</v>
      </c>
      <c r="D1558" s="113">
        <v>10348168</v>
      </c>
      <c r="E1558" s="115">
        <v>43929</v>
      </c>
      <c r="F1558" s="114">
        <v>202101</v>
      </c>
      <c r="G1558" s="112" t="s">
        <v>1091</v>
      </c>
      <c r="H1558" s="112" t="s">
        <v>1016</v>
      </c>
      <c r="I1558" s="112" t="s">
        <v>680</v>
      </c>
      <c r="J1558" s="112" t="s">
        <v>3863</v>
      </c>
      <c r="K1558" s="112" t="s">
        <v>4348</v>
      </c>
      <c r="L1558" s="116">
        <v>-13678.63</v>
      </c>
      <c r="M1558" s="116">
        <f t="shared" si="24"/>
        <v>-13.67863</v>
      </c>
    </row>
    <row r="1559" spans="1:13" hidden="1" x14ac:dyDescent="0.35">
      <c r="A1559" s="112" t="s">
        <v>3616</v>
      </c>
      <c r="B1559" s="112" t="s">
        <v>922</v>
      </c>
      <c r="C1559" s="112" t="s">
        <v>695</v>
      </c>
      <c r="D1559" s="113">
        <v>10348168</v>
      </c>
      <c r="E1559" s="115">
        <v>43929</v>
      </c>
      <c r="F1559" s="114">
        <v>202101</v>
      </c>
      <c r="G1559" s="112" t="s">
        <v>1091</v>
      </c>
      <c r="H1559" s="112" t="s">
        <v>1016</v>
      </c>
      <c r="I1559" s="112" t="s">
        <v>680</v>
      </c>
      <c r="J1559" s="112" t="s">
        <v>3863</v>
      </c>
      <c r="K1559" s="112" t="s">
        <v>4349</v>
      </c>
      <c r="L1559" s="116">
        <v>-4000</v>
      </c>
      <c r="M1559" s="116">
        <f t="shared" si="24"/>
        <v>-4</v>
      </c>
    </row>
    <row r="1560" spans="1:13" hidden="1" x14ac:dyDescent="0.35">
      <c r="A1560" s="112" t="s">
        <v>3616</v>
      </c>
      <c r="B1560" s="112" t="s">
        <v>922</v>
      </c>
      <c r="C1560" s="112" t="s">
        <v>695</v>
      </c>
      <c r="D1560" s="113">
        <v>10348168</v>
      </c>
      <c r="E1560" s="115">
        <v>43929</v>
      </c>
      <c r="F1560" s="114">
        <v>202101</v>
      </c>
      <c r="G1560" s="112" t="s">
        <v>1091</v>
      </c>
      <c r="H1560" s="112" t="s">
        <v>1016</v>
      </c>
      <c r="I1560" s="112" t="s">
        <v>680</v>
      </c>
      <c r="J1560" s="112" t="s">
        <v>3863</v>
      </c>
      <c r="K1560" s="112" t="s">
        <v>4350</v>
      </c>
      <c r="L1560" s="116">
        <v>-19200</v>
      </c>
      <c r="M1560" s="116">
        <f t="shared" si="24"/>
        <v>-19.2</v>
      </c>
    </row>
    <row r="1561" spans="1:13" hidden="1" x14ac:dyDescent="0.35">
      <c r="A1561" s="112" t="s">
        <v>3616</v>
      </c>
      <c r="B1561" s="112" t="s">
        <v>922</v>
      </c>
      <c r="C1561" s="112" t="s">
        <v>695</v>
      </c>
      <c r="D1561" s="113">
        <v>10348168</v>
      </c>
      <c r="E1561" s="115">
        <v>43929</v>
      </c>
      <c r="F1561" s="114">
        <v>202101</v>
      </c>
      <c r="G1561" s="112" t="s">
        <v>1091</v>
      </c>
      <c r="H1561" s="112" t="s">
        <v>1016</v>
      </c>
      <c r="I1561" s="112" t="s">
        <v>680</v>
      </c>
      <c r="J1561" s="112" t="s">
        <v>3863</v>
      </c>
      <c r="K1561" s="112" t="s">
        <v>4351</v>
      </c>
      <c r="L1561" s="116">
        <v>64342.27</v>
      </c>
      <c r="M1561" s="116">
        <f t="shared" si="24"/>
        <v>64.342269999999999</v>
      </c>
    </row>
    <row r="1562" spans="1:13" hidden="1" x14ac:dyDescent="0.35">
      <c r="A1562" s="112" t="s">
        <v>3616</v>
      </c>
      <c r="B1562" s="112" t="s">
        <v>922</v>
      </c>
      <c r="C1562" s="112" t="s">
        <v>695</v>
      </c>
      <c r="D1562" s="113">
        <v>10348168</v>
      </c>
      <c r="E1562" s="115">
        <v>43929</v>
      </c>
      <c r="F1562" s="114">
        <v>202101</v>
      </c>
      <c r="G1562" s="112" t="s">
        <v>1091</v>
      </c>
      <c r="H1562" s="112" t="s">
        <v>1016</v>
      </c>
      <c r="I1562" s="112" t="s">
        <v>680</v>
      </c>
      <c r="J1562" s="112" t="s">
        <v>3863</v>
      </c>
      <c r="K1562" s="112" t="s">
        <v>4352</v>
      </c>
      <c r="L1562" s="116">
        <v>-19710</v>
      </c>
      <c r="M1562" s="116">
        <f t="shared" si="24"/>
        <v>-19.71</v>
      </c>
    </row>
    <row r="1563" spans="1:13" hidden="1" x14ac:dyDescent="0.35">
      <c r="A1563" s="112" t="s">
        <v>3616</v>
      </c>
      <c r="B1563" s="112" t="s">
        <v>921</v>
      </c>
      <c r="C1563" s="112" t="s">
        <v>695</v>
      </c>
      <c r="D1563" s="113">
        <v>10348038</v>
      </c>
      <c r="E1563" s="115">
        <v>43928</v>
      </c>
      <c r="F1563" s="114">
        <v>202101</v>
      </c>
      <c r="G1563" s="112" t="s">
        <v>1091</v>
      </c>
      <c r="H1563" s="112" t="s">
        <v>1016</v>
      </c>
      <c r="I1563" s="112" t="s">
        <v>3846</v>
      </c>
      <c r="J1563" s="112" t="s">
        <v>3709</v>
      </c>
      <c r="K1563" s="112" t="s">
        <v>4354</v>
      </c>
      <c r="L1563" s="116">
        <v>-1995</v>
      </c>
      <c r="M1563" s="116">
        <f t="shared" si="24"/>
        <v>-1.9950000000000001</v>
      </c>
    </row>
    <row r="1564" spans="1:13" hidden="1" x14ac:dyDescent="0.35">
      <c r="A1564" s="112" t="s">
        <v>3616</v>
      </c>
      <c r="B1564" s="112" t="s">
        <v>921</v>
      </c>
      <c r="C1564" s="112" t="s">
        <v>695</v>
      </c>
      <c r="D1564" s="113">
        <v>10348038</v>
      </c>
      <c r="E1564" s="115">
        <v>43928</v>
      </c>
      <c r="F1564" s="114">
        <v>202101</v>
      </c>
      <c r="G1564" s="112" t="s">
        <v>1091</v>
      </c>
      <c r="H1564" s="112" t="s">
        <v>1016</v>
      </c>
      <c r="I1564" s="112" t="s">
        <v>3846</v>
      </c>
      <c r="J1564" s="112" t="s">
        <v>3709</v>
      </c>
      <c r="K1564" s="112" t="s">
        <v>4077</v>
      </c>
      <c r="L1564" s="116">
        <v>-2730</v>
      </c>
      <c r="M1564" s="116">
        <f t="shared" si="24"/>
        <v>-2.73</v>
      </c>
    </row>
    <row r="1565" spans="1:13" hidden="1" x14ac:dyDescent="0.35">
      <c r="A1565" s="112" t="s">
        <v>3616</v>
      </c>
      <c r="B1565" s="112" t="s">
        <v>921</v>
      </c>
      <c r="C1565" s="112" t="s">
        <v>695</v>
      </c>
      <c r="D1565" s="113">
        <v>10348038</v>
      </c>
      <c r="E1565" s="115">
        <v>43928</v>
      </c>
      <c r="F1565" s="114">
        <v>202101</v>
      </c>
      <c r="G1565" s="112" t="s">
        <v>1091</v>
      </c>
      <c r="H1565" s="112" t="s">
        <v>1016</v>
      </c>
      <c r="I1565" s="112" t="s">
        <v>3846</v>
      </c>
      <c r="J1565" s="112" t="s">
        <v>3709</v>
      </c>
      <c r="K1565" s="112" t="s">
        <v>4355</v>
      </c>
      <c r="L1565" s="116">
        <v>-9360</v>
      </c>
      <c r="M1565" s="116">
        <f t="shared" si="24"/>
        <v>-9.36</v>
      </c>
    </row>
    <row r="1566" spans="1:13" hidden="1" x14ac:dyDescent="0.35">
      <c r="A1566" s="112" t="s">
        <v>3616</v>
      </c>
      <c r="B1566" s="112" t="s">
        <v>921</v>
      </c>
      <c r="C1566" s="112" t="s">
        <v>695</v>
      </c>
      <c r="D1566" s="113">
        <v>10348038</v>
      </c>
      <c r="E1566" s="115">
        <v>43928</v>
      </c>
      <c r="F1566" s="114">
        <v>202101</v>
      </c>
      <c r="G1566" s="112" t="s">
        <v>1091</v>
      </c>
      <c r="H1566" s="112" t="s">
        <v>1016</v>
      </c>
      <c r="I1566" s="112" t="s">
        <v>3846</v>
      </c>
      <c r="J1566" s="112" t="s">
        <v>3709</v>
      </c>
      <c r="K1566" s="112" t="s">
        <v>4356</v>
      </c>
      <c r="L1566" s="116">
        <v>-949</v>
      </c>
      <c r="M1566" s="116">
        <f t="shared" si="24"/>
        <v>-0.94899999999999995</v>
      </c>
    </row>
    <row r="1567" spans="1:13" hidden="1" x14ac:dyDescent="0.35">
      <c r="A1567" s="112" t="s">
        <v>3616</v>
      </c>
      <c r="B1567" s="112" t="s">
        <v>921</v>
      </c>
      <c r="C1567" s="112" t="s">
        <v>695</v>
      </c>
      <c r="D1567" s="113">
        <v>10348038</v>
      </c>
      <c r="E1567" s="115">
        <v>43928</v>
      </c>
      <c r="F1567" s="114">
        <v>202101</v>
      </c>
      <c r="G1567" s="112" t="s">
        <v>1091</v>
      </c>
      <c r="H1567" s="112" t="s">
        <v>1016</v>
      </c>
      <c r="I1567" s="112" t="s">
        <v>3846</v>
      </c>
      <c r="J1567" s="112" t="s">
        <v>3709</v>
      </c>
      <c r="K1567" s="112" t="s">
        <v>4357</v>
      </c>
      <c r="L1567" s="116">
        <v>-1610</v>
      </c>
      <c r="M1567" s="116">
        <f t="shared" si="24"/>
        <v>-1.61</v>
      </c>
    </row>
    <row r="1568" spans="1:13" hidden="1" x14ac:dyDescent="0.35">
      <c r="A1568" s="112" t="s">
        <v>3616</v>
      </c>
      <c r="B1568" s="112" t="s">
        <v>921</v>
      </c>
      <c r="C1568" s="112" t="s">
        <v>695</v>
      </c>
      <c r="D1568" s="113">
        <v>10348038</v>
      </c>
      <c r="E1568" s="115">
        <v>43928</v>
      </c>
      <c r="F1568" s="114">
        <v>202101</v>
      </c>
      <c r="G1568" s="112" t="s">
        <v>1091</v>
      </c>
      <c r="H1568" s="112" t="s">
        <v>1016</v>
      </c>
      <c r="I1568" s="112" t="s">
        <v>3846</v>
      </c>
      <c r="J1568" s="112" t="s">
        <v>3709</v>
      </c>
      <c r="K1568" s="112" t="s">
        <v>4358</v>
      </c>
      <c r="L1568" s="116">
        <v>-910</v>
      </c>
      <c r="M1568" s="116">
        <f t="shared" si="24"/>
        <v>-0.91</v>
      </c>
    </row>
    <row r="1569" spans="1:13" hidden="1" x14ac:dyDescent="0.35">
      <c r="A1569" s="112" t="s">
        <v>3616</v>
      </c>
      <c r="B1569" s="112" t="s">
        <v>921</v>
      </c>
      <c r="C1569" s="112" t="s">
        <v>695</v>
      </c>
      <c r="D1569" s="113">
        <v>10348038</v>
      </c>
      <c r="E1569" s="115">
        <v>43928</v>
      </c>
      <c r="F1569" s="114">
        <v>202101</v>
      </c>
      <c r="G1569" s="112" t="s">
        <v>1091</v>
      </c>
      <c r="H1569" s="112" t="s">
        <v>1016</v>
      </c>
      <c r="I1569" s="112" t="s">
        <v>3846</v>
      </c>
      <c r="J1569" s="112" t="s">
        <v>3709</v>
      </c>
      <c r="K1569" s="112" t="s">
        <v>4158</v>
      </c>
      <c r="L1569" s="116">
        <v>-1704</v>
      </c>
      <c r="M1569" s="116">
        <f t="shared" si="24"/>
        <v>-1.704</v>
      </c>
    </row>
    <row r="1570" spans="1:13" hidden="1" x14ac:dyDescent="0.35">
      <c r="A1570" s="112" t="s">
        <v>3616</v>
      </c>
      <c r="B1570" s="112" t="s">
        <v>921</v>
      </c>
      <c r="C1570" s="112" t="s">
        <v>695</v>
      </c>
      <c r="D1570" s="113">
        <v>10348038</v>
      </c>
      <c r="E1570" s="115">
        <v>43928</v>
      </c>
      <c r="F1570" s="114">
        <v>202101</v>
      </c>
      <c r="G1570" s="112" t="s">
        <v>1091</v>
      </c>
      <c r="H1570" s="112" t="s">
        <v>1016</v>
      </c>
      <c r="I1570" s="112" t="s">
        <v>3846</v>
      </c>
      <c r="J1570" s="112" t="s">
        <v>3709</v>
      </c>
      <c r="K1570" s="112" t="s">
        <v>4359</v>
      </c>
      <c r="L1570" s="116">
        <v>-2040</v>
      </c>
      <c r="M1570" s="116">
        <f t="shared" si="24"/>
        <v>-2.04</v>
      </c>
    </row>
    <row r="1571" spans="1:13" hidden="1" x14ac:dyDescent="0.35">
      <c r="A1571" s="112" t="s">
        <v>3616</v>
      </c>
      <c r="B1571" s="112" t="s">
        <v>921</v>
      </c>
      <c r="C1571" s="112" t="s">
        <v>695</v>
      </c>
      <c r="D1571" s="113">
        <v>10348038</v>
      </c>
      <c r="E1571" s="115">
        <v>43928</v>
      </c>
      <c r="F1571" s="114">
        <v>202101</v>
      </c>
      <c r="G1571" s="112" t="s">
        <v>1091</v>
      </c>
      <c r="H1571" s="112" t="s">
        <v>1016</v>
      </c>
      <c r="I1571" s="112" t="s">
        <v>3846</v>
      </c>
      <c r="J1571" s="112" t="s">
        <v>3709</v>
      </c>
      <c r="K1571" s="112" t="s">
        <v>4075</v>
      </c>
      <c r="L1571" s="116">
        <v>-1435</v>
      </c>
      <c r="M1571" s="116">
        <f t="shared" si="24"/>
        <v>-1.4350000000000001</v>
      </c>
    </row>
    <row r="1572" spans="1:13" hidden="1" x14ac:dyDescent="0.35">
      <c r="A1572" s="112" t="s">
        <v>3616</v>
      </c>
      <c r="B1572" s="112" t="s">
        <v>921</v>
      </c>
      <c r="C1572" s="112" t="s">
        <v>695</v>
      </c>
      <c r="D1572" s="113">
        <v>10348038</v>
      </c>
      <c r="E1572" s="115">
        <v>43928</v>
      </c>
      <c r="F1572" s="114">
        <v>202101</v>
      </c>
      <c r="G1572" s="112" t="s">
        <v>1091</v>
      </c>
      <c r="H1572" s="112" t="s">
        <v>1016</v>
      </c>
      <c r="I1572" s="112" t="s">
        <v>3846</v>
      </c>
      <c r="J1572" s="112" t="s">
        <v>3709</v>
      </c>
      <c r="K1572" s="112" t="s">
        <v>4360</v>
      </c>
      <c r="L1572" s="116">
        <v>-455</v>
      </c>
      <c r="M1572" s="116">
        <f t="shared" si="24"/>
        <v>-0.45500000000000002</v>
      </c>
    </row>
    <row r="1573" spans="1:13" hidden="1" x14ac:dyDescent="0.35">
      <c r="A1573" s="112" t="s">
        <v>3616</v>
      </c>
      <c r="B1573" s="112" t="s">
        <v>921</v>
      </c>
      <c r="C1573" s="112" t="s">
        <v>695</v>
      </c>
      <c r="D1573" s="113">
        <v>10348038</v>
      </c>
      <c r="E1573" s="115">
        <v>43928</v>
      </c>
      <c r="F1573" s="114">
        <v>202101</v>
      </c>
      <c r="G1573" s="112" t="s">
        <v>1091</v>
      </c>
      <c r="H1573" s="112" t="s">
        <v>1016</v>
      </c>
      <c r="I1573" s="112" t="s">
        <v>3846</v>
      </c>
      <c r="J1573" s="112" t="s">
        <v>3709</v>
      </c>
      <c r="K1573" s="112" t="s">
        <v>4361</v>
      </c>
      <c r="L1573" s="116">
        <v>-556</v>
      </c>
      <c r="M1573" s="116">
        <f t="shared" si="24"/>
        <v>-0.55600000000000005</v>
      </c>
    </row>
    <row r="1574" spans="1:13" hidden="1" x14ac:dyDescent="0.35">
      <c r="A1574" s="112" t="s">
        <v>3616</v>
      </c>
      <c r="B1574" s="112" t="s">
        <v>921</v>
      </c>
      <c r="C1574" s="112" t="s">
        <v>695</v>
      </c>
      <c r="D1574" s="113">
        <v>10348038</v>
      </c>
      <c r="E1574" s="115">
        <v>43928</v>
      </c>
      <c r="F1574" s="114">
        <v>202101</v>
      </c>
      <c r="G1574" s="112" t="s">
        <v>1091</v>
      </c>
      <c r="H1574" s="112" t="s">
        <v>1016</v>
      </c>
      <c r="I1574" s="112" t="s">
        <v>3899</v>
      </c>
      <c r="J1574" s="112" t="s">
        <v>3709</v>
      </c>
      <c r="K1574" s="112" t="s">
        <v>4362</v>
      </c>
      <c r="L1574" s="116">
        <v>-1767.5</v>
      </c>
      <c r="M1574" s="116">
        <f t="shared" si="24"/>
        <v>-1.7675000000000001</v>
      </c>
    </row>
    <row r="1575" spans="1:13" hidden="1" x14ac:dyDescent="0.35">
      <c r="A1575" s="112" t="s">
        <v>3616</v>
      </c>
      <c r="B1575" s="112" t="s">
        <v>921</v>
      </c>
      <c r="C1575" s="112" t="s">
        <v>695</v>
      </c>
      <c r="D1575" s="113">
        <v>10348038</v>
      </c>
      <c r="E1575" s="115">
        <v>43928</v>
      </c>
      <c r="F1575" s="114">
        <v>202101</v>
      </c>
      <c r="G1575" s="112" t="s">
        <v>1091</v>
      </c>
      <c r="H1575" s="112" t="s">
        <v>1016</v>
      </c>
      <c r="I1575" s="112" t="s">
        <v>3846</v>
      </c>
      <c r="J1575" s="112" t="s">
        <v>3709</v>
      </c>
      <c r="K1575" s="112" t="s">
        <v>4363</v>
      </c>
      <c r="L1575" s="116">
        <v>-1795</v>
      </c>
      <c r="M1575" s="116">
        <f t="shared" si="24"/>
        <v>-1.7949999999999999</v>
      </c>
    </row>
    <row r="1576" spans="1:13" hidden="1" x14ac:dyDescent="0.35">
      <c r="A1576" s="112" t="s">
        <v>3616</v>
      </c>
      <c r="B1576" s="112" t="s">
        <v>921</v>
      </c>
      <c r="C1576" s="112" t="s">
        <v>695</v>
      </c>
      <c r="D1576" s="113">
        <v>10348038</v>
      </c>
      <c r="E1576" s="115">
        <v>43928</v>
      </c>
      <c r="F1576" s="114">
        <v>202101</v>
      </c>
      <c r="G1576" s="112" t="s">
        <v>1091</v>
      </c>
      <c r="H1576" s="112" t="s">
        <v>1016</v>
      </c>
      <c r="I1576" s="112" t="s">
        <v>3846</v>
      </c>
      <c r="J1576" s="112" t="s">
        <v>3709</v>
      </c>
      <c r="K1576" s="112" t="s">
        <v>4077</v>
      </c>
      <c r="L1576" s="116">
        <v>-1554</v>
      </c>
      <c r="M1576" s="116">
        <f t="shared" si="24"/>
        <v>-1.554</v>
      </c>
    </row>
    <row r="1577" spans="1:13" hidden="1" x14ac:dyDescent="0.35">
      <c r="A1577" s="112" t="s">
        <v>3616</v>
      </c>
      <c r="B1577" s="112" t="s">
        <v>921</v>
      </c>
      <c r="C1577" s="112" t="s">
        <v>695</v>
      </c>
      <c r="D1577" s="113">
        <v>10348038</v>
      </c>
      <c r="E1577" s="115">
        <v>43928</v>
      </c>
      <c r="F1577" s="114">
        <v>202101</v>
      </c>
      <c r="G1577" s="112" t="s">
        <v>1091</v>
      </c>
      <c r="H1577" s="112" t="s">
        <v>1016</v>
      </c>
      <c r="I1577" s="112" t="s">
        <v>3846</v>
      </c>
      <c r="J1577" s="112" t="s">
        <v>3709</v>
      </c>
      <c r="K1577" s="112" t="s">
        <v>4364</v>
      </c>
      <c r="L1577" s="116">
        <v>2500</v>
      </c>
      <c r="M1577" s="116">
        <f t="shared" si="24"/>
        <v>2.5</v>
      </c>
    </row>
    <row r="1578" spans="1:13" hidden="1" x14ac:dyDescent="0.35">
      <c r="A1578" s="112" t="s">
        <v>3616</v>
      </c>
      <c r="B1578" s="112" t="s">
        <v>921</v>
      </c>
      <c r="C1578" s="112" t="s">
        <v>695</v>
      </c>
      <c r="D1578" s="113">
        <v>10348038</v>
      </c>
      <c r="E1578" s="115">
        <v>43928</v>
      </c>
      <c r="F1578" s="114">
        <v>202101</v>
      </c>
      <c r="G1578" s="112" t="s">
        <v>1091</v>
      </c>
      <c r="H1578" s="112" t="s">
        <v>1016</v>
      </c>
      <c r="I1578" s="112" t="s">
        <v>3846</v>
      </c>
      <c r="J1578" s="112" t="s">
        <v>3709</v>
      </c>
      <c r="K1578" s="112" t="s">
        <v>4365</v>
      </c>
      <c r="L1578" s="116">
        <v>715</v>
      </c>
      <c r="M1578" s="116">
        <f t="shared" si="24"/>
        <v>0.71499999999999997</v>
      </c>
    </row>
    <row r="1579" spans="1:13" hidden="1" x14ac:dyDescent="0.35">
      <c r="A1579" s="112" t="s">
        <v>3616</v>
      </c>
      <c r="B1579" s="112" t="s">
        <v>922</v>
      </c>
      <c r="C1579" s="112" t="s">
        <v>695</v>
      </c>
      <c r="D1579" s="113">
        <v>10348539</v>
      </c>
      <c r="E1579" s="115">
        <v>43951</v>
      </c>
      <c r="F1579" s="114">
        <v>202101</v>
      </c>
      <c r="G1579" s="112" t="s">
        <v>1091</v>
      </c>
      <c r="H1579" s="112" t="s">
        <v>1015</v>
      </c>
      <c r="I1579" s="112" t="s">
        <v>4367</v>
      </c>
      <c r="J1579" s="112" t="s">
        <v>3791</v>
      </c>
      <c r="K1579" s="112" t="s">
        <v>4368</v>
      </c>
      <c r="L1579" s="116">
        <v>2350</v>
      </c>
      <c r="M1579" s="116">
        <f t="shared" si="24"/>
        <v>2.35</v>
      </c>
    </row>
    <row r="1580" spans="1:13" hidden="1" x14ac:dyDescent="0.35">
      <c r="A1580" s="112" t="s">
        <v>3616</v>
      </c>
      <c r="B1580" s="112" t="s">
        <v>919</v>
      </c>
      <c r="C1580" s="112" t="s">
        <v>695</v>
      </c>
      <c r="D1580" s="113">
        <v>10348077</v>
      </c>
      <c r="E1580" s="115">
        <v>43929</v>
      </c>
      <c r="F1580" s="114">
        <v>202101</v>
      </c>
      <c r="G1580" s="112" t="s">
        <v>1091</v>
      </c>
      <c r="H1580" s="112" t="s">
        <v>1016</v>
      </c>
      <c r="I1580" s="112" t="s">
        <v>823</v>
      </c>
      <c r="J1580" s="112" t="s">
        <v>3617</v>
      </c>
      <c r="K1580" s="112" t="s">
        <v>4213</v>
      </c>
      <c r="L1580" s="116">
        <v>-3604.08</v>
      </c>
      <c r="M1580" s="116">
        <f t="shared" si="24"/>
        <v>-3.6040799999999997</v>
      </c>
    </row>
    <row r="1581" spans="1:13" hidden="1" x14ac:dyDescent="0.35">
      <c r="A1581" s="112" t="s">
        <v>3616</v>
      </c>
      <c r="B1581" s="112" t="s">
        <v>920</v>
      </c>
      <c r="C1581" s="112" t="s">
        <v>695</v>
      </c>
      <c r="D1581" s="113">
        <v>10347981</v>
      </c>
      <c r="E1581" s="115">
        <v>43924</v>
      </c>
      <c r="F1581" s="114">
        <v>202101</v>
      </c>
      <c r="G1581" s="112" t="s">
        <v>1091</v>
      </c>
      <c r="H1581" s="112" t="s">
        <v>1015</v>
      </c>
      <c r="I1581" s="112" t="s">
        <v>761</v>
      </c>
      <c r="J1581" s="112" t="s">
        <v>3755</v>
      </c>
      <c r="K1581" s="112" t="s">
        <v>4369</v>
      </c>
      <c r="L1581" s="116">
        <v>-40</v>
      </c>
      <c r="M1581" s="116">
        <f t="shared" si="24"/>
        <v>-0.04</v>
      </c>
    </row>
    <row r="1582" spans="1:13" hidden="1" x14ac:dyDescent="0.35">
      <c r="A1582" s="112" t="s">
        <v>3616</v>
      </c>
      <c r="B1582" s="112" t="s">
        <v>921</v>
      </c>
      <c r="C1582" s="112" t="s">
        <v>695</v>
      </c>
      <c r="D1582" s="113">
        <v>10347981</v>
      </c>
      <c r="E1582" s="115">
        <v>43924</v>
      </c>
      <c r="F1582" s="114">
        <v>202101</v>
      </c>
      <c r="G1582" s="112" t="s">
        <v>1091</v>
      </c>
      <c r="H1582" s="112" t="s">
        <v>1015</v>
      </c>
      <c r="I1582" s="112" t="s">
        <v>775</v>
      </c>
      <c r="J1582" s="112" t="s">
        <v>3709</v>
      </c>
      <c r="K1582" s="112" t="s">
        <v>4370</v>
      </c>
      <c r="L1582" s="116">
        <v>-447.5</v>
      </c>
      <c r="M1582" s="116">
        <f t="shared" si="24"/>
        <v>-0.44750000000000001</v>
      </c>
    </row>
    <row r="1583" spans="1:13" hidden="1" x14ac:dyDescent="0.35">
      <c r="A1583" s="112" t="s">
        <v>3616</v>
      </c>
      <c r="B1583" s="112" t="s">
        <v>920</v>
      </c>
      <c r="C1583" s="112" t="s">
        <v>695</v>
      </c>
      <c r="D1583" s="113">
        <v>10347981</v>
      </c>
      <c r="E1583" s="115">
        <v>43924</v>
      </c>
      <c r="F1583" s="114">
        <v>202101</v>
      </c>
      <c r="G1583" s="112" t="s">
        <v>1091</v>
      </c>
      <c r="H1583" s="112" t="s">
        <v>1015</v>
      </c>
      <c r="I1583" s="112" t="s">
        <v>1182</v>
      </c>
      <c r="J1583" s="112" t="s">
        <v>4179</v>
      </c>
      <c r="K1583" s="112" t="s">
        <v>4371</v>
      </c>
      <c r="L1583" s="116">
        <v>-131.49</v>
      </c>
      <c r="M1583" s="116">
        <f t="shared" si="24"/>
        <v>-0.13149</v>
      </c>
    </row>
    <row r="1584" spans="1:13" hidden="1" x14ac:dyDescent="0.35">
      <c r="A1584" s="112" t="s">
        <v>3616</v>
      </c>
      <c r="B1584" s="112" t="s">
        <v>919</v>
      </c>
      <c r="C1584" s="112" t="s">
        <v>695</v>
      </c>
      <c r="D1584" s="113">
        <v>10347981</v>
      </c>
      <c r="E1584" s="115">
        <v>43924</v>
      </c>
      <c r="F1584" s="114">
        <v>202101</v>
      </c>
      <c r="G1584" s="112" t="s">
        <v>1091</v>
      </c>
      <c r="H1584" s="112" t="s">
        <v>1015</v>
      </c>
      <c r="I1584" s="112" t="s">
        <v>4372</v>
      </c>
      <c r="J1584" s="112" t="s">
        <v>3632</v>
      </c>
      <c r="K1584" s="112" t="s">
        <v>4373</v>
      </c>
      <c r="L1584" s="116">
        <v>-13.8</v>
      </c>
      <c r="M1584" s="116">
        <f t="shared" si="24"/>
        <v>-1.3800000000000002E-2</v>
      </c>
    </row>
    <row r="1585" spans="1:13" hidden="1" x14ac:dyDescent="0.35">
      <c r="A1585" s="112" t="s">
        <v>3616</v>
      </c>
      <c r="B1585" s="112" t="s">
        <v>922</v>
      </c>
      <c r="C1585" s="112" t="s">
        <v>695</v>
      </c>
      <c r="D1585" s="113">
        <v>10347981</v>
      </c>
      <c r="E1585" s="115">
        <v>43924</v>
      </c>
      <c r="F1585" s="114">
        <v>202101</v>
      </c>
      <c r="G1585" s="112" t="s">
        <v>1091</v>
      </c>
      <c r="H1585" s="112" t="s">
        <v>1015</v>
      </c>
      <c r="I1585" s="112" t="s">
        <v>761</v>
      </c>
      <c r="J1585" s="112" t="s">
        <v>3655</v>
      </c>
      <c r="K1585" s="112" t="s">
        <v>4374</v>
      </c>
      <c r="L1585" s="116">
        <v>-2105</v>
      </c>
      <c r="M1585" s="116">
        <f t="shared" si="24"/>
        <v>-2.105</v>
      </c>
    </row>
    <row r="1586" spans="1:13" hidden="1" x14ac:dyDescent="0.35">
      <c r="A1586" s="112" t="s">
        <v>3616</v>
      </c>
      <c r="B1586" s="112" t="s">
        <v>920</v>
      </c>
      <c r="C1586" s="112" t="s">
        <v>695</v>
      </c>
      <c r="D1586" s="113">
        <v>10347981</v>
      </c>
      <c r="E1586" s="115">
        <v>43924</v>
      </c>
      <c r="F1586" s="114">
        <v>202101</v>
      </c>
      <c r="G1586" s="112" t="s">
        <v>1091</v>
      </c>
      <c r="H1586" s="112" t="s">
        <v>1015</v>
      </c>
      <c r="I1586" s="112" t="s">
        <v>3790</v>
      </c>
      <c r="J1586" s="112" t="s">
        <v>3755</v>
      </c>
      <c r="K1586" s="112" t="s">
        <v>4375</v>
      </c>
      <c r="L1586" s="116">
        <v>-546</v>
      </c>
      <c r="M1586" s="116">
        <f t="shared" si="24"/>
        <v>-0.54600000000000004</v>
      </c>
    </row>
    <row r="1587" spans="1:13" hidden="1" x14ac:dyDescent="0.35">
      <c r="A1587" s="112" t="s">
        <v>3616</v>
      </c>
      <c r="B1587" s="112" t="s">
        <v>922</v>
      </c>
      <c r="C1587" s="112" t="s">
        <v>695</v>
      </c>
      <c r="D1587" s="113">
        <v>10347981</v>
      </c>
      <c r="E1587" s="115">
        <v>43924</v>
      </c>
      <c r="F1587" s="114">
        <v>202101</v>
      </c>
      <c r="G1587" s="112" t="s">
        <v>1091</v>
      </c>
      <c r="H1587" s="112" t="s">
        <v>1015</v>
      </c>
      <c r="I1587" s="112" t="s">
        <v>761</v>
      </c>
      <c r="J1587" s="112" t="s">
        <v>3954</v>
      </c>
      <c r="K1587" s="112" t="s">
        <v>4377</v>
      </c>
      <c r="L1587" s="116">
        <v>-446</v>
      </c>
      <c r="M1587" s="116">
        <f t="shared" si="24"/>
        <v>-0.44600000000000001</v>
      </c>
    </row>
    <row r="1588" spans="1:13" hidden="1" x14ac:dyDescent="0.35">
      <c r="A1588" s="112" t="s">
        <v>3616</v>
      </c>
      <c r="B1588" s="112" t="s">
        <v>922</v>
      </c>
      <c r="C1588" s="112" t="s">
        <v>695</v>
      </c>
      <c r="D1588" s="113">
        <v>10347981</v>
      </c>
      <c r="E1588" s="115">
        <v>43924</v>
      </c>
      <c r="F1588" s="114">
        <v>202101</v>
      </c>
      <c r="G1588" s="112" t="s">
        <v>1091</v>
      </c>
      <c r="H1588" s="112" t="s">
        <v>1015</v>
      </c>
      <c r="I1588" s="112" t="s">
        <v>761</v>
      </c>
      <c r="J1588" s="112" t="s">
        <v>3766</v>
      </c>
      <c r="K1588" s="112" t="s">
        <v>4379</v>
      </c>
      <c r="L1588" s="116">
        <v>-420</v>
      </c>
      <c r="M1588" s="116">
        <f t="shared" si="24"/>
        <v>-0.42</v>
      </c>
    </row>
    <row r="1589" spans="1:13" hidden="1" x14ac:dyDescent="0.35">
      <c r="A1589" s="112" t="s">
        <v>3616</v>
      </c>
      <c r="B1589" s="112" t="s">
        <v>922</v>
      </c>
      <c r="C1589" s="112" t="s">
        <v>695</v>
      </c>
      <c r="D1589" s="113">
        <v>10347981</v>
      </c>
      <c r="E1589" s="115">
        <v>43924</v>
      </c>
      <c r="F1589" s="114">
        <v>202101</v>
      </c>
      <c r="G1589" s="112" t="s">
        <v>1091</v>
      </c>
      <c r="H1589" s="112" t="s">
        <v>1015</v>
      </c>
      <c r="I1589" s="112" t="s">
        <v>761</v>
      </c>
      <c r="J1589" s="112" t="s">
        <v>3766</v>
      </c>
      <c r="K1589" s="112" t="s">
        <v>4380</v>
      </c>
      <c r="L1589" s="116">
        <v>-17.61</v>
      </c>
      <c r="M1589" s="116">
        <f t="shared" si="24"/>
        <v>-1.7610000000000001E-2</v>
      </c>
    </row>
    <row r="1590" spans="1:13" hidden="1" x14ac:dyDescent="0.35">
      <c r="A1590" s="112" t="s">
        <v>3616</v>
      </c>
      <c r="B1590" s="112" t="s">
        <v>922</v>
      </c>
      <c r="C1590" s="112" t="s">
        <v>695</v>
      </c>
      <c r="D1590" s="113">
        <v>10347981</v>
      </c>
      <c r="E1590" s="115">
        <v>43924</v>
      </c>
      <c r="F1590" s="114">
        <v>202101</v>
      </c>
      <c r="G1590" s="112" t="s">
        <v>1091</v>
      </c>
      <c r="H1590" s="112" t="s">
        <v>1015</v>
      </c>
      <c r="I1590" s="112" t="s">
        <v>761</v>
      </c>
      <c r="J1590" s="112" t="s">
        <v>3861</v>
      </c>
      <c r="K1590" s="112" t="s">
        <v>4381</v>
      </c>
      <c r="L1590" s="116">
        <v>-160</v>
      </c>
      <c r="M1590" s="116">
        <f t="shared" si="24"/>
        <v>-0.16</v>
      </c>
    </row>
    <row r="1591" spans="1:13" hidden="1" x14ac:dyDescent="0.35">
      <c r="A1591" s="112" t="s">
        <v>3616</v>
      </c>
      <c r="B1591" s="112" t="s">
        <v>921</v>
      </c>
      <c r="C1591" s="112" t="s">
        <v>695</v>
      </c>
      <c r="D1591" s="113">
        <v>10347981</v>
      </c>
      <c r="E1591" s="115">
        <v>43924</v>
      </c>
      <c r="F1591" s="114">
        <v>202101</v>
      </c>
      <c r="G1591" s="112" t="s">
        <v>1091</v>
      </c>
      <c r="H1591" s="112" t="s">
        <v>1015</v>
      </c>
      <c r="I1591" s="112" t="s">
        <v>1643</v>
      </c>
      <c r="J1591" s="112" t="s">
        <v>3620</v>
      </c>
      <c r="K1591" s="112" t="s">
        <v>4016</v>
      </c>
      <c r="L1591" s="116">
        <v>-18.48</v>
      </c>
      <c r="M1591" s="116">
        <f t="shared" si="24"/>
        <v>-1.848E-2</v>
      </c>
    </row>
    <row r="1592" spans="1:13" hidden="1" x14ac:dyDescent="0.35">
      <c r="A1592" s="112" t="s">
        <v>3616</v>
      </c>
      <c r="B1592" s="112" t="s">
        <v>919</v>
      </c>
      <c r="C1592" s="112" t="s">
        <v>695</v>
      </c>
      <c r="D1592" s="113">
        <v>10347981</v>
      </c>
      <c r="E1592" s="115">
        <v>43924</v>
      </c>
      <c r="F1592" s="114">
        <v>202101</v>
      </c>
      <c r="G1592" s="112" t="s">
        <v>1091</v>
      </c>
      <c r="H1592" s="112" t="s">
        <v>1015</v>
      </c>
      <c r="I1592" s="112" t="s">
        <v>2495</v>
      </c>
      <c r="J1592" s="112" t="s">
        <v>3632</v>
      </c>
      <c r="K1592" s="112" t="s">
        <v>4384</v>
      </c>
      <c r="L1592" s="116">
        <v>-150</v>
      </c>
      <c r="M1592" s="116">
        <f t="shared" si="24"/>
        <v>-0.15</v>
      </c>
    </row>
    <row r="1593" spans="1:13" hidden="1" x14ac:dyDescent="0.35">
      <c r="A1593" s="112" t="s">
        <v>3616</v>
      </c>
      <c r="B1593" s="112" t="s">
        <v>921</v>
      </c>
      <c r="C1593" s="112" t="s">
        <v>695</v>
      </c>
      <c r="D1593" s="113">
        <v>10347981</v>
      </c>
      <c r="E1593" s="115">
        <v>43924</v>
      </c>
      <c r="F1593" s="114">
        <v>202101</v>
      </c>
      <c r="G1593" s="112" t="s">
        <v>1091</v>
      </c>
      <c r="H1593" s="112" t="s">
        <v>1015</v>
      </c>
      <c r="I1593" s="112" t="s">
        <v>4386</v>
      </c>
      <c r="J1593" s="112" t="s">
        <v>3620</v>
      </c>
      <c r="K1593" s="112" t="s">
        <v>4387</v>
      </c>
      <c r="L1593" s="116">
        <v>-225.12</v>
      </c>
      <c r="M1593" s="116">
        <f t="shared" si="24"/>
        <v>-0.22512000000000001</v>
      </c>
    </row>
    <row r="1594" spans="1:13" hidden="1" x14ac:dyDescent="0.35">
      <c r="A1594" s="112" t="s">
        <v>3616</v>
      </c>
      <c r="B1594" s="112" t="s">
        <v>922</v>
      </c>
      <c r="C1594" s="112" t="s">
        <v>695</v>
      </c>
      <c r="D1594" s="113">
        <v>10347981</v>
      </c>
      <c r="E1594" s="115">
        <v>43924</v>
      </c>
      <c r="F1594" s="114">
        <v>202101</v>
      </c>
      <c r="G1594" s="112" t="s">
        <v>1091</v>
      </c>
      <c r="H1594" s="112" t="s">
        <v>1015</v>
      </c>
      <c r="I1594" s="112" t="s">
        <v>775</v>
      </c>
      <c r="J1594" s="112" t="s">
        <v>3791</v>
      </c>
      <c r="K1594" s="112" t="s">
        <v>4388</v>
      </c>
      <c r="L1594" s="116">
        <v>-185</v>
      </c>
      <c r="M1594" s="116">
        <f t="shared" si="24"/>
        <v>-0.185</v>
      </c>
    </row>
    <row r="1595" spans="1:13" hidden="1" x14ac:dyDescent="0.35">
      <c r="A1595" s="112" t="s">
        <v>3616</v>
      </c>
      <c r="B1595" s="112" t="s">
        <v>920</v>
      </c>
      <c r="C1595" s="112" t="s">
        <v>695</v>
      </c>
      <c r="D1595" s="113">
        <v>10347981</v>
      </c>
      <c r="E1595" s="115">
        <v>43924</v>
      </c>
      <c r="F1595" s="114">
        <v>202101</v>
      </c>
      <c r="G1595" s="112" t="s">
        <v>1091</v>
      </c>
      <c r="H1595" s="112" t="s">
        <v>1015</v>
      </c>
      <c r="I1595" s="112" t="s">
        <v>761</v>
      </c>
      <c r="J1595" s="112" t="s">
        <v>3755</v>
      </c>
      <c r="K1595" s="112" t="s">
        <v>4389</v>
      </c>
      <c r="L1595" s="116">
        <v>-103.5</v>
      </c>
      <c r="M1595" s="116">
        <f t="shared" si="24"/>
        <v>-0.10349999999999999</v>
      </c>
    </row>
    <row r="1596" spans="1:13" hidden="1" x14ac:dyDescent="0.35">
      <c r="A1596" s="112" t="s">
        <v>3616</v>
      </c>
      <c r="B1596" s="112" t="s">
        <v>916</v>
      </c>
      <c r="C1596" s="112" t="s">
        <v>695</v>
      </c>
      <c r="D1596" s="113">
        <v>10347981</v>
      </c>
      <c r="E1596" s="115">
        <v>43924</v>
      </c>
      <c r="F1596" s="114">
        <v>202101</v>
      </c>
      <c r="G1596" s="112" t="s">
        <v>1091</v>
      </c>
      <c r="H1596" s="112" t="s">
        <v>1015</v>
      </c>
      <c r="I1596" s="112" t="s">
        <v>1092</v>
      </c>
      <c r="J1596" s="112" t="s">
        <v>3771</v>
      </c>
      <c r="K1596" s="112" t="s">
        <v>1094</v>
      </c>
      <c r="L1596" s="116">
        <v>-51</v>
      </c>
      <c r="M1596" s="116">
        <f t="shared" si="24"/>
        <v>-5.0999999999999997E-2</v>
      </c>
    </row>
    <row r="1597" spans="1:13" hidden="1" x14ac:dyDescent="0.35">
      <c r="A1597" s="112" t="s">
        <v>3616</v>
      </c>
      <c r="B1597" s="112" t="s">
        <v>922</v>
      </c>
      <c r="C1597" s="112" t="s">
        <v>695</v>
      </c>
      <c r="D1597" s="113">
        <v>10347981</v>
      </c>
      <c r="E1597" s="115">
        <v>43924</v>
      </c>
      <c r="F1597" s="114">
        <v>202101</v>
      </c>
      <c r="G1597" s="112" t="s">
        <v>1091</v>
      </c>
      <c r="H1597" s="112" t="s">
        <v>1015</v>
      </c>
      <c r="I1597" s="112" t="s">
        <v>3742</v>
      </c>
      <c r="J1597" s="112" t="s">
        <v>3784</v>
      </c>
      <c r="K1597" s="112" t="s">
        <v>4011</v>
      </c>
      <c r="L1597" s="116">
        <v>-36.700000000000003</v>
      </c>
      <c r="M1597" s="116">
        <f t="shared" si="24"/>
        <v>-3.6700000000000003E-2</v>
      </c>
    </row>
    <row r="1598" spans="1:13" hidden="1" x14ac:dyDescent="0.35">
      <c r="A1598" s="112" t="s">
        <v>3616</v>
      </c>
      <c r="B1598" s="112" t="s">
        <v>920</v>
      </c>
      <c r="C1598" s="112" t="s">
        <v>695</v>
      </c>
      <c r="D1598" s="113">
        <v>10347981</v>
      </c>
      <c r="E1598" s="115">
        <v>43924</v>
      </c>
      <c r="F1598" s="114">
        <v>202101</v>
      </c>
      <c r="G1598" s="112" t="s">
        <v>1091</v>
      </c>
      <c r="H1598" s="112" t="s">
        <v>1015</v>
      </c>
      <c r="I1598" s="112" t="s">
        <v>3790</v>
      </c>
      <c r="J1598" s="112" t="s">
        <v>3755</v>
      </c>
      <c r="K1598" s="112" t="s">
        <v>4391</v>
      </c>
      <c r="L1598" s="116">
        <v>-70</v>
      </c>
      <c r="M1598" s="116">
        <f t="shared" si="24"/>
        <v>-7.0000000000000007E-2</v>
      </c>
    </row>
    <row r="1599" spans="1:13" hidden="1" x14ac:dyDescent="0.35">
      <c r="A1599" s="112" t="s">
        <v>3616</v>
      </c>
      <c r="B1599" s="112" t="s">
        <v>920</v>
      </c>
      <c r="C1599" s="112" t="s">
        <v>695</v>
      </c>
      <c r="D1599" s="113">
        <v>10347981</v>
      </c>
      <c r="E1599" s="115">
        <v>43924</v>
      </c>
      <c r="F1599" s="114">
        <v>202101</v>
      </c>
      <c r="G1599" s="112" t="s">
        <v>1091</v>
      </c>
      <c r="H1599" s="112" t="s">
        <v>1015</v>
      </c>
      <c r="I1599" s="112" t="s">
        <v>761</v>
      </c>
      <c r="J1599" s="112" t="s">
        <v>3755</v>
      </c>
      <c r="K1599" s="112" t="s">
        <v>4392</v>
      </c>
      <c r="L1599" s="116">
        <v>-57.6</v>
      </c>
      <c r="M1599" s="116">
        <f t="shared" si="24"/>
        <v>-5.7599999999999998E-2</v>
      </c>
    </row>
    <row r="1600" spans="1:13" hidden="1" x14ac:dyDescent="0.35">
      <c r="A1600" s="112" t="s">
        <v>3616</v>
      </c>
      <c r="B1600" s="112" t="s">
        <v>919</v>
      </c>
      <c r="C1600" s="112" t="s">
        <v>695</v>
      </c>
      <c r="D1600" s="113">
        <v>10347981</v>
      </c>
      <c r="E1600" s="115">
        <v>43924</v>
      </c>
      <c r="F1600" s="114">
        <v>202101</v>
      </c>
      <c r="G1600" s="112" t="s">
        <v>1091</v>
      </c>
      <c r="H1600" s="112" t="s">
        <v>1015</v>
      </c>
      <c r="I1600" s="112" t="s">
        <v>2495</v>
      </c>
      <c r="J1600" s="112" t="s">
        <v>3624</v>
      </c>
      <c r="K1600" s="112" t="s">
        <v>4393</v>
      </c>
      <c r="L1600" s="116">
        <v>-50</v>
      </c>
      <c r="M1600" s="116">
        <f t="shared" si="24"/>
        <v>-0.05</v>
      </c>
    </row>
    <row r="1601" spans="1:13" hidden="1" x14ac:dyDescent="0.35">
      <c r="A1601" s="112" t="s">
        <v>3616</v>
      </c>
      <c r="B1601" s="112" t="s">
        <v>921</v>
      </c>
      <c r="C1601" s="112" t="s">
        <v>695</v>
      </c>
      <c r="D1601" s="113">
        <v>10347981</v>
      </c>
      <c r="E1601" s="115">
        <v>43924</v>
      </c>
      <c r="F1601" s="114">
        <v>202101</v>
      </c>
      <c r="G1601" s="112" t="s">
        <v>1091</v>
      </c>
      <c r="H1601" s="112" t="s">
        <v>1015</v>
      </c>
      <c r="I1601" s="112" t="s">
        <v>2693</v>
      </c>
      <c r="J1601" s="112" t="s">
        <v>3620</v>
      </c>
      <c r="K1601" s="112" t="s">
        <v>4004</v>
      </c>
      <c r="L1601" s="116">
        <v>-100</v>
      </c>
      <c r="M1601" s="116">
        <f t="shared" si="24"/>
        <v>-0.1</v>
      </c>
    </row>
    <row r="1602" spans="1:13" hidden="1" x14ac:dyDescent="0.35">
      <c r="A1602" s="112" t="s">
        <v>3616</v>
      </c>
      <c r="B1602" s="112" t="s">
        <v>920</v>
      </c>
      <c r="C1602" s="112" t="s">
        <v>695</v>
      </c>
      <c r="D1602" s="113">
        <v>10347981</v>
      </c>
      <c r="E1602" s="115">
        <v>43924</v>
      </c>
      <c r="F1602" s="114">
        <v>202101</v>
      </c>
      <c r="G1602" s="112" t="s">
        <v>1091</v>
      </c>
      <c r="H1602" s="112" t="s">
        <v>1015</v>
      </c>
      <c r="I1602" s="112" t="s">
        <v>1092</v>
      </c>
      <c r="J1602" s="112" t="s">
        <v>3755</v>
      </c>
      <c r="K1602" s="112" t="s">
        <v>1450</v>
      </c>
      <c r="L1602" s="116">
        <v>-47</v>
      </c>
      <c r="M1602" s="116">
        <f t="shared" si="24"/>
        <v>-4.7E-2</v>
      </c>
    </row>
    <row r="1603" spans="1:13" hidden="1" x14ac:dyDescent="0.35">
      <c r="A1603" s="112" t="s">
        <v>3616</v>
      </c>
      <c r="B1603" s="112" t="s">
        <v>920</v>
      </c>
      <c r="C1603" s="112" t="s">
        <v>695</v>
      </c>
      <c r="D1603" s="113">
        <v>10347973</v>
      </c>
      <c r="E1603" s="115">
        <v>43924</v>
      </c>
      <c r="F1603" s="114">
        <v>202101</v>
      </c>
      <c r="G1603" s="112" t="s">
        <v>1091</v>
      </c>
      <c r="H1603" s="112" t="s">
        <v>1015</v>
      </c>
      <c r="I1603" s="112" t="s">
        <v>1699</v>
      </c>
      <c r="J1603" s="112" t="s">
        <v>3755</v>
      </c>
      <c r="K1603" s="112" t="s">
        <v>865</v>
      </c>
      <c r="L1603" s="116">
        <v>-147.62</v>
      </c>
      <c r="M1603" s="116">
        <f t="shared" ref="M1603:M1666" si="25">L1603/1000</f>
        <v>-0.14762</v>
      </c>
    </row>
    <row r="1604" spans="1:13" hidden="1" x14ac:dyDescent="0.35">
      <c r="A1604" s="112" t="s">
        <v>3616</v>
      </c>
      <c r="B1604" s="112" t="s">
        <v>917</v>
      </c>
      <c r="C1604" s="112" t="s">
        <v>695</v>
      </c>
      <c r="D1604" s="113">
        <v>10348400</v>
      </c>
      <c r="E1604" s="115">
        <v>43943</v>
      </c>
      <c r="F1604" s="114">
        <v>202101</v>
      </c>
      <c r="G1604" s="112" t="s">
        <v>1091</v>
      </c>
      <c r="H1604" s="112" t="s">
        <v>1015</v>
      </c>
      <c r="I1604" s="112" t="s">
        <v>2454</v>
      </c>
      <c r="J1604" s="112" t="s">
        <v>3781</v>
      </c>
      <c r="K1604" s="112" t="s">
        <v>4396</v>
      </c>
      <c r="L1604" s="116">
        <v>26080.75</v>
      </c>
      <c r="M1604" s="116">
        <f t="shared" si="25"/>
        <v>26.080749999999998</v>
      </c>
    </row>
    <row r="1605" spans="1:13" hidden="1" x14ac:dyDescent="0.35">
      <c r="A1605" s="112" t="s">
        <v>3616</v>
      </c>
      <c r="B1605" s="112" t="s">
        <v>922</v>
      </c>
      <c r="C1605" s="112" t="s">
        <v>695</v>
      </c>
      <c r="D1605" s="113">
        <v>10347981</v>
      </c>
      <c r="E1605" s="115">
        <v>43924</v>
      </c>
      <c r="F1605" s="114">
        <v>202101</v>
      </c>
      <c r="G1605" s="112" t="s">
        <v>1091</v>
      </c>
      <c r="H1605" s="112" t="s">
        <v>1015</v>
      </c>
      <c r="I1605" s="112" t="s">
        <v>761</v>
      </c>
      <c r="J1605" s="112" t="s">
        <v>3861</v>
      </c>
      <c r="K1605" s="112" t="s">
        <v>4401</v>
      </c>
      <c r="L1605" s="116">
        <v>-300</v>
      </c>
      <c r="M1605" s="116">
        <f t="shared" si="25"/>
        <v>-0.3</v>
      </c>
    </row>
    <row r="1606" spans="1:13" hidden="1" x14ac:dyDescent="0.35">
      <c r="A1606" s="112" t="s">
        <v>3616</v>
      </c>
      <c r="B1606" s="112" t="s">
        <v>922</v>
      </c>
      <c r="C1606" s="112" t="s">
        <v>695</v>
      </c>
      <c r="D1606" s="113">
        <v>10347981</v>
      </c>
      <c r="E1606" s="115">
        <v>43924</v>
      </c>
      <c r="F1606" s="114">
        <v>202101</v>
      </c>
      <c r="G1606" s="112" t="s">
        <v>1091</v>
      </c>
      <c r="H1606" s="112" t="s">
        <v>1015</v>
      </c>
      <c r="I1606" s="112" t="s">
        <v>761</v>
      </c>
      <c r="J1606" s="112" t="s">
        <v>3954</v>
      </c>
      <c r="K1606" s="112" t="s">
        <v>4402</v>
      </c>
      <c r="L1606" s="116">
        <v>-1360</v>
      </c>
      <c r="M1606" s="116">
        <f t="shared" si="25"/>
        <v>-1.36</v>
      </c>
    </row>
    <row r="1607" spans="1:13" hidden="1" x14ac:dyDescent="0.35">
      <c r="A1607" s="112" t="s">
        <v>3616</v>
      </c>
      <c r="B1607" s="112" t="s">
        <v>923</v>
      </c>
      <c r="C1607" s="112" t="s">
        <v>695</v>
      </c>
      <c r="D1607" s="113">
        <v>10347981</v>
      </c>
      <c r="E1607" s="115">
        <v>43924</v>
      </c>
      <c r="F1607" s="114">
        <v>202101</v>
      </c>
      <c r="G1607" s="112" t="s">
        <v>1091</v>
      </c>
      <c r="H1607" s="112" t="s">
        <v>1015</v>
      </c>
      <c r="I1607" s="112" t="s">
        <v>1164</v>
      </c>
      <c r="J1607" s="112" t="s">
        <v>3750</v>
      </c>
      <c r="K1607" s="112" t="s">
        <v>4403</v>
      </c>
      <c r="L1607" s="116">
        <v>-54</v>
      </c>
      <c r="M1607" s="116">
        <f t="shared" si="25"/>
        <v>-5.3999999999999999E-2</v>
      </c>
    </row>
    <row r="1608" spans="1:13" hidden="1" x14ac:dyDescent="0.35">
      <c r="A1608" s="112" t="s">
        <v>3616</v>
      </c>
      <c r="B1608" s="112" t="s">
        <v>920</v>
      </c>
      <c r="C1608" s="112" t="s">
        <v>695</v>
      </c>
      <c r="D1608" s="113">
        <v>10347981</v>
      </c>
      <c r="E1608" s="115">
        <v>43924</v>
      </c>
      <c r="F1608" s="114">
        <v>202101</v>
      </c>
      <c r="G1608" s="112" t="s">
        <v>1091</v>
      </c>
      <c r="H1608" s="112" t="s">
        <v>1015</v>
      </c>
      <c r="I1608" s="112" t="s">
        <v>1399</v>
      </c>
      <c r="J1608" s="112" t="s">
        <v>3755</v>
      </c>
      <c r="K1608" s="112" t="s">
        <v>4404</v>
      </c>
      <c r="L1608" s="116">
        <v>-20.13</v>
      </c>
      <c r="M1608" s="116">
        <f t="shared" si="25"/>
        <v>-2.0129999999999999E-2</v>
      </c>
    </row>
    <row r="1609" spans="1:13" hidden="1" x14ac:dyDescent="0.35">
      <c r="A1609" s="112" t="s">
        <v>3616</v>
      </c>
      <c r="B1609" s="112" t="s">
        <v>920</v>
      </c>
      <c r="C1609" s="112" t="s">
        <v>695</v>
      </c>
      <c r="D1609" s="113">
        <v>10347981</v>
      </c>
      <c r="E1609" s="115">
        <v>43924</v>
      </c>
      <c r="F1609" s="114">
        <v>202101</v>
      </c>
      <c r="G1609" s="112" t="s">
        <v>1091</v>
      </c>
      <c r="H1609" s="112" t="s">
        <v>1015</v>
      </c>
      <c r="I1609" s="112" t="s">
        <v>3790</v>
      </c>
      <c r="J1609" s="112" t="s">
        <v>3755</v>
      </c>
      <c r="K1609" s="112" t="s">
        <v>4405</v>
      </c>
      <c r="L1609" s="116">
        <v>-23.13</v>
      </c>
      <c r="M1609" s="116">
        <f t="shared" si="25"/>
        <v>-2.3129999999999998E-2</v>
      </c>
    </row>
    <row r="1610" spans="1:13" hidden="1" x14ac:dyDescent="0.35">
      <c r="A1610" s="112" t="s">
        <v>3616</v>
      </c>
      <c r="B1610" s="112" t="s">
        <v>919</v>
      </c>
      <c r="C1610" s="112" t="s">
        <v>695</v>
      </c>
      <c r="D1610" s="113">
        <v>10347981</v>
      </c>
      <c r="E1610" s="115">
        <v>43924</v>
      </c>
      <c r="F1610" s="114">
        <v>202101</v>
      </c>
      <c r="G1610" s="112" t="s">
        <v>1091</v>
      </c>
      <c r="H1610" s="112" t="s">
        <v>1015</v>
      </c>
      <c r="I1610" s="112" t="s">
        <v>1643</v>
      </c>
      <c r="J1610" s="112" t="s">
        <v>3632</v>
      </c>
      <c r="K1610" s="112" t="s">
        <v>4406</v>
      </c>
      <c r="L1610" s="116">
        <v>-1387.27</v>
      </c>
      <c r="M1610" s="116">
        <f t="shared" si="25"/>
        <v>-1.38727</v>
      </c>
    </row>
    <row r="1611" spans="1:13" hidden="1" x14ac:dyDescent="0.35">
      <c r="A1611" s="112" t="s">
        <v>3616</v>
      </c>
      <c r="B1611" s="112" t="s">
        <v>922</v>
      </c>
      <c r="C1611" s="112" t="s">
        <v>695</v>
      </c>
      <c r="D1611" s="113">
        <v>10347981</v>
      </c>
      <c r="E1611" s="115">
        <v>43924</v>
      </c>
      <c r="F1611" s="114">
        <v>202101</v>
      </c>
      <c r="G1611" s="112" t="s">
        <v>1091</v>
      </c>
      <c r="H1611" s="112" t="s">
        <v>1015</v>
      </c>
      <c r="I1611" s="112" t="s">
        <v>761</v>
      </c>
      <c r="J1611" s="112" t="s">
        <v>3794</v>
      </c>
      <c r="K1611" s="112" t="s">
        <v>4407</v>
      </c>
      <c r="L1611" s="116">
        <v>-20</v>
      </c>
      <c r="M1611" s="116">
        <f t="shared" si="25"/>
        <v>-0.02</v>
      </c>
    </row>
    <row r="1612" spans="1:13" hidden="1" x14ac:dyDescent="0.35">
      <c r="A1612" s="112" t="s">
        <v>3616</v>
      </c>
      <c r="B1612" s="112" t="s">
        <v>919</v>
      </c>
      <c r="C1612" s="112" t="s">
        <v>695</v>
      </c>
      <c r="D1612" s="113">
        <v>10348077</v>
      </c>
      <c r="E1612" s="115">
        <v>43929</v>
      </c>
      <c r="F1612" s="114">
        <v>202101</v>
      </c>
      <c r="G1612" s="112" t="s">
        <v>1091</v>
      </c>
      <c r="H1612" s="112" t="s">
        <v>1015</v>
      </c>
      <c r="I1612" s="112" t="s">
        <v>1182</v>
      </c>
      <c r="J1612" s="112" t="s">
        <v>3624</v>
      </c>
      <c r="K1612" s="112" t="s">
        <v>4408</v>
      </c>
      <c r="L1612" s="116">
        <v>-4995.5200000000004</v>
      </c>
      <c r="M1612" s="116">
        <f t="shared" si="25"/>
        <v>-4.9955200000000008</v>
      </c>
    </row>
    <row r="1613" spans="1:13" hidden="1" x14ac:dyDescent="0.35">
      <c r="A1613" s="112" t="s">
        <v>3616</v>
      </c>
      <c r="B1613" s="112" t="s">
        <v>922</v>
      </c>
      <c r="C1613" s="112" t="s">
        <v>695</v>
      </c>
      <c r="D1613" s="113">
        <v>10347981</v>
      </c>
      <c r="E1613" s="115">
        <v>43924</v>
      </c>
      <c r="F1613" s="114">
        <v>202101</v>
      </c>
      <c r="G1613" s="112" t="s">
        <v>1091</v>
      </c>
      <c r="H1613" s="112" t="s">
        <v>1015</v>
      </c>
      <c r="I1613" s="112" t="s">
        <v>1104</v>
      </c>
      <c r="J1613" s="112" t="s">
        <v>3784</v>
      </c>
      <c r="K1613" s="112" t="s">
        <v>4018</v>
      </c>
      <c r="L1613" s="116">
        <v>-99</v>
      </c>
      <c r="M1613" s="116">
        <f t="shared" si="25"/>
        <v>-9.9000000000000005E-2</v>
      </c>
    </row>
    <row r="1614" spans="1:13" hidden="1" x14ac:dyDescent="0.35">
      <c r="A1614" s="112" t="s">
        <v>3616</v>
      </c>
      <c r="B1614" s="112" t="s">
        <v>921</v>
      </c>
      <c r="C1614" s="112" t="s">
        <v>695</v>
      </c>
      <c r="D1614" s="113">
        <v>10347981</v>
      </c>
      <c r="E1614" s="115">
        <v>43924</v>
      </c>
      <c r="F1614" s="114">
        <v>202101</v>
      </c>
      <c r="G1614" s="112" t="s">
        <v>1091</v>
      </c>
      <c r="H1614" s="112" t="s">
        <v>1015</v>
      </c>
      <c r="I1614" s="112" t="s">
        <v>2591</v>
      </c>
      <c r="J1614" s="112" t="s">
        <v>3620</v>
      </c>
      <c r="K1614" s="112" t="s">
        <v>4008</v>
      </c>
      <c r="L1614" s="116">
        <v>-11.59</v>
      </c>
      <c r="M1614" s="116">
        <f t="shared" si="25"/>
        <v>-1.159E-2</v>
      </c>
    </row>
    <row r="1615" spans="1:13" hidden="1" x14ac:dyDescent="0.35">
      <c r="A1615" s="112" t="s">
        <v>3616</v>
      </c>
      <c r="B1615" s="112" t="s">
        <v>921</v>
      </c>
      <c r="C1615" s="112" t="s">
        <v>695</v>
      </c>
      <c r="D1615" s="113">
        <v>10347981</v>
      </c>
      <c r="E1615" s="115">
        <v>43924</v>
      </c>
      <c r="F1615" s="114">
        <v>202101</v>
      </c>
      <c r="G1615" s="112" t="s">
        <v>1091</v>
      </c>
      <c r="H1615" s="112" t="s">
        <v>1015</v>
      </c>
      <c r="I1615" s="112" t="s">
        <v>2693</v>
      </c>
      <c r="J1615" s="112" t="s">
        <v>3709</v>
      </c>
      <c r="K1615" s="112" t="s">
        <v>4409</v>
      </c>
      <c r="L1615" s="116">
        <v>-66.25</v>
      </c>
      <c r="M1615" s="116">
        <f t="shared" si="25"/>
        <v>-6.6250000000000003E-2</v>
      </c>
    </row>
    <row r="1616" spans="1:13" hidden="1" x14ac:dyDescent="0.35">
      <c r="A1616" s="112" t="s">
        <v>3616</v>
      </c>
      <c r="B1616" s="112" t="s">
        <v>922</v>
      </c>
      <c r="C1616" s="112" t="s">
        <v>695</v>
      </c>
      <c r="D1616" s="113">
        <v>10347981</v>
      </c>
      <c r="E1616" s="115">
        <v>43924</v>
      </c>
      <c r="F1616" s="114">
        <v>202101</v>
      </c>
      <c r="G1616" s="112" t="s">
        <v>1091</v>
      </c>
      <c r="H1616" s="112" t="s">
        <v>1015</v>
      </c>
      <c r="I1616" s="112" t="s">
        <v>3742</v>
      </c>
      <c r="J1616" s="112" t="s">
        <v>3784</v>
      </c>
      <c r="K1616" s="112" t="s">
        <v>4410</v>
      </c>
      <c r="L1616" s="116">
        <v>-87.5</v>
      </c>
      <c r="M1616" s="116">
        <f t="shared" si="25"/>
        <v>-8.7499999999999994E-2</v>
      </c>
    </row>
    <row r="1617" spans="1:13" hidden="1" x14ac:dyDescent="0.35">
      <c r="A1617" s="112" t="s">
        <v>3616</v>
      </c>
      <c r="B1617" s="112" t="s">
        <v>919</v>
      </c>
      <c r="C1617" s="112" t="s">
        <v>695</v>
      </c>
      <c r="D1617" s="113">
        <v>10347981</v>
      </c>
      <c r="E1617" s="115">
        <v>43924</v>
      </c>
      <c r="F1617" s="114">
        <v>202101</v>
      </c>
      <c r="G1617" s="112" t="s">
        <v>1091</v>
      </c>
      <c r="H1617" s="112" t="s">
        <v>1015</v>
      </c>
      <c r="I1617" s="112" t="s">
        <v>1182</v>
      </c>
      <c r="J1617" s="112" t="s">
        <v>3634</v>
      </c>
      <c r="K1617" s="112" t="s">
        <v>4411</v>
      </c>
      <c r="L1617" s="116">
        <v>-1503.4</v>
      </c>
      <c r="M1617" s="116">
        <f t="shared" si="25"/>
        <v>-1.5034000000000001</v>
      </c>
    </row>
    <row r="1618" spans="1:13" hidden="1" x14ac:dyDescent="0.35">
      <c r="A1618" s="112" t="s">
        <v>3616</v>
      </c>
      <c r="B1618" s="112" t="s">
        <v>921</v>
      </c>
      <c r="C1618" s="112" t="s">
        <v>695</v>
      </c>
      <c r="D1618" s="113">
        <v>10347981</v>
      </c>
      <c r="E1618" s="115">
        <v>43924</v>
      </c>
      <c r="F1618" s="114">
        <v>202101</v>
      </c>
      <c r="G1618" s="112" t="s">
        <v>1091</v>
      </c>
      <c r="H1618" s="112" t="s">
        <v>1015</v>
      </c>
      <c r="I1618" s="112" t="s">
        <v>1264</v>
      </c>
      <c r="J1618" s="112" t="s">
        <v>3620</v>
      </c>
      <c r="K1618" s="112" t="s">
        <v>4412</v>
      </c>
      <c r="L1618" s="116">
        <v>-76</v>
      </c>
      <c r="M1618" s="116">
        <f t="shared" si="25"/>
        <v>-7.5999999999999998E-2</v>
      </c>
    </row>
    <row r="1619" spans="1:13" hidden="1" x14ac:dyDescent="0.35">
      <c r="A1619" s="112" t="s">
        <v>3616</v>
      </c>
      <c r="B1619" s="112" t="s">
        <v>921</v>
      </c>
      <c r="C1619" s="112" t="s">
        <v>695</v>
      </c>
      <c r="D1619" s="113">
        <v>10347981</v>
      </c>
      <c r="E1619" s="115">
        <v>43924</v>
      </c>
      <c r="F1619" s="114">
        <v>202101</v>
      </c>
      <c r="G1619" s="112" t="s">
        <v>1091</v>
      </c>
      <c r="H1619" s="112" t="s">
        <v>1015</v>
      </c>
      <c r="I1619" s="112" t="s">
        <v>1264</v>
      </c>
      <c r="J1619" s="112" t="s">
        <v>3620</v>
      </c>
      <c r="K1619" s="112" t="s">
        <v>4413</v>
      </c>
      <c r="L1619" s="116">
        <v>-76</v>
      </c>
      <c r="M1619" s="116">
        <f t="shared" si="25"/>
        <v>-7.5999999999999998E-2</v>
      </c>
    </row>
    <row r="1620" spans="1:13" hidden="1" x14ac:dyDescent="0.35">
      <c r="A1620" s="112" t="s">
        <v>3616</v>
      </c>
      <c r="B1620" s="112" t="s">
        <v>921</v>
      </c>
      <c r="C1620" s="112" t="s">
        <v>695</v>
      </c>
      <c r="D1620" s="113">
        <v>10347981</v>
      </c>
      <c r="E1620" s="115">
        <v>43924</v>
      </c>
      <c r="F1620" s="114">
        <v>202101</v>
      </c>
      <c r="G1620" s="112" t="s">
        <v>1091</v>
      </c>
      <c r="H1620" s="112" t="s">
        <v>1015</v>
      </c>
      <c r="I1620" s="112" t="s">
        <v>2693</v>
      </c>
      <c r="J1620" s="112" t="s">
        <v>3620</v>
      </c>
      <c r="K1620" s="112" t="s">
        <v>4004</v>
      </c>
      <c r="L1620" s="116">
        <v>-100</v>
      </c>
      <c r="M1620" s="116">
        <f t="shared" si="25"/>
        <v>-0.1</v>
      </c>
    </row>
    <row r="1621" spans="1:13" hidden="1" x14ac:dyDescent="0.35">
      <c r="A1621" s="112" t="s">
        <v>3616</v>
      </c>
      <c r="B1621" s="112" t="s">
        <v>919</v>
      </c>
      <c r="C1621" s="112" t="s">
        <v>695</v>
      </c>
      <c r="D1621" s="113">
        <v>10347981</v>
      </c>
      <c r="E1621" s="115">
        <v>43924</v>
      </c>
      <c r="F1621" s="114">
        <v>202101</v>
      </c>
      <c r="G1621" s="112" t="s">
        <v>1091</v>
      </c>
      <c r="H1621" s="112" t="s">
        <v>1015</v>
      </c>
      <c r="I1621" s="112" t="s">
        <v>1246</v>
      </c>
      <c r="J1621" s="112" t="s">
        <v>3624</v>
      </c>
      <c r="K1621" s="112" t="s">
        <v>4414</v>
      </c>
      <c r="L1621" s="116">
        <v>-310</v>
      </c>
      <c r="M1621" s="116">
        <f t="shared" si="25"/>
        <v>-0.31</v>
      </c>
    </row>
    <row r="1622" spans="1:13" hidden="1" x14ac:dyDescent="0.35">
      <c r="A1622" s="112" t="s">
        <v>3616</v>
      </c>
      <c r="B1622" s="112" t="s">
        <v>919</v>
      </c>
      <c r="C1622" s="112" t="s">
        <v>695</v>
      </c>
      <c r="D1622" s="113">
        <v>10347981</v>
      </c>
      <c r="E1622" s="115">
        <v>43924</v>
      </c>
      <c r="F1622" s="114">
        <v>202101</v>
      </c>
      <c r="G1622" s="112" t="s">
        <v>1091</v>
      </c>
      <c r="H1622" s="112" t="s">
        <v>1015</v>
      </c>
      <c r="I1622" s="112" t="s">
        <v>1643</v>
      </c>
      <c r="J1622" s="112" t="s">
        <v>3634</v>
      </c>
      <c r="K1622" s="112" t="s">
        <v>4415</v>
      </c>
      <c r="L1622" s="116">
        <v>-165.88</v>
      </c>
      <c r="M1622" s="116">
        <f t="shared" si="25"/>
        <v>-0.16588</v>
      </c>
    </row>
    <row r="1623" spans="1:13" hidden="1" x14ac:dyDescent="0.35">
      <c r="A1623" s="112" t="s">
        <v>3616</v>
      </c>
      <c r="B1623" s="112" t="s">
        <v>922</v>
      </c>
      <c r="C1623" s="112" t="s">
        <v>695</v>
      </c>
      <c r="D1623" s="113">
        <v>10347981</v>
      </c>
      <c r="E1623" s="115">
        <v>43924</v>
      </c>
      <c r="F1623" s="114">
        <v>202101</v>
      </c>
      <c r="G1623" s="112" t="s">
        <v>1091</v>
      </c>
      <c r="H1623" s="112" t="s">
        <v>1015</v>
      </c>
      <c r="I1623" s="112" t="s">
        <v>761</v>
      </c>
      <c r="J1623" s="112" t="s">
        <v>3861</v>
      </c>
      <c r="K1623" s="112" t="s">
        <v>4416</v>
      </c>
      <c r="L1623" s="116">
        <v>-18</v>
      </c>
      <c r="M1623" s="116">
        <f t="shared" si="25"/>
        <v>-1.7999999999999999E-2</v>
      </c>
    </row>
    <row r="1624" spans="1:13" hidden="1" x14ac:dyDescent="0.35">
      <c r="A1624" s="112" t="s">
        <v>3616</v>
      </c>
      <c r="B1624" s="112" t="s">
        <v>919</v>
      </c>
      <c r="C1624" s="112" t="s">
        <v>695</v>
      </c>
      <c r="D1624" s="113">
        <v>10348077</v>
      </c>
      <c r="E1624" s="115">
        <v>43929</v>
      </c>
      <c r="F1624" s="114">
        <v>202101</v>
      </c>
      <c r="G1624" s="112" t="s">
        <v>1091</v>
      </c>
      <c r="H1624" s="112" t="s">
        <v>1015</v>
      </c>
      <c r="I1624" s="112" t="s">
        <v>761</v>
      </c>
      <c r="J1624" s="112" t="s">
        <v>3634</v>
      </c>
      <c r="K1624" s="112" t="s">
        <v>4417</v>
      </c>
      <c r="L1624" s="116">
        <v>-1840</v>
      </c>
      <c r="M1624" s="116">
        <f t="shared" si="25"/>
        <v>-1.84</v>
      </c>
    </row>
    <row r="1625" spans="1:13" hidden="1" x14ac:dyDescent="0.35">
      <c r="A1625" s="112" t="s">
        <v>3616</v>
      </c>
      <c r="B1625" s="112" t="s">
        <v>922</v>
      </c>
      <c r="C1625" s="112" t="s">
        <v>695</v>
      </c>
      <c r="D1625" s="113">
        <v>10347981</v>
      </c>
      <c r="E1625" s="115">
        <v>43924</v>
      </c>
      <c r="F1625" s="114">
        <v>202101</v>
      </c>
      <c r="G1625" s="112" t="s">
        <v>1091</v>
      </c>
      <c r="H1625" s="112" t="s">
        <v>1015</v>
      </c>
      <c r="I1625" s="112" t="s">
        <v>3742</v>
      </c>
      <c r="J1625" s="112" t="s">
        <v>3784</v>
      </c>
      <c r="K1625" s="112" t="s">
        <v>4011</v>
      </c>
      <c r="L1625" s="116">
        <v>-26.07</v>
      </c>
      <c r="M1625" s="116">
        <f t="shared" si="25"/>
        <v>-2.6069999999999999E-2</v>
      </c>
    </row>
    <row r="1626" spans="1:13" hidden="1" x14ac:dyDescent="0.35">
      <c r="A1626" s="112" t="s">
        <v>3616</v>
      </c>
      <c r="B1626" s="112" t="s">
        <v>921</v>
      </c>
      <c r="C1626" s="112" t="s">
        <v>695</v>
      </c>
      <c r="D1626" s="113">
        <v>10347981</v>
      </c>
      <c r="E1626" s="115">
        <v>43924</v>
      </c>
      <c r="F1626" s="114">
        <v>202101</v>
      </c>
      <c r="G1626" s="112" t="s">
        <v>1091</v>
      </c>
      <c r="H1626" s="112" t="s">
        <v>1015</v>
      </c>
      <c r="I1626" s="112" t="s">
        <v>2591</v>
      </c>
      <c r="J1626" s="112" t="s">
        <v>3620</v>
      </c>
      <c r="K1626" s="112" t="s">
        <v>3702</v>
      </c>
      <c r="L1626" s="116">
        <v>-11.38</v>
      </c>
      <c r="M1626" s="116">
        <f t="shared" si="25"/>
        <v>-1.1380000000000001E-2</v>
      </c>
    </row>
    <row r="1627" spans="1:13" hidden="1" x14ac:dyDescent="0.35">
      <c r="A1627" s="112" t="s">
        <v>3616</v>
      </c>
      <c r="B1627" s="112" t="s">
        <v>919</v>
      </c>
      <c r="C1627" s="112" t="s">
        <v>695</v>
      </c>
      <c r="D1627" s="113">
        <v>10347981</v>
      </c>
      <c r="E1627" s="115">
        <v>43924</v>
      </c>
      <c r="F1627" s="114">
        <v>202101</v>
      </c>
      <c r="G1627" s="112" t="s">
        <v>1091</v>
      </c>
      <c r="H1627" s="112" t="s">
        <v>1015</v>
      </c>
      <c r="I1627" s="112" t="s">
        <v>1182</v>
      </c>
      <c r="J1627" s="112" t="s">
        <v>3624</v>
      </c>
      <c r="K1627" s="112" t="s">
        <v>4421</v>
      </c>
      <c r="L1627" s="116">
        <v>-555.41</v>
      </c>
      <c r="M1627" s="116">
        <f t="shared" si="25"/>
        <v>-0.55540999999999996</v>
      </c>
    </row>
    <row r="1628" spans="1:13" hidden="1" x14ac:dyDescent="0.35">
      <c r="A1628" s="112" t="s">
        <v>3616</v>
      </c>
      <c r="B1628" s="112" t="s">
        <v>922</v>
      </c>
      <c r="C1628" s="112" t="s">
        <v>695</v>
      </c>
      <c r="D1628" s="113">
        <v>10347981</v>
      </c>
      <c r="E1628" s="115">
        <v>43924</v>
      </c>
      <c r="F1628" s="114">
        <v>202101</v>
      </c>
      <c r="G1628" s="112" t="s">
        <v>1091</v>
      </c>
      <c r="H1628" s="112" t="s">
        <v>1015</v>
      </c>
      <c r="I1628" s="112" t="s">
        <v>761</v>
      </c>
      <c r="J1628" s="112" t="s">
        <v>3861</v>
      </c>
      <c r="K1628" s="112" t="s">
        <v>4422</v>
      </c>
      <c r="L1628" s="116">
        <v>-75</v>
      </c>
      <c r="M1628" s="116">
        <f t="shared" si="25"/>
        <v>-7.4999999999999997E-2</v>
      </c>
    </row>
    <row r="1629" spans="1:13" hidden="1" x14ac:dyDescent="0.35">
      <c r="A1629" s="112" t="s">
        <v>3616</v>
      </c>
      <c r="B1629" s="112" t="s">
        <v>921</v>
      </c>
      <c r="C1629" s="112" t="s">
        <v>695</v>
      </c>
      <c r="D1629" s="113">
        <v>10347981</v>
      </c>
      <c r="E1629" s="115">
        <v>43924</v>
      </c>
      <c r="F1629" s="114">
        <v>202101</v>
      </c>
      <c r="G1629" s="112" t="s">
        <v>1091</v>
      </c>
      <c r="H1629" s="112" t="s">
        <v>1015</v>
      </c>
      <c r="I1629" s="112" t="s">
        <v>1643</v>
      </c>
      <c r="J1629" s="112" t="s">
        <v>3620</v>
      </c>
      <c r="K1629" s="112" t="s">
        <v>4016</v>
      </c>
      <c r="L1629" s="116">
        <v>-54</v>
      </c>
      <c r="M1629" s="116">
        <f t="shared" si="25"/>
        <v>-5.3999999999999999E-2</v>
      </c>
    </row>
    <row r="1630" spans="1:13" hidden="1" x14ac:dyDescent="0.35">
      <c r="A1630" s="112" t="s">
        <v>3616</v>
      </c>
      <c r="B1630" s="112" t="s">
        <v>922</v>
      </c>
      <c r="C1630" s="112" t="s">
        <v>695</v>
      </c>
      <c r="D1630" s="113">
        <v>10347981</v>
      </c>
      <c r="E1630" s="115">
        <v>43924</v>
      </c>
      <c r="F1630" s="114">
        <v>202101</v>
      </c>
      <c r="G1630" s="112" t="s">
        <v>1091</v>
      </c>
      <c r="H1630" s="112" t="s">
        <v>1015</v>
      </c>
      <c r="I1630" s="112" t="s">
        <v>1264</v>
      </c>
      <c r="J1630" s="112" t="s">
        <v>3954</v>
      </c>
      <c r="K1630" s="112" t="s">
        <v>4423</v>
      </c>
      <c r="L1630" s="116">
        <v>-372</v>
      </c>
      <c r="M1630" s="116">
        <f t="shared" si="25"/>
        <v>-0.372</v>
      </c>
    </row>
    <row r="1631" spans="1:13" hidden="1" x14ac:dyDescent="0.35">
      <c r="A1631" s="112" t="s">
        <v>3616</v>
      </c>
      <c r="B1631" s="112" t="s">
        <v>923</v>
      </c>
      <c r="C1631" s="112" t="s">
        <v>695</v>
      </c>
      <c r="D1631" s="113">
        <v>10347981</v>
      </c>
      <c r="E1631" s="115">
        <v>43924</v>
      </c>
      <c r="F1631" s="114">
        <v>202101</v>
      </c>
      <c r="G1631" s="112" t="s">
        <v>1091</v>
      </c>
      <c r="H1631" s="112" t="s">
        <v>1015</v>
      </c>
      <c r="I1631" s="112" t="s">
        <v>1399</v>
      </c>
      <c r="J1631" s="112" t="s">
        <v>3750</v>
      </c>
      <c r="K1631" s="112" t="s">
        <v>4424</v>
      </c>
      <c r="L1631" s="116">
        <v>-36</v>
      </c>
      <c r="M1631" s="116">
        <f t="shared" si="25"/>
        <v>-3.5999999999999997E-2</v>
      </c>
    </row>
    <row r="1632" spans="1:13" hidden="1" x14ac:dyDescent="0.35">
      <c r="A1632" s="112" t="s">
        <v>3616</v>
      </c>
      <c r="B1632" s="112" t="s">
        <v>920</v>
      </c>
      <c r="C1632" s="112" t="s">
        <v>695</v>
      </c>
      <c r="D1632" s="113">
        <v>10347981</v>
      </c>
      <c r="E1632" s="115">
        <v>43924</v>
      </c>
      <c r="F1632" s="114">
        <v>202101</v>
      </c>
      <c r="G1632" s="112" t="s">
        <v>1091</v>
      </c>
      <c r="H1632" s="112" t="s">
        <v>1015</v>
      </c>
      <c r="I1632" s="112" t="s">
        <v>1182</v>
      </c>
      <c r="J1632" s="112" t="s">
        <v>4179</v>
      </c>
      <c r="K1632" s="112" t="s">
        <v>4425</v>
      </c>
      <c r="L1632" s="116">
        <v>-41.12</v>
      </c>
      <c r="M1632" s="116">
        <f t="shared" si="25"/>
        <v>-4.1119999999999997E-2</v>
      </c>
    </row>
    <row r="1633" spans="1:13" hidden="1" x14ac:dyDescent="0.35">
      <c r="A1633" s="112" t="s">
        <v>3616</v>
      </c>
      <c r="B1633" s="112" t="s">
        <v>920</v>
      </c>
      <c r="C1633" s="112" t="s">
        <v>695</v>
      </c>
      <c r="D1633" s="113">
        <v>10347981</v>
      </c>
      <c r="E1633" s="115">
        <v>43924</v>
      </c>
      <c r="F1633" s="114">
        <v>202101</v>
      </c>
      <c r="G1633" s="112" t="s">
        <v>1091</v>
      </c>
      <c r="H1633" s="112" t="s">
        <v>1015</v>
      </c>
      <c r="I1633" s="112" t="s">
        <v>3790</v>
      </c>
      <c r="J1633" s="112" t="s">
        <v>3755</v>
      </c>
      <c r="K1633" s="112" t="s">
        <v>4426</v>
      </c>
      <c r="L1633" s="116">
        <v>-420</v>
      </c>
      <c r="M1633" s="116">
        <f t="shared" si="25"/>
        <v>-0.42</v>
      </c>
    </row>
    <row r="1634" spans="1:13" hidden="1" x14ac:dyDescent="0.35">
      <c r="A1634" s="112" t="s">
        <v>3616</v>
      </c>
      <c r="B1634" s="112" t="s">
        <v>916</v>
      </c>
      <c r="C1634" s="112" t="s">
        <v>695</v>
      </c>
      <c r="D1634" s="113">
        <v>10347981</v>
      </c>
      <c r="E1634" s="115">
        <v>43924</v>
      </c>
      <c r="F1634" s="114">
        <v>202101</v>
      </c>
      <c r="G1634" s="112" t="s">
        <v>1091</v>
      </c>
      <c r="H1634" s="112" t="s">
        <v>1015</v>
      </c>
      <c r="I1634" s="112" t="s">
        <v>1182</v>
      </c>
      <c r="J1634" s="112" t="s">
        <v>3771</v>
      </c>
      <c r="K1634" s="112" t="s">
        <v>4427</v>
      </c>
      <c r="L1634" s="116">
        <v>-57.26</v>
      </c>
      <c r="M1634" s="116">
        <f t="shared" si="25"/>
        <v>-5.7259999999999998E-2</v>
      </c>
    </row>
    <row r="1635" spans="1:13" hidden="1" x14ac:dyDescent="0.35">
      <c r="A1635" s="112" t="s">
        <v>3616</v>
      </c>
      <c r="B1635" s="112" t="s">
        <v>919</v>
      </c>
      <c r="C1635" s="112" t="s">
        <v>695</v>
      </c>
      <c r="D1635" s="113">
        <v>10347981</v>
      </c>
      <c r="E1635" s="115">
        <v>43924</v>
      </c>
      <c r="F1635" s="114">
        <v>202101</v>
      </c>
      <c r="G1635" s="112" t="s">
        <v>1091</v>
      </c>
      <c r="H1635" s="112" t="s">
        <v>1015</v>
      </c>
      <c r="I1635" s="112" t="s">
        <v>761</v>
      </c>
      <c r="J1635" s="112" t="s">
        <v>3624</v>
      </c>
      <c r="K1635" s="112" t="s">
        <v>4428</v>
      </c>
      <c r="L1635" s="116">
        <v>-875</v>
      </c>
      <c r="M1635" s="116">
        <f t="shared" si="25"/>
        <v>-0.875</v>
      </c>
    </row>
    <row r="1636" spans="1:13" hidden="1" x14ac:dyDescent="0.35">
      <c r="A1636" s="112" t="s">
        <v>3616</v>
      </c>
      <c r="B1636" s="112" t="s">
        <v>921</v>
      </c>
      <c r="C1636" s="112" t="s">
        <v>695</v>
      </c>
      <c r="D1636" s="113">
        <v>10347981</v>
      </c>
      <c r="E1636" s="115">
        <v>43924</v>
      </c>
      <c r="F1636" s="114">
        <v>202101</v>
      </c>
      <c r="G1636" s="112" t="s">
        <v>1091</v>
      </c>
      <c r="H1636" s="112" t="s">
        <v>1015</v>
      </c>
      <c r="I1636" s="112" t="s">
        <v>2495</v>
      </c>
      <c r="J1636" s="112" t="s">
        <v>3620</v>
      </c>
      <c r="K1636" s="112" t="s">
        <v>4429</v>
      </c>
      <c r="L1636" s="116">
        <v>-600</v>
      </c>
      <c r="M1636" s="116">
        <f t="shared" si="25"/>
        <v>-0.6</v>
      </c>
    </row>
    <row r="1637" spans="1:13" hidden="1" x14ac:dyDescent="0.35">
      <c r="A1637" s="112" t="s">
        <v>3616</v>
      </c>
      <c r="B1637" s="112" t="s">
        <v>921</v>
      </c>
      <c r="C1637" s="112" t="s">
        <v>695</v>
      </c>
      <c r="D1637" s="113">
        <v>10347981</v>
      </c>
      <c r="E1637" s="115">
        <v>43924</v>
      </c>
      <c r="F1637" s="114">
        <v>202101</v>
      </c>
      <c r="G1637" s="112" t="s">
        <v>1091</v>
      </c>
      <c r="H1637" s="112" t="s">
        <v>1015</v>
      </c>
      <c r="I1637" s="112" t="s">
        <v>1182</v>
      </c>
      <c r="J1637" s="112" t="s">
        <v>3620</v>
      </c>
      <c r="K1637" s="112" t="s">
        <v>4430</v>
      </c>
      <c r="L1637" s="116">
        <v>-100</v>
      </c>
      <c r="M1637" s="116">
        <f t="shared" si="25"/>
        <v>-0.1</v>
      </c>
    </row>
    <row r="1638" spans="1:13" hidden="1" x14ac:dyDescent="0.35">
      <c r="A1638" s="112" t="s">
        <v>3616</v>
      </c>
      <c r="B1638" s="112" t="s">
        <v>921</v>
      </c>
      <c r="C1638" s="112" t="s">
        <v>695</v>
      </c>
      <c r="D1638" s="113">
        <v>10347981</v>
      </c>
      <c r="E1638" s="115">
        <v>43924</v>
      </c>
      <c r="F1638" s="114">
        <v>202101</v>
      </c>
      <c r="G1638" s="112" t="s">
        <v>1091</v>
      </c>
      <c r="H1638" s="112" t="s">
        <v>1015</v>
      </c>
      <c r="I1638" s="112" t="s">
        <v>1643</v>
      </c>
      <c r="J1638" s="112" t="s">
        <v>3620</v>
      </c>
      <c r="K1638" s="112" t="s">
        <v>4016</v>
      </c>
      <c r="L1638" s="116">
        <v>-5.46</v>
      </c>
      <c r="M1638" s="116">
        <f t="shared" si="25"/>
        <v>-5.4599999999999996E-3</v>
      </c>
    </row>
    <row r="1639" spans="1:13" hidden="1" x14ac:dyDescent="0.35">
      <c r="A1639" s="112" t="s">
        <v>3616</v>
      </c>
      <c r="B1639" s="112" t="s">
        <v>922</v>
      </c>
      <c r="C1639" s="112" t="s">
        <v>695</v>
      </c>
      <c r="D1639" s="113">
        <v>10347981</v>
      </c>
      <c r="E1639" s="115">
        <v>43924</v>
      </c>
      <c r="F1639" s="114">
        <v>202101</v>
      </c>
      <c r="G1639" s="112" t="s">
        <v>1091</v>
      </c>
      <c r="H1639" s="112" t="s">
        <v>1015</v>
      </c>
      <c r="I1639" s="112" t="s">
        <v>761</v>
      </c>
      <c r="J1639" s="112" t="s">
        <v>3791</v>
      </c>
      <c r="K1639" s="112" t="s">
        <v>4432</v>
      </c>
      <c r="L1639" s="116">
        <v>-580</v>
      </c>
      <c r="M1639" s="116">
        <f t="shared" si="25"/>
        <v>-0.57999999999999996</v>
      </c>
    </row>
    <row r="1640" spans="1:13" hidden="1" x14ac:dyDescent="0.35">
      <c r="A1640" s="112" t="s">
        <v>3616</v>
      </c>
      <c r="B1640" s="112" t="s">
        <v>922</v>
      </c>
      <c r="C1640" s="112" t="s">
        <v>695</v>
      </c>
      <c r="D1640" s="113">
        <v>10347981</v>
      </c>
      <c r="E1640" s="115">
        <v>43924</v>
      </c>
      <c r="F1640" s="114">
        <v>202101</v>
      </c>
      <c r="G1640" s="112" t="s">
        <v>1091</v>
      </c>
      <c r="H1640" s="112" t="s">
        <v>1015</v>
      </c>
      <c r="I1640" s="112" t="s">
        <v>761</v>
      </c>
      <c r="J1640" s="112" t="s">
        <v>3791</v>
      </c>
      <c r="K1640" s="112" t="s">
        <v>4434</v>
      </c>
      <c r="L1640" s="116">
        <v>-60</v>
      </c>
      <c r="M1640" s="116">
        <f t="shared" si="25"/>
        <v>-0.06</v>
      </c>
    </row>
    <row r="1641" spans="1:13" hidden="1" x14ac:dyDescent="0.35">
      <c r="A1641" s="112" t="s">
        <v>3616</v>
      </c>
      <c r="B1641" s="112" t="s">
        <v>921</v>
      </c>
      <c r="C1641" s="112" t="s">
        <v>695</v>
      </c>
      <c r="D1641" s="113">
        <v>10347981</v>
      </c>
      <c r="E1641" s="115">
        <v>43924</v>
      </c>
      <c r="F1641" s="114">
        <v>202101</v>
      </c>
      <c r="G1641" s="112" t="s">
        <v>1091</v>
      </c>
      <c r="H1641" s="112" t="s">
        <v>1015</v>
      </c>
      <c r="I1641" s="112" t="s">
        <v>1473</v>
      </c>
      <c r="J1641" s="112" t="s">
        <v>3709</v>
      </c>
      <c r="K1641" s="112" t="s">
        <v>4435</v>
      </c>
      <c r="L1641" s="116">
        <v>-78.59</v>
      </c>
      <c r="M1641" s="116">
        <f t="shared" si="25"/>
        <v>-7.8590000000000007E-2</v>
      </c>
    </row>
    <row r="1642" spans="1:13" hidden="1" x14ac:dyDescent="0.35">
      <c r="A1642" s="112" t="s">
        <v>3616</v>
      </c>
      <c r="B1642" s="112" t="s">
        <v>916</v>
      </c>
      <c r="C1642" s="112" t="s">
        <v>695</v>
      </c>
      <c r="D1642" s="113">
        <v>10347981</v>
      </c>
      <c r="E1642" s="115">
        <v>43924</v>
      </c>
      <c r="F1642" s="114">
        <v>202101</v>
      </c>
      <c r="G1642" s="112" t="s">
        <v>1091</v>
      </c>
      <c r="H1642" s="112" t="s">
        <v>1015</v>
      </c>
      <c r="I1642" s="112" t="s">
        <v>763</v>
      </c>
      <c r="J1642" s="112" t="s">
        <v>3771</v>
      </c>
      <c r="K1642" s="112" t="s">
        <v>4436</v>
      </c>
      <c r="L1642" s="116">
        <v>-8000</v>
      </c>
      <c r="M1642" s="116">
        <f t="shared" si="25"/>
        <v>-8</v>
      </c>
    </row>
    <row r="1643" spans="1:13" hidden="1" x14ac:dyDescent="0.35">
      <c r="A1643" s="112" t="s">
        <v>3616</v>
      </c>
      <c r="B1643" s="112" t="s">
        <v>922</v>
      </c>
      <c r="C1643" s="112" t="s">
        <v>695</v>
      </c>
      <c r="D1643" s="113">
        <v>10347981</v>
      </c>
      <c r="E1643" s="115">
        <v>43924</v>
      </c>
      <c r="F1643" s="114">
        <v>202101</v>
      </c>
      <c r="G1643" s="112" t="s">
        <v>1091</v>
      </c>
      <c r="H1643" s="112" t="s">
        <v>1015</v>
      </c>
      <c r="I1643" s="112" t="s">
        <v>761</v>
      </c>
      <c r="J1643" s="112" t="s">
        <v>3791</v>
      </c>
      <c r="K1643" s="112" t="s">
        <v>4438</v>
      </c>
      <c r="L1643" s="116">
        <v>-150</v>
      </c>
      <c r="M1643" s="116">
        <f t="shared" si="25"/>
        <v>-0.15</v>
      </c>
    </row>
    <row r="1644" spans="1:13" hidden="1" x14ac:dyDescent="0.35">
      <c r="A1644" s="112" t="s">
        <v>3616</v>
      </c>
      <c r="B1644" s="112" t="s">
        <v>923</v>
      </c>
      <c r="C1644" s="112" t="s">
        <v>695</v>
      </c>
      <c r="D1644" s="113">
        <v>10347981</v>
      </c>
      <c r="E1644" s="115">
        <v>43924</v>
      </c>
      <c r="F1644" s="114">
        <v>202101</v>
      </c>
      <c r="G1644" s="112" t="s">
        <v>1091</v>
      </c>
      <c r="H1644" s="112" t="s">
        <v>1015</v>
      </c>
      <c r="I1644" s="112" t="s">
        <v>761</v>
      </c>
      <c r="J1644" s="112" t="s">
        <v>3673</v>
      </c>
      <c r="K1644" s="112" t="s">
        <v>4439</v>
      </c>
      <c r="L1644" s="116">
        <v>-5000</v>
      </c>
      <c r="M1644" s="116">
        <f t="shared" si="25"/>
        <v>-5</v>
      </c>
    </row>
    <row r="1645" spans="1:13" hidden="1" x14ac:dyDescent="0.35">
      <c r="A1645" s="112" t="s">
        <v>3616</v>
      </c>
      <c r="B1645" s="112" t="s">
        <v>916</v>
      </c>
      <c r="C1645" s="112" t="s">
        <v>695</v>
      </c>
      <c r="D1645" s="113">
        <v>10348140</v>
      </c>
      <c r="E1645" s="115">
        <v>43929</v>
      </c>
      <c r="F1645" s="114">
        <v>202101</v>
      </c>
      <c r="G1645" s="112" t="s">
        <v>1091</v>
      </c>
      <c r="H1645" s="112" t="s">
        <v>1015</v>
      </c>
      <c r="I1645" s="112" t="s">
        <v>3672</v>
      </c>
      <c r="J1645" s="112" t="s">
        <v>3771</v>
      </c>
      <c r="K1645" s="112" t="s">
        <v>4447</v>
      </c>
      <c r="L1645" s="116">
        <v>-1813.5</v>
      </c>
      <c r="M1645" s="116">
        <f t="shared" si="25"/>
        <v>-1.8134999999999999</v>
      </c>
    </row>
    <row r="1646" spans="1:13" hidden="1" x14ac:dyDescent="0.35">
      <c r="A1646" s="112" t="s">
        <v>3616</v>
      </c>
      <c r="B1646" s="112" t="s">
        <v>920</v>
      </c>
      <c r="C1646" s="112" t="s">
        <v>695</v>
      </c>
      <c r="D1646" s="113">
        <v>10347981</v>
      </c>
      <c r="E1646" s="115">
        <v>43924</v>
      </c>
      <c r="F1646" s="114">
        <v>202101</v>
      </c>
      <c r="G1646" s="112" t="s">
        <v>1091</v>
      </c>
      <c r="H1646" s="112" t="s">
        <v>1015</v>
      </c>
      <c r="I1646" s="112" t="s">
        <v>761</v>
      </c>
      <c r="J1646" s="112" t="s">
        <v>3755</v>
      </c>
      <c r="K1646" s="112" t="s">
        <v>4006</v>
      </c>
      <c r="L1646" s="116">
        <v>-84</v>
      </c>
      <c r="M1646" s="116">
        <f t="shared" si="25"/>
        <v>-8.4000000000000005E-2</v>
      </c>
    </row>
    <row r="1647" spans="1:13" hidden="1" x14ac:dyDescent="0.35">
      <c r="A1647" s="112" t="s">
        <v>3616</v>
      </c>
      <c r="B1647" s="112" t="s">
        <v>921</v>
      </c>
      <c r="C1647" s="112" t="s">
        <v>695</v>
      </c>
      <c r="D1647" s="113">
        <v>10348038</v>
      </c>
      <c r="E1647" s="115">
        <v>43928</v>
      </c>
      <c r="F1647" s="114">
        <v>202101</v>
      </c>
      <c r="G1647" s="112" t="s">
        <v>1091</v>
      </c>
      <c r="H1647" s="112" t="s">
        <v>1016</v>
      </c>
      <c r="I1647" s="112" t="s">
        <v>3846</v>
      </c>
      <c r="J1647" s="112" t="s">
        <v>3709</v>
      </c>
      <c r="K1647" s="112" t="s">
        <v>4448</v>
      </c>
      <c r="L1647" s="116">
        <v>-560</v>
      </c>
      <c r="M1647" s="116">
        <f t="shared" si="25"/>
        <v>-0.56000000000000005</v>
      </c>
    </row>
    <row r="1648" spans="1:13" hidden="1" x14ac:dyDescent="0.35">
      <c r="A1648" s="112" t="s">
        <v>3616</v>
      </c>
      <c r="B1648" s="112" t="s">
        <v>919</v>
      </c>
      <c r="C1648" s="112" t="s">
        <v>695</v>
      </c>
      <c r="D1648" s="113">
        <v>10347981</v>
      </c>
      <c r="E1648" s="115">
        <v>43924</v>
      </c>
      <c r="F1648" s="114">
        <v>202101</v>
      </c>
      <c r="G1648" s="112" t="s">
        <v>1091</v>
      </c>
      <c r="H1648" s="112" t="s">
        <v>1015</v>
      </c>
      <c r="I1648" s="112" t="s">
        <v>761</v>
      </c>
      <c r="J1648" s="112" t="s">
        <v>3634</v>
      </c>
      <c r="K1648" s="112" t="s">
        <v>4449</v>
      </c>
      <c r="L1648" s="116">
        <v>-80</v>
      </c>
      <c r="M1648" s="116">
        <f t="shared" si="25"/>
        <v>-0.08</v>
      </c>
    </row>
    <row r="1649" spans="1:13" hidden="1" x14ac:dyDescent="0.35">
      <c r="A1649" s="112" t="s">
        <v>3616</v>
      </c>
      <c r="B1649" s="112" t="s">
        <v>921</v>
      </c>
      <c r="C1649" s="112" t="s">
        <v>695</v>
      </c>
      <c r="D1649" s="113">
        <v>10347981</v>
      </c>
      <c r="E1649" s="115">
        <v>43924</v>
      </c>
      <c r="F1649" s="114">
        <v>202101</v>
      </c>
      <c r="G1649" s="112" t="s">
        <v>1091</v>
      </c>
      <c r="H1649" s="112" t="s">
        <v>1015</v>
      </c>
      <c r="I1649" s="112" t="s">
        <v>3266</v>
      </c>
      <c r="J1649" s="112" t="s">
        <v>3709</v>
      </c>
      <c r="K1649" s="112" t="s">
        <v>4450</v>
      </c>
      <c r="L1649" s="116">
        <v>-350</v>
      </c>
      <c r="M1649" s="116">
        <f t="shared" si="25"/>
        <v>-0.35</v>
      </c>
    </row>
    <row r="1650" spans="1:13" hidden="1" x14ac:dyDescent="0.35">
      <c r="A1650" s="112" t="s">
        <v>3616</v>
      </c>
      <c r="B1650" s="112" t="s">
        <v>922</v>
      </c>
      <c r="C1650" s="112" t="s">
        <v>695</v>
      </c>
      <c r="D1650" s="113">
        <v>10347981</v>
      </c>
      <c r="E1650" s="115">
        <v>43924</v>
      </c>
      <c r="F1650" s="114">
        <v>202101</v>
      </c>
      <c r="G1650" s="112" t="s">
        <v>1091</v>
      </c>
      <c r="H1650" s="112" t="s">
        <v>1015</v>
      </c>
      <c r="I1650" s="112" t="s">
        <v>3742</v>
      </c>
      <c r="J1650" s="112" t="s">
        <v>3784</v>
      </c>
      <c r="K1650" s="112" t="s">
        <v>4011</v>
      </c>
      <c r="L1650" s="116">
        <v>-32.409999999999997</v>
      </c>
      <c r="M1650" s="116">
        <f t="shared" si="25"/>
        <v>-3.2409999999999994E-2</v>
      </c>
    </row>
    <row r="1651" spans="1:13" hidden="1" x14ac:dyDescent="0.35">
      <c r="A1651" s="112" t="s">
        <v>3616</v>
      </c>
      <c r="B1651" s="112" t="s">
        <v>920</v>
      </c>
      <c r="C1651" s="112" t="s">
        <v>695</v>
      </c>
      <c r="D1651" s="113">
        <v>10347981</v>
      </c>
      <c r="E1651" s="115">
        <v>43924</v>
      </c>
      <c r="F1651" s="114">
        <v>202101</v>
      </c>
      <c r="G1651" s="112" t="s">
        <v>1091</v>
      </c>
      <c r="H1651" s="112" t="s">
        <v>1015</v>
      </c>
      <c r="I1651" s="112" t="s">
        <v>761</v>
      </c>
      <c r="J1651" s="112" t="s">
        <v>3755</v>
      </c>
      <c r="K1651" s="112" t="s">
        <v>4451</v>
      </c>
      <c r="L1651" s="116">
        <v>-1785</v>
      </c>
      <c r="M1651" s="116">
        <f t="shared" si="25"/>
        <v>-1.7849999999999999</v>
      </c>
    </row>
    <row r="1652" spans="1:13" hidden="1" x14ac:dyDescent="0.35">
      <c r="A1652" s="112" t="s">
        <v>3616</v>
      </c>
      <c r="B1652" s="112" t="s">
        <v>921</v>
      </c>
      <c r="C1652" s="112" t="s">
        <v>695</v>
      </c>
      <c r="D1652" s="113">
        <v>10347981</v>
      </c>
      <c r="E1652" s="115">
        <v>43924</v>
      </c>
      <c r="F1652" s="114">
        <v>202101</v>
      </c>
      <c r="G1652" s="112" t="s">
        <v>1091</v>
      </c>
      <c r="H1652" s="112" t="s">
        <v>1015</v>
      </c>
      <c r="I1652" s="112" t="s">
        <v>1137</v>
      </c>
      <c r="J1652" s="112" t="s">
        <v>3620</v>
      </c>
      <c r="K1652" s="112" t="s">
        <v>3776</v>
      </c>
      <c r="L1652" s="116">
        <v>-15</v>
      </c>
      <c r="M1652" s="116">
        <f t="shared" si="25"/>
        <v>-1.4999999999999999E-2</v>
      </c>
    </row>
    <row r="1653" spans="1:13" hidden="1" x14ac:dyDescent="0.35">
      <c r="A1653" s="112" t="s">
        <v>3616</v>
      </c>
      <c r="B1653" s="112" t="s">
        <v>922</v>
      </c>
      <c r="C1653" s="112" t="s">
        <v>695</v>
      </c>
      <c r="D1653" s="113">
        <v>10347981</v>
      </c>
      <c r="E1653" s="115">
        <v>43924</v>
      </c>
      <c r="F1653" s="114">
        <v>202101</v>
      </c>
      <c r="G1653" s="112" t="s">
        <v>1091</v>
      </c>
      <c r="H1653" s="112" t="s">
        <v>1015</v>
      </c>
      <c r="I1653" s="112" t="s">
        <v>761</v>
      </c>
      <c r="J1653" s="112" t="s">
        <v>3766</v>
      </c>
      <c r="K1653" s="112" t="s">
        <v>4452</v>
      </c>
      <c r="L1653" s="116">
        <v>-459.75</v>
      </c>
      <c r="M1653" s="116">
        <f t="shared" si="25"/>
        <v>-0.45974999999999999</v>
      </c>
    </row>
    <row r="1654" spans="1:13" hidden="1" x14ac:dyDescent="0.35">
      <c r="A1654" s="112" t="s">
        <v>3616</v>
      </c>
      <c r="B1654" s="112" t="s">
        <v>922</v>
      </c>
      <c r="C1654" s="112" t="s">
        <v>695</v>
      </c>
      <c r="D1654" s="113">
        <v>10347981</v>
      </c>
      <c r="E1654" s="115">
        <v>43924</v>
      </c>
      <c r="F1654" s="114">
        <v>202101</v>
      </c>
      <c r="G1654" s="112" t="s">
        <v>1091</v>
      </c>
      <c r="H1654" s="112" t="s">
        <v>1015</v>
      </c>
      <c r="I1654" s="112" t="s">
        <v>761</v>
      </c>
      <c r="J1654" s="112" t="s">
        <v>3861</v>
      </c>
      <c r="K1654" s="112" t="s">
        <v>3990</v>
      </c>
      <c r="L1654" s="116">
        <v>-50</v>
      </c>
      <c r="M1654" s="116">
        <f t="shared" si="25"/>
        <v>-0.05</v>
      </c>
    </row>
    <row r="1655" spans="1:13" hidden="1" x14ac:dyDescent="0.35">
      <c r="A1655" s="112" t="s">
        <v>3616</v>
      </c>
      <c r="B1655" s="112" t="s">
        <v>916</v>
      </c>
      <c r="C1655" s="112" t="s">
        <v>695</v>
      </c>
      <c r="D1655" s="113">
        <v>10347981</v>
      </c>
      <c r="E1655" s="115">
        <v>43924</v>
      </c>
      <c r="F1655" s="114">
        <v>202101</v>
      </c>
      <c r="G1655" s="112" t="s">
        <v>1091</v>
      </c>
      <c r="H1655" s="112" t="s">
        <v>1015</v>
      </c>
      <c r="I1655" s="112" t="s">
        <v>4453</v>
      </c>
      <c r="J1655" s="112" t="s">
        <v>3771</v>
      </c>
      <c r="K1655" s="112" t="s">
        <v>4454</v>
      </c>
      <c r="L1655" s="116">
        <v>-179</v>
      </c>
      <c r="M1655" s="116">
        <f t="shared" si="25"/>
        <v>-0.17899999999999999</v>
      </c>
    </row>
    <row r="1656" spans="1:13" hidden="1" x14ac:dyDescent="0.35">
      <c r="A1656" s="112" t="s">
        <v>3616</v>
      </c>
      <c r="B1656" s="112" t="s">
        <v>920</v>
      </c>
      <c r="C1656" s="112" t="s">
        <v>695</v>
      </c>
      <c r="D1656" s="113">
        <v>10347981</v>
      </c>
      <c r="E1656" s="115">
        <v>43924</v>
      </c>
      <c r="F1656" s="114">
        <v>202101</v>
      </c>
      <c r="G1656" s="112" t="s">
        <v>1091</v>
      </c>
      <c r="H1656" s="112" t="s">
        <v>1015</v>
      </c>
      <c r="I1656" s="112" t="s">
        <v>1092</v>
      </c>
      <c r="J1656" s="112" t="s">
        <v>3755</v>
      </c>
      <c r="K1656" s="112" t="s">
        <v>1450</v>
      </c>
      <c r="L1656" s="116">
        <v>-47</v>
      </c>
      <c r="M1656" s="116">
        <f t="shared" si="25"/>
        <v>-4.7E-2</v>
      </c>
    </row>
    <row r="1657" spans="1:13" hidden="1" x14ac:dyDescent="0.35">
      <c r="A1657" s="112" t="s">
        <v>3616</v>
      </c>
      <c r="B1657" s="112" t="s">
        <v>919</v>
      </c>
      <c r="C1657" s="112" t="s">
        <v>695</v>
      </c>
      <c r="D1657" s="113">
        <v>10347981</v>
      </c>
      <c r="E1657" s="115">
        <v>43924</v>
      </c>
      <c r="F1657" s="114">
        <v>202101</v>
      </c>
      <c r="G1657" s="112" t="s">
        <v>1091</v>
      </c>
      <c r="H1657" s="112" t="s">
        <v>1015</v>
      </c>
      <c r="I1657" s="112" t="s">
        <v>1471</v>
      </c>
      <c r="J1657" s="112" t="s">
        <v>3624</v>
      </c>
      <c r="K1657" s="112" t="s">
        <v>4455</v>
      </c>
      <c r="L1657" s="116">
        <v>-3700</v>
      </c>
      <c r="M1657" s="116">
        <f t="shared" si="25"/>
        <v>-3.7</v>
      </c>
    </row>
    <row r="1658" spans="1:13" hidden="1" x14ac:dyDescent="0.35">
      <c r="A1658" s="112" t="s">
        <v>3616</v>
      </c>
      <c r="B1658" s="112" t="s">
        <v>919</v>
      </c>
      <c r="C1658" s="112" t="s">
        <v>695</v>
      </c>
      <c r="D1658" s="113">
        <v>10347981</v>
      </c>
      <c r="E1658" s="115">
        <v>43924</v>
      </c>
      <c r="F1658" s="114">
        <v>202101</v>
      </c>
      <c r="G1658" s="112" t="s">
        <v>1091</v>
      </c>
      <c r="H1658" s="112" t="s">
        <v>1015</v>
      </c>
      <c r="I1658" s="112" t="s">
        <v>761</v>
      </c>
      <c r="J1658" s="112" t="s">
        <v>3628</v>
      </c>
      <c r="K1658" s="112" t="s">
        <v>4456</v>
      </c>
      <c r="L1658" s="116">
        <v>-595</v>
      </c>
      <c r="M1658" s="116">
        <f t="shared" si="25"/>
        <v>-0.59499999999999997</v>
      </c>
    </row>
    <row r="1659" spans="1:13" hidden="1" x14ac:dyDescent="0.35">
      <c r="A1659" s="112" t="s">
        <v>3616</v>
      </c>
      <c r="B1659" s="112" t="s">
        <v>922</v>
      </c>
      <c r="C1659" s="112" t="s">
        <v>695</v>
      </c>
      <c r="D1659" s="113">
        <v>10347981</v>
      </c>
      <c r="E1659" s="115">
        <v>43924</v>
      </c>
      <c r="F1659" s="114">
        <v>202101</v>
      </c>
      <c r="G1659" s="112" t="s">
        <v>1091</v>
      </c>
      <c r="H1659" s="112" t="s">
        <v>1015</v>
      </c>
      <c r="I1659" s="112" t="s">
        <v>761</v>
      </c>
      <c r="J1659" s="112" t="s">
        <v>3766</v>
      </c>
      <c r="K1659" s="112" t="s">
        <v>4457</v>
      </c>
      <c r="L1659" s="116">
        <v>-480</v>
      </c>
      <c r="M1659" s="116">
        <f t="shared" si="25"/>
        <v>-0.48</v>
      </c>
    </row>
    <row r="1660" spans="1:13" hidden="1" x14ac:dyDescent="0.35">
      <c r="A1660" s="112" t="s">
        <v>3616</v>
      </c>
      <c r="B1660" s="112" t="s">
        <v>920</v>
      </c>
      <c r="C1660" s="112" t="s">
        <v>695</v>
      </c>
      <c r="D1660" s="113">
        <v>10347981</v>
      </c>
      <c r="E1660" s="115">
        <v>43924</v>
      </c>
      <c r="F1660" s="114">
        <v>202101</v>
      </c>
      <c r="G1660" s="112" t="s">
        <v>1091</v>
      </c>
      <c r="H1660" s="112" t="s">
        <v>1015</v>
      </c>
      <c r="I1660" s="112" t="s">
        <v>775</v>
      </c>
      <c r="J1660" s="112" t="s">
        <v>3755</v>
      </c>
      <c r="K1660" s="112" t="s">
        <v>4458</v>
      </c>
      <c r="L1660" s="116">
        <v>-12</v>
      </c>
      <c r="M1660" s="116">
        <f t="shared" si="25"/>
        <v>-1.2E-2</v>
      </c>
    </row>
    <row r="1661" spans="1:13" hidden="1" x14ac:dyDescent="0.35">
      <c r="A1661" s="112" t="s">
        <v>3616</v>
      </c>
      <c r="B1661" s="112" t="s">
        <v>919</v>
      </c>
      <c r="C1661" s="112" t="s">
        <v>695</v>
      </c>
      <c r="D1661" s="113">
        <v>10347981</v>
      </c>
      <c r="E1661" s="115">
        <v>43924</v>
      </c>
      <c r="F1661" s="114">
        <v>202101</v>
      </c>
      <c r="G1661" s="112" t="s">
        <v>1091</v>
      </c>
      <c r="H1661" s="112" t="s">
        <v>1015</v>
      </c>
      <c r="I1661" s="112" t="s">
        <v>1643</v>
      </c>
      <c r="J1661" s="112" t="s">
        <v>3624</v>
      </c>
      <c r="K1661" s="112" t="s">
        <v>4459</v>
      </c>
      <c r="L1661" s="116">
        <v>-191.27</v>
      </c>
      <c r="M1661" s="116">
        <f t="shared" si="25"/>
        <v>-0.19127000000000002</v>
      </c>
    </row>
    <row r="1662" spans="1:13" hidden="1" x14ac:dyDescent="0.35">
      <c r="A1662" s="112" t="s">
        <v>3616</v>
      </c>
      <c r="B1662" s="112" t="s">
        <v>921</v>
      </c>
      <c r="C1662" s="112" t="s">
        <v>695</v>
      </c>
      <c r="D1662" s="113">
        <v>10347981</v>
      </c>
      <c r="E1662" s="115">
        <v>43924</v>
      </c>
      <c r="F1662" s="114">
        <v>202101</v>
      </c>
      <c r="G1662" s="112" t="s">
        <v>1091</v>
      </c>
      <c r="H1662" s="112" t="s">
        <v>1015</v>
      </c>
      <c r="I1662" s="112" t="s">
        <v>2495</v>
      </c>
      <c r="J1662" s="112" t="s">
        <v>3620</v>
      </c>
      <c r="K1662" s="112" t="s">
        <v>4460</v>
      </c>
      <c r="L1662" s="116">
        <v>-600</v>
      </c>
      <c r="M1662" s="116">
        <f t="shared" si="25"/>
        <v>-0.6</v>
      </c>
    </row>
    <row r="1663" spans="1:13" hidden="1" x14ac:dyDescent="0.35">
      <c r="A1663" s="112" t="s">
        <v>3616</v>
      </c>
      <c r="B1663" s="112" t="s">
        <v>920</v>
      </c>
      <c r="C1663" s="112" t="s">
        <v>695</v>
      </c>
      <c r="D1663" s="113">
        <v>10347981</v>
      </c>
      <c r="E1663" s="115">
        <v>43924</v>
      </c>
      <c r="F1663" s="114">
        <v>202101</v>
      </c>
      <c r="G1663" s="112" t="s">
        <v>1091</v>
      </c>
      <c r="H1663" s="112" t="s">
        <v>1015</v>
      </c>
      <c r="I1663" s="112" t="s">
        <v>1182</v>
      </c>
      <c r="J1663" s="112" t="s">
        <v>4179</v>
      </c>
      <c r="K1663" s="112" t="s">
        <v>4461</v>
      </c>
      <c r="L1663" s="116">
        <v>-90</v>
      </c>
      <c r="M1663" s="116">
        <f t="shared" si="25"/>
        <v>-0.09</v>
      </c>
    </row>
    <row r="1664" spans="1:13" hidden="1" x14ac:dyDescent="0.35">
      <c r="A1664" s="112" t="s">
        <v>3616</v>
      </c>
      <c r="B1664" s="112" t="s">
        <v>921</v>
      </c>
      <c r="C1664" s="112" t="s">
        <v>695</v>
      </c>
      <c r="D1664" s="113">
        <v>10347981</v>
      </c>
      <c r="E1664" s="115">
        <v>43924</v>
      </c>
      <c r="F1664" s="114">
        <v>202101</v>
      </c>
      <c r="G1664" s="112" t="s">
        <v>1091</v>
      </c>
      <c r="H1664" s="112" t="s">
        <v>1015</v>
      </c>
      <c r="I1664" s="112" t="s">
        <v>775</v>
      </c>
      <c r="J1664" s="112" t="s">
        <v>3709</v>
      </c>
      <c r="K1664" s="112" t="s">
        <v>4462</v>
      </c>
      <c r="L1664" s="116">
        <v>-429.6</v>
      </c>
      <c r="M1664" s="116">
        <f t="shared" si="25"/>
        <v>-0.42960000000000004</v>
      </c>
    </row>
    <row r="1665" spans="1:13" hidden="1" x14ac:dyDescent="0.35">
      <c r="A1665" s="112" t="s">
        <v>3616</v>
      </c>
      <c r="B1665" s="112" t="s">
        <v>923</v>
      </c>
      <c r="C1665" s="112" t="s">
        <v>695</v>
      </c>
      <c r="D1665" s="113">
        <v>10347981</v>
      </c>
      <c r="E1665" s="115">
        <v>43924</v>
      </c>
      <c r="F1665" s="114">
        <v>202101</v>
      </c>
      <c r="G1665" s="112" t="s">
        <v>1091</v>
      </c>
      <c r="H1665" s="112" t="s">
        <v>1015</v>
      </c>
      <c r="I1665" s="112" t="s">
        <v>761</v>
      </c>
      <c r="J1665" s="112" t="s">
        <v>3988</v>
      </c>
      <c r="K1665" s="112" t="s">
        <v>4463</v>
      </c>
      <c r="L1665" s="116">
        <v>-50</v>
      </c>
      <c r="M1665" s="116">
        <f t="shared" si="25"/>
        <v>-0.05</v>
      </c>
    </row>
    <row r="1666" spans="1:13" hidden="1" x14ac:dyDescent="0.35">
      <c r="A1666" s="112" t="s">
        <v>3616</v>
      </c>
      <c r="B1666" s="112" t="s">
        <v>920</v>
      </c>
      <c r="C1666" s="112" t="s">
        <v>695</v>
      </c>
      <c r="D1666" s="113">
        <v>10347981</v>
      </c>
      <c r="E1666" s="115">
        <v>43924</v>
      </c>
      <c r="F1666" s="114">
        <v>202101</v>
      </c>
      <c r="G1666" s="112" t="s">
        <v>1091</v>
      </c>
      <c r="H1666" s="112" t="s">
        <v>1015</v>
      </c>
      <c r="I1666" s="112" t="s">
        <v>4464</v>
      </c>
      <c r="J1666" s="112" t="s">
        <v>3755</v>
      </c>
      <c r="K1666" s="112" t="s">
        <v>4465</v>
      </c>
      <c r="L1666" s="116">
        <v>-1310.05</v>
      </c>
      <c r="M1666" s="116">
        <f t="shared" si="25"/>
        <v>-1.3100499999999999</v>
      </c>
    </row>
    <row r="1667" spans="1:13" hidden="1" x14ac:dyDescent="0.35">
      <c r="A1667" s="112" t="s">
        <v>3616</v>
      </c>
      <c r="B1667" s="112" t="s">
        <v>922</v>
      </c>
      <c r="C1667" s="112" t="s">
        <v>695</v>
      </c>
      <c r="D1667" s="113">
        <v>10347981</v>
      </c>
      <c r="E1667" s="115">
        <v>43924</v>
      </c>
      <c r="F1667" s="114">
        <v>202101</v>
      </c>
      <c r="G1667" s="112" t="s">
        <v>1091</v>
      </c>
      <c r="H1667" s="112" t="s">
        <v>1015</v>
      </c>
      <c r="I1667" s="112" t="s">
        <v>761</v>
      </c>
      <c r="J1667" s="112" t="s">
        <v>3784</v>
      </c>
      <c r="K1667" s="112" t="s">
        <v>4466</v>
      </c>
      <c r="L1667" s="116">
        <v>-3202.72</v>
      </c>
      <c r="M1667" s="116">
        <f t="shared" ref="M1667:M1730" si="26">L1667/1000</f>
        <v>-3.2027199999999998</v>
      </c>
    </row>
    <row r="1668" spans="1:13" hidden="1" x14ac:dyDescent="0.35">
      <c r="A1668" s="112" t="s">
        <v>3616</v>
      </c>
      <c r="B1668" s="112" t="s">
        <v>922</v>
      </c>
      <c r="C1668" s="112" t="s">
        <v>695</v>
      </c>
      <c r="D1668" s="113">
        <v>10347981</v>
      </c>
      <c r="E1668" s="115">
        <v>43924</v>
      </c>
      <c r="F1668" s="114">
        <v>202101</v>
      </c>
      <c r="G1668" s="112" t="s">
        <v>1091</v>
      </c>
      <c r="H1668" s="112" t="s">
        <v>1015</v>
      </c>
      <c r="I1668" s="112" t="s">
        <v>761</v>
      </c>
      <c r="J1668" s="112" t="s">
        <v>3766</v>
      </c>
      <c r="K1668" s="112" t="s">
        <v>4467</v>
      </c>
      <c r="L1668" s="116">
        <v>-2400</v>
      </c>
      <c r="M1668" s="116">
        <f t="shared" si="26"/>
        <v>-2.4</v>
      </c>
    </row>
    <row r="1669" spans="1:13" hidden="1" x14ac:dyDescent="0.35">
      <c r="A1669" s="112" t="s">
        <v>3616</v>
      </c>
      <c r="B1669" s="112" t="s">
        <v>921</v>
      </c>
      <c r="C1669" s="112" t="s">
        <v>695</v>
      </c>
      <c r="D1669" s="113">
        <v>10347981</v>
      </c>
      <c r="E1669" s="115">
        <v>43924</v>
      </c>
      <c r="F1669" s="114">
        <v>202101</v>
      </c>
      <c r="G1669" s="112" t="s">
        <v>1091</v>
      </c>
      <c r="H1669" s="112" t="s">
        <v>1015</v>
      </c>
      <c r="I1669" s="112" t="s">
        <v>1137</v>
      </c>
      <c r="J1669" s="112" t="s">
        <v>3620</v>
      </c>
      <c r="K1669" s="112" t="s">
        <v>4413</v>
      </c>
      <c r="L1669" s="116">
        <v>-10</v>
      </c>
      <c r="M1669" s="116">
        <f t="shared" si="26"/>
        <v>-0.01</v>
      </c>
    </row>
    <row r="1670" spans="1:13" hidden="1" x14ac:dyDescent="0.35">
      <c r="A1670" s="112" t="s">
        <v>3616</v>
      </c>
      <c r="B1670" s="112" t="s">
        <v>916</v>
      </c>
      <c r="C1670" s="112" t="s">
        <v>695</v>
      </c>
      <c r="D1670" s="113">
        <v>10348043</v>
      </c>
      <c r="E1670" s="115">
        <v>43928</v>
      </c>
      <c r="F1670" s="114">
        <v>202101</v>
      </c>
      <c r="G1670" s="112" t="s">
        <v>1091</v>
      </c>
      <c r="H1670" s="112" t="s">
        <v>1015</v>
      </c>
      <c r="I1670" s="112" t="s">
        <v>4468</v>
      </c>
      <c r="J1670" s="112" t="s">
        <v>3626</v>
      </c>
      <c r="K1670" s="112" t="s">
        <v>4469</v>
      </c>
      <c r="L1670" s="116">
        <v>-42580</v>
      </c>
      <c r="M1670" s="116">
        <f t="shared" si="26"/>
        <v>-42.58</v>
      </c>
    </row>
    <row r="1671" spans="1:13" hidden="1" x14ac:dyDescent="0.35">
      <c r="A1671" s="112" t="s">
        <v>3616</v>
      </c>
      <c r="B1671" s="112" t="s">
        <v>917</v>
      </c>
      <c r="C1671" s="112" t="s">
        <v>695</v>
      </c>
      <c r="D1671" s="113">
        <v>10348400</v>
      </c>
      <c r="E1671" s="115">
        <v>43943</v>
      </c>
      <c r="F1671" s="114">
        <v>202101</v>
      </c>
      <c r="G1671" s="112" t="s">
        <v>1091</v>
      </c>
      <c r="H1671" s="112" t="s">
        <v>1015</v>
      </c>
      <c r="I1671" s="112" t="s">
        <v>2454</v>
      </c>
      <c r="J1671" s="112" t="s">
        <v>3781</v>
      </c>
      <c r="K1671" s="112" t="s">
        <v>4474</v>
      </c>
      <c r="L1671" s="116">
        <v>-26080.75</v>
      </c>
      <c r="M1671" s="116">
        <f t="shared" si="26"/>
        <v>-26.080749999999998</v>
      </c>
    </row>
    <row r="1672" spans="1:13" hidden="1" x14ac:dyDescent="0.35">
      <c r="A1672" s="112" t="s">
        <v>3616</v>
      </c>
      <c r="B1672" s="112" t="s">
        <v>921</v>
      </c>
      <c r="C1672" s="112" t="s">
        <v>695</v>
      </c>
      <c r="D1672" s="113">
        <v>10347981</v>
      </c>
      <c r="E1672" s="115">
        <v>43924</v>
      </c>
      <c r="F1672" s="114">
        <v>202101</v>
      </c>
      <c r="G1672" s="112" t="s">
        <v>1091</v>
      </c>
      <c r="H1672" s="112" t="s">
        <v>1015</v>
      </c>
      <c r="I1672" s="112" t="s">
        <v>1264</v>
      </c>
      <c r="J1672" s="112" t="s">
        <v>3620</v>
      </c>
      <c r="K1672" s="112" t="s">
        <v>4477</v>
      </c>
      <c r="L1672" s="116">
        <v>-75</v>
      </c>
      <c r="M1672" s="116">
        <f t="shared" si="26"/>
        <v>-7.4999999999999997E-2</v>
      </c>
    </row>
    <row r="1673" spans="1:13" hidden="1" x14ac:dyDescent="0.35">
      <c r="A1673" s="112" t="s">
        <v>3616</v>
      </c>
      <c r="B1673" s="112" t="s">
        <v>921</v>
      </c>
      <c r="C1673" s="112" t="s">
        <v>695</v>
      </c>
      <c r="D1673" s="113">
        <v>10348404</v>
      </c>
      <c r="E1673" s="115">
        <v>43943</v>
      </c>
      <c r="F1673" s="114">
        <v>202101</v>
      </c>
      <c r="G1673" s="112" t="s">
        <v>1091</v>
      </c>
      <c r="H1673" s="112" t="s">
        <v>1015</v>
      </c>
      <c r="I1673" s="112" t="s">
        <v>3677</v>
      </c>
      <c r="J1673" s="112" t="s">
        <v>3620</v>
      </c>
      <c r="K1673" s="112" t="s">
        <v>4478</v>
      </c>
      <c r="L1673" s="116">
        <v>700</v>
      </c>
      <c r="M1673" s="116">
        <f t="shared" si="26"/>
        <v>0.7</v>
      </c>
    </row>
    <row r="1674" spans="1:13" hidden="1" x14ac:dyDescent="0.35">
      <c r="A1674" s="112" t="s">
        <v>3616</v>
      </c>
      <c r="B1674" s="112" t="s">
        <v>921</v>
      </c>
      <c r="C1674" s="112" t="s">
        <v>695</v>
      </c>
      <c r="D1674" s="113">
        <v>10347981</v>
      </c>
      <c r="E1674" s="115">
        <v>43924</v>
      </c>
      <c r="F1674" s="114">
        <v>202101</v>
      </c>
      <c r="G1674" s="112" t="s">
        <v>1091</v>
      </c>
      <c r="H1674" s="112" t="s">
        <v>1015</v>
      </c>
      <c r="I1674" s="112" t="s">
        <v>775</v>
      </c>
      <c r="J1674" s="112" t="s">
        <v>3709</v>
      </c>
      <c r="K1674" s="112" t="s">
        <v>4479</v>
      </c>
      <c r="L1674" s="116">
        <v>-101.6</v>
      </c>
      <c r="M1674" s="116">
        <f t="shared" si="26"/>
        <v>-0.1016</v>
      </c>
    </row>
    <row r="1675" spans="1:13" hidden="1" x14ac:dyDescent="0.35">
      <c r="A1675" s="112" t="s">
        <v>3616</v>
      </c>
      <c r="B1675" s="112" t="s">
        <v>920</v>
      </c>
      <c r="C1675" s="112" t="s">
        <v>695</v>
      </c>
      <c r="D1675" s="113">
        <v>10347981</v>
      </c>
      <c r="E1675" s="115">
        <v>43924</v>
      </c>
      <c r="F1675" s="114">
        <v>202101</v>
      </c>
      <c r="G1675" s="112" t="s">
        <v>1091</v>
      </c>
      <c r="H1675" s="112" t="s">
        <v>1015</v>
      </c>
      <c r="I1675" s="112" t="s">
        <v>761</v>
      </c>
      <c r="J1675" s="112" t="s">
        <v>3755</v>
      </c>
      <c r="K1675" s="112" t="s">
        <v>4483</v>
      </c>
      <c r="L1675" s="116">
        <v>-157.5</v>
      </c>
      <c r="M1675" s="116">
        <f t="shared" si="26"/>
        <v>-0.1575</v>
      </c>
    </row>
    <row r="1676" spans="1:13" hidden="1" x14ac:dyDescent="0.35">
      <c r="A1676" s="112" t="s">
        <v>3616</v>
      </c>
      <c r="B1676" s="112" t="s">
        <v>922</v>
      </c>
      <c r="C1676" s="112" t="s">
        <v>695</v>
      </c>
      <c r="D1676" s="113">
        <v>10347981</v>
      </c>
      <c r="E1676" s="115">
        <v>43924</v>
      </c>
      <c r="F1676" s="114">
        <v>202101</v>
      </c>
      <c r="G1676" s="112" t="s">
        <v>1091</v>
      </c>
      <c r="H1676" s="112" t="s">
        <v>1015</v>
      </c>
      <c r="I1676" s="112" t="s">
        <v>3742</v>
      </c>
      <c r="J1676" s="112" t="s">
        <v>3784</v>
      </c>
      <c r="K1676" s="112" t="s">
        <v>4011</v>
      </c>
      <c r="L1676" s="116">
        <v>-32.44</v>
      </c>
      <c r="M1676" s="116">
        <f t="shared" si="26"/>
        <v>-3.2439999999999997E-2</v>
      </c>
    </row>
    <row r="1677" spans="1:13" hidden="1" x14ac:dyDescent="0.35">
      <c r="A1677" s="112" t="s">
        <v>3616</v>
      </c>
      <c r="B1677" s="112" t="s">
        <v>916</v>
      </c>
      <c r="C1677" s="112" t="s">
        <v>695</v>
      </c>
      <c r="D1677" s="113">
        <v>10348043</v>
      </c>
      <c r="E1677" s="115">
        <v>43928</v>
      </c>
      <c r="F1677" s="114">
        <v>202101</v>
      </c>
      <c r="G1677" s="112" t="s">
        <v>1091</v>
      </c>
      <c r="H1677" s="112" t="s">
        <v>1015</v>
      </c>
      <c r="I1677" s="112" t="s">
        <v>4468</v>
      </c>
      <c r="J1677" s="112" t="s">
        <v>3626</v>
      </c>
      <c r="K1677" s="112" t="s">
        <v>3716</v>
      </c>
      <c r="L1677" s="116">
        <v>-300</v>
      </c>
      <c r="M1677" s="116">
        <f t="shared" si="26"/>
        <v>-0.3</v>
      </c>
    </row>
    <row r="1678" spans="1:13" hidden="1" x14ac:dyDescent="0.35">
      <c r="A1678" s="112" t="s">
        <v>3616</v>
      </c>
      <c r="B1678" s="112" t="s">
        <v>916</v>
      </c>
      <c r="C1678" s="112" t="s">
        <v>695</v>
      </c>
      <c r="D1678" s="113">
        <v>10348043</v>
      </c>
      <c r="E1678" s="115">
        <v>43928</v>
      </c>
      <c r="F1678" s="114">
        <v>202101</v>
      </c>
      <c r="G1678" s="112" t="s">
        <v>1091</v>
      </c>
      <c r="H1678" s="112" t="s">
        <v>1015</v>
      </c>
      <c r="I1678" s="112" t="s">
        <v>4468</v>
      </c>
      <c r="J1678" s="112" t="s">
        <v>3626</v>
      </c>
      <c r="K1678" s="112" t="s">
        <v>3718</v>
      </c>
      <c r="L1678" s="116">
        <v>-350</v>
      </c>
      <c r="M1678" s="116">
        <f t="shared" si="26"/>
        <v>-0.35</v>
      </c>
    </row>
    <row r="1679" spans="1:13" hidden="1" x14ac:dyDescent="0.35">
      <c r="A1679" s="112" t="s">
        <v>3616</v>
      </c>
      <c r="B1679" s="112" t="s">
        <v>922</v>
      </c>
      <c r="C1679" s="112" t="s">
        <v>695</v>
      </c>
      <c r="D1679" s="113">
        <v>10347981</v>
      </c>
      <c r="E1679" s="115">
        <v>43924</v>
      </c>
      <c r="F1679" s="114">
        <v>202101</v>
      </c>
      <c r="G1679" s="112" t="s">
        <v>1091</v>
      </c>
      <c r="H1679" s="112" t="s">
        <v>1015</v>
      </c>
      <c r="I1679" s="112" t="s">
        <v>3790</v>
      </c>
      <c r="J1679" s="112" t="s">
        <v>3784</v>
      </c>
      <c r="K1679" s="112" t="s">
        <v>4485</v>
      </c>
      <c r="L1679" s="116">
        <v>-56</v>
      </c>
      <c r="M1679" s="116">
        <f t="shared" si="26"/>
        <v>-5.6000000000000001E-2</v>
      </c>
    </row>
    <row r="1680" spans="1:13" hidden="1" x14ac:dyDescent="0.35">
      <c r="A1680" s="112" t="s">
        <v>3616</v>
      </c>
      <c r="B1680" s="112" t="s">
        <v>921</v>
      </c>
      <c r="C1680" s="112" t="s">
        <v>695</v>
      </c>
      <c r="D1680" s="113">
        <v>10347981</v>
      </c>
      <c r="E1680" s="115">
        <v>43924</v>
      </c>
      <c r="F1680" s="114">
        <v>202101</v>
      </c>
      <c r="G1680" s="112" t="s">
        <v>1091</v>
      </c>
      <c r="H1680" s="112" t="s">
        <v>1015</v>
      </c>
      <c r="I1680" s="112" t="s">
        <v>1104</v>
      </c>
      <c r="J1680" s="112" t="s">
        <v>3620</v>
      </c>
      <c r="K1680" s="112" t="s">
        <v>4486</v>
      </c>
      <c r="L1680" s="116">
        <v>-75</v>
      </c>
      <c r="M1680" s="116">
        <f t="shared" si="26"/>
        <v>-7.4999999999999997E-2</v>
      </c>
    </row>
    <row r="1681" spans="1:13" hidden="1" x14ac:dyDescent="0.35">
      <c r="A1681" s="112" t="s">
        <v>3616</v>
      </c>
      <c r="B1681" s="112" t="s">
        <v>919</v>
      </c>
      <c r="C1681" s="112" t="s">
        <v>695</v>
      </c>
      <c r="D1681" s="113">
        <v>10347981</v>
      </c>
      <c r="E1681" s="115">
        <v>43924</v>
      </c>
      <c r="F1681" s="114">
        <v>202101</v>
      </c>
      <c r="G1681" s="112" t="s">
        <v>1091</v>
      </c>
      <c r="H1681" s="112" t="s">
        <v>1015</v>
      </c>
      <c r="I1681" s="112" t="s">
        <v>1643</v>
      </c>
      <c r="J1681" s="112" t="s">
        <v>3628</v>
      </c>
      <c r="K1681" s="112" t="s">
        <v>4487</v>
      </c>
      <c r="L1681" s="116">
        <v>-211.06</v>
      </c>
      <c r="M1681" s="116">
        <f t="shared" si="26"/>
        <v>-0.21106</v>
      </c>
    </row>
    <row r="1682" spans="1:13" hidden="1" x14ac:dyDescent="0.35">
      <c r="A1682" s="112" t="s">
        <v>3616</v>
      </c>
      <c r="B1682" s="112" t="s">
        <v>920</v>
      </c>
      <c r="C1682" s="112" t="s">
        <v>695</v>
      </c>
      <c r="D1682" s="113">
        <v>10347981</v>
      </c>
      <c r="E1682" s="115">
        <v>43924</v>
      </c>
      <c r="F1682" s="114">
        <v>202101</v>
      </c>
      <c r="G1682" s="112" t="s">
        <v>1091</v>
      </c>
      <c r="H1682" s="112" t="s">
        <v>1015</v>
      </c>
      <c r="I1682" s="112" t="s">
        <v>1399</v>
      </c>
      <c r="J1682" s="112" t="s">
        <v>3755</v>
      </c>
      <c r="K1682" s="112" t="s">
        <v>4488</v>
      </c>
      <c r="L1682" s="116">
        <v>-24.16</v>
      </c>
      <c r="M1682" s="116">
        <f t="shared" si="26"/>
        <v>-2.4160000000000001E-2</v>
      </c>
    </row>
    <row r="1683" spans="1:13" hidden="1" x14ac:dyDescent="0.35">
      <c r="A1683" s="112" t="s">
        <v>3616</v>
      </c>
      <c r="B1683" s="112" t="s">
        <v>922</v>
      </c>
      <c r="C1683" s="112" t="s">
        <v>695</v>
      </c>
      <c r="D1683" s="113">
        <v>10347981</v>
      </c>
      <c r="E1683" s="115">
        <v>43924</v>
      </c>
      <c r="F1683" s="114">
        <v>202101</v>
      </c>
      <c r="G1683" s="112" t="s">
        <v>1091</v>
      </c>
      <c r="H1683" s="112" t="s">
        <v>1015</v>
      </c>
      <c r="I1683" s="112" t="s">
        <v>761</v>
      </c>
      <c r="J1683" s="112" t="s">
        <v>3861</v>
      </c>
      <c r="K1683" s="112" t="s">
        <v>4422</v>
      </c>
      <c r="L1683" s="116">
        <v>-100</v>
      </c>
      <c r="M1683" s="116">
        <f t="shared" si="26"/>
        <v>-0.1</v>
      </c>
    </row>
    <row r="1684" spans="1:13" hidden="1" x14ac:dyDescent="0.35">
      <c r="A1684" s="112" t="s">
        <v>3616</v>
      </c>
      <c r="B1684" s="112" t="s">
        <v>923</v>
      </c>
      <c r="C1684" s="112" t="s">
        <v>695</v>
      </c>
      <c r="D1684" s="113">
        <v>10347981</v>
      </c>
      <c r="E1684" s="115">
        <v>43924</v>
      </c>
      <c r="F1684" s="114">
        <v>202101</v>
      </c>
      <c r="G1684" s="112" t="s">
        <v>1091</v>
      </c>
      <c r="H1684" s="112" t="s">
        <v>1015</v>
      </c>
      <c r="I1684" s="112" t="s">
        <v>761</v>
      </c>
      <c r="J1684" s="112" t="s">
        <v>3750</v>
      </c>
      <c r="K1684" s="112" t="s">
        <v>4489</v>
      </c>
      <c r="L1684" s="116">
        <v>-30</v>
      </c>
      <c r="M1684" s="116">
        <f t="shared" si="26"/>
        <v>-0.03</v>
      </c>
    </row>
    <row r="1685" spans="1:13" hidden="1" x14ac:dyDescent="0.35">
      <c r="A1685" s="112" t="s">
        <v>3616</v>
      </c>
      <c r="B1685" s="112" t="s">
        <v>922</v>
      </c>
      <c r="C1685" s="112" t="s">
        <v>695</v>
      </c>
      <c r="D1685" s="113">
        <v>10347981</v>
      </c>
      <c r="E1685" s="115">
        <v>43924</v>
      </c>
      <c r="F1685" s="114">
        <v>202101</v>
      </c>
      <c r="G1685" s="112" t="s">
        <v>1091</v>
      </c>
      <c r="H1685" s="112" t="s">
        <v>1015</v>
      </c>
      <c r="I1685" s="112" t="s">
        <v>761</v>
      </c>
      <c r="J1685" s="112" t="s">
        <v>3784</v>
      </c>
      <c r="K1685" s="112" t="s">
        <v>4490</v>
      </c>
      <c r="L1685" s="116">
        <v>-950</v>
      </c>
      <c r="M1685" s="116">
        <f t="shared" si="26"/>
        <v>-0.95</v>
      </c>
    </row>
    <row r="1686" spans="1:13" hidden="1" x14ac:dyDescent="0.35">
      <c r="A1686" s="112" t="s">
        <v>3616</v>
      </c>
      <c r="B1686" s="112" t="s">
        <v>920</v>
      </c>
      <c r="C1686" s="112" t="s">
        <v>695</v>
      </c>
      <c r="D1686" s="113">
        <v>10347981</v>
      </c>
      <c r="E1686" s="115">
        <v>43924</v>
      </c>
      <c r="F1686" s="114">
        <v>202101</v>
      </c>
      <c r="G1686" s="112" t="s">
        <v>1091</v>
      </c>
      <c r="H1686" s="112" t="s">
        <v>1015</v>
      </c>
      <c r="I1686" s="112" t="s">
        <v>775</v>
      </c>
      <c r="J1686" s="112" t="s">
        <v>3755</v>
      </c>
      <c r="K1686" s="112" t="s">
        <v>4491</v>
      </c>
      <c r="L1686" s="116">
        <v>-140</v>
      </c>
      <c r="M1686" s="116">
        <f t="shared" si="26"/>
        <v>-0.14000000000000001</v>
      </c>
    </row>
    <row r="1687" spans="1:13" hidden="1" x14ac:dyDescent="0.35">
      <c r="A1687" s="112" t="s">
        <v>3616</v>
      </c>
      <c r="B1687" s="112" t="s">
        <v>919</v>
      </c>
      <c r="C1687" s="112" t="s">
        <v>695</v>
      </c>
      <c r="D1687" s="113">
        <v>10347981</v>
      </c>
      <c r="E1687" s="115">
        <v>43924</v>
      </c>
      <c r="F1687" s="114">
        <v>202101</v>
      </c>
      <c r="G1687" s="112" t="s">
        <v>1091</v>
      </c>
      <c r="H1687" s="112" t="s">
        <v>1015</v>
      </c>
      <c r="I1687" s="112" t="s">
        <v>1246</v>
      </c>
      <c r="J1687" s="112" t="s">
        <v>3617</v>
      </c>
      <c r="K1687" s="112" t="s">
        <v>4492</v>
      </c>
      <c r="L1687" s="116">
        <v>-450</v>
      </c>
      <c r="M1687" s="116">
        <f t="shared" si="26"/>
        <v>-0.45</v>
      </c>
    </row>
    <row r="1688" spans="1:13" hidden="1" x14ac:dyDescent="0.35">
      <c r="A1688" s="112" t="s">
        <v>3616</v>
      </c>
      <c r="B1688" s="112" t="s">
        <v>923</v>
      </c>
      <c r="C1688" s="112" t="s">
        <v>695</v>
      </c>
      <c r="D1688" s="113">
        <v>10347981</v>
      </c>
      <c r="E1688" s="115">
        <v>43924</v>
      </c>
      <c r="F1688" s="114">
        <v>202101</v>
      </c>
      <c r="G1688" s="112" t="s">
        <v>1091</v>
      </c>
      <c r="H1688" s="112" t="s">
        <v>1015</v>
      </c>
      <c r="I1688" s="112" t="s">
        <v>761</v>
      </c>
      <c r="J1688" s="112" t="s">
        <v>3750</v>
      </c>
      <c r="K1688" s="112" t="s">
        <v>4493</v>
      </c>
      <c r="L1688" s="116">
        <v>-78</v>
      </c>
      <c r="M1688" s="116">
        <f t="shared" si="26"/>
        <v>-7.8E-2</v>
      </c>
    </row>
    <row r="1689" spans="1:13" hidden="1" x14ac:dyDescent="0.35">
      <c r="A1689" s="112" t="s">
        <v>3616</v>
      </c>
      <c r="B1689" s="112" t="s">
        <v>919</v>
      </c>
      <c r="C1689" s="112" t="s">
        <v>695</v>
      </c>
      <c r="D1689" s="113">
        <v>10347981</v>
      </c>
      <c r="E1689" s="115">
        <v>43924</v>
      </c>
      <c r="F1689" s="114">
        <v>202101</v>
      </c>
      <c r="G1689" s="112" t="s">
        <v>1091</v>
      </c>
      <c r="H1689" s="112" t="s">
        <v>1015</v>
      </c>
      <c r="I1689" s="112" t="s">
        <v>1643</v>
      </c>
      <c r="J1689" s="112" t="s">
        <v>3617</v>
      </c>
      <c r="K1689" s="112" t="s">
        <v>4496</v>
      </c>
      <c r="L1689" s="116">
        <v>-1092.8800000000001</v>
      </c>
      <c r="M1689" s="116">
        <f t="shared" si="26"/>
        <v>-1.0928800000000001</v>
      </c>
    </row>
    <row r="1690" spans="1:13" hidden="1" x14ac:dyDescent="0.35">
      <c r="A1690" s="112" t="s">
        <v>3616</v>
      </c>
      <c r="B1690" s="112" t="s">
        <v>921</v>
      </c>
      <c r="C1690" s="112" t="s">
        <v>695</v>
      </c>
      <c r="D1690" s="113">
        <v>10347981</v>
      </c>
      <c r="E1690" s="115">
        <v>43924</v>
      </c>
      <c r="F1690" s="114">
        <v>202101</v>
      </c>
      <c r="G1690" s="112" t="s">
        <v>1091</v>
      </c>
      <c r="H1690" s="112" t="s">
        <v>1015</v>
      </c>
      <c r="I1690" s="112" t="s">
        <v>1264</v>
      </c>
      <c r="J1690" s="112" t="s">
        <v>3620</v>
      </c>
      <c r="K1690" s="112" t="s">
        <v>4497</v>
      </c>
      <c r="L1690" s="116">
        <v>-84</v>
      </c>
      <c r="M1690" s="116">
        <f t="shared" si="26"/>
        <v>-8.4000000000000005E-2</v>
      </c>
    </row>
    <row r="1691" spans="1:13" hidden="1" x14ac:dyDescent="0.35">
      <c r="A1691" s="112" t="s">
        <v>3616</v>
      </c>
      <c r="B1691" s="112" t="s">
        <v>922</v>
      </c>
      <c r="C1691" s="112" t="s">
        <v>695</v>
      </c>
      <c r="D1691" s="113">
        <v>10347981</v>
      </c>
      <c r="E1691" s="115">
        <v>43924</v>
      </c>
      <c r="F1691" s="114">
        <v>202101</v>
      </c>
      <c r="G1691" s="112" t="s">
        <v>1091</v>
      </c>
      <c r="H1691" s="112" t="s">
        <v>1015</v>
      </c>
      <c r="I1691" s="112" t="s">
        <v>761</v>
      </c>
      <c r="J1691" s="112" t="s">
        <v>3861</v>
      </c>
      <c r="K1691" s="112" t="s">
        <v>3990</v>
      </c>
      <c r="L1691" s="116">
        <v>-50</v>
      </c>
      <c r="M1691" s="116">
        <f t="shared" si="26"/>
        <v>-0.05</v>
      </c>
    </row>
    <row r="1692" spans="1:13" hidden="1" x14ac:dyDescent="0.35">
      <c r="A1692" s="112" t="s">
        <v>3616</v>
      </c>
      <c r="B1692" s="112" t="s">
        <v>923</v>
      </c>
      <c r="C1692" s="112" t="s">
        <v>695</v>
      </c>
      <c r="D1692" s="113">
        <v>10347981</v>
      </c>
      <c r="E1692" s="115">
        <v>43924</v>
      </c>
      <c r="F1692" s="114">
        <v>202101</v>
      </c>
      <c r="G1692" s="112" t="s">
        <v>1091</v>
      </c>
      <c r="H1692" s="112" t="s">
        <v>1015</v>
      </c>
      <c r="I1692" s="112" t="s">
        <v>1164</v>
      </c>
      <c r="J1692" s="112" t="s">
        <v>3750</v>
      </c>
      <c r="K1692" s="112" t="s">
        <v>4498</v>
      </c>
      <c r="L1692" s="116">
        <v>-19</v>
      </c>
      <c r="M1692" s="116">
        <f t="shared" si="26"/>
        <v>-1.9E-2</v>
      </c>
    </row>
    <row r="1693" spans="1:13" hidden="1" x14ac:dyDescent="0.35">
      <c r="A1693" s="112" t="s">
        <v>3616</v>
      </c>
      <c r="B1693" s="112" t="s">
        <v>922</v>
      </c>
      <c r="C1693" s="112" t="s">
        <v>695</v>
      </c>
      <c r="D1693" s="113">
        <v>10347981</v>
      </c>
      <c r="E1693" s="115">
        <v>43924</v>
      </c>
      <c r="F1693" s="114">
        <v>202101</v>
      </c>
      <c r="G1693" s="112" t="s">
        <v>1091</v>
      </c>
      <c r="H1693" s="112" t="s">
        <v>1015</v>
      </c>
      <c r="I1693" s="112" t="s">
        <v>761</v>
      </c>
      <c r="J1693" s="112" t="s">
        <v>3861</v>
      </c>
      <c r="K1693" s="112" t="s">
        <v>4499</v>
      </c>
      <c r="L1693" s="116">
        <v>-12</v>
      </c>
      <c r="M1693" s="116">
        <f t="shared" si="26"/>
        <v>-1.2E-2</v>
      </c>
    </row>
    <row r="1694" spans="1:13" hidden="1" x14ac:dyDescent="0.35">
      <c r="A1694" s="112" t="s">
        <v>3616</v>
      </c>
      <c r="B1694" s="112" t="s">
        <v>923</v>
      </c>
      <c r="C1694" s="112" t="s">
        <v>695</v>
      </c>
      <c r="D1694" s="113">
        <v>10347981</v>
      </c>
      <c r="E1694" s="115">
        <v>43924</v>
      </c>
      <c r="F1694" s="114">
        <v>202101</v>
      </c>
      <c r="G1694" s="112" t="s">
        <v>1091</v>
      </c>
      <c r="H1694" s="112" t="s">
        <v>1015</v>
      </c>
      <c r="I1694" s="112" t="s">
        <v>761</v>
      </c>
      <c r="J1694" s="112" t="s">
        <v>3750</v>
      </c>
      <c r="K1694" s="112" t="s">
        <v>4500</v>
      </c>
      <c r="L1694" s="116">
        <v>-48</v>
      </c>
      <c r="M1694" s="116">
        <f t="shared" si="26"/>
        <v>-4.8000000000000001E-2</v>
      </c>
    </row>
    <row r="1695" spans="1:13" hidden="1" x14ac:dyDescent="0.35">
      <c r="A1695" s="112" t="s">
        <v>3616</v>
      </c>
      <c r="B1695" s="112" t="s">
        <v>921</v>
      </c>
      <c r="C1695" s="112" t="s">
        <v>695</v>
      </c>
      <c r="D1695" s="113">
        <v>10347981</v>
      </c>
      <c r="E1695" s="115">
        <v>43924</v>
      </c>
      <c r="F1695" s="114">
        <v>202101</v>
      </c>
      <c r="G1695" s="112" t="s">
        <v>1091</v>
      </c>
      <c r="H1695" s="112" t="s">
        <v>1015</v>
      </c>
      <c r="I1695" s="112" t="s">
        <v>1137</v>
      </c>
      <c r="J1695" s="112" t="s">
        <v>3620</v>
      </c>
      <c r="K1695" s="112" t="s">
        <v>4412</v>
      </c>
      <c r="L1695" s="116">
        <v>-10</v>
      </c>
      <c r="M1695" s="116">
        <f t="shared" si="26"/>
        <v>-0.01</v>
      </c>
    </row>
    <row r="1696" spans="1:13" hidden="1" x14ac:dyDescent="0.35">
      <c r="A1696" s="112" t="s">
        <v>3616</v>
      </c>
      <c r="B1696" s="112" t="s">
        <v>916</v>
      </c>
      <c r="C1696" s="112" t="s">
        <v>695</v>
      </c>
      <c r="D1696" s="113">
        <v>10347981</v>
      </c>
      <c r="E1696" s="115">
        <v>43924</v>
      </c>
      <c r="F1696" s="114">
        <v>202101</v>
      </c>
      <c r="G1696" s="112" t="s">
        <v>1091</v>
      </c>
      <c r="H1696" s="112" t="s">
        <v>1015</v>
      </c>
      <c r="I1696" s="112" t="s">
        <v>3262</v>
      </c>
      <c r="J1696" s="112" t="s">
        <v>3771</v>
      </c>
      <c r="K1696" s="112" t="s">
        <v>4502</v>
      </c>
      <c r="L1696" s="116">
        <v>-384</v>
      </c>
      <c r="M1696" s="116">
        <f t="shared" si="26"/>
        <v>-0.38400000000000001</v>
      </c>
    </row>
    <row r="1697" spans="1:13" hidden="1" x14ac:dyDescent="0.35">
      <c r="A1697" s="112" t="s">
        <v>3616</v>
      </c>
      <c r="B1697" s="112" t="s">
        <v>921</v>
      </c>
      <c r="C1697" s="112" t="s">
        <v>695</v>
      </c>
      <c r="D1697" s="113">
        <v>10347981</v>
      </c>
      <c r="E1697" s="115">
        <v>43924</v>
      </c>
      <c r="F1697" s="114">
        <v>202101</v>
      </c>
      <c r="G1697" s="112" t="s">
        <v>1091</v>
      </c>
      <c r="H1697" s="112" t="s">
        <v>1015</v>
      </c>
      <c r="I1697" s="112" t="s">
        <v>761</v>
      </c>
      <c r="J1697" s="112" t="s">
        <v>3620</v>
      </c>
      <c r="K1697" s="112" t="s">
        <v>4503</v>
      </c>
      <c r="L1697" s="116">
        <v>-310.13</v>
      </c>
      <c r="M1697" s="116">
        <f t="shared" si="26"/>
        <v>-0.31013000000000002</v>
      </c>
    </row>
    <row r="1698" spans="1:13" hidden="1" x14ac:dyDescent="0.35">
      <c r="A1698" s="112" t="s">
        <v>3616</v>
      </c>
      <c r="B1698" s="112" t="s">
        <v>918</v>
      </c>
      <c r="C1698" s="112" t="s">
        <v>695</v>
      </c>
      <c r="D1698" s="113">
        <v>10348155</v>
      </c>
      <c r="E1698" s="115">
        <v>43929</v>
      </c>
      <c r="F1698" s="114">
        <v>202101</v>
      </c>
      <c r="G1698" s="112" t="s">
        <v>1091</v>
      </c>
      <c r="H1698" s="112" t="s">
        <v>1015</v>
      </c>
      <c r="I1698" s="112" t="s">
        <v>745</v>
      </c>
      <c r="J1698" s="112" t="s">
        <v>3649</v>
      </c>
      <c r="K1698" s="112" t="s">
        <v>4504</v>
      </c>
      <c r="L1698" s="116">
        <v>4000</v>
      </c>
      <c r="M1698" s="116">
        <f t="shared" si="26"/>
        <v>4</v>
      </c>
    </row>
    <row r="1699" spans="1:13" hidden="1" x14ac:dyDescent="0.35">
      <c r="A1699" s="112" t="s">
        <v>3616</v>
      </c>
      <c r="B1699" s="112" t="s">
        <v>922</v>
      </c>
      <c r="C1699" s="112" t="s">
        <v>695</v>
      </c>
      <c r="D1699" s="113">
        <v>10347981</v>
      </c>
      <c r="E1699" s="115">
        <v>43924</v>
      </c>
      <c r="F1699" s="114">
        <v>202101</v>
      </c>
      <c r="G1699" s="112" t="s">
        <v>1091</v>
      </c>
      <c r="H1699" s="112" t="s">
        <v>1015</v>
      </c>
      <c r="I1699" s="112" t="s">
        <v>761</v>
      </c>
      <c r="J1699" s="112" t="s">
        <v>3954</v>
      </c>
      <c r="K1699" s="112" t="s">
        <v>4507</v>
      </c>
      <c r="L1699" s="116">
        <v>-250</v>
      </c>
      <c r="M1699" s="116">
        <f t="shared" si="26"/>
        <v>-0.25</v>
      </c>
    </row>
    <row r="1700" spans="1:13" hidden="1" x14ac:dyDescent="0.35">
      <c r="A1700" s="112" t="s">
        <v>3616</v>
      </c>
      <c r="B1700" s="112" t="s">
        <v>920</v>
      </c>
      <c r="C1700" s="112" t="s">
        <v>695</v>
      </c>
      <c r="D1700" s="113">
        <v>10347981</v>
      </c>
      <c r="E1700" s="115">
        <v>43924</v>
      </c>
      <c r="F1700" s="114">
        <v>202101</v>
      </c>
      <c r="G1700" s="112" t="s">
        <v>1091</v>
      </c>
      <c r="H1700" s="112" t="s">
        <v>1015</v>
      </c>
      <c r="I1700" s="112" t="s">
        <v>1092</v>
      </c>
      <c r="J1700" s="112" t="s">
        <v>3755</v>
      </c>
      <c r="K1700" s="112" t="s">
        <v>1256</v>
      </c>
      <c r="L1700" s="116">
        <v>-51</v>
      </c>
      <c r="M1700" s="116">
        <f t="shared" si="26"/>
        <v>-5.0999999999999997E-2</v>
      </c>
    </row>
    <row r="1701" spans="1:13" hidden="1" x14ac:dyDescent="0.35">
      <c r="A1701" s="112" t="s">
        <v>3616</v>
      </c>
      <c r="B1701" s="112" t="s">
        <v>921</v>
      </c>
      <c r="C1701" s="112" t="s">
        <v>695</v>
      </c>
      <c r="D1701" s="113">
        <v>10348121</v>
      </c>
      <c r="E1701" s="115">
        <v>43565</v>
      </c>
      <c r="F1701" s="114">
        <v>202101</v>
      </c>
      <c r="G1701" s="112" t="s">
        <v>1091</v>
      </c>
      <c r="H1701" s="112" t="s">
        <v>1015</v>
      </c>
      <c r="I1701" s="112" t="s">
        <v>3619</v>
      </c>
      <c r="J1701" s="112" t="s">
        <v>3620</v>
      </c>
      <c r="K1701" s="112" t="s">
        <v>4509</v>
      </c>
      <c r="L1701" s="116">
        <v>2367.11</v>
      </c>
      <c r="M1701" s="116">
        <f t="shared" si="26"/>
        <v>2.3671100000000003</v>
      </c>
    </row>
    <row r="1702" spans="1:13" hidden="1" x14ac:dyDescent="0.35">
      <c r="A1702" s="112" t="s">
        <v>3616</v>
      </c>
      <c r="B1702" s="112" t="s">
        <v>923</v>
      </c>
      <c r="C1702" s="112" t="s">
        <v>695</v>
      </c>
      <c r="D1702" s="113">
        <v>10347981</v>
      </c>
      <c r="E1702" s="115">
        <v>43924</v>
      </c>
      <c r="F1702" s="114">
        <v>202101</v>
      </c>
      <c r="G1702" s="112" t="s">
        <v>1091</v>
      </c>
      <c r="H1702" s="112" t="s">
        <v>1015</v>
      </c>
      <c r="I1702" s="112" t="s">
        <v>1182</v>
      </c>
      <c r="J1702" s="112" t="s">
        <v>3714</v>
      </c>
      <c r="K1702" s="112" t="s">
        <v>4510</v>
      </c>
      <c r="L1702" s="116">
        <v>-60</v>
      </c>
      <c r="M1702" s="116">
        <f t="shared" si="26"/>
        <v>-0.06</v>
      </c>
    </row>
    <row r="1703" spans="1:13" hidden="1" x14ac:dyDescent="0.35">
      <c r="A1703" s="112" t="s">
        <v>3616</v>
      </c>
      <c r="B1703" s="112" t="s">
        <v>920</v>
      </c>
      <c r="C1703" s="112" t="s">
        <v>695</v>
      </c>
      <c r="D1703" s="113">
        <v>10347981</v>
      </c>
      <c r="E1703" s="115">
        <v>43924</v>
      </c>
      <c r="F1703" s="114">
        <v>202101</v>
      </c>
      <c r="G1703" s="112" t="s">
        <v>1091</v>
      </c>
      <c r="H1703" s="112" t="s">
        <v>1015</v>
      </c>
      <c r="I1703" s="112" t="s">
        <v>1182</v>
      </c>
      <c r="J1703" s="112" t="s">
        <v>3755</v>
      </c>
      <c r="K1703" s="112" t="s">
        <v>4511</v>
      </c>
      <c r="L1703" s="116">
        <v>-77.48</v>
      </c>
      <c r="M1703" s="116">
        <f t="shared" si="26"/>
        <v>-7.7480000000000007E-2</v>
      </c>
    </row>
    <row r="1704" spans="1:13" hidden="1" x14ac:dyDescent="0.35">
      <c r="A1704" s="112" t="s">
        <v>3616</v>
      </c>
      <c r="B1704" s="112" t="s">
        <v>922</v>
      </c>
      <c r="C1704" s="112" t="s">
        <v>695</v>
      </c>
      <c r="D1704" s="113">
        <v>10347981</v>
      </c>
      <c r="E1704" s="115">
        <v>43924</v>
      </c>
      <c r="F1704" s="114">
        <v>202101</v>
      </c>
      <c r="G1704" s="112" t="s">
        <v>1091</v>
      </c>
      <c r="H1704" s="112" t="s">
        <v>1015</v>
      </c>
      <c r="I1704" s="112" t="s">
        <v>761</v>
      </c>
      <c r="J1704" s="112" t="s">
        <v>3766</v>
      </c>
      <c r="K1704" s="112" t="s">
        <v>4512</v>
      </c>
      <c r="L1704" s="116">
        <v>-300</v>
      </c>
      <c r="M1704" s="116">
        <f t="shared" si="26"/>
        <v>-0.3</v>
      </c>
    </row>
    <row r="1705" spans="1:13" hidden="1" x14ac:dyDescent="0.35">
      <c r="A1705" s="112" t="s">
        <v>3616</v>
      </c>
      <c r="B1705" s="112" t="s">
        <v>923</v>
      </c>
      <c r="C1705" s="112" t="s">
        <v>695</v>
      </c>
      <c r="D1705" s="113">
        <v>10347981</v>
      </c>
      <c r="E1705" s="115">
        <v>43924</v>
      </c>
      <c r="F1705" s="114">
        <v>202101</v>
      </c>
      <c r="G1705" s="112" t="s">
        <v>1091</v>
      </c>
      <c r="H1705" s="112" t="s">
        <v>1015</v>
      </c>
      <c r="I1705" s="112" t="s">
        <v>761</v>
      </c>
      <c r="J1705" s="112" t="s">
        <v>3988</v>
      </c>
      <c r="K1705" s="112" t="s">
        <v>4513</v>
      </c>
      <c r="L1705" s="116">
        <v>-25</v>
      </c>
      <c r="M1705" s="116">
        <f t="shared" si="26"/>
        <v>-2.5000000000000001E-2</v>
      </c>
    </row>
    <row r="1706" spans="1:13" hidden="1" x14ac:dyDescent="0.35">
      <c r="A1706" s="112" t="s">
        <v>3616</v>
      </c>
      <c r="B1706" s="112" t="s">
        <v>918</v>
      </c>
      <c r="C1706" s="112" t="s">
        <v>695</v>
      </c>
      <c r="D1706" s="113">
        <v>10348142</v>
      </c>
      <c r="E1706" s="115">
        <v>43929</v>
      </c>
      <c r="F1706" s="114">
        <v>202101</v>
      </c>
      <c r="G1706" s="112" t="s">
        <v>1091</v>
      </c>
      <c r="H1706" s="112" t="s">
        <v>1015</v>
      </c>
      <c r="I1706" s="112" t="s">
        <v>745</v>
      </c>
      <c r="J1706" s="112" t="s">
        <v>3649</v>
      </c>
      <c r="K1706" s="112" t="s">
        <v>4474</v>
      </c>
      <c r="L1706" s="116">
        <v>-26080.75</v>
      </c>
      <c r="M1706" s="116">
        <f t="shared" si="26"/>
        <v>-26.080749999999998</v>
      </c>
    </row>
    <row r="1707" spans="1:13" hidden="1" x14ac:dyDescent="0.35">
      <c r="A1707" s="112" t="s">
        <v>3616</v>
      </c>
      <c r="B1707" s="112" t="s">
        <v>918</v>
      </c>
      <c r="C1707" s="112" t="s">
        <v>695</v>
      </c>
      <c r="D1707" s="113">
        <v>10348144</v>
      </c>
      <c r="E1707" s="115">
        <v>43929</v>
      </c>
      <c r="F1707" s="114">
        <v>202101</v>
      </c>
      <c r="G1707" s="112" t="s">
        <v>1091</v>
      </c>
      <c r="H1707" s="112" t="s">
        <v>1015</v>
      </c>
      <c r="I1707" s="112" t="s">
        <v>745</v>
      </c>
      <c r="J1707" s="112" t="s">
        <v>3649</v>
      </c>
      <c r="K1707" s="112" t="s">
        <v>4515</v>
      </c>
      <c r="L1707" s="116">
        <v>26080.75</v>
      </c>
      <c r="M1707" s="116">
        <f t="shared" si="26"/>
        <v>26.080749999999998</v>
      </c>
    </row>
    <row r="1708" spans="1:13" hidden="1" x14ac:dyDescent="0.35">
      <c r="A1708" s="112" t="s">
        <v>3616</v>
      </c>
      <c r="B1708" s="112" t="s">
        <v>922</v>
      </c>
      <c r="C1708" s="112" t="s">
        <v>695</v>
      </c>
      <c r="D1708" s="113">
        <v>10347981</v>
      </c>
      <c r="E1708" s="115">
        <v>43924</v>
      </c>
      <c r="F1708" s="114">
        <v>202101</v>
      </c>
      <c r="G1708" s="112" t="s">
        <v>1091</v>
      </c>
      <c r="H1708" s="112" t="s">
        <v>1015</v>
      </c>
      <c r="I1708" s="112" t="s">
        <v>3742</v>
      </c>
      <c r="J1708" s="112" t="s">
        <v>3784</v>
      </c>
      <c r="K1708" s="112" t="s">
        <v>4516</v>
      </c>
      <c r="L1708" s="116">
        <v>-18</v>
      </c>
      <c r="M1708" s="116">
        <f t="shared" si="26"/>
        <v>-1.7999999999999999E-2</v>
      </c>
    </row>
    <row r="1709" spans="1:13" hidden="1" x14ac:dyDescent="0.35">
      <c r="A1709" s="112" t="s">
        <v>3616</v>
      </c>
      <c r="B1709" s="112" t="s">
        <v>919</v>
      </c>
      <c r="C1709" s="112" t="s">
        <v>695</v>
      </c>
      <c r="D1709" s="113">
        <v>10347981</v>
      </c>
      <c r="E1709" s="115">
        <v>43924</v>
      </c>
      <c r="F1709" s="114">
        <v>202101</v>
      </c>
      <c r="G1709" s="112" t="s">
        <v>1091</v>
      </c>
      <c r="H1709" s="112" t="s">
        <v>1015</v>
      </c>
      <c r="I1709" s="112" t="s">
        <v>1092</v>
      </c>
      <c r="J1709" s="112" t="s">
        <v>3624</v>
      </c>
      <c r="K1709" s="112" t="s">
        <v>1451</v>
      </c>
      <c r="L1709" s="116">
        <v>-51</v>
      </c>
      <c r="M1709" s="116">
        <f t="shared" si="26"/>
        <v>-5.0999999999999997E-2</v>
      </c>
    </row>
    <row r="1710" spans="1:13" hidden="1" x14ac:dyDescent="0.35">
      <c r="A1710" s="112" t="s">
        <v>3616</v>
      </c>
      <c r="B1710" s="112" t="s">
        <v>921</v>
      </c>
      <c r="C1710" s="112" t="s">
        <v>695</v>
      </c>
      <c r="D1710" s="113">
        <v>10347981</v>
      </c>
      <c r="E1710" s="115">
        <v>43924</v>
      </c>
      <c r="F1710" s="114">
        <v>202101</v>
      </c>
      <c r="G1710" s="112" t="s">
        <v>1091</v>
      </c>
      <c r="H1710" s="112" t="s">
        <v>1015</v>
      </c>
      <c r="I1710" s="112" t="s">
        <v>775</v>
      </c>
      <c r="J1710" s="112" t="s">
        <v>3709</v>
      </c>
      <c r="K1710" s="112" t="s">
        <v>4517</v>
      </c>
      <c r="L1710" s="116">
        <v>-300</v>
      </c>
      <c r="M1710" s="116">
        <f t="shared" si="26"/>
        <v>-0.3</v>
      </c>
    </row>
    <row r="1711" spans="1:13" hidden="1" x14ac:dyDescent="0.35">
      <c r="A1711" s="112" t="s">
        <v>3616</v>
      </c>
      <c r="B1711" s="112" t="s">
        <v>917</v>
      </c>
      <c r="C1711" s="112" t="s">
        <v>695</v>
      </c>
      <c r="D1711" s="113">
        <v>10348144</v>
      </c>
      <c r="E1711" s="115">
        <v>43929</v>
      </c>
      <c r="F1711" s="114">
        <v>202101</v>
      </c>
      <c r="G1711" s="112" t="s">
        <v>1091</v>
      </c>
      <c r="H1711" s="112" t="s">
        <v>1015</v>
      </c>
      <c r="I1711" s="112" t="s">
        <v>2454</v>
      </c>
      <c r="J1711" s="112" t="s">
        <v>3781</v>
      </c>
      <c r="K1711" s="112" t="s">
        <v>4474</v>
      </c>
      <c r="L1711" s="116">
        <v>-26080.75</v>
      </c>
      <c r="M1711" s="116">
        <f t="shared" si="26"/>
        <v>-26.080749999999998</v>
      </c>
    </row>
    <row r="1712" spans="1:13" hidden="1" x14ac:dyDescent="0.35">
      <c r="A1712" s="112" t="s">
        <v>3616</v>
      </c>
      <c r="B1712" s="112" t="s">
        <v>922</v>
      </c>
      <c r="C1712" s="112" t="s">
        <v>695</v>
      </c>
      <c r="D1712" s="113">
        <v>10347981</v>
      </c>
      <c r="E1712" s="115">
        <v>43924</v>
      </c>
      <c r="F1712" s="114">
        <v>202101</v>
      </c>
      <c r="G1712" s="112" t="s">
        <v>1091</v>
      </c>
      <c r="H1712" s="112" t="s">
        <v>1015</v>
      </c>
      <c r="I1712" s="112" t="s">
        <v>761</v>
      </c>
      <c r="J1712" s="112" t="s">
        <v>3766</v>
      </c>
      <c r="K1712" s="112" t="s">
        <v>4518</v>
      </c>
      <c r="L1712" s="116">
        <v>-420</v>
      </c>
      <c r="M1712" s="116">
        <f t="shared" si="26"/>
        <v>-0.42</v>
      </c>
    </row>
    <row r="1713" spans="1:13" hidden="1" x14ac:dyDescent="0.35">
      <c r="A1713" s="112" t="s">
        <v>3616</v>
      </c>
      <c r="B1713" s="112" t="s">
        <v>919</v>
      </c>
      <c r="C1713" s="112" t="s">
        <v>695</v>
      </c>
      <c r="D1713" s="113">
        <v>10347981</v>
      </c>
      <c r="E1713" s="115">
        <v>43924</v>
      </c>
      <c r="F1713" s="114">
        <v>202101</v>
      </c>
      <c r="G1713" s="112" t="s">
        <v>1091</v>
      </c>
      <c r="H1713" s="112" t="s">
        <v>1015</v>
      </c>
      <c r="I1713" s="112" t="s">
        <v>1643</v>
      </c>
      <c r="J1713" s="112" t="s">
        <v>3624</v>
      </c>
      <c r="K1713" s="112" t="s">
        <v>4519</v>
      </c>
      <c r="L1713" s="116">
        <v>-160.18</v>
      </c>
      <c r="M1713" s="116">
        <f t="shared" si="26"/>
        <v>-0.16018000000000002</v>
      </c>
    </row>
    <row r="1714" spans="1:13" hidden="1" x14ac:dyDescent="0.35">
      <c r="A1714" s="112" t="s">
        <v>3616</v>
      </c>
      <c r="B1714" s="112" t="s">
        <v>920</v>
      </c>
      <c r="C1714" s="112" t="s">
        <v>695</v>
      </c>
      <c r="D1714" s="113">
        <v>10347981</v>
      </c>
      <c r="E1714" s="115">
        <v>43924</v>
      </c>
      <c r="F1714" s="114">
        <v>202101</v>
      </c>
      <c r="G1714" s="112" t="s">
        <v>1091</v>
      </c>
      <c r="H1714" s="112" t="s">
        <v>1015</v>
      </c>
      <c r="I1714" s="112" t="s">
        <v>761</v>
      </c>
      <c r="J1714" s="112" t="s">
        <v>3755</v>
      </c>
      <c r="K1714" s="112" t="s">
        <v>4520</v>
      </c>
      <c r="L1714" s="116">
        <v>-119</v>
      </c>
      <c r="M1714" s="116">
        <f t="shared" si="26"/>
        <v>-0.11899999999999999</v>
      </c>
    </row>
    <row r="1715" spans="1:13" hidden="1" x14ac:dyDescent="0.35">
      <c r="A1715" s="112" t="s">
        <v>3616</v>
      </c>
      <c r="B1715" s="112" t="s">
        <v>918</v>
      </c>
      <c r="C1715" s="112" t="s">
        <v>695</v>
      </c>
      <c r="D1715" s="113">
        <v>10348067</v>
      </c>
      <c r="E1715" s="115">
        <v>43928</v>
      </c>
      <c r="F1715" s="114">
        <v>202101</v>
      </c>
      <c r="G1715" s="112" t="s">
        <v>1091</v>
      </c>
      <c r="H1715" s="112" t="s">
        <v>1015</v>
      </c>
      <c r="I1715" s="112" t="s">
        <v>745</v>
      </c>
      <c r="J1715" s="112" t="s">
        <v>3649</v>
      </c>
      <c r="K1715" s="112" t="s">
        <v>4521</v>
      </c>
      <c r="L1715" s="116">
        <v>-13975</v>
      </c>
      <c r="M1715" s="116">
        <f t="shared" si="26"/>
        <v>-13.975</v>
      </c>
    </row>
    <row r="1716" spans="1:13" hidden="1" x14ac:dyDescent="0.35">
      <c r="A1716" s="112" t="s">
        <v>3616</v>
      </c>
      <c r="B1716" s="112" t="s">
        <v>921</v>
      </c>
      <c r="C1716" s="112" t="s">
        <v>695</v>
      </c>
      <c r="D1716" s="113">
        <v>10347981</v>
      </c>
      <c r="E1716" s="115">
        <v>43924</v>
      </c>
      <c r="F1716" s="114">
        <v>202101</v>
      </c>
      <c r="G1716" s="112" t="s">
        <v>1091</v>
      </c>
      <c r="H1716" s="112" t="s">
        <v>1015</v>
      </c>
      <c r="I1716" s="112" t="s">
        <v>2591</v>
      </c>
      <c r="J1716" s="112" t="s">
        <v>3620</v>
      </c>
      <c r="K1716" s="112" t="s">
        <v>4008</v>
      </c>
      <c r="L1716" s="116">
        <v>-11.59</v>
      </c>
      <c r="M1716" s="116">
        <f t="shared" si="26"/>
        <v>-1.159E-2</v>
      </c>
    </row>
    <row r="1717" spans="1:13" hidden="1" x14ac:dyDescent="0.35">
      <c r="A1717" s="112" t="s">
        <v>3616</v>
      </c>
      <c r="B1717" s="112" t="s">
        <v>922</v>
      </c>
      <c r="C1717" s="112" t="s">
        <v>695</v>
      </c>
      <c r="D1717" s="113">
        <v>10347981</v>
      </c>
      <c r="E1717" s="115">
        <v>43924</v>
      </c>
      <c r="F1717" s="114">
        <v>202101</v>
      </c>
      <c r="G1717" s="112" t="s">
        <v>1091</v>
      </c>
      <c r="H1717" s="112" t="s">
        <v>1015</v>
      </c>
      <c r="I1717" s="112" t="s">
        <v>3742</v>
      </c>
      <c r="J1717" s="112" t="s">
        <v>3784</v>
      </c>
      <c r="K1717" s="112" t="s">
        <v>4011</v>
      </c>
      <c r="L1717" s="116">
        <v>-28.35</v>
      </c>
      <c r="M1717" s="116">
        <f t="shared" si="26"/>
        <v>-2.835E-2</v>
      </c>
    </row>
    <row r="1718" spans="1:13" hidden="1" x14ac:dyDescent="0.35">
      <c r="A1718" s="112" t="s">
        <v>3616</v>
      </c>
      <c r="B1718" s="112" t="s">
        <v>923</v>
      </c>
      <c r="C1718" s="112" t="s">
        <v>695</v>
      </c>
      <c r="D1718" s="113">
        <v>10347981</v>
      </c>
      <c r="E1718" s="115">
        <v>43924</v>
      </c>
      <c r="F1718" s="114">
        <v>202101</v>
      </c>
      <c r="G1718" s="112" t="s">
        <v>1091</v>
      </c>
      <c r="H1718" s="112" t="s">
        <v>1015</v>
      </c>
      <c r="I1718" s="112" t="s">
        <v>761</v>
      </c>
      <c r="J1718" s="112" t="s">
        <v>3714</v>
      </c>
      <c r="K1718" s="112" t="s">
        <v>4525</v>
      </c>
      <c r="L1718" s="116">
        <v>-750</v>
      </c>
      <c r="M1718" s="116">
        <f t="shared" si="26"/>
        <v>-0.75</v>
      </c>
    </row>
    <row r="1719" spans="1:13" hidden="1" x14ac:dyDescent="0.35">
      <c r="A1719" s="112" t="s">
        <v>3616</v>
      </c>
      <c r="B1719" s="112" t="s">
        <v>919</v>
      </c>
      <c r="C1719" s="112" t="s">
        <v>695</v>
      </c>
      <c r="D1719" s="113">
        <v>10347981</v>
      </c>
      <c r="E1719" s="115">
        <v>43924</v>
      </c>
      <c r="F1719" s="114">
        <v>202101</v>
      </c>
      <c r="G1719" s="112" t="s">
        <v>1091</v>
      </c>
      <c r="H1719" s="112" t="s">
        <v>1015</v>
      </c>
      <c r="I1719" s="112" t="s">
        <v>1643</v>
      </c>
      <c r="J1719" s="112" t="s">
        <v>3628</v>
      </c>
      <c r="K1719" s="112" t="s">
        <v>4526</v>
      </c>
      <c r="L1719" s="116">
        <v>-38.17</v>
      </c>
      <c r="M1719" s="116">
        <f t="shared" si="26"/>
        <v>-3.8170000000000003E-2</v>
      </c>
    </row>
    <row r="1720" spans="1:13" hidden="1" x14ac:dyDescent="0.35">
      <c r="A1720" s="112" t="s">
        <v>3616</v>
      </c>
      <c r="B1720" s="112" t="s">
        <v>922</v>
      </c>
      <c r="C1720" s="112" t="s">
        <v>695</v>
      </c>
      <c r="D1720" s="113">
        <v>10347981</v>
      </c>
      <c r="E1720" s="115">
        <v>43924</v>
      </c>
      <c r="F1720" s="114">
        <v>202101</v>
      </c>
      <c r="G1720" s="112" t="s">
        <v>1091</v>
      </c>
      <c r="H1720" s="112" t="s">
        <v>1015</v>
      </c>
      <c r="I1720" s="112" t="s">
        <v>761</v>
      </c>
      <c r="J1720" s="112" t="s">
        <v>3863</v>
      </c>
      <c r="K1720" s="112" t="s">
        <v>4527</v>
      </c>
      <c r="L1720" s="116">
        <v>-850</v>
      </c>
      <c r="M1720" s="116">
        <f t="shared" si="26"/>
        <v>-0.85</v>
      </c>
    </row>
    <row r="1721" spans="1:13" hidden="1" x14ac:dyDescent="0.35">
      <c r="A1721" s="112" t="s">
        <v>3616</v>
      </c>
      <c r="B1721" s="112" t="s">
        <v>917</v>
      </c>
      <c r="C1721" s="112" t="s">
        <v>695</v>
      </c>
      <c r="D1721" s="113">
        <v>10347981</v>
      </c>
      <c r="E1721" s="115">
        <v>43924</v>
      </c>
      <c r="F1721" s="114">
        <v>202101</v>
      </c>
      <c r="G1721" s="112" t="s">
        <v>1091</v>
      </c>
      <c r="H1721" s="112" t="s">
        <v>1015</v>
      </c>
      <c r="I1721" s="112" t="s">
        <v>761</v>
      </c>
      <c r="J1721" s="112" t="s">
        <v>4529</v>
      </c>
      <c r="K1721" s="112" t="s">
        <v>4530</v>
      </c>
      <c r="L1721" s="116">
        <v>-57.5</v>
      </c>
      <c r="M1721" s="116">
        <f t="shared" si="26"/>
        <v>-5.7500000000000002E-2</v>
      </c>
    </row>
    <row r="1722" spans="1:13" hidden="1" x14ac:dyDescent="0.35">
      <c r="A1722" s="112" t="s">
        <v>3616</v>
      </c>
      <c r="B1722" s="112" t="s">
        <v>922</v>
      </c>
      <c r="C1722" s="112" t="s">
        <v>695</v>
      </c>
      <c r="D1722" s="113">
        <v>10347981</v>
      </c>
      <c r="E1722" s="115">
        <v>43924</v>
      </c>
      <c r="F1722" s="114">
        <v>202101</v>
      </c>
      <c r="G1722" s="112" t="s">
        <v>1091</v>
      </c>
      <c r="H1722" s="112" t="s">
        <v>1015</v>
      </c>
      <c r="I1722" s="112" t="s">
        <v>761</v>
      </c>
      <c r="J1722" s="112" t="s">
        <v>3863</v>
      </c>
      <c r="K1722" s="112" t="s">
        <v>4531</v>
      </c>
      <c r="L1722" s="116">
        <v>-500</v>
      </c>
      <c r="M1722" s="116">
        <f t="shared" si="26"/>
        <v>-0.5</v>
      </c>
    </row>
    <row r="1723" spans="1:13" hidden="1" x14ac:dyDescent="0.35">
      <c r="A1723" s="112" t="s">
        <v>3616</v>
      </c>
      <c r="B1723" s="112" t="s">
        <v>916</v>
      </c>
      <c r="C1723" s="112" t="s">
        <v>695</v>
      </c>
      <c r="D1723" s="113">
        <v>10347981</v>
      </c>
      <c r="E1723" s="115">
        <v>43924</v>
      </c>
      <c r="F1723" s="114">
        <v>202101</v>
      </c>
      <c r="G1723" s="112" t="s">
        <v>1091</v>
      </c>
      <c r="H1723" s="112" t="s">
        <v>1015</v>
      </c>
      <c r="I1723" s="112" t="s">
        <v>1182</v>
      </c>
      <c r="J1723" s="112" t="s">
        <v>3771</v>
      </c>
      <c r="K1723" s="112" t="s">
        <v>4532</v>
      </c>
      <c r="L1723" s="116">
        <v>-66.55</v>
      </c>
      <c r="M1723" s="116">
        <f t="shared" si="26"/>
        <v>-6.6549999999999998E-2</v>
      </c>
    </row>
    <row r="1724" spans="1:13" hidden="1" x14ac:dyDescent="0.35">
      <c r="A1724" s="112" t="s">
        <v>3616</v>
      </c>
      <c r="B1724" s="112" t="s">
        <v>920</v>
      </c>
      <c r="C1724" s="112" t="s">
        <v>695</v>
      </c>
      <c r="D1724" s="113">
        <v>10347981</v>
      </c>
      <c r="E1724" s="115">
        <v>43924</v>
      </c>
      <c r="F1724" s="114">
        <v>202101</v>
      </c>
      <c r="G1724" s="112" t="s">
        <v>1091</v>
      </c>
      <c r="H1724" s="112" t="s">
        <v>1015</v>
      </c>
      <c r="I1724" s="112" t="s">
        <v>1092</v>
      </c>
      <c r="J1724" s="112" t="s">
        <v>3755</v>
      </c>
      <c r="K1724" s="112" t="s">
        <v>1094</v>
      </c>
      <c r="L1724" s="116">
        <v>-51</v>
      </c>
      <c r="M1724" s="116">
        <f t="shared" si="26"/>
        <v>-5.0999999999999997E-2</v>
      </c>
    </row>
    <row r="1725" spans="1:13" hidden="1" x14ac:dyDescent="0.35">
      <c r="A1725" s="112" t="s">
        <v>3616</v>
      </c>
      <c r="B1725" s="112" t="s">
        <v>922</v>
      </c>
      <c r="C1725" s="112" t="s">
        <v>695</v>
      </c>
      <c r="D1725" s="113">
        <v>10347981</v>
      </c>
      <c r="E1725" s="115">
        <v>43924</v>
      </c>
      <c r="F1725" s="114">
        <v>202101</v>
      </c>
      <c r="G1725" s="112" t="s">
        <v>1091</v>
      </c>
      <c r="H1725" s="112" t="s">
        <v>1015</v>
      </c>
      <c r="I1725" s="112" t="s">
        <v>3742</v>
      </c>
      <c r="J1725" s="112" t="s">
        <v>3784</v>
      </c>
      <c r="K1725" s="112" t="s">
        <v>4011</v>
      </c>
      <c r="L1725" s="116">
        <v>-17.399999999999999</v>
      </c>
      <c r="M1725" s="116">
        <f t="shared" si="26"/>
        <v>-1.7399999999999999E-2</v>
      </c>
    </row>
    <row r="1726" spans="1:13" hidden="1" x14ac:dyDescent="0.35">
      <c r="A1726" s="112" t="s">
        <v>3616</v>
      </c>
      <c r="B1726" s="112" t="s">
        <v>921</v>
      </c>
      <c r="C1726" s="112" t="s">
        <v>695</v>
      </c>
      <c r="D1726" s="113">
        <v>10347981</v>
      </c>
      <c r="E1726" s="115">
        <v>43924</v>
      </c>
      <c r="F1726" s="114">
        <v>202101</v>
      </c>
      <c r="G1726" s="112" t="s">
        <v>1091</v>
      </c>
      <c r="H1726" s="112" t="s">
        <v>1015</v>
      </c>
      <c r="I1726" s="112" t="s">
        <v>1182</v>
      </c>
      <c r="J1726" s="112" t="s">
        <v>3620</v>
      </c>
      <c r="K1726" s="112" t="s">
        <v>4537</v>
      </c>
      <c r="L1726" s="116">
        <v>-27.8</v>
      </c>
      <c r="M1726" s="116">
        <f t="shared" si="26"/>
        <v>-2.7800000000000002E-2</v>
      </c>
    </row>
    <row r="1727" spans="1:13" hidden="1" x14ac:dyDescent="0.35">
      <c r="A1727" s="112" t="s">
        <v>3616</v>
      </c>
      <c r="B1727" s="112" t="s">
        <v>918</v>
      </c>
      <c r="C1727" s="112" t="s">
        <v>695</v>
      </c>
      <c r="D1727" s="113">
        <v>10348067</v>
      </c>
      <c r="E1727" s="115">
        <v>43928</v>
      </c>
      <c r="F1727" s="114">
        <v>202101</v>
      </c>
      <c r="G1727" s="112" t="s">
        <v>1091</v>
      </c>
      <c r="H1727" s="112" t="s">
        <v>1015</v>
      </c>
      <c r="I1727" s="112" t="s">
        <v>1868</v>
      </c>
      <c r="J1727" s="112" t="s">
        <v>3695</v>
      </c>
      <c r="K1727" s="112" t="s">
        <v>3722</v>
      </c>
      <c r="L1727" s="116">
        <v>-7362.74</v>
      </c>
      <c r="M1727" s="116">
        <f t="shared" si="26"/>
        <v>-7.3627399999999996</v>
      </c>
    </row>
    <row r="1728" spans="1:13" hidden="1" x14ac:dyDescent="0.35">
      <c r="A1728" s="112" t="s">
        <v>3616</v>
      </c>
      <c r="B1728" s="112" t="s">
        <v>920</v>
      </c>
      <c r="C1728" s="112" t="s">
        <v>695</v>
      </c>
      <c r="D1728" s="113">
        <v>10347981</v>
      </c>
      <c r="E1728" s="115">
        <v>43924</v>
      </c>
      <c r="F1728" s="114">
        <v>202101</v>
      </c>
      <c r="G1728" s="112" t="s">
        <v>1091</v>
      </c>
      <c r="H1728" s="112" t="s">
        <v>1015</v>
      </c>
      <c r="I1728" s="112" t="s">
        <v>1182</v>
      </c>
      <c r="J1728" s="112" t="s">
        <v>4179</v>
      </c>
      <c r="K1728" s="112" t="s">
        <v>4538</v>
      </c>
      <c r="L1728" s="116">
        <v>-90.69</v>
      </c>
      <c r="M1728" s="116">
        <f t="shared" si="26"/>
        <v>-9.0689999999999993E-2</v>
      </c>
    </row>
    <row r="1729" spans="1:13" hidden="1" x14ac:dyDescent="0.35">
      <c r="A1729" s="112" t="s">
        <v>3616</v>
      </c>
      <c r="B1729" s="112" t="s">
        <v>918</v>
      </c>
      <c r="C1729" s="112" t="s">
        <v>695</v>
      </c>
      <c r="D1729" s="113">
        <v>10348067</v>
      </c>
      <c r="E1729" s="115">
        <v>43928</v>
      </c>
      <c r="F1729" s="114">
        <v>202101</v>
      </c>
      <c r="G1729" s="112" t="s">
        <v>1091</v>
      </c>
      <c r="H1729" s="112" t="s">
        <v>1015</v>
      </c>
      <c r="I1729" s="112" t="s">
        <v>1868</v>
      </c>
      <c r="J1729" s="112" t="s">
        <v>3695</v>
      </c>
      <c r="K1729" s="112" t="s">
        <v>3723</v>
      </c>
      <c r="L1729" s="116">
        <v>-1000</v>
      </c>
      <c r="M1729" s="116">
        <f t="shared" si="26"/>
        <v>-1</v>
      </c>
    </row>
    <row r="1730" spans="1:13" hidden="1" x14ac:dyDescent="0.35">
      <c r="A1730" s="112" t="s">
        <v>3616</v>
      </c>
      <c r="B1730" s="112" t="s">
        <v>918</v>
      </c>
      <c r="C1730" s="112" t="s">
        <v>695</v>
      </c>
      <c r="D1730" s="113">
        <v>10348067</v>
      </c>
      <c r="E1730" s="115">
        <v>43928</v>
      </c>
      <c r="F1730" s="114">
        <v>202101</v>
      </c>
      <c r="G1730" s="112" t="s">
        <v>1091</v>
      </c>
      <c r="H1730" s="112" t="s">
        <v>1015</v>
      </c>
      <c r="I1730" s="112" t="s">
        <v>761</v>
      </c>
      <c r="J1730" s="112" t="s">
        <v>3695</v>
      </c>
      <c r="K1730" s="112" t="s">
        <v>3719</v>
      </c>
      <c r="L1730" s="116">
        <v>-500</v>
      </c>
      <c r="M1730" s="116">
        <f t="shared" si="26"/>
        <v>-0.5</v>
      </c>
    </row>
    <row r="1731" spans="1:13" hidden="1" x14ac:dyDescent="0.35">
      <c r="A1731" s="112" t="s">
        <v>3616</v>
      </c>
      <c r="B1731" s="112" t="s">
        <v>922</v>
      </c>
      <c r="C1731" s="112" t="s">
        <v>695</v>
      </c>
      <c r="D1731" s="113">
        <v>10347981</v>
      </c>
      <c r="E1731" s="115">
        <v>43924</v>
      </c>
      <c r="F1731" s="114">
        <v>202101</v>
      </c>
      <c r="G1731" s="112" t="s">
        <v>1091</v>
      </c>
      <c r="H1731" s="112" t="s">
        <v>1015</v>
      </c>
      <c r="I1731" s="112" t="s">
        <v>761</v>
      </c>
      <c r="J1731" s="112" t="s">
        <v>3766</v>
      </c>
      <c r="K1731" s="112" t="s">
        <v>4539</v>
      </c>
      <c r="L1731" s="116">
        <v>-450</v>
      </c>
      <c r="M1731" s="116">
        <f t="shared" ref="M1731:M1794" si="27">L1731/1000</f>
        <v>-0.45</v>
      </c>
    </row>
    <row r="1732" spans="1:13" hidden="1" x14ac:dyDescent="0.35">
      <c r="A1732" s="112" t="s">
        <v>3616</v>
      </c>
      <c r="B1732" s="112" t="s">
        <v>919</v>
      </c>
      <c r="C1732" s="112" t="s">
        <v>695</v>
      </c>
      <c r="D1732" s="113">
        <v>10347981</v>
      </c>
      <c r="E1732" s="115">
        <v>43924</v>
      </c>
      <c r="F1732" s="114">
        <v>202101</v>
      </c>
      <c r="G1732" s="112" t="s">
        <v>1091</v>
      </c>
      <c r="H1732" s="112" t="s">
        <v>1015</v>
      </c>
      <c r="I1732" s="112" t="s">
        <v>1643</v>
      </c>
      <c r="J1732" s="112" t="s">
        <v>3624</v>
      </c>
      <c r="K1732" s="112" t="s">
        <v>4540</v>
      </c>
      <c r="L1732" s="116">
        <v>-1854</v>
      </c>
      <c r="M1732" s="116">
        <f t="shared" si="27"/>
        <v>-1.8540000000000001</v>
      </c>
    </row>
    <row r="1733" spans="1:13" hidden="1" x14ac:dyDescent="0.35">
      <c r="A1733" s="112" t="s">
        <v>3616</v>
      </c>
      <c r="B1733" s="112" t="s">
        <v>918</v>
      </c>
      <c r="C1733" s="112" t="s">
        <v>695</v>
      </c>
      <c r="D1733" s="113">
        <v>10348067</v>
      </c>
      <c r="E1733" s="115">
        <v>43928</v>
      </c>
      <c r="F1733" s="114">
        <v>202101</v>
      </c>
      <c r="G1733" s="112" t="s">
        <v>1091</v>
      </c>
      <c r="H1733" s="112" t="s">
        <v>1015</v>
      </c>
      <c r="I1733" s="112" t="s">
        <v>1868</v>
      </c>
      <c r="J1733" s="112" t="s">
        <v>3695</v>
      </c>
      <c r="K1733" s="112" t="s">
        <v>3721</v>
      </c>
      <c r="L1733" s="116">
        <v>-850</v>
      </c>
      <c r="M1733" s="116">
        <f t="shared" si="27"/>
        <v>-0.85</v>
      </c>
    </row>
    <row r="1734" spans="1:13" hidden="1" x14ac:dyDescent="0.35">
      <c r="A1734" s="112" t="s">
        <v>3616</v>
      </c>
      <c r="B1734" s="112" t="s">
        <v>918</v>
      </c>
      <c r="C1734" s="112" t="s">
        <v>695</v>
      </c>
      <c r="D1734" s="113">
        <v>10348067</v>
      </c>
      <c r="E1734" s="115">
        <v>43928</v>
      </c>
      <c r="F1734" s="114">
        <v>202101</v>
      </c>
      <c r="G1734" s="112" t="s">
        <v>1091</v>
      </c>
      <c r="H1734" s="112" t="s">
        <v>1015</v>
      </c>
      <c r="I1734" s="112" t="s">
        <v>1868</v>
      </c>
      <c r="J1734" s="112" t="s">
        <v>3649</v>
      </c>
      <c r="K1734" s="112" t="s">
        <v>3723</v>
      </c>
      <c r="L1734" s="116">
        <v>-1825.52</v>
      </c>
      <c r="M1734" s="116">
        <f t="shared" si="27"/>
        <v>-1.82552</v>
      </c>
    </row>
    <row r="1735" spans="1:13" hidden="1" x14ac:dyDescent="0.35">
      <c r="A1735" s="112" t="s">
        <v>3616</v>
      </c>
      <c r="B1735" s="112" t="s">
        <v>922</v>
      </c>
      <c r="C1735" s="112" t="s">
        <v>695</v>
      </c>
      <c r="D1735" s="113">
        <v>10347981</v>
      </c>
      <c r="E1735" s="115">
        <v>43924</v>
      </c>
      <c r="F1735" s="114">
        <v>202101</v>
      </c>
      <c r="G1735" s="112" t="s">
        <v>1091</v>
      </c>
      <c r="H1735" s="112" t="s">
        <v>1015</v>
      </c>
      <c r="I1735" s="112" t="s">
        <v>4367</v>
      </c>
      <c r="J1735" s="112" t="s">
        <v>3791</v>
      </c>
      <c r="K1735" s="112" t="s">
        <v>4541</v>
      </c>
      <c r="L1735" s="116">
        <v>-2350</v>
      </c>
      <c r="M1735" s="116">
        <f t="shared" si="27"/>
        <v>-2.35</v>
      </c>
    </row>
    <row r="1736" spans="1:13" hidden="1" x14ac:dyDescent="0.35">
      <c r="A1736" s="112" t="s">
        <v>3616</v>
      </c>
      <c r="B1736" s="112" t="s">
        <v>916</v>
      </c>
      <c r="C1736" s="112" t="s">
        <v>695</v>
      </c>
      <c r="D1736" s="113">
        <v>10347981</v>
      </c>
      <c r="E1736" s="115">
        <v>43924</v>
      </c>
      <c r="F1736" s="114">
        <v>202101</v>
      </c>
      <c r="G1736" s="112" t="s">
        <v>1091</v>
      </c>
      <c r="H1736" s="112" t="s">
        <v>1015</v>
      </c>
      <c r="I1736" s="112" t="s">
        <v>761</v>
      </c>
      <c r="J1736" s="112" t="s">
        <v>3771</v>
      </c>
      <c r="K1736" s="112" t="s">
        <v>4542</v>
      </c>
      <c r="L1736" s="116">
        <v>-56.25</v>
      </c>
      <c r="M1736" s="116">
        <f t="shared" si="27"/>
        <v>-5.6250000000000001E-2</v>
      </c>
    </row>
    <row r="1737" spans="1:13" hidden="1" x14ac:dyDescent="0.35">
      <c r="A1737" s="112" t="s">
        <v>3616</v>
      </c>
      <c r="B1737" s="112" t="s">
        <v>921</v>
      </c>
      <c r="C1737" s="112" t="s">
        <v>695</v>
      </c>
      <c r="D1737" s="113">
        <v>10347981</v>
      </c>
      <c r="E1737" s="115">
        <v>43924</v>
      </c>
      <c r="F1737" s="114">
        <v>202101</v>
      </c>
      <c r="G1737" s="112" t="s">
        <v>1091</v>
      </c>
      <c r="H1737" s="112" t="s">
        <v>1015</v>
      </c>
      <c r="I1737" s="112" t="s">
        <v>1182</v>
      </c>
      <c r="J1737" s="112" t="s">
        <v>3620</v>
      </c>
      <c r="K1737" s="112" t="s">
        <v>4543</v>
      </c>
      <c r="L1737" s="116">
        <v>-103.21</v>
      </c>
      <c r="M1737" s="116">
        <f t="shared" si="27"/>
        <v>-0.10321</v>
      </c>
    </row>
    <row r="1738" spans="1:13" hidden="1" x14ac:dyDescent="0.35">
      <c r="A1738" s="112" t="s">
        <v>3616</v>
      </c>
      <c r="B1738" s="112" t="s">
        <v>921</v>
      </c>
      <c r="C1738" s="112" t="s">
        <v>695</v>
      </c>
      <c r="D1738" s="113">
        <v>10347981</v>
      </c>
      <c r="E1738" s="115">
        <v>43924</v>
      </c>
      <c r="F1738" s="114">
        <v>202101</v>
      </c>
      <c r="G1738" s="112" t="s">
        <v>1091</v>
      </c>
      <c r="H1738" s="112" t="s">
        <v>1015</v>
      </c>
      <c r="I1738" s="112" t="s">
        <v>1102</v>
      </c>
      <c r="J1738" s="112" t="s">
        <v>3709</v>
      </c>
      <c r="K1738" s="112" t="s">
        <v>4544</v>
      </c>
      <c r="L1738" s="116">
        <v>-395</v>
      </c>
      <c r="M1738" s="116">
        <f t="shared" si="27"/>
        <v>-0.39500000000000002</v>
      </c>
    </row>
    <row r="1739" spans="1:13" hidden="1" x14ac:dyDescent="0.35">
      <c r="A1739" s="112" t="s">
        <v>3616</v>
      </c>
      <c r="B1739" s="112" t="s">
        <v>919</v>
      </c>
      <c r="C1739" s="112" t="s">
        <v>695</v>
      </c>
      <c r="D1739" s="113">
        <v>10347981</v>
      </c>
      <c r="E1739" s="115">
        <v>43924</v>
      </c>
      <c r="F1739" s="114">
        <v>202101</v>
      </c>
      <c r="G1739" s="112" t="s">
        <v>1091</v>
      </c>
      <c r="H1739" s="112" t="s">
        <v>1015</v>
      </c>
      <c r="I1739" s="112" t="s">
        <v>1271</v>
      </c>
      <c r="J1739" s="112" t="s">
        <v>3632</v>
      </c>
      <c r="K1739" s="112" t="s">
        <v>4545</v>
      </c>
      <c r="L1739" s="116">
        <v>-37.47</v>
      </c>
      <c r="M1739" s="116">
        <f t="shared" si="27"/>
        <v>-3.7469999999999996E-2</v>
      </c>
    </row>
    <row r="1740" spans="1:13" hidden="1" x14ac:dyDescent="0.35">
      <c r="A1740" s="112" t="s">
        <v>3616</v>
      </c>
      <c r="B1740" s="112" t="s">
        <v>922</v>
      </c>
      <c r="C1740" s="112" t="s">
        <v>695</v>
      </c>
      <c r="D1740" s="113">
        <v>10347981</v>
      </c>
      <c r="E1740" s="115">
        <v>43924</v>
      </c>
      <c r="F1740" s="114">
        <v>202101</v>
      </c>
      <c r="G1740" s="112" t="s">
        <v>1091</v>
      </c>
      <c r="H1740" s="112" t="s">
        <v>1015</v>
      </c>
      <c r="I1740" s="112" t="s">
        <v>761</v>
      </c>
      <c r="J1740" s="112" t="s">
        <v>3861</v>
      </c>
      <c r="K1740" s="112" t="s">
        <v>4546</v>
      </c>
      <c r="L1740" s="116">
        <v>-60</v>
      </c>
      <c r="M1740" s="116">
        <f t="shared" si="27"/>
        <v>-0.06</v>
      </c>
    </row>
    <row r="1741" spans="1:13" hidden="1" x14ac:dyDescent="0.35">
      <c r="A1741" s="112" t="s">
        <v>3616</v>
      </c>
      <c r="B1741" s="112" t="s">
        <v>919</v>
      </c>
      <c r="C1741" s="112" t="s">
        <v>695</v>
      </c>
      <c r="D1741" s="113">
        <v>10347981</v>
      </c>
      <c r="E1741" s="115">
        <v>43924</v>
      </c>
      <c r="F1741" s="114">
        <v>202101</v>
      </c>
      <c r="G1741" s="112" t="s">
        <v>1091</v>
      </c>
      <c r="H1741" s="112" t="s">
        <v>1015</v>
      </c>
      <c r="I1741" s="112" t="s">
        <v>2495</v>
      </c>
      <c r="J1741" s="112" t="s">
        <v>3632</v>
      </c>
      <c r="K1741" s="112" t="s">
        <v>4547</v>
      </c>
      <c r="L1741" s="116">
        <v>-297.5</v>
      </c>
      <c r="M1741" s="116">
        <f t="shared" si="27"/>
        <v>-0.29749999999999999</v>
      </c>
    </row>
    <row r="1742" spans="1:13" hidden="1" x14ac:dyDescent="0.35">
      <c r="A1742" s="112" t="s">
        <v>3616</v>
      </c>
      <c r="B1742" s="112" t="s">
        <v>919</v>
      </c>
      <c r="C1742" s="112" t="s">
        <v>695</v>
      </c>
      <c r="D1742" s="113">
        <v>10347981</v>
      </c>
      <c r="E1742" s="115">
        <v>43924</v>
      </c>
      <c r="F1742" s="114">
        <v>202101</v>
      </c>
      <c r="G1742" s="112" t="s">
        <v>1091</v>
      </c>
      <c r="H1742" s="112" t="s">
        <v>1015</v>
      </c>
      <c r="I1742" s="112" t="s">
        <v>2495</v>
      </c>
      <c r="J1742" s="112" t="s">
        <v>3617</v>
      </c>
      <c r="K1742" s="112" t="s">
        <v>4548</v>
      </c>
      <c r="L1742" s="116">
        <v>-35</v>
      </c>
      <c r="M1742" s="116">
        <f t="shared" si="27"/>
        <v>-3.5000000000000003E-2</v>
      </c>
    </row>
    <row r="1743" spans="1:13" hidden="1" x14ac:dyDescent="0.35">
      <c r="A1743" s="112" t="s">
        <v>3616</v>
      </c>
      <c r="B1743" s="112" t="s">
        <v>920</v>
      </c>
      <c r="C1743" s="112" t="s">
        <v>695</v>
      </c>
      <c r="D1743" s="113">
        <v>10347981</v>
      </c>
      <c r="E1743" s="115">
        <v>43924</v>
      </c>
      <c r="F1743" s="114">
        <v>202101</v>
      </c>
      <c r="G1743" s="112" t="s">
        <v>1091</v>
      </c>
      <c r="H1743" s="112" t="s">
        <v>1015</v>
      </c>
      <c r="I1743" s="112" t="s">
        <v>1092</v>
      </c>
      <c r="J1743" s="112" t="s">
        <v>3755</v>
      </c>
      <c r="K1743" s="112" t="s">
        <v>1451</v>
      </c>
      <c r="L1743" s="116">
        <v>-51</v>
      </c>
      <c r="M1743" s="116">
        <f t="shared" si="27"/>
        <v>-5.0999999999999997E-2</v>
      </c>
    </row>
    <row r="1744" spans="1:13" hidden="1" x14ac:dyDescent="0.35">
      <c r="A1744" s="112" t="s">
        <v>3616</v>
      </c>
      <c r="B1744" s="112" t="s">
        <v>916</v>
      </c>
      <c r="C1744" s="112" t="s">
        <v>695</v>
      </c>
      <c r="D1744" s="113">
        <v>10347981</v>
      </c>
      <c r="E1744" s="115">
        <v>43924</v>
      </c>
      <c r="F1744" s="114">
        <v>202101</v>
      </c>
      <c r="G1744" s="112" t="s">
        <v>1091</v>
      </c>
      <c r="H1744" s="112" t="s">
        <v>1015</v>
      </c>
      <c r="I1744" s="112" t="s">
        <v>761</v>
      </c>
      <c r="J1744" s="112" t="s">
        <v>3626</v>
      </c>
      <c r="K1744" s="112" t="s">
        <v>4549</v>
      </c>
      <c r="L1744" s="116">
        <v>-2648.9</v>
      </c>
      <c r="M1744" s="116">
        <f t="shared" si="27"/>
        <v>-2.6489000000000003</v>
      </c>
    </row>
    <row r="1745" spans="1:13" hidden="1" x14ac:dyDescent="0.35">
      <c r="A1745" s="112" t="s">
        <v>3616</v>
      </c>
      <c r="B1745" s="112" t="s">
        <v>919</v>
      </c>
      <c r="C1745" s="112" t="s">
        <v>695</v>
      </c>
      <c r="D1745" s="113">
        <v>10347981</v>
      </c>
      <c r="E1745" s="115">
        <v>43924</v>
      </c>
      <c r="F1745" s="114">
        <v>202101</v>
      </c>
      <c r="G1745" s="112" t="s">
        <v>1091</v>
      </c>
      <c r="H1745" s="112" t="s">
        <v>1015</v>
      </c>
      <c r="I1745" s="112" t="s">
        <v>2495</v>
      </c>
      <c r="J1745" s="112" t="s">
        <v>3632</v>
      </c>
      <c r="K1745" s="112" t="s">
        <v>4550</v>
      </c>
      <c r="L1745" s="116">
        <v>-157.5</v>
      </c>
      <c r="M1745" s="116">
        <f t="shared" si="27"/>
        <v>-0.1575</v>
      </c>
    </row>
    <row r="1746" spans="1:13" hidden="1" x14ac:dyDescent="0.35">
      <c r="A1746" s="112" t="s">
        <v>3616</v>
      </c>
      <c r="B1746" s="112" t="s">
        <v>921</v>
      </c>
      <c r="C1746" s="112" t="s">
        <v>695</v>
      </c>
      <c r="D1746" s="113">
        <v>10347981</v>
      </c>
      <c r="E1746" s="115">
        <v>43924</v>
      </c>
      <c r="F1746" s="114">
        <v>202101</v>
      </c>
      <c r="G1746" s="112" t="s">
        <v>1091</v>
      </c>
      <c r="H1746" s="112" t="s">
        <v>1015</v>
      </c>
      <c r="I1746" s="112" t="s">
        <v>2693</v>
      </c>
      <c r="J1746" s="112" t="s">
        <v>3620</v>
      </c>
      <c r="K1746" s="112" t="s">
        <v>4004</v>
      </c>
      <c r="L1746" s="116">
        <v>-100</v>
      </c>
      <c r="M1746" s="116">
        <f t="shared" si="27"/>
        <v>-0.1</v>
      </c>
    </row>
    <row r="1747" spans="1:13" hidden="1" x14ac:dyDescent="0.35">
      <c r="A1747" s="112" t="s">
        <v>3616</v>
      </c>
      <c r="B1747" s="112" t="s">
        <v>920</v>
      </c>
      <c r="C1747" s="112" t="s">
        <v>695</v>
      </c>
      <c r="D1747" s="113">
        <v>10347981</v>
      </c>
      <c r="E1747" s="115">
        <v>43924</v>
      </c>
      <c r="F1747" s="114">
        <v>202101</v>
      </c>
      <c r="G1747" s="112" t="s">
        <v>1091</v>
      </c>
      <c r="H1747" s="112" t="s">
        <v>1015</v>
      </c>
      <c r="I1747" s="112" t="s">
        <v>761</v>
      </c>
      <c r="J1747" s="112" t="s">
        <v>3755</v>
      </c>
      <c r="K1747" s="112" t="s">
        <v>4551</v>
      </c>
      <c r="L1747" s="116">
        <v>-68.709999999999994</v>
      </c>
      <c r="M1747" s="116">
        <f t="shared" si="27"/>
        <v>-6.8709999999999993E-2</v>
      </c>
    </row>
    <row r="1748" spans="1:13" hidden="1" x14ac:dyDescent="0.35">
      <c r="A1748" s="112" t="s">
        <v>3616</v>
      </c>
      <c r="B1748" s="112" t="s">
        <v>919</v>
      </c>
      <c r="C1748" s="112" t="s">
        <v>695</v>
      </c>
      <c r="D1748" s="113">
        <v>10347981</v>
      </c>
      <c r="E1748" s="115">
        <v>43924</v>
      </c>
      <c r="F1748" s="114">
        <v>202101</v>
      </c>
      <c r="G1748" s="112" t="s">
        <v>1091</v>
      </c>
      <c r="H1748" s="112" t="s">
        <v>1015</v>
      </c>
      <c r="I1748" s="112" t="s">
        <v>2495</v>
      </c>
      <c r="J1748" s="112" t="s">
        <v>3632</v>
      </c>
      <c r="K1748" s="112" t="s">
        <v>4552</v>
      </c>
      <c r="L1748" s="116">
        <v>-192.5</v>
      </c>
      <c r="M1748" s="116">
        <f t="shared" si="27"/>
        <v>-0.1925</v>
      </c>
    </row>
    <row r="1749" spans="1:13" hidden="1" x14ac:dyDescent="0.35">
      <c r="A1749" s="112" t="s">
        <v>3616</v>
      </c>
      <c r="B1749" s="112" t="s">
        <v>920</v>
      </c>
      <c r="C1749" s="112" t="s">
        <v>695</v>
      </c>
      <c r="D1749" s="113">
        <v>10347981</v>
      </c>
      <c r="E1749" s="115">
        <v>43924</v>
      </c>
      <c r="F1749" s="114">
        <v>202101</v>
      </c>
      <c r="G1749" s="112" t="s">
        <v>1091</v>
      </c>
      <c r="H1749" s="112" t="s">
        <v>1015</v>
      </c>
      <c r="I1749" s="112" t="s">
        <v>761</v>
      </c>
      <c r="J1749" s="112" t="s">
        <v>3755</v>
      </c>
      <c r="K1749" s="112" t="s">
        <v>4553</v>
      </c>
      <c r="L1749" s="116">
        <v>-120</v>
      </c>
      <c r="M1749" s="116">
        <f t="shared" si="27"/>
        <v>-0.12</v>
      </c>
    </row>
    <row r="1750" spans="1:13" hidden="1" x14ac:dyDescent="0.35">
      <c r="A1750" s="112" t="s">
        <v>3616</v>
      </c>
      <c r="B1750" s="112" t="s">
        <v>921</v>
      </c>
      <c r="C1750" s="112" t="s">
        <v>695</v>
      </c>
      <c r="D1750" s="113">
        <v>10347981</v>
      </c>
      <c r="E1750" s="115">
        <v>43924</v>
      </c>
      <c r="F1750" s="114">
        <v>202101</v>
      </c>
      <c r="G1750" s="112" t="s">
        <v>1091</v>
      </c>
      <c r="H1750" s="112" t="s">
        <v>1015</v>
      </c>
      <c r="I1750" s="112" t="s">
        <v>1182</v>
      </c>
      <c r="J1750" s="112" t="s">
        <v>3620</v>
      </c>
      <c r="K1750" s="112" t="s">
        <v>4554</v>
      </c>
      <c r="L1750" s="116">
        <v>-150</v>
      </c>
      <c r="M1750" s="116">
        <f t="shared" si="27"/>
        <v>-0.15</v>
      </c>
    </row>
    <row r="1751" spans="1:13" hidden="1" x14ac:dyDescent="0.35">
      <c r="A1751" s="112" t="s">
        <v>3616</v>
      </c>
      <c r="B1751" s="112" t="s">
        <v>920</v>
      </c>
      <c r="C1751" s="112" t="s">
        <v>695</v>
      </c>
      <c r="D1751" s="113">
        <v>10347981</v>
      </c>
      <c r="E1751" s="115">
        <v>43924</v>
      </c>
      <c r="F1751" s="114">
        <v>202101</v>
      </c>
      <c r="G1751" s="112" t="s">
        <v>1091</v>
      </c>
      <c r="H1751" s="112" t="s">
        <v>1015</v>
      </c>
      <c r="I1751" s="112" t="s">
        <v>761</v>
      </c>
      <c r="J1751" s="112" t="s">
        <v>3755</v>
      </c>
      <c r="K1751" s="112" t="s">
        <v>4006</v>
      </c>
      <c r="L1751" s="116">
        <v>-56</v>
      </c>
      <c r="M1751" s="116">
        <f t="shared" si="27"/>
        <v>-5.6000000000000001E-2</v>
      </c>
    </row>
    <row r="1752" spans="1:13" hidden="1" x14ac:dyDescent="0.35">
      <c r="A1752" s="112" t="s">
        <v>3616</v>
      </c>
      <c r="B1752" s="112" t="s">
        <v>922</v>
      </c>
      <c r="C1752" s="112" t="s">
        <v>695</v>
      </c>
      <c r="D1752" s="113">
        <v>10347981</v>
      </c>
      <c r="E1752" s="115">
        <v>43924</v>
      </c>
      <c r="F1752" s="114">
        <v>202101</v>
      </c>
      <c r="G1752" s="112" t="s">
        <v>1091</v>
      </c>
      <c r="H1752" s="112" t="s">
        <v>1015</v>
      </c>
      <c r="I1752" s="112" t="s">
        <v>761</v>
      </c>
      <c r="J1752" s="112" t="s">
        <v>3954</v>
      </c>
      <c r="K1752" s="112" t="s">
        <v>4555</v>
      </c>
      <c r="L1752" s="116">
        <v>-100</v>
      </c>
      <c r="M1752" s="116">
        <f t="shared" si="27"/>
        <v>-0.1</v>
      </c>
    </row>
    <row r="1753" spans="1:13" hidden="1" x14ac:dyDescent="0.35">
      <c r="A1753" s="112" t="s">
        <v>3616</v>
      </c>
      <c r="B1753" s="112" t="s">
        <v>922</v>
      </c>
      <c r="C1753" s="112" t="s">
        <v>695</v>
      </c>
      <c r="D1753" s="113">
        <v>10347981</v>
      </c>
      <c r="E1753" s="115">
        <v>43924</v>
      </c>
      <c r="F1753" s="114">
        <v>202101</v>
      </c>
      <c r="G1753" s="112" t="s">
        <v>1091</v>
      </c>
      <c r="H1753" s="112" t="s">
        <v>1015</v>
      </c>
      <c r="I1753" s="112" t="s">
        <v>3742</v>
      </c>
      <c r="J1753" s="112" t="s">
        <v>3784</v>
      </c>
      <c r="K1753" s="112" t="s">
        <v>4011</v>
      </c>
      <c r="L1753" s="116">
        <v>-48.7</v>
      </c>
      <c r="M1753" s="116">
        <f t="shared" si="27"/>
        <v>-4.87E-2</v>
      </c>
    </row>
    <row r="1754" spans="1:13" hidden="1" x14ac:dyDescent="0.35">
      <c r="A1754" s="112" t="s">
        <v>3616</v>
      </c>
      <c r="B1754" s="112" t="s">
        <v>921</v>
      </c>
      <c r="C1754" s="112" t="s">
        <v>695</v>
      </c>
      <c r="D1754" s="113">
        <v>10347981</v>
      </c>
      <c r="E1754" s="115">
        <v>43924</v>
      </c>
      <c r="F1754" s="114">
        <v>202101</v>
      </c>
      <c r="G1754" s="112" t="s">
        <v>1091</v>
      </c>
      <c r="H1754" s="112" t="s">
        <v>1015</v>
      </c>
      <c r="I1754" s="112" t="s">
        <v>2591</v>
      </c>
      <c r="J1754" s="112" t="s">
        <v>3620</v>
      </c>
      <c r="K1754" s="112" t="s">
        <v>4008</v>
      </c>
      <c r="L1754" s="116">
        <v>-11.59</v>
      </c>
      <c r="M1754" s="116">
        <f t="shared" si="27"/>
        <v>-1.159E-2</v>
      </c>
    </row>
    <row r="1755" spans="1:13" hidden="1" x14ac:dyDescent="0.35">
      <c r="A1755" s="112" t="s">
        <v>3616</v>
      </c>
      <c r="B1755" s="112" t="s">
        <v>916</v>
      </c>
      <c r="C1755" s="112" t="s">
        <v>695</v>
      </c>
      <c r="D1755" s="113">
        <v>10347981</v>
      </c>
      <c r="E1755" s="115">
        <v>43924</v>
      </c>
      <c r="F1755" s="114">
        <v>202101</v>
      </c>
      <c r="G1755" s="112" t="s">
        <v>1091</v>
      </c>
      <c r="H1755" s="112" t="s">
        <v>1015</v>
      </c>
      <c r="I1755" s="112" t="s">
        <v>2591</v>
      </c>
      <c r="J1755" s="112" t="s">
        <v>3771</v>
      </c>
      <c r="K1755" s="112" t="s">
        <v>4556</v>
      </c>
      <c r="L1755" s="116">
        <v>-782</v>
      </c>
      <c r="M1755" s="116">
        <f t="shared" si="27"/>
        <v>-0.78200000000000003</v>
      </c>
    </row>
    <row r="1756" spans="1:13" hidden="1" x14ac:dyDescent="0.35">
      <c r="A1756" s="112" t="s">
        <v>3616</v>
      </c>
      <c r="B1756" s="112" t="s">
        <v>922</v>
      </c>
      <c r="C1756" s="112" t="s">
        <v>695</v>
      </c>
      <c r="D1756" s="113">
        <v>10347981</v>
      </c>
      <c r="E1756" s="115">
        <v>43924</v>
      </c>
      <c r="F1756" s="114">
        <v>202101</v>
      </c>
      <c r="G1756" s="112" t="s">
        <v>1091</v>
      </c>
      <c r="H1756" s="112" t="s">
        <v>1015</v>
      </c>
      <c r="I1756" s="112" t="s">
        <v>761</v>
      </c>
      <c r="J1756" s="112" t="s">
        <v>3861</v>
      </c>
      <c r="K1756" s="112" t="s">
        <v>4557</v>
      </c>
      <c r="L1756" s="116">
        <v>-55</v>
      </c>
      <c r="M1756" s="116">
        <f t="shared" si="27"/>
        <v>-5.5E-2</v>
      </c>
    </row>
    <row r="1757" spans="1:13" hidden="1" x14ac:dyDescent="0.35">
      <c r="A1757" s="112" t="s">
        <v>3616</v>
      </c>
      <c r="B1757" s="112" t="s">
        <v>920</v>
      </c>
      <c r="C1757" s="112" t="s">
        <v>695</v>
      </c>
      <c r="D1757" s="113">
        <v>10347981</v>
      </c>
      <c r="E1757" s="115">
        <v>43924</v>
      </c>
      <c r="F1757" s="114">
        <v>202101</v>
      </c>
      <c r="G1757" s="112" t="s">
        <v>1091</v>
      </c>
      <c r="H1757" s="112" t="s">
        <v>1015</v>
      </c>
      <c r="I1757" s="112" t="s">
        <v>761</v>
      </c>
      <c r="J1757" s="112" t="s">
        <v>3755</v>
      </c>
      <c r="K1757" s="112" t="s">
        <v>4559</v>
      </c>
      <c r="L1757" s="116">
        <v>-161</v>
      </c>
      <c r="M1757" s="116">
        <f t="shared" si="27"/>
        <v>-0.161</v>
      </c>
    </row>
    <row r="1758" spans="1:13" hidden="1" x14ac:dyDescent="0.35">
      <c r="A1758" s="112" t="s">
        <v>3616</v>
      </c>
      <c r="B1758" s="112" t="s">
        <v>923</v>
      </c>
      <c r="C1758" s="112" t="s">
        <v>695</v>
      </c>
      <c r="D1758" s="113">
        <v>10347981</v>
      </c>
      <c r="E1758" s="115">
        <v>43924</v>
      </c>
      <c r="F1758" s="114">
        <v>202101</v>
      </c>
      <c r="G1758" s="112" t="s">
        <v>1091</v>
      </c>
      <c r="H1758" s="112" t="s">
        <v>1015</v>
      </c>
      <c r="I1758" s="112" t="s">
        <v>1182</v>
      </c>
      <c r="J1758" s="112" t="s">
        <v>3750</v>
      </c>
      <c r="K1758" s="112" t="s">
        <v>4560</v>
      </c>
      <c r="L1758" s="116">
        <v>-124.51</v>
      </c>
      <c r="M1758" s="116">
        <f t="shared" si="27"/>
        <v>-0.12451000000000001</v>
      </c>
    </row>
    <row r="1759" spans="1:13" hidden="1" x14ac:dyDescent="0.35">
      <c r="A1759" s="112" t="s">
        <v>3616</v>
      </c>
      <c r="B1759" s="112" t="s">
        <v>923</v>
      </c>
      <c r="C1759" s="112" t="s">
        <v>695</v>
      </c>
      <c r="D1759" s="113">
        <v>10347981</v>
      </c>
      <c r="E1759" s="115">
        <v>43924</v>
      </c>
      <c r="F1759" s="114">
        <v>202101</v>
      </c>
      <c r="G1759" s="112" t="s">
        <v>1091</v>
      </c>
      <c r="H1759" s="112" t="s">
        <v>1015</v>
      </c>
      <c r="I1759" s="112" t="s">
        <v>761</v>
      </c>
      <c r="J1759" s="112" t="s">
        <v>3750</v>
      </c>
      <c r="K1759" s="112" t="s">
        <v>4561</v>
      </c>
      <c r="L1759" s="116">
        <v>-79</v>
      </c>
      <c r="M1759" s="116">
        <f t="shared" si="27"/>
        <v>-7.9000000000000001E-2</v>
      </c>
    </row>
    <row r="1760" spans="1:13" hidden="1" x14ac:dyDescent="0.35">
      <c r="A1760" s="112" t="s">
        <v>3616</v>
      </c>
      <c r="B1760" s="112" t="s">
        <v>922</v>
      </c>
      <c r="C1760" s="112" t="s">
        <v>695</v>
      </c>
      <c r="D1760" s="113">
        <v>10347981</v>
      </c>
      <c r="E1760" s="115">
        <v>43924</v>
      </c>
      <c r="F1760" s="114">
        <v>202101</v>
      </c>
      <c r="G1760" s="112" t="s">
        <v>1091</v>
      </c>
      <c r="H1760" s="112" t="s">
        <v>1015</v>
      </c>
      <c r="I1760" s="112" t="s">
        <v>761</v>
      </c>
      <c r="J1760" s="112" t="s">
        <v>3791</v>
      </c>
      <c r="K1760" s="112" t="s">
        <v>4562</v>
      </c>
      <c r="L1760" s="116">
        <v>-60</v>
      </c>
      <c r="M1760" s="116">
        <f t="shared" si="27"/>
        <v>-0.06</v>
      </c>
    </row>
    <row r="1761" spans="1:13" hidden="1" x14ac:dyDescent="0.35">
      <c r="A1761" s="112" t="s">
        <v>3616</v>
      </c>
      <c r="B1761" s="112" t="s">
        <v>920</v>
      </c>
      <c r="C1761" s="112" t="s">
        <v>695</v>
      </c>
      <c r="D1761" s="113">
        <v>10347981</v>
      </c>
      <c r="E1761" s="115">
        <v>43924</v>
      </c>
      <c r="F1761" s="114">
        <v>202101</v>
      </c>
      <c r="G1761" s="112" t="s">
        <v>1091</v>
      </c>
      <c r="H1761" s="112" t="s">
        <v>1015</v>
      </c>
      <c r="I1761" s="112" t="s">
        <v>1201</v>
      </c>
      <c r="J1761" s="112" t="s">
        <v>3755</v>
      </c>
      <c r="K1761" s="112" t="s">
        <v>4565</v>
      </c>
      <c r="L1761" s="116">
        <v>-75.03</v>
      </c>
      <c r="M1761" s="116">
        <f t="shared" si="27"/>
        <v>-7.5029999999999999E-2</v>
      </c>
    </row>
    <row r="1762" spans="1:13" hidden="1" x14ac:dyDescent="0.35">
      <c r="A1762" s="112" t="s">
        <v>3616</v>
      </c>
      <c r="B1762" s="112" t="s">
        <v>919</v>
      </c>
      <c r="C1762" s="112" t="s">
        <v>695</v>
      </c>
      <c r="D1762" s="113">
        <v>10347981</v>
      </c>
      <c r="E1762" s="115">
        <v>43924</v>
      </c>
      <c r="F1762" s="114">
        <v>202101</v>
      </c>
      <c r="G1762" s="112" t="s">
        <v>1091</v>
      </c>
      <c r="H1762" s="112" t="s">
        <v>1015</v>
      </c>
      <c r="I1762" s="112" t="s">
        <v>1643</v>
      </c>
      <c r="J1762" s="112" t="s">
        <v>3628</v>
      </c>
      <c r="K1762" s="112" t="s">
        <v>4566</v>
      </c>
      <c r="L1762" s="116">
        <v>-90.16</v>
      </c>
      <c r="M1762" s="116">
        <f t="shared" si="27"/>
        <v>-9.015999999999999E-2</v>
      </c>
    </row>
    <row r="1763" spans="1:13" hidden="1" x14ac:dyDescent="0.35">
      <c r="A1763" s="112" t="s">
        <v>3616</v>
      </c>
      <c r="B1763" s="112" t="s">
        <v>920</v>
      </c>
      <c r="C1763" s="112" t="s">
        <v>695</v>
      </c>
      <c r="D1763" s="113">
        <v>10347981</v>
      </c>
      <c r="E1763" s="115">
        <v>43924</v>
      </c>
      <c r="F1763" s="114">
        <v>202101</v>
      </c>
      <c r="G1763" s="112" t="s">
        <v>1091</v>
      </c>
      <c r="H1763" s="112" t="s">
        <v>1015</v>
      </c>
      <c r="I1763" s="112" t="s">
        <v>761</v>
      </c>
      <c r="J1763" s="112" t="s">
        <v>3755</v>
      </c>
      <c r="K1763" s="112" t="s">
        <v>4567</v>
      </c>
      <c r="L1763" s="116">
        <v>-240</v>
      </c>
      <c r="M1763" s="116">
        <f t="shared" si="27"/>
        <v>-0.24</v>
      </c>
    </row>
    <row r="1764" spans="1:13" hidden="1" x14ac:dyDescent="0.35">
      <c r="A1764" s="112" t="s">
        <v>3616</v>
      </c>
      <c r="B1764" s="112" t="s">
        <v>918</v>
      </c>
      <c r="C1764" s="112" t="s">
        <v>695</v>
      </c>
      <c r="D1764" s="113">
        <v>10348155</v>
      </c>
      <c r="E1764" s="115">
        <v>43929</v>
      </c>
      <c r="F1764" s="114">
        <v>202101</v>
      </c>
      <c r="G1764" s="112" t="s">
        <v>1091</v>
      </c>
      <c r="H1764" s="112" t="s">
        <v>1015</v>
      </c>
      <c r="I1764" s="112" t="s">
        <v>1092</v>
      </c>
      <c r="J1764" s="112" t="s">
        <v>3695</v>
      </c>
      <c r="K1764" s="112" t="s">
        <v>3749</v>
      </c>
      <c r="L1764" s="116">
        <v>51</v>
      </c>
      <c r="M1764" s="116">
        <f t="shared" si="27"/>
        <v>5.0999999999999997E-2</v>
      </c>
    </row>
    <row r="1765" spans="1:13" hidden="1" x14ac:dyDescent="0.35">
      <c r="A1765" s="112" t="s">
        <v>3616</v>
      </c>
      <c r="B1765" s="112" t="s">
        <v>918</v>
      </c>
      <c r="C1765" s="112" t="s">
        <v>695</v>
      </c>
      <c r="D1765" s="113">
        <v>10348155</v>
      </c>
      <c r="E1765" s="115">
        <v>43929</v>
      </c>
      <c r="F1765" s="114">
        <v>202101</v>
      </c>
      <c r="G1765" s="112" t="s">
        <v>1091</v>
      </c>
      <c r="H1765" s="112" t="s">
        <v>1015</v>
      </c>
      <c r="I1765" s="112" t="s">
        <v>2591</v>
      </c>
      <c r="J1765" s="112" t="s">
        <v>3695</v>
      </c>
      <c r="K1765" s="112" t="s">
        <v>3741</v>
      </c>
      <c r="L1765" s="116">
        <v>50.39</v>
      </c>
      <c r="M1765" s="116">
        <f t="shared" si="27"/>
        <v>5.0389999999999997E-2</v>
      </c>
    </row>
    <row r="1766" spans="1:13" hidden="1" x14ac:dyDescent="0.35">
      <c r="A1766" s="112" t="s">
        <v>3616</v>
      </c>
      <c r="B1766" s="112" t="s">
        <v>919</v>
      </c>
      <c r="C1766" s="112" t="s">
        <v>695</v>
      </c>
      <c r="D1766" s="113">
        <v>10348077</v>
      </c>
      <c r="E1766" s="115">
        <v>43929</v>
      </c>
      <c r="F1766" s="114">
        <v>202101</v>
      </c>
      <c r="G1766" s="112" t="s">
        <v>1091</v>
      </c>
      <c r="H1766" s="112" t="s">
        <v>1015</v>
      </c>
      <c r="I1766" s="112" t="s">
        <v>749</v>
      </c>
      <c r="J1766" s="112" t="s">
        <v>3634</v>
      </c>
      <c r="K1766" s="112" t="s">
        <v>4568</v>
      </c>
      <c r="L1766" s="116">
        <v>-1300</v>
      </c>
      <c r="M1766" s="116">
        <f t="shared" si="27"/>
        <v>-1.3</v>
      </c>
    </row>
    <row r="1767" spans="1:13" hidden="1" x14ac:dyDescent="0.35">
      <c r="A1767" s="112" t="s">
        <v>3616</v>
      </c>
      <c r="B1767" s="112" t="s">
        <v>920</v>
      </c>
      <c r="C1767" s="112" t="s">
        <v>695</v>
      </c>
      <c r="D1767" s="113">
        <v>10347981</v>
      </c>
      <c r="E1767" s="115">
        <v>43924</v>
      </c>
      <c r="F1767" s="114">
        <v>202101</v>
      </c>
      <c r="G1767" s="112" t="s">
        <v>1091</v>
      </c>
      <c r="H1767" s="112" t="s">
        <v>1015</v>
      </c>
      <c r="I1767" s="112" t="s">
        <v>761</v>
      </c>
      <c r="J1767" s="112" t="s">
        <v>3755</v>
      </c>
      <c r="K1767" s="112" t="s">
        <v>4569</v>
      </c>
      <c r="L1767" s="116">
        <v>-96</v>
      </c>
      <c r="M1767" s="116">
        <f t="shared" si="27"/>
        <v>-9.6000000000000002E-2</v>
      </c>
    </row>
    <row r="1768" spans="1:13" hidden="1" x14ac:dyDescent="0.35">
      <c r="A1768" s="112" t="s">
        <v>3616</v>
      </c>
      <c r="B1768" s="112" t="s">
        <v>919</v>
      </c>
      <c r="C1768" s="112" t="s">
        <v>695</v>
      </c>
      <c r="D1768" s="113">
        <v>10348077</v>
      </c>
      <c r="E1768" s="115">
        <v>43929</v>
      </c>
      <c r="F1768" s="114">
        <v>202101</v>
      </c>
      <c r="G1768" s="112" t="s">
        <v>1091</v>
      </c>
      <c r="H1768" s="112" t="s">
        <v>1015</v>
      </c>
      <c r="I1768" s="112" t="s">
        <v>751</v>
      </c>
      <c r="J1768" s="112" t="s">
        <v>3634</v>
      </c>
      <c r="K1768" s="112" t="s">
        <v>4570</v>
      </c>
      <c r="L1768" s="116">
        <v>-600</v>
      </c>
      <c r="M1768" s="116">
        <f t="shared" si="27"/>
        <v>-0.6</v>
      </c>
    </row>
    <row r="1769" spans="1:13" hidden="1" x14ac:dyDescent="0.35">
      <c r="A1769" s="112" t="s">
        <v>3616</v>
      </c>
      <c r="B1769" s="112" t="s">
        <v>919</v>
      </c>
      <c r="C1769" s="112" t="s">
        <v>695</v>
      </c>
      <c r="D1769" s="113">
        <v>10348077</v>
      </c>
      <c r="E1769" s="115">
        <v>43929</v>
      </c>
      <c r="F1769" s="114">
        <v>202101</v>
      </c>
      <c r="G1769" s="112" t="s">
        <v>1091</v>
      </c>
      <c r="H1769" s="112" t="s">
        <v>1015</v>
      </c>
      <c r="I1769" s="112" t="s">
        <v>751</v>
      </c>
      <c r="J1769" s="112" t="s">
        <v>3617</v>
      </c>
      <c r="K1769" s="112" t="s">
        <v>4571</v>
      </c>
      <c r="L1769" s="116">
        <v>-1400</v>
      </c>
      <c r="M1769" s="116">
        <f t="shared" si="27"/>
        <v>-1.4</v>
      </c>
    </row>
    <row r="1770" spans="1:13" hidden="1" x14ac:dyDescent="0.35">
      <c r="A1770" s="112" t="s">
        <v>3616</v>
      </c>
      <c r="B1770" s="112" t="s">
        <v>919</v>
      </c>
      <c r="C1770" s="112" t="s">
        <v>695</v>
      </c>
      <c r="D1770" s="113">
        <v>10348077</v>
      </c>
      <c r="E1770" s="115">
        <v>43929</v>
      </c>
      <c r="F1770" s="114">
        <v>202101</v>
      </c>
      <c r="G1770" s="112" t="s">
        <v>1091</v>
      </c>
      <c r="H1770" s="112" t="s">
        <v>1015</v>
      </c>
      <c r="I1770" s="112" t="s">
        <v>751</v>
      </c>
      <c r="J1770" s="112" t="s">
        <v>3617</v>
      </c>
      <c r="K1770" s="112" t="s">
        <v>4572</v>
      </c>
      <c r="L1770" s="116">
        <v>-400</v>
      </c>
      <c r="M1770" s="116">
        <f t="shared" si="27"/>
        <v>-0.4</v>
      </c>
    </row>
    <row r="1771" spans="1:13" hidden="1" x14ac:dyDescent="0.35">
      <c r="A1771" s="112" t="s">
        <v>3616</v>
      </c>
      <c r="B1771" s="112" t="s">
        <v>922</v>
      </c>
      <c r="C1771" s="112" t="s">
        <v>695</v>
      </c>
      <c r="D1771" s="113">
        <v>10347981</v>
      </c>
      <c r="E1771" s="115">
        <v>43924</v>
      </c>
      <c r="F1771" s="114">
        <v>202101</v>
      </c>
      <c r="G1771" s="112" t="s">
        <v>1091</v>
      </c>
      <c r="H1771" s="112" t="s">
        <v>1015</v>
      </c>
      <c r="I1771" s="112" t="s">
        <v>1137</v>
      </c>
      <c r="J1771" s="112" t="s">
        <v>3861</v>
      </c>
      <c r="K1771" s="112" t="s">
        <v>4573</v>
      </c>
      <c r="L1771" s="116">
        <v>-49</v>
      </c>
      <c r="M1771" s="116">
        <f t="shared" si="27"/>
        <v>-4.9000000000000002E-2</v>
      </c>
    </row>
    <row r="1772" spans="1:13" hidden="1" x14ac:dyDescent="0.35">
      <c r="A1772" s="112" t="s">
        <v>3616</v>
      </c>
      <c r="B1772" s="112" t="s">
        <v>919</v>
      </c>
      <c r="C1772" s="112" t="s">
        <v>695</v>
      </c>
      <c r="D1772" s="113">
        <v>10348077</v>
      </c>
      <c r="E1772" s="115">
        <v>43929</v>
      </c>
      <c r="F1772" s="114">
        <v>202101</v>
      </c>
      <c r="G1772" s="112" t="s">
        <v>1091</v>
      </c>
      <c r="H1772" s="112" t="s">
        <v>1015</v>
      </c>
      <c r="I1772" s="112" t="s">
        <v>757</v>
      </c>
      <c r="J1772" s="112" t="s">
        <v>3617</v>
      </c>
      <c r="K1772" s="112" t="s">
        <v>4574</v>
      </c>
      <c r="L1772" s="116">
        <v>-2000</v>
      </c>
      <c r="M1772" s="116">
        <f t="shared" si="27"/>
        <v>-2</v>
      </c>
    </row>
    <row r="1773" spans="1:13" hidden="1" x14ac:dyDescent="0.35">
      <c r="A1773" s="112" t="s">
        <v>3616</v>
      </c>
      <c r="B1773" s="112" t="s">
        <v>919</v>
      </c>
      <c r="C1773" s="112" t="s">
        <v>695</v>
      </c>
      <c r="D1773" s="113">
        <v>10348077</v>
      </c>
      <c r="E1773" s="115">
        <v>43929</v>
      </c>
      <c r="F1773" s="114">
        <v>202101</v>
      </c>
      <c r="G1773" s="112" t="s">
        <v>1091</v>
      </c>
      <c r="H1773" s="112" t="s">
        <v>1015</v>
      </c>
      <c r="I1773" s="112" t="s">
        <v>757</v>
      </c>
      <c r="J1773" s="112" t="s">
        <v>3617</v>
      </c>
      <c r="K1773" s="112" t="s">
        <v>4575</v>
      </c>
      <c r="L1773" s="116">
        <v>-600</v>
      </c>
      <c r="M1773" s="116">
        <f t="shared" si="27"/>
        <v>-0.6</v>
      </c>
    </row>
    <row r="1774" spans="1:13" hidden="1" x14ac:dyDescent="0.35">
      <c r="A1774" s="112" t="s">
        <v>3616</v>
      </c>
      <c r="B1774" s="112" t="s">
        <v>923</v>
      </c>
      <c r="C1774" s="112" t="s">
        <v>695</v>
      </c>
      <c r="D1774" s="113">
        <v>10347981</v>
      </c>
      <c r="E1774" s="115">
        <v>43924</v>
      </c>
      <c r="F1774" s="114">
        <v>202101</v>
      </c>
      <c r="G1774" s="112" t="s">
        <v>1091</v>
      </c>
      <c r="H1774" s="112" t="s">
        <v>1015</v>
      </c>
      <c r="I1774" s="112" t="s">
        <v>1246</v>
      </c>
      <c r="J1774" s="112" t="s">
        <v>3750</v>
      </c>
      <c r="K1774" s="112" t="s">
        <v>4576</v>
      </c>
      <c r="L1774" s="116">
        <v>-120</v>
      </c>
      <c r="M1774" s="116">
        <f t="shared" si="27"/>
        <v>-0.12</v>
      </c>
    </row>
    <row r="1775" spans="1:13" hidden="1" x14ac:dyDescent="0.35">
      <c r="A1775" s="112" t="s">
        <v>3616</v>
      </c>
      <c r="B1775" s="112" t="s">
        <v>921</v>
      </c>
      <c r="C1775" s="112" t="s">
        <v>695</v>
      </c>
      <c r="D1775" s="113">
        <v>10347981</v>
      </c>
      <c r="E1775" s="115">
        <v>43924</v>
      </c>
      <c r="F1775" s="114">
        <v>202101</v>
      </c>
      <c r="G1775" s="112" t="s">
        <v>1091</v>
      </c>
      <c r="H1775" s="112" t="s">
        <v>1015</v>
      </c>
      <c r="I1775" s="112" t="s">
        <v>2495</v>
      </c>
      <c r="J1775" s="112" t="s">
        <v>3620</v>
      </c>
      <c r="K1775" s="112" t="s">
        <v>3983</v>
      </c>
      <c r="L1775" s="116">
        <v>-600</v>
      </c>
      <c r="M1775" s="116">
        <f t="shared" si="27"/>
        <v>-0.6</v>
      </c>
    </row>
    <row r="1776" spans="1:13" hidden="1" x14ac:dyDescent="0.35">
      <c r="A1776" s="112" t="s">
        <v>3616</v>
      </c>
      <c r="B1776" s="112" t="s">
        <v>922</v>
      </c>
      <c r="C1776" s="112" t="s">
        <v>695</v>
      </c>
      <c r="D1776" s="113">
        <v>10347981</v>
      </c>
      <c r="E1776" s="115">
        <v>43924</v>
      </c>
      <c r="F1776" s="114">
        <v>202101</v>
      </c>
      <c r="G1776" s="112" t="s">
        <v>1091</v>
      </c>
      <c r="H1776" s="112" t="s">
        <v>1015</v>
      </c>
      <c r="I1776" s="112" t="s">
        <v>761</v>
      </c>
      <c r="J1776" s="112" t="s">
        <v>3766</v>
      </c>
      <c r="K1776" s="112" t="s">
        <v>4577</v>
      </c>
      <c r="L1776" s="116">
        <v>-320</v>
      </c>
      <c r="M1776" s="116">
        <f t="shared" si="27"/>
        <v>-0.32</v>
      </c>
    </row>
    <row r="1777" spans="1:13" hidden="1" x14ac:dyDescent="0.35">
      <c r="A1777" s="112" t="s">
        <v>3616</v>
      </c>
      <c r="B1777" s="112" t="s">
        <v>919</v>
      </c>
      <c r="C1777" s="112" t="s">
        <v>695</v>
      </c>
      <c r="D1777" s="113">
        <v>10348077</v>
      </c>
      <c r="E1777" s="115">
        <v>43929</v>
      </c>
      <c r="F1777" s="114">
        <v>202101</v>
      </c>
      <c r="G1777" s="112" t="s">
        <v>1091</v>
      </c>
      <c r="H1777" s="112" t="s">
        <v>1015</v>
      </c>
      <c r="I1777" s="112" t="s">
        <v>757</v>
      </c>
      <c r="J1777" s="112" t="s">
        <v>3634</v>
      </c>
      <c r="K1777" s="112" t="s">
        <v>4578</v>
      </c>
      <c r="L1777" s="116">
        <v>-1000</v>
      </c>
      <c r="M1777" s="116">
        <f t="shared" si="27"/>
        <v>-1</v>
      </c>
    </row>
    <row r="1778" spans="1:13" hidden="1" x14ac:dyDescent="0.35">
      <c r="A1778" s="112" t="s">
        <v>3616</v>
      </c>
      <c r="B1778" s="112" t="s">
        <v>919</v>
      </c>
      <c r="C1778" s="112" t="s">
        <v>695</v>
      </c>
      <c r="D1778" s="113">
        <v>10348077</v>
      </c>
      <c r="E1778" s="115">
        <v>43929</v>
      </c>
      <c r="F1778" s="114">
        <v>202101</v>
      </c>
      <c r="G1778" s="112" t="s">
        <v>1091</v>
      </c>
      <c r="H1778" s="112" t="s">
        <v>1015</v>
      </c>
      <c r="I1778" s="112" t="s">
        <v>749</v>
      </c>
      <c r="J1778" s="112" t="s">
        <v>3617</v>
      </c>
      <c r="K1778" s="112" t="s">
        <v>4579</v>
      </c>
      <c r="L1778" s="116">
        <v>-2800</v>
      </c>
      <c r="M1778" s="116">
        <f t="shared" si="27"/>
        <v>-2.8</v>
      </c>
    </row>
    <row r="1779" spans="1:13" hidden="1" x14ac:dyDescent="0.35">
      <c r="A1779" s="112" t="s">
        <v>3616</v>
      </c>
      <c r="B1779" s="112" t="s">
        <v>919</v>
      </c>
      <c r="C1779" s="112" t="s">
        <v>695</v>
      </c>
      <c r="D1779" s="113">
        <v>10348077</v>
      </c>
      <c r="E1779" s="115">
        <v>43929</v>
      </c>
      <c r="F1779" s="114">
        <v>202101</v>
      </c>
      <c r="G1779" s="112" t="s">
        <v>1091</v>
      </c>
      <c r="H1779" s="112" t="s">
        <v>1015</v>
      </c>
      <c r="I1779" s="112" t="s">
        <v>749</v>
      </c>
      <c r="J1779" s="112" t="s">
        <v>3617</v>
      </c>
      <c r="K1779" s="112" t="s">
        <v>4580</v>
      </c>
      <c r="L1779" s="116">
        <v>-1400</v>
      </c>
      <c r="M1779" s="116">
        <f t="shared" si="27"/>
        <v>-1.4</v>
      </c>
    </row>
    <row r="1780" spans="1:13" hidden="1" x14ac:dyDescent="0.35">
      <c r="A1780" s="112" t="s">
        <v>3616</v>
      </c>
      <c r="B1780" s="112" t="s">
        <v>919</v>
      </c>
      <c r="C1780" s="112" t="s">
        <v>695</v>
      </c>
      <c r="D1780" s="113">
        <v>10348077</v>
      </c>
      <c r="E1780" s="115">
        <v>43929</v>
      </c>
      <c r="F1780" s="114">
        <v>202101</v>
      </c>
      <c r="G1780" s="112" t="s">
        <v>1091</v>
      </c>
      <c r="H1780" s="112" t="s">
        <v>1015</v>
      </c>
      <c r="I1780" s="112" t="s">
        <v>749</v>
      </c>
      <c r="J1780" s="112" t="s">
        <v>3632</v>
      </c>
      <c r="K1780" s="112" t="s">
        <v>4581</v>
      </c>
      <c r="L1780" s="116">
        <v>-200</v>
      </c>
      <c r="M1780" s="116">
        <f t="shared" si="27"/>
        <v>-0.2</v>
      </c>
    </row>
    <row r="1781" spans="1:13" hidden="1" x14ac:dyDescent="0.35">
      <c r="A1781" s="112" t="s">
        <v>3616</v>
      </c>
      <c r="B1781" s="112" t="s">
        <v>919</v>
      </c>
      <c r="C1781" s="112" t="s">
        <v>695</v>
      </c>
      <c r="D1781" s="113">
        <v>10348077</v>
      </c>
      <c r="E1781" s="115">
        <v>43929</v>
      </c>
      <c r="F1781" s="114">
        <v>202101</v>
      </c>
      <c r="G1781" s="112" t="s">
        <v>1091</v>
      </c>
      <c r="H1781" s="112" t="s">
        <v>1015</v>
      </c>
      <c r="I1781" s="112" t="s">
        <v>749</v>
      </c>
      <c r="J1781" s="112" t="s">
        <v>3624</v>
      </c>
      <c r="K1781" s="112" t="s">
        <v>4582</v>
      </c>
      <c r="L1781" s="116">
        <v>-1700</v>
      </c>
      <c r="M1781" s="116">
        <f t="shared" si="27"/>
        <v>-1.7</v>
      </c>
    </row>
    <row r="1782" spans="1:13" hidden="1" x14ac:dyDescent="0.35">
      <c r="A1782" s="112" t="s">
        <v>3616</v>
      </c>
      <c r="B1782" s="112" t="s">
        <v>919</v>
      </c>
      <c r="C1782" s="112" t="s">
        <v>695</v>
      </c>
      <c r="D1782" s="113">
        <v>10348077</v>
      </c>
      <c r="E1782" s="115">
        <v>43929</v>
      </c>
      <c r="F1782" s="114">
        <v>202101</v>
      </c>
      <c r="G1782" s="112" t="s">
        <v>1091</v>
      </c>
      <c r="H1782" s="112" t="s">
        <v>1015</v>
      </c>
      <c r="I1782" s="112" t="s">
        <v>749</v>
      </c>
      <c r="J1782" s="112" t="s">
        <v>3628</v>
      </c>
      <c r="K1782" s="112" t="s">
        <v>4583</v>
      </c>
      <c r="L1782" s="116">
        <v>-200</v>
      </c>
      <c r="M1782" s="116">
        <f t="shared" si="27"/>
        <v>-0.2</v>
      </c>
    </row>
    <row r="1783" spans="1:13" hidden="1" x14ac:dyDescent="0.35">
      <c r="A1783" s="112" t="s">
        <v>3616</v>
      </c>
      <c r="B1783" s="112" t="s">
        <v>919</v>
      </c>
      <c r="C1783" s="112" t="s">
        <v>695</v>
      </c>
      <c r="D1783" s="113">
        <v>10347981</v>
      </c>
      <c r="E1783" s="115">
        <v>43924</v>
      </c>
      <c r="F1783" s="114">
        <v>202101</v>
      </c>
      <c r="G1783" s="112" t="s">
        <v>1091</v>
      </c>
      <c r="H1783" s="112" t="s">
        <v>1015</v>
      </c>
      <c r="I1783" s="112" t="s">
        <v>761</v>
      </c>
      <c r="J1783" s="112" t="s">
        <v>3628</v>
      </c>
      <c r="K1783" s="112" t="s">
        <v>4584</v>
      </c>
      <c r="L1783" s="116">
        <v>-595</v>
      </c>
      <c r="M1783" s="116">
        <f t="shared" si="27"/>
        <v>-0.59499999999999997</v>
      </c>
    </row>
    <row r="1784" spans="1:13" hidden="1" x14ac:dyDescent="0.35">
      <c r="A1784" s="112" t="s">
        <v>3616</v>
      </c>
      <c r="B1784" s="112" t="s">
        <v>919</v>
      </c>
      <c r="C1784" s="112" t="s">
        <v>695</v>
      </c>
      <c r="D1784" s="113">
        <v>10347981</v>
      </c>
      <c r="E1784" s="115">
        <v>43924</v>
      </c>
      <c r="F1784" s="114">
        <v>202101</v>
      </c>
      <c r="G1784" s="112" t="s">
        <v>1091</v>
      </c>
      <c r="H1784" s="112" t="s">
        <v>1015</v>
      </c>
      <c r="I1784" s="112" t="s">
        <v>761</v>
      </c>
      <c r="J1784" s="112" t="s">
        <v>3628</v>
      </c>
      <c r="K1784" s="112" t="s">
        <v>4585</v>
      </c>
      <c r="L1784" s="116">
        <v>-595</v>
      </c>
      <c r="M1784" s="116">
        <f t="shared" si="27"/>
        <v>-0.59499999999999997</v>
      </c>
    </row>
    <row r="1785" spans="1:13" hidden="1" x14ac:dyDescent="0.35">
      <c r="A1785" s="112" t="s">
        <v>3616</v>
      </c>
      <c r="B1785" s="112" t="s">
        <v>919</v>
      </c>
      <c r="C1785" s="112" t="s">
        <v>695</v>
      </c>
      <c r="D1785" s="113">
        <v>10348077</v>
      </c>
      <c r="E1785" s="115">
        <v>43929</v>
      </c>
      <c r="F1785" s="114">
        <v>202101</v>
      </c>
      <c r="G1785" s="112" t="s">
        <v>1091</v>
      </c>
      <c r="H1785" s="112" t="s">
        <v>1015</v>
      </c>
      <c r="I1785" s="112" t="s">
        <v>757</v>
      </c>
      <c r="J1785" s="112" t="s">
        <v>3632</v>
      </c>
      <c r="K1785" s="112" t="s">
        <v>4586</v>
      </c>
      <c r="L1785" s="116">
        <v>-1300</v>
      </c>
      <c r="M1785" s="116">
        <f t="shared" si="27"/>
        <v>-1.3</v>
      </c>
    </row>
    <row r="1786" spans="1:13" hidden="1" x14ac:dyDescent="0.35">
      <c r="A1786" s="112" t="s">
        <v>3616</v>
      </c>
      <c r="B1786" s="112" t="s">
        <v>919</v>
      </c>
      <c r="C1786" s="112" t="s">
        <v>695</v>
      </c>
      <c r="D1786" s="113">
        <v>10348077</v>
      </c>
      <c r="E1786" s="115">
        <v>43929</v>
      </c>
      <c r="F1786" s="114">
        <v>202101</v>
      </c>
      <c r="G1786" s="112" t="s">
        <v>1091</v>
      </c>
      <c r="H1786" s="112" t="s">
        <v>1015</v>
      </c>
      <c r="I1786" s="112" t="s">
        <v>757</v>
      </c>
      <c r="J1786" s="112" t="s">
        <v>3624</v>
      </c>
      <c r="K1786" s="112" t="s">
        <v>4587</v>
      </c>
      <c r="L1786" s="116">
        <v>-1800</v>
      </c>
      <c r="M1786" s="116">
        <f t="shared" si="27"/>
        <v>-1.8</v>
      </c>
    </row>
    <row r="1787" spans="1:13" hidden="1" x14ac:dyDescent="0.35">
      <c r="A1787" s="112" t="s">
        <v>3616</v>
      </c>
      <c r="B1787" s="112" t="s">
        <v>919</v>
      </c>
      <c r="C1787" s="112" t="s">
        <v>695</v>
      </c>
      <c r="D1787" s="113">
        <v>10348077</v>
      </c>
      <c r="E1787" s="115">
        <v>43929</v>
      </c>
      <c r="F1787" s="114">
        <v>202101</v>
      </c>
      <c r="G1787" s="112" t="s">
        <v>1091</v>
      </c>
      <c r="H1787" s="112" t="s">
        <v>1015</v>
      </c>
      <c r="I1787" s="112" t="s">
        <v>751</v>
      </c>
      <c r="J1787" s="112" t="s">
        <v>3632</v>
      </c>
      <c r="K1787" s="112" t="s">
        <v>4588</v>
      </c>
      <c r="L1787" s="116">
        <v>-600</v>
      </c>
      <c r="M1787" s="116">
        <f t="shared" si="27"/>
        <v>-0.6</v>
      </c>
    </row>
    <row r="1788" spans="1:13" hidden="1" x14ac:dyDescent="0.35">
      <c r="A1788" s="112" t="s">
        <v>3616</v>
      </c>
      <c r="B1788" s="112" t="s">
        <v>921</v>
      </c>
      <c r="C1788" s="112" t="s">
        <v>695</v>
      </c>
      <c r="D1788" s="113">
        <v>10347981</v>
      </c>
      <c r="E1788" s="115">
        <v>43924</v>
      </c>
      <c r="F1788" s="114">
        <v>202101</v>
      </c>
      <c r="G1788" s="112" t="s">
        <v>1091</v>
      </c>
      <c r="H1788" s="112" t="s">
        <v>1015</v>
      </c>
      <c r="I1788" s="112" t="s">
        <v>775</v>
      </c>
      <c r="J1788" s="112" t="s">
        <v>3709</v>
      </c>
      <c r="K1788" s="112" t="s">
        <v>4589</v>
      </c>
      <c r="L1788" s="116">
        <v>-475</v>
      </c>
      <c r="M1788" s="116">
        <f t="shared" si="27"/>
        <v>-0.47499999999999998</v>
      </c>
    </row>
    <row r="1789" spans="1:13" hidden="1" x14ac:dyDescent="0.35">
      <c r="A1789" s="112" t="s">
        <v>3616</v>
      </c>
      <c r="B1789" s="112" t="s">
        <v>919</v>
      </c>
      <c r="C1789" s="112" t="s">
        <v>695</v>
      </c>
      <c r="D1789" s="113">
        <v>10348077</v>
      </c>
      <c r="E1789" s="115">
        <v>43929</v>
      </c>
      <c r="F1789" s="114">
        <v>202101</v>
      </c>
      <c r="G1789" s="112" t="s">
        <v>1091</v>
      </c>
      <c r="H1789" s="112" t="s">
        <v>1015</v>
      </c>
      <c r="I1789" s="112" t="s">
        <v>751</v>
      </c>
      <c r="J1789" s="112" t="s">
        <v>3624</v>
      </c>
      <c r="K1789" s="112" t="s">
        <v>4590</v>
      </c>
      <c r="L1789" s="116">
        <v>-1100</v>
      </c>
      <c r="M1789" s="116">
        <f t="shared" si="27"/>
        <v>-1.1000000000000001</v>
      </c>
    </row>
    <row r="1790" spans="1:13" hidden="1" x14ac:dyDescent="0.35">
      <c r="A1790" s="112" t="s">
        <v>3616</v>
      </c>
      <c r="B1790" s="112" t="s">
        <v>919</v>
      </c>
      <c r="C1790" s="112" t="s">
        <v>695</v>
      </c>
      <c r="D1790" s="113">
        <v>10348077</v>
      </c>
      <c r="E1790" s="115">
        <v>43929</v>
      </c>
      <c r="F1790" s="114">
        <v>202101</v>
      </c>
      <c r="G1790" s="112" t="s">
        <v>1091</v>
      </c>
      <c r="H1790" s="112" t="s">
        <v>1015</v>
      </c>
      <c r="I1790" s="112" t="s">
        <v>751</v>
      </c>
      <c r="J1790" s="112" t="s">
        <v>3628</v>
      </c>
      <c r="K1790" s="112" t="s">
        <v>4591</v>
      </c>
      <c r="L1790" s="116">
        <v>-100</v>
      </c>
      <c r="M1790" s="116">
        <f t="shared" si="27"/>
        <v>-0.1</v>
      </c>
    </row>
    <row r="1791" spans="1:13" hidden="1" x14ac:dyDescent="0.35">
      <c r="A1791" s="112" t="s">
        <v>3616</v>
      </c>
      <c r="B1791" s="112" t="s">
        <v>919</v>
      </c>
      <c r="C1791" s="112" t="s">
        <v>695</v>
      </c>
      <c r="D1791" s="113">
        <v>10348077</v>
      </c>
      <c r="E1791" s="115">
        <v>43929</v>
      </c>
      <c r="F1791" s="114">
        <v>202101</v>
      </c>
      <c r="G1791" s="112" t="s">
        <v>1091</v>
      </c>
      <c r="H1791" s="112" t="s">
        <v>1015</v>
      </c>
      <c r="I1791" s="112" t="s">
        <v>757</v>
      </c>
      <c r="J1791" s="112" t="s">
        <v>3628</v>
      </c>
      <c r="K1791" s="112" t="s">
        <v>4592</v>
      </c>
      <c r="L1791" s="116">
        <v>-500</v>
      </c>
      <c r="M1791" s="116">
        <f t="shared" si="27"/>
        <v>-0.5</v>
      </c>
    </row>
    <row r="1792" spans="1:13" hidden="1" x14ac:dyDescent="0.35">
      <c r="A1792" s="112" t="s">
        <v>3616</v>
      </c>
      <c r="B1792" s="112" t="s">
        <v>923</v>
      </c>
      <c r="C1792" s="112" t="s">
        <v>695</v>
      </c>
      <c r="D1792" s="113">
        <v>10347981</v>
      </c>
      <c r="E1792" s="115">
        <v>43924</v>
      </c>
      <c r="F1792" s="114">
        <v>202101</v>
      </c>
      <c r="G1792" s="112" t="s">
        <v>1091</v>
      </c>
      <c r="H1792" s="112" t="s">
        <v>1015</v>
      </c>
      <c r="I1792" s="112" t="s">
        <v>1471</v>
      </c>
      <c r="J1792" s="112" t="s">
        <v>3750</v>
      </c>
      <c r="K1792" s="112" t="s">
        <v>4593</v>
      </c>
      <c r="L1792" s="116">
        <v>-10</v>
      </c>
      <c r="M1792" s="116">
        <f t="shared" si="27"/>
        <v>-0.01</v>
      </c>
    </row>
    <row r="1793" spans="1:13" hidden="1" x14ac:dyDescent="0.35">
      <c r="A1793" s="112" t="s">
        <v>3616</v>
      </c>
      <c r="B1793" s="112" t="s">
        <v>922</v>
      </c>
      <c r="C1793" s="112" t="s">
        <v>695</v>
      </c>
      <c r="D1793" s="113">
        <v>10347981</v>
      </c>
      <c r="E1793" s="115">
        <v>43924</v>
      </c>
      <c r="F1793" s="114">
        <v>202101</v>
      </c>
      <c r="G1793" s="112" t="s">
        <v>1091</v>
      </c>
      <c r="H1793" s="112" t="s">
        <v>1015</v>
      </c>
      <c r="I1793" s="112" t="s">
        <v>1104</v>
      </c>
      <c r="J1793" s="112" t="s">
        <v>3784</v>
      </c>
      <c r="K1793" s="112" t="s">
        <v>4018</v>
      </c>
      <c r="L1793" s="116">
        <v>-127</v>
      </c>
      <c r="M1793" s="116">
        <f t="shared" si="27"/>
        <v>-0.127</v>
      </c>
    </row>
    <row r="1794" spans="1:13" hidden="1" x14ac:dyDescent="0.35">
      <c r="A1794" s="112" t="s">
        <v>3616</v>
      </c>
      <c r="B1794" s="112" t="s">
        <v>922</v>
      </c>
      <c r="C1794" s="112" t="s">
        <v>695</v>
      </c>
      <c r="D1794" s="113">
        <v>10347981</v>
      </c>
      <c r="E1794" s="115">
        <v>43924</v>
      </c>
      <c r="F1794" s="114">
        <v>202101</v>
      </c>
      <c r="G1794" s="112" t="s">
        <v>1091</v>
      </c>
      <c r="H1794" s="112" t="s">
        <v>1015</v>
      </c>
      <c r="I1794" s="112" t="s">
        <v>3742</v>
      </c>
      <c r="J1794" s="112" t="s">
        <v>3784</v>
      </c>
      <c r="K1794" s="112" t="s">
        <v>4011</v>
      </c>
      <c r="L1794" s="116">
        <v>-10.41</v>
      </c>
      <c r="M1794" s="116">
        <f t="shared" si="27"/>
        <v>-1.0410000000000001E-2</v>
      </c>
    </row>
    <row r="1795" spans="1:13" hidden="1" x14ac:dyDescent="0.35">
      <c r="A1795" s="112" t="s">
        <v>3616</v>
      </c>
      <c r="B1795" s="112" t="s">
        <v>923</v>
      </c>
      <c r="C1795" s="112" t="s">
        <v>695</v>
      </c>
      <c r="D1795" s="113">
        <v>10347981</v>
      </c>
      <c r="E1795" s="115">
        <v>43924</v>
      </c>
      <c r="F1795" s="114">
        <v>202101</v>
      </c>
      <c r="G1795" s="112" t="s">
        <v>1091</v>
      </c>
      <c r="H1795" s="112" t="s">
        <v>1015</v>
      </c>
      <c r="I1795" s="112" t="s">
        <v>1102</v>
      </c>
      <c r="J1795" s="112" t="s">
        <v>3750</v>
      </c>
      <c r="K1795" s="112" t="s">
        <v>4595</v>
      </c>
      <c r="L1795" s="116">
        <v>-250</v>
      </c>
      <c r="M1795" s="116">
        <f t="shared" ref="M1795:M1858" si="28">L1795/1000</f>
        <v>-0.25</v>
      </c>
    </row>
    <row r="1796" spans="1:13" hidden="1" x14ac:dyDescent="0.35">
      <c r="A1796" s="112" t="s">
        <v>3616</v>
      </c>
      <c r="B1796" s="112" t="s">
        <v>922</v>
      </c>
      <c r="C1796" s="112" t="s">
        <v>695</v>
      </c>
      <c r="D1796" s="113">
        <v>10347981</v>
      </c>
      <c r="E1796" s="115">
        <v>43924</v>
      </c>
      <c r="F1796" s="114">
        <v>202101</v>
      </c>
      <c r="G1796" s="112" t="s">
        <v>1091</v>
      </c>
      <c r="H1796" s="112" t="s">
        <v>1015</v>
      </c>
      <c r="I1796" s="112" t="s">
        <v>775</v>
      </c>
      <c r="J1796" s="112" t="s">
        <v>3861</v>
      </c>
      <c r="K1796" s="112" t="s">
        <v>4557</v>
      </c>
      <c r="L1796" s="116">
        <v>-100.8</v>
      </c>
      <c r="M1796" s="116">
        <f t="shared" si="28"/>
        <v>-0.1008</v>
      </c>
    </row>
    <row r="1797" spans="1:13" hidden="1" x14ac:dyDescent="0.35">
      <c r="A1797" s="112" t="s">
        <v>3616</v>
      </c>
      <c r="B1797" s="112" t="s">
        <v>922</v>
      </c>
      <c r="C1797" s="112" t="s">
        <v>695</v>
      </c>
      <c r="D1797" s="113">
        <v>10347981</v>
      </c>
      <c r="E1797" s="115">
        <v>43924</v>
      </c>
      <c r="F1797" s="114">
        <v>202101</v>
      </c>
      <c r="G1797" s="112" t="s">
        <v>1091</v>
      </c>
      <c r="H1797" s="112" t="s">
        <v>1015</v>
      </c>
      <c r="I1797" s="112" t="s">
        <v>761</v>
      </c>
      <c r="J1797" s="112" t="s">
        <v>3861</v>
      </c>
      <c r="K1797" s="112" t="s">
        <v>4596</v>
      </c>
      <c r="L1797" s="116">
        <v>-30</v>
      </c>
      <c r="M1797" s="116">
        <f t="shared" si="28"/>
        <v>-0.03</v>
      </c>
    </row>
    <row r="1798" spans="1:13" hidden="1" x14ac:dyDescent="0.35">
      <c r="A1798" s="112" t="s">
        <v>3616</v>
      </c>
      <c r="B1798" s="112" t="s">
        <v>922</v>
      </c>
      <c r="C1798" s="112" t="s">
        <v>695</v>
      </c>
      <c r="D1798" s="113">
        <v>10347981</v>
      </c>
      <c r="E1798" s="115">
        <v>43924</v>
      </c>
      <c r="F1798" s="114">
        <v>202101</v>
      </c>
      <c r="G1798" s="112" t="s">
        <v>1091</v>
      </c>
      <c r="H1798" s="112" t="s">
        <v>1015</v>
      </c>
      <c r="I1798" s="112" t="s">
        <v>2495</v>
      </c>
      <c r="J1798" s="112" t="s">
        <v>3805</v>
      </c>
      <c r="K1798" s="112" t="s">
        <v>4597</v>
      </c>
      <c r="L1798" s="116">
        <v>-40</v>
      </c>
      <c r="M1798" s="116">
        <f t="shared" si="28"/>
        <v>-0.04</v>
      </c>
    </row>
    <row r="1799" spans="1:13" hidden="1" x14ac:dyDescent="0.35">
      <c r="A1799" s="112" t="s">
        <v>3616</v>
      </c>
      <c r="B1799" s="112" t="s">
        <v>921</v>
      </c>
      <c r="C1799" s="112" t="s">
        <v>695</v>
      </c>
      <c r="D1799" s="113">
        <v>10347981</v>
      </c>
      <c r="E1799" s="115">
        <v>43924</v>
      </c>
      <c r="F1799" s="114">
        <v>202101</v>
      </c>
      <c r="G1799" s="112" t="s">
        <v>1091</v>
      </c>
      <c r="H1799" s="112" t="s">
        <v>1015</v>
      </c>
      <c r="I1799" s="112" t="s">
        <v>1124</v>
      </c>
      <c r="J1799" s="112" t="s">
        <v>3709</v>
      </c>
      <c r="K1799" s="112" t="s">
        <v>4598</v>
      </c>
      <c r="L1799" s="116">
        <v>-60</v>
      </c>
      <c r="M1799" s="116">
        <f t="shared" si="28"/>
        <v>-0.06</v>
      </c>
    </row>
    <row r="1800" spans="1:13" hidden="1" x14ac:dyDescent="0.35">
      <c r="A1800" s="112" t="s">
        <v>3616</v>
      </c>
      <c r="B1800" s="112" t="s">
        <v>922</v>
      </c>
      <c r="C1800" s="112" t="s">
        <v>695</v>
      </c>
      <c r="D1800" s="113">
        <v>10347981</v>
      </c>
      <c r="E1800" s="115">
        <v>43924</v>
      </c>
      <c r="F1800" s="114">
        <v>202101</v>
      </c>
      <c r="G1800" s="112" t="s">
        <v>1091</v>
      </c>
      <c r="H1800" s="112" t="s">
        <v>1015</v>
      </c>
      <c r="I1800" s="112" t="s">
        <v>761</v>
      </c>
      <c r="J1800" s="112" t="s">
        <v>3766</v>
      </c>
      <c r="K1800" s="112" t="s">
        <v>4599</v>
      </c>
      <c r="L1800" s="116">
        <v>-720</v>
      </c>
      <c r="M1800" s="116">
        <f t="shared" si="28"/>
        <v>-0.72</v>
      </c>
    </row>
    <row r="1801" spans="1:13" hidden="1" x14ac:dyDescent="0.35">
      <c r="A1801" s="112" t="s">
        <v>3616</v>
      </c>
      <c r="B1801" s="112" t="s">
        <v>916</v>
      </c>
      <c r="C1801" s="112" t="s">
        <v>695</v>
      </c>
      <c r="D1801" s="113">
        <v>10347981</v>
      </c>
      <c r="E1801" s="115">
        <v>43924</v>
      </c>
      <c r="F1801" s="114">
        <v>202101</v>
      </c>
      <c r="G1801" s="112" t="s">
        <v>1091</v>
      </c>
      <c r="H1801" s="112" t="s">
        <v>1015</v>
      </c>
      <c r="I1801" s="112" t="s">
        <v>3478</v>
      </c>
      <c r="J1801" s="112" t="s">
        <v>3771</v>
      </c>
      <c r="K1801" s="112" t="s">
        <v>4600</v>
      </c>
      <c r="L1801" s="116">
        <v>-49.5</v>
      </c>
      <c r="M1801" s="116">
        <f t="shared" si="28"/>
        <v>-4.9500000000000002E-2</v>
      </c>
    </row>
    <row r="1802" spans="1:13" hidden="1" x14ac:dyDescent="0.35">
      <c r="A1802" s="112" t="s">
        <v>3616</v>
      </c>
      <c r="B1802" s="112" t="s">
        <v>922</v>
      </c>
      <c r="C1802" s="112" t="s">
        <v>695</v>
      </c>
      <c r="D1802" s="113">
        <v>10347981</v>
      </c>
      <c r="E1802" s="115">
        <v>43924</v>
      </c>
      <c r="F1802" s="114">
        <v>202101</v>
      </c>
      <c r="G1802" s="112" t="s">
        <v>1091</v>
      </c>
      <c r="H1802" s="112" t="s">
        <v>1015</v>
      </c>
      <c r="I1802" s="112" t="s">
        <v>761</v>
      </c>
      <c r="J1802" s="112" t="s">
        <v>3791</v>
      </c>
      <c r="K1802" s="112" t="s">
        <v>4601</v>
      </c>
      <c r="L1802" s="116">
        <v>-380</v>
      </c>
      <c r="M1802" s="116">
        <f t="shared" si="28"/>
        <v>-0.38</v>
      </c>
    </row>
    <row r="1803" spans="1:13" hidden="1" x14ac:dyDescent="0.35">
      <c r="A1803" s="112" t="s">
        <v>3616</v>
      </c>
      <c r="B1803" s="112" t="s">
        <v>922</v>
      </c>
      <c r="C1803" s="112" t="s">
        <v>695</v>
      </c>
      <c r="D1803" s="113">
        <v>10347981</v>
      </c>
      <c r="E1803" s="115">
        <v>43924</v>
      </c>
      <c r="F1803" s="114">
        <v>202101</v>
      </c>
      <c r="G1803" s="112" t="s">
        <v>1091</v>
      </c>
      <c r="H1803" s="112" t="s">
        <v>1015</v>
      </c>
      <c r="I1803" s="112" t="s">
        <v>761</v>
      </c>
      <c r="J1803" s="112" t="s">
        <v>3766</v>
      </c>
      <c r="K1803" s="112" t="s">
        <v>4602</v>
      </c>
      <c r="L1803" s="116">
        <v>-500</v>
      </c>
      <c r="M1803" s="116">
        <f t="shared" si="28"/>
        <v>-0.5</v>
      </c>
    </row>
    <row r="1804" spans="1:13" hidden="1" x14ac:dyDescent="0.35">
      <c r="A1804" s="112" t="s">
        <v>3616</v>
      </c>
      <c r="B1804" s="112" t="s">
        <v>922</v>
      </c>
      <c r="C1804" s="112" t="s">
        <v>695</v>
      </c>
      <c r="D1804" s="113">
        <v>10347981</v>
      </c>
      <c r="E1804" s="115">
        <v>43924</v>
      </c>
      <c r="F1804" s="114">
        <v>202101</v>
      </c>
      <c r="G1804" s="112" t="s">
        <v>1091</v>
      </c>
      <c r="H1804" s="112" t="s">
        <v>1015</v>
      </c>
      <c r="I1804" s="112" t="s">
        <v>3790</v>
      </c>
      <c r="J1804" s="112" t="s">
        <v>3791</v>
      </c>
      <c r="K1804" s="112" t="s">
        <v>4603</v>
      </c>
      <c r="L1804" s="116">
        <v>-1880.79</v>
      </c>
      <c r="M1804" s="116">
        <f t="shared" si="28"/>
        <v>-1.88079</v>
      </c>
    </row>
    <row r="1805" spans="1:13" hidden="1" x14ac:dyDescent="0.35">
      <c r="A1805" s="112" t="s">
        <v>3616</v>
      </c>
      <c r="B1805" s="112" t="s">
        <v>920</v>
      </c>
      <c r="C1805" s="112" t="s">
        <v>695</v>
      </c>
      <c r="D1805" s="113">
        <v>10347981</v>
      </c>
      <c r="E1805" s="115">
        <v>43924</v>
      </c>
      <c r="F1805" s="114">
        <v>202101</v>
      </c>
      <c r="G1805" s="112" t="s">
        <v>1091</v>
      </c>
      <c r="H1805" s="112" t="s">
        <v>1015</v>
      </c>
      <c r="I1805" s="112" t="s">
        <v>1182</v>
      </c>
      <c r="J1805" s="112" t="s">
        <v>4179</v>
      </c>
      <c r="K1805" s="112" t="s">
        <v>4425</v>
      </c>
      <c r="L1805" s="116">
        <v>-188.73</v>
      </c>
      <c r="M1805" s="116">
        <f t="shared" si="28"/>
        <v>-0.18872999999999998</v>
      </c>
    </row>
    <row r="1806" spans="1:13" hidden="1" x14ac:dyDescent="0.35">
      <c r="A1806" s="112" t="s">
        <v>3616</v>
      </c>
      <c r="B1806" s="112" t="s">
        <v>919</v>
      </c>
      <c r="C1806" s="112" t="s">
        <v>695</v>
      </c>
      <c r="D1806" s="113">
        <v>10347981</v>
      </c>
      <c r="E1806" s="115">
        <v>43924</v>
      </c>
      <c r="F1806" s="114">
        <v>202101</v>
      </c>
      <c r="G1806" s="112" t="s">
        <v>1091</v>
      </c>
      <c r="H1806" s="112" t="s">
        <v>1015</v>
      </c>
      <c r="I1806" s="112" t="s">
        <v>1643</v>
      </c>
      <c r="J1806" s="112" t="s">
        <v>3628</v>
      </c>
      <c r="K1806" s="112" t="s">
        <v>4604</v>
      </c>
      <c r="L1806" s="116">
        <v>-200</v>
      </c>
      <c r="M1806" s="116">
        <f t="shared" si="28"/>
        <v>-0.2</v>
      </c>
    </row>
    <row r="1807" spans="1:13" hidden="1" x14ac:dyDescent="0.35">
      <c r="A1807" s="112" t="s">
        <v>3616</v>
      </c>
      <c r="B1807" s="112" t="s">
        <v>922</v>
      </c>
      <c r="C1807" s="112" t="s">
        <v>695</v>
      </c>
      <c r="D1807" s="113">
        <v>10347981</v>
      </c>
      <c r="E1807" s="115">
        <v>43924</v>
      </c>
      <c r="F1807" s="114">
        <v>202101</v>
      </c>
      <c r="G1807" s="112" t="s">
        <v>1091</v>
      </c>
      <c r="H1807" s="112" t="s">
        <v>1015</v>
      </c>
      <c r="I1807" s="112" t="s">
        <v>3790</v>
      </c>
      <c r="J1807" s="112" t="s">
        <v>3791</v>
      </c>
      <c r="K1807" s="112" t="s">
        <v>4605</v>
      </c>
      <c r="L1807" s="116">
        <v>-141.97999999999999</v>
      </c>
      <c r="M1807" s="116">
        <f t="shared" si="28"/>
        <v>-0.14198</v>
      </c>
    </row>
    <row r="1808" spans="1:13" hidden="1" x14ac:dyDescent="0.35">
      <c r="A1808" s="112" t="s">
        <v>3616</v>
      </c>
      <c r="B1808" s="112" t="s">
        <v>918</v>
      </c>
      <c r="C1808" s="112" t="s">
        <v>695</v>
      </c>
      <c r="D1808" s="113">
        <v>10348155</v>
      </c>
      <c r="E1808" s="115">
        <v>43929</v>
      </c>
      <c r="F1808" s="114">
        <v>202101</v>
      </c>
      <c r="G1808" s="112" t="s">
        <v>1091</v>
      </c>
      <c r="H1808" s="112" t="s">
        <v>1015</v>
      </c>
      <c r="I1808" s="112" t="s">
        <v>1868</v>
      </c>
      <c r="J1808" s="112" t="s">
        <v>3695</v>
      </c>
      <c r="K1808" s="112" t="s">
        <v>3723</v>
      </c>
      <c r="L1808" s="116">
        <v>1000</v>
      </c>
      <c r="M1808" s="116">
        <f t="shared" si="28"/>
        <v>1</v>
      </c>
    </row>
    <row r="1809" spans="1:13" hidden="1" x14ac:dyDescent="0.35">
      <c r="A1809" s="112" t="s">
        <v>3616</v>
      </c>
      <c r="B1809" s="112" t="s">
        <v>921</v>
      </c>
      <c r="C1809" s="112" t="s">
        <v>695</v>
      </c>
      <c r="D1809" s="113">
        <v>10347981</v>
      </c>
      <c r="E1809" s="115">
        <v>43924</v>
      </c>
      <c r="F1809" s="114">
        <v>202101</v>
      </c>
      <c r="G1809" s="112" t="s">
        <v>1091</v>
      </c>
      <c r="H1809" s="112" t="s">
        <v>1015</v>
      </c>
      <c r="I1809" s="112" t="s">
        <v>1643</v>
      </c>
      <c r="J1809" s="112" t="s">
        <v>3620</v>
      </c>
      <c r="K1809" s="112" t="s">
        <v>4606</v>
      </c>
      <c r="L1809" s="116">
        <v>-260</v>
      </c>
      <c r="M1809" s="116">
        <f t="shared" si="28"/>
        <v>-0.26</v>
      </c>
    </row>
    <row r="1810" spans="1:13" hidden="1" x14ac:dyDescent="0.35">
      <c r="A1810" s="112" t="s">
        <v>3616</v>
      </c>
      <c r="B1810" s="112" t="s">
        <v>919</v>
      </c>
      <c r="C1810" s="112" t="s">
        <v>695</v>
      </c>
      <c r="D1810" s="113">
        <v>10348077</v>
      </c>
      <c r="E1810" s="115">
        <v>43929</v>
      </c>
      <c r="F1810" s="114">
        <v>202101</v>
      </c>
      <c r="G1810" s="112" t="s">
        <v>1091</v>
      </c>
      <c r="H1810" s="112" t="s">
        <v>1015</v>
      </c>
      <c r="I1810" s="112" t="s">
        <v>749</v>
      </c>
      <c r="J1810" s="112" t="s">
        <v>3632</v>
      </c>
      <c r="K1810" s="112" t="s">
        <v>4607</v>
      </c>
      <c r="L1810" s="116">
        <v>-1500</v>
      </c>
      <c r="M1810" s="116">
        <f t="shared" si="28"/>
        <v>-1.5</v>
      </c>
    </row>
    <row r="1811" spans="1:13" hidden="1" x14ac:dyDescent="0.35">
      <c r="A1811" s="112" t="s">
        <v>3616</v>
      </c>
      <c r="B1811" s="112" t="s">
        <v>918</v>
      </c>
      <c r="C1811" s="112" t="s">
        <v>695</v>
      </c>
      <c r="D1811" s="113">
        <v>10347971</v>
      </c>
      <c r="E1811" s="115">
        <v>43924</v>
      </c>
      <c r="F1811" s="114">
        <v>202101</v>
      </c>
      <c r="G1811" s="112" t="s">
        <v>1091</v>
      </c>
      <c r="H1811" s="112" t="s">
        <v>1015</v>
      </c>
      <c r="I1811" s="112" t="s">
        <v>1868</v>
      </c>
      <c r="J1811" s="112" t="s">
        <v>3695</v>
      </c>
      <c r="K1811" s="112" t="s">
        <v>4608</v>
      </c>
      <c r="L1811" s="116">
        <v>-2049.75</v>
      </c>
      <c r="M1811" s="116">
        <f t="shared" si="28"/>
        <v>-2.04975</v>
      </c>
    </row>
    <row r="1812" spans="1:13" hidden="1" x14ac:dyDescent="0.35">
      <c r="A1812" s="112" t="s">
        <v>3616</v>
      </c>
      <c r="B1812" s="112" t="s">
        <v>916</v>
      </c>
      <c r="C1812" s="112" t="s">
        <v>695</v>
      </c>
      <c r="D1812" s="113">
        <v>10348043</v>
      </c>
      <c r="E1812" s="115">
        <v>43928</v>
      </c>
      <c r="F1812" s="114">
        <v>202101</v>
      </c>
      <c r="G1812" s="112" t="s">
        <v>1091</v>
      </c>
      <c r="H1812" s="112" t="s">
        <v>1015</v>
      </c>
      <c r="I1812" s="112" t="s">
        <v>4468</v>
      </c>
      <c r="J1812" s="112" t="s">
        <v>3626</v>
      </c>
      <c r="K1812" s="112" t="s">
        <v>4610</v>
      </c>
      <c r="L1812" s="116">
        <v>-5600</v>
      </c>
      <c r="M1812" s="116">
        <f t="shared" si="28"/>
        <v>-5.6</v>
      </c>
    </row>
    <row r="1813" spans="1:13" hidden="1" x14ac:dyDescent="0.35">
      <c r="A1813" s="112" t="s">
        <v>3616</v>
      </c>
      <c r="B1813" s="112" t="s">
        <v>922</v>
      </c>
      <c r="C1813" s="112" t="s">
        <v>695</v>
      </c>
      <c r="D1813" s="113">
        <v>10347981</v>
      </c>
      <c r="E1813" s="115">
        <v>43924</v>
      </c>
      <c r="F1813" s="114">
        <v>202101</v>
      </c>
      <c r="G1813" s="112" t="s">
        <v>1091</v>
      </c>
      <c r="H1813" s="112" t="s">
        <v>1015</v>
      </c>
      <c r="I1813" s="112" t="s">
        <v>1264</v>
      </c>
      <c r="J1813" s="112" t="s">
        <v>3954</v>
      </c>
      <c r="K1813" s="112" t="s">
        <v>4611</v>
      </c>
      <c r="L1813" s="116">
        <v>-277.93</v>
      </c>
      <c r="M1813" s="116">
        <f t="shared" si="28"/>
        <v>-0.27793000000000001</v>
      </c>
    </row>
    <row r="1814" spans="1:13" hidden="1" x14ac:dyDescent="0.35">
      <c r="A1814" s="112" t="s">
        <v>3616</v>
      </c>
      <c r="B1814" s="112" t="s">
        <v>916</v>
      </c>
      <c r="C1814" s="112" t="s">
        <v>695</v>
      </c>
      <c r="D1814" s="113">
        <v>10348043</v>
      </c>
      <c r="E1814" s="115">
        <v>43928</v>
      </c>
      <c r="F1814" s="114">
        <v>202101</v>
      </c>
      <c r="G1814" s="112" t="s">
        <v>1091</v>
      </c>
      <c r="H1814" s="112" t="s">
        <v>1015</v>
      </c>
      <c r="I1814" s="112" t="s">
        <v>4468</v>
      </c>
      <c r="J1814" s="112" t="s">
        <v>3626</v>
      </c>
      <c r="K1814" s="112" t="s">
        <v>3774</v>
      </c>
      <c r="L1814" s="116">
        <v>-300</v>
      </c>
      <c r="M1814" s="116">
        <f t="shared" si="28"/>
        <v>-0.3</v>
      </c>
    </row>
    <row r="1815" spans="1:13" hidden="1" x14ac:dyDescent="0.35">
      <c r="A1815" s="112" t="s">
        <v>3616</v>
      </c>
      <c r="B1815" s="112" t="s">
        <v>916</v>
      </c>
      <c r="C1815" s="112" t="s">
        <v>695</v>
      </c>
      <c r="D1815" s="113">
        <v>10348043</v>
      </c>
      <c r="E1815" s="115">
        <v>43928</v>
      </c>
      <c r="F1815" s="114">
        <v>202101</v>
      </c>
      <c r="G1815" s="112" t="s">
        <v>1091</v>
      </c>
      <c r="H1815" s="112" t="s">
        <v>1015</v>
      </c>
      <c r="I1815" s="112" t="s">
        <v>761</v>
      </c>
      <c r="J1815" s="112" t="s">
        <v>3626</v>
      </c>
      <c r="K1815" s="112" t="s">
        <v>4614</v>
      </c>
      <c r="L1815" s="116">
        <v>-8000</v>
      </c>
      <c r="M1815" s="116">
        <f t="shared" si="28"/>
        <v>-8</v>
      </c>
    </row>
    <row r="1816" spans="1:13" hidden="1" x14ac:dyDescent="0.35">
      <c r="A1816" s="112" t="s">
        <v>3616</v>
      </c>
      <c r="B1816" s="112" t="s">
        <v>921</v>
      </c>
      <c r="C1816" s="112" t="s">
        <v>695</v>
      </c>
      <c r="D1816" s="113">
        <v>10348018</v>
      </c>
      <c r="E1816" s="115">
        <v>43927</v>
      </c>
      <c r="F1816" s="114">
        <v>202101</v>
      </c>
      <c r="G1816" s="112" t="s">
        <v>1091</v>
      </c>
      <c r="H1816" s="112" t="s">
        <v>1015</v>
      </c>
      <c r="I1816" s="112" t="s">
        <v>1643</v>
      </c>
      <c r="J1816" s="112" t="s">
        <v>3620</v>
      </c>
      <c r="K1816" s="112" t="s">
        <v>1689</v>
      </c>
      <c r="L1816" s="116">
        <v>-3125.62</v>
      </c>
      <c r="M1816" s="116">
        <f t="shared" si="28"/>
        <v>-3.1256200000000001</v>
      </c>
    </row>
    <row r="1817" spans="1:13" hidden="1" x14ac:dyDescent="0.35">
      <c r="A1817" s="112" t="s">
        <v>3616</v>
      </c>
      <c r="B1817" s="112" t="s">
        <v>918</v>
      </c>
      <c r="C1817" s="112" t="s">
        <v>695</v>
      </c>
      <c r="D1817" s="113">
        <v>10347971</v>
      </c>
      <c r="E1817" s="115">
        <v>43924</v>
      </c>
      <c r="F1817" s="114">
        <v>202101</v>
      </c>
      <c r="G1817" s="112" t="s">
        <v>1091</v>
      </c>
      <c r="H1817" s="112" t="s">
        <v>1015</v>
      </c>
      <c r="I1817" s="112" t="s">
        <v>1868</v>
      </c>
      <c r="J1817" s="112" t="s">
        <v>3695</v>
      </c>
      <c r="K1817" s="112" t="s">
        <v>4618</v>
      </c>
      <c r="L1817" s="116">
        <v>-850</v>
      </c>
      <c r="M1817" s="116">
        <f t="shared" si="28"/>
        <v>-0.85</v>
      </c>
    </row>
    <row r="1818" spans="1:13" hidden="1" x14ac:dyDescent="0.35">
      <c r="A1818" s="112" t="s">
        <v>3616</v>
      </c>
      <c r="B1818" s="112" t="s">
        <v>918</v>
      </c>
      <c r="C1818" s="112" t="s">
        <v>695</v>
      </c>
      <c r="D1818" s="113">
        <v>10347971</v>
      </c>
      <c r="E1818" s="115">
        <v>43924</v>
      </c>
      <c r="F1818" s="114">
        <v>202101</v>
      </c>
      <c r="G1818" s="112" t="s">
        <v>1091</v>
      </c>
      <c r="H1818" s="112" t="s">
        <v>1015</v>
      </c>
      <c r="I1818" s="112" t="s">
        <v>761</v>
      </c>
      <c r="J1818" s="112" t="s">
        <v>3695</v>
      </c>
      <c r="K1818" s="112" t="s">
        <v>4619</v>
      </c>
      <c r="L1818" s="116">
        <v>-2824</v>
      </c>
      <c r="M1818" s="116">
        <f t="shared" si="28"/>
        <v>-2.8239999999999998</v>
      </c>
    </row>
    <row r="1819" spans="1:13" hidden="1" x14ac:dyDescent="0.35">
      <c r="A1819" s="112" t="s">
        <v>3616</v>
      </c>
      <c r="B1819" s="112" t="s">
        <v>921</v>
      </c>
      <c r="C1819" s="112" t="s">
        <v>695</v>
      </c>
      <c r="D1819" s="113">
        <v>10347981</v>
      </c>
      <c r="E1819" s="115">
        <v>43924</v>
      </c>
      <c r="F1819" s="114">
        <v>202101</v>
      </c>
      <c r="G1819" s="112" t="s">
        <v>1091</v>
      </c>
      <c r="H1819" s="112" t="s">
        <v>1015</v>
      </c>
      <c r="I1819" s="112" t="s">
        <v>2591</v>
      </c>
      <c r="J1819" s="112" t="s">
        <v>3620</v>
      </c>
      <c r="K1819" s="112" t="s">
        <v>4620</v>
      </c>
      <c r="L1819" s="116">
        <v>-44.34</v>
      </c>
      <c r="M1819" s="116">
        <f t="shared" si="28"/>
        <v>-4.4340000000000004E-2</v>
      </c>
    </row>
    <row r="1820" spans="1:13" hidden="1" x14ac:dyDescent="0.35">
      <c r="A1820" s="112" t="s">
        <v>3616</v>
      </c>
      <c r="B1820" s="112" t="s">
        <v>922</v>
      </c>
      <c r="C1820" s="112" t="s">
        <v>695</v>
      </c>
      <c r="D1820" s="113">
        <v>10347981</v>
      </c>
      <c r="E1820" s="115">
        <v>43924</v>
      </c>
      <c r="F1820" s="114">
        <v>202101</v>
      </c>
      <c r="G1820" s="112" t="s">
        <v>1091</v>
      </c>
      <c r="H1820" s="112" t="s">
        <v>1015</v>
      </c>
      <c r="I1820" s="112" t="s">
        <v>761</v>
      </c>
      <c r="J1820" s="112" t="s">
        <v>3766</v>
      </c>
      <c r="K1820" s="112" t="s">
        <v>4621</v>
      </c>
      <c r="L1820" s="116">
        <v>-140</v>
      </c>
      <c r="M1820" s="116">
        <f t="shared" si="28"/>
        <v>-0.14000000000000001</v>
      </c>
    </row>
    <row r="1821" spans="1:13" hidden="1" x14ac:dyDescent="0.35">
      <c r="A1821" s="112" t="s">
        <v>3616</v>
      </c>
      <c r="B1821" s="112" t="s">
        <v>918</v>
      </c>
      <c r="C1821" s="112" t="s">
        <v>695</v>
      </c>
      <c r="D1821" s="113">
        <v>10347971</v>
      </c>
      <c r="E1821" s="115">
        <v>43924</v>
      </c>
      <c r="F1821" s="114">
        <v>202101</v>
      </c>
      <c r="G1821" s="112" t="s">
        <v>1091</v>
      </c>
      <c r="H1821" s="112" t="s">
        <v>1015</v>
      </c>
      <c r="I1821" s="112" t="s">
        <v>761</v>
      </c>
      <c r="J1821" s="112" t="s">
        <v>3695</v>
      </c>
      <c r="K1821" s="112" t="s">
        <v>4622</v>
      </c>
      <c r="L1821" s="116">
        <v>-2824</v>
      </c>
      <c r="M1821" s="116">
        <f t="shared" si="28"/>
        <v>-2.8239999999999998</v>
      </c>
    </row>
    <row r="1822" spans="1:13" hidden="1" x14ac:dyDescent="0.35">
      <c r="A1822" s="112" t="s">
        <v>3616</v>
      </c>
      <c r="B1822" s="112" t="s">
        <v>918</v>
      </c>
      <c r="C1822" s="112" t="s">
        <v>695</v>
      </c>
      <c r="D1822" s="113">
        <v>10347971</v>
      </c>
      <c r="E1822" s="115">
        <v>43924</v>
      </c>
      <c r="F1822" s="114">
        <v>202101</v>
      </c>
      <c r="G1822" s="112" t="s">
        <v>1091</v>
      </c>
      <c r="H1822" s="112" t="s">
        <v>1015</v>
      </c>
      <c r="I1822" s="112" t="s">
        <v>761</v>
      </c>
      <c r="J1822" s="112" t="s">
        <v>3695</v>
      </c>
      <c r="K1822" s="112" t="s">
        <v>4623</v>
      </c>
      <c r="L1822" s="116">
        <v>-34.5</v>
      </c>
      <c r="M1822" s="116">
        <f t="shared" si="28"/>
        <v>-3.4500000000000003E-2</v>
      </c>
    </row>
    <row r="1823" spans="1:13" hidden="1" x14ac:dyDescent="0.35">
      <c r="A1823" s="112" t="s">
        <v>3616</v>
      </c>
      <c r="B1823" s="112" t="s">
        <v>918</v>
      </c>
      <c r="C1823" s="112" t="s">
        <v>695</v>
      </c>
      <c r="D1823" s="113">
        <v>10347971</v>
      </c>
      <c r="E1823" s="115">
        <v>43924</v>
      </c>
      <c r="F1823" s="114">
        <v>202101</v>
      </c>
      <c r="G1823" s="112" t="s">
        <v>1091</v>
      </c>
      <c r="H1823" s="112" t="s">
        <v>1015</v>
      </c>
      <c r="I1823" s="112" t="s">
        <v>1868</v>
      </c>
      <c r="J1823" s="112" t="s">
        <v>3695</v>
      </c>
      <c r="K1823" s="112" t="s">
        <v>4624</v>
      </c>
      <c r="L1823" s="116">
        <v>-200</v>
      </c>
      <c r="M1823" s="116">
        <f t="shared" si="28"/>
        <v>-0.2</v>
      </c>
    </row>
    <row r="1824" spans="1:13" hidden="1" x14ac:dyDescent="0.35">
      <c r="A1824" s="112" t="s">
        <v>3616</v>
      </c>
      <c r="B1824" s="112" t="s">
        <v>918</v>
      </c>
      <c r="C1824" s="112" t="s">
        <v>695</v>
      </c>
      <c r="D1824" s="113">
        <v>10347971</v>
      </c>
      <c r="E1824" s="115">
        <v>43924</v>
      </c>
      <c r="F1824" s="114">
        <v>202101</v>
      </c>
      <c r="G1824" s="112" t="s">
        <v>1091</v>
      </c>
      <c r="H1824" s="112" t="s">
        <v>1015</v>
      </c>
      <c r="I1824" s="112" t="s">
        <v>761</v>
      </c>
      <c r="J1824" s="112" t="s">
        <v>3649</v>
      </c>
      <c r="K1824" s="112" t="s">
        <v>4625</v>
      </c>
      <c r="L1824" s="116">
        <v>-1705.5</v>
      </c>
      <c r="M1824" s="116">
        <f t="shared" si="28"/>
        <v>-1.7055</v>
      </c>
    </row>
    <row r="1825" spans="1:13" hidden="1" x14ac:dyDescent="0.35">
      <c r="A1825" s="112" t="s">
        <v>3616</v>
      </c>
      <c r="B1825" s="112" t="s">
        <v>918</v>
      </c>
      <c r="C1825" s="112" t="s">
        <v>695</v>
      </c>
      <c r="D1825" s="113">
        <v>10347971</v>
      </c>
      <c r="E1825" s="115">
        <v>43924</v>
      </c>
      <c r="F1825" s="114">
        <v>202101</v>
      </c>
      <c r="G1825" s="112" t="s">
        <v>1091</v>
      </c>
      <c r="H1825" s="112" t="s">
        <v>1015</v>
      </c>
      <c r="I1825" s="112" t="s">
        <v>761</v>
      </c>
      <c r="J1825" s="112" t="s">
        <v>3649</v>
      </c>
      <c r="K1825" s="112" t="s">
        <v>4625</v>
      </c>
      <c r="L1825" s="116">
        <v>-2480</v>
      </c>
      <c r="M1825" s="116">
        <f t="shared" si="28"/>
        <v>-2.48</v>
      </c>
    </row>
    <row r="1826" spans="1:13" hidden="1" x14ac:dyDescent="0.35">
      <c r="A1826" s="112" t="s">
        <v>3616</v>
      </c>
      <c r="B1826" s="112" t="s">
        <v>921</v>
      </c>
      <c r="C1826" s="112" t="s">
        <v>695</v>
      </c>
      <c r="D1826" s="113">
        <v>10347981</v>
      </c>
      <c r="E1826" s="115">
        <v>43924</v>
      </c>
      <c r="F1826" s="114">
        <v>202101</v>
      </c>
      <c r="G1826" s="112" t="s">
        <v>1091</v>
      </c>
      <c r="H1826" s="112" t="s">
        <v>1015</v>
      </c>
      <c r="I1826" s="112" t="s">
        <v>775</v>
      </c>
      <c r="J1826" s="112" t="s">
        <v>3709</v>
      </c>
      <c r="K1826" s="112" t="s">
        <v>4626</v>
      </c>
      <c r="L1826" s="116">
        <v>-60</v>
      </c>
      <c r="M1826" s="116">
        <f t="shared" si="28"/>
        <v>-0.06</v>
      </c>
    </row>
    <row r="1827" spans="1:13" hidden="1" x14ac:dyDescent="0.35">
      <c r="A1827" s="112" t="s">
        <v>3616</v>
      </c>
      <c r="B1827" s="112" t="s">
        <v>922</v>
      </c>
      <c r="C1827" s="112" t="s">
        <v>695</v>
      </c>
      <c r="D1827" s="113">
        <v>10347981</v>
      </c>
      <c r="E1827" s="115">
        <v>43924</v>
      </c>
      <c r="F1827" s="114">
        <v>202101</v>
      </c>
      <c r="G1827" s="112" t="s">
        <v>1091</v>
      </c>
      <c r="H1827" s="112" t="s">
        <v>1015</v>
      </c>
      <c r="I1827" s="112" t="s">
        <v>1104</v>
      </c>
      <c r="J1827" s="112" t="s">
        <v>3784</v>
      </c>
      <c r="K1827" s="112" t="s">
        <v>4018</v>
      </c>
      <c r="L1827" s="116">
        <v>-99</v>
      </c>
      <c r="M1827" s="116">
        <f t="shared" si="28"/>
        <v>-9.9000000000000005E-2</v>
      </c>
    </row>
    <row r="1828" spans="1:13" hidden="1" x14ac:dyDescent="0.35">
      <c r="A1828" s="112" t="s">
        <v>3616</v>
      </c>
      <c r="B1828" s="112" t="s">
        <v>921</v>
      </c>
      <c r="C1828" s="112" t="s">
        <v>695</v>
      </c>
      <c r="D1828" s="113">
        <v>10347973</v>
      </c>
      <c r="E1828" s="115">
        <v>43924</v>
      </c>
      <c r="F1828" s="114">
        <v>202101</v>
      </c>
      <c r="G1828" s="112" t="s">
        <v>1091</v>
      </c>
      <c r="H1828" s="112" t="s">
        <v>1015</v>
      </c>
      <c r="I1828" s="112" t="s">
        <v>1699</v>
      </c>
      <c r="J1828" s="112" t="s">
        <v>4628</v>
      </c>
      <c r="K1828" s="112" t="s">
        <v>4629</v>
      </c>
      <c r="L1828" s="116">
        <v>-827.25</v>
      </c>
      <c r="M1828" s="116">
        <f t="shared" si="28"/>
        <v>-0.82725000000000004</v>
      </c>
    </row>
    <row r="1829" spans="1:13" hidden="1" x14ac:dyDescent="0.35">
      <c r="A1829" s="112" t="s">
        <v>3616</v>
      </c>
      <c r="B1829" s="112" t="s">
        <v>919</v>
      </c>
      <c r="C1829" s="112" t="s">
        <v>695</v>
      </c>
      <c r="D1829" s="113">
        <v>10347981</v>
      </c>
      <c r="E1829" s="115">
        <v>43924</v>
      </c>
      <c r="F1829" s="114">
        <v>202101</v>
      </c>
      <c r="G1829" s="112" t="s">
        <v>1091</v>
      </c>
      <c r="H1829" s="112" t="s">
        <v>1015</v>
      </c>
      <c r="I1829" s="112" t="s">
        <v>2495</v>
      </c>
      <c r="J1829" s="112" t="s">
        <v>3632</v>
      </c>
      <c r="K1829" s="112" t="s">
        <v>4630</v>
      </c>
      <c r="L1829" s="116">
        <v>-59</v>
      </c>
      <c r="M1829" s="116">
        <f t="shared" si="28"/>
        <v>-5.8999999999999997E-2</v>
      </c>
    </row>
    <row r="1830" spans="1:13" hidden="1" x14ac:dyDescent="0.35">
      <c r="A1830" s="112" t="s">
        <v>3616</v>
      </c>
      <c r="B1830" s="112" t="s">
        <v>921</v>
      </c>
      <c r="C1830" s="112" t="s">
        <v>695</v>
      </c>
      <c r="D1830" s="113">
        <v>10347981</v>
      </c>
      <c r="E1830" s="115">
        <v>43924</v>
      </c>
      <c r="F1830" s="114">
        <v>202101</v>
      </c>
      <c r="G1830" s="112" t="s">
        <v>1091</v>
      </c>
      <c r="H1830" s="112" t="s">
        <v>1015</v>
      </c>
      <c r="I1830" s="112" t="s">
        <v>2591</v>
      </c>
      <c r="J1830" s="112" t="s">
        <v>3620</v>
      </c>
      <c r="K1830" s="112" t="s">
        <v>4631</v>
      </c>
      <c r="L1830" s="116">
        <v>-50.46</v>
      </c>
      <c r="M1830" s="116">
        <f t="shared" si="28"/>
        <v>-5.0459999999999998E-2</v>
      </c>
    </row>
    <row r="1831" spans="1:13" hidden="1" x14ac:dyDescent="0.35">
      <c r="A1831" s="112" t="s">
        <v>4632</v>
      </c>
      <c r="B1831" s="112" t="s">
        <v>863</v>
      </c>
      <c r="C1831" s="112" t="s">
        <v>695</v>
      </c>
      <c r="D1831" s="113">
        <v>10348563</v>
      </c>
      <c r="E1831" s="115">
        <v>43956</v>
      </c>
      <c r="F1831" s="114">
        <v>202101</v>
      </c>
      <c r="G1831" s="112" t="s">
        <v>1091</v>
      </c>
      <c r="H1831" s="112" t="s">
        <v>1015</v>
      </c>
      <c r="I1831" s="112" t="s">
        <v>753</v>
      </c>
      <c r="J1831" s="112" t="s">
        <v>808</v>
      </c>
      <c r="K1831" s="112" t="s">
        <v>4638</v>
      </c>
      <c r="L1831" s="116">
        <v>87783</v>
      </c>
      <c r="M1831" s="116">
        <f t="shared" si="28"/>
        <v>87.783000000000001</v>
      </c>
    </row>
    <row r="1832" spans="1:13" hidden="1" x14ac:dyDescent="0.35">
      <c r="A1832" s="112" t="s">
        <v>4632</v>
      </c>
      <c r="B1832" s="112" t="s">
        <v>863</v>
      </c>
      <c r="C1832" s="112" t="s">
        <v>695</v>
      </c>
      <c r="D1832" s="113">
        <v>10348557</v>
      </c>
      <c r="E1832" s="115">
        <v>43955</v>
      </c>
      <c r="F1832" s="114">
        <v>202101</v>
      </c>
      <c r="G1832" s="112" t="s">
        <v>1091</v>
      </c>
      <c r="H1832" s="112" t="s">
        <v>1015</v>
      </c>
      <c r="I1832" s="112" t="s">
        <v>753</v>
      </c>
      <c r="J1832" s="112" t="s">
        <v>808</v>
      </c>
      <c r="K1832" s="112" t="s">
        <v>4660</v>
      </c>
      <c r="L1832" s="116">
        <v>-87783</v>
      </c>
      <c r="M1832" s="116">
        <f t="shared" si="28"/>
        <v>-87.783000000000001</v>
      </c>
    </row>
    <row r="1833" spans="1:13" hidden="1" x14ac:dyDescent="0.35">
      <c r="A1833" s="112" t="s">
        <v>4632</v>
      </c>
      <c r="B1833" s="112" t="s">
        <v>863</v>
      </c>
      <c r="C1833" s="112" t="s">
        <v>695</v>
      </c>
      <c r="D1833" s="113">
        <v>10348563</v>
      </c>
      <c r="E1833" s="115">
        <v>43956</v>
      </c>
      <c r="F1833" s="114">
        <v>202101</v>
      </c>
      <c r="G1833" s="112" t="s">
        <v>1091</v>
      </c>
      <c r="H1833" s="112" t="s">
        <v>1015</v>
      </c>
      <c r="I1833" s="112" t="s">
        <v>753</v>
      </c>
      <c r="J1833" s="112" t="s">
        <v>808</v>
      </c>
      <c r="K1833" s="112" t="s">
        <v>4661</v>
      </c>
      <c r="L1833" s="116">
        <v>-304204</v>
      </c>
      <c r="M1833" s="116">
        <f t="shared" si="28"/>
        <v>-304.20400000000001</v>
      </c>
    </row>
    <row r="1834" spans="1:13" hidden="1" x14ac:dyDescent="0.35">
      <c r="A1834" s="112" t="s">
        <v>4632</v>
      </c>
      <c r="B1834" s="112" t="s">
        <v>4644</v>
      </c>
      <c r="C1834" s="112" t="s">
        <v>695</v>
      </c>
      <c r="D1834" s="113">
        <v>10348085</v>
      </c>
      <c r="E1834" s="115">
        <v>43923</v>
      </c>
      <c r="F1834" s="114">
        <v>202101</v>
      </c>
      <c r="G1834" s="112" t="s">
        <v>1091</v>
      </c>
      <c r="H1834" s="112" t="s">
        <v>1015</v>
      </c>
      <c r="I1834" s="112" t="s">
        <v>757</v>
      </c>
      <c r="J1834" s="112" t="s">
        <v>4645</v>
      </c>
      <c r="K1834" s="112" t="s">
        <v>4662</v>
      </c>
      <c r="L1834" s="116">
        <v>-140.81</v>
      </c>
      <c r="M1834" s="116">
        <f t="shared" si="28"/>
        <v>-0.14080999999999999</v>
      </c>
    </row>
    <row r="1835" spans="1:13" hidden="1" x14ac:dyDescent="0.35">
      <c r="A1835" s="112" t="s">
        <v>4632</v>
      </c>
      <c r="B1835" s="112" t="s">
        <v>4644</v>
      </c>
      <c r="C1835" s="112" t="s">
        <v>695</v>
      </c>
      <c r="D1835" s="113">
        <v>10348098</v>
      </c>
      <c r="E1835" s="115">
        <v>43929</v>
      </c>
      <c r="F1835" s="114">
        <v>202101</v>
      </c>
      <c r="G1835" s="112" t="s">
        <v>1091</v>
      </c>
      <c r="H1835" s="112" t="s">
        <v>1015</v>
      </c>
      <c r="I1835" s="112" t="s">
        <v>749</v>
      </c>
      <c r="J1835" s="112" t="s">
        <v>4645</v>
      </c>
      <c r="K1835" s="112" t="s">
        <v>4663</v>
      </c>
      <c r="L1835" s="116">
        <v>1049.0999999999999</v>
      </c>
      <c r="M1835" s="116">
        <f t="shared" si="28"/>
        <v>1.0490999999999999</v>
      </c>
    </row>
    <row r="1836" spans="1:13" hidden="1" x14ac:dyDescent="0.35">
      <c r="A1836" s="112" t="s">
        <v>4632</v>
      </c>
      <c r="B1836" s="112" t="s">
        <v>4644</v>
      </c>
      <c r="C1836" s="112" t="s">
        <v>695</v>
      </c>
      <c r="D1836" s="113">
        <v>10348085</v>
      </c>
      <c r="E1836" s="115">
        <v>43923</v>
      </c>
      <c r="F1836" s="114">
        <v>202101</v>
      </c>
      <c r="G1836" s="112" t="s">
        <v>1091</v>
      </c>
      <c r="H1836" s="112" t="s">
        <v>1015</v>
      </c>
      <c r="I1836" s="112" t="s">
        <v>749</v>
      </c>
      <c r="J1836" s="112" t="s">
        <v>4645</v>
      </c>
      <c r="K1836" s="112" t="s">
        <v>4662</v>
      </c>
      <c r="L1836" s="116">
        <v>-190.11</v>
      </c>
      <c r="M1836" s="116">
        <f t="shared" si="28"/>
        <v>-0.19011</v>
      </c>
    </row>
    <row r="1837" spans="1:13" hidden="1" x14ac:dyDescent="0.35">
      <c r="A1837" s="112" t="s">
        <v>4632</v>
      </c>
      <c r="B1837" s="112" t="s">
        <v>4639</v>
      </c>
      <c r="C1837" s="112" t="s">
        <v>695</v>
      </c>
      <c r="D1837" s="113">
        <v>10348085</v>
      </c>
      <c r="E1837" s="115">
        <v>43923</v>
      </c>
      <c r="F1837" s="114">
        <v>202101</v>
      </c>
      <c r="G1837" s="112" t="s">
        <v>1091</v>
      </c>
      <c r="H1837" s="112" t="s">
        <v>1015</v>
      </c>
      <c r="I1837" s="112" t="s">
        <v>749</v>
      </c>
      <c r="J1837" s="112" t="s">
        <v>4640</v>
      </c>
      <c r="K1837" s="112" t="s">
        <v>4662</v>
      </c>
      <c r="L1837" s="116">
        <v>-1786.33</v>
      </c>
      <c r="M1837" s="116">
        <f t="shared" si="28"/>
        <v>-1.78633</v>
      </c>
    </row>
    <row r="1838" spans="1:13" hidden="1" x14ac:dyDescent="0.35">
      <c r="A1838" s="112" t="s">
        <v>4632</v>
      </c>
      <c r="B1838" s="112" t="s">
        <v>4650</v>
      </c>
      <c r="C1838" s="112" t="s">
        <v>695</v>
      </c>
      <c r="D1838" s="113">
        <v>10348098</v>
      </c>
      <c r="E1838" s="115">
        <v>43929</v>
      </c>
      <c r="F1838" s="114">
        <v>202101</v>
      </c>
      <c r="G1838" s="112" t="s">
        <v>1091</v>
      </c>
      <c r="H1838" s="112" t="s">
        <v>1015</v>
      </c>
      <c r="I1838" s="112" t="s">
        <v>757</v>
      </c>
      <c r="J1838" s="112" t="s">
        <v>4651</v>
      </c>
      <c r="K1838" s="112" t="s">
        <v>4664</v>
      </c>
      <c r="L1838" s="116">
        <v>182.68</v>
      </c>
      <c r="M1838" s="116">
        <f t="shared" si="28"/>
        <v>0.18268000000000001</v>
      </c>
    </row>
    <row r="1839" spans="1:13" hidden="1" x14ac:dyDescent="0.35">
      <c r="A1839" s="112" t="s">
        <v>4632</v>
      </c>
      <c r="B1839" s="112" t="s">
        <v>4644</v>
      </c>
      <c r="C1839" s="112" t="s">
        <v>695</v>
      </c>
      <c r="D1839" s="113">
        <v>10348085</v>
      </c>
      <c r="E1839" s="115">
        <v>43923</v>
      </c>
      <c r="F1839" s="114">
        <v>202101</v>
      </c>
      <c r="G1839" s="112" t="s">
        <v>1091</v>
      </c>
      <c r="H1839" s="112" t="s">
        <v>1015</v>
      </c>
      <c r="I1839" s="112" t="s">
        <v>749</v>
      </c>
      <c r="J1839" s="112" t="s">
        <v>4645</v>
      </c>
      <c r="K1839" s="112" t="s">
        <v>4662</v>
      </c>
      <c r="L1839" s="116">
        <v>-108.24</v>
      </c>
      <c r="M1839" s="116">
        <f t="shared" si="28"/>
        <v>-0.10823999999999999</v>
      </c>
    </row>
    <row r="1840" spans="1:13" hidden="1" x14ac:dyDescent="0.35">
      <c r="A1840" s="112" t="s">
        <v>4632</v>
      </c>
      <c r="B1840" s="112" t="s">
        <v>4650</v>
      </c>
      <c r="C1840" s="112" t="s">
        <v>695</v>
      </c>
      <c r="D1840" s="113">
        <v>10348085</v>
      </c>
      <c r="E1840" s="115">
        <v>43923</v>
      </c>
      <c r="F1840" s="114">
        <v>202101</v>
      </c>
      <c r="G1840" s="112" t="s">
        <v>1091</v>
      </c>
      <c r="H1840" s="112" t="s">
        <v>1015</v>
      </c>
      <c r="I1840" s="112" t="s">
        <v>757</v>
      </c>
      <c r="J1840" s="112" t="s">
        <v>4651</v>
      </c>
      <c r="K1840" s="112" t="s">
        <v>4662</v>
      </c>
      <c r="L1840" s="116">
        <v>-2591.0300000000002</v>
      </c>
      <c r="M1840" s="116">
        <f t="shared" si="28"/>
        <v>-2.5910300000000004</v>
      </c>
    </row>
    <row r="1841" spans="1:13" hidden="1" x14ac:dyDescent="0.35">
      <c r="A1841" s="112" t="s">
        <v>4632</v>
      </c>
      <c r="B1841" s="112" t="s">
        <v>4644</v>
      </c>
      <c r="C1841" s="112" t="s">
        <v>695</v>
      </c>
      <c r="D1841" s="113">
        <v>10348098</v>
      </c>
      <c r="E1841" s="115">
        <v>43929</v>
      </c>
      <c r="F1841" s="114">
        <v>202101</v>
      </c>
      <c r="G1841" s="112" t="s">
        <v>1091</v>
      </c>
      <c r="H1841" s="112" t="s">
        <v>1015</v>
      </c>
      <c r="I1841" s="112" t="s">
        <v>749</v>
      </c>
      <c r="J1841" s="112" t="s">
        <v>4645</v>
      </c>
      <c r="K1841" s="112" t="s">
        <v>4669</v>
      </c>
      <c r="L1841" s="116">
        <v>735.18</v>
      </c>
      <c r="M1841" s="116">
        <f t="shared" si="28"/>
        <v>0.73517999999999994</v>
      </c>
    </row>
    <row r="1842" spans="1:13" hidden="1" x14ac:dyDescent="0.35">
      <c r="A1842" s="112" t="s">
        <v>4632</v>
      </c>
      <c r="B1842" s="112" t="s">
        <v>4644</v>
      </c>
      <c r="C1842" s="112" t="s">
        <v>695</v>
      </c>
      <c r="D1842" s="113">
        <v>10348098</v>
      </c>
      <c r="E1842" s="115">
        <v>43929</v>
      </c>
      <c r="F1842" s="114">
        <v>202101</v>
      </c>
      <c r="G1842" s="112" t="s">
        <v>1091</v>
      </c>
      <c r="H1842" s="112" t="s">
        <v>1015</v>
      </c>
      <c r="I1842" s="112" t="s">
        <v>757</v>
      </c>
      <c r="J1842" s="112" t="s">
        <v>4645</v>
      </c>
      <c r="K1842" s="112" t="s">
        <v>4671</v>
      </c>
      <c r="L1842" s="116">
        <v>-31.35</v>
      </c>
      <c r="M1842" s="116">
        <f t="shared" si="28"/>
        <v>-3.1350000000000003E-2</v>
      </c>
    </row>
    <row r="1843" spans="1:13" hidden="1" x14ac:dyDescent="0.35">
      <c r="A1843" s="112" t="s">
        <v>4632</v>
      </c>
      <c r="B1843" s="112" t="s">
        <v>4639</v>
      </c>
      <c r="C1843" s="112" t="s">
        <v>695</v>
      </c>
      <c r="D1843" s="113">
        <v>10348085</v>
      </c>
      <c r="E1843" s="115">
        <v>43923</v>
      </c>
      <c r="F1843" s="114">
        <v>202101</v>
      </c>
      <c r="G1843" s="112" t="s">
        <v>1091</v>
      </c>
      <c r="H1843" s="112" t="s">
        <v>1015</v>
      </c>
      <c r="I1843" s="112" t="s">
        <v>749</v>
      </c>
      <c r="J1843" s="112" t="s">
        <v>4640</v>
      </c>
      <c r="K1843" s="112" t="s">
        <v>4662</v>
      </c>
      <c r="L1843" s="116">
        <v>-93.41</v>
      </c>
      <c r="M1843" s="116">
        <f t="shared" si="28"/>
        <v>-9.3409999999999993E-2</v>
      </c>
    </row>
    <row r="1844" spans="1:13" hidden="1" x14ac:dyDescent="0.35">
      <c r="A1844" s="112" t="s">
        <v>4632</v>
      </c>
      <c r="B1844" s="112" t="s">
        <v>4639</v>
      </c>
      <c r="C1844" s="112" t="s">
        <v>695</v>
      </c>
      <c r="D1844" s="113">
        <v>10348085</v>
      </c>
      <c r="E1844" s="115">
        <v>43923</v>
      </c>
      <c r="F1844" s="114">
        <v>202101</v>
      </c>
      <c r="G1844" s="112" t="s">
        <v>1091</v>
      </c>
      <c r="H1844" s="112" t="s">
        <v>1015</v>
      </c>
      <c r="I1844" s="112" t="s">
        <v>749</v>
      </c>
      <c r="J1844" s="112" t="s">
        <v>4640</v>
      </c>
      <c r="K1844" s="112" t="s">
        <v>4662</v>
      </c>
      <c r="L1844" s="116">
        <v>-17.010000000000002</v>
      </c>
      <c r="M1844" s="116">
        <f t="shared" si="28"/>
        <v>-1.7010000000000001E-2</v>
      </c>
    </row>
    <row r="1845" spans="1:13" hidden="1" x14ac:dyDescent="0.35">
      <c r="A1845" s="112" t="s">
        <v>4632</v>
      </c>
      <c r="B1845" s="112" t="s">
        <v>4644</v>
      </c>
      <c r="C1845" s="112" t="s">
        <v>695</v>
      </c>
      <c r="D1845" s="113">
        <v>10348085</v>
      </c>
      <c r="E1845" s="115">
        <v>43923</v>
      </c>
      <c r="F1845" s="114">
        <v>202101</v>
      </c>
      <c r="G1845" s="112" t="s">
        <v>1091</v>
      </c>
      <c r="H1845" s="112" t="s">
        <v>1015</v>
      </c>
      <c r="I1845" s="112" t="s">
        <v>757</v>
      </c>
      <c r="J1845" s="112" t="s">
        <v>4645</v>
      </c>
      <c r="K1845" s="112" t="s">
        <v>4662</v>
      </c>
      <c r="L1845" s="116">
        <v>-531.91</v>
      </c>
      <c r="M1845" s="116">
        <f t="shared" si="28"/>
        <v>-0.53190999999999999</v>
      </c>
    </row>
    <row r="1846" spans="1:13" hidden="1" x14ac:dyDescent="0.35">
      <c r="A1846" s="112" t="s">
        <v>4632</v>
      </c>
      <c r="B1846" s="112" t="s">
        <v>4644</v>
      </c>
      <c r="C1846" s="112" t="s">
        <v>695</v>
      </c>
      <c r="D1846" s="113">
        <v>10348085</v>
      </c>
      <c r="E1846" s="115">
        <v>43923</v>
      </c>
      <c r="F1846" s="114">
        <v>202101</v>
      </c>
      <c r="G1846" s="112" t="s">
        <v>1091</v>
      </c>
      <c r="H1846" s="112" t="s">
        <v>1015</v>
      </c>
      <c r="I1846" s="112" t="s">
        <v>749</v>
      </c>
      <c r="J1846" s="112" t="s">
        <v>4645</v>
      </c>
      <c r="K1846" s="112" t="s">
        <v>4662</v>
      </c>
      <c r="L1846" s="116">
        <v>-163.27000000000001</v>
      </c>
      <c r="M1846" s="116">
        <f t="shared" si="28"/>
        <v>-0.16327</v>
      </c>
    </row>
    <row r="1847" spans="1:13" hidden="1" x14ac:dyDescent="0.35">
      <c r="A1847" s="112" t="s">
        <v>4632</v>
      </c>
      <c r="B1847" s="112" t="s">
        <v>863</v>
      </c>
      <c r="C1847" s="112" t="s">
        <v>695</v>
      </c>
      <c r="D1847" s="113">
        <v>10348098</v>
      </c>
      <c r="E1847" s="115">
        <v>43929</v>
      </c>
      <c r="F1847" s="114">
        <v>202101</v>
      </c>
      <c r="G1847" s="112" t="s">
        <v>1091</v>
      </c>
      <c r="H1847" s="112" t="s">
        <v>1015</v>
      </c>
      <c r="I1847" s="112" t="s">
        <v>749</v>
      </c>
      <c r="J1847" s="112" t="s">
        <v>787</v>
      </c>
      <c r="K1847" s="112" t="s">
        <v>4672</v>
      </c>
      <c r="L1847" s="116">
        <v>719.03</v>
      </c>
      <c r="M1847" s="116">
        <f t="shared" si="28"/>
        <v>0.71902999999999995</v>
      </c>
    </row>
    <row r="1848" spans="1:13" hidden="1" x14ac:dyDescent="0.35">
      <c r="A1848" s="112" t="s">
        <v>4632</v>
      </c>
      <c r="B1848" s="112" t="s">
        <v>4650</v>
      </c>
      <c r="C1848" s="112" t="s">
        <v>695</v>
      </c>
      <c r="D1848" s="113">
        <v>10348098</v>
      </c>
      <c r="E1848" s="115">
        <v>43929</v>
      </c>
      <c r="F1848" s="114">
        <v>202101</v>
      </c>
      <c r="G1848" s="112" t="s">
        <v>1091</v>
      </c>
      <c r="H1848" s="112" t="s">
        <v>1015</v>
      </c>
      <c r="I1848" s="112" t="s">
        <v>757</v>
      </c>
      <c r="J1848" s="112" t="s">
        <v>4651</v>
      </c>
      <c r="K1848" s="112" t="s">
        <v>4673</v>
      </c>
      <c r="L1848" s="116">
        <v>155.22</v>
      </c>
      <c r="M1848" s="116">
        <f t="shared" si="28"/>
        <v>0.15522</v>
      </c>
    </row>
    <row r="1849" spans="1:13" hidden="1" x14ac:dyDescent="0.35">
      <c r="A1849" s="112" t="s">
        <v>4632</v>
      </c>
      <c r="B1849" s="112" t="s">
        <v>4644</v>
      </c>
      <c r="C1849" s="112" t="s">
        <v>695</v>
      </c>
      <c r="D1849" s="113">
        <v>10348098</v>
      </c>
      <c r="E1849" s="115">
        <v>43929</v>
      </c>
      <c r="F1849" s="114">
        <v>202101</v>
      </c>
      <c r="G1849" s="112" t="s">
        <v>1091</v>
      </c>
      <c r="H1849" s="112" t="s">
        <v>1015</v>
      </c>
      <c r="I1849" s="112" t="s">
        <v>749</v>
      </c>
      <c r="J1849" s="112" t="s">
        <v>4645</v>
      </c>
      <c r="K1849" s="112" t="s">
        <v>4674</v>
      </c>
      <c r="L1849" s="116">
        <v>90.95</v>
      </c>
      <c r="M1849" s="116">
        <f t="shared" si="28"/>
        <v>9.0950000000000003E-2</v>
      </c>
    </row>
    <row r="1850" spans="1:13" hidden="1" x14ac:dyDescent="0.35">
      <c r="A1850" s="112" t="s">
        <v>4632</v>
      </c>
      <c r="B1850" s="112" t="s">
        <v>4644</v>
      </c>
      <c r="C1850" s="112" t="s">
        <v>695</v>
      </c>
      <c r="D1850" s="113">
        <v>10348085</v>
      </c>
      <c r="E1850" s="115">
        <v>43923</v>
      </c>
      <c r="F1850" s="114">
        <v>202101</v>
      </c>
      <c r="G1850" s="112" t="s">
        <v>1091</v>
      </c>
      <c r="H1850" s="112" t="s">
        <v>1015</v>
      </c>
      <c r="I1850" s="112" t="s">
        <v>757</v>
      </c>
      <c r="J1850" s="112" t="s">
        <v>4645</v>
      </c>
      <c r="K1850" s="112" t="s">
        <v>4662</v>
      </c>
      <c r="L1850" s="116">
        <v>-37.11</v>
      </c>
      <c r="M1850" s="116">
        <f t="shared" si="28"/>
        <v>-3.7109999999999997E-2</v>
      </c>
    </row>
    <row r="1851" spans="1:13" hidden="1" x14ac:dyDescent="0.35">
      <c r="A1851" s="112" t="s">
        <v>4632</v>
      </c>
      <c r="B1851" s="112" t="s">
        <v>4644</v>
      </c>
      <c r="C1851" s="112" t="s">
        <v>695</v>
      </c>
      <c r="D1851" s="113">
        <v>10348098</v>
      </c>
      <c r="E1851" s="115">
        <v>43929</v>
      </c>
      <c r="F1851" s="114">
        <v>202101</v>
      </c>
      <c r="G1851" s="112" t="s">
        <v>1091</v>
      </c>
      <c r="H1851" s="112" t="s">
        <v>1015</v>
      </c>
      <c r="I1851" s="112" t="s">
        <v>749</v>
      </c>
      <c r="J1851" s="112" t="s">
        <v>4645</v>
      </c>
      <c r="K1851" s="112" t="s">
        <v>4675</v>
      </c>
      <c r="L1851" s="116">
        <v>233.99</v>
      </c>
      <c r="M1851" s="116">
        <f t="shared" si="28"/>
        <v>0.23399</v>
      </c>
    </row>
    <row r="1852" spans="1:13" hidden="1" x14ac:dyDescent="0.35">
      <c r="A1852" s="112" t="s">
        <v>4632</v>
      </c>
      <c r="B1852" s="112" t="s">
        <v>4644</v>
      </c>
      <c r="C1852" s="112" t="s">
        <v>695</v>
      </c>
      <c r="D1852" s="113">
        <v>10348098</v>
      </c>
      <c r="E1852" s="115">
        <v>43929</v>
      </c>
      <c r="F1852" s="114">
        <v>202101</v>
      </c>
      <c r="G1852" s="112" t="s">
        <v>1091</v>
      </c>
      <c r="H1852" s="112" t="s">
        <v>1015</v>
      </c>
      <c r="I1852" s="112" t="s">
        <v>749</v>
      </c>
      <c r="J1852" s="112" t="s">
        <v>4645</v>
      </c>
      <c r="K1852" s="112" t="s">
        <v>4676</v>
      </c>
      <c r="L1852" s="116">
        <v>62.03</v>
      </c>
      <c r="M1852" s="116">
        <f t="shared" si="28"/>
        <v>6.2030000000000002E-2</v>
      </c>
    </row>
    <row r="1853" spans="1:13" hidden="1" x14ac:dyDescent="0.35">
      <c r="A1853" s="112" t="s">
        <v>4632</v>
      </c>
      <c r="B1853" s="112" t="s">
        <v>4644</v>
      </c>
      <c r="C1853" s="112" t="s">
        <v>695</v>
      </c>
      <c r="D1853" s="113">
        <v>10348085</v>
      </c>
      <c r="E1853" s="115">
        <v>43923</v>
      </c>
      <c r="F1853" s="114">
        <v>202101</v>
      </c>
      <c r="G1853" s="112" t="s">
        <v>1091</v>
      </c>
      <c r="H1853" s="112" t="s">
        <v>1015</v>
      </c>
      <c r="I1853" s="112" t="s">
        <v>757</v>
      </c>
      <c r="J1853" s="112" t="s">
        <v>4645</v>
      </c>
      <c r="K1853" s="112" t="s">
        <v>4662</v>
      </c>
      <c r="L1853" s="116">
        <v>-1785.25</v>
      </c>
      <c r="M1853" s="116">
        <f t="shared" si="28"/>
        <v>-1.78525</v>
      </c>
    </row>
    <row r="1854" spans="1:13" hidden="1" x14ac:dyDescent="0.35">
      <c r="A1854" s="112" t="s">
        <v>4632</v>
      </c>
      <c r="B1854" s="112" t="s">
        <v>4644</v>
      </c>
      <c r="C1854" s="112" t="s">
        <v>695</v>
      </c>
      <c r="D1854" s="113">
        <v>10348085</v>
      </c>
      <c r="E1854" s="115">
        <v>43923</v>
      </c>
      <c r="F1854" s="114">
        <v>202101</v>
      </c>
      <c r="G1854" s="112" t="s">
        <v>1091</v>
      </c>
      <c r="H1854" s="112" t="s">
        <v>1015</v>
      </c>
      <c r="I1854" s="112" t="s">
        <v>757</v>
      </c>
      <c r="J1854" s="112" t="s">
        <v>4645</v>
      </c>
      <c r="K1854" s="112" t="s">
        <v>4662</v>
      </c>
      <c r="L1854" s="116">
        <v>-206.91</v>
      </c>
      <c r="M1854" s="116">
        <f t="shared" si="28"/>
        <v>-0.20690999999999998</v>
      </c>
    </row>
    <row r="1855" spans="1:13" hidden="1" x14ac:dyDescent="0.35">
      <c r="A1855" s="112" t="s">
        <v>4632</v>
      </c>
      <c r="B1855" s="112" t="s">
        <v>863</v>
      </c>
      <c r="C1855" s="112" t="s">
        <v>695</v>
      </c>
      <c r="D1855" s="113">
        <v>10348098</v>
      </c>
      <c r="E1855" s="115">
        <v>43929</v>
      </c>
      <c r="F1855" s="114">
        <v>202101</v>
      </c>
      <c r="G1855" s="112" t="s">
        <v>1091</v>
      </c>
      <c r="H1855" s="112" t="s">
        <v>1015</v>
      </c>
      <c r="I1855" s="112" t="s">
        <v>749</v>
      </c>
      <c r="J1855" s="112" t="s">
        <v>852</v>
      </c>
      <c r="K1855" s="112" t="s">
        <v>4677</v>
      </c>
      <c r="L1855" s="116">
        <v>1083.52</v>
      </c>
      <c r="M1855" s="116">
        <f t="shared" si="28"/>
        <v>1.08352</v>
      </c>
    </row>
    <row r="1856" spans="1:13" hidden="1" x14ac:dyDescent="0.35">
      <c r="A1856" s="112" t="s">
        <v>4632</v>
      </c>
      <c r="B1856" s="112" t="s">
        <v>863</v>
      </c>
      <c r="C1856" s="112" t="s">
        <v>695</v>
      </c>
      <c r="D1856" s="113">
        <v>10348098</v>
      </c>
      <c r="E1856" s="115">
        <v>43929</v>
      </c>
      <c r="F1856" s="114">
        <v>202101</v>
      </c>
      <c r="G1856" s="112" t="s">
        <v>1091</v>
      </c>
      <c r="H1856" s="112" t="s">
        <v>1015</v>
      </c>
      <c r="I1856" s="112" t="s">
        <v>749</v>
      </c>
      <c r="J1856" s="112" t="s">
        <v>821</v>
      </c>
      <c r="K1856" s="112" t="s">
        <v>4678</v>
      </c>
      <c r="L1856" s="116">
        <v>2175.81</v>
      </c>
      <c r="M1856" s="116">
        <f t="shared" si="28"/>
        <v>2.1758099999999998</v>
      </c>
    </row>
    <row r="1857" spans="1:13" hidden="1" x14ac:dyDescent="0.35">
      <c r="A1857" s="112" t="s">
        <v>4632</v>
      </c>
      <c r="B1857" s="112" t="s">
        <v>4644</v>
      </c>
      <c r="C1857" s="112" t="s">
        <v>695</v>
      </c>
      <c r="D1857" s="113">
        <v>10348098</v>
      </c>
      <c r="E1857" s="115">
        <v>43929</v>
      </c>
      <c r="F1857" s="114">
        <v>202101</v>
      </c>
      <c r="G1857" s="112" t="s">
        <v>1091</v>
      </c>
      <c r="H1857" s="112" t="s">
        <v>1015</v>
      </c>
      <c r="I1857" s="112" t="s">
        <v>751</v>
      </c>
      <c r="J1857" s="112" t="s">
        <v>4645</v>
      </c>
      <c r="K1857" s="112" t="s">
        <v>4679</v>
      </c>
      <c r="L1857" s="116">
        <v>463.44</v>
      </c>
      <c r="M1857" s="116">
        <f t="shared" si="28"/>
        <v>0.46344000000000002</v>
      </c>
    </row>
    <row r="1858" spans="1:13" hidden="1" x14ac:dyDescent="0.35">
      <c r="A1858" s="112" t="s">
        <v>4632</v>
      </c>
      <c r="B1858" s="112" t="s">
        <v>863</v>
      </c>
      <c r="C1858" s="112" t="s">
        <v>695</v>
      </c>
      <c r="D1858" s="113">
        <v>10348098</v>
      </c>
      <c r="E1858" s="115">
        <v>43929</v>
      </c>
      <c r="F1858" s="114">
        <v>202101</v>
      </c>
      <c r="G1858" s="112" t="s">
        <v>1091</v>
      </c>
      <c r="H1858" s="112" t="s">
        <v>1015</v>
      </c>
      <c r="I1858" s="112" t="s">
        <v>749</v>
      </c>
      <c r="J1858" s="112" t="s">
        <v>821</v>
      </c>
      <c r="K1858" s="112" t="s">
        <v>4680</v>
      </c>
      <c r="L1858" s="116">
        <v>2293.4899999999998</v>
      </c>
      <c r="M1858" s="116">
        <f t="shared" si="28"/>
        <v>2.2934899999999998</v>
      </c>
    </row>
    <row r="1859" spans="1:13" hidden="1" x14ac:dyDescent="0.35">
      <c r="A1859" s="112" t="s">
        <v>4632</v>
      </c>
      <c r="B1859" s="112" t="s">
        <v>4644</v>
      </c>
      <c r="C1859" s="112" t="s">
        <v>695</v>
      </c>
      <c r="D1859" s="113">
        <v>10348098</v>
      </c>
      <c r="E1859" s="115">
        <v>43929</v>
      </c>
      <c r="F1859" s="114">
        <v>202101</v>
      </c>
      <c r="G1859" s="112" t="s">
        <v>1091</v>
      </c>
      <c r="H1859" s="112" t="s">
        <v>1015</v>
      </c>
      <c r="I1859" s="112" t="s">
        <v>757</v>
      </c>
      <c r="J1859" s="112" t="s">
        <v>4645</v>
      </c>
      <c r="K1859" s="112" t="s">
        <v>4681</v>
      </c>
      <c r="L1859" s="116">
        <v>-808.7</v>
      </c>
      <c r="M1859" s="116">
        <f t="shared" ref="M1859:M1922" si="29">L1859/1000</f>
        <v>-0.80870000000000009</v>
      </c>
    </row>
    <row r="1860" spans="1:13" hidden="1" x14ac:dyDescent="0.35">
      <c r="A1860" s="112" t="s">
        <v>4632</v>
      </c>
      <c r="B1860" s="112" t="s">
        <v>4650</v>
      </c>
      <c r="C1860" s="112" t="s">
        <v>695</v>
      </c>
      <c r="D1860" s="113">
        <v>10348085</v>
      </c>
      <c r="E1860" s="115">
        <v>43923</v>
      </c>
      <c r="F1860" s="114">
        <v>202101</v>
      </c>
      <c r="G1860" s="112" t="s">
        <v>1091</v>
      </c>
      <c r="H1860" s="112" t="s">
        <v>1015</v>
      </c>
      <c r="I1860" s="112" t="s">
        <v>749</v>
      </c>
      <c r="J1860" s="112" t="s">
        <v>4651</v>
      </c>
      <c r="K1860" s="112" t="s">
        <v>4662</v>
      </c>
      <c r="L1860" s="116">
        <v>-508.84</v>
      </c>
      <c r="M1860" s="116">
        <f t="shared" si="29"/>
        <v>-0.50883999999999996</v>
      </c>
    </row>
    <row r="1861" spans="1:13" hidden="1" x14ac:dyDescent="0.35">
      <c r="A1861" s="112" t="s">
        <v>4632</v>
      </c>
      <c r="B1861" s="112" t="s">
        <v>4644</v>
      </c>
      <c r="C1861" s="112" t="s">
        <v>695</v>
      </c>
      <c r="D1861" s="113">
        <v>10348098</v>
      </c>
      <c r="E1861" s="115">
        <v>43929</v>
      </c>
      <c r="F1861" s="114">
        <v>202101</v>
      </c>
      <c r="G1861" s="112" t="s">
        <v>1091</v>
      </c>
      <c r="H1861" s="112" t="s">
        <v>1015</v>
      </c>
      <c r="I1861" s="112" t="s">
        <v>757</v>
      </c>
      <c r="J1861" s="112" t="s">
        <v>4645</v>
      </c>
      <c r="K1861" s="112" t="s">
        <v>4682</v>
      </c>
      <c r="L1861" s="116">
        <v>66.81</v>
      </c>
      <c r="M1861" s="116">
        <f t="shared" si="29"/>
        <v>6.6810000000000008E-2</v>
      </c>
    </row>
    <row r="1862" spans="1:13" hidden="1" x14ac:dyDescent="0.35">
      <c r="A1862" s="112" t="s">
        <v>4632</v>
      </c>
      <c r="B1862" s="112" t="s">
        <v>4650</v>
      </c>
      <c r="C1862" s="112" t="s">
        <v>695</v>
      </c>
      <c r="D1862" s="113">
        <v>10348098</v>
      </c>
      <c r="E1862" s="115">
        <v>43929</v>
      </c>
      <c r="F1862" s="114">
        <v>202101</v>
      </c>
      <c r="G1862" s="112" t="s">
        <v>1091</v>
      </c>
      <c r="H1862" s="112" t="s">
        <v>1015</v>
      </c>
      <c r="I1862" s="112" t="s">
        <v>749</v>
      </c>
      <c r="J1862" s="112" t="s">
        <v>4651</v>
      </c>
      <c r="K1862" s="112" t="s">
        <v>4683</v>
      </c>
      <c r="L1862" s="116">
        <v>49.46</v>
      </c>
      <c r="M1862" s="116">
        <f t="shared" si="29"/>
        <v>4.9460000000000004E-2</v>
      </c>
    </row>
    <row r="1863" spans="1:13" hidden="1" x14ac:dyDescent="0.35">
      <c r="A1863" s="112" t="s">
        <v>4632</v>
      </c>
      <c r="B1863" s="112" t="s">
        <v>4644</v>
      </c>
      <c r="C1863" s="112" t="s">
        <v>695</v>
      </c>
      <c r="D1863" s="113">
        <v>10348085</v>
      </c>
      <c r="E1863" s="115">
        <v>43923</v>
      </c>
      <c r="F1863" s="114">
        <v>202101</v>
      </c>
      <c r="G1863" s="112" t="s">
        <v>1091</v>
      </c>
      <c r="H1863" s="112" t="s">
        <v>1015</v>
      </c>
      <c r="I1863" s="112" t="s">
        <v>749</v>
      </c>
      <c r="J1863" s="112" t="s">
        <v>4645</v>
      </c>
      <c r="K1863" s="112" t="s">
        <v>4662</v>
      </c>
      <c r="L1863" s="116">
        <v>26004.02</v>
      </c>
      <c r="M1863" s="116">
        <f t="shared" si="29"/>
        <v>26.004020000000001</v>
      </c>
    </row>
    <row r="1864" spans="1:13" hidden="1" x14ac:dyDescent="0.35">
      <c r="A1864" s="112" t="s">
        <v>4632</v>
      </c>
      <c r="B1864" s="112" t="s">
        <v>4644</v>
      </c>
      <c r="C1864" s="112" t="s">
        <v>695</v>
      </c>
      <c r="D1864" s="113">
        <v>10348098</v>
      </c>
      <c r="E1864" s="115">
        <v>43929</v>
      </c>
      <c r="F1864" s="114">
        <v>202101</v>
      </c>
      <c r="G1864" s="112" t="s">
        <v>1091</v>
      </c>
      <c r="H1864" s="112" t="s">
        <v>1015</v>
      </c>
      <c r="I1864" s="112" t="s">
        <v>749</v>
      </c>
      <c r="J1864" s="112" t="s">
        <v>4645</v>
      </c>
      <c r="K1864" s="112" t="s">
        <v>4684</v>
      </c>
      <c r="L1864" s="116">
        <v>332.36</v>
      </c>
      <c r="M1864" s="116">
        <f t="shared" si="29"/>
        <v>0.33235999999999999</v>
      </c>
    </row>
    <row r="1865" spans="1:13" hidden="1" x14ac:dyDescent="0.35">
      <c r="A1865" s="112" t="s">
        <v>4632</v>
      </c>
      <c r="B1865" s="112" t="s">
        <v>4644</v>
      </c>
      <c r="C1865" s="112" t="s">
        <v>695</v>
      </c>
      <c r="D1865" s="113">
        <v>10348085</v>
      </c>
      <c r="E1865" s="115">
        <v>43923</v>
      </c>
      <c r="F1865" s="114">
        <v>202101</v>
      </c>
      <c r="G1865" s="112" t="s">
        <v>1091</v>
      </c>
      <c r="H1865" s="112" t="s">
        <v>1015</v>
      </c>
      <c r="I1865" s="112" t="s">
        <v>749</v>
      </c>
      <c r="J1865" s="112" t="s">
        <v>4645</v>
      </c>
      <c r="K1865" s="112" t="s">
        <v>4662</v>
      </c>
      <c r="L1865" s="116">
        <v>2347.7600000000002</v>
      </c>
      <c r="M1865" s="116">
        <f t="shared" si="29"/>
        <v>2.3477600000000001</v>
      </c>
    </row>
    <row r="1866" spans="1:13" hidden="1" x14ac:dyDescent="0.35">
      <c r="A1866" s="112" t="s">
        <v>4632</v>
      </c>
      <c r="B1866" s="112" t="s">
        <v>4644</v>
      </c>
      <c r="C1866" s="112" t="s">
        <v>695</v>
      </c>
      <c r="D1866" s="113">
        <v>10348085</v>
      </c>
      <c r="E1866" s="115">
        <v>43923</v>
      </c>
      <c r="F1866" s="114">
        <v>202101</v>
      </c>
      <c r="G1866" s="112" t="s">
        <v>1091</v>
      </c>
      <c r="H1866" s="112" t="s">
        <v>1015</v>
      </c>
      <c r="I1866" s="112" t="s">
        <v>749</v>
      </c>
      <c r="J1866" s="112" t="s">
        <v>4645</v>
      </c>
      <c r="K1866" s="112" t="s">
        <v>4662</v>
      </c>
      <c r="L1866" s="116">
        <v>-1563.67</v>
      </c>
      <c r="M1866" s="116">
        <f t="shared" si="29"/>
        <v>-1.5636700000000001</v>
      </c>
    </row>
    <row r="1867" spans="1:13" hidden="1" x14ac:dyDescent="0.35">
      <c r="A1867" s="112" t="s">
        <v>4632</v>
      </c>
      <c r="B1867" s="112" t="s">
        <v>4650</v>
      </c>
      <c r="C1867" s="112" t="s">
        <v>695</v>
      </c>
      <c r="D1867" s="113">
        <v>10348085</v>
      </c>
      <c r="E1867" s="115">
        <v>43923</v>
      </c>
      <c r="F1867" s="114">
        <v>202101</v>
      </c>
      <c r="G1867" s="112" t="s">
        <v>1091</v>
      </c>
      <c r="H1867" s="112" t="s">
        <v>1015</v>
      </c>
      <c r="I1867" s="112" t="s">
        <v>749</v>
      </c>
      <c r="J1867" s="112" t="s">
        <v>4651</v>
      </c>
      <c r="K1867" s="112" t="s">
        <v>4662</v>
      </c>
      <c r="L1867" s="116">
        <v>554.55999999999995</v>
      </c>
      <c r="M1867" s="116">
        <f t="shared" si="29"/>
        <v>0.55455999999999994</v>
      </c>
    </row>
    <row r="1868" spans="1:13" hidden="1" x14ac:dyDescent="0.35">
      <c r="A1868" s="112" t="s">
        <v>4632</v>
      </c>
      <c r="B1868" s="112" t="s">
        <v>4639</v>
      </c>
      <c r="C1868" s="112" t="s">
        <v>695</v>
      </c>
      <c r="D1868" s="113">
        <v>10348085</v>
      </c>
      <c r="E1868" s="115">
        <v>43923</v>
      </c>
      <c r="F1868" s="114">
        <v>202101</v>
      </c>
      <c r="G1868" s="112" t="s">
        <v>1091</v>
      </c>
      <c r="H1868" s="112" t="s">
        <v>1015</v>
      </c>
      <c r="I1868" s="112" t="s">
        <v>751</v>
      </c>
      <c r="J1868" s="112" t="s">
        <v>4640</v>
      </c>
      <c r="K1868" s="112" t="s">
        <v>4662</v>
      </c>
      <c r="L1868" s="116">
        <v>1323.69</v>
      </c>
      <c r="M1868" s="116">
        <f t="shared" si="29"/>
        <v>1.32369</v>
      </c>
    </row>
    <row r="1869" spans="1:13" hidden="1" x14ac:dyDescent="0.35">
      <c r="A1869" s="112" t="s">
        <v>4632</v>
      </c>
      <c r="B1869" s="112" t="s">
        <v>4650</v>
      </c>
      <c r="C1869" s="112" t="s">
        <v>695</v>
      </c>
      <c r="D1869" s="113">
        <v>10348098</v>
      </c>
      <c r="E1869" s="115">
        <v>43929</v>
      </c>
      <c r="F1869" s="114">
        <v>202101</v>
      </c>
      <c r="G1869" s="112" t="s">
        <v>1091</v>
      </c>
      <c r="H1869" s="112" t="s">
        <v>1015</v>
      </c>
      <c r="I1869" s="112" t="s">
        <v>757</v>
      </c>
      <c r="J1869" s="112" t="s">
        <v>4651</v>
      </c>
      <c r="K1869" s="112" t="s">
        <v>4685</v>
      </c>
      <c r="L1869" s="116">
        <v>124.52</v>
      </c>
      <c r="M1869" s="116">
        <f t="shared" si="29"/>
        <v>0.12451999999999999</v>
      </c>
    </row>
    <row r="1870" spans="1:13" hidden="1" x14ac:dyDescent="0.35">
      <c r="A1870" s="112" t="s">
        <v>4632</v>
      </c>
      <c r="B1870" s="112" t="s">
        <v>863</v>
      </c>
      <c r="C1870" s="112" t="s">
        <v>695</v>
      </c>
      <c r="D1870" s="113">
        <v>10348098</v>
      </c>
      <c r="E1870" s="115">
        <v>43929</v>
      </c>
      <c r="F1870" s="114">
        <v>202101</v>
      </c>
      <c r="G1870" s="112" t="s">
        <v>1091</v>
      </c>
      <c r="H1870" s="112" t="s">
        <v>1015</v>
      </c>
      <c r="I1870" s="112" t="s">
        <v>751</v>
      </c>
      <c r="J1870" s="112" t="s">
        <v>787</v>
      </c>
      <c r="K1870" s="112" t="s">
        <v>4686</v>
      </c>
      <c r="L1870" s="116">
        <v>292.85000000000002</v>
      </c>
      <c r="M1870" s="116">
        <f t="shared" si="29"/>
        <v>0.29285</v>
      </c>
    </row>
    <row r="1871" spans="1:13" hidden="1" x14ac:dyDescent="0.35">
      <c r="A1871" s="112" t="s">
        <v>4632</v>
      </c>
      <c r="B1871" s="112" t="s">
        <v>4644</v>
      </c>
      <c r="C1871" s="112" t="s">
        <v>695</v>
      </c>
      <c r="D1871" s="113">
        <v>10348085</v>
      </c>
      <c r="E1871" s="115">
        <v>43923</v>
      </c>
      <c r="F1871" s="114">
        <v>202101</v>
      </c>
      <c r="G1871" s="112" t="s">
        <v>1091</v>
      </c>
      <c r="H1871" s="112" t="s">
        <v>1015</v>
      </c>
      <c r="I1871" s="112" t="s">
        <v>749</v>
      </c>
      <c r="J1871" s="112" t="s">
        <v>4645</v>
      </c>
      <c r="K1871" s="112" t="s">
        <v>4662</v>
      </c>
      <c r="L1871" s="116">
        <v>-40.159999999999997</v>
      </c>
      <c r="M1871" s="116">
        <f t="shared" si="29"/>
        <v>-4.0159999999999994E-2</v>
      </c>
    </row>
    <row r="1872" spans="1:13" hidden="1" x14ac:dyDescent="0.35">
      <c r="A1872" s="112" t="s">
        <v>4632</v>
      </c>
      <c r="B1872" s="112" t="s">
        <v>4650</v>
      </c>
      <c r="C1872" s="112" t="s">
        <v>695</v>
      </c>
      <c r="D1872" s="113">
        <v>10348085</v>
      </c>
      <c r="E1872" s="115">
        <v>43923</v>
      </c>
      <c r="F1872" s="114">
        <v>202101</v>
      </c>
      <c r="G1872" s="112" t="s">
        <v>1091</v>
      </c>
      <c r="H1872" s="112" t="s">
        <v>1015</v>
      </c>
      <c r="I1872" s="112" t="s">
        <v>757</v>
      </c>
      <c r="J1872" s="112" t="s">
        <v>4651</v>
      </c>
      <c r="K1872" s="112" t="s">
        <v>4662</v>
      </c>
      <c r="L1872" s="116">
        <v>-266.64</v>
      </c>
      <c r="M1872" s="116">
        <f t="shared" si="29"/>
        <v>-0.26663999999999999</v>
      </c>
    </row>
    <row r="1873" spans="1:13" hidden="1" x14ac:dyDescent="0.35">
      <c r="A1873" s="112" t="s">
        <v>4632</v>
      </c>
      <c r="B1873" s="112" t="s">
        <v>4644</v>
      </c>
      <c r="C1873" s="112" t="s">
        <v>695</v>
      </c>
      <c r="D1873" s="113">
        <v>10348085</v>
      </c>
      <c r="E1873" s="115">
        <v>43923</v>
      </c>
      <c r="F1873" s="114">
        <v>202101</v>
      </c>
      <c r="G1873" s="112" t="s">
        <v>1091</v>
      </c>
      <c r="H1873" s="112" t="s">
        <v>1015</v>
      </c>
      <c r="I1873" s="112" t="s">
        <v>749</v>
      </c>
      <c r="J1873" s="112" t="s">
        <v>4645</v>
      </c>
      <c r="K1873" s="112" t="s">
        <v>4662</v>
      </c>
      <c r="L1873" s="116">
        <v>-345.86</v>
      </c>
      <c r="M1873" s="116">
        <f t="shared" si="29"/>
        <v>-0.34586</v>
      </c>
    </row>
    <row r="1874" spans="1:13" hidden="1" x14ac:dyDescent="0.35">
      <c r="A1874" s="112" t="s">
        <v>4632</v>
      </c>
      <c r="B1874" s="112" t="s">
        <v>4650</v>
      </c>
      <c r="C1874" s="112" t="s">
        <v>695</v>
      </c>
      <c r="D1874" s="113">
        <v>10348085</v>
      </c>
      <c r="E1874" s="115">
        <v>43923</v>
      </c>
      <c r="F1874" s="114">
        <v>202101</v>
      </c>
      <c r="G1874" s="112" t="s">
        <v>1091</v>
      </c>
      <c r="H1874" s="112" t="s">
        <v>1015</v>
      </c>
      <c r="I1874" s="112" t="s">
        <v>749</v>
      </c>
      <c r="J1874" s="112" t="s">
        <v>4651</v>
      </c>
      <c r="K1874" s="112" t="s">
        <v>4662</v>
      </c>
      <c r="L1874" s="116">
        <v>-554.55999999999995</v>
      </c>
      <c r="M1874" s="116">
        <f t="shared" si="29"/>
        <v>-0.55455999999999994</v>
      </c>
    </row>
    <row r="1875" spans="1:13" hidden="1" x14ac:dyDescent="0.35">
      <c r="A1875" s="112" t="s">
        <v>4632</v>
      </c>
      <c r="B1875" s="112" t="s">
        <v>4639</v>
      </c>
      <c r="C1875" s="112" t="s">
        <v>695</v>
      </c>
      <c r="D1875" s="113">
        <v>10348085</v>
      </c>
      <c r="E1875" s="115">
        <v>43923</v>
      </c>
      <c r="F1875" s="114">
        <v>202101</v>
      </c>
      <c r="G1875" s="112" t="s">
        <v>1091</v>
      </c>
      <c r="H1875" s="112" t="s">
        <v>1015</v>
      </c>
      <c r="I1875" s="112" t="s">
        <v>757</v>
      </c>
      <c r="J1875" s="112" t="s">
        <v>4640</v>
      </c>
      <c r="K1875" s="112" t="s">
        <v>4662</v>
      </c>
      <c r="L1875" s="116">
        <v>-370.74</v>
      </c>
      <c r="M1875" s="116">
        <f t="shared" si="29"/>
        <v>-0.37074000000000001</v>
      </c>
    </row>
    <row r="1876" spans="1:13" hidden="1" x14ac:dyDescent="0.35">
      <c r="A1876" s="112" t="s">
        <v>4632</v>
      </c>
      <c r="B1876" s="112" t="s">
        <v>4639</v>
      </c>
      <c r="C1876" s="112" t="s">
        <v>695</v>
      </c>
      <c r="D1876" s="113">
        <v>10348085</v>
      </c>
      <c r="E1876" s="115">
        <v>43923</v>
      </c>
      <c r="F1876" s="114">
        <v>202101</v>
      </c>
      <c r="G1876" s="112" t="s">
        <v>1091</v>
      </c>
      <c r="H1876" s="112" t="s">
        <v>1015</v>
      </c>
      <c r="I1876" s="112" t="s">
        <v>751</v>
      </c>
      <c r="J1876" s="112" t="s">
        <v>4640</v>
      </c>
      <c r="K1876" s="112" t="s">
        <v>4662</v>
      </c>
      <c r="L1876" s="116">
        <v>-91.16</v>
      </c>
      <c r="M1876" s="116">
        <f t="shared" si="29"/>
        <v>-9.1159999999999991E-2</v>
      </c>
    </row>
    <row r="1877" spans="1:13" hidden="1" x14ac:dyDescent="0.35">
      <c r="A1877" s="112" t="s">
        <v>4632</v>
      </c>
      <c r="B1877" s="112" t="s">
        <v>4650</v>
      </c>
      <c r="C1877" s="112" t="s">
        <v>695</v>
      </c>
      <c r="D1877" s="113">
        <v>10348098</v>
      </c>
      <c r="E1877" s="115">
        <v>43929</v>
      </c>
      <c r="F1877" s="114">
        <v>202101</v>
      </c>
      <c r="G1877" s="112" t="s">
        <v>1091</v>
      </c>
      <c r="H1877" s="112" t="s">
        <v>1015</v>
      </c>
      <c r="I1877" s="112" t="s">
        <v>757</v>
      </c>
      <c r="J1877" s="112" t="s">
        <v>4651</v>
      </c>
      <c r="K1877" s="112" t="s">
        <v>4698</v>
      </c>
      <c r="L1877" s="116">
        <v>64.42</v>
      </c>
      <c r="M1877" s="116">
        <f t="shared" si="29"/>
        <v>6.4420000000000005E-2</v>
      </c>
    </row>
    <row r="1878" spans="1:13" hidden="1" x14ac:dyDescent="0.35">
      <c r="A1878" s="112" t="s">
        <v>4632</v>
      </c>
      <c r="B1878" s="112" t="s">
        <v>4701</v>
      </c>
      <c r="C1878" s="112" t="s">
        <v>695</v>
      </c>
      <c r="D1878" s="113">
        <v>10348063</v>
      </c>
      <c r="E1878" s="115">
        <v>43929</v>
      </c>
      <c r="F1878" s="114">
        <v>202101</v>
      </c>
      <c r="G1878" s="112" t="s">
        <v>1091</v>
      </c>
      <c r="H1878" s="112" t="s">
        <v>1016</v>
      </c>
      <c r="I1878" s="112" t="s">
        <v>779</v>
      </c>
      <c r="J1878" s="112" t="s">
        <v>4702</v>
      </c>
      <c r="K1878" s="112" t="s">
        <v>4703</v>
      </c>
      <c r="L1878" s="116">
        <v>8262.67</v>
      </c>
      <c r="M1878" s="116">
        <f t="shared" si="29"/>
        <v>8.26267</v>
      </c>
    </row>
    <row r="1879" spans="1:13" hidden="1" x14ac:dyDescent="0.35">
      <c r="A1879" s="112" t="s">
        <v>4632</v>
      </c>
      <c r="B1879" s="112" t="s">
        <v>4644</v>
      </c>
      <c r="C1879" s="112" t="s">
        <v>695</v>
      </c>
      <c r="D1879" s="113">
        <v>10348098</v>
      </c>
      <c r="E1879" s="115">
        <v>43929</v>
      </c>
      <c r="F1879" s="114">
        <v>202101</v>
      </c>
      <c r="G1879" s="112" t="s">
        <v>1091</v>
      </c>
      <c r="H1879" s="112" t="s">
        <v>1015</v>
      </c>
      <c r="I1879" s="112" t="s">
        <v>757</v>
      </c>
      <c r="J1879" s="112" t="s">
        <v>4645</v>
      </c>
      <c r="K1879" s="112" t="s">
        <v>4708</v>
      </c>
      <c r="L1879" s="116">
        <v>231.53</v>
      </c>
      <c r="M1879" s="116">
        <f t="shared" si="29"/>
        <v>0.23153000000000001</v>
      </c>
    </row>
    <row r="1880" spans="1:13" hidden="1" x14ac:dyDescent="0.35">
      <c r="A1880" s="112" t="s">
        <v>4632</v>
      </c>
      <c r="B1880" s="112" t="s">
        <v>863</v>
      </c>
      <c r="C1880" s="112" t="s">
        <v>695</v>
      </c>
      <c r="D1880" s="113">
        <v>10348098</v>
      </c>
      <c r="E1880" s="115">
        <v>43929</v>
      </c>
      <c r="F1880" s="114">
        <v>202101</v>
      </c>
      <c r="G1880" s="112" t="s">
        <v>1091</v>
      </c>
      <c r="H1880" s="112" t="s">
        <v>1015</v>
      </c>
      <c r="I1880" s="112" t="s">
        <v>749</v>
      </c>
      <c r="J1880" s="112" t="s">
        <v>787</v>
      </c>
      <c r="K1880" s="112" t="s">
        <v>4709</v>
      </c>
      <c r="L1880" s="116">
        <v>1563.67</v>
      </c>
      <c r="M1880" s="116">
        <f t="shared" si="29"/>
        <v>1.5636700000000001</v>
      </c>
    </row>
    <row r="1881" spans="1:13" hidden="1" x14ac:dyDescent="0.35">
      <c r="A1881" s="112" t="s">
        <v>4632</v>
      </c>
      <c r="B1881" s="112" t="s">
        <v>863</v>
      </c>
      <c r="C1881" s="112" t="s">
        <v>695</v>
      </c>
      <c r="D1881" s="113">
        <v>10348098</v>
      </c>
      <c r="E1881" s="115">
        <v>43929</v>
      </c>
      <c r="F1881" s="114">
        <v>202101</v>
      </c>
      <c r="G1881" s="112" t="s">
        <v>1091</v>
      </c>
      <c r="H1881" s="112" t="s">
        <v>1015</v>
      </c>
      <c r="I1881" s="112" t="s">
        <v>749</v>
      </c>
      <c r="J1881" s="112" t="s">
        <v>787</v>
      </c>
      <c r="K1881" s="112" t="s">
        <v>4710</v>
      </c>
      <c r="L1881" s="116">
        <v>93.41</v>
      </c>
      <c r="M1881" s="116">
        <f t="shared" si="29"/>
        <v>9.3409999999999993E-2</v>
      </c>
    </row>
    <row r="1882" spans="1:13" hidden="1" x14ac:dyDescent="0.35">
      <c r="A1882" s="112" t="s">
        <v>4632</v>
      </c>
      <c r="B1882" s="112" t="s">
        <v>4644</v>
      </c>
      <c r="C1882" s="112" t="s">
        <v>695</v>
      </c>
      <c r="D1882" s="113">
        <v>10348098</v>
      </c>
      <c r="E1882" s="115">
        <v>43929</v>
      </c>
      <c r="F1882" s="114">
        <v>202101</v>
      </c>
      <c r="G1882" s="112" t="s">
        <v>1091</v>
      </c>
      <c r="H1882" s="112" t="s">
        <v>1015</v>
      </c>
      <c r="I1882" s="112" t="s">
        <v>749</v>
      </c>
      <c r="J1882" s="112" t="s">
        <v>4645</v>
      </c>
      <c r="K1882" s="112" t="s">
        <v>4711</v>
      </c>
      <c r="L1882" s="116">
        <v>113.13</v>
      </c>
      <c r="M1882" s="116">
        <f t="shared" si="29"/>
        <v>0.11312999999999999</v>
      </c>
    </row>
    <row r="1883" spans="1:13" hidden="1" x14ac:dyDescent="0.35">
      <c r="A1883" s="112" t="s">
        <v>4632</v>
      </c>
      <c r="B1883" s="112" t="s">
        <v>4644</v>
      </c>
      <c r="C1883" s="112" t="s">
        <v>695</v>
      </c>
      <c r="D1883" s="113">
        <v>10348098</v>
      </c>
      <c r="E1883" s="115">
        <v>43929</v>
      </c>
      <c r="F1883" s="114">
        <v>202101</v>
      </c>
      <c r="G1883" s="112" t="s">
        <v>1091</v>
      </c>
      <c r="H1883" s="112" t="s">
        <v>1015</v>
      </c>
      <c r="I1883" s="112" t="s">
        <v>749</v>
      </c>
      <c r="J1883" s="112" t="s">
        <v>4645</v>
      </c>
      <c r="K1883" s="112" t="s">
        <v>4712</v>
      </c>
      <c r="L1883" s="116">
        <v>82.17</v>
      </c>
      <c r="M1883" s="116">
        <f t="shared" si="29"/>
        <v>8.2170000000000007E-2</v>
      </c>
    </row>
    <row r="1884" spans="1:13" hidden="1" x14ac:dyDescent="0.35">
      <c r="A1884" s="112" t="s">
        <v>4632</v>
      </c>
      <c r="B1884" s="112" t="s">
        <v>4644</v>
      </c>
      <c r="C1884" s="112" t="s">
        <v>695</v>
      </c>
      <c r="D1884" s="113">
        <v>10348098</v>
      </c>
      <c r="E1884" s="115">
        <v>43929</v>
      </c>
      <c r="F1884" s="114">
        <v>202101</v>
      </c>
      <c r="G1884" s="112" t="s">
        <v>1091</v>
      </c>
      <c r="H1884" s="112" t="s">
        <v>1015</v>
      </c>
      <c r="I1884" s="112" t="s">
        <v>749</v>
      </c>
      <c r="J1884" s="112" t="s">
        <v>4645</v>
      </c>
      <c r="K1884" s="112" t="s">
        <v>4713</v>
      </c>
      <c r="L1884" s="116">
        <v>444.33</v>
      </c>
      <c r="M1884" s="116">
        <f t="shared" si="29"/>
        <v>0.44433</v>
      </c>
    </row>
    <row r="1885" spans="1:13" hidden="1" x14ac:dyDescent="0.35">
      <c r="A1885" s="112" t="s">
        <v>4632</v>
      </c>
      <c r="B1885" s="112" t="s">
        <v>4644</v>
      </c>
      <c r="C1885" s="112" t="s">
        <v>695</v>
      </c>
      <c r="D1885" s="113">
        <v>10348098</v>
      </c>
      <c r="E1885" s="115">
        <v>43929</v>
      </c>
      <c r="F1885" s="114">
        <v>202101</v>
      </c>
      <c r="G1885" s="112" t="s">
        <v>1091</v>
      </c>
      <c r="H1885" s="112" t="s">
        <v>1015</v>
      </c>
      <c r="I1885" s="112" t="s">
        <v>749</v>
      </c>
      <c r="J1885" s="112" t="s">
        <v>4645</v>
      </c>
      <c r="K1885" s="112" t="s">
        <v>4714</v>
      </c>
      <c r="L1885" s="116">
        <v>64.55</v>
      </c>
      <c r="M1885" s="116">
        <f t="shared" si="29"/>
        <v>6.4549999999999996E-2</v>
      </c>
    </row>
    <row r="1886" spans="1:13" hidden="1" x14ac:dyDescent="0.35">
      <c r="A1886" s="112" t="s">
        <v>4632</v>
      </c>
      <c r="B1886" s="112" t="s">
        <v>4644</v>
      </c>
      <c r="C1886" s="112" t="s">
        <v>695</v>
      </c>
      <c r="D1886" s="113">
        <v>10348098</v>
      </c>
      <c r="E1886" s="115">
        <v>43929</v>
      </c>
      <c r="F1886" s="114">
        <v>202101</v>
      </c>
      <c r="G1886" s="112" t="s">
        <v>1091</v>
      </c>
      <c r="H1886" s="112" t="s">
        <v>1015</v>
      </c>
      <c r="I1886" s="112" t="s">
        <v>749</v>
      </c>
      <c r="J1886" s="112" t="s">
        <v>4645</v>
      </c>
      <c r="K1886" s="112" t="s">
        <v>4715</v>
      </c>
      <c r="L1886" s="116">
        <v>82.28</v>
      </c>
      <c r="M1886" s="116">
        <f t="shared" si="29"/>
        <v>8.2280000000000006E-2</v>
      </c>
    </row>
    <row r="1887" spans="1:13" hidden="1" x14ac:dyDescent="0.35">
      <c r="A1887" s="112" t="s">
        <v>4632</v>
      </c>
      <c r="B1887" s="112" t="s">
        <v>4644</v>
      </c>
      <c r="C1887" s="112" t="s">
        <v>695</v>
      </c>
      <c r="D1887" s="113">
        <v>10348098</v>
      </c>
      <c r="E1887" s="115">
        <v>43929</v>
      </c>
      <c r="F1887" s="114">
        <v>202101</v>
      </c>
      <c r="G1887" s="112" t="s">
        <v>1091</v>
      </c>
      <c r="H1887" s="112" t="s">
        <v>1015</v>
      </c>
      <c r="I1887" s="112" t="s">
        <v>757</v>
      </c>
      <c r="J1887" s="112" t="s">
        <v>4645</v>
      </c>
      <c r="K1887" s="112" t="s">
        <v>4779</v>
      </c>
      <c r="L1887" s="116">
        <v>256.33</v>
      </c>
      <c r="M1887" s="116">
        <f t="shared" si="29"/>
        <v>0.25633</v>
      </c>
    </row>
    <row r="1888" spans="1:13" hidden="1" x14ac:dyDescent="0.35">
      <c r="A1888" s="112" t="s">
        <v>4632</v>
      </c>
      <c r="B1888" s="112" t="s">
        <v>4644</v>
      </c>
      <c r="C1888" s="112" t="s">
        <v>695</v>
      </c>
      <c r="D1888" s="113">
        <v>10348098</v>
      </c>
      <c r="E1888" s="115">
        <v>43929</v>
      </c>
      <c r="F1888" s="114">
        <v>202101</v>
      </c>
      <c r="G1888" s="112" t="s">
        <v>1091</v>
      </c>
      <c r="H1888" s="112" t="s">
        <v>1015</v>
      </c>
      <c r="I1888" s="112" t="s">
        <v>749</v>
      </c>
      <c r="J1888" s="112" t="s">
        <v>4645</v>
      </c>
      <c r="K1888" s="112" t="s">
        <v>4781</v>
      </c>
      <c r="L1888" s="116">
        <v>1488.76</v>
      </c>
      <c r="M1888" s="116">
        <f t="shared" si="29"/>
        <v>1.4887600000000001</v>
      </c>
    </row>
    <row r="1889" spans="1:13" hidden="1" x14ac:dyDescent="0.35">
      <c r="A1889" s="112" t="s">
        <v>4632</v>
      </c>
      <c r="B1889" s="112" t="s">
        <v>4644</v>
      </c>
      <c r="C1889" s="112" t="s">
        <v>695</v>
      </c>
      <c r="D1889" s="113">
        <v>10348098</v>
      </c>
      <c r="E1889" s="115">
        <v>43929</v>
      </c>
      <c r="F1889" s="114">
        <v>202101</v>
      </c>
      <c r="G1889" s="112" t="s">
        <v>1091</v>
      </c>
      <c r="H1889" s="112" t="s">
        <v>1015</v>
      </c>
      <c r="I1889" s="112" t="s">
        <v>749</v>
      </c>
      <c r="J1889" s="112" t="s">
        <v>4645</v>
      </c>
      <c r="K1889" s="112" t="s">
        <v>4783</v>
      </c>
      <c r="L1889" s="116">
        <v>612.91</v>
      </c>
      <c r="M1889" s="116">
        <f t="shared" si="29"/>
        <v>0.61290999999999995</v>
      </c>
    </row>
    <row r="1890" spans="1:13" hidden="1" x14ac:dyDescent="0.35">
      <c r="A1890" s="112" t="s">
        <v>4632</v>
      </c>
      <c r="B1890" s="112" t="s">
        <v>4644</v>
      </c>
      <c r="C1890" s="112" t="s">
        <v>695</v>
      </c>
      <c r="D1890" s="113">
        <v>10348098</v>
      </c>
      <c r="E1890" s="115">
        <v>43929</v>
      </c>
      <c r="F1890" s="114">
        <v>202101</v>
      </c>
      <c r="G1890" s="112" t="s">
        <v>1091</v>
      </c>
      <c r="H1890" s="112" t="s">
        <v>1015</v>
      </c>
      <c r="I1890" s="112" t="s">
        <v>749</v>
      </c>
      <c r="J1890" s="112" t="s">
        <v>4645</v>
      </c>
      <c r="K1890" s="112" t="s">
        <v>4785</v>
      </c>
      <c r="L1890" s="116">
        <v>738.09</v>
      </c>
      <c r="M1890" s="116">
        <f t="shared" si="29"/>
        <v>0.73809000000000002</v>
      </c>
    </row>
    <row r="1891" spans="1:13" hidden="1" x14ac:dyDescent="0.35">
      <c r="A1891" s="112" t="s">
        <v>4632</v>
      </c>
      <c r="B1891" s="112" t="s">
        <v>4644</v>
      </c>
      <c r="C1891" s="112" t="s">
        <v>695</v>
      </c>
      <c r="D1891" s="113">
        <v>10348098</v>
      </c>
      <c r="E1891" s="115">
        <v>43929</v>
      </c>
      <c r="F1891" s="114">
        <v>202101</v>
      </c>
      <c r="G1891" s="112" t="s">
        <v>1091</v>
      </c>
      <c r="H1891" s="112" t="s">
        <v>1015</v>
      </c>
      <c r="I1891" s="112" t="s">
        <v>749</v>
      </c>
      <c r="J1891" s="112" t="s">
        <v>4645</v>
      </c>
      <c r="K1891" s="112" t="s">
        <v>4786</v>
      </c>
      <c r="L1891" s="116">
        <v>29.24</v>
      </c>
      <c r="M1891" s="116">
        <f t="shared" si="29"/>
        <v>2.9239999999999999E-2</v>
      </c>
    </row>
    <row r="1892" spans="1:13" hidden="1" x14ac:dyDescent="0.35">
      <c r="A1892" s="112" t="s">
        <v>4632</v>
      </c>
      <c r="B1892" s="112" t="s">
        <v>4644</v>
      </c>
      <c r="C1892" s="112" t="s">
        <v>695</v>
      </c>
      <c r="D1892" s="113">
        <v>10348098</v>
      </c>
      <c r="E1892" s="115">
        <v>43929</v>
      </c>
      <c r="F1892" s="114">
        <v>202101</v>
      </c>
      <c r="G1892" s="112" t="s">
        <v>1091</v>
      </c>
      <c r="H1892" s="112" t="s">
        <v>1015</v>
      </c>
      <c r="I1892" s="112" t="s">
        <v>757</v>
      </c>
      <c r="J1892" s="112" t="s">
        <v>4645</v>
      </c>
      <c r="K1892" s="112" t="s">
        <v>4803</v>
      </c>
      <c r="L1892" s="116">
        <v>1083.1500000000001</v>
      </c>
      <c r="M1892" s="116">
        <f t="shared" si="29"/>
        <v>1.0831500000000001</v>
      </c>
    </row>
    <row r="1893" spans="1:13" hidden="1" x14ac:dyDescent="0.35">
      <c r="A1893" s="112" t="s">
        <v>4632</v>
      </c>
      <c r="B1893" s="112" t="s">
        <v>4644</v>
      </c>
      <c r="C1893" s="112" t="s">
        <v>695</v>
      </c>
      <c r="D1893" s="113">
        <v>10348098</v>
      </c>
      <c r="E1893" s="115">
        <v>43929</v>
      </c>
      <c r="F1893" s="114">
        <v>202101</v>
      </c>
      <c r="G1893" s="112" t="s">
        <v>1091</v>
      </c>
      <c r="H1893" s="112" t="s">
        <v>1015</v>
      </c>
      <c r="I1893" s="112" t="s">
        <v>751</v>
      </c>
      <c r="J1893" s="112" t="s">
        <v>4645</v>
      </c>
      <c r="K1893" s="112" t="s">
        <v>4826</v>
      </c>
      <c r="L1893" s="116">
        <v>337.34</v>
      </c>
      <c r="M1893" s="116">
        <f t="shared" si="29"/>
        <v>0.33733999999999997</v>
      </c>
    </row>
    <row r="1894" spans="1:13" hidden="1" x14ac:dyDescent="0.35">
      <c r="A1894" s="112" t="s">
        <v>4632</v>
      </c>
      <c r="B1894" s="112" t="s">
        <v>4650</v>
      </c>
      <c r="C1894" s="112" t="s">
        <v>695</v>
      </c>
      <c r="D1894" s="113">
        <v>10348098</v>
      </c>
      <c r="E1894" s="115">
        <v>43929</v>
      </c>
      <c r="F1894" s="114">
        <v>202101</v>
      </c>
      <c r="G1894" s="112" t="s">
        <v>1091</v>
      </c>
      <c r="H1894" s="112" t="s">
        <v>1015</v>
      </c>
      <c r="I1894" s="112" t="s">
        <v>749</v>
      </c>
      <c r="J1894" s="112" t="s">
        <v>4651</v>
      </c>
      <c r="K1894" s="112" t="s">
        <v>4830</v>
      </c>
      <c r="L1894" s="116">
        <v>18.13</v>
      </c>
      <c r="M1894" s="116">
        <f t="shared" si="29"/>
        <v>1.813E-2</v>
      </c>
    </row>
    <row r="1895" spans="1:13" hidden="1" x14ac:dyDescent="0.35">
      <c r="A1895" s="112" t="s">
        <v>4632</v>
      </c>
      <c r="B1895" s="112" t="s">
        <v>4639</v>
      </c>
      <c r="C1895" s="112" t="s">
        <v>695</v>
      </c>
      <c r="D1895" s="113">
        <v>10348098</v>
      </c>
      <c r="E1895" s="115">
        <v>43929</v>
      </c>
      <c r="F1895" s="114">
        <v>202101</v>
      </c>
      <c r="G1895" s="112" t="s">
        <v>1091</v>
      </c>
      <c r="H1895" s="112" t="s">
        <v>1015</v>
      </c>
      <c r="I1895" s="112" t="s">
        <v>749</v>
      </c>
      <c r="J1895" s="112" t="s">
        <v>4640</v>
      </c>
      <c r="K1895" s="112" t="s">
        <v>4831</v>
      </c>
      <c r="L1895" s="116">
        <v>4066.18</v>
      </c>
      <c r="M1895" s="116">
        <f t="shared" si="29"/>
        <v>4.0661800000000001</v>
      </c>
    </row>
    <row r="1896" spans="1:13" hidden="1" x14ac:dyDescent="0.35">
      <c r="A1896" s="112" t="s">
        <v>4632</v>
      </c>
      <c r="B1896" s="112" t="s">
        <v>4639</v>
      </c>
      <c r="C1896" s="112" t="s">
        <v>695</v>
      </c>
      <c r="D1896" s="113">
        <v>10348098</v>
      </c>
      <c r="E1896" s="115">
        <v>43929</v>
      </c>
      <c r="F1896" s="114">
        <v>202101</v>
      </c>
      <c r="G1896" s="112" t="s">
        <v>1091</v>
      </c>
      <c r="H1896" s="112" t="s">
        <v>1015</v>
      </c>
      <c r="I1896" s="112" t="s">
        <v>751</v>
      </c>
      <c r="J1896" s="112" t="s">
        <v>4640</v>
      </c>
      <c r="K1896" s="112" t="s">
        <v>4832</v>
      </c>
      <c r="L1896" s="116">
        <v>731.7</v>
      </c>
      <c r="M1896" s="116">
        <f t="shared" si="29"/>
        <v>0.73170000000000002</v>
      </c>
    </row>
    <row r="1897" spans="1:13" hidden="1" x14ac:dyDescent="0.35">
      <c r="A1897" s="112" t="s">
        <v>4632</v>
      </c>
      <c r="B1897" s="112" t="s">
        <v>4639</v>
      </c>
      <c r="C1897" s="112" t="s">
        <v>695</v>
      </c>
      <c r="D1897" s="113">
        <v>10348098</v>
      </c>
      <c r="E1897" s="115">
        <v>43929</v>
      </c>
      <c r="F1897" s="114">
        <v>202101</v>
      </c>
      <c r="G1897" s="112" t="s">
        <v>1091</v>
      </c>
      <c r="H1897" s="112" t="s">
        <v>1015</v>
      </c>
      <c r="I1897" s="112" t="s">
        <v>751</v>
      </c>
      <c r="J1897" s="112" t="s">
        <v>4640</v>
      </c>
      <c r="K1897" s="112" t="s">
        <v>4833</v>
      </c>
      <c r="L1897" s="116">
        <v>809.43</v>
      </c>
      <c r="M1897" s="116">
        <f t="shared" si="29"/>
        <v>0.80942999999999998</v>
      </c>
    </row>
    <row r="1898" spans="1:13" hidden="1" x14ac:dyDescent="0.35">
      <c r="A1898" s="112" t="s">
        <v>4632</v>
      </c>
      <c r="B1898" s="112" t="s">
        <v>4639</v>
      </c>
      <c r="C1898" s="112" t="s">
        <v>695</v>
      </c>
      <c r="D1898" s="113">
        <v>10348098</v>
      </c>
      <c r="E1898" s="115">
        <v>43929</v>
      </c>
      <c r="F1898" s="114">
        <v>202101</v>
      </c>
      <c r="G1898" s="112" t="s">
        <v>1091</v>
      </c>
      <c r="H1898" s="112" t="s">
        <v>1015</v>
      </c>
      <c r="I1898" s="112" t="s">
        <v>751</v>
      </c>
      <c r="J1898" s="112" t="s">
        <v>4640</v>
      </c>
      <c r="K1898" s="112" t="s">
        <v>4834</v>
      </c>
      <c r="L1898" s="116">
        <v>522.59</v>
      </c>
      <c r="M1898" s="116">
        <f t="shared" si="29"/>
        <v>0.52259</v>
      </c>
    </row>
    <row r="1899" spans="1:13" hidden="1" x14ac:dyDescent="0.35">
      <c r="A1899" s="112" t="s">
        <v>4632</v>
      </c>
      <c r="B1899" s="112" t="s">
        <v>4639</v>
      </c>
      <c r="C1899" s="112" t="s">
        <v>695</v>
      </c>
      <c r="D1899" s="113">
        <v>10348098</v>
      </c>
      <c r="E1899" s="115">
        <v>43929</v>
      </c>
      <c r="F1899" s="114">
        <v>202101</v>
      </c>
      <c r="G1899" s="112" t="s">
        <v>1091</v>
      </c>
      <c r="H1899" s="112" t="s">
        <v>1015</v>
      </c>
      <c r="I1899" s="112" t="s">
        <v>751</v>
      </c>
      <c r="J1899" s="112" t="s">
        <v>4640</v>
      </c>
      <c r="K1899" s="112" t="s">
        <v>4835</v>
      </c>
      <c r="L1899" s="116">
        <v>578.07000000000005</v>
      </c>
      <c r="M1899" s="116">
        <f t="shared" si="29"/>
        <v>0.57807000000000008</v>
      </c>
    </row>
    <row r="1900" spans="1:13" hidden="1" x14ac:dyDescent="0.35">
      <c r="A1900" s="112" t="s">
        <v>4632</v>
      </c>
      <c r="B1900" s="112" t="s">
        <v>4639</v>
      </c>
      <c r="C1900" s="112" t="s">
        <v>695</v>
      </c>
      <c r="D1900" s="113">
        <v>10348098</v>
      </c>
      <c r="E1900" s="115">
        <v>43929</v>
      </c>
      <c r="F1900" s="114">
        <v>202101</v>
      </c>
      <c r="G1900" s="112" t="s">
        <v>1091</v>
      </c>
      <c r="H1900" s="112" t="s">
        <v>1015</v>
      </c>
      <c r="I1900" s="112" t="s">
        <v>751</v>
      </c>
      <c r="J1900" s="112" t="s">
        <v>4640</v>
      </c>
      <c r="K1900" s="112" t="s">
        <v>4838</v>
      </c>
      <c r="L1900" s="116">
        <v>2591.0300000000002</v>
      </c>
      <c r="M1900" s="116">
        <f t="shared" si="29"/>
        <v>2.5910300000000004</v>
      </c>
    </row>
    <row r="1901" spans="1:13" hidden="1" x14ac:dyDescent="0.35">
      <c r="A1901" s="112" t="s">
        <v>4632</v>
      </c>
      <c r="B1901" s="112" t="s">
        <v>4650</v>
      </c>
      <c r="C1901" s="112" t="s">
        <v>695</v>
      </c>
      <c r="D1901" s="113">
        <v>10348098</v>
      </c>
      <c r="E1901" s="115">
        <v>43929</v>
      </c>
      <c r="F1901" s="114">
        <v>202101</v>
      </c>
      <c r="G1901" s="112" t="s">
        <v>1091</v>
      </c>
      <c r="H1901" s="112" t="s">
        <v>1015</v>
      </c>
      <c r="I1901" s="112" t="s">
        <v>757</v>
      </c>
      <c r="J1901" s="112" t="s">
        <v>4651</v>
      </c>
      <c r="K1901" s="112" t="s">
        <v>4840</v>
      </c>
      <c r="L1901" s="116">
        <v>115.22</v>
      </c>
      <c r="M1901" s="116">
        <f t="shared" si="29"/>
        <v>0.11522</v>
      </c>
    </row>
    <row r="1902" spans="1:13" hidden="1" x14ac:dyDescent="0.35">
      <c r="A1902" s="112" t="s">
        <v>4632</v>
      </c>
      <c r="B1902" s="112" t="s">
        <v>4644</v>
      </c>
      <c r="C1902" s="112" t="s">
        <v>695</v>
      </c>
      <c r="D1902" s="113">
        <v>10348098</v>
      </c>
      <c r="E1902" s="115">
        <v>43929</v>
      </c>
      <c r="F1902" s="114">
        <v>202101</v>
      </c>
      <c r="G1902" s="112" t="s">
        <v>1091</v>
      </c>
      <c r="H1902" s="112" t="s">
        <v>1015</v>
      </c>
      <c r="I1902" s="112" t="s">
        <v>757</v>
      </c>
      <c r="J1902" s="112" t="s">
        <v>4645</v>
      </c>
      <c r="K1902" s="112" t="s">
        <v>4841</v>
      </c>
      <c r="L1902" s="116">
        <v>-1323.69</v>
      </c>
      <c r="M1902" s="116">
        <f t="shared" si="29"/>
        <v>-1.32369</v>
      </c>
    </row>
    <row r="1903" spans="1:13" hidden="1" x14ac:dyDescent="0.35">
      <c r="A1903" s="112" t="s">
        <v>4632</v>
      </c>
      <c r="B1903" s="112" t="s">
        <v>4639</v>
      </c>
      <c r="C1903" s="112" t="s">
        <v>695</v>
      </c>
      <c r="D1903" s="113">
        <v>10348098</v>
      </c>
      <c r="E1903" s="115">
        <v>43929</v>
      </c>
      <c r="F1903" s="114">
        <v>202101</v>
      </c>
      <c r="G1903" s="112" t="s">
        <v>1091</v>
      </c>
      <c r="H1903" s="112" t="s">
        <v>1015</v>
      </c>
      <c r="I1903" s="112" t="s">
        <v>757</v>
      </c>
      <c r="J1903" s="112" t="s">
        <v>4640</v>
      </c>
      <c r="K1903" s="112" t="s">
        <v>4843</v>
      </c>
      <c r="L1903" s="116">
        <v>2379.9299999999998</v>
      </c>
      <c r="M1903" s="116">
        <f t="shared" si="29"/>
        <v>2.3799299999999999</v>
      </c>
    </row>
    <row r="1904" spans="1:13" hidden="1" x14ac:dyDescent="0.35">
      <c r="A1904" s="112" t="s">
        <v>4632</v>
      </c>
      <c r="B1904" s="112" t="s">
        <v>4639</v>
      </c>
      <c r="C1904" s="112" t="s">
        <v>695</v>
      </c>
      <c r="D1904" s="113">
        <v>10348098</v>
      </c>
      <c r="E1904" s="115">
        <v>43929</v>
      </c>
      <c r="F1904" s="114">
        <v>202101</v>
      </c>
      <c r="G1904" s="112" t="s">
        <v>1091</v>
      </c>
      <c r="H1904" s="112" t="s">
        <v>1015</v>
      </c>
      <c r="I1904" s="112" t="s">
        <v>749</v>
      </c>
      <c r="J1904" s="112" t="s">
        <v>4640</v>
      </c>
      <c r="K1904" s="112" t="s">
        <v>4845</v>
      </c>
      <c r="L1904" s="116">
        <v>4684.2700000000004</v>
      </c>
      <c r="M1904" s="116">
        <f t="shared" si="29"/>
        <v>4.6842700000000006</v>
      </c>
    </row>
    <row r="1905" spans="1:13" hidden="1" x14ac:dyDescent="0.35">
      <c r="A1905" s="112" t="s">
        <v>4632</v>
      </c>
      <c r="B1905" s="112" t="s">
        <v>4644</v>
      </c>
      <c r="C1905" s="112" t="s">
        <v>695</v>
      </c>
      <c r="D1905" s="113">
        <v>10348098</v>
      </c>
      <c r="E1905" s="115">
        <v>43929</v>
      </c>
      <c r="F1905" s="114">
        <v>202101</v>
      </c>
      <c r="G1905" s="112" t="s">
        <v>1091</v>
      </c>
      <c r="H1905" s="112" t="s">
        <v>1015</v>
      </c>
      <c r="I1905" s="112" t="s">
        <v>749</v>
      </c>
      <c r="J1905" s="112" t="s">
        <v>4645</v>
      </c>
      <c r="K1905" s="112" t="s">
        <v>4846</v>
      </c>
      <c r="L1905" s="116">
        <v>266.64</v>
      </c>
      <c r="M1905" s="116">
        <f t="shared" si="29"/>
        <v>0.26663999999999999</v>
      </c>
    </row>
    <row r="1906" spans="1:13" hidden="1" x14ac:dyDescent="0.35">
      <c r="A1906" s="112" t="s">
        <v>4632</v>
      </c>
      <c r="B1906" s="112" t="s">
        <v>4644</v>
      </c>
      <c r="C1906" s="112" t="s">
        <v>695</v>
      </c>
      <c r="D1906" s="113">
        <v>10348098</v>
      </c>
      <c r="E1906" s="115">
        <v>43929</v>
      </c>
      <c r="F1906" s="114">
        <v>202101</v>
      </c>
      <c r="G1906" s="112" t="s">
        <v>1091</v>
      </c>
      <c r="H1906" s="112" t="s">
        <v>1015</v>
      </c>
      <c r="I1906" s="112" t="s">
        <v>749</v>
      </c>
      <c r="J1906" s="112" t="s">
        <v>4645</v>
      </c>
      <c r="K1906" s="112" t="s">
        <v>4848</v>
      </c>
      <c r="L1906" s="116">
        <v>387.07</v>
      </c>
      <c r="M1906" s="116">
        <f t="shared" si="29"/>
        <v>0.38706999999999997</v>
      </c>
    </row>
    <row r="1907" spans="1:13" hidden="1" x14ac:dyDescent="0.35">
      <c r="A1907" s="112" t="s">
        <v>4632</v>
      </c>
      <c r="B1907" s="112" t="s">
        <v>863</v>
      </c>
      <c r="C1907" s="112" t="s">
        <v>695</v>
      </c>
      <c r="D1907" s="113">
        <v>10348098</v>
      </c>
      <c r="E1907" s="115">
        <v>43929</v>
      </c>
      <c r="F1907" s="114">
        <v>202101</v>
      </c>
      <c r="G1907" s="112" t="s">
        <v>1091</v>
      </c>
      <c r="H1907" s="112" t="s">
        <v>1015</v>
      </c>
      <c r="I1907" s="112" t="s">
        <v>749</v>
      </c>
      <c r="J1907" s="112" t="s">
        <v>835</v>
      </c>
      <c r="K1907" s="112" t="s">
        <v>4850</v>
      </c>
      <c r="L1907" s="116">
        <v>73.930000000000007</v>
      </c>
      <c r="M1907" s="116">
        <f t="shared" si="29"/>
        <v>7.393000000000001E-2</v>
      </c>
    </row>
    <row r="1908" spans="1:13" hidden="1" x14ac:dyDescent="0.35">
      <c r="A1908" s="112" t="s">
        <v>4632</v>
      </c>
      <c r="B1908" s="112" t="s">
        <v>4644</v>
      </c>
      <c r="C1908" s="112" t="s">
        <v>695</v>
      </c>
      <c r="D1908" s="113">
        <v>10348098</v>
      </c>
      <c r="E1908" s="115">
        <v>43929</v>
      </c>
      <c r="F1908" s="114">
        <v>202101</v>
      </c>
      <c r="G1908" s="112" t="s">
        <v>1091</v>
      </c>
      <c r="H1908" s="112" t="s">
        <v>1015</v>
      </c>
      <c r="I1908" s="112" t="s">
        <v>749</v>
      </c>
      <c r="J1908" s="112" t="s">
        <v>4645</v>
      </c>
      <c r="K1908" s="112" t="s">
        <v>4851</v>
      </c>
      <c r="L1908" s="116">
        <v>70.34</v>
      </c>
      <c r="M1908" s="116">
        <f t="shared" si="29"/>
        <v>7.034E-2</v>
      </c>
    </row>
    <row r="1909" spans="1:13" hidden="1" x14ac:dyDescent="0.35">
      <c r="A1909" s="112" t="s">
        <v>4632</v>
      </c>
      <c r="B1909" s="112" t="s">
        <v>4644</v>
      </c>
      <c r="C1909" s="112" t="s">
        <v>695</v>
      </c>
      <c r="D1909" s="113">
        <v>10348098</v>
      </c>
      <c r="E1909" s="115">
        <v>43929</v>
      </c>
      <c r="F1909" s="114">
        <v>202101</v>
      </c>
      <c r="G1909" s="112" t="s">
        <v>1091</v>
      </c>
      <c r="H1909" s="112" t="s">
        <v>1015</v>
      </c>
      <c r="I1909" s="112" t="s">
        <v>749</v>
      </c>
      <c r="J1909" s="112" t="s">
        <v>4645</v>
      </c>
      <c r="K1909" s="112" t="s">
        <v>4854</v>
      </c>
      <c r="L1909" s="116">
        <v>1014.81</v>
      </c>
      <c r="M1909" s="116">
        <f t="shared" si="29"/>
        <v>1.01481</v>
      </c>
    </row>
    <row r="1910" spans="1:13" hidden="1" x14ac:dyDescent="0.35">
      <c r="A1910" s="112" t="s">
        <v>4632</v>
      </c>
      <c r="B1910" s="112" t="s">
        <v>4639</v>
      </c>
      <c r="C1910" s="112" t="s">
        <v>695</v>
      </c>
      <c r="D1910" s="113">
        <v>10348098</v>
      </c>
      <c r="E1910" s="115">
        <v>43929</v>
      </c>
      <c r="F1910" s="114">
        <v>202101</v>
      </c>
      <c r="G1910" s="112" t="s">
        <v>1091</v>
      </c>
      <c r="H1910" s="112" t="s">
        <v>1015</v>
      </c>
      <c r="I1910" s="112" t="s">
        <v>749</v>
      </c>
      <c r="J1910" s="112" t="s">
        <v>4640</v>
      </c>
      <c r="K1910" s="112" t="s">
        <v>4855</v>
      </c>
      <c r="L1910" s="116">
        <v>39.409999999999997</v>
      </c>
      <c r="M1910" s="116">
        <f t="shared" si="29"/>
        <v>3.9409999999999994E-2</v>
      </c>
    </row>
    <row r="1911" spans="1:13" hidden="1" x14ac:dyDescent="0.35">
      <c r="A1911" s="112" t="s">
        <v>4632</v>
      </c>
      <c r="B1911" s="112" t="s">
        <v>863</v>
      </c>
      <c r="C1911" s="112" t="s">
        <v>695</v>
      </c>
      <c r="D1911" s="113">
        <v>10348098</v>
      </c>
      <c r="E1911" s="115">
        <v>43929</v>
      </c>
      <c r="F1911" s="114">
        <v>202101</v>
      </c>
      <c r="G1911" s="112" t="s">
        <v>1091</v>
      </c>
      <c r="H1911" s="112" t="s">
        <v>1015</v>
      </c>
      <c r="I1911" s="112" t="s">
        <v>757</v>
      </c>
      <c r="J1911" s="112" t="s">
        <v>815</v>
      </c>
      <c r="K1911" s="112" t="s">
        <v>4856</v>
      </c>
      <c r="L1911" s="116">
        <v>35.380000000000003</v>
      </c>
      <c r="M1911" s="116">
        <f t="shared" si="29"/>
        <v>3.5380000000000002E-2</v>
      </c>
    </row>
    <row r="1912" spans="1:13" hidden="1" x14ac:dyDescent="0.35">
      <c r="A1912" s="112" t="s">
        <v>4632</v>
      </c>
      <c r="B1912" s="112" t="s">
        <v>863</v>
      </c>
      <c r="C1912" s="112" t="s">
        <v>695</v>
      </c>
      <c r="D1912" s="113">
        <v>10348098</v>
      </c>
      <c r="E1912" s="115">
        <v>43929</v>
      </c>
      <c r="F1912" s="114">
        <v>202101</v>
      </c>
      <c r="G1912" s="112" t="s">
        <v>1091</v>
      </c>
      <c r="H1912" s="112" t="s">
        <v>1015</v>
      </c>
      <c r="I1912" s="112" t="s">
        <v>757</v>
      </c>
      <c r="J1912" s="112" t="s">
        <v>815</v>
      </c>
      <c r="K1912" s="112" t="s">
        <v>4857</v>
      </c>
      <c r="L1912" s="116">
        <v>38.56</v>
      </c>
      <c r="M1912" s="116">
        <f t="shared" si="29"/>
        <v>3.8560000000000004E-2</v>
      </c>
    </row>
    <row r="1913" spans="1:13" hidden="1" x14ac:dyDescent="0.35">
      <c r="A1913" s="112" t="s">
        <v>4632</v>
      </c>
      <c r="B1913" s="112" t="s">
        <v>4644</v>
      </c>
      <c r="C1913" s="112" t="s">
        <v>695</v>
      </c>
      <c r="D1913" s="113">
        <v>10348098</v>
      </c>
      <c r="E1913" s="115">
        <v>43929</v>
      </c>
      <c r="F1913" s="114">
        <v>202101</v>
      </c>
      <c r="G1913" s="112" t="s">
        <v>1091</v>
      </c>
      <c r="H1913" s="112" t="s">
        <v>1015</v>
      </c>
      <c r="I1913" s="112" t="s">
        <v>757</v>
      </c>
      <c r="J1913" s="112" t="s">
        <v>4645</v>
      </c>
      <c r="K1913" s="112" t="s">
        <v>4858</v>
      </c>
      <c r="L1913" s="116">
        <v>-133.26</v>
      </c>
      <c r="M1913" s="116">
        <f t="shared" si="29"/>
        <v>-0.13325999999999999</v>
      </c>
    </row>
    <row r="1914" spans="1:13" hidden="1" x14ac:dyDescent="0.35">
      <c r="A1914" s="112" t="s">
        <v>4632</v>
      </c>
      <c r="B1914" s="112" t="s">
        <v>4644</v>
      </c>
      <c r="C1914" s="112" t="s">
        <v>695</v>
      </c>
      <c r="D1914" s="113">
        <v>10348098</v>
      </c>
      <c r="E1914" s="115">
        <v>43929</v>
      </c>
      <c r="F1914" s="114">
        <v>202101</v>
      </c>
      <c r="G1914" s="112" t="s">
        <v>1091</v>
      </c>
      <c r="H1914" s="112" t="s">
        <v>1015</v>
      </c>
      <c r="I1914" s="112" t="s">
        <v>757</v>
      </c>
      <c r="J1914" s="112" t="s">
        <v>4645</v>
      </c>
      <c r="K1914" s="112" t="s">
        <v>4859</v>
      </c>
      <c r="L1914" s="116">
        <v>-692.25</v>
      </c>
      <c r="M1914" s="116">
        <f t="shared" si="29"/>
        <v>-0.69225000000000003</v>
      </c>
    </row>
    <row r="1915" spans="1:13" hidden="1" x14ac:dyDescent="0.35">
      <c r="A1915" s="112" t="s">
        <v>4632</v>
      </c>
      <c r="B1915" s="112" t="s">
        <v>4644</v>
      </c>
      <c r="C1915" s="112" t="s">
        <v>695</v>
      </c>
      <c r="D1915" s="113">
        <v>10348098</v>
      </c>
      <c r="E1915" s="115">
        <v>43929</v>
      </c>
      <c r="F1915" s="114">
        <v>202101</v>
      </c>
      <c r="G1915" s="112" t="s">
        <v>1091</v>
      </c>
      <c r="H1915" s="112" t="s">
        <v>1015</v>
      </c>
      <c r="I1915" s="112" t="s">
        <v>757</v>
      </c>
      <c r="J1915" s="112" t="s">
        <v>4645</v>
      </c>
      <c r="K1915" s="112" t="s">
        <v>4860</v>
      </c>
      <c r="L1915" s="116">
        <v>73.8</v>
      </c>
      <c r="M1915" s="116">
        <f t="shared" si="29"/>
        <v>7.3799999999999991E-2</v>
      </c>
    </row>
    <row r="1916" spans="1:13" hidden="1" x14ac:dyDescent="0.35">
      <c r="A1916" s="112" t="s">
        <v>4632</v>
      </c>
      <c r="B1916" s="112" t="s">
        <v>4639</v>
      </c>
      <c r="C1916" s="112" t="s">
        <v>695</v>
      </c>
      <c r="D1916" s="113">
        <v>10348098</v>
      </c>
      <c r="E1916" s="115">
        <v>43929</v>
      </c>
      <c r="F1916" s="114">
        <v>202101</v>
      </c>
      <c r="G1916" s="112" t="s">
        <v>1091</v>
      </c>
      <c r="H1916" s="112" t="s">
        <v>1015</v>
      </c>
      <c r="I1916" s="112" t="s">
        <v>757</v>
      </c>
      <c r="J1916" s="112" t="s">
        <v>4640</v>
      </c>
      <c r="K1916" s="112" t="s">
        <v>4861</v>
      </c>
      <c r="L1916" s="116">
        <v>194.32</v>
      </c>
      <c r="M1916" s="116">
        <f t="shared" si="29"/>
        <v>0.19431999999999999</v>
      </c>
    </row>
    <row r="1917" spans="1:13" hidden="1" x14ac:dyDescent="0.35">
      <c r="A1917" s="112" t="s">
        <v>4632</v>
      </c>
      <c r="B1917" s="112" t="s">
        <v>4644</v>
      </c>
      <c r="C1917" s="112" t="s">
        <v>695</v>
      </c>
      <c r="D1917" s="113">
        <v>10348098</v>
      </c>
      <c r="E1917" s="115">
        <v>43929</v>
      </c>
      <c r="F1917" s="114">
        <v>202101</v>
      </c>
      <c r="G1917" s="112" t="s">
        <v>1091</v>
      </c>
      <c r="H1917" s="112" t="s">
        <v>1015</v>
      </c>
      <c r="I1917" s="112" t="s">
        <v>751</v>
      </c>
      <c r="J1917" s="112" t="s">
        <v>4645</v>
      </c>
      <c r="K1917" s="112" t="s">
        <v>4862</v>
      </c>
      <c r="L1917" s="116">
        <v>370.13</v>
      </c>
      <c r="M1917" s="116">
        <f t="shared" si="29"/>
        <v>0.37013000000000001</v>
      </c>
    </row>
    <row r="1918" spans="1:13" hidden="1" x14ac:dyDescent="0.35">
      <c r="A1918" s="112" t="s">
        <v>4632</v>
      </c>
      <c r="B1918" s="112" t="s">
        <v>4639</v>
      </c>
      <c r="C1918" s="112" t="s">
        <v>695</v>
      </c>
      <c r="D1918" s="113">
        <v>10348098</v>
      </c>
      <c r="E1918" s="115">
        <v>43929</v>
      </c>
      <c r="F1918" s="114">
        <v>202101</v>
      </c>
      <c r="G1918" s="112" t="s">
        <v>1091</v>
      </c>
      <c r="H1918" s="112" t="s">
        <v>1015</v>
      </c>
      <c r="I1918" s="112" t="s">
        <v>749</v>
      </c>
      <c r="J1918" s="112" t="s">
        <v>4640</v>
      </c>
      <c r="K1918" s="112" t="s">
        <v>4863</v>
      </c>
      <c r="L1918" s="116">
        <v>423.45</v>
      </c>
      <c r="M1918" s="116">
        <f t="shared" si="29"/>
        <v>0.42344999999999999</v>
      </c>
    </row>
    <row r="1919" spans="1:13" hidden="1" x14ac:dyDescent="0.35">
      <c r="A1919" s="112" t="s">
        <v>4632</v>
      </c>
      <c r="B1919" s="112" t="s">
        <v>4639</v>
      </c>
      <c r="C1919" s="112" t="s">
        <v>695</v>
      </c>
      <c r="D1919" s="113">
        <v>10348098</v>
      </c>
      <c r="E1919" s="115">
        <v>43929</v>
      </c>
      <c r="F1919" s="114">
        <v>202101</v>
      </c>
      <c r="G1919" s="112" t="s">
        <v>1091</v>
      </c>
      <c r="H1919" s="112" t="s">
        <v>1015</v>
      </c>
      <c r="I1919" s="112" t="s">
        <v>749</v>
      </c>
      <c r="J1919" s="112" t="s">
        <v>4640</v>
      </c>
      <c r="K1919" s="112" t="s">
        <v>4864</v>
      </c>
      <c r="L1919" s="116">
        <v>84.72</v>
      </c>
      <c r="M1919" s="116">
        <f t="shared" si="29"/>
        <v>8.4720000000000004E-2</v>
      </c>
    </row>
    <row r="1920" spans="1:13" hidden="1" x14ac:dyDescent="0.35">
      <c r="A1920" s="112" t="s">
        <v>4632</v>
      </c>
      <c r="B1920" s="112" t="s">
        <v>4639</v>
      </c>
      <c r="C1920" s="112" t="s">
        <v>695</v>
      </c>
      <c r="D1920" s="113">
        <v>10348098</v>
      </c>
      <c r="E1920" s="115">
        <v>43929</v>
      </c>
      <c r="F1920" s="114">
        <v>202101</v>
      </c>
      <c r="G1920" s="112" t="s">
        <v>1091</v>
      </c>
      <c r="H1920" s="112" t="s">
        <v>1015</v>
      </c>
      <c r="I1920" s="112" t="s">
        <v>749</v>
      </c>
      <c r="J1920" s="112" t="s">
        <v>4640</v>
      </c>
      <c r="K1920" s="112" t="s">
        <v>4865</v>
      </c>
      <c r="L1920" s="116">
        <v>1640.43</v>
      </c>
      <c r="M1920" s="116">
        <f t="shared" si="29"/>
        <v>1.6404300000000001</v>
      </c>
    </row>
    <row r="1921" spans="1:13" hidden="1" x14ac:dyDescent="0.35">
      <c r="A1921" s="112" t="s">
        <v>4632</v>
      </c>
      <c r="B1921" s="112" t="s">
        <v>4639</v>
      </c>
      <c r="C1921" s="112" t="s">
        <v>695</v>
      </c>
      <c r="D1921" s="113">
        <v>10348098</v>
      </c>
      <c r="E1921" s="115">
        <v>43929</v>
      </c>
      <c r="F1921" s="114">
        <v>202101</v>
      </c>
      <c r="G1921" s="112" t="s">
        <v>1091</v>
      </c>
      <c r="H1921" s="112" t="s">
        <v>1015</v>
      </c>
      <c r="I1921" s="112" t="s">
        <v>749</v>
      </c>
      <c r="J1921" s="112" t="s">
        <v>4640</v>
      </c>
      <c r="K1921" s="112" t="s">
        <v>4866</v>
      </c>
      <c r="L1921" s="116">
        <v>1465.21</v>
      </c>
      <c r="M1921" s="116">
        <f t="shared" si="29"/>
        <v>1.4652100000000001</v>
      </c>
    </row>
    <row r="1922" spans="1:13" hidden="1" x14ac:dyDescent="0.35">
      <c r="A1922" s="112" t="s">
        <v>4632</v>
      </c>
      <c r="B1922" s="112" t="s">
        <v>4644</v>
      </c>
      <c r="C1922" s="112" t="s">
        <v>695</v>
      </c>
      <c r="D1922" s="113">
        <v>10348098</v>
      </c>
      <c r="E1922" s="115">
        <v>43929</v>
      </c>
      <c r="F1922" s="114">
        <v>202101</v>
      </c>
      <c r="G1922" s="112" t="s">
        <v>1091</v>
      </c>
      <c r="H1922" s="112" t="s">
        <v>1015</v>
      </c>
      <c r="I1922" s="112" t="s">
        <v>749</v>
      </c>
      <c r="J1922" s="112" t="s">
        <v>4645</v>
      </c>
      <c r="K1922" s="112" t="s">
        <v>4867</v>
      </c>
      <c r="L1922" s="116">
        <v>360.95</v>
      </c>
      <c r="M1922" s="116">
        <f t="shared" si="29"/>
        <v>0.36094999999999999</v>
      </c>
    </row>
    <row r="1923" spans="1:13" hidden="1" x14ac:dyDescent="0.35">
      <c r="A1923" s="112" t="s">
        <v>4632</v>
      </c>
      <c r="B1923" s="112" t="s">
        <v>4650</v>
      </c>
      <c r="C1923" s="112" t="s">
        <v>695</v>
      </c>
      <c r="D1923" s="113">
        <v>10348098</v>
      </c>
      <c r="E1923" s="115">
        <v>43929</v>
      </c>
      <c r="F1923" s="114">
        <v>202101</v>
      </c>
      <c r="G1923" s="112" t="s">
        <v>1091</v>
      </c>
      <c r="H1923" s="112" t="s">
        <v>1015</v>
      </c>
      <c r="I1923" s="112" t="s">
        <v>749</v>
      </c>
      <c r="J1923" s="112" t="s">
        <v>4651</v>
      </c>
      <c r="K1923" s="112" t="s">
        <v>4868</v>
      </c>
      <c r="L1923" s="116">
        <v>518.30999999999995</v>
      </c>
      <c r="M1923" s="116">
        <f t="shared" ref="M1923:M1986" si="30">L1923/1000</f>
        <v>0.51830999999999994</v>
      </c>
    </row>
    <row r="1924" spans="1:13" hidden="1" x14ac:dyDescent="0.35">
      <c r="A1924" s="112" t="s">
        <v>4632</v>
      </c>
      <c r="B1924" s="112" t="s">
        <v>4644</v>
      </c>
      <c r="C1924" s="112" t="s">
        <v>695</v>
      </c>
      <c r="D1924" s="113">
        <v>10348098</v>
      </c>
      <c r="E1924" s="115">
        <v>43929</v>
      </c>
      <c r="F1924" s="114">
        <v>202101</v>
      </c>
      <c r="G1924" s="112" t="s">
        <v>1091</v>
      </c>
      <c r="H1924" s="112" t="s">
        <v>1015</v>
      </c>
      <c r="I1924" s="112" t="s">
        <v>749</v>
      </c>
      <c r="J1924" s="112" t="s">
        <v>4645</v>
      </c>
      <c r="K1924" s="112" t="s">
        <v>4870</v>
      </c>
      <c r="L1924" s="116">
        <v>929.2</v>
      </c>
      <c r="M1924" s="116">
        <f t="shared" si="30"/>
        <v>0.92920000000000003</v>
      </c>
    </row>
    <row r="1925" spans="1:13" hidden="1" x14ac:dyDescent="0.35">
      <c r="A1925" s="112" t="s">
        <v>4632</v>
      </c>
      <c r="B1925" s="112" t="s">
        <v>4644</v>
      </c>
      <c r="C1925" s="112" t="s">
        <v>695</v>
      </c>
      <c r="D1925" s="113">
        <v>10348098</v>
      </c>
      <c r="E1925" s="115">
        <v>43929</v>
      </c>
      <c r="F1925" s="114">
        <v>202101</v>
      </c>
      <c r="G1925" s="112" t="s">
        <v>1091</v>
      </c>
      <c r="H1925" s="112" t="s">
        <v>1015</v>
      </c>
      <c r="I1925" s="112" t="s">
        <v>749</v>
      </c>
      <c r="J1925" s="112" t="s">
        <v>4645</v>
      </c>
      <c r="K1925" s="112" t="s">
        <v>4871</v>
      </c>
      <c r="L1925" s="116">
        <v>754.39</v>
      </c>
      <c r="M1925" s="116">
        <f t="shared" si="30"/>
        <v>0.75439000000000001</v>
      </c>
    </row>
    <row r="1926" spans="1:13" hidden="1" x14ac:dyDescent="0.35">
      <c r="A1926" s="112" t="s">
        <v>4632</v>
      </c>
      <c r="B1926" s="112" t="s">
        <v>863</v>
      </c>
      <c r="C1926" s="112" t="s">
        <v>695</v>
      </c>
      <c r="D1926" s="113">
        <v>10348098</v>
      </c>
      <c r="E1926" s="115">
        <v>43929</v>
      </c>
      <c r="F1926" s="114">
        <v>202101</v>
      </c>
      <c r="G1926" s="112" t="s">
        <v>1091</v>
      </c>
      <c r="H1926" s="112" t="s">
        <v>1015</v>
      </c>
      <c r="I1926" s="112" t="s">
        <v>749</v>
      </c>
      <c r="J1926" s="112" t="s">
        <v>808</v>
      </c>
      <c r="K1926" s="112" t="s">
        <v>4874</v>
      </c>
      <c r="L1926" s="116">
        <v>2570.12</v>
      </c>
      <c r="M1926" s="116">
        <f t="shared" si="30"/>
        <v>2.5701199999999997</v>
      </c>
    </row>
    <row r="1927" spans="1:13" hidden="1" x14ac:dyDescent="0.35">
      <c r="A1927" s="112" t="s">
        <v>4632</v>
      </c>
      <c r="B1927" s="112" t="s">
        <v>4644</v>
      </c>
      <c r="C1927" s="112" t="s">
        <v>695</v>
      </c>
      <c r="D1927" s="113">
        <v>10348098</v>
      </c>
      <c r="E1927" s="115">
        <v>43929</v>
      </c>
      <c r="F1927" s="114">
        <v>202101</v>
      </c>
      <c r="G1927" s="112" t="s">
        <v>1091</v>
      </c>
      <c r="H1927" s="112" t="s">
        <v>1015</v>
      </c>
      <c r="I1927" s="112" t="s">
        <v>751</v>
      </c>
      <c r="J1927" s="112" t="s">
        <v>4645</v>
      </c>
      <c r="K1927" s="112" t="s">
        <v>4875</v>
      </c>
      <c r="L1927" s="116">
        <v>354.71</v>
      </c>
      <c r="M1927" s="116">
        <f t="shared" si="30"/>
        <v>0.35470999999999997</v>
      </c>
    </row>
    <row r="1928" spans="1:13" hidden="1" x14ac:dyDescent="0.35">
      <c r="A1928" s="112" t="s">
        <v>4632</v>
      </c>
      <c r="B1928" s="112" t="s">
        <v>4650</v>
      </c>
      <c r="C1928" s="112" t="s">
        <v>695</v>
      </c>
      <c r="D1928" s="113">
        <v>10348098</v>
      </c>
      <c r="E1928" s="115">
        <v>43929</v>
      </c>
      <c r="F1928" s="114">
        <v>202101</v>
      </c>
      <c r="G1928" s="112" t="s">
        <v>1091</v>
      </c>
      <c r="H1928" s="112" t="s">
        <v>1015</v>
      </c>
      <c r="I1928" s="112" t="s">
        <v>757</v>
      </c>
      <c r="J1928" s="112" t="s">
        <v>4651</v>
      </c>
      <c r="K1928" s="112" t="s">
        <v>4876</v>
      </c>
      <c r="L1928" s="116">
        <v>190.11</v>
      </c>
      <c r="M1928" s="116">
        <f t="shared" si="30"/>
        <v>0.19011</v>
      </c>
    </row>
    <row r="1929" spans="1:13" hidden="1" x14ac:dyDescent="0.35">
      <c r="A1929" s="112" t="s">
        <v>4632</v>
      </c>
      <c r="B1929" s="112" t="s">
        <v>4644</v>
      </c>
      <c r="C1929" s="112" t="s">
        <v>695</v>
      </c>
      <c r="D1929" s="113">
        <v>10348085</v>
      </c>
      <c r="E1929" s="115">
        <v>43923</v>
      </c>
      <c r="F1929" s="114">
        <v>202101</v>
      </c>
      <c r="G1929" s="112" t="s">
        <v>1091</v>
      </c>
      <c r="H1929" s="112" t="s">
        <v>1015</v>
      </c>
      <c r="I1929" s="112" t="s">
        <v>757</v>
      </c>
      <c r="J1929" s="112" t="s">
        <v>4645</v>
      </c>
      <c r="K1929" s="112" t="s">
        <v>4662</v>
      </c>
      <c r="L1929" s="116">
        <v>-53.06</v>
      </c>
      <c r="M1929" s="116">
        <f t="shared" si="30"/>
        <v>-5.3060000000000003E-2</v>
      </c>
    </row>
    <row r="1930" spans="1:13" hidden="1" x14ac:dyDescent="0.35">
      <c r="A1930" s="112" t="s">
        <v>4632</v>
      </c>
      <c r="B1930" s="112" t="s">
        <v>4644</v>
      </c>
      <c r="C1930" s="112" t="s">
        <v>695</v>
      </c>
      <c r="D1930" s="113">
        <v>10348085</v>
      </c>
      <c r="E1930" s="115">
        <v>43923</v>
      </c>
      <c r="F1930" s="114">
        <v>202101</v>
      </c>
      <c r="G1930" s="112" t="s">
        <v>1091</v>
      </c>
      <c r="H1930" s="112" t="s">
        <v>1015</v>
      </c>
      <c r="I1930" s="112" t="s">
        <v>757</v>
      </c>
      <c r="J1930" s="112" t="s">
        <v>4645</v>
      </c>
      <c r="K1930" s="112" t="s">
        <v>4662</v>
      </c>
      <c r="L1930" s="116">
        <v>-965.97</v>
      </c>
      <c r="M1930" s="116">
        <f t="shared" si="30"/>
        <v>-0.96597</v>
      </c>
    </row>
    <row r="1931" spans="1:13" hidden="1" x14ac:dyDescent="0.35">
      <c r="A1931" s="112" t="s">
        <v>4632</v>
      </c>
      <c r="B1931" s="112" t="s">
        <v>4644</v>
      </c>
      <c r="C1931" s="112" t="s">
        <v>695</v>
      </c>
      <c r="D1931" s="113">
        <v>10348085</v>
      </c>
      <c r="E1931" s="115">
        <v>43923</v>
      </c>
      <c r="F1931" s="114">
        <v>202101</v>
      </c>
      <c r="G1931" s="112" t="s">
        <v>1091</v>
      </c>
      <c r="H1931" s="112" t="s">
        <v>1015</v>
      </c>
      <c r="I1931" s="112" t="s">
        <v>757</v>
      </c>
      <c r="J1931" s="112" t="s">
        <v>4645</v>
      </c>
      <c r="K1931" s="112" t="s">
        <v>4662</v>
      </c>
      <c r="L1931" s="116">
        <v>85.45</v>
      </c>
      <c r="M1931" s="116">
        <f t="shared" si="30"/>
        <v>8.5449999999999998E-2</v>
      </c>
    </row>
    <row r="1932" spans="1:13" hidden="1" x14ac:dyDescent="0.35">
      <c r="A1932" s="112" t="s">
        <v>4632</v>
      </c>
      <c r="B1932" s="112" t="s">
        <v>4644</v>
      </c>
      <c r="C1932" s="112" t="s">
        <v>695</v>
      </c>
      <c r="D1932" s="113">
        <v>10348085</v>
      </c>
      <c r="E1932" s="115">
        <v>43923</v>
      </c>
      <c r="F1932" s="114">
        <v>202101</v>
      </c>
      <c r="G1932" s="112" t="s">
        <v>1091</v>
      </c>
      <c r="H1932" s="112" t="s">
        <v>1015</v>
      </c>
      <c r="I1932" s="112" t="s">
        <v>757</v>
      </c>
      <c r="J1932" s="112" t="s">
        <v>4645</v>
      </c>
      <c r="K1932" s="112" t="s">
        <v>4662</v>
      </c>
      <c r="L1932" s="116">
        <v>-337.35</v>
      </c>
      <c r="M1932" s="116">
        <f t="shared" si="30"/>
        <v>-0.33735000000000004</v>
      </c>
    </row>
    <row r="1933" spans="1:13" hidden="1" x14ac:dyDescent="0.35">
      <c r="A1933" s="112" t="s">
        <v>4632</v>
      </c>
      <c r="B1933" s="112" t="s">
        <v>4644</v>
      </c>
      <c r="C1933" s="112" t="s">
        <v>695</v>
      </c>
      <c r="D1933" s="113">
        <v>10348085</v>
      </c>
      <c r="E1933" s="115">
        <v>43923</v>
      </c>
      <c r="F1933" s="114">
        <v>202101</v>
      </c>
      <c r="G1933" s="112" t="s">
        <v>1091</v>
      </c>
      <c r="H1933" s="112" t="s">
        <v>1015</v>
      </c>
      <c r="I1933" s="112" t="s">
        <v>757</v>
      </c>
      <c r="J1933" s="112" t="s">
        <v>4645</v>
      </c>
      <c r="K1933" s="112" t="s">
        <v>4662</v>
      </c>
      <c r="L1933" s="116">
        <v>808.7</v>
      </c>
      <c r="M1933" s="116">
        <f t="shared" si="30"/>
        <v>0.80870000000000009</v>
      </c>
    </row>
    <row r="1934" spans="1:13" hidden="1" x14ac:dyDescent="0.35">
      <c r="A1934" s="112" t="s">
        <v>4632</v>
      </c>
      <c r="B1934" s="112" t="s">
        <v>4644</v>
      </c>
      <c r="C1934" s="112" t="s">
        <v>695</v>
      </c>
      <c r="D1934" s="113">
        <v>10348085</v>
      </c>
      <c r="E1934" s="115">
        <v>43923</v>
      </c>
      <c r="F1934" s="114">
        <v>202101</v>
      </c>
      <c r="G1934" s="112" t="s">
        <v>1091</v>
      </c>
      <c r="H1934" s="112" t="s">
        <v>1015</v>
      </c>
      <c r="I1934" s="112" t="s">
        <v>757</v>
      </c>
      <c r="J1934" s="112" t="s">
        <v>4645</v>
      </c>
      <c r="K1934" s="112" t="s">
        <v>4662</v>
      </c>
      <c r="L1934" s="116">
        <v>-49.46</v>
      </c>
      <c r="M1934" s="116">
        <f t="shared" si="30"/>
        <v>-4.9460000000000004E-2</v>
      </c>
    </row>
    <row r="1935" spans="1:13" hidden="1" x14ac:dyDescent="0.35">
      <c r="A1935" s="112" t="s">
        <v>4632</v>
      </c>
      <c r="B1935" s="112" t="s">
        <v>4644</v>
      </c>
      <c r="C1935" s="112" t="s">
        <v>695</v>
      </c>
      <c r="D1935" s="113">
        <v>10348085</v>
      </c>
      <c r="E1935" s="115">
        <v>43923</v>
      </c>
      <c r="F1935" s="114">
        <v>202101</v>
      </c>
      <c r="G1935" s="112" t="s">
        <v>1091</v>
      </c>
      <c r="H1935" s="112" t="s">
        <v>1015</v>
      </c>
      <c r="I1935" s="112" t="s">
        <v>751</v>
      </c>
      <c r="J1935" s="112" t="s">
        <v>4645</v>
      </c>
      <c r="K1935" s="112" t="s">
        <v>4662</v>
      </c>
      <c r="L1935" s="116">
        <v>-29.62</v>
      </c>
      <c r="M1935" s="116">
        <f t="shared" si="30"/>
        <v>-2.962E-2</v>
      </c>
    </row>
    <row r="1936" spans="1:13" hidden="1" x14ac:dyDescent="0.35">
      <c r="A1936" s="112" t="s">
        <v>4632</v>
      </c>
      <c r="B1936" s="112" t="s">
        <v>4644</v>
      </c>
      <c r="C1936" s="112" t="s">
        <v>695</v>
      </c>
      <c r="D1936" s="113">
        <v>10348085</v>
      </c>
      <c r="E1936" s="115">
        <v>43923</v>
      </c>
      <c r="F1936" s="114">
        <v>202101</v>
      </c>
      <c r="G1936" s="112" t="s">
        <v>1091</v>
      </c>
      <c r="H1936" s="112" t="s">
        <v>1015</v>
      </c>
      <c r="I1936" s="112" t="s">
        <v>751</v>
      </c>
      <c r="J1936" s="112" t="s">
        <v>4645</v>
      </c>
      <c r="K1936" s="112" t="s">
        <v>4662</v>
      </c>
      <c r="L1936" s="116">
        <v>-66.81</v>
      </c>
      <c r="M1936" s="116">
        <f t="shared" si="30"/>
        <v>-6.6810000000000008E-2</v>
      </c>
    </row>
    <row r="1937" spans="1:13" hidden="1" x14ac:dyDescent="0.35">
      <c r="A1937" s="112" t="s">
        <v>4632</v>
      </c>
      <c r="B1937" s="112" t="s">
        <v>4644</v>
      </c>
      <c r="C1937" s="112" t="s">
        <v>695</v>
      </c>
      <c r="D1937" s="113">
        <v>10348085</v>
      </c>
      <c r="E1937" s="115">
        <v>43923</v>
      </c>
      <c r="F1937" s="114">
        <v>202101</v>
      </c>
      <c r="G1937" s="112" t="s">
        <v>1091</v>
      </c>
      <c r="H1937" s="112" t="s">
        <v>1015</v>
      </c>
      <c r="I1937" s="112" t="s">
        <v>751</v>
      </c>
      <c r="J1937" s="112" t="s">
        <v>4645</v>
      </c>
      <c r="K1937" s="112" t="s">
        <v>4662</v>
      </c>
      <c r="L1937" s="116">
        <v>-124.52</v>
      </c>
      <c r="M1937" s="116">
        <f t="shared" si="30"/>
        <v>-0.12451999999999999</v>
      </c>
    </row>
    <row r="1938" spans="1:13" hidden="1" x14ac:dyDescent="0.35">
      <c r="A1938" s="112" t="s">
        <v>4632</v>
      </c>
      <c r="B1938" s="112" t="s">
        <v>4644</v>
      </c>
      <c r="C1938" s="112" t="s">
        <v>695</v>
      </c>
      <c r="D1938" s="113">
        <v>10348085</v>
      </c>
      <c r="E1938" s="115">
        <v>43923</v>
      </c>
      <c r="F1938" s="114">
        <v>202101</v>
      </c>
      <c r="G1938" s="112" t="s">
        <v>1091</v>
      </c>
      <c r="H1938" s="112" t="s">
        <v>1015</v>
      </c>
      <c r="I1938" s="112" t="s">
        <v>749</v>
      </c>
      <c r="J1938" s="112" t="s">
        <v>4645</v>
      </c>
      <c r="K1938" s="112" t="s">
        <v>4662</v>
      </c>
      <c r="L1938" s="116">
        <v>20.51</v>
      </c>
      <c r="M1938" s="116">
        <f t="shared" si="30"/>
        <v>2.051E-2</v>
      </c>
    </row>
    <row r="1939" spans="1:13" hidden="1" x14ac:dyDescent="0.35">
      <c r="A1939" s="112" t="s">
        <v>4632</v>
      </c>
      <c r="B1939" s="112" t="s">
        <v>4644</v>
      </c>
      <c r="C1939" s="112" t="s">
        <v>695</v>
      </c>
      <c r="D1939" s="113">
        <v>10348085</v>
      </c>
      <c r="E1939" s="115">
        <v>43923</v>
      </c>
      <c r="F1939" s="114">
        <v>202101</v>
      </c>
      <c r="G1939" s="112" t="s">
        <v>1091</v>
      </c>
      <c r="H1939" s="112" t="s">
        <v>1015</v>
      </c>
      <c r="I1939" s="112" t="s">
        <v>749</v>
      </c>
      <c r="J1939" s="112" t="s">
        <v>4645</v>
      </c>
      <c r="K1939" s="112" t="s">
        <v>4662</v>
      </c>
      <c r="L1939" s="116">
        <v>-231.53</v>
      </c>
      <c r="M1939" s="116">
        <f t="shared" si="30"/>
        <v>-0.23153000000000001</v>
      </c>
    </row>
    <row r="1940" spans="1:13" hidden="1" x14ac:dyDescent="0.35">
      <c r="A1940" s="112" t="s">
        <v>4632</v>
      </c>
      <c r="B1940" s="112" t="s">
        <v>863</v>
      </c>
      <c r="C1940" s="112" t="s">
        <v>695</v>
      </c>
      <c r="D1940" s="113">
        <v>10348085</v>
      </c>
      <c r="E1940" s="115">
        <v>43923</v>
      </c>
      <c r="F1940" s="114">
        <v>202101</v>
      </c>
      <c r="G1940" s="112" t="s">
        <v>1091</v>
      </c>
      <c r="H1940" s="112" t="s">
        <v>1015</v>
      </c>
      <c r="I1940" s="112" t="s">
        <v>749</v>
      </c>
      <c r="J1940" s="112" t="s">
        <v>831</v>
      </c>
      <c r="K1940" s="112" t="s">
        <v>4662</v>
      </c>
      <c r="L1940" s="116">
        <v>-52.41</v>
      </c>
      <c r="M1940" s="116">
        <f t="shared" si="30"/>
        <v>-5.2409999999999998E-2</v>
      </c>
    </row>
    <row r="1941" spans="1:13" hidden="1" x14ac:dyDescent="0.35">
      <c r="A1941" s="112" t="s">
        <v>4632</v>
      </c>
      <c r="B1941" s="112" t="s">
        <v>4650</v>
      </c>
      <c r="C1941" s="112" t="s">
        <v>695</v>
      </c>
      <c r="D1941" s="113">
        <v>10348085</v>
      </c>
      <c r="E1941" s="115">
        <v>43923</v>
      </c>
      <c r="F1941" s="114">
        <v>202101</v>
      </c>
      <c r="G1941" s="112" t="s">
        <v>1091</v>
      </c>
      <c r="H1941" s="112" t="s">
        <v>1015</v>
      </c>
      <c r="I1941" s="112" t="s">
        <v>749</v>
      </c>
      <c r="J1941" s="112" t="s">
        <v>4651</v>
      </c>
      <c r="K1941" s="112" t="s">
        <v>4662</v>
      </c>
      <c r="L1941" s="116">
        <v>-134.16999999999999</v>
      </c>
      <c r="M1941" s="116">
        <f t="shared" si="30"/>
        <v>-0.13416999999999998</v>
      </c>
    </row>
    <row r="1942" spans="1:13" hidden="1" x14ac:dyDescent="0.35">
      <c r="A1942" s="112" t="s">
        <v>4632</v>
      </c>
      <c r="B1942" s="112" t="s">
        <v>4650</v>
      </c>
      <c r="C1942" s="112" t="s">
        <v>695</v>
      </c>
      <c r="D1942" s="113">
        <v>10348085</v>
      </c>
      <c r="E1942" s="115">
        <v>43923</v>
      </c>
      <c r="F1942" s="114">
        <v>202101</v>
      </c>
      <c r="G1942" s="112" t="s">
        <v>1091</v>
      </c>
      <c r="H1942" s="112" t="s">
        <v>1015</v>
      </c>
      <c r="I1942" s="112" t="s">
        <v>749</v>
      </c>
      <c r="J1942" s="112" t="s">
        <v>4651</v>
      </c>
      <c r="K1942" s="112" t="s">
        <v>4662</v>
      </c>
      <c r="L1942" s="116">
        <v>-155.22</v>
      </c>
      <c r="M1942" s="116">
        <f t="shared" si="30"/>
        <v>-0.15522</v>
      </c>
    </row>
    <row r="1943" spans="1:13" hidden="1" x14ac:dyDescent="0.35">
      <c r="A1943" s="112" t="s">
        <v>4632</v>
      </c>
      <c r="B1943" s="112" t="s">
        <v>4650</v>
      </c>
      <c r="C1943" s="112" t="s">
        <v>695</v>
      </c>
      <c r="D1943" s="113">
        <v>10348085</v>
      </c>
      <c r="E1943" s="115">
        <v>43923</v>
      </c>
      <c r="F1943" s="114">
        <v>202101</v>
      </c>
      <c r="G1943" s="112" t="s">
        <v>1091</v>
      </c>
      <c r="H1943" s="112" t="s">
        <v>1015</v>
      </c>
      <c r="I1943" s="112" t="s">
        <v>757</v>
      </c>
      <c r="J1943" s="112" t="s">
        <v>4651</v>
      </c>
      <c r="K1943" s="112" t="s">
        <v>4662</v>
      </c>
      <c r="L1943" s="116">
        <v>-2293.4899999999998</v>
      </c>
      <c r="M1943" s="116">
        <f t="shared" si="30"/>
        <v>-2.2934899999999998</v>
      </c>
    </row>
    <row r="1944" spans="1:13" hidden="1" x14ac:dyDescent="0.35">
      <c r="A1944" s="112" t="s">
        <v>4632</v>
      </c>
      <c r="B1944" s="112" t="s">
        <v>863</v>
      </c>
      <c r="C1944" s="112" t="s">
        <v>695</v>
      </c>
      <c r="D1944" s="113">
        <v>10348085</v>
      </c>
      <c r="E1944" s="115">
        <v>43923</v>
      </c>
      <c r="F1944" s="114">
        <v>202101</v>
      </c>
      <c r="G1944" s="112" t="s">
        <v>1091</v>
      </c>
      <c r="H1944" s="112" t="s">
        <v>1015</v>
      </c>
      <c r="I1944" s="112" t="s">
        <v>757</v>
      </c>
      <c r="J1944" s="112" t="s">
        <v>815</v>
      </c>
      <c r="K1944" s="112" t="s">
        <v>4662</v>
      </c>
      <c r="L1944" s="116">
        <v>-412.85</v>
      </c>
      <c r="M1944" s="116">
        <f t="shared" si="30"/>
        <v>-0.41285000000000005</v>
      </c>
    </row>
    <row r="1945" spans="1:13" hidden="1" x14ac:dyDescent="0.35">
      <c r="A1945" s="112" t="s">
        <v>4632</v>
      </c>
      <c r="B1945" s="112" t="s">
        <v>863</v>
      </c>
      <c r="C1945" s="112" t="s">
        <v>695</v>
      </c>
      <c r="D1945" s="113">
        <v>10348085</v>
      </c>
      <c r="E1945" s="115">
        <v>43923</v>
      </c>
      <c r="F1945" s="114">
        <v>202101</v>
      </c>
      <c r="G1945" s="112" t="s">
        <v>1091</v>
      </c>
      <c r="H1945" s="112" t="s">
        <v>1015</v>
      </c>
      <c r="I1945" s="112" t="s">
        <v>757</v>
      </c>
      <c r="J1945" s="112" t="s">
        <v>815</v>
      </c>
      <c r="K1945" s="112" t="s">
        <v>4662</v>
      </c>
      <c r="L1945" s="116">
        <v>-695.82</v>
      </c>
      <c r="M1945" s="116">
        <f t="shared" si="30"/>
        <v>-0.69582000000000011</v>
      </c>
    </row>
    <row r="1946" spans="1:13" hidden="1" x14ac:dyDescent="0.35">
      <c r="A1946" s="112" t="s">
        <v>4632</v>
      </c>
      <c r="B1946" s="112" t="s">
        <v>4644</v>
      </c>
      <c r="C1946" s="112" t="s">
        <v>695</v>
      </c>
      <c r="D1946" s="113">
        <v>10348085</v>
      </c>
      <c r="E1946" s="115">
        <v>43923</v>
      </c>
      <c r="F1946" s="114">
        <v>202101</v>
      </c>
      <c r="G1946" s="112" t="s">
        <v>1091</v>
      </c>
      <c r="H1946" s="112" t="s">
        <v>1015</v>
      </c>
      <c r="I1946" s="112" t="s">
        <v>757</v>
      </c>
      <c r="J1946" s="112" t="s">
        <v>4645</v>
      </c>
      <c r="K1946" s="112" t="s">
        <v>4662</v>
      </c>
      <c r="L1946" s="116">
        <v>-82.35</v>
      </c>
      <c r="M1946" s="116">
        <f t="shared" si="30"/>
        <v>-8.2349999999999993E-2</v>
      </c>
    </row>
    <row r="1947" spans="1:13" hidden="1" x14ac:dyDescent="0.35">
      <c r="A1947" s="112" t="s">
        <v>4632</v>
      </c>
      <c r="B1947" s="112" t="s">
        <v>863</v>
      </c>
      <c r="C1947" s="112" t="s">
        <v>695</v>
      </c>
      <c r="D1947" s="113">
        <v>10348117</v>
      </c>
      <c r="E1947" s="115">
        <v>43930</v>
      </c>
      <c r="F1947" s="114">
        <v>202101</v>
      </c>
      <c r="G1947" s="112" t="s">
        <v>1091</v>
      </c>
      <c r="H1947" s="112" t="s">
        <v>1016</v>
      </c>
      <c r="I1947" s="112" t="s">
        <v>781</v>
      </c>
      <c r="J1947" s="112" t="s">
        <v>858</v>
      </c>
      <c r="K1947" s="112" t="s">
        <v>4896</v>
      </c>
      <c r="L1947" s="116">
        <v>1469.04</v>
      </c>
      <c r="M1947" s="116">
        <f t="shared" si="30"/>
        <v>1.4690399999999999</v>
      </c>
    </row>
    <row r="1948" spans="1:13" hidden="1" x14ac:dyDescent="0.35">
      <c r="A1948" s="112" t="s">
        <v>4632</v>
      </c>
      <c r="B1948" s="112" t="s">
        <v>863</v>
      </c>
      <c r="C1948" s="112" t="s">
        <v>695</v>
      </c>
      <c r="D1948" s="113">
        <v>10348117</v>
      </c>
      <c r="E1948" s="115">
        <v>43930</v>
      </c>
      <c r="F1948" s="114">
        <v>202101</v>
      </c>
      <c r="G1948" s="112" t="s">
        <v>1091</v>
      </c>
      <c r="H1948" s="112" t="s">
        <v>1016</v>
      </c>
      <c r="I1948" s="112" t="s">
        <v>781</v>
      </c>
      <c r="J1948" s="112" t="s">
        <v>800</v>
      </c>
      <c r="K1948" s="112" t="s">
        <v>4896</v>
      </c>
      <c r="L1948" s="116">
        <v>31.2</v>
      </c>
      <c r="M1948" s="116">
        <f t="shared" si="30"/>
        <v>3.1199999999999999E-2</v>
      </c>
    </row>
    <row r="1949" spans="1:13" hidden="1" x14ac:dyDescent="0.35">
      <c r="A1949" s="112" t="s">
        <v>4632</v>
      </c>
      <c r="B1949" s="112" t="s">
        <v>863</v>
      </c>
      <c r="C1949" s="112" t="s">
        <v>695</v>
      </c>
      <c r="D1949" s="113">
        <v>10348117</v>
      </c>
      <c r="E1949" s="115">
        <v>43930</v>
      </c>
      <c r="F1949" s="114">
        <v>202101</v>
      </c>
      <c r="G1949" s="112" t="s">
        <v>1091</v>
      </c>
      <c r="H1949" s="112" t="s">
        <v>1016</v>
      </c>
      <c r="I1949" s="112" t="s">
        <v>781</v>
      </c>
      <c r="J1949" s="112" t="s">
        <v>825</v>
      </c>
      <c r="K1949" s="112" t="s">
        <v>4896</v>
      </c>
      <c r="L1949" s="116">
        <v>17899.2</v>
      </c>
      <c r="M1949" s="116">
        <f t="shared" si="30"/>
        <v>17.8992</v>
      </c>
    </row>
    <row r="1950" spans="1:13" hidden="1" x14ac:dyDescent="0.35">
      <c r="A1950" s="112" t="s">
        <v>4632</v>
      </c>
      <c r="B1950" s="112" t="s">
        <v>863</v>
      </c>
      <c r="C1950" s="112" t="s">
        <v>695</v>
      </c>
      <c r="D1950" s="113">
        <v>10348117</v>
      </c>
      <c r="E1950" s="115">
        <v>43930</v>
      </c>
      <c r="F1950" s="114">
        <v>202101</v>
      </c>
      <c r="G1950" s="112" t="s">
        <v>1091</v>
      </c>
      <c r="H1950" s="112" t="s">
        <v>1016</v>
      </c>
      <c r="I1950" s="112" t="s">
        <v>781</v>
      </c>
      <c r="J1950" s="112" t="s">
        <v>815</v>
      </c>
      <c r="K1950" s="112" t="s">
        <v>4896</v>
      </c>
      <c r="L1950" s="116">
        <v>60360.72</v>
      </c>
      <c r="M1950" s="116">
        <f t="shared" si="30"/>
        <v>60.360720000000001</v>
      </c>
    </row>
    <row r="1951" spans="1:13" hidden="1" x14ac:dyDescent="0.35">
      <c r="A1951" s="112" t="s">
        <v>4632</v>
      </c>
      <c r="B1951" s="112" t="s">
        <v>863</v>
      </c>
      <c r="C1951" s="112" t="s">
        <v>695</v>
      </c>
      <c r="D1951" s="113">
        <v>10348117</v>
      </c>
      <c r="E1951" s="115">
        <v>43930</v>
      </c>
      <c r="F1951" s="114">
        <v>202101</v>
      </c>
      <c r="G1951" s="112" t="s">
        <v>1091</v>
      </c>
      <c r="H1951" s="112" t="s">
        <v>1016</v>
      </c>
      <c r="I1951" s="112" t="s">
        <v>781</v>
      </c>
      <c r="J1951" s="112" t="s">
        <v>821</v>
      </c>
      <c r="K1951" s="112" t="s">
        <v>4896</v>
      </c>
      <c r="L1951" s="116">
        <v>35634</v>
      </c>
      <c r="M1951" s="116">
        <f t="shared" si="30"/>
        <v>35.634</v>
      </c>
    </row>
    <row r="1952" spans="1:13" hidden="1" x14ac:dyDescent="0.35">
      <c r="A1952" s="112" t="s">
        <v>4632</v>
      </c>
      <c r="B1952" s="112" t="s">
        <v>863</v>
      </c>
      <c r="C1952" s="112" t="s">
        <v>695</v>
      </c>
      <c r="D1952" s="113">
        <v>10348117</v>
      </c>
      <c r="E1952" s="115">
        <v>43930</v>
      </c>
      <c r="F1952" s="114">
        <v>202101</v>
      </c>
      <c r="G1952" s="112" t="s">
        <v>1091</v>
      </c>
      <c r="H1952" s="112" t="s">
        <v>1016</v>
      </c>
      <c r="I1952" s="112" t="s">
        <v>781</v>
      </c>
      <c r="J1952" s="112" t="s">
        <v>798</v>
      </c>
      <c r="K1952" s="112" t="s">
        <v>4896</v>
      </c>
      <c r="L1952" s="116">
        <v>617.28</v>
      </c>
      <c r="M1952" s="116">
        <f t="shared" si="30"/>
        <v>0.61727999999999994</v>
      </c>
    </row>
    <row r="1953" spans="1:13" hidden="1" x14ac:dyDescent="0.35">
      <c r="A1953" s="112" t="s">
        <v>4632</v>
      </c>
      <c r="B1953" s="112" t="s">
        <v>863</v>
      </c>
      <c r="C1953" s="112" t="s">
        <v>695</v>
      </c>
      <c r="D1953" s="113">
        <v>10348117</v>
      </c>
      <c r="E1953" s="115">
        <v>43930</v>
      </c>
      <c r="F1953" s="114">
        <v>202101</v>
      </c>
      <c r="G1953" s="112" t="s">
        <v>1091</v>
      </c>
      <c r="H1953" s="112" t="s">
        <v>1016</v>
      </c>
      <c r="I1953" s="112" t="s">
        <v>781</v>
      </c>
      <c r="J1953" s="112" t="s">
        <v>808</v>
      </c>
      <c r="K1953" s="112" t="s">
        <v>4896</v>
      </c>
      <c r="L1953" s="116">
        <v>22321.919999999998</v>
      </c>
      <c r="M1953" s="116">
        <f t="shared" si="30"/>
        <v>22.321919999999999</v>
      </c>
    </row>
    <row r="1954" spans="1:13" hidden="1" x14ac:dyDescent="0.35">
      <c r="A1954" s="112" t="s">
        <v>4632</v>
      </c>
      <c r="B1954" s="112" t="s">
        <v>863</v>
      </c>
      <c r="C1954" s="112" t="s">
        <v>695</v>
      </c>
      <c r="D1954" s="113">
        <v>10348117</v>
      </c>
      <c r="E1954" s="115">
        <v>43930</v>
      </c>
      <c r="F1954" s="114">
        <v>202101</v>
      </c>
      <c r="G1954" s="112" t="s">
        <v>1091</v>
      </c>
      <c r="H1954" s="112" t="s">
        <v>1016</v>
      </c>
      <c r="I1954" s="112" t="s">
        <v>781</v>
      </c>
      <c r="J1954" s="112" t="s">
        <v>835</v>
      </c>
      <c r="K1954" s="112" t="s">
        <v>4896</v>
      </c>
      <c r="L1954" s="116">
        <v>4538.6400000000003</v>
      </c>
      <c r="M1954" s="116">
        <f t="shared" si="30"/>
        <v>4.53864</v>
      </c>
    </row>
    <row r="1955" spans="1:13" hidden="1" x14ac:dyDescent="0.35">
      <c r="A1955" s="112" t="s">
        <v>4632</v>
      </c>
      <c r="B1955" s="112" t="s">
        <v>863</v>
      </c>
      <c r="C1955" s="112" t="s">
        <v>695</v>
      </c>
      <c r="D1955" s="113">
        <v>10348117</v>
      </c>
      <c r="E1955" s="115">
        <v>43930</v>
      </c>
      <c r="F1955" s="114">
        <v>202101</v>
      </c>
      <c r="G1955" s="112" t="s">
        <v>1091</v>
      </c>
      <c r="H1955" s="112" t="s">
        <v>1016</v>
      </c>
      <c r="I1955" s="112" t="s">
        <v>781</v>
      </c>
      <c r="J1955" s="112" t="s">
        <v>833</v>
      </c>
      <c r="K1955" s="112" t="s">
        <v>4896</v>
      </c>
      <c r="L1955" s="116">
        <v>11185.2</v>
      </c>
      <c r="M1955" s="116">
        <f t="shared" si="30"/>
        <v>11.1852</v>
      </c>
    </row>
    <row r="1956" spans="1:13" hidden="1" x14ac:dyDescent="0.35">
      <c r="A1956" s="112" t="s">
        <v>4632</v>
      </c>
      <c r="B1956" s="112" t="s">
        <v>863</v>
      </c>
      <c r="C1956" s="112" t="s">
        <v>695</v>
      </c>
      <c r="D1956" s="113">
        <v>10348117</v>
      </c>
      <c r="E1956" s="115">
        <v>43930</v>
      </c>
      <c r="F1956" s="114">
        <v>202101</v>
      </c>
      <c r="G1956" s="112" t="s">
        <v>1091</v>
      </c>
      <c r="H1956" s="112" t="s">
        <v>1016</v>
      </c>
      <c r="I1956" s="112" t="s">
        <v>781</v>
      </c>
      <c r="J1956" s="112" t="s">
        <v>831</v>
      </c>
      <c r="K1956" s="112" t="s">
        <v>4896</v>
      </c>
      <c r="L1956" s="116">
        <v>20773.439999999999</v>
      </c>
      <c r="M1956" s="116">
        <f t="shared" si="30"/>
        <v>20.773439999999997</v>
      </c>
    </row>
    <row r="1957" spans="1:13" hidden="1" x14ac:dyDescent="0.35">
      <c r="A1957" s="112" t="s">
        <v>4632</v>
      </c>
      <c r="B1957" s="112" t="s">
        <v>863</v>
      </c>
      <c r="C1957" s="112" t="s">
        <v>695</v>
      </c>
      <c r="D1957" s="113">
        <v>10348117</v>
      </c>
      <c r="E1957" s="115">
        <v>43930</v>
      </c>
      <c r="F1957" s="114">
        <v>202101</v>
      </c>
      <c r="G1957" s="112" t="s">
        <v>1091</v>
      </c>
      <c r="H1957" s="112" t="s">
        <v>1016</v>
      </c>
      <c r="I1957" s="112" t="s">
        <v>781</v>
      </c>
      <c r="J1957" s="112" t="s">
        <v>856</v>
      </c>
      <c r="K1957" s="112" t="s">
        <v>4896</v>
      </c>
      <c r="L1957" s="116">
        <v>24395.040000000001</v>
      </c>
      <c r="M1957" s="116">
        <f t="shared" si="30"/>
        <v>24.395040000000002</v>
      </c>
    </row>
    <row r="1958" spans="1:13" hidden="1" x14ac:dyDescent="0.35">
      <c r="A1958" s="112" t="s">
        <v>4632</v>
      </c>
      <c r="B1958" s="112" t="s">
        <v>863</v>
      </c>
      <c r="C1958" s="112" t="s">
        <v>695</v>
      </c>
      <c r="D1958" s="113">
        <v>10348117</v>
      </c>
      <c r="E1958" s="115">
        <v>43930</v>
      </c>
      <c r="F1958" s="114">
        <v>202101</v>
      </c>
      <c r="G1958" s="112" t="s">
        <v>1091</v>
      </c>
      <c r="H1958" s="112" t="s">
        <v>1016</v>
      </c>
      <c r="I1958" s="112" t="s">
        <v>781</v>
      </c>
      <c r="J1958" s="112" t="s">
        <v>852</v>
      </c>
      <c r="K1958" s="112" t="s">
        <v>4896</v>
      </c>
      <c r="L1958" s="116">
        <v>17650.080000000002</v>
      </c>
      <c r="M1958" s="116">
        <f t="shared" si="30"/>
        <v>17.650080000000003</v>
      </c>
    </row>
    <row r="1959" spans="1:13" hidden="1" x14ac:dyDescent="0.35">
      <c r="A1959" s="112" t="s">
        <v>4632</v>
      </c>
      <c r="B1959" s="112" t="s">
        <v>863</v>
      </c>
      <c r="C1959" s="112" t="s">
        <v>695</v>
      </c>
      <c r="D1959" s="113">
        <v>10348117</v>
      </c>
      <c r="E1959" s="115">
        <v>43930</v>
      </c>
      <c r="F1959" s="114">
        <v>202101</v>
      </c>
      <c r="G1959" s="112" t="s">
        <v>1091</v>
      </c>
      <c r="H1959" s="112" t="s">
        <v>1016</v>
      </c>
      <c r="I1959" s="112" t="s">
        <v>781</v>
      </c>
      <c r="J1959" s="112" t="s">
        <v>793</v>
      </c>
      <c r="K1959" s="112" t="s">
        <v>4896</v>
      </c>
      <c r="L1959" s="116">
        <v>1869.6</v>
      </c>
      <c r="M1959" s="116">
        <f t="shared" si="30"/>
        <v>1.8695999999999999</v>
      </c>
    </row>
    <row r="1960" spans="1:13" hidden="1" x14ac:dyDescent="0.35">
      <c r="A1960" s="112" t="s">
        <v>4632</v>
      </c>
      <c r="B1960" s="112" t="s">
        <v>863</v>
      </c>
      <c r="C1960" s="112" t="s">
        <v>695</v>
      </c>
      <c r="D1960" s="113">
        <v>10348085</v>
      </c>
      <c r="E1960" s="115">
        <v>43923</v>
      </c>
      <c r="F1960" s="114">
        <v>202101</v>
      </c>
      <c r="G1960" s="112" t="s">
        <v>1091</v>
      </c>
      <c r="H1960" s="112" t="s">
        <v>1015</v>
      </c>
      <c r="I1960" s="112" t="s">
        <v>749</v>
      </c>
      <c r="J1960" s="112" t="s">
        <v>790</v>
      </c>
      <c r="K1960" s="112" t="s">
        <v>4662</v>
      </c>
      <c r="L1960" s="116">
        <v>-360.95</v>
      </c>
      <c r="M1960" s="116">
        <f t="shared" si="30"/>
        <v>-0.36094999999999999</v>
      </c>
    </row>
    <row r="1961" spans="1:13" hidden="1" x14ac:dyDescent="0.35">
      <c r="A1961" s="112" t="s">
        <v>4632</v>
      </c>
      <c r="B1961" s="112" t="s">
        <v>4644</v>
      </c>
      <c r="C1961" s="112" t="s">
        <v>695</v>
      </c>
      <c r="D1961" s="113">
        <v>10348085</v>
      </c>
      <c r="E1961" s="115">
        <v>43923</v>
      </c>
      <c r="F1961" s="114">
        <v>202101</v>
      </c>
      <c r="G1961" s="112" t="s">
        <v>1091</v>
      </c>
      <c r="H1961" s="112" t="s">
        <v>1015</v>
      </c>
      <c r="I1961" s="112" t="s">
        <v>749</v>
      </c>
      <c r="J1961" s="112" t="s">
        <v>4645</v>
      </c>
      <c r="K1961" s="112" t="s">
        <v>4662</v>
      </c>
      <c r="L1961" s="116">
        <v>85.45</v>
      </c>
      <c r="M1961" s="116">
        <f t="shared" si="30"/>
        <v>8.5449999999999998E-2</v>
      </c>
    </row>
    <row r="1962" spans="1:13" hidden="1" x14ac:dyDescent="0.35">
      <c r="A1962" s="112" t="s">
        <v>4632</v>
      </c>
      <c r="B1962" s="112" t="s">
        <v>4644</v>
      </c>
      <c r="C1962" s="112" t="s">
        <v>695</v>
      </c>
      <c r="D1962" s="113">
        <v>10348085</v>
      </c>
      <c r="E1962" s="115">
        <v>43923</v>
      </c>
      <c r="F1962" s="114">
        <v>202101</v>
      </c>
      <c r="G1962" s="112" t="s">
        <v>1091</v>
      </c>
      <c r="H1962" s="112" t="s">
        <v>1015</v>
      </c>
      <c r="I1962" s="112" t="s">
        <v>749</v>
      </c>
      <c r="J1962" s="112" t="s">
        <v>4645</v>
      </c>
      <c r="K1962" s="112" t="s">
        <v>4662</v>
      </c>
      <c r="L1962" s="116">
        <v>-53.2</v>
      </c>
      <c r="M1962" s="116">
        <f t="shared" si="30"/>
        <v>-5.3200000000000004E-2</v>
      </c>
    </row>
    <row r="1963" spans="1:13" hidden="1" x14ac:dyDescent="0.35">
      <c r="A1963" s="112" t="s">
        <v>4632</v>
      </c>
      <c r="B1963" s="112" t="s">
        <v>863</v>
      </c>
      <c r="C1963" s="112" t="s">
        <v>695</v>
      </c>
      <c r="D1963" s="113">
        <v>10348117</v>
      </c>
      <c r="E1963" s="115">
        <v>43930</v>
      </c>
      <c r="F1963" s="114">
        <v>202101</v>
      </c>
      <c r="G1963" s="112" t="s">
        <v>1091</v>
      </c>
      <c r="H1963" s="112" t="s">
        <v>1016</v>
      </c>
      <c r="I1963" s="112" t="s">
        <v>781</v>
      </c>
      <c r="J1963" s="112" t="s">
        <v>796</v>
      </c>
      <c r="K1963" s="112" t="s">
        <v>4896</v>
      </c>
      <c r="L1963" s="116">
        <v>4242.24</v>
      </c>
      <c r="M1963" s="116">
        <f t="shared" si="30"/>
        <v>4.2422399999999998</v>
      </c>
    </row>
    <row r="1964" spans="1:13" hidden="1" x14ac:dyDescent="0.35">
      <c r="A1964" s="112" t="s">
        <v>4632</v>
      </c>
      <c r="B1964" s="112" t="s">
        <v>863</v>
      </c>
      <c r="C1964" s="112" t="s">
        <v>695</v>
      </c>
      <c r="D1964" s="113">
        <v>10348117</v>
      </c>
      <c r="E1964" s="115">
        <v>43930</v>
      </c>
      <c r="F1964" s="114">
        <v>202101</v>
      </c>
      <c r="G1964" s="112" t="s">
        <v>1091</v>
      </c>
      <c r="H1964" s="112" t="s">
        <v>1016</v>
      </c>
      <c r="I1964" s="112" t="s">
        <v>781</v>
      </c>
      <c r="J1964" s="112" t="s">
        <v>802</v>
      </c>
      <c r="K1964" s="112" t="s">
        <v>4896</v>
      </c>
      <c r="L1964" s="116">
        <v>853.92</v>
      </c>
      <c r="M1964" s="116">
        <f t="shared" si="30"/>
        <v>0.85392000000000001</v>
      </c>
    </row>
    <row r="1965" spans="1:13" hidden="1" x14ac:dyDescent="0.35">
      <c r="A1965" s="112" t="s">
        <v>4632</v>
      </c>
      <c r="B1965" s="112" t="s">
        <v>863</v>
      </c>
      <c r="C1965" s="112" t="s">
        <v>695</v>
      </c>
      <c r="D1965" s="113">
        <v>10348117</v>
      </c>
      <c r="E1965" s="115">
        <v>43930</v>
      </c>
      <c r="F1965" s="114">
        <v>202101</v>
      </c>
      <c r="G1965" s="112" t="s">
        <v>1091</v>
      </c>
      <c r="H1965" s="112" t="s">
        <v>1016</v>
      </c>
      <c r="I1965" s="112" t="s">
        <v>781</v>
      </c>
      <c r="J1965" s="112" t="s">
        <v>829</v>
      </c>
      <c r="K1965" s="112" t="s">
        <v>4896</v>
      </c>
      <c r="L1965" s="116">
        <v>21919.919999999998</v>
      </c>
      <c r="M1965" s="116">
        <f t="shared" si="30"/>
        <v>21.919919999999998</v>
      </c>
    </row>
    <row r="1966" spans="1:13" hidden="1" x14ac:dyDescent="0.35">
      <c r="A1966" s="112" t="s">
        <v>4632</v>
      </c>
      <c r="B1966" s="112" t="s">
        <v>863</v>
      </c>
      <c r="C1966" s="112" t="s">
        <v>695</v>
      </c>
      <c r="D1966" s="113">
        <v>10348117</v>
      </c>
      <c r="E1966" s="115">
        <v>43930</v>
      </c>
      <c r="F1966" s="114">
        <v>202101</v>
      </c>
      <c r="G1966" s="112" t="s">
        <v>1091</v>
      </c>
      <c r="H1966" s="112" t="s">
        <v>1016</v>
      </c>
      <c r="I1966" s="112" t="s">
        <v>781</v>
      </c>
      <c r="J1966" s="112" t="s">
        <v>842</v>
      </c>
      <c r="K1966" s="112" t="s">
        <v>4896</v>
      </c>
      <c r="L1966" s="116">
        <v>1671.36</v>
      </c>
      <c r="M1966" s="116">
        <f t="shared" si="30"/>
        <v>1.67136</v>
      </c>
    </row>
    <row r="1967" spans="1:13" hidden="1" x14ac:dyDescent="0.35">
      <c r="A1967" s="112" t="s">
        <v>4632</v>
      </c>
      <c r="B1967" s="112" t="s">
        <v>863</v>
      </c>
      <c r="C1967" s="112" t="s">
        <v>695</v>
      </c>
      <c r="D1967" s="113">
        <v>10348117</v>
      </c>
      <c r="E1967" s="115">
        <v>43930</v>
      </c>
      <c r="F1967" s="114">
        <v>202101</v>
      </c>
      <c r="G1967" s="112" t="s">
        <v>1091</v>
      </c>
      <c r="H1967" s="112" t="s">
        <v>1016</v>
      </c>
      <c r="I1967" s="112" t="s">
        <v>781</v>
      </c>
      <c r="J1967" s="112" t="s">
        <v>840</v>
      </c>
      <c r="K1967" s="112" t="s">
        <v>4896</v>
      </c>
      <c r="L1967" s="116">
        <v>6036.48</v>
      </c>
      <c r="M1967" s="116">
        <f t="shared" si="30"/>
        <v>6.0364799999999992</v>
      </c>
    </row>
    <row r="1968" spans="1:13" hidden="1" x14ac:dyDescent="0.35">
      <c r="A1968" s="112" t="s">
        <v>4632</v>
      </c>
      <c r="B1968" s="112" t="s">
        <v>863</v>
      </c>
      <c r="C1968" s="112" t="s">
        <v>695</v>
      </c>
      <c r="D1968" s="113">
        <v>10348117</v>
      </c>
      <c r="E1968" s="115">
        <v>43930</v>
      </c>
      <c r="F1968" s="114">
        <v>202101</v>
      </c>
      <c r="G1968" s="112" t="s">
        <v>1091</v>
      </c>
      <c r="H1968" s="112" t="s">
        <v>1016</v>
      </c>
      <c r="I1968" s="112" t="s">
        <v>781</v>
      </c>
      <c r="J1968" s="112" t="s">
        <v>838</v>
      </c>
      <c r="K1968" s="112" t="s">
        <v>4896</v>
      </c>
      <c r="L1968" s="116">
        <v>6907.92</v>
      </c>
      <c r="M1968" s="116">
        <f t="shared" si="30"/>
        <v>6.9079199999999998</v>
      </c>
    </row>
    <row r="1969" spans="1:13" hidden="1" x14ac:dyDescent="0.35">
      <c r="A1969" s="112" t="s">
        <v>4632</v>
      </c>
      <c r="B1969" s="112" t="s">
        <v>4644</v>
      </c>
      <c r="C1969" s="112" t="s">
        <v>695</v>
      </c>
      <c r="D1969" s="113">
        <v>10348085</v>
      </c>
      <c r="E1969" s="115">
        <v>43923</v>
      </c>
      <c r="F1969" s="114">
        <v>202101</v>
      </c>
      <c r="G1969" s="112" t="s">
        <v>1091</v>
      </c>
      <c r="H1969" s="112" t="s">
        <v>1015</v>
      </c>
      <c r="I1969" s="112" t="s">
        <v>749</v>
      </c>
      <c r="J1969" s="112" t="s">
        <v>4645</v>
      </c>
      <c r="K1969" s="112" t="s">
        <v>4662</v>
      </c>
      <c r="L1969" s="116">
        <v>-41.22</v>
      </c>
      <c r="M1969" s="116">
        <f t="shared" si="30"/>
        <v>-4.122E-2</v>
      </c>
    </row>
    <row r="1970" spans="1:13" hidden="1" x14ac:dyDescent="0.35">
      <c r="A1970" s="112" t="s">
        <v>4632</v>
      </c>
      <c r="B1970" s="112" t="s">
        <v>4650</v>
      </c>
      <c r="C1970" s="112" t="s">
        <v>695</v>
      </c>
      <c r="D1970" s="113">
        <v>10348085</v>
      </c>
      <c r="E1970" s="115">
        <v>43923</v>
      </c>
      <c r="F1970" s="114">
        <v>202101</v>
      </c>
      <c r="G1970" s="112" t="s">
        <v>1091</v>
      </c>
      <c r="H1970" s="112" t="s">
        <v>1015</v>
      </c>
      <c r="I1970" s="112" t="s">
        <v>757</v>
      </c>
      <c r="J1970" s="112" t="s">
        <v>4651</v>
      </c>
      <c r="K1970" s="112" t="s">
        <v>4662</v>
      </c>
      <c r="L1970" s="116">
        <v>-100.58</v>
      </c>
      <c r="M1970" s="116">
        <f t="shared" si="30"/>
        <v>-0.10058</v>
      </c>
    </row>
    <row r="1971" spans="1:13" hidden="1" x14ac:dyDescent="0.35">
      <c r="A1971" s="112" t="s">
        <v>4632</v>
      </c>
      <c r="B1971" s="112" t="s">
        <v>863</v>
      </c>
      <c r="C1971" s="112" t="s">
        <v>695</v>
      </c>
      <c r="D1971" s="113">
        <v>10348117</v>
      </c>
      <c r="E1971" s="115">
        <v>43930</v>
      </c>
      <c r="F1971" s="114">
        <v>202101</v>
      </c>
      <c r="G1971" s="112" t="s">
        <v>1091</v>
      </c>
      <c r="H1971" s="112" t="s">
        <v>1016</v>
      </c>
      <c r="I1971" s="112" t="s">
        <v>781</v>
      </c>
      <c r="J1971" s="112" t="s">
        <v>854</v>
      </c>
      <c r="K1971" s="112" t="s">
        <v>4896</v>
      </c>
      <c r="L1971" s="116">
        <v>28409.759999999998</v>
      </c>
      <c r="M1971" s="116">
        <f t="shared" si="30"/>
        <v>28.409759999999999</v>
      </c>
    </row>
    <row r="1972" spans="1:13" hidden="1" x14ac:dyDescent="0.35">
      <c r="A1972" s="112" t="s">
        <v>4632</v>
      </c>
      <c r="B1972" s="112" t="s">
        <v>863</v>
      </c>
      <c r="C1972" s="112" t="s">
        <v>695</v>
      </c>
      <c r="D1972" s="113">
        <v>10348069</v>
      </c>
      <c r="E1972" s="115">
        <v>43929</v>
      </c>
      <c r="F1972" s="114">
        <v>202101</v>
      </c>
      <c r="G1972" s="112" t="s">
        <v>1091</v>
      </c>
      <c r="H1972" s="112" t="s">
        <v>1015</v>
      </c>
      <c r="I1972" s="112" t="s">
        <v>753</v>
      </c>
      <c r="J1972" s="112" t="s">
        <v>815</v>
      </c>
      <c r="K1972" s="112" t="s">
        <v>4910</v>
      </c>
      <c r="L1972" s="116">
        <v>276983.90000000002</v>
      </c>
      <c r="M1972" s="116">
        <f t="shared" si="30"/>
        <v>276.98390000000001</v>
      </c>
    </row>
    <row r="1973" spans="1:13" hidden="1" x14ac:dyDescent="0.35">
      <c r="A1973" s="112" t="s">
        <v>4632</v>
      </c>
      <c r="B1973" s="112" t="s">
        <v>863</v>
      </c>
      <c r="C1973" s="112" t="s">
        <v>695</v>
      </c>
      <c r="D1973" s="113">
        <v>10348069</v>
      </c>
      <c r="E1973" s="115">
        <v>43929</v>
      </c>
      <c r="F1973" s="114">
        <v>202101</v>
      </c>
      <c r="G1973" s="112" t="s">
        <v>1091</v>
      </c>
      <c r="H1973" s="112" t="s">
        <v>1015</v>
      </c>
      <c r="I1973" s="112" t="s">
        <v>753</v>
      </c>
      <c r="J1973" s="112" t="s">
        <v>852</v>
      </c>
      <c r="K1973" s="112" t="s">
        <v>4914</v>
      </c>
      <c r="L1973" s="116">
        <v>22179.599999999999</v>
      </c>
      <c r="M1973" s="116">
        <f t="shared" si="30"/>
        <v>22.179599999999997</v>
      </c>
    </row>
    <row r="1974" spans="1:13" hidden="1" x14ac:dyDescent="0.35">
      <c r="A1974" s="112" t="s">
        <v>4632</v>
      </c>
      <c r="B1974" s="112" t="s">
        <v>863</v>
      </c>
      <c r="C1974" s="112" t="s">
        <v>695</v>
      </c>
      <c r="D1974" s="113">
        <v>10348085</v>
      </c>
      <c r="E1974" s="115">
        <v>43923</v>
      </c>
      <c r="F1974" s="114">
        <v>202101</v>
      </c>
      <c r="G1974" s="112" t="s">
        <v>1091</v>
      </c>
      <c r="H1974" s="112" t="s">
        <v>1015</v>
      </c>
      <c r="I1974" s="112" t="s">
        <v>749</v>
      </c>
      <c r="J1974" s="112" t="s">
        <v>835</v>
      </c>
      <c r="K1974" s="112" t="s">
        <v>4662</v>
      </c>
      <c r="L1974" s="116">
        <v>-423.45</v>
      </c>
      <c r="M1974" s="116">
        <f t="shared" si="30"/>
        <v>-0.42344999999999999</v>
      </c>
    </row>
    <row r="1975" spans="1:13" hidden="1" x14ac:dyDescent="0.35">
      <c r="A1975" s="112" t="s">
        <v>4632</v>
      </c>
      <c r="B1975" s="112" t="s">
        <v>863</v>
      </c>
      <c r="C1975" s="112" t="s">
        <v>695</v>
      </c>
      <c r="D1975" s="113">
        <v>10348085</v>
      </c>
      <c r="E1975" s="115">
        <v>43923</v>
      </c>
      <c r="F1975" s="114">
        <v>202101</v>
      </c>
      <c r="G1975" s="112" t="s">
        <v>1091</v>
      </c>
      <c r="H1975" s="112" t="s">
        <v>1015</v>
      </c>
      <c r="I1975" s="112" t="s">
        <v>749</v>
      </c>
      <c r="J1975" s="112" t="s">
        <v>815</v>
      </c>
      <c r="K1975" s="112" t="s">
        <v>4662</v>
      </c>
      <c r="L1975" s="116">
        <v>-113.13</v>
      </c>
      <c r="M1975" s="116">
        <f t="shared" si="30"/>
        <v>-0.11312999999999999</v>
      </c>
    </row>
    <row r="1976" spans="1:13" hidden="1" x14ac:dyDescent="0.35">
      <c r="A1976" s="112" t="s">
        <v>4632</v>
      </c>
      <c r="B1976" s="112" t="s">
        <v>4644</v>
      </c>
      <c r="C1976" s="112" t="s">
        <v>695</v>
      </c>
      <c r="D1976" s="113">
        <v>10348085</v>
      </c>
      <c r="E1976" s="115">
        <v>43923</v>
      </c>
      <c r="F1976" s="114">
        <v>202101</v>
      </c>
      <c r="G1976" s="112" t="s">
        <v>1091</v>
      </c>
      <c r="H1976" s="112" t="s">
        <v>1015</v>
      </c>
      <c r="I1976" s="112" t="s">
        <v>749</v>
      </c>
      <c r="J1976" s="112" t="s">
        <v>4645</v>
      </c>
      <c r="K1976" s="112" t="s">
        <v>4662</v>
      </c>
      <c r="L1976" s="116">
        <v>-82.17</v>
      </c>
      <c r="M1976" s="116">
        <f t="shared" si="30"/>
        <v>-8.2170000000000007E-2</v>
      </c>
    </row>
    <row r="1977" spans="1:13" hidden="1" x14ac:dyDescent="0.35">
      <c r="A1977" s="112" t="s">
        <v>4632</v>
      </c>
      <c r="B1977" s="112" t="s">
        <v>4650</v>
      </c>
      <c r="C1977" s="112" t="s">
        <v>695</v>
      </c>
      <c r="D1977" s="113">
        <v>10348085</v>
      </c>
      <c r="E1977" s="115">
        <v>43923</v>
      </c>
      <c r="F1977" s="114">
        <v>202101</v>
      </c>
      <c r="G1977" s="112" t="s">
        <v>1091</v>
      </c>
      <c r="H1977" s="112" t="s">
        <v>1015</v>
      </c>
      <c r="I1977" s="112" t="s">
        <v>749</v>
      </c>
      <c r="J1977" s="112" t="s">
        <v>4651</v>
      </c>
      <c r="K1977" s="112" t="s">
        <v>4662</v>
      </c>
      <c r="L1977" s="116">
        <v>-67.209999999999994</v>
      </c>
      <c r="M1977" s="116">
        <f t="shared" si="30"/>
        <v>-6.7209999999999992E-2</v>
      </c>
    </row>
    <row r="1978" spans="1:13" hidden="1" x14ac:dyDescent="0.35">
      <c r="A1978" s="112" t="s">
        <v>4632</v>
      </c>
      <c r="B1978" s="112" t="s">
        <v>4650</v>
      </c>
      <c r="C1978" s="112" t="s">
        <v>695</v>
      </c>
      <c r="D1978" s="113">
        <v>10348085</v>
      </c>
      <c r="E1978" s="115">
        <v>43923</v>
      </c>
      <c r="F1978" s="114">
        <v>202101</v>
      </c>
      <c r="G1978" s="112" t="s">
        <v>1091</v>
      </c>
      <c r="H1978" s="112" t="s">
        <v>1015</v>
      </c>
      <c r="I1978" s="112" t="s">
        <v>749</v>
      </c>
      <c r="J1978" s="112" t="s">
        <v>4651</v>
      </c>
      <c r="K1978" s="112" t="s">
        <v>4662</v>
      </c>
      <c r="L1978" s="116">
        <v>-78.83</v>
      </c>
      <c r="M1978" s="116">
        <f t="shared" si="30"/>
        <v>-7.8829999999999997E-2</v>
      </c>
    </row>
    <row r="1979" spans="1:13" hidden="1" x14ac:dyDescent="0.35">
      <c r="A1979" s="112" t="s">
        <v>4632</v>
      </c>
      <c r="B1979" s="112" t="s">
        <v>4650</v>
      </c>
      <c r="C1979" s="112" t="s">
        <v>695</v>
      </c>
      <c r="D1979" s="113">
        <v>10348085</v>
      </c>
      <c r="E1979" s="115">
        <v>43923</v>
      </c>
      <c r="F1979" s="114">
        <v>202101</v>
      </c>
      <c r="G1979" s="112" t="s">
        <v>1091</v>
      </c>
      <c r="H1979" s="112" t="s">
        <v>1015</v>
      </c>
      <c r="I1979" s="112" t="s">
        <v>749</v>
      </c>
      <c r="J1979" s="112" t="s">
        <v>4651</v>
      </c>
      <c r="K1979" s="112" t="s">
        <v>4662</v>
      </c>
      <c r="L1979" s="116">
        <v>-173.81</v>
      </c>
      <c r="M1979" s="116">
        <f t="shared" si="30"/>
        <v>-0.17380999999999999</v>
      </c>
    </row>
    <row r="1980" spans="1:13" hidden="1" x14ac:dyDescent="0.35">
      <c r="A1980" s="112" t="s">
        <v>4632</v>
      </c>
      <c r="B1980" s="112" t="s">
        <v>4650</v>
      </c>
      <c r="C1980" s="112" t="s">
        <v>695</v>
      </c>
      <c r="D1980" s="113">
        <v>10348085</v>
      </c>
      <c r="E1980" s="115">
        <v>43923</v>
      </c>
      <c r="F1980" s="114">
        <v>202101</v>
      </c>
      <c r="G1980" s="112" t="s">
        <v>1091</v>
      </c>
      <c r="H1980" s="112" t="s">
        <v>1015</v>
      </c>
      <c r="I1980" s="112" t="s">
        <v>749</v>
      </c>
      <c r="J1980" s="112" t="s">
        <v>4651</v>
      </c>
      <c r="K1980" s="112" t="s">
        <v>4662</v>
      </c>
      <c r="L1980" s="116">
        <v>-39.409999999999997</v>
      </c>
      <c r="M1980" s="116">
        <f t="shared" si="30"/>
        <v>-3.9409999999999994E-2</v>
      </c>
    </row>
    <row r="1981" spans="1:13" hidden="1" x14ac:dyDescent="0.35">
      <c r="A1981" s="112" t="s">
        <v>4632</v>
      </c>
      <c r="B1981" s="112" t="s">
        <v>4650</v>
      </c>
      <c r="C1981" s="112" t="s">
        <v>695</v>
      </c>
      <c r="D1981" s="113">
        <v>10348085</v>
      </c>
      <c r="E1981" s="115">
        <v>43923</v>
      </c>
      <c r="F1981" s="114">
        <v>202101</v>
      </c>
      <c r="G1981" s="112" t="s">
        <v>1091</v>
      </c>
      <c r="H1981" s="112" t="s">
        <v>1015</v>
      </c>
      <c r="I1981" s="112" t="s">
        <v>757</v>
      </c>
      <c r="J1981" s="112" t="s">
        <v>4651</v>
      </c>
      <c r="K1981" s="112" t="s">
        <v>4662</v>
      </c>
      <c r="L1981" s="116">
        <v>-731.7</v>
      </c>
      <c r="M1981" s="116">
        <f t="shared" si="30"/>
        <v>-0.73170000000000002</v>
      </c>
    </row>
    <row r="1982" spans="1:13" hidden="1" x14ac:dyDescent="0.35">
      <c r="A1982" s="112" t="s">
        <v>4632</v>
      </c>
      <c r="B1982" s="112" t="s">
        <v>4650</v>
      </c>
      <c r="C1982" s="112" t="s">
        <v>695</v>
      </c>
      <c r="D1982" s="113">
        <v>10348085</v>
      </c>
      <c r="E1982" s="115">
        <v>43923</v>
      </c>
      <c r="F1982" s="114">
        <v>202101</v>
      </c>
      <c r="G1982" s="112" t="s">
        <v>1091</v>
      </c>
      <c r="H1982" s="112" t="s">
        <v>1015</v>
      </c>
      <c r="I1982" s="112" t="s">
        <v>757</v>
      </c>
      <c r="J1982" s="112" t="s">
        <v>4651</v>
      </c>
      <c r="K1982" s="112" t="s">
        <v>4662</v>
      </c>
      <c r="L1982" s="116">
        <v>-194.32</v>
      </c>
      <c r="M1982" s="116">
        <f t="shared" si="30"/>
        <v>-0.19431999999999999</v>
      </c>
    </row>
    <row r="1983" spans="1:13" hidden="1" x14ac:dyDescent="0.35">
      <c r="A1983" s="112" t="s">
        <v>4632</v>
      </c>
      <c r="B1983" s="112" t="s">
        <v>4644</v>
      </c>
      <c r="C1983" s="112" t="s">
        <v>695</v>
      </c>
      <c r="D1983" s="113">
        <v>10348085</v>
      </c>
      <c r="E1983" s="115">
        <v>43923</v>
      </c>
      <c r="F1983" s="114">
        <v>202101</v>
      </c>
      <c r="G1983" s="112" t="s">
        <v>1091</v>
      </c>
      <c r="H1983" s="112" t="s">
        <v>1015</v>
      </c>
      <c r="I1983" s="112" t="s">
        <v>751</v>
      </c>
      <c r="J1983" s="112" t="s">
        <v>4645</v>
      </c>
      <c r="K1983" s="112" t="s">
        <v>4662</v>
      </c>
      <c r="L1983" s="116">
        <v>-1848.27</v>
      </c>
      <c r="M1983" s="116">
        <f t="shared" si="30"/>
        <v>-1.8482700000000001</v>
      </c>
    </row>
    <row r="1984" spans="1:13" hidden="1" x14ac:dyDescent="0.35">
      <c r="A1984" s="112" t="s">
        <v>4632</v>
      </c>
      <c r="B1984" s="112" t="s">
        <v>4650</v>
      </c>
      <c r="C1984" s="112" t="s">
        <v>695</v>
      </c>
      <c r="D1984" s="113">
        <v>10348085</v>
      </c>
      <c r="E1984" s="115">
        <v>43923</v>
      </c>
      <c r="F1984" s="114">
        <v>202101</v>
      </c>
      <c r="G1984" s="112" t="s">
        <v>1091</v>
      </c>
      <c r="H1984" s="112" t="s">
        <v>1015</v>
      </c>
      <c r="I1984" s="112" t="s">
        <v>749</v>
      </c>
      <c r="J1984" s="112" t="s">
        <v>4651</v>
      </c>
      <c r="K1984" s="112" t="s">
        <v>4662</v>
      </c>
      <c r="L1984" s="116">
        <v>-84.72</v>
      </c>
      <c r="M1984" s="116">
        <f t="shared" si="30"/>
        <v>-8.4720000000000004E-2</v>
      </c>
    </row>
    <row r="1985" spans="1:13" hidden="1" x14ac:dyDescent="0.35">
      <c r="A1985" s="112" t="s">
        <v>4632</v>
      </c>
      <c r="B1985" s="112" t="s">
        <v>4650</v>
      </c>
      <c r="C1985" s="112" t="s">
        <v>695</v>
      </c>
      <c r="D1985" s="113">
        <v>10348085</v>
      </c>
      <c r="E1985" s="115">
        <v>43923</v>
      </c>
      <c r="F1985" s="114">
        <v>202101</v>
      </c>
      <c r="G1985" s="112" t="s">
        <v>1091</v>
      </c>
      <c r="H1985" s="112" t="s">
        <v>1015</v>
      </c>
      <c r="I1985" s="112" t="s">
        <v>749</v>
      </c>
      <c r="J1985" s="112" t="s">
        <v>4651</v>
      </c>
      <c r="K1985" s="112" t="s">
        <v>4662</v>
      </c>
      <c r="L1985" s="116">
        <v>-4066.18</v>
      </c>
      <c r="M1985" s="116">
        <f t="shared" si="30"/>
        <v>-4.0661800000000001</v>
      </c>
    </row>
    <row r="1986" spans="1:13" hidden="1" x14ac:dyDescent="0.35">
      <c r="A1986" s="112" t="s">
        <v>4632</v>
      </c>
      <c r="B1986" s="112" t="s">
        <v>4650</v>
      </c>
      <c r="C1986" s="112" t="s">
        <v>695</v>
      </c>
      <c r="D1986" s="113">
        <v>10348085</v>
      </c>
      <c r="E1986" s="115">
        <v>43923</v>
      </c>
      <c r="F1986" s="114">
        <v>202101</v>
      </c>
      <c r="G1986" s="112" t="s">
        <v>1091</v>
      </c>
      <c r="H1986" s="112" t="s">
        <v>1015</v>
      </c>
      <c r="I1986" s="112" t="s">
        <v>749</v>
      </c>
      <c r="J1986" s="112" t="s">
        <v>4651</v>
      </c>
      <c r="K1986" s="112" t="s">
        <v>4662</v>
      </c>
      <c r="L1986" s="116">
        <v>-1259.52</v>
      </c>
      <c r="M1986" s="116">
        <f t="shared" si="30"/>
        <v>-1.25952</v>
      </c>
    </row>
    <row r="1987" spans="1:13" hidden="1" x14ac:dyDescent="0.35">
      <c r="A1987" s="112" t="s">
        <v>4632</v>
      </c>
      <c r="B1987" s="112" t="s">
        <v>4650</v>
      </c>
      <c r="C1987" s="112" t="s">
        <v>695</v>
      </c>
      <c r="D1987" s="113">
        <v>10348085</v>
      </c>
      <c r="E1987" s="115">
        <v>43923</v>
      </c>
      <c r="F1987" s="114">
        <v>202101</v>
      </c>
      <c r="G1987" s="112" t="s">
        <v>1091</v>
      </c>
      <c r="H1987" s="112" t="s">
        <v>1015</v>
      </c>
      <c r="I1987" s="112" t="s">
        <v>749</v>
      </c>
      <c r="J1987" s="112" t="s">
        <v>4651</v>
      </c>
      <c r="K1987" s="112" t="s">
        <v>4662</v>
      </c>
      <c r="L1987" s="116">
        <v>-809.43</v>
      </c>
      <c r="M1987" s="116">
        <f t="shared" ref="M1987:M2050" si="31">L1987/1000</f>
        <v>-0.80942999999999998</v>
      </c>
    </row>
    <row r="1988" spans="1:13" hidden="1" x14ac:dyDescent="0.35">
      <c r="A1988" s="112" t="s">
        <v>4632</v>
      </c>
      <c r="B1988" s="112" t="s">
        <v>4644</v>
      </c>
      <c r="C1988" s="112" t="s">
        <v>695</v>
      </c>
      <c r="D1988" s="113">
        <v>10348085</v>
      </c>
      <c r="E1988" s="115">
        <v>43923</v>
      </c>
      <c r="F1988" s="114">
        <v>202101</v>
      </c>
      <c r="G1988" s="112" t="s">
        <v>1091</v>
      </c>
      <c r="H1988" s="112" t="s">
        <v>1015</v>
      </c>
      <c r="I1988" s="112" t="s">
        <v>749</v>
      </c>
      <c r="J1988" s="112" t="s">
        <v>4645</v>
      </c>
      <c r="K1988" s="112" t="s">
        <v>4662</v>
      </c>
      <c r="L1988" s="116">
        <v>-29.76</v>
      </c>
      <c r="M1988" s="116">
        <f t="shared" si="31"/>
        <v>-2.9760000000000002E-2</v>
      </c>
    </row>
    <row r="1989" spans="1:13" hidden="1" x14ac:dyDescent="0.35">
      <c r="A1989" s="112" t="s">
        <v>4632</v>
      </c>
      <c r="B1989" s="112" t="s">
        <v>4644</v>
      </c>
      <c r="C1989" s="112" t="s">
        <v>695</v>
      </c>
      <c r="D1989" s="113">
        <v>10348085</v>
      </c>
      <c r="E1989" s="115">
        <v>43923</v>
      </c>
      <c r="F1989" s="114">
        <v>202101</v>
      </c>
      <c r="G1989" s="112" t="s">
        <v>1091</v>
      </c>
      <c r="H1989" s="112" t="s">
        <v>1015</v>
      </c>
      <c r="I1989" s="112" t="s">
        <v>749</v>
      </c>
      <c r="J1989" s="112" t="s">
        <v>4645</v>
      </c>
      <c r="K1989" s="112" t="s">
        <v>4662</v>
      </c>
      <c r="L1989" s="116">
        <v>18.61</v>
      </c>
      <c r="M1989" s="116">
        <f t="shared" si="31"/>
        <v>1.8609999999999998E-2</v>
      </c>
    </row>
    <row r="1990" spans="1:13" hidden="1" x14ac:dyDescent="0.35">
      <c r="A1990" s="112" t="s">
        <v>4632</v>
      </c>
      <c r="B1990" s="112" t="s">
        <v>4644</v>
      </c>
      <c r="C1990" s="112" t="s">
        <v>695</v>
      </c>
      <c r="D1990" s="113">
        <v>10348085</v>
      </c>
      <c r="E1990" s="115">
        <v>43923</v>
      </c>
      <c r="F1990" s="114">
        <v>202101</v>
      </c>
      <c r="G1990" s="112" t="s">
        <v>1091</v>
      </c>
      <c r="H1990" s="112" t="s">
        <v>1015</v>
      </c>
      <c r="I1990" s="112" t="s">
        <v>749</v>
      </c>
      <c r="J1990" s="112" t="s">
        <v>4645</v>
      </c>
      <c r="K1990" s="112" t="s">
        <v>4662</v>
      </c>
      <c r="L1990" s="116">
        <v>-578.07000000000005</v>
      </c>
      <c r="M1990" s="116">
        <f t="shared" si="31"/>
        <v>-0.57807000000000008</v>
      </c>
    </row>
    <row r="1991" spans="1:13" hidden="1" x14ac:dyDescent="0.35">
      <c r="A1991" s="112" t="s">
        <v>4632</v>
      </c>
      <c r="B1991" s="112" t="s">
        <v>863</v>
      </c>
      <c r="C1991" s="112" t="s">
        <v>695</v>
      </c>
      <c r="D1991" s="113">
        <v>10348117</v>
      </c>
      <c r="E1991" s="115">
        <v>43930</v>
      </c>
      <c r="F1991" s="114">
        <v>202101</v>
      </c>
      <c r="G1991" s="112" t="s">
        <v>1091</v>
      </c>
      <c r="H1991" s="112" t="s">
        <v>1016</v>
      </c>
      <c r="I1991" s="112" t="s">
        <v>781</v>
      </c>
      <c r="J1991" s="112" t="s">
        <v>790</v>
      </c>
      <c r="K1991" s="112" t="s">
        <v>4896</v>
      </c>
      <c r="L1991" s="116">
        <v>1536.24</v>
      </c>
      <c r="M1991" s="116">
        <f t="shared" si="31"/>
        <v>1.53624</v>
      </c>
    </row>
    <row r="1992" spans="1:13" hidden="1" x14ac:dyDescent="0.35">
      <c r="A1992" s="112" t="s">
        <v>4632</v>
      </c>
      <c r="B1992" s="112" t="s">
        <v>4650</v>
      </c>
      <c r="C1992" s="112" t="s">
        <v>695</v>
      </c>
      <c r="D1992" s="113">
        <v>10348085</v>
      </c>
      <c r="E1992" s="115">
        <v>43923</v>
      </c>
      <c r="F1992" s="114">
        <v>202101</v>
      </c>
      <c r="G1992" s="112" t="s">
        <v>1091</v>
      </c>
      <c r="H1992" s="112" t="s">
        <v>1015</v>
      </c>
      <c r="I1992" s="112" t="s">
        <v>757</v>
      </c>
      <c r="J1992" s="112" t="s">
        <v>4651</v>
      </c>
      <c r="K1992" s="112" t="s">
        <v>4662</v>
      </c>
      <c r="L1992" s="116">
        <v>-612.91</v>
      </c>
      <c r="M1992" s="116">
        <f t="shared" si="31"/>
        <v>-0.61290999999999995</v>
      </c>
    </row>
    <row r="1993" spans="1:13" hidden="1" x14ac:dyDescent="0.35">
      <c r="A1993" s="112" t="s">
        <v>4632</v>
      </c>
      <c r="B1993" s="112" t="s">
        <v>4644</v>
      </c>
      <c r="C1993" s="112" t="s">
        <v>695</v>
      </c>
      <c r="D1993" s="113">
        <v>10348085</v>
      </c>
      <c r="E1993" s="115">
        <v>43923</v>
      </c>
      <c r="F1993" s="114">
        <v>202101</v>
      </c>
      <c r="G1993" s="112" t="s">
        <v>1091</v>
      </c>
      <c r="H1993" s="112" t="s">
        <v>1015</v>
      </c>
      <c r="I1993" s="112" t="s">
        <v>749</v>
      </c>
      <c r="J1993" s="112" t="s">
        <v>4645</v>
      </c>
      <c r="K1993" s="112" t="s">
        <v>4662</v>
      </c>
      <c r="L1993" s="116">
        <v>-518.30999999999995</v>
      </c>
      <c r="M1993" s="116">
        <f t="shared" si="31"/>
        <v>-0.51830999999999994</v>
      </c>
    </row>
    <row r="1994" spans="1:13" hidden="1" x14ac:dyDescent="0.35">
      <c r="A1994" s="112" t="s">
        <v>4632</v>
      </c>
      <c r="B1994" s="112" t="s">
        <v>4644</v>
      </c>
      <c r="C1994" s="112" t="s">
        <v>695</v>
      </c>
      <c r="D1994" s="113">
        <v>10348085</v>
      </c>
      <c r="E1994" s="115">
        <v>43923</v>
      </c>
      <c r="F1994" s="114">
        <v>202101</v>
      </c>
      <c r="G1994" s="112" t="s">
        <v>1091</v>
      </c>
      <c r="H1994" s="112" t="s">
        <v>1015</v>
      </c>
      <c r="I1994" s="112" t="s">
        <v>749</v>
      </c>
      <c r="J1994" s="112" t="s">
        <v>4645</v>
      </c>
      <c r="K1994" s="112" t="s">
        <v>4662</v>
      </c>
      <c r="L1994" s="116">
        <v>-929.2</v>
      </c>
      <c r="M1994" s="116">
        <f t="shared" si="31"/>
        <v>-0.92920000000000003</v>
      </c>
    </row>
    <row r="1995" spans="1:13" hidden="1" x14ac:dyDescent="0.35">
      <c r="A1995" s="112" t="s">
        <v>4632</v>
      </c>
      <c r="B1995" s="112" t="s">
        <v>4635</v>
      </c>
      <c r="C1995" s="112" t="s">
        <v>695</v>
      </c>
      <c r="D1995" s="113">
        <v>10348034</v>
      </c>
      <c r="E1995" s="115">
        <v>43928</v>
      </c>
      <c r="F1995" s="114">
        <v>202101</v>
      </c>
      <c r="G1995" s="112" t="s">
        <v>1091</v>
      </c>
      <c r="H1995" s="112" t="s">
        <v>1015</v>
      </c>
      <c r="I1995" s="112" t="s">
        <v>1211</v>
      </c>
      <c r="J1995" s="112" t="s">
        <v>4954</v>
      </c>
      <c r="K1995" s="112" t="s">
        <v>4956</v>
      </c>
      <c r="L1995" s="116">
        <v>-3028.5</v>
      </c>
      <c r="M1995" s="116">
        <f t="shared" si="31"/>
        <v>-3.0285000000000002</v>
      </c>
    </row>
    <row r="1996" spans="1:13" hidden="1" x14ac:dyDescent="0.35">
      <c r="A1996" s="112" t="s">
        <v>4632</v>
      </c>
      <c r="B1996" s="112" t="s">
        <v>4650</v>
      </c>
      <c r="C1996" s="112" t="s">
        <v>695</v>
      </c>
      <c r="D1996" s="113">
        <v>10348085</v>
      </c>
      <c r="E1996" s="115">
        <v>43923</v>
      </c>
      <c r="F1996" s="114">
        <v>202101</v>
      </c>
      <c r="G1996" s="112" t="s">
        <v>1091</v>
      </c>
      <c r="H1996" s="112" t="s">
        <v>1015</v>
      </c>
      <c r="I1996" s="112" t="s">
        <v>749</v>
      </c>
      <c r="J1996" s="112" t="s">
        <v>4651</v>
      </c>
      <c r="K1996" s="112" t="s">
        <v>4662</v>
      </c>
      <c r="L1996" s="116">
        <v>-738.09</v>
      </c>
      <c r="M1996" s="116">
        <f t="shared" si="31"/>
        <v>-0.73809000000000002</v>
      </c>
    </row>
    <row r="1997" spans="1:13" hidden="1" x14ac:dyDescent="0.35">
      <c r="A1997" s="112" t="s">
        <v>4632</v>
      </c>
      <c r="B1997" s="112" t="s">
        <v>4644</v>
      </c>
      <c r="C1997" s="112" t="s">
        <v>695</v>
      </c>
      <c r="D1997" s="113">
        <v>10348085</v>
      </c>
      <c r="E1997" s="115">
        <v>43923</v>
      </c>
      <c r="F1997" s="114">
        <v>202101</v>
      </c>
      <c r="G1997" s="112" t="s">
        <v>1091</v>
      </c>
      <c r="H1997" s="112" t="s">
        <v>1015</v>
      </c>
      <c r="I1997" s="112" t="s">
        <v>757</v>
      </c>
      <c r="J1997" s="112" t="s">
        <v>4645</v>
      </c>
      <c r="K1997" s="112" t="s">
        <v>4662</v>
      </c>
      <c r="L1997" s="116">
        <v>-73.8</v>
      </c>
      <c r="M1997" s="116">
        <f t="shared" si="31"/>
        <v>-7.3799999999999991E-2</v>
      </c>
    </row>
    <row r="1998" spans="1:13" hidden="1" x14ac:dyDescent="0.35">
      <c r="A1998" s="112" t="s">
        <v>4632</v>
      </c>
      <c r="B1998" s="112" t="s">
        <v>4650</v>
      </c>
      <c r="C1998" s="112" t="s">
        <v>695</v>
      </c>
      <c r="D1998" s="113">
        <v>10348085</v>
      </c>
      <c r="E1998" s="115">
        <v>43923</v>
      </c>
      <c r="F1998" s="114">
        <v>202101</v>
      </c>
      <c r="G1998" s="112" t="s">
        <v>1091</v>
      </c>
      <c r="H1998" s="112" t="s">
        <v>1015</v>
      </c>
      <c r="I1998" s="112" t="s">
        <v>757</v>
      </c>
      <c r="J1998" s="112" t="s">
        <v>4651</v>
      </c>
      <c r="K1998" s="112" t="s">
        <v>4662</v>
      </c>
      <c r="L1998" s="116">
        <v>-70.34</v>
      </c>
      <c r="M1998" s="116">
        <f t="shared" si="31"/>
        <v>-7.034E-2</v>
      </c>
    </row>
    <row r="1999" spans="1:13" hidden="1" x14ac:dyDescent="0.35">
      <c r="A1999" s="112" t="s">
        <v>4632</v>
      </c>
      <c r="B1999" s="112" t="s">
        <v>4644</v>
      </c>
      <c r="C1999" s="112" t="s">
        <v>695</v>
      </c>
      <c r="D1999" s="113">
        <v>10348085</v>
      </c>
      <c r="E1999" s="115">
        <v>43923</v>
      </c>
      <c r="F1999" s="114">
        <v>202101</v>
      </c>
      <c r="G1999" s="112" t="s">
        <v>1091</v>
      </c>
      <c r="H1999" s="112" t="s">
        <v>1015</v>
      </c>
      <c r="I1999" s="112" t="s">
        <v>751</v>
      </c>
      <c r="J1999" s="112" t="s">
        <v>4645</v>
      </c>
      <c r="K1999" s="112" t="s">
        <v>4662</v>
      </c>
      <c r="L1999" s="116">
        <v>-370.13</v>
      </c>
      <c r="M1999" s="116">
        <f t="shared" si="31"/>
        <v>-0.37013000000000001</v>
      </c>
    </row>
    <row r="2000" spans="1:13" hidden="1" x14ac:dyDescent="0.35">
      <c r="A2000" s="112" t="s">
        <v>4632</v>
      </c>
      <c r="B2000" s="112" t="s">
        <v>4644</v>
      </c>
      <c r="C2000" s="112" t="s">
        <v>695</v>
      </c>
      <c r="D2000" s="113">
        <v>10348085</v>
      </c>
      <c r="E2000" s="115">
        <v>43923</v>
      </c>
      <c r="F2000" s="114">
        <v>202101</v>
      </c>
      <c r="G2000" s="112" t="s">
        <v>1091</v>
      </c>
      <c r="H2000" s="112" t="s">
        <v>1015</v>
      </c>
      <c r="I2000" s="112" t="s">
        <v>751</v>
      </c>
      <c r="J2000" s="112" t="s">
        <v>4645</v>
      </c>
      <c r="K2000" s="112" t="s">
        <v>4662</v>
      </c>
      <c r="L2000" s="116">
        <v>-331.38</v>
      </c>
      <c r="M2000" s="116">
        <f t="shared" si="31"/>
        <v>-0.33138000000000001</v>
      </c>
    </row>
    <row r="2001" spans="1:13" hidden="1" x14ac:dyDescent="0.35">
      <c r="A2001" s="112" t="s">
        <v>4632</v>
      </c>
      <c r="B2001" s="112" t="s">
        <v>4639</v>
      </c>
      <c r="C2001" s="112" t="s">
        <v>695</v>
      </c>
      <c r="D2001" s="113">
        <v>10348085</v>
      </c>
      <c r="E2001" s="115">
        <v>43923</v>
      </c>
      <c r="F2001" s="114">
        <v>202101</v>
      </c>
      <c r="G2001" s="112" t="s">
        <v>1091</v>
      </c>
      <c r="H2001" s="112" t="s">
        <v>1015</v>
      </c>
      <c r="I2001" s="112" t="s">
        <v>751</v>
      </c>
      <c r="J2001" s="112" t="s">
        <v>4640</v>
      </c>
      <c r="K2001" s="112" t="s">
        <v>4662</v>
      </c>
      <c r="L2001" s="116">
        <v>692.25</v>
      </c>
      <c r="M2001" s="116">
        <f t="shared" si="31"/>
        <v>0.69225000000000003</v>
      </c>
    </row>
    <row r="2002" spans="1:13" hidden="1" x14ac:dyDescent="0.35">
      <c r="A2002" s="112" t="s">
        <v>4632</v>
      </c>
      <c r="B2002" s="112" t="s">
        <v>4639</v>
      </c>
      <c r="C2002" s="112" t="s">
        <v>695</v>
      </c>
      <c r="D2002" s="113">
        <v>10348085</v>
      </c>
      <c r="E2002" s="115">
        <v>43923</v>
      </c>
      <c r="F2002" s="114">
        <v>202101</v>
      </c>
      <c r="G2002" s="112" t="s">
        <v>1091</v>
      </c>
      <c r="H2002" s="112" t="s">
        <v>1015</v>
      </c>
      <c r="I2002" s="112" t="s">
        <v>757</v>
      </c>
      <c r="J2002" s="112" t="s">
        <v>4640</v>
      </c>
      <c r="K2002" s="112" t="s">
        <v>4662</v>
      </c>
      <c r="L2002" s="116">
        <v>-82.28</v>
      </c>
      <c r="M2002" s="116">
        <f t="shared" si="31"/>
        <v>-8.2280000000000006E-2</v>
      </c>
    </row>
    <row r="2003" spans="1:13" hidden="1" x14ac:dyDescent="0.35">
      <c r="A2003" s="112" t="s">
        <v>4632</v>
      </c>
      <c r="B2003" s="112" t="s">
        <v>4644</v>
      </c>
      <c r="C2003" s="112" t="s">
        <v>695</v>
      </c>
      <c r="D2003" s="113">
        <v>10348085</v>
      </c>
      <c r="E2003" s="115">
        <v>43923</v>
      </c>
      <c r="F2003" s="114">
        <v>202101</v>
      </c>
      <c r="G2003" s="112" t="s">
        <v>1091</v>
      </c>
      <c r="H2003" s="112" t="s">
        <v>1015</v>
      </c>
      <c r="I2003" s="112" t="s">
        <v>757</v>
      </c>
      <c r="J2003" s="112" t="s">
        <v>4645</v>
      </c>
      <c r="K2003" s="112" t="s">
        <v>4662</v>
      </c>
      <c r="L2003" s="116">
        <v>-18.13</v>
      </c>
      <c r="M2003" s="116">
        <f t="shared" si="31"/>
        <v>-1.813E-2</v>
      </c>
    </row>
    <row r="2004" spans="1:13" hidden="1" x14ac:dyDescent="0.35">
      <c r="A2004" s="112" t="s">
        <v>4632</v>
      </c>
      <c r="B2004" s="112" t="s">
        <v>4644</v>
      </c>
      <c r="C2004" s="112" t="s">
        <v>695</v>
      </c>
      <c r="D2004" s="113">
        <v>10348085</v>
      </c>
      <c r="E2004" s="115">
        <v>43923</v>
      </c>
      <c r="F2004" s="114">
        <v>202101</v>
      </c>
      <c r="G2004" s="112" t="s">
        <v>1091</v>
      </c>
      <c r="H2004" s="112" t="s">
        <v>1015</v>
      </c>
      <c r="I2004" s="112" t="s">
        <v>757</v>
      </c>
      <c r="J2004" s="112" t="s">
        <v>4645</v>
      </c>
      <c r="K2004" s="112" t="s">
        <v>4662</v>
      </c>
      <c r="L2004" s="116">
        <v>-522.59</v>
      </c>
      <c r="M2004" s="116">
        <f t="shared" si="31"/>
        <v>-0.52259</v>
      </c>
    </row>
    <row r="2005" spans="1:13" hidden="1" x14ac:dyDescent="0.35">
      <c r="A2005" s="112" t="s">
        <v>4632</v>
      </c>
      <c r="B2005" s="112" t="s">
        <v>863</v>
      </c>
      <c r="C2005" s="112" t="s">
        <v>695</v>
      </c>
      <c r="D2005" s="113">
        <v>10348085</v>
      </c>
      <c r="E2005" s="115">
        <v>43923</v>
      </c>
      <c r="F2005" s="114">
        <v>202101</v>
      </c>
      <c r="G2005" s="112" t="s">
        <v>1091</v>
      </c>
      <c r="H2005" s="112" t="s">
        <v>1015</v>
      </c>
      <c r="I2005" s="112" t="s">
        <v>749</v>
      </c>
      <c r="J2005" s="112" t="s">
        <v>854</v>
      </c>
      <c r="K2005" s="112" t="s">
        <v>4662</v>
      </c>
      <c r="L2005" s="116">
        <v>-1640.43</v>
      </c>
      <c r="M2005" s="116">
        <f t="shared" si="31"/>
        <v>-1.6404300000000001</v>
      </c>
    </row>
    <row r="2006" spans="1:13" hidden="1" x14ac:dyDescent="0.35">
      <c r="A2006" s="112" t="s">
        <v>4632</v>
      </c>
      <c r="B2006" s="112" t="s">
        <v>4639</v>
      </c>
      <c r="C2006" s="112" t="s">
        <v>695</v>
      </c>
      <c r="D2006" s="113">
        <v>10348085</v>
      </c>
      <c r="E2006" s="115">
        <v>43923</v>
      </c>
      <c r="F2006" s="114">
        <v>202101</v>
      </c>
      <c r="G2006" s="112" t="s">
        <v>1091</v>
      </c>
      <c r="H2006" s="112" t="s">
        <v>1015</v>
      </c>
      <c r="I2006" s="112" t="s">
        <v>749</v>
      </c>
      <c r="J2006" s="112" t="s">
        <v>4640</v>
      </c>
      <c r="K2006" s="112" t="s">
        <v>4662</v>
      </c>
      <c r="L2006" s="116">
        <v>-1049.0999999999999</v>
      </c>
      <c r="M2006" s="116">
        <f t="shared" si="31"/>
        <v>-1.0490999999999999</v>
      </c>
    </row>
    <row r="2007" spans="1:13" hidden="1" x14ac:dyDescent="0.35">
      <c r="A2007" s="112" t="s">
        <v>4632</v>
      </c>
      <c r="B2007" s="112" t="s">
        <v>4639</v>
      </c>
      <c r="C2007" s="112" t="s">
        <v>695</v>
      </c>
      <c r="D2007" s="113">
        <v>10348085</v>
      </c>
      <c r="E2007" s="115">
        <v>43923</v>
      </c>
      <c r="F2007" s="114">
        <v>202101</v>
      </c>
      <c r="G2007" s="112" t="s">
        <v>1091</v>
      </c>
      <c r="H2007" s="112" t="s">
        <v>1015</v>
      </c>
      <c r="I2007" s="112" t="s">
        <v>749</v>
      </c>
      <c r="J2007" s="112" t="s">
        <v>4640</v>
      </c>
      <c r="K2007" s="112" t="s">
        <v>4662</v>
      </c>
      <c r="L2007" s="116">
        <v>-29.24</v>
      </c>
      <c r="M2007" s="116">
        <f t="shared" si="31"/>
        <v>-2.9239999999999999E-2</v>
      </c>
    </row>
    <row r="2008" spans="1:13" hidden="1" x14ac:dyDescent="0.35">
      <c r="A2008" s="112" t="s">
        <v>4632</v>
      </c>
      <c r="B2008" s="112" t="s">
        <v>4639</v>
      </c>
      <c r="C2008" s="112" t="s">
        <v>695</v>
      </c>
      <c r="D2008" s="113">
        <v>10348085</v>
      </c>
      <c r="E2008" s="115">
        <v>43923</v>
      </c>
      <c r="F2008" s="114">
        <v>202101</v>
      </c>
      <c r="G2008" s="112" t="s">
        <v>1091</v>
      </c>
      <c r="H2008" s="112" t="s">
        <v>1015</v>
      </c>
      <c r="I2008" s="112" t="s">
        <v>749</v>
      </c>
      <c r="J2008" s="112" t="s">
        <v>4640</v>
      </c>
      <c r="K2008" s="112" t="s">
        <v>4662</v>
      </c>
      <c r="L2008" s="116">
        <v>-35.380000000000003</v>
      </c>
      <c r="M2008" s="116">
        <f t="shared" si="31"/>
        <v>-3.5380000000000002E-2</v>
      </c>
    </row>
    <row r="2009" spans="1:13" hidden="1" x14ac:dyDescent="0.35">
      <c r="A2009" s="112" t="s">
        <v>4632</v>
      </c>
      <c r="B2009" s="112" t="s">
        <v>4639</v>
      </c>
      <c r="C2009" s="112" t="s">
        <v>695</v>
      </c>
      <c r="D2009" s="113">
        <v>10348085</v>
      </c>
      <c r="E2009" s="115">
        <v>43923</v>
      </c>
      <c r="F2009" s="114">
        <v>202101</v>
      </c>
      <c r="G2009" s="112" t="s">
        <v>1091</v>
      </c>
      <c r="H2009" s="112" t="s">
        <v>1015</v>
      </c>
      <c r="I2009" s="112" t="s">
        <v>749</v>
      </c>
      <c r="J2009" s="112" t="s">
        <v>4640</v>
      </c>
      <c r="K2009" s="112" t="s">
        <v>4662</v>
      </c>
      <c r="L2009" s="116">
        <v>-38.56</v>
      </c>
      <c r="M2009" s="116">
        <f t="shared" si="31"/>
        <v>-3.8560000000000004E-2</v>
      </c>
    </row>
    <row r="2010" spans="1:13" hidden="1" x14ac:dyDescent="0.35">
      <c r="A2010" s="112" t="s">
        <v>4632</v>
      </c>
      <c r="B2010" s="112" t="s">
        <v>4644</v>
      </c>
      <c r="C2010" s="112" t="s">
        <v>695</v>
      </c>
      <c r="D2010" s="113">
        <v>10348085</v>
      </c>
      <c r="E2010" s="115">
        <v>43923</v>
      </c>
      <c r="F2010" s="114">
        <v>202101</v>
      </c>
      <c r="G2010" s="112" t="s">
        <v>1091</v>
      </c>
      <c r="H2010" s="112" t="s">
        <v>1015</v>
      </c>
      <c r="I2010" s="112" t="s">
        <v>749</v>
      </c>
      <c r="J2010" s="112" t="s">
        <v>4645</v>
      </c>
      <c r="K2010" s="112" t="s">
        <v>4662</v>
      </c>
      <c r="L2010" s="116">
        <v>-1499.15</v>
      </c>
      <c r="M2010" s="116">
        <f t="shared" si="31"/>
        <v>-1.49915</v>
      </c>
    </row>
    <row r="2011" spans="1:13" hidden="1" x14ac:dyDescent="0.35">
      <c r="A2011" s="112" t="s">
        <v>4632</v>
      </c>
      <c r="B2011" s="112" t="s">
        <v>4644</v>
      </c>
      <c r="C2011" s="112" t="s">
        <v>695</v>
      </c>
      <c r="D2011" s="113">
        <v>10348085</v>
      </c>
      <c r="E2011" s="115">
        <v>43923</v>
      </c>
      <c r="F2011" s="114">
        <v>202101</v>
      </c>
      <c r="G2011" s="112" t="s">
        <v>1091</v>
      </c>
      <c r="H2011" s="112" t="s">
        <v>1015</v>
      </c>
      <c r="I2011" s="112" t="s">
        <v>749</v>
      </c>
      <c r="J2011" s="112" t="s">
        <v>4645</v>
      </c>
      <c r="K2011" s="112" t="s">
        <v>4662</v>
      </c>
      <c r="L2011" s="116">
        <v>-735.18</v>
      </c>
      <c r="M2011" s="116">
        <f t="shared" si="31"/>
        <v>-0.73517999999999994</v>
      </c>
    </row>
    <row r="2012" spans="1:13" hidden="1" x14ac:dyDescent="0.35">
      <c r="A2012" s="112" t="s">
        <v>4632</v>
      </c>
      <c r="B2012" s="112" t="s">
        <v>4644</v>
      </c>
      <c r="C2012" s="112" t="s">
        <v>695</v>
      </c>
      <c r="D2012" s="113">
        <v>10348085</v>
      </c>
      <c r="E2012" s="115">
        <v>43923</v>
      </c>
      <c r="F2012" s="114">
        <v>202101</v>
      </c>
      <c r="G2012" s="112" t="s">
        <v>1091</v>
      </c>
      <c r="H2012" s="112" t="s">
        <v>1015</v>
      </c>
      <c r="I2012" s="112" t="s">
        <v>749</v>
      </c>
      <c r="J2012" s="112" t="s">
        <v>4645</v>
      </c>
      <c r="K2012" s="112" t="s">
        <v>4662</v>
      </c>
      <c r="L2012" s="116">
        <v>-473.92</v>
      </c>
      <c r="M2012" s="116">
        <f t="shared" si="31"/>
        <v>-0.47392000000000001</v>
      </c>
    </row>
    <row r="2013" spans="1:13" hidden="1" x14ac:dyDescent="0.35">
      <c r="A2013" s="112" t="s">
        <v>4632</v>
      </c>
      <c r="B2013" s="112" t="s">
        <v>4639</v>
      </c>
      <c r="C2013" s="112" t="s">
        <v>695</v>
      </c>
      <c r="D2013" s="113">
        <v>10348085</v>
      </c>
      <c r="E2013" s="115">
        <v>43923</v>
      </c>
      <c r="F2013" s="114">
        <v>202101</v>
      </c>
      <c r="G2013" s="112" t="s">
        <v>1091</v>
      </c>
      <c r="H2013" s="112" t="s">
        <v>1015</v>
      </c>
      <c r="I2013" s="112" t="s">
        <v>751</v>
      </c>
      <c r="J2013" s="112" t="s">
        <v>4640</v>
      </c>
      <c r="K2013" s="112" t="s">
        <v>4662</v>
      </c>
      <c r="L2013" s="116">
        <v>-145.91</v>
      </c>
      <c r="M2013" s="116">
        <f t="shared" si="31"/>
        <v>-0.14590999999999998</v>
      </c>
    </row>
    <row r="2014" spans="1:13" hidden="1" x14ac:dyDescent="0.35">
      <c r="A2014" s="112" t="s">
        <v>4632</v>
      </c>
      <c r="B2014" s="112" t="s">
        <v>4639</v>
      </c>
      <c r="C2014" s="112" t="s">
        <v>695</v>
      </c>
      <c r="D2014" s="113">
        <v>10348085</v>
      </c>
      <c r="E2014" s="115">
        <v>43923</v>
      </c>
      <c r="F2014" s="114">
        <v>202101</v>
      </c>
      <c r="G2014" s="112" t="s">
        <v>1091</v>
      </c>
      <c r="H2014" s="112" t="s">
        <v>1015</v>
      </c>
      <c r="I2014" s="112" t="s">
        <v>751</v>
      </c>
      <c r="J2014" s="112" t="s">
        <v>4640</v>
      </c>
      <c r="K2014" s="112" t="s">
        <v>4662</v>
      </c>
      <c r="L2014" s="116">
        <v>-354.71</v>
      </c>
      <c r="M2014" s="116">
        <f t="shared" si="31"/>
        <v>-0.35470999999999997</v>
      </c>
    </row>
    <row r="2015" spans="1:13" hidden="1" x14ac:dyDescent="0.35">
      <c r="A2015" s="112" t="s">
        <v>4632</v>
      </c>
      <c r="B2015" s="112" t="s">
        <v>4639</v>
      </c>
      <c r="C2015" s="112" t="s">
        <v>695</v>
      </c>
      <c r="D2015" s="113">
        <v>10348085</v>
      </c>
      <c r="E2015" s="115">
        <v>43923</v>
      </c>
      <c r="F2015" s="114">
        <v>202101</v>
      </c>
      <c r="G2015" s="112" t="s">
        <v>1091</v>
      </c>
      <c r="H2015" s="112" t="s">
        <v>1015</v>
      </c>
      <c r="I2015" s="112" t="s">
        <v>751</v>
      </c>
      <c r="J2015" s="112" t="s">
        <v>4640</v>
      </c>
      <c r="K2015" s="112" t="s">
        <v>4662</v>
      </c>
      <c r="L2015" s="116">
        <v>-2492.31</v>
      </c>
      <c r="M2015" s="116">
        <f t="shared" si="31"/>
        <v>-2.4923099999999998</v>
      </c>
    </row>
    <row r="2016" spans="1:13" hidden="1" x14ac:dyDescent="0.35">
      <c r="A2016" s="112" t="s">
        <v>4632</v>
      </c>
      <c r="B2016" s="112" t="s">
        <v>4644</v>
      </c>
      <c r="C2016" s="112" t="s">
        <v>695</v>
      </c>
      <c r="D2016" s="113">
        <v>10348085</v>
      </c>
      <c r="E2016" s="115">
        <v>43923</v>
      </c>
      <c r="F2016" s="114">
        <v>202101</v>
      </c>
      <c r="G2016" s="112" t="s">
        <v>1091</v>
      </c>
      <c r="H2016" s="112" t="s">
        <v>1015</v>
      </c>
      <c r="I2016" s="112" t="s">
        <v>751</v>
      </c>
      <c r="J2016" s="112" t="s">
        <v>4645</v>
      </c>
      <c r="K2016" s="112" t="s">
        <v>4662</v>
      </c>
      <c r="L2016" s="116">
        <v>-1083.1500000000001</v>
      </c>
      <c r="M2016" s="116">
        <f t="shared" si="31"/>
        <v>-1.0831500000000001</v>
      </c>
    </row>
    <row r="2017" spans="1:13" hidden="1" x14ac:dyDescent="0.35">
      <c r="A2017" s="112" t="s">
        <v>4632</v>
      </c>
      <c r="B2017" s="112" t="s">
        <v>4639</v>
      </c>
      <c r="C2017" s="112" t="s">
        <v>695</v>
      </c>
      <c r="D2017" s="113">
        <v>10348085</v>
      </c>
      <c r="E2017" s="115">
        <v>43923</v>
      </c>
      <c r="F2017" s="114">
        <v>202101</v>
      </c>
      <c r="G2017" s="112" t="s">
        <v>1091</v>
      </c>
      <c r="H2017" s="112" t="s">
        <v>1015</v>
      </c>
      <c r="I2017" s="112" t="s">
        <v>757</v>
      </c>
      <c r="J2017" s="112" t="s">
        <v>4640</v>
      </c>
      <c r="K2017" s="112" t="s">
        <v>4662</v>
      </c>
      <c r="L2017" s="116">
        <v>-38.32</v>
      </c>
      <c r="M2017" s="116">
        <f t="shared" si="31"/>
        <v>-3.832E-2</v>
      </c>
    </row>
    <row r="2018" spans="1:13" hidden="1" x14ac:dyDescent="0.35">
      <c r="A2018" s="112" t="s">
        <v>4632</v>
      </c>
      <c r="B2018" s="112" t="s">
        <v>4644</v>
      </c>
      <c r="C2018" s="112" t="s">
        <v>695</v>
      </c>
      <c r="D2018" s="113">
        <v>10348085</v>
      </c>
      <c r="E2018" s="115">
        <v>43923</v>
      </c>
      <c r="F2018" s="114">
        <v>202101</v>
      </c>
      <c r="G2018" s="112" t="s">
        <v>1091</v>
      </c>
      <c r="H2018" s="112" t="s">
        <v>1015</v>
      </c>
      <c r="I2018" s="112" t="s">
        <v>757</v>
      </c>
      <c r="J2018" s="112" t="s">
        <v>4645</v>
      </c>
      <c r="K2018" s="112" t="s">
        <v>4662</v>
      </c>
      <c r="L2018" s="116">
        <v>-374.62</v>
      </c>
      <c r="M2018" s="116">
        <f t="shared" si="31"/>
        <v>-0.37462000000000001</v>
      </c>
    </row>
    <row r="2019" spans="1:13" hidden="1" x14ac:dyDescent="0.35">
      <c r="A2019" s="112" t="s">
        <v>4632</v>
      </c>
      <c r="B2019" s="112" t="s">
        <v>4639</v>
      </c>
      <c r="C2019" s="112" t="s">
        <v>695</v>
      </c>
      <c r="D2019" s="113">
        <v>10348085</v>
      </c>
      <c r="E2019" s="115">
        <v>43923</v>
      </c>
      <c r="F2019" s="114">
        <v>202101</v>
      </c>
      <c r="G2019" s="112" t="s">
        <v>1091</v>
      </c>
      <c r="H2019" s="112" t="s">
        <v>1015</v>
      </c>
      <c r="I2019" s="112" t="s">
        <v>749</v>
      </c>
      <c r="J2019" s="112" t="s">
        <v>4640</v>
      </c>
      <c r="K2019" s="112" t="s">
        <v>4662</v>
      </c>
      <c r="L2019" s="116">
        <v>31.35</v>
      </c>
      <c r="M2019" s="116">
        <f t="shared" si="31"/>
        <v>3.1350000000000003E-2</v>
      </c>
    </row>
    <row r="2020" spans="1:13" hidden="1" x14ac:dyDescent="0.35">
      <c r="A2020" s="112" t="s">
        <v>4632</v>
      </c>
      <c r="B2020" s="112" t="s">
        <v>4639</v>
      </c>
      <c r="C2020" s="112" t="s">
        <v>695</v>
      </c>
      <c r="D2020" s="113">
        <v>10348085</v>
      </c>
      <c r="E2020" s="115">
        <v>43923</v>
      </c>
      <c r="F2020" s="114">
        <v>202101</v>
      </c>
      <c r="G2020" s="112" t="s">
        <v>1091</v>
      </c>
      <c r="H2020" s="112" t="s">
        <v>1015</v>
      </c>
      <c r="I2020" s="112" t="s">
        <v>749</v>
      </c>
      <c r="J2020" s="112" t="s">
        <v>4640</v>
      </c>
      <c r="K2020" s="112" t="s">
        <v>4662</v>
      </c>
      <c r="L2020" s="116">
        <v>-115.22</v>
      </c>
      <c r="M2020" s="116">
        <f t="shared" si="31"/>
        <v>-0.11522</v>
      </c>
    </row>
    <row r="2021" spans="1:13" hidden="1" x14ac:dyDescent="0.35">
      <c r="A2021" s="112" t="s">
        <v>4632</v>
      </c>
      <c r="B2021" s="112" t="s">
        <v>4644</v>
      </c>
      <c r="C2021" s="112" t="s">
        <v>695</v>
      </c>
      <c r="D2021" s="113">
        <v>10348085</v>
      </c>
      <c r="E2021" s="115">
        <v>43923</v>
      </c>
      <c r="F2021" s="114">
        <v>202101</v>
      </c>
      <c r="G2021" s="112" t="s">
        <v>1091</v>
      </c>
      <c r="H2021" s="112" t="s">
        <v>1015</v>
      </c>
      <c r="I2021" s="112" t="s">
        <v>749</v>
      </c>
      <c r="J2021" s="112" t="s">
        <v>4645</v>
      </c>
      <c r="K2021" s="112" t="s">
        <v>4662</v>
      </c>
      <c r="L2021" s="116">
        <v>487.66</v>
      </c>
      <c r="M2021" s="116">
        <f t="shared" si="31"/>
        <v>0.48766000000000004</v>
      </c>
    </row>
    <row r="2022" spans="1:13" hidden="1" x14ac:dyDescent="0.35">
      <c r="A2022" s="112" t="s">
        <v>4632</v>
      </c>
      <c r="B2022" s="112" t="s">
        <v>4644</v>
      </c>
      <c r="C2022" s="112" t="s">
        <v>695</v>
      </c>
      <c r="D2022" s="113">
        <v>10348085</v>
      </c>
      <c r="E2022" s="115">
        <v>43923</v>
      </c>
      <c r="F2022" s="114">
        <v>202101</v>
      </c>
      <c r="G2022" s="112" t="s">
        <v>1091</v>
      </c>
      <c r="H2022" s="112" t="s">
        <v>1015</v>
      </c>
      <c r="I2022" s="112" t="s">
        <v>749</v>
      </c>
      <c r="J2022" s="112" t="s">
        <v>4645</v>
      </c>
      <c r="K2022" s="112" t="s">
        <v>4662</v>
      </c>
      <c r="L2022" s="116">
        <v>-504.53</v>
      </c>
      <c r="M2022" s="116">
        <f t="shared" si="31"/>
        <v>-0.50452999999999992</v>
      </c>
    </row>
    <row r="2023" spans="1:13" hidden="1" x14ac:dyDescent="0.35">
      <c r="A2023" s="112" t="s">
        <v>4632</v>
      </c>
      <c r="B2023" s="112" t="s">
        <v>4644</v>
      </c>
      <c r="C2023" s="112" t="s">
        <v>695</v>
      </c>
      <c r="D2023" s="113">
        <v>10348085</v>
      </c>
      <c r="E2023" s="115">
        <v>43923</v>
      </c>
      <c r="F2023" s="114">
        <v>202101</v>
      </c>
      <c r="G2023" s="112" t="s">
        <v>1091</v>
      </c>
      <c r="H2023" s="112" t="s">
        <v>1015</v>
      </c>
      <c r="I2023" s="112" t="s">
        <v>749</v>
      </c>
      <c r="J2023" s="112" t="s">
        <v>4645</v>
      </c>
      <c r="K2023" s="112" t="s">
        <v>4662</v>
      </c>
      <c r="L2023" s="116">
        <v>57.14</v>
      </c>
      <c r="M2023" s="116">
        <f t="shared" si="31"/>
        <v>5.7140000000000003E-2</v>
      </c>
    </row>
    <row r="2024" spans="1:13" hidden="1" x14ac:dyDescent="0.35">
      <c r="A2024" s="112" t="s">
        <v>4632</v>
      </c>
      <c r="B2024" s="112" t="s">
        <v>4639</v>
      </c>
      <c r="C2024" s="112" t="s">
        <v>695</v>
      </c>
      <c r="D2024" s="113">
        <v>10348063</v>
      </c>
      <c r="E2024" s="115">
        <v>43929</v>
      </c>
      <c r="F2024" s="114">
        <v>202101</v>
      </c>
      <c r="G2024" s="112" t="s">
        <v>1091</v>
      </c>
      <c r="H2024" s="112" t="s">
        <v>1016</v>
      </c>
      <c r="I2024" s="112" t="s">
        <v>779</v>
      </c>
      <c r="J2024" s="112" t="s">
        <v>4640</v>
      </c>
      <c r="K2024" s="112" t="s">
        <v>4963</v>
      </c>
      <c r="L2024" s="116">
        <v>22370</v>
      </c>
      <c r="M2024" s="116">
        <f t="shared" si="31"/>
        <v>22.37</v>
      </c>
    </row>
    <row r="2025" spans="1:13" hidden="1" x14ac:dyDescent="0.35">
      <c r="A2025" s="112" t="s">
        <v>4632</v>
      </c>
      <c r="B2025" s="112" t="s">
        <v>4701</v>
      </c>
      <c r="C2025" s="112" t="s">
        <v>695</v>
      </c>
      <c r="D2025" s="113">
        <v>10348063</v>
      </c>
      <c r="E2025" s="115">
        <v>43929</v>
      </c>
      <c r="F2025" s="114">
        <v>202101</v>
      </c>
      <c r="G2025" s="112" t="s">
        <v>1091</v>
      </c>
      <c r="H2025" s="112" t="s">
        <v>1016</v>
      </c>
      <c r="I2025" s="112" t="s">
        <v>779</v>
      </c>
      <c r="J2025" s="112" t="s">
        <v>4702</v>
      </c>
      <c r="K2025" s="112" t="s">
        <v>4964</v>
      </c>
      <c r="L2025" s="116">
        <v>960.43</v>
      </c>
      <c r="M2025" s="116">
        <f t="shared" si="31"/>
        <v>0.96042999999999989</v>
      </c>
    </row>
    <row r="2026" spans="1:13" hidden="1" x14ac:dyDescent="0.35">
      <c r="A2026" s="112" t="s">
        <v>4632</v>
      </c>
      <c r="B2026" s="112" t="s">
        <v>4701</v>
      </c>
      <c r="C2026" s="112" t="s">
        <v>695</v>
      </c>
      <c r="D2026" s="113">
        <v>10348063</v>
      </c>
      <c r="E2026" s="115">
        <v>43929</v>
      </c>
      <c r="F2026" s="114">
        <v>202101</v>
      </c>
      <c r="G2026" s="112" t="s">
        <v>1091</v>
      </c>
      <c r="H2026" s="112" t="s">
        <v>1016</v>
      </c>
      <c r="I2026" s="112" t="s">
        <v>779</v>
      </c>
      <c r="J2026" s="112" t="s">
        <v>4702</v>
      </c>
      <c r="K2026" s="112" t="s">
        <v>4965</v>
      </c>
      <c r="L2026" s="116">
        <v>1710.49</v>
      </c>
      <c r="M2026" s="116">
        <f t="shared" si="31"/>
        <v>1.7104900000000001</v>
      </c>
    </row>
    <row r="2027" spans="1:13" hidden="1" x14ac:dyDescent="0.35">
      <c r="A2027" s="112" t="s">
        <v>4632</v>
      </c>
      <c r="B2027" s="112" t="s">
        <v>4701</v>
      </c>
      <c r="C2027" s="112" t="s">
        <v>695</v>
      </c>
      <c r="D2027" s="113">
        <v>10348063</v>
      </c>
      <c r="E2027" s="115">
        <v>43929</v>
      </c>
      <c r="F2027" s="114">
        <v>202101</v>
      </c>
      <c r="G2027" s="112" t="s">
        <v>1091</v>
      </c>
      <c r="H2027" s="112" t="s">
        <v>1016</v>
      </c>
      <c r="I2027" s="112" t="s">
        <v>779</v>
      </c>
      <c r="J2027" s="112" t="s">
        <v>4702</v>
      </c>
      <c r="K2027" s="112" t="s">
        <v>4965</v>
      </c>
      <c r="L2027" s="116">
        <v>1616.24</v>
      </c>
      <c r="M2027" s="116">
        <f t="shared" si="31"/>
        <v>1.6162399999999999</v>
      </c>
    </row>
    <row r="2028" spans="1:13" hidden="1" x14ac:dyDescent="0.35">
      <c r="A2028" s="112" t="s">
        <v>4632</v>
      </c>
      <c r="B2028" s="112" t="s">
        <v>4635</v>
      </c>
      <c r="C2028" s="112" t="s">
        <v>695</v>
      </c>
      <c r="D2028" s="113">
        <v>10348130</v>
      </c>
      <c r="E2028" s="115">
        <v>43930</v>
      </c>
      <c r="F2028" s="114">
        <v>202101</v>
      </c>
      <c r="G2028" s="112" t="s">
        <v>1091</v>
      </c>
      <c r="H2028" s="112" t="s">
        <v>1016</v>
      </c>
      <c r="I2028" s="112" t="s">
        <v>4966</v>
      </c>
      <c r="J2028" s="112" t="s">
        <v>4967</v>
      </c>
      <c r="K2028" s="112" t="s">
        <v>4968</v>
      </c>
      <c r="L2028" s="116">
        <v>943.71</v>
      </c>
      <c r="M2028" s="116">
        <f t="shared" si="31"/>
        <v>0.94371000000000005</v>
      </c>
    </row>
    <row r="2029" spans="1:13" hidden="1" x14ac:dyDescent="0.35">
      <c r="A2029" s="112" t="s">
        <v>4632</v>
      </c>
      <c r="B2029" s="112" t="s">
        <v>4650</v>
      </c>
      <c r="C2029" s="112" t="s">
        <v>695</v>
      </c>
      <c r="D2029" s="113">
        <v>10348085</v>
      </c>
      <c r="E2029" s="115">
        <v>43923</v>
      </c>
      <c r="F2029" s="114">
        <v>202101</v>
      </c>
      <c r="G2029" s="112" t="s">
        <v>1091</v>
      </c>
      <c r="H2029" s="112" t="s">
        <v>1015</v>
      </c>
      <c r="I2029" s="112" t="s">
        <v>749</v>
      </c>
      <c r="J2029" s="112" t="s">
        <v>4651</v>
      </c>
      <c r="K2029" s="112" t="s">
        <v>4662</v>
      </c>
      <c r="L2029" s="116">
        <v>-292.85000000000002</v>
      </c>
      <c r="M2029" s="116">
        <f t="shared" si="31"/>
        <v>-0.29285</v>
      </c>
    </row>
    <row r="2030" spans="1:13" hidden="1" x14ac:dyDescent="0.35">
      <c r="A2030" s="112" t="s">
        <v>4632</v>
      </c>
      <c r="B2030" s="112" t="s">
        <v>4644</v>
      </c>
      <c r="C2030" s="112" t="s">
        <v>695</v>
      </c>
      <c r="D2030" s="113">
        <v>10348085</v>
      </c>
      <c r="E2030" s="115">
        <v>43923</v>
      </c>
      <c r="F2030" s="114">
        <v>202101</v>
      </c>
      <c r="G2030" s="112" t="s">
        <v>1091</v>
      </c>
      <c r="H2030" s="112" t="s">
        <v>1015</v>
      </c>
      <c r="I2030" s="112" t="s">
        <v>749</v>
      </c>
      <c r="J2030" s="112" t="s">
        <v>4645</v>
      </c>
      <c r="K2030" s="112" t="s">
        <v>4662</v>
      </c>
      <c r="L2030" s="116">
        <v>-109.92</v>
      </c>
      <c r="M2030" s="116">
        <f t="shared" si="31"/>
        <v>-0.10992</v>
      </c>
    </row>
    <row r="2031" spans="1:13" hidden="1" x14ac:dyDescent="0.35">
      <c r="A2031" s="112" t="s">
        <v>4632</v>
      </c>
      <c r="B2031" s="112" t="s">
        <v>4644</v>
      </c>
      <c r="C2031" s="112" t="s">
        <v>695</v>
      </c>
      <c r="D2031" s="113">
        <v>10348085</v>
      </c>
      <c r="E2031" s="115">
        <v>43923</v>
      </c>
      <c r="F2031" s="114">
        <v>202101</v>
      </c>
      <c r="G2031" s="112" t="s">
        <v>1091</v>
      </c>
      <c r="H2031" s="112" t="s">
        <v>1015</v>
      </c>
      <c r="I2031" s="112" t="s">
        <v>749</v>
      </c>
      <c r="J2031" s="112" t="s">
        <v>4645</v>
      </c>
      <c r="K2031" s="112" t="s">
        <v>4662</v>
      </c>
      <c r="L2031" s="116">
        <v>-444.33</v>
      </c>
      <c r="M2031" s="116">
        <f t="shared" si="31"/>
        <v>-0.44433</v>
      </c>
    </row>
    <row r="2032" spans="1:13" hidden="1" x14ac:dyDescent="0.35">
      <c r="A2032" s="112" t="s">
        <v>4632</v>
      </c>
      <c r="B2032" s="112" t="s">
        <v>4644</v>
      </c>
      <c r="C2032" s="112" t="s">
        <v>695</v>
      </c>
      <c r="D2032" s="113">
        <v>10348085</v>
      </c>
      <c r="E2032" s="115">
        <v>43923</v>
      </c>
      <c r="F2032" s="114">
        <v>202101</v>
      </c>
      <c r="G2032" s="112" t="s">
        <v>1091</v>
      </c>
      <c r="H2032" s="112" t="s">
        <v>1015</v>
      </c>
      <c r="I2032" s="112" t="s">
        <v>749</v>
      </c>
      <c r="J2032" s="112" t="s">
        <v>4645</v>
      </c>
      <c r="K2032" s="112" t="s">
        <v>4662</v>
      </c>
      <c r="L2032" s="116">
        <v>-2175.81</v>
      </c>
      <c r="M2032" s="116">
        <f t="shared" si="31"/>
        <v>-2.1758099999999998</v>
      </c>
    </row>
    <row r="2033" spans="1:13" hidden="1" x14ac:dyDescent="0.35">
      <c r="A2033" s="112" t="s">
        <v>4632</v>
      </c>
      <c r="B2033" s="112" t="s">
        <v>4644</v>
      </c>
      <c r="C2033" s="112" t="s">
        <v>695</v>
      </c>
      <c r="D2033" s="113">
        <v>10348085</v>
      </c>
      <c r="E2033" s="115">
        <v>43923</v>
      </c>
      <c r="F2033" s="114">
        <v>202101</v>
      </c>
      <c r="G2033" s="112" t="s">
        <v>1091</v>
      </c>
      <c r="H2033" s="112" t="s">
        <v>1015</v>
      </c>
      <c r="I2033" s="112" t="s">
        <v>749</v>
      </c>
      <c r="J2033" s="112" t="s">
        <v>4645</v>
      </c>
      <c r="K2033" s="112" t="s">
        <v>4662</v>
      </c>
      <c r="L2033" s="116">
        <v>-133.04</v>
      </c>
      <c r="M2033" s="116">
        <f t="shared" si="31"/>
        <v>-0.13303999999999999</v>
      </c>
    </row>
    <row r="2034" spans="1:13" hidden="1" x14ac:dyDescent="0.35">
      <c r="A2034" s="112" t="s">
        <v>4632</v>
      </c>
      <c r="B2034" s="112" t="s">
        <v>4644</v>
      </c>
      <c r="C2034" s="112" t="s">
        <v>695</v>
      </c>
      <c r="D2034" s="113">
        <v>10348085</v>
      </c>
      <c r="E2034" s="115">
        <v>43923</v>
      </c>
      <c r="F2034" s="114">
        <v>202101</v>
      </c>
      <c r="G2034" s="112" t="s">
        <v>1091</v>
      </c>
      <c r="H2034" s="112" t="s">
        <v>1015</v>
      </c>
      <c r="I2034" s="112" t="s">
        <v>749</v>
      </c>
      <c r="J2034" s="112" t="s">
        <v>4645</v>
      </c>
      <c r="K2034" s="112" t="s">
        <v>4662</v>
      </c>
      <c r="L2034" s="116">
        <v>-333.41</v>
      </c>
      <c r="M2034" s="116">
        <f t="shared" si="31"/>
        <v>-0.33341000000000004</v>
      </c>
    </row>
    <row r="2035" spans="1:13" hidden="1" x14ac:dyDescent="0.35">
      <c r="A2035" s="112" t="s">
        <v>4632</v>
      </c>
      <c r="B2035" s="112" t="s">
        <v>4650</v>
      </c>
      <c r="C2035" s="112" t="s">
        <v>695</v>
      </c>
      <c r="D2035" s="113">
        <v>10348085</v>
      </c>
      <c r="E2035" s="115">
        <v>43923</v>
      </c>
      <c r="F2035" s="114">
        <v>202101</v>
      </c>
      <c r="G2035" s="112" t="s">
        <v>1091</v>
      </c>
      <c r="H2035" s="112" t="s">
        <v>1015</v>
      </c>
      <c r="I2035" s="112" t="s">
        <v>757</v>
      </c>
      <c r="J2035" s="112" t="s">
        <v>4651</v>
      </c>
      <c r="K2035" s="112" t="s">
        <v>4662</v>
      </c>
      <c r="L2035" s="116">
        <v>-1083.52</v>
      </c>
      <c r="M2035" s="116">
        <f t="shared" si="31"/>
        <v>-1.08352</v>
      </c>
    </row>
    <row r="2036" spans="1:13" hidden="1" x14ac:dyDescent="0.35">
      <c r="A2036" s="112" t="s">
        <v>4632</v>
      </c>
      <c r="B2036" s="112" t="s">
        <v>4644</v>
      </c>
      <c r="C2036" s="112" t="s">
        <v>695</v>
      </c>
      <c r="D2036" s="113">
        <v>10348085</v>
      </c>
      <c r="E2036" s="115">
        <v>43923</v>
      </c>
      <c r="F2036" s="114">
        <v>202101</v>
      </c>
      <c r="G2036" s="112" t="s">
        <v>1091</v>
      </c>
      <c r="H2036" s="112" t="s">
        <v>1015</v>
      </c>
      <c r="I2036" s="112" t="s">
        <v>757</v>
      </c>
      <c r="J2036" s="112" t="s">
        <v>4645</v>
      </c>
      <c r="K2036" s="112" t="s">
        <v>4662</v>
      </c>
      <c r="L2036" s="116">
        <v>-62.03</v>
      </c>
      <c r="M2036" s="116">
        <f t="shared" si="31"/>
        <v>-6.2030000000000002E-2</v>
      </c>
    </row>
    <row r="2037" spans="1:13" hidden="1" x14ac:dyDescent="0.35">
      <c r="A2037" s="112" t="s">
        <v>4632</v>
      </c>
      <c r="B2037" s="112" t="s">
        <v>863</v>
      </c>
      <c r="C2037" s="112" t="s">
        <v>695</v>
      </c>
      <c r="D2037" s="113">
        <v>10348085</v>
      </c>
      <c r="E2037" s="115">
        <v>43923</v>
      </c>
      <c r="F2037" s="114">
        <v>202101</v>
      </c>
      <c r="G2037" s="112" t="s">
        <v>1091</v>
      </c>
      <c r="H2037" s="112" t="s">
        <v>1015</v>
      </c>
      <c r="I2037" s="112" t="s">
        <v>757</v>
      </c>
      <c r="J2037" s="112" t="s">
        <v>856</v>
      </c>
      <c r="K2037" s="112" t="s">
        <v>4662</v>
      </c>
      <c r="L2037" s="116">
        <v>-161.77000000000001</v>
      </c>
      <c r="M2037" s="116">
        <f t="shared" si="31"/>
        <v>-0.16177</v>
      </c>
    </row>
    <row r="2038" spans="1:13" hidden="1" x14ac:dyDescent="0.35">
      <c r="A2038" s="112" t="s">
        <v>4632</v>
      </c>
      <c r="B2038" s="112" t="s">
        <v>863</v>
      </c>
      <c r="C2038" s="112" t="s">
        <v>695</v>
      </c>
      <c r="D2038" s="113">
        <v>10348085</v>
      </c>
      <c r="E2038" s="115">
        <v>43923</v>
      </c>
      <c r="F2038" s="114">
        <v>202101</v>
      </c>
      <c r="G2038" s="112" t="s">
        <v>1091</v>
      </c>
      <c r="H2038" s="112" t="s">
        <v>1015</v>
      </c>
      <c r="I2038" s="112" t="s">
        <v>757</v>
      </c>
      <c r="J2038" s="112" t="s">
        <v>787</v>
      </c>
      <c r="K2038" s="112" t="s">
        <v>4662</v>
      </c>
      <c r="L2038" s="116">
        <v>-1488.76</v>
      </c>
      <c r="M2038" s="116">
        <f t="shared" si="31"/>
        <v>-1.4887600000000001</v>
      </c>
    </row>
    <row r="2039" spans="1:13" hidden="1" x14ac:dyDescent="0.35">
      <c r="A2039" s="112" t="s">
        <v>4632</v>
      </c>
      <c r="B2039" s="112" t="s">
        <v>4644</v>
      </c>
      <c r="C2039" s="112" t="s">
        <v>695</v>
      </c>
      <c r="D2039" s="113">
        <v>10348085</v>
      </c>
      <c r="E2039" s="115">
        <v>43923</v>
      </c>
      <c r="F2039" s="114">
        <v>202101</v>
      </c>
      <c r="G2039" s="112" t="s">
        <v>1091</v>
      </c>
      <c r="H2039" s="112" t="s">
        <v>1015</v>
      </c>
      <c r="I2039" s="112" t="s">
        <v>757</v>
      </c>
      <c r="J2039" s="112" t="s">
        <v>4645</v>
      </c>
      <c r="K2039" s="112" t="s">
        <v>4662</v>
      </c>
      <c r="L2039" s="116">
        <v>-73.930000000000007</v>
      </c>
      <c r="M2039" s="116">
        <f t="shared" si="31"/>
        <v>-7.393000000000001E-2</v>
      </c>
    </row>
    <row r="2040" spans="1:13" hidden="1" x14ac:dyDescent="0.35">
      <c r="A2040" s="112" t="s">
        <v>4632</v>
      </c>
      <c r="B2040" s="112" t="s">
        <v>4635</v>
      </c>
      <c r="C2040" s="112" t="s">
        <v>695</v>
      </c>
      <c r="D2040" s="113">
        <v>10348130</v>
      </c>
      <c r="E2040" s="115">
        <v>43930</v>
      </c>
      <c r="F2040" s="114">
        <v>202101</v>
      </c>
      <c r="G2040" s="112" t="s">
        <v>1091</v>
      </c>
      <c r="H2040" s="112" t="s">
        <v>1016</v>
      </c>
      <c r="I2040" s="112" t="s">
        <v>4966</v>
      </c>
      <c r="J2040" s="112" t="s">
        <v>4969</v>
      </c>
      <c r="K2040" s="112" t="s">
        <v>4970</v>
      </c>
      <c r="L2040" s="116">
        <v>41.66</v>
      </c>
      <c r="M2040" s="116">
        <f t="shared" si="31"/>
        <v>4.1659999999999996E-2</v>
      </c>
    </row>
    <row r="2041" spans="1:13" hidden="1" x14ac:dyDescent="0.35">
      <c r="A2041" s="112" t="s">
        <v>4632</v>
      </c>
      <c r="B2041" s="112" t="s">
        <v>4635</v>
      </c>
      <c r="C2041" s="112" t="s">
        <v>695</v>
      </c>
      <c r="D2041" s="113">
        <v>10348130</v>
      </c>
      <c r="E2041" s="115">
        <v>43930</v>
      </c>
      <c r="F2041" s="114">
        <v>202101</v>
      </c>
      <c r="G2041" s="112" t="s">
        <v>1091</v>
      </c>
      <c r="H2041" s="112" t="s">
        <v>1016</v>
      </c>
      <c r="I2041" s="112" t="s">
        <v>4966</v>
      </c>
      <c r="J2041" s="112" t="s">
        <v>4969</v>
      </c>
      <c r="K2041" s="112" t="s">
        <v>4971</v>
      </c>
      <c r="L2041" s="116">
        <v>500</v>
      </c>
      <c r="M2041" s="116">
        <f t="shared" si="31"/>
        <v>0.5</v>
      </c>
    </row>
    <row r="2042" spans="1:13" hidden="1" x14ac:dyDescent="0.35">
      <c r="A2042" s="112" t="s">
        <v>4632</v>
      </c>
      <c r="B2042" s="112" t="s">
        <v>4639</v>
      </c>
      <c r="C2042" s="112" t="s">
        <v>695</v>
      </c>
      <c r="D2042" s="113">
        <v>10348130</v>
      </c>
      <c r="E2042" s="115">
        <v>43930</v>
      </c>
      <c r="F2042" s="114">
        <v>202101</v>
      </c>
      <c r="G2042" s="112" t="s">
        <v>1091</v>
      </c>
      <c r="H2042" s="112" t="s">
        <v>1016</v>
      </c>
      <c r="I2042" s="112" t="s">
        <v>4966</v>
      </c>
      <c r="J2042" s="112" t="s">
        <v>4640</v>
      </c>
      <c r="K2042" s="112" t="s">
        <v>4972</v>
      </c>
      <c r="L2042" s="116">
        <v>8416.75</v>
      </c>
      <c r="M2042" s="116">
        <f t="shared" si="31"/>
        <v>8.4167500000000004</v>
      </c>
    </row>
    <row r="2043" spans="1:13" hidden="1" x14ac:dyDescent="0.35">
      <c r="A2043" s="112" t="s">
        <v>4632</v>
      </c>
      <c r="B2043" s="112" t="s">
        <v>4644</v>
      </c>
      <c r="C2043" s="112" t="s">
        <v>695</v>
      </c>
      <c r="D2043" s="113">
        <v>10348130</v>
      </c>
      <c r="E2043" s="115">
        <v>43930</v>
      </c>
      <c r="F2043" s="114">
        <v>202101</v>
      </c>
      <c r="G2043" s="112" t="s">
        <v>1091</v>
      </c>
      <c r="H2043" s="112" t="s">
        <v>1016</v>
      </c>
      <c r="I2043" s="112" t="s">
        <v>4966</v>
      </c>
      <c r="J2043" s="112" t="s">
        <v>4645</v>
      </c>
      <c r="K2043" s="112" t="s">
        <v>4973</v>
      </c>
      <c r="L2043" s="116">
        <v>171.75</v>
      </c>
      <c r="M2043" s="116">
        <f t="shared" si="31"/>
        <v>0.17175000000000001</v>
      </c>
    </row>
    <row r="2044" spans="1:13" hidden="1" x14ac:dyDescent="0.35">
      <c r="A2044" s="112" t="s">
        <v>4632</v>
      </c>
      <c r="B2044" s="112" t="s">
        <v>4635</v>
      </c>
      <c r="C2044" s="112" t="s">
        <v>695</v>
      </c>
      <c r="D2044" s="113">
        <v>10348130</v>
      </c>
      <c r="E2044" s="115">
        <v>43930</v>
      </c>
      <c r="F2044" s="114">
        <v>202101</v>
      </c>
      <c r="G2044" s="112" t="s">
        <v>1091</v>
      </c>
      <c r="H2044" s="112" t="s">
        <v>1016</v>
      </c>
      <c r="I2044" s="112" t="s">
        <v>4966</v>
      </c>
      <c r="J2044" s="112" t="s">
        <v>4974</v>
      </c>
      <c r="K2044" s="112" t="s">
        <v>4975</v>
      </c>
      <c r="L2044" s="116">
        <v>187.5</v>
      </c>
      <c r="M2044" s="116">
        <f t="shared" si="31"/>
        <v>0.1875</v>
      </c>
    </row>
    <row r="2045" spans="1:13" hidden="1" x14ac:dyDescent="0.35">
      <c r="A2045" s="112" t="s">
        <v>4632</v>
      </c>
      <c r="B2045" s="112" t="s">
        <v>4650</v>
      </c>
      <c r="C2045" s="112" t="s">
        <v>695</v>
      </c>
      <c r="D2045" s="113">
        <v>10348085</v>
      </c>
      <c r="E2045" s="115">
        <v>43923</v>
      </c>
      <c r="F2045" s="114">
        <v>202101</v>
      </c>
      <c r="G2045" s="112" t="s">
        <v>1091</v>
      </c>
      <c r="H2045" s="112" t="s">
        <v>1015</v>
      </c>
      <c r="I2045" s="112" t="s">
        <v>749</v>
      </c>
      <c r="J2045" s="112" t="s">
        <v>4651</v>
      </c>
      <c r="K2045" s="112" t="s">
        <v>4662</v>
      </c>
      <c r="L2045" s="116">
        <v>-233.99</v>
      </c>
      <c r="M2045" s="116">
        <f t="shared" si="31"/>
        <v>-0.23399</v>
      </c>
    </row>
    <row r="2046" spans="1:13" hidden="1" x14ac:dyDescent="0.35">
      <c r="A2046" s="112" t="s">
        <v>4632</v>
      </c>
      <c r="B2046" s="112" t="s">
        <v>4635</v>
      </c>
      <c r="C2046" s="112" t="s">
        <v>695</v>
      </c>
      <c r="D2046" s="113">
        <v>10348130</v>
      </c>
      <c r="E2046" s="115">
        <v>43930</v>
      </c>
      <c r="F2046" s="114">
        <v>202101</v>
      </c>
      <c r="G2046" s="112" t="s">
        <v>1091</v>
      </c>
      <c r="H2046" s="112" t="s">
        <v>1016</v>
      </c>
      <c r="I2046" s="112" t="s">
        <v>4966</v>
      </c>
      <c r="J2046" s="112" t="s">
        <v>4976</v>
      </c>
      <c r="K2046" s="112" t="s">
        <v>4977</v>
      </c>
      <c r="L2046" s="116">
        <v>153.25</v>
      </c>
      <c r="M2046" s="116">
        <f t="shared" si="31"/>
        <v>0.15325</v>
      </c>
    </row>
    <row r="2047" spans="1:13" hidden="1" x14ac:dyDescent="0.35">
      <c r="A2047" s="112" t="s">
        <v>4632</v>
      </c>
      <c r="B2047" s="112" t="s">
        <v>4635</v>
      </c>
      <c r="C2047" s="112" t="s">
        <v>695</v>
      </c>
      <c r="D2047" s="113">
        <v>10348130</v>
      </c>
      <c r="E2047" s="115">
        <v>43930</v>
      </c>
      <c r="F2047" s="114">
        <v>202101</v>
      </c>
      <c r="G2047" s="112" t="s">
        <v>1091</v>
      </c>
      <c r="H2047" s="112" t="s">
        <v>1016</v>
      </c>
      <c r="I2047" s="112" t="s">
        <v>4966</v>
      </c>
      <c r="J2047" s="112" t="s">
        <v>4976</v>
      </c>
      <c r="K2047" s="112" t="s">
        <v>4977</v>
      </c>
      <c r="L2047" s="116">
        <v>98.7</v>
      </c>
      <c r="M2047" s="116">
        <f t="shared" si="31"/>
        <v>9.8699999999999996E-2</v>
      </c>
    </row>
    <row r="2048" spans="1:13" hidden="1" x14ac:dyDescent="0.35">
      <c r="A2048" s="112" t="s">
        <v>4632</v>
      </c>
      <c r="B2048" s="112" t="s">
        <v>4635</v>
      </c>
      <c r="C2048" s="112" t="s">
        <v>695</v>
      </c>
      <c r="D2048" s="113">
        <v>10348130</v>
      </c>
      <c r="E2048" s="115">
        <v>43930</v>
      </c>
      <c r="F2048" s="114">
        <v>202101</v>
      </c>
      <c r="G2048" s="112" t="s">
        <v>1091</v>
      </c>
      <c r="H2048" s="112" t="s">
        <v>1016</v>
      </c>
      <c r="I2048" s="112" t="s">
        <v>4966</v>
      </c>
      <c r="J2048" s="112" t="s">
        <v>4976</v>
      </c>
      <c r="K2048" s="112" t="s">
        <v>4977</v>
      </c>
      <c r="L2048" s="116">
        <v>133.33000000000001</v>
      </c>
      <c r="M2048" s="116">
        <f t="shared" si="31"/>
        <v>0.13333</v>
      </c>
    </row>
    <row r="2049" spans="1:13" hidden="1" x14ac:dyDescent="0.35">
      <c r="A2049" s="112" t="s">
        <v>4632</v>
      </c>
      <c r="B2049" s="112" t="s">
        <v>4635</v>
      </c>
      <c r="C2049" s="112" t="s">
        <v>695</v>
      </c>
      <c r="D2049" s="113">
        <v>10348130</v>
      </c>
      <c r="E2049" s="115">
        <v>43930</v>
      </c>
      <c r="F2049" s="114">
        <v>202101</v>
      </c>
      <c r="G2049" s="112" t="s">
        <v>1091</v>
      </c>
      <c r="H2049" s="112" t="s">
        <v>1016</v>
      </c>
      <c r="I2049" s="112" t="s">
        <v>4966</v>
      </c>
      <c r="J2049" s="112" t="s">
        <v>4976</v>
      </c>
      <c r="K2049" s="112" t="s">
        <v>4972</v>
      </c>
      <c r="L2049" s="116">
        <v>495.63</v>
      </c>
      <c r="M2049" s="116">
        <f t="shared" si="31"/>
        <v>0.49563000000000001</v>
      </c>
    </row>
    <row r="2050" spans="1:13" hidden="1" x14ac:dyDescent="0.35">
      <c r="A2050" s="112" t="s">
        <v>4632</v>
      </c>
      <c r="B2050" s="112" t="s">
        <v>4635</v>
      </c>
      <c r="C2050" s="112" t="s">
        <v>695</v>
      </c>
      <c r="D2050" s="113">
        <v>10348130</v>
      </c>
      <c r="E2050" s="115">
        <v>43930</v>
      </c>
      <c r="F2050" s="114">
        <v>202101</v>
      </c>
      <c r="G2050" s="112" t="s">
        <v>1091</v>
      </c>
      <c r="H2050" s="112" t="s">
        <v>1016</v>
      </c>
      <c r="I2050" s="112" t="s">
        <v>4966</v>
      </c>
      <c r="J2050" s="112" t="s">
        <v>4974</v>
      </c>
      <c r="K2050" s="112" t="s">
        <v>4970</v>
      </c>
      <c r="L2050" s="116">
        <v>33.75</v>
      </c>
      <c r="M2050" s="116">
        <f t="shared" si="31"/>
        <v>3.3750000000000002E-2</v>
      </c>
    </row>
    <row r="2051" spans="1:13" hidden="1" x14ac:dyDescent="0.35">
      <c r="A2051" s="112" t="s">
        <v>4632</v>
      </c>
      <c r="B2051" s="112" t="s">
        <v>4635</v>
      </c>
      <c r="C2051" s="112" t="s">
        <v>695</v>
      </c>
      <c r="D2051" s="113">
        <v>10348130</v>
      </c>
      <c r="E2051" s="115">
        <v>43930</v>
      </c>
      <c r="F2051" s="114">
        <v>202101</v>
      </c>
      <c r="G2051" s="112" t="s">
        <v>1091</v>
      </c>
      <c r="H2051" s="112" t="s">
        <v>1016</v>
      </c>
      <c r="I2051" s="112" t="s">
        <v>4966</v>
      </c>
      <c r="J2051" s="112" t="s">
        <v>4978</v>
      </c>
      <c r="K2051" s="112" t="s">
        <v>4979</v>
      </c>
      <c r="L2051" s="116">
        <v>75</v>
      </c>
      <c r="M2051" s="116">
        <f t="shared" ref="M2051:M2114" si="32">L2051/1000</f>
        <v>7.4999999999999997E-2</v>
      </c>
    </row>
    <row r="2052" spans="1:13" hidden="1" x14ac:dyDescent="0.35">
      <c r="A2052" s="112" t="s">
        <v>4632</v>
      </c>
      <c r="B2052" s="112" t="s">
        <v>4635</v>
      </c>
      <c r="C2052" s="112" t="s">
        <v>695</v>
      </c>
      <c r="D2052" s="113">
        <v>10348130</v>
      </c>
      <c r="E2052" s="115">
        <v>43930</v>
      </c>
      <c r="F2052" s="114">
        <v>202101</v>
      </c>
      <c r="G2052" s="112" t="s">
        <v>1091</v>
      </c>
      <c r="H2052" s="112" t="s">
        <v>1016</v>
      </c>
      <c r="I2052" s="112" t="s">
        <v>4966</v>
      </c>
      <c r="J2052" s="112" t="s">
        <v>4969</v>
      </c>
      <c r="K2052" s="112" t="s">
        <v>4973</v>
      </c>
      <c r="L2052" s="116">
        <v>120.75</v>
      </c>
      <c r="M2052" s="116">
        <f t="shared" si="32"/>
        <v>0.12075</v>
      </c>
    </row>
    <row r="2053" spans="1:13" hidden="1" x14ac:dyDescent="0.35">
      <c r="A2053" s="112" t="s">
        <v>4632</v>
      </c>
      <c r="B2053" s="112" t="s">
        <v>4635</v>
      </c>
      <c r="C2053" s="112" t="s">
        <v>695</v>
      </c>
      <c r="D2053" s="113">
        <v>10348130</v>
      </c>
      <c r="E2053" s="115">
        <v>43930</v>
      </c>
      <c r="F2053" s="114">
        <v>202101</v>
      </c>
      <c r="G2053" s="112" t="s">
        <v>1091</v>
      </c>
      <c r="H2053" s="112" t="s">
        <v>1016</v>
      </c>
      <c r="I2053" s="112" t="s">
        <v>4966</v>
      </c>
      <c r="J2053" s="112" t="s">
        <v>4954</v>
      </c>
      <c r="K2053" s="112" t="s">
        <v>4980</v>
      </c>
      <c r="L2053" s="116">
        <v>10503.38</v>
      </c>
      <c r="M2053" s="116">
        <f t="shared" si="32"/>
        <v>10.50338</v>
      </c>
    </row>
    <row r="2054" spans="1:13" hidden="1" x14ac:dyDescent="0.35">
      <c r="A2054" s="112" t="s">
        <v>4632</v>
      </c>
      <c r="B2054" s="112" t="s">
        <v>4635</v>
      </c>
      <c r="C2054" s="112" t="s">
        <v>695</v>
      </c>
      <c r="D2054" s="113">
        <v>10348130</v>
      </c>
      <c r="E2054" s="115">
        <v>43930</v>
      </c>
      <c r="F2054" s="114">
        <v>202101</v>
      </c>
      <c r="G2054" s="112" t="s">
        <v>1091</v>
      </c>
      <c r="H2054" s="112" t="s">
        <v>1016</v>
      </c>
      <c r="I2054" s="112" t="s">
        <v>4966</v>
      </c>
      <c r="J2054" s="112" t="s">
        <v>4981</v>
      </c>
      <c r="K2054" s="112" t="s">
        <v>4982</v>
      </c>
      <c r="L2054" s="116">
        <v>17684.11</v>
      </c>
      <c r="M2054" s="116">
        <f t="shared" si="32"/>
        <v>17.68411</v>
      </c>
    </row>
    <row r="2055" spans="1:13" hidden="1" x14ac:dyDescent="0.35">
      <c r="A2055" s="112" t="s">
        <v>4632</v>
      </c>
      <c r="B2055" s="112" t="s">
        <v>4688</v>
      </c>
      <c r="C2055" s="112" t="s">
        <v>695</v>
      </c>
      <c r="D2055" s="113">
        <v>10348130</v>
      </c>
      <c r="E2055" s="115">
        <v>43930</v>
      </c>
      <c r="F2055" s="114">
        <v>202101</v>
      </c>
      <c r="G2055" s="112" t="s">
        <v>1091</v>
      </c>
      <c r="H2055" s="112" t="s">
        <v>1016</v>
      </c>
      <c r="I2055" s="112" t="s">
        <v>3394</v>
      </c>
      <c r="J2055" s="112" t="s">
        <v>4932</v>
      </c>
      <c r="K2055" s="112" t="s">
        <v>4983</v>
      </c>
      <c r="L2055" s="116">
        <v>52000</v>
      </c>
      <c r="M2055" s="116">
        <f t="shared" si="32"/>
        <v>52</v>
      </c>
    </row>
    <row r="2056" spans="1:13" hidden="1" x14ac:dyDescent="0.35">
      <c r="A2056" s="112" t="s">
        <v>4632</v>
      </c>
      <c r="B2056" s="112" t="s">
        <v>4688</v>
      </c>
      <c r="C2056" s="112" t="s">
        <v>695</v>
      </c>
      <c r="D2056" s="113">
        <v>10348130</v>
      </c>
      <c r="E2056" s="115">
        <v>43930</v>
      </c>
      <c r="F2056" s="114">
        <v>202101</v>
      </c>
      <c r="G2056" s="112" t="s">
        <v>1091</v>
      </c>
      <c r="H2056" s="112" t="s">
        <v>1016</v>
      </c>
      <c r="I2056" s="112" t="s">
        <v>3394</v>
      </c>
      <c r="J2056" s="112" t="s">
        <v>4984</v>
      </c>
      <c r="K2056" s="112" t="s">
        <v>4985</v>
      </c>
      <c r="L2056" s="116">
        <v>49500</v>
      </c>
      <c r="M2056" s="116">
        <f t="shared" si="32"/>
        <v>49.5</v>
      </c>
    </row>
    <row r="2057" spans="1:13" hidden="1" x14ac:dyDescent="0.35">
      <c r="A2057" s="112" t="s">
        <v>4632</v>
      </c>
      <c r="B2057" s="112" t="s">
        <v>863</v>
      </c>
      <c r="C2057" s="112" t="s">
        <v>695</v>
      </c>
      <c r="D2057" s="113">
        <v>10348085</v>
      </c>
      <c r="E2057" s="115">
        <v>43923</v>
      </c>
      <c r="F2057" s="114">
        <v>202101</v>
      </c>
      <c r="G2057" s="112" t="s">
        <v>1091</v>
      </c>
      <c r="H2057" s="112" t="s">
        <v>1015</v>
      </c>
      <c r="I2057" s="112" t="s">
        <v>751</v>
      </c>
      <c r="J2057" s="112" t="s">
        <v>787</v>
      </c>
      <c r="K2057" s="112" t="s">
        <v>4662</v>
      </c>
      <c r="L2057" s="116">
        <v>-3857.55</v>
      </c>
      <c r="M2057" s="116">
        <f t="shared" si="32"/>
        <v>-3.8575500000000003</v>
      </c>
    </row>
    <row r="2058" spans="1:13" hidden="1" x14ac:dyDescent="0.35">
      <c r="A2058" s="112" t="s">
        <v>4632</v>
      </c>
      <c r="B2058" s="112" t="s">
        <v>4644</v>
      </c>
      <c r="C2058" s="112" t="s">
        <v>695</v>
      </c>
      <c r="D2058" s="113">
        <v>10348085</v>
      </c>
      <c r="E2058" s="115">
        <v>43923</v>
      </c>
      <c r="F2058" s="114">
        <v>202101</v>
      </c>
      <c r="G2058" s="112" t="s">
        <v>1091</v>
      </c>
      <c r="H2058" s="112" t="s">
        <v>1015</v>
      </c>
      <c r="I2058" s="112" t="s">
        <v>751</v>
      </c>
      <c r="J2058" s="112" t="s">
        <v>4645</v>
      </c>
      <c r="K2058" s="112" t="s">
        <v>4662</v>
      </c>
      <c r="L2058" s="116">
        <v>-332.36</v>
      </c>
      <c r="M2058" s="116">
        <f t="shared" si="32"/>
        <v>-0.33235999999999999</v>
      </c>
    </row>
    <row r="2059" spans="1:13" hidden="1" x14ac:dyDescent="0.35">
      <c r="A2059" s="112" t="s">
        <v>4632</v>
      </c>
      <c r="B2059" s="112" t="s">
        <v>4650</v>
      </c>
      <c r="C2059" s="112" t="s">
        <v>695</v>
      </c>
      <c r="D2059" s="113">
        <v>10348085</v>
      </c>
      <c r="E2059" s="115">
        <v>43923</v>
      </c>
      <c r="F2059" s="114">
        <v>202101</v>
      </c>
      <c r="G2059" s="112" t="s">
        <v>1091</v>
      </c>
      <c r="H2059" s="112" t="s">
        <v>1015</v>
      </c>
      <c r="I2059" s="112" t="s">
        <v>757</v>
      </c>
      <c r="J2059" s="112" t="s">
        <v>4651</v>
      </c>
      <c r="K2059" s="112" t="s">
        <v>4662</v>
      </c>
      <c r="L2059" s="116">
        <v>-536.41999999999996</v>
      </c>
      <c r="M2059" s="116">
        <f t="shared" si="32"/>
        <v>-0.53642000000000001</v>
      </c>
    </row>
    <row r="2060" spans="1:13" hidden="1" x14ac:dyDescent="0.35">
      <c r="A2060" s="112" t="s">
        <v>4632</v>
      </c>
      <c r="B2060" s="112" t="s">
        <v>4644</v>
      </c>
      <c r="C2060" s="112" t="s">
        <v>695</v>
      </c>
      <c r="D2060" s="113">
        <v>10348085</v>
      </c>
      <c r="E2060" s="115">
        <v>43923</v>
      </c>
      <c r="F2060" s="114">
        <v>202101</v>
      </c>
      <c r="G2060" s="112" t="s">
        <v>1091</v>
      </c>
      <c r="H2060" s="112" t="s">
        <v>1015</v>
      </c>
      <c r="I2060" s="112" t="s">
        <v>749</v>
      </c>
      <c r="J2060" s="112" t="s">
        <v>4645</v>
      </c>
      <c r="K2060" s="112" t="s">
        <v>4662</v>
      </c>
      <c r="L2060" s="116">
        <v>-73.930000000000007</v>
      </c>
      <c r="M2060" s="116">
        <f t="shared" si="32"/>
        <v>-7.393000000000001E-2</v>
      </c>
    </row>
    <row r="2061" spans="1:13" hidden="1" x14ac:dyDescent="0.35">
      <c r="A2061" s="112" t="s">
        <v>4632</v>
      </c>
      <c r="B2061" s="112" t="s">
        <v>863</v>
      </c>
      <c r="C2061" s="112" t="s">
        <v>695</v>
      </c>
      <c r="D2061" s="113">
        <v>10348085</v>
      </c>
      <c r="E2061" s="115">
        <v>43923</v>
      </c>
      <c r="F2061" s="114">
        <v>202101</v>
      </c>
      <c r="G2061" s="112" t="s">
        <v>1091</v>
      </c>
      <c r="H2061" s="112" t="s">
        <v>1015</v>
      </c>
      <c r="I2061" s="112" t="s">
        <v>749</v>
      </c>
      <c r="J2061" s="112" t="s">
        <v>852</v>
      </c>
      <c r="K2061" s="112" t="s">
        <v>4662</v>
      </c>
      <c r="L2061" s="116">
        <v>-39.340000000000003</v>
      </c>
      <c r="M2061" s="116">
        <f t="shared" si="32"/>
        <v>-3.934E-2</v>
      </c>
    </row>
    <row r="2062" spans="1:13" hidden="1" x14ac:dyDescent="0.35">
      <c r="A2062" s="112" t="s">
        <v>4632</v>
      </c>
      <c r="B2062" s="112" t="s">
        <v>863</v>
      </c>
      <c r="C2062" s="112" t="s">
        <v>695</v>
      </c>
      <c r="D2062" s="113">
        <v>10348085</v>
      </c>
      <c r="E2062" s="115">
        <v>43923</v>
      </c>
      <c r="F2062" s="114">
        <v>202101</v>
      </c>
      <c r="G2062" s="112" t="s">
        <v>1091</v>
      </c>
      <c r="H2062" s="112" t="s">
        <v>1015</v>
      </c>
      <c r="I2062" s="112" t="s">
        <v>749</v>
      </c>
      <c r="J2062" s="112" t="s">
        <v>787</v>
      </c>
      <c r="K2062" s="112" t="s">
        <v>4662</v>
      </c>
      <c r="L2062" s="116">
        <v>-1941.17</v>
      </c>
      <c r="M2062" s="116">
        <f t="shared" si="32"/>
        <v>-1.9411700000000001</v>
      </c>
    </row>
    <row r="2063" spans="1:13" hidden="1" x14ac:dyDescent="0.35">
      <c r="A2063" s="112" t="s">
        <v>4632</v>
      </c>
      <c r="B2063" s="112" t="s">
        <v>4650</v>
      </c>
      <c r="C2063" s="112" t="s">
        <v>695</v>
      </c>
      <c r="D2063" s="113">
        <v>10348085</v>
      </c>
      <c r="E2063" s="115">
        <v>43923</v>
      </c>
      <c r="F2063" s="114">
        <v>202101</v>
      </c>
      <c r="G2063" s="112" t="s">
        <v>1091</v>
      </c>
      <c r="H2063" s="112" t="s">
        <v>1015</v>
      </c>
      <c r="I2063" s="112" t="s">
        <v>749</v>
      </c>
      <c r="J2063" s="112" t="s">
        <v>4651</v>
      </c>
      <c r="K2063" s="112" t="s">
        <v>4662</v>
      </c>
      <c r="L2063" s="116">
        <v>-228.96</v>
      </c>
      <c r="M2063" s="116">
        <f t="shared" si="32"/>
        <v>-0.22896</v>
      </c>
    </row>
    <row r="2064" spans="1:13" hidden="1" x14ac:dyDescent="0.35">
      <c r="A2064" s="112" t="s">
        <v>4632</v>
      </c>
      <c r="B2064" s="112" t="s">
        <v>4650</v>
      </c>
      <c r="C2064" s="112" t="s">
        <v>695</v>
      </c>
      <c r="D2064" s="113">
        <v>10348085</v>
      </c>
      <c r="E2064" s="115">
        <v>43923</v>
      </c>
      <c r="F2064" s="114">
        <v>202101</v>
      </c>
      <c r="G2064" s="112" t="s">
        <v>1091</v>
      </c>
      <c r="H2064" s="112" t="s">
        <v>1015</v>
      </c>
      <c r="I2064" s="112" t="s">
        <v>749</v>
      </c>
      <c r="J2064" s="112" t="s">
        <v>4651</v>
      </c>
      <c r="K2064" s="112" t="s">
        <v>4662</v>
      </c>
      <c r="L2064" s="116">
        <v>-754.39</v>
      </c>
      <c r="M2064" s="116">
        <f t="shared" si="32"/>
        <v>-0.75439000000000001</v>
      </c>
    </row>
    <row r="2065" spans="1:13" hidden="1" x14ac:dyDescent="0.35">
      <c r="A2065" s="112" t="s">
        <v>4632</v>
      </c>
      <c r="B2065" s="112" t="s">
        <v>4644</v>
      </c>
      <c r="C2065" s="112" t="s">
        <v>695</v>
      </c>
      <c r="D2065" s="113">
        <v>10348085</v>
      </c>
      <c r="E2065" s="115">
        <v>43923</v>
      </c>
      <c r="F2065" s="114">
        <v>202101</v>
      </c>
      <c r="G2065" s="112" t="s">
        <v>1091</v>
      </c>
      <c r="H2065" s="112" t="s">
        <v>1015</v>
      </c>
      <c r="I2065" s="112" t="s">
        <v>749</v>
      </c>
      <c r="J2065" s="112" t="s">
        <v>4645</v>
      </c>
      <c r="K2065" s="112" t="s">
        <v>4662</v>
      </c>
      <c r="L2065" s="116">
        <v>-190.75</v>
      </c>
      <c r="M2065" s="116">
        <f t="shared" si="32"/>
        <v>-0.19075</v>
      </c>
    </row>
    <row r="2066" spans="1:13" hidden="1" x14ac:dyDescent="0.35">
      <c r="A2066" s="112" t="s">
        <v>4632</v>
      </c>
      <c r="B2066" s="112" t="s">
        <v>863</v>
      </c>
      <c r="C2066" s="112" t="s">
        <v>695</v>
      </c>
      <c r="D2066" s="113">
        <v>10348085</v>
      </c>
      <c r="E2066" s="115">
        <v>43923</v>
      </c>
      <c r="F2066" s="114">
        <v>202101</v>
      </c>
      <c r="G2066" s="112" t="s">
        <v>1091</v>
      </c>
      <c r="H2066" s="112" t="s">
        <v>1015</v>
      </c>
      <c r="I2066" s="112" t="s">
        <v>749</v>
      </c>
      <c r="J2066" s="112" t="s">
        <v>821</v>
      </c>
      <c r="K2066" s="112" t="s">
        <v>4662</v>
      </c>
      <c r="L2066" s="116">
        <v>-719.03</v>
      </c>
      <c r="M2066" s="116">
        <f t="shared" si="32"/>
        <v>-0.71902999999999995</v>
      </c>
    </row>
    <row r="2067" spans="1:13" hidden="1" x14ac:dyDescent="0.35">
      <c r="A2067" s="112" t="s">
        <v>4632</v>
      </c>
      <c r="B2067" s="112" t="s">
        <v>863</v>
      </c>
      <c r="C2067" s="112" t="s">
        <v>695</v>
      </c>
      <c r="D2067" s="113">
        <v>10348085</v>
      </c>
      <c r="E2067" s="115">
        <v>43923</v>
      </c>
      <c r="F2067" s="114">
        <v>202101</v>
      </c>
      <c r="G2067" s="112" t="s">
        <v>1091</v>
      </c>
      <c r="H2067" s="112" t="s">
        <v>1015</v>
      </c>
      <c r="I2067" s="112" t="s">
        <v>749</v>
      </c>
      <c r="J2067" s="112" t="s">
        <v>821</v>
      </c>
      <c r="K2067" s="112" t="s">
        <v>4662</v>
      </c>
      <c r="L2067" s="116">
        <v>-182.68</v>
      </c>
      <c r="M2067" s="116">
        <f t="shared" si="32"/>
        <v>-0.18268000000000001</v>
      </c>
    </row>
    <row r="2068" spans="1:13" hidden="1" x14ac:dyDescent="0.35">
      <c r="A2068" s="112" t="s">
        <v>4632</v>
      </c>
      <c r="B2068" s="112" t="s">
        <v>4635</v>
      </c>
      <c r="C2068" s="112" t="s">
        <v>695</v>
      </c>
      <c r="D2068" s="113">
        <v>10348130</v>
      </c>
      <c r="E2068" s="115">
        <v>43930</v>
      </c>
      <c r="F2068" s="114">
        <v>202101</v>
      </c>
      <c r="G2068" s="112" t="s">
        <v>1091</v>
      </c>
      <c r="H2068" s="112" t="s">
        <v>1015</v>
      </c>
      <c r="I2068" s="112" t="s">
        <v>740</v>
      </c>
      <c r="J2068" s="112" t="s">
        <v>4978</v>
      </c>
      <c r="K2068" s="112" t="s">
        <v>4986</v>
      </c>
      <c r="L2068" s="116">
        <v>-80</v>
      </c>
      <c r="M2068" s="116">
        <f t="shared" si="32"/>
        <v>-0.08</v>
      </c>
    </row>
    <row r="2069" spans="1:13" hidden="1" x14ac:dyDescent="0.35">
      <c r="A2069" s="112" t="s">
        <v>4632</v>
      </c>
      <c r="B2069" s="112" t="s">
        <v>4635</v>
      </c>
      <c r="C2069" s="112" t="s">
        <v>695</v>
      </c>
      <c r="D2069" s="113">
        <v>10348130</v>
      </c>
      <c r="E2069" s="115">
        <v>43930</v>
      </c>
      <c r="F2069" s="114">
        <v>202101</v>
      </c>
      <c r="G2069" s="112" t="s">
        <v>1091</v>
      </c>
      <c r="H2069" s="112" t="s">
        <v>1015</v>
      </c>
      <c r="I2069" s="112" t="s">
        <v>740</v>
      </c>
      <c r="J2069" s="112" t="s">
        <v>4987</v>
      </c>
      <c r="K2069" s="112" t="s">
        <v>4988</v>
      </c>
      <c r="L2069" s="116">
        <v>-3965.48</v>
      </c>
      <c r="M2069" s="116">
        <f t="shared" si="32"/>
        <v>-3.9654799999999999</v>
      </c>
    </row>
    <row r="2070" spans="1:13" hidden="1" x14ac:dyDescent="0.35">
      <c r="A2070" s="112" t="s">
        <v>4632</v>
      </c>
      <c r="B2070" s="112" t="s">
        <v>4635</v>
      </c>
      <c r="C2070" s="112" t="s">
        <v>695</v>
      </c>
      <c r="D2070" s="113">
        <v>10348130</v>
      </c>
      <c r="E2070" s="115">
        <v>43930</v>
      </c>
      <c r="F2070" s="114">
        <v>202101</v>
      </c>
      <c r="G2070" s="112" t="s">
        <v>1091</v>
      </c>
      <c r="H2070" s="112" t="s">
        <v>1015</v>
      </c>
      <c r="I2070" s="112" t="s">
        <v>740</v>
      </c>
      <c r="J2070" s="112" t="s">
        <v>4974</v>
      </c>
      <c r="K2070" s="112" t="s">
        <v>4989</v>
      </c>
      <c r="L2070" s="116">
        <v>-85.81</v>
      </c>
      <c r="M2070" s="116">
        <f t="shared" si="32"/>
        <v>-8.5809999999999997E-2</v>
      </c>
    </row>
    <row r="2071" spans="1:13" hidden="1" x14ac:dyDescent="0.35">
      <c r="A2071" s="112" t="s">
        <v>4632</v>
      </c>
      <c r="B2071" s="112" t="s">
        <v>4635</v>
      </c>
      <c r="C2071" s="112" t="s">
        <v>695</v>
      </c>
      <c r="D2071" s="113">
        <v>10348130</v>
      </c>
      <c r="E2071" s="115">
        <v>43930</v>
      </c>
      <c r="F2071" s="114">
        <v>202101</v>
      </c>
      <c r="G2071" s="112" t="s">
        <v>1091</v>
      </c>
      <c r="H2071" s="112" t="s">
        <v>1015</v>
      </c>
      <c r="I2071" s="112" t="s">
        <v>740</v>
      </c>
      <c r="J2071" s="112" t="s">
        <v>4990</v>
      </c>
      <c r="K2071" s="112" t="s">
        <v>4991</v>
      </c>
      <c r="L2071" s="116">
        <v>-18794.599999999999</v>
      </c>
      <c r="M2071" s="116">
        <f t="shared" si="32"/>
        <v>-18.794599999999999</v>
      </c>
    </row>
    <row r="2072" spans="1:13" hidden="1" x14ac:dyDescent="0.35">
      <c r="A2072" s="112" t="s">
        <v>4632</v>
      </c>
      <c r="B2072" s="112" t="s">
        <v>4635</v>
      </c>
      <c r="C2072" s="112" t="s">
        <v>695</v>
      </c>
      <c r="D2072" s="113">
        <v>10348130</v>
      </c>
      <c r="E2072" s="115">
        <v>43930</v>
      </c>
      <c r="F2072" s="114">
        <v>202101</v>
      </c>
      <c r="G2072" s="112" t="s">
        <v>1091</v>
      </c>
      <c r="H2072" s="112" t="s">
        <v>1015</v>
      </c>
      <c r="I2072" s="112" t="s">
        <v>740</v>
      </c>
      <c r="J2072" s="112" t="s">
        <v>4990</v>
      </c>
      <c r="K2072" s="112" t="s">
        <v>4992</v>
      </c>
      <c r="L2072" s="116">
        <v>-20819.599999999999</v>
      </c>
      <c r="M2072" s="116">
        <f t="shared" si="32"/>
        <v>-20.819599999999998</v>
      </c>
    </row>
    <row r="2073" spans="1:13" hidden="1" x14ac:dyDescent="0.35">
      <c r="A2073" s="112" t="s">
        <v>4632</v>
      </c>
      <c r="B2073" s="112" t="s">
        <v>863</v>
      </c>
      <c r="C2073" s="112" t="s">
        <v>695</v>
      </c>
      <c r="D2073" s="113">
        <v>10348132</v>
      </c>
      <c r="E2073" s="115">
        <v>43930</v>
      </c>
      <c r="F2073" s="114">
        <v>202101</v>
      </c>
      <c r="G2073" s="112" t="s">
        <v>1091</v>
      </c>
      <c r="H2073" s="112" t="s">
        <v>1015</v>
      </c>
      <c r="I2073" s="112" t="s">
        <v>740</v>
      </c>
      <c r="J2073" s="112" t="s">
        <v>787</v>
      </c>
      <c r="K2073" s="112" t="s">
        <v>4993</v>
      </c>
      <c r="L2073" s="116">
        <v>-324132.34999999998</v>
      </c>
      <c r="M2073" s="116">
        <f t="shared" si="32"/>
        <v>-324.13234999999997</v>
      </c>
    </row>
    <row r="2074" spans="1:13" hidden="1" x14ac:dyDescent="0.35">
      <c r="A2074" s="112" t="s">
        <v>4632</v>
      </c>
      <c r="B2074" s="112" t="s">
        <v>4644</v>
      </c>
      <c r="C2074" s="112" t="s">
        <v>695</v>
      </c>
      <c r="D2074" s="113">
        <v>10348085</v>
      </c>
      <c r="E2074" s="115">
        <v>43923</v>
      </c>
      <c r="F2074" s="114">
        <v>202101</v>
      </c>
      <c r="G2074" s="112" t="s">
        <v>1091</v>
      </c>
      <c r="H2074" s="112" t="s">
        <v>1015</v>
      </c>
      <c r="I2074" s="112" t="s">
        <v>757</v>
      </c>
      <c r="J2074" s="112" t="s">
        <v>4645</v>
      </c>
      <c r="K2074" s="112" t="s">
        <v>4662</v>
      </c>
      <c r="L2074" s="116">
        <v>-90.95</v>
      </c>
      <c r="M2074" s="116">
        <f t="shared" si="32"/>
        <v>-9.0950000000000003E-2</v>
      </c>
    </row>
    <row r="2075" spans="1:13" hidden="1" x14ac:dyDescent="0.35">
      <c r="A2075" s="112" t="s">
        <v>4632</v>
      </c>
      <c r="B2075" s="112" t="s">
        <v>4644</v>
      </c>
      <c r="C2075" s="112" t="s">
        <v>695</v>
      </c>
      <c r="D2075" s="113">
        <v>10348085</v>
      </c>
      <c r="E2075" s="115">
        <v>43923</v>
      </c>
      <c r="F2075" s="114">
        <v>202101</v>
      </c>
      <c r="G2075" s="112" t="s">
        <v>1091</v>
      </c>
      <c r="H2075" s="112" t="s">
        <v>1015</v>
      </c>
      <c r="I2075" s="112" t="s">
        <v>757</v>
      </c>
      <c r="J2075" s="112" t="s">
        <v>4645</v>
      </c>
      <c r="K2075" s="112" t="s">
        <v>4662</v>
      </c>
      <c r="L2075" s="116">
        <v>-8.99</v>
      </c>
      <c r="M2075" s="116">
        <f t="shared" si="32"/>
        <v>-8.9899999999999997E-3</v>
      </c>
    </row>
    <row r="2076" spans="1:13" hidden="1" x14ac:dyDescent="0.35">
      <c r="A2076" s="112" t="s">
        <v>4632</v>
      </c>
      <c r="B2076" s="112" t="s">
        <v>4650</v>
      </c>
      <c r="C2076" s="112" t="s">
        <v>695</v>
      </c>
      <c r="D2076" s="113">
        <v>10348085</v>
      </c>
      <c r="E2076" s="115">
        <v>43923</v>
      </c>
      <c r="F2076" s="114">
        <v>202101</v>
      </c>
      <c r="G2076" s="112" t="s">
        <v>1091</v>
      </c>
      <c r="H2076" s="112" t="s">
        <v>1015</v>
      </c>
      <c r="I2076" s="112" t="s">
        <v>757</v>
      </c>
      <c r="J2076" s="112" t="s">
        <v>4651</v>
      </c>
      <c r="K2076" s="112" t="s">
        <v>4662</v>
      </c>
      <c r="L2076" s="116">
        <v>582.48</v>
      </c>
      <c r="M2076" s="116">
        <f t="shared" si="32"/>
        <v>0.58248</v>
      </c>
    </row>
    <row r="2077" spans="1:13" hidden="1" x14ac:dyDescent="0.35">
      <c r="A2077" s="112" t="s">
        <v>4632</v>
      </c>
      <c r="B2077" s="112" t="s">
        <v>4650</v>
      </c>
      <c r="C2077" s="112" t="s">
        <v>695</v>
      </c>
      <c r="D2077" s="113">
        <v>10348085</v>
      </c>
      <c r="E2077" s="115">
        <v>43923</v>
      </c>
      <c r="F2077" s="114">
        <v>202101</v>
      </c>
      <c r="G2077" s="112" t="s">
        <v>1091</v>
      </c>
      <c r="H2077" s="112" t="s">
        <v>1015</v>
      </c>
      <c r="I2077" s="112" t="s">
        <v>757</v>
      </c>
      <c r="J2077" s="112" t="s">
        <v>4651</v>
      </c>
      <c r="K2077" s="112" t="s">
        <v>4662</v>
      </c>
      <c r="L2077" s="116">
        <v>-3858.36</v>
      </c>
      <c r="M2077" s="116">
        <f t="shared" si="32"/>
        <v>-3.8583600000000002</v>
      </c>
    </row>
    <row r="2078" spans="1:13" hidden="1" x14ac:dyDescent="0.35">
      <c r="A2078" s="112" t="s">
        <v>4632</v>
      </c>
      <c r="B2078" s="112" t="s">
        <v>4644</v>
      </c>
      <c r="C2078" s="112" t="s">
        <v>695</v>
      </c>
      <c r="D2078" s="113">
        <v>10348085</v>
      </c>
      <c r="E2078" s="115">
        <v>43923</v>
      </c>
      <c r="F2078" s="114">
        <v>202101</v>
      </c>
      <c r="G2078" s="112" t="s">
        <v>1091</v>
      </c>
      <c r="H2078" s="112" t="s">
        <v>1015</v>
      </c>
      <c r="I2078" s="112" t="s">
        <v>757</v>
      </c>
      <c r="J2078" s="112" t="s">
        <v>4645</v>
      </c>
      <c r="K2078" s="112" t="s">
        <v>4662</v>
      </c>
      <c r="L2078" s="116">
        <v>-41.42</v>
      </c>
      <c r="M2078" s="116">
        <f t="shared" si="32"/>
        <v>-4.1419999999999998E-2</v>
      </c>
    </row>
    <row r="2079" spans="1:13" hidden="1" x14ac:dyDescent="0.35">
      <c r="A2079" s="112" t="s">
        <v>4632</v>
      </c>
      <c r="B2079" s="112" t="s">
        <v>863</v>
      </c>
      <c r="C2079" s="112" t="s">
        <v>695</v>
      </c>
      <c r="D2079" s="113">
        <v>10348085</v>
      </c>
      <c r="E2079" s="115">
        <v>43923</v>
      </c>
      <c r="F2079" s="114">
        <v>202101</v>
      </c>
      <c r="G2079" s="112" t="s">
        <v>1091</v>
      </c>
      <c r="H2079" s="112" t="s">
        <v>1015</v>
      </c>
      <c r="I2079" s="112" t="s">
        <v>749</v>
      </c>
      <c r="J2079" s="112" t="s">
        <v>821</v>
      </c>
      <c r="K2079" s="112" t="s">
        <v>4662</v>
      </c>
      <c r="L2079" s="116">
        <v>-2570.12</v>
      </c>
      <c r="M2079" s="116">
        <f t="shared" si="32"/>
        <v>-2.5701199999999997</v>
      </c>
    </row>
    <row r="2080" spans="1:13" hidden="1" x14ac:dyDescent="0.35">
      <c r="A2080" s="112" t="s">
        <v>4632</v>
      </c>
      <c r="B2080" s="112" t="s">
        <v>4644</v>
      </c>
      <c r="C2080" s="112" t="s">
        <v>695</v>
      </c>
      <c r="D2080" s="113">
        <v>10348085</v>
      </c>
      <c r="E2080" s="115">
        <v>43923</v>
      </c>
      <c r="F2080" s="114">
        <v>202101</v>
      </c>
      <c r="G2080" s="112" t="s">
        <v>1091</v>
      </c>
      <c r="H2080" s="112" t="s">
        <v>1015</v>
      </c>
      <c r="I2080" s="112" t="s">
        <v>749</v>
      </c>
      <c r="J2080" s="112" t="s">
        <v>4645</v>
      </c>
      <c r="K2080" s="112" t="s">
        <v>4662</v>
      </c>
      <c r="L2080" s="116">
        <v>-79.87</v>
      </c>
      <c r="M2080" s="116">
        <f t="shared" si="32"/>
        <v>-7.987000000000001E-2</v>
      </c>
    </row>
    <row r="2081" spans="1:13" hidden="1" x14ac:dyDescent="0.35">
      <c r="A2081" s="112" t="s">
        <v>4632</v>
      </c>
      <c r="B2081" s="112" t="s">
        <v>4644</v>
      </c>
      <c r="C2081" s="112" t="s">
        <v>695</v>
      </c>
      <c r="D2081" s="113">
        <v>10348085</v>
      </c>
      <c r="E2081" s="115">
        <v>43923</v>
      </c>
      <c r="F2081" s="114">
        <v>202101</v>
      </c>
      <c r="G2081" s="112" t="s">
        <v>1091</v>
      </c>
      <c r="H2081" s="112" t="s">
        <v>1015</v>
      </c>
      <c r="I2081" s="112" t="s">
        <v>749</v>
      </c>
      <c r="J2081" s="112" t="s">
        <v>4645</v>
      </c>
      <c r="K2081" s="112" t="s">
        <v>4662</v>
      </c>
      <c r="L2081" s="116">
        <v>-603.76</v>
      </c>
      <c r="M2081" s="116">
        <f t="shared" si="32"/>
        <v>-0.60375999999999996</v>
      </c>
    </row>
    <row r="2082" spans="1:13" hidden="1" x14ac:dyDescent="0.35">
      <c r="A2082" s="112" t="s">
        <v>4632</v>
      </c>
      <c r="B2082" s="112" t="s">
        <v>863</v>
      </c>
      <c r="C2082" s="112" t="s">
        <v>695</v>
      </c>
      <c r="D2082" s="113">
        <v>10348085</v>
      </c>
      <c r="E2082" s="115">
        <v>43923</v>
      </c>
      <c r="F2082" s="114">
        <v>202101</v>
      </c>
      <c r="G2082" s="112" t="s">
        <v>1091</v>
      </c>
      <c r="H2082" s="112" t="s">
        <v>1015</v>
      </c>
      <c r="I2082" s="112" t="s">
        <v>749</v>
      </c>
      <c r="J2082" s="112" t="s">
        <v>821</v>
      </c>
      <c r="K2082" s="112" t="s">
        <v>4662</v>
      </c>
      <c r="L2082" s="116">
        <v>-1737.15</v>
      </c>
      <c r="M2082" s="116">
        <f t="shared" si="32"/>
        <v>-1.7371500000000002</v>
      </c>
    </row>
    <row r="2083" spans="1:13" hidden="1" x14ac:dyDescent="0.35">
      <c r="A2083" s="112" t="s">
        <v>4632</v>
      </c>
      <c r="B2083" s="112" t="s">
        <v>4644</v>
      </c>
      <c r="C2083" s="112" t="s">
        <v>695</v>
      </c>
      <c r="D2083" s="113">
        <v>10348085</v>
      </c>
      <c r="E2083" s="115">
        <v>43923</v>
      </c>
      <c r="F2083" s="114">
        <v>202101</v>
      </c>
      <c r="G2083" s="112" t="s">
        <v>1091</v>
      </c>
      <c r="H2083" s="112" t="s">
        <v>1015</v>
      </c>
      <c r="I2083" s="112" t="s">
        <v>749</v>
      </c>
      <c r="J2083" s="112" t="s">
        <v>4645</v>
      </c>
      <c r="K2083" s="112" t="s">
        <v>4662</v>
      </c>
      <c r="L2083" s="116">
        <v>78.62</v>
      </c>
      <c r="M2083" s="116">
        <f t="shared" si="32"/>
        <v>7.8620000000000009E-2</v>
      </c>
    </row>
    <row r="2084" spans="1:13" hidden="1" x14ac:dyDescent="0.35">
      <c r="A2084" s="112" t="s">
        <v>4632</v>
      </c>
      <c r="B2084" s="112" t="s">
        <v>4644</v>
      </c>
      <c r="C2084" s="112" t="s">
        <v>695</v>
      </c>
      <c r="D2084" s="113">
        <v>10348085</v>
      </c>
      <c r="E2084" s="115">
        <v>43923</v>
      </c>
      <c r="F2084" s="114">
        <v>202101</v>
      </c>
      <c r="G2084" s="112" t="s">
        <v>1091</v>
      </c>
      <c r="H2084" s="112" t="s">
        <v>1015</v>
      </c>
      <c r="I2084" s="112" t="s">
        <v>749</v>
      </c>
      <c r="J2084" s="112" t="s">
        <v>4645</v>
      </c>
      <c r="K2084" s="112" t="s">
        <v>4662</v>
      </c>
      <c r="L2084" s="116">
        <v>-251.38</v>
      </c>
      <c r="M2084" s="116">
        <f t="shared" si="32"/>
        <v>-0.25137999999999999</v>
      </c>
    </row>
    <row r="2085" spans="1:13" hidden="1" x14ac:dyDescent="0.35">
      <c r="A2085" s="112" t="s">
        <v>4632</v>
      </c>
      <c r="B2085" s="112" t="s">
        <v>863</v>
      </c>
      <c r="C2085" s="112" t="s">
        <v>695</v>
      </c>
      <c r="D2085" s="113">
        <v>10348085</v>
      </c>
      <c r="E2085" s="115">
        <v>43923</v>
      </c>
      <c r="F2085" s="114">
        <v>202101</v>
      </c>
      <c r="G2085" s="112" t="s">
        <v>1091</v>
      </c>
      <c r="H2085" s="112" t="s">
        <v>1015</v>
      </c>
      <c r="I2085" s="112" t="s">
        <v>749</v>
      </c>
      <c r="J2085" s="112" t="s">
        <v>787</v>
      </c>
      <c r="K2085" s="112" t="s">
        <v>4662</v>
      </c>
      <c r="L2085" s="116">
        <v>-72.45</v>
      </c>
      <c r="M2085" s="116">
        <f t="shared" si="32"/>
        <v>-7.2450000000000001E-2</v>
      </c>
    </row>
    <row r="2086" spans="1:13" hidden="1" x14ac:dyDescent="0.35">
      <c r="A2086" s="112" t="s">
        <v>4632</v>
      </c>
      <c r="B2086" s="112" t="s">
        <v>863</v>
      </c>
      <c r="C2086" s="112" t="s">
        <v>695</v>
      </c>
      <c r="D2086" s="113">
        <v>10348085</v>
      </c>
      <c r="E2086" s="115">
        <v>43923</v>
      </c>
      <c r="F2086" s="114">
        <v>202101</v>
      </c>
      <c r="G2086" s="112" t="s">
        <v>1091</v>
      </c>
      <c r="H2086" s="112" t="s">
        <v>1015</v>
      </c>
      <c r="I2086" s="112" t="s">
        <v>749</v>
      </c>
      <c r="J2086" s="112" t="s">
        <v>787</v>
      </c>
      <c r="K2086" s="112" t="s">
        <v>4662</v>
      </c>
      <c r="L2086" s="116">
        <v>-487.66</v>
      </c>
      <c r="M2086" s="116">
        <f t="shared" si="32"/>
        <v>-0.48766000000000004</v>
      </c>
    </row>
    <row r="2087" spans="1:13" hidden="1" x14ac:dyDescent="0.35">
      <c r="A2087" s="112" t="s">
        <v>4632</v>
      </c>
      <c r="B2087" s="112" t="s">
        <v>863</v>
      </c>
      <c r="C2087" s="112" t="s">
        <v>695</v>
      </c>
      <c r="D2087" s="113">
        <v>10348085</v>
      </c>
      <c r="E2087" s="115">
        <v>43923</v>
      </c>
      <c r="F2087" s="114">
        <v>202101</v>
      </c>
      <c r="G2087" s="112" t="s">
        <v>1091</v>
      </c>
      <c r="H2087" s="112" t="s">
        <v>1015</v>
      </c>
      <c r="I2087" s="112" t="s">
        <v>749</v>
      </c>
      <c r="J2087" s="112" t="s">
        <v>787</v>
      </c>
      <c r="K2087" s="112" t="s">
        <v>4662</v>
      </c>
      <c r="L2087" s="116">
        <v>-53.69</v>
      </c>
      <c r="M2087" s="116">
        <f t="shared" si="32"/>
        <v>-5.3689999999999995E-2</v>
      </c>
    </row>
    <row r="2088" spans="1:13" hidden="1" x14ac:dyDescent="0.35">
      <c r="A2088" s="112" t="s">
        <v>4632</v>
      </c>
      <c r="B2088" s="112" t="s">
        <v>863</v>
      </c>
      <c r="C2088" s="112" t="s">
        <v>695</v>
      </c>
      <c r="D2088" s="113">
        <v>10348085</v>
      </c>
      <c r="E2088" s="115">
        <v>43923</v>
      </c>
      <c r="F2088" s="114">
        <v>202101</v>
      </c>
      <c r="G2088" s="112" t="s">
        <v>1091</v>
      </c>
      <c r="H2088" s="112" t="s">
        <v>1015</v>
      </c>
      <c r="I2088" s="112" t="s">
        <v>749</v>
      </c>
      <c r="J2088" s="112" t="s">
        <v>787</v>
      </c>
      <c r="K2088" s="112" t="s">
        <v>4662</v>
      </c>
      <c r="L2088" s="116">
        <v>-852.01</v>
      </c>
      <c r="M2088" s="116">
        <f t="shared" si="32"/>
        <v>-0.85201000000000005</v>
      </c>
    </row>
    <row r="2089" spans="1:13" hidden="1" x14ac:dyDescent="0.35">
      <c r="A2089" s="112" t="s">
        <v>4632</v>
      </c>
      <c r="B2089" s="112" t="s">
        <v>863</v>
      </c>
      <c r="C2089" s="112" t="s">
        <v>695</v>
      </c>
      <c r="D2089" s="113">
        <v>10348085</v>
      </c>
      <c r="E2089" s="115">
        <v>43923</v>
      </c>
      <c r="F2089" s="114">
        <v>202101</v>
      </c>
      <c r="G2089" s="112" t="s">
        <v>1091</v>
      </c>
      <c r="H2089" s="112" t="s">
        <v>1015</v>
      </c>
      <c r="I2089" s="112" t="s">
        <v>749</v>
      </c>
      <c r="J2089" s="112" t="s">
        <v>829</v>
      </c>
      <c r="K2089" s="112" t="s">
        <v>4662</v>
      </c>
      <c r="L2089" s="116">
        <v>-266.37</v>
      </c>
      <c r="M2089" s="116">
        <f t="shared" si="32"/>
        <v>-0.26637</v>
      </c>
    </row>
    <row r="2090" spans="1:13" hidden="1" x14ac:dyDescent="0.35">
      <c r="A2090" s="112" t="s">
        <v>4632</v>
      </c>
      <c r="B2090" s="112" t="s">
        <v>863</v>
      </c>
      <c r="C2090" s="112" t="s">
        <v>695</v>
      </c>
      <c r="D2090" s="113">
        <v>10348085</v>
      </c>
      <c r="E2090" s="115">
        <v>43923</v>
      </c>
      <c r="F2090" s="114">
        <v>202101</v>
      </c>
      <c r="G2090" s="112" t="s">
        <v>1091</v>
      </c>
      <c r="H2090" s="112" t="s">
        <v>1015</v>
      </c>
      <c r="I2090" s="112" t="s">
        <v>749</v>
      </c>
      <c r="J2090" s="112" t="s">
        <v>833</v>
      </c>
      <c r="K2090" s="112" t="s">
        <v>4662</v>
      </c>
      <c r="L2090" s="116">
        <v>78.62</v>
      </c>
      <c r="M2090" s="116">
        <f t="shared" si="32"/>
        <v>7.8620000000000009E-2</v>
      </c>
    </row>
    <row r="2091" spans="1:13" hidden="1" x14ac:dyDescent="0.35">
      <c r="A2091" s="112" t="s">
        <v>4632</v>
      </c>
      <c r="B2091" s="112" t="s">
        <v>4650</v>
      </c>
      <c r="C2091" s="112" t="s">
        <v>695</v>
      </c>
      <c r="D2091" s="113">
        <v>10348085</v>
      </c>
      <c r="E2091" s="115">
        <v>43923</v>
      </c>
      <c r="F2091" s="114">
        <v>202101</v>
      </c>
      <c r="G2091" s="112" t="s">
        <v>1091</v>
      </c>
      <c r="H2091" s="112" t="s">
        <v>1015</v>
      </c>
      <c r="I2091" s="112" t="s">
        <v>749</v>
      </c>
      <c r="J2091" s="112" t="s">
        <v>4651</v>
      </c>
      <c r="K2091" s="112" t="s">
        <v>4662</v>
      </c>
      <c r="L2091" s="116">
        <v>-2862.58</v>
      </c>
      <c r="M2091" s="116">
        <f t="shared" si="32"/>
        <v>-2.8625799999999999</v>
      </c>
    </row>
    <row r="2092" spans="1:13" hidden="1" x14ac:dyDescent="0.35">
      <c r="A2092" s="112" t="s">
        <v>4632</v>
      </c>
      <c r="B2092" s="112" t="s">
        <v>4644</v>
      </c>
      <c r="C2092" s="112" t="s">
        <v>695</v>
      </c>
      <c r="D2092" s="113">
        <v>10348085</v>
      </c>
      <c r="E2092" s="115">
        <v>43923</v>
      </c>
      <c r="F2092" s="114">
        <v>202101</v>
      </c>
      <c r="G2092" s="112" t="s">
        <v>1091</v>
      </c>
      <c r="H2092" s="112" t="s">
        <v>1015</v>
      </c>
      <c r="I2092" s="112" t="s">
        <v>749</v>
      </c>
      <c r="J2092" s="112" t="s">
        <v>4645</v>
      </c>
      <c r="K2092" s="112" t="s">
        <v>4662</v>
      </c>
      <c r="L2092" s="116">
        <v>-2379.9299999999998</v>
      </c>
      <c r="M2092" s="116">
        <f t="shared" si="32"/>
        <v>-2.3799299999999999</v>
      </c>
    </row>
    <row r="2093" spans="1:13" hidden="1" x14ac:dyDescent="0.35">
      <c r="A2093" s="112" t="s">
        <v>4632</v>
      </c>
      <c r="B2093" s="112" t="s">
        <v>4644</v>
      </c>
      <c r="C2093" s="112" t="s">
        <v>695</v>
      </c>
      <c r="D2093" s="113">
        <v>10348085</v>
      </c>
      <c r="E2093" s="115">
        <v>43923</v>
      </c>
      <c r="F2093" s="114">
        <v>202101</v>
      </c>
      <c r="G2093" s="112" t="s">
        <v>1091</v>
      </c>
      <c r="H2093" s="112" t="s">
        <v>1015</v>
      </c>
      <c r="I2093" s="112" t="s">
        <v>749</v>
      </c>
      <c r="J2093" s="112" t="s">
        <v>4645</v>
      </c>
      <c r="K2093" s="112" t="s">
        <v>4662</v>
      </c>
      <c r="L2093" s="116">
        <v>-387.07</v>
      </c>
      <c r="M2093" s="116">
        <f t="shared" si="32"/>
        <v>-0.38706999999999997</v>
      </c>
    </row>
    <row r="2094" spans="1:13" hidden="1" x14ac:dyDescent="0.35">
      <c r="A2094" s="112" t="s">
        <v>4632</v>
      </c>
      <c r="B2094" s="112" t="s">
        <v>4644</v>
      </c>
      <c r="C2094" s="112" t="s">
        <v>695</v>
      </c>
      <c r="D2094" s="113">
        <v>10348085</v>
      </c>
      <c r="E2094" s="115">
        <v>43923</v>
      </c>
      <c r="F2094" s="114">
        <v>202101</v>
      </c>
      <c r="G2094" s="112" t="s">
        <v>1091</v>
      </c>
      <c r="H2094" s="112" t="s">
        <v>1015</v>
      </c>
      <c r="I2094" s="112" t="s">
        <v>749</v>
      </c>
      <c r="J2094" s="112" t="s">
        <v>4645</v>
      </c>
      <c r="K2094" s="112" t="s">
        <v>4662</v>
      </c>
      <c r="L2094" s="116">
        <v>133.26</v>
      </c>
      <c r="M2094" s="116">
        <f t="shared" si="32"/>
        <v>0.13325999999999999</v>
      </c>
    </row>
    <row r="2095" spans="1:13" hidden="1" x14ac:dyDescent="0.35">
      <c r="A2095" s="112" t="s">
        <v>4632</v>
      </c>
      <c r="B2095" s="112" t="s">
        <v>4644</v>
      </c>
      <c r="C2095" s="112" t="s">
        <v>695</v>
      </c>
      <c r="D2095" s="113">
        <v>10348085</v>
      </c>
      <c r="E2095" s="115">
        <v>43923</v>
      </c>
      <c r="F2095" s="114">
        <v>202101</v>
      </c>
      <c r="G2095" s="112" t="s">
        <v>1091</v>
      </c>
      <c r="H2095" s="112" t="s">
        <v>1015</v>
      </c>
      <c r="I2095" s="112" t="s">
        <v>749</v>
      </c>
      <c r="J2095" s="112" t="s">
        <v>4645</v>
      </c>
      <c r="K2095" s="112" t="s">
        <v>4662</v>
      </c>
      <c r="L2095" s="116">
        <v>-256.33</v>
      </c>
      <c r="M2095" s="116">
        <f t="shared" si="32"/>
        <v>-0.25633</v>
      </c>
    </row>
    <row r="2096" spans="1:13" hidden="1" x14ac:dyDescent="0.35">
      <c r="A2096" s="112" t="s">
        <v>4632</v>
      </c>
      <c r="B2096" s="112" t="s">
        <v>4644</v>
      </c>
      <c r="C2096" s="112" t="s">
        <v>695</v>
      </c>
      <c r="D2096" s="113">
        <v>10348085</v>
      </c>
      <c r="E2096" s="115">
        <v>43923</v>
      </c>
      <c r="F2096" s="114">
        <v>202101</v>
      </c>
      <c r="G2096" s="112" t="s">
        <v>1091</v>
      </c>
      <c r="H2096" s="112" t="s">
        <v>1015</v>
      </c>
      <c r="I2096" s="112" t="s">
        <v>749</v>
      </c>
      <c r="J2096" s="112" t="s">
        <v>4645</v>
      </c>
      <c r="K2096" s="112" t="s">
        <v>4662</v>
      </c>
      <c r="L2096" s="116">
        <v>-1014.81</v>
      </c>
      <c r="M2096" s="116">
        <f t="shared" si="32"/>
        <v>-1.01481</v>
      </c>
    </row>
    <row r="2097" spans="1:13" hidden="1" x14ac:dyDescent="0.35">
      <c r="A2097" s="112" t="s">
        <v>4632</v>
      </c>
      <c r="B2097" s="112" t="s">
        <v>4644</v>
      </c>
      <c r="C2097" s="112" t="s">
        <v>695</v>
      </c>
      <c r="D2097" s="113">
        <v>10348085</v>
      </c>
      <c r="E2097" s="115">
        <v>43923</v>
      </c>
      <c r="F2097" s="114">
        <v>202101</v>
      </c>
      <c r="G2097" s="112" t="s">
        <v>1091</v>
      </c>
      <c r="H2097" s="112" t="s">
        <v>1015</v>
      </c>
      <c r="I2097" s="112" t="s">
        <v>757</v>
      </c>
      <c r="J2097" s="112" t="s">
        <v>4645</v>
      </c>
      <c r="K2097" s="112" t="s">
        <v>4662</v>
      </c>
      <c r="L2097" s="116">
        <v>-4684.2700000000004</v>
      </c>
      <c r="M2097" s="116">
        <f t="shared" si="32"/>
        <v>-4.6842700000000006</v>
      </c>
    </row>
    <row r="2098" spans="1:13" hidden="1" x14ac:dyDescent="0.35">
      <c r="A2098" s="112" t="s">
        <v>4632</v>
      </c>
      <c r="B2098" s="112" t="s">
        <v>4650</v>
      </c>
      <c r="C2098" s="112" t="s">
        <v>695</v>
      </c>
      <c r="D2098" s="113">
        <v>10348085</v>
      </c>
      <c r="E2098" s="115">
        <v>43923</v>
      </c>
      <c r="F2098" s="114">
        <v>202101</v>
      </c>
      <c r="G2098" s="112" t="s">
        <v>1091</v>
      </c>
      <c r="H2098" s="112" t="s">
        <v>1015</v>
      </c>
      <c r="I2098" s="112" t="s">
        <v>757</v>
      </c>
      <c r="J2098" s="112" t="s">
        <v>4651</v>
      </c>
      <c r="K2098" s="112" t="s">
        <v>4662</v>
      </c>
      <c r="L2098" s="116">
        <v>78.62</v>
      </c>
      <c r="M2098" s="116">
        <f t="shared" si="32"/>
        <v>7.8620000000000009E-2</v>
      </c>
    </row>
    <row r="2099" spans="1:13" hidden="1" x14ac:dyDescent="0.35">
      <c r="A2099" s="112" t="s">
        <v>4632</v>
      </c>
      <c r="B2099" s="112" t="s">
        <v>4650</v>
      </c>
      <c r="C2099" s="112" t="s">
        <v>695</v>
      </c>
      <c r="D2099" s="113">
        <v>10348085</v>
      </c>
      <c r="E2099" s="115">
        <v>43923</v>
      </c>
      <c r="F2099" s="114">
        <v>202101</v>
      </c>
      <c r="G2099" s="112" t="s">
        <v>1091</v>
      </c>
      <c r="H2099" s="112" t="s">
        <v>1015</v>
      </c>
      <c r="I2099" s="112" t="s">
        <v>757</v>
      </c>
      <c r="J2099" s="112" t="s">
        <v>4651</v>
      </c>
      <c r="K2099" s="112" t="s">
        <v>4662</v>
      </c>
      <c r="L2099" s="116">
        <v>-64.42</v>
      </c>
      <c r="M2099" s="116">
        <f t="shared" si="32"/>
        <v>-6.4420000000000005E-2</v>
      </c>
    </row>
    <row r="2100" spans="1:13" hidden="1" x14ac:dyDescent="0.35">
      <c r="A2100" s="112" t="s">
        <v>4632</v>
      </c>
      <c r="B2100" s="112" t="s">
        <v>4644</v>
      </c>
      <c r="C2100" s="112" t="s">
        <v>695</v>
      </c>
      <c r="D2100" s="113">
        <v>10348085</v>
      </c>
      <c r="E2100" s="115">
        <v>43923</v>
      </c>
      <c r="F2100" s="114">
        <v>202101</v>
      </c>
      <c r="G2100" s="112" t="s">
        <v>1091</v>
      </c>
      <c r="H2100" s="112" t="s">
        <v>1015</v>
      </c>
      <c r="I2100" s="112" t="s">
        <v>749</v>
      </c>
      <c r="J2100" s="112" t="s">
        <v>4645</v>
      </c>
      <c r="K2100" s="112" t="s">
        <v>4662</v>
      </c>
      <c r="L2100" s="116">
        <v>-64.55</v>
      </c>
      <c r="M2100" s="116">
        <f t="shared" si="32"/>
        <v>-6.4549999999999996E-2</v>
      </c>
    </row>
    <row r="2101" spans="1:13" hidden="1" x14ac:dyDescent="0.35">
      <c r="A2101" s="112" t="s">
        <v>4632</v>
      </c>
      <c r="B2101" s="112" t="s">
        <v>4650</v>
      </c>
      <c r="C2101" s="112" t="s">
        <v>695</v>
      </c>
      <c r="D2101" s="113">
        <v>10348085</v>
      </c>
      <c r="E2101" s="115">
        <v>43923</v>
      </c>
      <c r="F2101" s="114">
        <v>202101</v>
      </c>
      <c r="G2101" s="112" t="s">
        <v>1091</v>
      </c>
      <c r="H2101" s="112" t="s">
        <v>1015</v>
      </c>
      <c r="I2101" s="112" t="s">
        <v>749</v>
      </c>
      <c r="J2101" s="112" t="s">
        <v>4651</v>
      </c>
      <c r="K2101" s="112" t="s">
        <v>4662</v>
      </c>
      <c r="L2101" s="116">
        <v>-463.44</v>
      </c>
      <c r="M2101" s="116">
        <f t="shared" si="32"/>
        <v>-0.46344000000000002</v>
      </c>
    </row>
    <row r="2102" spans="1:13" hidden="1" x14ac:dyDescent="0.35">
      <c r="A2102" s="112" t="s">
        <v>4632</v>
      </c>
      <c r="B2102" s="112" t="s">
        <v>863</v>
      </c>
      <c r="C2102" s="112" t="s">
        <v>695</v>
      </c>
      <c r="D2102" s="113">
        <v>10348085</v>
      </c>
      <c r="E2102" s="115">
        <v>43923</v>
      </c>
      <c r="F2102" s="114">
        <v>202101</v>
      </c>
      <c r="G2102" s="112" t="s">
        <v>1091</v>
      </c>
      <c r="H2102" s="112" t="s">
        <v>1015</v>
      </c>
      <c r="I2102" s="112" t="s">
        <v>749</v>
      </c>
      <c r="J2102" s="112" t="s">
        <v>808</v>
      </c>
      <c r="K2102" s="112" t="s">
        <v>4662</v>
      </c>
      <c r="L2102" s="116">
        <v>-337.34</v>
      </c>
      <c r="M2102" s="116">
        <f t="shared" si="32"/>
        <v>-0.33733999999999997</v>
      </c>
    </row>
    <row r="2103" spans="1:13" hidden="1" x14ac:dyDescent="0.35">
      <c r="A2103" s="112" t="s">
        <v>4632</v>
      </c>
      <c r="B2103" s="112" t="s">
        <v>863</v>
      </c>
      <c r="C2103" s="112" t="s">
        <v>695</v>
      </c>
      <c r="D2103" s="113">
        <v>10347950</v>
      </c>
      <c r="E2103" s="115">
        <v>43923</v>
      </c>
      <c r="F2103" s="114">
        <v>202101</v>
      </c>
      <c r="G2103" s="112" t="s">
        <v>1091</v>
      </c>
      <c r="H2103" s="112" t="s">
        <v>1015</v>
      </c>
      <c r="I2103" s="112" t="s">
        <v>749</v>
      </c>
      <c r="J2103" s="112" t="s">
        <v>787</v>
      </c>
      <c r="K2103" s="112" t="s">
        <v>4710</v>
      </c>
      <c r="L2103" s="116">
        <v>487.66</v>
      </c>
      <c r="M2103" s="116">
        <f t="shared" si="32"/>
        <v>0.48766000000000004</v>
      </c>
    </row>
    <row r="2104" spans="1:13" hidden="1" x14ac:dyDescent="0.35">
      <c r="A2104" s="112" t="s">
        <v>4632</v>
      </c>
      <c r="B2104" s="112" t="s">
        <v>4639</v>
      </c>
      <c r="C2104" s="112" t="s">
        <v>695</v>
      </c>
      <c r="D2104" s="113">
        <v>10347950</v>
      </c>
      <c r="E2104" s="115">
        <v>43923</v>
      </c>
      <c r="F2104" s="114">
        <v>202101</v>
      </c>
      <c r="G2104" s="112" t="s">
        <v>1091</v>
      </c>
      <c r="H2104" s="112" t="s">
        <v>1015</v>
      </c>
      <c r="I2104" s="112" t="s">
        <v>751</v>
      </c>
      <c r="J2104" s="112" t="s">
        <v>4640</v>
      </c>
      <c r="K2104" s="112" t="s">
        <v>4838</v>
      </c>
      <c r="L2104" s="116">
        <v>354.71</v>
      </c>
      <c r="M2104" s="116">
        <f t="shared" si="32"/>
        <v>0.35470999999999997</v>
      </c>
    </row>
    <row r="2105" spans="1:13" hidden="1" x14ac:dyDescent="0.35">
      <c r="A2105" s="112" t="s">
        <v>4632</v>
      </c>
      <c r="B2105" s="112" t="s">
        <v>4650</v>
      </c>
      <c r="C2105" s="112" t="s">
        <v>695</v>
      </c>
      <c r="D2105" s="113">
        <v>10347950</v>
      </c>
      <c r="E2105" s="115">
        <v>43923</v>
      </c>
      <c r="F2105" s="114">
        <v>202101</v>
      </c>
      <c r="G2105" s="112" t="s">
        <v>1091</v>
      </c>
      <c r="H2105" s="112" t="s">
        <v>1015</v>
      </c>
      <c r="I2105" s="112" t="s">
        <v>757</v>
      </c>
      <c r="J2105" s="112" t="s">
        <v>4651</v>
      </c>
      <c r="K2105" s="112" t="s">
        <v>5028</v>
      </c>
      <c r="L2105" s="116">
        <v>731.7</v>
      </c>
      <c r="M2105" s="116">
        <f t="shared" si="32"/>
        <v>0.73170000000000002</v>
      </c>
    </row>
    <row r="2106" spans="1:13" hidden="1" x14ac:dyDescent="0.35">
      <c r="A2106" s="112" t="s">
        <v>4632</v>
      </c>
      <c r="B2106" s="112" t="s">
        <v>4650</v>
      </c>
      <c r="C2106" s="112" t="s">
        <v>695</v>
      </c>
      <c r="D2106" s="113">
        <v>10347950</v>
      </c>
      <c r="E2106" s="115">
        <v>43923</v>
      </c>
      <c r="F2106" s="114">
        <v>202101</v>
      </c>
      <c r="G2106" s="112" t="s">
        <v>1091</v>
      </c>
      <c r="H2106" s="112" t="s">
        <v>1015</v>
      </c>
      <c r="I2106" s="112" t="s">
        <v>757</v>
      </c>
      <c r="J2106" s="112" t="s">
        <v>4651</v>
      </c>
      <c r="K2106" s="112" t="s">
        <v>5037</v>
      </c>
      <c r="L2106" s="116">
        <v>-78.62</v>
      </c>
      <c r="M2106" s="116">
        <f t="shared" si="32"/>
        <v>-7.8620000000000009E-2</v>
      </c>
    </row>
    <row r="2107" spans="1:13" hidden="1" x14ac:dyDescent="0.35">
      <c r="A2107" s="112" t="s">
        <v>4632</v>
      </c>
      <c r="B2107" s="112" t="s">
        <v>4650</v>
      </c>
      <c r="C2107" s="112" t="s">
        <v>695</v>
      </c>
      <c r="D2107" s="113">
        <v>10347950</v>
      </c>
      <c r="E2107" s="115">
        <v>43923</v>
      </c>
      <c r="F2107" s="114">
        <v>202101</v>
      </c>
      <c r="G2107" s="112" t="s">
        <v>1091</v>
      </c>
      <c r="H2107" s="112" t="s">
        <v>1015</v>
      </c>
      <c r="I2107" s="112" t="s">
        <v>749</v>
      </c>
      <c r="J2107" s="112" t="s">
        <v>4651</v>
      </c>
      <c r="K2107" s="112" t="s">
        <v>5038</v>
      </c>
      <c r="L2107" s="116">
        <v>1465.21</v>
      </c>
      <c r="M2107" s="116">
        <f t="shared" si="32"/>
        <v>1.4652100000000001</v>
      </c>
    </row>
    <row r="2108" spans="1:13" hidden="1" x14ac:dyDescent="0.35">
      <c r="A2108" s="112" t="s">
        <v>4632</v>
      </c>
      <c r="B2108" s="112" t="s">
        <v>4639</v>
      </c>
      <c r="C2108" s="112" t="s">
        <v>695</v>
      </c>
      <c r="D2108" s="113">
        <v>10347950</v>
      </c>
      <c r="E2108" s="115">
        <v>43923</v>
      </c>
      <c r="F2108" s="114">
        <v>202101</v>
      </c>
      <c r="G2108" s="112" t="s">
        <v>1091</v>
      </c>
      <c r="H2108" s="112" t="s">
        <v>1015</v>
      </c>
      <c r="I2108" s="112" t="s">
        <v>749</v>
      </c>
      <c r="J2108" s="112" t="s">
        <v>4640</v>
      </c>
      <c r="K2108" s="112" t="s">
        <v>5039</v>
      </c>
      <c r="L2108" s="116">
        <v>1786.33</v>
      </c>
      <c r="M2108" s="116">
        <f t="shared" si="32"/>
        <v>1.78633</v>
      </c>
    </row>
    <row r="2109" spans="1:13" hidden="1" x14ac:dyDescent="0.35">
      <c r="A2109" s="112" t="s">
        <v>4632</v>
      </c>
      <c r="B2109" s="112" t="s">
        <v>4639</v>
      </c>
      <c r="C2109" s="112" t="s">
        <v>695</v>
      </c>
      <c r="D2109" s="113">
        <v>10347950</v>
      </c>
      <c r="E2109" s="115">
        <v>43923</v>
      </c>
      <c r="F2109" s="114">
        <v>202101</v>
      </c>
      <c r="G2109" s="112" t="s">
        <v>1091</v>
      </c>
      <c r="H2109" s="112" t="s">
        <v>1015</v>
      </c>
      <c r="I2109" s="112" t="s">
        <v>749</v>
      </c>
      <c r="J2109" s="112" t="s">
        <v>4640</v>
      </c>
      <c r="K2109" s="112" t="s">
        <v>4865</v>
      </c>
      <c r="L2109" s="116">
        <v>93.41</v>
      </c>
      <c r="M2109" s="116">
        <f t="shared" si="32"/>
        <v>9.3409999999999993E-2</v>
      </c>
    </row>
    <row r="2110" spans="1:13" hidden="1" x14ac:dyDescent="0.35">
      <c r="A2110" s="112" t="s">
        <v>4632</v>
      </c>
      <c r="B2110" s="112" t="s">
        <v>4639</v>
      </c>
      <c r="C2110" s="112" t="s">
        <v>695</v>
      </c>
      <c r="D2110" s="113">
        <v>10347950</v>
      </c>
      <c r="E2110" s="115">
        <v>43923</v>
      </c>
      <c r="F2110" s="114">
        <v>202101</v>
      </c>
      <c r="G2110" s="112" t="s">
        <v>1091</v>
      </c>
      <c r="H2110" s="112" t="s">
        <v>1015</v>
      </c>
      <c r="I2110" s="112" t="s">
        <v>749</v>
      </c>
      <c r="J2110" s="112" t="s">
        <v>4640</v>
      </c>
      <c r="K2110" s="112" t="s">
        <v>4864</v>
      </c>
      <c r="L2110" s="116">
        <v>17.010000000000002</v>
      </c>
      <c r="M2110" s="116">
        <f t="shared" si="32"/>
        <v>1.7010000000000001E-2</v>
      </c>
    </row>
    <row r="2111" spans="1:13" hidden="1" x14ac:dyDescent="0.35">
      <c r="A2111" s="112" t="s">
        <v>4632</v>
      </c>
      <c r="B2111" s="112" t="s">
        <v>863</v>
      </c>
      <c r="C2111" s="112" t="s">
        <v>695</v>
      </c>
      <c r="D2111" s="113">
        <v>10347950</v>
      </c>
      <c r="E2111" s="115">
        <v>43923</v>
      </c>
      <c r="F2111" s="114">
        <v>202101</v>
      </c>
      <c r="G2111" s="112" t="s">
        <v>1091</v>
      </c>
      <c r="H2111" s="112" t="s">
        <v>1015</v>
      </c>
      <c r="I2111" s="112" t="s">
        <v>749</v>
      </c>
      <c r="J2111" s="112" t="s">
        <v>833</v>
      </c>
      <c r="K2111" s="112" t="s">
        <v>5040</v>
      </c>
      <c r="L2111" s="116">
        <v>-78.62</v>
      </c>
      <c r="M2111" s="116">
        <f t="shared" si="32"/>
        <v>-7.8620000000000009E-2</v>
      </c>
    </row>
    <row r="2112" spans="1:13" hidden="1" x14ac:dyDescent="0.35">
      <c r="A2112" s="112" t="s">
        <v>4632</v>
      </c>
      <c r="B2112" s="112" t="s">
        <v>863</v>
      </c>
      <c r="C2112" s="112" t="s">
        <v>695</v>
      </c>
      <c r="D2112" s="113">
        <v>10347950</v>
      </c>
      <c r="E2112" s="115">
        <v>43923</v>
      </c>
      <c r="F2112" s="114">
        <v>202101</v>
      </c>
      <c r="G2112" s="112" t="s">
        <v>1091</v>
      </c>
      <c r="H2112" s="112" t="s">
        <v>1015</v>
      </c>
      <c r="I2112" s="112" t="s">
        <v>749</v>
      </c>
      <c r="J2112" s="112" t="s">
        <v>829</v>
      </c>
      <c r="K2112" s="112" t="s">
        <v>5041</v>
      </c>
      <c r="L2112" s="116">
        <v>266.37</v>
      </c>
      <c r="M2112" s="116">
        <f t="shared" si="32"/>
        <v>0.26637</v>
      </c>
    </row>
    <row r="2113" spans="1:13" hidden="1" x14ac:dyDescent="0.35">
      <c r="A2113" s="112" t="s">
        <v>4632</v>
      </c>
      <c r="B2113" s="112" t="s">
        <v>863</v>
      </c>
      <c r="C2113" s="112" t="s">
        <v>695</v>
      </c>
      <c r="D2113" s="113">
        <v>10347950</v>
      </c>
      <c r="E2113" s="115">
        <v>43923</v>
      </c>
      <c r="F2113" s="114">
        <v>202101</v>
      </c>
      <c r="G2113" s="112" t="s">
        <v>1091</v>
      </c>
      <c r="H2113" s="112" t="s">
        <v>1015</v>
      </c>
      <c r="I2113" s="112" t="s">
        <v>749</v>
      </c>
      <c r="J2113" s="112" t="s">
        <v>787</v>
      </c>
      <c r="K2113" s="112" t="s">
        <v>5042</v>
      </c>
      <c r="L2113" s="116">
        <v>72.45</v>
      </c>
      <c r="M2113" s="116">
        <f t="shared" si="32"/>
        <v>7.2450000000000001E-2</v>
      </c>
    </row>
    <row r="2114" spans="1:13" hidden="1" x14ac:dyDescent="0.35">
      <c r="A2114" s="112" t="s">
        <v>4632</v>
      </c>
      <c r="B2114" s="112" t="s">
        <v>863</v>
      </c>
      <c r="C2114" s="112" t="s">
        <v>695</v>
      </c>
      <c r="D2114" s="113">
        <v>10347950</v>
      </c>
      <c r="E2114" s="115">
        <v>43923</v>
      </c>
      <c r="F2114" s="114">
        <v>202101</v>
      </c>
      <c r="G2114" s="112" t="s">
        <v>1091</v>
      </c>
      <c r="H2114" s="112" t="s">
        <v>1015</v>
      </c>
      <c r="I2114" s="112" t="s">
        <v>749</v>
      </c>
      <c r="J2114" s="112" t="s">
        <v>787</v>
      </c>
      <c r="K2114" s="112" t="s">
        <v>4709</v>
      </c>
      <c r="L2114" s="116">
        <v>53.69</v>
      </c>
      <c r="M2114" s="116">
        <f t="shared" si="32"/>
        <v>5.3689999999999995E-2</v>
      </c>
    </row>
    <row r="2115" spans="1:13" hidden="1" x14ac:dyDescent="0.35">
      <c r="A2115" s="112" t="s">
        <v>4632</v>
      </c>
      <c r="B2115" s="112" t="s">
        <v>4644</v>
      </c>
      <c r="C2115" s="112" t="s">
        <v>695</v>
      </c>
      <c r="D2115" s="113">
        <v>10347950</v>
      </c>
      <c r="E2115" s="115">
        <v>43923</v>
      </c>
      <c r="F2115" s="114">
        <v>202101</v>
      </c>
      <c r="G2115" s="112" t="s">
        <v>1091</v>
      </c>
      <c r="H2115" s="112" t="s">
        <v>1015</v>
      </c>
      <c r="I2115" s="112" t="s">
        <v>757</v>
      </c>
      <c r="J2115" s="112" t="s">
        <v>4645</v>
      </c>
      <c r="K2115" s="112" t="s">
        <v>5043</v>
      </c>
      <c r="L2115" s="116">
        <v>53.06</v>
      </c>
      <c r="M2115" s="116">
        <f t="shared" ref="M2115:M2178" si="33">L2115/1000</f>
        <v>5.3060000000000003E-2</v>
      </c>
    </row>
    <row r="2116" spans="1:13" hidden="1" x14ac:dyDescent="0.35">
      <c r="A2116" s="112" t="s">
        <v>4632</v>
      </c>
      <c r="B2116" s="112" t="s">
        <v>863</v>
      </c>
      <c r="C2116" s="112" t="s">
        <v>695</v>
      </c>
      <c r="D2116" s="113">
        <v>10347950</v>
      </c>
      <c r="E2116" s="115">
        <v>43923</v>
      </c>
      <c r="F2116" s="114">
        <v>202101</v>
      </c>
      <c r="G2116" s="112" t="s">
        <v>1091</v>
      </c>
      <c r="H2116" s="112" t="s">
        <v>1015</v>
      </c>
      <c r="I2116" s="112" t="s">
        <v>749</v>
      </c>
      <c r="J2116" s="112" t="s">
        <v>815</v>
      </c>
      <c r="K2116" s="112" t="s">
        <v>5044</v>
      </c>
      <c r="L2116" s="116">
        <v>113.13</v>
      </c>
      <c r="M2116" s="116">
        <f t="shared" si="33"/>
        <v>0.11312999999999999</v>
      </c>
    </row>
    <row r="2117" spans="1:13" hidden="1" x14ac:dyDescent="0.35">
      <c r="A2117" s="112" t="s">
        <v>4632</v>
      </c>
      <c r="B2117" s="112" t="s">
        <v>4644</v>
      </c>
      <c r="C2117" s="112" t="s">
        <v>695</v>
      </c>
      <c r="D2117" s="113">
        <v>10347950</v>
      </c>
      <c r="E2117" s="115">
        <v>43923</v>
      </c>
      <c r="F2117" s="114">
        <v>202101</v>
      </c>
      <c r="G2117" s="112" t="s">
        <v>1091</v>
      </c>
      <c r="H2117" s="112" t="s">
        <v>1015</v>
      </c>
      <c r="I2117" s="112" t="s">
        <v>749</v>
      </c>
      <c r="J2117" s="112" t="s">
        <v>4645</v>
      </c>
      <c r="K2117" s="112" t="s">
        <v>5045</v>
      </c>
      <c r="L2117" s="116">
        <v>251.38</v>
      </c>
      <c r="M2117" s="116">
        <f t="shared" si="33"/>
        <v>0.25137999999999999</v>
      </c>
    </row>
    <row r="2118" spans="1:13" hidden="1" x14ac:dyDescent="0.35">
      <c r="A2118" s="112" t="s">
        <v>4632</v>
      </c>
      <c r="B2118" s="112" t="s">
        <v>4644</v>
      </c>
      <c r="C2118" s="112" t="s">
        <v>695</v>
      </c>
      <c r="D2118" s="113">
        <v>10347950</v>
      </c>
      <c r="E2118" s="115">
        <v>43923</v>
      </c>
      <c r="F2118" s="114">
        <v>202101</v>
      </c>
      <c r="G2118" s="112" t="s">
        <v>1091</v>
      </c>
      <c r="H2118" s="112" t="s">
        <v>1015</v>
      </c>
      <c r="I2118" s="112" t="s">
        <v>749</v>
      </c>
      <c r="J2118" s="112" t="s">
        <v>4645</v>
      </c>
      <c r="K2118" s="112" t="s">
        <v>4711</v>
      </c>
      <c r="L2118" s="116">
        <v>1563.67</v>
      </c>
      <c r="M2118" s="116">
        <f t="shared" si="33"/>
        <v>1.5636700000000001</v>
      </c>
    </row>
    <row r="2119" spans="1:13" hidden="1" x14ac:dyDescent="0.35">
      <c r="A2119" s="112" t="s">
        <v>4632</v>
      </c>
      <c r="B2119" s="112" t="s">
        <v>4644</v>
      </c>
      <c r="C2119" s="112" t="s">
        <v>695</v>
      </c>
      <c r="D2119" s="113">
        <v>10347950</v>
      </c>
      <c r="E2119" s="115">
        <v>43923</v>
      </c>
      <c r="F2119" s="114">
        <v>202101</v>
      </c>
      <c r="G2119" s="112" t="s">
        <v>1091</v>
      </c>
      <c r="H2119" s="112" t="s">
        <v>1015</v>
      </c>
      <c r="I2119" s="112" t="s">
        <v>749</v>
      </c>
      <c r="J2119" s="112" t="s">
        <v>4645</v>
      </c>
      <c r="K2119" s="112" t="s">
        <v>5046</v>
      </c>
      <c r="L2119" s="116">
        <v>82.17</v>
      </c>
      <c r="M2119" s="116">
        <f t="shared" si="33"/>
        <v>8.2170000000000007E-2</v>
      </c>
    </row>
    <row r="2120" spans="1:13" hidden="1" x14ac:dyDescent="0.35">
      <c r="A2120" s="112" t="s">
        <v>4632</v>
      </c>
      <c r="B2120" s="112" t="s">
        <v>4644</v>
      </c>
      <c r="C2120" s="112" t="s">
        <v>695</v>
      </c>
      <c r="D2120" s="113">
        <v>10347950</v>
      </c>
      <c r="E2120" s="115">
        <v>43923</v>
      </c>
      <c r="F2120" s="114">
        <v>202101</v>
      </c>
      <c r="G2120" s="112" t="s">
        <v>1091</v>
      </c>
      <c r="H2120" s="112" t="s">
        <v>1015</v>
      </c>
      <c r="I2120" s="112" t="s">
        <v>757</v>
      </c>
      <c r="J2120" s="112" t="s">
        <v>4645</v>
      </c>
      <c r="K2120" s="112" t="s">
        <v>4859</v>
      </c>
      <c r="L2120" s="116">
        <v>82.35</v>
      </c>
      <c r="M2120" s="116">
        <f t="shared" si="33"/>
        <v>8.2349999999999993E-2</v>
      </c>
    </row>
    <row r="2121" spans="1:13" hidden="1" x14ac:dyDescent="0.35">
      <c r="A2121" s="112" t="s">
        <v>4632</v>
      </c>
      <c r="B2121" s="112" t="s">
        <v>4639</v>
      </c>
      <c r="C2121" s="112" t="s">
        <v>695</v>
      </c>
      <c r="D2121" s="113">
        <v>10347948</v>
      </c>
      <c r="E2121" s="115">
        <v>43923</v>
      </c>
      <c r="F2121" s="114">
        <v>202101</v>
      </c>
      <c r="G2121" s="112" t="s">
        <v>1091</v>
      </c>
      <c r="H2121" s="112" t="s">
        <v>1015</v>
      </c>
      <c r="I2121" s="112" t="s">
        <v>4687</v>
      </c>
      <c r="J2121" s="112" t="s">
        <v>4640</v>
      </c>
      <c r="K2121" s="112" t="s">
        <v>5047</v>
      </c>
      <c r="L2121" s="116">
        <v>-9258</v>
      </c>
      <c r="M2121" s="116">
        <f t="shared" si="33"/>
        <v>-9.2579999999999991</v>
      </c>
    </row>
    <row r="2122" spans="1:13" hidden="1" x14ac:dyDescent="0.35">
      <c r="A2122" s="112" t="s">
        <v>4632</v>
      </c>
      <c r="B2122" s="112" t="s">
        <v>4635</v>
      </c>
      <c r="C2122" s="112" t="s">
        <v>695</v>
      </c>
      <c r="D2122" s="113">
        <v>10347981</v>
      </c>
      <c r="E2122" s="115">
        <v>43924</v>
      </c>
      <c r="F2122" s="114">
        <v>202101</v>
      </c>
      <c r="G2122" s="112" t="s">
        <v>1091</v>
      </c>
      <c r="H2122" s="112" t="s">
        <v>1015</v>
      </c>
      <c r="I2122" s="112" t="s">
        <v>753</v>
      </c>
      <c r="J2122" s="112" t="s">
        <v>4969</v>
      </c>
      <c r="K2122" s="112" t="s">
        <v>5048</v>
      </c>
      <c r="L2122" s="116">
        <v>-1868</v>
      </c>
      <c r="M2122" s="116">
        <f t="shared" si="33"/>
        <v>-1.8680000000000001</v>
      </c>
    </row>
    <row r="2123" spans="1:13" hidden="1" x14ac:dyDescent="0.35">
      <c r="A2123" s="112" t="s">
        <v>4632</v>
      </c>
      <c r="B2123" s="112" t="s">
        <v>863</v>
      </c>
      <c r="C2123" s="112" t="s">
        <v>695</v>
      </c>
      <c r="D2123" s="113">
        <v>10347981</v>
      </c>
      <c r="E2123" s="115">
        <v>43924</v>
      </c>
      <c r="F2123" s="114">
        <v>202101</v>
      </c>
      <c r="G2123" s="112" t="s">
        <v>1091</v>
      </c>
      <c r="H2123" s="112" t="s">
        <v>1015</v>
      </c>
      <c r="I2123" s="112" t="s">
        <v>745</v>
      </c>
      <c r="J2123" s="112" t="s">
        <v>787</v>
      </c>
      <c r="K2123" s="112" t="s">
        <v>5049</v>
      </c>
      <c r="L2123" s="116">
        <v>-55782</v>
      </c>
      <c r="M2123" s="116">
        <f t="shared" si="33"/>
        <v>-55.781999999999996</v>
      </c>
    </row>
    <row r="2124" spans="1:13" hidden="1" x14ac:dyDescent="0.35">
      <c r="A2124" s="112" t="s">
        <v>4632</v>
      </c>
      <c r="B2124" s="112" t="s">
        <v>4644</v>
      </c>
      <c r="C2124" s="112" t="s">
        <v>695</v>
      </c>
      <c r="D2124" s="113">
        <v>10347950</v>
      </c>
      <c r="E2124" s="115">
        <v>43923</v>
      </c>
      <c r="F2124" s="114">
        <v>202101</v>
      </c>
      <c r="G2124" s="112" t="s">
        <v>1091</v>
      </c>
      <c r="H2124" s="112" t="s">
        <v>1015</v>
      </c>
      <c r="I2124" s="112" t="s">
        <v>757</v>
      </c>
      <c r="J2124" s="112" t="s">
        <v>4645</v>
      </c>
      <c r="K2124" s="112" t="s">
        <v>5061</v>
      </c>
      <c r="L2124" s="116">
        <v>965.97</v>
      </c>
      <c r="M2124" s="116">
        <f t="shared" si="33"/>
        <v>0.96597</v>
      </c>
    </row>
    <row r="2125" spans="1:13" hidden="1" x14ac:dyDescent="0.35">
      <c r="A2125" s="112" t="s">
        <v>4632</v>
      </c>
      <c r="B2125" s="112" t="s">
        <v>863</v>
      </c>
      <c r="C2125" s="112" t="s">
        <v>695</v>
      </c>
      <c r="D2125" s="113">
        <v>10348429</v>
      </c>
      <c r="E2125" s="115">
        <v>43945</v>
      </c>
      <c r="F2125" s="114">
        <v>202101</v>
      </c>
      <c r="G2125" s="112" t="s">
        <v>1091</v>
      </c>
      <c r="H2125" s="112" t="s">
        <v>1016</v>
      </c>
      <c r="I2125" s="112" t="s">
        <v>860</v>
      </c>
      <c r="J2125" s="112" t="s">
        <v>861</v>
      </c>
      <c r="K2125" s="112" t="s">
        <v>5062</v>
      </c>
      <c r="L2125" s="116">
        <v>-11567</v>
      </c>
      <c r="M2125" s="116">
        <f t="shared" si="33"/>
        <v>-11.567</v>
      </c>
    </row>
    <row r="2126" spans="1:13" hidden="1" x14ac:dyDescent="0.35">
      <c r="A2126" s="112" t="s">
        <v>4632</v>
      </c>
      <c r="B2126" s="112" t="s">
        <v>4644</v>
      </c>
      <c r="C2126" s="112" t="s">
        <v>695</v>
      </c>
      <c r="D2126" s="113">
        <v>10348098</v>
      </c>
      <c r="E2126" s="115">
        <v>43929</v>
      </c>
      <c r="F2126" s="114">
        <v>202101</v>
      </c>
      <c r="G2126" s="112" t="s">
        <v>1091</v>
      </c>
      <c r="H2126" s="112" t="s">
        <v>1015</v>
      </c>
      <c r="I2126" s="112" t="s">
        <v>751</v>
      </c>
      <c r="J2126" s="112" t="s">
        <v>4645</v>
      </c>
      <c r="K2126" s="112" t="s">
        <v>5063</v>
      </c>
      <c r="L2126" s="116">
        <v>331.38</v>
      </c>
      <c r="M2126" s="116">
        <f t="shared" si="33"/>
        <v>0.33138000000000001</v>
      </c>
    </row>
    <row r="2127" spans="1:13" hidden="1" x14ac:dyDescent="0.35">
      <c r="A2127" s="112" t="s">
        <v>4632</v>
      </c>
      <c r="B2127" s="112" t="s">
        <v>4650</v>
      </c>
      <c r="C2127" s="112" t="s">
        <v>695</v>
      </c>
      <c r="D2127" s="113">
        <v>10348098</v>
      </c>
      <c r="E2127" s="115">
        <v>43929</v>
      </c>
      <c r="F2127" s="114">
        <v>202101</v>
      </c>
      <c r="G2127" s="112" t="s">
        <v>1091</v>
      </c>
      <c r="H2127" s="112" t="s">
        <v>1015</v>
      </c>
      <c r="I2127" s="112" t="s">
        <v>757</v>
      </c>
      <c r="J2127" s="112" t="s">
        <v>4651</v>
      </c>
      <c r="K2127" s="112" t="s">
        <v>5064</v>
      </c>
      <c r="L2127" s="116">
        <v>-57.14</v>
      </c>
      <c r="M2127" s="116">
        <f t="shared" si="33"/>
        <v>-5.7140000000000003E-2</v>
      </c>
    </row>
    <row r="2128" spans="1:13" hidden="1" x14ac:dyDescent="0.35">
      <c r="A2128" s="112" t="s">
        <v>4632</v>
      </c>
      <c r="B2128" s="112" t="s">
        <v>4644</v>
      </c>
      <c r="C2128" s="112" t="s">
        <v>695</v>
      </c>
      <c r="D2128" s="113">
        <v>10348098</v>
      </c>
      <c r="E2128" s="115">
        <v>43929</v>
      </c>
      <c r="F2128" s="114">
        <v>202101</v>
      </c>
      <c r="G2128" s="112" t="s">
        <v>1091</v>
      </c>
      <c r="H2128" s="112" t="s">
        <v>1015</v>
      </c>
      <c r="I2128" s="112" t="s">
        <v>757</v>
      </c>
      <c r="J2128" s="112" t="s">
        <v>4645</v>
      </c>
      <c r="K2128" s="112" t="s">
        <v>5065</v>
      </c>
      <c r="L2128" s="116">
        <v>504.53</v>
      </c>
      <c r="M2128" s="116">
        <f t="shared" si="33"/>
        <v>0.50452999999999992</v>
      </c>
    </row>
    <row r="2129" spans="1:13" hidden="1" x14ac:dyDescent="0.35">
      <c r="A2129" s="112" t="s">
        <v>4632</v>
      </c>
      <c r="B2129" s="112" t="s">
        <v>863</v>
      </c>
      <c r="C2129" s="112" t="s">
        <v>695</v>
      </c>
      <c r="D2129" s="113">
        <v>10348098</v>
      </c>
      <c r="E2129" s="115">
        <v>43929</v>
      </c>
      <c r="F2129" s="114">
        <v>202101</v>
      </c>
      <c r="G2129" s="112" t="s">
        <v>1091</v>
      </c>
      <c r="H2129" s="112" t="s">
        <v>1015</v>
      </c>
      <c r="I2129" s="112" t="s">
        <v>757</v>
      </c>
      <c r="J2129" s="112" t="s">
        <v>856</v>
      </c>
      <c r="K2129" s="112" t="s">
        <v>5066</v>
      </c>
      <c r="L2129" s="116">
        <v>473.92</v>
      </c>
      <c r="M2129" s="116">
        <f t="shared" si="33"/>
        <v>0.47392000000000001</v>
      </c>
    </row>
    <row r="2130" spans="1:13" hidden="1" x14ac:dyDescent="0.35">
      <c r="A2130" s="112" t="s">
        <v>4632</v>
      </c>
      <c r="B2130" s="112" t="s">
        <v>4644</v>
      </c>
      <c r="C2130" s="112" t="s">
        <v>695</v>
      </c>
      <c r="D2130" s="113">
        <v>10348098</v>
      </c>
      <c r="E2130" s="115">
        <v>43929</v>
      </c>
      <c r="F2130" s="114">
        <v>202101</v>
      </c>
      <c r="G2130" s="112" t="s">
        <v>1091</v>
      </c>
      <c r="H2130" s="112" t="s">
        <v>1015</v>
      </c>
      <c r="I2130" s="112" t="s">
        <v>757</v>
      </c>
      <c r="J2130" s="112" t="s">
        <v>4645</v>
      </c>
      <c r="K2130" s="112" t="s">
        <v>5067</v>
      </c>
      <c r="L2130" s="116">
        <v>2492.31</v>
      </c>
      <c r="M2130" s="116">
        <f t="shared" si="33"/>
        <v>2.4923099999999998</v>
      </c>
    </row>
    <row r="2131" spans="1:13" hidden="1" x14ac:dyDescent="0.35">
      <c r="A2131" s="112" t="s">
        <v>4632</v>
      </c>
      <c r="B2131" s="112" t="s">
        <v>4644</v>
      </c>
      <c r="C2131" s="112" t="s">
        <v>695</v>
      </c>
      <c r="D2131" s="113">
        <v>10348098</v>
      </c>
      <c r="E2131" s="115">
        <v>43929</v>
      </c>
      <c r="F2131" s="114">
        <v>202101</v>
      </c>
      <c r="G2131" s="112" t="s">
        <v>1091</v>
      </c>
      <c r="H2131" s="112" t="s">
        <v>1015</v>
      </c>
      <c r="I2131" s="112" t="s">
        <v>757</v>
      </c>
      <c r="J2131" s="112" t="s">
        <v>4645</v>
      </c>
      <c r="K2131" s="112" t="s">
        <v>5068</v>
      </c>
      <c r="L2131" s="116">
        <v>8.99</v>
      </c>
      <c r="M2131" s="116">
        <f t="shared" si="33"/>
        <v>8.9899999999999997E-3</v>
      </c>
    </row>
    <row r="2132" spans="1:13" hidden="1" x14ac:dyDescent="0.35">
      <c r="A2132" s="112" t="s">
        <v>4632</v>
      </c>
      <c r="B2132" s="112" t="s">
        <v>4644</v>
      </c>
      <c r="C2132" s="112" t="s">
        <v>695</v>
      </c>
      <c r="D2132" s="113">
        <v>10348098</v>
      </c>
      <c r="E2132" s="115">
        <v>43929</v>
      </c>
      <c r="F2132" s="114">
        <v>202101</v>
      </c>
      <c r="G2132" s="112" t="s">
        <v>1091</v>
      </c>
      <c r="H2132" s="112" t="s">
        <v>1015</v>
      </c>
      <c r="I2132" s="112" t="s">
        <v>757</v>
      </c>
      <c r="J2132" s="112" t="s">
        <v>4645</v>
      </c>
      <c r="K2132" s="112" t="s">
        <v>5074</v>
      </c>
      <c r="L2132" s="116">
        <v>52.41</v>
      </c>
      <c r="M2132" s="116">
        <f t="shared" si="33"/>
        <v>5.2409999999999998E-2</v>
      </c>
    </row>
    <row r="2133" spans="1:13" hidden="1" x14ac:dyDescent="0.35">
      <c r="A2133" s="112" t="s">
        <v>4632</v>
      </c>
      <c r="B2133" s="112" t="s">
        <v>4644</v>
      </c>
      <c r="C2133" s="112" t="s">
        <v>695</v>
      </c>
      <c r="D2133" s="113">
        <v>10348098</v>
      </c>
      <c r="E2133" s="115">
        <v>43929</v>
      </c>
      <c r="F2133" s="114">
        <v>202101</v>
      </c>
      <c r="G2133" s="112" t="s">
        <v>1091</v>
      </c>
      <c r="H2133" s="112" t="s">
        <v>1015</v>
      </c>
      <c r="I2133" s="112" t="s">
        <v>749</v>
      </c>
      <c r="J2133" s="112" t="s">
        <v>4645</v>
      </c>
      <c r="K2133" s="112" t="s">
        <v>5075</v>
      </c>
      <c r="L2133" s="116">
        <v>3857.55</v>
      </c>
      <c r="M2133" s="116">
        <f t="shared" si="33"/>
        <v>3.8575500000000003</v>
      </c>
    </row>
    <row r="2134" spans="1:13" hidden="1" x14ac:dyDescent="0.35">
      <c r="A2134" s="112" t="s">
        <v>4632</v>
      </c>
      <c r="B2134" s="112" t="s">
        <v>4644</v>
      </c>
      <c r="C2134" s="112" t="s">
        <v>695</v>
      </c>
      <c r="D2134" s="113">
        <v>10348098</v>
      </c>
      <c r="E2134" s="115">
        <v>43929</v>
      </c>
      <c r="F2134" s="114">
        <v>202101</v>
      </c>
      <c r="G2134" s="112" t="s">
        <v>1091</v>
      </c>
      <c r="H2134" s="112" t="s">
        <v>1015</v>
      </c>
      <c r="I2134" s="112" t="s">
        <v>749</v>
      </c>
      <c r="J2134" s="112" t="s">
        <v>4645</v>
      </c>
      <c r="K2134" s="112" t="s">
        <v>5076</v>
      </c>
      <c r="L2134" s="116">
        <v>228.96</v>
      </c>
      <c r="M2134" s="116">
        <f t="shared" si="33"/>
        <v>0.22896</v>
      </c>
    </row>
    <row r="2135" spans="1:13" hidden="1" x14ac:dyDescent="0.35">
      <c r="A2135" s="112" t="s">
        <v>4632</v>
      </c>
      <c r="B2135" s="112" t="s">
        <v>4644</v>
      </c>
      <c r="C2135" s="112" t="s">
        <v>695</v>
      </c>
      <c r="D2135" s="113">
        <v>10348098</v>
      </c>
      <c r="E2135" s="115">
        <v>43929</v>
      </c>
      <c r="F2135" s="114">
        <v>202101</v>
      </c>
      <c r="G2135" s="112" t="s">
        <v>1091</v>
      </c>
      <c r="H2135" s="112" t="s">
        <v>1015</v>
      </c>
      <c r="I2135" s="112" t="s">
        <v>749</v>
      </c>
      <c r="J2135" s="112" t="s">
        <v>4645</v>
      </c>
      <c r="K2135" s="112" t="s">
        <v>5077</v>
      </c>
      <c r="L2135" s="116">
        <v>1941.17</v>
      </c>
      <c r="M2135" s="116">
        <f t="shared" si="33"/>
        <v>1.9411700000000001</v>
      </c>
    </row>
    <row r="2136" spans="1:13" hidden="1" x14ac:dyDescent="0.35">
      <c r="A2136" s="112" t="s">
        <v>4632</v>
      </c>
      <c r="B2136" s="112" t="s">
        <v>863</v>
      </c>
      <c r="C2136" s="112" t="s">
        <v>695</v>
      </c>
      <c r="D2136" s="113">
        <v>10348429</v>
      </c>
      <c r="E2136" s="115">
        <v>43945</v>
      </c>
      <c r="F2136" s="114">
        <v>202101</v>
      </c>
      <c r="G2136" s="112" t="s">
        <v>1091</v>
      </c>
      <c r="H2136" s="112" t="s">
        <v>1016</v>
      </c>
      <c r="I2136" s="112" t="s">
        <v>860</v>
      </c>
      <c r="J2136" s="112" t="s">
        <v>861</v>
      </c>
      <c r="K2136" s="112" t="s">
        <v>5078</v>
      </c>
      <c r="L2136" s="116">
        <v>-9270</v>
      </c>
      <c r="M2136" s="116">
        <f t="shared" si="33"/>
        <v>-9.27</v>
      </c>
    </row>
    <row r="2137" spans="1:13" hidden="1" x14ac:dyDescent="0.35">
      <c r="A2137" s="112" t="s">
        <v>4632</v>
      </c>
      <c r="B2137" s="112" t="s">
        <v>863</v>
      </c>
      <c r="C2137" s="112" t="s">
        <v>695</v>
      </c>
      <c r="D2137" s="113">
        <v>10348429</v>
      </c>
      <c r="E2137" s="115">
        <v>43945</v>
      </c>
      <c r="F2137" s="114">
        <v>202101</v>
      </c>
      <c r="G2137" s="112" t="s">
        <v>1091</v>
      </c>
      <c r="H2137" s="112" t="s">
        <v>1016</v>
      </c>
      <c r="I2137" s="112" t="s">
        <v>860</v>
      </c>
      <c r="J2137" s="112" t="s">
        <v>861</v>
      </c>
      <c r="K2137" s="112" t="s">
        <v>5079</v>
      </c>
      <c r="L2137" s="116">
        <v>-6726</v>
      </c>
      <c r="M2137" s="116">
        <f t="shared" si="33"/>
        <v>-6.726</v>
      </c>
    </row>
    <row r="2138" spans="1:13" hidden="1" x14ac:dyDescent="0.35">
      <c r="A2138" s="112" t="s">
        <v>4632</v>
      </c>
      <c r="B2138" s="112" t="s">
        <v>4644</v>
      </c>
      <c r="C2138" s="112" t="s">
        <v>695</v>
      </c>
      <c r="D2138" s="113">
        <v>10348098</v>
      </c>
      <c r="E2138" s="115">
        <v>43929</v>
      </c>
      <c r="F2138" s="114">
        <v>202101</v>
      </c>
      <c r="G2138" s="112" t="s">
        <v>1091</v>
      </c>
      <c r="H2138" s="112" t="s">
        <v>1015</v>
      </c>
      <c r="I2138" s="112" t="s">
        <v>749</v>
      </c>
      <c r="J2138" s="112" t="s">
        <v>4645</v>
      </c>
      <c r="K2138" s="112" t="s">
        <v>5080</v>
      </c>
      <c r="L2138" s="116">
        <v>-78.62</v>
      </c>
      <c r="M2138" s="116">
        <f t="shared" si="33"/>
        <v>-7.8620000000000009E-2</v>
      </c>
    </row>
    <row r="2139" spans="1:13" hidden="1" x14ac:dyDescent="0.35">
      <c r="A2139" s="112" t="s">
        <v>4632</v>
      </c>
      <c r="B2139" s="112" t="s">
        <v>4644</v>
      </c>
      <c r="C2139" s="112" t="s">
        <v>695</v>
      </c>
      <c r="D2139" s="113">
        <v>10348098</v>
      </c>
      <c r="E2139" s="115">
        <v>43929</v>
      </c>
      <c r="F2139" s="114">
        <v>202101</v>
      </c>
      <c r="G2139" s="112" t="s">
        <v>1091</v>
      </c>
      <c r="H2139" s="112" t="s">
        <v>1015</v>
      </c>
      <c r="I2139" s="112" t="s">
        <v>749</v>
      </c>
      <c r="J2139" s="112" t="s">
        <v>4645</v>
      </c>
      <c r="K2139" s="112" t="s">
        <v>5081</v>
      </c>
      <c r="L2139" s="116">
        <v>852.01</v>
      </c>
      <c r="M2139" s="116">
        <f t="shared" si="33"/>
        <v>0.85201000000000005</v>
      </c>
    </row>
    <row r="2140" spans="1:13" hidden="1" x14ac:dyDescent="0.35">
      <c r="A2140" s="112" t="s">
        <v>4632</v>
      </c>
      <c r="B2140" s="112" t="s">
        <v>863</v>
      </c>
      <c r="C2140" s="112" t="s">
        <v>695</v>
      </c>
      <c r="D2140" s="113">
        <v>10348098</v>
      </c>
      <c r="E2140" s="115">
        <v>43929</v>
      </c>
      <c r="F2140" s="114">
        <v>202101</v>
      </c>
      <c r="G2140" s="112" t="s">
        <v>1091</v>
      </c>
      <c r="H2140" s="112" t="s">
        <v>1015</v>
      </c>
      <c r="I2140" s="112" t="s">
        <v>749</v>
      </c>
      <c r="J2140" s="112" t="s">
        <v>815</v>
      </c>
      <c r="K2140" s="112" t="s">
        <v>5044</v>
      </c>
      <c r="L2140" s="116">
        <v>412.85</v>
      </c>
      <c r="M2140" s="116">
        <f t="shared" si="33"/>
        <v>0.41285000000000005</v>
      </c>
    </row>
    <row r="2141" spans="1:13" hidden="1" x14ac:dyDescent="0.35">
      <c r="A2141" s="112" t="s">
        <v>4632</v>
      </c>
      <c r="B2141" s="112" t="s">
        <v>4644</v>
      </c>
      <c r="C2141" s="112" t="s">
        <v>695</v>
      </c>
      <c r="D2141" s="113">
        <v>10348098</v>
      </c>
      <c r="E2141" s="115">
        <v>43929</v>
      </c>
      <c r="F2141" s="114">
        <v>202101</v>
      </c>
      <c r="G2141" s="112" t="s">
        <v>1091</v>
      </c>
      <c r="H2141" s="112" t="s">
        <v>1015</v>
      </c>
      <c r="I2141" s="112" t="s">
        <v>749</v>
      </c>
      <c r="J2141" s="112" t="s">
        <v>4645</v>
      </c>
      <c r="K2141" s="112" t="s">
        <v>5046</v>
      </c>
      <c r="L2141" s="116">
        <v>695.82</v>
      </c>
      <c r="M2141" s="116">
        <f t="shared" si="33"/>
        <v>0.69582000000000011</v>
      </c>
    </row>
    <row r="2142" spans="1:13" hidden="1" x14ac:dyDescent="0.35">
      <c r="A2142" s="112" t="s">
        <v>4632</v>
      </c>
      <c r="B2142" s="112" t="s">
        <v>4639</v>
      </c>
      <c r="C2142" s="112" t="s">
        <v>695</v>
      </c>
      <c r="D2142" s="113">
        <v>10348098</v>
      </c>
      <c r="E2142" s="115">
        <v>43929</v>
      </c>
      <c r="F2142" s="114">
        <v>202101</v>
      </c>
      <c r="G2142" s="112" t="s">
        <v>1091</v>
      </c>
      <c r="H2142" s="112" t="s">
        <v>1015</v>
      </c>
      <c r="I2142" s="112" t="s">
        <v>749</v>
      </c>
      <c r="J2142" s="112" t="s">
        <v>4640</v>
      </c>
      <c r="K2142" s="112" t="s">
        <v>5039</v>
      </c>
      <c r="L2142" s="116">
        <v>1848.27</v>
      </c>
      <c r="M2142" s="116">
        <f t="shared" si="33"/>
        <v>1.8482700000000001</v>
      </c>
    </row>
    <row r="2143" spans="1:13" hidden="1" x14ac:dyDescent="0.35">
      <c r="A2143" s="112" t="s">
        <v>4632</v>
      </c>
      <c r="B2143" s="112" t="s">
        <v>4650</v>
      </c>
      <c r="C2143" s="112" t="s">
        <v>695</v>
      </c>
      <c r="D2143" s="113">
        <v>10348098</v>
      </c>
      <c r="E2143" s="115">
        <v>43929</v>
      </c>
      <c r="F2143" s="114">
        <v>202101</v>
      </c>
      <c r="G2143" s="112" t="s">
        <v>1091</v>
      </c>
      <c r="H2143" s="112" t="s">
        <v>1015</v>
      </c>
      <c r="I2143" s="112" t="s">
        <v>749</v>
      </c>
      <c r="J2143" s="112" t="s">
        <v>4651</v>
      </c>
      <c r="K2143" s="112" t="s">
        <v>5038</v>
      </c>
      <c r="L2143" s="116">
        <v>-85.45</v>
      </c>
      <c r="M2143" s="116">
        <f t="shared" si="33"/>
        <v>-8.5449999999999998E-2</v>
      </c>
    </row>
    <row r="2144" spans="1:13" hidden="1" x14ac:dyDescent="0.35">
      <c r="A2144" s="112" t="s">
        <v>4632</v>
      </c>
      <c r="B2144" s="112" t="s">
        <v>4650</v>
      </c>
      <c r="C2144" s="112" t="s">
        <v>695</v>
      </c>
      <c r="D2144" s="113">
        <v>10348098</v>
      </c>
      <c r="E2144" s="115">
        <v>43929</v>
      </c>
      <c r="F2144" s="114">
        <v>202101</v>
      </c>
      <c r="G2144" s="112" t="s">
        <v>1091</v>
      </c>
      <c r="H2144" s="112" t="s">
        <v>1015</v>
      </c>
      <c r="I2144" s="112" t="s">
        <v>749</v>
      </c>
      <c r="J2144" s="112" t="s">
        <v>4651</v>
      </c>
      <c r="K2144" s="112" t="s">
        <v>5082</v>
      </c>
      <c r="L2144" s="116">
        <v>965.97</v>
      </c>
      <c r="M2144" s="116">
        <f t="shared" si="33"/>
        <v>0.96597</v>
      </c>
    </row>
    <row r="2145" spans="1:13" hidden="1" x14ac:dyDescent="0.35">
      <c r="A2145" s="112" t="s">
        <v>4632</v>
      </c>
      <c r="B2145" s="112" t="s">
        <v>4650</v>
      </c>
      <c r="C2145" s="112" t="s">
        <v>695</v>
      </c>
      <c r="D2145" s="113">
        <v>10348098</v>
      </c>
      <c r="E2145" s="115">
        <v>43929</v>
      </c>
      <c r="F2145" s="114">
        <v>202101</v>
      </c>
      <c r="G2145" s="112" t="s">
        <v>1091</v>
      </c>
      <c r="H2145" s="112" t="s">
        <v>1015</v>
      </c>
      <c r="I2145" s="112" t="s">
        <v>749</v>
      </c>
      <c r="J2145" s="112" t="s">
        <v>4651</v>
      </c>
      <c r="K2145" s="112" t="s">
        <v>5083</v>
      </c>
      <c r="L2145" s="116">
        <v>53.06</v>
      </c>
      <c r="M2145" s="116">
        <f t="shared" si="33"/>
        <v>5.3060000000000003E-2</v>
      </c>
    </row>
    <row r="2146" spans="1:13" hidden="1" x14ac:dyDescent="0.35">
      <c r="A2146" s="112" t="s">
        <v>4632</v>
      </c>
      <c r="B2146" s="112" t="s">
        <v>4644</v>
      </c>
      <c r="C2146" s="112" t="s">
        <v>695</v>
      </c>
      <c r="D2146" s="113">
        <v>10348098</v>
      </c>
      <c r="E2146" s="115">
        <v>43929</v>
      </c>
      <c r="F2146" s="114">
        <v>202101</v>
      </c>
      <c r="G2146" s="112" t="s">
        <v>1091</v>
      </c>
      <c r="H2146" s="112" t="s">
        <v>1015</v>
      </c>
      <c r="I2146" s="112" t="s">
        <v>749</v>
      </c>
      <c r="J2146" s="112" t="s">
        <v>4645</v>
      </c>
      <c r="K2146" s="112" t="s">
        <v>5085</v>
      </c>
      <c r="L2146" s="116">
        <v>536.41999999999996</v>
      </c>
      <c r="M2146" s="116">
        <f t="shared" si="33"/>
        <v>0.53642000000000001</v>
      </c>
    </row>
    <row r="2147" spans="1:13" hidden="1" x14ac:dyDescent="0.35">
      <c r="A2147" s="112" t="s">
        <v>4632</v>
      </c>
      <c r="B2147" s="112" t="s">
        <v>4650</v>
      </c>
      <c r="C2147" s="112" t="s">
        <v>695</v>
      </c>
      <c r="D2147" s="113">
        <v>10348098</v>
      </c>
      <c r="E2147" s="115">
        <v>43929</v>
      </c>
      <c r="F2147" s="114">
        <v>202101</v>
      </c>
      <c r="G2147" s="112" t="s">
        <v>1091</v>
      </c>
      <c r="H2147" s="112" t="s">
        <v>1015</v>
      </c>
      <c r="I2147" s="112" t="s">
        <v>749</v>
      </c>
      <c r="J2147" s="112" t="s">
        <v>4651</v>
      </c>
      <c r="K2147" s="112" t="s">
        <v>5112</v>
      </c>
      <c r="L2147" s="116">
        <v>39.340000000000003</v>
      </c>
      <c r="M2147" s="116">
        <f t="shared" si="33"/>
        <v>3.934E-2</v>
      </c>
    </row>
    <row r="2148" spans="1:13" hidden="1" x14ac:dyDescent="0.35">
      <c r="A2148" s="112" t="s">
        <v>4632</v>
      </c>
      <c r="B2148" s="112" t="s">
        <v>4650</v>
      </c>
      <c r="C2148" s="112" t="s">
        <v>695</v>
      </c>
      <c r="D2148" s="113">
        <v>10348098</v>
      </c>
      <c r="E2148" s="115">
        <v>43929</v>
      </c>
      <c r="F2148" s="114">
        <v>202101</v>
      </c>
      <c r="G2148" s="112" t="s">
        <v>1091</v>
      </c>
      <c r="H2148" s="112" t="s">
        <v>1015</v>
      </c>
      <c r="I2148" s="112" t="s">
        <v>749</v>
      </c>
      <c r="J2148" s="112" t="s">
        <v>4651</v>
      </c>
      <c r="K2148" s="112" t="s">
        <v>5113</v>
      </c>
      <c r="L2148" s="116">
        <v>38.32</v>
      </c>
      <c r="M2148" s="116">
        <f t="shared" si="33"/>
        <v>3.832E-2</v>
      </c>
    </row>
    <row r="2149" spans="1:13" hidden="1" x14ac:dyDescent="0.35">
      <c r="A2149" s="112" t="s">
        <v>4632</v>
      </c>
      <c r="B2149" s="112" t="s">
        <v>4644</v>
      </c>
      <c r="C2149" s="112" t="s">
        <v>695</v>
      </c>
      <c r="D2149" s="113">
        <v>10348098</v>
      </c>
      <c r="E2149" s="115">
        <v>43929</v>
      </c>
      <c r="F2149" s="114">
        <v>202101</v>
      </c>
      <c r="G2149" s="112" t="s">
        <v>1091</v>
      </c>
      <c r="H2149" s="112" t="s">
        <v>1015</v>
      </c>
      <c r="I2149" s="112" t="s">
        <v>749</v>
      </c>
      <c r="J2149" s="112" t="s">
        <v>4645</v>
      </c>
      <c r="K2149" s="112" t="s">
        <v>5114</v>
      </c>
      <c r="L2149" s="116">
        <v>73.930000000000007</v>
      </c>
      <c r="M2149" s="116">
        <f t="shared" si="33"/>
        <v>7.393000000000001E-2</v>
      </c>
    </row>
    <row r="2150" spans="1:13" hidden="1" x14ac:dyDescent="0.35">
      <c r="A2150" s="112" t="s">
        <v>4632</v>
      </c>
      <c r="B2150" s="112" t="s">
        <v>4644</v>
      </c>
      <c r="C2150" s="112" t="s">
        <v>695</v>
      </c>
      <c r="D2150" s="113">
        <v>10348098</v>
      </c>
      <c r="E2150" s="115">
        <v>43929</v>
      </c>
      <c r="F2150" s="114">
        <v>202101</v>
      </c>
      <c r="G2150" s="112" t="s">
        <v>1091</v>
      </c>
      <c r="H2150" s="112" t="s">
        <v>1015</v>
      </c>
      <c r="I2150" s="112" t="s">
        <v>749</v>
      </c>
      <c r="J2150" s="112" t="s">
        <v>4645</v>
      </c>
      <c r="K2150" s="112" t="s">
        <v>5115</v>
      </c>
      <c r="L2150" s="116">
        <v>161.77000000000001</v>
      </c>
      <c r="M2150" s="116">
        <f t="shared" si="33"/>
        <v>0.16177</v>
      </c>
    </row>
    <row r="2151" spans="1:13" hidden="1" x14ac:dyDescent="0.35">
      <c r="A2151" s="112" t="s">
        <v>4632</v>
      </c>
      <c r="B2151" s="112" t="s">
        <v>4644</v>
      </c>
      <c r="C2151" s="112" t="s">
        <v>695</v>
      </c>
      <c r="D2151" s="113">
        <v>10348098</v>
      </c>
      <c r="E2151" s="115">
        <v>43929</v>
      </c>
      <c r="F2151" s="114">
        <v>202101</v>
      </c>
      <c r="G2151" s="112" t="s">
        <v>1091</v>
      </c>
      <c r="H2151" s="112" t="s">
        <v>1015</v>
      </c>
      <c r="I2151" s="112" t="s">
        <v>757</v>
      </c>
      <c r="J2151" s="112" t="s">
        <v>4645</v>
      </c>
      <c r="K2151" s="112" t="s">
        <v>5116</v>
      </c>
      <c r="L2151" s="116">
        <v>163.27000000000001</v>
      </c>
      <c r="M2151" s="116">
        <f t="shared" si="33"/>
        <v>0.16327</v>
      </c>
    </row>
    <row r="2152" spans="1:13" hidden="1" x14ac:dyDescent="0.35">
      <c r="A2152" s="112" t="s">
        <v>4632</v>
      </c>
      <c r="B2152" s="112" t="s">
        <v>4644</v>
      </c>
      <c r="C2152" s="112" t="s">
        <v>695</v>
      </c>
      <c r="D2152" s="113">
        <v>10348098</v>
      </c>
      <c r="E2152" s="115">
        <v>43929</v>
      </c>
      <c r="F2152" s="114">
        <v>202101</v>
      </c>
      <c r="G2152" s="112" t="s">
        <v>1091</v>
      </c>
      <c r="H2152" s="112" t="s">
        <v>1015</v>
      </c>
      <c r="I2152" s="112" t="s">
        <v>757</v>
      </c>
      <c r="J2152" s="112" t="s">
        <v>4645</v>
      </c>
      <c r="K2152" s="112" t="s">
        <v>5117</v>
      </c>
      <c r="L2152" s="116">
        <v>-487.66</v>
      </c>
      <c r="M2152" s="116">
        <f t="shared" si="33"/>
        <v>-0.48766000000000004</v>
      </c>
    </row>
    <row r="2153" spans="1:13" hidden="1" x14ac:dyDescent="0.35">
      <c r="A2153" s="112" t="s">
        <v>4632</v>
      </c>
      <c r="B2153" s="112" t="s">
        <v>4644</v>
      </c>
      <c r="C2153" s="112" t="s">
        <v>695</v>
      </c>
      <c r="D2153" s="113">
        <v>10348098</v>
      </c>
      <c r="E2153" s="115">
        <v>43929</v>
      </c>
      <c r="F2153" s="114">
        <v>202101</v>
      </c>
      <c r="G2153" s="112" t="s">
        <v>1091</v>
      </c>
      <c r="H2153" s="112" t="s">
        <v>1015</v>
      </c>
      <c r="I2153" s="112" t="s">
        <v>751</v>
      </c>
      <c r="J2153" s="112" t="s">
        <v>4645</v>
      </c>
      <c r="K2153" s="112" t="s">
        <v>5118</v>
      </c>
      <c r="L2153" s="116">
        <v>554.55999999999995</v>
      </c>
      <c r="M2153" s="116">
        <f t="shared" si="33"/>
        <v>0.55455999999999994</v>
      </c>
    </row>
    <row r="2154" spans="1:13" hidden="1" x14ac:dyDescent="0.35">
      <c r="A2154" s="112" t="s">
        <v>4632</v>
      </c>
      <c r="B2154" s="112" t="s">
        <v>4644</v>
      </c>
      <c r="C2154" s="112" t="s">
        <v>695</v>
      </c>
      <c r="D2154" s="113">
        <v>10348098</v>
      </c>
      <c r="E2154" s="115">
        <v>43929</v>
      </c>
      <c r="F2154" s="114">
        <v>202101</v>
      </c>
      <c r="G2154" s="112" t="s">
        <v>1091</v>
      </c>
      <c r="H2154" s="112" t="s">
        <v>1015</v>
      </c>
      <c r="I2154" s="112" t="s">
        <v>751</v>
      </c>
      <c r="J2154" s="112" t="s">
        <v>4645</v>
      </c>
      <c r="K2154" s="112" t="s">
        <v>5118</v>
      </c>
      <c r="L2154" s="116">
        <v>-554.55999999999995</v>
      </c>
      <c r="M2154" s="116">
        <f t="shared" si="33"/>
        <v>-0.55455999999999994</v>
      </c>
    </row>
    <row r="2155" spans="1:13" hidden="1" x14ac:dyDescent="0.35">
      <c r="A2155" s="112" t="s">
        <v>4632</v>
      </c>
      <c r="B2155" s="112" t="s">
        <v>4644</v>
      </c>
      <c r="C2155" s="112" t="s">
        <v>695</v>
      </c>
      <c r="D2155" s="113">
        <v>10348098</v>
      </c>
      <c r="E2155" s="115">
        <v>43929</v>
      </c>
      <c r="F2155" s="114">
        <v>202101</v>
      </c>
      <c r="G2155" s="112" t="s">
        <v>1091</v>
      </c>
      <c r="H2155" s="112" t="s">
        <v>1015</v>
      </c>
      <c r="I2155" s="112" t="s">
        <v>751</v>
      </c>
      <c r="J2155" s="112" t="s">
        <v>4645</v>
      </c>
      <c r="K2155" s="112" t="s">
        <v>5119</v>
      </c>
      <c r="L2155" s="116">
        <v>508.84</v>
      </c>
      <c r="M2155" s="116">
        <f t="shared" si="33"/>
        <v>0.50883999999999996</v>
      </c>
    </row>
    <row r="2156" spans="1:13" hidden="1" x14ac:dyDescent="0.35">
      <c r="A2156" s="112" t="s">
        <v>4632</v>
      </c>
      <c r="B2156" s="112" t="s">
        <v>4639</v>
      </c>
      <c r="C2156" s="112" t="s">
        <v>695</v>
      </c>
      <c r="D2156" s="113">
        <v>10348098</v>
      </c>
      <c r="E2156" s="115">
        <v>43929</v>
      </c>
      <c r="F2156" s="114">
        <v>202101</v>
      </c>
      <c r="G2156" s="112" t="s">
        <v>1091</v>
      </c>
      <c r="H2156" s="112" t="s">
        <v>1015</v>
      </c>
      <c r="I2156" s="112" t="s">
        <v>751</v>
      </c>
      <c r="J2156" s="112" t="s">
        <v>4640</v>
      </c>
      <c r="K2156" s="112" t="s">
        <v>5120</v>
      </c>
      <c r="L2156" s="116">
        <v>2862.58</v>
      </c>
      <c r="M2156" s="116">
        <f t="shared" si="33"/>
        <v>2.8625799999999999</v>
      </c>
    </row>
    <row r="2157" spans="1:13" hidden="1" x14ac:dyDescent="0.35">
      <c r="A2157" s="112" t="s">
        <v>4632</v>
      </c>
      <c r="B2157" s="112" t="s">
        <v>863</v>
      </c>
      <c r="C2157" s="112" t="s">
        <v>695</v>
      </c>
      <c r="D2157" s="113">
        <v>10348098</v>
      </c>
      <c r="E2157" s="115">
        <v>43929</v>
      </c>
      <c r="F2157" s="114">
        <v>202101</v>
      </c>
      <c r="G2157" s="112" t="s">
        <v>1091</v>
      </c>
      <c r="H2157" s="112" t="s">
        <v>1015</v>
      </c>
      <c r="I2157" s="112" t="s">
        <v>757</v>
      </c>
      <c r="J2157" s="112" t="s">
        <v>787</v>
      </c>
      <c r="K2157" s="112" t="s">
        <v>5121</v>
      </c>
      <c r="L2157" s="116">
        <v>1737.15</v>
      </c>
      <c r="M2157" s="116">
        <f t="shared" si="33"/>
        <v>1.7371500000000002</v>
      </c>
    </row>
    <row r="2158" spans="1:13" hidden="1" x14ac:dyDescent="0.35">
      <c r="A2158" s="112" t="s">
        <v>4632</v>
      </c>
      <c r="B2158" s="112" t="s">
        <v>863</v>
      </c>
      <c r="C2158" s="112" t="s">
        <v>695</v>
      </c>
      <c r="D2158" s="113">
        <v>10348098</v>
      </c>
      <c r="E2158" s="115">
        <v>43929</v>
      </c>
      <c r="F2158" s="114">
        <v>202101</v>
      </c>
      <c r="G2158" s="112" t="s">
        <v>1091</v>
      </c>
      <c r="H2158" s="112" t="s">
        <v>1015</v>
      </c>
      <c r="I2158" s="112" t="s">
        <v>749</v>
      </c>
      <c r="J2158" s="112" t="s">
        <v>821</v>
      </c>
      <c r="K2158" s="112" t="s">
        <v>5122</v>
      </c>
      <c r="L2158" s="116">
        <v>134.16999999999999</v>
      </c>
      <c r="M2158" s="116">
        <f t="shared" si="33"/>
        <v>0.13416999999999998</v>
      </c>
    </row>
    <row r="2159" spans="1:13" hidden="1" x14ac:dyDescent="0.35">
      <c r="A2159" s="112" t="s">
        <v>4632</v>
      </c>
      <c r="B2159" s="112" t="s">
        <v>863</v>
      </c>
      <c r="C2159" s="112" t="s">
        <v>695</v>
      </c>
      <c r="D2159" s="113">
        <v>10348098</v>
      </c>
      <c r="E2159" s="115">
        <v>43929</v>
      </c>
      <c r="F2159" s="114">
        <v>202101</v>
      </c>
      <c r="G2159" s="112" t="s">
        <v>1091</v>
      </c>
      <c r="H2159" s="112" t="s">
        <v>1015</v>
      </c>
      <c r="I2159" s="112" t="s">
        <v>749</v>
      </c>
      <c r="J2159" s="112" t="s">
        <v>821</v>
      </c>
      <c r="K2159" s="112" t="s">
        <v>5123</v>
      </c>
      <c r="L2159" s="116">
        <v>133.04</v>
      </c>
      <c r="M2159" s="116">
        <f t="shared" si="33"/>
        <v>0.13303999999999999</v>
      </c>
    </row>
    <row r="2160" spans="1:13" hidden="1" x14ac:dyDescent="0.35">
      <c r="A2160" s="112" t="s">
        <v>4632</v>
      </c>
      <c r="B2160" s="112" t="s">
        <v>4650</v>
      </c>
      <c r="C2160" s="112" t="s">
        <v>695</v>
      </c>
      <c r="D2160" s="113">
        <v>10348098</v>
      </c>
      <c r="E2160" s="115">
        <v>43929</v>
      </c>
      <c r="F2160" s="114">
        <v>202101</v>
      </c>
      <c r="G2160" s="112" t="s">
        <v>1091</v>
      </c>
      <c r="H2160" s="112" t="s">
        <v>1015</v>
      </c>
      <c r="I2160" s="112" t="s">
        <v>749</v>
      </c>
      <c r="J2160" s="112" t="s">
        <v>4651</v>
      </c>
      <c r="K2160" s="112" t="s">
        <v>5124</v>
      </c>
      <c r="L2160" s="116">
        <v>100.58</v>
      </c>
      <c r="M2160" s="116">
        <f t="shared" si="33"/>
        <v>0.10058</v>
      </c>
    </row>
    <row r="2161" spans="1:13" hidden="1" x14ac:dyDescent="0.35">
      <c r="A2161" s="112" t="s">
        <v>4632</v>
      </c>
      <c r="B2161" s="112" t="s">
        <v>4644</v>
      </c>
      <c r="C2161" s="112" t="s">
        <v>695</v>
      </c>
      <c r="D2161" s="113">
        <v>10347950</v>
      </c>
      <c r="E2161" s="115">
        <v>43923</v>
      </c>
      <c r="F2161" s="114">
        <v>202101</v>
      </c>
      <c r="G2161" s="112" t="s">
        <v>1091</v>
      </c>
      <c r="H2161" s="112" t="s">
        <v>1015</v>
      </c>
      <c r="I2161" s="112" t="s">
        <v>757</v>
      </c>
      <c r="J2161" s="112" t="s">
        <v>4645</v>
      </c>
      <c r="K2161" s="112" t="s">
        <v>4681</v>
      </c>
      <c r="L2161" s="116">
        <v>-85.45</v>
      </c>
      <c r="M2161" s="116">
        <f t="shared" si="33"/>
        <v>-8.5449999999999998E-2</v>
      </c>
    </row>
    <row r="2162" spans="1:13" hidden="1" x14ac:dyDescent="0.35">
      <c r="A2162" s="112" t="s">
        <v>4632</v>
      </c>
      <c r="B2162" s="112" t="s">
        <v>4650</v>
      </c>
      <c r="C2162" s="112" t="s">
        <v>695</v>
      </c>
      <c r="D2162" s="113">
        <v>10347950</v>
      </c>
      <c r="E2162" s="115">
        <v>43923</v>
      </c>
      <c r="F2162" s="114">
        <v>202101</v>
      </c>
      <c r="G2162" s="112" t="s">
        <v>1091</v>
      </c>
      <c r="H2162" s="112" t="s">
        <v>1015</v>
      </c>
      <c r="I2162" s="112" t="s">
        <v>749</v>
      </c>
      <c r="J2162" s="112" t="s">
        <v>4651</v>
      </c>
      <c r="K2162" s="112" t="s">
        <v>4683</v>
      </c>
      <c r="L2162" s="116">
        <v>463.44</v>
      </c>
      <c r="M2162" s="116">
        <f t="shared" si="33"/>
        <v>0.46344000000000002</v>
      </c>
    </row>
    <row r="2163" spans="1:13" hidden="1" x14ac:dyDescent="0.35">
      <c r="A2163" s="112" t="s">
        <v>4632</v>
      </c>
      <c r="B2163" s="112" t="s">
        <v>4644</v>
      </c>
      <c r="C2163" s="112" t="s">
        <v>695</v>
      </c>
      <c r="D2163" s="113">
        <v>10347950</v>
      </c>
      <c r="E2163" s="115">
        <v>43923</v>
      </c>
      <c r="F2163" s="114">
        <v>202101</v>
      </c>
      <c r="G2163" s="112" t="s">
        <v>1091</v>
      </c>
      <c r="H2163" s="112" t="s">
        <v>1015</v>
      </c>
      <c r="I2163" s="112" t="s">
        <v>751</v>
      </c>
      <c r="J2163" s="112" t="s">
        <v>4645</v>
      </c>
      <c r="K2163" s="112" t="s">
        <v>5063</v>
      </c>
      <c r="L2163" s="116">
        <v>124.52</v>
      </c>
      <c r="M2163" s="116">
        <f t="shared" si="33"/>
        <v>0.12451999999999999</v>
      </c>
    </row>
    <row r="2164" spans="1:13" hidden="1" x14ac:dyDescent="0.35">
      <c r="A2164" s="112" t="s">
        <v>4632</v>
      </c>
      <c r="B2164" s="112" t="s">
        <v>4644</v>
      </c>
      <c r="C2164" s="112" t="s">
        <v>695</v>
      </c>
      <c r="D2164" s="113">
        <v>10347950</v>
      </c>
      <c r="E2164" s="115">
        <v>43923</v>
      </c>
      <c r="F2164" s="114">
        <v>202101</v>
      </c>
      <c r="G2164" s="112" t="s">
        <v>1091</v>
      </c>
      <c r="H2164" s="112" t="s">
        <v>1015</v>
      </c>
      <c r="I2164" s="112" t="s">
        <v>757</v>
      </c>
      <c r="J2164" s="112" t="s">
        <v>4645</v>
      </c>
      <c r="K2164" s="112" t="s">
        <v>5065</v>
      </c>
      <c r="L2164" s="116">
        <v>49.46</v>
      </c>
      <c r="M2164" s="116">
        <f t="shared" si="33"/>
        <v>4.9460000000000004E-2</v>
      </c>
    </row>
    <row r="2165" spans="1:13" hidden="1" x14ac:dyDescent="0.35">
      <c r="A2165" s="112" t="s">
        <v>4632</v>
      </c>
      <c r="B2165" s="112" t="s">
        <v>4644</v>
      </c>
      <c r="C2165" s="112" t="s">
        <v>695</v>
      </c>
      <c r="D2165" s="113">
        <v>10347950</v>
      </c>
      <c r="E2165" s="115">
        <v>43923</v>
      </c>
      <c r="F2165" s="114">
        <v>202101</v>
      </c>
      <c r="G2165" s="112" t="s">
        <v>1091</v>
      </c>
      <c r="H2165" s="112" t="s">
        <v>1015</v>
      </c>
      <c r="I2165" s="112" t="s">
        <v>757</v>
      </c>
      <c r="J2165" s="112" t="s">
        <v>4645</v>
      </c>
      <c r="K2165" s="112" t="s">
        <v>5067</v>
      </c>
      <c r="L2165" s="116">
        <v>1785.25</v>
      </c>
      <c r="M2165" s="116">
        <f t="shared" si="33"/>
        <v>1.78525</v>
      </c>
    </row>
    <row r="2166" spans="1:13" hidden="1" x14ac:dyDescent="0.35">
      <c r="A2166" s="112" t="s">
        <v>4632</v>
      </c>
      <c r="B2166" s="112" t="s">
        <v>4644</v>
      </c>
      <c r="C2166" s="112" t="s">
        <v>695</v>
      </c>
      <c r="D2166" s="113">
        <v>10347950</v>
      </c>
      <c r="E2166" s="115">
        <v>43923</v>
      </c>
      <c r="F2166" s="114">
        <v>202101</v>
      </c>
      <c r="G2166" s="112" t="s">
        <v>1091</v>
      </c>
      <c r="H2166" s="112" t="s">
        <v>1015</v>
      </c>
      <c r="I2166" s="112" t="s">
        <v>749</v>
      </c>
      <c r="J2166" s="112" t="s">
        <v>4645</v>
      </c>
      <c r="K2166" s="112" t="s">
        <v>5127</v>
      </c>
      <c r="L2166" s="116">
        <v>2175.81</v>
      </c>
      <c r="M2166" s="116">
        <f t="shared" si="33"/>
        <v>2.1758099999999998</v>
      </c>
    </row>
    <row r="2167" spans="1:13" hidden="1" x14ac:dyDescent="0.35">
      <c r="A2167" s="112" t="s">
        <v>4632</v>
      </c>
      <c r="B2167" s="112" t="s">
        <v>4644</v>
      </c>
      <c r="C2167" s="112" t="s">
        <v>695</v>
      </c>
      <c r="D2167" s="113">
        <v>10347950</v>
      </c>
      <c r="E2167" s="115">
        <v>43923</v>
      </c>
      <c r="F2167" s="114">
        <v>202101</v>
      </c>
      <c r="G2167" s="112" t="s">
        <v>1091</v>
      </c>
      <c r="H2167" s="112" t="s">
        <v>1015</v>
      </c>
      <c r="I2167" s="112" t="s">
        <v>749</v>
      </c>
      <c r="J2167" s="112" t="s">
        <v>4645</v>
      </c>
      <c r="K2167" s="112" t="s">
        <v>5127</v>
      </c>
      <c r="L2167" s="116">
        <v>444.33</v>
      </c>
      <c r="M2167" s="116">
        <f t="shared" si="33"/>
        <v>0.44433</v>
      </c>
    </row>
    <row r="2168" spans="1:13" hidden="1" x14ac:dyDescent="0.35">
      <c r="A2168" s="112" t="s">
        <v>4632</v>
      </c>
      <c r="B2168" s="112" t="s">
        <v>4644</v>
      </c>
      <c r="C2168" s="112" t="s">
        <v>695</v>
      </c>
      <c r="D2168" s="113">
        <v>10347950</v>
      </c>
      <c r="E2168" s="115">
        <v>43923</v>
      </c>
      <c r="F2168" s="114">
        <v>202101</v>
      </c>
      <c r="G2168" s="112" t="s">
        <v>1091</v>
      </c>
      <c r="H2168" s="112" t="s">
        <v>1015</v>
      </c>
      <c r="I2168" s="112" t="s">
        <v>749</v>
      </c>
      <c r="J2168" s="112" t="s">
        <v>4645</v>
      </c>
      <c r="K2168" s="112" t="s">
        <v>5085</v>
      </c>
      <c r="L2168" s="116">
        <v>-2347.7600000000002</v>
      </c>
      <c r="M2168" s="116">
        <f t="shared" si="33"/>
        <v>-2.3477600000000001</v>
      </c>
    </row>
    <row r="2169" spans="1:13" hidden="1" x14ac:dyDescent="0.35">
      <c r="A2169" s="112" t="s">
        <v>4632</v>
      </c>
      <c r="B2169" s="112" t="s">
        <v>4644</v>
      </c>
      <c r="C2169" s="112" t="s">
        <v>695</v>
      </c>
      <c r="D2169" s="113">
        <v>10347950</v>
      </c>
      <c r="E2169" s="115">
        <v>43923</v>
      </c>
      <c r="F2169" s="114">
        <v>202101</v>
      </c>
      <c r="G2169" s="112" t="s">
        <v>1091</v>
      </c>
      <c r="H2169" s="112" t="s">
        <v>1015</v>
      </c>
      <c r="I2169" s="112" t="s">
        <v>749</v>
      </c>
      <c r="J2169" s="112" t="s">
        <v>4645</v>
      </c>
      <c r="K2169" s="112" t="s">
        <v>5077</v>
      </c>
      <c r="L2169" s="116">
        <v>-26004.02</v>
      </c>
      <c r="M2169" s="116">
        <f t="shared" si="33"/>
        <v>-26.004020000000001</v>
      </c>
    </row>
    <row r="2170" spans="1:13" hidden="1" x14ac:dyDescent="0.35">
      <c r="A2170" s="112" t="s">
        <v>4632</v>
      </c>
      <c r="B2170" s="112" t="s">
        <v>4644</v>
      </c>
      <c r="C2170" s="112" t="s">
        <v>695</v>
      </c>
      <c r="D2170" s="113">
        <v>10347950</v>
      </c>
      <c r="E2170" s="115">
        <v>43923</v>
      </c>
      <c r="F2170" s="114">
        <v>202101</v>
      </c>
      <c r="G2170" s="112" t="s">
        <v>1091</v>
      </c>
      <c r="H2170" s="112" t="s">
        <v>1015</v>
      </c>
      <c r="I2170" s="112" t="s">
        <v>749</v>
      </c>
      <c r="J2170" s="112" t="s">
        <v>4645</v>
      </c>
      <c r="K2170" s="112" t="s">
        <v>5075</v>
      </c>
      <c r="L2170" s="116">
        <v>578.07000000000005</v>
      </c>
      <c r="M2170" s="116">
        <f t="shared" si="33"/>
        <v>0.57807000000000008</v>
      </c>
    </row>
    <row r="2171" spans="1:13" hidden="1" x14ac:dyDescent="0.35">
      <c r="A2171" s="112" t="s">
        <v>4632</v>
      </c>
      <c r="B2171" s="112" t="s">
        <v>863</v>
      </c>
      <c r="C2171" s="112" t="s">
        <v>695</v>
      </c>
      <c r="D2171" s="113">
        <v>10347950</v>
      </c>
      <c r="E2171" s="115">
        <v>43923</v>
      </c>
      <c r="F2171" s="114">
        <v>202101</v>
      </c>
      <c r="G2171" s="112" t="s">
        <v>1091</v>
      </c>
      <c r="H2171" s="112" t="s">
        <v>1015</v>
      </c>
      <c r="I2171" s="112" t="s">
        <v>749</v>
      </c>
      <c r="J2171" s="112" t="s">
        <v>831</v>
      </c>
      <c r="K2171" s="112" t="s">
        <v>5128</v>
      </c>
      <c r="L2171" s="116">
        <v>52.41</v>
      </c>
      <c r="M2171" s="116">
        <f t="shared" si="33"/>
        <v>5.2409999999999998E-2</v>
      </c>
    </row>
    <row r="2172" spans="1:13" hidden="1" x14ac:dyDescent="0.35">
      <c r="A2172" s="112" t="s">
        <v>4632</v>
      </c>
      <c r="B2172" s="112" t="s">
        <v>863</v>
      </c>
      <c r="C2172" s="112" t="s">
        <v>695</v>
      </c>
      <c r="D2172" s="113">
        <v>10347950</v>
      </c>
      <c r="E2172" s="115">
        <v>43923</v>
      </c>
      <c r="F2172" s="114">
        <v>202101</v>
      </c>
      <c r="G2172" s="112" t="s">
        <v>1091</v>
      </c>
      <c r="H2172" s="112" t="s">
        <v>1015</v>
      </c>
      <c r="I2172" s="112" t="s">
        <v>749</v>
      </c>
      <c r="J2172" s="112" t="s">
        <v>835</v>
      </c>
      <c r="K2172" s="112" t="s">
        <v>4850</v>
      </c>
      <c r="L2172" s="116">
        <v>423.45</v>
      </c>
      <c r="M2172" s="116">
        <f t="shared" si="33"/>
        <v>0.42344999999999999</v>
      </c>
    </row>
    <row r="2173" spans="1:13" hidden="1" x14ac:dyDescent="0.35">
      <c r="A2173" s="112" t="s">
        <v>4632</v>
      </c>
      <c r="B2173" s="112" t="s">
        <v>4639</v>
      </c>
      <c r="C2173" s="112" t="s">
        <v>695</v>
      </c>
      <c r="D2173" s="113">
        <v>10347950</v>
      </c>
      <c r="E2173" s="115">
        <v>43923</v>
      </c>
      <c r="F2173" s="114">
        <v>202101</v>
      </c>
      <c r="G2173" s="112" t="s">
        <v>1091</v>
      </c>
      <c r="H2173" s="112" t="s">
        <v>1015</v>
      </c>
      <c r="I2173" s="112" t="s">
        <v>749</v>
      </c>
      <c r="J2173" s="112" t="s">
        <v>4640</v>
      </c>
      <c r="K2173" s="112" t="s">
        <v>4845</v>
      </c>
      <c r="L2173" s="116">
        <v>115.22</v>
      </c>
      <c r="M2173" s="116">
        <f t="shared" si="33"/>
        <v>0.11522</v>
      </c>
    </row>
    <row r="2174" spans="1:13" hidden="1" x14ac:dyDescent="0.35">
      <c r="A2174" s="112" t="s">
        <v>4632</v>
      </c>
      <c r="B2174" s="112" t="s">
        <v>4644</v>
      </c>
      <c r="C2174" s="112" t="s">
        <v>695</v>
      </c>
      <c r="D2174" s="113">
        <v>10347950</v>
      </c>
      <c r="E2174" s="115">
        <v>43923</v>
      </c>
      <c r="F2174" s="114">
        <v>202101</v>
      </c>
      <c r="G2174" s="112" t="s">
        <v>1091</v>
      </c>
      <c r="H2174" s="112" t="s">
        <v>1015</v>
      </c>
      <c r="I2174" s="112" t="s">
        <v>749</v>
      </c>
      <c r="J2174" s="112" t="s">
        <v>4645</v>
      </c>
      <c r="K2174" s="112" t="s">
        <v>4669</v>
      </c>
      <c r="L2174" s="116">
        <v>-20.51</v>
      </c>
      <c r="M2174" s="116">
        <f t="shared" si="33"/>
        <v>-2.051E-2</v>
      </c>
    </row>
    <row r="2175" spans="1:13" hidden="1" x14ac:dyDescent="0.35">
      <c r="A2175" s="112" t="s">
        <v>4632</v>
      </c>
      <c r="B2175" s="112" t="s">
        <v>4644</v>
      </c>
      <c r="C2175" s="112" t="s">
        <v>695</v>
      </c>
      <c r="D2175" s="113">
        <v>10347950</v>
      </c>
      <c r="E2175" s="115">
        <v>43923</v>
      </c>
      <c r="F2175" s="114">
        <v>202101</v>
      </c>
      <c r="G2175" s="112" t="s">
        <v>1091</v>
      </c>
      <c r="H2175" s="112" t="s">
        <v>1015</v>
      </c>
      <c r="I2175" s="112" t="s">
        <v>749</v>
      </c>
      <c r="J2175" s="112" t="s">
        <v>4645</v>
      </c>
      <c r="K2175" s="112" t="s">
        <v>4684</v>
      </c>
      <c r="L2175" s="116">
        <v>29.76</v>
      </c>
      <c r="M2175" s="116">
        <f t="shared" si="33"/>
        <v>2.9760000000000002E-2</v>
      </c>
    </row>
    <row r="2176" spans="1:13" hidden="1" x14ac:dyDescent="0.35">
      <c r="A2176" s="112" t="s">
        <v>4632</v>
      </c>
      <c r="B2176" s="112" t="s">
        <v>4639</v>
      </c>
      <c r="C2176" s="112" t="s">
        <v>695</v>
      </c>
      <c r="D2176" s="113">
        <v>10347950</v>
      </c>
      <c r="E2176" s="115">
        <v>43923</v>
      </c>
      <c r="F2176" s="114">
        <v>202101</v>
      </c>
      <c r="G2176" s="112" t="s">
        <v>1091</v>
      </c>
      <c r="H2176" s="112" t="s">
        <v>1015</v>
      </c>
      <c r="I2176" s="112" t="s">
        <v>757</v>
      </c>
      <c r="J2176" s="112" t="s">
        <v>4640</v>
      </c>
      <c r="K2176" s="112" t="s">
        <v>4843</v>
      </c>
      <c r="L2176" s="116">
        <v>38.32</v>
      </c>
      <c r="M2176" s="116">
        <f t="shared" si="33"/>
        <v>3.832E-2</v>
      </c>
    </row>
    <row r="2177" spans="1:13" hidden="1" x14ac:dyDescent="0.35">
      <c r="A2177" s="112" t="s">
        <v>4632</v>
      </c>
      <c r="B2177" s="112" t="s">
        <v>4650</v>
      </c>
      <c r="C2177" s="112" t="s">
        <v>695</v>
      </c>
      <c r="D2177" s="113">
        <v>10347950</v>
      </c>
      <c r="E2177" s="115">
        <v>43923</v>
      </c>
      <c r="F2177" s="114">
        <v>202101</v>
      </c>
      <c r="G2177" s="112" t="s">
        <v>1091</v>
      </c>
      <c r="H2177" s="112" t="s">
        <v>1015</v>
      </c>
      <c r="I2177" s="112" t="s">
        <v>757</v>
      </c>
      <c r="J2177" s="112" t="s">
        <v>4651</v>
      </c>
      <c r="K2177" s="112" t="s">
        <v>4840</v>
      </c>
      <c r="L2177" s="116">
        <v>194.32</v>
      </c>
      <c r="M2177" s="116">
        <f t="shared" si="33"/>
        <v>0.19431999999999999</v>
      </c>
    </row>
    <row r="2178" spans="1:13" hidden="1" x14ac:dyDescent="0.35">
      <c r="A2178" s="112" t="s">
        <v>4632</v>
      </c>
      <c r="B2178" s="112" t="s">
        <v>4644</v>
      </c>
      <c r="C2178" s="112" t="s">
        <v>695</v>
      </c>
      <c r="D2178" s="113">
        <v>10347950</v>
      </c>
      <c r="E2178" s="115">
        <v>43923</v>
      </c>
      <c r="F2178" s="114">
        <v>202101</v>
      </c>
      <c r="G2178" s="112" t="s">
        <v>1091</v>
      </c>
      <c r="H2178" s="112" t="s">
        <v>1015</v>
      </c>
      <c r="I2178" s="112" t="s">
        <v>757</v>
      </c>
      <c r="J2178" s="112" t="s">
        <v>4645</v>
      </c>
      <c r="K2178" s="112" t="s">
        <v>4708</v>
      </c>
      <c r="L2178" s="116">
        <v>8.99</v>
      </c>
      <c r="M2178" s="116">
        <f t="shared" si="33"/>
        <v>8.9899999999999997E-3</v>
      </c>
    </row>
    <row r="2179" spans="1:13" hidden="1" x14ac:dyDescent="0.35">
      <c r="A2179" s="112" t="s">
        <v>4632</v>
      </c>
      <c r="B2179" s="112" t="s">
        <v>4644</v>
      </c>
      <c r="C2179" s="112" t="s">
        <v>695</v>
      </c>
      <c r="D2179" s="113">
        <v>10347950</v>
      </c>
      <c r="E2179" s="115">
        <v>43923</v>
      </c>
      <c r="F2179" s="114">
        <v>202101</v>
      </c>
      <c r="G2179" s="112" t="s">
        <v>1091</v>
      </c>
      <c r="H2179" s="112" t="s">
        <v>1015</v>
      </c>
      <c r="I2179" s="112" t="s">
        <v>757</v>
      </c>
      <c r="J2179" s="112" t="s">
        <v>4645</v>
      </c>
      <c r="K2179" s="112" t="s">
        <v>4671</v>
      </c>
      <c r="L2179" s="116">
        <v>37.11</v>
      </c>
      <c r="M2179" s="116">
        <f t="shared" ref="M2179:M2242" si="34">L2179/1000</f>
        <v>3.7109999999999997E-2</v>
      </c>
    </row>
    <row r="2180" spans="1:13" hidden="1" x14ac:dyDescent="0.35">
      <c r="A2180" s="112" t="s">
        <v>4632</v>
      </c>
      <c r="B2180" s="112" t="s">
        <v>4650</v>
      </c>
      <c r="C2180" s="112" t="s">
        <v>695</v>
      </c>
      <c r="D2180" s="113">
        <v>10347950</v>
      </c>
      <c r="E2180" s="115">
        <v>43923</v>
      </c>
      <c r="F2180" s="114">
        <v>202101</v>
      </c>
      <c r="G2180" s="112" t="s">
        <v>1091</v>
      </c>
      <c r="H2180" s="112" t="s">
        <v>1015</v>
      </c>
      <c r="I2180" s="112" t="s">
        <v>757</v>
      </c>
      <c r="J2180" s="112" t="s">
        <v>4651</v>
      </c>
      <c r="K2180" s="112" t="s">
        <v>4673</v>
      </c>
      <c r="L2180" s="116">
        <v>3858.36</v>
      </c>
      <c r="M2180" s="116">
        <f t="shared" si="34"/>
        <v>3.8583600000000002</v>
      </c>
    </row>
    <row r="2181" spans="1:13" hidden="1" x14ac:dyDescent="0.35">
      <c r="A2181" s="112" t="s">
        <v>4632</v>
      </c>
      <c r="B2181" s="112" t="s">
        <v>4650</v>
      </c>
      <c r="C2181" s="112" t="s">
        <v>695</v>
      </c>
      <c r="D2181" s="113">
        <v>10347950</v>
      </c>
      <c r="E2181" s="115">
        <v>43923</v>
      </c>
      <c r="F2181" s="114">
        <v>202101</v>
      </c>
      <c r="G2181" s="112" t="s">
        <v>1091</v>
      </c>
      <c r="H2181" s="112" t="s">
        <v>1015</v>
      </c>
      <c r="I2181" s="112" t="s">
        <v>757</v>
      </c>
      <c r="J2181" s="112" t="s">
        <v>4651</v>
      </c>
      <c r="K2181" s="112" t="s">
        <v>4685</v>
      </c>
      <c r="L2181" s="116">
        <v>-582.48</v>
      </c>
      <c r="M2181" s="116">
        <f t="shared" si="34"/>
        <v>-0.58248</v>
      </c>
    </row>
    <row r="2182" spans="1:13" hidden="1" x14ac:dyDescent="0.35">
      <c r="A2182" s="112" t="s">
        <v>4632</v>
      </c>
      <c r="B2182" s="112" t="s">
        <v>4644</v>
      </c>
      <c r="C2182" s="112" t="s">
        <v>695</v>
      </c>
      <c r="D2182" s="113">
        <v>10347950</v>
      </c>
      <c r="E2182" s="115">
        <v>43923</v>
      </c>
      <c r="F2182" s="114">
        <v>202101</v>
      </c>
      <c r="G2182" s="112" t="s">
        <v>1091</v>
      </c>
      <c r="H2182" s="112" t="s">
        <v>1015</v>
      </c>
      <c r="I2182" s="112" t="s">
        <v>751</v>
      </c>
      <c r="J2182" s="112" t="s">
        <v>4645</v>
      </c>
      <c r="K2182" s="112" t="s">
        <v>4679</v>
      </c>
      <c r="L2182" s="116">
        <v>332.36</v>
      </c>
      <c r="M2182" s="116">
        <f t="shared" si="34"/>
        <v>0.33235999999999999</v>
      </c>
    </row>
    <row r="2183" spans="1:13" hidden="1" x14ac:dyDescent="0.35">
      <c r="A2183" s="112" t="s">
        <v>4632</v>
      </c>
      <c r="B2183" s="112" t="s">
        <v>4644</v>
      </c>
      <c r="C2183" s="112" t="s">
        <v>695</v>
      </c>
      <c r="D2183" s="113">
        <v>10347950</v>
      </c>
      <c r="E2183" s="115">
        <v>43923</v>
      </c>
      <c r="F2183" s="114">
        <v>202101</v>
      </c>
      <c r="G2183" s="112" t="s">
        <v>1091</v>
      </c>
      <c r="H2183" s="112" t="s">
        <v>1015</v>
      </c>
      <c r="I2183" s="112" t="s">
        <v>749</v>
      </c>
      <c r="J2183" s="112" t="s">
        <v>4645</v>
      </c>
      <c r="K2183" s="112" t="s">
        <v>4676</v>
      </c>
      <c r="L2183" s="116">
        <v>190.75</v>
      </c>
      <c r="M2183" s="116">
        <f t="shared" si="34"/>
        <v>0.19075</v>
      </c>
    </row>
    <row r="2184" spans="1:13" hidden="1" x14ac:dyDescent="0.35">
      <c r="A2184" s="112" t="s">
        <v>4632</v>
      </c>
      <c r="B2184" s="112" t="s">
        <v>4644</v>
      </c>
      <c r="C2184" s="112" t="s">
        <v>695</v>
      </c>
      <c r="D2184" s="113">
        <v>10347950</v>
      </c>
      <c r="E2184" s="115">
        <v>43923</v>
      </c>
      <c r="F2184" s="114">
        <v>202101</v>
      </c>
      <c r="G2184" s="112" t="s">
        <v>1091</v>
      </c>
      <c r="H2184" s="112" t="s">
        <v>1015</v>
      </c>
      <c r="I2184" s="112" t="s">
        <v>749</v>
      </c>
      <c r="J2184" s="112" t="s">
        <v>4645</v>
      </c>
      <c r="K2184" s="112" t="s">
        <v>5129</v>
      </c>
      <c r="L2184" s="116">
        <v>603.76</v>
      </c>
      <c r="M2184" s="116">
        <f t="shared" si="34"/>
        <v>0.60375999999999996</v>
      </c>
    </row>
    <row r="2185" spans="1:13" hidden="1" x14ac:dyDescent="0.35">
      <c r="A2185" s="112" t="s">
        <v>4632</v>
      </c>
      <c r="B2185" s="112" t="s">
        <v>4644</v>
      </c>
      <c r="C2185" s="112" t="s">
        <v>695</v>
      </c>
      <c r="D2185" s="113">
        <v>10347950</v>
      </c>
      <c r="E2185" s="115">
        <v>43923</v>
      </c>
      <c r="F2185" s="114">
        <v>202101</v>
      </c>
      <c r="G2185" s="112" t="s">
        <v>1091</v>
      </c>
      <c r="H2185" s="112" t="s">
        <v>1015</v>
      </c>
      <c r="I2185" s="112" t="s">
        <v>749</v>
      </c>
      <c r="J2185" s="112" t="s">
        <v>4645</v>
      </c>
      <c r="K2185" s="112" t="s">
        <v>5130</v>
      </c>
      <c r="L2185" s="116">
        <v>79.87</v>
      </c>
      <c r="M2185" s="116">
        <f t="shared" si="34"/>
        <v>7.987000000000001E-2</v>
      </c>
    </row>
    <row r="2186" spans="1:13" hidden="1" x14ac:dyDescent="0.35">
      <c r="A2186" s="112" t="s">
        <v>4632</v>
      </c>
      <c r="B2186" s="112" t="s">
        <v>4644</v>
      </c>
      <c r="C2186" s="112" t="s">
        <v>695</v>
      </c>
      <c r="D2186" s="113">
        <v>10347950</v>
      </c>
      <c r="E2186" s="115">
        <v>43923</v>
      </c>
      <c r="F2186" s="114">
        <v>202101</v>
      </c>
      <c r="G2186" s="112" t="s">
        <v>1091</v>
      </c>
      <c r="H2186" s="112" t="s">
        <v>1015</v>
      </c>
      <c r="I2186" s="112" t="s">
        <v>749</v>
      </c>
      <c r="J2186" s="112" t="s">
        <v>4645</v>
      </c>
      <c r="K2186" s="112" t="s">
        <v>4713</v>
      </c>
      <c r="L2186" s="116">
        <v>473.92</v>
      </c>
      <c r="M2186" s="116">
        <f t="shared" si="34"/>
        <v>0.47392000000000001</v>
      </c>
    </row>
    <row r="2187" spans="1:13" hidden="1" x14ac:dyDescent="0.35">
      <c r="A2187" s="112" t="s">
        <v>4632</v>
      </c>
      <c r="B2187" s="112" t="s">
        <v>4639</v>
      </c>
      <c r="C2187" s="112" t="s">
        <v>695</v>
      </c>
      <c r="D2187" s="113">
        <v>10347950</v>
      </c>
      <c r="E2187" s="115">
        <v>43923</v>
      </c>
      <c r="F2187" s="114">
        <v>202101</v>
      </c>
      <c r="G2187" s="112" t="s">
        <v>1091</v>
      </c>
      <c r="H2187" s="112" t="s">
        <v>1015</v>
      </c>
      <c r="I2187" s="112" t="s">
        <v>749</v>
      </c>
      <c r="J2187" s="112" t="s">
        <v>4640</v>
      </c>
      <c r="K2187" s="112" t="s">
        <v>4866</v>
      </c>
      <c r="L2187" s="116">
        <v>38.56</v>
      </c>
      <c r="M2187" s="116">
        <f t="shared" si="34"/>
        <v>3.8560000000000004E-2</v>
      </c>
    </row>
    <row r="2188" spans="1:13" hidden="1" x14ac:dyDescent="0.35">
      <c r="A2188" s="112" t="s">
        <v>4632</v>
      </c>
      <c r="B2188" s="112" t="s">
        <v>4644</v>
      </c>
      <c r="C2188" s="112" t="s">
        <v>695</v>
      </c>
      <c r="D2188" s="113">
        <v>10347950</v>
      </c>
      <c r="E2188" s="115">
        <v>43923</v>
      </c>
      <c r="F2188" s="114">
        <v>202101</v>
      </c>
      <c r="G2188" s="112" t="s">
        <v>1091</v>
      </c>
      <c r="H2188" s="112" t="s">
        <v>1015</v>
      </c>
      <c r="I2188" s="112" t="s">
        <v>749</v>
      </c>
      <c r="J2188" s="112" t="s">
        <v>4645</v>
      </c>
      <c r="K2188" s="112" t="s">
        <v>4867</v>
      </c>
      <c r="L2188" s="116">
        <v>231.53</v>
      </c>
      <c r="M2188" s="116">
        <f t="shared" si="34"/>
        <v>0.23153000000000001</v>
      </c>
    </row>
    <row r="2189" spans="1:13" hidden="1" x14ac:dyDescent="0.35">
      <c r="A2189" s="112" t="s">
        <v>4632</v>
      </c>
      <c r="B2189" s="112" t="s">
        <v>4650</v>
      </c>
      <c r="C2189" s="112" t="s">
        <v>695</v>
      </c>
      <c r="D2189" s="113">
        <v>10347950</v>
      </c>
      <c r="E2189" s="115">
        <v>43923</v>
      </c>
      <c r="F2189" s="114">
        <v>202101</v>
      </c>
      <c r="G2189" s="112" t="s">
        <v>1091</v>
      </c>
      <c r="H2189" s="112" t="s">
        <v>1015</v>
      </c>
      <c r="I2189" s="112" t="s">
        <v>749</v>
      </c>
      <c r="J2189" s="112" t="s">
        <v>4651</v>
      </c>
      <c r="K2189" s="112" t="s">
        <v>4868</v>
      </c>
      <c r="L2189" s="116">
        <v>155.22</v>
      </c>
      <c r="M2189" s="116">
        <f t="shared" si="34"/>
        <v>0.15522</v>
      </c>
    </row>
    <row r="2190" spans="1:13" hidden="1" x14ac:dyDescent="0.35">
      <c r="A2190" s="112" t="s">
        <v>4632</v>
      </c>
      <c r="B2190" s="112" t="s">
        <v>4639</v>
      </c>
      <c r="C2190" s="112" t="s">
        <v>695</v>
      </c>
      <c r="D2190" s="113">
        <v>10347950</v>
      </c>
      <c r="E2190" s="115">
        <v>43923</v>
      </c>
      <c r="F2190" s="114">
        <v>202101</v>
      </c>
      <c r="G2190" s="112" t="s">
        <v>1091</v>
      </c>
      <c r="H2190" s="112" t="s">
        <v>1015</v>
      </c>
      <c r="I2190" s="112" t="s">
        <v>751</v>
      </c>
      <c r="J2190" s="112" t="s">
        <v>4640</v>
      </c>
      <c r="K2190" s="112" t="s">
        <v>4832</v>
      </c>
      <c r="L2190" s="116">
        <v>-692.25</v>
      </c>
      <c r="M2190" s="116">
        <f t="shared" si="34"/>
        <v>-0.69225000000000003</v>
      </c>
    </row>
    <row r="2191" spans="1:13" hidden="1" x14ac:dyDescent="0.35">
      <c r="A2191" s="112" t="s">
        <v>4632</v>
      </c>
      <c r="B2191" s="112" t="s">
        <v>4644</v>
      </c>
      <c r="C2191" s="112" t="s">
        <v>695</v>
      </c>
      <c r="D2191" s="113">
        <v>10347950</v>
      </c>
      <c r="E2191" s="115">
        <v>43923</v>
      </c>
      <c r="F2191" s="114">
        <v>202101</v>
      </c>
      <c r="G2191" s="112" t="s">
        <v>1091</v>
      </c>
      <c r="H2191" s="112" t="s">
        <v>1015</v>
      </c>
      <c r="I2191" s="112" t="s">
        <v>751</v>
      </c>
      <c r="J2191" s="112" t="s">
        <v>4645</v>
      </c>
      <c r="K2191" s="112" t="s">
        <v>4862</v>
      </c>
      <c r="L2191" s="116">
        <v>66.81</v>
      </c>
      <c r="M2191" s="116">
        <f t="shared" si="34"/>
        <v>6.6810000000000008E-2</v>
      </c>
    </row>
    <row r="2192" spans="1:13" hidden="1" x14ac:dyDescent="0.35">
      <c r="A2192" s="112" t="s">
        <v>4632</v>
      </c>
      <c r="B2192" s="112" t="s">
        <v>863</v>
      </c>
      <c r="C2192" s="112" t="s">
        <v>695</v>
      </c>
      <c r="D2192" s="113">
        <v>10347950</v>
      </c>
      <c r="E2192" s="115">
        <v>43923</v>
      </c>
      <c r="F2192" s="114">
        <v>202101</v>
      </c>
      <c r="G2192" s="112" t="s">
        <v>1091</v>
      </c>
      <c r="H2192" s="112" t="s">
        <v>1015</v>
      </c>
      <c r="I2192" s="112" t="s">
        <v>757</v>
      </c>
      <c r="J2192" s="112" t="s">
        <v>815</v>
      </c>
      <c r="K2192" s="112" t="s">
        <v>4857</v>
      </c>
      <c r="L2192" s="116">
        <v>695.82</v>
      </c>
      <c r="M2192" s="116">
        <f t="shared" si="34"/>
        <v>0.69582000000000011</v>
      </c>
    </row>
    <row r="2193" spans="1:13" hidden="1" x14ac:dyDescent="0.35">
      <c r="A2193" s="112" t="s">
        <v>4632</v>
      </c>
      <c r="B2193" s="112" t="s">
        <v>4635</v>
      </c>
      <c r="C2193" s="112" t="s">
        <v>695</v>
      </c>
      <c r="D2193" s="113">
        <v>10348270</v>
      </c>
      <c r="E2193" s="115">
        <v>43937</v>
      </c>
      <c r="F2193" s="114">
        <v>202101</v>
      </c>
      <c r="G2193" s="112" t="s">
        <v>1091</v>
      </c>
      <c r="H2193" s="112" t="s">
        <v>1016</v>
      </c>
      <c r="I2193" s="112" t="s">
        <v>779</v>
      </c>
      <c r="J2193" s="112" t="s">
        <v>5133</v>
      </c>
      <c r="K2193" s="112" t="s">
        <v>5134</v>
      </c>
      <c r="L2193" s="116">
        <v>380150.26</v>
      </c>
      <c r="M2193" s="116">
        <f t="shared" si="34"/>
        <v>380.15026</v>
      </c>
    </row>
    <row r="2194" spans="1:13" hidden="1" x14ac:dyDescent="0.35">
      <c r="A2194" s="112" t="s">
        <v>4632</v>
      </c>
      <c r="B2194" s="112" t="s">
        <v>863</v>
      </c>
      <c r="C2194" s="112" t="s">
        <v>695</v>
      </c>
      <c r="D2194" s="113">
        <v>10347950</v>
      </c>
      <c r="E2194" s="115">
        <v>43923</v>
      </c>
      <c r="F2194" s="114">
        <v>202101</v>
      </c>
      <c r="G2194" s="112" t="s">
        <v>1091</v>
      </c>
      <c r="H2194" s="112" t="s">
        <v>1015</v>
      </c>
      <c r="I2194" s="112" t="s">
        <v>757</v>
      </c>
      <c r="J2194" s="112" t="s">
        <v>815</v>
      </c>
      <c r="K2194" s="112" t="s">
        <v>4856</v>
      </c>
      <c r="L2194" s="116">
        <v>412.85</v>
      </c>
      <c r="M2194" s="116">
        <f t="shared" si="34"/>
        <v>0.41285000000000005</v>
      </c>
    </row>
    <row r="2195" spans="1:13" hidden="1" x14ac:dyDescent="0.35">
      <c r="A2195" s="112" t="s">
        <v>4632</v>
      </c>
      <c r="B2195" s="112" t="s">
        <v>4650</v>
      </c>
      <c r="C2195" s="112" t="s">
        <v>695</v>
      </c>
      <c r="D2195" s="113">
        <v>10347950</v>
      </c>
      <c r="E2195" s="115">
        <v>43923</v>
      </c>
      <c r="F2195" s="114">
        <v>202101</v>
      </c>
      <c r="G2195" s="112" t="s">
        <v>1091</v>
      </c>
      <c r="H2195" s="112" t="s">
        <v>1015</v>
      </c>
      <c r="I2195" s="112" t="s">
        <v>757</v>
      </c>
      <c r="J2195" s="112" t="s">
        <v>4651</v>
      </c>
      <c r="K2195" s="112" t="s">
        <v>5135</v>
      </c>
      <c r="L2195" s="116">
        <v>1083.52</v>
      </c>
      <c r="M2195" s="116">
        <f t="shared" si="34"/>
        <v>1.08352</v>
      </c>
    </row>
    <row r="2196" spans="1:13" hidden="1" x14ac:dyDescent="0.35">
      <c r="A2196" s="112" t="s">
        <v>4632</v>
      </c>
      <c r="B2196" s="112" t="s">
        <v>4644</v>
      </c>
      <c r="C2196" s="112" t="s">
        <v>695</v>
      </c>
      <c r="D2196" s="113">
        <v>10347950</v>
      </c>
      <c r="E2196" s="115">
        <v>43923</v>
      </c>
      <c r="F2196" s="114">
        <v>202101</v>
      </c>
      <c r="G2196" s="112" t="s">
        <v>1091</v>
      </c>
      <c r="H2196" s="112" t="s">
        <v>1015</v>
      </c>
      <c r="I2196" s="112" t="s">
        <v>757</v>
      </c>
      <c r="J2196" s="112" t="s">
        <v>4645</v>
      </c>
      <c r="K2196" s="112" t="s">
        <v>4841</v>
      </c>
      <c r="L2196" s="116">
        <v>206.91</v>
      </c>
      <c r="M2196" s="116">
        <f t="shared" si="34"/>
        <v>0.20690999999999998</v>
      </c>
    </row>
    <row r="2197" spans="1:13" hidden="1" x14ac:dyDescent="0.35">
      <c r="A2197" s="112" t="s">
        <v>4632</v>
      </c>
      <c r="B2197" s="112" t="s">
        <v>4650</v>
      </c>
      <c r="C2197" s="112" t="s">
        <v>695</v>
      </c>
      <c r="D2197" s="113">
        <v>10347950</v>
      </c>
      <c r="E2197" s="115">
        <v>43923</v>
      </c>
      <c r="F2197" s="114">
        <v>202101</v>
      </c>
      <c r="G2197" s="112" t="s">
        <v>1091</v>
      </c>
      <c r="H2197" s="112" t="s">
        <v>1015</v>
      </c>
      <c r="I2197" s="112" t="s">
        <v>749</v>
      </c>
      <c r="J2197" s="112" t="s">
        <v>4651</v>
      </c>
      <c r="K2197" s="112" t="s">
        <v>5136</v>
      </c>
      <c r="L2197" s="116">
        <v>754.39</v>
      </c>
      <c r="M2197" s="116">
        <f t="shared" si="34"/>
        <v>0.75439000000000001</v>
      </c>
    </row>
    <row r="2198" spans="1:13" hidden="1" x14ac:dyDescent="0.35">
      <c r="A2198" s="112" t="s">
        <v>4632</v>
      </c>
      <c r="B2198" s="112" t="s">
        <v>4650</v>
      </c>
      <c r="C2198" s="112" t="s">
        <v>695</v>
      </c>
      <c r="D2198" s="113">
        <v>10347950</v>
      </c>
      <c r="E2198" s="115">
        <v>43923</v>
      </c>
      <c r="F2198" s="114">
        <v>202101</v>
      </c>
      <c r="G2198" s="112" t="s">
        <v>1091</v>
      </c>
      <c r="H2198" s="112" t="s">
        <v>1015</v>
      </c>
      <c r="I2198" s="112" t="s">
        <v>749</v>
      </c>
      <c r="J2198" s="112" t="s">
        <v>4651</v>
      </c>
      <c r="K2198" s="112" t="s">
        <v>5137</v>
      </c>
      <c r="L2198" s="116">
        <v>292.85000000000002</v>
      </c>
      <c r="M2198" s="116">
        <f t="shared" si="34"/>
        <v>0.29285</v>
      </c>
    </row>
    <row r="2199" spans="1:13" hidden="1" x14ac:dyDescent="0.35">
      <c r="A2199" s="112" t="s">
        <v>4632</v>
      </c>
      <c r="B2199" s="112" t="s">
        <v>4650</v>
      </c>
      <c r="C2199" s="112" t="s">
        <v>695</v>
      </c>
      <c r="D2199" s="113">
        <v>10347950</v>
      </c>
      <c r="E2199" s="115">
        <v>43923</v>
      </c>
      <c r="F2199" s="114">
        <v>202101</v>
      </c>
      <c r="G2199" s="112" t="s">
        <v>1091</v>
      </c>
      <c r="H2199" s="112" t="s">
        <v>1015</v>
      </c>
      <c r="I2199" s="112" t="s">
        <v>757</v>
      </c>
      <c r="J2199" s="112" t="s">
        <v>4651</v>
      </c>
      <c r="K2199" s="112" t="s">
        <v>5138</v>
      </c>
      <c r="L2199" s="116">
        <v>100.58</v>
      </c>
      <c r="M2199" s="116">
        <f t="shared" si="34"/>
        <v>0.10058</v>
      </c>
    </row>
    <row r="2200" spans="1:13" hidden="1" x14ac:dyDescent="0.35">
      <c r="A2200" s="112" t="s">
        <v>4632</v>
      </c>
      <c r="B2200" s="112" t="s">
        <v>4650</v>
      </c>
      <c r="C2200" s="112" t="s">
        <v>695</v>
      </c>
      <c r="D2200" s="113">
        <v>10347950</v>
      </c>
      <c r="E2200" s="115">
        <v>43923</v>
      </c>
      <c r="F2200" s="114">
        <v>202101</v>
      </c>
      <c r="G2200" s="112" t="s">
        <v>1091</v>
      </c>
      <c r="H2200" s="112" t="s">
        <v>1015</v>
      </c>
      <c r="I2200" s="112" t="s">
        <v>749</v>
      </c>
      <c r="J2200" s="112" t="s">
        <v>4651</v>
      </c>
      <c r="K2200" s="112" t="s">
        <v>5139</v>
      </c>
      <c r="L2200" s="116">
        <v>233.99</v>
      </c>
      <c r="M2200" s="116">
        <f t="shared" si="34"/>
        <v>0.23399</v>
      </c>
    </row>
    <row r="2201" spans="1:13" hidden="1" x14ac:dyDescent="0.35">
      <c r="A2201" s="112" t="s">
        <v>4632</v>
      </c>
      <c r="B2201" s="112" t="s">
        <v>4650</v>
      </c>
      <c r="C2201" s="112" t="s">
        <v>695</v>
      </c>
      <c r="D2201" s="113">
        <v>10347950</v>
      </c>
      <c r="E2201" s="115">
        <v>43923</v>
      </c>
      <c r="F2201" s="114">
        <v>202101</v>
      </c>
      <c r="G2201" s="112" t="s">
        <v>1091</v>
      </c>
      <c r="H2201" s="112" t="s">
        <v>1015</v>
      </c>
      <c r="I2201" s="112" t="s">
        <v>757</v>
      </c>
      <c r="J2201" s="112" t="s">
        <v>4651</v>
      </c>
      <c r="K2201" s="112" t="s">
        <v>4698</v>
      </c>
      <c r="L2201" s="116">
        <v>64.42</v>
      </c>
      <c r="M2201" s="116">
        <f t="shared" si="34"/>
        <v>6.4420000000000005E-2</v>
      </c>
    </row>
    <row r="2202" spans="1:13" hidden="1" x14ac:dyDescent="0.35">
      <c r="A2202" s="112" t="s">
        <v>4632</v>
      </c>
      <c r="B2202" s="112" t="s">
        <v>4644</v>
      </c>
      <c r="C2202" s="112" t="s">
        <v>695</v>
      </c>
      <c r="D2202" s="113">
        <v>10347950</v>
      </c>
      <c r="E2202" s="115">
        <v>43923</v>
      </c>
      <c r="F2202" s="114">
        <v>202101</v>
      </c>
      <c r="G2202" s="112" t="s">
        <v>1091</v>
      </c>
      <c r="H2202" s="112" t="s">
        <v>1015</v>
      </c>
      <c r="I2202" s="112" t="s">
        <v>749</v>
      </c>
      <c r="J2202" s="112" t="s">
        <v>4645</v>
      </c>
      <c r="K2202" s="112" t="s">
        <v>4871</v>
      </c>
      <c r="L2202" s="116">
        <v>163.27000000000001</v>
      </c>
      <c r="M2202" s="116">
        <f t="shared" si="34"/>
        <v>0.16327</v>
      </c>
    </row>
    <row r="2203" spans="1:13" hidden="1" x14ac:dyDescent="0.35">
      <c r="A2203" s="112" t="s">
        <v>4632</v>
      </c>
      <c r="B2203" s="112" t="s">
        <v>4644</v>
      </c>
      <c r="C2203" s="112" t="s">
        <v>695</v>
      </c>
      <c r="D2203" s="113">
        <v>10347950</v>
      </c>
      <c r="E2203" s="115">
        <v>43923</v>
      </c>
      <c r="F2203" s="114">
        <v>202101</v>
      </c>
      <c r="G2203" s="112" t="s">
        <v>1091</v>
      </c>
      <c r="H2203" s="112" t="s">
        <v>1015</v>
      </c>
      <c r="I2203" s="112" t="s">
        <v>749</v>
      </c>
      <c r="J2203" s="112" t="s">
        <v>4645</v>
      </c>
      <c r="K2203" s="112" t="s">
        <v>4870</v>
      </c>
      <c r="L2203" s="116">
        <v>-487.66</v>
      </c>
      <c r="M2203" s="116">
        <f t="shared" si="34"/>
        <v>-0.48766000000000004</v>
      </c>
    </row>
    <row r="2204" spans="1:13" hidden="1" x14ac:dyDescent="0.35">
      <c r="A2204" s="112" t="s">
        <v>4632</v>
      </c>
      <c r="B2204" s="112" t="s">
        <v>4639</v>
      </c>
      <c r="C2204" s="112" t="s">
        <v>695</v>
      </c>
      <c r="D2204" s="113">
        <v>10347950</v>
      </c>
      <c r="E2204" s="115">
        <v>43923</v>
      </c>
      <c r="F2204" s="114">
        <v>202101</v>
      </c>
      <c r="G2204" s="112" t="s">
        <v>1091</v>
      </c>
      <c r="H2204" s="112" t="s">
        <v>1015</v>
      </c>
      <c r="I2204" s="112" t="s">
        <v>751</v>
      </c>
      <c r="J2204" s="112" t="s">
        <v>4640</v>
      </c>
      <c r="K2204" s="112" t="s">
        <v>5120</v>
      </c>
      <c r="L2204" s="116">
        <v>2492.31</v>
      </c>
      <c r="M2204" s="116">
        <f t="shared" si="34"/>
        <v>2.4923099999999998</v>
      </c>
    </row>
    <row r="2205" spans="1:13" hidden="1" x14ac:dyDescent="0.35">
      <c r="A2205" s="112" t="s">
        <v>4632</v>
      </c>
      <c r="B2205" s="112" t="s">
        <v>4639</v>
      </c>
      <c r="C2205" s="112" t="s">
        <v>695</v>
      </c>
      <c r="D2205" s="113">
        <v>10347950</v>
      </c>
      <c r="E2205" s="115">
        <v>43923</v>
      </c>
      <c r="F2205" s="114">
        <v>202101</v>
      </c>
      <c r="G2205" s="112" t="s">
        <v>1091</v>
      </c>
      <c r="H2205" s="112" t="s">
        <v>1015</v>
      </c>
      <c r="I2205" s="112" t="s">
        <v>757</v>
      </c>
      <c r="J2205" s="112" t="s">
        <v>4640</v>
      </c>
      <c r="K2205" s="112" t="s">
        <v>4861</v>
      </c>
      <c r="L2205" s="116">
        <v>82.28</v>
      </c>
      <c r="M2205" s="116">
        <f t="shared" si="34"/>
        <v>8.2280000000000006E-2</v>
      </c>
    </row>
    <row r="2206" spans="1:13" hidden="1" x14ac:dyDescent="0.35">
      <c r="A2206" s="112" t="s">
        <v>4632</v>
      </c>
      <c r="B2206" s="112" t="s">
        <v>4644</v>
      </c>
      <c r="C2206" s="112" t="s">
        <v>695</v>
      </c>
      <c r="D2206" s="113">
        <v>10347950</v>
      </c>
      <c r="E2206" s="115">
        <v>43923</v>
      </c>
      <c r="F2206" s="114">
        <v>202101</v>
      </c>
      <c r="G2206" s="112" t="s">
        <v>1091</v>
      </c>
      <c r="H2206" s="112" t="s">
        <v>1015</v>
      </c>
      <c r="I2206" s="112" t="s">
        <v>757</v>
      </c>
      <c r="J2206" s="112" t="s">
        <v>4645</v>
      </c>
      <c r="K2206" s="112" t="s">
        <v>4860</v>
      </c>
      <c r="L2206" s="116">
        <v>374.62</v>
      </c>
      <c r="M2206" s="116">
        <f t="shared" si="34"/>
        <v>0.37462000000000001</v>
      </c>
    </row>
    <row r="2207" spans="1:13" hidden="1" x14ac:dyDescent="0.35">
      <c r="A2207" s="112" t="s">
        <v>4632</v>
      </c>
      <c r="B2207" s="112" t="s">
        <v>4644</v>
      </c>
      <c r="C2207" s="112" t="s">
        <v>695</v>
      </c>
      <c r="D2207" s="113">
        <v>10347950</v>
      </c>
      <c r="E2207" s="115">
        <v>43923</v>
      </c>
      <c r="F2207" s="114">
        <v>202101</v>
      </c>
      <c r="G2207" s="112" t="s">
        <v>1091</v>
      </c>
      <c r="H2207" s="112" t="s">
        <v>1015</v>
      </c>
      <c r="I2207" s="112" t="s">
        <v>757</v>
      </c>
      <c r="J2207" s="112" t="s">
        <v>4645</v>
      </c>
      <c r="K2207" s="112" t="s">
        <v>5140</v>
      </c>
      <c r="L2207" s="116">
        <v>18.13</v>
      </c>
      <c r="M2207" s="116">
        <f t="shared" si="34"/>
        <v>1.813E-2</v>
      </c>
    </row>
    <row r="2208" spans="1:13" hidden="1" x14ac:dyDescent="0.35">
      <c r="A2208" s="112" t="s">
        <v>4632</v>
      </c>
      <c r="B2208" s="112" t="s">
        <v>4650</v>
      </c>
      <c r="C2208" s="112" t="s">
        <v>695</v>
      </c>
      <c r="D2208" s="113">
        <v>10347950</v>
      </c>
      <c r="E2208" s="115">
        <v>43923</v>
      </c>
      <c r="F2208" s="114">
        <v>202101</v>
      </c>
      <c r="G2208" s="112" t="s">
        <v>1091</v>
      </c>
      <c r="H2208" s="112" t="s">
        <v>1015</v>
      </c>
      <c r="I2208" s="112" t="s">
        <v>757</v>
      </c>
      <c r="J2208" s="112" t="s">
        <v>4651</v>
      </c>
      <c r="K2208" s="112" t="s">
        <v>5141</v>
      </c>
      <c r="L2208" s="116">
        <v>2591.0300000000002</v>
      </c>
      <c r="M2208" s="116">
        <f t="shared" si="34"/>
        <v>2.5910300000000004</v>
      </c>
    </row>
    <row r="2209" spans="1:13" hidden="1" x14ac:dyDescent="0.35">
      <c r="A2209" s="112" t="s">
        <v>4632</v>
      </c>
      <c r="B2209" s="112" t="s">
        <v>4639</v>
      </c>
      <c r="C2209" s="112" t="s">
        <v>695</v>
      </c>
      <c r="D2209" s="113">
        <v>10347950</v>
      </c>
      <c r="E2209" s="115">
        <v>43923</v>
      </c>
      <c r="F2209" s="114">
        <v>202101</v>
      </c>
      <c r="G2209" s="112" t="s">
        <v>1091</v>
      </c>
      <c r="H2209" s="112" t="s">
        <v>1015</v>
      </c>
      <c r="I2209" s="112" t="s">
        <v>749</v>
      </c>
      <c r="J2209" s="112" t="s">
        <v>4640</v>
      </c>
      <c r="K2209" s="112" t="s">
        <v>4863</v>
      </c>
      <c r="L2209" s="116">
        <v>29.24</v>
      </c>
      <c r="M2209" s="116">
        <f t="shared" si="34"/>
        <v>2.9239999999999999E-2</v>
      </c>
    </row>
    <row r="2210" spans="1:13" hidden="1" x14ac:dyDescent="0.35">
      <c r="A2210" s="112" t="s">
        <v>4632</v>
      </c>
      <c r="B2210" s="112" t="s">
        <v>4639</v>
      </c>
      <c r="C2210" s="112" t="s">
        <v>695</v>
      </c>
      <c r="D2210" s="113">
        <v>10347950</v>
      </c>
      <c r="E2210" s="115">
        <v>43923</v>
      </c>
      <c r="F2210" s="114">
        <v>202101</v>
      </c>
      <c r="G2210" s="112" t="s">
        <v>1091</v>
      </c>
      <c r="H2210" s="112" t="s">
        <v>1015</v>
      </c>
      <c r="I2210" s="112" t="s">
        <v>749</v>
      </c>
      <c r="J2210" s="112" t="s">
        <v>4640</v>
      </c>
      <c r="K2210" s="112" t="s">
        <v>4855</v>
      </c>
      <c r="L2210" s="116">
        <v>1049.0999999999999</v>
      </c>
      <c r="M2210" s="116">
        <f t="shared" si="34"/>
        <v>1.0490999999999999</v>
      </c>
    </row>
    <row r="2211" spans="1:13" hidden="1" x14ac:dyDescent="0.35">
      <c r="A2211" s="112" t="s">
        <v>4632</v>
      </c>
      <c r="B2211" s="112" t="s">
        <v>4650</v>
      </c>
      <c r="C2211" s="112" t="s">
        <v>695</v>
      </c>
      <c r="D2211" s="113">
        <v>10347950</v>
      </c>
      <c r="E2211" s="115">
        <v>43923</v>
      </c>
      <c r="F2211" s="114">
        <v>202101</v>
      </c>
      <c r="G2211" s="112" t="s">
        <v>1091</v>
      </c>
      <c r="H2211" s="112" t="s">
        <v>1015</v>
      </c>
      <c r="I2211" s="112" t="s">
        <v>749</v>
      </c>
      <c r="J2211" s="112" t="s">
        <v>4651</v>
      </c>
      <c r="K2211" s="112" t="s">
        <v>5142</v>
      </c>
      <c r="L2211" s="116">
        <v>554.55999999999995</v>
      </c>
      <c r="M2211" s="116">
        <f t="shared" si="34"/>
        <v>0.55455999999999994</v>
      </c>
    </row>
    <row r="2212" spans="1:13" hidden="1" x14ac:dyDescent="0.35">
      <c r="A2212" s="112" t="s">
        <v>4632</v>
      </c>
      <c r="B2212" s="112" t="s">
        <v>4650</v>
      </c>
      <c r="C2212" s="112" t="s">
        <v>695</v>
      </c>
      <c r="D2212" s="113">
        <v>10347950</v>
      </c>
      <c r="E2212" s="115">
        <v>43923</v>
      </c>
      <c r="F2212" s="114">
        <v>202101</v>
      </c>
      <c r="G2212" s="112" t="s">
        <v>1091</v>
      </c>
      <c r="H2212" s="112" t="s">
        <v>1015</v>
      </c>
      <c r="I2212" s="112" t="s">
        <v>749</v>
      </c>
      <c r="J2212" s="112" t="s">
        <v>4651</v>
      </c>
      <c r="K2212" s="112" t="s">
        <v>5143</v>
      </c>
      <c r="L2212" s="116">
        <v>-554.55999999999995</v>
      </c>
      <c r="M2212" s="116">
        <f t="shared" si="34"/>
        <v>-0.55455999999999994</v>
      </c>
    </row>
    <row r="2213" spans="1:13" hidden="1" x14ac:dyDescent="0.35">
      <c r="A2213" s="112" t="s">
        <v>4632</v>
      </c>
      <c r="B2213" s="112" t="s">
        <v>4650</v>
      </c>
      <c r="C2213" s="112" t="s">
        <v>695</v>
      </c>
      <c r="D2213" s="113">
        <v>10347950</v>
      </c>
      <c r="E2213" s="115">
        <v>43923</v>
      </c>
      <c r="F2213" s="114">
        <v>202101</v>
      </c>
      <c r="G2213" s="112" t="s">
        <v>1091</v>
      </c>
      <c r="H2213" s="112" t="s">
        <v>1015</v>
      </c>
      <c r="I2213" s="112" t="s">
        <v>749</v>
      </c>
      <c r="J2213" s="112" t="s">
        <v>4651</v>
      </c>
      <c r="K2213" s="112" t="s">
        <v>5144</v>
      </c>
      <c r="L2213" s="116">
        <v>508.84</v>
      </c>
      <c r="M2213" s="116">
        <f t="shared" si="34"/>
        <v>0.50883999999999996</v>
      </c>
    </row>
    <row r="2214" spans="1:13" hidden="1" x14ac:dyDescent="0.35">
      <c r="A2214" s="112" t="s">
        <v>4632</v>
      </c>
      <c r="B2214" s="112" t="s">
        <v>4650</v>
      </c>
      <c r="C2214" s="112" t="s">
        <v>695</v>
      </c>
      <c r="D2214" s="113">
        <v>10347950</v>
      </c>
      <c r="E2214" s="115">
        <v>43923</v>
      </c>
      <c r="F2214" s="114">
        <v>202101</v>
      </c>
      <c r="G2214" s="112" t="s">
        <v>1091</v>
      </c>
      <c r="H2214" s="112" t="s">
        <v>1015</v>
      </c>
      <c r="I2214" s="112" t="s">
        <v>749</v>
      </c>
      <c r="J2214" s="112" t="s">
        <v>4651</v>
      </c>
      <c r="K2214" s="112" t="s">
        <v>5145</v>
      </c>
      <c r="L2214" s="116">
        <v>4066.18</v>
      </c>
      <c r="M2214" s="116">
        <f t="shared" si="34"/>
        <v>4.0661800000000001</v>
      </c>
    </row>
    <row r="2215" spans="1:13" hidden="1" x14ac:dyDescent="0.35">
      <c r="A2215" s="112" t="s">
        <v>4632</v>
      </c>
      <c r="B2215" s="112" t="s">
        <v>4644</v>
      </c>
      <c r="C2215" s="112" t="s">
        <v>695</v>
      </c>
      <c r="D2215" s="113">
        <v>10347950</v>
      </c>
      <c r="E2215" s="115">
        <v>43923</v>
      </c>
      <c r="F2215" s="114">
        <v>202101</v>
      </c>
      <c r="G2215" s="112" t="s">
        <v>1091</v>
      </c>
      <c r="H2215" s="112" t="s">
        <v>1015</v>
      </c>
      <c r="I2215" s="112" t="s">
        <v>749</v>
      </c>
      <c r="J2215" s="112" t="s">
        <v>4645</v>
      </c>
      <c r="K2215" s="112" t="s">
        <v>5080</v>
      </c>
      <c r="L2215" s="116">
        <v>109.92</v>
      </c>
      <c r="M2215" s="116">
        <f t="shared" si="34"/>
        <v>0.10992</v>
      </c>
    </row>
    <row r="2216" spans="1:13" hidden="1" x14ac:dyDescent="0.35">
      <c r="A2216" s="112" t="s">
        <v>4632</v>
      </c>
      <c r="B2216" s="112" t="s">
        <v>4644</v>
      </c>
      <c r="C2216" s="112" t="s">
        <v>695</v>
      </c>
      <c r="D2216" s="113">
        <v>10347950</v>
      </c>
      <c r="E2216" s="115">
        <v>43923</v>
      </c>
      <c r="F2216" s="114">
        <v>202101</v>
      </c>
      <c r="G2216" s="112" t="s">
        <v>1091</v>
      </c>
      <c r="H2216" s="112" t="s">
        <v>1015</v>
      </c>
      <c r="I2216" s="112" t="s">
        <v>749</v>
      </c>
      <c r="J2216" s="112" t="s">
        <v>4645</v>
      </c>
      <c r="K2216" s="112" t="s">
        <v>4714</v>
      </c>
      <c r="L2216" s="116">
        <v>64.55</v>
      </c>
      <c r="M2216" s="116">
        <f t="shared" si="34"/>
        <v>6.4549999999999996E-2</v>
      </c>
    </row>
    <row r="2217" spans="1:13" hidden="1" x14ac:dyDescent="0.35">
      <c r="A2217" s="112" t="s">
        <v>4632</v>
      </c>
      <c r="B2217" s="112" t="s">
        <v>4644</v>
      </c>
      <c r="C2217" s="112" t="s">
        <v>695</v>
      </c>
      <c r="D2217" s="113">
        <v>10347950</v>
      </c>
      <c r="E2217" s="115">
        <v>43923</v>
      </c>
      <c r="F2217" s="114">
        <v>202101</v>
      </c>
      <c r="G2217" s="112" t="s">
        <v>1091</v>
      </c>
      <c r="H2217" s="112" t="s">
        <v>1015</v>
      </c>
      <c r="I2217" s="112" t="s">
        <v>749</v>
      </c>
      <c r="J2217" s="112" t="s">
        <v>4645</v>
      </c>
      <c r="K2217" s="112" t="s">
        <v>4715</v>
      </c>
      <c r="L2217" s="116">
        <v>1014.81</v>
      </c>
      <c r="M2217" s="116">
        <f t="shared" si="34"/>
        <v>1.01481</v>
      </c>
    </row>
    <row r="2218" spans="1:13" hidden="1" x14ac:dyDescent="0.35">
      <c r="A2218" s="112" t="s">
        <v>4632</v>
      </c>
      <c r="B2218" s="112" t="s">
        <v>4644</v>
      </c>
      <c r="C2218" s="112" t="s">
        <v>695</v>
      </c>
      <c r="D2218" s="113">
        <v>10347950</v>
      </c>
      <c r="E2218" s="115">
        <v>43923</v>
      </c>
      <c r="F2218" s="114">
        <v>202101</v>
      </c>
      <c r="G2218" s="112" t="s">
        <v>1091</v>
      </c>
      <c r="H2218" s="112" t="s">
        <v>1015</v>
      </c>
      <c r="I2218" s="112" t="s">
        <v>749</v>
      </c>
      <c r="J2218" s="112" t="s">
        <v>4645</v>
      </c>
      <c r="K2218" s="112" t="s">
        <v>4786</v>
      </c>
      <c r="L2218" s="116">
        <v>256.33</v>
      </c>
      <c r="M2218" s="116">
        <f t="shared" si="34"/>
        <v>0.25633</v>
      </c>
    </row>
    <row r="2219" spans="1:13" hidden="1" x14ac:dyDescent="0.35">
      <c r="A2219" s="112" t="s">
        <v>4632</v>
      </c>
      <c r="B2219" s="112" t="s">
        <v>4644</v>
      </c>
      <c r="C2219" s="112" t="s">
        <v>695</v>
      </c>
      <c r="D2219" s="113">
        <v>10347950</v>
      </c>
      <c r="E2219" s="115">
        <v>43923</v>
      </c>
      <c r="F2219" s="114">
        <v>202101</v>
      </c>
      <c r="G2219" s="112" t="s">
        <v>1091</v>
      </c>
      <c r="H2219" s="112" t="s">
        <v>1015</v>
      </c>
      <c r="I2219" s="112" t="s">
        <v>749</v>
      </c>
      <c r="J2219" s="112" t="s">
        <v>4645</v>
      </c>
      <c r="K2219" s="112" t="s">
        <v>5146</v>
      </c>
      <c r="L2219" s="116">
        <v>40.159999999999997</v>
      </c>
      <c r="M2219" s="116">
        <f t="shared" si="34"/>
        <v>4.0159999999999994E-2</v>
      </c>
    </row>
    <row r="2220" spans="1:13" hidden="1" x14ac:dyDescent="0.35">
      <c r="A2220" s="112" t="s">
        <v>4632</v>
      </c>
      <c r="B2220" s="112" t="s">
        <v>4644</v>
      </c>
      <c r="C2220" s="112" t="s">
        <v>695</v>
      </c>
      <c r="D2220" s="113">
        <v>10347950</v>
      </c>
      <c r="E2220" s="115">
        <v>43923</v>
      </c>
      <c r="F2220" s="114">
        <v>202101</v>
      </c>
      <c r="G2220" s="112" t="s">
        <v>1091</v>
      </c>
      <c r="H2220" s="112" t="s">
        <v>1015</v>
      </c>
      <c r="I2220" s="112" t="s">
        <v>749</v>
      </c>
      <c r="J2220" s="112" t="s">
        <v>4645</v>
      </c>
      <c r="K2220" s="112" t="s">
        <v>5147</v>
      </c>
      <c r="L2220" s="116">
        <v>-78.62</v>
      </c>
      <c r="M2220" s="116">
        <f t="shared" si="34"/>
        <v>-7.8620000000000009E-2</v>
      </c>
    </row>
    <row r="2221" spans="1:13" hidden="1" x14ac:dyDescent="0.35">
      <c r="A2221" s="112" t="s">
        <v>4632</v>
      </c>
      <c r="B2221" s="112" t="s">
        <v>4639</v>
      </c>
      <c r="C2221" s="112" t="s">
        <v>695</v>
      </c>
      <c r="D2221" s="113">
        <v>10347950</v>
      </c>
      <c r="E2221" s="115">
        <v>43923</v>
      </c>
      <c r="F2221" s="114">
        <v>202101</v>
      </c>
      <c r="G2221" s="112" t="s">
        <v>1091</v>
      </c>
      <c r="H2221" s="112" t="s">
        <v>1015</v>
      </c>
      <c r="I2221" s="112" t="s">
        <v>751</v>
      </c>
      <c r="J2221" s="112" t="s">
        <v>4640</v>
      </c>
      <c r="K2221" s="112" t="s">
        <v>4835</v>
      </c>
      <c r="L2221" s="116">
        <v>145.91</v>
      </c>
      <c r="M2221" s="116">
        <f t="shared" si="34"/>
        <v>0.14590999999999998</v>
      </c>
    </row>
    <row r="2222" spans="1:13" hidden="1" x14ac:dyDescent="0.35">
      <c r="A2222" s="112" t="s">
        <v>4632</v>
      </c>
      <c r="B2222" s="112" t="s">
        <v>4639</v>
      </c>
      <c r="C2222" s="112" t="s">
        <v>695</v>
      </c>
      <c r="D2222" s="113">
        <v>10347950</v>
      </c>
      <c r="E2222" s="115">
        <v>43923</v>
      </c>
      <c r="F2222" s="114">
        <v>202101</v>
      </c>
      <c r="G2222" s="112" t="s">
        <v>1091</v>
      </c>
      <c r="H2222" s="112" t="s">
        <v>1015</v>
      </c>
      <c r="I2222" s="112" t="s">
        <v>751</v>
      </c>
      <c r="J2222" s="112" t="s">
        <v>4640</v>
      </c>
      <c r="K2222" s="112" t="s">
        <v>4834</v>
      </c>
      <c r="L2222" s="116">
        <v>91.16</v>
      </c>
      <c r="M2222" s="116">
        <f t="shared" si="34"/>
        <v>9.1159999999999991E-2</v>
      </c>
    </row>
    <row r="2223" spans="1:13" hidden="1" x14ac:dyDescent="0.35">
      <c r="A2223" s="112" t="s">
        <v>4632</v>
      </c>
      <c r="B2223" s="112" t="s">
        <v>4639</v>
      </c>
      <c r="C2223" s="112" t="s">
        <v>695</v>
      </c>
      <c r="D2223" s="113">
        <v>10347950</v>
      </c>
      <c r="E2223" s="115">
        <v>43923</v>
      </c>
      <c r="F2223" s="114">
        <v>202101</v>
      </c>
      <c r="G2223" s="112" t="s">
        <v>1091</v>
      </c>
      <c r="H2223" s="112" t="s">
        <v>1015</v>
      </c>
      <c r="I2223" s="112" t="s">
        <v>751</v>
      </c>
      <c r="J2223" s="112" t="s">
        <v>4640</v>
      </c>
      <c r="K2223" s="112" t="s">
        <v>4833</v>
      </c>
      <c r="L2223" s="116">
        <v>-1323.69</v>
      </c>
      <c r="M2223" s="116">
        <f t="shared" si="34"/>
        <v>-1.32369</v>
      </c>
    </row>
    <row r="2224" spans="1:13" hidden="1" x14ac:dyDescent="0.35">
      <c r="A2224" s="112" t="s">
        <v>4632</v>
      </c>
      <c r="B2224" s="112" t="s">
        <v>863</v>
      </c>
      <c r="C2224" s="112" t="s">
        <v>695</v>
      </c>
      <c r="D2224" s="113">
        <v>10347950</v>
      </c>
      <c r="E2224" s="115">
        <v>43923</v>
      </c>
      <c r="F2224" s="114">
        <v>202101</v>
      </c>
      <c r="G2224" s="112" t="s">
        <v>1091</v>
      </c>
      <c r="H2224" s="112" t="s">
        <v>1015</v>
      </c>
      <c r="I2224" s="112" t="s">
        <v>751</v>
      </c>
      <c r="J2224" s="112" t="s">
        <v>787</v>
      </c>
      <c r="K2224" s="112" t="s">
        <v>4686</v>
      </c>
      <c r="L2224" s="116">
        <v>3857.55</v>
      </c>
      <c r="M2224" s="116">
        <f t="shared" si="34"/>
        <v>3.8575500000000003</v>
      </c>
    </row>
    <row r="2225" spans="1:13" hidden="1" x14ac:dyDescent="0.35">
      <c r="A2225" s="112" t="s">
        <v>4632</v>
      </c>
      <c r="B2225" s="112" t="s">
        <v>863</v>
      </c>
      <c r="C2225" s="112" t="s">
        <v>695</v>
      </c>
      <c r="D2225" s="113">
        <v>10347950</v>
      </c>
      <c r="E2225" s="115">
        <v>43923</v>
      </c>
      <c r="F2225" s="114">
        <v>202101</v>
      </c>
      <c r="G2225" s="112" t="s">
        <v>1091</v>
      </c>
      <c r="H2225" s="112" t="s">
        <v>1015</v>
      </c>
      <c r="I2225" s="112" t="s">
        <v>749</v>
      </c>
      <c r="J2225" s="112" t="s">
        <v>787</v>
      </c>
      <c r="K2225" s="112" t="s">
        <v>5148</v>
      </c>
      <c r="L2225" s="116">
        <v>852.01</v>
      </c>
      <c r="M2225" s="116">
        <f t="shared" si="34"/>
        <v>0.85201000000000005</v>
      </c>
    </row>
    <row r="2226" spans="1:13" hidden="1" x14ac:dyDescent="0.35">
      <c r="A2226" s="112" t="s">
        <v>4632</v>
      </c>
      <c r="B2226" s="112" t="s">
        <v>4650</v>
      </c>
      <c r="C2226" s="112" t="s">
        <v>695</v>
      </c>
      <c r="D2226" s="113">
        <v>10347950</v>
      </c>
      <c r="E2226" s="115">
        <v>43923</v>
      </c>
      <c r="F2226" s="114">
        <v>202101</v>
      </c>
      <c r="G2226" s="112" t="s">
        <v>1091</v>
      </c>
      <c r="H2226" s="112" t="s">
        <v>1015</v>
      </c>
      <c r="I2226" s="112" t="s">
        <v>749</v>
      </c>
      <c r="J2226" s="112" t="s">
        <v>4651</v>
      </c>
      <c r="K2226" s="112" t="s">
        <v>5149</v>
      </c>
      <c r="L2226" s="116">
        <v>84.72</v>
      </c>
      <c r="M2226" s="116">
        <f t="shared" si="34"/>
        <v>8.4720000000000004E-2</v>
      </c>
    </row>
    <row r="2227" spans="1:13" hidden="1" x14ac:dyDescent="0.35">
      <c r="A2227" s="112" t="s">
        <v>4632</v>
      </c>
      <c r="B2227" s="112" t="s">
        <v>4644</v>
      </c>
      <c r="C2227" s="112" t="s">
        <v>695</v>
      </c>
      <c r="D2227" s="113">
        <v>10347950</v>
      </c>
      <c r="E2227" s="115">
        <v>43923</v>
      </c>
      <c r="F2227" s="114">
        <v>202101</v>
      </c>
      <c r="G2227" s="112" t="s">
        <v>1091</v>
      </c>
      <c r="H2227" s="112" t="s">
        <v>1015</v>
      </c>
      <c r="I2227" s="112" t="s">
        <v>749</v>
      </c>
      <c r="J2227" s="112" t="s">
        <v>4645</v>
      </c>
      <c r="K2227" s="112" t="s">
        <v>5076</v>
      </c>
      <c r="L2227" s="116">
        <v>333.41</v>
      </c>
      <c r="M2227" s="116">
        <f t="shared" si="34"/>
        <v>0.33341000000000004</v>
      </c>
    </row>
    <row r="2228" spans="1:13" hidden="1" x14ac:dyDescent="0.35">
      <c r="A2228" s="112" t="s">
        <v>4632</v>
      </c>
      <c r="B2228" s="112" t="s">
        <v>4644</v>
      </c>
      <c r="C2228" s="112" t="s">
        <v>695</v>
      </c>
      <c r="D2228" s="113">
        <v>10347950</v>
      </c>
      <c r="E2228" s="115">
        <v>43923</v>
      </c>
      <c r="F2228" s="114">
        <v>202101</v>
      </c>
      <c r="G2228" s="112" t="s">
        <v>1091</v>
      </c>
      <c r="H2228" s="112" t="s">
        <v>1015</v>
      </c>
      <c r="I2228" s="112" t="s">
        <v>757</v>
      </c>
      <c r="J2228" s="112" t="s">
        <v>4645</v>
      </c>
      <c r="K2228" s="112" t="s">
        <v>5150</v>
      </c>
      <c r="L2228" s="116">
        <v>73.930000000000007</v>
      </c>
      <c r="M2228" s="116">
        <f t="shared" si="34"/>
        <v>7.393000000000001E-2</v>
      </c>
    </row>
    <row r="2229" spans="1:13" hidden="1" x14ac:dyDescent="0.35">
      <c r="A2229" s="112" t="s">
        <v>4632</v>
      </c>
      <c r="B2229" s="112" t="s">
        <v>4644</v>
      </c>
      <c r="C2229" s="112" t="s">
        <v>695</v>
      </c>
      <c r="D2229" s="113">
        <v>10347950</v>
      </c>
      <c r="E2229" s="115">
        <v>43923</v>
      </c>
      <c r="F2229" s="114">
        <v>202101</v>
      </c>
      <c r="G2229" s="112" t="s">
        <v>1091</v>
      </c>
      <c r="H2229" s="112" t="s">
        <v>1015</v>
      </c>
      <c r="I2229" s="112" t="s">
        <v>757</v>
      </c>
      <c r="J2229" s="112" t="s">
        <v>4645</v>
      </c>
      <c r="K2229" s="112" t="s">
        <v>5068</v>
      </c>
      <c r="L2229" s="116">
        <v>62.03</v>
      </c>
      <c r="M2229" s="116">
        <f t="shared" si="34"/>
        <v>6.2030000000000002E-2</v>
      </c>
    </row>
    <row r="2230" spans="1:13" hidden="1" x14ac:dyDescent="0.35">
      <c r="A2230" s="112" t="s">
        <v>4632</v>
      </c>
      <c r="B2230" s="112" t="s">
        <v>863</v>
      </c>
      <c r="C2230" s="112" t="s">
        <v>695</v>
      </c>
      <c r="D2230" s="113">
        <v>10347950</v>
      </c>
      <c r="E2230" s="115">
        <v>43923</v>
      </c>
      <c r="F2230" s="114">
        <v>202101</v>
      </c>
      <c r="G2230" s="112" t="s">
        <v>1091</v>
      </c>
      <c r="H2230" s="112" t="s">
        <v>1015</v>
      </c>
      <c r="I2230" s="112" t="s">
        <v>757</v>
      </c>
      <c r="J2230" s="112" t="s">
        <v>856</v>
      </c>
      <c r="K2230" s="112" t="s">
        <v>5066</v>
      </c>
      <c r="L2230" s="116">
        <v>161.77000000000001</v>
      </c>
      <c r="M2230" s="116">
        <f t="shared" si="34"/>
        <v>0.16177</v>
      </c>
    </row>
    <row r="2231" spans="1:13" hidden="1" x14ac:dyDescent="0.35">
      <c r="A2231" s="112" t="s">
        <v>4632</v>
      </c>
      <c r="B2231" s="112" t="s">
        <v>4644</v>
      </c>
      <c r="C2231" s="112" t="s">
        <v>695</v>
      </c>
      <c r="D2231" s="113">
        <v>10347950</v>
      </c>
      <c r="E2231" s="115">
        <v>43923</v>
      </c>
      <c r="F2231" s="114">
        <v>202101</v>
      </c>
      <c r="G2231" s="112" t="s">
        <v>1091</v>
      </c>
      <c r="H2231" s="112" t="s">
        <v>1015</v>
      </c>
      <c r="I2231" s="112" t="s">
        <v>757</v>
      </c>
      <c r="J2231" s="112" t="s">
        <v>4645</v>
      </c>
      <c r="K2231" s="112" t="s">
        <v>5074</v>
      </c>
      <c r="L2231" s="116">
        <v>90.95</v>
      </c>
      <c r="M2231" s="116">
        <f t="shared" si="34"/>
        <v>9.0950000000000003E-2</v>
      </c>
    </row>
    <row r="2232" spans="1:13" hidden="1" x14ac:dyDescent="0.35">
      <c r="A2232" s="112" t="s">
        <v>4632</v>
      </c>
      <c r="B2232" s="112" t="s">
        <v>4644</v>
      </c>
      <c r="C2232" s="112" t="s">
        <v>695</v>
      </c>
      <c r="D2232" s="113">
        <v>10347950</v>
      </c>
      <c r="E2232" s="115">
        <v>43923</v>
      </c>
      <c r="F2232" s="114">
        <v>202101</v>
      </c>
      <c r="G2232" s="112" t="s">
        <v>1091</v>
      </c>
      <c r="H2232" s="112" t="s">
        <v>1015</v>
      </c>
      <c r="I2232" s="112" t="s">
        <v>757</v>
      </c>
      <c r="J2232" s="112" t="s">
        <v>4645</v>
      </c>
      <c r="K2232" s="112" t="s">
        <v>5151</v>
      </c>
      <c r="L2232" s="116">
        <v>522.59</v>
      </c>
      <c r="M2232" s="116">
        <f t="shared" si="34"/>
        <v>0.52259</v>
      </c>
    </row>
    <row r="2233" spans="1:13" hidden="1" x14ac:dyDescent="0.35">
      <c r="A2233" s="112" t="s">
        <v>4632</v>
      </c>
      <c r="B2233" s="112" t="s">
        <v>4644</v>
      </c>
      <c r="C2233" s="112" t="s">
        <v>695</v>
      </c>
      <c r="D2233" s="113">
        <v>10347950</v>
      </c>
      <c r="E2233" s="115">
        <v>43923</v>
      </c>
      <c r="F2233" s="114">
        <v>202101</v>
      </c>
      <c r="G2233" s="112" t="s">
        <v>1091</v>
      </c>
      <c r="H2233" s="112" t="s">
        <v>1015</v>
      </c>
      <c r="I2233" s="112" t="s">
        <v>749</v>
      </c>
      <c r="J2233" s="112" t="s">
        <v>4645</v>
      </c>
      <c r="K2233" s="112" t="s">
        <v>5080</v>
      </c>
      <c r="L2233" s="116">
        <v>735.18</v>
      </c>
      <c r="M2233" s="116">
        <f t="shared" si="34"/>
        <v>0.73517999999999994</v>
      </c>
    </row>
    <row r="2234" spans="1:13" hidden="1" x14ac:dyDescent="0.35">
      <c r="A2234" s="112" t="s">
        <v>4632</v>
      </c>
      <c r="B2234" s="112" t="s">
        <v>4644</v>
      </c>
      <c r="C2234" s="112" t="s">
        <v>695</v>
      </c>
      <c r="D2234" s="113">
        <v>10347950</v>
      </c>
      <c r="E2234" s="115">
        <v>43923</v>
      </c>
      <c r="F2234" s="114">
        <v>202101</v>
      </c>
      <c r="G2234" s="112" t="s">
        <v>1091</v>
      </c>
      <c r="H2234" s="112" t="s">
        <v>1015</v>
      </c>
      <c r="I2234" s="112" t="s">
        <v>749</v>
      </c>
      <c r="J2234" s="112" t="s">
        <v>4645</v>
      </c>
      <c r="K2234" s="112" t="s">
        <v>5081</v>
      </c>
      <c r="L2234" s="116">
        <v>1499.15</v>
      </c>
      <c r="M2234" s="116">
        <f t="shared" si="34"/>
        <v>1.49915</v>
      </c>
    </row>
    <row r="2235" spans="1:13" hidden="1" x14ac:dyDescent="0.35">
      <c r="A2235" s="112" t="s">
        <v>4632</v>
      </c>
      <c r="B2235" s="112" t="s">
        <v>863</v>
      </c>
      <c r="C2235" s="112" t="s">
        <v>695</v>
      </c>
      <c r="D2235" s="113">
        <v>10347950</v>
      </c>
      <c r="E2235" s="115">
        <v>43923</v>
      </c>
      <c r="F2235" s="114">
        <v>202101</v>
      </c>
      <c r="G2235" s="112" t="s">
        <v>1091</v>
      </c>
      <c r="H2235" s="112" t="s">
        <v>1015</v>
      </c>
      <c r="I2235" s="112" t="s">
        <v>749</v>
      </c>
      <c r="J2235" s="112" t="s">
        <v>790</v>
      </c>
      <c r="K2235" s="112" t="s">
        <v>5152</v>
      </c>
      <c r="L2235" s="116">
        <v>360.95</v>
      </c>
      <c r="M2235" s="116">
        <f t="shared" si="34"/>
        <v>0.36094999999999999</v>
      </c>
    </row>
    <row r="2236" spans="1:13" hidden="1" x14ac:dyDescent="0.35">
      <c r="A2236" s="112" t="s">
        <v>4632</v>
      </c>
      <c r="B2236" s="112" t="s">
        <v>863</v>
      </c>
      <c r="C2236" s="112" t="s">
        <v>695</v>
      </c>
      <c r="D2236" s="113">
        <v>10347950</v>
      </c>
      <c r="E2236" s="115">
        <v>43923</v>
      </c>
      <c r="F2236" s="114">
        <v>202101</v>
      </c>
      <c r="G2236" s="112" t="s">
        <v>1091</v>
      </c>
      <c r="H2236" s="112" t="s">
        <v>1015</v>
      </c>
      <c r="I2236" s="112" t="s">
        <v>749</v>
      </c>
      <c r="J2236" s="112" t="s">
        <v>852</v>
      </c>
      <c r="K2236" s="112" t="s">
        <v>4677</v>
      </c>
      <c r="L2236" s="116">
        <v>39.340000000000003</v>
      </c>
      <c r="M2236" s="116">
        <f t="shared" si="34"/>
        <v>3.934E-2</v>
      </c>
    </row>
    <row r="2237" spans="1:13" hidden="1" x14ac:dyDescent="0.35">
      <c r="A2237" s="112" t="s">
        <v>4632</v>
      </c>
      <c r="B2237" s="112" t="s">
        <v>4650</v>
      </c>
      <c r="C2237" s="112" t="s">
        <v>695</v>
      </c>
      <c r="D2237" s="113">
        <v>10347950</v>
      </c>
      <c r="E2237" s="115">
        <v>43923</v>
      </c>
      <c r="F2237" s="114">
        <v>202101</v>
      </c>
      <c r="G2237" s="112" t="s">
        <v>1091</v>
      </c>
      <c r="H2237" s="112" t="s">
        <v>1015</v>
      </c>
      <c r="I2237" s="112" t="s">
        <v>749</v>
      </c>
      <c r="J2237" s="112" t="s">
        <v>4651</v>
      </c>
      <c r="K2237" s="112" t="s">
        <v>5038</v>
      </c>
      <c r="L2237" s="116">
        <v>39.409999999999997</v>
      </c>
      <c r="M2237" s="116">
        <f t="shared" si="34"/>
        <v>3.9409999999999994E-2</v>
      </c>
    </row>
    <row r="2238" spans="1:13" hidden="1" x14ac:dyDescent="0.35">
      <c r="A2238" s="112" t="s">
        <v>4632</v>
      </c>
      <c r="B2238" s="112" t="s">
        <v>4644</v>
      </c>
      <c r="C2238" s="112" t="s">
        <v>695</v>
      </c>
      <c r="D2238" s="113">
        <v>10347950</v>
      </c>
      <c r="E2238" s="115">
        <v>43923</v>
      </c>
      <c r="F2238" s="114">
        <v>202101</v>
      </c>
      <c r="G2238" s="112" t="s">
        <v>1091</v>
      </c>
      <c r="H2238" s="112" t="s">
        <v>1015</v>
      </c>
      <c r="I2238" s="112" t="s">
        <v>749</v>
      </c>
      <c r="J2238" s="112" t="s">
        <v>4645</v>
      </c>
      <c r="K2238" s="112" t="s">
        <v>4675</v>
      </c>
      <c r="L2238" s="116">
        <v>73.930000000000007</v>
      </c>
      <c r="M2238" s="116">
        <f t="shared" si="34"/>
        <v>7.393000000000001E-2</v>
      </c>
    </row>
    <row r="2239" spans="1:13" hidden="1" x14ac:dyDescent="0.35">
      <c r="A2239" s="112" t="s">
        <v>4632</v>
      </c>
      <c r="B2239" s="112" t="s">
        <v>4644</v>
      </c>
      <c r="C2239" s="112" t="s">
        <v>695</v>
      </c>
      <c r="D2239" s="113">
        <v>10347950</v>
      </c>
      <c r="E2239" s="115">
        <v>43923</v>
      </c>
      <c r="F2239" s="114">
        <v>202101</v>
      </c>
      <c r="G2239" s="112" t="s">
        <v>1091</v>
      </c>
      <c r="H2239" s="112" t="s">
        <v>1015</v>
      </c>
      <c r="I2239" s="112" t="s">
        <v>749</v>
      </c>
      <c r="J2239" s="112" t="s">
        <v>4645</v>
      </c>
      <c r="K2239" s="112" t="s">
        <v>5076</v>
      </c>
      <c r="L2239" s="116">
        <v>133.04</v>
      </c>
      <c r="M2239" s="116">
        <f t="shared" si="34"/>
        <v>0.13303999999999999</v>
      </c>
    </row>
    <row r="2240" spans="1:13" hidden="1" x14ac:dyDescent="0.35">
      <c r="A2240" s="112" t="s">
        <v>4632</v>
      </c>
      <c r="B2240" s="112" t="s">
        <v>863</v>
      </c>
      <c r="C2240" s="112" t="s">
        <v>695</v>
      </c>
      <c r="D2240" s="113">
        <v>10347950</v>
      </c>
      <c r="E2240" s="115">
        <v>43923</v>
      </c>
      <c r="F2240" s="114">
        <v>202101</v>
      </c>
      <c r="G2240" s="112" t="s">
        <v>1091</v>
      </c>
      <c r="H2240" s="112" t="s">
        <v>1015</v>
      </c>
      <c r="I2240" s="112" t="s">
        <v>757</v>
      </c>
      <c r="J2240" s="112" t="s">
        <v>787</v>
      </c>
      <c r="K2240" s="112" t="s">
        <v>5121</v>
      </c>
      <c r="L2240" s="116">
        <v>1488.76</v>
      </c>
      <c r="M2240" s="116">
        <f t="shared" si="34"/>
        <v>1.4887600000000001</v>
      </c>
    </row>
    <row r="2241" spans="1:13" hidden="1" x14ac:dyDescent="0.35">
      <c r="A2241" s="112" t="s">
        <v>4632</v>
      </c>
      <c r="B2241" s="112" t="s">
        <v>4644</v>
      </c>
      <c r="C2241" s="112" t="s">
        <v>695</v>
      </c>
      <c r="D2241" s="113">
        <v>10347950</v>
      </c>
      <c r="E2241" s="115">
        <v>43923</v>
      </c>
      <c r="F2241" s="114">
        <v>202101</v>
      </c>
      <c r="G2241" s="112" t="s">
        <v>1091</v>
      </c>
      <c r="H2241" s="112" t="s">
        <v>1015</v>
      </c>
      <c r="I2241" s="112" t="s">
        <v>749</v>
      </c>
      <c r="J2241" s="112" t="s">
        <v>4645</v>
      </c>
      <c r="K2241" s="112" t="s">
        <v>4712</v>
      </c>
      <c r="L2241" s="116">
        <v>345.86</v>
      </c>
      <c r="M2241" s="116">
        <f t="shared" si="34"/>
        <v>0.34586</v>
      </c>
    </row>
    <row r="2242" spans="1:13" hidden="1" x14ac:dyDescent="0.35">
      <c r="A2242" s="112" t="s">
        <v>4632</v>
      </c>
      <c r="B2242" s="112" t="s">
        <v>4644</v>
      </c>
      <c r="C2242" s="112" t="s">
        <v>695</v>
      </c>
      <c r="D2242" s="113">
        <v>10347950</v>
      </c>
      <c r="E2242" s="115">
        <v>43923</v>
      </c>
      <c r="F2242" s="114">
        <v>202101</v>
      </c>
      <c r="G2242" s="112" t="s">
        <v>1091</v>
      </c>
      <c r="H2242" s="112" t="s">
        <v>1015</v>
      </c>
      <c r="I2242" s="112" t="s">
        <v>749</v>
      </c>
      <c r="J2242" s="112" t="s">
        <v>4645</v>
      </c>
      <c r="K2242" s="112" t="s">
        <v>5153</v>
      </c>
      <c r="L2242" s="116">
        <v>-85.45</v>
      </c>
      <c r="M2242" s="116">
        <f t="shared" si="34"/>
        <v>-8.5449999999999998E-2</v>
      </c>
    </row>
    <row r="2243" spans="1:13" hidden="1" x14ac:dyDescent="0.35">
      <c r="A2243" s="112" t="s">
        <v>4632</v>
      </c>
      <c r="B2243" s="112" t="s">
        <v>4639</v>
      </c>
      <c r="C2243" s="112" t="s">
        <v>695</v>
      </c>
      <c r="D2243" s="113">
        <v>10347950</v>
      </c>
      <c r="E2243" s="115">
        <v>43923</v>
      </c>
      <c r="F2243" s="114">
        <v>202101</v>
      </c>
      <c r="G2243" s="112" t="s">
        <v>1091</v>
      </c>
      <c r="H2243" s="112" t="s">
        <v>1015</v>
      </c>
      <c r="I2243" s="112" t="s">
        <v>749</v>
      </c>
      <c r="J2243" s="112" t="s">
        <v>4640</v>
      </c>
      <c r="K2243" s="112" t="s">
        <v>4831</v>
      </c>
      <c r="L2243" s="116">
        <v>-31.35</v>
      </c>
      <c r="M2243" s="116">
        <f t="shared" ref="M2243:M2306" si="35">L2243/1000</f>
        <v>-3.1350000000000003E-2</v>
      </c>
    </row>
    <row r="2244" spans="1:13" hidden="1" x14ac:dyDescent="0.35">
      <c r="A2244" s="112" t="s">
        <v>4632</v>
      </c>
      <c r="B2244" s="112" t="s">
        <v>4639</v>
      </c>
      <c r="C2244" s="112" t="s">
        <v>695</v>
      </c>
      <c r="D2244" s="113">
        <v>10347950</v>
      </c>
      <c r="E2244" s="115">
        <v>43923</v>
      </c>
      <c r="F2244" s="114">
        <v>202101</v>
      </c>
      <c r="G2244" s="112" t="s">
        <v>1091</v>
      </c>
      <c r="H2244" s="112" t="s">
        <v>1015</v>
      </c>
      <c r="I2244" s="112" t="s">
        <v>749</v>
      </c>
      <c r="J2244" s="112" t="s">
        <v>4640</v>
      </c>
      <c r="K2244" s="112" t="s">
        <v>5157</v>
      </c>
      <c r="L2244" s="116">
        <v>35.380000000000003</v>
      </c>
      <c r="M2244" s="116">
        <f t="shared" si="35"/>
        <v>3.5380000000000002E-2</v>
      </c>
    </row>
    <row r="2245" spans="1:13" hidden="1" x14ac:dyDescent="0.35">
      <c r="A2245" s="112" t="s">
        <v>4632</v>
      </c>
      <c r="B2245" s="112" t="s">
        <v>863</v>
      </c>
      <c r="C2245" s="112" t="s">
        <v>695</v>
      </c>
      <c r="D2245" s="113">
        <v>10347950</v>
      </c>
      <c r="E2245" s="115">
        <v>43923</v>
      </c>
      <c r="F2245" s="114">
        <v>202101</v>
      </c>
      <c r="G2245" s="112" t="s">
        <v>1091</v>
      </c>
      <c r="H2245" s="112" t="s">
        <v>1015</v>
      </c>
      <c r="I2245" s="112" t="s">
        <v>749</v>
      </c>
      <c r="J2245" s="112" t="s">
        <v>787</v>
      </c>
      <c r="K2245" s="112" t="s">
        <v>4672</v>
      </c>
      <c r="L2245" s="116">
        <v>1941.17</v>
      </c>
      <c r="M2245" s="116">
        <f t="shared" si="35"/>
        <v>1.9411700000000001</v>
      </c>
    </row>
    <row r="2246" spans="1:13" hidden="1" x14ac:dyDescent="0.35">
      <c r="A2246" s="112" t="s">
        <v>4632</v>
      </c>
      <c r="B2246" s="112" t="s">
        <v>4644</v>
      </c>
      <c r="C2246" s="112" t="s">
        <v>695</v>
      </c>
      <c r="D2246" s="113">
        <v>10347950</v>
      </c>
      <c r="E2246" s="115">
        <v>43923</v>
      </c>
      <c r="F2246" s="114">
        <v>202101</v>
      </c>
      <c r="G2246" s="112" t="s">
        <v>1091</v>
      </c>
      <c r="H2246" s="112" t="s">
        <v>1015</v>
      </c>
      <c r="I2246" s="112" t="s">
        <v>749</v>
      </c>
      <c r="J2246" s="112" t="s">
        <v>4645</v>
      </c>
      <c r="K2246" s="112" t="s">
        <v>4785</v>
      </c>
      <c r="L2246" s="116">
        <v>2379.9299999999998</v>
      </c>
      <c r="M2246" s="116">
        <f t="shared" si="35"/>
        <v>2.3799299999999999</v>
      </c>
    </row>
    <row r="2247" spans="1:13" hidden="1" x14ac:dyDescent="0.35">
      <c r="A2247" s="112" t="s">
        <v>4632</v>
      </c>
      <c r="B2247" s="112" t="s">
        <v>4650</v>
      </c>
      <c r="C2247" s="112" t="s">
        <v>695</v>
      </c>
      <c r="D2247" s="113">
        <v>10347950</v>
      </c>
      <c r="E2247" s="115">
        <v>43923</v>
      </c>
      <c r="F2247" s="114">
        <v>202101</v>
      </c>
      <c r="G2247" s="112" t="s">
        <v>1091</v>
      </c>
      <c r="H2247" s="112" t="s">
        <v>1015</v>
      </c>
      <c r="I2247" s="112" t="s">
        <v>749</v>
      </c>
      <c r="J2247" s="112" t="s">
        <v>4651</v>
      </c>
      <c r="K2247" s="112" t="s">
        <v>5082</v>
      </c>
      <c r="L2247" s="116">
        <v>173.81</v>
      </c>
      <c r="M2247" s="116">
        <f t="shared" si="35"/>
        <v>0.17380999999999999</v>
      </c>
    </row>
    <row r="2248" spans="1:13" hidden="1" x14ac:dyDescent="0.35">
      <c r="A2248" s="112" t="s">
        <v>4632</v>
      </c>
      <c r="B2248" s="112" t="s">
        <v>4650</v>
      </c>
      <c r="C2248" s="112" t="s">
        <v>695</v>
      </c>
      <c r="D2248" s="113">
        <v>10347950</v>
      </c>
      <c r="E2248" s="115">
        <v>43923</v>
      </c>
      <c r="F2248" s="114">
        <v>202101</v>
      </c>
      <c r="G2248" s="112" t="s">
        <v>1091</v>
      </c>
      <c r="H2248" s="112" t="s">
        <v>1015</v>
      </c>
      <c r="I2248" s="112" t="s">
        <v>749</v>
      </c>
      <c r="J2248" s="112" t="s">
        <v>4651</v>
      </c>
      <c r="K2248" s="112" t="s">
        <v>5083</v>
      </c>
      <c r="L2248" s="116">
        <v>78.83</v>
      </c>
      <c r="M2248" s="116">
        <f t="shared" si="35"/>
        <v>7.8829999999999997E-2</v>
      </c>
    </row>
    <row r="2249" spans="1:13" hidden="1" x14ac:dyDescent="0.35">
      <c r="A2249" s="112" t="s">
        <v>4632</v>
      </c>
      <c r="B2249" s="112" t="s">
        <v>4650</v>
      </c>
      <c r="C2249" s="112" t="s">
        <v>695</v>
      </c>
      <c r="D2249" s="113">
        <v>10347950</v>
      </c>
      <c r="E2249" s="115">
        <v>43923</v>
      </c>
      <c r="F2249" s="114">
        <v>202101</v>
      </c>
      <c r="G2249" s="112" t="s">
        <v>1091</v>
      </c>
      <c r="H2249" s="112" t="s">
        <v>1015</v>
      </c>
      <c r="I2249" s="112" t="s">
        <v>749</v>
      </c>
      <c r="J2249" s="112" t="s">
        <v>4651</v>
      </c>
      <c r="K2249" s="112" t="s">
        <v>5124</v>
      </c>
      <c r="L2249" s="116">
        <v>134.16999999999999</v>
      </c>
      <c r="M2249" s="116">
        <f t="shared" si="35"/>
        <v>0.13416999999999998</v>
      </c>
    </row>
    <row r="2250" spans="1:13" hidden="1" x14ac:dyDescent="0.35">
      <c r="A2250" s="112" t="s">
        <v>4632</v>
      </c>
      <c r="B2250" s="112" t="s">
        <v>4644</v>
      </c>
      <c r="C2250" s="112" t="s">
        <v>695</v>
      </c>
      <c r="D2250" s="113">
        <v>10347950</v>
      </c>
      <c r="E2250" s="115">
        <v>43923</v>
      </c>
      <c r="F2250" s="114">
        <v>202101</v>
      </c>
      <c r="G2250" s="112" t="s">
        <v>1091</v>
      </c>
      <c r="H2250" s="112" t="s">
        <v>1015</v>
      </c>
      <c r="I2250" s="112" t="s">
        <v>757</v>
      </c>
      <c r="J2250" s="112" t="s">
        <v>4645</v>
      </c>
      <c r="K2250" s="112" t="s">
        <v>4779</v>
      </c>
      <c r="L2250" s="116">
        <v>4684.2700000000004</v>
      </c>
      <c r="M2250" s="116">
        <f t="shared" si="35"/>
        <v>4.6842700000000006</v>
      </c>
    </row>
    <row r="2251" spans="1:13" hidden="1" x14ac:dyDescent="0.35">
      <c r="A2251" s="112" t="s">
        <v>4632</v>
      </c>
      <c r="B2251" s="112" t="s">
        <v>4650</v>
      </c>
      <c r="C2251" s="112" t="s">
        <v>695</v>
      </c>
      <c r="D2251" s="113">
        <v>10347950</v>
      </c>
      <c r="E2251" s="115">
        <v>43923</v>
      </c>
      <c r="F2251" s="114">
        <v>202101</v>
      </c>
      <c r="G2251" s="112" t="s">
        <v>1091</v>
      </c>
      <c r="H2251" s="112" t="s">
        <v>1015</v>
      </c>
      <c r="I2251" s="112" t="s">
        <v>757</v>
      </c>
      <c r="J2251" s="112" t="s">
        <v>4651</v>
      </c>
      <c r="K2251" s="112" t="s">
        <v>5064</v>
      </c>
      <c r="L2251" s="116">
        <v>2293.4899999999998</v>
      </c>
      <c r="M2251" s="116">
        <f t="shared" si="35"/>
        <v>2.2934899999999998</v>
      </c>
    </row>
    <row r="2252" spans="1:13" hidden="1" x14ac:dyDescent="0.35">
      <c r="A2252" s="112" t="s">
        <v>4632</v>
      </c>
      <c r="B2252" s="112" t="s">
        <v>4650</v>
      </c>
      <c r="C2252" s="112" t="s">
        <v>695</v>
      </c>
      <c r="D2252" s="113">
        <v>10347950</v>
      </c>
      <c r="E2252" s="115">
        <v>43923</v>
      </c>
      <c r="F2252" s="114">
        <v>202101</v>
      </c>
      <c r="G2252" s="112" t="s">
        <v>1091</v>
      </c>
      <c r="H2252" s="112" t="s">
        <v>1015</v>
      </c>
      <c r="I2252" s="112" t="s">
        <v>757</v>
      </c>
      <c r="J2252" s="112" t="s">
        <v>4651</v>
      </c>
      <c r="K2252" s="112" t="s">
        <v>5158</v>
      </c>
      <c r="L2252" s="116">
        <v>612.91</v>
      </c>
      <c r="M2252" s="116">
        <f t="shared" si="35"/>
        <v>0.61290999999999995</v>
      </c>
    </row>
    <row r="2253" spans="1:13" hidden="1" x14ac:dyDescent="0.35">
      <c r="A2253" s="112" t="s">
        <v>4632</v>
      </c>
      <c r="B2253" s="112" t="s">
        <v>4650</v>
      </c>
      <c r="C2253" s="112" t="s">
        <v>695</v>
      </c>
      <c r="D2253" s="113">
        <v>10347950</v>
      </c>
      <c r="E2253" s="115">
        <v>43923</v>
      </c>
      <c r="F2253" s="114">
        <v>202101</v>
      </c>
      <c r="G2253" s="112" t="s">
        <v>1091</v>
      </c>
      <c r="H2253" s="112" t="s">
        <v>1015</v>
      </c>
      <c r="I2253" s="112" t="s">
        <v>757</v>
      </c>
      <c r="J2253" s="112" t="s">
        <v>4651</v>
      </c>
      <c r="K2253" s="112" t="s">
        <v>5159</v>
      </c>
      <c r="L2253" s="116">
        <v>70.34</v>
      </c>
      <c r="M2253" s="116">
        <f t="shared" si="35"/>
        <v>7.034E-2</v>
      </c>
    </row>
    <row r="2254" spans="1:13" hidden="1" x14ac:dyDescent="0.35">
      <c r="A2254" s="112" t="s">
        <v>4632</v>
      </c>
      <c r="B2254" s="112" t="s">
        <v>4644</v>
      </c>
      <c r="C2254" s="112" t="s">
        <v>695</v>
      </c>
      <c r="D2254" s="113">
        <v>10347950</v>
      </c>
      <c r="E2254" s="115">
        <v>43923</v>
      </c>
      <c r="F2254" s="114">
        <v>202101</v>
      </c>
      <c r="G2254" s="112" t="s">
        <v>1091</v>
      </c>
      <c r="H2254" s="112" t="s">
        <v>1015</v>
      </c>
      <c r="I2254" s="112" t="s">
        <v>757</v>
      </c>
      <c r="J2254" s="112" t="s">
        <v>4645</v>
      </c>
      <c r="K2254" s="112" t="s">
        <v>4682</v>
      </c>
      <c r="L2254" s="116">
        <v>337.35</v>
      </c>
      <c r="M2254" s="116">
        <f t="shared" si="35"/>
        <v>0.33735000000000004</v>
      </c>
    </row>
    <row r="2255" spans="1:13" hidden="1" x14ac:dyDescent="0.35">
      <c r="A2255" s="112" t="s">
        <v>4632</v>
      </c>
      <c r="B2255" s="112" t="s">
        <v>4644</v>
      </c>
      <c r="C2255" s="112" t="s">
        <v>695</v>
      </c>
      <c r="D2255" s="113">
        <v>10347950</v>
      </c>
      <c r="E2255" s="115">
        <v>43923</v>
      </c>
      <c r="F2255" s="114">
        <v>202101</v>
      </c>
      <c r="G2255" s="112" t="s">
        <v>1091</v>
      </c>
      <c r="H2255" s="112" t="s">
        <v>1015</v>
      </c>
      <c r="I2255" s="112" t="s">
        <v>751</v>
      </c>
      <c r="J2255" s="112" t="s">
        <v>4645</v>
      </c>
      <c r="K2255" s="112" t="s">
        <v>5118</v>
      </c>
      <c r="L2255" s="116">
        <v>331.38</v>
      </c>
      <c r="M2255" s="116">
        <f t="shared" si="35"/>
        <v>0.33138000000000001</v>
      </c>
    </row>
    <row r="2256" spans="1:13" hidden="1" x14ac:dyDescent="0.35">
      <c r="A2256" s="112" t="s">
        <v>4632</v>
      </c>
      <c r="B2256" s="112" t="s">
        <v>4644</v>
      </c>
      <c r="C2256" s="112" t="s">
        <v>695</v>
      </c>
      <c r="D2256" s="113">
        <v>10347950</v>
      </c>
      <c r="E2256" s="115">
        <v>43923</v>
      </c>
      <c r="F2256" s="114">
        <v>202101</v>
      </c>
      <c r="G2256" s="112" t="s">
        <v>1091</v>
      </c>
      <c r="H2256" s="112" t="s">
        <v>1015</v>
      </c>
      <c r="I2256" s="112" t="s">
        <v>751</v>
      </c>
      <c r="J2256" s="112" t="s">
        <v>4645</v>
      </c>
      <c r="K2256" s="112" t="s">
        <v>5118</v>
      </c>
      <c r="L2256" s="116">
        <v>370.13</v>
      </c>
      <c r="M2256" s="116">
        <f t="shared" si="35"/>
        <v>0.37013000000000001</v>
      </c>
    </row>
    <row r="2257" spans="1:13" hidden="1" x14ac:dyDescent="0.35">
      <c r="A2257" s="112" t="s">
        <v>4632</v>
      </c>
      <c r="B2257" s="112" t="s">
        <v>4650</v>
      </c>
      <c r="C2257" s="112" t="s">
        <v>695</v>
      </c>
      <c r="D2257" s="113">
        <v>10347950</v>
      </c>
      <c r="E2257" s="115">
        <v>43923</v>
      </c>
      <c r="F2257" s="114">
        <v>202101</v>
      </c>
      <c r="G2257" s="112" t="s">
        <v>1091</v>
      </c>
      <c r="H2257" s="112" t="s">
        <v>1015</v>
      </c>
      <c r="I2257" s="112" t="s">
        <v>749</v>
      </c>
      <c r="J2257" s="112" t="s">
        <v>4651</v>
      </c>
      <c r="K2257" s="112" t="s">
        <v>5161</v>
      </c>
      <c r="L2257" s="116">
        <v>738.09</v>
      </c>
      <c r="M2257" s="116">
        <f t="shared" si="35"/>
        <v>0.73809000000000002</v>
      </c>
    </row>
    <row r="2258" spans="1:13" hidden="1" x14ac:dyDescent="0.35">
      <c r="A2258" s="112" t="s">
        <v>4632</v>
      </c>
      <c r="B2258" s="112" t="s">
        <v>4644</v>
      </c>
      <c r="C2258" s="112" t="s">
        <v>695</v>
      </c>
      <c r="D2258" s="113">
        <v>10347950</v>
      </c>
      <c r="E2258" s="115">
        <v>43923</v>
      </c>
      <c r="F2258" s="114">
        <v>202101</v>
      </c>
      <c r="G2258" s="112" t="s">
        <v>1091</v>
      </c>
      <c r="H2258" s="112" t="s">
        <v>1015</v>
      </c>
      <c r="I2258" s="112" t="s">
        <v>749</v>
      </c>
      <c r="J2258" s="112" t="s">
        <v>4645</v>
      </c>
      <c r="K2258" s="112" t="s">
        <v>4783</v>
      </c>
      <c r="L2258" s="116">
        <v>929.2</v>
      </c>
      <c r="M2258" s="116">
        <f t="shared" si="35"/>
        <v>0.92920000000000003</v>
      </c>
    </row>
    <row r="2259" spans="1:13" hidden="1" x14ac:dyDescent="0.35">
      <c r="A2259" s="112" t="s">
        <v>4632</v>
      </c>
      <c r="B2259" s="112" t="s">
        <v>4644</v>
      </c>
      <c r="C2259" s="112" t="s">
        <v>695</v>
      </c>
      <c r="D2259" s="113">
        <v>10347950</v>
      </c>
      <c r="E2259" s="115">
        <v>43923</v>
      </c>
      <c r="F2259" s="114">
        <v>202101</v>
      </c>
      <c r="G2259" s="112" t="s">
        <v>1091</v>
      </c>
      <c r="H2259" s="112" t="s">
        <v>1015</v>
      </c>
      <c r="I2259" s="112" t="s">
        <v>749</v>
      </c>
      <c r="J2259" s="112" t="s">
        <v>4645</v>
      </c>
      <c r="K2259" s="112" t="s">
        <v>5163</v>
      </c>
      <c r="L2259" s="116">
        <v>41.22</v>
      </c>
      <c r="M2259" s="116">
        <f t="shared" si="35"/>
        <v>4.122E-2</v>
      </c>
    </row>
    <row r="2260" spans="1:13" hidden="1" x14ac:dyDescent="0.35">
      <c r="A2260" s="112" t="s">
        <v>4632</v>
      </c>
      <c r="B2260" s="112" t="s">
        <v>4644</v>
      </c>
      <c r="C2260" s="112" t="s">
        <v>695</v>
      </c>
      <c r="D2260" s="113">
        <v>10347950</v>
      </c>
      <c r="E2260" s="115">
        <v>43923</v>
      </c>
      <c r="F2260" s="114">
        <v>202101</v>
      </c>
      <c r="G2260" s="112" t="s">
        <v>1091</v>
      </c>
      <c r="H2260" s="112" t="s">
        <v>1015</v>
      </c>
      <c r="I2260" s="112" t="s">
        <v>749</v>
      </c>
      <c r="J2260" s="112" t="s">
        <v>4645</v>
      </c>
      <c r="K2260" s="112" t="s">
        <v>4781</v>
      </c>
      <c r="L2260" s="116">
        <v>-18.61</v>
      </c>
      <c r="M2260" s="116">
        <f t="shared" si="35"/>
        <v>-1.8609999999999998E-2</v>
      </c>
    </row>
    <row r="2261" spans="1:13" hidden="1" x14ac:dyDescent="0.35">
      <c r="A2261" s="112" t="s">
        <v>4632</v>
      </c>
      <c r="B2261" s="112" t="s">
        <v>4644</v>
      </c>
      <c r="C2261" s="112" t="s">
        <v>695</v>
      </c>
      <c r="D2261" s="113">
        <v>10347950</v>
      </c>
      <c r="E2261" s="115">
        <v>43923</v>
      </c>
      <c r="F2261" s="114">
        <v>202101</v>
      </c>
      <c r="G2261" s="112" t="s">
        <v>1091</v>
      </c>
      <c r="H2261" s="112" t="s">
        <v>1015</v>
      </c>
      <c r="I2261" s="112" t="s">
        <v>751</v>
      </c>
      <c r="J2261" s="112" t="s">
        <v>4645</v>
      </c>
      <c r="K2261" s="112" t="s">
        <v>4826</v>
      </c>
      <c r="L2261" s="116">
        <v>29.62</v>
      </c>
      <c r="M2261" s="116">
        <f t="shared" si="35"/>
        <v>2.962E-2</v>
      </c>
    </row>
    <row r="2262" spans="1:13" hidden="1" x14ac:dyDescent="0.35">
      <c r="A2262" s="112" t="s">
        <v>4632</v>
      </c>
      <c r="B2262" s="112" t="s">
        <v>4644</v>
      </c>
      <c r="C2262" s="112" t="s">
        <v>695</v>
      </c>
      <c r="D2262" s="113">
        <v>10347950</v>
      </c>
      <c r="E2262" s="115">
        <v>43923</v>
      </c>
      <c r="F2262" s="114">
        <v>202101</v>
      </c>
      <c r="G2262" s="112" t="s">
        <v>1091</v>
      </c>
      <c r="H2262" s="112" t="s">
        <v>1015</v>
      </c>
      <c r="I2262" s="112" t="s">
        <v>757</v>
      </c>
      <c r="J2262" s="112" t="s">
        <v>4645</v>
      </c>
      <c r="K2262" s="112" t="s">
        <v>4803</v>
      </c>
      <c r="L2262" s="116">
        <v>-808.7</v>
      </c>
      <c r="M2262" s="116">
        <f t="shared" si="35"/>
        <v>-0.80870000000000009</v>
      </c>
    </row>
    <row r="2263" spans="1:13" hidden="1" x14ac:dyDescent="0.35">
      <c r="A2263" s="112" t="s">
        <v>4632</v>
      </c>
      <c r="B2263" s="112" t="s">
        <v>4644</v>
      </c>
      <c r="C2263" s="112" t="s">
        <v>695</v>
      </c>
      <c r="D2263" s="113">
        <v>10347950</v>
      </c>
      <c r="E2263" s="115">
        <v>43923</v>
      </c>
      <c r="F2263" s="114">
        <v>202101</v>
      </c>
      <c r="G2263" s="112" t="s">
        <v>1091</v>
      </c>
      <c r="H2263" s="112" t="s">
        <v>1015</v>
      </c>
      <c r="I2263" s="112" t="s">
        <v>757</v>
      </c>
      <c r="J2263" s="112" t="s">
        <v>4645</v>
      </c>
      <c r="K2263" s="112" t="s">
        <v>5164</v>
      </c>
      <c r="L2263" s="116">
        <v>531.91</v>
      </c>
      <c r="M2263" s="116">
        <f t="shared" si="35"/>
        <v>0.53190999999999999</v>
      </c>
    </row>
    <row r="2264" spans="1:13" hidden="1" x14ac:dyDescent="0.35">
      <c r="A2264" s="112" t="s">
        <v>4632</v>
      </c>
      <c r="B2264" s="112" t="s">
        <v>4644</v>
      </c>
      <c r="C2264" s="112" t="s">
        <v>695</v>
      </c>
      <c r="D2264" s="113">
        <v>10347950</v>
      </c>
      <c r="E2264" s="115">
        <v>43923</v>
      </c>
      <c r="F2264" s="114">
        <v>202101</v>
      </c>
      <c r="G2264" s="112" t="s">
        <v>1091</v>
      </c>
      <c r="H2264" s="112" t="s">
        <v>1015</v>
      </c>
      <c r="I2264" s="112" t="s">
        <v>757</v>
      </c>
      <c r="J2264" s="112" t="s">
        <v>4645</v>
      </c>
      <c r="K2264" s="112" t="s">
        <v>4858</v>
      </c>
      <c r="L2264" s="116">
        <v>73.8</v>
      </c>
      <c r="M2264" s="116">
        <f t="shared" si="35"/>
        <v>7.3799999999999991E-2</v>
      </c>
    </row>
    <row r="2265" spans="1:13" hidden="1" x14ac:dyDescent="0.35">
      <c r="A2265" s="112" t="s">
        <v>4632</v>
      </c>
      <c r="B2265" s="112" t="s">
        <v>863</v>
      </c>
      <c r="C2265" s="112" t="s">
        <v>695</v>
      </c>
      <c r="D2265" s="113">
        <v>10347950</v>
      </c>
      <c r="E2265" s="115">
        <v>43923</v>
      </c>
      <c r="F2265" s="114">
        <v>202101</v>
      </c>
      <c r="G2265" s="112" t="s">
        <v>1091</v>
      </c>
      <c r="H2265" s="112" t="s">
        <v>1015</v>
      </c>
      <c r="I2265" s="112" t="s">
        <v>749</v>
      </c>
      <c r="J2265" s="112" t="s">
        <v>821</v>
      </c>
      <c r="K2265" s="112" t="s">
        <v>4678</v>
      </c>
      <c r="L2265" s="116">
        <v>1737.15</v>
      </c>
      <c r="M2265" s="116">
        <f t="shared" si="35"/>
        <v>1.7371500000000002</v>
      </c>
    </row>
    <row r="2266" spans="1:13" hidden="1" x14ac:dyDescent="0.35">
      <c r="A2266" s="112" t="s">
        <v>4632</v>
      </c>
      <c r="B2266" s="112" t="s">
        <v>4644</v>
      </c>
      <c r="C2266" s="112" t="s">
        <v>695</v>
      </c>
      <c r="D2266" s="113">
        <v>10347950</v>
      </c>
      <c r="E2266" s="115">
        <v>43923</v>
      </c>
      <c r="F2266" s="114">
        <v>202101</v>
      </c>
      <c r="G2266" s="112" t="s">
        <v>1091</v>
      </c>
      <c r="H2266" s="112" t="s">
        <v>1015</v>
      </c>
      <c r="I2266" s="112" t="s">
        <v>749</v>
      </c>
      <c r="J2266" s="112" t="s">
        <v>4645</v>
      </c>
      <c r="K2266" s="112" t="s">
        <v>4663</v>
      </c>
      <c r="L2266" s="116">
        <v>-133.26</v>
      </c>
      <c r="M2266" s="116">
        <f t="shared" si="35"/>
        <v>-0.13325999999999999</v>
      </c>
    </row>
    <row r="2267" spans="1:13" hidden="1" x14ac:dyDescent="0.35">
      <c r="A2267" s="112" t="s">
        <v>4632</v>
      </c>
      <c r="B2267" s="112" t="s">
        <v>4644</v>
      </c>
      <c r="C2267" s="112" t="s">
        <v>695</v>
      </c>
      <c r="D2267" s="113">
        <v>10347950</v>
      </c>
      <c r="E2267" s="115">
        <v>43923</v>
      </c>
      <c r="F2267" s="114">
        <v>202101</v>
      </c>
      <c r="G2267" s="112" t="s">
        <v>1091</v>
      </c>
      <c r="H2267" s="112" t="s">
        <v>1015</v>
      </c>
      <c r="I2267" s="112" t="s">
        <v>749</v>
      </c>
      <c r="J2267" s="112" t="s">
        <v>4645</v>
      </c>
      <c r="K2267" s="112" t="s">
        <v>4854</v>
      </c>
      <c r="L2267" s="116">
        <v>387.07</v>
      </c>
      <c r="M2267" s="116">
        <f t="shared" si="35"/>
        <v>0.38706999999999997</v>
      </c>
    </row>
    <row r="2268" spans="1:13" hidden="1" x14ac:dyDescent="0.35">
      <c r="A2268" s="112" t="s">
        <v>4632</v>
      </c>
      <c r="B2268" s="112" t="s">
        <v>4644</v>
      </c>
      <c r="C2268" s="112" t="s">
        <v>695</v>
      </c>
      <c r="D2268" s="113">
        <v>10347950</v>
      </c>
      <c r="E2268" s="115">
        <v>43923</v>
      </c>
      <c r="F2268" s="114">
        <v>202101</v>
      </c>
      <c r="G2268" s="112" t="s">
        <v>1091</v>
      </c>
      <c r="H2268" s="112" t="s">
        <v>1015</v>
      </c>
      <c r="I2268" s="112" t="s">
        <v>749</v>
      </c>
      <c r="J2268" s="112" t="s">
        <v>4645</v>
      </c>
      <c r="K2268" s="112" t="s">
        <v>4851</v>
      </c>
      <c r="L2268" s="116">
        <v>518.30999999999995</v>
      </c>
      <c r="M2268" s="116">
        <f t="shared" si="35"/>
        <v>0.51830999999999994</v>
      </c>
    </row>
    <row r="2269" spans="1:13" hidden="1" x14ac:dyDescent="0.35">
      <c r="A2269" s="112" t="s">
        <v>4632</v>
      </c>
      <c r="B2269" s="112" t="s">
        <v>4644</v>
      </c>
      <c r="C2269" s="112" t="s">
        <v>695</v>
      </c>
      <c r="D2269" s="113">
        <v>10347950</v>
      </c>
      <c r="E2269" s="115">
        <v>43923</v>
      </c>
      <c r="F2269" s="114">
        <v>202101</v>
      </c>
      <c r="G2269" s="112" t="s">
        <v>1091</v>
      </c>
      <c r="H2269" s="112" t="s">
        <v>1015</v>
      </c>
      <c r="I2269" s="112" t="s">
        <v>749</v>
      </c>
      <c r="J2269" s="112" t="s">
        <v>4645</v>
      </c>
      <c r="K2269" s="112" t="s">
        <v>4848</v>
      </c>
      <c r="L2269" s="116">
        <v>-57.14</v>
      </c>
      <c r="M2269" s="116">
        <f t="shared" si="35"/>
        <v>-5.7140000000000003E-2</v>
      </c>
    </row>
    <row r="2270" spans="1:13" hidden="1" x14ac:dyDescent="0.35">
      <c r="A2270" s="112" t="s">
        <v>4632</v>
      </c>
      <c r="B2270" s="112" t="s">
        <v>4644</v>
      </c>
      <c r="C2270" s="112" t="s">
        <v>695</v>
      </c>
      <c r="D2270" s="113">
        <v>10347950</v>
      </c>
      <c r="E2270" s="115">
        <v>43923</v>
      </c>
      <c r="F2270" s="114">
        <v>202101</v>
      </c>
      <c r="G2270" s="112" t="s">
        <v>1091</v>
      </c>
      <c r="H2270" s="112" t="s">
        <v>1015</v>
      </c>
      <c r="I2270" s="112" t="s">
        <v>749</v>
      </c>
      <c r="J2270" s="112" t="s">
        <v>4645</v>
      </c>
      <c r="K2270" s="112" t="s">
        <v>4846</v>
      </c>
      <c r="L2270" s="116">
        <v>504.53</v>
      </c>
      <c r="M2270" s="116">
        <f t="shared" si="35"/>
        <v>0.50452999999999992</v>
      </c>
    </row>
    <row r="2271" spans="1:13" hidden="1" x14ac:dyDescent="0.35">
      <c r="A2271" s="112" t="s">
        <v>4632</v>
      </c>
      <c r="B2271" s="112" t="s">
        <v>4644</v>
      </c>
      <c r="C2271" s="112" t="s">
        <v>695</v>
      </c>
      <c r="D2271" s="113">
        <v>10347950</v>
      </c>
      <c r="E2271" s="115">
        <v>43923</v>
      </c>
      <c r="F2271" s="114">
        <v>202101</v>
      </c>
      <c r="G2271" s="112" t="s">
        <v>1091</v>
      </c>
      <c r="H2271" s="112" t="s">
        <v>1015</v>
      </c>
      <c r="I2271" s="112" t="s">
        <v>749</v>
      </c>
      <c r="J2271" s="112" t="s">
        <v>4645</v>
      </c>
      <c r="K2271" s="112" t="s">
        <v>4674</v>
      </c>
      <c r="L2271" s="116">
        <v>53.2</v>
      </c>
      <c r="M2271" s="116">
        <f t="shared" si="35"/>
        <v>5.3200000000000004E-2</v>
      </c>
    </row>
    <row r="2272" spans="1:13" hidden="1" x14ac:dyDescent="0.35">
      <c r="A2272" s="112" t="s">
        <v>4632</v>
      </c>
      <c r="B2272" s="112" t="s">
        <v>4650</v>
      </c>
      <c r="C2272" s="112" t="s">
        <v>695</v>
      </c>
      <c r="D2272" s="113">
        <v>10347950</v>
      </c>
      <c r="E2272" s="115">
        <v>43923</v>
      </c>
      <c r="F2272" s="114">
        <v>202101</v>
      </c>
      <c r="G2272" s="112" t="s">
        <v>1091</v>
      </c>
      <c r="H2272" s="112" t="s">
        <v>1015</v>
      </c>
      <c r="I2272" s="112" t="s">
        <v>749</v>
      </c>
      <c r="J2272" s="112" t="s">
        <v>4651</v>
      </c>
      <c r="K2272" s="112" t="s">
        <v>5083</v>
      </c>
      <c r="L2272" s="116">
        <v>67.209999999999994</v>
      </c>
      <c r="M2272" s="116">
        <f t="shared" si="35"/>
        <v>6.7209999999999992E-2</v>
      </c>
    </row>
    <row r="2273" spans="1:13" hidden="1" x14ac:dyDescent="0.35">
      <c r="A2273" s="112" t="s">
        <v>4632</v>
      </c>
      <c r="B2273" s="112" t="s">
        <v>4650</v>
      </c>
      <c r="C2273" s="112" t="s">
        <v>695</v>
      </c>
      <c r="D2273" s="113">
        <v>10347950</v>
      </c>
      <c r="E2273" s="115">
        <v>43923</v>
      </c>
      <c r="F2273" s="114">
        <v>202101</v>
      </c>
      <c r="G2273" s="112" t="s">
        <v>1091</v>
      </c>
      <c r="H2273" s="112" t="s">
        <v>1015</v>
      </c>
      <c r="I2273" s="112" t="s">
        <v>749</v>
      </c>
      <c r="J2273" s="112" t="s">
        <v>4651</v>
      </c>
      <c r="K2273" s="112" t="s">
        <v>5169</v>
      </c>
      <c r="L2273" s="116">
        <v>228.96</v>
      </c>
      <c r="M2273" s="116">
        <f t="shared" si="35"/>
        <v>0.22896</v>
      </c>
    </row>
    <row r="2274" spans="1:13" hidden="1" x14ac:dyDescent="0.35">
      <c r="A2274" s="112" t="s">
        <v>4632</v>
      </c>
      <c r="B2274" s="112" t="s">
        <v>4650</v>
      </c>
      <c r="C2274" s="112" t="s">
        <v>695</v>
      </c>
      <c r="D2274" s="113">
        <v>10347950</v>
      </c>
      <c r="E2274" s="115">
        <v>43923</v>
      </c>
      <c r="F2274" s="114">
        <v>202101</v>
      </c>
      <c r="G2274" s="112" t="s">
        <v>1091</v>
      </c>
      <c r="H2274" s="112" t="s">
        <v>1015</v>
      </c>
      <c r="I2274" s="112" t="s">
        <v>749</v>
      </c>
      <c r="J2274" s="112" t="s">
        <v>4651</v>
      </c>
      <c r="K2274" s="112" t="s">
        <v>5112</v>
      </c>
      <c r="L2274" s="116">
        <v>809.43</v>
      </c>
      <c r="M2274" s="116">
        <f t="shared" si="35"/>
        <v>0.80942999999999998</v>
      </c>
    </row>
    <row r="2275" spans="1:13" hidden="1" x14ac:dyDescent="0.35">
      <c r="A2275" s="112" t="s">
        <v>4632</v>
      </c>
      <c r="B2275" s="112" t="s">
        <v>4650</v>
      </c>
      <c r="C2275" s="112" t="s">
        <v>695</v>
      </c>
      <c r="D2275" s="113">
        <v>10347950</v>
      </c>
      <c r="E2275" s="115">
        <v>43923</v>
      </c>
      <c r="F2275" s="114">
        <v>202101</v>
      </c>
      <c r="G2275" s="112" t="s">
        <v>1091</v>
      </c>
      <c r="H2275" s="112" t="s">
        <v>1015</v>
      </c>
      <c r="I2275" s="112" t="s">
        <v>749</v>
      </c>
      <c r="J2275" s="112" t="s">
        <v>4651</v>
      </c>
      <c r="K2275" s="112" t="s">
        <v>5113</v>
      </c>
      <c r="L2275" s="116">
        <v>1259.52</v>
      </c>
      <c r="M2275" s="116">
        <f t="shared" si="35"/>
        <v>1.25952</v>
      </c>
    </row>
    <row r="2276" spans="1:13" hidden="1" x14ac:dyDescent="0.35">
      <c r="A2276" s="112" t="s">
        <v>4632</v>
      </c>
      <c r="B2276" s="112" t="s">
        <v>4644</v>
      </c>
      <c r="C2276" s="112" t="s">
        <v>695</v>
      </c>
      <c r="D2276" s="113">
        <v>10347950</v>
      </c>
      <c r="E2276" s="115">
        <v>43923</v>
      </c>
      <c r="F2276" s="114">
        <v>202101</v>
      </c>
      <c r="G2276" s="112" t="s">
        <v>1091</v>
      </c>
      <c r="H2276" s="112" t="s">
        <v>1015</v>
      </c>
      <c r="I2276" s="112" t="s">
        <v>749</v>
      </c>
      <c r="J2276" s="112" t="s">
        <v>4645</v>
      </c>
      <c r="K2276" s="112" t="s">
        <v>5114</v>
      </c>
      <c r="L2276" s="116">
        <v>108.24</v>
      </c>
      <c r="M2276" s="116">
        <f t="shared" si="35"/>
        <v>0.10823999999999999</v>
      </c>
    </row>
    <row r="2277" spans="1:13" hidden="1" x14ac:dyDescent="0.35">
      <c r="A2277" s="112" t="s">
        <v>4632</v>
      </c>
      <c r="B2277" s="112" t="s">
        <v>4644</v>
      </c>
      <c r="C2277" s="112" t="s">
        <v>695</v>
      </c>
      <c r="D2277" s="113">
        <v>10347950</v>
      </c>
      <c r="E2277" s="115">
        <v>43923</v>
      </c>
      <c r="F2277" s="114">
        <v>202101</v>
      </c>
      <c r="G2277" s="112" t="s">
        <v>1091</v>
      </c>
      <c r="H2277" s="112" t="s">
        <v>1015</v>
      </c>
      <c r="I2277" s="112" t="s">
        <v>751</v>
      </c>
      <c r="J2277" s="112" t="s">
        <v>4645</v>
      </c>
      <c r="K2277" s="112" t="s">
        <v>5119</v>
      </c>
      <c r="L2277" s="116">
        <v>1083.1500000000001</v>
      </c>
      <c r="M2277" s="116">
        <f t="shared" si="35"/>
        <v>1.0831500000000001</v>
      </c>
    </row>
    <row r="2278" spans="1:13" hidden="1" x14ac:dyDescent="0.35">
      <c r="A2278" s="112" t="s">
        <v>4632</v>
      </c>
      <c r="B2278" s="112" t="s">
        <v>4644</v>
      </c>
      <c r="C2278" s="112" t="s">
        <v>695</v>
      </c>
      <c r="D2278" s="113">
        <v>10347950</v>
      </c>
      <c r="E2278" s="115">
        <v>43923</v>
      </c>
      <c r="F2278" s="114">
        <v>202101</v>
      </c>
      <c r="G2278" s="112" t="s">
        <v>1091</v>
      </c>
      <c r="H2278" s="112" t="s">
        <v>1015</v>
      </c>
      <c r="I2278" s="112" t="s">
        <v>751</v>
      </c>
      <c r="J2278" s="112" t="s">
        <v>4645</v>
      </c>
      <c r="K2278" s="112" t="s">
        <v>4875</v>
      </c>
      <c r="L2278" s="116">
        <v>1848.27</v>
      </c>
      <c r="M2278" s="116">
        <f t="shared" si="35"/>
        <v>1.8482700000000001</v>
      </c>
    </row>
    <row r="2279" spans="1:13" hidden="1" x14ac:dyDescent="0.35">
      <c r="A2279" s="112" t="s">
        <v>4632</v>
      </c>
      <c r="B2279" s="112" t="s">
        <v>4644</v>
      </c>
      <c r="C2279" s="112" t="s">
        <v>695</v>
      </c>
      <c r="D2279" s="113">
        <v>10347950</v>
      </c>
      <c r="E2279" s="115">
        <v>43923</v>
      </c>
      <c r="F2279" s="114">
        <v>202101</v>
      </c>
      <c r="G2279" s="112" t="s">
        <v>1091</v>
      </c>
      <c r="H2279" s="112" t="s">
        <v>1015</v>
      </c>
      <c r="I2279" s="112" t="s">
        <v>757</v>
      </c>
      <c r="J2279" s="112" t="s">
        <v>4645</v>
      </c>
      <c r="K2279" s="112" t="s">
        <v>5116</v>
      </c>
      <c r="L2279" s="116">
        <v>140.81</v>
      </c>
      <c r="M2279" s="116">
        <f t="shared" si="35"/>
        <v>0.14080999999999999</v>
      </c>
    </row>
    <row r="2280" spans="1:13" hidden="1" x14ac:dyDescent="0.35">
      <c r="A2280" s="112" t="s">
        <v>4632</v>
      </c>
      <c r="B2280" s="112" t="s">
        <v>4650</v>
      </c>
      <c r="C2280" s="112" t="s">
        <v>695</v>
      </c>
      <c r="D2280" s="113">
        <v>10347950</v>
      </c>
      <c r="E2280" s="115">
        <v>43923</v>
      </c>
      <c r="F2280" s="114">
        <v>202101</v>
      </c>
      <c r="G2280" s="112" t="s">
        <v>1091</v>
      </c>
      <c r="H2280" s="112" t="s">
        <v>1015</v>
      </c>
      <c r="I2280" s="112" t="s">
        <v>757</v>
      </c>
      <c r="J2280" s="112" t="s">
        <v>4651</v>
      </c>
      <c r="K2280" s="112" t="s">
        <v>4876</v>
      </c>
      <c r="L2280" s="116">
        <v>266.64</v>
      </c>
      <c r="M2280" s="116">
        <f t="shared" si="35"/>
        <v>0.26663999999999999</v>
      </c>
    </row>
    <row r="2281" spans="1:13" hidden="1" x14ac:dyDescent="0.35">
      <c r="A2281" s="112" t="s">
        <v>4632</v>
      </c>
      <c r="B2281" s="112" t="s">
        <v>4650</v>
      </c>
      <c r="C2281" s="112" t="s">
        <v>695</v>
      </c>
      <c r="D2281" s="113">
        <v>10347950</v>
      </c>
      <c r="E2281" s="115">
        <v>43923</v>
      </c>
      <c r="F2281" s="114">
        <v>202101</v>
      </c>
      <c r="G2281" s="112" t="s">
        <v>1091</v>
      </c>
      <c r="H2281" s="112" t="s">
        <v>1015</v>
      </c>
      <c r="I2281" s="112" t="s">
        <v>757</v>
      </c>
      <c r="J2281" s="112" t="s">
        <v>4651</v>
      </c>
      <c r="K2281" s="112" t="s">
        <v>4664</v>
      </c>
      <c r="L2281" s="116">
        <v>536.41999999999996</v>
      </c>
      <c r="M2281" s="116">
        <f t="shared" si="35"/>
        <v>0.53642000000000001</v>
      </c>
    </row>
    <row r="2282" spans="1:13" hidden="1" x14ac:dyDescent="0.35">
      <c r="A2282" s="112" t="s">
        <v>4632</v>
      </c>
      <c r="B2282" s="112" t="s">
        <v>4644</v>
      </c>
      <c r="C2282" s="112" t="s">
        <v>695</v>
      </c>
      <c r="D2282" s="113">
        <v>10347950</v>
      </c>
      <c r="E2282" s="115">
        <v>43923</v>
      </c>
      <c r="F2282" s="114">
        <v>202101</v>
      </c>
      <c r="G2282" s="112" t="s">
        <v>1091</v>
      </c>
      <c r="H2282" s="112" t="s">
        <v>1015</v>
      </c>
      <c r="I2282" s="112" t="s">
        <v>757</v>
      </c>
      <c r="J2282" s="112" t="s">
        <v>4645</v>
      </c>
      <c r="K2282" s="112" t="s">
        <v>5117</v>
      </c>
      <c r="L2282" s="116">
        <v>41.42</v>
      </c>
      <c r="M2282" s="116">
        <f t="shared" si="35"/>
        <v>4.1419999999999998E-2</v>
      </c>
    </row>
    <row r="2283" spans="1:13" hidden="1" x14ac:dyDescent="0.35">
      <c r="A2283" s="112" t="s">
        <v>4632</v>
      </c>
      <c r="B2283" s="112" t="s">
        <v>4650</v>
      </c>
      <c r="C2283" s="112" t="s">
        <v>695</v>
      </c>
      <c r="D2283" s="113">
        <v>10347950</v>
      </c>
      <c r="E2283" s="115">
        <v>43923</v>
      </c>
      <c r="F2283" s="114">
        <v>202101</v>
      </c>
      <c r="G2283" s="112" t="s">
        <v>1091</v>
      </c>
      <c r="H2283" s="112" t="s">
        <v>1015</v>
      </c>
      <c r="I2283" s="112" t="s">
        <v>749</v>
      </c>
      <c r="J2283" s="112" t="s">
        <v>4651</v>
      </c>
      <c r="K2283" s="112" t="s">
        <v>4830</v>
      </c>
      <c r="L2283" s="116">
        <v>2862.58</v>
      </c>
      <c r="M2283" s="116">
        <f t="shared" si="35"/>
        <v>2.8625799999999999</v>
      </c>
    </row>
    <row r="2284" spans="1:13" hidden="1" x14ac:dyDescent="0.35">
      <c r="A2284" s="112" t="s">
        <v>4632</v>
      </c>
      <c r="B2284" s="112" t="s">
        <v>4644</v>
      </c>
      <c r="C2284" s="112" t="s">
        <v>695</v>
      </c>
      <c r="D2284" s="113">
        <v>10347950</v>
      </c>
      <c r="E2284" s="115">
        <v>43923</v>
      </c>
      <c r="F2284" s="114">
        <v>202101</v>
      </c>
      <c r="G2284" s="112" t="s">
        <v>1091</v>
      </c>
      <c r="H2284" s="112" t="s">
        <v>1015</v>
      </c>
      <c r="I2284" s="112" t="s">
        <v>749</v>
      </c>
      <c r="J2284" s="112" t="s">
        <v>4645</v>
      </c>
      <c r="K2284" s="112" t="s">
        <v>5115</v>
      </c>
      <c r="L2284" s="116">
        <v>190.11</v>
      </c>
      <c r="M2284" s="116">
        <f t="shared" si="35"/>
        <v>0.19011</v>
      </c>
    </row>
    <row r="2285" spans="1:13" hidden="1" x14ac:dyDescent="0.35">
      <c r="A2285" s="112" t="s">
        <v>4632</v>
      </c>
      <c r="B2285" s="112" t="s">
        <v>863</v>
      </c>
      <c r="C2285" s="112" t="s">
        <v>695</v>
      </c>
      <c r="D2285" s="113">
        <v>10347950</v>
      </c>
      <c r="E2285" s="115">
        <v>43923</v>
      </c>
      <c r="F2285" s="114">
        <v>202101</v>
      </c>
      <c r="G2285" s="112" t="s">
        <v>1091</v>
      </c>
      <c r="H2285" s="112" t="s">
        <v>1015</v>
      </c>
      <c r="I2285" s="112" t="s">
        <v>749</v>
      </c>
      <c r="J2285" s="112" t="s">
        <v>808</v>
      </c>
      <c r="K2285" s="112" t="s">
        <v>4874</v>
      </c>
      <c r="L2285" s="116">
        <v>337.34</v>
      </c>
      <c r="M2285" s="116">
        <f t="shared" si="35"/>
        <v>0.33733999999999997</v>
      </c>
    </row>
    <row r="2286" spans="1:13" hidden="1" x14ac:dyDescent="0.35">
      <c r="A2286" s="112" t="s">
        <v>4632</v>
      </c>
      <c r="B2286" s="112" t="s">
        <v>863</v>
      </c>
      <c r="C2286" s="112" t="s">
        <v>695</v>
      </c>
      <c r="D2286" s="113">
        <v>10347950</v>
      </c>
      <c r="E2286" s="115">
        <v>43923</v>
      </c>
      <c r="F2286" s="114">
        <v>202101</v>
      </c>
      <c r="G2286" s="112" t="s">
        <v>1091</v>
      </c>
      <c r="H2286" s="112" t="s">
        <v>1015</v>
      </c>
      <c r="I2286" s="112" t="s">
        <v>749</v>
      </c>
      <c r="J2286" s="112" t="s">
        <v>821</v>
      </c>
      <c r="K2286" s="112" t="s">
        <v>5122</v>
      </c>
      <c r="L2286" s="116">
        <v>2570.12</v>
      </c>
      <c r="M2286" s="116">
        <f t="shared" si="35"/>
        <v>2.5701199999999997</v>
      </c>
    </row>
    <row r="2287" spans="1:13" hidden="1" x14ac:dyDescent="0.35">
      <c r="A2287" s="112" t="s">
        <v>4632</v>
      </c>
      <c r="B2287" s="112" t="s">
        <v>863</v>
      </c>
      <c r="C2287" s="112" t="s">
        <v>695</v>
      </c>
      <c r="D2287" s="113">
        <v>10347950</v>
      </c>
      <c r="E2287" s="115">
        <v>43923</v>
      </c>
      <c r="F2287" s="114">
        <v>202101</v>
      </c>
      <c r="G2287" s="112" t="s">
        <v>1091</v>
      </c>
      <c r="H2287" s="112" t="s">
        <v>1015</v>
      </c>
      <c r="I2287" s="112" t="s">
        <v>749</v>
      </c>
      <c r="J2287" s="112" t="s">
        <v>821</v>
      </c>
      <c r="K2287" s="112" t="s">
        <v>5123</v>
      </c>
      <c r="L2287" s="116">
        <v>182.68</v>
      </c>
      <c r="M2287" s="116">
        <f t="shared" si="35"/>
        <v>0.18268000000000001</v>
      </c>
    </row>
    <row r="2288" spans="1:13" hidden="1" x14ac:dyDescent="0.35">
      <c r="A2288" s="112" t="s">
        <v>4632</v>
      </c>
      <c r="B2288" s="112" t="s">
        <v>863</v>
      </c>
      <c r="C2288" s="112" t="s">
        <v>695</v>
      </c>
      <c r="D2288" s="113">
        <v>10347950</v>
      </c>
      <c r="E2288" s="115">
        <v>43923</v>
      </c>
      <c r="F2288" s="114">
        <v>202101</v>
      </c>
      <c r="G2288" s="112" t="s">
        <v>1091</v>
      </c>
      <c r="H2288" s="112" t="s">
        <v>1015</v>
      </c>
      <c r="I2288" s="112" t="s">
        <v>749</v>
      </c>
      <c r="J2288" s="112" t="s">
        <v>821</v>
      </c>
      <c r="K2288" s="112" t="s">
        <v>4680</v>
      </c>
      <c r="L2288" s="116">
        <v>719.03</v>
      </c>
      <c r="M2288" s="116">
        <f t="shared" si="35"/>
        <v>0.71902999999999995</v>
      </c>
    </row>
    <row r="2289" spans="1:13" hidden="1" x14ac:dyDescent="0.35">
      <c r="A2289" s="112" t="s">
        <v>4632</v>
      </c>
      <c r="B2289" s="112" t="s">
        <v>863</v>
      </c>
      <c r="C2289" s="112" t="s">
        <v>695</v>
      </c>
      <c r="D2289" s="113">
        <v>10347950</v>
      </c>
      <c r="E2289" s="115">
        <v>43923</v>
      </c>
      <c r="F2289" s="114">
        <v>202101</v>
      </c>
      <c r="G2289" s="112" t="s">
        <v>1091</v>
      </c>
      <c r="H2289" s="112" t="s">
        <v>1015</v>
      </c>
      <c r="I2289" s="112" t="s">
        <v>749</v>
      </c>
      <c r="J2289" s="112" t="s">
        <v>854</v>
      </c>
      <c r="K2289" s="112" t="s">
        <v>5181</v>
      </c>
      <c r="L2289" s="116">
        <v>1640.43</v>
      </c>
      <c r="M2289" s="116">
        <f t="shared" si="35"/>
        <v>1.6404300000000001</v>
      </c>
    </row>
    <row r="2290" spans="1:13" hidden="1" x14ac:dyDescent="0.35">
      <c r="A2290" s="112" t="s">
        <v>4632</v>
      </c>
      <c r="B2290" s="112" t="s">
        <v>4639</v>
      </c>
      <c r="C2290" s="112" t="s">
        <v>695</v>
      </c>
      <c r="D2290" s="113">
        <v>10347950</v>
      </c>
      <c r="E2290" s="115">
        <v>43923</v>
      </c>
      <c r="F2290" s="114">
        <v>202101</v>
      </c>
      <c r="G2290" s="112" t="s">
        <v>1091</v>
      </c>
      <c r="H2290" s="112" t="s">
        <v>1015</v>
      </c>
      <c r="I2290" s="112" t="s">
        <v>757</v>
      </c>
      <c r="J2290" s="112" t="s">
        <v>4640</v>
      </c>
      <c r="K2290" s="112" t="s">
        <v>5182</v>
      </c>
      <c r="L2290" s="116">
        <v>370.74</v>
      </c>
      <c r="M2290" s="116">
        <f t="shared" si="35"/>
        <v>0.37074000000000001</v>
      </c>
    </row>
    <row r="2291" spans="1:13" hidden="1" x14ac:dyDescent="0.35">
      <c r="A2291" s="112" t="s">
        <v>4632</v>
      </c>
      <c r="B2291" s="112" t="s">
        <v>4635</v>
      </c>
      <c r="C2291" s="112" t="s">
        <v>695</v>
      </c>
      <c r="D2291" s="113">
        <v>10348130</v>
      </c>
      <c r="E2291" s="115">
        <v>43930</v>
      </c>
      <c r="F2291" s="114">
        <v>202101</v>
      </c>
      <c r="G2291" s="112" t="s">
        <v>1091</v>
      </c>
      <c r="H2291" s="112" t="s">
        <v>1015</v>
      </c>
      <c r="I2291" s="112" t="s">
        <v>740</v>
      </c>
      <c r="J2291" s="112" t="s">
        <v>4967</v>
      </c>
      <c r="K2291" s="112" t="s">
        <v>5204</v>
      </c>
      <c r="L2291" s="116">
        <v>-188.84</v>
      </c>
      <c r="M2291" s="116">
        <f t="shared" si="35"/>
        <v>-0.18884000000000001</v>
      </c>
    </row>
    <row r="2292" spans="1:13" hidden="1" x14ac:dyDescent="0.35">
      <c r="A2292" s="112" t="s">
        <v>4632</v>
      </c>
      <c r="B2292" s="112" t="s">
        <v>4644</v>
      </c>
      <c r="C2292" s="112" t="s">
        <v>695</v>
      </c>
      <c r="D2292" s="113">
        <v>10348098</v>
      </c>
      <c r="E2292" s="115">
        <v>43929</v>
      </c>
      <c r="F2292" s="114">
        <v>202101</v>
      </c>
      <c r="G2292" s="112" t="s">
        <v>1091</v>
      </c>
      <c r="H2292" s="112" t="s">
        <v>1015</v>
      </c>
      <c r="I2292" s="112" t="s">
        <v>749</v>
      </c>
      <c r="J2292" s="112" t="s">
        <v>4645</v>
      </c>
      <c r="K2292" s="112" t="s">
        <v>5147</v>
      </c>
      <c r="L2292" s="116">
        <v>370.74</v>
      </c>
      <c r="M2292" s="116">
        <f t="shared" si="35"/>
        <v>0.37074000000000001</v>
      </c>
    </row>
    <row r="2293" spans="1:13" hidden="1" x14ac:dyDescent="0.35">
      <c r="A2293" s="112" t="s">
        <v>4632</v>
      </c>
      <c r="B2293" s="112" t="s">
        <v>863</v>
      </c>
      <c r="C2293" s="112" t="s">
        <v>695</v>
      </c>
      <c r="D2293" s="113">
        <v>10348098</v>
      </c>
      <c r="E2293" s="115">
        <v>43929</v>
      </c>
      <c r="F2293" s="114">
        <v>202101</v>
      </c>
      <c r="G2293" s="112" t="s">
        <v>1091</v>
      </c>
      <c r="H2293" s="112" t="s">
        <v>1015</v>
      </c>
      <c r="I2293" s="112" t="s">
        <v>749</v>
      </c>
      <c r="J2293" s="112" t="s">
        <v>790</v>
      </c>
      <c r="K2293" s="112" t="s">
        <v>5152</v>
      </c>
      <c r="L2293" s="116">
        <v>67.209999999999994</v>
      </c>
      <c r="M2293" s="116">
        <f t="shared" si="35"/>
        <v>6.7209999999999992E-2</v>
      </c>
    </row>
    <row r="2294" spans="1:13" hidden="1" x14ac:dyDescent="0.35">
      <c r="A2294" s="112" t="s">
        <v>4632</v>
      </c>
      <c r="B2294" s="112" t="s">
        <v>863</v>
      </c>
      <c r="C2294" s="112" t="s">
        <v>695</v>
      </c>
      <c r="D2294" s="113">
        <v>10348098</v>
      </c>
      <c r="E2294" s="115">
        <v>43929</v>
      </c>
      <c r="F2294" s="114">
        <v>202101</v>
      </c>
      <c r="G2294" s="112" t="s">
        <v>1091</v>
      </c>
      <c r="H2294" s="112" t="s">
        <v>1015</v>
      </c>
      <c r="I2294" s="112" t="s">
        <v>749</v>
      </c>
      <c r="J2294" s="112" t="s">
        <v>787</v>
      </c>
      <c r="K2294" s="112" t="s">
        <v>5148</v>
      </c>
      <c r="L2294" s="116">
        <v>1786.33</v>
      </c>
      <c r="M2294" s="116">
        <f t="shared" si="35"/>
        <v>1.78633</v>
      </c>
    </row>
    <row r="2295" spans="1:13" hidden="1" x14ac:dyDescent="0.35">
      <c r="A2295" s="112" t="s">
        <v>4632</v>
      </c>
      <c r="B2295" s="112" t="s">
        <v>4644</v>
      </c>
      <c r="C2295" s="112" t="s">
        <v>695</v>
      </c>
      <c r="D2295" s="113">
        <v>10348098</v>
      </c>
      <c r="E2295" s="115">
        <v>43929</v>
      </c>
      <c r="F2295" s="114">
        <v>202101</v>
      </c>
      <c r="G2295" s="112" t="s">
        <v>1091</v>
      </c>
      <c r="H2295" s="112" t="s">
        <v>1015</v>
      </c>
      <c r="I2295" s="112" t="s">
        <v>757</v>
      </c>
      <c r="J2295" s="112" t="s">
        <v>4645</v>
      </c>
      <c r="K2295" s="112" t="s">
        <v>5150</v>
      </c>
      <c r="L2295" s="116">
        <v>-582.48</v>
      </c>
      <c r="M2295" s="116">
        <f t="shared" si="35"/>
        <v>-0.58248</v>
      </c>
    </row>
    <row r="2296" spans="1:13" hidden="1" x14ac:dyDescent="0.35">
      <c r="A2296" s="112" t="s">
        <v>4632</v>
      </c>
      <c r="B2296" s="112" t="s">
        <v>4650</v>
      </c>
      <c r="C2296" s="112" t="s">
        <v>695</v>
      </c>
      <c r="D2296" s="113">
        <v>10348098</v>
      </c>
      <c r="E2296" s="115">
        <v>43929</v>
      </c>
      <c r="F2296" s="114">
        <v>202101</v>
      </c>
      <c r="G2296" s="112" t="s">
        <v>1091</v>
      </c>
      <c r="H2296" s="112" t="s">
        <v>1015</v>
      </c>
      <c r="I2296" s="112" t="s">
        <v>757</v>
      </c>
      <c r="J2296" s="112" t="s">
        <v>4651</v>
      </c>
      <c r="K2296" s="112" t="s">
        <v>5135</v>
      </c>
      <c r="L2296" s="116">
        <v>145.91</v>
      </c>
      <c r="M2296" s="116">
        <f t="shared" si="35"/>
        <v>0.14590999999999998</v>
      </c>
    </row>
    <row r="2297" spans="1:13" hidden="1" x14ac:dyDescent="0.35">
      <c r="A2297" s="112" t="s">
        <v>4632</v>
      </c>
      <c r="B2297" s="112" t="s">
        <v>4650</v>
      </c>
      <c r="C2297" s="112" t="s">
        <v>695</v>
      </c>
      <c r="D2297" s="113">
        <v>10348098</v>
      </c>
      <c r="E2297" s="115">
        <v>43929</v>
      </c>
      <c r="F2297" s="114">
        <v>202101</v>
      </c>
      <c r="G2297" s="112" t="s">
        <v>1091</v>
      </c>
      <c r="H2297" s="112" t="s">
        <v>1015</v>
      </c>
      <c r="I2297" s="112" t="s">
        <v>749</v>
      </c>
      <c r="J2297" s="112" t="s">
        <v>4651</v>
      </c>
      <c r="K2297" s="112" t="s">
        <v>5161</v>
      </c>
      <c r="L2297" s="116">
        <v>37.11</v>
      </c>
      <c r="M2297" s="116">
        <f t="shared" si="35"/>
        <v>3.7109999999999997E-2</v>
      </c>
    </row>
    <row r="2298" spans="1:13" hidden="1" x14ac:dyDescent="0.35">
      <c r="A2298" s="112" t="s">
        <v>4632</v>
      </c>
      <c r="B2298" s="112" t="s">
        <v>4639</v>
      </c>
      <c r="C2298" s="112" t="s">
        <v>695</v>
      </c>
      <c r="D2298" s="113">
        <v>10348098</v>
      </c>
      <c r="E2298" s="115">
        <v>43929</v>
      </c>
      <c r="F2298" s="114">
        <v>202101</v>
      </c>
      <c r="G2298" s="112" t="s">
        <v>1091</v>
      </c>
      <c r="H2298" s="112" t="s">
        <v>1015</v>
      </c>
      <c r="I2298" s="112" t="s">
        <v>749</v>
      </c>
      <c r="J2298" s="112" t="s">
        <v>4640</v>
      </c>
      <c r="K2298" s="112" t="s">
        <v>5157</v>
      </c>
      <c r="L2298" s="116">
        <v>1259.52</v>
      </c>
      <c r="M2298" s="116">
        <f t="shared" si="35"/>
        <v>1.25952</v>
      </c>
    </row>
    <row r="2299" spans="1:13" hidden="1" x14ac:dyDescent="0.35">
      <c r="A2299" s="112" t="s">
        <v>4632</v>
      </c>
      <c r="B2299" s="112" t="s">
        <v>4644</v>
      </c>
      <c r="C2299" s="112" t="s">
        <v>695</v>
      </c>
      <c r="D2299" s="113">
        <v>10348098</v>
      </c>
      <c r="E2299" s="115">
        <v>43929</v>
      </c>
      <c r="F2299" s="114">
        <v>202101</v>
      </c>
      <c r="G2299" s="112" t="s">
        <v>1091</v>
      </c>
      <c r="H2299" s="112" t="s">
        <v>1015</v>
      </c>
      <c r="I2299" s="112" t="s">
        <v>749</v>
      </c>
      <c r="J2299" s="112" t="s">
        <v>4645</v>
      </c>
      <c r="K2299" s="112" t="s">
        <v>5130</v>
      </c>
      <c r="L2299" s="116">
        <v>333.41</v>
      </c>
      <c r="M2299" s="116">
        <f t="shared" si="35"/>
        <v>0.33341000000000004</v>
      </c>
    </row>
    <row r="2300" spans="1:13" hidden="1" x14ac:dyDescent="0.35">
      <c r="A2300" s="112" t="s">
        <v>4632</v>
      </c>
      <c r="B2300" s="112" t="s">
        <v>4644</v>
      </c>
      <c r="C2300" s="112" t="s">
        <v>695</v>
      </c>
      <c r="D2300" s="113">
        <v>10348098</v>
      </c>
      <c r="E2300" s="115">
        <v>43929</v>
      </c>
      <c r="F2300" s="114">
        <v>202101</v>
      </c>
      <c r="G2300" s="112" t="s">
        <v>1091</v>
      </c>
      <c r="H2300" s="112" t="s">
        <v>1015</v>
      </c>
      <c r="I2300" s="112" t="s">
        <v>749</v>
      </c>
      <c r="J2300" s="112" t="s">
        <v>4645</v>
      </c>
      <c r="K2300" s="112" t="s">
        <v>5045</v>
      </c>
      <c r="L2300" s="116">
        <v>345.86</v>
      </c>
      <c r="M2300" s="116">
        <f t="shared" si="35"/>
        <v>0.34586</v>
      </c>
    </row>
    <row r="2301" spans="1:13" hidden="1" x14ac:dyDescent="0.35">
      <c r="A2301" s="112" t="s">
        <v>4632</v>
      </c>
      <c r="B2301" s="112" t="s">
        <v>863</v>
      </c>
      <c r="C2301" s="112" t="s">
        <v>695</v>
      </c>
      <c r="D2301" s="113">
        <v>10348098</v>
      </c>
      <c r="E2301" s="115">
        <v>43929</v>
      </c>
      <c r="F2301" s="114">
        <v>202101</v>
      </c>
      <c r="G2301" s="112" t="s">
        <v>1091</v>
      </c>
      <c r="H2301" s="112" t="s">
        <v>1015</v>
      </c>
      <c r="I2301" s="112" t="s">
        <v>749</v>
      </c>
      <c r="J2301" s="112" t="s">
        <v>833</v>
      </c>
      <c r="K2301" s="112" t="s">
        <v>5040</v>
      </c>
      <c r="L2301" s="116">
        <v>206.91</v>
      </c>
      <c r="M2301" s="116">
        <f t="shared" si="35"/>
        <v>0.20690999999999998</v>
      </c>
    </row>
    <row r="2302" spans="1:13" hidden="1" x14ac:dyDescent="0.35">
      <c r="A2302" s="112" t="s">
        <v>4632</v>
      </c>
      <c r="B2302" s="112" t="s">
        <v>863</v>
      </c>
      <c r="C2302" s="112" t="s">
        <v>695</v>
      </c>
      <c r="D2302" s="113">
        <v>10348098</v>
      </c>
      <c r="E2302" s="115">
        <v>43929</v>
      </c>
      <c r="F2302" s="114">
        <v>202101</v>
      </c>
      <c r="G2302" s="112" t="s">
        <v>1091</v>
      </c>
      <c r="H2302" s="112" t="s">
        <v>1015</v>
      </c>
      <c r="I2302" s="112" t="s">
        <v>749</v>
      </c>
      <c r="J2302" s="112" t="s">
        <v>829</v>
      </c>
      <c r="K2302" s="112" t="s">
        <v>5041</v>
      </c>
      <c r="L2302" s="116">
        <v>531.91</v>
      </c>
      <c r="M2302" s="116">
        <f t="shared" si="35"/>
        <v>0.53190999999999999</v>
      </c>
    </row>
    <row r="2303" spans="1:13" hidden="1" x14ac:dyDescent="0.35">
      <c r="A2303" s="112" t="s">
        <v>4632</v>
      </c>
      <c r="B2303" s="112" t="s">
        <v>863</v>
      </c>
      <c r="C2303" s="112" t="s">
        <v>695</v>
      </c>
      <c r="D2303" s="113">
        <v>10348098</v>
      </c>
      <c r="E2303" s="115">
        <v>43929</v>
      </c>
      <c r="F2303" s="114">
        <v>202101</v>
      </c>
      <c r="G2303" s="112" t="s">
        <v>1091</v>
      </c>
      <c r="H2303" s="112" t="s">
        <v>1015</v>
      </c>
      <c r="I2303" s="112" t="s">
        <v>749</v>
      </c>
      <c r="J2303" s="112" t="s">
        <v>787</v>
      </c>
      <c r="K2303" s="112" t="s">
        <v>5042</v>
      </c>
      <c r="L2303" s="116">
        <v>82.35</v>
      </c>
      <c r="M2303" s="116">
        <f t="shared" si="35"/>
        <v>8.2349999999999993E-2</v>
      </c>
    </row>
    <row r="2304" spans="1:13" hidden="1" x14ac:dyDescent="0.35">
      <c r="A2304" s="112" t="s">
        <v>4632</v>
      </c>
      <c r="B2304" s="112" t="s">
        <v>4644</v>
      </c>
      <c r="C2304" s="112" t="s">
        <v>695</v>
      </c>
      <c r="D2304" s="113">
        <v>10348098</v>
      </c>
      <c r="E2304" s="115">
        <v>43929</v>
      </c>
      <c r="F2304" s="114">
        <v>202101</v>
      </c>
      <c r="G2304" s="112" t="s">
        <v>1091</v>
      </c>
      <c r="H2304" s="112" t="s">
        <v>1015</v>
      </c>
      <c r="I2304" s="112" t="s">
        <v>749</v>
      </c>
      <c r="J2304" s="112" t="s">
        <v>4645</v>
      </c>
      <c r="K2304" s="112" t="s">
        <v>5076</v>
      </c>
      <c r="L2304" s="116">
        <v>-78.62</v>
      </c>
      <c r="M2304" s="116">
        <f t="shared" si="35"/>
        <v>-7.8620000000000009E-2</v>
      </c>
    </row>
    <row r="2305" spans="1:13" hidden="1" x14ac:dyDescent="0.35">
      <c r="A2305" s="112" t="s">
        <v>4632</v>
      </c>
      <c r="B2305" s="112" t="s">
        <v>4644</v>
      </c>
      <c r="C2305" s="112" t="s">
        <v>695</v>
      </c>
      <c r="D2305" s="113">
        <v>10348098</v>
      </c>
      <c r="E2305" s="115">
        <v>43929</v>
      </c>
      <c r="F2305" s="114">
        <v>202101</v>
      </c>
      <c r="G2305" s="112" t="s">
        <v>1091</v>
      </c>
      <c r="H2305" s="112" t="s">
        <v>1015</v>
      </c>
      <c r="I2305" s="112" t="s">
        <v>749</v>
      </c>
      <c r="J2305" s="112" t="s">
        <v>4645</v>
      </c>
      <c r="K2305" s="112" t="s">
        <v>5127</v>
      </c>
      <c r="L2305" s="116">
        <v>266.37</v>
      </c>
      <c r="M2305" s="116">
        <f t="shared" si="35"/>
        <v>0.26637</v>
      </c>
    </row>
    <row r="2306" spans="1:13" hidden="1" x14ac:dyDescent="0.35">
      <c r="A2306" s="112" t="s">
        <v>4632</v>
      </c>
      <c r="B2306" s="112" t="s">
        <v>4650</v>
      </c>
      <c r="C2306" s="112" t="s">
        <v>695</v>
      </c>
      <c r="D2306" s="113">
        <v>10348098</v>
      </c>
      <c r="E2306" s="115">
        <v>43929</v>
      </c>
      <c r="F2306" s="114">
        <v>202101</v>
      </c>
      <c r="G2306" s="112" t="s">
        <v>1091</v>
      </c>
      <c r="H2306" s="112" t="s">
        <v>1015</v>
      </c>
      <c r="I2306" s="112" t="s">
        <v>749</v>
      </c>
      <c r="J2306" s="112" t="s">
        <v>4651</v>
      </c>
      <c r="K2306" s="112" t="s">
        <v>5145</v>
      </c>
      <c r="L2306" s="116">
        <v>78.83</v>
      </c>
      <c r="M2306" s="116">
        <f t="shared" si="35"/>
        <v>7.8829999999999997E-2</v>
      </c>
    </row>
    <row r="2307" spans="1:13" hidden="1" x14ac:dyDescent="0.35">
      <c r="A2307" s="112" t="s">
        <v>4632</v>
      </c>
      <c r="B2307" s="112" t="s">
        <v>4644</v>
      </c>
      <c r="C2307" s="112" t="s">
        <v>695</v>
      </c>
      <c r="D2307" s="113">
        <v>10348098</v>
      </c>
      <c r="E2307" s="115">
        <v>43929</v>
      </c>
      <c r="F2307" s="114">
        <v>202101</v>
      </c>
      <c r="G2307" s="112" t="s">
        <v>1091</v>
      </c>
      <c r="H2307" s="112" t="s">
        <v>1015</v>
      </c>
      <c r="I2307" s="112" t="s">
        <v>757</v>
      </c>
      <c r="J2307" s="112" t="s">
        <v>4645</v>
      </c>
      <c r="K2307" s="112" t="s">
        <v>5151</v>
      </c>
      <c r="L2307" s="116">
        <v>-20.51</v>
      </c>
      <c r="M2307" s="116">
        <f t="shared" ref="M2307:M2370" si="36">L2307/1000</f>
        <v>-2.051E-2</v>
      </c>
    </row>
    <row r="2308" spans="1:13" hidden="1" x14ac:dyDescent="0.35">
      <c r="A2308" s="112" t="s">
        <v>4632</v>
      </c>
      <c r="B2308" s="112" t="s">
        <v>4650</v>
      </c>
      <c r="C2308" s="112" t="s">
        <v>695</v>
      </c>
      <c r="D2308" s="113">
        <v>10348098</v>
      </c>
      <c r="E2308" s="115">
        <v>43929</v>
      </c>
      <c r="F2308" s="114">
        <v>202101</v>
      </c>
      <c r="G2308" s="112" t="s">
        <v>1091</v>
      </c>
      <c r="H2308" s="112" t="s">
        <v>1015</v>
      </c>
      <c r="I2308" s="112" t="s">
        <v>757</v>
      </c>
      <c r="J2308" s="112" t="s">
        <v>4651</v>
      </c>
      <c r="K2308" s="112" t="s">
        <v>5037</v>
      </c>
      <c r="L2308" s="116">
        <v>91.16</v>
      </c>
      <c r="M2308" s="116">
        <f t="shared" si="36"/>
        <v>9.1159999999999991E-2</v>
      </c>
    </row>
    <row r="2309" spans="1:13" hidden="1" x14ac:dyDescent="0.35">
      <c r="A2309" s="112" t="s">
        <v>4632</v>
      </c>
      <c r="B2309" s="112" t="s">
        <v>4650</v>
      </c>
      <c r="C2309" s="112" t="s">
        <v>695</v>
      </c>
      <c r="D2309" s="113">
        <v>10348098</v>
      </c>
      <c r="E2309" s="115">
        <v>43929</v>
      </c>
      <c r="F2309" s="114">
        <v>202101</v>
      </c>
      <c r="G2309" s="112" t="s">
        <v>1091</v>
      </c>
      <c r="H2309" s="112" t="s">
        <v>1015</v>
      </c>
      <c r="I2309" s="112" t="s">
        <v>757</v>
      </c>
      <c r="J2309" s="112" t="s">
        <v>4651</v>
      </c>
      <c r="K2309" s="112" t="s">
        <v>5138</v>
      </c>
      <c r="L2309" s="116">
        <v>3858.36</v>
      </c>
      <c r="M2309" s="116">
        <f t="shared" si="36"/>
        <v>3.8583600000000002</v>
      </c>
    </row>
    <row r="2310" spans="1:13" hidden="1" x14ac:dyDescent="0.35">
      <c r="A2310" s="112" t="s">
        <v>4632</v>
      </c>
      <c r="B2310" s="112" t="s">
        <v>4650</v>
      </c>
      <c r="C2310" s="112" t="s">
        <v>695</v>
      </c>
      <c r="D2310" s="113">
        <v>10348098</v>
      </c>
      <c r="E2310" s="115">
        <v>43929</v>
      </c>
      <c r="F2310" s="114">
        <v>202101</v>
      </c>
      <c r="G2310" s="112" t="s">
        <v>1091</v>
      </c>
      <c r="H2310" s="112" t="s">
        <v>1015</v>
      </c>
      <c r="I2310" s="112" t="s">
        <v>749</v>
      </c>
      <c r="J2310" s="112" t="s">
        <v>4651</v>
      </c>
      <c r="K2310" s="112" t="s">
        <v>5136</v>
      </c>
      <c r="L2310" s="116">
        <v>79.87</v>
      </c>
      <c r="M2310" s="116">
        <f t="shared" si="36"/>
        <v>7.987000000000001E-2</v>
      </c>
    </row>
    <row r="2311" spans="1:13" hidden="1" x14ac:dyDescent="0.35">
      <c r="A2311" s="112" t="s">
        <v>4632</v>
      </c>
      <c r="B2311" s="112" t="s">
        <v>4644</v>
      </c>
      <c r="C2311" s="112" t="s">
        <v>695</v>
      </c>
      <c r="D2311" s="113">
        <v>10348098</v>
      </c>
      <c r="E2311" s="115">
        <v>43929</v>
      </c>
      <c r="F2311" s="114">
        <v>202101</v>
      </c>
      <c r="G2311" s="112" t="s">
        <v>1091</v>
      </c>
      <c r="H2311" s="112" t="s">
        <v>1015</v>
      </c>
      <c r="I2311" s="112" t="s">
        <v>749</v>
      </c>
      <c r="J2311" s="112" t="s">
        <v>4645</v>
      </c>
      <c r="K2311" s="112" t="s">
        <v>5163</v>
      </c>
      <c r="L2311" s="116">
        <v>29.62</v>
      </c>
      <c r="M2311" s="116">
        <f t="shared" si="36"/>
        <v>2.962E-2</v>
      </c>
    </row>
    <row r="2312" spans="1:13" hidden="1" x14ac:dyDescent="0.35">
      <c r="A2312" s="112" t="s">
        <v>4632</v>
      </c>
      <c r="B2312" s="112" t="s">
        <v>4644</v>
      </c>
      <c r="C2312" s="112" t="s">
        <v>695</v>
      </c>
      <c r="D2312" s="113">
        <v>10348098</v>
      </c>
      <c r="E2312" s="115">
        <v>43929</v>
      </c>
      <c r="F2312" s="114">
        <v>202101</v>
      </c>
      <c r="G2312" s="112" t="s">
        <v>1091</v>
      </c>
      <c r="H2312" s="112" t="s">
        <v>1015</v>
      </c>
      <c r="I2312" s="112" t="s">
        <v>749</v>
      </c>
      <c r="J2312" s="112" t="s">
        <v>4645</v>
      </c>
      <c r="K2312" s="112" t="s">
        <v>5153</v>
      </c>
      <c r="L2312" s="116">
        <v>1785.25</v>
      </c>
      <c r="M2312" s="116">
        <f t="shared" si="36"/>
        <v>1.78525</v>
      </c>
    </row>
    <row r="2313" spans="1:13" hidden="1" x14ac:dyDescent="0.35">
      <c r="A2313" s="112" t="s">
        <v>4632</v>
      </c>
      <c r="B2313" s="112" t="s">
        <v>4644</v>
      </c>
      <c r="C2313" s="112" t="s">
        <v>695</v>
      </c>
      <c r="D2313" s="113">
        <v>10348098</v>
      </c>
      <c r="E2313" s="115">
        <v>43929</v>
      </c>
      <c r="F2313" s="114">
        <v>202101</v>
      </c>
      <c r="G2313" s="112" t="s">
        <v>1091</v>
      </c>
      <c r="H2313" s="112" t="s">
        <v>1015</v>
      </c>
      <c r="I2313" s="112" t="s">
        <v>749</v>
      </c>
      <c r="J2313" s="112" t="s">
        <v>4645</v>
      </c>
      <c r="K2313" s="112" t="s">
        <v>5146</v>
      </c>
      <c r="L2313" s="116">
        <v>1499.15</v>
      </c>
      <c r="M2313" s="116">
        <f t="shared" si="36"/>
        <v>1.49915</v>
      </c>
    </row>
    <row r="2314" spans="1:13" hidden="1" x14ac:dyDescent="0.35">
      <c r="A2314" s="112" t="s">
        <v>4632</v>
      </c>
      <c r="B2314" s="112" t="s">
        <v>4650</v>
      </c>
      <c r="C2314" s="112" t="s">
        <v>695</v>
      </c>
      <c r="D2314" s="113">
        <v>10348098</v>
      </c>
      <c r="E2314" s="115">
        <v>43929</v>
      </c>
      <c r="F2314" s="114">
        <v>202101</v>
      </c>
      <c r="G2314" s="112" t="s">
        <v>1091</v>
      </c>
      <c r="H2314" s="112" t="s">
        <v>1015</v>
      </c>
      <c r="I2314" s="112" t="s">
        <v>749</v>
      </c>
      <c r="J2314" s="112" t="s">
        <v>4651</v>
      </c>
      <c r="K2314" s="112" t="s">
        <v>5142</v>
      </c>
      <c r="L2314" s="116">
        <v>173.81</v>
      </c>
      <c r="M2314" s="116">
        <f t="shared" si="36"/>
        <v>0.17380999999999999</v>
      </c>
    </row>
    <row r="2315" spans="1:13" hidden="1" x14ac:dyDescent="0.35">
      <c r="A2315" s="112" t="s">
        <v>4632</v>
      </c>
      <c r="B2315" s="112" t="s">
        <v>4650</v>
      </c>
      <c r="C2315" s="112" t="s">
        <v>695</v>
      </c>
      <c r="D2315" s="113">
        <v>10348098</v>
      </c>
      <c r="E2315" s="115">
        <v>43929</v>
      </c>
      <c r="F2315" s="114">
        <v>202101</v>
      </c>
      <c r="G2315" s="112" t="s">
        <v>1091</v>
      </c>
      <c r="H2315" s="112" t="s">
        <v>1015</v>
      </c>
      <c r="I2315" s="112" t="s">
        <v>749</v>
      </c>
      <c r="J2315" s="112" t="s">
        <v>4651</v>
      </c>
      <c r="K2315" s="112" t="s">
        <v>5143</v>
      </c>
      <c r="L2315" s="116">
        <v>41.42</v>
      </c>
      <c r="M2315" s="116">
        <f t="shared" si="36"/>
        <v>4.1419999999999998E-2</v>
      </c>
    </row>
    <row r="2316" spans="1:13" hidden="1" x14ac:dyDescent="0.35">
      <c r="A2316" s="112" t="s">
        <v>4632</v>
      </c>
      <c r="B2316" s="112" t="s">
        <v>4650</v>
      </c>
      <c r="C2316" s="112" t="s">
        <v>695</v>
      </c>
      <c r="D2316" s="113">
        <v>10348098</v>
      </c>
      <c r="E2316" s="115">
        <v>43929</v>
      </c>
      <c r="F2316" s="114">
        <v>202101</v>
      </c>
      <c r="G2316" s="112" t="s">
        <v>1091</v>
      </c>
      <c r="H2316" s="112" t="s">
        <v>1015</v>
      </c>
      <c r="I2316" s="112" t="s">
        <v>749</v>
      </c>
      <c r="J2316" s="112" t="s">
        <v>4651</v>
      </c>
      <c r="K2316" s="112" t="s">
        <v>5144</v>
      </c>
      <c r="L2316" s="116">
        <v>190.75</v>
      </c>
      <c r="M2316" s="116">
        <f t="shared" si="36"/>
        <v>0.19075</v>
      </c>
    </row>
    <row r="2317" spans="1:13" hidden="1" x14ac:dyDescent="0.35">
      <c r="A2317" s="112" t="s">
        <v>4632</v>
      </c>
      <c r="B2317" s="112" t="s">
        <v>4644</v>
      </c>
      <c r="C2317" s="112" t="s">
        <v>695</v>
      </c>
      <c r="D2317" s="113">
        <v>10348098</v>
      </c>
      <c r="E2317" s="115">
        <v>43929</v>
      </c>
      <c r="F2317" s="114">
        <v>202101</v>
      </c>
      <c r="G2317" s="112" t="s">
        <v>1091</v>
      </c>
      <c r="H2317" s="112" t="s">
        <v>1015</v>
      </c>
      <c r="I2317" s="112" t="s">
        <v>757</v>
      </c>
      <c r="J2317" s="112" t="s">
        <v>4645</v>
      </c>
      <c r="K2317" s="112" t="s">
        <v>5140</v>
      </c>
      <c r="L2317" s="116">
        <v>29.76</v>
      </c>
      <c r="M2317" s="116">
        <f t="shared" si="36"/>
        <v>2.9760000000000002E-2</v>
      </c>
    </row>
    <row r="2318" spans="1:13" hidden="1" x14ac:dyDescent="0.35">
      <c r="A2318" s="112" t="s">
        <v>4632</v>
      </c>
      <c r="B2318" s="112" t="s">
        <v>4650</v>
      </c>
      <c r="C2318" s="112" t="s">
        <v>695</v>
      </c>
      <c r="D2318" s="113">
        <v>10348098</v>
      </c>
      <c r="E2318" s="115">
        <v>43929</v>
      </c>
      <c r="F2318" s="114">
        <v>202101</v>
      </c>
      <c r="G2318" s="112" t="s">
        <v>1091</v>
      </c>
      <c r="H2318" s="112" t="s">
        <v>1015</v>
      </c>
      <c r="I2318" s="112" t="s">
        <v>757</v>
      </c>
      <c r="J2318" s="112" t="s">
        <v>4651</v>
      </c>
      <c r="K2318" s="112" t="s">
        <v>5141</v>
      </c>
      <c r="L2318" s="116">
        <v>603.76</v>
      </c>
      <c r="M2318" s="116">
        <f t="shared" si="36"/>
        <v>0.60375999999999996</v>
      </c>
    </row>
    <row r="2319" spans="1:13" hidden="1" x14ac:dyDescent="0.35">
      <c r="A2319" s="112" t="s">
        <v>4632</v>
      </c>
      <c r="B2319" s="112" t="s">
        <v>4650</v>
      </c>
      <c r="C2319" s="112" t="s">
        <v>695</v>
      </c>
      <c r="D2319" s="113">
        <v>10348098</v>
      </c>
      <c r="E2319" s="115">
        <v>43929</v>
      </c>
      <c r="F2319" s="114">
        <v>202101</v>
      </c>
      <c r="G2319" s="112" t="s">
        <v>1091</v>
      </c>
      <c r="H2319" s="112" t="s">
        <v>1015</v>
      </c>
      <c r="I2319" s="112" t="s">
        <v>757</v>
      </c>
      <c r="J2319" s="112" t="s">
        <v>4651</v>
      </c>
      <c r="K2319" s="112" t="s">
        <v>5028</v>
      </c>
      <c r="L2319" s="116">
        <v>41.22</v>
      </c>
      <c r="M2319" s="116">
        <f t="shared" si="36"/>
        <v>4.122E-2</v>
      </c>
    </row>
    <row r="2320" spans="1:13" hidden="1" x14ac:dyDescent="0.35">
      <c r="A2320" s="112" t="s">
        <v>4632</v>
      </c>
      <c r="B2320" s="112" t="s">
        <v>863</v>
      </c>
      <c r="C2320" s="112" t="s">
        <v>695</v>
      </c>
      <c r="D2320" s="113">
        <v>10348098</v>
      </c>
      <c r="E2320" s="115">
        <v>43929</v>
      </c>
      <c r="F2320" s="114">
        <v>202101</v>
      </c>
      <c r="G2320" s="112" t="s">
        <v>1091</v>
      </c>
      <c r="H2320" s="112" t="s">
        <v>1015</v>
      </c>
      <c r="I2320" s="112" t="s">
        <v>749</v>
      </c>
      <c r="J2320" s="112" t="s">
        <v>831</v>
      </c>
      <c r="K2320" s="112" t="s">
        <v>5128</v>
      </c>
      <c r="L2320" s="116">
        <v>109.92</v>
      </c>
      <c r="M2320" s="116">
        <f t="shared" si="36"/>
        <v>0.10992</v>
      </c>
    </row>
    <row r="2321" spans="1:13" hidden="1" x14ac:dyDescent="0.35">
      <c r="A2321" s="112" t="s">
        <v>4632</v>
      </c>
      <c r="B2321" s="112" t="s">
        <v>863</v>
      </c>
      <c r="C2321" s="112" t="s">
        <v>695</v>
      </c>
      <c r="D2321" s="113">
        <v>10348098</v>
      </c>
      <c r="E2321" s="115">
        <v>43929</v>
      </c>
      <c r="F2321" s="114">
        <v>202101</v>
      </c>
      <c r="G2321" s="112" t="s">
        <v>1091</v>
      </c>
      <c r="H2321" s="112" t="s">
        <v>1015</v>
      </c>
      <c r="I2321" s="112" t="s">
        <v>749</v>
      </c>
      <c r="J2321" s="112" t="s">
        <v>854</v>
      </c>
      <c r="K2321" s="112" t="s">
        <v>5181</v>
      </c>
      <c r="L2321" s="116">
        <v>337.35</v>
      </c>
      <c r="M2321" s="116">
        <f t="shared" si="36"/>
        <v>0.33735000000000004</v>
      </c>
    </row>
    <row r="2322" spans="1:13" hidden="1" x14ac:dyDescent="0.35">
      <c r="A2322" s="112" t="s">
        <v>4632</v>
      </c>
      <c r="B2322" s="112" t="s">
        <v>4644</v>
      </c>
      <c r="C2322" s="112" t="s">
        <v>695</v>
      </c>
      <c r="D2322" s="113">
        <v>10348098</v>
      </c>
      <c r="E2322" s="115">
        <v>43929</v>
      </c>
      <c r="F2322" s="114">
        <v>202101</v>
      </c>
      <c r="G2322" s="112" t="s">
        <v>1091</v>
      </c>
      <c r="H2322" s="112" t="s">
        <v>1015</v>
      </c>
      <c r="I2322" s="112" t="s">
        <v>749</v>
      </c>
      <c r="J2322" s="112" t="s">
        <v>4645</v>
      </c>
      <c r="K2322" s="112" t="s">
        <v>5127</v>
      </c>
      <c r="L2322" s="116">
        <v>-78.62</v>
      </c>
      <c r="M2322" s="116">
        <f t="shared" si="36"/>
        <v>-7.8620000000000009E-2</v>
      </c>
    </row>
    <row r="2323" spans="1:13" hidden="1" x14ac:dyDescent="0.35">
      <c r="A2323" s="112" t="s">
        <v>4632</v>
      </c>
      <c r="B2323" s="112" t="s">
        <v>4644</v>
      </c>
      <c r="C2323" s="112" t="s">
        <v>695</v>
      </c>
      <c r="D2323" s="113">
        <v>10348098</v>
      </c>
      <c r="E2323" s="115">
        <v>43929</v>
      </c>
      <c r="F2323" s="114">
        <v>202101</v>
      </c>
      <c r="G2323" s="112" t="s">
        <v>1091</v>
      </c>
      <c r="H2323" s="112" t="s">
        <v>1015</v>
      </c>
      <c r="I2323" s="112" t="s">
        <v>749</v>
      </c>
      <c r="J2323" s="112" t="s">
        <v>4645</v>
      </c>
      <c r="K2323" s="112" t="s">
        <v>5080</v>
      </c>
      <c r="L2323" s="116">
        <v>251.38</v>
      </c>
      <c r="M2323" s="116">
        <f t="shared" si="36"/>
        <v>0.25137999999999999</v>
      </c>
    </row>
    <row r="2324" spans="1:13" hidden="1" x14ac:dyDescent="0.35">
      <c r="A2324" s="112" t="s">
        <v>4632</v>
      </c>
      <c r="B2324" s="112" t="s">
        <v>4650</v>
      </c>
      <c r="C2324" s="112" t="s">
        <v>695</v>
      </c>
      <c r="D2324" s="113">
        <v>10348098</v>
      </c>
      <c r="E2324" s="115">
        <v>43929</v>
      </c>
      <c r="F2324" s="114">
        <v>202101</v>
      </c>
      <c r="G2324" s="112" t="s">
        <v>1091</v>
      </c>
      <c r="H2324" s="112" t="s">
        <v>1015</v>
      </c>
      <c r="I2324" s="112" t="s">
        <v>749</v>
      </c>
      <c r="J2324" s="112" t="s">
        <v>4651</v>
      </c>
      <c r="K2324" s="112" t="s">
        <v>5149</v>
      </c>
      <c r="L2324" s="116">
        <v>53.69</v>
      </c>
      <c r="M2324" s="116">
        <f t="shared" si="36"/>
        <v>5.3689999999999995E-2</v>
      </c>
    </row>
    <row r="2325" spans="1:13" hidden="1" x14ac:dyDescent="0.35">
      <c r="A2325" s="112" t="s">
        <v>4632</v>
      </c>
      <c r="B2325" s="112" t="s">
        <v>4650</v>
      </c>
      <c r="C2325" s="112" t="s">
        <v>695</v>
      </c>
      <c r="D2325" s="113">
        <v>10348098</v>
      </c>
      <c r="E2325" s="115">
        <v>43929</v>
      </c>
      <c r="F2325" s="114">
        <v>202101</v>
      </c>
      <c r="G2325" s="112" t="s">
        <v>1091</v>
      </c>
      <c r="H2325" s="112" t="s">
        <v>1015</v>
      </c>
      <c r="I2325" s="112" t="s">
        <v>749</v>
      </c>
      <c r="J2325" s="112" t="s">
        <v>4651</v>
      </c>
      <c r="K2325" s="112" t="s">
        <v>5038</v>
      </c>
      <c r="L2325" s="116">
        <v>53.2</v>
      </c>
      <c r="M2325" s="116">
        <f t="shared" si="36"/>
        <v>5.3200000000000004E-2</v>
      </c>
    </row>
    <row r="2326" spans="1:13" hidden="1" x14ac:dyDescent="0.35">
      <c r="A2326" s="112" t="s">
        <v>4632</v>
      </c>
      <c r="B2326" s="112" t="s">
        <v>4650</v>
      </c>
      <c r="C2326" s="112" t="s">
        <v>695</v>
      </c>
      <c r="D2326" s="113">
        <v>10348098</v>
      </c>
      <c r="E2326" s="115">
        <v>43929</v>
      </c>
      <c r="F2326" s="114">
        <v>202101</v>
      </c>
      <c r="G2326" s="112" t="s">
        <v>1091</v>
      </c>
      <c r="H2326" s="112" t="s">
        <v>1015</v>
      </c>
      <c r="I2326" s="112" t="s">
        <v>749</v>
      </c>
      <c r="J2326" s="112" t="s">
        <v>4651</v>
      </c>
      <c r="K2326" s="112" t="s">
        <v>5137</v>
      </c>
      <c r="L2326" s="116">
        <v>40.159999999999997</v>
      </c>
      <c r="M2326" s="116">
        <f t="shared" si="36"/>
        <v>4.0159999999999994E-2</v>
      </c>
    </row>
    <row r="2327" spans="1:13" hidden="1" x14ac:dyDescent="0.35">
      <c r="A2327" s="112" t="s">
        <v>4632</v>
      </c>
      <c r="B2327" s="112" t="s">
        <v>4650</v>
      </c>
      <c r="C2327" s="112" t="s">
        <v>695</v>
      </c>
      <c r="D2327" s="113">
        <v>10348098</v>
      </c>
      <c r="E2327" s="115">
        <v>43929</v>
      </c>
      <c r="F2327" s="114">
        <v>202101</v>
      </c>
      <c r="G2327" s="112" t="s">
        <v>1091</v>
      </c>
      <c r="H2327" s="112" t="s">
        <v>1015</v>
      </c>
      <c r="I2327" s="112" t="s">
        <v>749</v>
      </c>
      <c r="J2327" s="112" t="s">
        <v>4651</v>
      </c>
      <c r="K2327" s="112" t="s">
        <v>5083</v>
      </c>
      <c r="L2327" s="116">
        <v>-85.45</v>
      </c>
      <c r="M2327" s="116">
        <f t="shared" si="36"/>
        <v>-8.5449999999999998E-2</v>
      </c>
    </row>
    <row r="2328" spans="1:13" hidden="1" x14ac:dyDescent="0.35">
      <c r="A2328" s="112" t="s">
        <v>4632</v>
      </c>
      <c r="B2328" s="112" t="s">
        <v>4650</v>
      </c>
      <c r="C2328" s="112" t="s">
        <v>695</v>
      </c>
      <c r="D2328" s="113">
        <v>10348098</v>
      </c>
      <c r="E2328" s="115">
        <v>43929</v>
      </c>
      <c r="F2328" s="114">
        <v>202101</v>
      </c>
      <c r="G2328" s="112" t="s">
        <v>1091</v>
      </c>
      <c r="H2328" s="112" t="s">
        <v>1015</v>
      </c>
      <c r="I2328" s="112" t="s">
        <v>749</v>
      </c>
      <c r="J2328" s="112" t="s">
        <v>4651</v>
      </c>
      <c r="K2328" s="112" t="s">
        <v>5139</v>
      </c>
      <c r="L2328" s="116">
        <v>487.66</v>
      </c>
      <c r="M2328" s="116">
        <f t="shared" si="36"/>
        <v>0.48766000000000004</v>
      </c>
    </row>
    <row r="2329" spans="1:13" hidden="1" x14ac:dyDescent="0.35">
      <c r="A2329" s="112" t="s">
        <v>4632</v>
      </c>
      <c r="B2329" s="112" t="s">
        <v>4650</v>
      </c>
      <c r="C2329" s="112" t="s">
        <v>695</v>
      </c>
      <c r="D2329" s="113">
        <v>10348098</v>
      </c>
      <c r="E2329" s="115">
        <v>43929</v>
      </c>
      <c r="F2329" s="114">
        <v>202101</v>
      </c>
      <c r="G2329" s="112" t="s">
        <v>1091</v>
      </c>
      <c r="H2329" s="112" t="s">
        <v>1015</v>
      </c>
      <c r="I2329" s="112" t="s">
        <v>749</v>
      </c>
      <c r="J2329" s="112" t="s">
        <v>4651</v>
      </c>
      <c r="K2329" s="112" t="s">
        <v>5169</v>
      </c>
      <c r="L2329" s="116">
        <v>72.45</v>
      </c>
      <c r="M2329" s="116">
        <f t="shared" si="36"/>
        <v>7.2450000000000001E-2</v>
      </c>
    </row>
    <row r="2330" spans="1:13" hidden="1" x14ac:dyDescent="0.35">
      <c r="A2330" s="112" t="s">
        <v>4632</v>
      </c>
      <c r="B2330" s="112" t="s">
        <v>4639</v>
      </c>
      <c r="C2330" s="112" t="s">
        <v>695</v>
      </c>
      <c r="D2330" s="113">
        <v>10348098</v>
      </c>
      <c r="E2330" s="115">
        <v>43929</v>
      </c>
      <c r="F2330" s="114">
        <v>202101</v>
      </c>
      <c r="G2330" s="112" t="s">
        <v>1091</v>
      </c>
      <c r="H2330" s="112" t="s">
        <v>1015</v>
      </c>
      <c r="I2330" s="112" t="s">
        <v>757</v>
      </c>
      <c r="J2330" s="112" t="s">
        <v>4640</v>
      </c>
      <c r="K2330" s="112" t="s">
        <v>5182</v>
      </c>
      <c r="L2330" s="116">
        <v>-18.61</v>
      </c>
      <c r="M2330" s="116">
        <f t="shared" si="36"/>
        <v>-1.8609999999999998E-2</v>
      </c>
    </row>
    <row r="2331" spans="1:13" hidden="1" x14ac:dyDescent="0.35">
      <c r="A2331" s="112" t="s">
        <v>4632</v>
      </c>
      <c r="B2331" s="112" t="s">
        <v>4688</v>
      </c>
      <c r="C2331" s="112" t="s">
        <v>695</v>
      </c>
      <c r="D2331" s="113">
        <v>10347979</v>
      </c>
      <c r="E2331" s="115">
        <v>43924</v>
      </c>
      <c r="F2331" s="114">
        <v>202101</v>
      </c>
      <c r="G2331" s="112" t="s">
        <v>1091</v>
      </c>
      <c r="H2331" s="112" t="s">
        <v>1016</v>
      </c>
      <c r="I2331" s="112" t="s">
        <v>2337</v>
      </c>
      <c r="J2331" s="112" t="s">
        <v>4690</v>
      </c>
      <c r="K2331" s="112" t="s">
        <v>1698</v>
      </c>
      <c r="L2331" s="116">
        <v>108</v>
      </c>
      <c r="M2331" s="116">
        <f t="shared" si="36"/>
        <v>0.108</v>
      </c>
    </row>
    <row r="2332" spans="1:13" hidden="1" x14ac:dyDescent="0.35">
      <c r="A2332" s="112" t="s">
        <v>4632</v>
      </c>
      <c r="B2332" s="112" t="s">
        <v>4644</v>
      </c>
      <c r="C2332" s="112" t="s">
        <v>695</v>
      </c>
      <c r="D2332" s="113">
        <v>10348098</v>
      </c>
      <c r="E2332" s="115">
        <v>43929</v>
      </c>
      <c r="F2332" s="114">
        <v>202101</v>
      </c>
      <c r="G2332" s="112" t="s">
        <v>1091</v>
      </c>
      <c r="H2332" s="112" t="s">
        <v>1015</v>
      </c>
      <c r="I2332" s="112" t="s">
        <v>757</v>
      </c>
      <c r="J2332" s="112" t="s">
        <v>4645</v>
      </c>
      <c r="K2332" s="112" t="s">
        <v>5164</v>
      </c>
      <c r="L2332" s="116">
        <v>17.010000000000002</v>
      </c>
      <c r="M2332" s="116">
        <f t="shared" si="36"/>
        <v>1.7010000000000001E-2</v>
      </c>
    </row>
    <row r="2333" spans="1:13" hidden="1" x14ac:dyDescent="0.35">
      <c r="A2333" s="112" t="s">
        <v>4632</v>
      </c>
      <c r="B2333" s="112" t="s">
        <v>4644</v>
      </c>
      <c r="C2333" s="112" t="s">
        <v>695</v>
      </c>
      <c r="D2333" s="113">
        <v>10348098</v>
      </c>
      <c r="E2333" s="115">
        <v>43929</v>
      </c>
      <c r="F2333" s="114">
        <v>202101</v>
      </c>
      <c r="G2333" s="112" t="s">
        <v>1091</v>
      </c>
      <c r="H2333" s="112" t="s">
        <v>1015</v>
      </c>
      <c r="I2333" s="112" t="s">
        <v>757</v>
      </c>
      <c r="J2333" s="112" t="s">
        <v>4645</v>
      </c>
      <c r="K2333" s="112" t="s">
        <v>5061</v>
      </c>
      <c r="L2333" s="116">
        <v>-2347.7600000000002</v>
      </c>
      <c r="M2333" s="116">
        <f t="shared" si="36"/>
        <v>-2.3477600000000001</v>
      </c>
    </row>
    <row r="2334" spans="1:13" hidden="1" x14ac:dyDescent="0.35">
      <c r="A2334" s="112" t="s">
        <v>4632</v>
      </c>
      <c r="B2334" s="112" t="s">
        <v>4644</v>
      </c>
      <c r="C2334" s="112" t="s">
        <v>695</v>
      </c>
      <c r="D2334" s="113">
        <v>10348098</v>
      </c>
      <c r="E2334" s="115">
        <v>43929</v>
      </c>
      <c r="F2334" s="114">
        <v>202101</v>
      </c>
      <c r="G2334" s="112" t="s">
        <v>1091</v>
      </c>
      <c r="H2334" s="112" t="s">
        <v>1015</v>
      </c>
      <c r="I2334" s="112" t="s">
        <v>757</v>
      </c>
      <c r="J2334" s="112" t="s">
        <v>4645</v>
      </c>
      <c r="K2334" s="112" t="s">
        <v>5043</v>
      </c>
      <c r="L2334" s="116">
        <v>-26004.02</v>
      </c>
      <c r="M2334" s="116">
        <f t="shared" si="36"/>
        <v>-26.004020000000001</v>
      </c>
    </row>
    <row r="2335" spans="1:13" hidden="1" x14ac:dyDescent="0.35">
      <c r="A2335" s="112" t="s">
        <v>4632</v>
      </c>
      <c r="B2335" s="112" t="s">
        <v>863</v>
      </c>
      <c r="C2335" s="112" t="s">
        <v>695</v>
      </c>
      <c r="D2335" s="113">
        <v>10347966</v>
      </c>
      <c r="E2335" s="115">
        <v>43924</v>
      </c>
      <c r="F2335" s="114">
        <v>202101</v>
      </c>
      <c r="G2335" s="112" t="s">
        <v>1091</v>
      </c>
      <c r="H2335" s="112" t="s">
        <v>1016</v>
      </c>
      <c r="I2335" s="112" t="s">
        <v>781</v>
      </c>
      <c r="J2335" s="112" t="s">
        <v>856</v>
      </c>
      <c r="K2335" s="112" t="s">
        <v>5414</v>
      </c>
      <c r="L2335" s="116">
        <v>2097.17</v>
      </c>
      <c r="M2335" s="116">
        <f t="shared" si="36"/>
        <v>2.0971700000000002</v>
      </c>
    </row>
    <row r="2336" spans="1:13" hidden="1" x14ac:dyDescent="0.35">
      <c r="A2336" s="112" t="s">
        <v>4632</v>
      </c>
      <c r="B2336" s="112" t="s">
        <v>863</v>
      </c>
      <c r="C2336" s="112" t="s">
        <v>695</v>
      </c>
      <c r="D2336" s="113">
        <v>10347966</v>
      </c>
      <c r="E2336" s="115">
        <v>43924</v>
      </c>
      <c r="F2336" s="114">
        <v>202101</v>
      </c>
      <c r="G2336" s="112" t="s">
        <v>1091</v>
      </c>
      <c r="H2336" s="112" t="s">
        <v>1016</v>
      </c>
      <c r="I2336" s="112" t="s">
        <v>781</v>
      </c>
      <c r="J2336" s="112" t="s">
        <v>829</v>
      </c>
      <c r="K2336" s="112" t="s">
        <v>5414</v>
      </c>
      <c r="L2336" s="116">
        <v>802.83</v>
      </c>
      <c r="M2336" s="116">
        <f t="shared" si="36"/>
        <v>0.80283000000000004</v>
      </c>
    </row>
    <row r="2337" spans="1:13" hidden="1" x14ac:dyDescent="0.35">
      <c r="A2337" s="112" t="s">
        <v>4632</v>
      </c>
      <c r="B2337" s="112" t="s">
        <v>863</v>
      </c>
      <c r="C2337" s="112" t="s">
        <v>695</v>
      </c>
      <c r="D2337" s="113">
        <v>10347966</v>
      </c>
      <c r="E2337" s="115">
        <v>43924</v>
      </c>
      <c r="F2337" s="114">
        <v>202101</v>
      </c>
      <c r="G2337" s="112" t="s">
        <v>1091</v>
      </c>
      <c r="H2337" s="112" t="s">
        <v>1016</v>
      </c>
      <c r="I2337" s="112" t="s">
        <v>781</v>
      </c>
      <c r="J2337" s="112" t="s">
        <v>815</v>
      </c>
      <c r="K2337" s="112" t="s">
        <v>5414</v>
      </c>
      <c r="L2337" s="116">
        <v>2507.08</v>
      </c>
      <c r="M2337" s="116">
        <f t="shared" si="36"/>
        <v>2.5070799999999998</v>
      </c>
    </row>
    <row r="2338" spans="1:13" hidden="1" x14ac:dyDescent="0.35">
      <c r="A2338" s="112" t="s">
        <v>4632</v>
      </c>
      <c r="B2338" s="112" t="s">
        <v>863</v>
      </c>
      <c r="C2338" s="112" t="s">
        <v>695</v>
      </c>
      <c r="D2338" s="113">
        <v>10347966</v>
      </c>
      <c r="E2338" s="115">
        <v>43924</v>
      </c>
      <c r="F2338" s="114">
        <v>202101</v>
      </c>
      <c r="G2338" s="112" t="s">
        <v>1091</v>
      </c>
      <c r="H2338" s="112" t="s">
        <v>1016</v>
      </c>
      <c r="I2338" s="112" t="s">
        <v>781</v>
      </c>
      <c r="J2338" s="112" t="s">
        <v>821</v>
      </c>
      <c r="K2338" s="112" t="s">
        <v>5414</v>
      </c>
      <c r="L2338" s="116">
        <v>2137</v>
      </c>
      <c r="M2338" s="116">
        <f t="shared" si="36"/>
        <v>2.137</v>
      </c>
    </row>
    <row r="2339" spans="1:13" hidden="1" x14ac:dyDescent="0.35">
      <c r="A2339" s="112" t="s">
        <v>4632</v>
      </c>
      <c r="B2339" s="112" t="s">
        <v>863</v>
      </c>
      <c r="C2339" s="112" t="s">
        <v>695</v>
      </c>
      <c r="D2339" s="113">
        <v>10347966</v>
      </c>
      <c r="E2339" s="115">
        <v>43924</v>
      </c>
      <c r="F2339" s="114">
        <v>202101</v>
      </c>
      <c r="G2339" s="112" t="s">
        <v>1091</v>
      </c>
      <c r="H2339" s="112" t="s">
        <v>1016</v>
      </c>
      <c r="I2339" s="112" t="s">
        <v>781</v>
      </c>
      <c r="J2339" s="112" t="s">
        <v>833</v>
      </c>
      <c r="K2339" s="112" t="s">
        <v>5414</v>
      </c>
      <c r="L2339" s="116">
        <v>1755</v>
      </c>
      <c r="M2339" s="116">
        <f t="shared" si="36"/>
        <v>1.7549999999999999</v>
      </c>
    </row>
    <row r="2340" spans="1:13" hidden="1" x14ac:dyDescent="0.35">
      <c r="A2340" s="112" t="s">
        <v>4632</v>
      </c>
      <c r="B2340" s="112" t="s">
        <v>863</v>
      </c>
      <c r="C2340" s="112" t="s">
        <v>695</v>
      </c>
      <c r="D2340" s="113">
        <v>10347966</v>
      </c>
      <c r="E2340" s="115">
        <v>43924</v>
      </c>
      <c r="F2340" s="114">
        <v>202101</v>
      </c>
      <c r="G2340" s="112" t="s">
        <v>1091</v>
      </c>
      <c r="H2340" s="112" t="s">
        <v>1016</v>
      </c>
      <c r="I2340" s="112" t="s">
        <v>781</v>
      </c>
      <c r="J2340" s="112" t="s">
        <v>831</v>
      </c>
      <c r="K2340" s="112" t="s">
        <v>5414</v>
      </c>
      <c r="L2340" s="116">
        <v>1294.42</v>
      </c>
      <c r="M2340" s="116">
        <f t="shared" si="36"/>
        <v>1.2944200000000001</v>
      </c>
    </row>
    <row r="2341" spans="1:13" hidden="1" x14ac:dyDescent="0.35">
      <c r="A2341" s="112" t="s">
        <v>4632</v>
      </c>
      <c r="B2341" s="112" t="s">
        <v>863</v>
      </c>
      <c r="C2341" s="112" t="s">
        <v>695</v>
      </c>
      <c r="D2341" s="113">
        <v>10347966</v>
      </c>
      <c r="E2341" s="115">
        <v>43924</v>
      </c>
      <c r="F2341" s="114">
        <v>202101</v>
      </c>
      <c r="G2341" s="112" t="s">
        <v>1091</v>
      </c>
      <c r="H2341" s="112" t="s">
        <v>1016</v>
      </c>
      <c r="I2341" s="112" t="s">
        <v>781</v>
      </c>
      <c r="J2341" s="112" t="s">
        <v>835</v>
      </c>
      <c r="K2341" s="112" t="s">
        <v>5414</v>
      </c>
      <c r="L2341" s="116">
        <v>1368.83</v>
      </c>
      <c r="M2341" s="116">
        <f t="shared" si="36"/>
        <v>1.36883</v>
      </c>
    </row>
    <row r="2342" spans="1:13" hidden="1" x14ac:dyDescent="0.35">
      <c r="A2342" s="112" t="s">
        <v>4632</v>
      </c>
      <c r="B2342" s="112" t="s">
        <v>4650</v>
      </c>
      <c r="C2342" s="112" t="s">
        <v>695</v>
      </c>
      <c r="D2342" s="113">
        <v>10348098</v>
      </c>
      <c r="E2342" s="115">
        <v>43929</v>
      </c>
      <c r="F2342" s="114">
        <v>202101</v>
      </c>
      <c r="G2342" s="112" t="s">
        <v>1091</v>
      </c>
      <c r="H2342" s="112" t="s">
        <v>1015</v>
      </c>
      <c r="I2342" s="112" t="s">
        <v>757</v>
      </c>
      <c r="J2342" s="112" t="s">
        <v>4651</v>
      </c>
      <c r="K2342" s="112" t="s">
        <v>5158</v>
      </c>
      <c r="L2342" s="116">
        <v>108.24</v>
      </c>
      <c r="M2342" s="116">
        <f t="shared" si="36"/>
        <v>0.10823999999999999</v>
      </c>
    </row>
    <row r="2343" spans="1:13" hidden="1" x14ac:dyDescent="0.35">
      <c r="A2343" s="112" t="s">
        <v>4632</v>
      </c>
      <c r="B2343" s="112" t="s">
        <v>4650</v>
      </c>
      <c r="C2343" s="112" t="s">
        <v>695</v>
      </c>
      <c r="D2343" s="113">
        <v>10348098</v>
      </c>
      <c r="E2343" s="115">
        <v>43929</v>
      </c>
      <c r="F2343" s="114">
        <v>202101</v>
      </c>
      <c r="G2343" s="112" t="s">
        <v>1091</v>
      </c>
      <c r="H2343" s="112" t="s">
        <v>1015</v>
      </c>
      <c r="I2343" s="112" t="s">
        <v>757</v>
      </c>
      <c r="J2343" s="112" t="s">
        <v>4651</v>
      </c>
      <c r="K2343" s="112" t="s">
        <v>5159</v>
      </c>
      <c r="L2343" s="116">
        <v>140.81</v>
      </c>
      <c r="M2343" s="116">
        <f t="shared" si="36"/>
        <v>0.14080999999999999</v>
      </c>
    </row>
    <row r="2344" spans="1:13" hidden="1" x14ac:dyDescent="0.35">
      <c r="A2344" s="112" t="s">
        <v>4632</v>
      </c>
      <c r="B2344" s="112" t="s">
        <v>4644</v>
      </c>
      <c r="C2344" s="112" t="s">
        <v>695</v>
      </c>
      <c r="D2344" s="113">
        <v>10348098</v>
      </c>
      <c r="E2344" s="115">
        <v>43929</v>
      </c>
      <c r="F2344" s="114">
        <v>202101</v>
      </c>
      <c r="G2344" s="112" t="s">
        <v>1091</v>
      </c>
      <c r="H2344" s="112" t="s">
        <v>1015</v>
      </c>
      <c r="I2344" s="112" t="s">
        <v>749</v>
      </c>
      <c r="J2344" s="112" t="s">
        <v>4645</v>
      </c>
      <c r="K2344" s="112" t="s">
        <v>5129</v>
      </c>
      <c r="L2344" s="116">
        <v>374.62</v>
      </c>
      <c r="M2344" s="116">
        <f t="shared" si="36"/>
        <v>0.37462000000000001</v>
      </c>
    </row>
    <row r="2345" spans="1:13" hidden="1" x14ac:dyDescent="0.35">
      <c r="A2345" s="112" t="s">
        <v>4632</v>
      </c>
      <c r="B2345" s="112" t="s">
        <v>863</v>
      </c>
      <c r="C2345" s="112" t="s">
        <v>695</v>
      </c>
      <c r="D2345" s="113">
        <v>10347981</v>
      </c>
      <c r="E2345" s="115">
        <v>43924</v>
      </c>
      <c r="F2345" s="114">
        <v>202101</v>
      </c>
      <c r="G2345" s="112" t="s">
        <v>1091</v>
      </c>
      <c r="H2345" s="112" t="s">
        <v>1015</v>
      </c>
      <c r="I2345" s="112" t="s">
        <v>1182</v>
      </c>
      <c r="J2345" s="112" t="s">
        <v>808</v>
      </c>
      <c r="K2345" s="112" t="s">
        <v>5514</v>
      </c>
      <c r="L2345" s="116">
        <v>-2000</v>
      </c>
      <c r="M2345" s="116">
        <f t="shared" si="36"/>
        <v>-2</v>
      </c>
    </row>
    <row r="2346" spans="1:13" hidden="1" x14ac:dyDescent="0.35">
      <c r="A2346" s="112" t="s">
        <v>4632</v>
      </c>
      <c r="B2346" s="112" t="s">
        <v>863</v>
      </c>
      <c r="C2346" s="112" t="s">
        <v>695</v>
      </c>
      <c r="D2346" s="113">
        <v>10347981</v>
      </c>
      <c r="E2346" s="115">
        <v>43924</v>
      </c>
      <c r="F2346" s="114">
        <v>202101</v>
      </c>
      <c r="G2346" s="112" t="s">
        <v>1091</v>
      </c>
      <c r="H2346" s="112" t="s">
        <v>1015</v>
      </c>
      <c r="I2346" s="112" t="s">
        <v>740</v>
      </c>
      <c r="J2346" s="112" t="s">
        <v>742</v>
      </c>
      <c r="K2346" s="112" t="s">
        <v>5518</v>
      </c>
      <c r="L2346" s="116">
        <v>-164771.75</v>
      </c>
      <c r="M2346" s="116">
        <f t="shared" si="36"/>
        <v>-164.77175</v>
      </c>
    </row>
    <row r="2347" spans="1:13" hidden="1" x14ac:dyDescent="0.35">
      <c r="A2347" s="112" t="s">
        <v>4632</v>
      </c>
      <c r="B2347" s="112" t="s">
        <v>863</v>
      </c>
      <c r="C2347" s="112" t="s">
        <v>695</v>
      </c>
      <c r="D2347" s="113">
        <v>10347981</v>
      </c>
      <c r="E2347" s="115">
        <v>43924</v>
      </c>
      <c r="F2347" s="114">
        <v>202101</v>
      </c>
      <c r="G2347" s="112" t="s">
        <v>1091</v>
      </c>
      <c r="H2347" s="112" t="s">
        <v>1015</v>
      </c>
      <c r="I2347" s="112" t="s">
        <v>767</v>
      </c>
      <c r="J2347" s="112" t="s">
        <v>787</v>
      </c>
      <c r="K2347" s="112" t="s">
        <v>5519</v>
      </c>
      <c r="L2347" s="116">
        <v>-26.25</v>
      </c>
      <c r="M2347" s="116">
        <f t="shared" si="36"/>
        <v>-2.6249999999999999E-2</v>
      </c>
    </row>
    <row r="2348" spans="1:13" hidden="1" x14ac:dyDescent="0.35">
      <c r="A2348" s="112" t="s">
        <v>4632</v>
      </c>
      <c r="B2348" s="112" t="s">
        <v>4650</v>
      </c>
      <c r="C2348" s="112" t="s">
        <v>695</v>
      </c>
      <c r="D2348" s="113">
        <v>10348085</v>
      </c>
      <c r="E2348" s="115">
        <v>43923</v>
      </c>
      <c r="F2348" s="114">
        <v>202101</v>
      </c>
      <c r="G2348" s="112" t="s">
        <v>1091</v>
      </c>
      <c r="H2348" s="112" t="s">
        <v>1015</v>
      </c>
      <c r="I2348" s="112" t="s">
        <v>749</v>
      </c>
      <c r="J2348" s="112" t="s">
        <v>4651</v>
      </c>
      <c r="K2348" s="112" t="s">
        <v>4662</v>
      </c>
      <c r="L2348" s="116">
        <v>-1465.21</v>
      </c>
      <c r="M2348" s="116">
        <f t="shared" si="36"/>
        <v>-1.4652100000000001</v>
      </c>
    </row>
    <row r="2349" spans="1:13" hidden="1" x14ac:dyDescent="0.35">
      <c r="A2349" s="112" t="s">
        <v>4632</v>
      </c>
      <c r="B2349" s="112" t="s">
        <v>863</v>
      </c>
      <c r="C2349" s="112" t="s">
        <v>695</v>
      </c>
      <c r="D2349" s="113">
        <v>10347979</v>
      </c>
      <c r="E2349" s="115">
        <v>43924</v>
      </c>
      <c r="F2349" s="114">
        <v>202101</v>
      </c>
      <c r="G2349" s="112" t="s">
        <v>1091</v>
      </c>
      <c r="H2349" s="112" t="s">
        <v>1015</v>
      </c>
      <c r="I2349" s="112" t="s">
        <v>738</v>
      </c>
      <c r="J2349" s="112" t="s">
        <v>787</v>
      </c>
      <c r="K2349" s="112" t="s">
        <v>1698</v>
      </c>
      <c r="L2349" s="116">
        <v>-2048.8000000000002</v>
      </c>
      <c r="M2349" s="116">
        <f t="shared" si="36"/>
        <v>-2.0488000000000004</v>
      </c>
    </row>
    <row r="2350" spans="1:13" hidden="1" x14ac:dyDescent="0.35">
      <c r="A2350" s="112" t="s">
        <v>5553</v>
      </c>
      <c r="B2350" s="112" t="s">
        <v>925</v>
      </c>
      <c r="C2350" s="112" t="s">
        <v>695</v>
      </c>
      <c r="D2350" s="113">
        <v>10347981</v>
      </c>
      <c r="E2350" s="115">
        <v>43924</v>
      </c>
      <c r="F2350" s="114">
        <v>202101</v>
      </c>
      <c r="G2350" s="112" t="s">
        <v>1091</v>
      </c>
      <c r="H2350" s="112" t="s">
        <v>1015</v>
      </c>
      <c r="I2350" s="112" t="s">
        <v>1092</v>
      </c>
      <c r="J2350" s="112" t="s">
        <v>5559</v>
      </c>
      <c r="K2350" s="112" t="s">
        <v>1094</v>
      </c>
      <c r="L2350" s="116">
        <v>-32</v>
      </c>
      <c r="M2350" s="116">
        <f t="shared" si="36"/>
        <v>-3.2000000000000001E-2</v>
      </c>
    </row>
    <row r="2351" spans="1:13" hidden="1" x14ac:dyDescent="0.35">
      <c r="A2351" s="112" t="s">
        <v>5553</v>
      </c>
      <c r="B2351" s="112" t="s">
        <v>927</v>
      </c>
      <c r="C2351" s="112" t="s">
        <v>695</v>
      </c>
      <c r="D2351" s="113">
        <v>10347981</v>
      </c>
      <c r="E2351" s="115">
        <v>43924</v>
      </c>
      <c r="F2351" s="114">
        <v>202101</v>
      </c>
      <c r="G2351" s="112" t="s">
        <v>1091</v>
      </c>
      <c r="H2351" s="112" t="s">
        <v>1015</v>
      </c>
      <c r="I2351" s="112" t="s">
        <v>1092</v>
      </c>
      <c r="J2351" s="112" t="s">
        <v>5557</v>
      </c>
      <c r="K2351" s="112" t="s">
        <v>1262</v>
      </c>
      <c r="L2351" s="116">
        <v>-90</v>
      </c>
      <c r="M2351" s="116">
        <f t="shared" si="36"/>
        <v>-0.09</v>
      </c>
    </row>
    <row r="2352" spans="1:13" hidden="1" x14ac:dyDescent="0.35">
      <c r="A2352" s="112" t="s">
        <v>5553</v>
      </c>
      <c r="B2352" s="112" t="s">
        <v>924</v>
      </c>
      <c r="C2352" s="112" t="s">
        <v>695</v>
      </c>
      <c r="D2352" s="113">
        <v>10347981</v>
      </c>
      <c r="E2352" s="115">
        <v>43924</v>
      </c>
      <c r="F2352" s="114">
        <v>202101</v>
      </c>
      <c r="G2352" s="112" t="s">
        <v>1091</v>
      </c>
      <c r="H2352" s="112" t="s">
        <v>1015</v>
      </c>
      <c r="I2352" s="112" t="s">
        <v>763</v>
      </c>
      <c r="J2352" s="112" t="s">
        <v>5558</v>
      </c>
      <c r="K2352" s="112" t="s">
        <v>5560</v>
      </c>
      <c r="L2352" s="116">
        <v>-4980</v>
      </c>
      <c r="M2352" s="116">
        <f t="shared" si="36"/>
        <v>-4.9800000000000004</v>
      </c>
    </row>
    <row r="2353" spans="1:13" hidden="1" x14ac:dyDescent="0.35">
      <c r="A2353" s="112" t="s">
        <v>5553</v>
      </c>
      <c r="B2353" s="112" t="s">
        <v>5561</v>
      </c>
      <c r="C2353" s="112" t="s">
        <v>695</v>
      </c>
      <c r="D2353" s="113">
        <v>10347981</v>
      </c>
      <c r="E2353" s="115">
        <v>43924</v>
      </c>
      <c r="F2353" s="114">
        <v>202101</v>
      </c>
      <c r="G2353" s="112" t="s">
        <v>1091</v>
      </c>
      <c r="H2353" s="112" t="s">
        <v>1015</v>
      </c>
      <c r="I2353" s="112" t="s">
        <v>1092</v>
      </c>
      <c r="J2353" s="112" t="s">
        <v>5562</v>
      </c>
      <c r="K2353" s="112" t="s">
        <v>1208</v>
      </c>
      <c r="L2353" s="116">
        <v>-30</v>
      </c>
      <c r="M2353" s="116">
        <f t="shared" si="36"/>
        <v>-0.03</v>
      </c>
    </row>
    <row r="2354" spans="1:13" hidden="1" x14ac:dyDescent="0.35">
      <c r="A2354" s="112" t="s">
        <v>5553</v>
      </c>
      <c r="B2354" s="112" t="s">
        <v>925</v>
      </c>
      <c r="C2354" s="112" t="s">
        <v>695</v>
      </c>
      <c r="D2354" s="113">
        <v>10347981</v>
      </c>
      <c r="E2354" s="115">
        <v>43924</v>
      </c>
      <c r="F2354" s="114">
        <v>202101</v>
      </c>
      <c r="G2354" s="112" t="s">
        <v>1091</v>
      </c>
      <c r="H2354" s="112" t="s">
        <v>1015</v>
      </c>
      <c r="I2354" s="112" t="s">
        <v>1102</v>
      </c>
      <c r="J2354" s="112" t="s">
        <v>5559</v>
      </c>
      <c r="K2354" s="112" t="s">
        <v>5563</v>
      </c>
      <c r="L2354" s="116">
        <v>-1600</v>
      </c>
      <c r="M2354" s="116">
        <f t="shared" si="36"/>
        <v>-1.6</v>
      </c>
    </row>
    <row r="2355" spans="1:13" hidden="1" x14ac:dyDescent="0.35">
      <c r="A2355" s="112" t="s">
        <v>5553</v>
      </c>
      <c r="B2355" s="112" t="s">
        <v>5561</v>
      </c>
      <c r="C2355" s="112" t="s">
        <v>695</v>
      </c>
      <c r="D2355" s="113">
        <v>10347981</v>
      </c>
      <c r="E2355" s="115">
        <v>43924</v>
      </c>
      <c r="F2355" s="114">
        <v>202101</v>
      </c>
      <c r="G2355" s="112" t="s">
        <v>1091</v>
      </c>
      <c r="H2355" s="112" t="s">
        <v>1015</v>
      </c>
      <c r="I2355" s="112" t="s">
        <v>1102</v>
      </c>
      <c r="J2355" s="112" t="s">
        <v>5562</v>
      </c>
      <c r="K2355" s="112" t="s">
        <v>5566</v>
      </c>
      <c r="L2355" s="116">
        <v>-385</v>
      </c>
      <c r="M2355" s="116">
        <f t="shared" si="36"/>
        <v>-0.38500000000000001</v>
      </c>
    </row>
    <row r="2356" spans="1:13" hidden="1" x14ac:dyDescent="0.35">
      <c r="A2356" s="112" t="s">
        <v>5553</v>
      </c>
      <c r="B2356" s="112" t="s">
        <v>924</v>
      </c>
      <c r="C2356" s="112" t="s">
        <v>695</v>
      </c>
      <c r="D2356" s="113">
        <v>10348435</v>
      </c>
      <c r="E2356" s="115">
        <v>43945</v>
      </c>
      <c r="F2356" s="114">
        <v>202101</v>
      </c>
      <c r="G2356" s="112" t="s">
        <v>1091</v>
      </c>
      <c r="H2356" s="112" t="s">
        <v>1016</v>
      </c>
      <c r="I2356" s="112" t="s">
        <v>1328</v>
      </c>
      <c r="J2356" s="112" t="s">
        <v>5558</v>
      </c>
      <c r="K2356" s="112" t="s">
        <v>5568</v>
      </c>
      <c r="L2356" s="116">
        <v>-112000</v>
      </c>
      <c r="M2356" s="116">
        <f t="shared" si="36"/>
        <v>-112</v>
      </c>
    </row>
    <row r="2357" spans="1:13" hidden="1" x14ac:dyDescent="0.35">
      <c r="A2357" s="112" t="s">
        <v>5553</v>
      </c>
      <c r="B2357" s="112" t="s">
        <v>924</v>
      </c>
      <c r="C2357" s="112" t="s">
        <v>695</v>
      </c>
      <c r="D2357" s="113">
        <v>10348220</v>
      </c>
      <c r="E2357" s="115">
        <v>43936</v>
      </c>
      <c r="F2357" s="114">
        <v>202101</v>
      </c>
      <c r="G2357" s="112" t="s">
        <v>1091</v>
      </c>
      <c r="H2357" s="112" t="s">
        <v>1015</v>
      </c>
      <c r="I2357" s="112" t="s">
        <v>763</v>
      </c>
      <c r="J2357" s="112" t="s">
        <v>5558</v>
      </c>
      <c r="K2357" s="112" t="s">
        <v>5569</v>
      </c>
      <c r="L2357" s="116">
        <v>-2557.5</v>
      </c>
      <c r="M2357" s="116">
        <f t="shared" si="36"/>
        <v>-2.5575000000000001</v>
      </c>
    </row>
    <row r="2358" spans="1:13" hidden="1" x14ac:dyDescent="0.35">
      <c r="A2358" s="112" t="s">
        <v>5553</v>
      </c>
      <c r="B2358" s="112" t="s">
        <v>927</v>
      </c>
      <c r="C2358" s="112" t="s">
        <v>695</v>
      </c>
      <c r="D2358" s="113">
        <v>10347981</v>
      </c>
      <c r="E2358" s="115">
        <v>43924</v>
      </c>
      <c r="F2358" s="114">
        <v>202101</v>
      </c>
      <c r="G2358" s="112" t="s">
        <v>1091</v>
      </c>
      <c r="H2358" s="112" t="s">
        <v>1015</v>
      </c>
      <c r="I2358" s="112" t="s">
        <v>761</v>
      </c>
      <c r="J2358" s="112" t="s">
        <v>5557</v>
      </c>
      <c r="K2358" s="112" t="s">
        <v>5571</v>
      </c>
      <c r="L2358" s="116">
        <v>-70</v>
      </c>
      <c r="M2358" s="116">
        <f t="shared" si="36"/>
        <v>-7.0000000000000007E-2</v>
      </c>
    </row>
    <row r="2359" spans="1:13" hidden="1" x14ac:dyDescent="0.35">
      <c r="A2359" s="112" t="s">
        <v>5553</v>
      </c>
      <c r="B2359" s="112" t="s">
        <v>925</v>
      </c>
      <c r="C2359" s="112" t="s">
        <v>695</v>
      </c>
      <c r="D2359" s="113">
        <v>10347981</v>
      </c>
      <c r="E2359" s="115">
        <v>43924</v>
      </c>
      <c r="F2359" s="114">
        <v>202101</v>
      </c>
      <c r="G2359" s="112" t="s">
        <v>1091</v>
      </c>
      <c r="H2359" s="112" t="s">
        <v>1015</v>
      </c>
      <c r="I2359" s="112" t="s">
        <v>761</v>
      </c>
      <c r="J2359" s="112" t="s">
        <v>5559</v>
      </c>
      <c r="K2359" s="112" t="s">
        <v>5576</v>
      </c>
      <c r="L2359" s="116">
        <v>-6</v>
      </c>
      <c r="M2359" s="116">
        <f t="shared" si="36"/>
        <v>-6.0000000000000001E-3</v>
      </c>
    </row>
    <row r="2360" spans="1:13" hidden="1" x14ac:dyDescent="0.35">
      <c r="A2360" s="112" t="s">
        <v>5553</v>
      </c>
      <c r="B2360" s="112" t="s">
        <v>924</v>
      </c>
      <c r="C2360" s="112" t="s">
        <v>695</v>
      </c>
      <c r="D2360" s="113">
        <v>10347981</v>
      </c>
      <c r="E2360" s="115">
        <v>43924</v>
      </c>
      <c r="F2360" s="114">
        <v>202101</v>
      </c>
      <c r="G2360" s="112" t="s">
        <v>1091</v>
      </c>
      <c r="H2360" s="112" t="s">
        <v>1015</v>
      </c>
      <c r="I2360" s="112" t="s">
        <v>1471</v>
      </c>
      <c r="J2360" s="112" t="s">
        <v>5558</v>
      </c>
      <c r="K2360" s="112" t="s">
        <v>5581</v>
      </c>
      <c r="L2360" s="116">
        <v>-1104.17</v>
      </c>
      <c r="M2360" s="116">
        <f t="shared" si="36"/>
        <v>-1.1041700000000001</v>
      </c>
    </row>
    <row r="2361" spans="1:13" hidden="1" x14ac:dyDescent="0.35">
      <c r="A2361" s="112" t="s">
        <v>5553</v>
      </c>
      <c r="B2361" s="112" t="s">
        <v>927</v>
      </c>
      <c r="C2361" s="112" t="s">
        <v>695</v>
      </c>
      <c r="D2361" s="113">
        <v>10347979</v>
      </c>
      <c r="E2361" s="115">
        <v>43924</v>
      </c>
      <c r="F2361" s="114">
        <v>202101</v>
      </c>
      <c r="G2361" s="112" t="s">
        <v>1091</v>
      </c>
      <c r="H2361" s="112" t="s">
        <v>1015</v>
      </c>
      <c r="I2361" s="112" t="s">
        <v>1536</v>
      </c>
      <c r="J2361" s="112" t="s">
        <v>5554</v>
      </c>
      <c r="K2361" s="112" t="s">
        <v>1698</v>
      </c>
      <c r="L2361" s="116">
        <v>-39</v>
      </c>
      <c r="M2361" s="116">
        <f t="shared" si="36"/>
        <v>-3.9E-2</v>
      </c>
    </row>
    <row r="2362" spans="1:13" hidden="1" x14ac:dyDescent="0.35">
      <c r="A2362" s="112" t="s">
        <v>5553</v>
      </c>
      <c r="B2362" s="112" t="s">
        <v>924</v>
      </c>
      <c r="C2362" s="112" t="s">
        <v>695</v>
      </c>
      <c r="D2362" s="113">
        <v>10347981</v>
      </c>
      <c r="E2362" s="115">
        <v>43924</v>
      </c>
      <c r="F2362" s="114">
        <v>202101</v>
      </c>
      <c r="G2362" s="112" t="s">
        <v>1091</v>
      </c>
      <c r="H2362" s="112" t="s">
        <v>1015</v>
      </c>
      <c r="I2362" s="112" t="s">
        <v>1148</v>
      </c>
      <c r="J2362" s="112" t="s">
        <v>5558</v>
      </c>
      <c r="K2362" s="112" t="s">
        <v>5582</v>
      </c>
      <c r="L2362" s="116">
        <v>-295</v>
      </c>
      <c r="M2362" s="116">
        <f t="shared" si="36"/>
        <v>-0.29499999999999998</v>
      </c>
    </row>
    <row r="2363" spans="1:13" hidden="1" x14ac:dyDescent="0.35">
      <c r="A2363" s="112" t="s">
        <v>5553</v>
      </c>
      <c r="B2363" s="112" t="s">
        <v>925</v>
      </c>
      <c r="C2363" s="112" t="s">
        <v>695</v>
      </c>
      <c r="D2363" s="113">
        <v>10347981</v>
      </c>
      <c r="E2363" s="115">
        <v>43924</v>
      </c>
      <c r="F2363" s="114">
        <v>202101</v>
      </c>
      <c r="G2363" s="112" t="s">
        <v>1091</v>
      </c>
      <c r="H2363" s="112" t="s">
        <v>1015</v>
      </c>
      <c r="I2363" s="112" t="s">
        <v>1102</v>
      </c>
      <c r="J2363" s="112" t="s">
        <v>5559</v>
      </c>
      <c r="K2363" s="112" t="s">
        <v>5592</v>
      </c>
      <c r="L2363" s="116">
        <v>-400</v>
      </c>
      <c r="M2363" s="116">
        <f t="shared" si="36"/>
        <v>-0.4</v>
      </c>
    </row>
    <row r="2364" spans="1:13" hidden="1" x14ac:dyDescent="0.35">
      <c r="A2364" s="112" t="s">
        <v>5553</v>
      </c>
      <c r="B2364" s="112" t="s">
        <v>927</v>
      </c>
      <c r="C2364" s="112" t="s">
        <v>695</v>
      </c>
      <c r="D2364" s="113">
        <v>10347981</v>
      </c>
      <c r="E2364" s="115">
        <v>43924</v>
      </c>
      <c r="F2364" s="114">
        <v>202101</v>
      </c>
      <c r="G2364" s="112" t="s">
        <v>1091</v>
      </c>
      <c r="H2364" s="112" t="s">
        <v>1015</v>
      </c>
      <c r="I2364" s="112" t="s">
        <v>769</v>
      </c>
      <c r="J2364" s="112" t="s">
        <v>5554</v>
      </c>
      <c r="K2364" s="112" t="s">
        <v>5594</v>
      </c>
      <c r="L2364" s="116">
        <v>-228.04</v>
      </c>
      <c r="M2364" s="116">
        <f t="shared" si="36"/>
        <v>-0.22803999999999999</v>
      </c>
    </row>
    <row r="2365" spans="1:13" hidden="1" x14ac:dyDescent="0.35">
      <c r="A2365" s="112" t="s">
        <v>5553</v>
      </c>
      <c r="B2365" s="112" t="s">
        <v>925</v>
      </c>
      <c r="C2365" s="112" t="s">
        <v>695</v>
      </c>
      <c r="D2365" s="113">
        <v>10347981</v>
      </c>
      <c r="E2365" s="115">
        <v>43924</v>
      </c>
      <c r="F2365" s="114">
        <v>202101</v>
      </c>
      <c r="G2365" s="112" t="s">
        <v>1091</v>
      </c>
      <c r="H2365" s="112" t="s">
        <v>1015</v>
      </c>
      <c r="I2365" s="112" t="s">
        <v>761</v>
      </c>
      <c r="J2365" s="112" t="s">
        <v>5559</v>
      </c>
      <c r="K2365" s="112" t="s">
        <v>5597</v>
      </c>
      <c r="L2365" s="116">
        <v>-8000</v>
      </c>
      <c r="M2365" s="116">
        <f t="shared" si="36"/>
        <v>-8</v>
      </c>
    </row>
    <row r="2366" spans="1:13" hidden="1" x14ac:dyDescent="0.35">
      <c r="A2366" s="112" t="s">
        <v>5553</v>
      </c>
      <c r="B2366" s="112" t="s">
        <v>927</v>
      </c>
      <c r="C2366" s="112" t="s">
        <v>695</v>
      </c>
      <c r="D2366" s="113">
        <v>10347981</v>
      </c>
      <c r="E2366" s="115">
        <v>43924</v>
      </c>
      <c r="F2366" s="114">
        <v>202101</v>
      </c>
      <c r="G2366" s="112" t="s">
        <v>1091</v>
      </c>
      <c r="H2366" s="112" t="s">
        <v>1015</v>
      </c>
      <c r="I2366" s="112" t="s">
        <v>775</v>
      </c>
      <c r="J2366" s="112" t="s">
        <v>5598</v>
      </c>
      <c r="K2366" s="112" t="s">
        <v>5599</v>
      </c>
      <c r="L2366" s="116">
        <v>-60</v>
      </c>
      <c r="M2366" s="116">
        <f t="shared" si="36"/>
        <v>-0.06</v>
      </c>
    </row>
    <row r="2367" spans="1:13" hidden="1" x14ac:dyDescent="0.35">
      <c r="A2367" s="112" t="s">
        <v>5553</v>
      </c>
      <c r="B2367" s="112" t="s">
        <v>927</v>
      </c>
      <c r="C2367" s="112" t="s">
        <v>695</v>
      </c>
      <c r="D2367" s="113">
        <v>10347981</v>
      </c>
      <c r="E2367" s="115">
        <v>43924</v>
      </c>
      <c r="F2367" s="114">
        <v>202101</v>
      </c>
      <c r="G2367" s="112" t="s">
        <v>1091</v>
      </c>
      <c r="H2367" s="112" t="s">
        <v>1015</v>
      </c>
      <c r="I2367" s="112" t="s">
        <v>769</v>
      </c>
      <c r="J2367" s="112" t="s">
        <v>5557</v>
      </c>
      <c r="K2367" s="112" t="s">
        <v>5594</v>
      </c>
      <c r="L2367" s="116">
        <v>-114.02</v>
      </c>
      <c r="M2367" s="116">
        <f t="shared" si="36"/>
        <v>-0.11402</v>
      </c>
    </row>
    <row r="2368" spans="1:13" hidden="1" x14ac:dyDescent="0.35">
      <c r="A2368" s="112" t="s">
        <v>5553</v>
      </c>
      <c r="B2368" s="112" t="s">
        <v>926</v>
      </c>
      <c r="C2368" s="112" t="s">
        <v>695</v>
      </c>
      <c r="D2368" s="113">
        <v>10347981</v>
      </c>
      <c r="E2368" s="115">
        <v>43924</v>
      </c>
      <c r="F2368" s="114">
        <v>202101</v>
      </c>
      <c r="G2368" s="112" t="s">
        <v>1091</v>
      </c>
      <c r="H2368" s="112" t="s">
        <v>1015</v>
      </c>
      <c r="I2368" s="112" t="s">
        <v>761</v>
      </c>
      <c r="J2368" s="112" t="s">
        <v>5591</v>
      </c>
      <c r="K2368" s="112" t="s">
        <v>5600</v>
      </c>
      <c r="L2368" s="116">
        <v>-222.1</v>
      </c>
      <c r="M2368" s="116">
        <f t="shared" si="36"/>
        <v>-0.22209999999999999</v>
      </c>
    </row>
    <row r="2369" spans="1:13" hidden="1" x14ac:dyDescent="0.35">
      <c r="A2369" s="112" t="s">
        <v>5553</v>
      </c>
      <c r="B2369" s="112" t="s">
        <v>924</v>
      </c>
      <c r="C2369" s="112" t="s">
        <v>695</v>
      </c>
      <c r="D2369" s="113">
        <v>10347981</v>
      </c>
      <c r="E2369" s="115">
        <v>43924</v>
      </c>
      <c r="F2369" s="114">
        <v>202101</v>
      </c>
      <c r="G2369" s="112" t="s">
        <v>1091</v>
      </c>
      <c r="H2369" s="112" t="s">
        <v>1015</v>
      </c>
      <c r="I2369" s="112" t="s">
        <v>1599</v>
      </c>
      <c r="J2369" s="112" t="s">
        <v>5558</v>
      </c>
      <c r="K2369" s="112" t="s">
        <v>5601</v>
      </c>
      <c r="L2369" s="116">
        <v>-7500</v>
      </c>
      <c r="M2369" s="116">
        <f t="shared" si="36"/>
        <v>-7.5</v>
      </c>
    </row>
    <row r="2370" spans="1:13" hidden="1" x14ac:dyDescent="0.35">
      <c r="A2370" s="112" t="s">
        <v>5553</v>
      </c>
      <c r="B2370" s="112" t="s">
        <v>5572</v>
      </c>
      <c r="C2370" s="112" t="s">
        <v>695</v>
      </c>
      <c r="D2370" s="113">
        <v>10347981</v>
      </c>
      <c r="E2370" s="115">
        <v>43924</v>
      </c>
      <c r="F2370" s="114">
        <v>202101</v>
      </c>
      <c r="G2370" s="112" t="s">
        <v>1091</v>
      </c>
      <c r="H2370" s="112" t="s">
        <v>1015</v>
      </c>
      <c r="I2370" s="112" t="s">
        <v>763</v>
      </c>
      <c r="J2370" s="112" t="s">
        <v>5573</v>
      </c>
      <c r="K2370" s="112" t="s">
        <v>5602</v>
      </c>
      <c r="L2370" s="116">
        <v>-16589</v>
      </c>
      <c r="M2370" s="116">
        <f t="shared" si="36"/>
        <v>-16.588999999999999</v>
      </c>
    </row>
    <row r="2371" spans="1:13" hidden="1" x14ac:dyDescent="0.35">
      <c r="A2371" s="112" t="s">
        <v>5553</v>
      </c>
      <c r="B2371" s="112" t="s">
        <v>924</v>
      </c>
      <c r="C2371" s="112" t="s">
        <v>695</v>
      </c>
      <c r="D2371" s="113">
        <v>10347981</v>
      </c>
      <c r="E2371" s="115">
        <v>43924</v>
      </c>
      <c r="F2371" s="114">
        <v>202101</v>
      </c>
      <c r="G2371" s="112" t="s">
        <v>1091</v>
      </c>
      <c r="H2371" s="112" t="s">
        <v>1015</v>
      </c>
      <c r="I2371" s="112" t="s">
        <v>769</v>
      </c>
      <c r="J2371" s="112" t="s">
        <v>5558</v>
      </c>
      <c r="K2371" s="112" t="s">
        <v>5603</v>
      </c>
      <c r="L2371" s="116">
        <v>-117.03</v>
      </c>
      <c r="M2371" s="116">
        <f t="shared" ref="M2371:M2434" si="37">L2371/1000</f>
        <v>-0.11703</v>
      </c>
    </row>
    <row r="2372" spans="1:13" hidden="1" x14ac:dyDescent="0.35">
      <c r="A2372" s="112" t="s">
        <v>5553</v>
      </c>
      <c r="B2372" s="112" t="s">
        <v>926</v>
      </c>
      <c r="C2372" s="112" t="s">
        <v>695</v>
      </c>
      <c r="D2372" s="113">
        <v>10347981</v>
      </c>
      <c r="E2372" s="115">
        <v>43924</v>
      </c>
      <c r="F2372" s="114">
        <v>202101</v>
      </c>
      <c r="G2372" s="112" t="s">
        <v>1091</v>
      </c>
      <c r="H2372" s="112" t="s">
        <v>1015</v>
      </c>
      <c r="I2372" s="112" t="s">
        <v>763</v>
      </c>
      <c r="J2372" s="112" t="s">
        <v>5591</v>
      </c>
      <c r="K2372" s="112" t="s">
        <v>5604</v>
      </c>
      <c r="L2372" s="116">
        <v>-1050</v>
      </c>
      <c r="M2372" s="116">
        <f t="shared" si="37"/>
        <v>-1.05</v>
      </c>
    </row>
    <row r="2373" spans="1:13" hidden="1" x14ac:dyDescent="0.35">
      <c r="A2373" s="112" t="s">
        <v>5553</v>
      </c>
      <c r="B2373" s="112" t="s">
        <v>5572</v>
      </c>
      <c r="C2373" s="112" t="s">
        <v>695</v>
      </c>
      <c r="D2373" s="113">
        <v>10347981</v>
      </c>
      <c r="E2373" s="115">
        <v>43924</v>
      </c>
      <c r="F2373" s="114">
        <v>202101</v>
      </c>
      <c r="G2373" s="112" t="s">
        <v>1091</v>
      </c>
      <c r="H2373" s="112" t="s">
        <v>1015</v>
      </c>
      <c r="I2373" s="112" t="s">
        <v>763</v>
      </c>
      <c r="J2373" s="112" t="s">
        <v>5605</v>
      </c>
      <c r="K2373" s="112" t="s">
        <v>5606</v>
      </c>
      <c r="L2373" s="116">
        <v>-1993.75</v>
      </c>
      <c r="M2373" s="116">
        <f t="shared" si="37"/>
        <v>-1.9937499999999999</v>
      </c>
    </row>
    <row r="2374" spans="1:13" hidden="1" x14ac:dyDescent="0.35">
      <c r="A2374" s="112" t="s">
        <v>5553</v>
      </c>
      <c r="B2374" s="112" t="s">
        <v>925</v>
      </c>
      <c r="C2374" s="112" t="s">
        <v>695</v>
      </c>
      <c r="D2374" s="113">
        <v>10347981</v>
      </c>
      <c r="E2374" s="115">
        <v>43924</v>
      </c>
      <c r="F2374" s="114">
        <v>202101</v>
      </c>
      <c r="G2374" s="112" t="s">
        <v>1091</v>
      </c>
      <c r="H2374" s="112" t="s">
        <v>1015</v>
      </c>
      <c r="I2374" s="112" t="s">
        <v>1102</v>
      </c>
      <c r="J2374" s="112" t="s">
        <v>5559</v>
      </c>
      <c r="K2374" s="112" t="s">
        <v>5607</v>
      </c>
      <c r="L2374" s="116">
        <v>-4700</v>
      </c>
      <c r="M2374" s="116">
        <f t="shared" si="37"/>
        <v>-4.7</v>
      </c>
    </row>
    <row r="2375" spans="1:13" hidden="1" x14ac:dyDescent="0.35">
      <c r="A2375" s="112" t="s">
        <v>5553</v>
      </c>
      <c r="B2375" s="112" t="s">
        <v>5572</v>
      </c>
      <c r="C2375" s="112" t="s">
        <v>695</v>
      </c>
      <c r="D2375" s="113">
        <v>10347981</v>
      </c>
      <c r="E2375" s="115">
        <v>43924</v>
      </c>
      <c r="F2375" s="114">
        <v>202101</v>
      </c>
      <c r="G2375" s="112" t="s">
        <v>1091</v>
      </c>
      <c r="H2375" s="112" t="s">
        <v>1015</v>
      </c>
      <c r="I2375" s="112" t="s">
        <v>763</v>
      </c>
      <c r="J2375" s="112" t="s">
        <v>5605</v>
      </c>
      <c r="K2375" s="112" t="s">
        <v>5608</v>
      </c>
      <c r="L2375" s="116">
        <v>-15950</v>
      </c>
      <c r="M2375" s="116">
        <f t="shared" si="37"/>
        <v>-15.95</v>
      </c>
    </row>
    <row r="2376" spans="1:13" hidden="1" x14ac:dyDescent="0.35">
      <c r="A2376" s="112" t="s">
        <v>5553</v>
      </c>
      <c r="B2376" s="112" t="s">
        <v>925</v>
      </c>
      <c r="C2376" s="112" t="s">
        <v>695</v>
      </c>
      <c r="D2376" s="113">
        <v>10347981</v>
      </c>
      <c r="E2376" s="115">
        <v>43924</v>
      </c>
      <c r="F2376" s="114">
        <v>202101</v>
      </c>
      <c r="G2376" s="112" t="s">
        <v>1091</v>
      </c>
      <c r="H2376" s="112" t="s">
        <v>1015</v>
      </c>
      <c r="I2376" s="112" t="s">
        <v>761</v>
      </c>
      <c r="J2376" s="112" t="s">
        <v>5559</v>
      </c>
      <c r="K2376" s="112" t="s">
        <v>5609</v>
      </c>
      <c r="L2376" s="116">
        <v>-2061</v>
      </c>
      <c r="M2376" s="116">
        <f t="shared" si="37"/>
        <v>-2.0609999999999999</v>
      </c>
    </row>
    <row r="2377" spans="1:13" hidden="1" x14ac:dyDescent="0.35">
      <c r="A2377" s="112" t="s">
        <v>5553</v>
      </c>
      <c r="B2377" s="112" t="s">
        <v>924</v>
      </c>
      <c r="C2377" s="112" t="s">
        <v>695</v>
      </c>
      <c r="D2377" s="113">
        <v>10347981</v>
      </c>
      <c r="E2377" s="115">
        <v>43924</v>
      </c>
      <c r="F2377" s="114">
        <v>202101</v>
      </c>
      <c r="G2377" s="112" t="s">
        <v>1091</v>
      </c>
      <c r="H2377" s="112" t="s">
        <v>1015</v>
      </c>
      <c r="I2377" s="112" t="s">
        <v>5610</v>
      </c>
      <c r="J2377" s="112" t="s">
        <v>5558</v>
      </c>
      <c r="K2377" s="112" t="s">
        <v>5611</v>
      </c>
      <c r="L2377" s="116">
        <v>-2160.98</v>
      </c>
      <c r="M2377" s="116">
        <f t="shared" si="37"/>
        <v>-2.1609799999999999</v>
      </c>
    </row>
    <row r="2378" spans="1:13" hidden="1" x14ac:dyDescent="0.35">
      <c r="A2378" s="112" t="s">
        <v>5553</v>
      </c>
      <c r="B2378" s="112" t="s">
        <v>924</v>
      </c>
      <c r="C2378" s="112" t="s">
        <v>695</v>
      </c>
      <c r="D2378" s="113">
        <v>10347981</v>
      </c>
      <c r="E2378" s="115">
        <v>43924</v>
      </c>
      <c r="F2378" s="114">
        <v>202101</v>
      </c>
      <c r="G2378" s="112" t="s">
        <v>1091</v>
      </c>
      <c r="H2378" s="112" t="s">
        <v>1015</v>
      </c>
      <c r="I2378" s="112" t="s">
        <v>5610</v>
      </c>
      <c r="J2378" s="112" t="s">
        <v>5558</v>
      </c>
      <c r="K2378" s="112" t="s">
        <v>5611</v>
      </c>
      <c r="L2378" s="116">
        <v>-2160.98</v>
      </c>
      <c r="M2378" s="116">
        <f t="shared" si="37"/>
        <v>-2.1609799999999999</v>
      </c>
    </row>
    <row r="2379" spans="1:13" hidden="1" x14ac:dyDescent="0.35">
      <c r="A2379" s="112" t="s">
        <v>5553</v>
      </c>
      <c r="B2379" s="112" t="s">
        <v>925</v>
      </c>
      <c r="C2379" s="112" t="s">
        <v>695</v>
      </c>
      <c r="D2379" s="113">
        <v>10347981</v>
      </c>
      <c r="E2379" s="115">
        <v>43924</v>
      </c>
      <c r="F2379" s="114">
        <v>202101</v>
      </c>
      <c r="G2379" s="112" t="s">
        <v>1091</v>
      </c>
      <c r="H2379" s="112" t="s">
        <v>1015</v>
      </c>
      <c r="I2379" s="112" t="s">
        <v>736</v>
      </c>
      <c r="J2379" s="112" t="s">
        <v>5559</v>
      </c>
      <c r="K2379" s="112" t="s">
        <v>5612</v>
      </c>
      <c r="L2379" s="116">
        <v>-287.25</v>
      </c>
      <c r="M2379" s="116">
        <f t="shared" si="37"/>
        <v>-0.28725000000000001</v>
      </c>
    </row>
    <row r="2380" spans="1:13" hidden="1" x14ac:dyDescent="0.35">
      <c r="A2380" s="112" t="s">
        <v>5553</v>
      </c>
      <c r="B2380" s="112" t="s">
        <v>925</v>
      </c>
      <c r="C2380" s="112" t="s">
        <v>695</v>
      </c>
      <c r="D2380" s="113">
        <v>10347981</v>
      </c>
      <c r="E2380" s="115">
        <v>43924</v>
      </c>
      <c r="F2380" s="114">
        <v>202101</v>
      </c>
      <c r="G2380" s="112" t="s">
        <v>1091</v>
      </c>
      <c r="H2380" s="112" t="s">
        <v>1015</v>
      </c>
      <c r="I2380" s="112" t="s">
        <v>736</v>
      </c>
      <c r="J2380" s="112" t="s">
        <v>5559</v>
      </c>
      <c r="K2380" s="112" t="s">
        <v>5613</v>
      </c>
      <c r="L2380" s="116">
        <v>-489.1</v>
      </c>
      <c r="M2380" s="116">
        <f t="shared" si="37"/>
        <v>-0.48910000000000003</v>
      </c>
    </row>
    <row r="2381" spans="1:13" hidden="1" x14ac:dyDescent="0.35">
      <c r="A2381" s="112" t="s">
        <v>5553</v>
      </c>
      <c r="B2381" s="112" t="s">
        <v>927</v>
      </c>
      <c r="C2381" s="112" t="s">
        <v>695</v>
      </c>
      <c r="D2381" s="113">
        <v>10348034</v>
      </c>
      <c r="E2381" s="115">
        <v>43928</v>
      </c>
      <c r="F2381" s="114">
        <v>202101</v>
      </c>
      <c r="G2381" s="112" t="s">
        <v>1091</v>
      </c>
      <c r="H2381" s="112" t="s">
        <v>1015</v>
      </c>
      <c r="I2381" s="112" t="s">
        <v>1211</v>
      </c>
      <c r="J2381" s="112" t="s">
        <v>5557</v>
      </c>
      <c r="K2381" s="112" t="s">
        <v>5616</v>
      </c>
      <c r="L2381" s="116">
        <v>-3616.78</v>
      </c>
      <c r="M2381" s="116">
        <f t="shared" si="37"/>
        <v>-3.6167800000000003</v>
      </c>
    </row>
    <row r="2382" spans="1:13" hidden="1" x14ac:dyDescent="0.35">
      <c r="A2382" s="112" t="s">
        <v>5553</v>
      </c>
      <c r="B2382" s="112" t="s">
        <v>925</v>
      </c>
      <c r="C2382" s="112" t="s">
        <v>695</v>
      </c>
      <c r="D2382" s="113">
        <v>10348034</v>
      </c>
      <c r="E2382" s="115">
        <v>43928</v>
      </c>
      <c r="F2382" s="114">
        <v>202101</v>
      </c>
      <c r="G2382" s="112" t="s">
        <v>1091</v>
      </c>
      <c r="H2382" s="112" t="s">
        <v>1015</v>
      </c>
      <c r="I2382" s="112" t="s">
        <v>1211</v>
      </c>
      <c r="J2382" s="112" t="s">
        <v>5559</v>
      </c>
      <c r="K2382" s="112" t="s">
        <v>5618</v>
      </c>
      <c r="L2382" s="116">
        <v>-3779.01</v>
      </c>
      <c r="M2382" s="116">
        <f t="shared" si="37"/>
        <v>-3.7790100000000004</v>
      </c>
    </row>
    <row r="2383" spans="1:13" hidden="1" x14ac:dyDescent="0.35">
      <c r="A2383" s="112" t="s">
        <v>5553</v>
      </c>
      <c r="B2383" s="112" t="s">
        <v>924</v>
      </c>
      <c r="C2383" s="112" t="s">
        <v>695</v>
      </c>
      <c r="D2383" s="113">
        <v>10348034</v>
      </c>
      <c r="E2383" s="115">
        <v>43928</v>
      </c>
      <c r="F2383" s="114">
        <v>202101</v>
      </c>
      <c r="G2383" s="112" t="s">
        <v>1091</v>
      </c>
      <c r="H2383" s="112" t="s">
        <v>1015</v>
      </c>
      <c r="I2383" s="112" t="s">
        <v>1211</v>
      </c>
      <c r="J2383" s="112" t="s">
        <v>5558</v>
      </c>
      <c r="K2383" s="112" t="s">
        <v>5619</v>
      </c>
      <c r="L2383" s="116">
        <v>-16050</v>
      </c>
      <c r="M2383" s="116">
        <f t="shared" si="37"/>
        <v>-16.05</v>
      </c>
    </row>
    <row r="2384" spans="1:13" hidden="1" x14ac:dyDescent="0.35">
      <c r="A2384" s="112" t="s">
        <v>5553</v>
      </c>
      <c r="B2384" s="112" t="s">
        <v>924</v>
      </c>
      <c r="C2384" s="112" t="s">
        <v>695</v>
      </c>
      <c r="D2384" s="113">
        <v>10348034</v>
      </c>
      <c r="E2384" s="115">
        <v>43928</v>
      </c>
      <c r="F2384" s="114">
        <v>202101</v>
      </c>
      <c r="G2384" s="112" t="s">
        <v>1091</v>
      </c>
      <c r="H2384" s="112" t="s">
        <v>1015</v>
      </c>
      <c r="I2384" s="112" t="s">
        <v>1211</v>
      </c>
      <c r="J2384" s="112" t="s">
        <v>5558</v>
      </c>
      <c r="K2384" s="112" t="s">
        <v>5622</v>
      </c>
      <c r="L2384" s="116">
        <v>-4538.82</v>
      </c>
      <c r="M2384" s="116">
        <f t="shared" si="37"/>
        <v>-4.5388199999999994</v>
      </c>
    </row>
    <row r="2385" spans="1:13" hidden="1" x14ac:dyDescent="0.35">
      <c r="A2385" s="112" t="s">
        <v>5553</v>
      </c>
      <c r="B2385" s="112" t="s">
        <v>924</v>
      </c>
      <c r="C2385" s="112" t="s">
        <v>695</v>
      </c>
      <c r="D2385" s="113">
        <v>10348034</v>
      </c>
      <c r="E2385" s="115">
        <v>43928</v>
      </c>
      <c r="F2385" s="114">
        <v>202101</v>
      </c>
      <c r="G2385" s="112" t="s">
        <v>1091</v>
      </c>
      <c r="H2385" s="112" t="s">
        <v>1015</v>
      </c>
      <c r="I2385" s="112" t="s">
        <v>1211</v>
      </c>
      <c r="J2385" s="112" t="s">
        <v>5558</v>
      </c>
      <c r="K2385" s="112" t="s">
        <v>5623</v>
      </c>
      <c r="L2385" s="116">
        <v>-10075</v>
      </c>
      <c r="M2385" s="116">
        <f t="shared" si="37"/>
        <v>-10.074999999999999</v>
      </c>
    </row>
    <row r="2386" spans="1:13" hidden="1" x14ac:dyDescent="0.35">
      <c r="A2386" s="112" t="s">
        <v>5553</v>
      </c>
      <c r="B2386" s="112" t="s">
        <v>926</v>
      </c>
      <c r="C2386" s="112" t="s">
        <v>695</v>
      </c>
      <c r="D2386" s="113">
        <v>10348034</v>
      </c>
      <c r="E2386" s="115">
        <v>43928</v>
      </c>
      <c r="F2386" s="114">
        <v>202101</v>
      </c>
      <c r="G2386" s="112" t="s">
        <v>1091</v>
      </c>
      <c r="H2386" s="112" t="s">
        <v>1015</v>
      </c>
      <c r="I2386" s="112" t="s">
        <v>1211</v>
      </c>
      <c r="J2386" s="112" t="s">
        <v>5591</v>
      </c>
      <c r="K2386" s="112" t="s">
        <v>5634</v>
      </c>
      <c r="L2386" s="116">
        <v>-3407.14</v>
      </c>
      <c r="M2386" s="116">
        <f t="shared" si="37"/>
        <v>-3.4071400000000001</v>
      </c>
    </row>
    <row r="2387" spans="1:13" hidden="1" x14ac:dyDescent="0.35">
      <c r="A2387" s="112" t="s">
        <v>5553</v>
      </c>
      <c r="B2387" s="112" t="s">
        <v>927</v>
      </c>
      <c r="C2387" s="112" t="s">
        <v>695</v>
      </c>
      <c r="D2387" s="113">
        <v>10348159</v>
      </c>
      <c r="E2387" s="115">
        <v>43930</v>
      </c>
      <c r="F2387" s="114">
        <v>202101</v>
      </c>
      <c r="G2387" s="112" t="s">
        <v>1091</v>
      </c>
      <c r="H2387" s="112" t="s">
        <v>1015</v>
      </c>
      <c r="I2387" s="112" t="s">
        <v>761</v>
      </c>
      <c r="J2387" s="112" t="s">
        <v>5557</v>
      </c>
      <c r="K2387" s="112" t="s">
        <v>5636</v>
      </c>
      <c r="L2387" s="116">
        <v>-3407.5</v>
      </c>
      <c r="M2387" s="116">
        <f t="shared" si="37"/>
        <v>-3.4075000000000002</v>
      </c>
    </row>
    <row r="2388" spans="1:13" hidden="1" x14ac:dyDescent="0.35">
      <c r="A2388" s="112" t="s">
        <v>5553</v>
      </c>
      <c r="B2388" s="112" t="s">
        <v>927</v>
      </c>
      <c r="C2388" s="112" t="s">
        <v>695</v>
      </c>
      <c r="D2388" s="113">
        <v>10348159</v>
      </c>
      <c r="E2388" s="115">
        <v>43930</v>
      </c>
      <c r="F2388" s="114">
        <v>202101</v>
      </c>
      <c r="G2388" s="112" t="s">
        <v>1091</v>
      </c>
      <c r="H2388" s="112" t="s">
        <v>1015</v>
      </c>
      <c r="I2388" s="112" t="s">
        <v>761</v>
      </c>
      <c r="J2388" s="112" t="s">
        <v>5554</v>
      </c>
      <c r="K2388" s="112" t="s">
        <v>5638</v>
      </c>
      <c r="L2388" s="116">
        <v>-4000</v>
      </c>
      <c r="M2388" s="116">
        <f t="shared" si="37"/>
        <v>-4</v>
      </c>
    </row>
    <row r="2389" spans="1:13" hidden="1" x14ac:dyDescent="0.35">
      <c r="A2389" s="112" t="s">
        <v>5553</v>
      </c>
      <c r="B2389" s="112" t="s">
        <v>924</v>
      </c>
      <c r="C2389" s="112" t="s">
        <v>695</v>
      </c>
      <c r="D2389" s="113">
        <v>10348159</v>
      </c>
      <c r="E2389" s="115">
        <v>43930</v>
      </c>
      <c r="F2389" s="114">
        <v>202101</v>
      </c>
      <c r="G2389" s="112" t="s">
        <v>1091</v>
      </c>
      <c r="H2389" s="112" t="s">
        <v>1015</v>
      </c>
      <c r="I2389" s="112" t="s">
        <v>5610</v>
      </c>
      <c r="J2389" s="112" t="s">
        <v>5558</v>
      </c>
      <c r="K2389" s="112" t="s">
        <v>5639</v>
      </c>
      <c r="L2389" s="116">
        <v>2160.98</v>
      </c>
      <c r="M2389" s="116">
        <f t="shared" si="37"/>
        <v>2.1609799999999999</v>
      </c>
    </row>
    <row r="2390" spans="1:13" hidden="1" x14ac:dyDescent="0.35">
      <c r="A2390" s="112" t="s">
        <v>5553</v>
      </c>
      <c r="B2390" s="112" t="s">
        <v>924</v>
      </c>
      <c r="C2390" s="112" t="s">
        <v>695</v>
      </c>
      <c r="D2390" s="113">
        <v>10348159</v>
      </c>
      <c r="E2390" s="115">
        <v>43930</v>
      </c>
      <c r="F2390" s="114">
        <v>202101</v>
      </c>
      <c r="G2390" s="112" t="s">
        <v>1091</v>
      </c>
      <c r="H2390" s="112" t="s">
        <v>1015</v>
      </c>
      <c r="I2390" s="112" t="s">
        <v>1102</v>
      </c>
      <c r="J2390" s="112" t="s">
        <v>5558</v>
      </c>
      <c r="K2390" s="112" t="s">
        <v>5640</v>
      </c>
      <c r="L2390" s="116">
        <v>2800</v>
      </c>
      <c r="M2390" s="116">
        <f t="shared" si="37"/>
        <v>2.8</v>
      </c>
    </row>
    <row r="2391" spans="1:13" hidden="1" x14ac:dyDescent="0.35">
      <c r="A2391" s="112" t="s">
        <v>5553</v>
      </c>
      <c r="B2391" s="112" t="s">
        <v>924</v>
      </c>
      <c r="C2391" s="112" t="s">
        <v>695</v>
      </c>
      <c r="D2391" s="113">
        <v>10348159</v>
      </c>
      <c r="E2391" s="115">
        <v>43930</v>
      </c>
      <c r="F2391" s="114">
        <v>202101</v>
      </c>
      <c r="G2391" s="112" t="s">
        <v>1091</v>
      </c>
      <c r="H2391" s="112" t="s">
        <v>1015</v>
      </c>
      <c r="I2391" s="112" t="s">
        <v>1102</v>
      </c>
      <c r="J2391" s="112" t="s">
        <v>5558</v>
      </c>
      <c r="K2391" s="112" t="s">
        <v>5641</v>
      </c>
      <c r="L2391" s="116">
        <v>1230</v>
      </c>
      <c r="M2391" s="116">
        <f t="shared" si="37"/>
        <v>1.23</v>
      </c>
    </row>
    <row r="2392" spans="1:13" hidden="1" x14ac:dyDescent="0.35">
      <c r="A2392" s="112" t="s">
        <v>5553</v>
      </c>
      <c r="B2392" s="112" t="s">
        <v>924</v>
      </c>
      <c r="C2392" s="112" t="s">
        <v>695</v>
      </c>
      <c r="D2392" s="113">
        <v>10348159</v>
      </c>
      <c r="E2392" s="115">
        <v>43930</v>
      </c>
      <c r="F2392" s="114">
        <v>202101</v>
      </c>
      <c r="G2392" s="112" t="s">
        <v>1091</v>
      </c>
      <c r="H2392" s="112" t="s">
        <v>1015</v>
      </c>
      <c r="I2392" s="112" t="s">
        <v>1102</v>
      </c>
      <c r="J2392" s="112" t="s">
        <v>5558</v>
      </c>
      <c r="K2392" s="112" t="s">
        <v>5642</v>
      </c>
      <c r="L2392" s="116">
        <v>2975</v>
      </c>
      <c r="M2392" s="116">
        <f t="shared" si="37"/>
        <v>2.9750000000000001</v>
      </c>
    </row>
    <row r="2393" spans="1:13" hidden="1" x14ac:dyDescent="0.35">
      <c r="A2393" s="112" t="s">
        <v>5553</v>
      </c>
      <c r="B2393" s="112" t="s">
        <v>924</v>
      </c>
      <c r="C2393" s="112" t="s">
        <v>695</v>
      </c>
      <c r="D2393" s="113">
        <v>10348159</v>
      </c>
      <c r="E2393" s="115">
        <v>43930</v>
      </c>
      <c r="F2393" s="114">
        <v>202101</v>
      </c>
      <c r="G2393" s="112" t="s">
        <v>1091</v>
      </c>
      <c r="H2393" s="112" t="s">
        <v>1015</v>
      </c>
      <c r="I2393" s="112" t="s">
        <v>1102</v>
      </c>
      <c r="J2393" s="112" t="s">
        <v>5558</v>
      </c>
      <c r="K2393" s="112" t="s">
        <v>5643</v>
      </c>
      <c r="L2393" s="116">
        <v>3700</v>
      </c>
      <c r="M2393" s="116">
        <f t="shared" si="37"/>
        <v>3.7</v>
      </c>
    </row>
    <row r="2394" spans="1:13" hidden="1" x14ac:dyDescent="0.35">
      <c r="A2394" s="112" t="s">
        <v>5553</v>
      </c>
      <c r="B2394" s="112" t="s">
        <v>925</v>
      </c>
      <c r="C2394" s="112" t="s">
        <v>695</v>
      </c>
      <c r="D2394" s="113">
        <v>10348159</v>
      </c>
      <c r="E2394" s="115">
        <v>43930</v>
      </c>
      <c r="F2394" s="114">
        <v>202101</v>
      </c>
      <c r="G2394" s="112" t="s">
        <v>1091</v>
      </c>
      <c r="H2394" s="112" t="s">
        <v>1015</v>
      </c>
      <c r="I2394" s="112" t="s">
        <v>1102</v>
      </c>
      <c r="J2394" s="112" t="s">
        <v>5559</v>
      </c>
      <c r="K2394" s="112" t="s">
        <v>5644</v>
      </c>
      <c r="L2394" s="116">
        <v>1600</v>
      </c>
      <c r="M2394" s="116">
        <f t="shared" si="37"/>
        <v>1.6</v>
      </c>
    </row>
    <row r="2395" spans="1:13" hidden="1" x14ac:dyDescent="0.35">
      <c r="A2395" s="112" t="s">
        <v>5553</v>
      </c>
      <c r="B2395" s="112" t="s">
        <v>927</v>
      </c>
      <c r="C2395" s="112" t="s">
        <v>695</v>
      </c>
      <c r="D2395" s="113">
        <v>10348159</v>
      </c>
      <c r="E2395" s="115">
        <v>43930</v>
      </c>
      <c r="F2395" s="114">
        <v>202101</v>
      </c>
      <c r="G2395" s="112" t="s">
        <v>1091</v>
      </c>
      <c r="H2395" s="112" t="s">
        <v>1015</v>
      </c>
      <c r="I2395" s="112" t="s">
        <v>1102</v>
      </c>
      <c r="J2395" s="112" t="s">
        <v>5557</v>
      </c>
      <c r="K2395" s="112" t="s">
        <v>5645</v>
      </c>
      <c r="L2395" s="116">
        <v>1470</v>
      </c>
      <c r="M2395" s="116">
        <f t="shared" si="37"/>
        <v>1.47</v>
      </c>
    </row>
    <row r="2396" spans="1:13" hidden="1" x14ac:dyDescent="0.35">
      <c r="A2396" s="112" t="s">
        <v>5553</v>
      </c>
      <c r="B2396" s="112" t="s">
        <v>927</v>
      </c>
      <c r="C2396" s="112" t="s">
        <v>695</v>
      </c>
      <c r="D2396" s="113">
        <v>10348159</v>
      </c>
      <c r="E2396" s="115">
        <v>43930</v>
      </c>
      <c r="F2396" s="114">
        <v>202101</v>
      </c>
      <c r="G2396" s="112" t="s">
        <v>1091</v>
      </c>
      <c r="H2396" s="112" t="s">
        <v>1015</v>
      </c>
      <c r="I2396" s="112" t="s">
        <v>1102</v>
      </c>
      <c r="J2396" s="112" t="s">
        <v>5554</v>
      </c>
      <c r="K2396" s="112" t="s">
        <v>5645</v>
      </c>
      <c r="L2396" s="116">
        <v>1470</v>
      </c>
      <c r="M2396" s="116">
        <f t="shared" si="37"/>
        <v>1.47</v>
      </c>
    </row>
    <row r="2397" spans="1:13" hidden="1" x14ac:dyDescent="0.35">
      <c r="A2397" s="112" t="s">
        <v>5553</v>
      </c>
      <c r="B2397" s="112" t="s">
        <v>926</v>
      </c>
      <c r="C2397" s="112" t="s">
        <v>695</v>
      </c>
      <c r="D2397" s="113">
        <v>10348159</v>
      </c>
      <c r="E2397" s="115">
        <v>43930</v>
      </c>
      <c r="F2397" s="114">
        <v>202101</v>
      </c>
      <c r="G2397" s="112" t="s">
        <v>1091</v>
      </c>
      <c r="H2397" s="112" t="s">
        <v>1015</v>
      </c>
      <c r="I2397" s="112" t="s">
        <v>767</v>
      </c>
      <c r="J2397" s="112" t="s">
        <v>5567</v>
      </c>
      <c r="K2397" s="112" t="s">
        <v>5646</v>
      </c>
      <c r="L2397" s="116">
        <v>7051</v>
      </c>
      <c r="M2397" s="116">
        <f t="shared" si="37"/>
        <v>7.0510000000000002</v>
      </c>
    </row>
    <row r="2398" spans="1:13" hidden="1" x14ac:dyDescent="0.35">
      <c r="A2398" s="112" t="s">
        <v>5553</v>
      </c>
      <c r="B2398" s="112" t="s">
        <v>927</v>
      </c>
      <c r="C2398" s="112" t="s">
        <v>695</v>
      </c>
      <c r="D2398" s="113">
        <v>10348159</v>
      </c>
      <c r="E2398" s="115">
        <v>43930</v>
      </c>
      <c r="F2398" s="114">
        <v>202101</v>
      </c>
      <c r="G2398" s="112" t="s">
        <v>1091</v>
      </c>
      <c r="H2398" s="112" t="s">
        <v>1015</v>
      </c>
      <c r="I2398" s="112" t="s">
        <v>1102</v>
      </c>
      <c r="J2398" s="112" t="s">
        <v>5557</v>
      </c>
      <c r="K2398" s="112" t="s">
        <v>5647</v>
      </c>
      <c r="L2398" s="116">
        <v>2500</v>
      </c>
      <c r="M2398" s="116">
        <f t="shared" si="37"/>
        <v>2.5</v>
      </c>
    </row>
    <row r="2399" spans="1:13" hidden="1" x14ac:dyDescent="0.35">
      <c r="A2399" s="112" t="s">
        <v>5553</v>
      </c>
      <c r="B2399" s="112" t="s">
        <v>925</v>
      </c>
      <c r="C2399" s="112" t="s">
        <v>695</v>
      </c>
      <c r="D2399" s="113">
        <v>10348159</v>
      </c>
      <c r="E2399" s="115">
        <v>43930</v>
      </c>
      <c r="F2399" s="114">
        <v>202101</v>
      </c>
      <c r="G2399" s="112" t="s">
        <v>1091</v>
      </c>
      <c r="H2399" s="112" t="s">
        <v>1015</v>
      </c>
      <c r="I2399" s="112" t="s">
        <v>1102</v>
      </c>
      <c r="J2399" s="112" t="s">
        <v>5559</v>
      </c>
      <c r="K2399" s="112" t="s">
        <v>5648</v>
      </c>
      <c r="L2399" s="116">
        <v>1600</v>
      </c>
      <c r="M2399" s="116">
        <f t="shared" si="37"/>
        <v>1.6</v>
      </c>
    </row>
    <row r="2400" spans="1:13" hidden="1" x14ac:dyDescent="0.35">
      <c r="A2400" s="112" t="s">
        <v>5553</v>
      </c>
      <c r="B2400" s="112" t="s">
        <v>924</v>
      </c>
      <c r="C2400" s="112" t="s">
        <v>695</v>
      </c>
      <c r="D2400" s="113">
        <v>10348159</v>
      </c>
      <c r="E2400" s="115">
        <v>43930</v>
      </c>
      <c r="F2400" s="114">
        <v>202101</v>
      </c>
      <c r="G2400" s="112" t="s">
        <v>1091</v>
      </c>
      <c r="H2400" s="112" t="s">
        <v>1015</v>
      </c>
      <c r="I2400" s="112" t="s">
        <v>1102</v>
      </c>
      <c r="J2400" s="112" t="s">
        <v>5558</v>
      </c>
      <c r="K2400" s="112" t="s">
        <v>5649</v>
      </c>
      <c r="L2400" s="116">
        <v>4530</v>
      </c>
      <c r="M2400" s="116">
        <f t="shared" si="37"/>
        <v>4.53</v>
      </c>
    </row>
    <row r="2401" spans="1:13" hidden="1" x14ac:dyDescent="0.35">
      <c r="A2401" s="112" t="s">
        <v>5553</v>
      </c>
      <c r="B2401" s="112" t="s">
        <v>924</v>
      </c>
      <c r="C2401" s="112" t="s">
        <v>695</v>
      </c>
      <c r="D2401" s="113">
        <v>10348159</v>
      </c>
      <c r="E2401" s="115">
        <v>43930</v>
      </c>
      <c r="F2401" s="114">
        <v>202101</v>
      </c>
      <c r="G2401" s="112" t="s">
        <v>1091</v>
      </c>
      <c r="H2401" s="112" t="s">
        <v>1015</v>
      </c>
      <c r="I2401" s="112" t="s">
        <v>1102</v>
      </c>
      <c r="J2401" s="112" t="s">
        <v>5558</v>
      </c>
      <c r="K2401" s="112" t="s">
        <v>5650</v>
      </c>
      <c r="L2401" s="116">
        <v>4340</v>
      </c>
      <c r="M2401" s="116">
        <f t="shared" si="37"/>
        <v>4.34</v>
      </c>
    </row>
    <row r="2402" spans="1:13" hidden="1" x14ac:dyDescent="0.35">
      <c r="A2402" s="112" t="s">
        <v>5553</v>
      </c>
      <c r="B2402" s="112" t="s">
        <v>924</v>
      </c>
      <c r="C2402" s="112" t="s">
        <v>695</v>
      </c>
      <c r="D2402" s="113">
        <v>10348159</v>
      </c>
      <c r="E2402" s="115">
        <v>43930</v>
      </c>
      <c r="F2402" s="114">
        <v>202101</v>
      </c>
      <c r="G2402" s="112" t="s">
        <v>1091</v>
      </c>
      <c r="H2402" s="112" t="s">
        <v>1015</v>
      </c>
      <c r="I2402" s="112" t="s">
        <v>5610</v>
      </c>
      <c r="J2402" s="112" t="s">
        <v>5558</v>
      </c>
      <c r="K2402" s="112" t="s">
        <v>5639</v>
      </c>
      <c r="L2402" s="116">
        <v>2160.98</v>
      </c>
      <c r="M2402" s="116">
        <f t="shared" si="37"/>
        <v>2.1609799999999999</v>
      </c>
    </row>
    <row r="2403" spans="1:13" hidden="1" x14ac:dyDescent="0.35">
      <c r="A2403" s="112" t="s">
        <v>5553</v>
      </c>
      <c r="B2403" s="112" t="s">
        <v>925</v>
      </c>
      <c r="C2403" s="112" t="s">
        <v>695</v>
      </c>
      <c r="D2403" s="113">
        <v>10348209</v>
      </c>
      <c r="E2403" s="115">
        <v>43935</v>
      </c>
      <c r="F2403" s="114">
        <v>202101</v>
      </c>
      <c r="G2403" s="112" t="s">
        <v>1091</v>
      </c>
      <c r="H2403" s="112" t="s">
        <v>1016</v>
      </c>
      <c r="I2403" s="112" t="s">
        <v>819</v>
      </c>
      <c r="J2403" s="112" t="s">
        <v>5559</v>
      </c>
      <c r="K2403" s="112" t="s">
        <v>5651</v>
      </c>
      <c r="L2403" s="116">
        <v>-48356.29</v>
      </c>
      <c r="M2403" s="116">
        <f t="shared" si="37"/>
        <v>-48.356290000000001</v>
      </c>
    </row>
    <row r="2404" spans="1:13" hidden="1" x14ac:dyDescent="0.35">
      <c r="A2404" s="112" t="s">
        <v>5553</v>
      </c>
      <c r="B2404" s="112" t="s">
        <v>925</v>
      </c>
      <c r="C2404" s="112" t="s">
        <v>695</v>
      </c>
      <c r="D2404" s="113">
        <v>10348213</v>
      </c>
      <c r="E2404" s="115">
        <v>43935</v>
      </c>
      <c r="F2404" s="114">
        <v>202101</v>
      </c>
      <c r="G2404" s="112" t="s">
        <v>1091</v>
      </c>
      <c r="H2404" s="112" t="s">
        <v>1016</v>
      </c>
      <c r="I2404" s="112" t="s">
        <v>819</v>
      </c>
      <c r="J2404" s="112" t="s">
        <v>5559</v>
      </c>
      <c r="K2404" s="112" t="s">
        <v>5652</v>
      </c>
      <c r="L2404" s="116">
        <v>6993</v>
      </c>
      <c r="M2404" s="116">
        <f t="shared" si="37"/>
        <v>6.9930000000000003</v>
      </c>
    </row>
    <row r="2405" spans="1:13" hidden="1" x14ac:dyDescent="0.35">
      <c r="A2405" s="112" t="s">
        <v>5553</v>
      </c>
      <c r="B2405" s="112" t="s">
        <v>925</v>
      </c>
      <c r="C2405" s="112" t="s">
        <v>695</v>
      </c>
      <c r="D2405" s="113">
        <v>10348213</v>
      </c>
      <c r="E2405" s="115">
        <v>43935</v>
      </c>
      <c r="F2405" s="114">
        <v>202101</v>
      </c>
      <c r="G2405" s="112" t="s">
        <v>1091</v>
      </c>
      <c r="H2405" s="112" t="s">
        <v>1016</v>
      </c>
      <c r="I2405" s="112" t="s">
        <v>819</v>
      </c>
      <c r="J2405" s="112" t="s">
        <v>5559</v>
      </c>
      <c r="K2405" s="112" t="s">
        <v>5653</v>
      </c>
      <c r="L2405" s="116">
        <v>1900</v>
      </c>
      <c r="M2405" s="116">
        <f t="shared" si="37"/>
        <v>1.9</v>
      </c>
    </row>
    <row r="2406" spans="1:13" hidden="1" x14ac:dyDescent="0.35">
      <c r="A2406" s="112" t="s">
        <v>5553</v>
      </c>
      <c r="B2406" s="112" t="s">
        <v>925</v>
      </c>
      <c r="C2406" s="112" t="s">
        <v>695</v>
      </c>
      <c r="D2406" s="113">
        <v>10348213</v>
      </c>
      <c r="E2406" s="115">
        <v>43935</v>
      </c>
      <c r="F2406" s="114">
        <v>202101</v>
      </c>
      <c r="G2406" s="112" t="s">
        <v>1091</v>
      </c>
      <c r="H2406" s="112" t="s">
        <v>1016</v>
      </c>
      <c r="I2406" s="112" t="s">
        <v>819</v>
      </c>
      <c r="J2406" s="112" t="s">
        <v>5559</v>
      </c>
      <c r="K2406" s="112" t="s">
        <v>5654</v>
      </c>
      <c r="L2406" s="116">
        <v>15500</v>
      </c>
      <c r="M2406" s="116">
        <f t="shared" si="37"/>
        <v>15.5</v>
      </c>
    </row>
    <row r="2407" spans="1:13" hidden="1" x14ac:dyDescent="0.35">
      <c r="A2407" s="112" t="s">
        <v>5553</v>
      </c>
      <c r="B2407" s="112" t="s">
        <v>925</v>
      </c>
      <c r="C2407" s="112" t="s">
        <v>695</v>
      </c>
      <c r="D2407" s="113">
        <v>10348213</v>
      </c>
      <c r="E2407" s="115">
        <v>43935</v>
      </c>
      <c r="F2407" s="114">
        <v>202101</v>
      </c>
      <c r="G2407" s="112" t="s">
        <v>1091</v>
      </c>
      <c r="H2407" s="112" t="s">
        <v>1016</v>
      </c>
      <c r="I2407" s="112" t="s">
        <v>819</v>
      </c>
      <c r="J2407" s="112" t="s">
        <v>5559</v>
      </c>
      <c r="K2407" s="112" t="s">
        <v>5655</v>
      </c>
      <c r="L2407" s="116">
        <v>10000</v>
      </c>
      <c r="M2407" s="116">
        <f t="shared" si="37"/>
        <v>10</v>
      </c>
    </row>
    <row r="2408" spans="1:13" hidden="1" x14ac:dyDescent="0.35">
      <c r="A2408" s="112" t="s">
        <v>5553</v>
      </c>
      <c r="B2408" s="112" t="s">
        <v>924</v>
      </c>
      <c r="C2408" s="112" t="s">
        <v>695</v>
      </c>
      <c r="D2408" s="113">
        <v>10348163</v>
      </c>
      <c r="E2408" s="115">
        <v>43930</v>
      </c>
      <c r="F2408" s="114">
        <v>202101</v>
      </c>
      <c r="G2408" s="112" t="s">
        <v>1091</v>
      </c>
      <c r="H2408" s="112" t="s">
        <v>1016</v>
      </c>
      <c r="I2408" s="112" t="s">
        <v>1328</v>
      </c>
      <c r="J2408" s="112" t="s">
        <v>5558</v>
      </c>
      <c r="K2408" s="112" t="s">
        <v>5656</v>
      </c>
      <c r="L2408" s="116">
        <v>112000</v>
      </c>
      <c r="M2408" s="116">
        <f t="shared" si="37"/>
        <v>112</v>
      </c>
    </row>
    <row r="2409" spans="1:13" hidden="1" x14ac:dyDescent="0.35">
      <c r="A2409" s="112" t="s">
        <v>5553</v>
      </c>
      <c r="B2409" s="112" t="s">
        <v>924</v>
      </c>
      <c r="C2409" s="112" t="s">
        <v>695</v>
      </c>
      <c r="D2409" s="113">
        <v>10348159</v>
      </c>
      <c r="E2409" s="115">
        <v>43930</v>
      </c>
      <c r="F2409" s="114">
        <v>202101</v>
      </c>
      <c r="G2409" s="112" t="s">
        <v>1091</v>
      </c>
      <c r="H2409" s="112" t="s">
        <v>1016</v>
      </c>
      <c r="I2409" s="112" t="s">
        <v>673</v>
      </c>
      <c r="J2409" s="112" t="s">
        <v>5558</v>
      </c>
      <c r="K2409" s="112" t="s">
        <v>5657</v>
      </c>
      <c r="L2409" s="116">
        <v>-110247</v>
      </c>
      <c r="M2409" s="116">
        <f t="shared" si="37"/>
        <v>-110.247</v>
      </c>
    </row>
    <row r="2410" spans="1:13" hidden="1" x14ac:dyDescent="0.35">
      <c r="A2410" s="112" t="s">
        <v>5553</v>
      </c>
      <c r="B2410" s="112" t="s">
        <v>924</v>
      </c>
      <c r="C2410" s="112" t="s">
        <v>695</v>
      </c>
      <c r="D2410" s="113">
        <v>10348138</v>
      </c>
      <c r="E2410" s="115">
        <v>43930</v>
      </c>
      <c r="F2410" s="114">
        <v>202101</v>
      </c>
      <c r="G2410" s="112" t="s">
        <v>1091</v>
      </c>
      <c r="H2410" s="112" t="s">
        <v>1016</v>
      </c>
      <c r="I2410" s="112" t="s">
        <v>1328</v>
      </c>
      <c r="J2410" s="112" t="s">
        <v>5558</v>
      </c>
      <c r="K2410" s="112" t="s">
        <v>1951</v>
      </c>
      <c r="L2410" s="116">
        <v>36000</v>
      </c>
      <c r="M2410" s="116">
        <f t="shared" si="37"/>
        <v>36</v>
      </c>
    </row>
    <row r="2411" spans="1:13" hidden="1" x14ac:dyDescent="0.35">
      <c r="A2411" s="112" t="s">
        <v>5666</v>
      </c>
      <c r="B2411" s="112" t="s">
        <v>931</v>
      </c>
      <c r="C2411" s="112" t="s">
        <v>695</v>
      </c>
      <c r="D2411" s="113">
        <v>10347981</v>
      </c>
      <c r="E2411" s="115">
        <v>43924</v>
      </c>
      <c r="F2411" s="114">
        <v>202101</v>
      </c>
      <c r="G2411" s="112" t="s">
        <v>1091</v>
      </c>
      <c r="H2411" s="112" t="s">
        <v>1015</v>
      </c>
      <c r="I2411" s="112" t="s">
        <v>1102</v>
      </c>
      <c r="J2411" s="112" t="s">
        <v>5676</v>
      </c>
      <c r="K2411" s="112" t="s">
        <v>5677</v>
      </c>
      <c r="L2411" s="116">
        <v>-96</v>
      </c>
      <c r="M2411" s="116">
        <f t="shared" si="37"/>
        <v>-9.6000000000000002E-2</v>
      </c>
    </row>
    <row r="2412" spans="1:13" hidden="1" x14ac:dyDescent="0.35">
      <c r="A2412" s="112" t="s">
        <v>5666</v>
      </c>
      <c r="B2412" s="112" t="s">
        <v>931</v>
      </c>
      <c r="C2412" s="112" t="s">
        <v>695</v>
      </c>
      <c r="D2412" s="113">
        <v>10347979</v>
      </c>
      <c r="E2412" s="115">
        <v>43924</v>
      </c>
      <c r="F2412" s="114">
        <v>202101</v>
      </c>
      <c r="G2412" s="112" t="s">
        <v>1091</v>
      </c>
      <c r="H2412" s="112" t="s">
        <v>1015</v>
      </c>
      <c r="I2412" s="112" t="s">
        <v>1536</v>
      </c>
      <c r="J2412" s="112" t="s">
        <v>5668</v>
      </c>
      <c r="K2412" s="112" t="s">
        <v>1698</v>
      </c>
      <c r="L2412" s="116">
        <v>-35</v>
      </c>
      <c r="M2412" s="116">
        <f t="shared" si="37"/>
        <v>-3.5000000000000003E-2</v>
      </c>
    </row>
    <row r="2413" spans="1:13" hidden="1" x14ac:dyDescent="0.35">
      <c r="A2413" s="112" t="s">
        <v>5666</v>
      </c>
      <c r="B2413" s="112" t="s">
        <v>931</v>
      </c>
      <c r="C2413" s="112" t="s">
        <v>695</v>
      </c>
      <c r="D2413" s="113">
        <v>10347981</v>
      </c>
      <c r="E2413" s="115">
        <v>43924</v>
      </c>
      <c r="F2413" s="114">
        <v>202101</v>
      </c>
      <c r="G2413" s="112" t="s">
        <v>1091</v>
      </c>
      <c r="H2413" s="112" t="s">
        <v>1015</v>
      </c>
      <c r="I2413" s="112" t="s">
        <v>1599</v>
      </c>
      <c r="J2413" s="112" t="s">
        <v>5668</v>
      </c>
      <c r="K2413" s="112" t="s">
        <v>5681</v>
      </c>
      <c r="L2413" s="116">
        <v>-1299</v>
      </c>
      <c r="M2413" s="116">
        <f t="shared" si="37"/>
        <v>-1.2989999999999999</v>
      </c>
    </row>
    <row r="2414" spans="1:13" hidden="1" x14ac:dyDescent="0.35">
      <c r="A2414" s="112" t="s">
        <v>5666</v>
      </c>
      <c r="B2414" s="112" t="s">
        <v>932</v>
      </c>
      <c r="C2414" s="112" t="s">
        <v>695</v>
      </c>
      <c r="D2414" s="113">
        <v>10347981</v>
      </c>
      <c r="E2414" s="115">
        <v>43924</v>
      </c>
      <c r="F2414" s="114">
        <v>202101</v>
      </c>
      <c r="G2414" s="112" t="s">
        <v>1091</v>
      </c>
      <c r="H2414" s="112" t="s">
        <v>1015</v>
      </c>
      <c r="I2414" s="112" t="s">
        <v>761</v>
      </c>
      <c r="J2414" s="112" t="s">
        <v>5679</v>
      </c>
      <c r="K2414" s="112" t="s">
        <v>5682</v>
      </c>
      <c r="L2414" s="116">
        <v>-337.5</v>
      </c>
      <c r="M2414" s="116">
        <f t="shared" si="37"/>
        <v>-0.33750000000000002</v>
      </c>
    </row>
    <row r="2415" spans="1:13" hidden="1" x14ac:dyDescent="0.35">
      <c r="A2415" s="112" t="s">
        <v>5666</v>
      </c>
      <c r="B2415" s="112" t="s">
        <v>932</v>
      </c>
      <c r="C2415" s="112" t="s">
        <v>695</v>
      </c>
      <c r="D2415" s="113">
        <v>10347981</v>
      </c>
      <c r="E2415" s="115">
        <v>43924</v>
      </c>
      <c r="F2415" s="114">
        <v>202101</v>
      </c>
      <c r="G2415" s="112" t="s">
        <v>1091</v>
      </c>
      <c r="H2415" s="112" t="s">
        <v>1015</v>
      </c>
      <c r="I2415" s="112" t="s">
        <v>1246</v>
      </c>
      <c r="J2415" s="112" t="s">
        <v>5679</v>
      </c>
      <c r="K2415" s="112" t="s">
        <v>5683</v>
      </c>
      <c r="L2415" s="116">
        <v>-1240</v>
      </c>
      <c r="M2415" s="116">
        <f t="shared" si="37"/>
        <v>-1.24</v>
      </c>
    </row>
    <row r="2416" spans="1:13" hidden="1" x14ac:dyDescent="0.35">
      <c r="A2416" s="112" t="s">
        <v>5666</v>
      </c>
      <c r="B2416" s="112" t="s">
        <v>930</v>
      </c>
      <c r="C2416" s="112" t="s">
        <v>695</v>
      </c>
      <c r="D2416" s="113">
        <v>10347981</v>
      </c>
      <c r="E2416" s="115">
        <v>43924</v>
      </c>
      <c r="F2416" s="114">
        <v>202101</v>
      </c>
      <c r="G2416" s="112" t="s">
        <v>1091</v>
      </c>
      <c r="H2416" s="112" t="s">
        <v>1015</v>
      </c>
      <c r="I2416" s="112" t="s">
        <v>1124</v>
      </c>
      <c r="J2416" s="112" t="s">
        <v>5684</v>
      </c>
      <c r="K2416" s="112" t="s">
        <v>5685</v>
      </c>
      <c r="L2416" s="116">
        <v>-1672.75</v>
      </c>
      <c r="M2416" s="116">
        <f t="shared" si="37"/>
        <v>-1.67275</v>
      </c>
    </row>
    <row r="2417" spans="1:13" hidden="1" x14ac:dyDescent="0.35">
      <c r="A2417" s="112" t="s">
        <v>5666</v>
      </c>
      <c r="B2417" s="112" t="s">
        <v>930</v>
      </c>
      <c r="C2417" s="112" t="s">
        <v>695</v>
      </c>
      <c r="D2417" s="113">
        <v>10347981</v>
      </c>
      <c r="E2417" s="115">
        <v>43924</v>
      </c>
      <c r="F2417" s="114">
        <v>202101</v>
      </c>
      <c r="G2417" s="112" t="s">
        <v>1091</v>
      </c>
      <c r="H2417" s="112" t="s">
        <v>1015</v>
      </c>
      <c r="I2417" s="112" t="s">
        <v>1124</v>
      </c>
      <c r="J2417" s="112" t="s">
        <v>5667</v>
      </c>
      <c r="K2417" s="112" t="s">
        <v>5686</v>
      </c>
      <c r="L2417" s="116">
        <v>-1356.74</v>
      </c>
      <c r="M2417" s="116">
        <f t="shared" si="37"/>
        <v>-1.3567400000000001</v>
      </c>
    </row>
    <row r="2418" spans="1:13" hidden="1" x14ac:dyDescent="0.35">
      <c r="A2418" s="112" t="s">
        <v>5666</v>
      </c>
      <c r="B2418" s="112" t="s">
        <v>929</v>
      </c>
      <c r="C2418" s="112" t="s">
        <v>695</v>
      </c>
      <c r="D2418" s="113">
        <v>10347981</v>
      </c>
      <c r="E2418" s="115">
        <v>43924</v>
      </c>
      <c r="F2418" s="114">
        <v>202101</v>
      </c>
      <c r="G2418" s="112" t="s">
        <v>1091</v>
      </c>
      <c r="H2418" s="112" t="s">
        <v>1015</v>
      </c>
      <c r="I2418" s="112" t="s">
        <v>1399</v>
      </c>
      <c r="J2418" s="112" t="s">
        <v>5672</v>
      </c>
      <c r="K2418" s="112" t="s">
        <v>5687</v>
      </c>
      <c r="L2418" s="116">
        <v>-100.86</v>
      </c>
      <c r="M2418" s="116">
        <f t="shared" si="37"/>
        <v>-0.10086000000000001</v>
      </c>
    </row>
    <row r="2419" spans="1:13" hidden="1" x14ac:dyDescent="0.35">
      <c r="A2419" s="112" t="s">
        <v>5666</v>
      </c>
      <c r="B2419" s="112" t="s">
        <v>931</v>
      </c>
      <c r="C2419" s="112" t="s">
        <v>695</v>
      </c>
      <c r="D2419" s="113">
        <v>10347981</v>
      </c>
      <c r="E2419" s="115">
        <v>43924</v>
      </c>
      <c r="F2419" s="114">
        <v>202101</v>
      </c>
      <c r="G2419" s="112" t="s">
        <v>1091</v>
      </c>
      <c r="H2419" s="112" t="s">
        <v>1015</v>
      </c>
      <c r="I2419" s="112" t="s">
        <v>1599</v>
      </c>
      <c r="J2419" s="112" t="s">
        <v>5668</v>
      </c>
      <c r="K2419" s="112" t="s">
        <v>5688</v>
      </c>
      <c r="L2419" s="116">
        <v>-350</v>
      </c>
      <c r="M2419" s="116">
        <f t="shared" si="37"/>
        <v>-0.35</v>
      </c>
    </row>
    <row r="2420" spans="1:13" hidden="1" x14ac:dyDescent="0.35">
      <c r="A2420" s="112" t="s">
        <v>5666</v>
      </c>
      <c r="B2420" s="112" t="s">
        <v>930</v>
      </c>
      <c r="C2420" s="112" t="s">
        <v>695</v>
      </c>
      <c r="D2420" s="113">
        <v>10347981</v>
      </c>
      <c r="E2420" s="115">
        <v>43924</v>
      </c>
      <c r="F2420" s="114">
        <v>202101</v>
      </c>
      <c r="G2420" s="112" t="s">
        <v>1091</v>
      </c>
      <c r="H2420" s="112" t="s">
        <v>1015</v>
      </c>
      <c r="I2420" s="112" t="s">
        <v>1124</v>
      </c>
      <c r="J2420" s="112" t="s">
        <v>5667</v>
      </c>
      <c r="K2420" s="112" t="s">
        <v>5689</v>
      </c>
      <c r="L2420" s="116">
        <v>-16160.13</v>
      </c>
      <c r="M2420" s="116">
        <f t="shared" si="37"/>
        <v>-16.160129999999999</v>
      </c>
    </row>
    <row r="2421" spans="1:13" hidden="1" x14ac:dyDescent="0.35">
      <c r="A2421" s="112" t="s">
        <v>5666</v>
      </c>
      <c r="B2421" s="112" t="s">
        <v>931</v>
      </c>
      <c r="C2421" s="112" t="s">
        <v>695</v>
      </c>
      <c r="D2421" s="113">
        <v>10347981</v>
      </c>
      <c r="E2421" s="115">
        <v>43924</v>
      </c>
      <c r="F2421" s="114">
        <v>202101</v>
      </c>
      <c r="G2421" s="112" t="s">
        <v>1091</v>
      </c>
      <c r="H2421" s="112" t="s">
        <v>1015</v>
      </c>
      <c r="I2421" s="112" t="s">
        <v>1599</v>
      </c>
      <c r="J2421" s="112" t="s">
        <v>5668</v>
      </c>
      <c r="K2421" s="112" t="s">
        <v>5692</v>
      </c>
      <c r="L2421" s="116">
        <v>-809.75</v>
      </c>
      <c r="M2421" s="116">
        <f t="shared" si="37"/>
        <v>-0.80974999999999997</v>
      </c>
    </row>
    <row r="2422" spans="1:13" hidden="1" x14ac:dyDescent="0.35">
      <c r="A2422" s="112" t="s">
        <v>5666</v>
      </c>
      <c r="B2422" s="112" t="s">
        <v>929</v>
      </c>
      <c r="C2422" s="112" t="s">
        <v>695</v>
      </c>
      <c r="D2422" s="113">
        <v>10347981</v>
      </c>
      <c r="E2422" s="115">
        <v>43924</v>
      </c>
      <c r="F2422" s="114">
        <v>202101</v>
      </c>
      <c r="G2422" s="112" t="s">
        <v>1091</v>
      </c>
      <c r="H2422" s="112" t="s">
        <v>1015</v>
      </c>
      <c r="I2422" s="112" t="s">
        <v>1133</v>
      </c>
      <c r="J2422" s="112" t="s">
        <v>5680</v>
      </c>
      <c r="K2422" s="112" t="s">
        <v>5693</v>
      </c>
      <c r="L2422" s="116">
        <v>-1300</v>
      </c>
      <c r="M2422" s="116">
        <f t="shared" si="37"/>
        <v>-1.3</v>
      </c>
    </row>
    <row r="2423" spans="1:13" hidden="1" x14ac:dyDescent="0.35">
      <c r="A2423" s="112" t="s">
        <v>5666</v>
      </c>
      <c r="B2423" s="112" t="s">
        <v>931</v>
      </c>
      <c r="C2423" s="112" t="s">
        <v>695</v>
      </c>
      <c r="D2423" s="113">
        <v>10347981</v>
      </c>
      <c r="E2423" s="115">
        <v>43924</v>
      </c>
      <c r="F2423" s="114">
        <v>202101</v>
      </c>
      <c r="G2423" s="112" t="s">
        <v>1091</v>
      </c>
      <c r="H2423" s="112" t="s">
        <v>1015</v>
      </c>
      <c r="I2423" s="112" t="s">
        <v>1599</v>
      </c>
      <c r="J2423" s="112" t="s">
        <v>5668</v>
      </c>
      <c r="K2423" s="112" t="s">
        <v>5694</v>
      </c>
      <c r="L2423" s="116">
        <v>-8975</v>
      </c>
      <c r="M2423" s="116">
        <f t="shared" si="37"/>
        <v>-8.9749999999999996</v>
      </c>
    </row>
    <row r="2424" spans="1:13" hidden="1" x14ac:dyDescent="0.35">
      <c r="A2424" s="112" t="s">
        <v>5666</v>
      </c>
      <c r="B2424" s="112" t="s">
        <v>932</v>
      </c>
      <c r="C2424" s="112" t="s">
        <v>695</v>
      </c>
      <c r="D2424" s="113">
        <v>10347981</v>
      </c>
      <c r="E2424" s="115">
        <v>43924</v>
      </c>
      <c r="F2424" s="114">
        <v>202101</v>
      </c>
      <c r="G2424" s="112" t="s">
        <v>1091</v>
      </c>
      <c r="H2424" s="112" t="s">
        <v>1015</v>
      </c>
      <c r="I2424" s="112" t="s">
        <v>761</v>
      </c>
      <c r="J2424" s="112" t="s">
        <v>5679</v>
      </c>
      <c r="K2424" s="112" t="s">
        <v>5682</v>
      </c>
      <c r="L2424" s="116">
        <v>-23</v>
      </c>
      <c r="M2424" s="116">
        <f t="shared" si="37"/>
        <v>-2.3E-2</v>
      </c>
    </row>
    <row r="2425" spans="1:13" hidden="1" x14ac:dyDescent="0.35">
      <c r="A2425" s="112" t="s">
        <v>5666</v>
      </c>
      <c r="B2425" s="112" t="s">
        <v>931</v>
      </c>
      <c r="C2425" s="112" t="s">
        <v>695</v>
      </c>
      <c r="D2425" s="113">
        <v>10347981</v>
      </c>
      <c r="E2425" s="115">
        <v>43924</v>
      </c>
      <c r="F2425" s="114">
        <v>202101</v>
      </c>
      <c r="G2425" s="112" t="s">
        <v>1091</v>
      </c>
      <c r="H2425" s="112" t="s">
        <v>1015</v>
      </c>
      <c r="I2425" s="112" t="s">
        <v>1599</v>
      </c>
      <c r="J2425" s="112" t="s">
        <v>5668</v>
      </c>
      <c r="K2425" s="112" t="s">
        <v>5696</v>
      </c>
      <c r="L2425" s="116">
        <v>-995</v>
      </c>
      <c r="M2425" s="116">
        <f t="shared" si="37"/>
        <v>-0.995</v>
      </c>
    </row>
    <row r="2426" spans="1:13" hidden="1" x14ac:dyDescent="0.35">
      <c r="A2426" s="112" t="s">
        <v>5666</v>
      </c>
      <c r="B2426" s="112" t="s">
        <v>931</v>
      </c>
      <c r="C2426" s="112" t="s">
        <v>695</v>
      </c>
      <c r="D2426" s="113">
        <v>10347981</v>
      </c>
      <c r="E2426" s="115">
        <v>43924</v>
      </c>
      <c r="F2426" s="114">
        <v>202101</v>
      </c>
      <c r="G2426" s="112" t="s">
        <v>1091</v>
      </c>
      <c r="H2426" s="112" t="s">
        <v>1015</v>
      </c>
      <c r="I2426" s="112" t="s">
        <v>1599</v>
      </c>
      <c r="J2426" s="112" t="s">
        <v>5668</v>
      </c>
      <c r="K2426" s="112" t="s">
        <v>5697</v>
      </c>
      <c r="L2426" s="116">
        <v>-250</v>
      </c>
      <c r="M2426" s="116">
        <f t="shared" si="37"/>
        <v>-0.25</v>
      </c>
    </row>
    <row r="2427" spans="1:13" hidden="1" x14ac:dyDescent="0.35">
      <c r="A2427" s="112" t="s">
        <v>5666</v>
      </c>
      <c r="B2427" s="112" t="s">
        <v>930</v>
      </c>
      <c r="C2427" s="112" t="s">
        <v>695</v>
      </c>
      <c r="D2427" s="113">
        <v>10348194</v>
      </c>
      <c r="E2427" s="115">
        <v>43935</v>
      </c>
      <c r="F2427" s="114">
        <v>202101</v>
      </c>
      <c r="G2427" s="112" t="s">
        <v>1091</v>
      </c>
      <c r="H2427" s="112" t="s">
        <v>1016</v>
      </c>
      <c r="I2427" s="112" t="s">
        <v>1291</v>
      </c>
      <c r="J2427" s="112" t="s">
        <v>5684</v>
      </c>
      <c r="K2427" s="112" t="s">
        <v>5698</v>
      </c>
      <c r="L2427" s="116">
        <v>247563.31</v>
      </c>
      <c r="M2427" s="116">
        <f t="shared" si="37"/>
        <v>247.56331</v>
      </c>
    </row>
    <row r="2428" spans="1:13" hidden="1" x14ac:dyDescent="0.35">
      <c r="A2428" s="112" t="s">
        <v>5666</v>
      </c>
      <c r="B2428" s="112" t="s">
        <v>931</v>
      </c>
      <c r="C2428" s="112" t="s">
        <v>695</v>
      </c>
      <c r="D2428" s="113">
        <v>10348194</v>
      </c>
      <c r="E2428" s="115">
        <v>43935</v>
      </c>
      <c r="F2428" s="114">
        <v>202101</v>
      </c>
      <c r="G2428" s="112" t="s">
        <v>1091</v>
      </c>
      <c r="H2428" s="112" t="s">
        <v>1016</v>
      </c>
      <c r="I2428" s="112" t="s">
        <v>5690</v>
      </c>
      <c r="J2428" s="112" t="s">
        <v>5668</v>
      </c>
      <c r="K2428" s="112" t="s">
        <v>5691</v>
      </c>
      <c r="L2428" s="116">
        <v>4685.78</v>
      </c>
      <c r="M2428" s="116">
        <f t="shared" si="37"/>
        <v>4.6857799999999994</v>
      </c>
    </row>
    <row r="2429" spans="1:13" hidden="1" x14ac:dyDescent="0.35">
      <c r="A2429" s="112" t="s">
        <v>5666</v>
      </c>
      <c r="B2429" s="112" t="s">
        <v>931</v>
      </c>
      <c r="C2429" s="112" t="s">
        <v>695</v>
      </c>
      <c r="D2429" s="113">
        <v>10348194</v>
      </c>
      <c r="E2429" s="115">
        <v>43935</v>
      </c>
      <c r="F2429" s="114">
        <v>202101</v>
      </c>
      <c r="G2429" s="112" t="s">
        <v>1091</v>
      </c>
      <c r="H2429" s="112" t="s">
        <v>1015</v>
      </c>
      <c r="I2429" s="112" t="s">
        <v>1246</v>
      </c>
      <c r="J2429" s="112" t="s">
        <v>5676</v>
      </c>
      <c r="K2429" s="112" t="s">
        <v>5707</v>
      </c>
      <c r="L2429" s="116">
        <v>-6000</v>
      </c>
      <c r="M2429" s="116">
        <f t="shared" si="37"/>
        <v>-6</v>
      </c>
    </row>
    <row r="2430" spans="1:13" hidden="1" x14ac:dyDescent="0.35">
      <c r="A2430" s="112" t="s">
        <v>5666</v>
      </c>
      <c r="B2430" s="112" t="s">
        <v>931</v>
      </c>
      <c r="C2430" s="112" t="s">
        <v>695</v>
      </c>
      <c r="D2430" s="113">
        <v>10348194</v>
      </c>
      <c r="E2430" s="115">
        <v>43935</v>
      </c>
      <c r="F2430" s="114">
        <v>202101</v>
      </c>
      <c r="G2430" s="112" t="s">
        <v>1091</v>
      </c>
      <c r="H2430" s="112" t="s">
        <v>1015</v>
      </c>
      <c r="I2430" s="112" t="s">
        <v>3670</v>
      </c>
      <c r="J2430" s="112" t="s">
        <v>5668</v>
      </c>
      <c r="K2430" s="112" t="s">
        <v>5710</v>
      </c>
      <c r="L2430" s="116">
        <v>-14500</v>
      </c>
      <c r="M2430" s="116">
        <f t="shared" si="37"/>
        <v>-14.5</v>
      </c>
    </row>
    <row r="2431" spans="1:13" hidden="1" x14ac:dyDescent="0.35">
      <c r="A2431" s="112" t="s">
        <v>5666</v>
      </c>
      <c r="B2431" s="112" t="s">
        <v>932</v>
      </c>
      <c r="C2431" s="112" t="s">
        <v>695</v>
      </c>
      <c r="D2431" s="113">
        <v>10348194</v>
      </c>
      <c r="E2431" s="115">
        <v>43935</v>
      </c>
      <c r="F2431" s="114">
        <v>202101</v>
      </c>
      <c r="G2431" s="112" t="s">
        <v>1091</v>
      </c>
      <c r="H2431" s="112" t="s">
        <v>1015</v>
      </c>
      <c r="I2431" s="112" t="s">
        <v>1211</v>
      </c>
      <c r="J2431" s="112" t="s">
        <v>5679</v>
      </c>
      <c r="K2431" s="112" t="s">
        <v>5711</v>
      </c>
      <c r="L2431" s="116">
        <v>-11000</v>
      </c>
      <c r="M2431" s="116">
        <f t="shared" si="37"/>
        <v>-11</v>
      </c>
    </row>
    <row r="2432" spans="1:13" hidden="1" x14ac:dyDescent="0.35">
      <c r="A2432" s="112" t="s">
        <v>5666</v>
      </c>
      <c r="B2432" s="112" t="s">
        <v>931</v>
      </c>
      <c r="C2432" s="112" t="s">
        <v>695</v>
      </c>
      <c r="D2432" s="113">
        <v>10348034</v>
      </c>
      <c r="E2432" s="115">
        <v>43928</v>
      </c>
      <c r="F2432" s="114">
        <v>202101</v>
      </c>
      <c r="G2432" s="112" t="s">
        <v>1091</v>
      </c>
      <c r="H2432" s="112" t="s">
        <v>1015</v>
      </c>
      <c r="I2432" s="112" t="s">
        <v>1211</v>
      </c>
      <c r="J2432" s="112" t="s">
        <v>5668</v>
      </c>
      <c r="K2432" s="112" t="s">
        <v>5712</v>
      </c>
      <c r="L2432" s="116">
        <v>-8927.51</v>
      </c>
      <c r="M2432" s="116">
        <f t="shared" si="37"/>
        <v>-8.9275099999999998</v>
      </c>
    </row>
    <row r="2433" spans="1:13" hidden="1" x14ac:dyDescent="0.35">
      <c r="A2433" s="112" t="s">
        <v>5666</v>
      </c>
      <c r="B2433" s="112" t="s">
        <v>931</v>
      </c>
      <c r="C2433" s="112" t="s">
        <v>695</v>
      </c>
      <c r="D2433" s="113">
        <v>10348034</v>
      </c>
      <c r="E2433" s="115">
        <v>43928</v>
      </c>
      <c r="F2433" s="114">
        <v>202101</v>
      </c>
      <c r="G2433" s="112" t="s">
        <v>1091</v>
      </c>
      <c r="H2433" s="112" t="s">
        <v>1015</v>
      </c>
      <c r="I2433" s="112" t="s">
        <v>1211</v>
      </c>
      <c r="J2433" s="112" t="s">
        <v>5668</v>
      </c>
      <c r="K2433" s="112" t="s">
        <v>5714</v>
      </c>
      <c r="L2433" s="116">
        <v>-10844.16</v>
      </c>
      <c r="M2433" s="116">
        <f t="shared" si="37"/>
        <v>-10.84416</v>
      </c>
    </row>
    <row r="2434" spans="1:13" hidden="1" x14ac:dyDescent="0.35">
      <c r="A2434" s="112" t="s">
        <v>5666</v>
      </c>
      <c r="B2434" s="112" t="s">
        <v>931</v>
      </c>
      <c r="C2434" s="112" t="s">
        <v>695</v>
      </c>
      <c r="D2434" s="113">
        <v>10347981</v>
      </c>
      <c r="E2434" s="115">
        <v>43924</v>
      </c>
      <c r="F2434" s="114">
        <v>202101</v>
      </c>
      <c r="G2434" s="112" t="s">
        <v>1091</v>
      </c>
      <c r="H2434" s="112" t="s">
        <v>1015</v>
      </c>
      <c r="I2434" s="112" t="s">
        <v>1211</v>
      </c>
      <c r="J2434" s="112" t="s">
        <v>5668</v>
      </c>
      <c r="K2434" s="112" t="s">
        <v>5715</v>
      </c>
      <c r="L2434" s="116">
        <v>-12204.74</v>
      </c>
      <c r="M2434" s="116">
        <f t="shared" si="37"/>
        <v>-12.204739999999999</v>
      </c>
    </row>
    <row r="2435" spans="1:13" hidden="1" x14ac:dyDescent="0.35">
      <c r="A2435" s="112" t="s">
        <v>5666</v>
      </c>
      <c r="B2435" s="112" t="s">
        <v>931</v>
      </c>
      <c r="C2435" s="112" t="s">
        <v>695</v>
      </c>
      <c r="D2435" s="113">
        <v>10348163</v>
      </c>
      <c r="E2435" s="115">
        <v>43930</v>
      </c>
      <c r="F2435" s="114">
        <v>202101</v>
      </c>
      <c r="G2435" s="112" t="s">
        <v>1091</v>
      </c>
      <c r="H2435" s="112" t="s">
        <v>1016</v>
      </c>
      <c r="I2435" s="112" t="s">
        <v>1328</v>
      </c>
      <c r="J2435" s="112" t="s">
        <v>5668</v>
      </c>
      <c r="K2435" s="112" t="s">
        <v>5716</v>
      </c>
      <c r="L2435" s="116">
        <v>39000</v>
      </c>
      <c r="M2435" s="116">
        <f t="shared" ref="M2435:M2441" si="38">L2435/1000</f>
        <v>39</v>
      </c>
    </row>
    <row r="2436" spans="1:13" hidden="1" x14ac:dyDescent="0.35">
      <c r="A2436" s="112" t="s">
        <v>5666</v>
      </c>
      <c r="B2436" s="112" t="s">
        <v>932</v>
      </c>
      <c r="C2436" s="112" t="s">
        <v>695</v>
      </c>
      <c r="D2436" s="113">
        <v>10348034</v>
      </c>
      <c r="E2436" s="115">
        <v>43928</v>
      </c>
      <c r="F2436" s="114">
        <v>202101</v>
      </c>
      <c r="G2436" s="112" t="s">
        <v>1091</v>
      </c>
      <c r="H2436" s="112" t="s">
        <v>1015</v>
      </c>
      <c r="I2436" s="112" t="s">
        <v>1211</v>
      </c>
      <c r="J2436" s="112" t="s">
        <v>5679</v>
      </c>
      <c r="K2436" s="112" t="s">
        <v>5721</v>
      </c>
      <c r="L2436" s="116">
        <v>-2562.8200000000002</v>
      </c>
      <c r="M2436" s="116">
        <f t="shared" si="38"/>
        <v>-2.5628200000000003</v>
      </c>
    </row>
    <row r="2437" spans="1:13" hidden="1" x14ac:dyDescent="0.35">
      <c r="A2437" s="112" t="s">
        <v>5666</v>
      </c>
      <c r="B2437" s="112" t="s">
        <v>931</v>
      </c>
      <c r="C2437" s="112" t="s">
        <v>695</v>
      </c>
      <c r="D2437" s="113">
        <v>10347981</v>
      </c>
      <c r="E2437" s="115">
        <v>43924</v>
      </c>
      <c r="F2437" s="114">
        <v>202101</v>
      </c>
      <c r="G2437" s="112" t="s">
        <v>1091</v>
      </c>
      <c r="H2437" s="112" t="s">
        <v>1015</v>
      </c>
      <c r="I2437" s="112" t="s">
        <v>1599</v>
      </c>
      <c r="J2437" s="112" t="s">
        <v>5668</v>
      </c>
      <c r="K2437" s="112" t="s">
        <v>5724</v>
      </c>
      <c r="L2437" s="116">
        <v>-6601.6</v>
      </c>
      <c r="M2437" s="116">
        <f t="shared" si="38"/>
        <v>-6.6016000000000004</v>
      </c>
    </row>
    <row r="2438" spans="1:13" hidden="1" x14ac:dyDescent="0.35">
      <c r="A2438" s="112" t="s">
        <v>5666</v>
      </c>
      <c r="B2438" s="112" t="s">
        <v>931</v>
      </c>
      <c r="C2438" s="112" t="s">
        <v>695</v>
      </c>
      <c r="D2438" s="113">
        <v>10347981</v>
      </c>
      <c r="E2438" s="115">
        <v>43924</v>
      </c>
      <c r="F2438" s="114">
        <v>202101</v>
      </c>
      <c r="G2438" s="112" t="s">
        <v>1091</v>
      </c>
      <c r="H2438" s="112" t="s">
        <v>1015</v>
      </c>
      <c r="I2438" s="112" t="s">
        <v>1599</v>
      </c>
      <c r="J2438" s="112" t="s">
        <v>5668</v>
      </c>
      <c r="K2438" s="112" t="s">
        <v>5725</v>
      </c>
      <c r="L2438" s="116">
        <v>-400</v>
      </c>
      <c r="M2438" s="116">
        <f t="shared" si="38"/>
        <v>-0.4</v>
      </c>
    </row>
    <row r="2439" spans="1:13" hidden="1" x14ac:dyDescent="0.35">
      <c r="A2439" s="112" t="s">
        <v>5666</v>
      </c>
      <c r="B2439" s="112" t="s">
        <v>931</v>
      </c>
      <c r="C2439" s="112" t="s">
        <v>695</v>
      </c>
      <c r="D2439" s="113">
        <v>10347981</v>
      </c>
      <c r="E2439" s="115">
        <v>43924</v>
      </c>
      <c r="F2439" s="114">
        <v>202101</v>
      </c>
      <c r="G2439" s="112" t="s">
        <v>1091</v>
      </c>
      <c r="H2439" s="112" t="s">
        <v>1015</v>
      </c>
      <c r="I2439" s="112" t="s">
        <v>1599</v>
      </c>
      <c r="J2439" s="112" t="s">
        <v>5668</v>
      </c>
      <c r="K2439" s="112" t="s">
        <v>5728</v>
      </c>
      <c r="L2439" s="116">
        <v>-300</v>
      </c>
      <c r="M2439" s="116">
        <f t="shared" si="38"/>
        <v>-0.3</v>
      </c>
    </row>
    <row r="2440" spans="1:13" hidden="1" x14ac:dyDescent="0.35">
      <c r="A2440" s="112" t="s">
        <v>5666</v>
      </c>
      <c r="B2440" s="112" t="s">
        <v>931</v>
      </c>
      <c r="C2440" s="112" t="s">
        <v>695</v>
      </c>
      <c r="D2440" s="113">
        <v>10347981</v>
      </c>
      <c r="E2440" s="115">
        <v>43924</v>
      </c>
      <c r="F2440" s="114">
        <v>202101</v>
      </c>
      <c r="G2440" s="112" t="s">
        <v>1091</v>
      </c>
      <c r="H2440" s="112" t="s">
        <v>1015</v>
      </c>
      <c r="I2440" s="112" t="s">
        <v>1599</v>
      </c>
      <c r="J2440" s="112" t="s">
        <v>5668</v>
      </c>
      <c r="K2440" s="112" t="s">
        <v>5731</v>
      </c>
      <c r="L2440" s="116">
        <v>-480.85</v>
      </c>
      <c r="M2440" s="116">
        <f t="shared" si="38"/>
        <v>-0.48085</v>
      </c>
    </row>
    <row r="2441" spans="1:13" hidden="1" x14ac:dyDescent="0.35">
      <c r="A2441" s="112" t="s">
        <v>5666</v>
      </c>
      <c r="B2441" s="112" t="s">
        <v>931</v>
      </c>
      <c r="C2441" s="112" t="s">
        <v>695</v>
      </c>
      <c r="D2441" s="113">
        <v>10347981</v>
      </c>
      <c r="E2441" s="115">
        <v>43924</v>
      </c>
      <c r="F2441" s="114">
        <v>202101</v>
      </c>
      <c r="G2441" s="112" t="s">
        <v>1091</v>
      </c>
      <c r="H2441" s="112" t="s">
        <v>1015</v>
      </c>
      <c r="I2441" s="112" t="s">
        <v>1599</v>
      </c>
      <c r="J2441" s="112" t="s">
        <v>5668</v>
      </c>
      <c r="K2441" s="112" t="s">
        <v>5733</v>
      </c>
      <c r="L2441" s="116">
        <v>-120</v>
      </c>
      <c r="M2441" s="116">
        <f t="shared" si="38"/>
        <v>-0.12</v>
      </c>
    </row>
  </sheetData>
  <autoFilter ref="A1:M2441" xr:uid="{00000000-0009-0000-0000-000017000000}">
    <filterColumn colId="1">
      <filters>
        <filter val="S03F"/>
      </filters>
    </filterColumn>
  </autoFilter>
  <customSheetViews>
    <customSheetView guid="{903669DD-1133-45D2-B108-C6B5BEA5EB61}" scale="80" filter="1" showAutoFilter="1" state="hidden">
      <pageMargins left="0" right="0" top="0" bottom="0" header="0" footer="0"/>
      <autoFilter ref="A1:M2441" xr:uid="{3877AE60-846C-437A-AE42-B71E8E6F9AA4}">
        <filterColumn colId="1">
          <filters>
            <filter val="S03F"/>
          </filters>
        </filterColumn>
      </autoFilter>
    </customSheetView>
    <customSheetView guid="{7910FD81-BFE7-4CD5-939B-3D7A1CA9601A}" filter="1" showAutoFilter="1" state="hidden">
      <pageMargins left="0" right="0" top="0" bottom="0" header="0" footer="0"/>
      <autoFilter ref="A1:M2441" xr:uid="{0066991F-B27F-4B2C-90E6-2D7C415F1994}">
        <filterColumn colId="1">
          <filters>
            <filter val="S03F"/>
          </filters>
        </filterColumn>
      </autoFilter>
    </customSheetView>
    <customSheetView guid="{051C2D13-0D3D-44C3-A7DB-A0EAFBF115F0}" scale="80" filter="1" showAutoFilter="1" state="hidden">
      <pageMargins left="0" right="0" top="0" bottom="0" header="0" footer="0"/>
      <autoFilter ref="A1:M2441" xr:uid="{5FA1BE77-E320-44FA-AA60-A72D5A31C5A9}">
        <filterColumn colId="1">
          <filters>
            <filter val="S03F"/>
          </filters>
        </filterColumn>
      </autoFilter>
    </customSheetView>
    <customSheetView guid="{9C479752-7F2F-4739-B52F-47A06FE05EF0}" filter="1" showAutoFilter="1" state="hidden">
      <pageMargins left="0" right="0" top="0" bottom="0" header="0" footer="0"/>
      <autoFilter ref="A1:M2441" xr:uid="{A34360F6-65F6-42DA-87D8-F5240B192B77}">
        <filterColumn colId="1">
          <filters>
            <filter val="S03F"/>
          </filters>
        </filterColumn>
      </autoFilter>
    </customSheetView>
    <customSheetView guid="{A0809A10-8F40-4AD2-8943-60E412AED428}" scale="80" filter="1" showAutoFilter="1" state="hidden">
      <pageMargins left="0" right="0" top="0" bottom="0" header="0" footer="0"/>
      <autoFilter ref="A1:M2441" xr:uid="{9206A50C-D8FE-47B5-A284-864BC20761B1}">
        <filterColumn colId="1">
          <filters>
            <filter val="S03F"/>
          </filters>
        </filterColumn>
      </autoFilter>
    </customSheetView>
    <customSheetView guid="{3E006852-BD2D-4884-A2A1-BFAEAE24582F}" scale="80" filter="1" showAutoFilter="1" state="hidden">
      <pageMargins left="0" right="0" top="0" bottom="0" header="0" footer="0"/>
      <autoFilter ref="A1:M2441" xr:uid="{C89A2890-A237-4447-80A4-8F07736C4522}">
        <filterColumn colId="1">
          <filters>
            <filter val="S03F"/>
          </filters>
        </filterColumn>
      </autoFilter>
    </customSheetView>
    <customSheetView guid="{28ADD64E-1C54-4CF2-8A6A-391E4DF6D903}" scale="80" filter="1" showAutoFilter="1" state="hidden">
      <pageMargins left="0" right="0" top="0" bottom="0" header="0" footer="0"/>
      <autoFilter ref="A1:M2441" xr:uid="{8FDB3E8D-7F2E-4A58-9B18-D669B541E3F2}">
        <filterColumn colId="1">
          <filters>
            <filter val="S03F"/>
          </filters>
        </filterColumn>
      </autoFilter>
    </customSheetView>
    <customSheetView guid="{B5B78BF3-B1F8-4BBA-8E40-E18C6034B566}" filter="1" showAutoFilter="1" state="hidden">
      <pageMargins left="0" right="0" top="0" bottom="0" header="0" footer="0"/>
      <autoFilter ref="A1:M2441" xr:uid="{8988514C-9D77-4133-9E90-C9FB9D40BAF0}">
        <filterColumn colId="1">
          <filters>
            <filter val="S03F"/>
          </filters>
        </filterColumn>
      </autoFilter>
    </customSheetView>
    <customSheetView guid="{2F5D2611-A2AC-4668-B979-0EE258BE5F1F}" scale="80" filter="1" showAutoFilter="1" state="hidden">
      <pageMargins left="0" right="0" top="0" bottom="0" header="0" footer="0"/>
      <autoFilter ref="A1:M2441" xr:uid="{E498D8F6-E1D2-4BD2-97B8-54CFAE55D66E}">
        <filterColumn colId="1">
          <filters>
            <filter val="S03F"/>
          </filters>
        </filterColumn>
      </autoFilter>
    </customSheetView>
    <customSheetView guid="{2EE8538C-E3AE-40C6-B22A-073EBF96300A}" scale="80" filter="1" showAutoFilter="1" state="hidden">
      <pageMargins left="0" right="0" top="0" bottom="0" header="0" footer="0"/>
      <autoFilter ref="A1:M2441" xr:uid="{DE526220-6EC7-45F4-9CC5-3477C55C5EB4}">
        <filterColumn colId="1">
          <filters>
            <filter val="S03F"/>
          </filters>
        </filterColumn>
      </autoFilter>
    </customSheetView>
    <customSheetView guid="{E4F22399-07D5-465E-AFB1-A36259E00328}" scale="80" filter="1" showAutoFilter="1" state="hidden">
      <pageMargins left="0" right="0" top="0" bottom="0" header="0" footer="0"/>
      <autoFilter ref="A1:M2441" xr:uid="{9C98DFC8-3787-4595-B278-76505604C24A}">
        <filterColumn colId="1">
          <filters>
            <filter val="S03F"/>
          </filters>
        </filterColumn>
      </autoFilter>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H14"/>
  <sheetViews>
    <sheetView workbookViewId="0"/>
  </sheetViews>
  <sheetFormatPr defaultRowHeight="12.5" x14ac:dyDescent="0.25"/>
  <cols>
    <col min="8" max="8" width="12.54296875" bestFit="1" customWidth="1"/>
  </cols>
  <sheetData>
    <row r="14" spans="8:8" x14ac:dyDescent="0.25">
      <c r="H14" s="10">
        <f>-6947000+1219000</f>
        <v>-5728000</v>
      </c>
    </row>
  </sheetData>
  <customSheetViews>
    <customSheetView guid="{903669DD-1133-45D2-B108-C6B5BEA5EB61}" state="hidden">
      <pageMargins left="0" right="0" top="0" bottom="0" header="0" footer="0"/>
    </customSheetView>
    <customSheetView guid="{7910FD81-BFE7-4CD5-939B-3D7A1CA9601A}" state="hidden">
      <pageMargins left="0" right="0" top="0" bottom="0" header="0" footer="0"/>
    </customSheetView>
    <customSheetView guid="{051C2D13-0D3D-44C3-A7DB-A0EAFBF115F0}" state="hidden">
      <pageMargins left="0" right="0" top="0" bottom="0" header="0" footer="0"/>
    </customSheetView>
    <customSheetView guid="{9C479752-7F2F-4739-B52F-47A06FE05EF0}" state="hidden">
      <pageMargins left="0" right="0" top="0" bottom="0" header="0" footer="0"/>
    </customSheetView>
    <customSheetView guid="{A0809A10-8F40-4AD2-8943-60E412AED428}" state="hidden">
      <pageMargins left="0" right="0" top="0" bottom="0" header="0" footer="0"/>
    </customSheetView>
    <customSheetView guid="{3E006852-BD2D-4884-A2A1-BFAEAE24582F}" state="hidden">
      <pageMargins left="0" right="0" top="0" bottom="0" header="0" footer="0"/>
    </customSheetView>
    <customSheetView guid="{28ADD64E-1C54-4CF2-8A6A-391E4DF6D903}" state="hidden">
      <pageMargins left="0" right="0" top="0" bottom="0" header="0" footer="0"/>
    </customSheetView>
    <customSheetView guid="{B5B78BF3-B1F8-4BBA-8E40-E18C6034B566}" state="hidden">
      <pageMargins left="0" right="0" top="0" bottom="0" header="0" footer="0"/>
    </customSheetView>
    <customSheetView guid="{2F5D2611-A2AC-4668-B979-0EE258BE5F1F}" state="hidden">
      <pageMargins left="0" right="0" top="0" bottom="0" header="0" footer="0"/>
    </customSheetView>
    <customSheetView guid="{2EE8538C-E3AE-40C6-B22A-073EBF96300A}" state="hidden">
      <pageMargins left="0" right="0" top="0" bottom="0" header="0" footer="0"/>
    </customSheetView>
    <customSheetView guid="{E4F22399-07D5-465E-AFB1-A36259E00328}" state="hidden">
      <pageMargins left="0" right="0" top="0" bottom="0" header="0" footer="0"/>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2:Z90"/>
  <sheetViews>
    <sheetView topLeftCell="F1" zoomScale="60" workbookViewId="0">
      <selection activeCell="H42" sqref="H42"/>
    </sheetView>
  </sheetViews>
  <sheetFormatPr defaultColWidth="9.453125" defaultRowHeight="12.5" x14ac:dyDescent="0.25"/>
  <cols>
    <col min="1" max="2" width="9.453125" style="319" hidden="1" customWidth="1"/>
    <col min="3" max="3" width="13.54296875" style="319" hidden="1" customWidth="1"/>
    <col min="4" max="5" width="9.453125" style="319" hidden="1" customWidth="1"/>
    <col min="6" max="6" width="37.54296875" style="329" customWidth="1"/>
    <col min="7" max="7" width="9.453125" style="319"/>
    <col min="8" max="8" width="20.453125" style="319" bestFit="1" customWidth="1"/>
    <col min="9" max="9" width="19.54296875" style="319" bestFit="1" customWidth="1"/>
    <col min="10" max="10" width="22.54296875" style="319" hidden="1" customWidth="1"/>
    <col min="11" max="11" width="24" style="321" hidden="1" customWidth="1"/>
    <col min="12" max="13" width="13.54296875" style="326" hidden="1" customWidth="1"/>
    <col min="14" max="15" width="13.54296875" style="326" customWidth="1"/>
    <col min="16" max="16" width="15.54296875" style="326" customWidth="1"/>
    <col min="17" max="18" width="13.54296875" style="326" customWidth="1"/>
    <col min="19" max="19" width="50.54296875" style="321" customWidth="1"/>
    <col min="20" max="23" width="9.453125" style="319"/>
    <col min="24" max="24" width="21.54296875" style="319" customWidth="1"/>
    <col min="25" max="25" width="15.54296875" style="319" customWidth="1"/>
    <col min="26" max="16384" width="9.453125" style="319"/>
  </cols>
  <sheetData>
    <row r="2" spans="1:26" ht="13" x14ac:dyDescent="0.3">
      <c r="F2" s="320" t="s">
        <v>467</v>
      </c>
      <c r="K2" s="321" t="s">
        <v>468</v>
      </c>
      <c r="L2" s="319"/>
      <c r="M2" s="320"/>
      <c r="N2" s="320"/>
      <c r="O2" s="320"/>
      <c r="P2" s="320"/>
      <c r="Q2" s="320"/>
      <c r="R2" s="320"/>
      <c r="S2" s="322" t="s">
        <v>469</v>
      </c>
    </row>
    <row r="3" spans="1:26" ht="53.9" customHeight="1" x14ac:dyDescent="0.3">
      <c r="F3" s="323" t="s">
        <v>0</v>
      </c>
      <c r="L3" s="324" t="s">
        <v>470</v>
      </c>
      <c r="M3" s="324" t="s">
        <v>471</v>
      </c>
      <c r="N3" s="324"/>
      <c r="O3" s="325" t="s">
        <v>472</v>
      </c>
      <c r="P3" s="325" t="s">
        <v>473</v>
      </c>
      <c r="Q3" s="325" t="s">
        <v>474</v>
      </c>
      <c r="S3" s="319"/>
    </row>
    <row r="4" spans="1:26" ht="13" x14ac:dyDescent="0.3">
      <c r="F4" s="323" t="s">
        <v>475</v>
      </c>
      <c r="L4" s="845" t="s">
        <v>476</v>
      </c>
      <c r="M4" s="845"/>
      <c r="N4" s="327" t="s">
        <v>477</v>
      </c>
      <c r="O4" s="327" t="s">
        <v>478</v>
      </c>
      <c r="P4" s="328" t="s">
        <v>479</v>
      </c>
      <c r="Q4" s="328" t="s">
        <v>480</v>
      </c>
      <c r="R4" s="328" t="s">
        <v>481</v>
      </c>
    </row>
    <row r="5" spans="1:26" ht="39" x14ac:dyDescent="0.3">
      <c r="A5" s="319" t="s">
        <v>482</v>
      </c>
      <c r="B5" s="319" t="s">
        <v>483</v>
      </c>
      <c r="C5" s="319" t="s">
        <v>484</v>
      </c>
      <c r="D5" s="329" t="s">
        <v>485</v>
      </c>
      <c r="E5" s="329" t="s">
        <v>486</v>
      </c>
      <c r="F5" s="330" t="s">
        <v>487</v>
      </c>
      <c r="G5" s="331" t="s">
        <v>488</v>
      </c>
      <c r="H5" s="331" t="s">
        <v>489</v>
      </c>
      <c r="I5" s="331" t="s">
        <v>490</v>
      </c>
      <c r="J5" s="331" t="s">
        <v>489</v>
      </c>
      <c r="K5" s="332" t="s">
        <v>491</v>
      </c>
      <c r="L5" s="333" t="s">
        <v>492</v>
      </c>
      <c r="M5" s="333" t="s">
        <v>493</v>
      </c>
      <c r="N5" s="333" t="s">
        <v>494</v>
      </c>
      <c r="O5" s="333" t="s">
        <v>495</v>
      </c>
      <c r="P5" s="333" t="s">
        <v>495</v>
      </c>
      <c r="Q5" s="333" t="s">
        <v>495</v>
      </c>
      <c r="R5" s="333" t="s">
        <v>495</v>
      </c>
      <c r="S5" s="332" t="s">
        <v>496</v>
      </c>
    </row>
    <row r="6" spans="1:26" ht="15" customHeight="1" x14ac:dyDescent="0.3">
      <c r="F6" s="330"/>
      <c r="G6" s="334"/>
      <c r="H6" s="334"/>
      <c r="I6" s="334"/>
      <c r="J6" s="334"/>
      <c r="K6" s="332"/>
      <c r="L6" s="327" t="s">
        <v>497</v>
      </c>
      <c r="M6" s="327" t="s">
        <v>497</v>
      </c>
      <c r="N6" s="327" t="s">
        <v>34</v>
      </c>
      <c r="O6" s="327" t="s">
        <v>497</v>
      </c>
      <c r="P6" s="327" t="s">
        <v>497</v>
      </c>
      <c r="Q6" s="327" t="s">
        <v>497</v>
      </c>
      <c r="R6" s="327" t="s">
        <v>497</v>
      </c>
      <c r="S6" s="332"/>
    </row>
    <row r="7" spans="1:26" ht="75" x14ac:dyDescent="0.25">
      <c r="F7" s="335" t="s">
        <v>498</v>
      </c>
      <c r="G7" s="336" t="s">
        <v>499</v>
      </c>
      <c r="H7" s="336" t="s">
        <v>500</v>
      </c>
      <c r="I7" s="337" t="s">
        <v>501</v>
      </c>
      <c r="J7" s="337"/>
      <c r="K7" s="338" t="s">
        <v>502</v>
      </c>
      <c r="L7" s="339">
        <v>400</v>
      </c>
      <c r="M7" s="340">
        <v>755</v>
      </c>
      <c r="N7" s="375">
        <f>+SUM(M7+L7)</f>
        <v>1155</v>
      </c>
      <c r="O7" s="341">
        <v>1000</v>
      </c>
      <c r="P7" s="341">
        <v>750</v>
      </c>
      <c r="Q7" s="341">
        <v>500</v>
      </c>
      <c r="R7" s="341"/>
      <c r="S7" s="342" t="s">
        <v>503</v>
      </c>
    </row>
    <row r="8" spans="1:26" ht="37.5" x14ac:dyDescent="0.25">
      <c r="F8" s="335" t="s">
        <v>504</v>
      </c>
      <c r="G8" s="336" t="s">
        <v>499</v>
      </c>
      <c r="H8" s="336" t="s">
        <v>500</v>
      </c>
      <c r="I8" s="337" t="s">
        <v>501</v>
      </c>
      <c r="J8" s="337"/>
      <c r="K8" s="338" t="s">
        <v>502</v>
      </c>
      <c r="L8" s="339">
        <v>300</v>
      </c>
      <c r="M8" s="340">
        <v>0</v>
      </c>
      <c r="N8" s="375">
        <f>+SUM(M8+L8)</f>
        <v>300</v>
      </c>
      <c r="O8" s="341">
        <v>300</v>
      </c>
      <c r="P8" s="341">
        <v>300</v>
      </c>
      <c r="Q8" s="341">
        <v>300</v>
      </c>
      <c r="R8" s="341">
        <v>300</v>
      </c>
      <c r="S8" s="342" t="s">
        <v>505</v>
      </c>
    </row>
    <row r="9" spans="1:26" ht="25" x14ac:dyDescent="0.25">
      <c r="F9" s="335" t="s">
        <v>506</v>
      </c>
      <c r="G9" s="336" t="s">
        <v>499</v>
      </c>
      <c r="H9" s="336" t="s">
        <v>500</v>
      </c>
      <c r="I9" s="337" t="s">
        <v>501</v>
      </c>
      <c r="J9" s="337"/>
      <c r="K9" s="342" t="s">
        <v>507</v>
      </c>
      <c r="L9" s="339">
        <v>-346</v>
      </c>
      <c r="M9" s="340"/>
      <c r="N9" s="375">
        <v>-557</v>
      </c>
      <c r="O9" s="341">
        <v>471</v>
      </c>
      <c r="P9" s="341">
        <v>490</v>
      </c>
      <c r="Q9" s="341">
        <v>554</v>
      </c>
      <c r="R9" s="341">
        <v>554</v>
      </c>
      <c r="S9" s="342" t="s">
        <v>508</v>
      </c>
    </row>
    <row r="10" spans="1:26" ht="87.5" x14ac:dyDescent="0.25">
      <c r="A10" s="319" t="e">
        <f>651/+SUM(E7:E10)</f>
        <v>#DIV/0!</v>
      </c>
      <c r="C10" s="319" t="e">
        <f>4109/+SUM(D7:D10)</f>
        <v>#DIV/0!</v>
      </c>
      <c r="F10" s="335" t="s">
        <v>509</v>
      </c>
      <c r="G10" s="336" t="s">
        <v>499</v>
      </c>
      <c r="H10" s="336" t="s">
        <v>510</v>
      </c>
      <c r="I10" s="337" t="s">
        <v>501</v>
      </c>
      <c r="J10" s="337"/>
      <c r="K10" s="342" t="s">
        <v>502</v>
      </c>
      <c r="L10" s="340">
        <v>1600</v>
      </c>
      <c r="M10" s="340">
        <v>1400</v>
      </c>
      <c r="N10" s="375">
        <v>3000</v>
      </c>
      <c r="O10" s="341">
        <v>2000</v>
      </c>
      <c r="P10" s="341">
        <v>1000</v>
      </c>
      <c r="Q10" s="341"/>
      <c r="R10" s="341"/>
      <c r="S10" s="342" t="s">
        <v>511</v>
      </c>
      <c r="T10" s="319" t="s">
        <v>512</v>
      </c>
    </row>
    <row r="11" spans="1:26" ht="25" x14ac:dyDescent="0.25">
      <c r="D11" s="319">
        <v>477</v>
      </c>
      <c r="E11" s="319">
        <f t="shared" ref="E11:E35" si="0">+D11/12</f>
        <v>39.75</v>
      </c>
      <c r="F11" s="335" t="s">
        <v>513</v>
      </c>
      <c r="G11" s="343" t="s">
        <v>499</v>
      </c>
      <c r="H11" s="343" t="s">
        <v>514</v>
      </c>
      <c r="I11" s="337" t="s">
        <v>501</v>
      </c>
      <c r="J11" s="337"/>
      <c r="K11" s="342" t="s">
        <v>515</v>
      </c>
      <c r="L11" s="339">
        <v>105</v>
      </c>
      <c r="M11" s="340">
        <v>105</v>
      </c>
      <c r="N11" s="375">
        <v>280</v>
      </c>
      <c r="O11" s="344">
        <f>+N11*0.75</f>
        <v>210</v>
      </c>
      <c r="P11" s="344">
        <f>O11*50%</f>
        <v>105</v>
      </c>
      <c r="Q11" s="344">
        <v>0</v>
      </c>
      <c r="R11" s="344"/>
      <c r="S11" s="342" t="s">
        <v>516</v>
      </c>
      <c r="T11" s="319" t="s">
        <v>517</v>
      </c>
    </row>
    <row r="12" spans="1:26" ht="37.5" x14ac:dyDescent="0.25">
      <c r="D12" s="319">
        <f>166*4</f>
        <v>664</v>
      </c>
      <c r="E12" s="319">
        <f t="shared" si="0"/>
        <v>55.333333333333336</v>
      </c>
      <c r="F12" s="335" t="s">
        <v>518</v>
      </c>
      <c r="G12" s="343" t="s">
        <v>499</v>
      </c>
      <c r="H12" s="343" t="s">
        <v>514</v>
      </c>
      <c r="I12" s="337" t="s">
        <v>501</v>
      </c>
      <c r="J12" s="337"/>
      <c r="K12" s="342" t="s">
        <v>519</v>
      </c>
      <c r="L12" s="339">
        <f>166+150</f>
        <v>316</v>
      </c>
      <c r="M12" s="340">
        <f>(166*3)</f>
        <v>498</v>
      </c>
      <c r="N12" s="375">
        <f>+M12+L12</f>
        <v>814</v>
      </c>
      <c r="O12" s="344">
        <f>(47)*12</f>
        <v>564</v>
      </c>
      <c r="P12" s="344">
        <f>(47)*12</f>
        <v>564</v>
      </c>
      <c r="Q12" s="344">
        <f>(47)*12</f>
        <v>564</v>
      </c>
      <c r="R12" s="344">
        <f>(47)*12</f>
        <v>564</v>
      </c>
      <c r="S12" s="342" t="s">
        <v>520</v>
      </c>
    </row>
    <row r="13" spans="1:26" x14ac:dyDescent="0.25">
      <c r="F13" s="335" t="s">
        <v>518</v>
      </c>
      <c r="G13" s="343"/>
      <c r="H13" s="343" t="s">
        <v>514</v>
      </c>
      <c r="I13" s="337"/>
      <c r="J13" s="337"/>
      <c r="K13" s="342"/>
      <c r="L13" s="339"/>
      <c r="M13" s="340">
        <f>9*32</f>
        <v>288</v>
      </c>
      <c r="N13" s="375">
        <v>384</v>
      </c>
      <c r="O13" s="344">
        <f>32*12</f>
        <v>384</v>
      </c>
      <c r="P13" s="344"/>
      <c r="Q13" s="344"/>
      <c r="R13" s="344"/>
      <c r="S13" s="342" t="s">
        <v>521</v>
      </c>
    </row>
    <row r="14" spans="1:26" ht="25" x14ac:dyDescent="0.25">
      <c r="A14" s="319">
        <f>222/+SUM(E11:E14)</f>
        <v>1.2442783745913124</v>
      </c>
      <c r="D14" s="319">
        <v>1000</v>
      </c>
      <c r="E14" s="319">
        <f t="shared" si="0"/>
        <v>83.333333333333329</v>
      </c>
      <c r="F14" s="335" t="s">
        <v>522</v>
      </c>
      <c r="G14" s="343" t="s">
        <v>499</v>
      </c>
      <c r="H14" s="343" t="s">
        <v>523</v>
      </c>
      <c r="I14" s="337" t="s">
        <v>501</v>
      </c>
      <c r="J14" s="337"/>
      <c r="K14" s="342" t="s">
        <v>519</v>
      </c>
      <c r="L14" s="339">
        <v>245</v>
      </c>
      <c r="M14" s="340">
        <f>250+240</f>
        <v>490</v>
      </c>
      <c r="N14" s="375">
        <f>562+29</f>
        <v>591</v>
      </c>
      <c r="O14" s="345">
        <v>300</v>
      </c>
      <c r="P14" s="345">
        <v>150</v>
      </c>
      <c r="Q14" s="345">
        <v>0</v>
      </c>
      <c r="R14" s="345">
        <v>0</v>
      </c>
      <c r="S14" s="342" t="s">
        <v>524</v>
      </c>
      <c r="T14" s="319" t="s">
        <v>517</v>
      </c>
    </row>
    <row r="15" spans="1:26" x14ac:dyDescent="0.25">
      <c r="A15" s="319">
        <f>50/66</f>
        <v>0.75757575757575757</v>
      </c>
      <c r="B15" s="319">
        <f>30/66</f>
        <v>0.45454545454545453</v>
      </c>
      <c r="C15" s="319">
        <f>80/800</f>
        <v>0.1</v>
      </c>
      <c r="E15" s="346"/>
      <c r="F15" s="335" t="s">
        <v>525</v>
      </c>
      <c r="G15" s="343" t="s">
        <v>526</v>
      </c>
      <c r="H15" s="343" t="s">
        <v>527</v>
      </c>
      <c r="I15" s="337" t="s">
        <v>528</v>
      </c>
      <c r="J15" s="337"/>
      <c r="K15" s="342" t="s">
        <v>507</v>
      </c>
      <c r="L15" s="340">
        <v>50</v>
      </c>
      <c r="M15" s="340">
        <v>30</v>
      </c>
      <c r="N15" s="375">
        <f t="shared" ref="N15:N30" si="1">+SUM(M15+L15)</f>
        <v>80</v>
      </c>
      <c r="O15" s="344"/>
      <c r="P15" s="344"/>
      <c r="Q15" s="344">
        <v>0</v>
      </c>
      <c r="R15" s="344"/>
      <c r="S15" s="342" t="s">
        <v>529</v>
      </c>
    </row>
    <row r="16" spans="1:26" ht="37.5" x14ac:dyDescent="0.25">
      <c r="A16" s="319" t="e">
        <f>100/E16</f>
        <v>#DIV/0!</v>
      </c>
      <c r="C16" s="319">
        <f>100/1000</f>
        <v>0.1</v>
      </c>
      <c r="E16" s="346"/>
      <c r="F16" s="335" t="s">
        <v>530</v>
      </c>
      <c r="G16" s="336" t="s">
        <v>526</v>
      </c>
      <c r="H16" s="336" t="s">
        <v>527</v>
      </c>
      <c r="I16" s="337" t="s">
        <v>531</v>
      </c>
      <c r="J16" s="337"/>
      <c r="K16" s="342" t="s">
        <v>507</v>
      </c>
      <c r="L16" s="344">
        <v>55</v>
      </c>
      <c r="M16" s="344">
        <v>400</v>
      </c>
      <c r="N16" s="375">
        <v>456</v>
      </c>
      <c r="O16" s="344">
        <v>79</v>
      </c>
      <c r="P16" s="344">
        <v>79</v>
      </c>
      <c r="Q16" s="344">
        <v>79</v>
      </c>
      <c r="R16" s="344">
        <v>79</v>
      </c>
      <c r="S16" s="342" t="s">
        <v>532</v>
      </c>
      <c r="X16" s="347" t="s">
        <v>533</v>
      </c>
      <c r="Y16" s="348" t="s">
        <v>534</v>
      </c>
      <c r="Z16" s="348" t="s">
        <v>535</v>
      </c>
    </row>
    <row r="17" spans="1:26" x14ac:dyDescent="0.25">
      <c r="D17" s="319">
        <f>+L17*12</f>
        <v>600</v>
      </c>
      <c r="E17" s="319">
        <f t="shared" si="0"/>
        <v>50</v>
      </c>
      <c r="F17" s="335" t="s">
        <v>536</v>
      </c>
      <c r="G17" s="343" t="s">
        <v>526</v>
      </c>
      <c r="H17" s="343" t="s">
        <v>537</v>
      </c>
      <c r="I17" s="337" t="s">
        <v>501</v>
      </c>
      <c r="J17" s="337"/>
      <c r="K17" s="342" t="s">
        <v>538</v>
      </c>
      <c r="L17" s="339">
        <v>50</v>
      </c>
      <c r="M17" s="340"/>
      <c r="N17" s="375">
        <f t="shared" si="1"/>
        <v>50</v>
      </c>
      <c r="O17" s="344"/>
      <c r="P17" s="344">
        <v>0</v>
      </c>
      <c r="Q17" s="344">
        <v>0</v>
      </c>
      <c r="R17" s="344"/>
      <c r="S17" s="342" t="s">
        <v>539</v>
      </c>
      <c r="X17" s="349" t="s">
        <v>540</v>
      </c>
      <c r="Y17" s="157">
        <v>0</v>
      </c>
      <c r="Z17" s="157">
        <v>15000</v>
      </c>
    </row>
    <row r="18" spans="1:26" ht="50" x14ac:dyDescent="0.25">
      <c r="A18" s="319">
        <f>483/675</f>
        <v>0.7155555555555555</v>
      </c>
      <c r="B18" s="319">
        <f>483/675</f>
        <v>0.7155555555555555</v>
      </c>
      <c r="C18" s="319">
        <f>675/8100</f>
        <v>8.3333333333333329E-2</v>
      </c>
      <c r="D18" s="319">
        <v>7500</v>
      </c>
      <c r="E18" s="319">
        <f t="shared" si="0"/>
        <v>625</v>
      </c>
      <c r="F18" s="335" t="s">
        <v>541</v>
      </c>
      <c r="G18" s="336" t="s">
        <v>499</v>
      </c>
      <c r="H18" s="336" t="s">
        <v>537</v>
      </c>
      <c r="I18" s="337" t="s">
        <v>501</v>
      </c>
      <c r="J18" s="337"/>
      <c r="K18" s="342" t="s">
        <v>542</v>
      </c>
      <c r="L18" s="339">
        <v>1400</v>
      </c>
      <c r="M18" s="340">
        <v>1400</v>
      </c>
      <c r="N18" s="375">
        <f t="shared" si="1"/>
        <v>2800</v>
      </c>
      <c r="O18" s="341"/>
      <c r="P18" s="341"/>
      <c r="Q18" s="341"/>
      <c r="R18" s="341"/>
      <c r="S18" s="350" t="s">
        <v>543</v>
      </c>
      <c r="T18" s="319" t="s">
        <v>544</v>
      </c>
      <c r="X18" s="349" t="s">
        <v>545</v>
      </c>
      <c r="Y18" s="157">
        <v>0</v>
      </c>
      <c r="Z18" s="157">
        <f>12 *((12*50) + (5 * 50) )</f>
        <v>10200</v>
      </c>
    </row>
    <row r="19" spans="1:26" ht="25" x14ac:dyDescent="0.25">
      <c r="E19" s="346"/>
      <c r="F19" s="335" t="s">
        <v>546</v>
      </c>
      <c r="G19" s="343" t="s">
        <v>499</v>
      </c>
      <c r="H19" s="343" t="s">
        <v>547</v>
      </c>
      <c r="I19" s="337" t="s">
        <v>531</v>
      </c>
      <c r="J19" s="337"/>
      <c r="K19" s="342" t="s">
        <v>515</v>
      </c>
      <c r="L19" s="340">
        <v>50</v>
      </c>
      <c r="M19" s="340"/>
      <c r="N19" s="375">
        <v>125</v>
      </c>
      <c r="O19" s="344">
        <v>0</v>
      </c>
      <c r="P19" s="344">
        <v>0</v>
      </c>
      <c r="Q19" s="344">
        <v>0</v>
      </c>
      <c r="R19" s="344"/>
      <c r="S19" s="342" t="s">
        <v>548</v>
      </c>
      <c r="X19" s="349" t="s">
        <v>549</v>
      </c>
      <c r="Y19" s="157">
        <v>30000</v>
      </c>
      <c r="Z19" s="157">
        <v>0</v>
      </c>
    </row>
    <row r="20" spans="1:26" ht="25" x14ac:dyDescent="0.25">
      <c r="E20" s="346"/>
      <c r="F20" s="335" t="s">
        <v>550</v>
      </c>
      <c r="G20" s="343" t="s">
        <v>499</v>
      </c>
      <c r="H20" s="343" t="s">
        <v>547</v>
      </c>
      <c r="I20" s="337" t="s">
        <v>531</v>
      </c>
      <c r="J20" s="337"/>
      <c r="K20" s="342" t="s">
        <v>515</v>
      </c>
      <c r="L20" s="340">
        <v>15</v>
      </c>
      <c r="M20" s="340"/>
      <c r="N20" s="375">
        <f t="shared" si="1"/>
        <v>15</v>
      </c>
      <c r="O20" s="344">
        <v>0</v>
      </c>
      <c r="P20" s="344">
        <v>0</v>
      </c>
      <c r="Q20" s="344">
        <v>0</v>
      </c>
      <c r="R20" s="344"/>
      <c r="S20" s="342" t="s">
        <v>551</v>
      </c>
      <c r="X20" s="347" t="s">
        <v>552</v>
      </c>
      <c r="Y20" s="159">
        <v>10000</v>
      </c>
      <c r="Z20" s="159">
        <v>0</v>
      </c>
    </row>
    <row r="21" spans="1:26" ht="25" x14ac:dyDescent="0.25">
      <c r="E21" s="346"/>
      <c r="F21" s="335" t="s">
        <v>553</v>
      </c>
      <c r="G21" s="343" t="s">
        <v>499</v>
      </c>
      <c r="H21" s="343" t="s">
        <v>547</v>
      </c>
      <c r="I21" s="337" t="s">
        <v>531</v>
      </c>
      <c r="J21" s="337"/>
      <c r="K21" s="342" t="s">
        <v>515</v>
      </c>
      <c r="L21" s="340">
        <v>100</v>
      </c>
      <c r="M21" s="340"/>
      <c r="N21" s="375">
        <f t="shared" si="1"/>
        <v>100</v>
      </c>
      <c r="O21" s="344">
        <v>0</v>
      </c>
      <c r="P21" s="344">
        <v>0</v>
      </c>
      <c r="Q21" s="344">
        <v>0</v>
      </c>
      <c r="R21" s="344"/>
      <c r="S21" s="342" t="s">
        <v>554</v>
      </c>
      <c r="X21" s="347" t="s">
        <v>555</v>
      </c>
      <c r="Y21" s="159">
        <v>40000</v>
      </c>
      <c r="Z21" s="159">
        <v>0</v>
      </c>
    </row>
    <row r="22" spans="1:26" ht="25" x14ac:dyDescent="0.25">
      <c r="E22" s="346"/>
      <c r="F22" s="335" t="s">
        <v>556</v>
      </c>
      <c r="G22" s="336" t="s">
        <v>499</v>
      </c>
      <c r="H22" s="336" t="s">
        <v>462</v>
      </c>
      <c r="I22" s="337" t="s">
        <v>528</v>
      </c>
      <c r="J22" s="337"/>
      <c r="K22" s="342" t="s">
        <v>515</v>
      </c>
      <c r="L22" s="340">
        <f>144*3</f>
        <v>432</v>
      </c>
      <c r="M22" s="340">
        <v>100</v>
      </c>
      <c r="N22" s="375">
        <f t="shared" si="1"/>
        <v>532</v>
      </c>
      <c r="O22" s="341">
        <v>50</v>
      </c>
      <c r="P22" s="341">
        <v>50</v>
      </c>
      <c r="Q22" s="341">
        <v>50</v>
      </c>
      <c r="R22" s="341"/>
      <c r="S22" s="342" t="s">
        <v>557</v>
      </c>
      <c r="T22" s="319" t="s">
        <v>558</v>
      </c>
      <c r="X22" s="347" t="s">
        <v>559</v>
      </c>
      <c r="Y22" s="159">
        <v>0</v>
      </c>
      <c r="Z22" s="159">
        <f>200*25</f>
        <v>5000</v>
      </c>
    </row>
    <row r="23" spans="1:26" ht="25" x14ac:dyDescent="0.25">
      <c r="E23" s="346"/>
      <c r="F23" s="335" t="s">
        <v>560</v>
      </c>
      <c r="G23" s="336"/>
      <c r="H23" s="336"/>
      <c r="I23" s="337"/>
      <c r="J23" s="337"/>
      <c r="K23" s="342"/>
      <c r="L23" s="340"/>
      <c r="M23" s="340"/>
      <c r="N23" s="375">
        <v>408</v>
      </c>
      <c r="O23" s="341"/>
      <c r="P23" s="341"/>
      <c r="Q23" s="341"/>
      <c r="R23" s="341"/>
      <c r="S23" s="342"/>
      <c r="X23" s="347"/>
      <c r="Y23" s="159"/>
      <c r="Z23" s="159"/>
    </row>
    <row r="24" spans="1:26" ht="37.5" x14ac:dyDescent="0.25">
      <c r="D24" s="319">
        <v>100000</v>
      </c>
      <c r="E24" s="319">
        <f t="shared" si="0"/>
        <v>8333.3333333333339</v>
      </c>
      <c r="F24" s="335" t="s">
        <v>561</v>
      </c>
      <c r="G24" s="336" t="s">
        <v>499</v>
      </c>
      <c r="H24" s="336" t="s">
        <v>562</v>
      </c>
      <c r="I24" s="337" t="s">
        <v>501</v>
      </c>
      <c r="J24" s="337"/>
      <c r="K24" s="342" t="s">
        <v>563</v>
      </c>
      <c r="L24" s="340"/>
      <c r="M24" s="340"/>
      <c r="N24" s="341">
        <f t="shared" si="1"/>
        <v>0</v>
      </c>
      <c r="O24" s="341">
        <v>600</v>
      </c>
      <c r="P24" s="341">
        <f>+O24*0.75</f>
        <v>450</v>
      </c>
      <c r="Q24" s="341">
        <f>+O24*0.5</f>
        <v>300</v>
      </c>
      <c r="R24" s="341"/>
      <c r="S24" s="342" t="s">
        <v>564</v>
      </c>
      <c r="T24" s="319" t="s">
        <v>565</v>
      </c>
      <c r="X24" s="347" t="s">
        <v>566</v>
      </c>
      <c r="Y24" s="159">
        <v>200000</v>
      </c>
      <c r="Z24" s="159">
        <v>20000</v>
      </c>
    </row>
    <row r="25" spans="1:26" ht="50" x14ac:dyDescent="0.25">
      <c r="D25" s="319">
        <v>240</v>
      </c>
      <c r="E25" s="319">
        <f t="shared" si="0"/>
        <v>20</v>
      </c>
      <c r="F25" s="335" t="s">
        <v>567</v>
      </c>
      <c r="G25" s="336" t="s">
        <v>499</v>
      </c>
      <c r="H25" s="336" t="s">
        <v>562</v>
      </c>
      <c r="I25" s="337" t="s">
        <v>501</v>
      </c>
      <c r="J25" s="337"/>
      <c r="K25" s="342" t="s">
        <v>538</v>
      </c>
      <c r="L25" s="340"/>
      <c r="M25" s="340">
        <v>150</v>
      </c>
      <c r="N25" s="341">
        <v>0</v>
      </c>
      <c r="O25" s="341"/>
      <c r="P25" s="341"/>
      <c r="Q25" s="341">
        <v>0</v>
      </c>
      <c r="R25" s="341"/>
      <c r="S25" s="342" t="s">
        <v>568</v>
      </c>
      <c r="X25" s="347" t="s">
        <v>569</v>
      </c>
      <c r="Y25" s="159">
        <v>0</v>
      </c>
      <c r="Z25" s="159">
        <f>1.5*500*12</f>
        <v>9000</v>
      </c>
    </row>
    <row r="26" spans="1:26" ht="50" x14ac:dyDescent="0.25">
      <c r="D26" s="319">
        <f>+N26/0.45</f>
        <v>357.77777777777777</v>
      </c>
      <c r="E26" s="319">
        <f t="shared" si="0"/>
        <v>29.814814814814813</v>
      </c>
      <c r="F26" s="335" t="s">
        <v>570</v>
      </c>
      <c r="G26" s="343" t="s">
        <v>499</v>
      </c>
      <c r="H26" s="343" t="s">
        <v>562</v>
      </c>
      <c r="I26" s="337" t="s">
        <v>501</v>
      </c>
      <c r="J26" s="337"/>
      <c r="K26" s="342" t="s">
        <v>571</v>
      </c>
      <c r="L26" s="339">
        <v>115</v>
      </c>
      <c r="M26" s="340">
        <v>20</v>
      </c>
      <c r="N26" s="375">
        <v>161</v>
      </c>
      <c r="O26" s="344">
        <v>20</v>
      </c>
      <c r="P26" s="344">
        <v>10</v>
      </c>
      <c r="Q26" s="344">
        <v>0</v>
      </c>
      <c r="R26" s="344"/>
      <c r="S26" s="342" t="s">
        <v>572</v>
      </c>
      <c r="X26" s="347" t="s">
        <v>573</v>
      </c>
      <c r="Y26" s="159">
        <v>0</v>
      </c>
      <c r="Z26" s="159">
        <f>5000</f>
        <v>5000</v>
      </c>
    </row>
    <row r="27" spans="1:26" ht="50" x14ac:dyDescent="0.25">
      <c r="D27" s="319">
        <v>600</v>
      </c>
      <c r="E27" s="319">
        <f t="shared" si="0"/>
        <v>50</v>
      </c>
      <c r="F27" s="335" t="s">
        <v>574</v>
      </c>
      <c r="G27" s="336" t="s">
        <v>499</v>
      </c>
      <c r="H27" s="336" t="s">
        <v>562</v>
      </c>
      <c r="I27" s="337" t="s">
        <v>501</v>
      </c>
      <c r="J27" s="337"/>
      <c r="K27" s="342" t="s">
        <v>571</v>
      </c>
      <c r="L27" s="339">
        <v>60</v>
      </c>
      <c r="M27" s="340"/>
      <c r="N27" s="375">
        <v>0</v>
      </c>
      <c r="O27" s="341"/>
      <c r="P27" s="351"/>
      <c r="Q27" s="341">
        <v>0</v>
      </c>
      <c r="R27" s="341"/>
      <c r="S27" s="352" t="s">
        <v>575</v>
      </c>
      <c r="X27" s="347" t="s">
        <v>576</v>
      </c>
      <c r="Y27" s="159">
        <v>0</v>
      </c>
      <c r="Z27" s="159">
        <f>10000</f>
        <v>10000</v>
      </c>
    </row>
    <row r="28" spans="1:26" ht="50" x14ac:dyDescent="0.25">
      <c r="D28" s="319">
        <v>700</v>
      </c>
      <c r="E28" s="319">
        <f t="shared" si="0"/>
        <v>58.333333333333336</v>
      </c>
      <c r="F28" s="335" t="s">
        <v>577</v>
      </c>
      <c r="G28" s="336" t="s">
        <v>499</v>
      </c>
      <c r="H28" s="336" t="s">
        <v>562</v>
      </c>
      <c r="I28" s="337" t="s">
        <v>501</v>
      </c>
      <c r="J28" s="337"/>
      <c r="K28" s="342" t="s">
        <v>571</v>
      </c>
      <c r="L28" s="339">
        <v>60</v>
      </c>
      <c r="M28" s="340"/>
      <c r="N28" s="375">
        <v>85</v>
      </c>
      <c r="O28" s="341"/>
      <c r="P28" s="341"/>
      <c r="Q28" s="341">
        <v>0</v>
      </c>
      <c r="R28" s="341"/>
      <c r="S28" s="353" t="s">
        <v>578</v>
      </c>
      <c r="X28" s="347" t="s">
        <v>579</v>
      </c>
      <c r="Y28" s="159">
        <f>75000</f>
        <v>75000</v>
      </c>
      <c r="Z28" s="159">
        <v>5000</v>
      </c>
    </row>
    <row r="29" spans="1:26" ht="25" x14ac:dyDescent="0.25">
      <c r="D29" s="319">
        <v>100000</v>
      </c>
      <c r="E29" s="319">
        <f t="shared" si="0"/>
        <v>8333.3333333333339</v>
      </c>
      <c r="F29" s="335" t="s">
        <v>580</v>
      </c>
      <c r="G29" s="336" t="s">
        <v>499</v>
      </c>
      <c r="H29" s="336" t="s">
        <v>562</v>
      </c>
      <c r="I29" s="337" t="s">
        <v>501</v>
      </c>
      <c r="J29" s="337"/>
      <c r="K29" s="342" t="s">
        <v>581</v>
      </c>
      <c r="L29" s="340"/>
      <c r="M29" s="340"/>
      <c r="N29" s="341">
        <f t="shared" si="1"/>
        <v>0</v>
      </c>
      <c r="O29" s="341">
        <v>500</v>
      </c>
      <c r="P29" s="341">
        <f>+O29*0.75</f>
        <v>375</v>
      </c>
      <c r="Q29" s="341">
        <f>+O29*0.5</f>
        <v>250</v>
      </c>
      <c r="R29" s="341"/>
      <c r="S29" s="342" t="s">
        <v>582</v>
      </c>
      <c r="X29" s="347" t="s">
        <v>583</v>
      </c>
      <c r="Y29" s="159">
        <f>250*150</f>
        <v>37500</v>
      </c>
      <c r="Z29" s="159">
        <v>0</v>
      </c>
    </row>
    <row r="30" spans="1:26" ht="13" x14ac:dyDescent="0.3">
      <c r="A30" s="319">
        <f>145/+SUM(E24:E30)</f>
        <v>8.5336879046145099E-3</v>
      </c>
      <c r="C30" s="319">
        <f>755/+SUM(D24:D30)</f>
        <v>3.7028358436689409E-3</v>
      </c>
      <c r="D30" s="319">
        <v>2000</v>
      </c>
      <c r="E30" s="319">
        <f t="shared" si="0"/>
        <v>166.66666666666666</v>
      </c>
      <c r="F30" s="335" t="s">
        <v>584</v>
      </c>
      <c r="G30" s="336" t="s">
        <v>499</v>
      </c>
      <c r="H30" s="336" t="s">
        <v>562</v>
      </c>
      <c r="I30" s="337" t="s">
        <v>501</v>
      </c>
      <c r="J30" s="337"/>
      <c r="K30" s="342" t="s">
        <v>507</v>
      </c>
      <c r="L30" s="339">
        <v>200</v>
      </c>
      <c r="M30" s="340">
        <v>150</v>
      </c>
      <c r="N30" s="375">
        <f t="shared" si="1"/>
        <v>350</v>
      </c>
      <c r="O30" s="341">
        <v>300</v>
      </c>
      <c r="P30" s="341">
        <v>300</v>
      </c>
      <c r="Q30" s="341">
        <v>150</v>
      </c>
      <c r="R30" s="341"/>
      <c r="S30" s="342" t="s">
        <v>585</v>
      </c>
      <c r="T30" s="319" t="s">
        <v>586</v>
      </c>
      <c r="X30" s="354" t="s">
        <v>587</v>
      </c>
      <c r="Y30" s="355">
        <f>SUM(Y17:Y29)</f>
        <v>392500</v>
      </c>
      <c r="Z30" s="355">
        <f>SUM(Z17:Z29)</f>
        <v>79200</v>
      </c>
    </row>
    <row r="31" spans="1:26" ht="50" x14ac:dyDescent="0.25">
      <c r="D31" s="319">
        <f>+N31/0.2</f>
        <v>300</v>
      </c>
      <c r="E31" s="319">
        <f t="shared" si="0"/>
        <v>25</v>
      </c>
      <c r="F31" s="335" t="s">
        <v>588</v>
      </c>
      <c r="G31" s="343" t="s">
        <v>499</v>
      </c>
      <c r="H31" s="343" t="s">
        <v>589</v>
      </c>
      <c r="I31" s="337" t="s">
        <v>501</v>
      </c>
      <c r="J31" s="337"/>
      <c r="K31" s="342" t="s">
        <v>571</v>
      </c>
      <c r="L31" s="339">
        <v>50</v>
      </c>
      <c r="M31" s="344">
        <v>50</v>
      </c>
      <c r="N31" s="375">
        <v>60</v>
      </c>
      <c r="O31" s="344">
        <v>50</v>
      </c>
      <c r="P31" s="344">
        <v>25</v>
      </c>
      <c r="Q31" s="344">
        <v>0</v>
      </c>
      <c r="R31" s="344"/>
      <c r="S31" s="342" t="s">
        <v>590</v>
      </c>
    </row>
    <row r="32" spans="1:26" ht="37.5" x14ac:dyDescent="0.25">
      <c r="E32" s="319">
        <f t="shared" si="0"/>
        <v>0</v>
      </c>
      <c r="F32" s="335" t="s">
        <v>591</v>
      </c>
      <c r="G32" s="336"/>
      <c r="H32" s="336" t="s">
        <v>589</v>
      </c>
      <c r="I32" s="337"/>
      <c r="J32" s="337"/>
      <c r="K32" s="342"/>
      <c r="L32" s="340"/>
      <c r="M32" s="341"/>
      <c r="N32" s="341"/>
      <c r="O32" s="341">
        <v>369</v>
      </c>
      <c r="P32" s="341"/>
      <c r="Q32" s="341"/>
      <c r="R32" s="341"/>
      <c r="S32" s="342" t="s">
        <v>592</v>
      </c>
    </row>
    <row r="33" spans="1:19" ht="50" x14ac:dyDescent="0.25">
      <c r="A33" s="319">
        <f>85/D33</f>
        <v>0.28333333333333333</v>
      </c>
      <c r="D33" s="319">
        <v>300</v>
      </c>
      <c r="E33" s="319">
        <f t="shared" si="0"/>
        <v>25</v>
      </c>
      <c r="F33" s="335" t="s">
        <v>593</v>
      </c>
      <c r="G33" s="336" t="s">
        <v>526</v>
      </c>
      <c r="H33" s="336" t="s">
        <v>594</v>
      </c>
      <c r="I33" s="337" t="s">
        <v>501</v>
      </c>
      <c r="J33" s="337"/>
      <c r="K33" s="342" t="s">
        <v>571</v>
      </c>
      <c r="L33" s="339">
        <v>85</v>
      </c>
      <c r="M33" s="341"/>
      <c r="N33" s="341">
        <v>0</v>
      </c>
      <c r="O33" s="341">
        <v>60</v>
      </c>
      <c r="P33" s="341"/>
      <c r="Q33" s="341">
        <v>0</v>
      </c>
      <c r="R33" s="341"/>
      <c r="S33" s="353" t="s">
        <v>595</v>
      </c>
    </row>
    <row r="34" spans="1:19" ht="15" customHeight="1" x14ac:dyDescent="0.25">
      <c r="E34" s="319">
        <f t="shared" si="0"/>
        <v>0</v>
      </c>
      <c r="F34" s="335"/>
      <c r="G34" s="336"/>
      <c r="H34" s="336"/>
      <c r="I34" s="337"/>
      <c r="J34" s="337"/>
      <c r="K34" s="342"/>
      <c r="L34" s="341"/>
      <c r="M34" s="341"/>
      <c r="N34" s="341"/>
      <c r="O34" s="341"/>
      <c r="P34" s="341"/>
      <c r="Q34" s="341"/>
      <c r="R34" s="341"/>
      <c r="S34" s="342"/>
    </row>
    <row r="35" spans="1:19" ht="15" customHeight="1" x14ac:dyDescent="0.3">
      <c r="E35" s="319">
        <f t="shared" si="0"/>
        <v>0</v>
      </c>
      <c r="F35" s="330" t="s">
        <v>457</v>
      </c>
      <c r="G35" s="356"/>
      <c r="H35" s="356"/>
      <c r="I35" s="356"/>
      <c r="J35" s="356"/>
      <c r="K35" s="332"/>
      <c r="L35" s="357">
        <f t="shared" ref="L35:R35" si="2">SUM(L7:L34)</f>
        <v>5342</v>
      </c>
      <c r="M35" s="357">
        <f t="shared" si="2"/>
        <v>5836</v>
      </c>
      <c r="N35" s="357">
        <f t="shared" si="2"/>
        <v>11189</v>
      </c>
      <c r="O35" s="357">
        <f t="shared" si="2"/>
        <v>7257</v>
      </c>
      <c r="P35" s="357">
        <f t="shared" si="2"/>
        <v>4648</v>
      </c>
      <c r="Q35" s="357">
        <f t="shared" si="2"/>
        <v>2747</v>
      </c>
      <c r="R35" s="357">
        <f t="shared" si="2"/>
        <v>1497</v>
      </c>
      <c r="S35" s="332"/>
    </row>
    <row r="36" spans="1:19" ht="15" customHeight="1" x14ac:dyDescent="0.25"/>
    <row r="37" spans="1:19" x14ac:dyDescent="0.25">
      <c r="D37" s="319">
        <f>+SUM(D7:D35)</f>
        <v>214738.77777777778</v>
      </c>
      <c r="E37" s="319">
        <f>+SUM(E7:E35)</f>
        <v>17894.89814814815</v>
      </c>
      <c r="F37" s="329" t="s">
        <v>596</v>
      </c>
      <c r="L37" s="326">
        <f>+L15+L16+L19+L20+L21+L22+L13</f>
        <v>702</v>
      </c>
      <c r="M37" s="326">
        <f t="shared" ref="M37:R37" si="3">+M15+M16+M19+M20+M21+M22+M13</f>
        <v>818</v>
      </c>
      <c r="N37" s="326">
        <f>+N15+N16+N19+N20+N21+N22+N13+N23</f>
        <v>2100</v>
      </c>
      <c r="O37" s="326">
        <f t="shared" si="3"/>
        <v>513</v>
      </c>
      <c r="P37" s="326">
        <f t="shared" si="3"/>
        <v>129</v>
      </c>
      <c r="Q37" s="326">
        <f t="shared" si="3"/>
        <v>129</v>
      </c>
      <c r="R37" s="326">
        <f t="shared" si="3"/>
        <v>79</v>
      </c>
    </row>
    <row r="38" spans="1:19" x14ac:dyDescent="0.25">
      <c r="F38" s="329" t="s">
        <v>597</v>
      </c>
      <c r="L38" s="326">
        <f>+L7+L8+L9+L10+L11+L12+L14+L17+L18+L24+L25+L26+L27+L28+L29+L30+L31+L32+L33</f>
        <v>4640</v>
      </c>
      <c r="M38" s="326">
        <f t="shared" ref="M38:R38" si="4">+M7+M8+M9+M10+M11+M12+M14+M17+M18+M24+M25+M26+M27+M28+M29+M30+M31+M32+M33</f>
        <v>5018</v>
      </c>
      <c r="N38" s="326">
        <f t="shared" si="4"/>
        <v>9089</v>
      </c>
      <c r="O38" s="326">
        <f t="shared" si="4"/>
        <v>6744</v>
      </c>
      <c r="P38" s="326">
        <f t="shared" si="4"/>
        <v>4519</v>
      </c>
      <c r="Q38" s="326">
        <f t="shared" si="4"/>
        <v>2618</v>
      </c>
      <c r="R38" s="326">
        <f t="shared" si="4"/>
        <v>1418</v>
      </c>
    </row>
    <row r="39" spans="1:19" x14ac:dyDescent="0.25">
      <c r="D39" s="319">
        <f>5837/D37</f>
        <v>2.7181862821443522E-2</v>
      </c>
      <c r="E39" s="319">
        <f>911/E37</f>
        <v>5.0908364633205506E-2</v>
      </c>
      <c r="F39" s="329" t="s">
        <v>457</v>
      </c>
      <c r="L39" s="358">
        <f>+L38+L37</f>
        <v>5342</v>
      </c>
      <c r="M39" s="358">
        <f t="shared" ref="M39:R39" si="5">+M38+M37</f>
        <v>5836</v>
      </c>
      <c r="N39" s="358">
        <f t="shared" si="5"/>
        <v>11189</v>
      </c>
      <c r="O39" s="358">
        <f t="shared" si="5"/>
        <v>7257</v>
      </c>
      <c r="P39" s="358">
        <f t="shared" si="5"/>
        <v>4648</v>
      </c>
      <c r="Q39" s="358">
        <f t="shared" si="5"/>
        <v>2747</v>
      </c>
      <c r="R39" s="358">
        <f t="shared" si="5"/>
        <v>1497</v>
      </c>
      <c r="S39" s="359">
        <f>+SUM(N39:R39)</f>
        <v>27338</v>
      </c>
    </row>
    <row r="40" spans="1:19" ht="13" thickBot="1" x14ac:dyDescent="0.3">
      <c r="I40" s="376">
        <f>N39-N35</f>
        <v>0</v>
      </c>
      <c r="L40" s="360"/>
      <c r="M40" s="360"/>
      <c r="N40" s="360"/>
      <c r="O40" s="360"/>
      <c r="P40" s="360"/>
      <c r="Q40" s="360"/>
      <c r="R40" s="360"/>
    </row>
    <row r="41" spans="1:19" ht="13.5" thickTop="1" x14ac:dyDescent="0.3">
      <c r="D41" s="319">
        <f>9946/D37</f>
        <v>4.6316739356189351E-2</v>
      </c>
      <c r="E41" s="319">
        <f>1562/E37</f>
        <v>8.728744847098463E-2</v>
      </c>
      <c r="F41" s="323" t="s">
        <v>598</v>
      </c>
    </row>
    <row r="43" spans="1:19" ht="25" x14ac:dyDescent="0.25">
      <c r="F43" s="329" t="s">
        <v>599</v>
      </c>
      <c r="L43" s="361"/>
      <c r="M43" s="361">
        <v>0</v>
      </c>
      <c r="N43" s="361">
        <f>+M43+L43</f>
        <v>0</v>
      </c>
      <c r="O43" s="361">
        <f>180997.666808201/1000</f>
        <v>180.99766680820099</v>
      </c>
      <c r="P43" s="361">
        <f>186445.515581464/1000</f>
        <v>186.44551558146398</v>
      </c>
      <c r="Q43" s="361">
        <f>192057.339154949/1000</f>
        <v>192.05733915494901</v>
      </c>
      <c r="R43" s="361">
        <f>197838.07300617/1000</f>
        <v>197.83807300616999</v>
      </c>
      <c r="S43" s="321" t="s">
        <v>600</v>
      </c>
    </row>
    <row r="46" spans="1:19" ht="13" x14ac:dyDescent="0.3">
      <c r="F46" s="323" t="s">
        <v>601</v>
      </c>
    </row>
    <row r="47" spans="1:19" x14ac:dyDescent="0.25">
      <c r="F47" s="329" t="s">
        <v>604</v>
      </c>
    </row>
    <row r="48" spans="1:19" ht="13" x14ac:dyDescent="0.25">
      <c r="F48" s="329" t="s">
        <v>605</v>
      </c>
      <c r="M48" s="362">
        <v>-32</v>
      </c>
      <c r="N48" s="362">
        <f>+M48+L48</f>
        <v>-32</v>
      </c>
      <c r="O48" s="362"/>
      <c r="P48" s="362"/>
      <c r="Q48" s="362"/>
      <c r="R48" s="362"/>
    </row>
    <row r="49" spans="6:19" x14ac:dyDescent="0.25">
      <c r="F49" s="329" t="s">
        <v>606</v>
      </c>
    </row>
    <row r="50" spans="6:19" ht="13" x14ac:dyDescent="0.25">
      <c r="F50" s="329" t="s">
        <v>607</v>
      </c>
      <c r="M50" s="362">
        <v>-110</v>
      </c>
      <c r="N50" s="362">
        <f>+M50+L50</f>
        <v>-110</v>
      </c>
      <c r="O50" s="362"/>
      <c r="P50" s="362"/>
      <c r="Q50" s="362"/>
      <c r="R50" s="362"/>
    </row>
    <row r="51" spans="6:19" ht="13" x14ac:dyDescent="0.25">
      <c r="F51" s="329" t="s">
        <v>608</v>
      </c>
      <c r="M51" s="362">
        <f>1511543/1000*-1</f>
        <v>-1511.5429999999999</v>
      </c>
      <c r="N51" s="362">
        <f>+M51+L51</f>
        <v>-1511.5429999999999</v>
      </c>
    </row>
    <row r="52" spans="6:19" ht="13" x14ac:dyDescent="0.25">
      <c r="F52" s="329" t="s">
        <v>611</v>
      </c>
      <c r="M52" s="362">
        <v>-300</v>
      </c>
      <c r="N52" s="362">
        <v>-100</v>
      </c>
    </row>
    <row r="53" spans="6:19" ht="13" x14ac:dyDescent="0.25">
      <c r="F53" s="329" t="s">
        <v>612</v>
      </c>
      <c r="M53" s="362"/>
      <c r="N53" s="362">
        <v>-300</v>
      </c>
    </row>
    <row r="54" spans="6:19" ht="13" x14ac:dyDescent="0.25">
      <c r="F54" s="329" t="s">
        <v>613</v>
      </c>
      <c r="M54" s="362"/>
      <c r="N54" s="362">
        <f>+M54</f>
        <v>0</v>
      </c>
    </row>
    <row r="55" spans="6:19" ht="13.5" thickBot="1" x14ac:dyDescent="0.35">
      <c r="F55" s="363"/>
      <c r="G55" s="364"/>
      <c r="H55" s="364"/>
      <c r="I55" s="364"/>
      <c r="J55" s="364"/>
      <c r="K55" s="365"/>
      <c r="L55" s="366"/>
      <c r="M55" s="367">
        <f>SUM(M47:M54)</f>
        <v>-1953.5429999999999</v>
      </c>
      <c r="N55" s="367">
        <f>SUM(N47:N54)</f>
        <v>-2053.5429999999997</v>
      </c>
      <c r="O55" s="367">
        <f t="shared" ref="O55:Q55" si="6">SUM(O47:O54)</f>
        <v>0</v>
      </c>
      <c r="P55" s="367">
        <f t="shared" si="6"/>
        <v>0</v>
      </c>
      <c r="Q55" s="367">
        <f t="shared" si="6"/>
        <v>0</v>
      </c>
      <c r="R55" s="367"/>
      <c r="S55" s="365"/>
    </row>
    <row r="56" spans="6:19" ht="13" thickTop="1" x14ac:dyDescent="0.25"/>
    <row r="57" spans="6:19" x14ac:dyDescent="0.25">
      <c r="G57" s="319" t="s">
        <v>616</v>
      </c>
      <c r="K57" s="368"/>
      <c r="L57" s="369">
        <f>+L55+L39+L43</f>
        <v>5342</v>
      </c>
      <c r="M57" s="369">
        <f>+M55+M39+M43</f>
        <v>3882.4570000000003</v>
      </c>
      <c r="N57" s="369">
        <f>+N55+N39+N43</f>
        <v>9135.4570000000003</v>
      </c>
      <c r="O57" s="369">
        <f>+O55+O39+O43</f>
        <v>7437.9976668082008</v>
      </c>
      <c r="P57" s="369">
        <f>+P55+P39+P43</f>
        <v>4834.445515581464</v>
      </c>
      <c r="Q57" s="369">
        <f t="shared" ref="Q57:R57" si="7">+Q55+Q39+Q43</f>
        <v>2939.0573391549492</v>
      </c>
      <c r="R57" s="369">
        <f t="shared" si="7"/>
        <v>1694.8380730061699</v>
      </c>
    </row>
    <row r="58" spans="6:19" x14ac:dyDescent="0.25">
      <c r="N58" s="326">
        <f>N39+N55</f>
        <v>9135.4570000000003</v>
      </c>
      <c r="O58" s="326">
        <f t="shared" ref="O58:R58" si="8">O39+O55</f>
        <v>7257</v>
      </c>
      <c r="P58" s="326">
        <f t="shared" si="8"/>
        <v>4648</v>
      </c>
      <c r="Q58" s="326">
        <f t="shared" si="8"/>
        <v>2747</v>
      </c>
      <c r="R58" s="326">
        <f t="shared" si="8"/>
        <v>1497</v>
      </c>
    </row>
    <row r="59" spans="6:19" x14ac:dyDescent="0.25">
      <c r="L59" s="370">
        <f>911/+SUM(L38/3)</f>
        <v>0.58900862068965509</v>
      </c>
      <c r="M59" s="370"/>
      <c r="N59" s="370">
        <f>5837/N38</f>
        <v>0.64220486302123447</v>
      </c>
    </row>
    <row r="61" spans="6:19" x14ac:dyDescent="0.25">
      <c r="H61" s="319" t="s">
        <v>617</v>
      </c>
      <c r="L61" s="326">
        <v>1954</v>
      </c>
      <c r="M61" s="326">
        <v>2155</v>
      </c>
      <c r="N61" s="326">
        <v>4109</v>
      </c>
    </row>
    <row r="62" spans="6:19" x14ac:dyDescent="0.25">
      <c r="H62" s="319" t="s">
        <v>618</v>
      </c>
      <c r="L62" s="326">
        <f>+L38-L61</f>
        <v>2686</v>
      </c>
      <c r="M62" s="326">
        <f t="shared" ref="M62:N62" si="9">+M38-M61</f>
        <v>2863</v>
      </c>
      <c r="N62" s="326">
        <f t="shared" si="9"/>
        <v>4980</v>
      </c>
    </row>
    <row r="64" spans="6:19" x14ac:dyDescent="0.25">
      <c r="H64" s="319" t="s">
        <v>619</v>
      </c>
      <c r="L64" s="326">
        <f>+L62/3</f>
        <v>895.33333333333337</v>
      </c>
    </row>
    <row r="66" spans="3:19" x14ac:dyDescent="0.25">
      <c r="H66" s="319" t="s">
        <v>620</v>
      </c>
      <c r="L66" s="326">
        <f>+L33+L31+L30+L28+L27+L26+L18+L17+L14+L12+L11+L9+L8+L7</f>
        <v>3040</v>
      </c>
    </row>
    <row r="67" spans="3:19" s="326" customFormat="1" x14ac:dyDescent="0.25">
      <c r="C67" s="319"/>
      <c r="D67" s="319"/>
      <c r="E67" s="319"/>
      <c r="F67" s="329"/>
      <c r="G67" s="319"/>
      <c r="H67" s="319"/>
      <c r="I67" s="319"/>
      <c r="J67" s="319"/>
      <c r="K67" s="321"/>
      <c r="L67" s="326">
        <f>+L66/3</f>
        <v>1013.3333333333334</v>
      </c>
      <c r="S67" s="321"/>
    </row>
    <row r="69" spans="3:19" s="326" customFormat="1" x14ac:dyDescent="0.25">
      <c r="C69" s="319"/>
      <c r="D69" s="319"/>
      <c r="E69" s="319"/>
      <c r="F69" s="329"/>
      <c r="G69" s="319"/>
      <c r="H69" s="319" t="s">
        <v>621</v>
      </c>
      <c r="I69" s="319"/>
      <c r="J69" s="319"/>
      <c r="K69" s="321"/>
      <c r="L69" s="371">
        <v>0.64852752880921893</v>
      </c>
      <c r="N69" s="326">
        <v>0.101849989945707</v>
      </c>
      <c r="S69" s="321"/>
    </row>
    <row r="71" spans="3:19" s="326" customFormat="1" x14ac:dyDescent="0.25">
      <c r="C71" s="319"/>
      <c r="D71" s="319"/>
      <c r="E71" s="319"/>
      <c r="F71" s="329"/>
      <c r="G71" s="372"/>
      <c r="H71" s="319"/>
      <c r="I71" s="319"/>
      <c r="J71" s="319"/>
      <c r="K71" s="321"/>
      <c r="S71" s="321"/>
    </row>
    <row r="72" spans="3:19" s="326" customFormat="1" x14ac:dyDescent="0.25">
      <c r="C72" s="319" t="s">
        <v>622</v>
      </c>
      <c r="D72" s="319"/>
      <c r="E72" s="319"/>
      <c r="F72" s="373">
        <f>+SUM(N19:N21)</f>
        <v>240</v>
      </c>
      <c r="G72" s="374">
        <f>+F72/$F$81*100</f>
        <v>2.2564874012786764</v>
      </c>
      <c r="H72" s="319"/>
      <c r="I72" s="319"/>
      <c r="J72" s="319"/>
      <c r="K72" s="321"/>
      <c r="S72" s="321"/>
    </row>
    <row r="73" spans="3:19" s="326" customFormat="1" x14ac:dyDescent="0.25">
      <c r="C73" s="319"/>
      <c r="D73" s="319"/>
      <c r="E73" s="319"/>
      <c r="F73" s="373"/>
      <c r="G73" s="374">
        <f t="shared" ref="G73:G81" si="10">+F73/$F$81*100</f>
        <v>0</v>
      </c>
      <c r="H73" s="319"/>
      <c r="I73" s="319"/>
      <c r="J73" s="319"/>
      <c r="K73" s="321"/>
      <c r="S73" s="321"/>
    </row>
    <row r="74" spans="3:19" s="326" customFormat="1" x14ac:dyDescent="0.25">
      <c r="C74" s="319" t="s">
        <v>623</v>
      </c>
      <c r="D74" s="319"/>
      <c r="E74" s="319"/>
      <c r="F74" s="373">
        <f>+SUM(N22)</f>
        <v>532</v>
      </c>
      <c r="G74" s="374">
        <f t="shared" si="10"/>
        <v>5.0018804061677322</v>
      </c>
      <c r="H74" s="319"/>
      <c r="I74" s="319"/>
      <c r="J74" s="319"/>
      <c r="K74" s="321"/>
      <c r="S74" s="321"/>
    </row>
    <row r="75" spans="3:19" s="326" customFormat="1" x14ac:dyDescent="0.25">
      <c r="C75" s="319"/>
      <c r="D75" s="319"/>
      <c r="E75" s="319"/>
      <c r="F75" s="373"/>
      <c r="G75" s="374">
        <f t="shared" si="10"/>
        <v>0</v>
      </c>
      <c r="H75" s="319"/>
      <c r="I75" s="319"/>
      <c r="J75" s="319"/>
      <c r="K75" s="321"/>
      <c r="S75" s="321"/>
    </row>
    <row r="76" spans="3:19" s="326" customFormat="1" x14ac:dyDescent="0.25">
      <c r="C76" s="319" t="s">
        <v>523</v>
      </c>
      <c r="D76" s="319"/>
      <c r="E76" s="319"/>
      <c r="F76" s="373">
        <f>+SUM(N11:N14)</f>
        <v>2069</v>
      </c>
      <c r="G76" s="374">
        <f t="shared" si="10"/>
        <v>19.452801805189921</v>
      </c>
      <c r="H76" s="319"/>
      <c r="I76" s="319"/>
      <c r="J76" s="319"/>
      <c r="K76" s="321"/>
      <c r="S76" s="321"/>
    </row>
    <row r="77" spans="3:19" s="326" customFormat="1" x14ac:dyDescent="0.25">
      <c r="C77" s="319" t="s">
        <v>537</v>
      </c>
      <c r="D77" s="319"/>
      <c r="E77" s="319"/>
      <c r="F77" s="373">
        <f>+SUM(N17:N18)</f>
        <v>2850</v>
      </c>
      <c r="G77" s="374">
        <f t="shared" si="10"/>
        <v>26.795787890184279</v>
      </c>
      <c r="H77" s="319"/>
      <c r="I77" s="319"/>
      <c r="J77" s="319"/>
      <c r="K77" s="321"/>
      <c r="S77" s="321"/>
    </row>
    <row r="78" spans="3:19" s="326" customFormat="1" x14ac:dyDescent="0.25">
      <c r="C78" s="319" t="s">
        <v>624</v>
      </c>
      <c r="D78" s="319"/>
      <c r="E78" s="319"/>
      <c r="F78" s="373">
        <f>+SUM(N24:N30)+180+4109</f>
        <v>4885</v>
      </c>
      <c r="G78" s="374">
        <f t="shared" si="10"/>
        <v>45.928920646859723</v>
      </c>
      <c r="H78" s="319"/>
      <c r="I78" s="319"/>
      <c r="J78" s="319"/>
      <c r="K78" s="321"/>
      <c r="S78" s="321"/>
    </row>
    <row r="79" spans="3:19" s="326" customFormat="1" x14ac:dyDescent="0.25">
      <c r="C79" s="319" t="s">
        <v>589</v>
      </c>
      <c r="D79" s="319"/>
      <c r="E79" s="319"/>
      <c r="F79" s="373">
        <f>+SUM(N31:N33)</f>
        <v>60</v>
      </c>
      <c r="G79" s="374">
        <f t="shared" si="10"/>
        <v>0.5641218503196691</v>
      </c>
      <c r="H79" s="319"/>
      <c r="I79" s="319"/>
      <c r="J79" s="319"/>
      <c r="K79" s="321"/>
      <c r="S79" s="321"/>
    </row>
    <row r="80" spans="3:19" s="326" customFormat="1" x14ac:dyDescent="0.25">
      <c r="C80" s="319"/>
      <c r="D80" s="319"/>
      <c r="E80" s="319"/>
      <c r="F80" s="329"/>
      <c r="G80" s="374">
        <f t="shared" si="10"/>
        <v>0</v>
      </c>
      <c r="H80" s="319"/>
      <c r="I80" s="319"/>
      <c r="J80" s="319"/>
      <c r="K80" s="321"/>
      <c r="S80" s="321"/>
    </row>
    <row r="81" spans="3:19" s="326" customFormat="1" x14ac:dyDescent="0.25">
      <c r="C81" s="319"/>
      <c r="D81" s="319"/>
      <c r="E81" s="319"/>
      <c r="F81" s="373">
        <f>+SUM(F72:F79)</f>
        <v>10636</v>
      </c>
      <c r="G81" s="374">
        <f t="shared" si="10"/>
        <v>100</v>
      </c>
      <c r="H81" s="319"/>
      <c r="I81" s="319"/>
      <c r="J81" s="319"/>
      <c r="K81" s="321"/>
      <c r="S81" s="321"/>
    </row>
    <row r="85" spans="3:19" x14ac:dyDescent="0.25">
      <c r="I85" s="319" t="s">
        <v>237</v>
      </c>
      <c r="N85" s="326" t="e">
        <f>#REF!</f>
        <v>#REF!</v>
      </c>
    </row>
    <row r="86" spans="3:19" x14ac:dyDescent="0.25">
      <c r="N86" s="326" t="e">
        <f>N85-N57</f>
        <v>#REF!</v>
      </c>
    </row>
    <row r="88" spans="3:19" x14ac:dyDescent="0.25">
      <c r="I88" s="319" t="s">
        <v>625</v>
      </c>
      <c r="N88" s="326" t="e">
        <f>#REF!+#REF!+#REF!+#REF!</f>
        <v>#REF!</v>
      </c>
    </row>
    <row r="90" spans="3:19" x14ac:dyDescent="0.25">
      <c r="N90" s="326" t="e">
        <f>N86-N88</f>
        <v>#REF!</v>
      </c>
    </row>
  </sheetData>
  <autoFilter ref="A6:Z35" xr:uid="{00000000-0009-0000-0000-000019000000}"/>
  <customSheetViews>
    <customSheetView guid="{903669DD-1133-45D2-B108-C6B5BEA5EB61}" scale="60" fitToPage="1" showAutoFilter="1" hiddenColumns="1" state="hidden" topLeftCell="F1">
      <selection activeCell="H42" sqref="H42"/>
      <pageMargins left="0" right="0" top="0" bottom="0" header="0" footer="0"/>
      <pageSetup paperSize="9" scale="73" fitToHeight="0" orientation="landscape" verticalDpi="0" r:id="rId1"/>
      <autoFilter ref="A6:Z35" xr:uid="{51B84AEF-0EA1-4169-A910-A7262972F8A7}"/>
    </customSheetView>
    <customSheetView guid="{7910FD81-BFE7-4CD5-939B-3D7A1CA9601A}" fitToPage="1" showAutoFilter="1" hiddenColumns="1" state="hidden" topLeftCell="F1">
      <selection activeCell="H42" sqref="H42"/>
      <pageMargins left="0" right="0" top="0" bottom="0" header="0" footer="0"/>
      <pageSetup paperSize="9" scale="73" fitToHeight="0" orientation="landscape" verticalDpi="0" r:id="rId2"/>
      <autoFilter ref="A6:Z35" xr:uid="{18944C45-94D3-489F-8728-380644D699C7}"/>
    </customSheetView>
    <customSheetView guid="{051C2D13-0D3D-44C3-A7DB-A0EAFBF115F0}" scale="60" fitToPage="1" showAutoFilter="1" hiddenColumns="1" state="hidden" topLeftCell="F1">
      <selection activeCell="H42" sqref="H42"/>
      <pageMargins left="0" right="0" top="0" bottom="0" header="0" footer="0"/>
      <pageSetup paperSize="9" scale="73" fitToHeight="0" orientation="landscape" verticalDpi="0" r:id="rId3"/>
      <autoFilter ref="A6:Z35" xr:uid="{F747C7C2-78CB-4F17-9C6A-60EBE3985245}"/>
    </customSheetView>
    <customSheetView guid="{9C479752-7F2F-4739-B52F-47A06FE05EF0}" scale="60" fitToPage="1" showAutoFilter="1" hiddenColumns="1" state="hidden" topLeftCell="F1">
      <selection activeCell="H42" sqref="H42"/>
      <pageMargins left="0" right="0" top="0" bottom="0" header="0" footer="0"/>
      <pageSetup paperSize="9" scale="73" fitToHeight="0" orientation="landscape" verticalDpi="0" r:id="rId4"/>
      <autoFilter ref="A6:Z35" xr:uid="{D8C1C01C-3F66-49D9-9177-0DA781C66CEB}"/>
    </customSheetView>
    <customSheetView guid="{A0809A10-8F40-4AD2-8943-60E412AED428}" scale="60" fitToPage="1" showAutoFilter="1" hiddenColumns="1" state="hidden" topLeftCell="F1">
      <selection activeCell="H42" sqref="H42"/>
      <pageMargins left="0" right="0" top="0" bottom="0" header="0" footer="0"/>
      <pageSetup paperSize="9" scale="73" fitToHeight="0" orientation="landscape" verticalDpi="0" r:id="rId5"/>
      <autoFilter ref="A6:Z35" xr:uid="{FF81A1A7-C05E-471F-A620-1A7CFEBFE875}"/>
    </customSheetView>
    <customSheetView guid="{3E006852-BD2D-4884-A2A1-BFAEAE24582F}" scale="60" fitToPage="1" showAutoFilter="1" hiddenColumns="1" state="hidden" topLeftCell="F1">
      <selection activeCell="H42" sqref="H42"/>
      <pageMargins left="0" right="0" top="0" bottom="0" header="0" footer="0"/>
      <pageSetup paperSize="9" scale="73" fitToHeight="0" orientation="landscape" verticalDpi="0" r:id="rId6"/>
      <autoFilter ref="A6:Z35" xr:uid="{C781DCCD-3681-4F6D-9BBB-D510BAD543EE}"/>
    </customSheetView>
    <customSheetView guid="{B5B78BF3-B1F8-4BBA-8E40-E18C6034B566}" scale="60" fitToPage="1" showAutoFilter="1" hiddenColumns="1" state="hidden" topLeftCell="F1">
      <selection activeCell="H42" sqref="H42"/>
      <pageMargins left="0" right="0" top="0" bottom="0" header="0" footer="0"/>
      <pageSetup paperSize="9" scale="73" fitToHeight="0" orientation="landscape" verticalDpi="0" r:id="rId7"/>
      <autoFilter ref="A6:Z35" xr:uid="{505F27F9-138A-4FF2-9245-93329F7D56F2}"/>
    </customSheetView>
    <customSheetView guid="{2F5D2611-A2AC-4668-B979-0EE258BE5F1F}" fitToPage="1" showAutoFilter="1" hiddenColumns="1" state="hidden" topLeftCell="F1">
      <selection activeCell="H42" sqref="H42"/>
      <pageMargins left="0" right="0" top="0" bottom="0" header="0" footer="0"/>
      <pageSetup paperSize="9" scale="73" fitToHeight="0" orientation="landscape" verticalDpi="0" r:id="rId8"/>
      <autoFilter ref="A6:Z35" xr:uid="{22345877-7E49-4820-9646-BFBFA3874667}"/>
    </customSheetView>
    <customSheetView guid="{2EE8538C-E3AE-40C6-B22A-073EBF96300A}" scale="60" fitToPage="1" showAutoFilter="1" hiddenColumns="1" state="hidden" topLeftCell="F1">
      <selection activeCell="H42" sqref="H42"/>
      <pageMargins left="0" right="0" top="0" bottom="0" header="0" footer="0"/>
      <pageSetup paperSize="9" scale="73" fitToHeight="0" orientation="landscape" verticalDpi="0" r:id="rId9"/>
      <autoFilter ref="A6:Z35" xr:uid="{85B8DE5F-23BF-49A1-99CA-65C8ACC76F74}"/>
    </customSheetView>
    <customSheetView guid="{E4F22399-07D5-465E-AFB1-A36259E00328}" scale="60" fitToPage="1" showAutoFilter="1" hiddenColumns="1" state="hidden" topLeftCell="F1">
      <selection activeCell="H42" sqref="H42"/>
      <pageMargins left="0" right="0" top="0" bottom="0" header="0" footer="0"/>
      <pageSetup paperSize="9" scale="73" fitToHeight="0" orientation="landscape" verticalDpi="0" r:id="rId10"/>
      <autoFilter ref="A6:Z35" xr:uid="{7667E2F0-236B-46E6-B368-C4C42989C677}"/>
    </customSheetView>
  </customSheetViews>
  <mergeCells count="1">
    <mergeCell ref="L4:M4"/>
  </mergeCells>
  <conditionalFormatting sqref="G7:H34">
    <cfRule type="containsText" dxfId="8" priority="1" operator="containsText" text="Green">
      <formula>NOT(ISERROR(SEARCH("Green",G7)))</formula>
    </cfRule>
    <cfRule type="containsText" dxfId="7" priority="2" operator="containsText" text="Amber">
      <formula>NOT(ISERROR(SEARCH("Amber",G7)))</formula>
    </cfRule>
    <cfRule type="containsText" dxfId="6" priority="3" operator="containsText" text="Red">
      <formula>NOT(ISERROR(SEARCH("Red",G7)))</formula>
    </cfRule>
  </conditionalFormatting>
  <pageMargins left="0.7" right="0.7" top="0.75" bottom="0.75" header="0.3" footer="0.3"/>
  <pageSetup paperSize="9" scale="73" fitToHeight="0" orientation="landscape" verticalDpi="0"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'U:\My User Profile\awinship\Desktop\COVID 19 info\[OTA COVID-19 Cost Tracker V3.xlsx]Cockpit'!#REF!</xm:f>
          </x14:formula1>
          <xm:sqref>I7:K34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2:Z91"/>
  <sheetViews>
    <sheetView topLeftCell="F1" workbookViewId="0">
      <selection activeCell="K3" sqref="K3"/>
    </sheetView>
  </sheetViews>
  <sheetFormatPr defaultColWidth="9.453125" defaultRowHeight="12.5" x14ac:dyDescent="0.25"/>
  <cols>
    <col min="1" max="2" width="9.453125" style="463" hidden="1" customWidth="1"/>
    <col min="3" max="3" width="13.54296875" style="463" hidden="1" customWidth="1"/>
    <col min="4" max="5" width="9.453125" style="463" hidden="1" customWidth="1"/>
    <col min="6" max="6" width="37.54296875" style="473" customWidth="1"/>
    <col min="7" max="7" width="9.453125" style="463"/>
    <col min="8" max="8" width="20.453125" style="463" bestFit="1" customWidth="1"/>
    <col min="9" max="9" width="19.54296875" style="463" bestFit="1" customWidth="1"/>
    <col min="10" max="10" width="22.54296875" style="463" customWidth="1"/>
    <col min="11" max="11" width="24" style="465" customWidth="1"/>
    <col min="12" max="13" width="13.54296875" style="470" hidden="1" customWidth="1"/>
    <col min="14" max="15" width="13.54296875" style="470" customWidth="1"/>
    <col min="16" max="16" width="15.54296875" style="470" customWidth="1"/>
    <col min="17" max="18" width="13.54296875" style="470" customWidth="1"/>
    <col min="19" max="19" width="50.54296875" style="465" customWidth="1"/>
    <col min="20" max="23" width="9.453125" style="463"/>
    <col min="24" max="24" width="21.54296875" style="463" customWidth="1"/>
    <col min="25" max="25" width="15.54296875" style="463" customWidth="1"/>
    <col min="26" max="16384" width="9.453125" style="463"/>
  </cols>
  <sheetData>
    <row r="2" spans="1:26" ht="13" x14ac:dyDescent="0.3">
      <c r="F2" s="464" t="s">
        <v>467</v>
      </c>
      <c r="K2" s="465" t="s">
        <v>468</v>
      </c>
      <c r="L2" s="463"/>
      <c r="M2" s="464"/>
      <c r="N2" s="464"/>
      <c r="O2" s="464"/>
      <c r="P2" s="464"/>
      <c r="Q2" s="464"/>
      <c r="R2" s="464"/>
      <c r="S2" s="466" t="s">
        <v>469</v>
      </c>
    </row>
    <row r="3" spans="1:26" ht="53.9" customHeight="1" x14ac:dyDescent="0.3">
      <c r="F3" s="467" t="s">
        <v>0</v>
      </c>
      <c r="L3" s="468" t="s">
        <v>470</v>
      </c>
      <c r="M3" s="468" t="s">
        <v>471</v>
      </c>
      <c r="N3" s="468"/>
      <c r="O3" s="469" t="s">
        <v>472</v>
      </c>
      <c r="P3" s="469" t="s">
        <v>473</v>
      </c>
      <c r="Q3" s="469" t="s">
        <v>474</v>
      </c>
      <c r="S3" s="463"/>
    </row>
    <row r="4" spans="1:26" ht="13" x14ac:dyDescent="0.3">
      <c r="F4" s="467" t="s">
        <v>475</v>
      </c>
      <c r="L4" s="846" t="s">
        <v>476</v>
      </c>
      <c r="M4" s="846"/>
      <c r="N4" s="471" t="s">
        <v>477</v>
      </c>
      <c r="O4" s="471" t="s">
        <v>478</v>
      </c>
      <c r="P4" s="472" t="s">
        <v>479</v>
      </c>
      <c r="Q4" s="472" t="s">
        <v>480</v>
      </c>
      <c r="R4" s="472" t="s">
        <v>481</v>
      </c>
    </row>
    <row r="5" spans="1:26" ht="39" x14ac:dyDescent="0.3">
      <c r="A5" s="463" t="s">
        <v>482</v>
      </c>
      <c r="B5" s="463" t="s">
        <v>483</v>
      </c>
      <c r="C5" s="463" t="s">
        <v>484</v>
      </c>
      <c r="D5" s="473" t="s">
        <v>485</v>
      </c>
      <c r="E5" s="473" t="s">
        <v>486</v>
      </c>
      <c r="F5" s="474" t="s">
        <v>487</v>
      </c>
      <c r="G5" s="475" t="s">
        <v>488</v>
      </c>
      <c r="H5" s="475" t="s">
        <v>489</v>
      </c>
      <c r="I5" s="475" t="s">
        <v>490</v>
      </c>
      <c r="J5" s="475" t="s">
        <v>489</v>
      </c>
      <c r="K5" s="476" t="s">
        <v>491</v>
      </c>
      <c r="L5" s="477" t="s">
        <v>492</v>
      </c>
      <c r="M5" s="477" t="s">
        <v>493</v>
      </c>
      <c r="N5" s="477" t="s">
        <v>494</v>
      </c>
      <c r="O5" s="477" t="s">
        <v>495</v>
      </c>
      <c r="P5" s="477" t="s">
        <v>495</v>
      </c>
      <c r="Q5" s="477" t="s">
        <v>495</v>
      </c>
      <c r="R5" s="477" t="s">
        <v>495</v>
      </c>
      <c r="S5" s="476" t="s">
        <v>496</v>
      </c>
    </row>
    <row r="6" spans="1:26" ht="15" customHeight="1" x14ac:dyDescent="0.3">
      <c r="F6" s="474"/>
      <c r="G6" s="478"/>
      <c r="H6" s="478"/>
      <c r="I6" s="478"/>
      <c r="J6" s="478"/>
      <c r="K6" s="476"/>
      <c r="L6" s="471" t="s">
        <v>497</v>
      </c>
      <c r="M6" s="471" t="s">
        <v>497</v>
      </c>
      <c r="N6" s="471" t="s">
        <v>34</v>
      </c>
      <c r="O6" s="471" t="s">
        <v>497</v>
      </c>
      <c r="P6" s="471" t="s">
        <v>497</v>
      </c>
      <c r="Q6" s="471" t="s">
        <v>497</v>
      </c>
      <c r="R6" s="471" t="s">
        <v>497</v>
      </c>
      <c r="S6" s="476"/>
    </row>
    <row r="7" spans="1:26" ht="75" x14ac:dyDescent="0.25">
      <c r="F7" s="479" t="s">
        <v>498</v>
      </c>
      <c r="G7" s="480" t="s">
        <v>499</v>
      </c>
      <c r="H7" s="480" t="s">
        <v>500</v>
      </c>
      <c r="I7" s="481" t="s">
        <v>501</v>
      </c>
      <c r="J7" s="481"/>
      <c r="K7" s="482" t="s">
        <v>502</v>
      </c>
      <c r="L7" s="483">
        <v>400</v>
      </c>
      <c r="M7" s="484">
        <v>755</v>
      </c>
      <c r="N7" s="485">
        <f>+SUM(M7+L7)</f>
        <v>1155</v>
      </c>
      <c r="O7" s="486">
        <v>1000</v>
      </c>
      <c r="P7" s="486">
        <v>750</v>
      </c>
      <c r="Q7" s="486">
        <v>500</v>
      </c>
      <c r="R7" s="486"/>
      <c r="S7" s="487" t="s">
        <v>503</v>
      </c>
    </row>
    <row r="8" spans="1:26" ht="37.5" x14ac:dyDescent="0.25">
      <c r="F8" s="479" t="s">
        <v>504</v>
      </c>
      <c r="G8" s="480" t="s">
        <v>499</v>
      </c>
      <c r="H8" s="480" t="s">
        <v>500</v>
      </c>
      <c r="I8" s="481" t="s">
        <v>501</v>
      </c>
      <c r="J8" s="481"/>
      <c r="K8" s="482" t="s">
        <v>502</v>
      </c>
      <c r="L8" s="483">
        <v>300</v>
      </c>
      <c r="M8" s="484">
        <v>0</v>
      </c>
      <c r="N8" s="485">
        <f>+SUM(M8+L8)</f>
        <v>300</v>
      </c>
      <c r="O8" s="486">
        <v>300</v>
      </c>
      <c r="P8" s="486">
        <v>300</v>
      </c>
      <c r="Q8" s="486">
        <v>300</v>
      </c>
      <c r="R8" s="486">
        <v>300</v>
      </c>
      <c r="S8" s="487" t="s">
        <v>505</v>
      </c>
    </row>
    <row r="9" spans="1:26" ht="25" x14ac:dyDescent="0.25">
      <c r="F9" s="479" t="s">
        <v>506</v>
      </c>
      <c r="G9" s="480" t="s">
        <v>499</v>
      </c>
      <c r="H9" s="480" t="s">
        <v>500</v>
      </c>
      <c r="I9" s="481" t="s">
        <v>501</v>
      </c>
      <c r="J9" s="481"/>
      <c r="K9" s="487" t="s">
        <v>507</v>
      </c>
      <c r="L9" s="483">
        <v>-346</v>
      </c>
      <c r="M9" s="484"/>
      <c r="N9" s="485">
        <v>-557</v>
      </c>
      <c r="O9" s="486">
        <v>471</v>
      </c>
      <c r="P9" s="486">
        <v>490</v>
      </c>
      <c r="Q9" s="486">
        <v>554</v>
      </c>
      <c r="R9" s="486">
        <v>554</v>
      </c>
      <c r="S9" s="487" t="s">
        <v>508</v>
      </c>
    </row>
    <row r="10" spans="1:26" ht="87.5" x14ac:dyDescent="0.25">
      <c r="A10" s="463" t="e">
        <f>651/+SUM(E7:E10)</f>
        <v>#DIV/0!</v>
      </c>
      <c r="C10" s="463" t="e">
        <f>4109/+SUM(D7:D10)</f>
        <v>#DIV/0!</v>
      </c>
      <c r="F10" s="479" t="s">
        <v>509</v>
      </c>
      <c r="G10" s="480" t="s">
        <v>499</v>
      </c>
      <c r="H10" s="480" t="s">
        <v>510</v>
      </c>
      <c r="I10" s="481" t="s">
        <v>501</v>
      </c>
      <c r="J10" s="481"/>
      <c r="K10" s="487" t="s">
        <v>502</v>
      </c>
      <c r="L10" s="484">
        <v>1600</v>
      </c>
      <c r="M10" s="484">
        <v>1400</v>
      </c>
      <c r="N10" s="485">
        <v>3000</v>
      </c>
      <c r="O10" s="486">
        <v>2000</v>
      </c>
      <c r="P10" s="486">
        <v>1000</v>
      </c>
      <c r="Q10" s="486"/>
      <c r="R10" s="486"/>
      <c r="S10" s="487" t="s">
        <v>511</v>
      </c>
      <c r="T10" s="463" t="s">
        <v>512</v>
      </c>
    </row>
    <row r="11" spans="1:26" ht="25" x14ac:dyDescent="0.25">
      <c r="D11" s="463">
        <v>477</v>
      </c>
      <c r="E11" s="463">
        <f t="shared" ref="E11:E35" si="0">+D11/12</f>
        <v>39.75</v>
      </c>
      <c r="F11" s="479" t="s">
        <v>513</v>
      </c>
      <c r="G11" s="488" t="s">
        <v>499</v>
      </c>
      <c r="H11" s="488" t="s">
        <v>514</v>
      </c>
      <c r="I11" s="481" t="s">
        <v>501</v>
      </c>
      <c r="J11" s="481"/>
      <c r="K11" s="487" t="s">
        <v>515</v>
      </c>
      <c r="L11" s="483">
        <v>105</v>
      </c>
      <c r="M11" s="484">
        <v>105</v>
      </c>
      <c r="N11" s="485">
        <v>280</v>
      </c>
      <c r="O11" s="489">
        <f>+N11*0.75</f>
        <v>210</v>
      </c>
      <c r="P11" s="489">
        <f>O11*50%</f>
        <v>105</v>
      </c>
      <c r="Q11" s="489">
        <v>0</v>
      </c>
      <c r="R11" s="489"/>
      <c r="S11" s="487" t="s">
        <v>516</v>
      </c>
      <c r="T11" s="463" t="s">
        <v>517</v>
      </c>
    </row>
    <row r="12" spans="1:26" ht="37.5" x14ac:dyDescent="0.25">
      <c r="D12" s="463">
        <f>166*4</f>
        <v>664</v>
      </c>
      <c r="E12" s="463">
        <f t="shared" si="0"/>
        <v>55.333333333333336</v>
      </c>
      <c r="F12" s="479" t="s">
        <v>518</v>
      </c>
      <c r="G12" s="488" t="s">
        <v>499</v>
      </c>
      <c r="H12" s="488" t="s">
        <v>514</v>
      </c>
      <c r="I12" s="481" t="s">
        <v>501</v>
      </c>
      <c r="J12" s="481"/>
      <c r="K12" s="487" t="s">
        <v>519</v>
      </c>
      <c r="L12" s="483">
        <f>166+150</f>
        <v>316</v>
      </c>
      <c r="M12" s="484">
        <f>(166*3)</f>
        <v>498</v>
      </c>
      <c r="N12" s="485">
        <f>+M12+L12</f>
        <v>814</v>
      </c>
      <c r="O12" s="489">
        <f>(47)*12</f>
        <v>564</v>
      </c>
      <c r="P12" s="489">
        <f>(47)*12</f>
        <v>564</v>
      </c>
      <c r="Q12" s="489">
        <f>(47)*12</f>
        <v>564</v>
      </c>
      <c r="R12" s="489">
        <f>(47)*12</f>
        <v>564</v>
      </c>
      <c r="S12" s="487" t="s">
        <v>520</v>
      </c>
    </row>
    <row r="13" spans="1:26" x14ac:dyDescent="0.25">
      <c r="F13" s="479" t="s">
        <v>518</v>
      </c>
      <c r="G13" s="488"/>
      <c r="H13" s="488" t="s">
        <v>514</v>
      </c>
      <c r="I13" s="481"/>
      <c r="J13" s="481"/>
      <c r="K13" s="487"/>
      <c r="L13" s="483"/>
      <c r="M13" s="484">
        <f>9*32</f>
        <v>288</v>
      </c>
      <c r="N13" s="485">
        <v>384</v>
      </c>
      <c r="O13" s="489">
        <f>32*12</f>
        <v>384</v>
      </c>
      <c r="P13" s="489"/>
      <c r="Q13" s="489"/>
      <c r="R13" s="489"/>
      <c r="S13" s="487" t="s">
        <v>521</v>
      </c>
    </row>
    <row r="14" spans="1:26" ht="25" x14ac:dyDescent="0.25">
      <c r="A14" s="463">
        <f>222/+SUM(E11:E14)</f>
        <v>1.2442783745913124</v>
      </c>
      <c r="D14" s="463">
        <v>1000</v>
      </c>
      <c r="E14" s="463">
        <f t="shared" si="0"/>
        <v>83.333333333333329</v>
      </c>
      <c r="F14" s="479" t="s">
        <v>522</v>
      </c>
      <c r="G14" s="488" t="s">
        <v>499</v>
      </c>
      <c r="H14" s="488" t="s">
        <v>523</v>
      </c>
      <c r="I14" s="481" t="s">
        <v>501</v>
      </c>
      <c r="J14" s="481"/>
      <c r="K14" s="487" t="s">
        <v>519</v>
      </c>
      <c r="L14" s="483">
        <v>245</v>
      </c>
      <c r="M14" s="484">
        <f>250+240</f>
        <v>490</v>
      </c>
      <c r="N14" s="485">
        <f>562+29</f>
        <v>591</v>
      </c>
      <c r="O14" s="490">
        <v>300</v>
      </c>
      <c r="P14" s="490">
        <v>150</v>
      </c>
      <c r="Q14" s="490">
        <v>0</v>
      </c>
      <c r="R14" s="490">
        <v>0</v>
      </c>
      <c r="S14" s="487" t="s">
        <v>524</v>
      </c>
      <c r="T14" s="463" t="s">
        <v>517</v>
      </c>
    </row>
    <row r="15" spans="1:26" x14ac:dyDescent="0.25">
      <c r="A15" s="463">
        <f>50/66</f>
        <v>0.75757575757575757</v>
      </c>
      <c r="B15" s="463">
        <f>30/66</f>
        <v>0.45454545454545453</v>
      </c>
      <c r="C15" s="463">
        <f>80/800</f>
        <v>0.1</v>
      </c>
      <c r="E15" s="491"/>
      <c r="F15" s="479" t="s">
        <v>525</v>
      </c>
      <c r="G15" s="488" t="s">
        <v>526</v>
      </c>
      <c r="H15" s="488" t="s">
        <v>527</v>
      </c>
      <c r="I15" s="481" t="s">
        <v>528</v>
      </c>
      <c r="J15" s="481"/>
      <c r="K15" s="487" t="s">
        <v>507</v>
      </c>
      <c r="L15" s="484">
        <v>50</v>
      </c>
      <c r="M15" s="484">
        <v>30</v>
      </c>
      <c r="N15" s="485">
        <f t="shared" ref="N15:N30" si="1">+SUM(M15+L15)</f>
        <v>80</v>
      </c>
      <c r="O15" s="489"/>
      <c r="P15" s="489"/>
      <c r="Q15" s="489">
        <v>0</v>
      </c>
      <c r="R15" s="489"/>
      <c r="S15" s="487" t="s">
        <v>529</v>
      </c>
    </row>
    <row r="16" spans="1:26" ht="37.5" x14ac:dyDescent="0.25">
      <c r="A16" s="463" t="e">
        <f>100/E16</f>
        <v>#DIV/0!</v>
      </c>
      <c r="C16" s="463">
        <f>100/1000</f>
        <v>0.1</v>
      </c>
      <c r="E16" s="491"/>
      <c r="F16" s="479" t="s">
        <v>530</v>
      </c>
      <c r="G16" s="480" t="s">
        <v>526</v>
      </c>
      <c r="H16" s="480" t="s">
        <v>527</v>
      </c>
      <c r="I16" s="481" t="s">
        <v>531</v>
      </c>
      <c r="J16" s="481"/>
      <c r="K16" s="487" t="s">
        <v>507</v>
      </c>
      <c r="L16" s="489">
        <v>55</v>
      </c>
      <c r="M16" s="489">
        <v>400</v>
      </c>
      <c r="N16" s="485">
        <v>456</v>
      </c>
      <c r="O16" s="489">
        <v>79</v>
      </c>
      <c r="P16" s="489">
        <v>79</v>
      </c>
      <c r="Q16" s="489">
        <v>79</v>
      </c>
      <c r="R16" s="489">
        <v>79</v>
      </c>
      <c r="S16" s="487" t="s">
        <v>532</v>
      </c>
      <c r="X16" s="492" t="s">
        <v>533</v>
      </c>
      <c r="Y16" s="493" t="s">
        <v>534</v>
      </c>
      <c r="Z16" s="493" t="s">
        <v>535</v>
      </c>
    </row>
    <row r="17" spans="1:26" x14ac:dyDescent="0.25">
      <c r="D17" s="463">
        <f>+L17*12</f>
        <v>600</v>
      </c>
      <c r="E17" s="463">
        <f t="shared" si="0"/>
        <v>50</v>
      </c>
      <c r="F17" s="479" t="s">
        <v>536</v>
      </c>
      <c r="G17" s="488" t="s">
        <v>526</v>
      </c>
      <c r="H17" s="488" t="s">
        <v>537</v>
      </c>
      <c r="I17" s="481" t="s">
        <v>501</v>
      </c>
      <c r="J17" s="481"/>
      <c r="K17" s="487" t="s">
        <v>538</v>
      </c>
      <c r="L17" s="483">
        <v>50</v>
      </c>
      <c r="M17" s="484"/>
      <c r="N17" s="485">
        <f t="shared" si="1"/>
        <v>50</v>
      </c>
      <c r="O17" s="489"/>
      <c r="P17" s="489">
        <v>0</v>
      </c>
      <c r="Q17" s="489">
        <v>0</v>
      </c>
      <c r="R17" s="489"/>
      <c r="S17" s="487" t="s">
        <v>539</v>
      </c>
      <c r="X17" s="494" t="s">
        <v>540</v>
      </c>
      <c r="Y17" s="157">
        <v>0</v>
      </c>
      <c r="Z17" s="157">
        <v>15000</v>
      </c>
    </row>
    <row r="18" spans="1:26" ht="50" x14ac:dyDescent="0.25">
      <c r="A18" s="463">
        <f>483/675</f>
        <v>0.7155555555555555</v>
      </c>
      <c r="B18" s="463">
        <f>483/675</f>
        <v>0.7155555555555555</v>
      </c>
      <c r="C18" s="463">
        <f>675/8100</f>
        <v>8.3333333333333329E-2</v>
      </c>
      <c r="D18" s="463">
        <v>7500</v>
      </c>
      <c r="E18" s="463">
        <f t="shared" si="0"/>
        <v>625</v>
      </c>
      <c r="F18" s="479" t="s">
        <v>541</v>
      </c>
      <c r="G18" s="480" t="s">
        <v>499</v>
      </c>
      <c r="H18" s="480" t="s">
        <v>537</v>
      </c>
      <c r="I18" s="481" t="s">
        <v>501</v>
      </c>
      <c r="J18" s="481"/>
      <c r="K18" s="487" t="s">
        <v>542</v>
      </c>
      <c r="L18" s="483">
        <v>1400</v>
      </c>
      <c r="M18" s="484">
        <v>1400</v>
      </c>
      <c r="N18" s="485">
        <f t="shared" si="1"/>
        <v>2800</v>
      </c>
      <c r="O18" s="486"/>
      <c r="P18" s="486"/>
      <c r="Q18" s="486"/>
      <c r="R18" s="486"/>
      <c r="S18" s="495" t="s">
        <v>543</v>
      </c>
      <c r="T18" s="463" t="s">
        <v>544</v>
      </c>
      <c r="X18" s="494" t="s">
        <v>545</v>
      </c>
      <c r="Y18" s="157">
        <v>0</v>
      </c>
      <c r="Z18" s="157">
        <f>12 *((12*50) + (5 * 50) )</f>
        <v>10200</v>
      </c>
    </row>
    <row r="19" spans="1:26" ht="25" x14ac:dyDescent="0.25">
      <c r="E19" s="491"/>
      <c r="F19" s="479" t="s">
        <v>546</v>
      </c>
      <c r="G19" s="488" t="s">
        <v>499</v>
      </c>
      <c r="H19" s="488" t="s">
        <v>547</v>
      </c>
      <c r="I19" s="481" t="s">
        <v>531</v>
      </c>
      <c r="J19" s="481"/>
      <c r="K19" s="487" t="s">
        <v>515</v>
      </c>
      <c r="L19" s="484">
        <v>50</v>
      </c>
      <c r="M19" s="484"/>
      <c r="N19" s="485">
        <v>125</v>
      </c>
      <c r="O19" s="489">
        <v>0</v>
      </c>
      <c r="P19" s="489">
        <v>0</v>
      </c>
      <c r="Q19" s="489">
        <v>0</v>
      </c>
      <c r="R19" s="489"/>
      <c r="S19" s="487" t="s">
        <v>548</v>
      </c>
      <c r="X19" s="494" t="s">
        <v>549</v>
      </c>
      <c r="Y19" s="157">
        <v>30000</v>
      </c>
      <c r="Z19" s="157">
        <v>0</v>
      </c>
    </row>
    <row r="20" spans="1:26" ht="25" x14ac:dyDescent="0.25">
      <c r="E20" s="491"/>
      <c r="F20" s="479" t="s">
        <v>550</v>
      </c>
      <c r="G20" s="488" t="s">
        <v>499</v>
      </c>
      <c r="H20" s="488" t="s">
        <v>547</v>
      </c>
      <c r="I20" s="481" t="s">
        <v>531</v>
      </c>
      <c r="J20" s="481"/>
      <c r="K20" s="487" t="s">
        <v>515</v>
      </c>
      <c r="L20" s="484">
        <v>15</v>
      </c>
      <c r="M20" s="484"/>
      <c r="N20" s="485">
        <f t="shared" si="1"/>
        <v>15</v>
      </c>
      <c r="O20" s="489">
        <v>0</v>
      </c>
      <c r="P20" s="489">
        <v>0</v>
      </c>
      <c r="Q20" s="489">
        <v>0</v>
      </c>
      <c r="R20" s="489"/>
      <c r="S20" s="487" t="s">
        <v>551</v>
      </c>
      <c r="X20" s="492" t="s">
        <v>552</v>
      </c>
      <c r="Y20" s="159">
        <v>10000</v>
      </c>
      <c r="Z20" s="159">
        <v>0</v>
      </c>
    </row>
    <row r="21" spans="1:26" ht="25" x14ac:dyDescent="0.25">
      <c r="E21" s="491"/>
      <c r="F21" s="479" t="s">
        <v>553</v>
      </c>
      <c r="G21" s="488" t="s">
        <v>499</v>
      </c>
      <c r="H21" s="488" t="s">
        <v>547</v>
      </c>
      <c r="I21" s="481" t="s">
        <v>531</v>
      </c>
      <c r="J21" s="481"/>
      <c r="K21" s="487" t="s">
        <v>515</v>
      </c>
      <c r="L21" s="484">
        <v>100</v>
      </c>
      <c r="M21" s="484"/>
      <c r="N21" s="485">
        <f t="shared" si="1"/>
        <v>100</v>
      </c>
      <c r="O21" s="489">
        <v>0</v>
      </c>
      <c r="P21" s="489">
        <v>0</v>
      </c>
      <c r="Q21" s="489">
        <v>0</v>
      </c>
      <c r="R21" s="489"/>
      <c r="S21" s="487" t="s">
        <v>554</v>
      </c>
      <c r="X21" s="492" t="s">
        <v>555</v>
      </c>
      <c r="Y21" s="159">
        <v>40000</v>
      </c>
      <c r="Z21" s="159">
        <v>0</v>
      </c>
    </row>
    <row r="22" spans="1:26" ht="25" x14ac:dyDescent="0.25">
      <c r="E22" s="491"/>
      <c r="F22" s="479" t="s">
        <v>556</v>
      </c>
      <c r="G22" s="480" t="s">
        <v>499</v>
      </c>
      <c r="H22" s="480" t="s">
        <v>462</v>
      </c>
      <c r="I22" s="481" t="s">
        <v>528</v>
      </c>
      <c r="J22" s="481"/>
      <c r="K22" s="487" t="s">
        <v>515</v>
      </c>
      <c r="L22" s="484">
        <f>144*3</f>
        <v>432</v>
      </c>
      <c r="M22" s="484">
        <v>100</v>
      </c>
      <c r="N22" s="485">
        <f t="shared" si="1"/>
        <v>532</v>
      </c>
      <c r="O22" s="486">
        <v>50</v>
      </c>
      <c r="P22" s="486">
        <v>50</v>
      </c>
      <c r="Q22" s="486">
        <v>50</v>
      </c>
      <c r="R22" s="486"/>
      <c r="S22" s="487" t="s">
        <v>557</v>
      </c>
      <c r="T22" s="463" t="s">
        <v>558</v>
      </c>
      <c r="X22" s="492" t="s">
        <v>559</v>
      </c>
      <c r="Y22" s="159">
        <v>0</v>
      </c>
      <c r="Z22" s="159">
        <f>200*25</f>
        <v>5000</v>
      </c>
    </row>
    <row r="23" spans="1:26" ht="25" x14ac:dyDescent="0.25">
      <c r="E23" s="491"/>
      <c r="F23" s="479" t="s">
        <v>560</v>
      </c>
      <c r="G23" s="480"/>
      <c r="H23" s="480"/>
      <c r="I23" s="481"/>
      <c r="J23" s="481"/>
      <c r="K23" s="487"/>
      <c r="L23" s="484"/>
      <c r="M23" s="484"/>
      <c r="N23" s="485">
        <v>408</v>
      </c>
      <c r="O23" s="486"/>
      <c r="P23" s="486"/>
      <c r="Q23" s="486"/>
      <c r="R23" s="486"/>
      <c r="S23" s="487"/>
      <c r="X23" s="492"/>
      <c r="Y23" s="159"/>
      <c r="Z23" s="159"/>
    </row>
    <row r="24" spans="1:26" ht="37.5" x14ac:dyDescent="0.25">
      <c r="D24" s="463">
        <v>100000</v>
      </c>
      <c r="E24" s="463">
        <f t="shared" si="0"/>
        <v>8333.3333333333339</v>
      </c>
      <c r="F24" s="479" t="s">
        <v>561</v>
      </c>
      <c r="G24" s="480" t="s">
        <v>499</v>
      </c>
      <c r="H24" s="480" t="s">
        <v>562</v>
      </c>
      <c r="I24" s="481" t="s">
        <v>501</v>
      </c>
      <c r="J24" s="481"/>
      <c r="K24" s="487" t="s">
        <v>563</v>
      </c>
      <c r="L24" s="484"/>
      <c r="M24" s="484"/>
      <c r="N24" s="486">
        <f t="shared" si="1"/>
        <v>0</v>
      </c>
      <c r="O24" s="486">
        <v>600</v>
      </c>
      <c r="P24" s="486">
        <f>+O24*0.75</f>
        <v>450</v>
      </c>
      <c r="Q24" s="486">
        <f>+O24*0.5</f>
        <v>300</v>
      </c>
      <c r="R24" s="486"/>
      <c r="S24" s="487" t="s">
        <v>564</v>
      </c>
      <c r="T24" s="463" t="s">
        <v>565</v>
      </c>
      <c r="X24" s="492" t="s">
        <v>566</v>
      </c>
      <c r="Y24" s="159">
        <v>200000</v>
      </c>
      <c r="Z24" s="159">
        <v>20000</v>
      </c>
    </row>
    <row r="25" spans="1:26" ht="50" x14ac:dyDescent="0.25">
      <c r="D25" s="463">
        <v>240</v>
      </c>
      <c r="E25" s="463">
        <f t="shared" si="0"/>
        <v>20</v>
      </c>
      <c r="F25" s="479" t="s">
        <v>567</v>
      </c>
      <c r="G25" s="480" t="s">
        <v>499</v>
      </c>
      <c r="H25" s="480" t="s">
        <v>562</v>
      </c>
      <c r="I25" s="481" t="s">
        <v>501</v>
      </c>
      <c r="J25" s="481"/>
      <c r="K25" s="487" t="s">
        <v>538</v>
      </c>
      <c r="L25" s="484"/>
      <c r="M25" s="484">
        <v>150</v>
      </c>
      <c r="N25" s="486">
        <v>0</v>
      </c>
      <c r="O25" s="486"/>
      <c r="P25" s="486"/>
      <c r="Q25" s="486">
        <v>0</v>
      </c>
      <c r="R25" s="486"/>
      <c r="S25" s="487" t="s">
        <v>568</v>
      </c>
      <c r="X25" s="492" t="s">
        <v>569</v>
      </c>
      <c r="Y25" s="159">
        <v>0</v>
      </c>
      <c r="Z25" s="159">
        <f>1.5*500*12</f>
        <v>9000</v>
      </c>
    </row>
    <row r="26" spans="1:26" ht="50" x14ac:dyDescent="0.25">
      <c r="D26" s="463">
        <f>+N26/0.45</f>
        <v>357.77777777777777</v>
      </c>
      <c r="E26" s="463">
        <f t="shared" si="0"/>
        <v>29.814814814814813</v>
      </c>
      <c r="F26" s="479" t="s">
        <v>570</v>
      </c>
      <c r="G26" s="488" t="s">
        <v>499</v>
      </c>
      <c r="H26" s="488" t="s">
        <v>562</v>
      </c>
      <c r="I26" s="481" t="s">
        <v>501</v>
      </c>
      <c r="J26" s="481"/>
      <c r="K26" s="487" t="s">
        <v>571</v>
      </c>
      <c r="L26" s="483">
        <v>115</v>
      </c>
      <c r="M26" s="484">
        <v>20</v>
      </c>
      <c r="N26" s="485">
        <v>161</v>
      </c>
      <c r="O26" s="489">
        <v>20</v>
      </c>
      <c r="P26" s="489">
        <v>10</v>
      </c>
      <c r="Q26" s="489">
        <v>0</v>
      </c>
      <c r="R26" s="489"/>
      <c r="S26" s="487" t="s">
        <v>572</v>
      </c>
      <c r="X26" s="492" t="s">
        <v>573</v>
      </c>
      <c r="Y26" s="159">
        <v>0</v>
      </c>
      <c r="Z26" s="159">
        <f>5000</f>
        <v>5000</v>
      </c>
    </row>
    <row r="27" spans="1:26" ht="50" x14ac:dyDescent="0.25">
      <c r="D27" s="463">
        <v>600</v>
      </c>
      <c r="E27" s="463">
        <f t="shared" si="0"/>
        <v>50</v>
      </c>
      <c r="F27" s="479" t="s">
        <v>574</v>
      </c>
      <c r="G27" s="480" t="s">
        <v>499</v>
      </c>
      <c r="H27" s="480" t="s">
        <v>562</v>
      </c>
      <c r="I27" s="481" t="s">
        <v>501</v>
      </c>
      <c r="J27" s="481"/>
      <c r="K27" s="487" t="s">
        <v>571</v>
      </c>
      <c r="L27" s="483">
        <v>60</v>
      </c>
      <c r="M27" s="484"/>
      <c r="N27" s="485">
        <v>0</v>
      </c>
      <c r="O27" s="486"/>
      <c r="P27" s="496"/>
      <c r="Q27" s="486">
        <v>0</v>
      </c>
      <c r="R27" s="486"/>
      <c r="S27" s="433" t="s">
        <v>575</v>
      </c>
      <c r="X27" s="492" t="s">
        <v>576</v>
      </c>
      <c r="Y27" s="159">
        <v>0</v>
      </c>
      <c r="Z27" s="159">
        <f>10000</f>
        <v>10000</v>
      </c>
    </row>
    <row r="28" spans="1:26" ht="50" x14ac:dyDescent="0.25">
      <c r="D28" s="463">
        <v>700</v>
      </c>
      <c r="E28" s="463">
        <f t="shared" si="0"/>
        <v>58.333333333333336</v>
      </c>
      <c r="F28" s="479" t="s">
        <v>577</v>
      </c>
      <c r="G28" s="480" t="s">
        <v>499</v>
      </c>
      <c r="H28" s="480" t="s">
        <v>562</v>
      </c>
      <c r="I28" s="481" t="s">
        <v>501</v>
      </c>
      <c r="J28" s="481"/>
      <c r="K28" s="487" t="s">
        <v>571</v>
      </c>
      <c r="L28" s="483">
        <v>60</v>
      </c>
      <c r="M28" s="484"/>
      <c r="N28" s="485">
        <v>85</v>
      </c>
      <c r="O28" s="486"/>
      <c r="P28" s="486"/>
      <c r="Q28" s="486">
        <v>0</v>
      </c>
      <c r="R28" s="486"/>
      <c r="S28" s="497" t="s">
        <v>578</v>
      </c>
      <c r="X28" s="492" t="s">
        <v>579</v>
      </c>
      <c r="Y28" s="159">
        <f>75000</f>
        <v>75000</v>
      </c>
      <c r="Z28" s="159">
        <v>5000</v>
      </c>
    </row>
    <row r="29" spans="1:26" ht="25" x14ac:dyDescent="0.25">
      <c r="D29" s="463">
        <v>100000</v>
      </c>
      <c r="E29" s="463">
        <f t="shared" si="0"/>
        <v>8333.3333333333339</v>
      </c>
      <c r="F29" s="479" t="s">
        <v>580</v>
      </c>
      <c r="G29" s="480" t="s">
        <v>499</v>
      </c>
      <c r="H29" s="480" t="s">
        <v>562</v>
      </c>
      <c r="I29" s="481" t="s">
        <v>501</v>
      </c>
      <c r="J29" s="481"/>
      <c r="K29" s="487" t="s">
        <v>581</v>
      </c>
      <c r="L29" s="484"/>
      <c r="M29" s="484"/>
      <c r="N29" s="486">
        <f t="shared" si="1"/>
        <v>0</v>
      </c>
      <c r="O29" s="486">
        <v>500</v>
      </c>
      <c r="P29" s="486">
        <f>+O29*0.75</f>
        <v>375</v>
      </c>
      <c r="Q29" s="486">
        <f>+O29*0.5</f>
        <v>250</v>
      </c>
      <c r="R29" s="486"/>
      <c r="S29" s="487" t="s">
        <v>582</v>
      </c>
      <c r="X29" s="492" t="s">
        <v>583</v>
      </c>
      <c r="Y29" s="159">
        <f>250*150</f>
        <v>37500</v>
      </c>
      <c r="Z29" s="159">
        <v>0</v>
      </c>
    </row>
    <row r="30" spans="1:26" ht="13" x14ac:dyDescent="0.3">
      <c r="A30" s="463">
        <f>145/+SUM(E24:E30)</f>
        <v>8.5336879046145099E-3</v>
      </c>
      <c r="C30" s="463">
        <f>755/+SUM(D24:D30)</f>
        <v>3.7028358436689409E-3</v>
      </c>
      <c r="D30" s="463">
        <v>2000</v>
      </c>
      <c r="E30" s="463">
        <f t="shared" si="0"/>
        <v>166.66666666666666</v>
      </c>
      <c r="F30" s="479" t="s">
        <v>584</v>
      </c>
      <c r="G30" s="480" t="s">
        <v>499</v>
      </c>
      <c r="H30" s="480" t="s">
        <v>562</v>
      </c>
      <c r="I30" s="481" t="s">
        <v>501</v>
      </c>
      <c r="J30" s="481"/>
      <c r="K30" s="487" t="s">
        <v>507</v>
      </c>
      <c r="L30" s="483">
        <v>200</v>
      </c>
      <c r="M30" s="484">
        <v>150</v>
      </c>
      <c r="N30" s="485">
        <f t="shared" si="1"/>
        <v>350</v>
      </c>
      <c r="O30" s="486">
        <v>300</v>
      </c>
      <c r="P30" s="486">
        <v>300</v>
      </c>
      <c r="Q30" s="486">
        <v>150</v>
      </c>
      <c r="R30" s="486"/>
      <c r="S30" s="487" t="s">
        <v>585</v>
      </c>
      <c r="T30" s="463" t="s">
        <v>586</v>
      </c>
      <c r="X30" s="498" t="s">
        <v>587</v>
      </c>
      <c r="Y30" s="499">
        <f>SUM(Y17:Y29)</f>
        <v>392500</v>
      </c>
      <c r="Z30" s="499">
        <f>SUM(Z17:Z29)</f>
        <v>79200</v>
      </c>
    </row>
    <row r="31" spans="1:26" ht="50" x14ac:dyDescent="0.25">
      <c r="D31" s="463">
        <f>+N31/0.2</f>
        <v>300</v>
      </c>
      <c r="E31" s="463">
        <f t="shared" si="0"/>
        <v>25</v>
      </c>
      <c r="F31" s="479" t="s">
        <v>588</v>
      </c>
      <c r="G31" s="488" t="s">
        <v>499</v>
      </c>
      <c r="H31" s="488" t="s">
        <v>589</v>
      </c>
      <c r="I31" s="481" t="s">
        <v>501</v>
      </c>
      <c r="J31" s="481"/>
      <c r="K31" s="487" t="s">
        <v>571</v>
      </c>
      <c r="L31" s="483">
        <v>50</v>
      </c>
      <c r="M31" s="489">
        <v>50</v>
      </c>
      <c r="N31" s="485">
        <v>60</v>
      </c>
      <c r="O31" s="489">
        <v>50</v>
      </c>
      <c r="P31" s="489">
        <v>25</v>
      </c>
      <c r="Q31" s="489">
        <v>0</v>
      </c>
      <c r="R31" s="489"/>
      <c r="S31" s="487" t="s">
        <v>590</v>
      </c>
    </row>
    <row r="32" spans="1:26" ht="37.5" x14ac:dyDescent="0.25">
      <c r="E32" s="463">
        <f t="shared" si="0"/>
        <v>0</v>
      </c>
      <c r="F32" s="479" t="s">
        <v>591</v>
      </c>
      <c r="G32" s="480"/>
      <c r="H32" s="480" t="s">
        <v>589</v>
      </c>
      <c r="I32" s="481"/>
      <c r="J32" s="481"/>
      <c r="K32" s="487"/>
      <c r="L32" s="484"/>
      <c r="M32" s="486"/>
      <c r="N32" s="486"/>
      <c r="O32" s="486">
        <v>369</v>
      </c>
      <c r="P32" s="486"/>
      <c r="Q32" s="486"/>
      <c r="R32" s="486"/>
      <c r="S32" s="487" t="s">
        <v>592</v>
      </c>
    </row>
    <row r="33" spans="1:19" ht="50" x14ac:dyDescent="0.25">
      <c r="A33" s="463">
        <f>85/D33</f>
        <v>0.28333333333333333</v>
      </c>
      <c r="D33" s="463">
        <v>300</v>
      </c>
      <c r="E33" s="463">
        <f t="shared" si="0"/>
        <v>25</v>
      </c>
      <c r="F33" s="479" t="s">
        <v>593</v>
      </c>
      <c r="G33" s="480" t="s">
        <v>526</v>
      </c>
      <c r="H33" s="480" t="s">
        <v>594</v>
      </c>
      <c r="I33" s="481" t="s">
        <v>501</v>
      </c>
      <c r="J33" s="481"/>
      <c r="K33" s="487" t="s">
        <v>571</v>
      </c>
      <c r="L33" s="483">
        <v>85</v>
      </c>
      <c r="M33" s="486"/>
      <c r="N33" s="486">
        <v>0</v>
      </c>
      <c r="O33" s="486">
        <v>60</v>
      </c>
      <c r="P33" s="486"/>
      <c r="Q33" s="486">
        <v>0</v>
      </c>
      <c r="R33" s="486"/>
      <c r="S33" s="497" t="s">
        <v>595</v>
      </c>
    </row>
    <row r="34" spans="1:19" ht="15" customHeight="1" x14ac:dyDescent="0.25">
      <c r="E34" s="463">
        <f t="shared" si="0"/>
        <v>0</v>
      </c>
      <c r="F34" s="479"/>
      <c r="G34" s="480"/>
      <c r="H34" s="480"/>
      <c r="I34" s="481"/>
      <c r="J34" s="481"/>
      <c r="K34" s="487"/>
      <c r="L34" s="486"/>
      <c r="M34" s="486"/>
      <c r="N34" s="486"/>
      <c r="O34" s="486"/>
      <c r="P34" s="486"/>
      <c r="Q34" s="486"/>
      <c r="R34" s="486"/>
      <c r="S34" s="487"/>
    </row>
    <row r="35" spans="1:19" ht="15" customHeight="1" x14ac:dyDescent="0.3">
      <c r="E35" s="463">
        <f t="shared" si="0"/>
        <v>0</v>
      </c>
      <c r="F35" s="474" t="s">
        <v>457</v>
      </c>
      <c r="G35" s="500"/>
      <c r="H35" s="500"/>
      <c r="I35" s="500"/>
      <c r="J35" s="500"/>
      <c r="K35" s="476"/>
      <c r="L35" s="501">
        <f t="shared" ref="L35:R35" si="2">SUM(L7:L34)</f>
        <v>5342</v>
      </c>
      <c r="M35" s="501">
        <f t="shared" si="2"/>
        <v>5836</v>
      </c>
      <c r="N35" s="501">
        <f t="shared" si="2"/>
        <v>11189</v>
      </c>
      <c r="O35" s="501">
        <f t="shared" si="2"/>
        <v>7257</v>
      </c>
      <c r="P35" s="501">
        <f t="shared" si="2"/>
        <v>4648</v>
      </c>
      <c r="Q35" s="501">
        <f t="shared" si="2"/>
        <v>2747</v>
      </c>
      <c r="R35" s="501">
        <f t="shared" si="2"/>
        <v>1497</v>
      </c>
      <c r="S35" s="476"/>
    </row>
    <row r="36" spans="1:19" ht="15" customHeight="1" x14ac:dyDescent="0.25"/>
    <row r="37" spans="1:19" x14ac:dyDescent="0.25">
      <c r="D37" s="463">
        <f>+SUM(D7:D35)</f>
        <v>214738.77777777778</v>
      </c>
      <c r="E37" s="463">
        <f>+SUM(E7:E35)</f>
        <v>17894.89814814815</v>
      </c>
      <c r="F37" s="473" t="s">
        <v>596</v>
      </c>
      <c r="L37" s="470">
        <f>+L15+L16+L19+L20+L21+L22+L13</f>
        <v>702</v>
      </c>
      <c r="M37" s="470">
        <f t="shared" ref="M37:R37" si="3">+M15+M16+M19+M20+M21+M22+M13</f>
        <v>818</v>
      </c>
      <c r="N37" s="470">
        <f>+N15+N16+N19+N20+N21+N22+N13+N23</f>
        <v>2100</v>
      </c>
      <c r="O37" s="470">
        <f t="shared" si="3"/>
        <v>513</v>
      </c>
      <c r="P37" s="470">
        <f t="shared" si="3"/>
        <v>129</v>
      </c>
      <c r="Q37" s="470">
        <f t="shared" si="3"/>
        <v>129</v>
      </c>
      <c r="R37" s="470">
        <f t="shared" si="3"/>
        <v>79</v>
      </c>
    </row>
    <row r="38" spans="1:19" x14ac:dyDescent="0.25">
      <c r="F38" s="473" t="s">
        <v>597</v>
      </c>
      <c r="L38" s="470">
        <f>+L7+L8+L9+L10+L11+L12+L14+L17+L18+L24+L25+L26+L27+L28+L29+L30+L31+L32+L33</f>
        <v>4640</v>
      </c>
      <c r="M38" s="470">
        <f t="shared" ref="M38:R38" si="4">+M7+M8+M9+M10+M11+M12+M14+M17+M18+M24+M25+M26+M27+M28+M29+M30+M31+M32+M33</f>
        <v>5018</v>
      </c>
      <c r="N38" s="470">
        <f t="shared" si="4"/>
        <v>9089</v>
      </c>
      <c r="O38" s="470">
        <f t="shared" si="4"/>
        <v>6744</v>
      </c>
      <c r="P38" s="470">
        <f t="shared" si="4"/>
        <v>4519</v>
      </c>
      <c r="Q38" s="470">
        <f t="shared" si="4"/>
        <v>2618</v>
      </c>
      <c r="R38" s="470">
        <f t="shared" si="4"/>
        <v>1418</v>
      </c>
    </row>
    <row r="39" spans="1:19" x14ac:dyDescent="0.25">
      <c r="D39" s="463">
        <f>5837/D37</f>
        <v>2.7181862821443522E-2</v>
      </c>
      <c r="E39" s="463">
        <f>911/E37</f>
        <v>5.0908364633205506E-2</v>
      </c>
      <c r="F39" s="473" t="s">
        <v>457</v>
      </c>
      <c r="L39" s="502">
        <f>+L38+L37</f>
        <v>5342</v>
      </c>
      <c r="M39" s="502">
        <f t="shared" ref="M39:R39" si="5">+M38+M37</f>
        <v>5836</v>
      </c>
      <c r="N39" s="502">
        <f t="shared" si="5"/>
        <v>11189</v>
      </c>
      <c r="O39" s="502">
        <f t="shared" si="5"/>
        <v>7257</v>
      </c>
      <c r="P39" s="502">
        <f t="shared" si="5"/>
        <v>4648</v>
      </c>
      <c r="Q39" s="502">
        <f t="shared" si="5"/>
        <v>2747</v>
      </c>
      <c r="R39" s="502">
        <f t="shared" si="5"/>
        <v>1497</v>
      </c>
      <c r="S39" s="503">
        <f>+SUM(N39:R39)</f>
        <v>27338</v>
      </c>
    </row>
    <row r="40" spans="1:19" ht="13" thickBot="1" x14ac:dyDescent="0.3">
      <c r="I40" s="504">
        <f>N39-N35</f>
        <v>0</v>
      </c>
      <c r="L40" s="505"/>
      <c r="M40" s="505"/>
      <c r="N40" s="505"/>
      <c r="O40" s="505"/>
      <c r="P40" s="505"/>
      <c r="Q40" s="505"/>
      <c r="R40" s="505"/>
    </row>
    <row r="41" spans="1:19" ht="13.5" thickTop="1" x14ac:dyDescent="0.3">
      <c r="D41" s="463">
        <f>9946/D37</f>
        <v>4.6316739356189351E-2</v>
      </c>
      <c r="E41" s="463">
        <f>1562/E37</f>
        <v>8.728744847098463E-2</v>
      </c>
      <c r="F41" s="467" t="s">
        <v>598</v>
      </c>
    </row>
    <row r="43" spans="1:19" ht="25" x14ac:dyDescent="0.25">
      <c r="F43" s="473" t="s">
        <v>599</v>
      </c>
      <c r="L43" s="506"/>
      <c r="M43" s="506">
        <v>0</v>
      </c>
      <c r="N43" s="506">
        <f>+M43+L43</f>
        <v>0</v>
      </c>
      <c r="O43" s="506">
        <f>180997.666808201/1000</f>
        <v>180.99766680820099</v>
      </c>
      <c r="P43" s="506">
        <f>186445.515581464/1000</f>
        <v>186.44551558146398</v>
      </c>
      <c r="Q43" s="506">
        <f>192057.339154949/1000</f>
        <v>192.05733915494901</v>
      </c>
      <c r="R43" s="506">
        <f>197838.07300617/1000</f>
        <v>197.83807300616999</v>
      </c>
      <c r="S43" s="465" t="s">
        <v>600</v>
      </c>
    </row>
    <row r="46" spans="1:19" ht="13" x14ac:dyDescent="0.3">
      <c r="F46" s="467" t="s">
        <v>601</v>
      </c>
    </row>
    <row r="47" spans="1:19" x14ac:dyDescent="0.25">
      <c r="F47" s="473" t="s">
        <v>604</v>
      </c>
    </row>
    <row r="48" spans="1:19" ht="13" x14ac:dyDescent="0.25">
      <c r="F48" s="473" t="s">
        <v>605</v>
      </c>
      <c r="M48" s="444">
        <v>-32</v>
      </c>
      <c r="N48" s="444">
        <f>+M48+L48</f>
        <v>-32</v>
      </c>
      <c r="O48" s="444"/>
      <c r="P48" s="444"/>
      <c r="Q48" s="444"/>
      <c r="R48" s="444"/>
    </row>
    <row r="49" spans="6:19" x14ac:dyDescent="0.25">
      <c r="F49" s="473" t="s">
        <v>606</v>
      </c>
    </row>
    <row r="50" spans="6:19" ht="13" x14ac:dyDescent="0.25">
      <c r="F50" s="473" t="s">
        <v>607</v>
      </c>
      <c r="M50" s="444">
        <v>-110</v>
      </c>
      <c r="N50" s="444">
        <f>+M50+L50</f>
        <v>-110</v>
      </c>
      <c r="O50" s="444"/>
      <c r="P50" s="444"/>
      <c r="Q50" s="444"/>
      <c r="R50" s="444"/>
    </row>
    <row r="51" spans="6:19" ht="13" x14ac:dyDescent="0.25">
      <c r="F51" s="473" t="s">
        <v>608</v>
      </c>
      <c r="M51" s="444">
        <f>1511543/1000*-1</f>
        <v>-1511.5429999999999</v>
      </c>
      <c r="N51" s="444">
        <f>+M51+L51</f>
        <v>-1511.5429999999999</v>
      </c>
    </row>
    <row r="52" spans="6:19" ht="13" x14ac:dyDescent="0.25">
      <c r="F52" s="473" t="s">
        <v>609</v>
      </c>
      <c r="M52" s="444">
        <v>-268</v>
      </c>
      <c r="N52" s="444">
        <f>+M52+L52</f>
        <v>-268</v>
      </c>
    </row>
    <row r="53" spans="6:19" ht="13" x14ac:dyDescent="0.25">
      <c r="F53" s="473" t="s">
        <v>611</v>
      </c>
      <c r="M53" s="444">
        <v>-300</v>
      </c>
      <c r="N53" s="444">
        <v>-100</v>
      </c>
    </row>
    <row r="54" spans="6:19" ht="13" x14ac:dyDescent="0.25">
      <c r="F54" s="473" t="s">
        <v>612</v>
      </c>
      <c r="M54" s="444"/>
      <c r="N54" s="444">
        <v>-300</v>
      </c>
    </row>
    <row r="55" spans="6:19" ht="13" x14ac:dyDescent="0.25">
      <c r="F55" s="473" t="s">
        <v>613</v>
      </c>
      <c r="M55" s="444"/>
      <c r="N55" s="444">
        <f>+M55</f>
        <v>0</v>
      </c>
    </row>
    <row r="56" spans="6:19" ht="13.5" thickBot="1" x14ac:dyDescent="0.35">
      <c r="F56" s="507"/>
      <c r="G56" s="508"/>
      <c r="H56" s="508"/>
      <c r="I56" s="508"/>
      <c r="J56" s="508"/>
      <c r="K56" s="509"/>
      <c r="L56" s="510"/>
      <c r="M56" s="449">
        <f>SUM(M47:M55)</f>
        <v>-2221.5429999999997</v>
      </c>
      <c r="N56" s="449">
        <f>SUM(N47:N55)</f>
        <v>-2321.5429999999997</v>
      </c>
      <c r="O56" s="449">
        <f t="shared" ref="O56:Q56" si="6">SUM(O47:O55)</f>
        <v>0</v>
      </c>
      <c r="P56" s="449">
        <f t="shared" si="6"/>
        <v>0</v>
      </c>
      <c r="Q56" s="449">
        <f t="shared" si="6"/>
        <v>0</v>
      </c>
      <c r="R56" s="449"/>
      <c r="S56" s="509"/>
    </row>
    <row r="57" spans="6:19" ht="13" thickTop="1" x14ac:dyDescent="0.25"/>
    <row r="58" spans="6:19" x14ac:dyDescent="0.25">
      <c r="G58" s="463" t="s">
        <v>616</v>
      </c>
      <c r="K58" s="511"/>
      <c r="L58" s="512">
        <f>+L56+L39+L43</f>
        <v>5342</v>
      </c>
      <c r="M58" s="512">
        <f>+M56+M39+M43</f>
        <v>3614.4570000000003</v>
      </c>
      <c r="N58" s="512">
        <f>+N56+N39+N43</f>
        <v>8867.4570000000003</v>
      </c>
      <c r="O58" s="512">
        <f>+O56+O39+O43</f>
        <v>7437.9976668082008</v>
      </c>
      <c r="P58" s="512">
        <f>+P56+P39+P43</f>
        <v>4834.445515581464</v>
      </c>
      <c r="Q58" s="512">
        <f t="shared" ref="Q58:R58" si="7">+Q56+Q39+Q43</f>
        <v>2939.0573391549492</v>
      </c>
      <c r="R58" s="512">
        <f t="shared" si="7"/>
        <v>1694.8380730061699</v>
      </c>
    </row>
    <row r="59" spans="6:19" x14ac:dyDescent="0.25">
      <c r="N59" s="470">
        <f>N39+N56</f>
        <v>8867.4570000000003</v>
      </c>
      <c r="O59" s="470">
        <f t="shared" ref="O59:R59" si="8">O39+O56</f>
        <v>7257</v>
      </c>
      <c r="P59" s="470">
        <f t="shared" si="8"/>
        <v>4648</v>
      </c>
      <c r="Q59" s="470">
        <f t="shared" si="8"/>
        <v>2747</v>
      </c>
      <c r="R59" s="470">
        <f t="shared" si="8"/>
        <v>1497</v>
      </c>
    </row>
    <row r="60" spans="6:19" x14ac:dyDescent="0.25">
      <c r="L60" s="513">
        <f>911/+SUM(L38/3)</f>
        <v>0.58900862068965509</v>
      </c>
      <c r="M60" s="513"/>
      <c r="N60" s="513">
        <f>5837/N38</f>
        <v>0.64220486302123447</v>
      </c>
    </row>
    <row r="62" spans="6:19" x14ac:dyDescent="0.25">
      <c r="H62" s="463" t="s">
        <v>617</v>
      </c>
      <c r="L62" s="470">
        <v>1954</v>
      </c>
      <c r="M62" s="470">
        <v>2155</v>
      </c>
      <c r="N62" s="470">
        <v>4109</v>
      </c>
    </row>
    <row r="63" spans="6:19" x14ac:dyDescent="0.25">
      <c r="H63" s="463" t="s">
        <v>618</v>
      </c>
      <c r="L63" s="470">
        <f>+L38-L62</f>
        <v>2686</v>
      </c>
      <c r="M63" s="470">
        <f t="shared" ref="M63:N63" si="9">+M38-M62</f>
        <v>2863</v>
      </c>
      <c r="N63" s="470">
        <f t="shared" si="9"/>
        <v>4980</v>
      </c>
    </row>
    <row r="65" spans="3:19" x14ac:dyDescent="0.25">
      <c r="H65" s="463" t="s">
        <v>619</v>
      </c>
      <c r="L65" s="470">
        <f>+L63/3</f>
        <v>895.33333333333337</v>
      </c>
    </row>
    <row r="67" spans="3:19" x14ac:dyDescent="0.25">
      <c r="H67" s="463" t="s">
        <v>620</v>
      </c>
      <c r="L67" s="470">
        <f>+L33+L31+L30+L28+L27+L26+L18+L17+L14+L12+L11+L9+L8+L7</f>
        <v>3040</v>
      </c>
    </row>
    <row r="68" spans="3:19" s="470" customFormat="1" x14ac:dyDescent="0.25">
      <c r="C68" s="463"/>
      <c r="D68" s="463"/>
      <c r="E68" s="463"/>
      <c r="F68" s="473"/>
      <c r="G68" s="463"/>
      <c r="H68" s="463"/>
      <c r="I68" s="463"/>
      <c r="J68" s="463"/>
      <c r="K68" s="465"/>
      <c r="L68" s="470">
        <f>+L67/3</f>
        <v>1013.3333333333334</v>
      </c>
      <c r="S68" s="465"/>
    </row>
    <row r="70" spans="3:19" s="470" customFormat="1" x14ac:dyDescent="0.25">
      <c r="C70" s="463"/>
      <c r="D70" s="463"/>
      <c r="E70" s="463"/>
      <c r="F70" s="473"/>
      <c r="G70" s="463"/>
      <c r="H70" s="463" t="s">
        <v>621</v>
      </c>
      <c r="I70" s="463"/>
      <c r="J70" s="463"/>
      <c r="K70" s="465"/>
      <c r="L70" s="514">
        <v>0.64852752880921893</v>
      </c>
      <c r="N70" s="470">
        <v>0.101849989945707</v>
      </c>
      <c r="S70" s="465"/>
    </row>
    <row r="72" spans="3:19" s="470" customFormat="1" x14ac:dyDescent="0.25">
      <c r="C72" s="463"/>
      <c r="D72" s="463"/>
      <c r="E72" s="463"/>
      <c r="F72" s="473"/>
      <c r="G72" s="515"/>
      <c r="H72" s="463"/>
      <c r="I72" s="463"/>
      <c r="J72" s="463"/>
      <c r="K72" s="465"/>
      <c r="S72" s="465"/>
    </row>
    <row r="73" spans="3:19" s="470" customFormat="1" x14ac:dyDescent="0.25">
      <c r="C73" s="463" t="s">
        <v>622</v>
      </c>
      <c r="D73" s="463"/>
      <c r="E73" s="463"/>
      <c r="F73" s="516">
        <f>+SUM(N19:N21)</f>
        <v>240</v>
      </c>
      <c r="G73" s="517">
        <f>+F73/$F$82*100</f>
        <v>2.2564874012786764</v>
      </c>
      <c r="H73" s="463"/>
      <c r="I73" s="463"/>
      <c r="J73" s="463"/>
      <c r="K73" s="465"/>
      <c r="S73" s="465"/>
    </row>
    <row r="74" spans="3:19" s="470" customFormat="1" x14ac:dyDescent="0.25">
      <c r="C74" s="463"/>
      <c r="D74" s="463"/>
      <c r="E74" s="463"/>
      <c r="F74" s="516"/>
      <c r="G74" s="517">
        <f t="shared" ref="G74:G82" si="10">+F74/$F$82*100</f>
        <v>0</v>
      </c>
      <c r="H74" s="463"/>
      <c r="I74" s="463"/>
      <c r="J74" s="463"/>
      <c r="K74" s="465"/>
      <c r="S74" s="465"/>
    </row>
    <row r="75" spans="3:19" s="470" customFormat="1" x14ac:dyDescent="0.25">
      <c r="C75" s="463" t="s">
        <v>623</v>
      </c>
      <c r="D75" s="463"/>
      <c r="E75" s="463"/>
      <c r="F75" s="516">
        <f>+SUM(N22)</f>
        <v>532</v>
      </c>
      <c r="G75" s="517">
        <f t="shared" si="10"/>
        <v>5.0018804061677322</v>
      </c>
      <c r="H75" s="463"/>
      <c r="I75" s="463"/>
      <c r="J75" s="463"/>
      <c r="K75" s="465"/>
      <c r="S75" s="465"/>
    </row>
    <row r="76" spans="3:19" s="470" customFormat="1" x14ac:dyDescent="0.25">
      <c r="C76" s="463"/>
      <c r="D76" s="463"/>
      <c r="E76" s="463"/>
      <c r="F76" s="516"/>
      <c r="G76" s="517">
        <f t="shared" si="10"/>
        <v>0</v>
      </c>
      <c r="H76" s="463"/>
      <c r="I76" s="463"/>
      <c r="J76" s="463"/>
      <c r="K76" s="465"/>
      <c r="S76" s="465"/>
    </row>
    <row r="77" spans="3:19" s="470" customFormat="1" x14ac:dyDescent="0.25">
      <c r="C77" s="463" t="s">
        <v>523</v>
      </c>
      <c r="D77" s="463"/>
      <c r="E77" s="463"/>
      <c r="F77" s="516">
        <f>+SUM(N11:N14)</f>
        <v>2069</v>
      </c>
      <c r="G77" s="517">
        <f t="shared" si="10"/>
        <v>19.452801805189921</v>
      </c>
      <c r="H77" s="463"/>
      <c r="I77" s="463"/>
      <c r="J77" s="463"/>
      <c r="K77" s="465"/>
      <c r="S77" s="465"/>
    </row>
    <row r="78" spans="3:19" s="470" customFormat="1" x14ac:dyDescent="0.25">
      <c r="C78" s="463" t="s">
        <v>537</v>
      </c>
      <c r="D78" s="463"/>
      <c r="E78" s="463"/>
      <c r="F78" s="516">
        <f>+SUM(N17:N18)</f>
        <v>2850</v>
      </c>
      <c r="G78" s="517">
        <f t="shared" si="10"/>
        <v>26.795787890184279</v>
      </c>
      <c r="H78" s="463"/>
      <c r="I78" s="463"/>
      <c r="J78" s="463"/>
      <c r="K78" s="465"/>
      <c r="S78" s="465"/>
    </row>
    <row r="79" spans="3:19" s="470" customFormat="1" x14ac:dyDescent="0.25">
      <c r="C79" s="463" t="s">
        <v>624</v>
      </c>
      <c r="D79" s="463"/>
      <c r="E79" s="463"/>
      <c r="F79" s="516">
        <f>+SUM(N24:N30)+180+4109</f>
        <v>4885</v>
      </c>
      <c r="G79" s="517">
        <f t="shared" si="10"/>
        <v>45.928920646859723</v>
      </c>
      <c r="H79" s="463"/>
      <c r="I79" s="463"/>
      <c r="J79" s="463"/>
      <c r="K79" s="465"/>
      <c r="S79" s="465"/>
    </row>
    <row r="80" spans="3:19" s="470" customFormat="1" x14ac:dyDescent="0.25">
      <c r="C80" s="463" t="s">
        <v>589</v>
      </c>
      <c r="D80" s="463"/>
      <c r="E80" s="463"/>
      <c r="F80" s="516">
        <f>+SUM(N31:N33)</f>
        <v>60</v>
      </c>
      <c r="G80" s="517">
        <f t="shared" si="10"/>
        <v>0.5641218503196691</v>
      </c>
      <c r="H80" s="463"/>
      <c r="I80" s="463"/>
      <c r="J80" s="463"/>
      <c r="K80" s="465"/>
      <c r="S80" s="465"/>
    </row>
    <row r="81" spans="3:19" s="470" customFormat="1" x14ac:dyDescent="0.25">
      <c r="C81" s="463"/>
      <c r="D81" s="463"/>
      <c r="E81" s="463"/>
      <c r="F81" s="473"/>
      <c r="G81" s="517">
        <f t="shared" si="10"/>
        <v>0</v>
      </c>
      <c r="H81" s="463"/>
      <c r="I81" s="463"/>
      <c r="J81" s="463"/>
      <c r="K81" s="465"/>
      <c r="S81" s="465"/>
    </row>
    <row r="82" spans="3:19" s="470" customFormat="1" x14ac:dyDescent="0.25">
      <c r="C82" s="463"/>
      <c r="D82" s="463"/>
      <c r="E82" s="463"/>
      <c r="F82" s="516">
        <f>+SUM(F73:F80)</f>
        <v>10636</v>
      </c>
      <c r="G82" s="517">
        <f t="shared" si="10"/>
        <v>100</v>
      </c>
      <c r="H82" s="463"/>
      <c r="I82" s="463"/>
      <c r="J82" s="463"/>
      <c r="K82" s="465"/>
      <c r="S82" s="465"/>
    </row>
    <row r="86" spans="3:19" x14ac:dyDescent="0.25">
      <c r="I86" s="463" t="s">
        <v>237</v>
      </c>
      <c r="N86" s="470">
        <f>'[14]Appendix A'!V140</f>
        <v>8990.6020000000008</v>
      </c>
    </row>
    <row r="87" spans="3:19" x14ac:dyDescent="0.25">
      <c r="N87" s="470">
        <f>N86-N58</f>
        <v>123.14500000000044</v>
      </c>
    </row>
    <row r="89" spans="3:19" x14ac:dyDescent="0.25">
      <c r="I89" s="463" t="s">
        <v>625</v>
      </c>
      <c r="N89" s="470">
        <f>'[14]Appendix A'!V9+'[14]Appendix A'!V12+'[14]Appendix A'!V15+'[14]Appendix A'!V47</f>
        <v>-89</v>
      </c>
    </row>
    <row r="91" spans="3:19" x14ac:dyDescent="0.25">
      <c r="N91" s="470">
        <f>N87-N89</f>
        <v>212.14500000000044</v>
      </c>
    </row>
  </sheetData>
  <autoFilter ref="A6:Z35" xr:uid="{00000000-0009-0000-0000-00001A000000}"/>
  <customSheetViews>
    <customSheetView guid="{903669DD-1133-45D2-B108-C6B5BEA5EB61}" fitToPage="1" showAutoFilter="1" hiddenColumns="1" state="hidden" topLeftCell="F1">
      <selection activeCell="K3" sqref="K3"/>
      <pageMargins left="0" right="0" top="0" bottom="0" header="0" footer="0"/>
      <pageSetup paperSize="9" scale="73" fitToHeight="0" orientation="landscape" verticalDpi="0" r:id="rId1"/>
      <autoFilter ref="A6:Z35" xr:uid="{34E42749-C9B9-41E8-B10F-110E38264552}"/>
    </customSheetView>
    <customSheetView guid="{7910FD81-BFE7-4CD5-939B-3D7A1CA9601A}" fitToPage="1" showAutoFilter="1" hiddenColumns="1" state="hidden" topLeftCell="F1">
      <selection activeCell="K3" sqref="K3"/>
      <pageMargins left="0" right="0" top="0" bottom="0" header="0" footer="0"/>
      <pageSetup paperSize="9" scale="73" fitToHeight="0" orientation="landscape" verticalDpi="0" r:id="rId2"/>
      <autoFilter ref="A6:Z35" xr:uid="{C5D09185-DE5B-4423-94DC-7955E621448C}"/>
    </customSheetView>
    <customSheetView guid="{051C2D13-0D3D-44C3-A7DB-A0EAFBF115F0}" scale="90" fitToPage="1" showAutoFilter="1" hiddenColumns="1" state="hidden" topLeftCell="F1">
      <selection activeCell="K3" sqref="K3"/>
      <pageMargins left="0" right="0" top="0" bottom="0" header="0" footer="0"/>
      <pageSetup paperSize="9" scale="73" fitToHeight="0" orientation="landscape" verticalDpi="0" r:id="rId3"/>
      <autoFilter ref="A6:Z35" xr:uid="{3692950A-F9F1-4125-BE46-A0CB7E7D2B1C}"/>
    </customSheetView>
    <customSheetView guid="{9C479752-7F2F-4739-B52F-47A06FE05EF0}" scale="90" fitToPage="1" showAutoFilter="1" hiddenColumns="1" state="hidden" topLeftCell="F1">
      <selection activeCell="K3" sqref="K3"/>
      <pageMargins left="0" right="0" top="0" bottom="0" header="0" footer="0"/>
      <pageSetup paperSize="9" scale="73" fitToHeight="0" orientation="landscape" verticalDpi="0" r:id="rId4"/>
      <autoFilter ref="A6:Z35" xr:uid="{EF5073D8-0C07-4945-993C-BEDF5D7F9D81}"/>
    </customSheetView>
    <customSheetView guid="{A0809A10-8F40-4AD2-8943-60E412AED428}" scale="90" fitToPage="1" showAutoFilter="1" hiddenColumns="1" state="hidden" topLeftCell="F1">
      <selection activeCell="K3" sqref="K3"/>
      <pageMargins left="0" right="0" top="0" bottom="0" header="0" footer="0"/>
      <pageSetup paperSize="9" scale="73" fitToHeight="0" orientation="landscape" verticalDpi="0" r:id="rId5"/>
      <autoFilter ref="A6:Z35" xr:uid="{B569116F-74A6-4BAA-A532-541854A7BEB1}"/>
    </customSheetView>
    <customSheetView guid="{3E006852-BD2D-4884-A2A1-BFAEAE24582F}" fitToPage="1" showAutoFilter="1" hiddenColumns="1" state="hidden" topLeftCell="F1">
      <selection activeCell="K3" sqref="K3"/>
      <pageMargins left="0" right="0" top="0" bottom="0" header="0" footer="0"/>
      <pageSetup paperSize="9" scale="73" fitToHeight="0" orientation="landscape" verticalDpi="0" r:id="rId6"/>
      <autoFilter ref="A6:Z35" xr:uid="{3807408E-95F2-493B-9B1C-A5D05C357DBB}"/>
    </customSheetView>
    <customSheetView guid="{B5B78BF3-B1F8-4BBA-8E40-E18C6034B566}" scale="90" fitToPage="1" showAutoFilter="1" hiddenColumns="1" state="hidden" topLeftCell="F1">
      <selection activeCell="K3" sqref="K3"/>
      <pageMargins left="0" right="0" top="0" bottom="0" header="0" footer="0"/>
      <pageSetup paperSize="9" scale="73" fitToHeight="0" orientation="landscape" verticalDpi="0" r:id="rId7"/>
      <autoFilter ref="A6:Z35" xr:uid="{FE0D418E-F3DF-4033-9E63-EEBF7BD75730}"/>
    </customSheetView>
    <customSheetView guid="{2F5D2611-A2AC-4668-B979-0EE258BE5F1F}" fitToPage="1" showAutoFilter="1" hiddenColumns="1" state="hidden" topLeftCell="F1">
      <selection activeCell="K3" sqref="K3"/>
      <pageMargins left="0" right="0" top="0" bottom="0" header="0" footer="0"/>
      <pageSetup paperSize="9" scale="73" fitToHeight="0" orientation="landscape" verticalDpi="0" r:id="rId8"/>
      <autoFilter ref="A6:Z35" xr:uid="{492616E4-ED60-4154-9A9F-14DF1BCF4F2E}"/>
    </customSheetView>
    <customSheetView guid="{2EE8538C-E3AE-40C6-B22A-073EBF96300A}" fitToPage="1" showAutoFilter="1" hiddenColumns="1" state="hidden" topLeftCell="F1">
      <selection activeCell="K3" sqref="K3"/>
      <pageMargins left="0" right="0" top="0" bottom="0" header="0" footer="0"/>
      <pageSetup paperSize="9" scale="73" fitToHeight="0" orientation="landscape" verticalDpi="0" r:id="rId9"/>
      <autoFilter ref="A6:Z35" xr:uid="{21ABA377-4EA8-4BA8-BCFC-9B19B3C56745}"/>
    </customSheetView>
    <customSheetView guid="{E4F22399-07D5-465E-AFB1-A36259E00328}" fitToPage="1" showAutoFilter="1" hiddenColumns="1" state="hidden" topLeftCell="F1">
      <selection activeCell="K3" sqref="K3"/>
      <pageMargins left="0" right="0" top="0" bottom="0" header="0" footer="0"/>
      <pageSetup paperSize="9" scale="73" fitToHeight="0" orientation="landscape" verticalDpi="0" r:id="rId10"/>
      <autoFilter ref="A6:Z35" xr:uid="{A241D2D0-C97A-4E36-914F-7CA7B65A6ADF}"/>
    </customSheetView>
  </customSheetViews>
  <mergeCells count="1">
    <mergeCell ref="L4:M4"/>
  </mergeCells>
  <conditionalFormatting sqref="G7:H34">
    <cfRule type="containsText" dxfId="5" priority="1" operator="containsText" text="Green">
      <formula>NOT(ISERROR(SEARCH("Green",G7)))</formula>
    </cfRule>
    <cfRule type="containsText" dxfId="4" priority="2" operator="containsText" text="Amber">
      <formula>NOT(ISERROR(SEARCH("Amber",G7)))</formula>
    </cfRule>
    <cfRule type="containsText" dxfId="3" priority="3" operator="containsText" text="Red">
      <formula>NOT(ISERROR(SEARCH("Red",G7)))</formula>
    </cfRule>
  </conditionalFormatting>
  <pageMargins left="0.7" right="0.7" top="0.75" bottom="0.75" header="0.3" footer="0.3"/>
  <pageSetup paperSize="9" scale="73" fitToHeight="0" orientation="landscape" verticalDpi="0" r:id="rId1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'U:\My User Profile\awinship\Desktop\COVID 19 info\[OTA COVID-19 Cost Tracker V3.xlsx]Cockpit'!#REF!</xm:f>
          </x14:formula1>
          <xm:sqref>I7:K34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2:Z90"/>
  <sheetViews>
    <sheetView topLeftCell="F1" workbookViewId="0">
      <selection activeCell="N33" sqref="N33"/>
    </sheetView>
  </sheetViews>
  <sheetFormatPr defaultColWidth="9.453125" defaultRowHeight="12.5" x14ac:dyDescent="0.25"/>
  <cols>
    <col min="1" max="2" width="9.453125" style="399" hidden="1" customWidth="1"/>
    <col min="3" max="3" width="13.54296875" style="399" hidden="1" customWidth="1"/>
    <col min="4" max="5" width="9.453125" style="399" hidden="1" customWidth="1"/>
    <col min="6" max="6" width="37.54296875" style="409" customWidth="1"/>
    <col min="7" max="7" width="9.453125" style="399"/>
    <col min="8" max="8" width="20.453125" style="399" bestFit="1" customWidth="1"/>
    <col min="9" max="9" width="19.54296875" style="399" bestFit="1" customWidth="1"/>
    <col min="10" max="10" width="22.54296875" style="399" hidden="1" customWidth="1"/>
    <col min="11" max="11" width="24" style="401" hidden="1" customWidth="1"/>
    <col min="12" max="13" width="13.54296875" style="406" hidden="1" customWidth="1"/>
    <col min="14" max="15" width="13.54296875" style="406" customWidth="1"/>
    <col min="16" max="16" width="15.54296875" style="406" customWidth="1"/>
    <col min="17" max="18" width="13.54296875" style="406" customWidth="1"/>
    <col min="19" max="19" width="50.54296875" style="401" customWidth="1"/>
    <col min="20" max="23" width="9.453125" style="399"/>
    <col min="24" max="24" width="21.54296875" style="399" customWidth="1"/>
    <col min="25" max="25" width="15.54296875" style="399" customWidth="1"/>
    <col min="26" max="16384" width="9.453125" style="399"/>
  </cols>
  <sheetData>
    <row r="2" spans="1:26" ht="13" x14ac:dyDescent="0.3">
      <c r="F2" s="400" t="s">
        <v>467</v>
      </c>
      <c r="K2" s="401" t="s">
        <v>468</v>
      </c>
      <c r="L2" s="399"/>
      <c r="M2" s="400"/>
      <c r="N2" s="400"/>
      <c r="O2" s="400"/>
      <c r="P2" s="400"/>
      <c r="Q2" s="400"/>
      <c r="R2" s="400"/>
      <c r="S2" s="402" t="s">
        <v>469</v>
      </c>
    </row>
    <row r="3" spans="1:26" ht="53.9" customHeight="1" x14ac:dyDescent="0.3">
      <c r="F3" s="403" t="s">
        <v>0</v>
      </c>
      <c r="L3" s="404" t="s">
        <v>470</v>
      </c>
      <c r="M3" s="404" t="s">
        <v>471</v>
      </c>
      <c r="N3" s="404"/>
      <c r="O3" s="405" t="s">
        <v>472</v>
      </c>
      <c r="P3" s="405" t="s">
        <v>473</v>
      </c>
      <c r="Q3" s="405" t="s">
        <v>474</v>
      </c>
      <c r="S3" s="399"/>
    </row>
    <row r="4" spans="1:26" ht="13" x14ac:dyDescent="0.3">
      <c r="F4" s="403" t="s">
        <v>475</v>
      </c>
      <c r="L4" s="847" t="s">
        <v>476</v>
      </c>
      <c r="M4" s="847"/>
      <c r="N4" s="407" t="s">
        <v>477</v>
      </c>
      <c r="O4" s="407" t="s">
        <v>478</v>
      </c>
      <c r="P4" s="408" t="s">
        <v>479</v>
      </c>
      <c r="Q4" s="408" t="s">
        <v>480</v>
      </c>
      <c r="R4" s="408" t="s">
        <v>481</v>
      </c>
    </row>
    <row r="5" spans="1:26" ht="39" x14ac:dyDescent="0.3">
      <c r="A5" s="399" t="s">
        <v>482</v>
      </c>
      <c r="B5" s="399" t="s">
        <v>483</v>
      </c>
      <c r="C5" s="399" t="s">
        <v>484</v>
      </c>
      <c r="D5" s="409" t="s">
        <v>485</v>
      </c>
      <c r="E5" s="409" t="s">
        <v>486</v>
      </c>
      <c r="F5" s="410" t="s">
        <v>487</v>
      </c>
      <c r="G5" s="411" t="s">
        <v>488</v>
      </c>
      <c r="H5" s="411" t="s">
        <v>489</v>
      </c>
      <c r="I5" s="411" t="s">
        <v>490</v>
      </c>
      <c r="J5" s="411" t="s">
        <v>489</v>
      </c>
      <c r="K5" s="412" t="s">
        <v>491</v>
      </c>
      <c r="L5" s="413" t="s">
        <v>492</v>
      </c>
      <c r="M5" s="413" t="s">
        <v>493</v>
      </c>
      <c r="N5" s="413" t="s">
        <v>494</v>
      </c>
      <c r="O5" s="413" t="s">
        <v>495</v>
      </c>
      <c r="P5" s="413" t="s">
        <v>495</v>
      </c>
      <c r="Q5" s="413" t="s">
        <v>495</v>
      </c>
      <c r="R5" s="413" t="s">
        <v>495</v>
      </c>
      <c r="S5" s="412" t="s">
        <v>496</v>
      </c>
    </row>
    <row r="6" spans="1:26" ht="15" customHeight="1" x14ac:dyDescent="0.3">
      <c r="F6" s="410"/>
      <c r="G6" s="414"/>
      <c r="H6" s="414"/>
      <c r="I6" s="414"/>
      <c r="J6" s="414"/>
      <c r="K6" s="412"/>
      <c r="L6" s="407" t="s">
        <v>497</v>
      </c>
      <c r="M6" s="407" t="s">
        <v>497</v>
      </c>
      <c r="N6" s="407" t="s">
        <v>34</v>
      </c>
      <c r="O6" s="407" t="s">
        <v>497</v>
      </c>
      <c r="P6" s="407" t="s">
        <v>497</v>
      </c>
      <c r="Q6" s="407" t="s">
        <v>497</v>
      </c>
      <c r="R6" s="407" t="s">
        <v>497</v>
      </c>
      <c r="S6" s="412"/>
    </row>
    <row r="7" spans="1:26" ht="75" x14ac:dyDescent="0.25">
      <c r="F7" s="415" t="s">
        <v>498</v>
      </c>
      <c r="G7" s="416" t="s">
        <v>499</v>
      </c>
      <c r="H7" s="416" t="s">
        <v>500</v>
      </c>
      <c r="I7" s="417" t="s">
        <v>501</v>
      </c>
      <c r="J7" s="417"/>
      <c r="K7" s="418" t="s">
        <v>502</v>
      </c>
      <c r="L7" s="419">
        <v>400</v>
      </c>
      <c r="M7" s="420">
        <v>755</v>
      </c>
      <c r="N7" s="421">
        <f>+SUM(M7+L7)</f>
        <v>1155</v>
      </c>
      <c r="O7" s="422">
        <v>1000</v>
      </c>
      <c r="P7" s="422">
        <v>750</v>
      </c>
      <c r="Q7" s="422">
        <v>500</v>
      </c>
      <c r="R7" s="422"/>
      <c r="S7" s="423" t="s">
        <v>503</v>
      </c>
    </row>
    <row r="8" spans="1:26" ht="37.5" x14ac:dyDescent="0.25">
      <c r="F8" s="415" t="s">
        <v>504</v>
      </c>
      <c r="G8" s="416" t="s">
        <v>499</v>
      </c>
      <c r="H8" s="416" t="s">
        <v>500</v>
      </c>
      <c r="I8" s="417" t="s">
        <v>501</v>
      </c>
      <c r="J8" s="417"/>
      <c r="K8" s="418" t="s">
        <v>502</v>
      </c>
      <c r="L8" s="419">
        <v>300</v>
      </c>
      <c r="M8" s="420">
        <v>0</v>
      </c>
      <c r="N8" s="421">
        <f>+SUM(M8+L8)</f>
        <v>300</v>
      </c>
      <c r="O8" s="422">
        <v>300</v>
      </c>
      <c r="P8" s="422">
        <v>300</v>
      </c>
      <c r="Q8" s="422">
        <v>300</v>
      </c>
      <c r="R8" s="422">
        <v>300</v>
      </c>
      <c r="S8" s="423" t="s">
        <v>505</v>
      </c>
    </row>
    <row r="9" spans="1:26" ht="25" x14ac:dyDescent="0.25">
      <c r="F9" s="415" t="s">
        <v>506</v>
      </c>
      <c r="G9" s="416" t="s">
        <v>499</v>
      </c>
      <c r="H9" s="416" t="s">
        <v>500</v>
      </c>
      <c r="I9" s="417" t="s">
        <v>501</v>
      </c>
      <c r="J9" s="417"/>
      <c r="K9" s="423" t="s">
        <v>507</v>
      </c>
      <c r="L9" s="419">
        <v>-346</v>
      </c>
      <c r="M9" s="420"/>
      <c r="N9" s="421">
        <v>-557</v>
      </c>
      <c r="O9" s="422">
        <v>471</v>
      </c>
      <c r="P9" s="422">
        <v>490</v>
      </c>
      <c r="Q9" s="422">
        <v>554</v>
      </c>
      <c r="R9" s="422">
        <v>554</v>
      </c>
      <c r="S9" s="423" t="s">
        <v>508</v>
      </c>
    </row>
    <row r="10" spans="1:26" ht="87.5" x14ac:dyDescent="0.25">
      <c r="A10" s="399" t="e">
        <f>651/+SUM(E7:E10)</f>
        <v>#DIV/0!</v>
      </c>
      <c r="C10" s="399" t="e">
        <f>4109/+SUM(D7:D10)</f>
        <v>#DIV/0!</v>
      </c>
      <c r="F10" s="415" t="s">
        <v>509</v>
      </c>
      <c r="G10" s="416" t="s">
        <v>499</v>
      </c>
      <c r="H10" s="416" t="s">
        <v>510</v>
      </c>
      <c r="I10" s="417" t="s">
        <v>501</v>
      </c>
      <c r="J10" s="417"/>
      <c r="K10" s="423" t="s">
        <v>502</v>
      </c>
      <c r="L10" s="420">
        <v>1600</v>
      </c>
      <c r="M10" s="420">
        <v>1400</v>
      </c>
      <c r="N10" s="421">
        <v>3000</v>
      </c>
      <c r="O10" s="422">
        <v>2000</v>
      </c>
      <c r="P10" s="422">
        <v>1000</v>
      </c>
      <c r="Q10" s="422"/>
      <c r="R10" s="422"/>
      <c r="S10" s="423" t="s">
        <v>511</v>
      </c>
      <c r="T10" s="399" t="s">
        <v>512</v>
      </c>
    </row>
    <row r="11" spans="1:26" ht="25" x14ac:dyDescent="0.25">
      <c r="D11" s="399">
        <v>477</v>
      </c>
      <c r="E11" s="399">
        <f t="shared" ref="E11:E35" si="0">+D11/12</f>
        <v>39.75</v>
      </c>
      <c r="F11" s="415" t="s">
        <v>513</v>
      </c>
      <c r="G11" s="424" t="s">
        <v>499</v>
      </c>
      <c r="H11" s="424" t="s">
        <v>514</v>
      </c>
      <c r="I11" s="417" t="s">
        <v>501</v>
      </c>
      <c r="J11" s="417"/>
      <c r="K11" s="423" t="s">
        <v>515</v>
      </c>
      <c r="L11" s="419">
        <v>105</v>
      </c>
      <c r="M11" s="420">
        <v>105</v>
      </c>
      <c r="N11" s="421">
        <v>280</v>
      </c>
      <c r="O11" s="425">
        <f>+N11*0.75</f>
        <v>210</v>
      </c>
      <c r="P11" s="425">
        <f>O11*50%</f>
        <v>105</v>
      </c>
      <c r="Q11" s="425">
        <v>0</v>
      </c>
      <c r="R11" s="425"/>
      <c r="S11" s="423" t="s">
        <v>516</v>
      </c>
      <c r="T11" s="399" t="s">
        <v>517</v>
      </c>
    </row>
    <row r="12" spans="1:26" ht="37.5" x14ac:dyDescent="0.25">
      <c r="D12" s="399">
        <f>166*4</f>
        <v>664</v>
      </c>
      <c r="E12" s="399">
        <f t="shared" si="0"/>
        <v>55.333333333333336</v>
      </c>
      <c r="F12" s="415" t="s">
        <v>518</v>
      </c>
      <c r="G12" s="424" t="s">
        <v>499</v>
      </c>
      <c r="H12" s="424" t="s">
        <v>514</v>
      </c>
      <c r="I12" s="417" t="s">
        <v>501</v>
      </c>
      <c r="J12" s="417"/>
      <c r="K12" s="423" t="s">
        <v>519</v>
      </c>
      <c r="L12" s="419">
        <f>166+150</f>
        <v>316</v>
      </c>
      <c r="M12" s="420">
        <f>(166*3)</f>
        <v>498</v>
      </c>
      <c r="N12" s="421">
        <f>+M12+L12</f>
        <v>814</v>
      </c>
      <c r="O12" s="425">
        <f>(47)*12</f>
        <v>564</v>
      </c>
      <c r="P12" s="425">
        <f>(47)*12</f>
        <v>564</v>
      </c>
      <c r="Q12" s="425">
        <f>(47)*12</f>
        <v>564</v>
      </c>
      <c r="R12" s="425">
        <f>(47)*12</f>
        <v>564</v>
      </c>
      <c r="S12" s="423" t="s">
        <v>520</v>
      </c>
    </row>
    <row r="13" spans="1:26" x14ac:dyDescent="0.25">
      <c r="F13" s="415" t="s">
        <v>518</v>
      </c>
      <c r="G13" s="424"/>
      <c r="H13" s="424" t="s">
        <v>514</v>
      </c>
      <c r="I13" s="417"/>
      <c r="J13" s="417"/>
      <c r="K13" s="423"/>
      <c r="L13" s="419"/>
      <c r="M13" s="420">
        <f>9*32</f>
        <v>288</v>
      </c>
      <c r="N13" s="421">
        <v>384</v>
      </c>
      <c r="O13" s="425">
        <f>32*12</f>
        <v>384</v>
      </c>
      <c r="P13" s="425"/>
      <c r="Q13" s="425"/>
      <c r="R13" s="425"/>
      <c r="S13" s="423" t="s">
        <v>521</v>
      </c>
    </row>
    <row r="14" spans="1:26" ht="25" x14ac:dyDescent="0.25">
      <c r="A14" s="399">
        <f>222/+SUM(E11:E14)</f>
        <v>1.2442783745913124</v>
      </c>
      <c r="D14" s="399">
        <v>1000</v>
      </c>
      <c r="E14" s="399">
        <f t="shared" si="0"/>
        <v>83.333333333333329</v>
      </c>
      <c r="F14" s="415" t="s">
        <v>522</v>
      </c>
      <c r="G14" s="424" t="s">
        <v>499</v>
      </c>
      <c r="H14" s="424" t="s">
        <v>523</v>
      </c>
      <c r="I14" s="417" t="s">
        <v>501</v>
      </c>
      <c r="J14" s="417"/>
      <c r="K14" s="423" t="s">
        <v>519</v>
      </c>
      <c r="L14" s="419">
        <v>245</v>
      </c>
      <c r="M14" s="420">
        <f>250+240</f>
        <v>490</v>
      </c>
      <c r="N14" s="421">
        <f>562+29</f>
        <v>591</v>
      </c>
      <c r="O14" s="426">
        <v>300</v>
      </c>
      <c r="P14" s="426">
        <v>150</v>
      </c>
      <c r="Q14" s="426">
        <v>0</v>
      </c>
      <c r="R14" s="426">
        <v>0</v>
      </c>
      <c r="S14" s="423" t="s">
        <v>524</v>
      </c>
      <c r="T14" s="399" t="s">
        <v>517</v>
      </c>
    </row>
    <row r="15" spans="1:26" x14ac:dyDescent="0.25">
      <c r="A15" s="399">
        <f>50/66</f>
        <v>0.75757575757575757</v>
      </c>
      <c r="B15" s="399">
        <f>30/66</f>
        <v>0.45454545454545453</v>
      </c>
      <c r="C15" s="399">
        <f>80/800</f>
        <v>0.1</v>
      </c>
      <c r="E15" s="427"/>
      <c r="F15" s="415" t="s">
        <v>525</v>
      </c>
      <c r="G15" s="424" t="s">
        <v>526</v>
      </c>
      <c r="H15" s="424" t="s">
        <v>527</v>
      </c>
      <c r="I15" s="417" t="s">
        <v>528</v>
      </c>
      <c r="J15" s="417"/>
      <c r="K15" s="423" t="s">
        <v>507</v>
      </c>
      <c r="L15" s="420">
        <v>50</v>
      </c>
      <c r="M15" s="420">
        <v>30</v>
      </c>
      <c r="N15" s="421">
        <f t="shared" ref="N15:N30" si="1">+SUM(M15+L15)</f>
        <v>80</v>
      </c>
      <c r="O15" s="425"/>
      <c r="P15" s="425"/>
      <c r="Q15" s="425">
        <v>0</v>
      </c>
      <c r="R15" s="425"/>
      <c r="S15" s="423" t="s">
        <v>529</v>
      </c>
    </row>
    <row r="16" spans="1:26" ht="37.5" x14ac:dyDescent="0.25">
      <c r="A16" s="399" t="e">
        <f>100/E16</f>
        <v>#DIV/0!</v>
      </c>
      <c r="C16" s="399">
        <f>100/1000</f>
        <v>0.1</v>
      </c>
      <c r="E16" s="427"/>
      <c r="F16" s="415" t="s">
        <v>530</v>
      </c>
      <c r="G16" s="416" t="s">
        <v>526</v>
      </c>
      <c r="H16" s="416" t="s">
        <v>527</v>
      </c>
      <c r="I16" s="417" t="s">
        <v>531</v>
      </c>
      <c r="J16" s="417"/>
      <c r="K16" s="423" t="s">
        <v>507</v>
      </c>
      <c r="L16" s="425">
        <v>55</v>
      </c>
      <c r="M16" s="425">
        <v>400</v>
      </c>
      <c r="N16" s="421">
        <v>456</v>
      </c>
      <c r="O16" s="425">
        <v>79</v>
      </c>
      <c r="P16" s="425">
        <v>79</v>
      </c>
      <c r="Q16" s="425">
        <v>79</v>
      </c>
      <c r="R16" s="425">
        <v>79</v>
      </c>
      <c r="S16" s="423" t="s">
        <v>532</v>
      </c>
      <c r="X16" s="428" t="s">
        <v>533</v>
      </c>
      <c r="Y16" s="429" t="s">
        <v>534</v>
      </c>
      <c r="Z16" s="429" t="s">
        <v>535</v>
      </c>
    </row>
    <row r="17" spans="1:26" x14ac:dyDescent="0.25">
      <c r="D17" s="399">
        <f>+L17*12</f>
        <v>600</v>
      </c>
      <c r="E17" s="399">
        <f t="shared" si="0"/>
        <v>50</v>
      </c>
      <c r="F17" s="415" t="s">
        <v>536</v>
      </c>
      <c r="G17" s="424" t="s">
        <v>526</v>
      </c>
      <c r="H17" s="424" t="s">
        <v>537</v>
      </c>
      <c r="I17" s="417" t="s">
        <v>501</v>
      </c>
      <c r="J17" s="417"/>
      <c r="K17" s="423" t="s">
        <v>538</v>
      </c>
      <c r="L17" s="419">
        <v>50</v>
      </c>
      <c r="M17" s="420"/>
      <c r="N17" s="421">
        <f t="shared" si="1"/>
        <v>50</v>
      </c>
      <c r="O17" s="425"/>
      <c r="P17" s="425">
        <v>0</v>
      </c>
      <c r="Q17" s="425">
        <v>0</v>
      </c>
      <c r="R17" s="425"/>
      <c r="S17" s="423" t="s">
        <v>539</v>
      </c>
      <c r="X17" s="430" t="s">
        <v>540</v>
      </c>
      <c r="Y17" s="157">
        <v>0</v>
      </c>
      <c r="Z17" s="157">
        <v>15000</v>
      </c>
    </row>
    <row r="18" spans="1:26" ht="50" x14ac:dyDescent="0.25">
      <c r="A18" s="399">
        <f>483/675</f>
        <v>0.7155555555555555</v>
      </c>
      <c r="B18" s="399">
        <f>483/675</f>
        <v>0.7155555555555555</v>
      </c>
      <c r="C18" s="399">
        <f>675/8100</f>
        <v>8.3333333333333329E-2</v>
      </c>
      <c r="D18" s="399">
        <v>7500</v>
      </c>
      <c r="E18" s="399">
        <f t="shared" si="0"/>
        <v>625</v>
      </c>
      <c r="F18" s="415" t="s">
        <v>541</v>
      </c>
      <c r="G18" s="416" t="s">
        <v>499</v>
      </c>
      <c r="H18" s="416" t="s">
        <v>537</v>
      </c>
      <c r="I18" s="417" t="s">
        <v>501</v>
      </c>
      <c r="J18" s="417"/>
      <c r="K18" s="423" t="s">
        <v>542</v>
      </c>
      <c r="L18" s="419">
        <v>1400</v>
      </c>
      <c r="M18" s="420">
        <v>1400</v>
      </c>
      <c r="N18" s="421">
        <f t="shared" si="1"/>
        <v>2800</v>
      </c>
      <c r="O18" s="422"/>
      <c r="P18" s="422"/>
      <c r="Q18" s="422"/>
      <c r="R18" s="422"/>
      <c r="S18" s="431" t="s">
        <v>543</v>
      </c>
      <c r="T18" s="399" t="s">
        <v>544</v>
      </c>
      <c r="X18" s="430" t="s">
        <v>545</v>
      </c>
      <c r="Y18" s="157">
        <v>0</v>
      </c>
      <c r="Z18" s="157">
        <f>12 *((12*50) + (5 * 50) )</f>
        <v>10200</v>
      </c>
    </row>
    <row r="19" spans="1:26" ht="25" x14ac:dyDescent="0.25">
      <c r="E19" s="427"/>
      <c r="F19" s="415" t="s">
        <v>546</v>
      </c>
      <c r="G19" s="424" t="s">
        <v>499</v>
      </c>
      <c r="H19" s="424" t="s">
        <v>547</v>
      </c>
      <c r="I19" s="417" t="s">
        <v>531</v>
      </c>
      <c r="J19" s="417"/>
      <c r="K19" s="423" t="s">
        <v>515</v>
      </c>
      <c r="L19" s="420">
        <v>50</v>
      </c>
      <c r="M19" s="420"/>
      <c r="N19" s="421">
        <v>125</v>
      </c>
      <c r="O19" s="425">
        <v>0</v>
      </c>
      <c r="P19" s="425">
        <v>0</v>
      </c>
      <c r="Q19" s="425">
        <v>0</v>
      </c>
      <c r="R19" s="425"/>
      <c r="S19" s="423" t="s">
        <v>548</v>
      </c>
      <c r="X19" s="430" t="s">
        <v>549</v>
      </c>
      <c r="Y19" s="157">
        <v>30000</v>
      </c>
      <c r="Z19" s="157">
        <v>0</v>
      </c>
    </row>
    <row r="20" spans="1:26" ht="25" x14ac:dyDescent="0.25">
      <c r="E20" s="427"/>
      <c r="F20" s="415" t="s">
        <v>550</v>
      </c>
      <c r="G20" s="424" t="s">
        <v>499</v>
      </c>
      <c r="H20" s="424" t="s">
        <v>547</v>
      </c>
      <c r="I20" s="417" t="s">
        <v>531</v>
      </c>
      <c r="J20" s="417"/>
      <c r="K20" s="423" t="s">
        <v>515</v>
      </c>
      <c r="L20" s="420">
        <v>15</v>
      </c>
      <c r="M20" s="420"/>
      <c r="N20" s="421">
        <f t="shared" si="1"/>
        <v>15</v>
      </c>
      <c r="O20" s="425">
        <v>0</v>
      </c>
      <c r="P20" s="425">
        <v>0</v>
      </c>
      <c r="Q20" s="425">
        <v>0</v>
      </c>
      <c r="R20" s="425"/>
      <c r="S20" s="423" t="s">
        <v>551</v>
      </c>
      <c r="X20" s="428" t="s">
        <v>552</v>
      </c>
      <c r="Y20" s="159">
        <v>10000</v>
      </c>
      <c r="Z20" s="159">
        <v>0</v>
      </c>
    </row>
    <row r="21" spans="1:26" ht="25" x14ac:dyDescent="0.25">
      <c r="E21" s="427"/>
      <c r="F21" s="415" t="s">
        <v>553</v>
      </c>
      <c r="G21" s="424" t="s">
        <v>499</v>
      </c>
      <c r="H21" s="424" t="s">
        <v>547</v>
      </c>
      <c r="I21" s="417" t="s">
        <v>531</v>
      </c>
      <c r="J21" s="417"/>
      <c r="K21" s="423" t="s">
        <v>515</v>
      </c>
      <c r="L21" s="420">
        <v>100</v>
      </c>
      <c r="M21" s="420"/>
      <c r="N21" s="421">
        <f t="shared" si="1"/>
        <v>100</v>
      </c>
      <c r="O21" s="425">
        <v>0</v>
      </c>
      <c r="P21" s="425">
        <v>0</v>
      </c>
      <c r="Q21" s="425">
        <v>0</v>
      </c>
      <c r="R21" s="425"/>
      <c r="S21" s="423" t="s">
        <v>554</v>
      </c>
      <c r="X21" s="428" t="s">
        <v>555</v>
      </c>
      <c r="Y21" s="159">
        <v>40000</v>
      </c>
      <c r="Z21" s="159">
        <v>0</v>
      </c>
    </row>
    <row r="22" spans="1:26" ht="25" x14ac:dyDescent="0.25">
      <c r="E22" s="427"/>
      <c r="F22" s="415" t="s">
        <v>556</v>
      </c>
      <c r="G22" s="416" t="s">
        <v>499</v>
      </c>
      <c r="H22" s="416" t="s">
        <v>462</v>
      </c>
      <c r="I22" s="417" t="s">
        <v>528</v>
      </c>
      <c r="J22" s="417"/>
      <c r="K22" s="423" t="s">
        <v>515</v>
      </c>
      <c r="L22" s="420">
        <f>144*3</f>
        <v>432</v>
      </c>
      <c r="M22" s="420">
        <v>100</v>
      </c>
      <c r="N22" s="421">
        <f t="shared" si="1"/>
        <v>532</v>
      </c>
      <c r="O22" s="422">
        <v>50</v>
      </c>
      <c r="P22" s="422">
        <v>50</v>
      </c>
      <c r="Q22" s="422">
        <v>50</v>
      </c>
      <c r="R22" s="422"/>
      <c r="S22" s="423" t="s">
        <v>557</v>
      </c>
      <c r="T22" s="399" t="s">
        <v>558</v>
      </c>
      <c r="X22" s="428" t="s">
        <v>559</v>
      </c>
      <c r="Y22" s="159">
        <v>0</v>
      </c>
      <c r="Z22" s="159">
        <f>200*25</f>
        <v>5000</v>
      </c>
    </row>
    <row r="23" spans="1:26" ht="25" x14ac:dyDescent="0.25">
      <c r="E23" s="427"/>
      <c r="F23" s="415" t="s">
        <v>560</v>
      </c>
      <c r="G23" s="416"/>
      <c r="H23" s="416"/>
      <c r="I23" s="417"/>
      <c r="J23" s="417"/>
      <c r="K23" s="423"/>
      <c r="L23" s="420"/>
      <c r="M23" s="420"/>
      <c r="N23" s="421">
        <v>408</v>
      </c>
      <c r="O23" s="422"/>
      <c r="P23" s="422"/>
      <c r="Q23" s="422"/>
      <c r="R23" s="422"/>
      <c r="S23" s="423"/>
      <c r="X23" s="428"/>
      <c r="Y23" s="159"/>
      <c r="Z23" s="159"/>
    </row>
    <row r="24" spans="1:26" ht="37.5" x14ac:dyDescent="0.25">
      <c r="D24" s="399">
        <v>100000</v>
      </c>
      <c r="E24" s="399">
        <f t="shared" si="0"/>
        <v>8333.3333333333339</v>
      </c>
      <c r="F24" s="415" t="s">
        <v>561</v>
      </c>
      <c r="G24" s="416" t="s">
        <v>499</v>
      </c>
      <c r="H24" s="416" t="s">
        <v>562</v>
      </c>
      <c r="I24" s="417" t="s">
        <v>501</v>
      </c>
      <c r="J24" s="417"/>
      <c r="K24" s="423" t="s">
        <v>563</v>
      </c>
      <c r="L24" s="420"/>
      <c r="M24" s="420"/>
      <c r="N24" s="422">
        <f t="shared" si="1"/>
        <v>0</v>
      </c>
      <c r="O24" s="422">
        <v>600</v>
      </c>
      <c r="P24" s="422">
        <f>+O24*0.75</f>
        <v>450</v>
      </c>
      <c r="Q24" s="422">
        <f>+O24*0.5</f>
        <v>300</v>
      </c>
      <c r="R24" s="422"/>
      <c r="S24" s="423" t="s">
        <v>564</v>
      </c>
      <c r="T24" s="399" t="s">
        <v>565</v>
      </c>
      <c r="X24" s="428" t="s">
        <v>566</v>
      </c>
      <c r="Y24" s="159">
        <v>200000</v>
      </c>
      <c r="Z24" s="159">
        <v>20000</v>
      </c>
    </row>
    <row r="25" spans="1:26" ht="50" x14ac:dyDescent="0.25">
      <c r="D25" s="399">
        <v>240</v>
      </c>
      <c r="E25" s="399">
        <f t="shared" si="0"/>
        <v>20</v>
      </c>
      <c r="F25" s="415" t="s">
        <v>567</v>
      </c>
      <c r="G25" s="416" t="s">
        <v>499</v>
      </c>
      <c r="H25" s="416" t="s">
        <v>562</v>
      </c>
      <c r="I25" s="417" t="s">
        <v>501</v>
      </c>
      <c r="J25" s="417"/>
      <c r="K25" s="423" t="s">
        <v>538</v>
      </c>
      <c r="L25" s="420"/>
      <c r="M25" s="420">
        <v>150</v>
      </c>
      <c r="N25" s="422">
        <v>0</v>
      </c>
      <c r="O25" s="422"/>
      <c r="P25" s="422"/>
      <c r="Q25" s="422">
        <v>0</v>
      </c>
      <c r="R25" s="422"/>
      <c r="S25" s="423" t="s">
        <v>568</v>
      </c>
      <c r="X25" s="428" t="s">
        <v>569</v>
      </c>
      <c r="Y25" s="159">
        <v>0</v>
      </c>
      <c r="Z25" s="159">
        <f>1.5*500*12</f>
        <v>9000</v>
      </c>
    </row>
    <row r="26" spans="1:26" ht="50" x14ac:dyDescent="0.25">
      <c r="D26" s="399">
        <f>+N26/0.45</f>
        <v>357.77777777777777</v>
      </c>
      <c r="E26" s="399">
        <f t="shared" si="0"/>
        <v>29.814814814814813</v>
      </c>
      <c r="F26" s="415" t="s">
        <v>570</v>
      </c>
      <c r="G26" s="424" t="s">
        <v>499</v>
      </c>
      <c r="H26" s="424" t="s">
        <v>562</v>
      </c>
      <c r="I26" s="417" t="s">
        <v>501</v>
      </c>
      <c r="J26" s="417"/>
      <c r="K26" s="423" t="s">
        <v>571</v>
      </c>
      <c r="L26" s="419">
        <v>115</v>
      </c>
      <c r="M26" s="420">
        <v>20</v>
      </c>
      <c r="N26" s="421">
        <v>161</v>
      </c>
      <c r="O26" s="425">
        <v>20</v>
      </c>
      <c r="P26" s="425">
        <v>10</v>
      </c>
      <c r="Q26" s="425">
        <v>0</v>
      </c>
      <c r="R26" s="425"/>
      <c r="S26" s="423" t="s">
        <v>572</v>
      </c>
      <c r="X26" s="428" t="s">
        <v>573</v>
      </c>
      <c r="Y26" s="159">
        <v>0</v>
      </c>
      <c r="Z26" s="159">
        <f>5000</f>
        <v>5000</v>
      </c>
    </row>
    <row r="27" spans="1:26" ht="50" x14ac:dyDescent="0.25">
      <c r="D27" s="399">
        <v>600</v>
      </c>
      <c r="E27" s="399">
        <f t="shared" si="0"/>
        <v>50</v>
      </c>
      <c r="F27" s="415" t="s">
        <v>574</v>
      </c>
      <c r="G27" s="416" t="s">
        <v>499</v>
      </c>
      <c r="H27" s="416" t="s">
        <v>562</v>
      </c>
      <c r="I27" s="417" t="s">
        <v>501</v>
      </c>
      <c r="J27" s="417"/>
      <c r="K27" s="423" t="s">
        <v>571</v>
      </c>
      <c r="L27" s="419">
        <v>60</v>
      </c>
      <c r="M27" s="420"/>
      <c r="N27" s="421">
        <v>0</v>
      </c>
      <c r="O27" s="422"/>
      <c r="P27" s="432"/>
      <c r="Q27" s="422">
        <v>0</v>
      </c>
      <c r="R27" s="422"/>
      <c r="S27" s="433" t="s">
        <v>575</v>
      </c>
      <c r="X27" s="428" t="s">
        <v>576</v>
      </c>
      <c r="Y27" s="159">
        <v>0</v>
      </c>
      <c r="Z27" s="159">
        <f>10000</f>
        <v>10000</v>
      </c>
    </row>
    <row r="28" spans="1:26" ht="50" x14ac:dyDescent="0.25">
      <c r="D28" s="399">
        <v>700</v>
      </c>
      <c r="E28" s="399">
        <f t="shared" si="0"/>
        <v>58.333333333333336</v>
      </c>
      <c r="F28" s="415" t="s">
        <v>577</v>
      </c>
      <c r="G28" s="416" t="s">
        <v>499</v>
      </c>
      <c r="H28" s="416" t="s">
        <v>562</v>
      </c>
      <c r="I28" s="417" t="s">
        <v>501</v>
      </c>
      <c r="J28" s="417"/>
      <c r="K28" s="423" t="s">
        <v>571</v>
      </c>
      <c r="L28" s="419">
        <v>60</v>
      </c>
      <c r="M28" s="420"/>
      <c r="N28" s="421">
        <v>85</v>
      </c>
      <c r="O28" s="422"/>
      <c r="P28" s="422"/>
      <c r="Q28" s="422">
        <v>0</v>
      </c>
      <c r="R28" s="422"/>
      <c r="S28" s="434" t="s">
        <v>578</v>
      </c>
      <c r="X28" s="428" t="s">
        <v>579</v>
      </c>
      <c r="Y28" s="159">
        <f>75000</f>
        <v>75000</v>
      </c>
      <c r="Z28" s="159">
        <v>5000</v>
      </c>
    </row>
    <row r="29" spans="1:26" ht="25" x14ac:dyDescent="0.25">
      <c r="D29" s="399">
        <v>100000</v>
      </c>
      <c r="E29" s="399">
        <f t="shared" si="0"/>
        <v>8333.3333333333339</v>
      </c>
      <c r="F29" s="415" t="s">
        <v>580</v>
      </c>
      <c r="G29" s="416" t="s">
        <v>499</v>
      </c>
      <c r="H29" s="416" t="s">
        <v>562</v>
      </c>
      <c r="I29" s="417" t="s">
        <v>501</v>
      </c>
      <c r="J29" s="417"/>
      <c r="K29" s="423" t="s">
        <v>581</v>
      </c>
      <c r="L29" s="420"/>
      <c r="M29" s="420"/>
      <c r="N29" s="422">
        <f t="shared" si="1"/>
        <v>0</v>
      </c>
      <c r="O29" s="422">
        <v>500</v>
      </c>
      <c r="P29" s="422">
        <f>+O29*0.75</f>
        <v>375</v>
      </c>
      <c r="Q29" s="422">
        <f>+O29*0.5</f>
        <v>250</v>
      </c>
      <c r="R29" s="422"/>
      <c r="S29" s="423" t="s">
        <v>582</v>
      </c>
      <c r="X29" s="428" t="s">
        <v>583</v>
      </c>
      <c r="Y29" s="159">
        <f>250*150</f>
        <v>37500</v>
      </c>
      <c r="Z29" s="159">
        <v>0</v>
      </c>
    </row>
    <row r="30" spans="1:26" ht="13" x14ac:dyDescent="0.3">
      <c r="A30" s="399">
        <f>145/+SUM(E24:E30)</f>
        <v>8.5336879046145099E-3</v>
      </c>
      <c r="C30" s="399">
        <f>755/+SUM(D24:D30)</f>
        <v>3.7028358436689409E-3</v>
      </c>
      <c r="D30" s="399">
        <v>2000</v>
      </c>
      <c r="E30" s="399">
        <f t="shared" si="0"/>
        <v>166.66666666666666</v>
      </c>
      <c r="F30" s="415" t="s">
        <v>584</v>
      </c>
      <c r="G30" s="416" t="s">
        <v>499</v>
      </c>
      <c r="H30" s="416" t="s">
        <v>562</v>
      </c>
      <c r="I30" s="417" t="s">
        <v>501</v>
      </c>
      <c r="J30" s="417"/>
      <c r="K30" s="423" t="s">
        <v>507</v>
      </c>
      <c r="L30" s="419">
        <v>200</v>
      </c>
      <c r="M30" s="420">
        <v>150</v>
      </c>
      <c r="N30" s="421">
        <f t="shared" si="1"/>
        <v>350</v>
      </c>
      <c r="O30" s="422">
        <v>300</v>
      </c>
      <c r="P30" s="422">
        <v>300</v>
      </c>
      <c r="Q30" s="422">
        <v>150</v>
      </c>
      <c r="R30" s="422"/>
      <c r="S30" s="423" t="s">
        <v>585</v>
      </c>
      <c r="T30" s="399" t="s">
        <v>586</v>
      </c>
      <c r="X30" s="435" t="s">
        <v>587</v>
      </c>
      <c r="Y30" s="436">
        <f>SUM(Y17:Y29)</f>
        <v>392500</v>
      </c>
      <c r="Z30" s="436">
        <f>SUM(Z17:Z29)</f>
        <v>79200</v>
      </c>
    </row>
    <row r="31" spans="1:26" ht="50" x14ac:dyDescent="0.25">
      <c r="D31" s="399">
        <f>+N31/0.2</f>
        <v>300</v>
      </c>
      <c r="E31" s="399">
        <f t="shared" si="0"/>
        <v>25</v>
      </c>
      <c r="F31" s="415" t="s">
        <v>588</v>
      </c>
      <c r="G31" s="424" t="s">
        <v>499</v>
      </c>
      <c r="H31" s="424" t="s">
        <v>589</v>
      </c>
      <c r="I31" s="417" t="s">
        <v>501</v>
      </c>
      <c r="J31" s="417"/>
      <c r="K31" s="423" t="s">
        <v>571</v>
      </c>
      <c r="L31" s="419">
        <v>50</v>
      </c>
      <c r="M31" s="425">
        <v>50</v>
      </c>
      <c r="N31" s="421">
        <v>60</v>
      </c>
      <c r="O31" s="425">
        <v>50</v>
      </c>
      <c r="P31" s="425">
        <v>25</v>
      </c>
      <c r="Q31" s="425">
        <v>0</v>
      </c>
      <c r="R31" s="425"/>
      <c r="S31" s="423" t="s">
        <v>590</v>
      </c>
    </row>
    <row r="32" spans="1:26" ht="37.5" x14ac:dyDescent="0.25">
      <c r="E32" s="399">
        <f t="shared" si="0"/>
        <v>0</v>
      </c>
      <c r="F32" s="415" t="s">
        <v>591</v>
      </c>
      <c r="G32" s="416"/>
      <c r="H32" s="416" t="s">
        <v>589</v>
      </c>
      <c r="I32" s="417"/>
      <c r="J32" s="417"/>
      <c r="K32" s="423"/>
      <c r="L32" s="420"/>
      <c r="M32" s="422"/>
      <c r="N32" s="422"/>
      <c r="O32" s="422">
        <v>369</v>
      </c>
      <c r="P32" s="422"/>
      <c r="Q32" s="422"/>
      <c r="R32" s="422"/>
      <c r="S32" s="423" t="s">
        <v>592</v>
      </c>
    </row>
    <row r="33" spans="1:19" ht="50" x14ac:dyDescent="0.25">
      <c r="A33" s="399">
        <f>85/D33</f>
        <v>0.28333333333333333</v>
      </c>
      <c r="D33" s="399">
        <v>300</v>
      </c>
      <c r="E33" s="399">
        <f t="shared" si="0"/>
        <v>25</v>
      </c>
      <c r="F33" s="415" t="s">
        <v>593</v>
      </c>
      <c r="G33" s="416" t="s">
        <v>526</v>
      </c>
      <c r="H33" s="416" t="s">
        <v>594</v>
      </c>
      <c r="I33" s="417" t="s">
        <v>501</v>
      </c>
      <c r="J33" s="417"/>
      <c r="K33" s="423" t="s">
        <v>571</v>
      </c>
      <c r="L33" s="419">
        <v>85</v>
      </c>
      <c r="M33" s="422"/>
      <c r="N33" s="422">
        <v>0</v>
      </c>
      <c r="O33" s="422">
        <v>60</v>
      </c>
      <c r="P33" s="422"/>
      <c r="Q33" s="422">
        <v>0</v>
      </c>
      <c r="R33" s="422"/>
      <c r="S33" s="434" t="s">
        <v>595</v>
      </c>
    </row>
    <row r="34" spans="1:19" ht="15" customHeight="1" x14ac:dyDescent="0.25">
      <c r="E34" s="399">
        <f t="shared" si="0"/>
        <v>0</v>
      </c>
      <c r="F34" s="415"/>
      <c r="G34" s="416"/>
      <c r="H34" s="416"/>
      <c r="I34" s="417"/>
      <c r="J34" s="417"/>
      <c r="K34" s="423"/>
      <c r="L34" s="422"/>
      <c r="M34" s="422"/>
      <c r="N34" s="422"/>
      <c r="O34" s="422"/>
      <c r="P34" s="422"/>
      <c r="Q34" s="422"/>
      <c r="R34" s="422"/>
      <c r="S34" s="423"/>
    </row>
    <row r="35" spans="1:19" ht="15" customHeight="1" x14ac:dyDescent="0.3">
      <c r="E35" s="399">
        <f t="shared" si="0"/>
        <v>0</v>
      </c>
      <c r="F35" s="410" t="s">
        <v>457</v>
      </c>
      <c r="G35" s="437"/>
      <c r="H35" s="437"/>
      <c r="I35" s="437"/>
      <c r="J35" s="437"/>
      <c r="K35" s="412"/>
      <c r="L35" s="438">
        <f t="shared" ref="L35:R35" si="2">SUM(L7:L34)</f>
        <v>5342</v>
      </c>
      <c r="M35" s="438">
        <f t="shared" si="2"/>
        <v>5836</v>
      </c>
      <c r="N35" s="438">
        <f t="shared" si="2"/>
        <v>11189</v>
      </c>
      <c r="O35" s="438">
        <f t="shared" si="2"/>
        <v>7257</v>
      </c>
      <c r="P35" s="438">
        <f t="shared" si="2"/>
        <v>4648</v>
      </c>
      <c r="Q35" s="438">
        <f t="shared" si="2"/>
        <v>2747</v>
      </c>
      <c r="R35" s="438">
        <f t="shared" si="2"/>
        <v>1497</v>
      </c>
      <c r="S35" s="412"/>
    </row>
    <row r="36" spans="1:19" ht="15" customHeight="1" x14ac:dyDescent="0.25"/>
    <row r="37" spans="1:19" x14ac:dyDescent="0.25">
      <c r="D37" s="399">
        <f>+SUM(D7:D35)</f>
        <v>214738.77777777778</v>
      </c>
      <c r="E37" s="399">
        <f>+SUM(E7:E35)</f>
        <v>17894.89814814815</v>
      </c>
      <c r="F37" s="409" t="s">
        <v>596</v>
      </c>
      <c r="L37" s="406">
        <f>+L15+L16+L19+L20+L21+L22+L13</f>
        <v>702</v>
      </c>
      <c r="M37" s="406">
        <f t="shared" ref="M37:R37" si="3">+M15+M16+M19+M20+M21+M22+M13</f>
        <v>818</v>
      </c>
      <c r="N37" s="406">
        <f>+N15+N16+N19+N20+N21+N22+N13+N23</f>
        <v>2100</v>
      </c>
      <c r="O37" s="406">
        <f t="shared" si="3"/>
        <v>513</v>
      </c>
      <c r="P37" s="406">
        <f t="shared" si="3"/>
        <v>129</v>
      </c>
      <c r="Q37" s="406">
        <f t="shared" si="3"/>
        <v>129</v>
      </c>
      <c r="R37" s="406">
        <f t="shared" si="3"/>
        <v>79</v>
      </c>
    </row>
    <row r="38" spans="1:19" x14ac:dyDescent="0.25">
      <c r="F38" s="409" t="s">
        <v>597</v>
      </c>
      <c r="L38" s="406">
        <f>+L7+L8+L9+L10+L11+L12+L14+L17+L18+L24+L25+L26+L27+L28+L29+L30+L31+L32+L33</f>
        <v>4640</v>
      </c>
      <c r="M38" s="406">
        <f t="shared" ref="M38:R38" si="4">+M7+M8+M9+M10+M11+M12+M14+M17+M18+M24+M25+M26+M27+M28+M29+M30+M31+M32+M33</f>
        <v>5018</v>
      </c>
      <c r="N38" s="406">
        <f t="shared" si="4"/>
        <v>9089</v>
      </c>
      <c r="O38" s="406">
        <f t="shared" si="4"/>
        <v>6744</v>
      </c>
      <c r="P38" s="406">
        <f t="shared" si="4"/>
        <v>4519</v>
      </c>
      <c r="Q38" s="406">
        <f t="shared" si="4"/>
        <v>2618</v>
      </c>
      <c r="R38" s="406">
        <f t="shared" si="4"/>
        <v>1418</v>
      </c>
    </row>
    <row r="39" spans="1:19" x14ac:dyDescent="0.25">
      <c r="D39" s="399">
        <f>5837/D37</f>
        <v>2.7181862821443522E-2</v>
      </c>
      <c r="E39" s="399">
        <f>911/E37</f>
        <v>5.0908364633205506E-2</v>
      </c>
      <c r="F39" s="409" t="s">
        <v>457</v>
      </c>
      <c r="L39" s="439">
        <f>+L38+L37</f>
        <v>5342</v>
      </c>
      <c r="M39" s="439">
        <f t="shared" ref="M39:R39" si="5">+M38+M37</f>
        <v>5836</v>
      </c>
      <c r="N39" s="439">
        <f t="shared" si="5"/>
        <v>11189</v>
      </c>
      <c r="O39" s="439">
        <f t="shared" si="5"/>
        <v>7257</v>
      </c>
      <c r="P39" s="439">
        <f t="shared" si="5"/>
        <v>4648</v>
      </c>
      <c r="Q39" s="439">
        <f t="shared" si="5"/>
        <v>2747</v>
      </c>
      <c r="R39" s="439">
        <f t="shared" si="5"/>
        <v>1497</v>
      </c>
      <c r="S39" s="440">
        <f>+SUM(N39:R39)</f>
        <v>27338</v>
      </c>
    </row>
    <row r="40" spans="1:19" ht="13" thickBot="1" x14ac:dyDescent="0.3">
      <c r="I40" s="441">
        <f>N39-N35</f>
        <v>0</v>
      </c>
      <c r="L40" s="442"/>
      <c r="M40" s="442"/>
      <c r="N40" s="442"/>
      <c r="O40" s="442"/>
      <c r="P40" s="442"/>
      <c r="Q40" s="442"/>
      <c r="R40" s="442"/>
    </row>
    <row r="41" spans="1:19" ht="13.5" thickTop="1" x14ac:dyDescent="0.3">
      <c r="D41" s="399">
        <f>9946/D37</f>
        <v>4.6316739356189351E-2</v>
      </c>
      <c r="E41" s="399">
        <f>1562/E37</f>
        <v>8.728744847098463E-2</v>
      </c>
      <c r="F41" s="403" t="s">
        <v>598</v>
      </c>
    </row>
    <row r="43" spans="1:19" ht="25" x14ac:dyDescent="0.25">
      <c r="F43" s="409" t="s">
        <v>599</v>
      </c>
      <c r="L43" s="443"/>
      <c r="M43" s="443">
        <v>0</v>
      </c>
      <c r="N43" s="443">
        <f>+M43+L43</f>
        <v>0</v>
      </c>
      <c r="O43" s="443">
        <f>180997.666808201/1000</f>
        <v>180.99766680820099</v>
      </c>
      <c r="P43" s="443">
        <f>186445.515581464/1000</f>
        <v>186.44551558146398</v>
      </c>
      <c r="Q43" s="443">
        <f>192057.339154949/1000</f>
        <v>192.05733915494901</v>
      </c>
      <c r="R43" s="443">
        <f>197838.07300617/1000</f>
        <v>197.83807300616999</v>
      </c>
      <c r="S43" s="401" t="s">
        <v>600</v>
      </c>
    </row>
    <row r="46" spans="1:19" ht="13" x14ac:dyDescent="0.3">
      <c r="F46" s="403" t="s">
        <v>601</v>
      </c>
    </row>
    <row r="47" spans="1:19" x14ac:dyDescent="0.25">
      <c r="F47" s="409" t="s">
        <v>604</v>
      </c>
    </row>
    <row r="48" spans="1:19" ht="13" x14ac:dyDescent="0.25">
      <c r="F48" s="409" t="s">
        <v>605</v>
      </c>
      <c r="M48" s="444">
        <v>-32</v>
      </c>
      <c r="N48" s="444">
        <f>+M48+L48</f>
        <v>-32</v>
      </c>
      <c r="O48" s="444"/>
      <c r="P48" s="444"/>
      <c r="Q48" s="444"/>
      <c r="R48" s="444"/>
    </row>
    <row r="49" spans="6:19" x14ac:dyDescent="0.25">
      <c r="F49" s="409" t="s">
        <v>606</v>
      </c>
    </row>
    <row r="50" spans="6:19" ht="13" x14ac:dyDescent="0.25">
      <c r="F50" s="409" t="s">
        <v>607</v>
      </c>
      <c r="M50" s="444">
        <v>-110</v>
      </c>
      <c r="N50" s="444">
        <f>+M50+L50</f>
        <v>-110</v>
      </c>
      <c r="O50" s="444"/>
      <c r="P50" s="444"/>
      <c r="Q50" s="444"/>
      <c r="R50" s="444"/>
    </row>
    <row r="51" spans="6:19" ht="13" x14ac:dyDescent="0.25">
      <c r="F51" s="409" t="s">
        <v>608</v>
      </c>
      <c r="M51" s="444">
        <f>1511543/1000*-1</f>
        <v>-1511.5429999999999</v>
      </c>
      <c r="N51" s="444">
        <f>+M51+L51</f>
        <v>-1511.5429999999999</v>
      </c>
    </row>
    <row r="52" spans="6:19" ht="13" x14ac:dyDescent="0.25">
      <c r="F52" s="409" t="s">
        <v>611</v>
      </c>
      <c r="M52" s="444">
        <v>-300</v>
      </c>
      <c r="N52" s="444">
        <v>-100</v>
      </c>
    </row>
    <row r="53" spans="6:19" ht="13" x14ac:dyDescent="0.25">
      <c r="F53" s="409" t="s">
        <v>612</v>
      </c>
      <c r="M53" s="444"/>
      <c r="N53" s="444">
        <v>-300</v>
      </c>
    </row>
    <row r="54" spans="6:19" ht="13" x14ac:dyDescent="0.25">
      <c r="F54" s="409" t="s">
        <v>613</v>
      </c>
      <c r="M54" s="444"/>
      <c r="N54" s="444">
        <f>+M54</f>
        <v>0</v>
      </c>
    </row>
    <row r="55" spans="6:19" ht="13.5" thickBot="1" x14ac:dyDescent="0.35">
      <c r="F55" s="445"/>
      <c r="G55" s="446"/>
      <c r="H55" s="446"/>
      <c r="I55" s="446"/>
      <c r="J55" s="446"/>
      <c r="K55" s="447"/>
      <c r="L55" s="448"/>
      <c r="M55" s="449">
        <f>SUM(M47:M54)</f>
        <v>-1953.5429999999999</v>
      </c>
      <c r="N55" s="449">
        <f>SUM(N47:N54)</f>
        <v>-2053.5429999999997</v>
      </c>
      <c r="O55" s="449">
        <f t="shared" ref="O55:Q55" si="6">SUM(O47:O54)</f>
        <v>0</v>
      </c>
      <c r="P55" s="449">
        <f t="shared" si="6"/>
        <v>0</v>
      </c>
      <c r="Q55" s="449">
        <f t="shared" si="6"/>
        <v>0</v>
      </c>
      <c r="R55" s="449"/>
      <c r="S55" s="447"/>
    </row>
    <row r="56" spans="6:19" ht="13" thickTop="1" x14ac:dyDescent="0.25"/>
    <row r="57" spans="6:19" x14ac:dyDescent="0.25">
      <c r="G57" s="399" t="s">
        <v>616</v>
      </c>
      <c r="K57" s="450"/>
      <c r="L57" s="451">
        <f>+L55+L39+L43</f>
        <v>5342</v>
      </c>
      <c r="M57" s="451">
        <f>+M55+M39+M43</f>
        <v>3882.4570000000003</v>
      </c>
      <c r="N57" s="451">
        <f>+N55+N39+N43</f>
        <v>9135.4570000000003</v>
      </c>
      <c r="O57" s="451">
        <f>+O55+O39+O43</f>
        <v>7437.9976668082008</v>
      </c>
      <c r="P57" s="451">
        <f>+P55+P39+P43</f>
        <v>4834.445515581464</v>
      </c>
      <c r="Q57" s="451">
        <f t="shared" ref="Q57:R57" si="7">+Q55+Q39+Q43</f>
        <v>2939.0573391549492</v>
      </c>
      <c r="R57" s="451">
        <f t="shared" si="7"/>
        <v>1694.8380730061699</v>
      </c>
    </row>
    <row r="58" spans="6:19" x14ac:dyDescent="0.25">
      <c r="N58" s="406">
        <f>N39+N55</f>
        <v>9135.4570000000003</v>
      </c>
      <c r="O58" s="406">
        <f t="shared" ref="O58:R58" si="8">O39+O55</f>
        <v>7257</v>
      </c>
      <c r="P58" s="406">
        <f t="shared" si="8"/>
        <v>4648</v>
      </c>
      <c r="Q58" s="406">
        <f t="shared" si="8"/>
        <v>2747</v>
      </c>
      <c r="R58" s="406">
        <f t="shared" si="8"/>
        <v>1497</v>
      </c>
    </row>
    <row r="59" spans="6:19" x14ac:dyDescent="0.25">
      <c r="L59" s="452">
        <f>911/+SUM(L38/3)</f>
        <v>0.58900862068965509</v>
      </c>
      <c r="M59" s="452"/>
      <c r="N59" s="452">
        <f>5837/N38</f>
        <v>0.64220486302123447</v>
      </c>
    </row>
    <row r="61" spans="6:19" x14ac:dyDescent="0.25">
      <c r="H61" s="399" t="s">
        <v>617</v>
      </c>
      <c r="L61" s="406">
        <v>1954</v>
      </c>
      <c r="M61" s="406">
        <v>2155</v>
      </c>
      <c r="N61" s="406">
        <v>4109</v>
      </c>
    </row>
    <row r="62" spans="6:19" x14ac:dyDescent="0.25">
      <c r="H62" s="399" t="s">
        <v>618</v>
      </c>
      <c r="L62" s="406">
        <f>+L38-L61</f>
        <v>2686</v>
      </c>
      <c r="M62" s="406">
        <f t="shared" ref="M62:N62" si="9">+M38-M61</f>
        <v>2863</v>
      </c>
      <c r="N62" s="406">
        <f t="shared" si="9"/>
        <v>4980</v>
      </c>
    </row>
    <row r="64" spans="6:19" x14ac:dyDescent="0.25">
      <c r="H64" s="399" t="s">
        <v>619</v>
      </c>
      <c r="L64" s="406">
        <f>+L62/3</f>
        <v>895.33333333333337</v>
      </c>
    </row>
    <row r="66" spans="3:19" x14ac:dyDescent="0.25">
      <c r="H66" s="399" t="s">
        <v>620</v>
      </c>
      <c r="L66" s="406">
        <f>+L33+L31+L30+L28+L27+L26+L18+L17+L14+L12+L11+L9+L8+L7</f>
        <v>3040</v>
      </c>
    </row>
    <row r="67" spans="3:19" s="406" customFormat="1" x14ac:dyDescent="0.25">
      <c r="C67" s="399"/>
      <c r="D67" s="399"/>
      <c r="E67" s="399"/>
      <c r="F67" s="409"/>
      <c r="G67" s="399"/>
      <c r="H67" s="399"/>
      <c r="I67" s="399"/>
      <c r="J67" s="399"/>
      <c r="K67" s="401"/>
      <c r="L67" s="406">
        <f>+L66/3</f>
        <v>1013.3333333333334</v>
      </c>
      <c r="S67" s="401"/>
    </row>
    <row r="69" spans="3:19" s="406" customFormat="1" x14ac:dyDescent="0.25">
      <c r="C69" s="399"/>
      <c r="D69" s="399"/>
      <c r="E69" s="399"/>
      <c r="F69" s="409"/>
      <c r="G69" s="399"/>
      <c r="H69" s="399" t="s">
        <v>621</v>
      </c>
      <c r="I69" s="399"/>
      <c r="J69" s="399"/>
      <c r="K69" s="401"/>
      <c r="L69" s="453">
        <v>0.64852752880921893</v>
      </c>
      <c r="N69" s="406">
        <v>0.101849989945707</v>
      </c>
      <c r="S69" s="401"/>
    </row>
    <row r="71" spans="3:19" s="406" customFormat="1" x14ac:dyDescent="0.25">
      <c r="C71" s="399"/>
      <c r="D71" s="399"/>
      <c r="E71" s="399"/>
      <c r="F71" s="409"/>
      <c r="G71" s="454"/>
      <c r="H71" s="399"/>
      <c r="I71" s="399"/>
      <c r="J71" s="399"/>
      <c r="K71" s="401"/>
      <c r="S71" s="401"/>
    </row>
    <row r="72" spans="3:19" s="406" customFormat="1" x14ac:dyDescent="0.25">
      <c r="C72" s="399" t="s">
        <v>622</v>
      </c>
      <c r="D72" s="399"/>
      <c r="E72" s="399"/>
      <c r="F72" s="455">
        <f>+SUM(N19:N21)</f>
        <v>240</v>
      </c>
      <c r="G72" s="456">
        <f>+F72/$F$81*100</f>
        <v>2.2564874012786764</v>
      </c>
      <c r="H72" s="399"/>
      <c r="I72" s="399"/>
      <c r="J72" s="399"/>
      <c r="K72" s="401"/>
      <c r="S72" s="401"/>
    </row>
    <row r="73" spans="3:19" s="406" customFormat="1" x14ac:dyDescent="0.25">
      <c r="C73" s="399"/>
      <c r="D73" s="399"/>
      <c r="E73" s="399"/>
      <c r="F73" s="455"/>
      <c r="G73" s="456">
        <f t="shared" ref="G73:G81" si="10">+F73/$F$81*100</f>
        <v>0</v>
      </c>
      <c r="H73" s="399"/>
      <c r="I73" s="399"/>
      <c r="J73" s="399"/>
      <c r="K73" s="401"/>
      <c r="S73" s="401"/>
    </row>
    <row r="74" spans="3:19" s="406" customFormat="1" x14ac:dyDescent="0.25">
      <c r="C74" s="399" t="s">
        <v>623</v>
      </c>
      <c r="D74" s="399"/>
      <c r="E74" s="399"/>
      <c r="F74" s="455">
        <f>+SUM(N22)</f>
        <v>532</v>
      </c>
      <c r="G74" s="456">
        <f t="shared" si="10"/>
        <v>5.0018804061677322</v>
      </c>
      <c r="H74" s="399"/>
      <c r="I74" s="399"/>
      <c r="J74" s="399"/>
      <c r="K74" s="401"/>
      <c r="S74" s="401"/>
    </row>
    <row r="75" spans="3:19" s="406" customFormat="1" x14ac:dyDescent="0.25">
      <c r="C75" s="399"/>
      <c r="D75" s="399"/>
      <c r="E75" s="399"/>
      <c r="F75" s="455"/>
      <c r="G75" s="456">
        <f t="shared" si="10"/>
        <v>0</v>
      </c>
      <c r="H75" s="399"/>
      <c r="I75" s="399"/>
      <c r="J75" s="399"/>
      <c r="K75" s="401"/>
      <c r="S75" s="401"/>
    </row>
    <row r="76" spans="3:19" s="406" customFormat="1" x14ac:dyDescent="0.25">
      <c r="C76" s="399" t="s">
        <v>523</v>
      </c>
      <c r="D76" s="399"/>
      <c r="E76" s="399"/>
      <c r="F76" s="455">
        <f>+SUM(N11:N14)</f>
        <v>2069</v>
      </c>
      <c r="G76" s="456">
        <f t="shared" si="10"/>
        <v>19.452801805189921</v>
      </c>
      <c r="H76" s="399"/>
      <c r="I76" s="399"/>
      <c r="J76" s="399"/>
      <c r="K76" s="401"/>
      <c r="S76" s="401"/>
    </row>
    <row r="77" spans="3:19" s="406" customFormat="1" x14ac:dyDescent="0.25">
      <c r="C77" s="399" t="s">
        <v>537</v>
      </c>
      <c r="D77" s="399"/>
      <c r="E77" s="399"/>
      <c r="F77" s="455">
        <f>+SUM(N17:N18)</f>
        <v>2850</v>
      </c>
      <c r="G77" s="456">
        <f t="shared" si="10"/>
        <v>26.795787890184279</v>
      </c>
      <c r="H77" s="399"/>
      <c r="I77" s="399"/>
      <c r="J77" s="399"/>
      <c r="K77" s="401"/>
      <c r="S77" s="401"/>
    </row>
    <row r="78" spans="3:19" s="406" customFormat="1" x14ac:dyDescent="0.25">
      <c r="C78" s="399" t="s">
        <v>624</v>
      </c>
      <c r="D78" s="399"/>
      <c r="E78" s="399"/>
      <c r="F78" s="455">
        <f>+SUM(N24:N30)+180+4109</f>
        <v>4885</v>
      </c>
      <c r="G78" s="456">
        <f t="shared" si="10"/>
        <v>45.928920646859723</v>
      </c>
      <c r="H78" s="399"/>
      <c r="I78" s="399"/>
      <c r="J78" s="399"/>
      <c r="K78" s="401"/>
      <c r="S78" s="401"/>
    </row>
    <row r="79" spans="3:19" s="406" customFormat="1" x14ac:dyDescent="0.25">
      <c r="C79" s="399" t="s">
        <v>589</v>
      </c>
      <c r="D79" s="399"/>
      <c r="E79" s="399"/>
      <c r="F79" s="455">
        <f>+SUM(N31:N33)</f>
        <v>60</v>
      </c>
      <c r="G79" s="456">
        <f t="shared" si="10"/>
        <v>0.5641218503196691</v>
      </c>
      <c r="H79" s="399"/>
      <c r="I79" s="399"/>
      <c r="J79" s="399"/>
      <c r="K79" s="401"/>
      <c r="S79" s="401"/>
    </row>
    <row r="80" spans="3:19" s="406" customFormat="1" x14ac:dyDescent="0.25">
      <c r="C80" s="399"/>
      <c r="D80" s="399"/>
      <c r="E80" s="399"/>
      <c r="F80" s="409"/>
      <c r="G80" s="456">
        <f t="shared" si="10"/>
        <v>0</v>
      </c>
      <c r="H80" s="399"/>
      <c r="I80" s="399"/>
      <c r="J80" s="399"/>
      <c r="K80" s="401"/>
      <c r="S80" s="401"/>
    </row>
    <row r="81" spans="3:19" s="406" customFormat="1" x14ac:dyDescent="0.25">
      <c r="C81" s="399"/>
      <c r="D81" s="399"/>
      <c r="E81" s="399"/>
      <c r="F81" s="455">
        <f>+SUM(F72:F79)</f>
        <v>10636</v>
      </c>
      <c r="G81" s="456">
        <f t="shared" si="10"/>
        <v>100</v>
      </c>
      <c r="H81" s="399"/>
      <c r="I81" s="399"/>
      <c r="J81" s="399"/>
      <c r="K81" s="401"/>
      <c r="S81" s="401"/>
    </row>
    <row r="85" spans="3:19" x14ac:dyDescent="0.25">
      <c r="I85" s="399" t="s">
        <v>237</v>
      </c>
      <c r="N85" s="406">
        <f>'[14]Appendix A'!V140</f>
        <v>8990.6020000000008</v>
      </c>
    </row>
    <row r="86" spans="3:19" x14ac:dyDescent="0.25">
      <c r="N86" s="406">
        <f>N85-N57</f>
        <v>-144.85499999999956</v>
      </c>
    </row>
    <row r="88" spans="3:19" x14ac:dyDescent="0.25">
      <c r="I88" s="399" t="s">
        <v>625</v>
      </c>
      <c r="N88" s="406">
        <f>'[14]Appendix A'!V9+'[14]Appendix A'!V12+'[14]Appendix A'!V15+'[14]Appendix A'!V47</f>
        <v>-89</v>
      </c>
    </row>
    <row r="90" spans="3:19" x14ac:dyDescent="0.25">
      <c r="N90" s="406">
        <f>N86-N88</f>
        <v>-55.854999999999563</v>
      </c>
    </row>
  </sheetData>
  <autoFilter ref="A6:Z35" xr:uid="{00000000-0009-0000-0000-00001B000000}"/>
  <customSheetViews>
    <customSheetView guid="{903669DD-1133-45D2-B108-C6B5BEA5EB61}" fitToPage="1" showAutoFilter="1" hiddenColumns="1" state="hidden" topLeftCell="F1">
      <selection activeCell="N33" sqref="N33"/>
      <pageMargins left="0" right="0" top="0" bottom="0" header="0" footer="0"/>
      <pageSetup paperSize="9" scale="73" fitToHeight="0" orientation="landscape" verticalDpi="0" r:id="rId1"/>
      <autoFilter ref="A6:Z35" xr:uid="{E0DC3090-4AB5-45D7-A30E-CE09DAF04E6D}"/>
    </customSheetView>
    <customSheetView guid="{7910FD81-BFE7-4CD5-939B-3D7A1CA9601A}" fitToPage="1" showAutoFilter="1" hiddenColumns="1" state="hidden" topLeftCell="F1">
      <selection activeCell="N33" sqref="N33"/>
      <pageMargins left="0" right="0" top="0" bottom="0" header="0" footer="0"/>
      <pageSetup paperSize="9" scale="73" fitToHeight="0" orientation="landscape" verticalDpi="0" r:id="rId2"/>
      <autoFilter ref="A6:Z35" xr:uid="{A7E48C40-7F5C-4A3A-9B70-ECBFD263B30A}"/>
    </customSheetView>
    <customSheetView guid="{051C2D13-0D3D-44C3-A7DB-A0EAFBF115F0}" scale="90" fitToPage="1" showAutoFilter="1" hiddenColumns="1" state="hidden" topLeftCell="F11">
      <selection activeCell="N33" sqref="N33"/>
      <pageMargins left="0" right="0" top="0" bottom="0" header="0" footer="0"/>
      <pageSetup paperSize="9" scale="73" fitToHeight="0" orientation="landscape" verticalDpi="0" r:id="rId3"/>
      <autoFilter ref="A6:Z35" xr:uid="{C01BDFBF-ABDF-4E47-A798-D0FDF2EC0854}"/>
    </customSheetView>
    <customSheetView guid="{9C479752-7F2F-4739-B52F-47A06FE05EF0}" scale="90" fitToPage="1" showAutoFilter="1" hiddenColumns="1" state="hidden" topLeftCell="F11">
      <selection activeCell="N33" sqref="N33"/>
      <pageMargins left="0" right="0" top="0" bottom="0" header="0" footer="0"/>
      <pageSetup paperSize="9" scale="73" fitToHeight="0" orientation="landscape" verticalDpi="0" r:id="rId4"/>
      <autoFilter ref="A6:Z35" xr:uid="{C92F6CB1-7D5C-4A58-9267-74ACD9A37841}"/>
    </customSheetView>
    <customSheetView guid="{A0809A10-8F40-4AD2-8943-60E412AED428}" scale="90" fitToPage="1" showAutoFilter="1" hiddenColumns="1" state="hidden" topLeftCell="F11">
      <selection activeCell="N33" sqref="N33"/>
      <pageMargins left="0" right="0" top="0" bottom="0" header="0" footer="0"/>
      <pageSetup paperSize="9" scale="73" fitToHeight="0" orientation="landscape" verticalDpi="0" r:id="rId5"/>
      <autoFilter ref="A6:Z35" xr:uid="{258E3C82-FD14-4D81-8772-F158C2D381BF}"/>
    </customSheetView>
    <customSheetView guid="{3E006852-BD2D-4884-A2A1-BFAEAE24582F}" fitToPage="1" showAutoFilter="1" hiddenColumns="1" state="hidden" topLeftCell="F1">
      <selection activeCell="N33" sqref="N33"/>
      <pageMargins left="0" right="0" top="0" bottom="0" header="0" footer="0"/>
      <pageSetup paperSize="9" scale="73" fitToHeight="0" orientation="landscape" verticalDpi="0" r:id="rId6"/>
      <autoFilter ref="A6:Z35" xr:uid="{7553EE51-BE61-4C5E-9BCC-B7D46F1B24D6}"/>
    </customSheetView>
    <customSheetView guid="{B5B78BF3-B1F8-4BBA-8E40-E18C6034B566}" scale="90" fitToPage="1" showAutoFilter="1" hiddenColumns="1" state="hidden" topLeftCell="F11">
      <selection activeCell="N33" sqref="N33"/>
      <pageMargins left="0" right="0" top="0" bottom="0" header="0" footer="0"/>
      <pageSetup paperSize="9" scale="73" fitToHeight="0" orientation="landscape" verticalDpi="0" r:id="rId7"/>
      <autoFilter ref="A6:Z35" xr:uid="{DAA18CF7-0CB9-4A87-8ECF-74F662DF326A}"/>
    </customSheetView>
    <customSheetView guid="{2F5D2611-A2AC-4668-B979-0EE258BE5F1F}" fitToPage="1" showAutoFilter="1" hiddenColumns="1" state="hidden" topLeftCell="F1">
      <selection activeCell="N33" sqref="N33"/>
      <pageMargins left="0" right="0" top="0" bottom="0" header="0" footer="0"/>
      <pageSetup paperSize="9" scale="73" fitToHeight="0" orientation="landscape" verticalDpi="0" r:id="rId8"/>
      <autoFilter ref="A6:Z35" xr:uid="{0D367617-5532-47A4-9C19-67B8868A673A}"/>
    </customSheetView>
    <customSheetView guid="{2EE8538C-E3AE-40C6-B22A-073EBF96300A}" fitToPage="1" showAutoFilter="1" hiddenColumns="1" state="hidden" topLeftCell="F1">
      <selection activeCell="N33" sqref="N33"/>
      <pageMargins left="0" right="0" top="0" bottom="0" header="0" footer="0"/>
      <pageSetup paperSize="9" scale="73" fitToHeight="0" orientation="landscape" verticalDpi="0" r:id="rId9"/>
      <autoFilter ref="A6:Z35" xr:uid="{336F7632-3C92-4E13-98FE-7B40E96B66E1}"/>
    </customSheetView>
    <customSheetView guid="{E4F22399-07D5-465E-AFB1-A36259E00328}" fitToPage="1" showAutoFilter="1" hiddenColumns="1" state="hidden" topLeftCell="F1">
      <selection activeCell="N33" sqref="N33"/>
      <pageMargins left="0" right="0" top="0" bottom="0" header="0" footer="0"/>
      <pageSetup paperSize="9" scale="73" fitToHeight="0" orientation="landscape" verticalDpi="0" r:id="rId10"/>
      <autoFilter ref="A6:Z35" xr:uid="{6F8F68EB-C092-48A5-AB07-8FC2E6ABAED3}"/>
    </customSheetView>
  </customSheetViews>
  <mergeCells count="1">
    <mergeCell ref="L4:M4"/>
  </mergeCells>
  <conditionalFormatting sqref="G7:H34">
    <cfRule type="containsText" dxfId="2" priority="1" operator="containsText" text="Green">
      <formula>NOT(ISERROR(SEARCH("Green",G7)))</formula>
    </cfRule>
    <cfRule type="containsText" dxfId="1" priority="2" operator="containsText" text="Amber">
      <formula>NOT(ISERROR(SEARCH("Amber",G7)))</formula>
    </cfRule>
    <cfRule type="containsText" dxfId="0" priority="3" operator="containsText" text="Red">
      <formula>NOT(ISERROR(SEARCH("Red",G7)))</formula>
    </cfRule>
  </conditionalFormatting>
  <pageMargins left="0.7" right="0.7" top="0.75" bottom="0.75" header="0.3" footer="0.3"/>
  <pageSetup paperSize="9" scale="73" fitToHeight="0" orientation="landscape" verticalDpi="0" r:id="rId1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'U:\My User Profile\awinship\Desktop\COVID 19 info\[OTA COVID-19 Cost Tracker V3.xlsx]Cockpit'!#REF!</xm:f>
          </x14:formula1>
          <xm:sqref>I7:K34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AJ151"/>
  <sheetViews>
    <sheetView zoomScale="90" zoomScaleNormal="90" workbookViewId="0">
      <pane xSplit="13" ySplit="3" topLeftCell="N103" activePane="bottomRight" state="frozen"/>
      <selection pane="topRight" activeCell="H61" sqref="H61"/>
      <selection pane="bottomLeft" activeCell="H61" sqref="H61"/>
      <selection pane="bottomRight" activeCell="H61" sqref="H61"/>
    </sheetView>
  </sheetViews>
  <sheetFormatPr defaultColWidth="9.453125" defaultRowHeight="12.5" outlineLevelRow="2" outlineLevelCol="1" x14ac:dyDescent="0.25"/>
  <cols>
    <col min="1" max="1" width="1.54296875" customWidth="1"/>
    <col min="2" max="2" width="37" style="1" customWidth="1"/>
    <col min="3" max="4" width="8.54296875" customWidth="1"/>
    <col min="5" max="5" width="8.54296875" hidden="1" customWidth="1" outlineLevel="1"/>
    <col min="6" max="6" width="8.54296875" style="1" hidden="1" customWidth="1" outlineLevel="1"/>
    <col min="7" max="11" width="8.54296875" hidden="1" customWidth="1" outlineLevel="1"/>
    <col min="12" max="12" width="8.54296875" customWidth="1" collapsed="1"/>
    <col min="13" max="13" width="8.54296875" customWidth="1" outlineLevel="1"/>
    <col min="14" max="14" width="9.1796875" customWidth="1"/>
    <col min="15" max="16" width="9.1796875" hidden="1" customWidth="1" outlineLevel="1"/>
    <col min="17" max="17" width="9.1796875" customWidth="1" collapsed="1"/>
    <col min="18" max="20" width="9.1796875" customWidth="1" outlineLevel="1"/>
    <col min="21" max="21" width="10.453125" customWidth="1"/>
    <col min="22" max="22" width="9.1796875" customWidth="1"/>
    <col min="23" max="26" width="9.1796875" hidden="1" customWidth="1" outlineLevel="1"/>
    <col min="27" max="27" width="1.54296875" customWidth="1" collapsed="1"/>
    <col min="28" max="32" width="10.1796875" customWidth="1" outlineLevel="1"/>
    <col min="33" max="33" width="1.54296875" customWidth="1"/>
    <col min="34" max="34" width="29.1796875" style="1" customWidth="1"/>
    <col min="35" max="44" width="11.54296875" customWidth="1"/>
  </cols>
  <sheetData>
    <row r="1" spans="2:36" s="6" customFormat="1" ht="18.5" thickBot="1" x14ac:dyDescent="0.45">
      <c r="B1" s="17"/>
      <c r="D1" s="18" t="s">
        <v>0</v>
      </c>
      <c r="F1" s="17"/>
      <c r="AH1" s="689"/>
    </row>
    <row r="2" spans="2:36"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c r="AH2" s="627" t="s">
        <v>5738</v>
      </c>
      <c r="AI2" s="48" t="s">
        <v>32</v>
      </c>
      <c r="AJ2" s="48" t="s">
        <v>33</v>
      </c>
    </row>
    <row r="3" spans="2:36"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55" t="s">
        <v>34</v>
      </c>
      <c r="AH3" s="690"/>
      <c r="AI3" s="55" t="s">
        <v>34</v>
      </c>
      <c r="AJ3" s="55" t="s">
        <v>34</v>
      </c>
    </row>
    <row r="4" spans="2:36"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36"/>
      <c r="AH4" s="691"/>
    </row>
    <row r="5" spans="2:36" ht="13" outlineLevel="2" x14ac:dyDescent="0.3">
      <c r="B5" s="31" t="s">
        <v>36</v>
      </c>
      <c r="C5" s="33">
        <v>715</v>
      </c>
      <c r="D5" s="33">
        <v>804</v>
      </c>
      <c r="E5" s="23">
        <v>0</v>
      </c>
      <c r="F5" s="23">
        <v>-352</v>
      </c>
      <c r="G5" s="23">
        <v>-10</v>
      </c>
      <c r="H5" s="23">
        <v>0</v>
      </c>
      <c r="I5" s="23">
        <v>98</v>
      </c>
      <c r="J5" s="23">
        <v>0</v>
      </c>
      <c r="K5" s="23">
        <f t="shared" ref="K5:K68" si="0">SUM(E5:J5)</f>
        <v>-264</v>
      </c>
      <c r="L5" s="33">
        <f t="shared" ref="L5:L68" si="1">N5-D5</f>
        <v>-352</v>
      </c>
      <c r="M5" s="33">
        <f t="shared" ref="M5:M68" si="2">N5-C5</f>
        <v>-263</v>
      </c>
      <c r="N5" s="33">
        <v>452</v>
      </c>
      <c r="O5" s="33">
        <v>1908</v>
      </c>
      <c r="P5" s="33">
        <v>-1519</v>
      </c>
      <c r="Q5" s="33">
        <v>389</v>
      </c>
      <c r="R5" s="33">
        <v>452</v>
      </c>
      <c r="S5" s="33">
        <f t="shared" ref="S5:S68" si="3">Q5-R5</f>
        <v>-63</v>
      </c>
      <c r="T5" s="38">
        <f t="shared" ref="T5:T68" si="4">IFERROR((Q5/N5)*100%,"∞")</f>
        <v>0.86061946902654862</v>
      </c>
      <c r="U5" s="59">
        <f t="shared" ref="U5:U68" si="5">N5+V5</f>
        <v>452</v>
      </c>
      <c r="V5" s="33">
        <v>0</v>
      </c>
      <c r="W5" s="33">
        <v>0</v>
      </c>
      <c r="X5" s="33"/>
      <c r="Y5" s="33"/>
      <c r="Z5" s="42"/>
      <c r="AA5" s="60"/>
      <c r="AB5" s="105"/>
      <c r="AC5" s="93"/>
      <c r="AD5" s="33">
        <f t="shared" ref="AD5:AD68" si="6">SUM(AB5:AC5)</f>
        <v>0</v>
      </c>
      <c r="AE5" s="33">
        <f t="shared" ref="AE5:AE42" si="7">Q5+AD5</f>
        <v>389</v>
      </c>
      <c r="AF5" s="33">
        <f t="shared" ref="AF5:AF42" si="8">AE5-N5</f>
        <v>-63</v>
      </c>
      <c r="AH5" s="692" t="s">
        <v>36</v>
      </c>
      <c r="AI5" s="33">
        <v>389</v>
      </c>
      <c r="AJ5" s="33">
        <v>-63</v>
      </c>
    </row>
    <row r="6" spans="2:36"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33">
        <f t="shared" si="8"/>
        <v>17</v>
      </c>
      <c r="AH6" s="692" t="s">
        <v>37</v>
      </c>
      <c r="AI6" s="33">
        <v>71</v>
      </c>
      <c r="AJ6" s="33">
        <v>17</v>
      </c>
    </row>
    <row r="7" spans="2:36" ht="13" outlineLevel="2" x14ac:dyDescent="0.3">
      <c r="B7" s="31" t="s">
        <v>38</v>
      </c>
      <c r="C7" s="33">
        <v>1098</v>
      </c>
      <c r="D7" s="33">
        <v>722</v>
      </c>
      <c r="E7" s="23">
        <v>0</v>
      </c>
      <c r="F7" s="23">
        <v>-921</v>
      </c>
      <c r="G7" s="23">
        <v>-20</v>
      </c>
      <c r="H7" s="23">
        <v>0</v>
      </c>
      <c r="I7" s="23">
        <v>-356</v>
      </c>
      <c r="J7" s="23">
        <v>-15</v>
      </c>
      <c r="K7" s="23">
        <f t="shared" si="0"/>
        <v>-1312</v>
      </c>
      <c r="L7" s="33">
        <f t="shared" si="1"/>
        <v>-937</v>
      </c>
      <c r="M7" s="33">
        <f t="shared" si="2"/>
        <v>-1313</v>
      </c>
      <c r="N7" s="33">
        <v>-215</v>
      </c>
      <c r="O7" s="33">
        <v>1723</v>
      </c>
      <c r="P7" s="33">
        <v>-1684</v>
      </c>
      <c r="Q7" s="33">
        <v>38</v>
      </c>
      <c r="R7" s="33">
        <v>-215</v>
      </c>
      <c r="S7" s="33">
        <f t="shared" si="3"/>
        <v>253</v>
      </c>
      <c r="T7" s="38">
        <f t="shared" si="4"/>
        <v>-0.17674418604651163</v>
      </c>
      <c r="U7" s="59">
        <f t="shared" si="5"/>
        <v>-215</v>
      </c>
      <c r="V7" s="33">
        <v>0</v>
      </c>
      <c r="W7" s="33">
        <v>0</v>
      </c>
      <c r="X7" s="33"/>
      <c r="Y7" s="33"/>
      <c r="Z7" s="42"/>
      <c r="AA7" s="60"/>
      <c r="AB7" s="105"/>
      <c r="AC7" s="93"/>
      <c r="AD7" s="33">
        <f t="shared" si="6"/>
        <v>0</v>
      </c>
      <c r="AE7" s="33">
        <f t="shared" si="7"/>
        <v>38</v>
      </c>
      <c r="AF7" s="33">
        <f t="shared" si="8"/>
        <v>253</v>
      </c>
      <c r="AH7" s="692" t="s">
        <v>38</v>
      </c>
      <c r="AI7" s="33">
        <v>38</v>
      </c>
      <c r="AJ7" s="33">
        <v>47</v>
      </c>
    </row>
    <row r="8" spans="2:36" ht="13" outlineLevel="2" x14ac:dyDescent="0.3">
      <c r="B8" s="31" t="s">
        <v>39</v>
      </c>
      <c r="C8" s="33">
        <v>1086</v>
      </c>
      <c r="D8" s="33">
        <v>1477</v>
      </c>
      <c r="E8" s="23">
        <v>0</v>
      </c>
      <c r="F8" s="23">
        <v>283</v>
      </c>
      <c r="G8" s="23">
        <v>-6</v>
      </c>
      <c r="H8" s="23">
        <v>-28</v>
      </c>
      <c r="I8" s="23">
        <v>397</v>
      </c>
      <c r="J8" s="23">
        <v>0</v>
      </c>
      <c r="K8" s="23">
        <f t="shared" si="0"/>
        <v>646</v>
      </c>
      <c r="L8" s="33">
        <f t="shared" si="1"/>
        <v>265</v>
      </c>
      <c r="M8" s="33">
        <f t="shared" si="2"/>
        <v>656</v>
      </c>
      <c r="N8" s="33">
        <v>1742</v>
      </c>
      <c r="O8" s="33">
        <v>4454</v>
      </c>
      <c r="P8" s="33">
        <v>-2594</v>
      </c>
      <c r="Q8" s="33">
        <v>1859</v>
      </c>
      <c r="R8" s="33">
        <v>1742</v>
      </c>
      <c r="S8" s="33">
        <f t="shared" si="3"/>
        <v>117</v>
      </c>
      <c r="T8" s="38">
        <f t="shared" si="4"/>
        <v>1.0671641791044777</v>
      </c>
      <c r="U8" s="59">
        <f t="shared" si="5"/>
        <v>1742</v>
      </c>
      <c r="V8" s="33">
        <v>0</v>
      </c>
      <c r="W8" s="33">
        <v>0</v>
      </c>
      <c r="X8" s="33"/>
      <c r="Y8" s="33"/>
      <c r="Z8" s="42"/>
      <c r="AA8" s="60"/>
      <c r="AB8" s="105"/>
      <c r="AC8" s="93"/>
      <c r="AD8" s="33">
        <f t="shared" si="6"/>
        <v>0</v>
      </c>
      <c r="AE8" s="33">
        <f t="shared" si="7"/>
        <v>1859</v>
      </c>
      <c r="AF8" s="33">
        <f t="shared" si="8"/>
        <v>117</v>
      </c>
      <c r="AH8" s="692" t="s">
        <v>39</v>
      </c>
      <c r="AI8" s="33">
        <v>1859</v>
      </c>
      <c r="AJ8" s="33">
        <v>117</v>
      </c>
    </row>
    <row r="9" spans="2:36" ht="13" outlineLevel="2" x14ac:dyDescent="0.3">
      <c r="B9" s="31" t="s">
        <v>40</v>
      </c>
      <c r="C9" s="33">
        <v>1586</v>
      </c>
      <c r="D9" s="33">
        <v>1558</v>
      </c>
      <c r="E9" s="23">
        <v>0</v>
      </c>
      <c r="F9" s="23">
        <v>-37</v>
      </c>
      <c r="G9" s="23">
        <v>-3</v>
      </c>
      <c r="H9" s="23">
        <v>0</v>
      </c>
      <c r="I9" s="23">
        <v>-25</v>
      </c>
      <c r="J9" s="23">
        <v>0</v>
      </c>
      <c r="K9" s="23">
        <f t="shared" si="0"/>
        <v>-65</v>
      </c>
      <c r="L9" s="33">
        <f t="shared" si="1"/>
        <v>-37</v>
      </c>
      <c r="M9" s="33">
        <f t="shared" si="2"/>
        <v>-65</v>
      </c>
      <c r="N9" s="33">
        <v>1521</v>
      </c>
      <c r="O9" s="33">
        <v>4168</v>
      </c>
      <c r="P9" s="33">
        <v>-2308</v>
      </c>
      <c r="Q9" s="33">
        <v>1860</v>
      </c>
      <c r="R9" s="33">
        <v>1521</v>
      </c>
      <c r="S9" s="33">
        <f t="shared" si="3"/>
        <v>339</v>
      </c>
      <c r="T9" s="38">
        <f t="shared" si="4"/>
        <v>1.222879684418146</v>
      </c>
      <c r="U9" s="59">
        <f t="shared" si="5"/>
        <v>1480</v>
      </c>
      <c r="V9" s="33">
        <v>-41</v>
      </c>
      <c r="W9" s="33">
        <v>-41</v>
      </c>
      <c r="X9" s="33"/>
      <c r="Y9" s="33"/>
      <c r="Z9" s="42"/>
      <c r="AA9" s="60"/>
      <c r="AB9" s="105"/>
      <c r="AC9" s="93"/>
      <c r="AD9" s="33">
        <f t="shared" si="6"/>
        <v>0</v>
      </c>
      <c r="AE9" s="33">
        <f t="shared" si="7"/>
        <v>1860</v>
      </c>
      <c r="AF9" s="33">
        <f t="shared" si="8"/>
        <v>339</v>
      </c>
      <c r="AH9" s="692" t="s">
        <v>40</v>
      </c>
      <c r="AI9" s="33">
        <v>1860</v>
      </c>
      <c r="AJ9" s="33">
        <v>-3</v>
      </c>
    </row>
    <row r="10" spans="2:36"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33">
        <f t="shared" si="8"/>
        <v>7</v>
      </c>
      <c r="AH10" s="692" t="s">
        <v>41</v>
      </c>
      <c r="AI10" s="33">
        <v>8</v>
      </c>
      <c r="AJ10" s="33">
        <v>7</v>
      </c>
    </row>
    <row r="11" spans="2:36" s="661" customFormat="1" ht="13" outlineLevel="1" x14ac:dyDescent="0.3">
      <c r="B11" s="703" t="s">
        <v>43</v>
      </c>
      <c r="C11" s="704">
        <f t="shared" ref="C11:J11" si="9">SUBTOTAL(9,C5:C10)</f>
        <v>4659</v>
      </c>
      <c r="D11" s="704">
        <f t="shared" si="9"/>
        <v>4616</v>
      </c>
      <c r="E11" s="705">
        <f t="shared" si="9"/>
        <v>0</v>
      </c>
      <c r="F11" s="705">
        <f t="shared" si="9"/>
        <v>-1027</v>
      </c>
      <c r="G11" s="705">
        <f t="shared" si="9"/>
        <v>-38</v>
      </c>
      <c r="H11" s="705">
        <f t="shared" si="9"/>
        <v>-28</v>
      </c>
      <c r="I11" s="705">
        <f t="shared" si="9"/>
        <v>-6</v>
      </c>
      <c r="J11" s="705">
        <f t="shared" si="9"/>
        <v>-15</v>
      </c>
      <c r="K11" s="705">
        <f>SUM(E11:J11)</f>
        <v>-1114</v>
      </c>
      <c r="L11" s="704">
        <f t="shared" si="1"/>
        <v>-1061</v>
      </c>
      <c r="M11" s="704">
        <f t="shared" si="2"/>
        <v>-1104</v>
      </c>
      <c r="N11" s="704">
        <f>SUBTOTAL(9,N5:N10)</f>
        <v>3555</v>
      </c>
      <c r="O11" s="704">
        <f>SUBTOTAL(9,O5:O10)</f>
        <v>12332</v>
      </c>
      <c r="P11" s="704">
        <f>SUBTOTAL(9,P5:P10)</f>
        <v>-8105</v>
      </c>
      <c r="Q11" s="704">
        <f>SUBTOTAL(9,Q5:Q10)</f>
        <v>4225</v>
      </c>
      <c r="R11" s="704">
        <f>SUBTOTAL(9,R5:R10)</f>
        <v>3555</v>
      </c>
      <c r="S11" s="704">
        <f>Q11-R11</f>
        <v>670</v>
      </c>
      <c r="T11" s="706">
        <f>IFERROR((Q11/N11)*100%,"∞")</f>
        <v>1.1884669479606189</v>
      </c>
      <c r="U11" s="707">
        <f>N11+V11</f>
        <v>3514</v>
      </c>
      <c r="V11" s="704">
        <f>SUBTOTAL(9,V5:V10)</f>
        <v>-41</v>
      </c>
      <c r="W11" s="704">
        <f>SUBTOTAL(9,W5:W10)</f>
        <v>-41</v>
      </c>
      <c r="X11" s="704"/>
      <c r="Y11" s="704"/>
      <c r="Z11" s="708"/>
      <c r="AA11" s="709"/>
      <c r="AB11" s="710">
        <f>SUBTOTAL(9,AB1:AB10)</f>
        <v>0</v>
      </c>
      <c r="AC11" s="704">
        <f>SUBTOTAL(9,AC1:AC10)</f>
        <v>0</v>
      </c>
      <c r="AD11" s="704"/>
      <c r="AE11" s="704"/>
      <c r="AF11" s="704"/>
      <c r="AH11" s="711" t="s">
        <v>43</v>
      </c>
      <c r="AI11" s="712"/>
      <c r="AJ11" s="712"/>
    </row>
    <row r="12" spans="2:36" ht="13" outlineLevel="2" x14ac:dyDescent="0.3">
      <c r="B12" s="31" t="s">
        <v>44</v>
      </c>
      <c r="C12" s="33">
        <v>773</v>
      </c>
      <c r="D12" s="33">
        <v>723</v>
      </c>
      <c r="E12" s="23">
        <v>24</v>
      </c>
      <c r="F12" s="23">
        <v>29</v>
      </c>
      <c r="G12" s="23">
        <v>-25</v>
      </c>
      <c r="H12" s="23">
        <v>0</v>
      </c>
      <c r="I12" s="23">
        <v>-32</v>
      </c>
      <c r="J12" s="23">
        <v>0</v>
      </c>
      <c r="K12" s="23">
        <f t="shared" si="0"/>
        <v>-4</v>
      </c>
      <c r="L12" s="33">
        <f t="shared" si="1"/>
        <v>30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33">
        <f t="shared" si="8"/>
        <v>78</v>
      </c>
      <c r="AH12" s="692" t="s">
        <v>44</v>
      </c>
      <c r="AI12" s="33">
        <v>831</v>
      </c>
      <c r="AJ12" s="33">
        <v>78</v>
      </c>
    </row>
    <row r="13" spans="2:36" s="661" customFormat="1" ht="13" outlineLevel="1" x14ac:dyDescent="0.3">
      <c r="B13" s="703" t="s">
        <v>45</v>
      </c>
      <c r="C13" s="704">
        <f t="shared" ref="C13:J13" si="10">SUBTOTAL(9,C12:C12)</f>
        <v>773</v>
      </c>
      <c r="D13" s="704">
        <f t="shared" si="10"/>
        <v>723</v>
      </c>
      <c r="E13" s="705">
        <f t="shared" si="10"/>
        <v>24</v>
      </c>
      <c r="F13" s="705">
        <f t="shared" si="10"/>
        <v>29</v>
      </c>
      <c r="G13" s="705">
        <f t="shared" si="10"/>
        <v>-25</v>
      </c>
      <c r="H13" s="705">
        <f t="shared" si="10"/>
        <v>0</v>
      </c>
      <c r="I13" s="705">
        <f t="shared" si="10"/>
        <v>-32</v>
      </c>
      <c r="J13" s="705">
        <f t="shared" si="10"/>
        <v>0</v>
      </c>
      <c r="K13" s="705">
        <f>SUM(E13:J13)</f>
        <v>-4</v>
      </c>
      <c r="L13" s="704">
        <f t="shared" ref="L13" si="11">N13-D13</f>
        <v>30</v>
      </c>
      <c r="M13" s="704">
        <f t="shared" ref="M13" si="12">N13-C13</f>
        <v>-20</v>
      </c>
      <c r="N13" s="704">
        <f>SUBTOTAL(9,N12:N12)</f>
        <v>753</v>
      </c>
      <c r="O13" s="704">
        <f>SUBTOTAL(9,O12:O12)</f>
        <v>1783</v>
      </c>
      <c r="P13" s="704">
        <f>SUBTOTAL(9,P12:P12)</f>
        <v>-952</v>
      </c>
      <c r="Q13" s="704">
        <f>SUBTOTAL(9,Q12:Q12)</f>
        <v>831</v>
      </c>
      <c r="R13" s="704">
        <f>SUBTOTAL(9,R12:R12)</f>
        <v>753</v>
      </c>
      <c r="S13" s="704">
        <f>Q13-R13</f>
        <v>78</v>
      </c>
      <c r="T13" s="706">
        <f>IFERROR((Q13/N13)*100%,"∞")</f>
        <v>1.1035856573705178</v>
      </c>
      <c r="U13" s="707">
        <f>N13+V13</f>
        <v>813</v>
      </c>
      <c r="V13" s="704">
        <f>SUBTOTAL(9,V12:V12)</f>
        <v>60</v>
      </c>
      <c r="W13" s="704">
        <f>SUBTOTAL(9,W12:W12)</f>
        <v>60</v>
      </c>
      <c r="X13" s="704"/>
      <c r="Y13" s="704"/>
      <c r="Z13" s="708"/>
      <c r="AA13" s="709"/>
      <c r="AB13" s="710">
        <f>SUBTOTAL(9,AB1:AB12)</f>
        <v>0</v>
      </c>
      <c r="AC13" s="704">
        <f>SUBTOTAL(9,AC1:AC12)</f>
        <v>0</v>
      </c>
      <c r="AD13" s="704"/>
      <c r="AE13" s="704"/>
      <c r="AF13" s="704"/>
      <c r="AH13" s="711" t="s">
        <v>45</v>
      </c>
      <c r="AI13" s="712"/>
      <c r="AJ13" s="712"/>
    </row>
    <row r="14" spans="2:36" ht="13" outlineLevel="2" x14ac:dyDescent="0.3">
      <c r="B14" s="31" t="s">
        <v>46</v>
      </c>
      <c r="C14" s="33">
        <v>1045</v>
      </c>
      <c r="D14" s="33">
        <v>1031</v>
      </c>
      <c r="E14" s="23">
        <v>-12</v>
      </c>
      <c r="F14" s="23">
        <v>0</v>
      </c>
      <c r="G14" s="23">
        <v>-8</v>
      </c>
      <c r="H14" s="23">
        <v>0</v>
      </c>
      <c r="I14" s="23">
        <v>6</v>
      </c>
      <c r="J14" s="23">
        <v>0</v>
      </c>
      <c r="K14" s="23">
        <f t="shared" si="0"/>
        <v>-14</v>
      </c>
      <c r="L14" s="33">
        <f t="shared" si="1"/>
        <v>0</v>
      </c>
      <c r="M14" s="33">
        <f t="shared" si="2"/>
        <v>-14</v>
      </c>
      <c r="N14" s="33">
        <v>1031</v>
      </c>
      <c r="O14" s="33">
        <v>1617</v>
      </c>
      <c r="P14" s="33">
        <v>-293</v>
      </c>
      <c r="Q14" s="33">
        <v>1323</v>
      </c>
      <c r="R14" s="33">
        <v>1031</v>
      </c>
      <c r="S14" s="33">
        <f t="shared" si="3"/>
        <v>292</v>
      </c>
      <c r="T14" s="38">
        <f t="shared" si="4"/>
        <v>1.2832201745877789</v>
      </c>
      <c r="U14" s="59">
        <f t="shared" si="5"/>
        <v>743</v>
      </c>
      <c r="V14" s="33">
        <v>-288</v>
      </c>
      <c r="W14" s="33">
        <v>-288</v>
      </c>
      <c r="X14" s="33"/>
      <c r="Y14" s="33"/>
      <c r="Z14" s="42"/>
      <c r="AA14" s="60"/>
      <c r="AB14" s="105"/>
      <c r="AC14" s="93"/>
      <c r="AD14" s="33">
        <f t="shared" si="6"/>
        <v>0</v>
      </c>
      <c r="AE14" s="33">
        <f t="shared" si="7"/>
        <v>1323</v>
      </c>
      <c r="AF14" s="33">
        <f t="shared" si="8"/>
        <v>292</v>
      </c>
      <c r="AH14" s="692" t="s">
        <v>46</v>
      </c>
      <c r="AI14" s="33">
        <v>1323</v>
      </c>
      <c r="AJ14" s="33">
        <v>307</v>
      </c>
    </row>
    <row r="15" spans="2:36"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33">
        <f t="shared" si="8"/>
        <v>14</v>
      </c>
      <c r="AH15" s="692" t="s">
        <v>47</v>
      </c>
      <c r="AI15" s="33">
        <v>181</v>
      </c>
      <c r="AJ15" s="33">
        <v>14</v>
      </c>
    </row>
    <row r="16" spans="2:36"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33">
        <f t="shared" si="8"/>
        <v>-55</v>
      </c>
      <c r="AH16" s="692" t="s">
        <v>48</v>
      </c>
      <c r="AI16" s="33">
        <v>310</v>
      </c>
      <c r="AJ16" s="33">
        <v>-55</v>
      </c>
    </row>
    <row r="17" spans="2:36" ht="13" outlineLevel="2" x14ac:dyDescent="0.3">
      <c r="B17" s="31" t="s">
        <v>49</v>
      </c>
      <c r="C17" s="33">
        <v>602</v>
      </c>
      <c r="D17" s="33">
        <v>640</v>
      </c>
      <c r="E17" s="23">
        <v>43</v>
      </c>
      <c r="F17" s="23">
        <v>0</v>
      </c>
      <c r="G17" s="23">
        <v>-5</v>
      </c>
      <c r="H17" s="23">
        <v>0</v>
      </c>
      <c r="I17" s="23">
        <v>0</v>
      </c>
      <c r="J17" s="23">
        <v>0</v>
      </c>
      <c r="K17" s="23">
        <f t="shared" si="0"/>
        <v>38</v>
      </c>
      <c r="L17" s="33">
        <f t="shared" si="1"/>
        <v>0</v>
      </c>
      <c r="M17" s="33">
        <f t="shared" si="2"/>
        <v>38</v>
      </c>
      <c r="N17" s="33">
        <v>640</v>
      </c>
      <c r="O17" s="33">
        <v>820</v>
      </c>
      <c r="P17" s="33">
        <v>-328</v>
      </c>
      <c r="Q17" s="33">
        <v>492</v>
      </c>
      <c r="R17" s="33">
        <v>640</v>
      </c>
      <c r="S17" s="33">
        <f t="shared" si="3"/>
        <v>-148</v>
      </c>
      <c r="T17" s="38">
        <f t="shared" si="4"/>
        <v>0.76875000000000004</v>
      </c>
      <c r="U17" s="59">
        <f t="shared" si="5"/>
        <v>542</v>
      </c>
      <c r="V17" s="33">
        <v>-98</v>
      </c>
      <c r="W17" s="33">
        <v>-98</v>
      </c>
      <c r="X17" s="33"/>
      <c r="Y17" s="33"/>
      <c r="Z17" s="42"/>
      <c r="AA17" s="60"/>
      <c r="AB17" s="105">
        <v>30</v>
      </c>
      <c r="AC17" s="93"/>
      <c r="AD17" s="33">
        <f t="shared" si="6"/>
        <v>30</v>
      </c>
      <c r="AE17" s="33">
        <f>Q17+AD17</f>
        <v>522</v>
      </c>
      <c r="AF17" s="33">
        <f t="shared" si="8"/>
        <v>-118</v>
      </c>
      <c r="AH17" s="692" t="s">
        <v>49</v>
      </c>
      <c r="AI17" s="33">
        <v>522</v>
      </c>
      <c r="AJ17" s="33">
        <v>-118</v>
      </c>
    </row>
    <row r="18" spans="2:36" ht="13" outlineLevel="2" x14ac:dyDescent="0.3">
      <c r="B18" s="31" t="s">
        <v>50</v>
      </c>
      <c r="C18" s="33">
        <v>393</v>
      </c>
      <c r="D18" s="33">
        <v>154</v>
      </c>
      <c r="E18" s="23">
        <v>0</v>
      </c>
      <c r="F18" s="23">
        <v>0</v>
      </c>
      <c r="G18" s="23">
        <v>4</v>
      </c>
      <c r="H18" s="23">
        <v>0</v>
      </c>
      <c r="I18" s="23">
        <v>-242</v>
      </c>
      <c r="J18" s="23">
        <v>-30</v>
      </c>
      <c r="K18" s="23">
        <f t="shared" si="0"/>
        <v>-268</v>
      </c>
      <c r="L18" s="33">
        <f t="shared" si="1"/>
        <v>-30</v>
      </c>
      <c r="M18" s="33">
        <f t="shared" si="2"/>
        <v>-269</v>
      </c>
      <c r="N18" s="33">
        <v>124</v>
      </c>
      <c r="O18" s="33">
        <v>177</v>
      </c>
      <c r="P18" s="33">
        <v>-58</v>
      </c>
      <c r="Q18" s="33">
        <v>119</v>
      </c>
      <c r="R18" s="33">
        <v>124</v>
      </c>
      <c r="S18" s="33">
        <f t="shared" si="3"/>
        <v>-5</v>
      </c>
      <c r="T18" s="38">
        <f t="shared" si="4"/>
        <v>0.95967741935483875</v>
      </c>
      <c r="U18" s="59">
        <f t="shared" si="5"/>
        <v>127</v>
      </c>
      <c r="V18" s="33">
        <v>3</v>
      </c>
      <c r="W18" s="33">
        <v>3</v>
      </c>
      <c r="X18" s="33"/>
      <c r="Y18" s="33"/>
      <c r="Z18" s="42"/>
      <c r="AA18" s="60"/>
      <c r="AB18" s="105"/>
      <c r="AC18" s="93">
        <v>25</v>
      </c>
      <c r="AD18" s="33">
        <f t="shared" si="6"/>
        <v>25</v>
      </c>
      <c r="AE18" s="33">
        <f>Q18+AD18</f>
        <v>144</v>
      </c>
      <c r="AF18" s="33">
        <f t="shared" si="8"/>
        <v>20</v>
      </c>
      <c r="AH18" s="692" t="s">
        <v>50</v>
      </c>
      <c r="AI18" s="33">
        <v>144</v>
      </c>
      <c r="AJ18" s="33">
        <v>20</v>
      </c>
    </row>
    <row r="19" spans="2:36"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33">
        <f t="shared" si="8"/>
        <v>-141</v>
      </c>
      <c r="AH19" s="692" t="s">
        <v>51</v>
      </c>
      <c r="AI19" s="33">
        <v>765</v>
      </c>
      <c r="AJ19" s="33">
        <v>-141</v>
      </c>
    </row>
    <row r="20" spans="2:36" ht="13" outlineLevel="2" x14ac:dyDescent="0.3">
      <c r="B20" s="31" t="s">
        <v>52</v>
      </c>
      <c r="C20" s="33">
        <v>481</v>
      </c>
      <c r="D20" s="33">
        <v>475</v>
      </c>
      <c r="E20" s="23">
        <v>13</v>
      </c>
      <c r="F20" s="23">
        <v>0</v>
      </c>
      <c r="G20" s="23">
        <v>-3</v>
      </c>
      <c r="H20" s="23">
        <v>0</v>
      </c>
      <c r="I20" s="23">
        <v>-16</v>
      </c>
      <c r="J20" s="23">
        <v>0</v>
      </c>
      <c r="K20" s="23">
        <f t="shared" si="0"/>
        <v>-6</v>
      </c>
      <c r="L20" s="33">
        <f t="shared" si="1"/>
        <v>0</v>
      </c>
      <c r="M20" s="33">
        <f t="shared" si="2"/>
        <v>-6</v>
      </c>
      <c r="N20" s="33">
        <v>475</v>
      </c>
      <c r="O20" s="33">
        <v>976</v>
      </c>
      <c r="P20" s="33">
        <v>-551</v>
      </c>
      <c r="Q20" s="33">
        <v>425</v>
      </c>
      <c r="R20" s="33">
        <v>475</v>
      </c>
      <c r="S20" s="33">
        <f t="shared" si="3"/>
        <v>-50</v>
      </c>
      <c r="T20" s="38">
        <f t="shared" si="4"/>
        <v>0.89473684210526316</v>
      </c>
      <c r="U20" s="59">
        <f t="shared" si="5"/>
        <v>526</v>
      </c>
      <c r="V20" s="33">
        <v>51</v>
      </c>
      <c r="W20" s="33">
        <v>51</v>
      </c>
      <c r="X20" s="33"/>
      <c r="Y20" s="33"/>
      <c r="Z20" s="42"/>
      <c r="AA20" s="60"/>
      <c r="AB20" s="105">
        <v>53</v>
      </c>
      <c r="AC20" s="93"/>
      <c r="AD20" s="33">
        <f t="shared" si="6"/>
        <v>53</v>
      </c>
      <c r="AE20" s="33">
        <f t="shared" si="7"/>
        <v>478</v>
      </c>
      <c r="AF20" s="33">
        <f t="shared" si="8"/>
        <v>3</v>
      </c>
      <c r="AH20" s="692" t="s">
        <v>52</v>
      </c>
      <c r="AI20" s="33">
        <v>478</v>
      </c>
      <c r="AJ20" s="33">
        <v>3</v>
      </c>
    </row>
    <row r="21" spans="2:36" ht="13" outlineLevel="2" x14ac:dyDescent="0.3">
      <c r="B21" s="31" t="s">
        <v>53</v>
      </c>
      <c r="C21" s="33">
        <v>1168</v>
      </c>
      <c r="D21" s="33">
        <v>1452</v>
      </c>
      <c r="E21" s="23">
        <v>0</v>
      </c>
      <c r="F21" s="23">
        <v>-90</v>
      </c>
      <c r="G21" s="23">
        <v>-4</v>
      </c>
      <c r="H21" s="23">
        <v>0</v>
      </c>
      <c r="I21" s="23">
        <v>288</v>
      </c>
      <c r="J21" s="23">
        <v>-15</v>
      </c>
      <c r="K21" s="23">
        <f t="shared" si="0"/>
        <v>179</v>
      </c>
      <c r="L21" s="33">
        <f t="shared" si="1"/>
        <v>-105</v>
      </c>
      <c r="M21" s="33">
        <f t="shared" si="2"/>
        <v>179</v>
      </c>
      <c r="N21" s="33">
        <v>1347</v>
      </c>
      <c r="O21" s="33">
        <v>1324</v>
      </c>
      <c r="P21" s="33">
        <v>-53</v>
      </c>
      <c r="Q21" s="33">
        <v>1270</v>
      </c>
      <c r="R21" s="33">
        <v>1347</v>
      </c>
      <c r="S21" s="33">
        <f t="shared" si="3"/>
        <v>-77</v>
      </c>
      <c r="T21" s="38">
        <f t="shared" si="4"/>
        <v>0.94283593170007429</v>
      </c>
      <c r="U21" s="59">
        <f t="shared" si="5"/>
        <v>1294</v>
      </c>
      <c r="V21" s="33">
        <v>-53</v>
      </c>
      <c r="W21" s="33">
        <v>-53</v>
      </c>
      <c r="X21" s="33"/>
      <c r="Y21" s="33"/>
      <c r="Z21" s="42"/>
      <c r="AA21" s="60"/>
      <c r="AB21" s="105"/>
      <c r="AC21" s="93"/>
      <c r="AD21" s="33">
        <f t="shared" si="6"/>
        <v>0</v>
      </c>
      <c r="AE21" s="33">
        <f t="shared" si="7"/>
        <v>1270</v>
      </c>
      <c r="AF21" s="33">
        <f>AE21-N21</f>
        <v>-77</v>
      </c>
      <c r="AH21" s="692" t="s">
        <v>53</v>
      </c>
      <c r="AI21" s="33">
        <v>1270</v>
      </c>
      <c r="AJ21" s="33">
        <v>-77</v>
      </c>
    </row>
    <row r="22" spans="2:36" ht="13" outlineLevel="2" x14ac:dyDescent="0.3">
      <c r="B22" s="31" t="s">
        <v>54</v>
      </c>
      <c r="C22" s="33">
        <v>0</v>
      </c>
      <c r="D22" s="33">
        <v>4</v>
      </c>
      <c r="E22" s="23">
        <v>0</v>
      </c>
      <c r="F22" s="23">
        <v>0</v>
      </c>
      <c r="G22" s="23">
        <v>4</v>
      </c>
      <c r="H22" s="23">
        <v>0</v>
      </c>
      <c r="I22" s="23">
        <v>0</v>
      </c>
      <c r="J22" s="23">
        <v>0</v>
      </c>
      <c r="K22" s="23">
        <f t="shared" si="0"/>
        <v>4</v>
      </c>
      <c r="L22" s="33">
        <f t="shared" si="1"/>
        <v>0</v>
      </c>
      <c r="M22" s="33">
        <f t="shared" si="2"/>
        <v>4</v>
      </c>
      <c r="N22" s="33">
        <v>4</v>
      </c>
      <c r="O22" s="33">
        <v>976</v>
      </c>
      <c r="P22" s="33">
        <v>-913</v>
      </c>
      <c r="Q22" s="33">
        <v>63</v>
      </c>
      <c r="R22" s="33">
        <v>4</v>
      </c>
      <c r="S22" s="33">
        <f t="shared" si="3"/>
        <v>59</v>
      </c>
      <c r="T22" s="38">
        <f t="shared" si="4"/>
        <v>15.75</v>
      </c>
      <c r="U22" s="59">
        <f t="shared" si="5"/>
        <v>4</v>
      </c>
      <c r="V22" s="33">
        <v>0</v>
      </c>
      <c r="W22" s="33">
        <v>0</v>
      </c>
      <c r="X22" s="33"/>
      <c r="Y22" s="33"/>
      <c r="Z22" s="42"/>
      <c r="AA22" s="60"/>
      <c r="AB22" s="105"/>
      <c r="AC22" s="93">
        <v>56</v>
      </c>
      <c r="AD22" s="33">
        <f t="shared" si="6"/>
        <v>56</v>
      </c>
      <c r="AE22" s="33">
        <f t="shared" si="7"/>
        <v>119</v>
      </c>
      <c r="AF22" s="33">
        <f t="shared" si="8"/>
        <v>115</v>
      </c>
      <c r="AH22" s="692" t="s">
        <v>54</v>
      </c>
      <c r="AI22" s="33">
        <v>119</v>
      </c>
      <c r="AJ22" s="33">
        <v>115</v>
      </c>
    </row>
    <row r="23" spans="2:36" ht="13" outlineLevel="1" x14ac:dyDescent="0.3">
      <c r="B23" s="32" t="s">
        <v>55</v>
      </c>
      <c r="C23" s="34">
        <f t="shared" ref="C23:J23" si="13">SUBTOTAL(9,C14:C22)</f>
        <v>5010</v>
      </c>
      <c r="D23" s="34">
        <f t="shared" si="13"/>
        <v>5194</v>
      </c>
      <c r="E23" s="24">
        <f t="shared" si="13"/>
        <v>75</v>
      </c>
      <c r="F23" s="24">
        <f t="shared" si="13"/>
        <v>-90</v>
      </c>
      <c r="G23" s="24">
        <f t="shared" si="13"/>
        <v>-32</v>
      </c>
      <c r="H23" s="24">
        <f t="shared" si="13"/>
        <v>0</v>
      </c>
      <c r="I23" s="24">
        <f t="shared" si="13"/>
        <v>140</v>
      </c>
      <c r="J23" s="24">
        <f t="shared" si="13"/>
        <v>-45</v>
      </c>
      <c r="K23" s="24">
        <f>SUM(E23:J23)</f>
        <v>48</v>
      </c>
      <c r="L23" s="34">
        <f t="shared" ref="L23:L24" si="14">N23-D23</f>
        <v>-135</v>
      </c>
      <c r="M23" s="34">
        <f t="shared" ref="M23:M24" si="15">N23-C23</f>
        <v>49</v>
      </c>
      <c r="N23" s="34">
        <f>SUBTOTAL(9,N14:N22)</f>
        <v>5059</v>
      </c>
      <c r="O23" s="34">
        <f>SUBTOTAL(9,O14:O22)</f>
        <v>8367</v>
      </c>
      <c r="P23" s="34">
        <f>SUBTOTAL(9,P14:P22)</f>
        <v>-3418</v>
      </c>
      <c r="Q23" s="34">
        <f>SUBTOTAL(9,Q14:Q22)</f>
        <v>4948</v>
      </c>
      <c r="R23" s="34">
        <f>SUBTOTAL(9,R14:R22)</f>
        <v>5059</v>
      </c>
      <c r="S23" s="34">
        <f>Q23-R23</f>
        <v>-111</v>
      </c>
      <c r="T23" s="38">
        <f>IFERROR((Q23/N23)*100%,"∞")</f>
        <v>0.97805890492192138</v>
      </c>
      <c r="U23" s="59">
        <f>N23+V23</f>
        <v>4576</v>
      </c>
      <c r="V23" s="34">
        <f>SUBTOTAL(9,V14:V22)</f>
        <v>-483</v>
      </c>
      <c r="W23" s="34">
        <f>SUBTOTAL(9,W14:W22)</f>
        <v>-483</v>
      </c>
      <c r="X23" s="34"/>
      <c r="Y23" s="34"/>
      <c r="Z23" s="41"/>
      <c r="AA23" s="60"/>
      <c r="AB23" s="102">
        <f>SUBTOTAL(9,AB1:AB22)</f>
        <v>83</v>
      </c>
      <c r="AC23" s="34">
        <f>SUBTOTAL(9,AC1:AC22)</f>
        <v>81</v>
      </c>
      <c r="AD23" s="34"/>
      <c r="AE23" s="34"/>
      <c r="AF23" s="34"/>
      <c r="AH23" s="693" t="s">
        <v>55</v>
      </c>
      <c r="AI23" s="33"/>
      <c r="AJ23" s="33"/>
    </row>
    <row r="24" spans="2:36" ht="13.5" customHeight="1" thickBot="1" x14ac:dyDescent="0.35">
      <c r="B24" s="53" t="s">
        <v>56</v>
      </c>
      <c r="C24" s="35">
        <f t="shared" ref="C24:J24" si="16">SUBTOTAL(9,C5:C23)</f>
        <v>10442</v>
      </c>
      <c r="D24" s="35">
        <f t="shared" si="16"/>
        <v>10533</v>
      </c>
      <c r="E24" s="25">
        <f t="shared" si="16"/>
        <v>99</v>
      </c>
      <c r="F24" s="25">
        <f t="shared" si="16"/>
        <v>-1088</v>
      </c>
      <c r="G24" s="25">
        <f t="shared" si="16"/>
        <v>-95</v>
      </c>
      <c r="H24" s="25">
        <f t="shared" si="16"/>
        <v>-28</v>
      </c>
      <c r="I24" s="25">
        <f t="shared" si="16"/>
        <v>102</v>
      </c>
      <c r="J24" s="25">
        <f t="shared" si="16"/>
        <v>-60</v>
      </c>
      <c r="K24" s="25">
        <f>SUM(E24:J24)</f>
        <v>-1070</v>
      </c>
      <c r="L24" s="35">
        <f t="shared" si="14"/>
        <v>-1166</v>
      </c>
      <c r="M24" s="35">
        <f t="shared" si="15"/>
        <v>-1075</v>
      </c>
      <c r="N24" s="35">
        <f>SUBTOTAL(9,N5:N23)</f>
        <v>9367</v>
      </c>
      <c r="O24" s="35">
        <f>SUBTOTAL(9,O5:O23)</f>
        <v>22482</v>
      </c>
      <c r="P24" s="35">
        <f>SUBTOTAL(9,P5:P23)</f>
        <v>-12475</v>
      </c>
      <c r="Q24" s="35">
        <f>SUBTOTAL(9,Q5:Q23)</f>
        <v>10004</v>
      </c>
      <c r="R24" s="35">
        <f>SUBTOTAL(9,R5:R23)</f>
        <v>9367</v>
      </c>
      <c r="S24" s="702">
        <f>Q24-R24</f>
        <v>637</v>
      </c>
      <c r="T24" s="39">
        <f>IFERROR((Q24/N24)*100%,"∞")</f>
        <v>1.0680046973417316</v>
      </c>
      <c r="U24" s="54">
        <f>N24+V24</f>
        <v>8903</v>
      </c>
      <c r="V24" s="35">
        <f>SUBTOTAL(9,V5:V23)</f>
        <v>-464</v>
      </c>
      <c r="W24" s="35">
        <f>SUBTOTAL(9,W5:W23)</f>
        <v>-464</v>
      </c>
      <c r="X24" s="35"/>
      <c r="Y24" s="35"/>
      <c r="Z24" s="43"/>
      <c r="AA24" s="60"/>
      <c r="AB24" s="104">
        <f>SUBTOTAL(9,AB1:AB23)</f>
        <v>83</v>
      </c>
      <c r="AC24" s="104">
        <f>SUBTOTAL(9,AC1:AC23)</f>
        <v>81</v>
      </c>
      <c r="AD24" s="35">
        <f>SUM(AB24:AC24)</f>
        <v>164</v>
      </c>
      <c r="AE24" s="35">
        <f>Q24+AD24</f>
        <v>10168</v>
      </c>
      <c r="AF24" s="35">
        <f>AE24-N24</f>
        <v>801</v>
      </c>
      <c r="AH24" s="694" t="s">
        <v>56</v>
      </c>
      <c r="AI24" s="35">
        <v>10168</v>
      </c>
      <c r="AJ24" s="702">
        <v>268</v>
      </c>
    </row>
    <row r="25" spans="2:36"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33">
        <f>AE25-N25</f>
        <v>1</v>
      </c>
      <c r="AH25" s="692" t="s">
        <v>57</v>
      </c>
      <c r="AI25" s="33">
        <v>1421</v>
      </c>
      <c r="AJ25" s="33">
        <v>1</v>
      </c>
    </row>
    <row r="26" spans="2:36" ht="13" outlineLevel="2" x14ac:dyDescent="0.3">
      <c r="B26" s="31" t="s">
        <v>58</v>
      </c>
      <c r="C26" s="33">
        <v>-10723</v>
      </c>
      <c r="D26" s="33">
        <v>-10871</v>
      </c>
      <c r="E26" s="23">
        <v>0</v>
      </c>
      <c r="F26" s="23">
        <v>147</v>
      </c>
      <c r="G26" s="23">
        <v>-28</v>
      </c>
      <c r="H26" s="23">
        <v>0</v>
      </c>
      <c r="I26" s="23">
        <v>-120</v>
      </c>
      <c r="J26" s="23">
        <v>-30</v>
      </c>
      <c r="K26" s="23">
        <f t="shared" si="0"/>
        <v>-31</v>
      </c>
      <c r="L26" s="33">
        <f t="shared" si="1"/>
        <v>116</v>
      </c>
      <c r="M26" s="33">
        <f t="shared" si="2"/>
        <v>-32</v>
      </c>
      <c r="N26" s="33">
        <v>-10755</v>
      </c>
      <c r="O26" s="33">
        <v>2279</v>
      </c>
      <c r="P26" s="33">
        <v>-13419</v>
      </c>
      <c r="Q26" s="33">
        <v>-11140</v>
      </c>
      <c r="R26" s="33">
        <v>-10755</v>
      </c>
      <c r="S26" s="33">
        <f t="shared" si="3"/>
        <v>-385</v>
      </c>
      <c r="T26" s="38">
        <f t="shared" si="4"/>
        <v>1.0357973035797303</v>
      </c>
      <c r="U26" s="59">
        <f t="shared" si="5"/>
        <v>-9638</v>
      </c>
      <c r="V26" s="33">
        <v>1117</v>
      </c>
      <c r="W26" s="33">
        <v>1117</v>
      </c>
      <c r="X26" s="33"/>
      <c r="Y26" s="33"/>
      <c r="Z26" s="42"/>
      <c r="AA26" s="60"/>
      <c r="AB26" s="105"/>
      <c r="AC26" s="93"/>
      <c r="AD26" s="33">
        <f t="shared" si="6"/>
        <v>0</v>
      </c>
      <c r="AE26" s="33">
        <f t="shared" si="7"/>
        <v>-11140</v>
      </c>
      <c r="AF26" s="33">
        <f t="shared" ref="AF26:AF27" si="17">AE26-N26</f>
        <v>-385</v>
      </c>
      <c r="AH26" s="692" t="s">
        <v>58</v>
      </c>
      <c r="AI26" s="33">
        <v>-11140</v>
      </c>
      <c r="AJ26" s="33">
        <v>-385</v>
      </c>
    </row>
    <row r="27" spans="2:36"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33">
        <f t="shared" si="17"/>
        <v>-42</v>
      </c>
      <c r="AH27" s="692" t="s">
        <v>59</v>
      </c>
      <c r="AI27" s="33">
        <v>167</v>
      </c>
      <c r="AJ27" s="33">
        <v>-42</v>
      </c>
    </row>
    <row r="28" spans="2:36" s="661" customFormat="1" ht="13" outlineLevel="1" x14ac:dyDescent="0.3">
      <c r="B28" s="703" t="s">
        <v>61</v>
      </c>
      <c r="C28" s="704">
        <f t="shared" ref="C28:J28" si="18">SUBTOTAL(9,C25:C27)</f>
        <v>-9068</v>
      </c>
      <c r="D28" s="704">
        <f t="shared" si="18"/>
        <v>-9242</v>
      </c>
      <c r="E28" s="705">
        <f t="shared" si="18"/>
        <v>0</v>
      </c>
      <c r="F28" s="705">
        <f t="shared" si="18"/>
        <v>147</v>
      </c>
      <c r="G28" s="705">
        <f t="shared" si="18"/>
        <v>-59</v>
      </c>
      <c r="H28" s="705">
        <f t="shared" si="18"/>
        <v>0</v>
      </c>
      <c r="I28" s="705">
        <f t="shared" si="18"/>
        <v>-114</v>
      </c>
      <c r="J28" s="705">
        <f t="shared" si="18"/>
        <v>-30</v>
      </c>
      <c r="K28" s="705">
        <f>SUM(E28:J28)</f>
        <v>-56</v>
      </c>
      <c r="L28" s="704">
        <f t="shared" ref="L28" si="19">N28-D28</f>
        <v>116</v>
      </c>
      <c r="M28" s="704">
        <f t="shared" ref="M28" si="20">N28-C28</f>
        <v>-58</v>
      </c>
      <c r="N28" s="704">
        <f>SUBTOTAL(9,N25:N27)</f>
        <v>-9126</v>
      </c>
      <c r="O28" s="704">
        <f>SUBTOTAL(9,O25:O27)</f>
        <v>4920</v>
      </c>
      <c r="P28" s="704">
        <f>SUBTOTAL(9,P25:P27)</f>
        <v>-14472</v>
      </c>
      <c r="Q28" s="704">
        <f>SUBTOTAL(9,Q25:Q27)</f>
        <v>-9552</v>
      </c>
      <c r="R28" s="704">
        <f>SUBTOTAL(9,R25:R27)</f>
        <v>-9126</v>
      </c>
      <c r="S28" s="704">
        <f>Q28-R28</f>
        <v>-426</v>
      </c>
      <c r="T28" s="706">
        <f>IFERROR((Q28/N28)*100%,"∞")</f>
        <v>1.0466798159105852</v>
      </c>
      <c r="U28" s="707">
        <f>N28+V28</f>
        <v>-7859</v>
      </c>
      <c r="V28" s="704">
        <f>SUBTOTAL(9,V25:V27)</f>
        <v>1267</v>
      </c>
      <c r="W28" s="704">
        <f>SUBTOTAL(9,W25:W27)</f>
        <v>1267</v>
      </c>
      <c r="X28" s="704"/>
      <c r="Y28" s="704"/>
      <c r="Z28" s="708"/>
      <c r="AA28" s="709"/>
      <c r="AB28" s="710">
        <f>SUBTOTAL(9,AB25:AB27)</f>
        <v>0</v>
      </c>
      <c r="AC28" s="704">
        <f t="shared" ref="AC28" si="21">SUBTOTAL(9,AC25:AC27)</f>
        <v>0</v>
      </c>
      <c r="AD28" s="704"/>
      <c r="AE28" s="704">
        <f>SUBTOTAL(9,AE25:AE27)</f>
        <v>-9552</v>
      </c>
      <c r="AF28" s="704">
        <f>SUBTOTAL(9,AF25:AF27)</f>
        <v>-426</v>
      </c>
      <c r="AH28" s="711" t="s">
        <v>61</v>
      </c>
      <c r="AI28" s="712">
        <v>-9552</v>
      </c>
      <c r="AJ28" s="712">
        <v>-426</v>
      </c>
    </row>
    <row r="29" spans="2:36" ht="13" outlineLevel="2" x14ac:dyDescent="0.3">
      <c r="B29" s="31" t="s">
        <v>62</v>
      </c>
      <c r="C29" s="33">
        <v>333</v>
      </c>
      <c r="D29" s="33">
        <v>409</v>
      </c>
      <c r="E29" s="23">
        <v>50</v>
      </c>
      <c r="F29" s="23">
        <v>58</v>
      </c>
      <c r="G29" s="23">
        <v>20</v>
      </c>
      <c r="H29" s="23">
        <v>0</v>
      </c>
      <c r="I29" s="23">
        <v>6</v>
      </c>
      <c r="J29" s="23">
        <v>0</v>
      </c>
      <c r="K29" s="23">
        <f t="shared" si="0"/>
        <v>134</v>
      </c>
      <c r="L29" s="33">
        <f t="shared" si="1"/>
        <v>58</v>
      </c>
      <c r="M29" s="33">
        <f t="shared" si="2"/>
        <v>134</v>
      </c>
      <c r="N29" s="33">
        <v>467</v>
      </c>
      <c r="O29" s="33">
        <v>931</v>
      </c>
      <c r="P29" s="33">
        <v>-353</v>
      </c>
      <c r="Q29" s="33">
        <v>578</v>
      </c>
      <c r="R29" s="33">
        <v>467</v>
      </c>
      <c r="S29" s="33">
        <f t="shared" si="3"/>
        <v>111</v>
      </c>
      <c r="T29" s="38">
        <f t="shared" si="4"/>
        <v>1.2376873661670236</v>
      </c>
      <c r="U29" s="59">
        <f t="shared" si="5"/>
        <v>467</v>
      </c>
      <c r="V29" s="33">
        <v>0</v>
      </c>
      <c r="W29" s="33">
        <v>0</v>
      </c>
      <c r="X29" s="33"/>
      <c r="Y29" s="33"/>
      <c r="Z29" s="42"/>
      <c r="AA29" s="60"/>
      <c r="AB29" s="105"/>
      <c r="AC29" s="93"/>
      <c r="AD29" s="33">
        <f t="shared" si="6"/>
        <v>0</v>
      </c>
      <c r="AE29" s="33">
        <f t="shared" si="7"/>
        <v>578</v>
      </c>
      <c r="AF29" s="33">
        <f t="shared" si="8"/>
        <v>111</v>
      </c>
      <c r="AH29" s="692" t="s">
        <v>62</v>
      </c>
      <c r="AI29" s="33">
        <v>578</v>
      </c>
      <c r="AJ29" s="33">
        <v>111</v>
      </c>
    </row>
    <row r="30" spans="2:36"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33">
        <f t="shared" si="8"/>
        <v>-89</v>
      </c>
      <c r="AH30" s="692" t="s">
        <v>63</v>
      </c>
      <c r="AI30" s="33">
        <v>289</v>
      </c>
      <c r="AJ30" s="33">
        <v>-89</v>
      </c>
    </row>
    <row r="31" spans="2:36"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33">
        <f t="shared" si="8"/>
        <v>1</v>
      </c>
      <c r="AH31" s="692" t="s">
        <v>64</v>
      </c>
      <c r="AI31" s="33">
        <v>59</v>
      </c>
      <c r="AJ31" s="33">
        <v>1</v>
      </c>
    </row>
    <row r="32" spans="2:36" s="661" customFormat="1" ht="13" outlineLevel="1" x14ac:dyDescent="0.3">
      <c r="B32" s="703" t="s">
        <v>65</v>
      </c>
      <c r="C32" s="704">
        <f t="shared" ref="C32:J32" si="22">SUBTOTAL(9,C29:C31)</f>
        <v>782</v>
      </c>
      <c r="D32" s="704">
        <f t="shared" si="22"/>
        <v>845</v>
      </c>
      <c r="E32" s="705">
        <f t="shared" si="22"/>
        <v>50</v>
      </c>
      <c r="F32" s="705">
        <f t="shared" si="22"/>
        <v>58</v>
      </c>
      <c r="G32" s="705">
        <f t="shared" si="22"/>
        <v>6</v>
      </c>
      <c r="H32" s="705">
        <f t="shared" si="22"/>
        <v>0</v>
      </c>
      <c r="I32" s="705">
        <f t="shared" si="22"/>
        <v>6</v>
      </c>
      <c r="J32" s="705">
        <f t="shared" si="22"/>
        <v>0</v>
      </c>
      <c r="K32" s="705">
        <f>SUM(E32:J32)</f>
        <v>120</v>
      </c>
      <c r="L32" s="704">
        <f t="shared" ref="L32" si="23">N32-D32</f>
        <v>58</v>
      </c>
      <c r="M32" s="704">
        <f t="shared" ref="M32" si="24">N32-C32</f>
        <v>121</v>
      </c>
      <c r="N32" s="704">
        <f>SUBTOTAL(9,N29:N31)</f>
        <v>903</v>
      </c>
      <c r="O32" s="704">
        <f>SUBTOTAL(9,O29:O31)</f>
        <v>1309</v>
      </c>
      <c r="P32" s="704">
        <f>SUBTOTAL(9,P29:P31)</f>
        <v>-383</v>
      </c>
      <c r="Q32" s="704">
        <f>SUBTOTAL(9,Q29:Q31)</f>
        <v>926</v>
      </c>
      <c r="R32" s="704">
        <f>SUBTOTAL(9,R29:R31)</f>
        <v>903</v>
      </c>
      <c r="S32" s="704">
        <f>Q32-R32</f>
        <v>23</v>
      </c>
      <c r="T32" s="706">
        <f>IFERROR((Q32/N32)*100%,"∞")</f>
        <v>1.0254706533776301</v>
      </c>
      <c r="U32" s="707">
        <f>N32+V32</f>
        <v>903</v>
      </c>
      <c r="V32" s="704">
        <f>SUBTOTAL(9,V29:V31)</f>
        <v>0</v>
      </c>
      <c r="W32" s="704">
        <f>SUBTOTAL(9,W29:W31)</f>
        <v>0</v>
      </c>
      <c r="X32" s="704"/>
      <c r="Y32" s="704"/>
      <c r="Z32" s="708"/>
      <c r="AA32" s="709"/>
      <c r="AB32" s="710">
        <f t="shared" ref="AB32:AC32" si="25">SUBTOTAL(9,AB29:AB31)</f>
        <v>0</v>
      </c>
      <c r="AC32" s="704">
        <f t="shared" si="25"/>
        <v>0</v>
      </c>
      <c r="AD32" s="704"/>
      <c r="AE32" s="712">
        <f>Q33+AD33</f>
        <v>-696</v>
      </c>
      <c r="AF32" s="712">
        <f>SUM(AF29:AF31)</f>
        <v>23</v>
      </c>
      <c r="AH32" s="711" t="s">
        <v>65</v>
      </c>
      <c r="AI32" s="712">
        <v>926</v>
      </c>
      <c r="AJ32" s="712">
        <v>23</v>
      </c>
    </row>
    <row r="33" spans="2:36"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33">
        <f>AE32-N33</f>
        <v>-33</v>
      </c>
      <c r="AH33" s="692" t="s">
        <v>66</v>
      </c>
      <c r="AI33" s="33">
        <v>-696</v>
      </c>
      <c r="AJ33" s="33">
        <v>-33</v>
      </c>
    </row>
    <row r="34" spans="2:36" ht="13" outlineLevel="2" x14ac:dyDescent="0.3">
      <c r="B34" s="31" t="s">
        <v>67</v>
      </c>
      <c r="C34" s="33">
        <v>184</v>
      </c>
      <c r="D34" s="33">
        <v>179</v>
      </c>
      <c r="E34" s="23">
        <v>0</v>
      </c>
      <c r="F34" s="23">
        <v>-4</v>
      </c>
      <c r="G34" s="23">
        <v>-4</v>
      </c>
      <c r="H34" s="23">
        <v>0</v>
      </c>
      <c r="I34" s="23">
        <v>0</v>
      </c>
      <c r="J34" s="23">
        <v>30</v>
      </c>
      <c r="K34" s="23">
        <f t="shared" si="0"/>
        <v>22</v>
      </c>
      <c r="L34" s="33">
        <f t="shared" si="1"/>
        <v>26</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33">
        <f t="shared" si="8"/>
        <v>-75</v>
      </c>
      <c r="AH34" s="692" t="s">
        <v>67</v>
      </c>
      <c r="AI34" s="33">
        <v>130</v>
      </c>
      <c r="AJ34" s="33">
        <v>-75</v>
      </c>
    </row>
    <row r="35" spans="2:36"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33">
        <f t="shared" si="8"/>
        <v>-19</v>
      </c>
      <c r="AH35" s="692" t="s">
        <v>68</v>
      </c>
      <c r="AI35" s="33">
        <v>-211</v>
      </c>
      <c r="AJ35" s="33">
        <v>-19</v>
      </c>
    </row>
    <row r="36" spans="2:36" ht="13" outlineLevel="2" x14ac:dyDescent="0.3">
      <c r="B36" s="31" t="s">
        <v>69</v>
      </c>
      <c r="C36" s="33">
        <v>1218</v>
      </c>
      <c r="D36" s="33">
        <v>1205</v>
      </c>
      <c r="E36" s="23">
        <v>0</v>
      </c>
      <c r="F36" s="23">
        <v>-2</v>
      </c>
      <c r="G36" s="23">
        <v>-17</v>
      </c>
      <c r="H36" s="23">
        <v>0</v>
      </c>
      <c r="I36" s="23">
        <v>3</v>
      </c>
      <c r="J36" s="23">
        <v>0</v>
      </c>
      <c r="K36" s="23">
        <f t="shared" si="0"/>
        <v>-16</v>
      </c>
      <c r="L36" s="33">
        <f t="shared" si="1"/>
        <v>-2</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33">
        <f t="shared" si="8"/>
        <v>-101</v>
      </c>
      <c r="AH36" s="692" t="s">
        <v>69</v>
      </c>
      <c r="AI36" s="33">
        <v>1102</v>
      </c>
      <c r="AJ36" s="33">
        <v>-101</v>
      </c>
    </row>
    <row r="37" spans="2:36" ht="13" outlineLevel="2" x14ac:dyDescent="0.3">
      <c r="B37" s="31" t="s">
        <v>70</v>
      </c>
      <c r="C37" s="33">
        <v>-49</v>
      </c>
      <c r="D37" s="33">
        <v>7</v>
      </c>
      <c r="E37" s="23">
        <v>0</v>
      </c>
      <c r="F37" s="23">
        <v>-1445</v>
      </c>
      <c r="G37" s="23">
        <v>-43</v>
      </c>
      <c r="H37" s="23">
        <v>0</v>
      </c>
      <c r="I37" s="23">
        <v>83</v>
      </c>
      <c r="J37" s="23">
        <v>-15</v>
      </c>
      <c r="K37" s="23">
        <f t="shared" si="0"/>
        <v>-1420</v>
      </c>
      <c r="L37" s="33">
        <f t="shared" si="1"/>
        <v>-1460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33">
        <f t="shared" si="8"/>
        <v>96</v>
      </c>
      <c r="AH37" s="692" t="s">
        <v>70</v>
      </c>
      <c r="AI37" s="33">
        <v>-1357</v>
      </c>
      <c r="AJ37" s="33">
        <v>96</v>
      </c>
    </row>
    <row r="38" spans="2:36" s="661" customFormat="1" ht="13" outlineLevel="1" x14ac:dyDescent="0.3">
      <c r="B38" s="703" t="s">
        <v>71</v>
      </c>
      <c r="C38" s="704">
        <f t="shared" ref="C38:J38" si="26">SUBTOTAL(9,C33:C37)</f>
        <v>521</v>
      </c>
      <c r="D38" s="704">
        <f t="shared" si="26"/>
        <v>536</v>
      </c>
      <c r="E38" s="705">
        <f t="shared" si="26"/>
        <v>0</v>
      </c>
      <c r="F38" s="705">
        <f t="shared" si="26"/>
        <v>-1451</v>
      </c>
      <c r="G38" s="705">
        <f t="shared" si="26"/>
        <v>-89</v>
      </c>
      <c r="H38" s="705">
        <f t="shared" si="26"/>
        <v>0</v>
      </c>
      <c r="I38" s="705">
        <f t="shared" si="26"/>
        <v>88</v>
      </c>
      <c r="J38" s="705">
        <f t="shared" si="26"/>
        <v>15</v>
      </c>
      <c r="K38" s="705">
        <f>SUM(E38:J38)</f>
        <v>-1437</v>
      </c>
      <c r="L38" s="704">
        <f t="shared" ref="L38:L39" si="27">N38-D38</f>
        <v>-1436</v>
      </c>
      <c r="M38" s="704">
        <f t="shared" ref="M38:M39" si="28">N38-C38</f>
        <v>-1421</v>
      </c>
      <c r="N38" s="704">
        <f>SUBTOTAL(9,N33:N37)</f>
        <v>-900</v>
      </c>
      <c r="O38" s="704">
        <f>SUBTOTAL(9,O33:O37)</f>
        <v>5341</v>
      </c>
      <c r="P38" s="704">
        <f>SUBTOTAL(9,P33:P37)</f>
        <v>-6372</v>
      </c>
      <c r="Q38" s="704">
        <f>SUBTOTAL(9,Q33:Q37)</f>
        <v>-1032</v>
      </c>
      <c r="R38" s="704">
        <f>SUBTOTAL(9,R33:R37)</f>
        <v>-900</v>
      </c>
      <c r="S38" s="704">
        <f>Q38-R38</f>
        <v>-132</v>
      </c>
      <c r="T38" s="706">
        <f>IFERROR((Q38/N38)*100%,"∞")</f>
        <v>1.1466666666666667</v>
      </c>
      <c r="U38" s="707">
        <f>N38+V38</f>
        <v>-911</v>
      </c>
      <c r="V38" s="704">
        <f>SUBTOTAL(9,V33:V37)</f>
        <v>-11</v>
      </c>
      <c r="W38" s="704">
        <f>SUBTOTAL(9,W33:W37)</f>
        <v>-11</v>
      </c>
      <c r="X38" s="704"/>
      <c r="Y38" s="704"/>
      <c r="Z38" s="708"/>
      <c r="AA38" s="709"/>
      <c r="AB38" s="710">
        <f t="shared" ref="AB38:AC38" si="29">SUBTOTAL(9,AB33:AB37)</f>
        <v>0</v>
      </c>
      <c r="AC38" s="704">
        <f t="shared" si="29"/>
        <v>0</v>
      </c>
      <c r="AD38" s="704"/>
      <c r="AE38" s="704">
        <f>SUM(AE33:AE37)</f>
        <v>-1032</v>
      </c>
      <c r="AF38" s="704">
        <f>SUM(AF33:AF37)</f>
        <v>-132</v>
      </c>
      <c r="AH38" s="711" t="s">
        <v>71</v>
      </c>
      <c r="AI38" s="712">
        <v>-1032</v>
      </c>
      <c r="AJ38" s="712">
        <v>-132</v>
      </c>
    </row>
    <row r="39" spans="2:36" ht="13.5" customHeight="1" thickBot="1" x14ac:dyDescent="0.35">
      <c r="B39" s="713" t="s">
        <v>72</v>
      </c>
      <c r="C39" s="714">
        <f t="shared" ref="C39:J39" si="30">SUBTOTAL(9,C25:C38)</f>
        <v>-7765</v>
      </c>
      <c r="D39" s="714">
        <f t="shared" si="30"/>
        <v>-7861</v>
      </c>
      <c r="E39" s="715">
        <f t="shared" si="30"/>
        <v>50</v>
      </c>
      <c r="F39" s="715">
        <f t="shared" si="30"/>
        <v>-1246</v>
      </c>
      <c r="G39" s="715">
        <f t="shared" si="30"/>
        <v>-142</v>
      </c>
      <c r="H39" s="715">
        <f t="shared" si="30"/>
        <v>0</v>
      </c>
      <c r="I39" s="715">
        <f t="shared" si="30"/>
        <v>-20</v>
      </c>
      <c r="J39" s="715">
        <f t="shared" si="30"/>
        <v>-15</v>
      </c>
      <c r="K39" s="715">
        <f>SUM(E39:J39)</f>
        <v>-1373</v>
      </c>
      <c r="L39" s="714">
        <f t="shared" si="27"/>
        <v>-1262</v>
      </c>
      <c r="M39" s="714">
        <f t="shared" si="28"/>
        <v>-1358</v>
      </c>
      <c r="N39" s="714">
        <f>SUBTOTAL(9,N25:N38)</f>
        <v>-9123</v>
      </c>
      <c r="O39" s="714">
        <f>SUBTOTAL(9,O25:O38)</f>
        <v>11570</v>
      </c>
      <c r="P39" s="714">
        <f>SUBTOTAL(9,P25:P38)</f>
        <v>-21227</v>
      </c>
      <c r="Q39" s="714">
        <f>SUBTOTAL(9,Q25:Q38)</f>
        <v>-9658</v>
      </c>
      <c r="R39" s="714">
        <f>SUBTOTAL(9,R25:R38)</f>
        <v>-9123</v>
      </c>
      <c r="S39" s="714">
        <f>Q39-R39</f>
        <v>-535</v>
      </c>
      <c r="T39" s="716">
        <f>IFERROR((Q39/N39)*100%,"∞")</f>
        <v>1.0586429902444372</v>
      </c>
      <c r="U39" s="717">
        <f>N39+V39</f>
        <v>-7867</v>
      </c>
      <c r="V39" s="714">
        <f>SUBTOTAL(9,V25:V38)</f>
        <v>1256</v>
      </c>
      <c r="W39" s="714">
        <f>SUBTOTAL(9,W25:W38)</f>
        <v>1256</v>
      </c>
      <c r="X39" s="714"/>
      <c r="Y39" s="714"/>
      <c r="Z39" s="718"/>
      <c r="AA39" s="60"/>
      <c r="AB39" s="719">
        <f t="shared" ref="AB39:AC39" si="31">SUBTOTAL(9,AB25:AB38)</f>
        <v>0</v>
      </c>
      <c r="AC39" s="719">
        <f t="shared" si="31"/>
        <v>0</v>
      </c>
      <c r="AD39" s="714">
        <f>SUM(AB39:AC39)</f>
        <v>0</v>
      </c>
      <c r="AE39" s="714">
        <f>Q39+AD39</f>
        <v>-9658</v>
      </c>
      <c r="AF39" s="714">
        <f>AE39-N39</f>
        <v>-535</v>
      </c>
      <c r="AH39" s="720" t="s">
        <v>72</v>
      </c>
      <c r="AI39" s="33">
        <v>-9658</v>
      </c>
      <c r="AJ39" s="33">
        <v>-535</v>
      </c>
    </row>
    <row r="40" spans="2:36"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v>5</v>
      </c>
      <c r="AC40" s="93"/>
      <c r="AD40" s="33">
        <f t="shared" si="6"/>
        <v>5</v>
      </c>
      <c r="AE40" s="33">
        <f t="shared" si="7"/>
        <v>134</v>
      </c>
      <c r="AF40" s="33">
        <f>AE40-N40</f>
        <v>6</v>
      </c>
      <c r="AH40" s="692" t="s">
        <v>73</v>
      </c>
      <c r="AI40" s="33">
        <v>134</v>
      </c>
      <c r="AJ40" s="33">
        <v>6</v>
      </c>
    </row>
    <row r="41" spans="2:36" ht="13" outlineLevel="2" x14ac:dyDescent="0.3">
      <c r="B41" s="31" t="s">
        <v>74</v>
      </c>
      <c r="C41" s="33">
        <v>431</v>
      </c>
      <c r="D41" s="33">
        <v>417</v>
      </c>
      <c r="E41" s="23">
        <v>0</v>
      </c>
      <c r="F41" s="23">
        <v>0</v>
      </c>
      <c r="G41" s="23">
        <v>-13</v>
      </c>
      <c r="H41" s="23">
        <v>0</v>
      </c>
      <c r="I41" s="23">
        <v>0</v>
      </c>
      <c r="J41" s="23">
        <v>0</v>
      </c>
      <c r="K41" s="23">
        <f t="shared" si="0"/>
        <v>-13</v>
      </c>
      <c r="L41" s="33">
        <f t="shared" si="1"/>
        <v>0</v>
      </c>
      <c r="M41" s="33">
        <f t="shared" si="2"/>
        <v>-14</v>
      </c>
      <c r="N41" s="33">
        <v>417</v>
      </c>
      <c r="O41" s="33">
        <v>465</v>
      </c>
      <c r="P41" s="33">
        <v>-39</v>
      </c>
      <c r="Q41" s="33">
        <v>426</v>
      </c>
      <c r="R41" s="33">
        <v>417</v>
      </c>
      <c r="S41" s="33">
        <f t="shared" si="3"/>
        <v>9</v>
      </c>
      <c r="T41" s="38">
        <f t="shared" si="4"/>
        <v>1.0215827338129497</v>
      </c>
      <c r="U41" s="59">
        <f t="shared" si="5"/>
        <v>424</v>
      </c>
      <c r="V41" s="33">
        <v>7</v>
      </c>
      <c r="W41" s="33">
        <v>7</v>
      </c>
      <c r="X41" s="33"/>
      <c r="Y41" s="33"/>
      <c r="Z41" s="42"/>
      <c r="AA41" s="60"/>
      <c r="AB41" s="105"/>
      <c r="AC41" s="93">
        <v>-49</v>
      </c>
      <c r="AD41" s="33">
        <f t="shared" si="6"/>
        <v>-49</v>
      </c>
      <c r="AE41" s="33">
        <f t="shared" si="7"/>
        <v>377</v>
      </c>
      <c r="AF41" s="33">
        <f t="shared" si="8"/>
        <v>-40</v>
      </c>
      <c r="AH41" s="692" t="s">
        <v>74</v>
      </c>
      <c r="AI41" s="33">
        <v>377</v>
      </c>
      <c r="AJ41" s="33">
        <v>-40</v>
      </c>
    </row>
    <row r="42" spans="2:36"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33">
        <f t="shared" si="8"/>
        <v>-66</v>
      </c>
      <c r="AH42" s="692" t="s">
        <v>75</v>
      </c>
      <c r="AI42" s="33">
        <v>271</v>
      </c>
      <c r="AJ42" s="33">
        <v>-66</v>
      </c>
    </row>
    <row r="43" spans="2:36" s="661" customFormat="1" ht="13" outlineLevel="1" x14ac:dyDescent="0.3">
      <c r="B43" s="703" t="s">
        <v>76</v>
      </c>
      <c r="C43" s="704">
        <f t="shared" ref="C43:J43" si="32">SUBTOTAL(9,C40:C42)</f>
        <v>907</v>
      </c>
      <c r="D43" s="704">
        <f t="shared" si="32"/>
        <v>882</v>
      </c>
      <c r="E43" s="705">
        <f t="shared" si="32"/>
        <v>0</v>
      </c>
      <c r="F43" s="705">
        <f t="shared" si="32"/>
        <v>0</v>
      </c>
      <c r="G43" s="705">
        <f t="shared" si="32"/>
        <v>-22</v>
      </c>
      <c r="H43" s="705">
        <f t="shared" si="32"/>
        <v>0</v>
      </c>
      <c r="I43" s="705">
        <f t="shared" si="32"/>
        <v>-1</v>
      </c>
      <c r="J43" s="705">
        <f t="shared" si="32"/>
        <v>0</v>
      </c>
      <c r="K43" s="705">
        <f>SUM(E43:J43)</f>
        <v>-23</v>
      </c>
      <c r="L43" s="704">
        <f t="shared" ref="L43" si="33">N43-D43</f>
        <v>0</v>
      </c>
      <c r="M43" s="704">
        <f t="shared" ref="M43" si="34">N43-C43</f>
        <v>-25</v>
      </c>
      <c r="N43" s="704">
        <f>SUBTOTAL(9,N40:N42)</f>
        <v>882</v>
      </c>
      <c r="O43" s="704">
        <f>SUBTOTAL(9,O40:O42)</f>
        <v>883</v>
      </c>
      <c r="P43" s="704">
        <f>SUBTOTAL(9,P40:P42)</f>
        <v>-57</v>
      </c>
      <c r="Q43" s="704">
        <f>SUBTOTAL(9,Q40:Q42)</f>
        <v>826</v>
      </c>
      <c r="R43" s="704">
        <f>SUBTOTAL(9,R40:R42)</f>
        <v>882</v>
      </c>
      <c r="S43" s="704">
        <f>Q43-R43</f>
        <v>-56</v>
      </c>
      <c r="T43" s="706">
        <f>IFERROR((Q43/N43)*100%,"∞")</f>
        <v>0.93650793650793651</v>
      </c>
      <c r="U43" s="707">
        <f>N43+V43</f>
        <v>824</v>
      </c>
      <c r="V43" s="704">
        <f>SUBTOTAL(9,V40:V42)</f>
        <v>-58</v>
      </c>
      <c r="W43" s="704">
        <f>SUBTOTAL(9,W40:W42)</f>
        <v>-58</v>
      </c>
      <c r="X43" s="704"/>
      <c r="Y43" s="704"/>
      <c r="Z43" s="708"/>
      <c r="AA43" s="709"/>
      <c r="AB43" s="704"/>
      <c r="AC43" s="704"/>
      <c r="AD43" s="704"/>
      <c r="AE43" s="704">
        <f>SUM(AE40:AE42)</f>
        <v>782</v>
      </c>
      <c r="AF43" s="704">
        <f>SUM(AF40:AF42)</f>
        <v>-100</v>
      </c>
      <c r="AH43" s="711" t="s">
        <v>76</v>
      </c>
      <c r="AI43" s="712">
        <v>782</v>
      </c>
      <c r="AJ43" s="712">
        <v>-100</v>
      </c>
    </row>
    <row r="44" spans="2:36" ht="13" outlineLevel="2" x14ac:dyDescent="0.3">
      <c r="B44" s="31" t="s">
        <v>77</v>
      </c>
      <c r="C44" s="33">
        <v>509</v>
      </c>
      <c r="D44" s="33">
        <v>543</v>
      </c>
      <c r="E44" s="23">
        <v>44</v>
      </c>
      <c r="F44" s="23">
        <v>-136</v>
      </c>
      <c r="G44" s="23">
        <v>-8</v>
      </c>
      <c r="H44" s="23">
        <v>0</v>
      </c>
      <c r="I44" s="23">
        <v>-2</v>
      </c>
      <c r="J44" s="23">
        <v>0</v>
      </c>
      <c r="K44" s="23">
        <f t="shared" si="0"/>
        <v>-102</v>
      </c>
      <c r="L44" s="33">
        <f t="shared" si="1"/>
        <v>-135</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ref="AE44:AE46" si="35">Q44+AD44</f>
        <v>346</v>
      </c>
      <c r="AF44" s="33">
        <f t="shared" ref="AF44:AF46" si="36">AE44-N44</f>
        <v>-62</v>
      </c>
      <c r="AH44" s="692" t="s">
        <v>77</v>
      </c>
      <c r="AI44" s="33">
        <v>346</v>
      </c>
      <c r="AJ44" s="33">
        <v>-62</v>
      </c>
    </row>
    <row r="45" spans="2:36" ht="13" outlineLevel="2" x14ac:dyDescent="0.3">
      <c r="B45" s="31" t="s">
        <v>78</v>
      </c>
      <c r="C45" s="33">
        <v>370</v>
      </c>
      <c r="D45" s="33">
        <v>277</v>
      </c>
      <c r="E45" s="23">
        <v>-63</v>
      </c>
      <c r="F45" s="23">
        <v>-27</v>
      </c>
      <c r="G45" s="23">
        <v>-6</v>
      </c>
      <c r="H45" s="23">
        <v>0</v>
      </c>
      <c r="I45" s="23">
        <v>-25</v>
      </c>
      <c r="J45" s="23">
        <v>0</v>
      </c>
      <c r="K45" s="23">
        <f t="shared" si="0"/>
        <v>-121</v>
      </c>
      <c r="L45" s="33">
        <f t="shared" si="1"/>
        <v>-27</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35"/>
        <v>256</v>
      </c>
      <c r="AF45" s="33">
        <f t="shared" si="36"/>
        <v>6</v>
      </c>
      <c r="AH45" s="692" t="s">
        <v>78</v>
      </c>
      <c r="AI45" s="33">
        <v>256</v>
      </c>
      <c r="AJ45" s="33">
        <v>6</v>
      </c>
    </row>
    <row r="46" spans="2:36" ht="13" outlineLevel="2" x14ac:dyDescent="0.3">
      <c r="B46" s="31" t="s">
        <v>79</v>
      </c>
      <c r="C46" s="33">
        <v>251</v>
      </c>
      <c r="D46" s="33">
        <v>327</v>
      </c>
      <c r="E46" s="23">
        <v>92</v>
      </c>
      <c r="F46" s="23">
        <v>-386</v>
      </c>
      <c r="G46" s="23">
        <v>-12</v>
      </c>
      <c r="H46" s="23">
        <v>0</v>
      </c>
      <c r="I46" s="23">
        <v>-4</v>
      </c>
      <c r="J46" s="23">
        <v>0</v>
      </c>
      <c r="K46" s="23">
        <f t="shared" si="0"/>
        <v>-310</v>
      </c>
      <c r="L46" s="33">
        <f t="shared" si="1"/>
        <v>-386</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35"/>
        <v>-43</v>
      </c>
      <c r="AF46" s="33">
        <f t="shared" si="36"/>
        <v>16</v>
      </c>
      <c r="AH46" s="692" t="s">
        <v>79</v>
      </c>
      <c r="AI46" s="33">
        <v>-43</v>
      </c>
      <c r="AJ46" s="33">
        <v>16</v>
      </c>
    </row>
    <row r="47" spans="2:36" s="661" customFormat="1" ht="13" outlineLevel="1" x14ac:dyDescent="0.3">
      <c r="B47" s="703" t="s">
        <v>80</v>
      </c>
      <c r="C47" s="704">
        <f t="shared" ref="C47:J47" si="37">SUBTOTAL(9,C44:C46)</f>
        <v>1130</v>
      </c>
      <c r="D47" s="704">
        <f t="shared" si="37"/>
        <v>1147</v>
      </c>
      <c r="E47" s="705">
        <f t="shared" si="37"/>
        <v>73</v>
      </c>
      <c r="F47" s="705">
        <f t="shared" si="37"/>
        <v>-549</v>
      </c>
      <c r="G47" s="705">
        <f t="shared" si="37"/>
        <v>-26</v>
      </c>
      <c r="H47" s="705">
        <f t="shared" si="37"/>
        <v>0</v>
      </c>
      <c r="I47" s="705">
        <f t="shared" si="37"/>
        <v>-31</v>
      </c>
      <c r="J47" s="705">
        <f t="shared" si="37"/>
        <v>0</v>
      </c>
      <c r="K47" s="705">
        <f>SUM(E47:J47)</f>
        <v>-533</v>
      </c>
      <c r="L47" s="704">
        <f t="shared" ref="L47:L48" si="38">N47-D47</f>
        <v>-548</v>
      </c>
      <c r="M47" s="704">
        <f t="shared" ref="M47:M48" si="39">N47-C47</f>
        <v>-531</v>
      </c>
      <c r="N47" s="704">
        <f>SUBTOTAL(9,N44:N46)</f>
        <v>599</v>
      </c>
      <c r="O47" s="704">
        <f>SUBTOTAL(9,O44:O46)</f>
        <v>2018</v>
      </c>
      <c r="P47" s="704">
        <f>SUBTOTAL(9,P44:P46)</f>
        <v>-1459</v>
      </c>
      <c r="Q47" s="704">
        <f>SUBTOTAL(9,Q44:Q46)</f>
        <v>559</v>
      </c>
      <c r="R47" s="704">
        <f>SUBTOTAL(9,R44:R46)</f>
        <v>599</v>
      </c>
      <c r="S47" s="704">
        <f>Q47-R47</f>
        <v>-40</v>
      </c>
      <c r="T47" s="706">
        <f>IFERROR((Q47/N47)*100%,"∞")</f>
        <v>0.93322203672787984</v>
      </c>
      <c r="U47" s="707">
        <f>N47+V47</f>
        <v>561</v>
      </c>
      <c r="V47" s="704">
        <f>SUBTOTAL(9,V44:V46)</f>
        <v>-38</v>
      </c>
      <c r="W47" s="704">
        <f>SUBTOTAL(9,W44:W46)</f>
        <v>-38</v>
      </c>
      <c r="X47" s="704"/>
      <c r="Y47" s="704"/>
      <c r="Z47" s="708"/>
      <c r="AA47" s="709"/>
      <c r="AB47" s="710">
        <f>SUM(AB44:AB46)</f>
        <v>0</v>
      </c>
      <c r="AC47" s="710">
        <f>SUM(AC44:AC46)</f>
        <v>0</v>
      </c>
      <c r="AD47" s="704"/>
      <c r="AE47" s="704">
        <f>SUM(AE44:AE46)</f>
        <v>559</v>
      </c>
      <c r="AF47" s="704">
        <f>SUM(AF44:AF46)</f>
        <v>-40</v>
      </c>
      <c r="AH47" s="711" t="s">
        <v>80</v>
      </c>
      <c r="AI47" s="712">
        <v>559</v>
      </c>
      <c r="AJ47" s="712">
        <v>-40</v>
      </c>
    </row>
    <row r="48" spans="2:36" ht="13.5" customHeight="1" thickBot="1" x14ac:dyDescent="0.35">
      <c r="B48" s="713" t="s">
        <v>81</v>
      </c>
      <c r="C48" s="714">
        <f t="shared" ref="C48:J48" si="40">SUBTOTAL(9,C40:C47)</f>
        <v>2037</v>
      </c>
      <c r="D48" s="714">
        <f t="shared" si="40"/>
        <v>2029</v>
      </c>
      <c r="E48" s="715">
        <f t="shared" si="40"/>
        <v>73</v>
      </c>
      <c r="F48" s="715">
        <f t="shared" si="40"/>
        <v>-549</v>
      </c>
      <c r="G48" s="715">
        <f t="shared" si="40"/>
        <v>-48</v>
      </c>
      <c r="H48" s="715">
        <f t="shared" si="40"/>
        <v>0</v>
      </c>
      <c r="I48" s="715">
        <f t="shared" si="40"/>
        <v>-32</v>
      </c>
      <c r="J48" s="715">
        <f t="shared" si="40"/>
        <v>0</v>
      </c>
      <c r="K48" s="715">
        <f>SUM(E48:J48)</f>
        <v>-556</v>
      </c>
      <c r="L48" s="714">
        <f t="shared" si="38"/>
        <v>-548</v>
      </c>
      <c r="M48" s="714">
        <f t="shared" si="39"/>
        <v>-556</v>
      </c>
      <c r="N48" s="714">
        <f>SUBTOTAL(9,N40:N47)</f>
        <v>1481</v>
      </c>
      <c r="O48" s="714">
        <f>SUBTOTAL(9,O40:O47)</f>
        <v>2901</v>
      </c>
      <c r="P48" s="714">
        <f>SUBTOTAL(9,P40:P47)</f>
        <v>-1516</v>
      </c>
      <c r="Q48" s="714">
        <f>SUBTOTAL(9,Q40:Q47)</f>
        <v>1385</v>
      </c>
      <c r="R48" s="714">
        <f>SUBTOTAL(9,R40:R47)</f>
        <v>1481</v>
      </c>
      <c r="S48" s="714">
        <f>Q48-R48</f>
        <v>-96</v>
      </c>
      <c r="T48" s="716">
        <f>IFERROR((Q48/N48)*100%,"∞")</f>
        <v>0.93517893315327483</v>
      </c>
      <c r="U48" s="717">
        <f>N48+V48</f>
        <v>1385</v>
      </c>
      <c r="V48" s="714">
        <f>SUBTOTAL(9,V40:V47)</f>
        <v>-96</v>
      </c>
      <c r="W48" s="714">
        <f>SUBTOTAL(9,W40:W47)</f>
        <v>-96</v>
      </c>
      <c r="X48" s="714"/>
      <c r="Y48" s="714"/>
      <c r="Z48" s="718"/>
      <c r="AA48" s="60"/>
      <c r="AB48" s="35">
        <f>SUBTOTAL(9,AB40:AB47)</f>
        <v>5</v>
      </c>
      <c r="AC48" s="35">
        <f>SUBTOTAL(9,AC40:AC47)</f>
        <v>-49</v>
      </c>
      <c r="AD48" s="714">
        <f>SUM(AB48:AC48)</f>
        <v>-44</v>
      </c>
      <c r="AE48" s="714">
        <f>Q48+AD48</f>
        <v>1341</v>
      </c>
      <c r="AF48" s="714">
        <f>AE48-N48</f>
        <v>-140</v>
      </c>
      <c r="AH48" s="720" t="s">
        <v>81</v>
      </c>
      <c r="AI48" s="33">
        <v>1341</v>
      </c>
      <c r="AJ48" s="33">
        <v>-140</v>
      </c>
    </row>
    <row r="49" spans="2:36"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ref="AE49:AE58" si="41">Q49+AD49</f>
        <v>-1752</v>
      </c>
      <c r="AF49" s="33">
        <f t="shared" ref="AF49:AF58" si="42">AE49-N49</f>
        <v>252</v>
      </c>
      <c r="AH49" s="692" t="s">
        <v>82</v>
      </c>
      <c r="AI49" s="33">
        <v>-1758</v>
      </c>
      <c r="AJ49" s="33">
        <v>246</v>
      </c>
    </row>
    <row r="50" spans="2:36"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41"/>
        <v>6343</v>
      </c>
      <c r="AF50" s="33">
        <f t="shared" si="42"/>
        <v>146</v>
      </c>
      <c r="AH50" s="692" t="s">
        <v>83</v>
      </c>
      <c r="AI50" s="33">
        <v>6343</v>
      </c>
      <c r="AJ50" s="33">
        <v>146</v>
      </c>
    </row>
    <row r="51" spans="2:36"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41"/>
        <v>6074</v>
      </c>
      <c r="AF51" s="33">
        <f t="shared" si="42"/>
        <v>-30</v>
      </c>
      <c r="AH51" s="692" t="s">
        <v>84</v>
      </c>
      <c r="AI51" s="33">
        <v>6074</v>
      </c>
      <c r="AJ51" s="33">
        <v>-30</v>
      </c>
    </row>
    <row r="52" spans="2:36"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41"/>
        <v>3418</v>
      </c>
      <c r="AF52" s="33">
        <f t="shared" si="42"/>
        <v>-6</v>
      </c>
      <c r="AH52" s="692" t="s">
        <v>85</v>
      </c>
      <c r="AI52" s="33">
        <v>3418</v>
      </c>
      <c r="AJ52" s="33">
        <v>-6</v>
      </c>
    </row>
    <row r="53" spans="2:36"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41"/>
        <v>258</v>
      </c>
      <c r="AF53" s="33">
        <f t="shared" si="42"/>
        <v>0</v>
      </c>
      <c r="AH53" s="692" t="s">
        <v>86</v>
      </c>
      <c r="AI53" s="33">
        <v>258</v>
      </c>
      <c r="AJ53" s="33">
        <v>0</v>
      </c>
    </row>
    <row r="54" spans="2:36"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41"/>
        <v>89</v>
      </c>
      <c r="AF54" s="33">
        <f t="shared" si="42"/>
        <v>89</v>
      </c>
      <c r="AH54" s="692" t="s">
        <v>87</v>
      </c>
      <c r="AI54" s="33">
        <v>89</v>
      </c>
      <c r="AJ54" s="33">
        <v>89</v>
      </c>
    </row>
    <row r="55" spans="2:36"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41"/>
        <v>316</v>
      </c>
      <c r="AF55" s="33">
        <f t="shared" si="42"/>
        <v>137</v>
      </c>
      <c r="AH55" s="692" t="s">
        <v>88</v>
      </c>
      <c r="AI55" s="33">
        <v>316</v>
      </c>
      <c r="AJ55" s="33">
        <v>137</v>
      </c>
    </row>
    <row r="56" spans="2:36"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-35</v>
      </c>
      <c r="P56" s="33">
        <v>-610</v>
      </c>
      <c r="Q56" s="33">
        <v>-644</v>
      </c>
      <c r="R56" s="33">
        <v>-903</v>
      </c>
      <c r="S56" s="33">
        <f t="shared" si="3"/>
        <v>259</v>
      </c>
      <c r="T56" s="38">
        <f t="shared" si="4"/>
        <v>0.71317829457364346</v>
      </c>
      <c r="U56" s="59">
        <f t="shared" si="5"/>
        <v>-903</v>
      </c>
      <c r="V56" s="33">
        <v>0</v>
      </c>
      <c r="W56" s="33">
        <v>0</v>
      </c>
      <c r="X56" s="33"/>
      <c r="Y56" s="33"/>
      <c r="Z56" s="42"/>
      <c r="AA56" s="60"/>
      <c r="AB56" s="105"/>
      <c r="AC56" s="93"/>
      <c r="AD56" s="33">
        <f t="shared" si="6"/>
        <v>0</v>
      </c>
      <c r="AE56" s="33">
        <f t="shared" si="41"/>
        <v>-644</v>
      </c>
      <c r="AF56" s="33">
        <f t="shared" si="42"/>
        <v>259</v>
      </c>
      <c r="AH56" s="692" t="s">
        <v>89</v>
      </c>
      <c r="AI56" s="33">
        <v>-644</v>
      </c>
      <c r="AJ56" s="33">
        <v>259</v>
      </c>
    </row>
    <row r="57" spans="2:36"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41"/>
        <v>149</v>
      </c>
      <c r="AF57" s="33">
        <f t="shared" si="42"/>
        <v>2</v>
      </c>
      <c r="AH57" s="692" t="s">
        <v>90</v>
      </c>
      <c r="AI57" s="33">
        <v>149</v>
      </c>
      <c r="AJ57" s="33">
        <v>2</v>
      </c>
    </row>
    <row r="58" spans="2:36"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41"/>
        <v>46</v>
      </c>
      <c r="AF58" s="33">
        <f t="shared" si="42"/>
        <v>37</v>
      </c>
      <c r="AH58" s="692" t="s">
        <v>91</v>
      </c>
      <c r="AI58" s="33">
        <v>46</v>
      </c>
      <c r="AJ58" s="33">
        <v>37</v>
      </c>
    </row>
    <row r="59" spans="2:36" s="661" customFormat="1" ht="13" outlineLevel="1" x14ac:dyDescent="0.3">
      <c r="B59" s="703" t="s">
        <v>92</v>
      </c>
      <c r="C59" s="704">
        <f t="shared" ref="C59:J59" si="43">SUBTOTAL(9,C49:C58)</f>
        <v>13051</v>
      </c>
      <c r="D59" s="704">
        <f t="shared" si="43"/>
        <v>13411</v>
      </c>
      <c r="E59" s="705">
        <f t="shared" si="43"/>
        <v>0</v>
      </c>
      <c r="F59" s="705">
        <f t="shared" si="43"/>
        <v>0</v>
      </c>
      <c r="G59" s="705">
        <f t="shared" si="43"/>
        <v>362</v>
      </c>
      <c r="H59" s="705">
        <f t="shared" si="43"/>
        <v>0</v>
      </c>
      <c r="I59" s="705">
        <f t="shared" si="43"/>
        <v>0</v>
      </c>
      <c r="J59" s="705">
        <f t="shared" si="43"/>
        <v>0</v>
      </c>
      <c r="K59" s="705">
        <f>SUM(E59:J59)</f>
        <v>362</v>
      </c>
      <c r="L59" s="704">
        <f t="shared" ref="L59:L60" si="44">N59-D59</f>
        <v>0</v>
      </c>
      <c r="M59" s="704">
        <f t="shared" ref="M59:M60" si="45">N59-C59</f>
        <v>360</v>
      </c>
      <c r="N59" s="704">
        <f>SUBTOTAL(9,N49:N58)</f>
        <v>13411</v>
      </c>
      <c r="O59" s="704">
        <f>SUBTOTAL(9,O49:O58)</f>
        <v>24879</v>
      </c>
      <c r="P59" s="704">
        <f>SUBTOTAL(9,P49:P58)</f>
        <v>-10583</v>
      </c>
      <c r="Q59" s="704">
        <f>SUBTOTAL(9,Q49:Q58)</f>
        <v>14297</v>
      </c>
      <c r="R59" s="704">
        <f>SUBTOTAL(9,R49:R58)</f>
        <v>13411</v>
      </c>
      <c r="S59" s="704">
        <f>Q59-R59</f>
        <v>886</v>
      </c>
      <c r="T59" s="706">
        <f>IFERROR((Q59/N59)*100%,"∞")</f>
        <v>1.0660651703825219</v>
      </c>
      <c r="U59" s="707">
        <f>N59+V59</f>
        <v>13411</v>
      </c>
      <c r="V59" s="704">
        <f>SUBTOTAL(9,V49:V58)</f>
        <v>0</v>
      </c>
      <c r="W59" s="704">
        <f>SUBTOTAL(9,W49:W58)</f>
        <v>0</v>
      </c>
      <c r="X59" s="704"/>
      <c r="Y59" s="704"/>
      <c r="Z59" s="708"/>
      <c r="AA59" s="709"/>
      <c r="AB59" s="710">
        <f>SUBTOTAL(9,AB1:AB58)</f>
        <v>88</v>
      </c>
      <c r="AC59" s="704">
        <f>SUBTOTAL(9,AC1:AC58)</f>
        <v>32</v>
      </c>
      <c r="AD59" s="704"/>
      <c r="AE59" s="704">
        <f>SUM(AE49:AE58)</f>
        <v>14297</v>
      </c>
      <c r="AF59" s="704">
        <f>SUM(AF49:AF58)</f>
        <v>886</v>
      </c>
      <c r="AH59" s="711" t="s">
        <v>92</v>
      </c>
      <c r="AI59" s="712">
        <v>14291</v>
      </c>
      <c r="AJ59" s="712">
        <v>880</v>
      </c>
    </row>
    <row r="60" spans="2:36" s="726" customFormat="1" ht="13.5" customHeight="1" thickBot="1" x14ac:dyDescent="0.35">
      <c r="B60" s="53" t="s">
        <v>93</v>
      </c>
      <c r="C60" s="35">
        <f t="shared" ref="C60:J60" si="46">SUBTOTAL(9,C49:C59)</f>
        <v>13051</v>
      </c>
      <c r="D60" s="35">
        <f t="shared" si="46"/>
        <v>13411</v>
      </c>
      <c r="E60" s="25">
        <f t="shared" si="46"/>
        <v>0</v>
      </c>
      <c r="F60" s="25">
        <f t="shared" si="46"/>
        <v>0</v>
      </c>
      <c r="G60" s="25">
        <f t="shared" si="46"/>
        <v>362</v>
      </c>
      <c r="H60" s="25">
        <f t="shared" si="46"/>
        <v>0</v>
      </c>
      <c r="I60" s="25">
        <f t="shared" si="46"/>
        <v>0</v>
      </c>
      <c r="J60" s="25">
        <f t="shared" si="46"/>
        <v>0</v>
      </c>
      <c r="K60" s="25">
        <f>SUM(E60:J60)</f>
        <v>362</v>
      </c>
      <c r="L60" s="35">
        <f t="shared" si="44"/>
        <v>0</v>
      </c>
      <c r="M60" s="35">
        <f t="shared" si="45"/>
        <v>360</v>
      </c>
      <c r="N60" s="35">
        <f>SUBTOTAL(9,N49:N59)</f>
        <v>13411</v>
      </c>
      <c r="O60" s="35">
        <f>SUBTOTAL(9,O49:O59)</f>
        <v>24879</v>
      </c>
      <c r="P60" s="35">
        <f>SUBTOTAL(9,P49:P59)</f>
        <v>-10583</v>
      </c>
      <c r="Q60" s="35">
        <f>SUBTOTAL(9,Q49:Q59)</f>
        <v>14297</v>
      </c>
      <c r="R60" s="35">
        <f>SUBTOTAL(9,R49:R59)</f>
        <v>13411</v>
      </c>
      <c r="S60" s="35">
        <f>Q60-R60</f>
        <v>886</v>
      </c>
      <c r="T60" s="39">
        <f>IFERROR((Q60/N60)*100%,"∞")</f>
        <v>1.0660651703825219</v>
      </c>
      <c r="U60" s="54">
        <f>N60+V60</f>
        <v>13411</v>
      </c>
      <c r="V60" s="35">
        <f>SUBTOTAL(9,V49:V59)</f>
        <v>0</v>
      </c>
      <c r="W60" s="35">
        <f>SUBTOTAL(9,W49:W59)</f>
        <v>0</v>
      </c>
      <c r="X60" s="35"/>
      <c r="Y60" s="35"/>
      <c r="Z60" s="43"/>
      <c r="AA60" s="725"/>
      <c r="AB60" s="104">
        <f>SUBTOTAL(9,AB1:AB59)</f>
        <v>88</v>
      </c>
      <c r="AC60" s="104">
        <f>SUBTOTAL(9,AC1:AC59)</f>
        <v>32</v>
      </c>
      <c r="AD60" s="35">
        <f>SUM(AB60:AC60)</f>
        <v>120</v>
      </c>
      <c r="AE60" s="35">
        <f>Q60+AD60</f>
        <v>14417</v>
      </c>
      <c r="AF60" s="35">
        <f>AE60-N60</f>
        <v>1006</v>
      </c>
      <c r="AH60" s="694" t="s">
        <v>93</v>
      </c>
      <c r="AI60" s="728">
        <v>14291</v>
      </c>
      <c r="AJ60" s="728">
        <v>880</v>
      </c>
    </row>
    <row r="61" spans="2:36"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ref="AE61:AE65" si="47">Q61+AD61</f>
        <v>676</v>
      </c>
      <c r="AF61" s="33">
        <f t="shared" ref="AF61:AF65" si="48">AE61-N61</f>
        <v>33</v>
      </c>
      <c r="AH61" s="692" t="s">
        <v>94</v>
      </c>
      <c r="AI61" s="33">
        <v>676</v>
      </c>
      <c r="AJ61" s="33">
        <v>33</v>
      </c>
    </row>
    <row r="62" spans="2:36"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47"/>
        <v>130</v>
      </c>
      <c r="AF62" s="33">
        <f t="shared" si="48"/>
        <v>3</v>
      </c>
      <c r="AH62" s="692" t="s">
        <v>95</v>
      </c>
      <c r="AI62" s="33">
        <v>130</v>
      </c>
      <c r="AJ62" s="33">
        <v>3</v>
      </c>
    </row>
    <row r="63" spans="2:36"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47"/>
        <v>4582</v>
      </c>
      <c r="AF63" s="33">
        <f t="shared" si="48"/>
        <v>202</v>
      </c>
      <c r="AH63" s="692" t="s">
        <v>96</v>
      </c>
      <c r="AI63" s="33">
        <v>4582</v>
      </c>
      <c r="AJ63" s="33">
        <v>202</v>
      </c>
    </row>
    <row r="64" spans="2:36"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47"/>
        <v>2882</v>
      </c>
      <c r="AF64" s="33">
        <f t="shared" si="48"/>
        <v>159</v>
      </c>
      <c r="AH64" s="692" t="s">
        <v>97</v>
      </c>
      <c r="AI64" s="33">
        <v>2882</v>
      </c>
      <c r="AJ64" s="33">
        <v>159</v>
      </c>
    </row>
    <row r="65" spans="2:36" ht="13" outlineLevel="2" x14ac:dyDescent="0.3">
      <c r="B65" s="31" t="s">
        <v>98</v>
      </c>
      <c r="C65" s="33">
        <v>1828</v>
      </c>
      <c r="D65" s="33">
        <v>1884</v>
      </c>
      <c r="E65" s="23">
        <v>124</v>
      </c>
      <c r="F65" s="23">
        <v>0</v>
      </c>
      <c r="G65" s="23">
        <v>-27</v>
      </c>
      <c r="H65" s="23">
        <v>0</v>
      </c>
      <c r="I65" s="23">
        <v>-42</v>
      </c>
      <c r="J65" s="23">
        <v>105</v>
      </c>
      <c r="K65" s="23">
        <f t="shared" si="0"/>
        <v>160</v>
      </c>
      <c r="L65" s="33">
        <f t="shared" si="1"/>
        <v>105</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v>61</v>
      </c>
      <c r="AC65" s="93"/>
      <c r="AD65" s="33">
        <f t="shared" si="6"/>
        <v>61</v>
      </c>
      <c r="AE65" s="33">
        <f t="shared" si="47"/>
        <v>1703</v>
      </c>
      <c r="AF65" s="33">
        <f t="shared" si="48"/>
        <v>-286</v>
      </c>
      <c r="AH65" s="692" t="s">
        <v>98</v>
      </c>
      <c r="AI65" s="33">
        <v>1703</v>
      </c>
      <c r="AJ65" s="33">
        <v>-286</v>
      </c>
    </row>
    <row r="66" spans="2:36" s="661" customFormat="1" ht="13" outlineLevel="1" x14ac:dyDescent="0.3">
      <c r="B66" s="703" t="s">
        <v>100</v>
      </c>
      <c r="C66" s="704">
        <f t="shared" ref="C66:J66" si="49">SUBTOTAL(9,C61:C65)</f>
        <v>9730</v>
      </c>
      <c r="D66" s="704">
        <f t="shared" si="49"/>
        <v>9757</v>
      </c>
      <c r="E66" s="705">
        <f t="shared" si="49"/>
        <v>174</v>
      </c>
      <c r="F66" s="705">
        <f t="shared" si="49"/>
        <v>0</v>
      </c>
      <c r="G66" s="705">
        <f t="shared" si="49"/>
        <v>-107</v>
      </c>
      <c r="H66" s="705">
        <f t="shared" si="49"/>
        <v>0</v>
      </c>
      <c r="I66" s="705">
        <f t="shared" si="49"/>
        <v>-42</v>
      </c>
      <c r="J66" s="705">
        <f t="shared" si="49"/>
        <v>105</v>
      </c>
      <c r="K66" s="705">
        <f>SUM(E66:J66)</f>
        <v>130</v>
      </c>
      <c r="L66" s="704">
        <f t="shared" ref="L66" si="50">N66-D66</f>
        <v>105</v>
      </c>
      <c r="M66" s="704">
        <f>N66-C66</f>
        <v>132</v>
      </c>
      <c r="N66" s="704">
        <f>SUBTOTAL(9,N61:N65)</f>
        <v>9862</v>
      </c>
      <c r="O66" s="704">
        <f>SUBTOTAL(9,O61:O65)</f>
        <v>10045</v>
      </c>
      <c r="P66" s="704">
        <f>SUBTOTAL(9,P61:P65)</f>
        <v>-134</v>
      </c>
      <c r="Q66" s="704">
        <f>SUBTOTAL(9,Q61:Q65)</f>
        <v>9912</v>
      </c>
      <c r="R66" s="704">
        <f>SUBTOTAL(9,R61:R65)</f>
        <v>9862</v>
      </c>
      <c r="S66" s="704">
        <f>Q66-R66</f>
        <v>50</v>
      </c>
      <c r="T66" s="706">
        <f>IFERROR((Q66/N66)*100%,"∞")</f>
        <v>1.0050699655242343</v>
      </c>
      <c r="U66" s="707">
        <f>N66+V66</f>
        <v>9960</v>
      </c>
      <c r="V66" s="704">
        <f>SUBTOTAL(9,V61:V65)</f>
        <v>98</v>
      </c>
      <c r="W66" s="704">
        <f>SUBTOTAL(9,W61:W65)</f>
        <v>98</v>
      </c>
      <c r="X66" s="704"/>
      <c r="Y66" s="704"/>
      <c r="Z66" s="708"/>
      <c r="AA66" s="709"/>
      <c r="AB66" s="710">
        <f t="shared" ref="AB66:AC66" si="51">SUBTOTAL(9,AB61:AB65)</f>
        <v>61</v>
      </c>
      <c r="AC66" s="704">
        <f t="shared" si="51"/>
        <v>0</v>
      </c>
      <c r="AD66" s="704"/>
      <c r="AE66" s="704">
        <f>SUM(AE61:AE65)</f>
        <v>9973</v>
      </c>
      <c r="AF66" s="704">
        <f>SUM(AF61:AF65)</f>
        <v>111</v>
      </c>
      <c r="AH66" s="711" t="s">
        <v>100</v>
      </c>
      <c r="AI66" s="712">
        <v>9973</v>
      </c>
      <c r="AJ66" s="712">
        <v>111</v>
      </c>
    </row>
    <row r="67" spans="2:36"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ref="AE67:AE72" si="52">Q67+AD67</f>
        <v>920</v>
      </c>
      <c r="AF67" s="33">
        <f t="shared" ref="AF67:AF72" si="53">AE67-N67</f>
        <v>-141</v>
      </c>
      <c r="AH67" s="692" t="s">
        <v>101</v>
      </c>
      <c r="AI67" s="33">
        <v>920</v>
      </c>
      <c r="AJ67" s="33">
        <v>-141</v>
      </c>
    </row>
    <row r="68" spans="2:36"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573</v>
      </c>
      <c r="P68" s="33">
        <v>-36</v>
      </c>
      <c r="Q68" s="33">
        <v>538</v>
      </c>
      <c r="R68" s="33">
        <v>230</v>
      </c>
      <c r="S68" s="33">
        <f t="shared" si="3"/>
        <v>308</v>
      </c>
      <c r="T68" s="38">
        <f t="shared" si="4"/>
        <v>2.3391304347826085</v>
      </c>
      <c r="U68" s="59">
        <f t="shared" si="5"/>
        <v>370</v>
      </c>
      <c r="V68" s="33">
        <v>140</v>
      </c>
      <c r="W68" s="33">
        <v>140</v>
      </c>
      <c r="X68" s="33"/>
      <c r="Y68" s="33"/>
      <c r="Z68" s="42"/>
      <c r="AA68" s="60"/>
      <c r="AB68" s="105"/>
      <c r="AC68" s="93"/>
      <c r="AD68" s="33">
        <f t="shared" si="6"/>
        <v>0</v>
      </c>
      <c r="AE68" s="33">
        <f t="shared" si="52"/>
        <v>538</v>
      </c>
      <c r="AF68" s="33">
        <f t="shared" si="53"/>
        <v>308</v>
      </c>
      <c r="AH68" s="692" t="s">
        <v>102</v>
      </c>
      <c r="AI68" s="33">
        <v>538</v>
      </c>
      <c r="AJ68" s="33">
        <v>308</v>
      </c>
    </row>
    <row r="69" spans="2:36" ht="13" outlineLevel="2" x14ac:dyDescent="0.3">
      <c r="B69" s="31" t="s">
        <v>103</v>
      </c>
      <c r="C69" s="33">
        <v>283</v>
      </c>
      <c r="D69" s="33">
        <v>278</v>
      </c>
      <c r="E69" s="23">
        <v>0</v>
      </c>
      <c r="F69" s="23">
        <v>0</v>
      </c>
      <c r="G69" s="23">
        <v>-10</v>
      </c>
      <c r="H69" s="23">
        <v>0</v>
      </c>
      <c r="I69" s="23">
        <v>5</v>
      </c>
      <c r="J69" s="23">
        <v>0</v>
      </c>
      <c r="K69" s="23">
        <f t="shared" ref="K69:K79" si="54">SUM(E69:J69)</f>
        <v>-5</v>
      </c>
      <c r="L69" s="33">
        <f t="shared" ref="L69:L81" si="55">N69-D69</f>
        <v>0</v>
      </c>
      <c r="M69" s="33">
        <f t="shared" ref="M69:M81" si="56">N69-C69</f>
        <v>-5</v>
      </c>
      <c r="N69" s="33">
        <v>278</v>
      </c>
      <c r="O69" s="33">
        <v>578</v>
      </c>
      <c r="P69" s="33">
        <v>-234</v>
      </c>
      <c r="Q69" s="33">
        <v>344</v>
      </c>
      <c r="R69" s="33">
        <v>278</v>
      </c>
      <c r="S69" s="33">
        <f t="shared" ref="S69:S79" si="57">Q69-R69</f>
        <v>66</v>
      </c>
      <c r="T69" s="38">
        <f t="shared" ref="T69:T79" si="58">IFERROR((Q69/N69)*100%,"∞")</f>
        <v>1.2374100719424461</v>
      </c>
      <c r="U69" s="59">
        <f t="shared" ref="U69:U79" si="59">N69+V69</f>
        <v>278</v>
      </c>
      <c r="V69" s="33">
        <v>0</v>
      </c>
      <c r="W69" s="33">
        <v>0</v>
      </c>
      <c r="X69" s="33"/>
      <c r="Y69" s="33"/>
      <c r="Z69" s="42"/>
      <c r="AA69" s="60"/>
      <c r="AB69" s="105"/>
      <c r="AC69" s="93">
        <v>-70</v>
      </c>
      <c r="AD69" s="33">
        <f t="shared" ref="AD69:AD79" si="60">SUM(AB69:AC69)</f>
        <v>-70</v>
      </c>
      <c r="AE69" s="33">
        <f t="shared" si="52"/>
        <v>274</v>
      </c>
      <c r="AF69" s="33">
        <f t="shared" si="53"/>
        <v>-4</v>
      </c>
      <c r="AH69" s="692" t="s">
        <v>103</v>
      </c>
      <c r="AI69" s="33">
        <v>274</v>
      </c>
      <c r="AJ69" s="33">
        <v>-4</v>
      </c>
    </row>
    <row r="70" spans="2:36" ht="13" outlineLevel="2" x14ac:dyDescent="0.3">
      <c r="B70" s="31" t="s">
        <v>104</v>
      </c>
      <c r="C70" s="33">
        <v>494</v>
      </c>
      <c r="D70" s="33">
        <v>491</v>
      </c>
      <c r="E70" s="23">
        <v>0</v>
      </c>
      <c r="F70" s="23">
        <v>0</v>
      </c>
      <c r="G70" s="23">
        <v>-8</v>
      </c>
      <c r="H70" s="23">
        <v>0</v>
      </c>
      <c r="I70" s="23">
        <v>4</v>
      </c>
      <c r="J70" s="23">
        <v>-15</v>
      </c>
      <c r="K70" s="23">
        <f t="shared" si="54"/>
        <v>-19</v>
      </c>
      <c r="L70" s="33">
        <f t="shared" si="55"/>
        <v>-15</v>
      </c>
      <c r="M70" s="33">
        <f t="shared" si="56"/>
        <v>-18</v>
      </c>
      <c r="N70" s="33">
        <v>476</v>
      </c>
      <c r="O70" s="33">
        <v>598</v>
      </c>
      <c r="P70" s="33">
        <v>0</v>
      </c>
      <c r="Q70" s="33">
        <v>598</v>
      </c>
      <c r="R70" s="33">
        <v>476</v>
      </c>
      <c r="S70" s="33">
        <f t="shared" si="57"/>
        <v>122</v>
      </c>
      <c r="T70" s="38">
        <f t="shared" si="58"/>
        <v>1.2563025210084033</v>
      </c>
      <c r="U70" s="59">
        <f t="shared" si="59"/>
        <v>511</v>
      </c>
      <c r="V70" s="33">
        <v>35</v>
      </c>
      <c r="W70" s="33">
        <v>35</v>
      </c>
      <c r="X70" s="33"/>
      <c r="Y70" s="33"/>
      <c r="Z70" s="42"/>
      <c r="AA70" s="60"/>
      <c r="AB70" s="105"/>
      <c r="AC70" s="93">
        <v>-588</v>
      </c>
      <c r="AD70" s="33">
        <f t="shared" si="60"/>
        <v>-588</v>
      </c>
      <c r="AE70" s="33">
        <f t="shared" si="52"/>
        <v>10</v>
      </c>
      <c r="AF70" s="33">
        <f t="shared" si="53"/>
        <v>-466</v>
      </c>
      <c r="AH70" s="692" t="s">
        <v>104</v>
      </c>
      <c r="AI70" s="33">
        <v>10</v>
      </c>
      <c r="AJ70" s="33">
        <v>-466</v>
      </c>
    </row>
    <row r="71" spans="2:36" ht="13" outlineLevel="2" x14ac:dyDescent="0.3">
      <c r="B71" s="31" t="s">
        <v>105</v>
      </c>
      <c r="C71" s="33">
        <v>955</v>
      </c>
      <c r="D71" s="33">
        <v>921</v>
      </c>
      <c r="E71" s="23">
        <v>0</v>
      </c>
      <c r="F71" s="23">
        <v>488</v>
      </c>
      <c r="G71" s="23">
        <v>-35</v>
      </c>
      <c r="H71" s="23">
        <v>0</v>
      </c>
      <c r="I71" s="23">
        <v>2</v>
      </c>
      <c r="J71" s="23">
        <v>-15</v>
      </c>
      <c r="K71" s="23">
        <f t="shared" si="54"/>
        <v>440</v>
      </c>
      <c r="L71" s="33">
        <f t="shared" si="55"/>
        <v>473</v>
      </c>
      <c r="M71" s="33">
        <f t="shared" si="56"/>
        <v>439</v>
      </c>
      <c r="N71" s="33">
        <v>1394</v>
      </c>
      <c r="O71" s="33">
        <v>2729</v>
      </c>
      <c r="P71" s="33">
        <v>-1337</v>
      </c>
      <c r="Q71" s="33">
        <v>1391</v>
      </c>
      <c r="R71" s="33">
        <v>1394</v>
      </c>
      <c r="S71" s="33">
        <f t="shared" si="57"/>
        <v>-3</v>
      </c>
      <c r="T71" s="38">
        <f t="shared" si="58"/>
        <v>0.9978479196556671</v>
      </c>
      <c r="U71" s="59">
        <f t="shared" si="59"/>
        <v>1342</v>
      </c>
      <c r="V71" s="33">
        <v>-52</v>
      </c>
      <c r="W71" s="33">
        <v>-52</v>
      </c>
      <c r="X71" s="33"/>
      <c r="Y71" s="33"/>
      <c r="Z71" s="42"/>
      <c r="AA71" s="60"/>
      <c r="AB71" s="105"/>
      <c r="AC71" s="93"/>
      <c r="AD71" s="33">
        <f t="shared" si="60"/>
        <v>0</v>
      </c>
      <c r="AE71" s="33">
        <f t="shared" si="52"/>
        <v>1391</v>
      </c>
      <c r="AF71" s="33">
        <f t="shared" si="53"/>
        <v>-3</v>
      </c>
      <c r="AH71" s="692" t="s">
        <v>105</v>
      </c>
      <c r="AI71" s="33">
        <v>1391</v>
      </c>
      <c r="AJ71" s="33">
        <v>-3</v>
      </c>
    </row>
    <row r="72" spans="2:36" ht="13" outlineLevel="2" x14ac:dyDescent="0.3">
      <c r="B72" s="31" t="s">
        <v>106</v>
      </c>
      <c r="C72" s="33">
        <v>120</v>
      </c>
      <c r="D72" s="33">
        <v>117</v>
      </c>
      <c r="E72" s="23">
        <v>0</v>
      </c>
      <c r="F72" s="23">
        <v>0</v>
      </c>
      <c r="G72" s="23">
        <v>-3</v>
      </c>
      <c r="H72" s="23">
        <v>0</v>
      </c>
      <c r="I72" s="23">
        <v>0</v>
      </c>
      <c r="J72" s="23">
        <v>0</v>
      </c>
      <c r="K72" s="23">
        <f t="shared" si="54"/>
        <v>-3</v>
      </c>
      <c r="L72" s="33">
        <f t="shared" si="55"/>
        <v>0</v>
      </c>
      <c r="M72" s="33">
        <f t="shared" si="56"/>
        <v>-3</v>
      </c>
      <c r="N72" s="33">
        <v>117</v>
      </c>
      <c r="O72" s="33">
        <v>167</v>
      </c>
      <c r="P72" s="33">
        <v>0</v>
      </c>
      <c r="Q72" s="33">
        <v>166</v>
      </c>
      <c r="R72" s="33">
        <v>117</v>
      </c>
      <c r="S72" s="33">
        <f t="shared" si="57"/>
        <v>49</v>
      </c>
      <c r="T72" s="38">
        <f t="shared" si="58"/>
        <v>1.4188034188034189</v>
      </c>
      <c r="U72" s="59">
        <f t="shared" si="59"/>
        <v>117</v>
      </c>
      <c r="V72" s="33">
        <v>0</v>
      </c>
      <c r="W72" s="33">
        <v>0</v>
      </c>
      <c r="X72" s="33"/>
      <c r="Y72" s="33"/>
      <c r="Z72" s="42"/>
      <c r="AA72" s="60"/>
      <c r="AB72" s="105"/>
      <c r="AC72" s="93"/>
      <c r="AD72" s="33">
        <f t="shared" si="60"/>
        <v>0</v>
      </c>
      <c r="AE72" s="33">
        <f t="shared" si="52"/>
        <v>166</v>
      </c>
      <c r="AF72" s="33">
        <f t="shared" si="53"/>
        <v>49</v>
      </c>
      <c r="AH72" s="692" t="s">
        <v>106</v>
      </c>
      <c r="AI72" s="33">
        <v>166</v>
      </c>
      <c r="AJ72" s="33">
        <v>49</v>
      </c>
    </row>
    <row r="73" spans="2:36" s="661" customFormat="1" ht="13" outlineLevel="1" x14ac:dyDescent="0.3">
      <c r="B73" s="703" t="s">
        <v>107</v>
      </c>
      <c r="C73" s="704">
        <f t="shared" ref="C73:J73" si="61">SUBTOTAL(9,C67:C72)</f>
        <v>3169</v>
      </c>
      <c r="D73" s="704">
        <f t="shared" si="61"/>
        <v>3098</v>
      </c>
      <c r="E73" s="705">
        <f t="shared" si="61"/>
        <v>0</v>
      </c>
      <c r="F73" s="705">
        <f t="shared" si="61"/>
        <v>488</v>
      </c>
      <c r="G73" s="705">
        <f t="shared" si="61"/>
        <v>-84</v>
      </c>
      <c r="H73" s="705">
        <f t="shared" si="61"/>
        <v>0</v>
      </c>
      <c r="I73" s="705">
        <f t="shared" si="61"/>
        <v>13</v>
      </c>
      <c r="J73" s="705">
        <f t="shared" si="61"/>
        <v>-30</v>
      </c>
      <c r="K73" s="705">
        <f>SUM(E73:J73)</f>
        <v>387</v>
      </c>
      <c r="L73" s="704">
        <f t="shared" si="55"/>
        <v>458</v>
      </c>
      <c r="M73" s="704">
        <f t="shared" si="56"/>
        <v>387</v>
      </c>
      <c r="N73" s="704">
        <f>SUBTOTAL(9,N67:N72)</f>
        <v>3556</v>
      </c>
      <c r="O73" s="704">
        <f>SUBTOTAL(9,O67:O72)</f>
        <v>5961</v>
      </c>
      <c r="P73" s="704">
        <f>SUBTOTAL(9,P67:P72)</f>
        <v>-2003</v>
      </c>
      <c r="Q73" s="704">
        <f>SUBTOTAL(9,Q67:Q72)</f>
        <v>3957</v>
      </c>
      <c r="R73" s="704">
        <f>SUBTOTAL(9,R67:R72)</f>
        <v>3556</v>
      </c>
      <c r="S73" s="704">
        <f>Q73-R73</f>
        <v>401</v>
      </c>
      <c r="T73" s="706">
        <f>IFERROR((Q73/N73)*100%,"∞")</f>
        <v>1.1127671541057367</v>
      </c>
      <c r="U73" s="707">
        <f>N73+V73</f>
        <v>3609</v>
      </c>
      <c r="V73" s="704">
        <f>SUBTOTAL(9,V67:V72)</f>
        <v>53</v>
      </c>
      <c r="W73" s="704">
        <f>SUBTOTAL(9,W67:W72)</f>
        <v>53</v>
      </c>
      <c r="X73" s="704"/>
      <c r="Y73" s="704"/>
      <c r="Z73" s="708"/>
      <c r="AA73" s="709"/>
      <c r="AB73" s="34">
        <f t="shared" ref="AB73:AC73" si="62">SUBTOTAL(9,AB67:AB72)</f>
        <v>0</v>
      </c>
      <c r="AC73" s="34">
        <f t="shared" si="62"/>
        <v>-658</v>
      </c>
      <c r="AD73" s="704"/>
      <c r="AE73" s="704">
        <f>SUM(AE67:AE72)</f>
        <v>3299</v>
      </c>
      <c r="AF73" s="704">
        <f>SUM(AF67:AF72)</f>
        <v>-257</v>
      </c>
      <c r="AH73" s="711" t="s">
        <v>107</v>
      </c>
      <c r="AI73" s="712">
        <v>3299</v>
      </c>
      <c r="AJ73" s="712">
        <v>-257</v>
      </c>
    </row>
    <row r="74" spans="2:36" ht="13" outlineLevel="2" x14ac:dyDescent="0.3">
      <c r="B74" s="31" t="s">
        <v>108</v>
      </c>
      <c r="C74" s="33">
        <v>760</v>
      </c>
      <c r="D74" s="33">
        <v>737</v>
      </c>
      <c r="E74" s="23">
        <v>0</v>
      </c>
      <c r="F74" s="23">
        <v>0</v>
      </c>
      <c r="G74" s="23">
        <v>-22</v>
      </c>
      <c r="H74" s="23">
        <v>0</v>
      </c>
      <c r="I74" s="23">
        <v>0</v>
      </c>
      <c r="J74" s="23">
        <v>0</v>
      </c>
      <c r="K74" s="23">
        <f t="shared" si="54"/>
        <v>-22</v>
      </c>
      <c r="L74" s="33">
        <f t="shared" si="55"/>
        <v>0</v>
      </c>
      <c r="M74" s="33">
        <f t="shared" si="56"/>
        <v>-23</v>
      </c>
      <c r="N74" s="33">
        <v>737</v>
      </c>
      <c r="O74" s="33">
        <v>753</v>
      </c>
      <c r="P74" s="33">
        <v>-25</v>
      </c>
      <c r="Q74" s="33">
        <v>729</v>
      </c>
      <c r="R74" s="33">
        <v>737</v>
      </c>
      <c r="S74" s="33">
        <f t="shared" si="57"/>
        <v>-8</v>
      </c>
      <c r="T74" s="38">
        <f t="shared" si="58"/>
        <v>0.98914518317503397</v>
      </c>
      <c r="U74" s="59">
        <f t="shared" si="59"/>
        <v>737</v>
      </c>
      <c r="V74" s="33">
        <v>0</v>
      </c>
      <c r="W74" s="33">
        <v>0</v>
      </c>
      <c r="X74" s="33"/>
      <c r="Y74" s="33"/>
      <c r="Z74" s="42"/>
      <c r="AA74" s="60"/>
      <c r="AB74" s="105"/>
      <c r="AC74" s="93"/>
      <c r="AD74" s="33">
        <f t="shared" si="60"/>
        <v>0</v>
      </c>
      <c r="AE74" s="33">
        <f t="shared" ref="AE74:AE75" si="63">Q74+AD74</f>
        <v>729</v>
      </c>
      <c r="AF74" s="33">
        <f t="shared" ref="AF74:AF75" si="64">AE74-N74</f>
        <v>-8</v>
      </c>
      <c r="AH74" s="692" t="s">
        <v>108</v>
      </c>
      <c r="AI74" s="33">
        <v>729</v>
      </c>
      <c r="AJ74" s="33">
        <v>-8</v>
      </c>
    </row>
    <row r="75" spans="2:36" ht="13" outlineLevel="2" x14ac:dyDescent="0.3">
      <c r="B75" s="31" t="s">
        <v>109</v>
      </c>
      <c r="C75" s="33">
        <v>337</v>
      </c>
      <c r="D75" s="33">
        <v>332</v>
      </c>
      <c r="E75" s="23">
        <v>0</v>
      </c>
      <c r="F75" s="23">
        <v>0</v>
      </c>
      <c r="G75" s="23">
        <v>-5</v>
      </c>
      <c r="H75" s="23">
        <v>0</v>
      </c>
      <c r="I75" s="23">
        <v>0</v>
      </c>
      <c r="J75" s="23">
        <v>0</v>
      </c>
      <c r="K75" s="23">
        <f t="shared" si="54"/>
        <v>-5</v>
      </c>
      <c r="L75" s="33">
        <f t="shared" si="55"/>
        <v>0</v>
      </c>
      <c r="M75" s="33">
        <f t="shared" si="56"/>
        <v>-5</v>
      </c>
      <c r="N75" s="33">
        <v>332</v>
      </c>
      <c r="O75" s="33">
        <v>341</v>
      </c>
      <c r="P75" s="33">
        <v>0</v>
      </c>
      <c r="Q75" s="33">
        <v>341</v>
      </c>
      <c r="R75" s="33">
        <v>332</v>
      </c>
      <c r="S75" s="33">
        <f t="shared" si="57"/>
        <v>9</v>
      </c>
      <c r="T75" s="38">
        <f t="shared" si="58"/>
        <v>1.0271084337349397</v>
      </c>
      <c r="U75" s="59">
        <f t="shared" si="59"/>
        <v>332</v>
      </c>
      <c r="V75" s="33">
        <v>0</v>
      </c>
      <c r="W75" s="33">
        <v>0</v>
      </c>
      <c r="X75" s="33"/>
      <c r="Y75" s="33"/>
      <c r="Z75" s="42"/>
      <c r="AA75" s="60"/>
      <c r="AB75" s="105"/>
      <c r="AC75" s="93"/>
      <c r="AD75" s="33">
        <f t="shared" si="60"/>
        <v>0</v>
      </c>
      <c r="AE75" s="33">
        <f t="shared" si="63"/>
        <v>341</v>
      </c>
      <c r="AF75" s="33">
        <f t="shared" si="64"/>
        <v>9</v>
      </c>
      <c r="AH75" s="692" t="s">
        <v>109</v>
      </c>
      <c r="AI75" s="33">
        <v>341</v>
      </c>
      <c r="AJ75" s="33">
        <v>9</v>
      </c>
    </row>
    <row r="76" spans="2:36" s="661" customFormat="1" ht="13" outlineLevel="1" x14ac:dyDescent="0.3">
      <c r="B76" s="703" t="s">
        <v>110</v>
      </c>
      <c r="C76" s="704">
        <f t="shared" ref="C76:J76" si="65">SUBTOTAL(9,C74:C75)</f>
        <v>1097</v>
      </c>
      <c r="D76" s="704">
        <f t="shared" si="65"/>
        <v>1069</v>
      </c>
      <c r="E76" s="705">
        <f t="shared" si="65"/>
        <v>0</v>
      </c>
      <c r="F76" s="705">
        <f t="shared" si="65"/>
        <v>0</v>
      </c>
      <c r="G76" s="705">
        <f t="shared" si="65"/>
        <v>-27</v>
      </c>
      <c r="H76" s="705">
        <f t="shared" si="65"/>
        <v>0</v>
      </c>
      <c r="I76" s="705">
        <f t="shared" si="65"/>
        <v>0</v>
      </c>
      <c r="J76" s="705">
        <f t="shared" si="65"/>
        <v>0</v>
      </c>
      <c r="K76" s="705">
        <f>SUM(E76:J76)</f>
        <v>-27</v>
      </c>
      <c r="L76" s="704">
        <f t="shared" si="55"/>
        <v>0</v>
      </c>
      <c r="M76" s="704">
        <f t="shared" si="56"/>
        <v>-28</v>
      </c>
      <c r="N76" s="704">
        <f>SUBTOTAL(9,N74:N75)</f>
        <v>1069</v>
      </c>
      <c r="O76" s="704">
        <f>SUBTOTAL(9,O74:O75)</f>
        <v>1094</v>
      </c>
      <c r="P76" s="704">
        <f>SUBTOTAL(9,P74:P75)</f>
        <v>-25</v>
      </c>
      <c r="Q76" s="704">
        <f>SUBTOTAL(9,Q74:Q75)</f>
        <v>1070</v>
      </c>
      <c r="R76" s="704">
        <f>SUBTOTAL(9,R74:R75)</f>
        <v>1069</v>
      </c>
      <c r="S76" s="704">
        <f>Q76-R76</f>
        <v>1</v>
      </c>
      <c r="T76" s="706">
        <f>IFERROR((Q76/N76)*100%,"∞")</f>
        <v>1.0009354536950421</v>
      </c>
      <c r="U76" s="707">
        <f>N76+V76</f>
        <v>1069</v>
      </c>
      <c r="V76" s="704">
        <f>SUBTOTAL(9,V74:V75)</f>
        <v>0</v>
      </c>
      <c r="W76" s="704">
        <f>SUBTOTAL(9,W74:W75)</f>
        <v>0</v>
      </c>
      <c r="X76" s="704"/>
      <c r="Y76" s="704"/>
      <c r="Z76" s="708"/>
      <c r="AA76" s="709"/>
      <c r="AB76" s="710">
        <f>SUBTOTAL(9,AB2:AB75)</f>
        <v>149</v>
      </c>
      <c r="AC76" s="704">
        <f>SUBTOTAL(9,AC2:AC75)</f>
        <v>-626</v>
      </c>
      <c r="AD76" s="704"/>
      <c r="AE76" s="704">
        <f>SUM(AE74:AE75)</f>
        <v>1070</v>
      </c>
      <c r="AF76" s="704">
        <f>SUM(AF74:AF75)</f>
        <v>1</v>
      </c>
      <c r="AH76" s="711" t="s">
        <v>110</v>
      </c>
      <c r="AI76" s="712">
        <v>1070</v>
      </c>
      <c r="AJ76" s="712">
        <v>1</v>
      </c>
    </row>
    <row r="77" spans="2:36" ht="13" outlineLevel="2" x14ac:dyDescent="0.3">
      <c r="B77" s="31" t="s">
        <v>111</v>
      </c>
      <c r="C77" s="33">
        <v>718</v>
      </c>
      <c r="D77" s="33">
        <v>724</v>
      </c>
      <c r="E77" s="23">
        <v>10</v>
      </c>
      <c r="F77" s="23">
        <v>0</v>
      </c>
      <c r="G77" s="23">
        <v>-5</v>
      </c>
      <c r="H77" s="23">
        <v>0</v>
      </c>
      <c r="I77" s="23">
        <v>0</v>
      </c>
      <c r="J77" s="23">
        <v>0</v>
      </c>
      <c r="K77" s="23">
        <f t="shared" si="54"/>
        <v>5</v>
      </c>
      <c r="L77" s="33">
        <f t="shared" si="55"/>
        <v>0</v>
      </c>
      <c r="M77" s="33">
        <f t="shared" si="56"/>
        <v>6</v>
      </c>
      <c r="N77" s="33">
        <v>724</v>
      </c>
      <c r="O77" s="33">
        <v>808</v>
      </c>
      <c r="P77" s="33">
        <v>-67</v>
      </c>
      <c r="Q77" s="33">
        <v>741</v>
      </c>
      <c r="R77" s="33">
        <v>724</v>
      </c>
      <c r="S77" s="33">
        <f t="shared" si="57"/>
        <v>17</v>
      </c>
      <c r="T77" s="38">
        <f t="shared" si="58"/>
        <v>1.0234806629834254</v>
      </c>
      <c r="U77" s="59">
        <f t="shared" si="59"/>
        <v>743</v>
      </c>
      <c r="V77" s="33">
        <v>19</v>
      </c>
      <c r="W77" s="33">
        <v>19</v>
      </c>
      <c r="X77" s="33"/>
      <c r="Y77" s="33"/>
      <c r="Z77" s="42"/>
      <c r="AA77" s="60"/>
      <c r="AB77" s="105"/>
      <c r="AC77" s="93"/>
      <c r="AD77" s="33">
        <f t="shared" si="60"/>
        <v>0</v>
      </c>
      <c r="AE77" s="33">
        <f t="shared" ref="AE77:AE79" si="66">Q77+AD77</f>
        <v>741</v>
      </c>
      <c r="AF77" s="33">
        <f t="shared" ref="AF77:AF79" si="67">AE77-N77</f>
        <v>17</v>
      </c>
      <c r="AH77" s="692" t="s">
        <v>111</v>
      </c>
      <c r="AI77" s="33">
        <v>741</v>
      </c>
      <c r="AJ77" s="33">
        <v>17</v>
      </c>
    </row>
    <row r="78" spans="2:36" ht="13" outlineLevel="2" x14ac:dyDescent="0.3">
      <c r="B78" s="31" t="s">
        <v>112</v>
      </c>
      <c r="C78" s="33">
        <v>394</v>
      </c>
      <c r="D78" s="33">
        <v>390</v>
      </c>
      <c r="E78" s="23">
        <v>0</v>
      </c>
      <c r="F78" s="23">
        <v>0</v>
      </c>
      <c r="G78" s="23">
        <v>-3</v>
      </c>
      <c r="H78" s="23">
        <v>0</v>
      </c>
      <c r="I78" s="23">
        <v>0</v>
      </c>
      <c r="J78" s="23">
        <v>0</v>
      </c>
      <c r="K78" s="23">
        <f t="shared" si="54"/>
        <v>-3</v>
      </c>
      <c r="L78" s="33">
        <f t="shared" si="55"/>
        <v>0</v>
      </c>
      <c r="M78" s="33">
        <f t="shared" si="56"/>
        <v>-4</v>
      </c>
      <c r="N78" s="33">
        <v>390</v>
      </c>
      <c r="O78" s="33">
        <v>537</v>
      </c>
      <c r="P78" s="33">
        <v>-40</v>
      </c>
      <c r="Q78" s="33">
        <v>496</v>
      </c>
      <c r="R78" s="33">
        <v>390</v>
      </c>
      <c r="S78" s="33">
        <f t="shared" si="57"/>
        <v>106</v>
      </c>
      <c r="T78" s="38">
        <f t="shared" si="58"/>
        <v>1.2717948717948717</v>
      </c>
      <c r="U78" s="59">
        <f t="shared" si="59"/>
        <v>460</v>
      </c>
      <c r="V78" s="33">
        <v>70</v>
      </c>
      <c r="W78" s="33">
        <v>70</v>
      </c>
      <c r="X78" s="33"/>
      <c r="Y78" s="33"/>
      <c r="Z78" s="42"/>
      <c r="AA78" s="60"/>
      <c r="AB78" s="105"/>
      <c r="AC78" s="93">
        <v>-29</v>
      </c>
      <c r="AD78" s="33">
        <f t="shared" si="60"/>
        <v>-29</v>
      </c>
      <c r="AE78" s="33">
        <f t="shared" si="66"/>
        <v>467</v>
      </c>
      <c r="AF78" s="33">
        <f t="shared" si="67"/>
        <v>77</v>
      </c>
      <c r="AH78" s="692" t="s">
        <v>112</v>
      </c>
      <c r="AI78" s="33">
        <v>467</v>
      </c>
      <c r="AJ78" s="33">
        <v>77</v>
      </c>
    </row>
    <row r="79" spans="2:36" ht="13" outlineLevel="2" x14ac:dyDescent="0.3">
      <c r="B79" s="31" t="s">
        <v>113</v>
      </c>
      <c r="C79" s="33">
        <v>1352</v>
      </c>
      <c r="D79" s="33">
        <v>1289</v>
      </c>
      <c r="E79" s="23">
        <v>0</v>
      </c>
      <c r="F79" s="23">
        <v>0</v>
      </c>
      <c r="G79" s="23">
        <v>-41</v>
      </c>
      <c r="H79" s="23">
        <v>0</v>
      </c>
      <c r="I79" s="23">
        <v>-22</v>
      </c>
      <c r="J79" s="23">
        <v>0</v>
      </c>
      <c r="K79" s="23">
        <f t="shared" si="54"/>
        <v>-63</v>
      </c>
      <c r="L79" s="33">
        <f t="shared" si="55"/>
        <v>0</v>
      </c>
      <c r="M79" s="33">
        <f t="shared" si="56"/>
        <v>-63</v>
      </c>
      <c r="N79" s="33">
        <v>1289</v>
      </c>
      <c r="O79" s="33">
        <v>1941</v>
      </c>
      <c r="P79" s="33">
        <v>-316</v>
      </c>
      <c r="Q79" s="33">
        <v>1625</v>
      </c>
      <c r="R79" s="33">
        <v>1289</v>
      </c>
      <c r="S79" s="33">
        <f t="shared" si="57"/>
        <v>336</v>
      </c>
      <c r="T79" s="38">
        <f t="shared" si="58"/>
        <v>1.26066718386346</v>
      </c>
      <c r="U79" s="59">
        <f t="shared" si="59"/>
        <v>1389</v>
      </c>
      <c r="V79" s="33">
        <v>100</v>
      </c>
      <c r="W79" s="33">
        <v>100</v>
      </c>
      <c r="X79" s="33"/>
      <c r="Y79" s="33"/>
      <c r="Z79" s="42"/>
      <c r="AA79" s="60"/>
      <c r="AB79" s="105"/>
      <c r="AC79" s="93"/>
      <c r="AD79" s="33">
        <f t="shared" si="60"/>
        <v>0</v>
      </c>
      <c r="AE79" s="33">
        <f t="shared" si="66"/>
        <v>1625</v>
      </c>
      <c r="AF79" s="33">
        <f t="shared" si="67"/>
        <v>336</v>
      </c>
      <c r="AH79" s="692" t="s">
        <v>113</v>
      </c>
      <c r="AI79" s="33">
        <v>1625</v>
      </c>
      <c r="AJ79" s="33">
        <v>336</v>
      </c>
    </row>
    <row r="80" spans="2:36" s="661" customFormat="1" ht="13" outlineLevel="1" x14ac:dyDescent="0.3">
      <c r="B80" s="703" t="s">
        <v>114</v>
      </c>
      <c r="C80" s="704">
        <f t="shared" ref="C80:J80" si="68">SUBTOTAL(9,C77:C79)</f>
        <v>2464</v>
      </c>
      <c r="D80" s="704">
        <f t="shared" si="68"/>
        <v>2403</v>
      </c>
      <c r="E80" s="705">
        <f t="shared" si="68"/>
        <v>10</v>
      </c>
      <c r="F80" s="705">
        <f t="shared" si="68"/>
        <v>0</v>
      </c>
      <c r="G80" s="705">
        <f t="shared" si="68"/>
        <v>-49</v>
      </c>
      <c r="H80" s="705">
        <f t="shared" si="68"/>
        <v>0</v>
      </c>
      <c r="I80" s="705">
        <f t="shared" si="68"/>
        <v>-22</v>
      </c>
      <c r="J80" s="705">
        <f t="shared" si="68"/>
        <v>0</v>
      </c>
      <c r="K80" s="705">
        <f>SUM(E80:J80)</f>
        <v>-61</v>
      </c>
      <c r="L80" s="704">
        <f t="shared" si="55"/>
        <v>0</v>
      </c>
      <c r="M80" s="704">
        <f t="shared" si="56"/>
        <v>-61</v>
      </c>
      <c r="N80" s="704">
        <f>SUBTOTAL(9,N77:N79)</f>
        <v>2403</v>
      </c>
      <c r="O80" s="704">
        <f>SUBTOTAL(9,O77:O79)</f>
        <v>3286</v>
      </c>
      <c r="P80" s="704">
        <f>SUBTOTAL(9,P77:P79)</f>
        <v>-423</v>
      </c>
      <c r="Q80" s="704">
        <f>SUBTOTAL(9,Q77:Q79)</f>
        <v>2862</v>
      </c>
      <c r="R80" s="704">
        <f>SUBTOTAL(9,R77:R79)</f>
        <v>2403</v>
      </c>
      <c r="S80" s="704">
        <f>Q80-R80</f>
        <v>459</v>
      </c>
      <c r="T80" s="706">
        <f>IFERROR((Q80/N80)*100%,"∞")</f>
        <v>1.1910112359550562</v>
      </c>
      <c r="U80" s="707">
        <f>N80+V80</f>
        <v>2592</v>
      </c>
      <c r="V80" s="704">
        <f>SUBTOTAL(9,V77:V79)</f>
        <v>189</v>
      </c>
      <c r="W80" s="704">
        <f>SUBTOTAL(9,W77:W79)</f>
        <v>189</v>
      </c>
      <c r="X80" s="704"/>
      <c r="Y80" s="704"/>
      <c r="Z80" s="708"/>
      <c r="AA80" s="709"/>
      <c r="AB80" s="710">
        <f t="shared" ref="AB80:AC80" si="69">SUBTOTAL(9,AB77:AB79)</f>
        <v>0</v>
      </c>
      <c r="AC80" s="704">
        <f t="shared" si="69"/>
        <v>-29</v>
      </c>
      <c r="AD80" s="704"/>
      <c r="AE80" s="704">
        <f>SUM(AE77:AE79)</f>
        <v>2833</v>
      </c>
      <c r="AF80" s="704">
        <f>SUM(AF77:AF79)</f>
        <v>430</v>
      </c>
      <c r="AH80" s="711" t="s">
        <v>114</v>
      </c>
      <c r="AI80" s="712">
        <v>2833</v>
      </c>
      <c r="AJ80" s="712">
        <v>430</v>
      </c>
    </row>
    <row r="81" spans="2:36" s="726" customFormat="1" ht="13.5" customHeight="1" thickBot="1" x14ac:dyDescent="0.35">
      <c r="B81" s="53" t="s">
        <v>115</v>
      </c>
      <c r="C81" s="35">
        <f t="shared" ref="C81:J81" si="70">SUBTOTAL(9,C61:C80)</f>
        <v>16460</v>
      </c>
      <c r="D81" s="35">
        <f t="shared" si="70"/>
        <v>16327</v>
      </c>
      <c r="E81" s="25">
        <f t="shared" si="70"/>
        <v>184</v>
      </c>
      <c r="F81" s="25">
        <f t="shared" si="70"/>
        <v>488</v>
      </c>
      <c r="G81" s="25">
        <f t="shared" si="70"/>
        <v>-267</v>
      </c>
      <c r="H81" s="25">
        <f t="shared" si="70"/>
        <v>0</v>
      </c>
      <c r="I81" s="25">
        <f t="shared" si="70"/>
        <v>-51</v>
      </c>
      <c r="J81" s="25">
        <f t="shared" si="70"/>
        <v>75</v>
      </c>
      <c r="K81" s="25">
        <f>SUM(E81:J81)</f>
        <v>429</v>
      </c>
      <c r="L81" s="35">
        <f t="shared" si="55"/>
        <v>563</v>
      </c>
      <c r="M81" s="35">
        <f t="shared" si="56"/>
        <v>430</v>
      </c>
      <c r="N81" s="35">
        <f>SUBTOTAL(9,N61:N80)</f>
        <v>16890</v>
      </c>
      <c r="O81" s="35">
        <f>SUBTOTAL(9,O61:O80)</f>
        <v>20386</v>
      </c>
      <c r="P81" s="35">
        <f>SUBTOTAL(9,P61:P80)</f>
        <v>-2585</v>
      </c>
      <c r="Q81" s="35">
        <f>SUBTOTAL(9,Q61:Q80)</f>
        <v>17801</v>
      </c>
      <c r="R81" s="35">
        <f>SUBTOTAL(9,R61:R80)</f>
        <v>16890</v>
      </c>
      <c r="S81" s="35">
        <f>Q81-R81</f>
        <v>911</v>
      </c>
      <c r="T81" s="39">
        <f>IFERROR((Q81/N81)*100%,"∞")</f>
        <v>1.0539372409709888</v>
      </c>
      <c r="U81" s="54">
        <f>N81+V81</f>
        <v>17230</v>
      </c>
      <c r="V81" s="35">
        <f>SUBTOTAL(9,V61:V80)</f>
        <v>340</v>
      </c>
      <c r="W81" s="35">
        <f>SUBTOTAL(9,W61:W80)</f>
        <v>340</v>
      </c>
      <c r="X81" s="35"/>
      <c r="Y81" s="35"/>
      <c r="Z81" s="43"/>
      <c r="AA81" s="725"/>
      <c r="AB81" s="104">
        <f t="shared" ref="AB81:AC81" si="71">SUBTOTAL(9,AB61:AB80)</f>
        <v>61</v>
      </c>
      <c r="AC81" s="104">
        <f t="shared" si="71"/>
        <v>-687</v>
      </c>
      <c r="AD81" s="35">
        <f>SUM(AB81:AC81)</f>
        <v>-626</v>
      </c>
      <c r="AE81" s="35">
        <f>Q81+AD81</f>
        <v>17175</v>
      </c>
      <c r="AF81" s="35">
        <f>AE81-N81</f>
        <v>285</v>
      </c>
      <c r="AH81" s="694" t="s">
        <v>115</v>
      </c>
      <c r="AI81" s="728">
        <v>17175</v>
      </c>
      <c r="AJ81" s="728">
        <v>285</v>
      </c>
    </row>
    <row r="82" spans="2:36" ht="13.5" thickTop="1" x14ac:dyDescent="0.3">
      <c r="B82" s="85"/>
      <c r="C82" s="86"/>
      <c r="D82" s="86"/>
      <c r="E82" s="87"/>
      <c r="F82" s="87"/>
      <c r="G82" s="87"/>
      <c r="H82" s="87"/>
      <c r="I82" s="87"/>
      <c r="J82" s="87"/>
      <c r="K82" s="87"/>
      <c r="L82" s="86"/>
      <c r="M82" s="86"/>
      <c r="N82" s="86"/>
      <c r="O82" s="86"/>
      <c r="P82" s="86"/>
      <c r="Q82" s="86"/>
      <c r="R82" s="86"/>
      <c r="S82" s="86"/>
      <c r="T82" s="86"/>
      <c r="U82" s="88"/>
      <c r="V82" s="86"/>
      <c r="W82" s="86"/>
      <c r="X82" s="86"/>
      <c r="Y82" s="86"/>
      <c r="Z82" s="89"/>
      <c r="AA82" s="60"/>
      <c r="AB82" s="85"/>
      <c r="AC82" s="86"/>
      <c r="AD82" s="86"/>
      <c r="AE82" s="86"/>
      <c r="AF82" s="86"/>
      <c r="AH82" s="700"/>
      <c r="AI82" s="33"/>
      <c r="AJ82" s="33"/>
    </row>
    <row r="83" spans="2:36" s="726" customFormat="1" ht="13.5" thickBot="1" x14ac:dyDescent="0.35">
      <c r="B83" s="722" t="s">
        <v>116</v>
      </c>
      <c r="C83" s="723">
        <f t="shared" ref="C83:J83" si="72">SUBTOTAL(9,C5:C82)</f>
        <v>34225</v>
      </c>
      <c r="D83" s="723">
        <f t="shared" si="72"/>
        <v>34439</v>
      </c>
      <c r="E83" s="723">
        <f t="shared" si="72"/>
        <v>406</v>
      </c>
      <c r="F83" s="723">
        <f t="shared" si="72"/>
        <v>-2395</v>
      </c>
      <c r="G83" s="723">
        <f t="shared" si="72"/>
        <v>-190</v>
      </c>
      <c r="H83" s="723">
        <f t="shared" si="72"/>
        <v>-28</v>
      </c>
      <c r="I83" s="723">
        <f t="shared" si="72"/>
        <v>-1</v>
      </c>
      <c r="J83" s="723">
        <f t="shared" si="72"/>
        <v>0</v>
      </c>
      <c r="K83" s="723">
        <f>SUM(E83:J83)</f>
        <v>-2208</v>
      </c>
      <c r="L83" s="723">
        <f>N83-D83</f>
        <v>-2413</v>
      </c>
      <c r="M83" s="723">
        <f>N83-C83</f>
        <v>-2199</v>
      </c>
      <c r="N83" s="723">
        <f>SUBTOTAL(9,N5:N82)</f>
        <v>32026</v>
      </c>
      <c r="O83" s="723">
        <f>SUBTOTAL(9,O5:O82)</f>
        <v>82218</v>
      </c>
      <c r="P83" s="723">
        <f>SUBTOTAL(9,P5:P82)</f>
        <v>-48386</v>
      </c>
      <c r="Q83" s="723">
        <f>SUBTOTAL(9,Q5:Q82)</f>
        <v>33829</v>
      </c>
      <c r="R83" s="723">
        <f>SUBTOTAL(9,R5:R82)</f>
        <v>32026</v>
      </c>
      <c r="S83" s="723">
        <f>Q83-R83</f>
        <v>1803</v>
      </c>
      <c r="T83" s="724">
        <f>IFERROR((Q83/N83)*100%,"∞")</f>
        <v>1.0562980078686068</v>
      </c>
      <c r="U83" s="723">
        <f>N83+V83</f>
        <v>33062</v>
      </c>
      <c r="V83" s="723">
        <f>SUBTOTAL(9,V5:V82)</f>
        <v>1036</v>
      </c>
      <c r="W83" s="723">
        <f>SUBTOTAL(9,W5:W82)</f>
        <v>1036</v>
      </c>
      <c r="X83" s="723">
        <f>SUBTOTAL(9,X5:X82)</f>
        <v>0</v>
      </c>
      <c r="Y83" s="723">
        <f>SUBTOTAL(9,Y5:Y82)</f>
        <v>0</v>
      </c>
      <c r="Z83" s="723">
        <f>SUBTOTAL(9,Z5:Z82)</f>
        <v>0</v>
      </c>
      <c r="AA83" s="725"/>
      <c r="AB83" s="723">
        <f>SUBTOTAL(9,AB5:AB82)</f>
        <v>149</v>
      </c>
      <c r="AC83" s="723">
        <f>SUBTOTAL(9,AC5:AC82)</f>
        <v>-655</v>
      </c>
      <c r="AD83" s="723">
        <f>SUM(AB83:AC83)</f>
        <v>-506</v>
      </c>
      <c r="AE83" s="723">
        <f>Q83+AD83</f>
        <v>33323</v>
      </c>
      <c r="AF83" s="723">
        <f>AE83-N83</f>
        <v>1297</v>
      </c>
      <c r="AH83" s="727" t="s">
        <v>116</v>
      </c>
      <c r="AI83" s="728">
        <v>33317</v>
      </c>
      <c r="AJ83" s="728">
        <v>758</v>
      </c>
    </row>
    <row r="84" spans="2:36" ht="13.5" thickTop="1" x14ac:dyDescent="0.3">
      <c r="B84" s="85"/>
      <c r="C84" s="86"/>
      <c r="D84" s="86"/>
      <c r="E84" s="87"/>
      <c r="F84" s="87"/>
      <c r="G84" s="87"/>
      <c r="H84" s="87"/>
      <c r="I84" s="87"/>
      <c r="J84" s="87"/>
      <c r="K84" s="87"/>
      <c r="L84" s="86"/>
      <c r="M84" s="86"/>
      <c r="N84" s="86"/>
      <c r="O84" s="86"/>
      <c r="P84" s="86"/>
      <c r="Q84" s="86"/>
      <c r="R84" s="86"/>
      <c r="S84" s="86"/>
      <c r="T84" s="86"/>
      <c r="U84" s="88"/>
      <c r="V84" s="86"/>
      <c r="W84" s="86"/>
      <c r="X84" s="86"/>
      <c r="Y84" s="86"/>
      <c r="Z84" s="89"/>
      <c r="AA84" s="60"/>
      <c r="AB84" s="85"/>
      <c r="AC84" s="86"/>
      <c r="AD84" s="86"/>
      <c r="AE84" s="86"/>
      <c r="AF84" s="86"/>
      <c r="AH84" s="700"/>
      <c r="AI84" s="33"/>
      <c r="AJ84" s="33"/>
    </row>
    <row r="85" spans="2:36" ht="13" outlineLevel="1" x14ac:dyDescent="0.3">
      <c r="B85" s="31" t="s">
        <v>117</v>
      </c>
      <c r="C85" s="33">
        <v>5662</v>
      </c>
      <c r="D85" s="33">
        <v>5662</v>
      </c>
      <c r="E85" s="23">
        <v>0</v>
      </c>
      <c r="F85" s="23">
        <v>0</v>
      </c>
      <c r="G85" s="23">
        <v>0</v>
      </c>
      <c r="H85" s="23">
        <v>0</v>
      </c>
      <c r="I85" s="23">
        <v>0</v>
      </c>
      <c r="J85" s="23">
        <v>0</v>
      </c>
      <c r="K85" s="23">
        <f t="shared" ref="K85:K102" si="73">SUM(E85:J85)</f>
        <v>0</v>
      </c>
      <c r="L85" s="33">
        <f t="shared" ref="L85:L102" si="74">N85-D85</f>
        <v>0</v>
      </c>
      <c r="M85" s="33">
        <f t="shared" ref="M85:M102" si="75">N85-C85</f>
        <v>0</v>
      </c>
      <c r="N85" s="33">
        <v>5662</v>
      </c>
      <c r="O85" s="33">
        <v>5662</v>
      </c>
      <c r="P85" s="33">
        <v>0</v>
      </c>
      <c r="Q85" s="33">
        <v>5662</v>
      </c>
      <c r="R85" s="33">
        <v>5662</v>
      </c>
      <c r="S85" s="33">
        <f t="shared" ref="S85:S102" si="76">Q85-R85</f>
        <v>0</v>
      </c>
      <c r="T85" s="38">
        <f t="shared" ref="T85:T102" si="77">IFERROR((Q85/N85)*100%,"∞")</f>
        <v>1</v>
      </c>
      <c r="U85" s="59">
        <f t="shared" ref="U85:U102" si="78">N85+V85</f>
        <v>5662</v>
      </c>
      <c r="V85" s="33">
        <v>0</v>
      </c>
      <c r="W85" s="33">
        <v>0</v>
      </c>
      <c r="X85" s="33"/>
      <c r="Y85" s="33"/>
      <c r="Z85" s="42"/>
      <c r="AA85" s="60"/>
      <c r="AB85" s="105"/>
      <c r="AC85" s="93"/>
      <c r="AD85" s="33">
        <f t="shared" ref="AD85:AD102" si="79">SUM(AB85:AC85)</f>
        <v>0</v>
      </c>
      <c r="AE85" s="33">
        <f t="shared" ref="AE85:AE103" si="80">Q85+AD85</f>
        <v>5662</v>
      </c>
      <c r="AF85" s="33">
        <f t="shared" ref="AF85:AF103" si="81">AE85-N85</f>
        <v>0</v>
      </c>
      <c r="AH85" s="692" t="s">
        <v>117</v>
      </c>
      <c r="AI85" s="33">
        <v>5662</v>
      </c>
      <c r="AJ85" s="33">
        <v>0</v>
      </c>
    </row>
    <row r="86" spans="2:36" ht="13" outlineLevel="1" x14ac:dyDescent="0.3">
      <c r="B86" s="31" t="s">
        <v>118</v>
      </c>
      <c r="C86" s="33">
        <v>-5662</v>
      </c>
      <c r="D86" s="33">
        <v>-5662</v>
      </c>
      <c r="E86" s="23">
        <v>0</v>
      </c>
      <c r="F86" s="23">
        <v>0</v>
      </c>
      <c r="G86" s="23">
        <v>0</v>
      </c>
      <c r="H86" s="23">
        <v>0</v>
      </c>
      <c r="I86" s="23">
        <v>0</v>
      </c>
      <c r="J86" s="23">
        <v>0</v>
      </c>
      <c r="K86" s="23">
        <f t="shared" si="73"/>
        <v>0</v>
      </c>
      <c r="L86" s="33">
        <f t="shared" si="74"/>
        <v>0</v>
      </c>
      <c r="M86" s="33">
        <f t="shared" si="75"/>
        <v>0</v>
      </c>
      <c r="N86" s="33">
        <v>-5662</v>
      </c>
      <c r="O86" s="33">
        <v>0</v>
      </c>
      <c r="P86" s="33">
        <v>-5662</v>
      </c>
      <c r="Q86" s="33">
        <v>-5662</v>
      </c>
      <c r="R86" s="33">
        <v>-5662</v>
      </c>
      <c r="S86" s="33">
        <f t="shared" si="76"/>
        <v>0</v>
      </c>
      <c r="T86" s="38">
        <f t="shared" si="77"/>
        <v>1</v>
      </c>
      <c r="U86" s="59">
        <f t="shared" si="78"/>
        <v>-5662</v>
      </c>
      <c r="V86" s="33">
        <v>0</v>
      </c>
      <c r="W86" s="33">
        <v>0</v>
      </c>
      <c r="X86" s="33"/>
      <c r="Y86" s="33"/>
      <c r="Z86" s="42"/>
      <c r="AA86" s="60"/>
      <c r="AB86" s="105"/>
      <c r="AC86" s="93"/>
      <c r="AD86" s="33">
        <f t="shared" si="79"/>
        <v>0</v>
      </c>
      <c r="AE86" s="33">
        <f t="shared" si="80"/>
        <v>-5662</v>
      </c>
      <c r="AF86" s="33">
        <f t="shared" si="81"/>
        <v>0</v>
      </c>
      <c r="AH86" s="692" t="s">
        <v>118</v>
      </c>
      <c r="AI86" s="33">
        <v>-5662</v>
      </c>
      <c r="AJ86" s="33">
        <v>0</v>
      </c>
    </row>
    <row r="87" spans="2:36" ht="13" hidden="1" outlineLevel="1" x14ac:dyDescent="0.3">
      <c r="B87" s="31" t="s">
        <v>119</v>
      </c>
      <c r="C87" s="33">
        <v>0</v>
      </c>
      <c r="D87" s="33">
        <v>0</v>
      </c>
      <c r="E87" s="23">
        <v>0</v>
      </c>
      <c r="F87" s="23">
        <v>0</v>
      </c>
      <c r="G87" s="23">
        <v>0</v>
      </c>
      <c r="H87" s="23">
        <v>0</v>
      </c>
      <c r="I87" s="23">
        <v>0</v>
      </c>
      <c r="J87" s="23">
        <v>0</v>
      </c>
      <c r="K87" s="23">
        <f t="shared" si="73"/>
        <v>0</v>
      </c>
      <c r="L87" s="33">
        <f t="shared" si="74"/>
        <v>0</v>
      </c>
      <c r="M87" s="33">
        <f t="shared" si="75"/>
        <v>0</v>
      </c>
      <c r="N87" s="33">
        <v>0</v>
      </c>
      <c r="O87" s="33">
        <v>0</v>
      </c>
      <c r="P87" s="33">
        <v>0</v>
      </c>
      <c r="Q87" s="33">
        <v>0</v>
      </c>
      <c r="R87" s="33">
        <v>0</v>
      </c>
      <c r="S87" s="33">
        <f t="shared" si="76"/>
        <v>0</v>
      </c>
      <c r="T87" s="38" t="str">
        <f t="shared" si="77"/>
        <v>∞</v>
      </c>
      <c r="U87" s="59">
        <f t="shared" si="78"/>
        <v>0</v>
      </c>
      <c r="V87" s="33">
        <v>0</v>
      </c>
      <c r="W87" s="33">
        <v>0</v>
      </c>
      <c r="X87" s="33"/>
      <c r="Y87" s="33"/>
      <c r="Z87" s="42"/>
      <c r="AA87" s="60"/>
      <c r="AB87" s="105"/>
      <c r="AC87" s="93"/>
      <c r="AD87" s="33">
        <f t="shared" si="79"/>
        <v>0</v>
      </c>
      <c r="AE87" s="33">
        <f t="shared" si="80"/>
        <v>0</v>
      </c>
      <c r="AF87" s="33">
        <f t="shared" si="81"/>
        <v>0</v>
      </c>
      <c r="AH87" s="692" t="s">
        <v>119</v>
      </c>
      <c r="AI87" s="33">
        <v>0</v>
      </c>
      <c r="AJ87" s="33">
        <v>0</v>
      </c>
    </row>
    <row r="88" spans="2:36" ht="13" hidden="1" outlineLevel="1" x14ac:dyDescent="0.3">
      <c r="B88" s="31" t="s">
        <v>120</v>
      </c>
      <c r="C88" s="33">
        <v>0</v>
      </c>
      <c r="D88" s="33">
        <v>0</v>
      </c>
      <c r="E88" s="23">
        <v>0</v>
      </c>
      <c r="F88" s="23">
        <v>0</v>
      </c>
      <c r="G88" s="23">
        <v>0</v>
      </c>
      <c r="H88" s="23">
        <v>0</v>
      </c>
      <c r="I88" s="23">
        <v>0</v>
      </c>
      <c r="J88" s="23">
        <v>0</v>
      </c>
      <c r="K88" s="23">
        <f t="shared" si="73"/>
        <v>0</v>
      </c>
      <c r="L88" s="33">
        <f t="shared" si="74"/>
        <v>0</v>
      </c>
      <c r="M88" s="33">
        <f t="shared" si="75"/>
        <v>0</v>
      </c>
      <c r="N88" s="33">
        <v>0</v>
      </c>
      <c r="O88" s="33">
        <v>0</v>
      </c>
      <c r="P88" s="33">
        <v>0</v>
      </c>
      <c r="Q88" s="33">
        <v>0</v>
      </c>
      <c r="R88" s="33">
        <v>0</v>
      </c>
      <c r="S88" s="33">
        <f t="shared" si="76"/>
        <v>0</v>
      </c>
      <c r="T88" s="38" t="str">
        <f t="shared" si="77"/>
        <v>∞</v>
      </c>
      <c r="U88" s="59">
        <f t="shared" si="78"/>
        <v>0</v>
      </c>
      <c r="V88" s="33">
        <v>0</v>
      </c>
      <c r="W88" s="33">
        <v>0</v>
      </c>
      <c r="X88" s="33"/>
      <c r="Y88" s="33"/>
      <c r="Z88" s="42"/>
      <c r="AA88" s="60"/>
      <c r="AB88" s="105"/>
      <c r="AC88" s="93"/>
      <c r="AD88" s="33">
        <f t="shared" si="79"/>
        <v>0</v>
      </c>
      <c r="AE88" s="33">
        <f t="shared" si="80"/>
        <v>0</v>
      </c>
      <c r="AF88" s="33">
        <f t="shared" si="81"/>
        <v>0</v>
      </c>
      <c r="AH88" s="692" t="s">
        <v>120</v>
      </c>
      <c r="AI88" s="33">
        <v>0</v>
      </c>
      <c r="AJ88" s="33">
        <v>0</v>
      </c>
    </row>
    <row r="89" spans="2:36" ht="13" outlineLevel="1" x14ac:dyDescent="0.3">
      <c r="B89" s="31" t="s">
        <v>121</v>
      </c>
      <c r="C89" s="33">
        <v>0</v>
      </c>
      <c r="D89" s="33">
        <v>0</v>
      </c>
      <c r="E89" s="23">
        <v>0</v>
      </c>
      <c r="F89" s="23">
        <v>0</v>
      </c>
      <c r="G89" s="23">
        <v>0</v>
      </c>
      <c r="H89" s="23">
        <v>0</v>
      </c>
      <c r="I89" s="23">
        <v>0</v>
      </c>
      <c r="J89" s="23">
        <v>0</v>
      </c>
      <c r="K89" s="23">
        <f t="shared" si="73"/>
        <v>0</v>
      </c>
      <c r="L89" s="33">
        <f t="shared" si="74"/>
        <v>0</v>
      </c>
      <c r="M89" s="33">
        <f t="shared" si="75"/>
        <v>0</v>
      </c>
      <c r="N89" s="33">
        <v>0</v>
      </c>
      <c r="O89" s="33">
        <v>-5877</v>
      </c>
      <c r="P89" s="33">
        <v>0</v>
      </c>
      <c r="Q89" s="33">
        <v>-5877</v>
      </c>
      <c r="R89" s="33">
        <v>0</v>
      </c>
      <c r="S89" s="33">
        <f t="shared" si="76"/>
        <v>-5877</v>
      </c>
      <c r="T89" s="38" t="str">
        <f t="shared" si="77"/>
        <v>∞</v>
      </c>
      <c r="U89" s="59">
        <f t="shared" si="78"/>
        <v>0</v>
      </c>
      <c r="V89" s="33">
        <v>0</v>
      </c>
      <c r="W89" s="33">
        <v>0</v>
      </c>
      <c r="X89" s="33"/>
      <c r="Y89" s="33"/>
      <c r="Z89" s="42"/>
      <c r="AA89" s="60"/>
      <c r="AB89" s="105"/>
      <c r="AC89" s="93"/>
      <c r="AD89" s="33">
        <f t="shared" si="79"/>
        <v>0</v>
      </c>
      <c r="AE89" s="33">
        <f t="shared" si="80"/>
        <v>-5877</v>
      </c>
      <c r="AF89" s="33">
        <f t="shared" si="81"/>
        <v>-5877</v>
      </c>
      <c r="AH89" s="692" t="s">
        <v>121</v>
      </c>
      <c r="AI89" s="33">
        <v>0</v>
      </c>
      <c r="AJ89" s="33">
        <v>0</v>
      </c>
    </row>
    <row r="90" spans="2:36" ht="13" outlineLevel="1" x14ac:dyDescent="0.3">
      <c r="B90" s="31" t="s">
        <v>122</v>
      </c>
      <c r="C90" s="33">
        <v>0</v>
      </c>
      <c r="D90" s="33">
        <v>0</v>
      </c>
      <c r="E90" s="23">
        <v>0</v>
      </c>
      <c r="F90" s="23">
        <v>0</v>
      </c>
      <c r="G90" s="23">
        <v>0</v>
      </c>
      <c r="H90" s="23">
        <v>0</v>
      </c>
      <c r="I90" s="23">
        <v>0</v>
      </c>
      <c r="J90" s="23">
        <v>0</v>
      </c>
      <c r="K90" s="23">
        <f t="shared" si="73"/>
        <v>0</v>
      </c>
      <c r="L90" s="33">
        <f t="shared" si="74"/>
        <v>0</v>
      </c>
      <c r="M90" s="33">
        <f t="shared" si="75"/>
        <v>0</v>
      </c>
      <c r="N90" s="33">
        <v>0</v>
      </c>
      <c r="O90" s="33">
        <v>5877</v>
      </c>
      <c r="P90" s="33">
        <v>0</v>
      </c>
      <c r="Q90" s="33">
        <v>5877</v>
      </c>
      <c r="R90" s="33">
        <v>0</v>
      </c>
      <c r="S90" s="33">
        <f t="shared" si="76"/>
        <v>5877</v>
      </c>
      <c r="T90" s="38" t="str">
        <f t="shared" si="77"/>
        <v>∞</v>
      </c>
      <c r="U90" s="59">
        <f t="shared" si="78"/>
        <v>0</v>
      </c>
      <c r="V90" s="33">
        <v>0</v>
      </c>
      <c r="W90" s="33">
        <v>0</v>
      </c>
      <c r="X90" s="33"/>
      <c r="Y90" s="33"/>
      <c r="Z90" s="42"/>
      <c r="AA90" s="60"/>
      <c r="AB90" s="105"/>
      <c r="AC90" s="93"/>
      <c r="AD90" s="33">
        <f t="shared" si="79"/>
        <v>0</v>
      </c>
      <c r="AE90" s="33">
        <f t="shared" si="80"/>
        <v>5877</v>
      </c>
      <c r="AF90" s="33">
        <f t="shared" si="81"/>
        <v>5877</v>
      </c>
      <c r="AH90" s="692" t="s">
        <v>122</v>
      </c>
      <c r="AI90" s="33">
        <v>0</v>
      </c>
      <c r="AJ90" s="33">
        <v>0</v>
      </c>
    </row>
    <row r="91" spans="2:36" ht="13" hidden="1" outlineLevel="1" x14ac:dyDescent="0.3">
      <c r="B91" s="31" t="s">
        <v>123</v>
      </c>
      <c r="C91" s="33">
        <v>0</v>
      </c>
      <c r="D91" s="33">
        <v>0</v>
      </c>
      <c r="E91" s="23">
        <v>0</v>
      </c>
      <c r="F91" s="23">
        <v>0</v>
      </c>
      <c r="G91" s="23">
        <v>0</v>
      </c>
      <c r="H91" s="23">
        <v>0</v>
      </c>
      <c r="I91" s="23">
        <v>0</v>
      </c>
      <c r="J91" s="23">
        <v>0</v>
      </c>
      <c r="K91" s="23">
        <f t="shared" si="73"/>
        <v>0</v>
      </c>
      <c r="L91" s="33">
        <f t="shared" si="74"/>
        <v>0</v>
      </c>
      <c r="M91" s="33">
        <f t="shared" si="75"/>
        <v>0</v>
      </c>
      <c r="N91" s="33">
        <v>0</v>
      </c>
      <c r="O91" s="33">
        <v>0</v>
      </c>
      <c r="P91" s="33">
        <v>0</v>
      </c>
      <c r="Q91" s="33">
        <v>0</v>
      </c>
      <c r="R91" s="33">
        <v>0</v>
      </c>
      <c r="S91" s="33">
        <f t="shared" si="76"/>
        <v>0</v>
      </c>
      <c r="T91" s="38" t="str">
        <f t="shared" si="77"/>
        <v>∞</v>
      </c>
      <c r="U91" s="59">
        <f t="shared" si="78"/>
        <v>0</v>
      </c>
      <c r="V91" s="33">
        <v>0</v>
      </c>
      <c r="W91" s="33">
        <v>0</v>
      </c>
      <c r="X91" s="33"/>
      <c r="Y91" s="33"/>
      <c r="Z91" s="42"/>
      <c r="AA91" s="60"/>
      <c r="AB91" s="105"/>
      <c r="AC91" s="93"/>
      <c r="AD91" s="33">
        <f t="shared" si="79"/>
        <v>0</v>
      </c>
      <c r="AE91" s="33">
        <f t="shared" si="80"/>
        <v>0</v>
      </c>
      <c r="AF91" s="33">
        <f t="shared" si="81"/>
        <v>0</v>
      </c>
      <c r="AH91" s="692" t="s">
        <v>123</v>
      </c>
      <c r="AI91" s="33">
        <v>0</v>
      </c>
      <c r="AJ91" s="33">
        <v>0</v>
      </c>
    </row>
    <row r="92" spans="2:36" ht="13" hidden="1" outlineLevel="1" x14ac:dyDescent="0.3">
      <c r="B92" s="31" t="s">
        <v>124</v>
      </c>
      <c r="C92" s="33">
        <v>0</v>
      </c>
      <c r="D92" s="33">
        <v>0</v>
      </c>
      <c r="E92" s="23">
        <v>0</v>
      </c>
      <c r="F92" s="23">
        <v>0</v>
      </c>
      <c r="G92" s="23">
        <v>0</v>
      </c>
      <c r="H92" s="23">
        <v>0</v>
      </c>
      <c r="I92" s="23">
        <v>0</v>
      </c>
      <c r="J92" s="23">
        <v>0</v>
      </c>
      <c r="K92" s="23">
        <f t="shared" si="73"/>
        <v>0</v>
      </c>
      <c r="L92" s="33">
        <f t="shared" si="74"/>
        <v>0</v>
      </c>
      <c r="M92" s="33">
        <f t="shared" si="75"/>
        <v>0</v>
      </c>
      <c r="N92" s="33">
        <v>0</v>
      </c>
      <c r="O92" s="33">
        <v>0</v>
      </c>
      <c r="P92" s="33">
        <v>0</v>
      </c>
      <c r="Q92" s="33">
        <v>0</v>
      </c>
      <c r="R92" s="33">
        <v>0</v>
      </c>
      <c r="S92" s="33">
        <f t="shared" si="76"/>
        <v>0</v>
      </c>
      <c r="T92" s="38" t="str">
        <f t="shared" si="77"/>
        <v>∞</v>
      </c>
      <c r="U92" s="59">
        <f t="shared" si="78"/>
        <v>0</v>
      </c>
      <c r="V92" s="33">
        <v>0</v>
      </c>
      <c r="W92" s="33">
        <v>0</v>
      </c>
      <c r="X92" s="33"/>
      <c r="Y92" s="33"/>
      <c r="Z92" s="42"/>
      <c r="AA92" s="60"/>
      <c r="AB92" s="105"/>
      <c r="AC92" s="93"/>
      <c r="AD92" s="33">
        <f t="shared" si="79"/>
        <v>0</v>
      </c>
      <c r="AE92" s="33">
        <f t="shared" si="80"/>
        <v>0</v>
      </c>
      <c r="AF92" s="33">
        <f t="shared" si="81"/>
        <v>0</v>
      </c>
      <c r="AH92" s="692" t="s">
        <v>124</v>
      </c>
      <c r="AI92" s="33">
        <v>0</v>
      </c>
      <c r="AJ92" s="33">
        <v>0</v>
      </c>
    </row>
    <row r="93" spans="2:36" ht="13" outlineLevel="1" x14ac:dyDescent="0.3">
      <c r="B93" s="31" t="s">
        <v>125</v>
      </c>
      <c r="C93" s="33">
        <v>0</v>
      </c>
      <c r="D93" s="33">
        <v>0</v>
      </c>
      <c r="E93" s="23">
        <v>0</v>
      </c>
      <c r="F93" s="23">
        <v>0</v>
      </c>
      <c r="G93" s="23">
        <v>0</v>
      </c>
      <c r="H93" s="23">
        <v>0</v>
      </c>
      <c r="I93" s="23">
        <v>0</v>
      </c>
      <c r="J93" s="23">
        <v>0</v>
      </c>
      <c r="K93" s="23">
        <f t="shared" si="73"/>
        <v>0</v>
      </c>
      <c r="L93" s="33">
        <f t="shared" si="74"/>
        <v>0</v>
      </c>
      <c r="M93" s="33">
        <f t="shared" si="75"/>
        <v>0</v>
      </c>
      <c r="N93" s="33">
        <v>0</v>
      </c>
      <c r="O93" s="33">
        <v>77</v>
      </c>
      <c r="P93" s="33">
        <v>0</v>
      </c>
      <c r="Q93" s="33">
        <v>77</v>
      </c>
      <c r="R93" s="33">
        <v>0</v>
      </c>
      <c r="S93" s="33">
        <f t="shared" si="76"/>
        <v>77</v>
      </c>
      <c r="T93" s="38" t="str">
        <f t="shared" si="77"/>
        <v>∞</v>
      </c>
      <c r="U93" s="59">
        <f t="shared" si="78"/>
        <v>0</v>
      </c>
      <c r="V93" s="33">
        <v>0</v>
      </c>
      <c r="W93" s="33">
        <v>0</v>
      </c>
      <c r="X93" s="33"/>
      <c r="Y93" s="33"/>
      <c r="Z93" s="42"/>
      <c r="AA93" s="60"/>
      <c r="AB93" s="105"/>
      <c r="AC93" s="93"/>
      <c r="AD93" s="33">
        <f t="shared" si="79"/>
        <v>0</v>
      </c>
      <c r="AE93" s="33">
        <f t="shared" si="80"/>
        <v>77</v>
      </c>
      <c r="AF93" s="33">
        <f t="shared" si="81"/>
        <v>77</v>
      </c>
      <c r="AH93" s="692" t="s">
        <v>125</v>
      </c>
      <c r="AI93" s="33">
        <v>77</v>
      </c>
      <c r="AJ93" s="33">
        <v>77</v>
      </c>
    </row>
    <row r="94" spans="2:36" ht="13" outlineLevel="1" x14ac:dyDescent="0.3">
      <c r="B94" s="31" t="s">
        <v>126</v>
      </c>
      <c r="C94" s="33">
        <v>0</v>
      </c>
      <c r="D94" s="33">
        <v>0</v>
      </c>
      <c r="E94" s="23">
        <v>0</v>
      </c>
      <c r="F94" s="23">
        <v>0</v>
      </c>
      <c r="G94" s="23">
        <v>0</v>
      </c>
      <c r="H94" s="23">
        <v>0</v>
      </c>
      <c r="I94" s="23">
        <v>0</v>
      </c>
      <c r="J94" s="23">
        <v>0</v>
      </c>
      <c r="K94" s="23">
        <f t="shared" si="73"/>
        <v>0</v>
      </c>
      <c r="L94" s="33">
        <f t="shared" si="74"/>
        <v>0</v>
      </c>
      <c r="M94" s="33">
        <f t="shared" si="75"/>
        <v>0</v>
      </c>
      <c r="N94" s="33">
        <v>0</v>
      </c>
      <c r="O94" s="33">
        <v>-77</v>
      </c>
      <c r="P94" s="33">
        <v>0</v>
      </c>
      <c r="Q94" s="33">
        <v>-77</v>
      </c>
      <c r="R94" s="33">
        <v>0</v>
      </c>
      <c r="S94" s="33">
        <f t="shared" si="76"/>
        <v>-77</v>
      </c>
      <c r="T94" s="38" t="str">
        <f t="shared" si="77"/>
        <v>∞</v>
      </c>
      <c r="U94" s="59">
        <f t="shared" si="78"/>
        <v>0</v>
      </c>
      <c r="V94" s="33">
        <v>0</v>
      </c>
      <c r="W94" s="33">
        <v>0</v>
      </c>
      <c r="X94" s="33"/>
      <c r="Y94" s="33"/>
      <c r="Z94" s="42"/>
      <c r="AA94" s="60"/>
      <c r="AB94" s="105"/>
      <c r="AC94" s="93"/>
      <c r="AD94" s="33">
        <f t="shared" si="79"/>
        <v>0</v>
      </c>
      <c r="AE94" s="33">
        <f t="shared" si="80"/>
        <v>-77</v>
      </c>
      <c r="AF94" s="33">
        <f t="shared" si="81"/>
        <v>-77</v>
      </c>
      <c r="AH94" s="692" t="s">
        <v>126</v>
      </c>
      <c r="AI94" s="33">
        <v>-77</v>
      </c>
      <c r="AJ94" s="33">
        <v>-77</v>
      </c>
    </row>
    <row r="95" spans="2:36" ht="13" outlineLevel="1" x14ac:dyDescent="0.3">
      <c r="B95" s="31" t="s">
        <v>127</v>
      </c>
      <c r="C95" s="33">
        <v>0</v>
      </c>
      <c r="D95" s="33">
        <v>0</v>
      </c>
      <c r="E95" s="23">
        <v>0</v>
      </c>
      <c r="F95" s="23">
        <v>0</v>
      </c>
      <c r="G95" s="23">
        <v>0</v>
      </c>
      <c r="H95" s="23">
        <v>0</v>
      </c>
      <c r="I95" s="23">
        <v>0</v>
      </c>
      <c r="J95" s="23">
        <v>0</v>
      </c>
      <c r="K95" s="23">
        <f t="shared" si="73"/>
        <v>0</v>
      </c>
      <c r="L95" s="33">
        <f t="shared" si="74"/>
        <v>0</v>
      </c>
      <c r="M95" s="33">
        <f t="shared" si="75"/>
        <v>0</v>
      </c>
      <c r="N95" s="33">
        <v>0</v>
      </c>
      <c r="O95" s="33">
        <v>12473</v>
      </c>
      <c r="P95" s="33">
        <v>0</v>
      </c>
      <c r="Q95" s="33">
        <v>12473</v>
      </c>
      <c r="R95" s="33">
        <v>0</v>
      </c>
      <c r="S95" s="33">
        <f t="shared" si="76"/>
        <v>12473</v>
      </c>
      <c r="T95" s="38" t="str">
        <f t="shared" si="77"/>
        <v>∞</v>
      </c>
      <c r="U95" s="59">
        <f t="shared" si="78"/>
        <v>0</v>
      </c>
      <c r="V95" s="33">
        <v>0</v>
      </c>
      <c r="W95" s="33">
        <v>0</v>
      </c>
      <c r="X95" s="33"/>
      <c r="Y95" s="33"/>
      <c r="Z95" s="42"/>
      <c r="AA95" s="60"/>
      <c r="AB95" s="105"/>
      <c r="AC95" s="93"/>
      <c r="AD95" s="33">
        <f t="shared" si="79"/>
        <v>0</v>
      </c>
      <c r="AE95" s="33">
        <f t="shared" si="80"/>
        <v>12473</v>
      </c>
      <c r="AF95" s="33">
        <f t="shared" si="81"/>
        <v>12473</v>
      </c>
      <c r="AH95" s="692" t="s">
        <v>127</v>
      </c>
      <c r="AI95" s="33">
        <v>12473</v>
      </c>
      <c r="AJ95" s="33">
        <v>12473</v>
      </c>
    </row>
    <row r="96" spans="2:36" ht="13" outlineLevel="1" x14ac:dyDescent="0.3">
      <c r="B96" s="31" t="s">
        <v>128</v>
      </c>
      <c r="C96" s="33">
        <v>0</v>
      </c>
      <c r="D96" s="33">
        <v>0</v>
      </c>
      <c r="E96" s="23">
        <v>0</v>
      </c>
      <c r="F96" s="23">
        <v>0</v>
      </c>
      <c r="G96" s="23">
        <v>0</v>
      </c>
      <c r="H96" s="23">
        <v>0</v>
      </c>
      <c r="I96" s="23">
        <v>0</v>
      </c>
      <c r="J96" s="23">
        <v>0</v>
      </c>
      <c r="K96" s="23">
        <f t="shared" si="73"/>
        <v>0</v>
      </c>
      <c r="L96" s="33">
        <f t="shared" si="74"/>
        <v>0</v>
      </c>
      <c r="M96" s="33">
        <f t="shared" si="75"/>
        <v>0</v>
      </c>
      <c r="N96" s="33">
        <v>0</v>
      </c>
      <c r="O96" s="33">
        <v>-12051</v>
      </c>
      <c r="P96" s="33">
        <v>0</v>
      </c>
      <c r="Q96" s="33">
        <v>-12051</v>
      </c>
      <c r="R96" s="33">
        <v>0</v>
      </c>
      <c r="S96" s="33">
        <f t="shared" si="76"/>
        <v>-12051</v>
      </c>
      <c r="T96" s="38" t="str">
        <f t="shared" si="77"/>
        <v>∞</v>
      </c>
      <c r="U96" s="59">
        <f t="shared" si="78"/>
        <v>0</v>
      </c>
      <c r="V96" s="33">
        <v>0</v>
      </c>
      <c r="W96" s="33">
        <v>0</v>
      </c>
      <c r="X96" s="33"/>
      <c r="Y96" s="33"/>
      <c r="Z96" s="42"/>
      <c r="AA96" s="60"/>
      <c r="AB96" s="105"/>
      <c r="AC96" s="93"/>
      <c r="AD96" s="33">
        <f t="shared" si="79"/>
        <v>0</v>
      </c>
      <c r="AE96" s="33">
        <f t="shared" si="80"/>
        <v>-12051</v>
      </c>
      <c r="AF96" s="33">
        <f t="shared" si="81"/>
        <v>-12051</v>
      </c>
      <c r="AH96" s="692" t="s">
        <v>128</v>
      </c>
      <c r="AI96" s="33">
        <v>-12051</v>
      </c>
      <c r="AJ96" s="33">
        <v>-12051</v>
      </c>
    </row>
    <row r="97" spans="2:36" ht="13" outlineLevel="1" x14ac:dyDescent="0.3">
      <c r="B97" s="31" t="s">
        <v>129</v>
      </c>
      <c r="C97" s="33">
        <v>0</v>
      </c>
      <c r="D97" s="33">
        <v>0</v>
      </c>
      <c r="E97" s="23">
        <v>0</v>
      </c>
      <c r="F97" s="23">
        <v>0</v>
      </c>
      <c r="G97" s="23">
        <v>0</v>
      </c>
      <c r="H97" s="23">
        <v>0</v>
      </c>
      <c r="I97" s="23">
        <v>0</v>
      </c>
      <c r="J97" s="23">
        <v>0</v>
      </c>
      <c r="K97" s="23">
        <f t="shared" si="73"/>
        <v>0</v>
      </c>
      <c r="L97" s="33">
        <f t="shared" si="74"/>
        <v>0</v>
      </c>
      <c r="M97" s="33">
        <f t="shared" si="75"/>
        <v>0</v>
      </c>
      <c r="N97" s="33">
        <v>0</v>
      </c>
      <c r="O97" s="33">
        <v>-422</v>
      </c>
      <c r="P97" s="33">
        <v>0</v>
      </c>
      <c r="Q97" s="33">
        <v>-422</v>
      </c>
      <c r="R97" s="33">
        <v>0</v>
      </c>
      <c r="S97" s="33">
        <f t="shared" si="76"/>
        <v>-422</v>
      </c>
      <c r="T97" s="38" t="str">
        <f t="shared" si="77"/>
        <v>∞</v>
      </c>
      <c r="U97" s="59">
        <f t="shared" si="78"/>
        <v>0</v>
      </c>
      <c r="V97" s="33">
        <v>0</v>
      </c>
      <c r="W97" s="33">
        <v>0</v>
      </c>
      <c r="X97" s="33"/>
      <c r="Y97" s="33"/>
      <c r="Z97" s="42"/>
      <c r="AA97" s="60"/>
      <c r="AB97" s="105"/>
      <c r="AC97" s="93"/>
      <c r="AD97" s="33">
        <f t="shared" si="79"/>
        <v>0</v>
      </c>
      <c r="AE97" s="33">
        <f t="shared" si="80"/>
        <v>-422</v>
      </c>
      <c r="AF97" s="33">
        <f t="shared" si="81"/>
        <v>-422</v>
      </c>
      <c r="AH97" s="692" t="s">
        <v>129</v>
      </c>
      <c r="AI97" s="33">
        <v>-422</v>
      </c>
      <c r="AJ97" s="33">
        <v>-422</v>
      </c>
    </row>
    <row r="98" spans="2:36" ht="13" hidden="1" outlineLevel="1" x14ac:dyDescent="0.3">
      <c r="B98" s="31" t="s">
        <v>130</v>
      </c>
      <c r="C98" s="33">
        <v>0</v>
      </c>
      <c r="D98" s="33">
        <v>0</v>
      </c>
      <c r="E98" s="23">
        <v>0</v>
      </c>
      <c r="F98" s="23">
        <v>0</v>
      </c>
      <c r="G98" s="23">
        <v>0</v>
      </c>
      <c r="H98" s="23">
        <v>0</v>
      </c>
      <c r="I98" s="23">
        <v>0</v>
      </c>
      <c r="J98" s="23">
        <v>0</v>
      </c>
      <c r="K98" s="23">
        <f t="shared" si="73"/>
        <v>0</v>
      </c>
      <c r="L98" s="33">
        <f t="shared" si="74"/>
        <v>0</v>
      </c>
      <c r="M98" s="33">
        <f t="shared" si="75"/>
        <v>0</v>
      </c>
      <c r="N98" s="33">
        <v>0</v>
      </c>
      <c r="O98" s="33">
        <v>0</v>
      </c>
      <c r="P98" s="33">
        <v>0</v>
      </c>
      <c r="Q98" s="33">
        <v>0</v>
      </c>
      <c r="R98" s="33">
        <v>0</v>
      </c>
      <c r="S98" s="33">
        <f t="shared" si="76"/>
        <v>0</v>
      </c>
      <c r="T98" s="38" t="str">
        <f t="shared" si="77"/>
        <v>∞</v>
      </c>
      <c r="U98" s="59">
        <f t="shared" si="78"/>
        <v>0</v>
      </c>
      <c r="V98" s="33">
        <v>0</v>
      </c>
      <c r="W98" s="33">
        <v>0</v>
      </c>
      <c r="X98" s="33"/>
      <c r="Y98" s="33"/>
      <c r="Z98" s="42"/>
      <c r="AA98" s="60"/>
      <c r="AB98" s="105"/>
      <c r="AC98" s="93"/>
      <c r="AD98" s="33">
        <f t="shared" si="79"/>
        <v>0</v>
      </c>
      <c r="AE98" s="33">
        <f t="shared" si="80"/>
        <v>0</v>
      </c>
      <c r="AF98" s="33">
        <f t="shared" si="81"/>
        <v>0</v>
      </c>
      <c r="AH98" s="692" t="s">
        <v>130</v>
      </c>
      <c r="AI98" s="33">
        <v>0</v>
      </c>
      <c r="AJ98" s="33">
        <v>0</v>
      </c>
    </row>
    <row r="99" spans="2:36" ht="13" hidden="1" outlineLevel="1" x14ac:dyDescent="0.3">
      <c r="B99" s="31" t="s">
        <v>131</v>
      </c>
      <c r="C99" s="33">
        <v>0</v>
      </c>
      <c r="D99" s="33">
        <v>0</v>
      </c>
      <c r="E99" s="23">
        <v>0</v>
      </c>
      <c r="F99" s="23">
        <v>0</v>
      </c>
      <c r="G99" s="23">
        <v>0</v>
      </c>
      <c r="H99" s="23">
        <v>0</v>
      </c>
      <c r="I99" s="23">
        <v>0</v>
      </c>
      <c r="J99" s="23">
        <v>0</v>
      </c>
      <c r="K99" s="23">
        <f t="shared" si="73"/>
        <v>0</v>
      </c>
      <c r="L99" s="33">
        <f t="shared" si="74"/>
        <v>0</v>
      </c>
      <c r="M99" s="33">
        <f t="shared" si="75"/>
        <v>0</v>
      </c>
      <c r="N99" s="33">
        <v>0</v>
      </c>
      <c r="O99" s="33">
        <v>0</v>
      </c>
      <c r="P99" s="33">
        <v>0</v>
      </c>
      <c r="Q99" s="33">
        <v>0</v>
      </c>
      <c r="R99" s="33">
        <v>0</v>
      </c>
      <c r="S99" s="33">
        <f t="shared" si="76"/>
        <v>0</v>
      </c>
      <c r="T99" s="38" t="str">
        <f t="shared" si="77"/>
        <v>∞</v>
      </c>
      <c r="U99" s="59">
        <f t="shared" si="78"/>
        <v>0</v>
      </c>
      <c r="V99" s="33">
        <v>0</v>
      </c>
      <c r="W99" s="33">
        <v>0</v>
      </c>
      <c r="X99" s="33"/>
      <c r="Y99" s="33"/>
      <c r="Z99" s="42"/>
      <c r="AA99" s="60"/>
      <c r="AB99" s="105"/>
      <c r="AC99" s="93"/>
      <c r="AD99" s="33">
        <f t="shared" si="79"/>
        <v>0</v>
      </c>
      <c r="AE99" s="33">
        <f t="shared" si="80"/>
        <v>0</v>
      </c>
      <c r="AF99" s="33">
        <f t="shared" si="81"/>
        <v>0</v>
      </c>
      <c r="AH99" s="692" t="s">
        <v>131</v>
      </c>
      <c r="AI99" s="33">
        <v>0</v>
      </c>
      <c r="AJ99" s="33">
        <v>0</v>
      </c>
    </row>
    <row r="100" spans="2:36" ht="13" outlineLevel="1" x14ac:dyDescent="0.3">
      <c r="B100" s="729" t="s">
        <v>132</v>
      </c>
      <c r="C100" s="33">
        <v>14098</v>
      </c>
      <c r="D100" s="33">
        <v>14098</v>
      </c>
      <c r="E100" s="23">
        <v>0</v>
      </c>
      <c r="F100" s="23">
        <v>0</v>
      </c>
      <c r="G100" s="23">
        <v>0</v>
      </c>
      <c r="H100" s="23">
        <v>0</v>
      </c>
      <c r="I100" s="23">
        <v>0</v>
      </c>
      <c r="J100" s="23">
        <v>0</v>
      </c>
      <c r="K100" s="23">
        <f t="shared" si="73"/>
        <v>0</v>
      </c>
      <c r="L100" s="33">
        <f t="shared" si="74"/>
        <v>0</v>
      </c>
      <c r="M100" s="33">
        <f t="shared" si="75"/>
        <v>0</v>
      </c>
      <c r="N100" s="33">
        <v>14098</v>
      </c>
      <c r="O100" s="33">
        <v>14098</v>
      </c>
      <c r="P100" s="33">
        <v>0</v>
      </c>
      <c r="Q100" s="33">
        <v>14098</v>
      </c>
      <c r="R100" s="33">
        <v>14098</v>
      </c>
      <c r="S100" s="33">
        <f t="shared" si="76"/>
        <v>0</v>
      </c>
      <c r="T100" s="38">
        <f t="shared" si="77"/>
        <v>1</v>
      </c>
      <c r="U100" s="59">
        <f t="shared" si="78"/>
        <v>14098</v>
      </c>
      <c r="V100" s="33">
        <v>0</v>
      </c>
      <c r="W100" s="33">
        <v>0</v>
      </c>
      <c r="X100" s="33"/>
      <c r="Y100" s="33"/>
      <c r="Z100" s="42"/>
      <c r="AA100" s="60"/>
      <c r="AB100" s="105"/>
      <c r="AC100" s="93"/>
      <c r="AD100" s="33">
        <f t="shared" si="79"/>
        <v>0</v>
      </c>
      <c r="AE100" s="33">
        <f t="shared" si="80"/>
        <v>14098</v>
      </c>
      <c r="AF100" s="33">
        <f t="shared" si="81"/>
        <v>0</v>
      </c>
      <c r="AH100" s="692" t="s">
        <v>132</v>
      </c>
      <c r="AI100" s="33">
        <v>14098</v>
      </c>
      <c r="AJ100" s="33">
        <v>0</v>
      </c>
    </row>
    <row r="101" spans="2:36" ht="13" outlineLevel="1" x14ac:dyDescent="0.3">
      <c r="B101" s="729" t="s">
        <v>133</v>
      </c>
      <c r="C101" s="33">
        <v>-20581</v>
      </c>
      <c r="D101" s="33">
        <v>-20581</v>
      </c>
      <c r="E101" s="23">
        <v>0</v>
      </c>
      <c r="F101" s="23">
        <v>0</v>
      </c>
      <c r="G101" s="23">
        <v>0</v>
      </c>
      <c r="H101" s="23">
        <v>0</v>
      </c>
      <c r="I101" s="23">
        <v>0</v>
      </c>
      <c r="J101" s="23">
        <v>0</v>
      </c>
      <c r="K101" s="23">
        <f t="shared" si="73"/>
        <v>0</v>
      </c>
      <c r="L101" s="33">
        <f t="shared" si="74"/>
        <v>0</v>
      </c>
      <c r="M101" s="33">
        <f t="shared" si="75"/>
        <v>0</v>
      </c>
      <c r="N101" s="33">
        <v>-20581</v>
      </c>
      <c r="O101" s="33">
        <v>-20581</v>
      </c>
      <c r="P101" s="33">
        <v>0</v>
      </c>
      <c r="Q101" s="701">
        <v>-20581</v>
      </c>
      <c r="R101" s="701">
        <v>-20581</v>
      </c>
      <c r="S101" s="33">
        <f t="shared" si="76"/>
        <v>0</v>
      </c>
      <c r="T101" s="38">
        <f t="shared" si="77"/>
        <v>1</v>
      </c>
      <c r="U101" s="59">
        <f t="shared" si="78"/>
        <v>-20581</v>
      </c>
      <c r="V101" s="33">
        <v>0</v>
      </c>
      <c r="W101" s="33">
        <v>0</v>
      </c>
      <c r="X101" s="33"/>
      <c r="Y101" s="33"/>
      <c r="Z101" s="42"/>
      <c r="AA101" s="60"/>
      <c r="AB101" s="105"/>
      <c r="AC101" s="93"/>
      <c r="AD101" s="33">
        <f t="shared" si="79"/>
        <v>0</v>
      </c>
      <c r="AE101" s="33">
        <f t="shared" si="80"/>
        <v>-20581</v>
      </c>
      <c r="AF101" s="33">
        <f t="shared" si="81"/>
        <v>0</v>
      </c>
      <c r="AH101" s="692" t="s">
        <v>133</v>
      </c>
      <c r="AI101" s="33">
        <v>-20581</v>
      </c>
      <c r="AJ101" s="33">
        <v>0</v>
      </c>
    </row>
    <row r="102" spans="2:36" ht="13" outlineLevel="1" x14ac:dyDescent="0.3">
      <c r="B102" s="729" t="s">
        <v>134</v>
      </c>
      <c r="C102" s="33">
        <v>-3149</v>
      </c>
      <c r="D102" s="33">
        <v>-3149</v>
      </c>
      <c r="E102" s="23">
        <v>0</v>
      </c>
      <c r="F102" s="23">
        <v>0</v>
      </c>
      <c r="G102" s="23">
        <v>0</v>
      </c>
      <c r="H102" s="23">
        <v>0</v>
      </c>
      <c r="I102" s="23">
        <v>0</v>
      </c>
      <c r="J102" s="23">
        <v>0</v>
      </c>
      <c r="K102" s="23">
        <f t="shared" si="73"/>
        <v>0</v>
      </c>
      <c r="L102" s="33">
        <f t="shared" si="74"/>
        <v>0</v>
      </c>
      <c r="M102" s="33">
        <f t="shared" si="75"/>
        <v>0</v>
      </c>
      <c r="N102" s="33">
        <v>-3149</v>
      </c>
      <c r="O102" s="33">
        <v>0</v>
      </c>
      <c r="P102" s="33">
        <v>-3149</v>
      </c>
      <c r="Q102" s="33">
        <v>-3149</v>
      </c>
      <c r="R102" s="33">
        <v>-3149</v>
      </c>
      <c r="S102" s="33">
        <f t="shared" si="76"/>
        <v>0</v>
      </c>
      <c r="T102" s="38">
        <f t="shared" si="77"/>
        <v>1</v>
      </c>
      <c r="U102" s="59">
        <f t="shared" si="78"/>
        <v>-3149</v>
      </c>
      <c r="V102" s="33">
        <v>0</v>
      </c>
      <c r="W102" s="33">
        <v>0</v>
      </c>
      <c r="X102" s="33"/>
      <c r="Y102" s="33"/>
      <c r="Z102" s="42"/>
      <c r="AA102" s="60"/>
      <c r="AB102" s="105"/>
      <c r="AC102" s="93"/>
      <c r="AD102" s="33">
        <f t="shared" si="79"/>
        <v>0</v>
      </c>
      <c r="AE102" s="33">
        <f t="shared" si="80"/>
        <v>-3149</v>
      </c>
      <c r="AF102" s="33">
        <f t="shared" si="81"/>
        <v>0</v>
      </c>
      <c r="AH102" s="692" t="s">
        <v>134</v>
      </c>
      <c r="AI102" s="33">
        <v>-3149</v>
      </c>
      <c r="AJ102" s="33">
        <v>0</v>
      </c>
    </row>
    <row r="103" spans="2:36"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3">
        <f t="shared" si="80"/>
        <v>0</v>
      </c>
      <c r="AF103" s="33">
        <f t="shared" si="81"/>
        <v>0</v>
      </c>
      <c r="AH103" s="696"/>
      <c r="AI103" s="33"/>
      <c r="AJ103" s="33"/>
    </row>
    <row r="104" spans="2:36" ht="13.5" thickBot="1" x14ac:dyDescent="0.35">
      <c r="B104" s="68" t="s">
        <v>135</v>
      </c>
      <c r="C104" s="69">
        <f t="shared" ref="C104:J104" si="82">SUM(C85:C85,C86:C86,C87:C87,C88:C88,C89:C89,C90:C90,C91:C91,C92:C92,C93:C93,C94:C94,C95:C95,C96:C96,C97:C97,C98:C98,C99:C99,C100:C100,C101:C101,C102:C102)</f>
        <v>-9632</v>
      </c>
      <c r="D104" s="69">
        <f t="shared" si="82"/>
        <v>-9632</v>
      </c>
      <c r="E104" s="77">
        <f t="shared" si="82"/>
        <v>0</v>
      </c>
      <c r="F104" s="77">
        <f t="shared" si="82"/>
        <v>0</v>
      </c>
      <c r="G104" s="77">
        <f t="shared" si="82"/>
        <v>0</v>
      </c>
      <c r="H104" s="77">
        <f t="shared" si="82"/>
        <v>0</v>
      </c>
      <c r="I104" s="77">
        <f t="shared" si="82"/>
        <v>0</v>
      </c>
      <c r="J104" s="77">
        <f t="shared" si="82"/>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-821</v>
      </c>
      <c r="P104" s="69">
        <f>SUM(P85:P85,P86:P86,P87:P87,P88:P88,P89:P89,P90:P90,P91:P91,P92:P92,P93:P93,P94:P94,P95:P95,P96:P96,P97:P97,P98:P98,P99:P99,P100:P100,P101:P101,P102:P102)</f>
        <v>-8811</v>
      </c>
      <c r="Q104" s="69">
        <f>SUM(Q85:Q85,Q86:Q86,Q87:Q87,Q88:Q88,Q89:Q89,Q90:Q90,Q91:Q91,Q92:Q92,Q93:Q93,Q94:Q94,Q95:Q95,Q96:Q96,Q97:Q97,Q98:Q98,Q99:Q99,Q100:Q100,Q101:Q101,Q102:Q102)</f>
        <v>-9632</v>
      </c>
      <c r="R104" s="69">
        <f>SUM(R85:R85,R86:R86,R87:R87,R88:R88,R89:R89,R90:R90,R91:R91,R92:R92,R93:R93,R94:R94,R95:R95,R96:R96,R97:R97,R98:R98,R99:R99,R100:R100,R101:R101,R102:R102)</f>
        <v>-9632</v>
      </c>
      <c r="S104" s="69">
        <f>Q104-R104</f>
        <v>0</v>
      </c>
      <c r="T104" s="70">
        <f>IFERROR((Q104/N104)*100%,"∞")</f>
        <v>1</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-9632</v>
      </c>
      <c r="AF104" s="69">
        <f>SUM(AF85:AF85,AF86:AF86,AF87:AF87,AF88:AF88,AF89:AF89,AF90:AF90,AF91:AF91,AF92:AF92,AF93:AF93,AF94:AF94,AF95:AF95,AF96:AF96,AF97:AF97,AF98:AF98,AF99:AF99,AF100:AF100,AF101:AF101,AF102:AF102)</f>
        <v>0</v>
      </c>
      <c r="AH104" s="697" t="s">
        <v>135</v>
      </c>
      <c r="AI104" s="33">
        <v>-9632</v>
      </c>
      <c r="AJ104" s="33">
        <v>0</v>
      </c>
    </row>
    <row r="105" spans="2:36"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2"/>
      <c r="AH105" s="695"/>
      <c r="AI105" s="33"/>
      <c r="AJ105" s="33"/>
    </row>
    <row r="106" spans="2:36" ht="13" x14ac:dyDescent="0.3">
      <c r="B106" s="78" t="s">
        <v>136</v>
      </c>
      <c r="C106" s="34">
        <f t="shared" ref="C106:J106" si="83">SUM(C107:C116,C140:C140)</f>
        <v>-1226</v>
      </c>
      <c r="D106" s="34">
        <f t="shared" si="83"/>
        <v>-1226</v>
      </c>
      <c r="E106" s="24">
        <f t="shared" si="83"/>
        <v>0</v>
      </c>
      <c r="F106" s="24">
        <f t="shared" si="83"/>
        <v>33</v>
      </c>
      <c r="G106" s="24">
        <f t="shared" si="83"/>
        <v>0</v>
      </c>
      <c r="H106" s="24">
        <f t="shared" si="83"/>
        <v>50</v>
      </c>
      <c r="I106" s="24">
        <f t="shared" si="83"/>
        <v>0</v>
      </c>
      <c r="J106" s="24">
        <f t="shared" si="83"/>
        <v>0</v>
      </c>
      <c r="K106" s="24">
        <f>SUM(K107:K140)</f>
        <v>-21016</v>
      </c>
      <c r="L106" s="34">
        <f>N106-D106</f>
        <v>50</v>
      </c>
      <c r="M106" s="34">
        <f>N106-C106</f>
        <v>50</v>
      </c>
      <c r="N106" s="34">
        <f>SUM(N107:N116,N140:N140)</f>
        <v>-1176</v>
      </c>
      <c r="O106" s="34">
        <f>SUM(O107:O116,O140:O140)</f>
        <v>55135</v>
      </c>
      <c r="P106" s="34">
        <f>SUM(P107:P116,P140:P140)</f>
        <v>-56876</v>
      </c>
      <c r="Q106" s="34">
        <f>SUM(Q107:Q116,Q140:Q140)</f>
        <v>-1741</v>
      </c>
      <c r="R106" s="34">
        <f>SUM(R107:R116,R140:R140)</f>
        <v>-1176</v>
      </c>
      <c r="S106" s="34">
        <f>Q106-R106</f>
        <v>-565</v>
      </c>
      <c r="T106" s="94">
        <f>IFERROR((Q106/N106)*100%,"∞")</f>
        <v>1.4804421768707483</v>
      </c>
      <c r="U106" s="95">
        <f>N106+V106</f>
        <v>-1176</v>
      </c>
      <c r="V106" s="34">
        <f>SUM(V107:V116,V140:V140)</f>
        <v>0</v>
      </c>
      <c r="W106" s="34">
        <f>SUM(W107:W116,W140:W140)</f>
        <v>0</v>
      </c>
      <c r="X106" s="34"/>
      <c r="Y106" s="34"/>
      <c r="Z106" s="41"/>
      <c r="AA106" s="60"/>
      <c r="AB106" s="100">
        <f>SUM(AB107:AB116,AB140:AB140)</f>
        <v>0</v>
      </c>
      <c r="AC106" s="33">
        <f>SUM(AC107:AC116,AC140:AC140)</f>
        <v>0</v>
      </c>
      <c r="AD106" s="33">
        <f>SUM(AD107:AD116,AD140:AD140)</f>
        <v>0</v>
      </c>
      <c r="AE106" s="33">
        <f>SUM(AE107:AE116,AE140:AE140)</f>
        <v>-1741</v>
      </c>
      <c r="AF106" s="33">
        <f>SUM(AF107:AF116,AF140:AF140)</f>
        <v>-565</v>
      </c>
      <c r="AH106" s="698" t="s">
        <v>136</v>
      </c>
      <c r="AI106" s="33">
        <v>-1741</v>
      </c>
      <c r="AJ106" s="33">
        <v>-565</v>
      </c>
    </row>
    <row r="107" spans="2:36" ht="13" outlineLevel="1" x14ac:dyDescent="0.3">
      <c r="B107" s="730" t="s">
        <v>137</v>
      </c>
      <c r="C107" s="33">
        <v>380</v>
      </c>
      <c r="D107" s="33">
        <v>380</v>
      </c>
      <c r="E107" s="23">
        <v>0</v>
      </c>
      <c r="F107" s="23">
        <v>33</v>
      </c>
      <c r="G107" s="23">
        <v>0</v>
      </c>
      <c r="H107" s="23">
        <v>50</v>
      </c>
      <c r="I107" s="23">
        <v>0</v>
      </c>
      <c r="J107" s="23">
        <v>0</v>
      </c>
      <c r="K107" s="23">
        <f>SUM(E107:J107)</f>
        <v>83</v>
      </c>
      <c r="L107" s="33">
        <f>N107-D107</f>
        <v>50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33">
        <f>AE107-N107</f>
        <v>1406</v>
      </c>
      <c r="AH107" s="699" t="s">
        <v>137</v>
      </c>
      <c r="AI107" s="33">
        <v>1836</v>
      </c>
      <c r="AJ107" s="33">
        <v>1406</v>
      </c>
    </row>
    <row r="108" spans="2:36" ht="13" outlineLevel="1" x14ac:dyDescent="0.3">
      <c r="B108" s="79" t="s">
        <v>138</v>
      </c>
      <c r="C108" s="33">
        <v>3062</v>
      </c>
      <c r="D108" s="33">
        <v>3062</v>
      </c>
      <c r="E108" s="23">
        <v>0</v>
      </c>
      <c r="F108" s="23">
        <v>0</v>
      </c>
      <c r="G108" s="23">
        <v>0</v>
      </c>
      <c r="H108" s="23">
        <v>0</v>
      </c>
      <c r="I108" s="23">
        <v>0</v>
      </c>
      <c r="J108" s="23">
        <v>0</v>
      </c>
      <c r="K108" s="23">
        <f t="shared" ref="K108:K115" si="84">SUM(E108:J108)</f>
        <v>0</v>
      </c>
      <c r="L108" s="33">
        <f t="shared" ref="L108:L115" si="85">N108-D108</f>
        <v>0</v>
      </c>
      <c r="M108" s="33">
        <f t="shared" ref="M108:M115" si="86">N108-C108</f>
        <v>0</v>
      </c>
      <c r="N108" s="33">
        <v>3062</v>
      </c>
      <c r="O108" s="33">
        <v>3062</v>
      </c>
      <c r="P108" s="33">
        <v>0</v>
      </c>
      <c r="Q108" s="33">
        <v>3062</v>
      </c>
      <c r="R108" s="33">
        <v>3062</v>
      </c>
      <c r="S108" s="33">
        <f t="shared" ref="S108:S115" si="87">Q108-R108</f>
        <v>0</v>
      </c>
      <c r="T108" s="38">
        <f t="shared" ref="T108:T115" si="88">IFERROR((Q108/N108)*100%,"∞")</f>
        <v>1</v>
      </c>
      <c r="U108" s="59">
        <f t="shared" ref="U108:U115" si="89">N108+V108</f>
        <v>3062</v>
      </c>
      <c r="V108" s="33">
        <v>0</v>
      </c>
      <c r="W108" s="33">
        <v>0</v>
      </c>
      <c r="X108" s="33"/>
      <c r="Y108" s="33"/>
      <c r="Z108" s="42"/>
      <c r="AA108" s="60"/>
      <c r="AB108" s="105"/>
      <c r="AC108" s="93"/>
      <c r="AD108" s="33">
        <f t="shared" ref="AD108:AD115" si="90">SUM(AB108:AC108)</f>
        <v>0</v>
      </c>
      <c r="AE108" s="33">
        <f t="shared" ref="AE108:AE115" si="91">Q108+AD108</f>
        <v>3062</v>
      </c>
      <c r="AF108" s="33">
        <f t="shared" ref="AF108:AF115" si="92">AE108-N108</f>
        <v>0</v>
      </c>
      <c r="AH108" s="699" t="s">
        <v>138</v>
      </c>
      <c r="AI108" s="33">
        <v>3062</v>
      </c>
      <c r="AJ108" s="33">
        <v>0</v>
      </c>
    </row>
    <row r="109" spans="2:36" ht="13" outlineLevel="1" x14ac:dyDescent="0.3">
      <c r="B109" s="79" t="s">
        <v>139</v>
      </c>
      <c r="C109" s="33">
        <v>602</v>
      </c>
      <c r="D109" s="33">
        <v>602</v>
      </c>
      <c r="E109" s="23">
        <v>0</v>
      </c>
      <c r="F109" s="23">
        <v>0</v>
      </c>
      <c r="G109" s="23">
        <v>0</v>
      </c>
      <c r="H109" s="23">
        <v>0</v>
      </c>
      <c r="I109" s="23">
        <v>0</v>
      </c>
      <c r="J109" s="23">
        <v>0</v>
      </c>
      <c r="K109" s="23">
        <f t="shared" si="84"/>
        <v>0</v>
      </c>
      <c r="L109" s="33">
        <f t="shared" si="85"/>
        <v>0</v>
      </c>
      <c r="M109" s="33">
        <f t="shared" si="86"/>
        <v>0</v>
      </c>
      <c r="N109" s="33">
        <v>602</v>
      </c>
      <c r="O109" s="33">
        <v>422</v>
      </c>
      <c r="P109" s="33">
        <v>0</v>
      </c>
      <c r="Q109" s="33">
        <v>422</v>
      </c>
      <c r="R109" s="33">
        <v>602</v>
      </c>
      <c r="S109" s="33">
        <f t="shared" si="87"/>
        <v>-180</v>
      </c>
      <c r="T109" s="38">
        <f t="shared" si="88"/>
        <v>0.70099667774086383</v>
      </c>
      <c r="U109" s="59">
        <f t="shared" si="89"/>
        <v>602</v>
      </c>
      <c r="V109" s="33">
        <v>0</v>
      </c>
      <c r="W109" s="33">
        <v>0</v>
      </c>
      <c r="X109" s="33"/>
      <c r="Y109" s="33"/>
      <c r="Z109" s="42"/>
      <c r="AA109" s="60"/>
      <c r="AB109" s="105"/>
      <c r="AC109" s="93"/>
      <c r="AD109" s="33">
        <f t="shared" si="90"/>
        <v>0</v>
      </c>
      <c r="AE109" s="33">
        <f t="shared" si="91"/>
        <v>422</v>
      </c>
      <c r="AF109" s="33">
        <f t="shared" si="92"/>
        <v>-180</v>
      </c>
      <c r="AH109" s="699" t="s">
        <v>139</v>
      </c>
      <c r="AI109" s="33">
        <v>422</v>
      </c>
      <c r="AJ109" s="33">
        <v>-180</v>
      </c>
    </row>
    <row r="110" spans="2:36" ht="13" outlineLevel="1" x14ac:dyDescent="0.3">
      <c r="B110" s="79" t="s">
        <v>141</v>
      </c>
      <c r="C110" s="33">
        <v>8581</v>
      </c>
      <c r="D110" s="33">
        <v>8581</v>
      </c>
      <c r="E110" s="23">
        <v>0</v>
      </c>
      <c r="F110" s="23">
        <v>0</v>
      </c>
      <c r="G110" s="23">
        <v>0</v>
      </c>
      <c r="H110" s="23">
        <v>0</v>
      </c>
      <c r="I110" s="23">
        <v>0</v>
      </c>
      <c r="J110" s="23">
        <v>0</v>
      </c>
      <c r="K110" s="23">
        <f t="shared" si="84"/>
        <v>0</v>
      </c>
      <c r="L110" s="33">
        <f t="shared" si="85"/>
        <v>0</v>
      </c>
      <c r="M110" s="33">
        <f t="shared" si="86"/>
        <v>0</v>
      </c>
      <c r="N110" s="33">
        <v>8581</v>
      </c>
      <c r="O110" s="33">
        <v>6846</v>
      </c>
      <c r="P110" s="33">
        <v>0</v>
      </c>
      <c r="Q110" s="33">
        <v>6846</v>
      </c>
      <c r="R110" s="33">
        <v>8581</v>
      </c>
      <c r="S110" s="33">
        <f t="shared" si="87"/>
        <v>-1735</v>
      </c>
      <c r="T110" s="38">
        <f t="shared" si="88"/>
        <v>0.79780911315697467</v>
      </c>
      <c r="U110" s="59">
        <f t="shared" si="89"/>
        <v>8581</v>
      </c>
      <c r="V110" s="33">
        <v>0</v>
      </c>
      <c r="W110" s="33">
        <v>0</v>
      </c>
      <c r="X110" s="33"/>
      <c r="Y110" s="33"/>
      <c r="Z110" s="42"/>
      <c r="AA110" s="60"/>
      <c r="AB110" s="105"/>
      <c r="AC110" s="93"/>
      <c r="AD110" s="33">
        <f t="shared" si="90"/>
        <v>0</v>
      </c>
      <c r="AE110" s="33">
        <f t="shared" si="91"/>
        <v>6846</v>
      </c>
      <c r="AF110" s="33">
        <f t="shared" si="92"/>
        <v>-1735</v>
      </c>
      <c r="AH110" s="699" t="s">
        <v>141</v>
      </c>
      <c r="AI110" s="33">
        <v>6846</v>
      </c>
      <c r="AJ110" s="33">
        <v>-1735</v>
      </c>
    </row>
    <row r="111" spans="2:36" ht="13" outlineLevel="1" x14ac:dyDescent="0.3">
      <c r="B111" s="79" t="s">
        <v>142</v>
      </c>
      <c r="C111" s="33">
        <v>-4597</v>
      </c>
      <c r="D111" s="33">
        <v>-4597</v>
      </c>
      <c r="E111" s="23">
        <v>0</v>
      </c>
      <c r="F111" s="23">
        <v>0</v>
      </c>
      <c r="G111" s="23">
        <v>0</v>
      </c>
      <c r="H111" s="23">
        <v>0</v>
      </c>
      <c r="I111" s="23">
        <v>0</v>
      </c>
      <c r="J111" s="23">
        <v>0</v>
      </c>
      <c r="K111" s="23">
        <f t="shared" si="84"/>
        <v>0</v>
      </c>
      <c r="L111" s="33">
        <f t="shared" si="85"/>
        <v>0</v>
      </c>
      <c r="M111" s="33">
        <f t="shared" si="86"/>
        <v>0</v>
      </c>
      <c r="N111" s="33">
        <v>-4597</v>
      </c>
      <c r="O111" s="33">
        <v>390</v>
      </c>
      <c r="P111" s="33">
        <v>-5737</v>
      </c>
      <c r="Q111" s="33">
        <v>-5347</v>
      </c>
      <c r="R111" s="33">
        <v>-4597</v>
      </c>
      <c r="S111" s="33">
        <f t="shared" si="87"/>
        <v>-750</v>
      </c>
      <c r="T111" s="38">
        <f t="shared" si="88"/>
        <v>1.1631498803567544</v>
      </c>
      <c r="U111" s="59">
        <f t="shared" si="89"/>
        <v>-4597</v>
      </c>
      <c r="V111" s="33">
        <v>0</v>
      </c>
      <c r="W111" s="33">
        <v>0</v>
      </c>
      <c r="X111" s="33"/>
      <c r="Y111" s="33"/>
      <c r="Z111" s="42"/>
      <c r="AA111" s="60"/>
      <c r="AB111" s="105"/>
      <c r="AC111" s="93"/>
      <c r="AD111" s="33">
        <f t="shared" si="90"/>
        <v>0</v>
      </c>
      <c r="AE111" s="33">
        <f t="shared" si="91"/>
        <v>-5347</v>
      </c>
      <c r="AF111" s="33">
        <f t="shared" si="92"/>
        <v>-750</v>
      </c>
      <c r="AH111" s="699" t="s">
        <v>142</v>
      </c>
      <c r="AI111" s="33">
        <v>-5347</v>
      </c>
      <c r="AJ111" s="33">
        <v>-750</v>
      </c>
    </row>
    <row r="112" spans="2:36" ht="13" outlineLevel="1" x14ac:dyDescent="0.3">
      <c r="B112" s="79" t="s">
        <v>143</v>
      </c>
      <c r="C112" s="33">
        <v>-8990</v>
      </c>
      <c r="D112" s="33">
        <v>-8990</v>
      </c>
      <c r="E112" s="23">
        <v>0</v>
      </c>
      <c r="F112" s="23">
        <v>0</v>
      </c>
      <c r="G112" s="23">
        <v>0</v>
      </c>
      <c r="H112" s="23">
        <v>0</v>
      </c>
      <c r="I112" s="23">
        <v>0</v>
      </c>
      <c r="J112" s="23">
        <v>0</v>
      </c>
      <c r="K112" s="23">
        <f t="shared" si="84"/>
        <v>0</v>
      </c>
      <c r="L112" s="33">
        <f t="shared" si="85"/>
        <v>0</v>
      </c>
      <c r="M112" s="33">
        <f t="shared" si="86"/>
        <v>0</v>
      </c>
      <c r="N112" s="33">
        <v>-8990</v>
      </c>
      <c r="O112" s="33">
        <v>0</v>
      </c>
      <c r="P112" s="33">
        <v>-7636</v>
      </c>
      <c r="Q112" s="33">
        <v>-7636</v>
      </c>
      <c r="R112" s="33">
        <v>-8990</v>
      </c>
      <c r="S112" s="33">
        <f t="shared" si="87"/>
        <v>1354</v>
      </c>
      <c r="T112" s="38">
        <f t="shared" si="88"/>
        <v>0.8493882091212458</v>
      </c>
      <c r="U112" s="59">
        <f t="shared" si="89"/>
        <v>-8990</v>
      </c>
      <c r="V112" s="33">
        <v>0</v>
      </c>
      <c r="W112" s="33">
        <v>0</v>
      </c>
      <c r="X112" s="33"/>
      <c r="Y112" s="33"/>
      <c r="Z112" s="42"/>
      <c r="AA112" s="60"/>
      <c r="AB112" s="105"/>
      <c r="AC112" s="93"/>
      <c r="AD112" s="33">
        <f t="shared" si="90"/>
        <v>0</v>
      </c>
      <c r="AE112" s="33">
        <f t="shared" si="91"/>
        <v>-7636</v>
      </c>
      <c r="AF112" s="33">
        <f t="shared" si="92"/>
        <v>1354</v>
      </c>
      <c r="AH112" s="699" t="s">
        <v>143</v>
      </c>
      <c r="AI112" s="33">
        <v>-7636</v>
      </c>
      <c r="AJ112" s="33">
        <v>1354</v>
      </c>
    </row>
    <row r="113" spans="2:36" ht="13" outlineLevel="1" x14ac:dyDescent="0.3">
      <c r="B113" s="730" t="s">
        <v>144</v>
      </c>
      <c r="C113" s="33">
        <v>-646</v>
      </c>
      <c r="D113" s="33">
        <v>-646</v>
      </c>
      <c r="E113" s="23">
        <v>0</v>
      </c>
      <c r="F113" s="23">
        <v>0</v>
      </c>
      <c r="G113" s="23">
        <v>0</v>
      </c>
      <c r="H113" s="23">
        <v>0</v>
      </c>
      <c r="I113" s="23">
        <v>0</v>
      </c>
      <c r="J113" s="23">
        <v>0</v>
      </c>
      <c r="K113" s="23">
        <f t="shared" si="84"/>
        <v>0</v>
      </c>
      <c r="L113" s="33">
        <f t="shared" si="85"/>
        <v>0</v>
      </c>
      <c r="M113" s="33">
        <f t="shared" si="86"/>
        <v>0</v>
      </c>
      <c r="N113" s="33">
        <v>-646</v>
      </c>
      <c r="O113" s="33">
        <v>0</v>
      </c>
      <c r="P113" s="33">
        <v>-453</v>
      </c>
      <c r="Q113" s="33">
        <v>-453</v>
      </c>
      <c r="R113" s="33">
        <v>-646</v>
      </c>
      <c r="S113" s="33">
        <f t="shared" si="87"/>
        <v>193</v>
      </c>
      <c r="T113" s="38">
        <f t="shared" si="88"/>
        <v>0.70123839009287925</v>
      </c>
      <c r="U113" s="59">
        <f t="shared" si="89"/>
        <v>-646</v>
      </c>
      <c r="V113" s="33">
        <v>0</v>
      </c>
      <c r="W113" s="33">
        <v>0</v>
      </c>
      <c r="X113" s="33"/>
      <c r="Y113" s="33"/>
      <c r="Z113" s="42"/>
      <c r="AA113" s="60"/>
      <c r="AB113" s="105"/>
      <c r="AC113" s="93"/>
      <c r="AD113" s="33">
        <f t="shared" si="90"/>
        <v>0</v>
      </c>
      <c r="AE113" s="33">
        <f t="shared" si="91"/>
        <v>-453</v>
      </c>
      <c r="AF113" s="33">
        <f t="shared" si="92"/>
        <v>193</v>
      </c>
      <c r="AH113" s="699" t="s">
        <v>144</v>
      </c>
      <c r="AI113" s="33">
        <v>-453</v>
      </c>
      <c r="AJ113" s="33">
        <v>193</v>
      </c>
    </row>
    <row r="114" spans="2:36" ht="13" outlineLevel="1" x14ac:dyDescent="0.3">
      <c r="B114" s="730" t="s">
        <v>145</v>
      </c>
      <c r="C114" s="33">
        <v>687</v>
      </c>
      <c r="D114" s="33">
        <v>687</v>
      </c>
      <c r="E114" s="23">
        <v>0</v>
      </c>
      <c r="F114" s="23">
        <v>0</v>
      </c>
      <c r="G114" s="23">
        <v>0</v>
      </c>
      <c r="H114" s="23">
        <v>0</v>
      </c>
      <c r="I114" s="23">
        <v>0</v>
      </c>
      <c r="J114" s="23">
        <v>0</v>
      </c>
      <c r="K114" s="23">
        <f t="shared" si="84"/>
        <v>0</v>
      </c>
      <c r="L114" s="33">
        <f t="shared" si="85"/>
        <v>0</v>
      </c>
      <c r="M114" s="33">
        <f t="shared" si="86"/>
        <v>0</v>
      </c>
      <c r="N114" s="33">
        <v>687</v>
      </c>
      <c r="O114" s="33">
        <v>0</v>
      </c>
      <c r="P114" s="33">
        <v>0</v>
      </c>
      <c r="Q114" s="33">
        <v>0</v>
      </c>
      <c r="R114" s="33">
        <v>687</v>
      </c>
      <c r="S114" s="33">
        <f t="shared" si="87"/>
        <v>-687</v>
      </c>
      <c r="T114" s="38">
        <f t="shared" si="88"/>
        <v>0</v>
      </c>
      <c r="U114" s="59">
        <f t="shared" si="89"/>
        <v>687</v>
      </c>
      <c r="V114" s="33">
        <v>0</v>
      </c>
      <c r="W114" s="33">
        <v>0</v>
      </c>
      <c r="X114" s="33"/>
      <c r="Y114" s="33"/>
      <c r="Z114" s="42"/>
      <c r="AA114" s="60"/>
      <c r="AB114" s="105"/>
      <c r="AC114" s="93"/>
      <c r="AD114" s="33">
        <f t="shared" si="90"/>
        <v>0</v>
      </c>
      <c r="AE114" s="33">
        <f t="shared" si="91"/>
        <v>0</v>
      </c>
      <c r="AF114" s="33">
        <f t="shared" si="92"/>
        <v>-687</v>
      </c>
      <c r="AH114" s="699" t="s">
        <v>145</v>
      </c>
      <c r="AI114" s="33">
        <v>0</v>
      </c>
      <c r="AJ114" s="33">
        <v>-687</v>
      </c>
    </row>
    <row r="115" spans="2:36" ht="13" outlineLevel="1" x14ac:dyDescent="0.3">
      <c r="B115" s="79" t="s">
        <v>146</v>
      </c>
      <c r="C115" s="33">
        <v>166</v>
      </c>
      <c r="D115" s="33">
        <v>166</v>
      </c>
      <c r="E115" s="23">
        <v>0</v>
      </c>
      <c r="F115" s="23">
        <v>0</v>
      </c>
      <c r="G115" s="23">
        <v>0</v>
      </c>
      <c r="H115" s="23">
        <v>0</v>
      </c>
      <c r="I115" s="23">
        <v>0</v>
      </c>
      <c r="J115" s="23">
        <v>0</v>
      </c>
      <c r="K115" s="23">
        <f t="shared" si="84"/>
        <v>0</v>
      </c>
      <c r="L115" s="33">
        <f t="shared" si="85"/>
        <v>0</v>
      </c>
      <c r="M115" s="33">
        <f t="shared" si="86"/>
        <v>0</v>
      </c>
      <c r="N115" s="33">
        <v>166</v>
      </c>
      <c r="O115" s="33">
        <v>0</v>
      </c>
      <c r="P115" s="33">
        <v>0</v>
      </c>
      <c r="Q115" s="33">
        <v>0</v>
      </c>
      <c r="R115" s="33">
        <v>166</v>
      </c>
      <c r="S115" s="33">
        <f t="shared" si="87"/>
        <v>-166</v>
      </c>
      <c r="T115" s="38">
        <f t="shared" si="88"/>
        <v>0</v>
      </c>
      <c r="U115" s="59">
        <f t="shared" si="89"/>
        <v>166</v>
      </c>
      <c r="V115" s="33">
        <v>0</v>
      </c>
      <c r="W115" s="33">
        <v>0</v>
      </c>
      <c r="X115" s="33"/>
      <c r="Y115" s="33"/>
      <c r="Z115" s="42"/>
      <c r="AA115" s="60"/>
      <c r="AB115" s="105"/>
      <c r="AC115" s="93"/>
      <c r="AD115" s="33">
        <f t="shared" si="90"/>
        <v>0</v>
      </c>
      <c r="AE115" s="33">
        <f t="shared" si="91"/>
        <v>0</v>
      </c>
      <c r="AF115" s="33">
        <f t="shared" si="92"/>
        <v>-166</v>
      </c>
      <c r="AH115" s="699" t="s">
        <v>146</v>
      </c>
      <c r="AI115" s="33">
        <v>0</v>
      </c>
      <c r="AJ115" s="33">
        <v>-166</v>
      </c>
    </row>
    <row r="116" spans="2:36" ht="13" outlineLevel="1" x14ac:dyDescent="0.3">
      <c r="B116" s="79" t="s">
        <v>147</v>
      </c>
      <c r="C116" s="33">
        <v>0</v>
      </c>
      <c r="D116" s="33">
        <v>0</v>
      </c>
      <c r="E116" s="23">
        <v>0</v>
      </c>
      <c r="F116" s="23">
        <v>0</v>
      </c>
      <c r="G116" s="23">
        <v>0</v>
      </c>
      <c r="H116" s="23">
        <v>0</v>
      </c>
      <c r="I116" s="23">
        <v>0</v>
      </c>
      <c r="J116" s="23">
        <v>0</v>
      </c>
      <c r="K116" s="23">
        <f>SUM(E116:J116)</f>
        <v>0</v>
      </c>
      <c r="L116" s="33">
        <f>N116-D116</f>
        <v>0</v>
      </c>
      <c r="M116" s="33">
        <f>N116-C116</f>
        <v>0</v>
      </c>
      <c r="N116" s="33">
        <v>0</v>
      </c>
      <c r="O116" s="33">
        <v>4797</v>
      </c>
      <c r="P116" s="33">
        <v>-4797</v>
      </c>
      <c r="Q116" s="33">
        <v>0</v>
      </c>
      <c r="R116" s="33">
        <v>0</v>
      </c>
      <c r="S116" s="33">
        <f>Q116-R116</f>
        <v>0</v>
      </c>
      <c r="T116" s="38" t="str">
        <f>IFERROR((Q116/N116)*100%,"∞")</f>
        <v>∞</v>
      </c>
      <c r="U116" s="59">
        <f>N116+V116</f>
        <v>0</v>
      </c>
      <c r="V116" s="33">
        <v>0</v>
      </c>
      <c r="W116" s="33">
        <v>0</v>
      </c>
      <c r="X116" s="33"/>
      <c r="Y116" s="33"/>
      <c r="Z116" s="42"/>
      <c r="AA116" s="60"/>
      <c r="AB116" s="105"/>
      <c r="AC116" s="93"/>
      <c r="AD116" s="33">
        <f>SUM(AB116:AC116)</f>
        <v>0</v>
      </c>
      <c r="AE116" s="33">
        <f>Q116+AD116</f>
        <v>0</v>
      </c>
      <c r="AF116" s="33">
        <f>AE116-N116</f>
        <v>0</v>
      </c>
      <c r="AH116" s="699" t="s">
        <v>148</v>
      </c>
      <c r="AI116" s="33">
        <v>-471</v>
      </c>
      <c r="AJ116" s="33">
        <v>0</v>
      </c>
    </row>
    <row r="118" spans="2:36"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36"/>
      <c r="AH118" s="700"/>
      <c r="AI118" s="33"/>
      <c r="AJ118" s="33"/>
    </row>
    <row r="119" spans="2:36" ht="13" x14ac:dyDescent="0.3">
      <c r="B119" s="78" t="s">
        <v>149</v>
      </c>
      <c r="C119" s="34">
        <f t="shared" ref="C119:J119" si="93">SUM(C120:C127)</f>
        <v>1238</v>
      </c>
      <c r="D119" s="34">
        <f t="shared" si="93"/>
        <v>1427</v>
      </c>
      <c r="E119" s="24">
        <f t="shared" si="93"/>
        <v>0</v>
      </c>
      <c r="F119" s="24">
        <f t="shared" si="93"/>
        <v>0</v>
      </c>
      <c r="G119" s="24">
        <f t="shared" si="93"/>
        <v>190</v>
      </c>
      <c r="H119" s="24">
        <f t="shared" si="93"/>
        <v>0</v>
      </c>
      <c r="I119" s="24">
        <f t="shared" si="93"/>
        <v>0</v>
      </c>
      <c r="J119" s="24">
        <f t="shared" si="93"/>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 t="shared" ref="AE119:AE127" si="94">Q119+AD119</f>
        <v>917</v>
      </c>
      <c r="AF119" s="33">
        <f t="shared" ref="AF119:AF127" si="95">AE119-N119</f>
        <v>-510</v>
      </c>
      <c r="AH119" s="698" t="s">
        <v>149</v>
      </c>
      <c r="AI119" s="33">
        <v>917</v>
      </c>
      <c r="AJ119" s="33">
        <v>-510</v>
      </c>
    </row>
    <row r="120" spans="2:36"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 t="shared" si="94"/>
        <v>8</v>
      </c>
      <c r="AF120" s="33">
        <f t="shared" si="95"/>
        <v>8</v>
      </c>
      <c r="AH120" s="699" t="s">
        <v>5739</v>
      </c>
      <c r="AI120" s="33">
        <v>8</v>
      </c>
      <c r="AJ120" s="33">
        <v>8</v>
      </c>
    </row>
    <row r="121" spans="2:36" ht="13" outlineLevel="1" x14ac:dyDescent="0.3">
      <c r="B121" s="79" t="s">
        <v>150</v>
      </c>
      <c r="C121" s="33">
        <v>278</v>
      </c>
      <c r="D121" s="33">
        <v>278</v>
      </c>
      <c r="E121" s="23">
        <v>0</v>
      </c>
      <c r="F121" s="23">
        <v>0</v>
      </c>
      <c r="G121" s="23">
        <v>0</v>
      </c>
      <c r="H121" s="23">
        <v>0</v>
      </c>
      <c r="I121" s="23">
        <v>0</v>
      </c>
      <c r="J121" s="23">
        <v>0</v>
      </c>
      <c r="K121" s="23">
        <f t="shared" ref="K121:K126" si="96">SUM(E121:J121)</f>
        <v>0</v>
      </c>
      <c r="L121" s="33">
        <f t="shared" ref="L121:L126" si="97">N121-D121</f>
        <v>0</v>
      </c>
      <c r="M121" s="33">
        <f t="shared" ref="M121:M126" si="98">N121-C121</f>
        <v>0</v>
      </c>
      <c r="N121" s="33">
        <v>278</v>
      </c>
      <c r="O121" s="33">
        <v>0</v>
      </c>
      <c r="P121" s="33">
        <v>0</v>
      </c>
      <c r="Q121" s="33">
        <v>0</v>
      </c>
      <c r="R121" s="33">
        <v>278</v>
      </c>
      <c r="S121" s="33">
        <f t="shared" ref="S121:S126" si="99">Q121-R121</f>
        <v>-278</v>
      </c>
      <c r="T121" s="38">
        <f t="shared" ref="T121:T126" si="100">IFERROR((Q121/N121)*100%,"∞")</f>
        <v>0</v>
      </c>
      <c r="U121" s="59">
        <f t="shared" ref="U121:U126" si="101">N121+V121</f>
        <v>278</v>
      </c>
      <c r="V121" s="33">
        <v>0</v>
      </c>
      <c r="W121" s="33">
        <v>0</v>
      </c>
      <c r="X121" s="33"/>
      <c r="Y121" s="33"/>
      <c r="Z121" s="42"/>
      <c r="AA121" s="60"/>
      <c r="AB121" s="105"/>
      <c r="AC121" s="93"/>
      <c r="AD121" s="33">
        <f t="shared" ref="AD121:AD126" si="102">SUM(AB121:AC121)</f>
        <v>0</v>
      </c>
      <c r="AE121" s="33">
        <f t="shared" si="94"/>
        <v>0</v>
      </c>
      <c r="AF121" s="33">
        <f t="shared" si="95"/>
        <v>-278</v>
      </c>
      <c r="AH121" s="699" t="s">
        <v>150</v>
      </c>
      <c r="AI121" s="33">
        <v>0</v>
      </c>
      <c r="AJ121" s="33">
        <v>-278</v>
      </c>
    </row>
    <row r="122" spans="2:36" ht="13" outlineLevel="1" x14ac:dyDescent="0.3">
      <c r="B122" s="79" t="s">
        <v>151</v>
      </c>
      <c r="C122" s="33">
        <v>-400</v>
      </c>
      <c r="D122" s="33">
        <v>617</v>
      </c>
      <c r="E122" s="23">
        <v>0</v>
      </c>
      <c r="F122" s="23">
        <v>0</v>
      </c>
      <c r="G122" s="23">
        <v>1017</v>
      </c>
      <c r="H122" s="23">
        <v>0</v>
      </c>
      <c r="I122" s="23">
        <v>0</v>
      </c>
      <c r="J122" s="23">
        <v>0</v>
      </c>
      <c r="K122" s="23">
        <f t="shared" si="96"/>
        <v>1017</v>
      </c>
      <c r="L122" s="33">
        <f t="shared" si="97"/>
        <v>0</v>
      </c>
      <c r="M122" s="33">
        <f t="shared" si="98"/>
        <v>1017</v>
      </c>
      <c r="N122" s="33">
        <v>617</v>
      </c>
      <c r="O122" s="33">
        <v>1667</v>
      </c>
      <c r="P122" s="33">
        <v>0</v>
      </c>
      <c r="Q122" s="33">
        <v>1667</v>
      </c>
      <c r="R122" s="33">
        <v>617</v>
      </c>
      <c r="S122" s="33">
        <f>Q122-R122</f>
        <v>1050</v>
      </c>
      <c r="T122" s="38">
        <f t="shared" si="100"/>
        <v>2.7017828200972449</v>
      </c>
      <c r="U122" s="59">
        <f t="shared" si="101"/>
        <v>617</v>
      </c>
      <c r="V122" s="33">
        <v>0</v>
      </c>
      <c r="W122" s="33">
        <v>0</v>
      </c>
      <c r="X122" s="33"/>
      <c r="Y122" s="33"/>
      <c r="Z122" s="42"/>
      <c r="AA122" s="60"/>
      <c r="AB122" s="105"/>
      <c r="AC122" s="93"/>
      <c r="AD122" s="33">
        <f t="shared" si="102"/>
        <v>0</v>
      </c>
      <c r="AE122" s="33">
        <f t="shared" si="94"/>
        <v>1667</v>
      </c>
      <c r="AF122" s="33">
        <f t="shared" si="95"/>
        <v>1050</v>
      </c>
      <c r="AH122" s="699" t="s">
        <v>151</v>
      </c>
      <c r="AI122" s="33">
        <v>1667</v>
      </c>
      <c r="AJ122" s="33">
        <v>1050</v>
      </c>
    </row>
    <row r="123" spans="2:36" ht="13" outlineLevel="1" x14ac:dyDescent="0.3">
      <c r="B123" s="79" t="s">
        <v>152</v>
      </c>
      <c r="C123" s="33">
        <v>693</v>
      </c>
      <c r="D123" s="33">
        <v>-95</v>
      </c>
      <c r="E123" s="23">
        <v>0</v>
      </c>
      <c r="F123" s="23">
        <v>0</v>
      </c>
      <c r="G123" s="23">
        <v>-787</v>
      </c>
      <c r="H123" s="23">
        <v>0</v>
      </c>
      <c r="I123" s="23">
        <v>0</v>
      </c>
      <c r="J123" s="23">
        <v>0</v>
      </c>
      <c r="K123" s="23">
        <f t="shared" si="96"/>
        <v>-787</v>
      </c>
      <c r="L123" s="33">
        <f t="shared" si="97"/>
        <v>0</v>
      </c>
      <c r="M123" s="33">
        <f t="shared" si="98"/>
        <v>-788</v>
      </c>
      <c r="N123" s="33">
        <v>-95</v>
      </c>
      <c r="O123" s="33">
        <v>0</v>
      </c>
      <c r="P123" s="33">
        <v>0</v>
      </c>
      <c r="Q123" s="33">
        <v>0</v>
      </c>
      <c r="R123" s="33">
        <v>-95</v>
      </c>
      <c r="S123" s="33">
        <f t="shared" si="99"/>
        <v>95</v>
      </c>
      <c r="T123" s="38">
        <f t="shared" si="100"/>
        <v>0</v>
      </c>
      <c r="U123" s="59">
        <f t="shared" si="101"/>
        <v>-95</v>
      </c>
      <c r="V123" s="33">
        <v>0</v>
      </c>
      <c r="W123" s="33">
        <v>0</v>
      </c>
      <c r="X123" s="33"/>
      <c r="Y123" s="33"/>
      <c r="Z123" s="42"/>
      <c r="AA123" s="60"/>
      <c r="AB123" s="105"/>
      <c r="AC123" s="93"/>
      <c r="AD123" s="33">
        <f t="shared" si="102"/>
        <v>0</v>
      </c>
      <c r="AE123" s="33">
        <f t="shared" si="94"/>
        <v>0</v>
      </c>
      <c r="AF123" s="33">
        <f t="shared" si="95"/>
        <v>95</v>
      </c>
      <c r="AH123" s="699" t="s">
        <v>152</v>
      </c>
      <c r="AI123" s="33">
        <v>0</v>
      </c>
      <c r="AJ123" s="33">
        <v>95</v>
      </c>
    </row>
    <row r="124" spans="2:36" ht="13" outlineLevel="1" x14ac:dyDescent="0.3">
      <c r="B124" s="79" t="s">
        <v>153</v>
      </c>
      <c r="C124" s="33">
        <v>645</v>
      </c>
      <c r="D124" s="33">
        <v>615</v>
      </c>
      <c r="E124" s="23">
        <v>0</v>
      </c>
      <c r="F124" s="23">
        <v>0</v>
      </c>
      <c r="G124" s="23">
        <v>-30</v>
      </c>
      <c r="H124" s="23">
        <v>0</v>
      </c>
      <c r="I124" s="23">
        <v>0</v>
      </c>
      <c r="J124" s="23">
        <v>0</v>
      </c>
      <c r="K124" s="23">
        <f t="shared" si="96"/>
        <v>-30</v>
      </c>
      <c r="L124" s="33">
        <f t="shared" si="97"/>
        <v>0</v>
      </c>
      <c r="M124" s="33">
        <f t="shared" si="98"/>
        <v>-30</v>
      </c>
      <c r="N124" s="33">
        <v>615</v>
      </c>
      <c r="O124" s="33">
        <v>0</v>
      </c>
      <c r="P124" s="33">
        <v>0</v>
      </c>
      <c r="Q124" s="33">
        <v>0</v>
      </c>
      <c r="R124" s="33">
        <v>615</v>
      </c>
      <c r="S124" s="33">
        <f t="shared" si="99"/>
        <v>-615</v>
      </c>
      <c r="T124" s="38">
        <f t="shared" si="100"/>
        <v>0</v>
      </c>
      <c r="U124" s="59">
        <f t="shared" si="101"/>
        <v>615</v>
      </c>
      <c r="V124" s="33">
        <v>0</v>
      </c>
      <c r="W124" s="33">
        <v>0</v>
      </c>
      <c r="X124" s="33"/>
      <c r="Y124" s="33"/>
      <c r="Z124" s="42"/>
      <c r="AA124" s="60"/>
      <c r="AB124" s="105"/>
      <c r="AC124" s="93"/>
      <c r="AD124" s="33">
        <f t="shared" si="102"/>
        <v>0</v>
      </c>
      <c r="AE124" s="33">
        <f t="shared" si="94"/>
        <v>0</v>
      </c>
      <c r="AF124" s="33">
        <f t="shared" si="95"/>
        <v>-615</v>
      </c>
      <c r="AH124" s="699" t="s">
        <v>153</v>
      </c>
      <c r="AI124" s="33">
        <v>0</v>
      </c>
      <c r="AJ124" s="33">
        <v>-615</v>
      </c>
    </row>
    <row r="125" spans="2:36" ht="13" outlineLevel="1" x14ac:dyDescent="0.3">
      <c r="B125" s="79" t="s">
        <v>154</v>
      </c>
      <c r="C125" s="33">
        <v>525</v>
      </c>
      <c r="D125" s="33">
        <v>515</v>
      </c>
      <c r="E125" s="23">
        <v>0</v>
      </c>
      <c r="F125" s="23">
        <v>0</v>
      </c>
      <c r="G125" s="23">
        <v>-10</v>
      </c>
      <c r="H125" s="23">
        <v>0</v>
      </c>
      <c r="I125" s="23">
        <v>0</v>
      </c>
      <c r="J125" s="23">
        <v>0</v>
      </c>
      <c r="K125" s="23">
        <f t="shared" si="96"/>
        <v>-10</v>
      </c>
      <c r="L125" s="33">
        <f t="shared" si="97"/>
        <v>0</v>
      </c>
      <c r="M125" s="33">
        <f t="shared" si="98"/>
        <v>-10</v>
      </c>
      <c r="N125" s="33">
        <v>515</v>
      </c>
      <c r="O125" s="33">
        <v>0</v>
      </c>
      <c r="P125" s="33">
        <v>0</v>
      </c>
      <c r="Q125" s="33">
        <v>0</v>
      </c>
      <c r="R125" s="33">
        <v>515</v>
      </c>
      <c r="S125" s="33">
        <f t="shared" si="99"/>
        <v>-515</v>
      </c>
      <c r="T125" s="38">
        <f t="shared" si="100"/>
        <v>0</v>
      </c>
      <c r="U125" s="59">
        <f t="shared" si="101"/>
        <v>515</v>
      </c>
      <c r="V125" s="33">
        <v>0</v>
      </c>
      <c r="W125" s="33">
        <v>0</v>
      </c>
      <c r="X125" s="33"/>
      <c r="Y125" s="33"/>
      <c r="Z125" s="42"/>
      <c r="AA125" s="60"/>
      <c r="AB125" s="105"/>
      <c r="AC125" s="93"/>
      <c r="AD125" s="33">
        <f t="shared" si="102"/>
        <v>0</v>
      </c>
      <c r="AE125" s="33">
        <f t="shared" si="94"/>
        <v>0</v>
      </c>
      <c r="AF125" s="33">
        <f t="shared" si="95"/>
        <v>-515</v>
      </c>
      <c r="AH125" s="699" t="s">
        <v>154</v>
      </c>
      <c r="AI125" s="33">
        <v>0</v>
      </c>
      <c r="AJ125" s="33">
        <v>-515</v>
      </c>
    </row>
    <row r="126" spans="2:36" ht="13" outlineLevel="1" x14ac:dyDescent="0.3">
      <c r="B126" s="79" t="s">
        <v>219</v>
      </c>
      <c r="C126" s="33">
        <v>-503</v>
      </c>
      <c r="D126" s="33">
        <v>-503</v>
      </c>
      <c r="E126" s="23">
        <v>0</v>
      </c>
      <c r="F126" s="23">
        <v>0</v>
      </c>
      <c r="G126" s="23">
        <v>0</v>
      </c>
      <c r="H126" s="23">
        <v>0</v>
      </c>
      <c r="I126" s="23">
        <v>0</v>
      </c>
      <c r="J126" s="23">
        <v>0</v>
      </c>
      <c r="K126" s="23">
        <f t="shared" si="96"/>
        <v>0</v>
      </c>
      <c r="L126" s="33">
        <f t="shared" si="97"/>
        <v>0</v>
      </c>
      <c r="M126" s="33">
        <f t="shared" si="98"/>
        <v>0</v>
      </c>
      <c r="N126" s="33">
        <v>-503</v>
      </c>
      <c r="O126" s="33">
        <v>0</v>
      </c>
      <c r="P126" s="33">
        <v>0</v>
      </c>
      <c r="Q126" s="33">
        <v>0</v>
      </c>
      <c r="R126" s="33">
        <v>-503</v>
      </c>
      <c r="S126" s="33">
        <f t="shared" si="99"/>
        <v>503</v>
      </c>
      <c r="T126" s="38">
        <f t="shared" si="100"/>
        <v>0</v>
      </c>
      <c r="U126" s="59">
        <f t="shared" si="101"/>
        <v>-503</v>
      </c>
      <c r="V126" s="33">
        <v>0</v>
      </c>
      <c r="W126" s="33">
        <v>0</v>
      </c>
      <c r="X126" s="33"/>
      <c r="Y126" s="33"/>
      <c r="Z126" s="42"/>
      <c r="AA126" s="60"/>
      <c r="AB126" s="105"/>
      <c r="AC126" s="93"/>
      <c r="AD126" s="33">
        <f t="shared" si="102"/>
        <v>0</v>
      </c>
      <c r="AE126" s="33">
        <f t="shared" si="94"/>
        <v>0</v>
      </c>
      <c r="AF126" s="33">
        <f t="shared" si="95"/>
        <v>503</v>
      </c>
      <c r="AH126" s="699" t="s">
        <v>219</v>
      </c>
      <c r="AI126" s="33">
        <v>0</v>
      </c>
      <c r="AJ126" s="33">
        <v>503</v>
      </c>
    </row>
    <row r="127" spans="2:36" ht="13" outlineLevel="1" x14ac:dyDescent="0.3">
      <c r="B127" s="730"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 t="shared" si="94"/>
        <v>-758</v>
      </c>
      <c r="AF127" s="33">
        <f t="shared" si="95"/>
        <v>-758</v>
      </c>
      <c r="AH127" s="699" t="s">
        <v>222</v>
      </c>
      <c r="AI127" s="33">
        <v>-758</v>
      </c>
      <c r="AJ127" s="33">
        <v>-758</v>
      </c>
    </row>
    <row r="128" spans="2:36"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33"/>
      <c r="AH128" s="696"/>
      <c r="AI128" s="33"/>
      <c r="AJ128" s="33"/>
    </row>
    <row r="129" spans="2:36" ht="26.5" thickBot="1" x14ac:dyDescent="0.35">
      <c r="B129" s="91" t="s">
        <v>155</v>
      </c>
      <c r="C129" s="76">
        <f t="shared" ref="C129:J129" si="103">C106+C119</f>
        <v>12</v>
      </c>
      <c r="D129" s="76">
        <f t="shared" si="103"/>
        <v>201</v>
      </c>
      <c r="E129" s="76">
        <f t="shared" si="103"/>
        <v>0</v>
      </c>
      <c r="F129" s="76">
        <f t="shared" si="103"/>
        <v>33</v>
      </c>
      <c r="G129" s="76">
        <f t="shared" si="103"/>
        <v>190</v>
      </c>
      <c r="H129" s="76">
        <f t="shared" si="103"/>
        <v>50</v>
      </c>
      <c r="I129" s="76">
        <f t="shared" si="103"/>
        <v>0</v>
      </c>
      <c r="J129" s="76">
        <f t="shared" si="103"/>
        <v>0</v>
      </c>
      <c r="K129" s="76">
        <f>SUM(E129:J129)</f>
        <v>273</v>
      </c>
      <c r="L129" s="76">
        <f>N129-D129</f>
        <v>50</v>
      </c>
      <c r="M129" s="76">
        <f>N129-C129</f>
        <v>239</v>
      </c>
      <c r="N129" s="76">
        <f>N106+N119</f>
        <v>251</v>
      </c>
      <c r="O129" s="76">
        <f>O106+O119</f>
        <v>56810</v>
      </c>
      <c r="P129" s="76">
        <f>P106+P119</f>
        <v>-57634</v>
      </c>
      <c r="Q129" s="76">
        <f>Q106+Q119</f>
        <v>-824</v>
      </c>
      <c r="R129" s="76">
        <f>R106+R119</f>
        <v>251</v>
      </c>
      <c r="S129" s="76">
        <f>Q129-R129</f>
        <v>-1075</v>
      </c>
      <c r="T129" s="92">
        <f>IFERROR((Q129/N129)*100%,"∞")</f>
        <v>-3.2828685258964145</v>
      </c>
      <c r="U129" s="76">
        <f>N129+V129</f>
        <v>251</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-824</v>
      </c>
      <c r="AF129" s="76">
        <f>AF106+AF119</f>
        <v>-1075</v>
      </c>
      <c r="AH129" s="697" t="s">
        <v>155</v>
      </c>
      <c r="AI129" s="76">
        <v>-824</v>
      </c>
      <c r="AJ129" s="76">
        <v>-1075</v>
      </c>
    </row>
    <row r="130" spans="2:36"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33"/>
      <c r="AH130" s="696"/>
      <c r="AI130" s="33"/>
      <c r="AJ130" s="33"/>
    </row>
    <row r="131" spans="2:36" ht="13.5" thickBot="1" x14ac:dyDescent="0.35">
      <c r="B131" s="91" t="s">
        <v>156</v>
      </c>
      <c r="C131" s="76">
        <f t="shared" ref="C131:J131" si="104">C83+C104+C129</f>
        <v>24605</v>
      </c>
      <c r="D131" s="76">
        <f t="shared" si="104"/>
        <v>25008</v>
      </c>
      <c r="E131" s="76">
        <f t="shared" si="104"/>
        <v>406</v>
      </c>
      <c r="F131" s="76">
        <f t="shared" si="104"/>
        <v>-2362</v>
      </c>
      <c r="G131" s="76">
        <f t="shared" si="104"/>
        <v>0</v>
      </c>
      <c r="H131" s="76">
        <f t="shared" si="104"/>
        <v>22</v>
      </c>
      <c r="I131" s="76">
        <f t="shared" si="104"/>
        <v>-1</v>
      </c>
      <c r="J131" s="76">
        <f t="shared" si="104"/>
        <v>0</v>
      </c>
      <c r="K131" s="76">
        <f>SUM(E131:J131)</f>
        <v>-1935</v>
      </c>
      <c r="L131" s="76">
        <f>N131-D131</f>
        <v>-2363</v>
      </c>
      <c r="M131" s="76">
        <f>N131-C131</f>
        <v>-1960</v>
      </c>
      <c r="N131" s="76">
        <f>N83+N104+N129</f>
        <v>22645</v>
      </c>
      <c r="O131" s="76">
        <f>O83+O104+O129</f>
        <v>138207</v>
      </c>
      <c r="P131" s="76">
        <f>P83+P104+P129</f>
        <v>-114831</v>
      </c>
      <c r="Q131" s="76">
        <f>Q83+Q104+Q129</f>
        <v>23373</v>
      </c>
      <c r="R131" s="76">
        <f>R83+R104+R129</f>
        <v>22645</v>
      </c>
      <c r="S131" s="76">
        <f>Q131-R131</f>
        <v>728</v>
      </c>
      <c r="T131" s="92">
        <f>IFERROR((Q131/N131)*100%,"∞")</f>
        <v>1.0321483771251931</v>
      </c>
      <c r="U131" s="76">
        <f>N131+V131</f>
        <v>23681</v>
      </c>
      <c r="V131" s="76">
        <f>V83+V104+V129</f>
        <v>1036</v>
      </c>
      <c r="W131" s="76">
        <f>W83+W104+W129</f>
        <v>1036</v>
      </c>
      <c r="X131" s="76">
        <f>X83+X104+X129</f>
        <v>0</v>
      </c>
      <c r="Y131" s="76">
        <f>Y83+Y104+Y129</f>
        <v>0</v>
      </c>
      <c r="Z131" s="76">
        <f>Z83+Z104+Z129</f>
        <v>0</v>
      </c>
      <c r="AA131" s="60"/>
      <c r="AB131" s="76">
        <f>AB83+AB104+AB129</f>
        <v>149</v>
      </c>
      <c r="AC131" s="76">
        <f>AC83+AC104+AC129</f>
        <v>-655</v>
      </c>
      <c r="AD131" s="76">
        <f>AD83+AD104+AD129</f>
        <v>-506</v>
      </c>
      <c r="AE131" s="76">
        <f>AE83+AE104+AE129</f>
        <v>22867</v>
      </c>
      <c r="AF131" s="76">
        <f>AF83+AF104+AF129</f>
        <v>222</v>
      </c>
      <c r="AH131" s="697" t="s">
        <v>156</v>
      </c>
      <c r="AI131" s="76">
        <v>22861</v>
      </c>
      <c r="AJ131" s="76">
        <v>-317</v>
      </c>
    </row>
    <row r="132" spans="2:36"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33"/>
      <c r="AH132" s="695"/>
      <c r="AI132" s="33"/>
      <c r="AJ132" s="101"/>
    </row>
    <row r="133" spans="2:36" ht="13" x14ac:dyDescent="0.3">
      <c r="B133" s="79" t="s">
        <v>157</v>
      </c>
      <c r="C133" s="33">
        <v>-1980</v>
      </c>
      <c r="D133" s="33">
        <v>-2387</v>
      </c>
      <c r="E133" s="23">
        <v>-407</v>
      </c>
      <c r="F133" s="23">
        <v>-3074</v>
      </c>
      <c r="G133" s="23">
        <v>0</v>
      </c>
      <c r="H133" s="23">
        <v>-5460</v>
      </c>
      <c r="I133" s="23">
        <v>0</v>
      </c>
      <c r="J133" s="23">
        <v>0</v>
      </c>
      <c r="K133" s="23">
        <f>SUM(E133:J133)</f>
        <v>-8941</v>
      </c>
      <c r="L133" s="33">
        <f>N133-D133</f>
        <v>-3074</v>
      </c>
      <c r="M133" s="33">
        <f>N133-C133</f>
        <v>-3481</v>
      </c>
      <c r="N133" s="33">
        <v>-5461</v>
      </c>
      <c r="O133" s="33">
        <v>-4097</v>
      </c>
      <c r="P133" s="33">
        <v>0</v>
      </c>
      <c r="Q133" s="701">
        <v>-4097</v>
      </c>
      <c r="R133" s="33">
        <v>-5461</v>
      </c>
      <c r="S133" s="33">
        <f>Q133-R133</f>
        <v>1364</v>
      </c>
      <c r="T133" s="38">
        <f>IFERROR((Q133/N133)*100%,"∞")</f>
        <v>0.75022889580662877</v>
      </c>
      <c r="U133" s="59">
        <f>N133+V133</f>
        <v>-5461</v>
      </c>
      <c r="V133" s="33">
        <v>0</v>
      </c>
      <c r="W133" s="33">
        <v>0</v>
      </c>
      <c r="X133" s="33"/>
      <c r="Y133" s="33"/>
      <c r="Z133" s="42"/>
      <c r="AA133" s="60"/>
      <c r="AB133" s="105"/>
      <c r="AC133" s="93"/>
      <c r="AD133" s="33">
        <f>SUM(AB133:AC133)</f>
        <v>0</v>
      </c>
      <c r="AE133" s="33">
        <f>Q133+AD133</f>
        <v>-4097</v>
      </c>
      <c r="AF133" s="701">
        <f>AE133-N133</f>
        <v>1364</v>
      </c>
      <c r="AH133" s="699" t="s">
        <v>157</v>
      </c>
      <c r="AI133" s="33">
        <v>-4097</v>
      </c>
      <c r="AJ133" s="101">
        <v>1897</v>
      </c>
    </row>
    <row r="134" spans="2:36"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33"/>
      <c r="AH134" s="696"/>
      <c r="AI134" s="33"/>
      <c r="AJ134" s="101"/>
    </row>
    <row r="135" spans="2:36" ht="13.5" thickBot="1" x14ac:dyDescent="0.35">
      <c r="B135" s="91" t="s">
        <v>158</v>
      </c>
      <c r="C135" s="76">
        <f t="shared" ref="C135:J135" si="105">C131+C133</f>
        <v>22625</v>
      </c>
      <c r="D135" s="76">
        <f t="shared" si="105"/>
        <v>22621</v>
      </c>
      <c r="E135" s="76">
        <f t="shared" si="105"/>
        <v>-1</v>
      </c>
      <c r="F135" s="76">
        <f t="shared" si="105"/>
        <v>-5436</v>
      </c>
      <c r="G135" s="76">
        <f t="shared" si="105"/>
        <v>0</v>
      </c>
      <c r="H135" s="76">
        <f t="shared" si="105"/>
        <v>-5438</v>
      </c>
      <c r="I135" s="76">
        <f t="shared" si="105"/>
        <v>-1</v>
      </c>
      <c r="J135" s="76">
        <f t="shared" si="105"/>
        <v>0</v>
      </c>
      <c r="K135" s="76">
        <f>SUM(E135:J135)</f>
        <v>-10876</v>
      </c>
      <c r="L135" s="76">
        <f>N135-D135</f>
        <v>-5437</v>
      </c>
      <c r="M135" s="76">
        <f>N135-C135</f>
        <v>-5441</v>
      </c>
      <c r="N135" s="76">
        <f>N131+N133</f>
        <v>17184</v>
      </c>
      <c r="O135" s="76">
        <f>O131+O133</f>
        <v>134110</v>
      </c>
      <c r="P135" s="76">
        <f>P131+P133</f>
        <v>-114831</v>
      </c>
      <c r="Q135" s="76">
        <f>Q131+Q133</f>
        <v>19276</v>
      </c>
      <c r="R135" s="76">
        <f>R131+R133</f>
        <v>17184</v>
      </c>
      <c r="S135" s="76">
        <f>Q135-R135</f>
        <v>2092</v>
      </c>
      <c r="T135" s="92">
        <f>IFERROR((Q135/N135)*100%,"∞")</f>
        <v>1.1217411545623837</v>
      </c>
      <c r="U135" s="76">
        <f>N135+V135</f>
        <v>18220</v>
      </c>
      <c r="V135" s="76">
        <f>V131+V133</f>
        <v>1036</v>
      </c>
      <c r="W135" s="76">
        <f>W131+W133</f>
        <v>1036</v>
      </c>
      <c r="X135" s="76">
        <f>X131+X133</f>
        <v>0</v>
      </c>
      <c r="Y135" s="76">
        <f>Y131+Y133</f>
        <v>0</v>
      </c>
      <c r="Z135" s="76">
        <f>Z131+Z133</f>
        <v>0</v>
      </c>
      <c r="AA135" s="60"/>
      <c r="AB135" s="76">
        <f>AB131+AB133</f>
        <v>149</v>
      </c>
      <c r="AC135" s="76">
        <f>AC131+AC133</f>
        <v>-655</v>
      </c>
      <c r="AD135" s="76">
        <f>AD131+AD133</f>
        <v>-506</v>
      </c>
      <c r="AE135" s="76">
        <f>AE131+AE133</f>
        <v>18770</v>
      </c>
      <c r="AF135" s="76">
        <f>AF131+AF133</f>
        <v>1586</v>
      </c>
      <c r="AH135" s="697" t="s">
        <v>158</v>
      </c>
      <c r="AI135" s="76">
        <v>18764</v>
      </c>
      <c r="AJ135" s="76">
        <v>1580</v>
      </c>
    </row>
    <row r="136" spans="2:36"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33"/>
      <c r="AH136" s="695"/>
      <c r="AI136" s="33"/>
      <c r="AJ136" s="33"/>
    </row>
    <row r="137" spans="2:36"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33"/>
      <c r="AH137" s="700"/>
      <c r="AI137" s="33"/>
      <c r="AJ137" s="33"/>
    </row>
    <row r="138" spans="2:36"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33"/>
      <c r="AH138" s="698" t="s">
        <v>159</v>
      </c>
      <c r="AI138" s="33"/>
      <c r="AJ138" s="33"/>
    </row>
    <row r="139" spans="2:36" ht="13" x14ac:dyDescent="0.3">
      <c r="B139" s="730" t="s">
        <v>160</v>
      </c>
      <c r="C139" s="33">
        <v>711</v>
      </c>
      <c r="D139" s="33">
        <v>711</v>
      </c>
      <c r="E139" s="23">
        <v>0</v>
      </c>
      <c r="F139" s="23">
        <v>0</v>
      </c>
      <c r="G139" s="23">
        <v>0</v>
      </c>
      <c r="H139" s="23">
        <v>0</v>
      </c>
      <c r="I139" s="23">
        <v>0</v>
      </c>
      <c r="J139" s="23">
        <v>0</v>
      </c>
      <c r="K139" s="23">
        <f t="shared" ref="K139:K141" si="106">SUM(E139:J139)</f>
        <v>0</v>
      </c>
      <c r="L139" s="580">
        <f t="shared" ref="L139:L141" si="107">N139-D139</f>
        <v>0</v>
      </c>
      <c r="M139" s="580">
        <f t="shared" ref="M139:M141" si="108">N139-C139</f>
        <v>0</v>
      </c>
      <c r="N139" s="580">
        <v>711</v>
      </c>
      <c r="O139" s="580">
        <v>0</v>
      </c>
      <c r="P139" s="580">
        <v>1051</v>
      </c>
      <c r="Q139" s="701">
        <v>1051</v>
      </c>
      <c r="R139" s="580">
        <v>711</v>
      </c>
      <c r="S139" s="580">
        <f t="shared" ref="S139:S141" si="109">Q139-R139</f>
        <v>340</v>
      </c>
      <c r="T139" s="38">
        <f t="shared" ref="T139:T141" si="110">IFERROR((Q139/N139)*100%,"∞")</f>
        <v>1.4781997187060478</v>
      </c>
      <c r="U139" s="59">
        <f t="shared" ref="U139:U141" si="111">N139+V139</f>
        <v>711</v>
      </c>
      <c r="V139" s="33">
        <v>0</v>
      </c>
      <c r="W139" s="33">
        <v>0</v>
      </c>
      <c r="X139" s="33"/>
      <c r="Y139" s="33"/>
      <c r="Z139" s="42"/>
      <c r="AA139" s="60"/>
      <c r="AB139" s="105"/>
      <c r="AC139" s="93"/>
      <c r="AD139" s="33">
        <f t="shared" ref="AD139:AD141" si="112">SUM(AB139:AC139)</f>
        <v>0</v>
      </c>
      <c r="AE139" s="33">
        <f>Q139+AD139</f>
        <v>1051</v>
      </c>
      <c r="AF139" s="33">
        <f t="shared" ref="AF139:AF141" si="113">AE139-N139</f>
        <v>340</v>
      </c>
      <c r="AH139" s="699" t="s">
        <v>160</v>
      </c>
      <c r="AI139" s="33">
        <v>1051</v>
      </c>
      <c r="AJ139" s="33">
        <v>340</v>
      </c>
    </row>
    <row r="140" spans="2:36" ht="13" outlineLevel="1" x14ac:dyDescent="0.3">
      <c r="B140" s="79" t="s">
        <v>148</v>
      </c>
      <c r="C140" s="33">
        <v>-471</v>
      </c>
      <c r="D140" s="33">
        <v>-471</v>
      </c>
      <c r="E140" s="23">
        <v>0</v>
      </c>
      <c r="F140" s="23">
        <v>0</v>
      </c>
      <c r="G140" s="23">
        <v>0</v>
      </c>
      <c r="H140" s="23">
        <v>0</v>
      </c>
      <c r="I140" s="23">
        <v>0</v>
      </c>
      <c r="J140" s="23">
        <v>0</v>
      </c>
      <c r="K140" s="23">
        <f>SUM(E140:J140)</f>
        <v>0</v>
      </c>
      <c r="L140" s="580">
        <f>N140-D140</f>
        <v>0</v>
      </c>
      <c r="M140" s="580">
        <f>N140-C140</f>
        <v>0</v>
      </c>
      <c r="N140" s="580">
        <v>-471</v>
      </c>
      <c r="O140" s="580">
        <v>0</v>
      </c>
      <c r="P140" s="580">
        <v>-471</v>
      </c>
      <c r="Q140" s="580">
        <v>-471</v>
      </c>
      <c r="R140" s="580">
        <v>-471</v>
      </c>
      <c r="S140" s="580">
        <f>Q140-R140</f>
        <v>0</v>
      </c>
      <c r="T140" s="38">
        <f>IFERROR((Q140/N140)*100%,"∞")</f>
        <v>1</v>
      </c>
      <c r="U140" s="59">
        <f>N140+V140</f>
        <v>-471</v>
      </c>
      <c r="V140" s="33">
        <v>0</v>
      </c>
      <c r="W140" s="33">
        <v>0</v>
      </c>
      <c r="X140" s="33"/>
      <c r="Y140" s="33"/>
      <c r="Z140" s="42"/>
      <c r="AA140" s="60"/>
      <c r="AB140" s="105"/>
      <c r="AC140" s="93"/>
      <c r="AD140" s="33">
        <f>SUM(AB140:AC140)</f>
        <v>0</v>
      </c>
      <c r="AE140" s="33">
        <f>Q140+AD140</f>
        <v>-471</v>
      </c>
      <c r="AF140" s="33">
        <f>AE140-N140</f>
        <v>0</v>
      </c>
      <c r="AH140" s="699"/>
      <c r="AI140" s="33"/>
      <c r="AJ140" s="33"/>
    </row>
    <row r="141" spans="2:36" ht="13" x14ac:dyDescent="0.3">
      <c r="B141" s="79" t="s">
        <v>161</v>
      </c>
      <c r="C141" s="33">
        <v>15029</v>
      </c>
      <c r="D141" s="33">
        <v>15029</v>
      </c>
      <c r="E141" s="23">
        <v>0</v>
      </c>
      <c r="F141" s="23">
        <v>0</v>
      </c>
      <c r="G141" s="23">
        <v>0</v>
      </c>
      <c r="H141" s="23">
        <v>0</v>
      </c>
      <c r="I141" s="23">
        <v>0</v>
      </c>
      <c r="J141" s="23">
        <v>0</v>
      </c>
      <c r="K141" s="23">
        <f t="shared" si="106"/>
        <v>0</v>
      </c>
      <c r="L141" s="580">
        <f t="shared" si="107"/>
        <v>0</v>
      </c>
      <c r="M141" s="580">
        <f t="shared" si="108"/>
        <v>0</v>
      </c>
      <c r="N141" s="580">
        <v>15029</v>
      </c>
      <c r="O141" s="580">
        <v>14621</v>
      </c>
      <c r="P141" s="580">
        <v>0</v>
      </c>
      <c r="Q141" s="580">
        <v>14621</v>
      </c>
      <c r="R141" s="580">
        <v>15029</v>
      </c>
      <c r="S141" s="580">
        <f t="shared" si="109"/>
        <v>-408</v>
      </c>
      <c r="T141" s="38">
        <f t="shared" si="110"/>
        <v>0.97285248519528911</v>
      </c>
      <c r="U141" s="59">
        <f t="shared" si="111"/>
        <v>15029</v>
      </c>
      <c r="V141" s="33">
        <v>0</v>
      </c>
      <c r="W141" s="33">
        <v>0</v>
      </c>
      <c r="X141" s="33"/>
      <c r="Y141" s="33"/>
      <c r="Z141" s="42"/>
      <c r="AA141" s="60"/>
      <c r="AB141" s="105"/>
      <c r="AC141" s="93"/>
      <c r="AD141" s="33">
        <f t="shared" si="112"/>
        <v>0</v>
      </c>
      <c r="AE141" s="33">
        <f t="shared" ref="AE141" si="114">Q141+AD141</f>
        <v>14621</v>
      </c>
      <c r="AF141" s="33">
        <f t="shared" si="113"/>
        <v>-408</v>
      </c>
      <c r="AH141" s="699" t="s">
        <v>161</v>
      </c>
      <c r="AI141" s="33">
        <v>14621</v>
      </c>
      <c r="AJ141" s="33">
        <v>-408</v>
      </c>
    </row>
    <row r="142" spans="2:36" ht="13" x14ac:dyDescent="0.3">
      <c r="B142" s="79" t="s">
        <v>162</v>
      </c>
      <c r="C142" s="33">
        <v>-271</v>
      </c>
      <c r="D142" s="33">
        <v>-271</v>
      </c>
      <c r="E142" s="23">
        <v>0</v>
      </c>
      <c r="F142" s="23">
        <v>0</v>
      </c>
      <c r="G142" s="23">
        <v>0</v>
      </c>
      <c r="H142" s="23">
        <v>0</v>
      </c>
      <c r="I142" s="23">
        <v>0</v>
      </c>
      <c r="J142" s="23">
        <v>0</v>
      </c>
      <c r="K142" s="23">
        <f>SUM(E142:J142)</f>
        <v>0</v>
      </c>
      <c r="L142" s="580">
        <f>N142-D142</f>
        <v>0</v>
      </c>
      <c r="M142" s="580">
        <f>N142-C142</f>
        <v>0</v>
      </c>
      <c r="N142" s="580">
        <v>-271</v>
      </c>
      <c r="O142" s="580">
        <v>-281</v>
      </c>
      <c r="P142" s="580">
        <v>0</v>
      </c>
      <c r="Q142" s="580">
        <v>-281</v>
      </c>
      <c r="R142" s="580">
        <v>-271</v>
      </c>
      <c r="S142" s="580">
        <f>Q142-R142</f>
        <v>-10</v>
      </c>
      <c r="T142" s="38">
        <f>IFERROR((Q142/N142)*100%,"∞")</f>
        <v>1.03690036900369</v>
      </c>
      <c r="U142" s="59">
        <f>N142+V142</f>
        <v>-271</v>
      </c>
      <c r="V142" s="33">
        <v>0</v>
      </c>
      <c r="W142" s="33">
        <v>0</v>
      </c>
      <c r="X142" s="33"/>
      <c r="Y142" s="33"/>
      <c r="Z142" s="42"/>
      <c r="AA142" s="60"/>
      <c r="AB142" s="105"/>
      <c r="AC142" s="93"/>
      <c r="AD142" s="33">
        <f>SUM(AB142:AC142)</f>
        <v>0</v>
      </c>
      <c r="AE142" s="33">
        <f>Q142+AD142</f>
        <v>-281</v>
      </c>
      <c r="AF142" s="33">
        <f>AE142-N142</f>
        <v>-10</v>
      </c>
      <c r="AH142" s="699" t="s">
        <v>162</v>
      </c>
      <c r="AI142" s="33">
        <v>-281</v>
      </c>
      <c r="AJ142" s="33">
        <v>-10</v>
      </c>
    </row>
    <row r="143" spans="2:36" ht="13" x14ac:dyDescent="0.3">
      <c r="B143" s="79" t="s">
        <v>163</v>
      </c>
      <c r="C143" s="33">
        <v>7154</v>
      </c>
      <c r="D143" s="33">
        <v>7154</v>
      </c>
      <c r="E143" s="23">
        <v>0</v>
      </c>
      <c r="F143" s="23">
        <v>-5437</v>
      </c>
      <c r="G143" s="23">
        <v>0</v>
      </c>
      <c r="H143" s="23">
        <v>-5437</v>
      </c>
      <c r="I143" s="23">
        <v>0</v>
      </c>
      <c r="J143" s="23">
        <v>0</v>
      </c>
      <c r="K143" s="23">
        <f>SUM(E143:J143)</f>
        <v>-10874</v>
      </c>
      <c r="L143" s="580">
        <f>N143-D143</f>
        <v>-5437</v>
      </c>
      <c r="M143" s="580">
        <f>N143-C143</f>
        <v>-5437</v>
      </c>
      <c r="N143" s="580">
        <v>1717</v>
      </c>
      <c r="O143" s="580">
        <v>2718</v>
      </c>
      <c r="P143" s="580">
        <v>-1001</v>
      </c>
      <c r="Q143" s="580">
        <v>1717</v>
      </c>
      <c r="R143" s="580">
        <v>1717</v>
      </c>
      <c r="S143" s="580">
        <f>Q143-R143</f>
        <v>0</v>
      </c>
      <c r="T143" s="38">
        <f>IFERROR((Q143/N143)*100%,"∞")</f>
        <v>1</v>
      </c>
      <c r="U143" s="59">
        <f>N143+V143</f>
        <v>1717</v>
      </c>
      <c r="V143" s="33">
        <v>0</v>
      </c>
      <c r="W143" s="33">
        <v>0</v>
      </c>
      <c r="X143" s="33"/>
      <c r="Y143" s="33"/>
      <c r="Z143" s="42"/>
      <c r="AA143" s="60"/>
      <c r="AB143" s="105"/>
      <c r="AC143" s="93"/>
      <c r="AD143" s="33">
        <f>SUM(AB143:AC143)</f>
        <v>0</v>
      </c>
      <c r="AE143" s="33">
        <f>Q143+AD143</f>
        <v>1717</v>
      </c>
      <c r="AF143" s="33">
        <f>AE143-N143</f>
        <v>0</v>
      </c>
      <c r="AH143" s="699" t="s">
        <v>163</v>
      </c>
      <c r="AI143" s="33">
        <v>1717</v>
      </c>
      <c r="AJ143" s="33">
        <v>0</v>
      </c>
    </row>
    <row r="144" spans="2:36" ht="13.5" thickBot="1" x14ac:dyDescent="0.35">
      <c r="B144" s="80"/>
      <c r="C144" s="81"/>
      <c r="D144" s="81"/>
      <c r="E144" s="82"/>
      <c r="F144" s="82"/>
      <c r="G144" s="82"/>
      <c r="H144" s="82"/>
      <c r="I144" s="82"/>
      <c r="J144" s="82"/>
      <c r="K144" s="82"/>
      <c r="L144" s="81"/>
      <c r="M144" s="81"/>
      <c r="N144" s="81"/>
      <c r="O144" s="81"/>
      <c r="P144" s="81"/>
      <c r="Q144" s="81"/>
      <c r="R144" s="81"/>
      <c r="S144" s="81"/>
      <c r="T144" s="81"/>
      <c r="U144" s="83"/>
      <c r="V144" s="81"/>
      <c r="W144" s="81"/>
      <c r="X144" s="81"/>
      <c r="Y144" s="81"/>
      <c r="Z144" s="84"/>
      <c r="AA144" s="60"/>
      <c r="AB144" s="100"/>
      <c r="AC144" s="33"/>
      <c r="AD144" s="33"/>
      <c r="AE144" s="33"/>
      <c r="AF144" s="33"/>
      <c r="AH144" s="696"/>
      <c r="AI144" s="33"/>
      <c r="AJ144" s="33"/>
    </row>
    <row r="145" spans="2:36" ht="13.5" thickBot="1" x14ac:dyDescent="0.35">
      <c r="B145" s="91" t="s">
        <v>164</v>
      </c>
      <c r="C145" s="76">
        <f>SUM(C139:C143)</f>
        <v>22152</v>
      </c>
      <c r="D145" s="76">
        <f t="shared" ref="D145:J145" si="115">SUM(D139:D143)</f>
        <v>22152</v>
      </c>
      <c r="E145" s="76">
        <f t="shared" si="115"/>
        <v>0</v>
      </c>
      <c r="F145" s="76">
        <f t="shared" si="115"/>
        <v>-5437</v>
      </c>
      <c r="G145" s="76">
        <f t="shared" si="115"/>
        <v>0</v>
      </c>
      <c r="H145" s="76">
        <f t="shared" si="115"/>
        <v>-5437</v>
      </c>
      <c r="I145" s="76">
        <f t="shared" si="115"/>
        <v>0</v>
      </c>
      <c r="J145" s="76">
        <f t="shared" si="115"/>
        <v>0</v>
      </c>
      <c r="K145" s="76">
        <f>SUM(E145:J145)</f>
        <v>-10874</v>
      </c>
      <c r="L145" s="76">
        <f>N145-D145</f>
        <v>-5437</v>
      </c>
      <c r="M145" s="76">
        <f>N145-C145</f>
        <v>-5437</v>
      </c>
      <c r="N145" s="76">
        <f>SUM(N139:N143)</f>
        <v>16715</v>
      </c>
      <c r="O145" s="76">
        <f>SUM(O139:O143)</f>
        <v>17058</v>
      </c>
      <c r="P145" s="76">
        <f>SUM(P139:P143)</f>
        <v>-421</v>
      </c>
      <c r="Q145" s="76">
        <f>SUM(Q139:Q143)</f>
        <v>16637</v>
      </c>
      <c r="R145" s="76">
        <f>SUM(R139:R143)</f>
        <v>16715</v>
      </c>
      <c r="S145" s="76">
        <f>Q145-R145</f>
        <v>-78</v>
      </c>
      <c r="T145" s="92">
        <f>IFERROR((Q145/N145)*100%,"∞")</f>
        <v>0.99533353275501046</v>
      </c>
      <c r="U145" s="76">
        <f>N145+V145</f>
        <v>16715</v>
      </c>
      <c r="V145" s="76">
        <f>SUM(V139:V143)</f>
        <v>0</v>
      </c>
      <c r="W145" s="76">
        <f>SUM(W139:W143)</f>
        <v>0</v>
      </c>
      <c r="X145" s="76">
        <f>SUM(X139:X143)</f>
        <v>0</v>
      </c>
      <c r="Y145" s="76">
        <f>SUM(Y139:Y143)</f>
        <v>0</v>
      </c>
      <c r="Z145" s="76">
        <f>SUM(Z139:Z143)</f>
        <v>0</v>
      </c>
      <c r="AA145" s="60"/>
      <c r="AB145" s="76">
        <f>SUM(AB139:AB143)</f>
        <v>0</v>
      </c>
      <c r="AC145" s="76">
        <f>SUM(AC139:AC143)</f>
        <v>0</v>
      </c>
      <c r="AD145" s="76">
        <f>SUM(AD139:AD143)</f>
        <v>0</v>
      </c>
      <c r="AE145" s="76">
        <f>SUM(AE139:AE143)</f>
        <v>16637</v>
      </c>
      <c r="AF145" s="76">
        <f>SUM(AF139:AF143)</f>
        <v>-78</v>
      </c>
      <c r="AH145" s="697" t="s">
        <v>164</v>
      </c>
      <c r="AI145" s="76">
        <v>17108</v>
      </c>
      <c r="AJ145" s="76">
        <v>-78</v>
      </c>
    </row>
    <row r="146" spans="2:36" ht="14" thickTop="1" thickBot="1" x14ac:dyDescent="0.35">
      <c r="B146" s="80"/>
      <c r="C146" s="81"/>
      <c r="D146" s="81"/>
      <c r="E146" s="82"/>
      <c r="F146" s="82"/>
      <c r="G146" s="82"/>
      <c r="H146" s="82"/>
      <c r="I146" s="82"/>
      <c r="J146" s="82"/>
      <c r="K146" s="82"/>
      <c r="L146" s="81"/>
      <c r="M146" s="81"/>
      <c r="N146" s="81"/>
      <c r="O146" s="81"/>
      <c r="P146" s="81"/>
      <c r="Q146" s="81"/>
      <c r="R146" s="81"/>
      <c r="S146" s="81"/>
      <c r="T146" s="81"/>
      <c r="U146" s="83"/>
      <c r="V146" s="81"/>
      <c r="W146" s="81"/>
      <c r="X146" s="81"/>
      <c r="Y146" s="81"/>
      <c r="Z146" s="84"/>
      <c r="AA146" s="60"/>
      <c r="AB146" s="100"/>
      <c r="AC146" s="33"/>
      <c r="AD146" s="33"/>
      <c r="AE146" s="33"/>
      <c r="AF146" s="33"/>
      <c r="AH146" s="696"/>
      <c r="AI146" s="33"/>
      <c r="AJ146" s="101"/>
    </row>
    <row r="147" spans="2:36" ht="13.5" thickBot="1" x14ac:dyDescent="0.35">
      <c r="B147" s="91" t="s">
        <v>165</v>
      </c>
      <c r="C147" s="76">
        <f>C135-C145</f>
        <v>473</v>
      </c>
      <c r="D147" s="76">
        <f t="shared" ref="D147:J147" si="116">D135-D145</f>
        <v>469</v>
      </c>
      <c r="E147" s="76">
        <f t="shared" si="116"/>
        <v>-1</v>
      </c>
      <c r="F147" s="76">
        <f t="shared" si="116"/>
        <v>1</v>
      </c>
      <c r="G147" s="76">
        <f t="shared" si="116"/>
        <v>0</v>
      </c>
      <c r="H147" s="76">
        <f t="shared" si="116"/>
        <v>-1</v>
      </c>
      <c r="I147" s="76">
        <f t="shared" si="116"/>
        <v>-1</v>
      </c>
      <c r="J147" s="76">
        <f t="shared" si="116"/>
        <v>0</v>
      </c>
      <c r="K147" s="76">
        <f>SUM(E147:J147)</f>
        <v>-2</v>
      </c>
      <c r="L147" s="76">
        <f>N147-D147</f>
        <v>0</v>
      </c>
      <c r="M147" s="76">
        <f>N147-C147</f>
        <v>-4</v>
      </c>
      <c r="N147" s="76">
        <f>N135-N145</f>
        <v>469</v>
      </c>
      <c r="O147" s="76">
        <f>O135-O145</f>
        <v>117052</v>
      </c>
      <c r="P147" s="76">
        <f>P135-P145</f>
        <v>-114410</v>
      </c>
      <c r="Q147" s="76">
        <f>Q135-Q145</f>
        <v>2639</v>
      </c>
      <c r="R147" s="721">
        <f>R135-R145</f>
        <v>469</v>
      </c>
      <c r="S147" s="76">
        <f>Q147-R147</f>
        <v>2170</v>
      </c>
      <c r="T147" s="92">
        <f>IFERROR((Q147/N147)*100%,"∞")</f>
        <v>5.6268656716417906</v>
      </c>
      <c r="U147" s="76">
        <f>N147+V147</f>
        <v>1505</v>
      </c>
      <c r="V147" s="76">
        <f>V135-V145</f>
        <v>1036</v>
      </c>
      <c r="W147" s="76">
        <f>W135-W145</f>
        <v>1036</v>
      </c>
      <c r="X147" s="76">
        <f>X135-X145</f>
        <v>0</v>
      </c>
      <c r="Y147" s="76">
        <f>Y135-Y145</f>
        <v>0</v>
      </c>
      <c r="Z147" s="76">
        <f>Z135-Z145</f>
        <v>0</v>
      </c>
      <c r="AA147" s="60"/>
      <c r="AB147" s="76">
        <f>AB135-AB145</f>
        <v>149</v>
      </c>
      <c r="AC147" s="76">
        <f>AC135-AC145</f>
        <v>-655</v>
      </c>
      <c r="AD147" s="76">
        <f>AD135-AD145</f>
        <v>-506</v>
      </c>
      <c r="AE147" s="76">
        <f>AE135-AE145</f>
        <v>2133</v>
      </c>
      <c r="AF147" s="76">
        <f>AF135-AF145</f>
        <v>1664</v>
      </c>
      <c r="AH147" s="697" t="s">
        <v>165</v>
      </c>
      <c r="AI147" s="76">
        <v>1656</v>
      </c>
      <c r="AJ147" s="76">
        <v>1658</v>
      </c>
    </row>
    <row r="148" spans="2:36" ht="14" thickTop="1" thickBot="1" x14ac:dyDescent="0.35">
      <c r="AI148" s="580"/>
      <c r="AJ148" s="580"/>
    </row>
    <row r="149" spans="2:36" ht="60.5" thickBot="1" x14ac:dyDescent="0.35">
      <c r="B149" s="848" t="s">
        <v>5740</v>
      </c>
      <c r="C149" s="48" t="s">
        <v>2</v>
      </c>
      <c r="D149" s="48" t="s">
        <v>3</v>
      </c>
      <c r="N149" s="48" t="s">
        <v>13</v>
      </c>
      <c r="O149" s="48" t="s">
        <v>14</v>
      </c>
      <c r="P149" s="48" t="s">
        <v>15</v>
      </c>
      <c r="Q149" s="48" t="s">
        <v>16</v>
      </c>
      <c r="R149" s="48" t="s">
        <v>17</v>
      </c>
      <c r="S149" s="48" t="s">
        <v>18</v>
      </c>
      <c r="T149" s="48" t="s">
        <v>19</v>
      </c>
      <c r="U149" s="48" t="s">
        <v>20</v>
      </c>
      <c r="AH149" s="849"/>
      <c r="AI149" s="580"/>
      <c r="AJ149" s="580"/>
    </row>
    <row r="150" spans="2:36" ht="13.5" thickBot="1" x14ac:dyDescent="0.35">
      <c r="B150" s="848"/>
      <c r="C150" s="76">
        <v>1076</v>
      </c>
      <c r="D150" s="76">
        <v>1077</v>
      </c>
      <c r="N150" s="76">
        <v>1078</v>
      </c>
      <c r="O150" s="76">
        <v>180297</v>
      </c>
      <c r="P150" s="76">
        <v>-179262</v>
      </c>
      <c r="Q150" s="76">
        <v>1035</v>
      </c>
      <c r="R150" s="76">
        <v>1078</v>
      </c>
      <c r="S150" s="76">
        <v>-43</v>
      </c>
      <c r="T150" s="92">
        <v>0.96011131725417442</v>
      </c>
      <c r="U150" s="76">
        <v>1043</v>
      </c>
      <c r="V150" s="76">
        <v>-35</v>
      </c>
      <c r="W150" s="76">
        <v>-35</v>
      </c>
      <c r="X150" s="76">
        <v>0</v>
      </c>
      <c r="Y150" s="76">
        <v>0</v>
      </c>
      <c r="Z150" s="76">
        <v>0</v>
      </c>
      <c r="AB150" s="76">
        <v>0</v>
      </c>
      <c r="AC150" s="76">
        <v>0</v>
      </c>
      <c r="AD150" s="76">
        <v>0</v>
      </c>
      <c r="AE150" s="76">
        <v>497</v>
      </c>
      <c r="AF150" s="76">
        <v>-43</v>
      </c>
      <c r="AH150" s="849"/>
      <c r="AI150" s="580"/>
      <c r="AJ150" s="580"/>
    </row>
    <row r="151" spans="2:36" ht="13" thickTop="1" x14ac:dyDescent="0.25"/>
  </sheetData>
  <dataConsolidate/>
  <mergeCells count="2">
    <mergeCell ref="B149:B150"/>
    <mergeCell ref="AH149:AH150"/>
  </mergeCells>
  <pageMargins left="0.23622047244094491" right="0.23622047244094491" top="0.74803149606299213" bottom="0.74803149606299213" header="0.31496062992125984" footer="0.31496062992125984"/>
  <pageSetup paperSize="8" scale="74"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G142"/>
  <sheetViews>
    <sheetView topLeftCell="C1" zoomScaleNormal="100" workbookViewId="0">
      <pane ySplit="3" topLeftCell="A12" activePane="bottomLeft" state="frozen"/>
      <selection pane="bottomLeft" activeCell="N12" sqref="N12"/>
    </sheetView>
  </sheetViews>
  <sheetFormatPr defaultColWidth="9.453125" defaultRowHeight="12.5" outlineLevelRow="2" outlineLevelCol="1" x14ac:dyDescent="0.25"/>
  <cols>
    <col min="1" max="1" width="1.54296875" customWidth="1"/>
    <col min="2" max="2" width="31.269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hidden="1" customWidth="1" outlineLevel="1"/>
    <col min="14" max="14" width="13.54296875" customWidth="1" collapsed="1"/>
    <col min="15" max="16" width="13.54296875" hidden="1" customWidth="1" outlineLevel="1"/>
    <col min="17" max="17" width="13.54296875" customWidth="1" collapsed="1"/>
    <col min="18" max="20" width="13.54296875" customWidth="1" outlineLevel="1"/>
    <col min="21" max="21" width="13.54296875" customWidth="1"/>
    <col min="22" max="22" width="9.453125" bestFit="1" customWidth="1"/>
    <col min="23" max="26" width="13.54296875" hidden="1" customWidth="1" outlineLevel="1"/>
    <col min="27" max="27" width="1.54296875" customWidth="1" collapsed="1"/>
    <col min="28" max="32" width="13.54296875" hidden="1" customWidth="1" outlineLevel="1"/>
    <col min="33" max="33" width="1.54296875" customWidth="1" collapsed="1"/>
    <col min="34" max="43" width="11.54296875" customWidth="1"/>
  </cols>
  <sheetData>
    <row r="1" spans="2:32" s="6" customFormat="1" ht="18.5" thickBot="1" x14ac:dyDescent="0.45">
      <c r="B1" s="17"/>
      <c r="D1" s="18" t="s">
        <v>0</v>
      </c>
      <c r="F1" s="17"/>
    </row>
    <row r="2" spans="2:32" ht="72" customHeight="1" thickBot="1" x14ac:dyDescent="0.3">
      <c r="B2" s="28" t="s">
        <v>228</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2" ht="13" outlineLevel="2" x14ac:dyDescent="0.3">
      <c r="B5" s="31" t="s">
        <v>36</v>
      </c>
      <c r="C5" s="33">
        <v>796</v>
      </c>
      <c r="D5" s="33">
        <v>1067</v>
      </c>
      <c r="E5" s="23">
        <v>217</v>
      </c>
      <c r="F5" s="23">
        <v>0</v>
      </c>
      <c r="G5" s="23">
        <v>57</v>
      </c>
      <c r="H5" s="23">
        <v>0</v>
      </c>
      <c r="I5" s="23">
        <v>0</v>
      </c>
      <c r="J5" s="23">
        <v>0</v>
      </c>
      <c r="K5" s="23">
        <v>274</v>
      </c>
      <c r="L5" s="33">
        <v>0</v>
      </c>
      <c r="M5" s="33">
        <v>274</v>
      </c>
      <c r="N5" s="33">
        <v>1067</v>
      </c>
      <c r="O5" s="33">
        <v>283</v>
      </c>
      <c r="P5" s="33">
        <v>-28</v>
      </c>
      <c r="Q5" s="33">
        <v>255</v>
      </c>
      <c r="R5" s="33">
        <v>642</v>
      </c>
      <c r="S5" s="33">
        <f>Q5-R5</f>
        <v>-387</v>
      </c>
      <c r="T5" s="38">
        <f>Q5/N5</f>
        <v>0.23898781630740393</v>
      </c>
      <c r="U5" s="59">
        <f>Q5*2</f>
        <v>510</v>
      </c>
      <c r="V5" s="33">
        <f>U5-N5+229</f>
        <v>-328</v>
      </c>
      <c r="W5" s="33">
        <v>0</v>
      </c>
      <c r="X5" s="33"/>
      <c r="Y5" s="33"/>
      <c r="Z5" s="42"/>
      <c r="AA5" s="60"/>
      <c r="AB5" s="105"/>
      <c r="AC5" s="93"/>
      <c r="AD5" s="33">
        <v>0</v>
      </c>
      <c r="AE5" s="33">
        <v>255</v>
      </c>
      <c r="AF5" s="101">
        <v>-815</v>
      </c>
    </row>
    <row r="6" spans="2:32" ht="13" outlineLevel="2" x14ac:dyDescent="0.3">
      <c r="B6" s="31" t="s">
        <v>37</v>
      </c>
      <c r="C6" s="33">
        <v>57</v>
      </c>
      <c r="D6" s="33">
        <v>63</v>
      </c>
      <c r="E6" s="23">
        <v>0</v>
      </c>
      <c r="F6" s="23">
        <v>0</v>
      </c>
      <c r="G6" s="23">
        <v>6</v>
      </c>
      <c r="H6" s="23">
        <v>0</v>
      </c>
      <c r="I6" s="23">
        <v>0</v>
      </c>
      <c r="J6" s="23">
        <v>0</v>
      </c>
      <c r="K6" s="23">
        <v>6</v>
      </c>
      <c r="L6" s="33">
        <v>0</v>
      </c>
      <c r="M6" s="33">
        <v>6</v>
      </c>
      <c r="N6" s="33">
        <v>63</v>
      </c>
      <c r="O6" s="33">
        <v>14</v>
      </c>
      <c r="P6" s="33">
        <v>0</v>
      </c>
      <c r="Q6" s="33">
        <v>14</v>
      </c>
      <c r="R6" s="33">
        <v>31</v>
      </c>
      <c r="S6" s="33">
        <f>Q6-R6</f>
        <v>-17</v>
      </c>
      <c r="T6" s="38">
        <f t="shared" ref="T6:T9" si="0">Q6/N6</f>
        <v>0.22222222222222221</v>
      </c>
      <c r="U6" s="59">
        <f t="shared" ref="U6:U9" si="1">Q6*2</f>
        <v>28</v>
      </c>
      <c r="V6" s="33">
        <f>U6-N6</f>
        <v>-35</v>
      </c>
      <c r="W6" s="33">
        <v>0</v>
      </c>
      <c r="X6" s="33"/>
      <c r="Y6" s="33"/>
      <c r="Z6" s="42"/>
      <c r="AA6" s="60"/>
      <c r="AB6" s="105"/>
      <c r="AC6" s="93"/>
      <c r="AD6" s="33">
        <v>0</v>
      </c>
      <c r="AE6" s="33">
        <v>14</v>
      </c>
      <c r="AF6" s="101">
        <v>-49</v>
      </c>
    </row>
    <row r="7" spans="2:32" ht="13" outlineLevel="2" x14ac:dyDescent="0.3">
      <c r="B7" s="31" t="s">
        <v>38</v>
      </c>
      <c r="C7" s="33">
        <v>363</v>
      </c>
      <c r="D7" s="33">
        <v>802</v>
      </c>
      <c r="E7" s="23">
        <v>0</v>
      </c>
      <c r="F7" s="23">
        <v>0</v>
      </c>
      <c r="G7" s="23">
        <v>131</v>
      </c>
      <c r="H7" s="23">
        <v>0</v>
      </c>
      <c r="I7" s="23">
        <v>0</v>
      </c>
      <c r="J7" s="23">
        <v>0</v>
      </c>
      <c r="K7" s="23">
        <v>131</v>
      </c>
      <c r="L7" s="33">
        <v>0</v>
      </c>
      <c r="M7" s="33">
        <v>131</v>
      </c>
      <c r="N7" s="33">
        <v>802</v>
      </c>
      <c r="O7" s="33">
        <v>1137</v>
      </c>
      <c r="P7" s="33">
        <v>-482</v>
      </c>
      <c r="Q7" s="33">
        <v>655</v>
      </c>
      <c r="R7" s="33">
        <v>388</v>
      </c>
      <c r="S7" s="33">
        <f t="shared" ref="S7:S9" si="2">Q7-R7</f>
        <v>267</v>
      </c>
      <c r="T7" s="38">
        <f t="shared" si="0"/>
        <v>0.81670822942643395</v>
      </c>
      <c r="U7" s="59">
        <f t="shared" si="1"/>
        <v>1310</v>
      </c>
      <c r="V7" s="33">
        <f t="shared" ref="V7" si="3">U7-N7</f>
        <v>508</v>
      </c>
      <c r="W7" s="33">
        <v>0</v>
      </c>
      <c r="X7" s="33"/>
      <c r="Y7" s="33"/>
      <c r="Z7" s="42"/>
      <c r="AA7" s="60"/>
      <c r="AB7" s="105"/>
      <c r="AC7" s="93"/>
      <c r="AD7" s="33">
        <v>0</v>
      </c>
      <c r="AE7" s="33">
        <v>655</v>
      </c>
      <c r="AF7" s="101">
        <v>161</v>
      </c>
    </row>
    <row r="8" spans="2:32" ht="13" outlineLevel="2" x14ac:dyDescent="0.3">
      <c r="B8" s="31" t="s">
        <v>39</v>
      </c>
      <c r="C8" s="33">
        <v>1857</v>
      </c>
      <c r="D8" s="33">
        <v>1899</v>
      </c>
      <c r="E8" s="23">
        <v>0</v>
      </c>
      <c r="F8" s="23">
        <v>0</v>
      </c>
      <c r="G8" s="23">
        <v>209</v>
      </c>
      <c r="H8" s="23">
        <v>0</v>
      </c>
      <c r="I8" s="23">
        <v>0</v>
      </c>
      <c r="J8" s="23">
        <v>0</v>
      </c>
      <c r="K8" s="23">
        <v>209</v>
      </c>
      <c r="L8" s="33">
        <v>0</v>
      </c>
      <c r="M8" s="33">
        <v>209</v>
      </c>
      <c r="N8" s="33">
        <v>1899</v>
      </c>
      <c r="O8" s="33">
        <v>4127</v>
      </c>
      <c r="P8" s="33">
        <v>-2479</v>
      </c>
      <c r="Q8" s="33">
        <v>1648</v>
      </c>
      <c r="R8" s="33">
        <v>925</v>
      </c>
      <c r="S8" s="33">
        <f t="shared" si="2"/>
        <v>723</v>
      </c>
      <c r="T8" s="38">
        <f t="shared" si="0"/>
        <v>0.86782517114270674</v>
      </c>
      <c r="U8" s="59">
        <f>(Q8*2)+500</f>
        <v>3796</v>
      </c>
      <c r="V8" s="33">
        <f>U8-N8</f>
        <v>1897</v>
      </c>
      <c r="W8" s="33">
        <v>0</v>
      </c>
      <c r="X8" s="33"/>
      <c r="Y8" s="33"/>
      <c r="Z8" s="42"/>
      <c r="AA8" s="60"/>
      <c r="AB8" s="105"/>
      <c r="AC8" s="93"/>
      <c r="AD8" s="33">
        <v>0</v>
      </c>
      <c r="AE8" s="33">
        <v>1648</v>
      </c>
      <c r="AF8" s="101">
        <v>-418</v>
      </c>
    </row>
    <row r="9" spans="2:32" ht="13" outlineLevel="2" x14ac:dyDescent="0.3">
      <c r="B9" s="31" t="s">
        <v>40</v>
      </c>
      <c r="C9" s="33">
        <v>1818</v>
      </c>
      <c r="D9" s="33">
        <v>1879</v>
      </c>
      <c r="E9" s="23">
        <v>0</v>
      </c>
      <c r="F9" s="23">
        <v>0</v>
      </c>
      <c r="G9" s="23">
        <v>34</v>
      </c>
      <c r="H9" s="23">
        <v>0</v>
      </c>
      <c r="I9" s="23">
        <v>0</v>
      </c>
      <c r="J9" s="23">
        <v>0</v>
      </c>
      <c r="K9" s="23">
        <v>34</v>
      </c>
      <c r="L9" s="33">
        <v>0</v>
      </c>
      <c r="M9" s="33">
        <v>33</v>
      </c>
      <c r="N9" s="33">
        <v>1879</v>
      </c>
      <c r="O9" s="33">
        <v>2274</v>
      </c>
      <c r="P9" s="33">
        <v>-1038</v>
      </c>
      <c r="Q9" s="33">
        <v>1236</v>
      </c>
      <c r="R9" s="33">
        <v>939</v>
      </c>
      <c r="S9" s="33">
        <f t="shared" si="2"/>
        <v>297</v>
      </c>
      <c r="T9" s="38">
        <f t="shared" si="0"/>
        <v>0.65779670037253857</v>
      </c>
      <c r="U9" s="59">
        <f t="shared" si="1"/>
        <v>2472</v>
      </c>
      <c r="V9" s="33">
        <f>U9-N9</f>
        <v>593</v>
      </c>
      <c r="W9" s="33">
        <v>0</v>
      </c>
      <c r="X9" s="33"/>
      <c r="Y9" s="33"/>
      <c r="Z9" s="42"/>
      <c r="AA9" s="60"/>
      <c r="AB9" s="105"/>
      <c r="AC9" s="93"/>
      <c r="AD9" s="33">
        <v>0</v>
      </c>
      <c r="AE9" s="33">
        <v>1236</v>
      </c>
      <c r="AF9" s="101">
        <v>-615</v>
      </c>
    </row>
    <row r="10" spans="2:32" ht="13" outlineLevel="2" x14ac:dyDescent="0.3">
      <c r="B10" s="31" t="s">
        <v>41</v>
      </c>
      <c r="C10" s="33">
        <v>16</v>
      </c>
      <c r="D10" s="33">
        <v>0</v>
      </c>
      <c r="E10" s="23">
        <v>0</v>
      </c>
      <c r="F10" s="23">
        <v>0</v>
      </c>
      <c r="G10" s="23">
        <v>70</v>
      </c>
      <c r="H10" s="23">
        <v>0</v>
      </c>
      <c r="I10" s="23">
        <v>0</v>
      </c>
      <c r="J10" s="23">
        <v>0</v>
      </c>
      <c r="K10" s="23">
        <v>70</v>
      </c>
      <c r="L10" s="33">
        <v>0</v>
      </c>
      <c r="M10" s="33">
        <v>70</v>
      </c>
      <c r="N10" s="33">
        <v>0</v>
      </c>
      <c r="O10" s="33">
        <v>1</v>
      </c>
      <c r="P10" s="33">
        <v>0</v>
      </c>
      <c r="Q10" s="33"/>
      <c r="R10" s="33">
        <v>0</v>
      </c>
      <c r="S10" s="33">
        <v>0</v>
      </c>
      <c r="T10" s="38">
        <v>0</v>
      </c>
      <c r="U10" s="59">
        <v>0</v>
      </c>
      <c r="V10" s="33">
        <v>0</v>
      </c>
      <c r="W10" s="33">
        <v>0</v>
      </c>
      <c r="X10" s="33"/>
      <c r="Y10" s="33"/>
      <c r="Z10" s="42"/>
      <c r="AA10" s="60"/>
      <c r="AB10" s="105"/>
      <c r="AC10" s="93"/>
      <c r="AD10" s="33">
        <v>0</v>
      </c>
      <c r="AE10" s="33">
        <v>1</v>
      </c>
      <c r="AF10" s="101">
        <v>-85</v>
      </c>
    </row>
    <row r="11" spans="2:32" s="643" customFormat="1" ht="13.5" outlineLevel="2" thickBot="1" x14ac:dyDescent="0.35">
      <c r="B11" s="790" t="s">
        <v>43</v>
      </c>
      <c r="C11" s="784">
        <v>4907</v>
      </c>
      <c r="D11" s="784">
        <v>5630</v>
      </c>
      <c r="E11" s="785">
        <v>217</v>
      </c>
      <c r="F11" s="785">
        <v>0</v>
      </c>
      <c r="G11" s="785">
        <v>507</v>
      </c>
      <c r="H11" s="785">
        <v>0</v>
      </c>
      <c r="I11" s="785">
        <v>0</v>
      </c>
      <c r="J11" s="785">
        <v>0</v>
      </c>
      <c r="K11" s="785">
        <v>724</v>
      </c>
      <c r="L11" s="784">
        <v>0</v>
      </c>
      <c r="M11" s="784">
        <v>723</v>
      </c>
      <c r="N11" s="784">
        <f>SUM(N5:N10)</f>
        <v>5710</v>
      </c>
      <c r="O11" s="784">
        <v>7836</v>
      </c>
      <c r="P11" s="784">
        <v>-4027</v>
      </c>
      <c r="Q11" s="784">
        <f t="shared" ref="Q11:S11" si="4">SUM(Q5:Q10)</f>
        <v>3808</v>
      </c>
      <c r="R11" s="784">
        <f t="shared" si="4"/>
        <v>2925</v>
      </c>
      <c r="S11" s="784">
        <f t="shared" si="4"/>
        <v>883</v>
      </c>
      <c r="T11" s="794">
        <f>Q11/N11</f>
        <v>0.66690017513134847</v>
      </c>
      <c r="U11" s="795">
        <f>SUM(U5:U10)</f>
        <v>8116</v>
      </c>
      <c r="V11" s="784">
        <f>SUM(V5:V10)</f>
        <v>2635</v>
      </c>
      <c r="W11" s="34">
        <v>0</v>
      </c>
      <c r="X11" s="34"/>
      <c r="Y11" s="34"/>
      <c r="Z11" s="41"/>
      <c r="AA11" s="791"/>
      <c r="AB11" s="792">
        <v>0</v>
      </c>
      <c r="AC11" s="793">
        <v>0</v>
      </c>
      <c r="AD11" s="34"/>
      <c r="AE11" s="34"/>
      <c r="AF11" s="103"/>
    </row>
    <row r="12" spans="2:32" ht="13.5" outlineLevel="2" thickTop="1" x14ac:dyDescent="0.3">
      <c r="B12" s="31" t="s">
        <v>44</v>
      </c>
      <c r="C12" s="33">
        <v>814</v>
      </c>
      <c r="D12" s="33">
        <v>928</v>
      </c>
      <c r="E12" s="23">
        <v>0</v>
      </c>
      <c r="F12" s="23">
        <v>15</v>
      </c>
      <c r="G12" s="23">
        <v>149</v>
      </c>
      <c r="H12" s="23">
        <v>0</v>
      </c>
      <c r="I12" s="23">
        <v>-35</v>
      </c>
      <c r="J12" s="23">
        <v>0</v>
      </c>
      <c r="K12" s="23">
        <v>129</v>
      </c>
      <c r="L12" s="33">
        <v>15</v>
      </c>
      <c r="M12" s="33">
        <v>129</v>
      </c>
      <c r="N12" s="33">
        <v>943</v>
      </c>
      <c r="O12" s="33">
        <v>921</v>
      </c>
      <c r="P12" s="33">
        <v>-559</v>
      </c>
      <c r="Q12" s="33">
        <v>362</v>
      </c>
      <c r="R12" s="33">
        <v>513</v>
      </c>
      <c r="S12" s="33">
        <v>-151</v>
      </c>
      <c r="T12" s="38">
        <v>0.38388123011664899</v>
      </c>
      <c r="U12" s="59">
        <v>953</v>
      </c>
      <c r="V12" s="33">
        <v>10</v>
      </c>
      <c r="W12" s="33">
        <v>10</v>
      </c>
      <c r="X12" s="33"/>
      <c r="Y12" s="33"/>
      <c r="Z12" s="42"/>
      <c r="AA12" s="60"/>
      <c r="AB12" s="105"/>
      <c r="AC12" s="93"/>
      <c r="AD12" s="33">
        <v>0</v>
      </c>
      <c r="AE12" s="33">
        <v>362</v>
      </c>
      <c r="AF12" s="101">
        <v>-581</v>
      </c>
    </row>
    <row r="13" spans="2:32" ht="13" outlineLevel="1" x14ac:dyDescent="0.3">
      <c r="B13" s="79" t="s">
        <v>45</v>
      </c>
      <c r="C13" s="33">
        <v>814</v>
      </c>
      <c r="D13" s="33">
        <v>928</v>
      </c>
      <c r="E13" s="23">
        <v>0</v>
      </c>
      <c r="F13" s="23">
        <v>15</v>
      </c>
      <c r="G13" s="23">
        <v>149</v>
      </c>
      <c r="H13" s="23">
        <v>0</v>
      </c>
      <c r="I13" s="23">
        <v>-35</v>
      </c>
      <c r="J13" s="23">
        <v>0</v>
      </c>
      <c r="K13" s="23">
        <v>129</v>
      </c>
      <c r="L13" s="33">
        <v>15</v>
      </c>
      <c r="M13" s="33">
        <v>129</v>
      </c>
      <c r="N13" s="33">
        <v>943</v>
      </c>
      <c r="O13" s="33">
        <v>921</v>
      </c>
      <c r="P13" s="33">
        <v>-559</v>
      </c>
      <c r="Q13" s="33">
        <v>362</v>
      </c>
      <c r="R13" s="33">
        <v>513</v>
      </c>
      <c r="S13" s="33">
        <v>-151</v>
      </c>
      <c r="T13" s="38">
        <v>0.38388123011664899</v>
      </c>
      <c r="U13" s="59">
        <v>953</v>
      </c>
      <c r="V13" s="33">
        <v>10</v>
      </c>
      <c r="W13" s="34">
        <v>10</v>
      </c>
      <c r="X13" s="34"/>
      <c r="Y13" s="34"/>
      <c r="Z13" s="41"/>
      <c r="AA13" s="60"/>
      <c r="AB13" s="102">
        <v>0</v>
      </c>
      <c r="AC13" s="34">
        <v>0</v>
      </c>
      <c r="AD13" s="34"/>
      <c r="AE13" s="34"/>
      <c r="AF13" s="103"/>
    </row>
    <row r="14" spans="2:32" ht="13" outlineLevel="2" x14ac:dyDescent="0.3">
      <c r="B14" s="31" t="s">
        <v>46</v>
      </c>
      <c r="C14" s="33">
        <v>991</v>
      </c>
      <c r="D14" s="33">
        <v>1474</v>
      </c>
      <c r="E14" s="23">
        <v>-65</v>
      </c>
      <c r="F14" s="23">
        <v>0</v>
      </c>
      <c r="G14" s="23">
        <v>686</v>
      </c>
      <c r="H14" s="23">
        <v>0</v>
      </c>
      <c r="I14" s="23">
        <v>-137</v>
      </c>
      <c r="J14" s="23">
        <v>0</v>
      </c>
      <c r="K14" s="23">
        <v>484</v>
      </c>
      <c r="L14" s="33">
        <v>0</v>
      </c>
      <c r="M14" s="33">
        <v>483</v>
      </c>
      <c r="N14" s="33">
        <v>1474</v>
      </c>
      <c r="O14" s="33">
        <v>989</v>
      </c>
      <c r="P14" s="33">
        <v>-304</v>
      </c>
      <c r="Q14" s="33">
        <v>685</v>
      </c>
      <c r="R14" s="33">
        <v>781</v>
      </c>
      <c r="S14" s="33">
        <v>-96</v>
      </c>
      <c r="T14" s="38">
        <v>0.46472184531886024</v>
      </c>
      <c r="U14" s="59">
        <v>1639</v>
      </c>
      <c r="V14" s="33">
        <v>165</v>
      </c>
      <c r="W14" s="33">
        <v>165</v>
      </c>
      <c r="X14" s="33"/>
      <c r="Y14" s="33"/>
      <c r="Z14" s="42"/>
      <c r="AA14" s="60"/>
      <c r="AB14" s="105"/>
      <c r="AC14" s="93"/>
      <c r="AD14" s="33">
        <v>0</v>
      </c>
      <c r="AE14" s="33">
        <v>685</v>
      </c>
      <c r="AF14" s="101">
        <v>-789</v>
      </c>
    </row>
    <row r="15" spans="2:32" ht="13" outlineLevel="2" x14ac:dyDescent="0.3">
      <c r="B15" s="31" t="s">
        <v>47</v>
      </c>
      <c r="C15" s="33">
        <v>145</v>
      </c>
      <c r="D15" s="33">
        <v>301</v>
      </c>
      <c r="E15" s="23">
        <v>0</v>
      </c>
      <c r="F15" s="23">
        <v>0</v>
      </c>
      <c r="G15" s="23">
        <v>38</v>
      </c>
      <c r="H15" s="23">
        <v>0</v>
      </c>
      <c r="I15" s="23">
        <v>118</v>
      </c>
      <c r="J15" s="23">
        <v>0</v>
      </c>
      <c r="K15" s="23">
        <v>156</v>
      </c>
      <c r="L15" s="33">
        <v>0</v>
      </c>
      <c r="M15" s="33">
        <v>156</v>
      </c>
      <c r="N15" s="33">
        <v>301</v>
      </c>
      <c r="O15" s="33">
        <v>408</v>
      </c>
      <c r="P15" s="33">
        <v>-512</v>
      </c>
      <c r="Q15" s="33">
        <v>-105</v>
      </c>
      <c r="R15" s="33">
        <v>32</v>
      </c>
      <c r="S15" s="33">
        <v>-137</v>
      </c>
      <c r="T15" s="38">
        <v>-0.34883720930232559</v>
      </c>
      <c r="U15" s="59">
        <v>301</v>
      </c>
      <c r="V15" s="33">
        <v>0</v>
      </c>
      <c r="W15" s="33">
        <v>0</v>
      </c>
      <c r="X15" s="33"/>
      <c r="Y15" s="33"/>
      <c r="Z15" s="42"/>
      <c r="AA15" s="60"/>
      <c r="AB15" s="105"/>
      <c r="AC15" s="93"/>
      <c r="AD15" s="33">
        <v>0</v>
      </c>
      <c r="AE15" s="33">
        <v>-105</v>
      </c>
      <c r="AF15" s="101">
        <v>-406</v>
      </c>
    </row>
    <row r="16" spans="2:32" ht="13" outlineLevel="2" x14ac:dyDescent="0.3">
      <c r="B16" s="31" t="s">
        <v>49</v>
      </c>
      <c r="C16" s="33">
        <v>607</v>
      </c>
      <c r="D16" s="33">
        <v>678</v>
      </c>
      <c r="E16" s="23">
        <v>-5</v>
      </c>
      <c r="F16" s="23">
        <v>0</v>
      </c>
      <c r="G16" s="23">
        <v>118</v>
      </c>
      <c r="H16" s="23">
        <v>0</v>
      </c>
      <c r="I16" s="23">
        <v>-42</v>
      </c>
      <c r="J16" s="23">
        <v>0</v>
      </c>
      <c r="K16" s="23">
        <v>71</v>
      </c>
      <c r="L16" s="33">
        <v>0</v>
      </c>
      <c r="M16" s="33">
        <v>71</v>
      </c>
      <c r="N16" s="33">
        <v>678</v>
      </c>
      <c r="O16" s="33">
        <v>503</v>
      </c>
      <c r="P16" s="33">
        <v>-154</v>
      </c>
      <c r="Q16" s="33">
        <v>349</v>
      </c>
      <c r="R16" s="33">
        <v>417</v>
      </c>
      <c r="S16" s="33">
        <v>-68</v>
      </c>
      <c r="T16" s="38">
        <v>0.51474926253687314</v>
      </c>
      <c r="U16" s="59">
        <v>630</v>
      </c>
      <c r="V16" s="33">
        <v>-48</v>
      </c>
      <c r="W16" s="33">
        <v>-48</v>
      </c>
      <c r="X16" s="33"/>
      <c r="Y16" s="33"/>
      <c r="Z16" s="42"/>
      <c r="AA16" s="60"/>
      <c r="AB16" s="105"/>
      <c r="AC16" s="93"/>
      <c r="AD16" s="33">
        <v>0</v>
      </c>
      <c r="AE16" s="33">
        <v>349</v>
      </c>
      <c r="AF16" s="101">
        <v>-329</v>
      </c>
    </row>
    <row r="17" spans="2:32" ht="13" outlineLevel="2" x14ac:dyDescent="0.3">
      <c r="B17" s="31" t="s">
        <v>50</v>
      </c>
      <c r="C17" s="33">
        <v>159</v>
      </c>
      <c r="D17" s="33">
        <v>176</v>
      </c>
      <c r="E17" s="23">
        <v>0</v>
      </c>
      <c r="F17" s="23">
        <v>0</v>
      </c>
      <c r="G17" s="23">
        <v>11</v>
      </c>
      <c r="H17" s="23">
        <v>0</v>
      </c>
      <c r="I17" s="23">
        <v>6</v>
      </c>
      <c r="J17" s="23">
        <v>0</v>
      </c>
      <c r="K17" s="23">
        <v>17</v>
      </c>
      <c r="L17" s="33">
        <v>0</v>
      </c>
      <c r="M17" s="33">
        <v>17</v>
      </c>
      <c r="N17" s="33">
        <v>176</v>
      </c>
      <c r="O17" s="33">
        <v>125</v>
      </c>
      <c r="P17" s="33">
        <v>-76</v>
      </c>
      <c r="Q17" s="33">
        <v>49</v>
      </c>
      <c r="R17" s="33">
        <v>78</v>
      </c>
      <c r="S17" s="33">
        <v>-29</v>
      </c>
      <c r="T17" s="38">
        <v>0.27840909090909088</v>
      </c>
      <c r="U17" s="59">
        <v>164</v>
      </c>
      <c r="V17" s="33">
        <v>-12</v>
      </c>
      <c r="W17" s="33">
        <v>-12</v>
      </c>
      <c r="X17" s="33"/>
      <c r="Y17" s="33"/>
      <c r="Z17" s="42"/>
      <c r="AA17" s="60"/>
      <c r="AB17" s="105"/>
      <c r="AC17" s="93"/>
      <c r="AD17" s="33">
        <v>0</v>
      </c>
      <c r="AE17" s="33">
        <v>49</v>
      </c>
      <c r="AF17" s="101">
        <v>-127</v>
      </c>
    </row>
    <row r="18" spans="2:32" ht="13" outlineLevel="2" x14ac:dyDescent="0.3">
      <c r="B18" s="31" t="s">
        <v>52</v>
      </c>
      <c r="C18" s="33">
        <v>284</v>
      </c>
      <c r="D18" s="33">
        <v>381</v>
      </c>
      <c r="E18" s="23">
        <v>0</v>
      </c>
      <c r="F18" s="23">
        <v>0</v>
      </c>
      <c r="G18" s="23">
        <v>26</v>
      </c>
      <c r="H18" s="23">
        <v>0</v>
      </c>
      <c r="I18" s="23">
        <v>70</v>
      </c>
      <c r="J18" s="23">
        <v>0</v>
      </c>
      <c r="K18" s="23">
        <v>96</v>
      </c>
      <c r="L18" s="33">
        <v>0</v>
      </c>
      <c r="M18" s="33">
        <v>97</v>
      </c>
      <c r="N18" s="33">
        <v>381</v>
      </c>
      <c r="O18" s="33">
        <v>517</v>
      </c>
      <c r="P18" s="33">
        <v>-304</v>
      </c>
      <c r="Q18" s="33">
        <v>214</v>
      </c>
      <c r="R18" s="33">
        <v>150</v>
      </c>
      <c r="S18" s="33">
        <v>64</v>
      </c>
      <c r="T18" s="38">
        <v>0.56167979002624668</v>
      </c>
      <c r="U18" s="59">
        <v>381</v>
      </c>
      <c r="V18" s="33">
        <v>0</v>
      </c>
      <c r="W18" s="33">
        <v>0</v>
      </c>
      <c r="X18" s="33"/>
      <c r="Y18" s="33"/>
      <c r="Z18" s="42"/>
      <c r="AA18" s="60"/>
      <c r="AB18" s="105"/>
      <c r="AC18" s="93"/>
      <c r="AD18" s="33">
        <v>0</v>
      </c>
      <c r="AE18" s="33">
        <v>214</v>
      </c>
      <c r="AF18" s="101">
        <v>-167</v>
      </c>
    </row>
    <row r="19" spans="2:32" ht="13" outlineLevel="2" x14ac:dyDescent="0.3">
      <c r="B19" s="31" t="s">
        <v>53</v>
      </c>
      <c r="C19" s="33">
        <v>1383</v>
      </c>
      <c r="D19" s="33">
        <v>1423</v>
      </c>
      <c r="E19" s="23">
        <v>0</v>
      </c>
      <c r="F19" s="23">
        <v>0</v>
      </c>
      <c r="G19" s="23">
        <v>36</v>
      </c>
      <c r="H19" s="23">
        <v>0</v>
      </c>
      <c r="I19" s="23">
        <v>3</v>
      </c>
      <c r="J19" s="23">
        <v>0</v>
      </c>
      <c r="K19" s="23">
        <v>39</v>
      </c>
      <c r="L19" s="33">
        <v>0</v>
      </c>
      <c r="M19" s="33">
        <v>40</v>
      </c>
      <c r="N19" s="33">
        <v>1423</v>
      </c>
      <c r="O19" s="33">
        <v>749</v>
      </c>
      <c r="P19" s="33">
        <v>-1</v>
      </c>
      <c r="Q19" s="33">
        <v>748</v>
      </c>
      <c r="R19" s="33">
        <v>742</v>
      </c>
      <c r="S19" s="33">
        <v>6</v>
      </c>
      <c r="T19" s="38">
        <v>0.52565003513703445</v>
      </c>
      <c r="U19" s="59">
        <v>1366</v>
      </c>
      <c r="V19" s="33">
        <v>-57</v>
      </c>
      <c r="W19" s="33">
        <v>-57</v>
      </c>
      <c r="X19" s="33"/>
      <c r="Y19" s="33"/>
      <c r="Z19" s="42"/>
      <c r="AA19" s="60"/>
      <c r="AB19" s="105"/>
      <c r="AC19" s="93"/>
      <c r="AD19" s="33">
        <v>0</v>
      </c>
      <c r="AE19" s="33">
        <v>748</v>
      </c>
      <c r="AF19" s="101">
        <v>-675</v>
      </c>
    </row>
    <row r="20" spans="2:32" ht="13" outlineLevel="2" x14ac:dyDescent="0.3">
      <c r="B20" s="31" t="s">
        <v>54</v>
      </c>
      <c r="C20" s="33">
        <v>0</v>
      </c>
      <c r="D20" s="33">
        <v>12</v>
      </c>
      <c r="E20" s="23">
        <v>0</v>
      </c>
      <c r="F20" s="23">
        <v>0</v>
      </c>
      <c r="G20" s="23">
        <v>12</v>
      </c>
      <c r="H20" s="23">
        <v>0</v>
      </c>
      <c r="I20" s="23">
        <v>0</v>
      </c>
      <c r="J20" s="23">
        <v>0</v>
      </c>
      <c r="K20" s="23">
        <v>12</v>
      </c>
      <c r="L20" s="33">
        <v>0</v>
      </c>
      <c r="M20" s="33">
        <v>12</v>
      </c>
      <c r="N20" s="33">
        <v>12</v>
      </c>
      <c r="O20" s="33">
        <v>111</v>
      </c>
      <c r="P20" s="33">
        <v>-107</v>
      </c>
      <c r="Q20" s="33">
        <v>4</v>
      </c>
      <c r="R20" s="33">
        <v>6</v>
      </c>
      <c r="S20" s="33">
        <v>-2</v>
      </c>
      <c r="T20" s="38">
        <v>0.33333333333333331</v>
      </c>
      <c r="U20" s="59">
        <v>12</v>
      </c>
      <c r="V20" s="33">
        <v>0</v>
      </c>
      <c r="W20" s="33">
        <v>0</v>
      </c>
      <c r="X20" s="33"/>
      <c r="Y20" s="33"/>
      <c r="Z20" s="42"/>
      <c r="AA20" s="60"/>
      <c r="AB20" s="105"/>
      <c r="AC20" s="93"/>
      <c r="AD20" s="33">
        <v>0</v>
      </c>
      <c r="AE20" s="33">
        <v>4</v>
      </c>
      <c r="AF20" s="101">
        <v>-8</v>
      </c>
    </row>
    <row r="21" spans="2:32" ht="13" outlineLevel="2" x14ac:dyDescent="0.3">
      <c r="B21" s="31" t="s">
        <v>55</v>
      </c>
      <c r="C21" s="33">
        <v>3569</v>
      </c>
      <c r="D21" s="33">
        <v>4445</v>
      </c>
      <c r="E21" s="23">
        <v>-70</v>
      </c>
      <c r="F21" s="23">
        <v>0</v>
      </c>
      <c r="G21" s="23">
        <v>927</v>
      </c>
      <c r="H21" s="23">
        <v>0</v>
      </c>
      <c r="I21" s="23">
        <v>18</v>
      </c>
      <c r="J21" s="23">
        <v>0</v>
      </c>
      <c r="K21" s="23">
        <v>875</v>
      </c>
      <c r="L21" s="33">
        <v>0</v>
      </c>
      <c r="M21" s="33">
        <v>876</v>
      </c>
      <c r="N21" s="33">
        <v>4445</v>
      </c>
      <c r="O21" s="33">
        <v>3402</v>
      </c>
      <c r="P21" s="33">
        <v>-1458</v>
      </c>
      <c r="Q21" s="33">
        <v>1944</v>
      </c>
      <c r="R21" s="33">
        <v>2206</v>
      </c>
      <c r="S21" s="33">
        <v>-262</v>
      </c>
      <c r="T21" s="38">
        <v>0.43734533183352081</v>
      </c>
      <c r="U21" s="59">
        <v>4493</v>
      </c>
      <c r="V21" s="33">
        <v>48</v>
      </c>
      <c r="W21" s="33">
        <v>48</v>
      </c>
      <c r="X21" s="33"/>
      <c r="Y21" s="33"/>
      <c r="Z21" s="42"/>
      <c r="AA21" s="60"/>
      <c r="AB21" s="105">
        <v>0</v>
      </c>
      <c r="AC21" s="93">
        <v>0</v>
      </c>
      <c r="AD21" s="33"/>
      <c r="AE21" s="33"/>
      <c r="AF21" s="101"/>
    </row>
    <row r="22" spans="2:32" ht="13.5" outlineLevel="2" thickBot="1" x14ac:dyDescent="0.35">
      <c r="B22" s="788" t="s">
        <v>56</v>
      </c>
      <c r="C22" s="728">
        <v>9290</v>
      </c>
      <c r="D22" s="728">
        <v>11003</v>
      </c>
      <c r="E22" s="789">
        <v>147</v>
      </c>
      <c r="F22" s="789">
        <v>15</v>
      </c>
      <c r="G22" s="789">
        <v>1583</v>
      </c>
      <c r="H22" s="789">
        <v>0</v>
      </c>
      <c r="I22" s="789">
        <v>-17</v>
      </c>
      <c r="J22" s="789">
        <v>0</v>
      </c>
      <c r="K22" s="789">
        <v>1728</v>
      </c>
      <c r="L22" s="728">
        <v>15</v>
      </c>
      <c r="M22" s="728">
        <v>1728</v>
      </c>
      <c r="N22" s="728">
        <v>11018</v>
      </c>
      <c r="O22" s="728">
        <v>12159</v>
      </c>
      <c r="P22" s="728">
        <v>-6044</v>
      </c>
      <c r="Q22" s="728">
        <v>6115</v>
      </c>
      <c r="R22" s="728">
        <v>5645</v>
      </c>
      <c r="S22" s="728">
        <v>470</v>
      </c>
      <c r="T22" s="786">
        <v>0.55500090760573606</v>
      </c>
      <c r="U22" s="787">
        <v>11076</v>
      </c>
      <c r="V22" s="728">
        <v>58</v>
      </c>
      <c r="W22" s="33">
        <v>58</v>
      </c>
      <c r="X22" s="33"/>
      <c r="Y22" s="33"/>
      <c r="Z22" s="42"/>
      <c r="AA22" s="60"/>
      <c r="AB22" s="105">
        <v>0</v>
      </c>
      <c r="AC22" s="93">
        <v>0</v>
      </c>
      <c r="AD22" s="33">
        <v>0</v>
      </c>
      <c r="AE22" s="33">
        <v>6115</v>
      </c>
      <c r="AF22" s="101">
        <v>-4903</v>
      </c>
    </row>
    <row r="23" spans="2:32" ht="13.5" outlineLevel="2" thickTop="1" x14ac:dyDescent="0.3">
      <c r="B23" s="31" t="s">
        <v>57</v>
      </c>
      <c r="C23" s="33">
        <v>1590</v>
      </c>
      <c r="D23" s="33">
        <v>1751</v>
      </c>
      <c r="E23" s="23">
        <v>0</v>
      </c>
      <c r="F23" s="23">
        <v>0</v>
      </c>
      <c r="G23" s="23">
        <v>156</v>
      </c>
      <c r="H23" s="23">
        <v>0</v>
      </c>
      <c r="I23" s="23">
        <v>5</v>
      </c>
      <c r="J23" s="23">
        <v>0</v>
      </c>
      <c r="K23" s="23">
        <v>161</v>
      </c>
      <c r="L23" s="33">
        <v>0</v>
      </c>
      <c r="M23" s="33">
        <v>161</v>
      </c>
      <c r="N23" s="33">
        <v>1751</v>
      </c>
      <c r="O23" s="33">
        <v>1793</v>
      </c>
      <c r="P23" s="33">
        <v>-528</v>
      </c>
      <c r="Q23" s="33">
        <v>1265</v>
      </c>
      <c r="R23" s="33">
        <v>895</v>
      </c>
      <c r="S23" s="33">
        <v>370</v>
      </c>
      <c r="T23" s="38">
        <f>Q23/N23</f>
        <v>0.72244431753283833</v>
      </c>
      <c r="U23" s="59">
        <f>Q23*2</f>
        <v>2530</v>
      </c>
      <c r="V23" s="33">
        <f>U23-N23</f>
        <v>779</v>
      </c>
      <c r="W23" s="33">
        <v>0</v>
      </c>
      <c r="X23" s="33"/>
      <c r="Y23" s="33"/>
      <c r="Z23" s="42"/>
      <c r="AA23" s="60"/>
      <c r="AB23" s="105"/>
      <c r="AC23" s="93"/>
      <c r="AD23" s="33">
        <v>0</v>
      </c>
      <c r="AE23" s="33">
        <v>1265</v>
      </c>
      <c r="AF23" s="101">
        <v>-486</v>
      </c>
    </row>
    <row r="24" spans="2:32" ht="13" outlineLevel="2" x14ac:dyDescent="0.3">
      <c r="B24" s="31" t="s">
        <v>58</v>
      </c>
      <c r="C24" s="33">
        <v>-10598</v>
      </c>
      <c r="D24" s="33">
        <v>-10430</v>
      </c>
      <c r="E24" s="23">
        <v>0</v>
      </c>
      <c r="F24" s="23">
        <v>0</v>
      </c>
      <c r="G24" s="23">
        <v>168</v>
      </c>
      <c r="H24" s="23">
        <v>0</v>
      </c>
      <c r="I24" s="23">
        <v>0</v>
      </c>
      <c r="J24" s="23">
        <v>0</v>
      </c>
      <c r="K24" s="23">
        <v>168</v>
      </c>
      <c r="L24" s="33">
        <v>0</v>
      </c>
      <c r="M24" s="33">
        <v>168</v>
      </c>
      <c r="N24" s="33">
        <v>-10430</v>
      </c>
      <c r="O24" s="33">
        <v>1341</v>
      </c>
      <c r="P24" s="33">
        <v>-5860</v>
      </c>
      <c r="Q24" s="33">
        <v>-4519</v>
      </c>
      <c r="R24" s="33">
        <v>-5354</v>
      </c>
      <c r="S24" s="33">
        <v>835</v>
      </c>
      <c r="T24" s="38">
        <f t="shared" ref="T24:T27" si="5">Q24/N24</f>
        <v>0.43326941514860978</v>
      </c>
      <c r="U24" s="59">
        <f>Q24*2</f>
        <v>-9038</v>
      </c>
      <c r="V24" s="33">
        <f>-(U24-N24)</f>
        <v>-1392</v>
      </c>
      <c r="W24" s="33">
        <v>0</v>
      </c>
      <c r="X24" s="33"/>
      <c r="Y24" s="33"/>
      <c r="Z24" s="42"/>
      <c r="AA24" s="60"/>
      <c r="AB24" s="105"/>
      <c r="AC24" s="93"/>
      <c r="AD24" s="33">
        <v>0</v>
      </c>
      <c r="AE24" s="33">
        <v>-4519</v>
      </c>
      <c r="AF24" s="101">
        <v>5911</v>
      </c>
    </row>
    <row r="25" spans="2:32" ht="13" outlineLevel="2" x14ac:dyDescent="0.3">
      <c r="B25" s="31" t="s">
        <v>59</v>
      </c>
      <c r="C25" s="33">
        <v>214</v>
      </c>
      <c r="D25" s="33">
        <v>223</v>
      </c>
      <c r="E25" s="23">
        <v>0</v>
      </c>
      <c r="F25" s="23">
        <v>0</v>
      </c>
      <c r="G25" s="23">
        <v>8</v>
      </c>
      <c r="H25" s="23">
        <v>0</v>
      </c>
      <c r="I25" s="23">
        <v>0</v>
      </c>
      <c r="J25" s="23">
        <v>0</v>
      </c>
      <c r="K25" s="23">
        <v>8</v>
      </c>
      <c r="L25" s="33">
        <v>0</v>
      </c>
      <c r="M25" s="33">
        <v>9</v>
      </c>
      <c r="N25" s="33">
        <v>223</v>
      </c>
      <c r="O25" s="33">
        <v>38</v>
      </c>
      <c r="P25" s="33">
        <v>0</v>
      </c>
      <c r="Q25" s="33">
        <v>38</v>
      </c>
      <c r="R25" s="33">
        <v>111</v>
      </c>
      <c r="S25" s="33">
        <v>-73</v>
      </c>
      <c r="T25" s="38">
        <f t="shared" si="5"/>
        <v>0.17040358744394618</v>
      </c>
      <c r="U25" s="59">
        <f t="shared" ref="U25:U28" si="6">Q25*2</f>
        <v>76</v>
      </c>
      <c r="V25" s="33">
        <f t="shared" ref="V25:V28" si="7">U25-N25</f>
        <v>-147</v>
      </c>
      <c r="W25" s="33">
        <v>0</v>
      </c>
      <c r="X25" s="33"/>
      <c r="Y25" s="33"/>
      <c r="Z25" s="42"/>
      <c r="AA25" s="60"/>
      <c r="AB25" s="105"/>
      <c r="AC25" s="93"/>
      <c r="AD25" s="33">
        <v>0</v>
      </c>
      <c r="AE25" s="33">
        <v>38</v>
      </c>
      <c r="AF25" s="101">
        <v>-185</v>
      </c>
    </row>
    <row r="26" spans="2:32" ht="13" outlineLevel="2" x14ac:dyDescent="0.3">
      <c r="B26" s="31" t="s">
        <v>229</v>
      </c>
      <c r="C26" s="33">
        <v>477</v>
      </c>
      <c r="D26" s="33">
        <v>622</v>
      </c>
      <c r="E26" s="23">
        <v>-15</v>
      </c>
      <c r="F26" s="23">
        <v>0</v>
      </c>
      <c r="G26" s="23">
        <v>199</v>
      </c>
      <c r="H26" s="23">
        <v>0</v>
      </c>
      <c r="I26" s="23">
        <v>-39</v>
      </c>
      <c r="J26" s="23">
        <v>0</v>
      </c>
      <c r="K26" s="23">
        <v>145</v>
      </c>
      <c r="L26" s="33">
        <v>0</v>
      </c>
      <c r="M26" s="33">
        <v>145</v>
      </c>
      <c r="N26" s="33">
        <v>622</v>
      </c>
      <c r="O26" s="33">
        <v>878</v>
      </c>
      <c r="P26" s="33">
        <v>-550</v>
      </c>
      <c r="Q26" s="33">
        <v>328</v>
      </c>
      <c r="R26" s="33">
        <v>392</v>
      </c>
      <c r="S26" s="33">
        <v>-64</v>
      </c>
      <c r="T26" s="38">
        <f t="shared" si="5"/>
        <v>0.52733118971061088</v>
      </c>
      <c r="U26" s="59">
        <f>Q26*2</f>
        <v>656</v>
      </c>
      <c r="V26" s="33">
        <f>U26-N26</f>
        <v>34</v>
      </c>
      <c r="W26" s="33">
        <v>0</v>
      </c>
      <c r="X26" s="33"/>
      <c r="Y26" s="33"/>
      <c r="Z26" s="42"/>
      <c r="AA26" s="60"/>
      <c r="AB26" s="105"/>
      <c r="AC26" s="93"/>
      <c r="AD26" s="33">
        <v>0</v>
      </c>
      <c r="AE26" s="33">
        <v>328</v>
      </c>
      <c r="AF26" s="101">
        <v>-294</v>
      </c>
    </row>
    <row r="27" spans="2:32" ht="13" outlineLevel="2" x14ac:dyDescent="0.3">
      <c r="B27" s="31" t="s">
        <v>230</v>
      </c>
      <c r="C27" s="33">
        <v>401</v>
      </c>
      <c r="D27" s="33">
        <v>359</v>
      </c>
      <c r="E27" s="23">
        <v>0</v>
      </c>
      <c r="F27" s="23">
        <v>0</v>
      </c>
      <c r="G27" s="23">
        <v>18</v>
      </c>
      <c r="H27" s="23">
        <v>0</v>
      </c>
      <c r="I27" s="23">
        <v>-60</v>
      </c>
      <c r="J27" s="23">
        <v>0</v>
      </c>
      <c r="K27" s="23">
        <v>-42</v>
      </c>
      <c r="L27" s="33">
        <v>0</v>
      </c>
      <c r="M27" s="33">
        <v>-42</v>
      </c>
      <c r="N27" s="33">
        <v>359</v>
      </c>
      <c r="O27" s="33">
        <v>119</v>
      </c>
      <c r="P27" s="33">
        <v>-12</v>
      </c>
      <c r="Q27" s="33">
        <v>107</v>
      </c>
      <c r="R27" s="33">
        <v>180</v>
      </c>
      <c r="S27" s="33">
        <v>-73</v>
      </c>
      <c r="T27" s="38">
        <f t="shared" si="5"/>
        <v>0.29805013927576601</v>
      </c>
      <c r="U27" s="59">
        <f>Q27*2</f>
        <v>214</v>
      </c>
      <c r="V27" s="33">
        <f>U27-N27</f>
        <v>-145</v>
      </c>
      <c r="W27" s="33">
        <v>0</v>
      </c>
      <c r="X27" s="33"/>
      <c r="Y27" s="33"/>
      <c r="Z27" s="42"/>
      <c r="AA27" s="60"/>
      <c r="AB27" s="105"/>
      <c r="AC27" s="93"/>
      <c r="AD27" s="33">
        <v>0</v>
      </c>
      <c r="AE27" s="33">
        <v>107</v>
      </c>
      <c r="AF27" s="101">
        <v>-252</v>
      </c>
    </row>
    <row r="28" spans="2:32" ht="13" outlineLevel="2" x14ac:dyDescent="0.3">
      <c r="B28" s="31" t="s">
        <v>60</v>
      </c>
      <c r="C28" s="33">
        <v>0</v>
      </c>
      <c r="D28" s="33">
        <v>0</v>
      </c>
      <c r="E28" s="23">
        <v>0</v>
      </c>
      <c r="F28" s="23">
        <v>0</v>
      </c>
      <c r="G28" s="23">
        <v>0</v>
      </c>
      <c r="H28" s="23">
        <v>0</v>
      </c>
      <c r="I28" s="23">
        <v>0</v>
      </c>
      <c r="J28" s="23">
        <v>0</v>
      </c>
      <c r="K28" s="23">
        <v>0</v>
      </c>
      <c r="L28" s="33">
        <v>0</v>
      </c>
      <c r="M28" s="33">
        <v>0</v>
      </c>
      <c r="N28" s="33">
        <v>0</v>
      </c>
      <c r="O28" s="33">
        <v>0</v>
      </c>
      <c r="P28" s="33">
        <v>0</v>
      </c>
      <c r="Q28" s="33">
        <v>0</v>
      </c>
      <c r="R28" s="33">
        <v>0</v>
      </c>
      <c r="S28" s="33">
        <v>0</v>
      </c>
      <c r="T28" s="38">
        <v>0</v>
      </c>
      <c r="U28" s="59">
        <f t="shared" si="6"/>
        <v>0</v>
      </c>
      <c r="V28" s="33">
        <f t="shared" si="7"/>
        <v>0</v>
      </c>
      <c r="W28" s="33">
        <v>0</v>
      </c>
      <c r="X28" s="33"/>
      <c r="Y28" s="33"/>
      <c r="Z28" s="42"/>
      <c r="AA28" s="60"/>
      <c r="AB28" s="105"/>
      <c r="AC28" s="93"/>
      <c r="AD28" s="33">
        <v>0</v>
      </c>
      <c r="AE28" s="33">
        <v>0</v>
      </c>
      <c r="AF28" s="101">
        <v>0</v>
      </c>
    </row>
    <row r="29" spans="2:32" ht="13.5" outlineLevel="2" thickBot="1" x14ac:dyDescent="0.35">
      <c r="B29" s="790" t="s">
        <v>61</v>
      </c>
      <c r="C29" s="784">
        <v>-7916</v>
      </c>
      <c r="D29" s="784">
        <v>-7475</v>
      </c>
      <c r="E29" s="785">
        <v>-15</v>
      </c>
      <c r="F29" s="785">
        <v>0</v>
      </c>
      <c r="G29" s="785">
        <v>549</v>
      </c>
      <c r="H29" s="785">
        <v>0</v>
      </c>
      <c r="I29" s="785">
        <v>-94</v>
      </c>
      <c r="J29" s="785">
        <v>0</v>
      </c>
      <c r="K29" s="785">
        <v>440</v>
      </c>
      <c r="L29" s="784">
        <v>0</v>
      </c>
      <c r="M29" s="784">
        <v>441</v>
      </c>
      <c r="N29" s="784">
        <f>SUM(N23:N28)</f>
        <v>-7475</v>
      </c>
      <c r="O29" s="784">
        <f t="shared" ref="O29:S29" si="8">SUM(O23:O28)</f>
        <v>4169</v>
      </c>
      <c r="P29" s="784">
        <f t="shared" si="8"/>
        <v>-6950</v>
      </c>
      <c r="Q29" s="784">
        <f t="shared" si="8"/>
        <v>-2781</v>
      </c>
      <c r="R29" s="784">
        <f t="shared" si="8"/>
        <v>-3776</v>
      </c>
      <c r="S29" s="784">
        <f t="shared" si="8"/>
        <v>995</v>
      </c>
      <c r="T29" s="794">
        <f>Q29/N29</f>
        <v>0.3720401337792642</v>
      </c>
      <c r="U29" s="795">
        <f>SUM(U23:U28)</f>
        <v>-5562</v>
      </c>
      <c r="V29" s="784">
        <f>SUM(V23:V28)</f>
        <v>-871</v>
      </c>
      <c r="W29" s="33">
        <v>0</v>
      </c>
      <c r="X29" s="33"/>
      <c r="Y29" s="33"/>
      <c r="Z29" s="42"/>
      <c r="AA29" s="60"/>
      <c r="AB29" s="105">
        <v>0</v>
      </c>
      <c r="AC29" s="93">
        <v>0</v>
      </c>
      <c r="AD29" s="33"/>
      <c r="AE29" s="33"/>
      <c r="AF29" s="101"/>
    </row>
    <row r="30" spans="2:32" ht="13.5" outlineLevel="2" thickTop="1" x14ac:dyDescent="0.3">
      <c r="B30" s="31" t="s">
        <v>62</v>
      </c>
      <c r="C30" s="33">
        <v>389</v>
      </c>
      <c r="D30" s="33">
        <v>451</v>
      </c>
      <c r="E30" s="23">
        <v>0</v>
      </c>
      <c r="F30" s="23">
        <v>0</v>
      </c>
      <c r="G30" s="23">
        <v>58</v>
      </c>
      <c r="H30" s="23">
        <v>0</v>
      </c>
      <c r="I30" s="23">
        <v>0</v>
      </c>
      <c r="J30" s="23">
        <v>0</v>
      </c>
      <c r="K30" s="23">
        <v>58</v>
      </c>
      <c r="L30" s="33">
        <v>0</v>
      </c>
      <c r="M30" s="33">
        <v>58</v>
      </c>
      <c r="N30" s="33">
        <v>451</v>
      </c>
      <c r="O30" s="33">
        <v>557</v>
      </c>
      <c r="P30" s="33">
        <v>-420</v>
      </c>
      <c r="Q30" s="33">
        <v>136</v>
      </c>
      <c r="R30" s="33">
        <v>243</v>
      </c>
      <c r="S30" s="33">
        <f>Q30-R30</f>
        <v>-107</v>
      </c>
      <c r="T30" s="38">
        <f>Q30/N30</f>
        <v>0.30155210643015523</v>
      </c>
      <c r="U30" s="59">
        <f>Q30*2</f>
        <v>272</v>
      </c>
      <c r="V30" s="33">
        <f>U30-N30</f>
        <v>-179</v>
      </c>
      <c r="W30" s="33">
        <v>0</v>
      </c>
      <c r="X30" s="33"/>
      <c r="Y30" s="33"/>
      <c r="Z30" s="42"/>
      <c r="AA30" s="60"/>
      <c r="AB30" s="105"/>
      <c r="AC30" s="93"/>
      <c r="AD30" s="33">
        <v>0</v>
      </c>
      <c r="AE30" s="33">
        <v>136</v>
      </c>
      <c r="AF30" s="101">
        <v>-311</v>
      </c>
    </row>
    <row r="31" spans="2:32" ht="13" outlineLevel="2" x14ac:dyDescent="0.3">
      <c r="B31" s="31" t="s">
        <v>63</v>
      </c>
      <c r="C31" s="33">
        <v>472</v>
      </c>
      <c r="D31" s="33">
        <v>543</v>
      </c>
      <c r="E31" s="23">
        <v>0</v>
      </c>
      <c r="F31" s="23">
        <v>0</v>
      </c>
      <c r="G31" s="23">
        <v>71</v>
      </c>
      <c r="H31" s="23">
        <v>0</v>
      </c>
      <c r="I31" s="23">
        <v>0</v>
      </c>
      <c r="J31" s="23">
        <v>0</v>
      </c>
      <c r="K31" s="23">
        <v>71</v>
      </c>
      <c r="L31" s="33">
        <v>0</v>
      </c>
      <c r="M31" s="33">
        <v>71</v>
      </c>
      <c r="N31" s="33">
        <v>543</v>
      </c>
      <c r="O31" s="33">
        <v>133</v>
      </c>
      <c r="P31" s="33">
        <v>0</v>
      </c>
      <c r="Q31" s="33">
        <v>133</v>
      </c>
      <c r="R31" s="33">
        <v>272</v>
      </c>
      <c r="S31" s="33">
        <f t="shared" ref="S31:S32" si="9">Q31-R31</f>
        <v>-139</v>
      </c>
      <c r="T31" s="38">
        <f t="shared" ref="T31:T32" si="10">Q31/N31</f>
        <v>0.24493554327808473</v>
      </c>
      <c r="U31" s="59">
        <f t="shared" ref="U31:U32" si="11">Q31*2</f>
        <v>266</v>
      </c>
      <c r="V31" s="33">
        <f t="shared" ref="V31:V32" si="12">U31-N31</f>
        <v>-277</v>
      </c>
      <c r="W31" s="33">
        <v>0</v>
      </c>
      <c r="X31" s="33"/>
      <c r="Y31" s="33"/>
      <c r="Z31" s="42"/>
      <c r="AA31" s="60"/>
      <c r="AB31" s="105"/>
      <c r="AC31" s="93"/>
      <c r="AD31" s="33">
        <v>0</v>
      </c>
      <c r="AE31" s="33">
        <v>133</v>
      </c>
      <c r="AF31" s="101">
        <v>-410</v>
      </c>
    </row>
    <row r="32" spans="2:32" ht="13" outlineLevel="2" x14ac:dyDescent="0.3">
      <c r="B32" s="31" t="s">
        <v>64</v>
      </c>
      <c r="C32" s="33">
        <v>68</v>
      </c>
      <c r="D32" s="33">
        <v>89</v>
      </c>
      <c r="E32" s="23">
        <v>0</v>
      </c>
      <c r="F32" s="23">
        <v>0</v>
      </c>
      <c r="G32" s="23">
        <v>21</v>
      </c>
      <c r="H32" s="23">
        <v>0</v>
      </c>
      <c r="I32" s="23">
        <v>0</v>
      </c>
      <c r="J32" s="23">
        <v>0</v>
      </c>
      <c r="K32" s="23">
        <v>21</v>
      </c>
      <c r="L32" s="33">
        <v>0</v>
      </c>
      <c r="M32" s="33">
        <v>21</v>
      </c>
      <c r="N32" s="33">
        <v>89</v>
      </c>
      <c r="O32" s="33">
        <v>79</v>
      </c>
      <c r="P32" s="33">
        <v>0</v>
      </c>
      <c r="Q32" s="33">
        <v>79</v>
      </c>
      <c r="R32" s="33">
        <v>44</v>
      </c>
      <c r="S32" s="33">
        <f t="shared" si="9"/>
        <v>35</v>
      </c>
      <c r="T32" s="38">
        <f t="shared" si="10"/>
        <v>0.88764044943820219</v>
      </c>
      <c r="U32" s="59">
        <f t="shared" si="11"/>
        <v>158</v>
      </c>
      <c r="V32" s="33">
        <f t="shared" si="12"/>
        <v>69</v>
      </c>
      <c r="W32" s="33">
        <v>0</v>
      </c>
      <c r="X32" s="33"/>
      <c r="Y32" s="33"/>
      <c r="Z32" s="42"/>
      <c r="AA32" s="60"/>
      <c r="AB32" s="105"/>
      <c r="AC32" s="93"/>
      <c r="AD32" s="33">
        <v>0</v>
      </c>
      <c r="AE32" s="33">
        <v>79</v>
      </c>
      <c r="AF32" s="101">
        <v>-10</v>
      </c>
    </row>
    <row r="33" spans="2:32" ht="13.5" outlineLevel="2" thickBot="1" x14ac:dyDescent="0.35">
      <c r="B33" s="790" t="s">
        <v>65</v>
      </c>
      <c r="C33" s="784">
        <v>929</v>
      </c>
      <c r="D33" s="784">
        <v>1079</v>
      </c>
      <c r="E33" s="785">
        <v>0</v>
      </c>
      <c r="F33" s="785">
        <v>0</v>
      </c>
      <c r="G33" s="785">
        <v>150</v>
      </c>
      <c r="H33" s="785">
        <v>0</v>
      </c>
      <c r="I33" s="785">
        <v>0</v>
      </c>
      <c r="J33" s="785">
        <v>0</v>
      </c>
      <c r="K33" s="785">
        <v>150</v>
      </c>
      <c r="L33" s="784">
        <v>0</v>
      </c>
      <c r="M33" s="784">
        <v>150</v>
      </c>
      <c r="N33" s="784">
        <f>SUM(N30:N32)</f>
        <v>1083</v>
      </c>
      <c r="O33" s="784">
        <f t="shared" ref="O33:S33" si="13">SUM(O30:O32)</f>
        <v>769</v>
      </c>
      <c r="P33" s="784">
        <f t="shared" si="13"/>
        <v>-420</v>
      </c>
      <c r="Q33" s="784">
        <f t="shared" si="13"/>
        <v>348</v>
      </c>
      <c r="R33" s="784">
        <f t="shared" si="13"/>
        <v>559</v>
      </c>
      <c r="S33" s="784">
        <f t="shared" si="13"/>
        <v>-211</v>
      </c>
      <c r="T33" s="794">
        <f>Q33/N33</f>
        <v>0.32132963988919666</v>
      </c>
      <c r="U33" s="795">
        <f>SUM(U30:U32)</f>
        <v>696</v>
      </c>
      <c r="V33" s="784">
        <f>SUM(V30:V32)</f>
        <v>-387</v>
      </c>
      <c r="W33" s="33">
        <v>0</v>
      </c>
      <c r="X33" s="33"/>
      <c r="Y33" s="33"/>
      <c r="Z33" s="42"/>
      <c r="AA33" s="60"/>
      <c r="AB33" s="105">
        <v>0</v>
      </c>
      <c r="AC33" s="93">
        <v>0</v>
      </c>
      <c r="AD33" s="33"/>
      <c r="AE33" s="33"/>
      <c r="AF33" s="101"/>
    </row>
    <row r="34" spans="2:32" ht="13.5" outlineLevel="2" thickTop="1" x14ac:dyDescent="0.3">
      <c r="B34" s="31" t="s">
        <v>66</v>
      </c>
      <c r="C34" s="33">
        <v>-753</v>
      </c>
      <c r="D34" s="33">
        <v>-780</v>
      </c>
      <c r="E34" s="23">
        <v>0</v>
      </c>
      <c r="F34" s="23">
        <v>0</v>
      </c>
      <c r="G34" s="23">
        <v>92</v>
      </c>
      <c r="H34" s="23">
        <v>0</v>
      </c>
      <c r="I34" s="23">
        <v>-119</v>
      </c>
      <c r="J34" s="23">
        <v>0</v>
      </c>
      <c r="K34" s="23">
        <v>-27</v>
      </c>
      <c r="L34" s="33">
        <v>0</v>
      </c>
      <c r="M34" s="33">
        <v>-27</v>
      </c>
      <c r="N34" s="33">
        <v>-780</v>
      </c>
      <c r="O34" s="33">
        <v>620</v>
      </c>
      <c r="P34" s="33">
        <v>-1047</v>
      </c>
      <c r="Q34" s="33">
        <v>-426</v>
      </c>
      <c r="R34" s="33">
        <v>-561</v>
      </c>
      <c r="S34" s="33">
        <v>135</v>
      </c>
      <c r="T34" s="38">
        <v>0.5461538461538461</v>
      </c>
      <c r="U34" s="59">
        <v>-780</v>
      </c>
      <c r="V34" s="33">
        <v>0</v>
      </c>
      <c r="W34" s="33">
        <v>0</v>
      </c>
      <c r="X34" s="33"/>
      <c r="Y34" s="33"/>
      <c r="Z34" s="42"/>
      <c r="AA34" s="60"/>
      <c r="AB34" s="105"/>
      <c r="AC34" s="93"/>
      <c r="AD34" s="33">
        <v>0</v>
      </c>
      <c r="AE34" s="33">
        <v>-426</v>
      </c>
      <c r="AF34" s="101">
        <v>354</v>
      </c>
    </row>
    <row r="35" spans="2:32" ht="13" outlineLevel="2" x14ac:dyDescent="0.3">
      <c r="B35" s="31" t="s">
        <v>67</v>
      </c>
      <c r="C35" s="33">
        <v>121</v>
      </c>
      <c r="D35" s="33">
        <v>228</v>
      </c>
      <c r="E35" s="23">
        <v>0</v>
      </c>
      <c r="F35" s="23">
        <v>0</v>
      </c>
      <c r="G35" s="23">
        <v>33</v>
      </c>
      <c r="H35" s="23">
        <v>0</v>
      </c>
      <c r="I35" s="23">
        <v>74</v>
      </c>
      <c r="J35" s="23">
        <v>0</v>
      </c>
      <c r="K35" s="23">
        <v>107</v>
      </c>
      <c r="L35" s="33">
        <v>0</v>
      </c>
      <c r="M35" s="33">
        <v>107</v>
      </c>
      <c r="N35" s="33">
        <v>228</v>
      </c>
      <c r="O35" s="33">
        <v>81</v>
      </c>
      <c r="P35" s="33">
        <v>-8</v>
      </c>
      <c r="Q35" s="33">
        <v>72</v>
      </c>
      <c r="R35" s="33">
        <v>83</v>
      </c>
      <c r="S35" s="33">
        <v>-11</v>
      </c>
      <c r="T35" s="38">
        <v>0.31578947368421051</v>
      </c>
      <c r="U35" s="59">
        <v>228</v>
      </c>
      <c r="V35" s="33">
        <v>0</v>
      </c>
      <c r="W35" s="33">
        <v>0</v>
      </c>
      <c r="X35" s="33"/>
      <c r="Y35" s="33"/>
      <c r="Z35" s="42"/>
      <c r="AA35" s="60"/>
      <c r="AB35" s="105"/>
      <c r="AC35" s="93"/>
      <c r="AD35" s="33">
        <v>0</v>
      </c>
      <c r="AE35" s="33">
        <v>72</v>
      </c>
      <c r="AF35" s="101">
        <v>-156</v>
      </c>
    </row>
    <row r="36" spans="2:32" ht="13" outlineLevel="2" x14ac:dyDescent="0.3">
      <c r="B36" s="31" t="s">
        <v>68</v>
      </c>
      <c r="C36" s="33">
        <v>-191</v>
      </c>
      <c r="D36" s="33">
        <v>-188</v>
      </c>
      <c r="E36" s="23">
        <v>0</v>
      </c>
      <c r="F36" s="23">
        <v>0</v>
      </c>
      <c r="G36" s="23">
        <v>3</v>
      </c>
      <c r="H36" s="23">
        <v>0</v>
      </c>
      <c r="I36" s="23">
        <v>0</v>
      </c>
      <c r="J36" s="23">
        <v>0</v>
      </c>
      <c r="K36" s="23">
        <v>3</v>
      </c>
      <c r="L36" s="33">
        <v>0</v>
      </c>
      <c r="M36" s="33">
        <v>3</v>
      </c>
      <c r="N36" s="33">
        <v>-188</v>
      </c>
      <c r="O36" s="33">
        <v>42</v>
      </c>
      <c r="P36" s="33">
        <v>-174</v>
      </c>
      <c r="Q36" s="33">
        <v>-133</v>
      </c>
      <c r="R36" s="33">
        <v>-98</v>
      </c>
      <c r="S36" s="33">
        <v>-35</v>
      </c>
      <c r="T36" s="38">
        <v>0.70744680851063835</v>
      </c>
      <c r="U36" s="59">
        <v>-188</v>
      </c>
      <c r="V36" s="33">
        <v>0</v>
      </c>
      <c r="W36" s="33">
        <v>0</v>
      </c>
      <c r="X36" s="33"/>
      <c r="Y36" s="33"/>
      <c r="Z36" s="42"/>
      <c r="AA36" s="60"/>
      <c r="AB36" s="105"/>
      <c r="AC36" s="93"/>
      <c r="AD36" s="33">
        <v>0</v>
      </c>
      <c r="AE36" s="33">
        <v>-133</v>
      </c>
      <c r="AF36" s="101">
        <v>55</v>
      </c>
    </row>
    <row r="37" spans="2:32" ht="13" outlineLevel="2" x14ac:dyDescent="0.3">
      <c r="B37" s="31" t="s">
        <v>69</v>
      </c>
      <c r="C37" s="33">
        <v>1261</v>
      </c>
      <c r="D37" s="33">
        <v>1409</v>
      </c>
      <c r="E37" s="23">
        <v>0</v>
      </c>
      <c r="F37" s="23">
        <v>0</v>
      </c>
      <c r="G37" s="23">
        <v>102</v>
      </c>
      <c r="H37" s="23">
        <v>0</v>
      </c>
      <c r="I37" s="23">
        <v>46</v>
      </c>
      <c r="J37" s="23">
        <v>0</v>
      </c>
      <c r="K37" s="23">
        <v>148</v>
      </c>
      <c r="L37" s="33">
        <v>0</v>
      </c>
      <c r="M37" s="33">
        <v>148</v>
      </c>
      <c r="N37" s="33">
        <v>1409</v>
      </c>
      <c r="O37" s="33">
        <v>714</v>
      </c>
      <c r="P37" s="33">
        <v>-126</v>
      </c>
      <c r="Q37" s="33">
        <v>589</v>
      </c>
      <c r="R37" s="33">
        <v>667</v>
      </c>
      <c r="S37" s="33">
        <v>-78</v>
      </c>
      <c r="T37" s="38">
        <v>0.41802696948190204</v>
      </c>
      <c r="U37" s="59">
        <v>1409</v>
      </c>
      <c r="V37" s="33">
        <v>0</v>
      </c>
      <c r="W37" s="33">
        <v>0</v>
      </c>
      <c r="X37" s="33"/>
      <c r="Y37" s="33"/>
      <c r="Z37" s="42"/>
      <c r="AA37" s="60"/>
      <c r="AB37" s="105"/>
      <c r="AC37" s="93"/>
      <c r="AD37" s="33">
        <v>0</v>
      </c>
      <c r="AE37" s="33">
        <v>589</v>
      </c>
      <c r="AF37" s="101">
        <v>-820</v>
      </c>
    </row>
    <row r="38" spans="2:32" ht="13" outlineLevel="1" x14ac:dyDescent="0.3">
      <c r="B38" s="32" t="s">
        <v>70</v>
      </c>
      <c r="C38" s="34">
        <v>-130</v>
      </c>
      <c r="D38" s="34">
        <v>141</v>
      </c>
      <c r="E38" s="24">
        <v>0</v>
      </c>
      <c r="F38" s="24">
        <v>0</v>
      </c>
      <c r="G38" s="24">
        <v>233</v>
      </c>
      <c r="H38" s="24">
        <v>0</v>
      </c>
      <c r="I38" s="24">
        <v>39</v>
      </c>
      <c r="J38" s="24">
        <v>0</v>
      </c>
      <c r="K38" s="24">
        <v>272</v>
      </c>
      <c r="L38" s="34">
        <v>0</v>
      </c>
      <c r="M38" s="34">
        <v>271</v>
      </c>
      <c r="N38" s="34">
        <v>141</v>
      </c>
      <c r="O38" s="34">
        <v>1891</v>
      </c>
      <c r="P38" s="34">
        <v>-1971</v>
      </c>
      <c r="Q38" s="34">
        <v>-4</v>
      </c>
      <c r="R38" s="34">
        <v>71</v>
      </c>
      <c r="S38" s="34">
        <v>-75</v>
      </c>
      <c r="T38" s="38">
        <v>-2.8368794326241134E-2</v>
      </c>
      <c r="U38" s="59">
        <v>319</v>
      </c>
      <c r="V38" s="34">
        <f>150</f>
        <v>150</v>
      </c>
      <c r="W38" s="34">
        <v>178</v>
      </c>
      <c r="X38" s="34"/>
      <c r="Y38" s="34"/>
      <c r="Z38" s="41"/>
      <c r="AA38" s="60"/>
      <c r="AB38" s="102"/>
      <c r="AC38" s="34"/>
      <c r="AD38" s="34">
        <v>0</v>
      </c>
      <c r="AE38" s="34">
        <v>-4</v>
      </c>
      <c r="AF38" s="103">
        <v>-145</v>
      </c>
    </row>
    <row r="39" spans="2:32" ht="13.5" customHeight="1" thickBot="1" x14ac:dyDescent="0.35">
      <c r="B39" s="53" t="s">
        <v>231</v>
      </c>
      <c r="C39" s="35">
        <v>308</v>
      </c>
      <c r="D39" s="35">
        <v>810</v>
      </c>
      <c r="E39" s="25">
        <v>0</v>
      </c>
      <c r="F39" s="25">
        <v>0</v>
      </c>
      <c r="G39" s="25">
        <v>463</v>
      </c>
      <c r="H39" s="25">
        <v>0</v>
      </c>
      <c r="I39" s="25">
        <v>40</v>
      </c>
      <c r="J39" s="25">
        <v>0</v>
      </c>
      <c r="K39" s="25">
        <v>503</v>
      </c>
      <c r="L39" s="35">
        <v>0</v>
      </c>
      <c r="M39" s="35">
        <v>502</v>
      </c>
      <c r="N39" s="35">
        <v>810</v>
      </c>
      <c r="O39" s="35">
        <v>3348</v>
      </c>
      <c r="P39" s="35">
        <v>-3326</v>
      </c>
      <c r="Q39" s="35">
        <v>98</v>
      </c>
      <c r="R39" s="35">
        <v>162</v>
      </c>
      <c r="S39" s="35">
        <v>-64</v>
      </c>
      <c r="T39" s="39">
        <v>0.12098765432098765</v>
      </c>
      <c r="U39" s="54">
        <v>988</v>
      </c>
      <c r="V39" s="35">
        <v>150</v>
      </c>
      <c r="W39" s="35">
        <v>178</v>
      </c>
      <c r="X39" s="35"/>
      <c r="Y39" s="35"/>
      <c r="Z39" s="43"/>
      <c r="AA39" s="60"/>
      <c r="AB39" s="104">
        <v>0</v>
      </c>
      <c r="AC39" s="104">
        <v>0</v>
      </c>
      <c r="AD39" s="35"/>
      <c r="AE39" s="35"/>
      <c r="AF39" s="43"/>
    </row>
    <row r="40" spans="2:32" ht="13.5" outlineLevel="2" thickTop="1" x14ac:dyDescent="0.3">
      <c r="B40" s="31" t="s">
        <v>72</v>
      </c>
      <c r="C40" s="33">
        <v>-6679</v>
      </c>
      <c r="D40" s="33">
        <v>-5586</v>
      </c>
      <c r="E40" s="23">
        <v>-15</v>
      </c>
      <c r="F40" s="23">
        <v>0</v>
      </c>
      <c r="G40" s="23">
        <v>1162</v>
      </c>
      <c r="H40" s="23">
        <v>0</v>
      </c>
      <c r="I40" s="23">
        <v>-54</v>
      </c>
      <c r="J40" s="23">
        <v>0</v>
      </c>
      <c r="K40" s="23">
        <v>1093</v>
      </c>
      <c r="L40" s="33">
        <v>0</v>
      </c>
      <c r="M40" s="33">
        <v>1093</v>
      </c>
      <c r="N40" s="33">
        <v>-5586</v>
      </c>
      <c r="O40" s="33">
        <v>8286</v>
      </c>
      <c r="P40" s="33">
        <v>-10696</v>
      </c>
      <c r="Q40" s="33">
        <v>-2335</v>
      </c>
      <c r="R40" s="33">
        <v>-3056</v>
      </c>
      <c r="S40" s="33">
        <v>721</v>
      </c>
      <c r="T40" s="38">
        <v>0.41800930898675259</v>
      </c>
      <c r="U40" s="59">
        <v>-5408</v>
      </c>
      <c r="V40" s="33"/>
      <c r="W40" s="33">
        <v>178</v>
      </c>
      <c r="X40" s="33"/>
      <c r="Y40" s="33"/>
      <c r="Z40" s="42"/>
      <c r="AA40" s="60"/>
      <c r="AB40" s="105">
        <v>0</v>
      </c>
      <c r="AC40" s="93">
        <v>0</v>
      </c>
      <c r="AD40" s="33">
        <v>0</v>
      </c>
      <c r="AE40" s="33">
        <v>-2335</v>
      </c>
      <c r="AF40" s="101">
        <v>3251</v>
      </c>
    </row>
    <row r="41" spans="2:32" ht="13" outlineLevel="2" x14ac:dyDescent="0.3">
      <c r="B41" s="31" t="s">
        <v>73</v>
      </c>
      <c r="C41" s="33">
        <v>135</v>
      </c>
      <c r="D41" s="33">
        <v>144</v>
      </c>
      <c r="E41" s="23">
        <v>0</v>
      </c>
      <c r="F41" s="23">
        <v>0</v>
      </c>
      <c r="G41" s="23">
        <v>9</v>
      </c>
      <c r="H41" s="23">
        <v>0</v>
      </c>
      <c r="I41" s="23">
        <v>0</v>
      </c>
      <c r="J41" s="23">
        <v>0</v>
      </c>
      <c r="K41" s="23">
        <v>9</v>
      </c>
      <c r="L41" s="33">
        <v>0</v>
      </c>
      <c r="M41" s="33">
        <v>9</v>
      </c>
      <c r="N41" s="33">
        <v>144</v>
      </c>
      <c r="O41" s="33">
        <v>68</v>
      </c>
      <c r="P41" s="33">
        <v>0</v>
      </c>
      <c r="Q41" s="33">
        <v>68</v>
      </c>
      <c r="R41" s="33">
        <v>72</v>
      </c>
      <c r="S41" s="33">
        <v>-4</v>
      </c>
      <c r="T41" s="38">
        <v>0.47222222222222221</v>
      </c>
      <c r="U41" s="59">
        <v>144</v>
      </c>
      <c r="V41" s="33">
        <v>0</v>
      </c>
      <c r="W41" s="33">
        <v>0</v>
      </c>
      <c r="X41" s="33"/>
      <c r="Y41" s="33"/>
      <c r="Z41" s="42"/>
      <c r="AA41" s="60"/>
      <c r="AB41" s="105"/>
      <c r="AC41" s="93"/>
      <c r="AD41" s="33">
        <v>0</v>
      </c>
      <c r="AE41" s="33">
        <v>68</v>
      </c>
      <c r="AF41" s="101">
        <v>-76</v>
      </c>
    </row>
    <row r="42" spans="2:32" ht="13" outlineLevel="2" x14ac:dyDescent="0.3">
      <c r="B42" s="31" t="s">
        <v>74</v>
      </c>
      <c r="C42" s="33">
        <v>471</v>
      </c>
      <c r="D42" s="33">
        <v>519</v>
      </c>
      <c r="E42" s="23">
        <v>0</v>
      </c>
      <c r="F42" s="23">
        <v>0</v>
      </c>
      <c r="G42" s="23">
        <v>47</v>
      </c>
      <c r="H42" s="23">
        <v>0</v>
      </c>
      <c r="I42" s="23">
        <v>0</v>
      </c>
      <c r="J42" s="23">
        <v>0</v>
      </c>
      <c r="K42" s="23">
        <v>47</v>
      </c>
      <c r="L42" s="33">
        <v>0</v>
      </c>
      <c r="M42" s="33">
        <v>48</v>
      </c>
      <c r="N42" s="33">
        <v>519</v>
      </c>
      <c r="O42" s="33">
        <v>232</v>
      </c>
      <c r="P42" s="33">
        <v>-4</v>
      </c>
      <c r="Q42" s="33">
        <v>227</v>
      </c>
      <c r="R42" s="33">
        <v>259</v>
      </c>
      <c r="S42" s="33">
        <v>-32</v>
      </c>
      <c r="T42" s="38">
        <v>0.43737957610789979</v>
      </c>
      <c r="U42" s="59">
        <v>485</v>
      </c>
      <c r="V42" s="33">
        <v>-34</v>
      </c>
      <c r="W42" s="33">
        <v>-34</v>
      </c>
      <c r="X42" s="33"/>
      <c r="Y42" s="33"/>
      <c r="Z42" s="42"/>
      <c r="AA42" s="60"/>
      <c r="AB42" s="105"/>
      <c r="AC42" s="93"/>
      <c r="AD42" s="33">
        <v>0</v>
      </c>
      <c r="AE42" s="33">
        <v>227</v>
      </c>
      <c r="AF42" s="101">
        <v>-292</v>
      </c>
    </row>
    <row r="43" spans="2:32" ht="13" outlineLevel="1" x14ac:dyDescent="0.3">
      <c r="B43" s="32" t="s">
        <v>75</v>
      </c>
      <c r="C43" s="34">
        <v>287</v>
      </c>
      <c r="D43" s="34">
        <v>333</v>
      </c>
      <c r="E43" s="24">
        <v>0</v>
      </c>
      <c r="F43" s="24">
        <v>0</v>
      </c>
      <c r="G43" s="24">
        <v>24</v>
      </c>
      <c r="H43" s="24">
        <v>0</v>
      </c>
      <c r="I43" s="24">
        <v>22</v>
      </c>
      <c r="J43" s="24">
        <v>0</v>
      </c>
      <c r="K43" s="24">
        <v>46</v>
      </c>
      <c r="L43" s="34">
        <v>0</v>
      </c>
      <c r="M43" s="34">
        <v>46</v>
      </c>
      <c r="N43" s="34">
        <v>333</v>
      </c>
      <c r="O43" s="34">
        <v>162</v>
      </c>
      <c r="P43" s="34">
        <v>0</v>
      </c>
      <c r="Q43" s="34">
        <v>162</v>
      </c>
      <c r="R43" s="34">
        <v>167</v>
      </c>
      <c r="S43" s="34">
        <v>-5</v>
      </c>
      <c r="T43" s="38">
        <v>0.48648648648648651</v>
      </c>
      <c r="U43" s="59">
        <v>333</v>
      </c>
      <c r="V43" s="34">
        <v>0</v>
      </c>
      <c r="W43" s="34">
        <v>0</v>
      </c>
      <c r="X43" s="34"/>
      <c r="Y43" s="34"/>
      <c r="Z43" s="41"/>
      <c r="AA43" s="60"/>
      <c r="AB43" s="102"/>
      <c r="AC43" s="34"/>
      <c r="AD43" s="34">
        <v>0</v>
      </c>
      <c r="AE43" s="34">
        <v>162</v>
      </c>
      <c r="AF43" s="103">
        <v>-171</v>
      </c>
    </row>
    <row r="44" spans="2:32" ht="13" outlineLevel="2" x14ac:dyDescent="0.3">
      <c r="B44" s="31" t="s">
        <v>76</v>
      </c>
      <c r="C44" s="33">
        <v>893</v>
      </c>
      <c r="D44" s="33">
        <v>996</v>
      </c>
      <c r="E44" s="23">
        <v>0</v>
      </c>
      <c r="F44" s="23">
        <v>0</v>
      </c>
      <c r="G44" s="23">
        <v>80</v>
      </c>
      <c r="H44" s="23">
        <v>0</v>
      </c>
      <c r="I44" s="23">
        <v>22</v>
      </c>
      <c r="J44" s="23">
        <v>0</v>
      </c>
      <c r="K44" s="23">
        <v>102</v>
      </c>
      <c r="L44" s="33">
        <v>0</v>
      </c>
      <c r="M44" s="33">
        <v>103</v>
      </c>
      <c r="N44" s="33">
        <v>996</v>
      </c>
      <c r="O44" s="33">
        <v>462</v>
      </c>
      <c r="P44" s="33">
        <v>-4</v>
      </c>
      <c r="Q44" s="33">
        <v>457</v>
      </c>
      <c r="R44" s="33">
        <v>498</v>
      </c>
      <c r="S44" s="33">
        <v>-41</v>
      </c>
      <c r="T44" s="38">
        <v>0.45883534136546184</v>
      </c>
      <c r="U44" s="59">
        <v>962</v>
      </c>
      <c r="V44" s="33">
        <v>-34</v>
      </c>
      <c r="W44" s="33">
        <v>-34</v>
      </c>
      <c r="X44" s="33"/>
      <c r="Y44" s="33"/>
      <c r="Z44" s="42"/>
      <c r="AA44" s="60"/>
      <c r="AB44" s="105">
        <v>0</v>
      </c>
      <c r="AC44" s="93">
        <v>0</v>
      </c>
      <c r="AD44" s="33"/>
      <c r="AE44" s="33"/>
      <c r="AF44" s="101"/>
    </row>
    <row r="45" spans="2:32" ht="13" outlineLevel="2" x14ac:dyDescent="0.3">
      <c r="B45" s="31" t="s">
        <v>77</v>
      </c>
      <c r="C45" s="33">
        <v>255</v>
      </c>
      <c r="D45" s="33">
        <v>295</v>
      </c>
      <c r="E45" s="23">
        <v>0</v>
      </c>
      <c r="F45" s="23">
        <v>0</v>
      </c>
      <c r="G45" s="23">
        <v>40</v>
      </c>
      <c r="H45" s="23">
        <v>0</v>
      </c>
      <c r="I45" s="23">
        <v>0</v>
      </c>
      <c r="J45" s="23">
        <v>0</v>
      </c>
      <c r="K45" s="23">
        <v>40</v>
      </c>
      <c r="L45" s="33">
        <v>0</v>
      </c>
      <c r="M45" s="33">
        <v>40</v>
      </c>
      <c r="N45" s="33">
        <v>295</v>
      </c>
      <c r="O45" s="33">
        <v>208</v>
      </c>
      <c r="P45" s="33">
        <v>-6</v>
      </c>
      <c r="Q45" s="33">
        <v>202</v>
      </c>
      <c r="R45" s="33">
        <v>161</v>
      </c>
      <c r="S45" s="33">
        <v>41</v>
      </c>
      <c r="T45" s="38">
        <v>0.68474576271186438</v>
      </c>
      <c r="U45" s="59">
        <v>155</v>
      </c>
      <c r="V45" s="33">
        <v>-140</v>
      </c>
      <c r="W45" s="33">
        <v>-140</v>
      </c>
      <c r="X45" s="33"/>
      <c r="Y45" s="33"/>
      <c r="Z45" s="42"/>
      <c r="AA45" s="60"/>
      <c r="AB45" s="105"/>
      <c r="AC45" s="93"/>
      <c r="AD45" s="33">
        <v>0</v>
      </c>
      <c r="AE45" s="33">
        <v>202</v>
      </c>
      <c r="AF45" s="101">
        <v>-93</v>
      </c>
    </row>
    <row r="46" spans="2:32" ht="13" outlineLevel="2" x14ac:dyDescent="0.3">
      <c r="B46" s="31" t="s">
        <v>78</v>
      </c>
      <c r="C46" s="33">
        <v>363</v>
      </c>
      <c r="D46" s="33">
        <v>391</v>
      </c>
      <c r="E46" s="23">
        <v>9</v>
      </c>
      <c r="F46" s="23">
        <v>53</v>
      </c>
      <c r="G46" s="23">
        <v>25</v>
      </c>
      <c r="H46" s="23">
        <v>0</v>
      </c>
      <c r="I46" s="23">
        <v>-6</v>
      </c>
      <c r="J46" s="23">
        <v>0</v>
      </c>
      <c r="K46" s="23">
        <v>81</v>
      </c>
      <c r="L46" s="33">
        <v>52</v>
      </c>
      <c r="M46" s="33">
        <v>80</v>
      </c>
      <c r="N46" s="33">
        <v>443</v>
      </c>
      <c r="O46" s="33">
        <v>255</v>
      </c>
      <c r="P46" s="33">
        <v>-23</v>
      </c>
      <c r="Q46" s="33">
        <v>232</v>
      </c>
      <c r="R46" s="33">
        <v>253</v>
      </c>
      <c r="S46" s="33">
        <v>-21</v>
      </c>
      <c r="T46" s="38">
        <v>0.52370203160270878</v>
      </c>
      <c r="U46" s="59">
        <v>443</v>
      </c>
      <c r="V46" s="33">
        <v>0</v>
      </c>
      <c r="W46" s="33">
        <v>0</v>
      </c>
      <c r="X46" s="33"/>
      <c r="Y46" s="33"/>
      <c r="Z46" s="42"/>
      <c r="AA46" s="60"/>
      <c r="AB46" s="105"/>
      <c r="AC46" s="93"/>
      <c r="AD46" s="33">
        <v>0</v>
      </c>
      <c r="AE46" s="33">
        <v>232</v>
      </c>
      <c r="AF46" s="101">
        <v>-211</v>
      </c>
    </row>
    <row r="47" spans="2:32" ht="13" outlineLevel="1" x14ac:dyDescent="0.3">
      <c r="B47" s="32" t="s">
        <v>79</v>
      </c>
      <c r="C47" s="34">
        <v>239</v>
      </c>
      <c r="D47" s="34">
        <v>287</v>
      </c>
      <c r="E47" s="24">
        <v>0</v>
      </c>
      <c r="F47" s="24">
        <v>0</v>
      </c>
      <c r="G47" s="24">
        <v>53</v>
      </c>
      <c r="H47" s="24">
        <v>0</v>
      </c>
      <c r="I47" s="24">
        <v>-5</v>
      </c>
      <c r="J47" s="24">
        <v>0</v>
      </c>
      <c r="K47" s="24">
        <v>48</v>
      </c>
      <c r="L47" s="34">
        <v>0</v>
      </c>
      <c r="M47" s="34">
        <v>48</v>
      </c>
      <c r="N47" s="34">
        <v>287</v>
      </c>
      <c r="O47" s="34">
        <v>481</v>
      </c>
      <c r="P47" s="34">
        <v>-310</v>
      </c>
      <c r="Q47" s="34">
        <v>172</v>
      </c>
      <c r="R47" s="34">
        <v>134</v>
      </c>
      <c r="S47" s="34">
        <v>38</v>
      </c>
      <c r="T47" s="38">
        <v>0.5993031358885017</v>
      </c>
      <c r="U47" s="59">
        <v>384</v>
      </c>
      <c r="V47" s="34">
        <v>97</v>
      </c>
      <c r="W47" s="34">
        <v>97</v>
      </c>
      <c r="X47" s="34"/>
      <c r="Y47" s="34"/>
      <c r="Z47" s="41"/>
      <c r="AA47" s="60"/>
      <c r="AB47" s="102"/>
      <c r="AC47" s="34"/>
      <c r="AD47" s="34">
        <v>0</v>
      </c>
      <c r="AE47" s="34">
        <v>172</v>
      </c>
      <c r="AF47" s="103">
        <v>-115</v>
      </c>
    </row>
    <row r="48" spans="2:32" ht="13.5" customHeight="1" thickBot="1" x14ac:dyDescent="0.35">
      <c r="B48" s="53" t="s">
        <v>80</v>
      </c>
      <c r="C48" s="35">
        <v>857</v>
      </c>
      <c r="D48" s="35">
        <v>973</v>
      </c>
      <c r="E48" s="25">
        <v>9</v>
      </c>
      <c r="F48" s="25">
        <v>53</v>
      </c>
      <c r="G48" s="25">
        <v>118</v>
      </c>
      <c r="H48" s="25">
        <v>0</v>
      </c>
      <c r="I48" s="25">
        <v>-11</v>
      </c>
      <c r="J48" s="25">
        <v>0</v>
      </c>
      <c r="K48" s="25">
        <v>169</v>
      </c>
      <c r="L48" s="35">
        <v>52</v>
      </c>
      <c r="M48" s="35">
        <v>168</v>
      </c>
      <c r="N48" s="35">
        <v>1025</v>
      </c>
      <c r="O48" s="35">
        <v>944</v>
      </c>
      <c r="P48" s="35">
        <v>-339</v>
      </c>
      <c r="Q48" s="35">
        <v>606</v>
      </c>
      <c r="R48" s="35">
        <v>548</v>
      </c>
      <c r="S48" s="35">
        <v>58</v>
      </c>
      <c r="T48" s="39">
        <v>0.59121951219512192</v>
      </c>
      <c r="U48" s="54">
        <v>982</v>
      </c>
      <c r="V48" s="35">
        <v>-43</v>
      </c>
      <c r="W48" s="35">
        <v>-43</v>
      </c>
      <c r="X48" s="35"/>
      <c r="Y48" s="35"/>
      <c r="Z48" s="43"/>
      <c r="AA48" s="60"/>
      <c r="AB48" s="104">
        <v>0</v>
      </c>
      <c r="AC48" s="104">
        <v>0</v>
      </c>
      <c r="AD48" s="35"/>
      <c r="AE48" s="35"/>
      <c r="AF48" s="43"/>
    </row>
    <row r="49" spans="2:32" ht="13.5" outlineLevel="2" thickTop="1" x14ac:dyDescent="0.3">
      <c r="B49" s="31" t="s">
        <v>81</v>
      </c>
      <c r="C49" s="33">
        <v>1750</v>
      </c>
      <c r="D49" s="33">
        <v>1969</v>
      </c>
      <c r="E49" s="23">
        <v>9</v>
      </c>
      <c r="F49" s="23">
        <v>53</v>
      </c>
      <c r="G49" s="23">
        <v>198</v>
      </c>
      <c r="H49" s="23">
        <v>0</v>
      </c>
      <c r="I49" s="23">
        <v>11</v>
      </c>
      <c r="J49" s="23">
        <v>0</v>
      </c>
      <c r="K49" s="23">
        <v>271</v>
      </c>
      <c r="L49" s="33">
        <v>52</v>
      </c>
      <c r="M49" s="33">
        <v>271</v>
      </c>
      <c r="N49" s="33">
        <v>2021</v>
      </c>
      <c r="O49" s="33">
        <v>1406</v>
      </c>
      <c r="P49" s="33">
        <v>-343</v>
      </c>
      <c r="Q49" s="33">
        <v>1063</v>
      </c>
      <c r="R49" s="33">
        <v>1046</v>
      </c>
      <c r="S49" s="33">
        <v>17</v>
      </c>
      <c r="T49" s="38">
        <v>0.52597723899059867</v>
      </c>
      <c r="U49" s="59">
        <v>1944</v>
      </c>
      <c r="V49" s="33">
        <v>-77</v>
      </c>
      <c r="W49" s="33">
        <v>-77</v>
      </c>
      <c r="X49" s="33"/>
      <c r="Y49" s="33"/>
      <c r="Z49" s="42"/>
      <c r="AA49" s="60"/>
      <c r="AB49" s="105">
        <v>0</v>
      </c>
      <c r="AC49" s="93">
        <v>0</v>
      </c>
      <c r="AD49" s="33">
        <v>0</v>
      </c>
      <c r="AE49" s="33">
        <v>1063</v>
      </c>
      <c r="AF49" s="101">
        <v>-958</v>
      </c>
    </row>
    <row r="50" spans="2:32" ht="13" outlineLevel="2" x14ac:dyDescent="0.3">
      <c r="B50" s="31" t="s">
        <v>82</v>
      </c>
      <c r="C50" s="33">
        <v>-2390</v>
      </c>
      <c r="D50" s="33">
        <v>-2040</v>
      </c>
      <c r="E50" s="23">
        <v>0</v>
      </c>
      <c r="F50" s="23">
        <v>0</v>
      </c>
      <c r="G50" s="23">
        <v>350</v>
      </c>
      <c r="H50" s="23">
        <v>0</v>
      </c>
      <c r="I50" s="23">
        <v>0</v>
      </c>
      <c r="J50" s="23">
        <v>0</v>
      </c>
      <c r="K50" s="23">
        <v>350</v>
      </c>
      <c r="L50" s="33">
        <v>0</v>
      </c>
      <c r="M50" s="33">
        <v>350</v>
      </c>
      <c r="N50" s="33">
        <v>-2040</v>
      </c>
      <c r="O50" s="33">
        <v>3425</v>
      </c>
      <c r="P50" s="33">
        <v>-4247</v>
      </c>
      <c r="Q50" s="33">
        <v>-822</v>
      </c>
      <c r="R50" s="33">
        <v>-323</v>
      </c>
      <c r="S50" s="33">
        <v>-499</v>
      </c>
      <c r="T50" s="38">
        <v>0.40294117647058825</v>
      </c>
      <c r="U50" s="59">
        <v>-2040</v>
      </c>
      <c r="V50" s="33">
        <v>0</v>
      </c>
      <c r="W50" s="33">
        <v>0</v>
      </c>
      <c r="X50" s="33"/>
      <c r="Y50" s="33"/>
      <c r="Z50" s="42"/>
      <c r="AA50" s="60"/>
      <c r="AB50" s="105"/>
      <c r="AC50" s="93"/>
      <c r="AD50" s="33">
        <v>0</v>
      </c>
      <c r="AE50" s="33">
        <v>-822</v>
      </c>
      <c r="AF50" s="101">
        <v>1218</v>
      </c>
    </row>
    <row r="51" spans="2:32" ht="13" outlineLevel="2" x14ac:dyDescent="0.3">
      <c r="B51" s="31" t="s">
        <v>83</v>
      </c>
      <c r="C51" s="33">
        <v>6176</v>
      </c>
      <c r="D51" s="33">
        <v>6591</v>
      </c>
      <c r="E51" s="23">
        <v>0</v>
      </c>
      <c r="F51" s="23">
        <v>0</v>
      </c>
      <c r="G51" s="23">
        <v>415</v>
      </c>
      <c r="H51" s="23">
        <v>0</v>
      </c>
      <c r="I51" s="23">
        <v>0</v>
      </c>
      <c r="J51" s="23">
        <v>0</v>
      </c>
      <c r="K51" s="23">
        <v>415</v>
      </c>
      <c r="L51" s="33">
        <v>0</v>
      </c>
      <c r="M51" s="33">
        <v>415</v>
      </c>
      <c r="N51" s="33">
        <v>6591</v>
      </c>
      <c r="O51" s="33">
        <v>4300</v>
      </c>
      <c r="P51" s="33">
        <v>-1386</v>
      </c>
      <c r="Q51" s="33">
        <v>2914</v>
      </c>
      <c r="R51" s="33">
        <v>3296</v>
      </c>
      <c r="S51" s="33">
        <v>-382</v>
      </c>
      <c r="T51" s="38">
        <v>0.44211803975117586</v>
      </c>
      <c r="U51" s="59">
        <v>6591</v>
      </c>
      <c r="V51" s="33">
        <v>0</v>
      </c>
      <c r="W51" s="33">
        <v>0</v>
      </c>
      <c r="X51" s="33"/>
      <c r="Y51" s="33"/>
      <c r="Z51" s="42"/>
      <c r="AA51" s="60"/>
      <c r="AB51" s="105"/>
      <c r="AC51" s="93"/>
      <c r="AD51" s="33">
        <v>0</v>
      </c>
      <c r="AE51" s="33">
        <v>2914</v>
      </c>
      <c r="AF51" s="101">
        <v>-3677</v>
      </c>
    </row>
    <row r="52" spans="2:32" ht="13" outlineLevel="2" x14ac:dyDescent="0.3">
      <c r="B52" s="31" t="s">
        <v>84</v>
      </c>
      <c r="C52" s="33">
        <v>6185</v>
      </c>
      <c r="D52" s="33">
        <v>6545</v>
      </c>
      <c r="E52" s="23">
        <v>0</v>
      </c>
      <c r="F52" s="23">
        <v>0</v>
      </c>
      <c r="G52" s="23">
        <v>359</v>
      </c>
      <c r="H52" s="23">
        <v>0</v>
      </c>
      <c r="I52" s="23">
        <v>0</v>
      </c>
      <c r="J52" s="23">
        <v>0</v>
      </c>
      <c r="K52" s="23">
        <v>359</v>
      </c>
      <c r="L52" s="33">
        <v>0</v>
      </c>
      <c r="M52" s="33">
        <v>360</v>
      </c>
      <c r="N52" s="33">
        <v>6545</v>
      </c>
      <c r="O52" s="33">
        <v>3272</v>
      </c>
      <c r="P52" s="33">
        <v>-27</v>
      </c>
      <c r="Q52" s="33">
        <v>3245</v>
      </c>
      <c r="R52" s="33">
        <v>3272</v>
      </c>
      <c r="S52" s="33">
        <v>-27</v>
      </c>
      <c r="T52" s="38">
        <v>0.49579831932773111</v>
      </c>
      <c r="U52" s="59">
        <v>6545</v>
      </c>
      <c r="V52" s="33">
        <v>0</v>
      </c>
      <c r="W52" s="33">
        <v>0</v>
      </c>
      <c r="X52" s="33"/>
      <c r="Y52" s="33"/>
      <c r="Z52" s="42"/>
      <c r="AA52" s="60"/>
      <c r="AB52" s="105"/>
      <c r="AC52" s="93"/>
      <c r="AD52" s="33">
        <v>0</v>
      </c>
      <c r="AE52" s="33">
        <v>3245</v>
      </c>
      <c r="AF52" s="101">
        <v>-3300</v>
      </c>
    </row>
    <row r="53" spans="2:32" ht="13" outlineLevel="2" x14ac:dyDescent="0.3">
      <c r="B53" s="31" t="s">
        <v>85</v>
      </c>
      <c r="C53" s="33">
        <v>3479</v>
      </c>
      <c r="D53" s="33">
        <v>3766</v>
      </c>
      <c r="E53" s="23">
        <v>0</v>
      </c>
      <c r="F53" s="23">
        <v>0</v>
      </c>
      <c r="G53" s="23">
        <v>287</v>
      </c>
      <c r="H53" s="23">
        <v>0</v>
      </c>
      <c r="I53" s="23">
        <v>0</v>
      </c>
      <c r="J53" s="23">
        <v>0</v>
      </c>
      <c r="K53" s="23">
        <v>287</v>
      </c>
      <c r="L53" s="33">
        <v>0</v>
      </c>
      <c r="M53" s="33">
        <v>287</v>
      </c>
      <c r="N53" s="33">
        <v>3766</v>
      </c>
      <c r="O53" s="33">
        <v>1986</v>
      </c>
      <c r="P53" s="33">
        <v>-167</v>
      </c>
      <c r="Q53" s="33">
        <v>1819</v>
      </c>
      <c r="R53" s="33">
        <v>1885</v>
      </c>
      <c r="S53" s="33">
        <v>-66</v>
      </c>
      <c r="T53" s="38">
        <v>0.4830058417419012</v>
      </c>
      <c r="U53" s="59">
        <v>3766</v>
      </c>
      <c r="V53" s="33">
        <v>0</v>
      </c>
      <c r="W53" s="33">
        <v>0</v>
      </c>
      <c r="X53" s="33"/>
      <c r="Y53" s="33"/>
      <c r="Z53" s="42"/>
      <c r="AA53" s="60"/>
      <c r="AB53" s="105"/>
      <c r="AC53" s="93"/>
      <c r="AD53" s="33">
        <v>0</v>
      </c>
      <c r="AE53" s="33">
        <v>1819</v>
      </c>
      <c r="AF53" s="101">
        <v>-1947</v>
      </c>
    </row>
    <row r="54" spans="2:32" ht="13" outlineLevel="2" x14ac:dyDescent="0.3">
      <c r="B54" s="31" t="s">
        <v>86</v>
      </c>
      <c r="C54" s="33">
        <v>263</v>
      </c>
      <c r="D54" s="33">
        <v>294</v>
      </c>
      <c r="E54" s="23">
        <v>0</v>
      </c>
      <c r="F54" s="23">
        <v>0</v>
      </c>
      <c r="G54" s="23">
        <v>31</v>
      </c>
      <c r="H54" s="23">
        <v>0</v>
      </c>
      <c r="I54" s="23">
        <v>0</v>
      </c>
      <c r="J54" s="23">
        <v>0</v>
      </c>
      <c r="K54" s="23">
        <v>31</v>
      </c>
      <c r="L54" s="33">
        <v>0</v>
      </c>
      <c r="M54" s="33">
        <v>31</v>
      </c>
      <c r="N54" s="33">
        <v>294</v>
      </c>
      <c r="O54" s="33">
        <v>142</v>
      </c>
      <c r="P54" s="33">
        <v>-1</v>
      </c>
      <c r="Q54" s="33">
        <v>141</v>
      </c>
      <c r="R54" s="33">
        <v>147</v>
      </c>
      <c r="S54" s="33">
        <v>-6</v>
      </c>
      <c r="T54" s="38">
        <v>0.47959183673469385</v>
      </c>
      <c r="U54" s="59">
        <v>294</v>
      </c>
      <c r="V54" s="33">
        <v>0</v>
      </c>
      <c r="W54" s="33">
        <v>0</v>
      </c>
      <c r="X54" s="33"/>
      <c r="Y54" s="33"/>
      <c r="Z54" s="42"/>
      <c r="AA54" s="60"/>
      <c r="AB54" s="105"/>
      <c r="AC54" s="93"/>
      <c r="AD54" s="33">
        <v>0</v>
      </c>
      <c r="AE54" s="33">
        <v>141</v>
      </c>
      <c r="AF54" s="101">
        <v>-153</v>
      </c>
    </row>
    <row r="55" spans="2:32" ht="13" outlineLevel="2" x14ac:dyDescent="0.3">
      <c r="B55" s="31" t="s">
        <v>87</v>
      </c>
      <c r="C55" s="33">
        <v>0</v>
      </c>
      <c r="D55" s="33">
        <v>0</v>
      </c>
      <c r="E55" s="23">
        <v>0</v>
      </c>
      <c r="F55" s="23">
        <v>0</v>
      </c>
      <c r="G55" s="23">
        <v>0</v>
      </c>
      <c r="H55" s="23">
        <v>0</v>
      </c>
      <c r="I55" s="23">
        <v>0</v>
      </c>
      <c r="J55" s="23">
        <v>0</v>
      </c>
      <c r="K55" s="23">
        <v>0</v>
      </c>
      <c r="L55" s="33">
        <v>0</v>
      </c>
      <c r="M55" s="33">
        <v>0</v>
      </c>
      <c r="N55" s="33">
        <v>0</v>
      </c>
      <c r="O55" s="33">
        <v>2387</v>
      </c>
      <c r="P55" s="33">
        <v>-2387</v>
      </c>
      <c r="Q55" s="33">
        <v>0</v>
      </c>
      <c r="R55" s="33">
        <v>0</v>
      </c>
      <c r="S55" s="33">
        <v>0</v>
      </c>
      <c r="T55" s="38" t="s">
        <v>42</v>
      </c>
      <c r="U55" s="59">
        <v>0</v>
      </c>
      <c r="V55" s="33">
        <v>0</v>
      </c>
      <c r="W55" s="33">
        <v>0</v>
      </c>
      <c r="X55" s="33"/>
      <c r="Y55" s="33"/>
      <c r="Z55" s="42"/>
      <c r="AA55" s="60"/>
      <c r="AB55" s="105"/>
      <c r="AC55" s="93"/>
      <c r="AD55" s="33">
        <v>0</v>
      </c>
      <c r="AE55" s="33">
        <v>0</v>
      </c>
      <c r="AF55" s="101">
        <v>0</v>
      </c>
    </row>
    <row r="56" spans="2:32" ht="13" outlineLevel="2" x14ac:dyDescent="0.3">
      <c r="B56" s="31" t="s">
        <v>88</v>
      </c>
      <c r="C56" s="33">
        <v>525</v>
      </c>
      <c r="D56" s="33">
        <v>662</v>
      </c>
      <c r="E56" s="23">
        <v>0</v>
      </c>
      <c r="F56" s="23">
        <v>0</v>
      </c>
      <c r="G56" s="23">
        <v>137</v>
      </c>
      <c r="H56" s="23">
        <v>0</v>
      </c>
      <c r="I56" s="23">
        <v>0</v>
      </c>
      <c r="J56" s="23">
        <v>0</v>
      </c>
      <c r="K56" s="23">
        <v>137</v>
      </c>
      <c r="L56" s="33">
        <v>0</v>
      </c>
      <c r="M56" s="33">
        <v>137</v>
      </c>
      <c r="N56" s="33">
        <v>662</v>
      </c>
      <c r="O56" s="33">
        <v>331</v>
      </c>
      <c r="P56" s="33">
        <v>1</v>
      </c>
      <c r="Q56" s="33">
        <v>332</v>
      </c>
      <c r="R56" s="33">
        <v>331</v>
      </c>
      <c r="S56" s="33">
        <v>1</v>
      </c>
      <c r="T56" s="38">
        <v>0.50151057401812693</v>
      </c>
      <c r="U56" s="59">
        <v>662</v>
      </c>
      <c r="V56" s="33">
        <v>0</v>
      </c>
      <c r="W56" s="33">
        <v>0</v>
      </c>
      <c r="X56" s="33"/>
      <c r="Y56" s="33"/>
      <c r="Z56" s="42"/>
      <c r="AA56" s="60"/>
      <c r="AB56" s="105"/>
      <c r="AC56" s="93"/>
      <c r="AD56" s="33">
        <v>0</v>
      </c>
      <c r="AE56" s="33">
        <v>332</v>
      </c>
      <c r="AF56" s="101">
        <v>-330</v>
      </c>
    </row>
    <row r="57" spans="2:32" ht="13" outlineLevel="2" x14ac:dyDescent="0.3">
      <c r="B57" s="31" t="s">
        <v>89</v>
      </c>
      <c r="C57" s="33">
        <v>-724</v>
      </c>
      <c r="D57" s="33">
        <v>-724</v>
      </c>
      <c r="E57" s="23">
        <v>0</v>
      </c>
      <c r="F57" s="23">
        <v>0</v>
      </c>
      <c r="G57" s="23">
        <v>0</v>
      </c>
      <c r="H57" s="23">
        <v>0</v>
      </c>
      <c r="I57" s="23">
        <v>0</v>
      </c>
      <c r="J57" s="23">
        <v>0</v>
      </c>
      <c r="K57" s="23">
        <v>0</v>
      </c>
      <c r="L57" s="33">
        <v>0</v>
      </c>
      <c r="M57" s="33">
        <v>0</v>
      </c>
      <c r="N57" s="33">
        <v>-724</v>
      </c>
      <c r="O57" s="33">
        <v>100</v>
      </c>
      <c r="P57" s="33">
        <v>0</v>
      </c>
      <c r="Q57" s="33">
        <v>100</v>
      </c>
      <c r="R57" s="33">
        <v>125</v>
      </c>
      <c r="S57" s="33">
        <v>-25</v>
      </c>
      <c r="T57" s="38">
        <v>-0.13812154696132597</v>
      </c>
      <c r="U57" s="59">
        <v>-724</v>
      </c>
      <c r="V57" s="33">
        <v>0</v>
      </c>
      <c r="W57" s="33">
        <v>0</v>
      </c>
      <c r="X57" s="33"/>
      <c r="Y57" s="33"/>
      <c r="Z57" s="42"/>
      <c r="AA57" s="60"/>
      <c r="AB57" s="105"/>
      <c r="AC57" s="93"/>
      <c r="AD57" s="33">
        <v>0</v>
      </c>
      <c r="AE57" s="33">
        <v>100</v>
      </c>
      <c r="AF57" s="101">
        <v>824</v>
      </c>
    </row>
    <row r="58" spans="2:32" ht="13" outlineLevel="2" x14ac:dyDescent="0.3">
      <c r="B58" s="31" t="s">
        <v>90</v>
      </c>
      <c r="C58" s="33">
        <v>-590</v>
      </c>
      <c r="D58" s="33">
        <v>-312</v>
      </c>
      <c r="E58" s="23">
        <v>0</v>
      </c>
      <c r="F58" s="23">
        <v>0</v>
      </c>
      <c r="G58" s="23">
        <v>278</v>
      </c>
      <c r="H58" s="23">
        <v>0</v>
      </c>
      <c r="I58" s="23">
        <v>0</v>
      </c>
      <c r="J58" s="23">
        <v>0</v>
      </c>
      <c r="K58" s="23">
        <v>278</v>
      </c>
      <c r="L58" s="33">
        <v>0</v>
      </c>
      <c r="M58" s="33">
        <v>278</v>
      </c>
      <c r="N58" s="33">
        <v>-312</v>
      </c>
      <c r="O58" s="33">
        <v>446</v>
      </c>
      <c r="P58" s="33">
        <v>-224</v>
      </c>
      <c r="Q58" s="33">
        <v>222</v>
      </c>
      <c r="R58" s="33">
        <v>-156</v>
      </c>
      <c r="S58" s="33">
        <v>378</v>
      </c>
      <c r="T58" s="38">
        <v>-0.71153846153846156</v>
      </c>
      <c r="U58" s="59">
        <v>-312</v>
      </c>
      <c r="V58" s="33">
        <v>0</v>
      </c>
      <c r="W58" s="33">
        <v>0</v>
      </c>
      <c r="X58" s="33"/>
      <c r="Y58" s="33"/>
      <c r="Z58" s="42"/>
      <c r="AA58" s="60"/>
      <c r="AB58" s="105"/>
      <c r="AC58" s="93"/>
      <c r="AD58" s="33">
        <v>0</v>
      </c>
      <c r="AE58" s="33">
        <v>222</v>
      </c>
      <c r="AF58" s="101">
        <v>534</v>
      </c>
    </row>
    <row r="59" spans="2:32" ht="13" outlineLevel="1" x14ac:dyDescent="0.3">
      <c r="B59" s="32" t="s">
        <v>91</v>
      </c>
      <c r="C59" s="34">
        <v>9</v>
      </c>
      <c r="D59" s="34">
        <v>12</v>
      </c>
      <c r="E59" s="24">
        <v>0</v>
      </c>
      <c r="F59" s="24">
        <v>0</v>
      </c>
      <c r="G59" s="24">
        <v>3</v>
      </c>
      <c r="H59" s="24">
        <v>0</v>
      </c>
      <c r="I59" s="24">
        <v>0</v>
      </c>
      <c r="J59" s="24">
        <v>0</v>
      </c>
      <c r="K59" s="24">
        <v>3</v>
      </c>
      <c r="L59" s="34">
        <v>0</v>
      </c>
      <c r="M59" s="34">
        <v>3</v>
      </c>
      <c r="N59" s="34">
        <v>12</v>
      </c>
      <c r="O59" s="34">
        <v>145</v>
      </c>
      <c r="P59" s="34">
        <v>177</v>
      </c>
      <c r="Q59" s="34">
        <v>322</v>
      </c>
      <c r="R59" s="34">
        <v>8</v>
      </c>
      <c r="S59" s="34">
        <v>314</v>
      </c>
      <c r="T59" s="38">
        <v>26.833333333333332</v>
      </c>
      <c r="U59" s="59">
        <v>12</v>
      </c>
      <c r="V59" s="34">
        <v>0</v>
      </c>
      <c r="W59" s="34">
        <v>0</v>
      </c>
      <c r="X59" s="34"/>
      <c r="Y59" s="34"/>
      <c r="Z59" s="41"/>
      <c r="AA59" s="60"/>
      <c r="AB59" s="102"/>
      <c r="AC59" s="34"/>
      <c r="AD59" s="34">
        <v>0</v>
      </c>
      <c r="AE59" s="34">
        <v>322</v>
      </c>
      <c r="AF59" s="103">
        <v>310</v>
      </c>
    </row>
    <row r="60" spans="2:32" ht="13.5" customHeight="1" thickBot="1" x14ac:dyDescent="0.35">
      <c r="B60" s="53" t="s">
        <v>92</v>
      </c>
      <c r="C60" s="35">
        <v>12933</v>
      </c>
      <c r="D60" s="35">
        <v>14794</v>
      </c>
      <c r="E60" s="25">
        <v>0</v>
      </c>
      <c r="F60" s="25">
        <v>0</v>
      </c>
      <c r="G60" s="25">
        <v>1860</v>
      </c>
      <c r="H60" s="25">
        <v>0</v>
      </c>
      <c r="I60" s="25">
        <v>0</v>
      </c>
      <c r="J60" s="25">
        <v>0</v>
      </c>
      <c r="K60" s="25">
        <v>1860</v>
      </c>
      <c r="L60" s="35">
        <v>0</v>
      </c>
      <c r="M60" s="35">
        <v>1861</v>
      </c>
      <c r="N60" s="35">
        <v>14794</v>
      </c>
      <c r="O60" s="35">
        <v>16534</v>
      </c>
      <c r="P60" s="35">
        <v>-8261</v>
      </c>
      <c r="Q60" s="35">
        <v>8273</v>
      </c>
      <c r="R60" s="35">
        <v>8585</v>
      </c>
      <c r="S60" s="35">
        <v>-312</v>
      </c>
      <c r="T60" s="39">
        <v>0.5592131945383263</v>
      </c>
      <c r="U60" s="54">
        <v>14794</v>
      </c>
      <c r="V60" s="35">
        <v>0</v>
      </c>
      <c r="W60" s="35">
        <v>0</v>
      </c>
      <c r="X60" s="35"/>
      <c r="Y60" s="35"/>
      <c r="Z60" s="43"/>
      <c r="AA60" s="60"/>
      <c r="AB60" s="104">
        <v>0</v>
      </c>
      <c r="AC60" s="104">
        <v>0</v>
      </c>
      <c r="AD60" s="35"/>
      <c r="AE60" s="35"/>
      <c r="AF60" s="43"/>
    </row>
    <row r="61" spans="2:32" ht="13.5" outlineLevel="2" thickTop="1" x14ac:dyDescent="0.3">
      <c r="B61" s="31" t="s">
        <v>93</v>
      </c>
      <c r="C61" s="33">
        <v>12933</v>
      </c>
      <c r="D61" s="33">
        <v>14794</v>
      </c>
      <c r="E61" s="23">
        <v>0</v>
      </c>
      <c r="F61" s="23">
        <v>0</v>
      </c>
      <c r="G61" s="23">
        <v>1860</v>
      </c>
      <c r="H61" s="23">
        <v>0</v>
      </c>
      <c r="I61" s="23">
        <v>0</v>
      </c>
      <c r="J61" s="23">
        <v>0</v>
      </c>
      <c r="K61" s="23">
        <v>1860</v>
      </c>
      <c r="L61" s="33">
        <v>0</v>
      </c>
      <c r="M61" s="33">
        <v>1861</v>
      </c>
      <c r="N61" s="33">
        <v>14794</v>
      </c>
      <c r="O61" s="33">
        <v>16534</v>
      </c>
      <c r="P61" s="33">
        <v>-8261</v>
      </c>
      <c r="Q61" s="33">
        <v>8273</v>
      </c>
      <c r="R61" s="33">
        <v>8585</v>
      </c>
      <c r="S61" s="33">
        <v>-312</v>
      </c>
      <c r="T61" s="38">
        <v>0.5592131945383263</v>
      </c>
      <c r="U61" s="59">
        <v>14794</v>
      </c>
      <c r="V61" s="33">
        <v>0</v>
      </c>
      <c r="W61" s="33">
        <v>0</v>
      </c>
      <c r="X61" s="33"/>
      <c r="Y61" s="33"/>
      <c r="Z61" s="42"/>
      <c r="AA61" s="60"/>
      <c r="AB61" s="105">
        <v>0</v>
      </c>
      <c r="AC61" s="93">
        <v>0</v>
      </c>
      <c r="AD61" s="33">
        <v>0</v>
      </c>
      <c r="AE61" s="33">
        <v>8273</v>
      </c>
      <c r="AF61" s="101">
        <v>-6521</v>
      </c>
    </row>
    <row r="62" spans="2:32" ht="13" outlineLevel="2" x14ac:dyDescent="0.3">
      <c r="B62" s="31" t="s">
        <v>94</v>
      </c>
      <c r="C62" s="33">
        <v>153</v>
      </c>
      <c r="D62" s="33">
        <v>197</v>
      </c>
      <c r="E62" s="23">
        <v>0</v>
      </c>
      <c r="F62" s="23">
        <v>0</v>
      </c>
      <c r="G62" s="23">
        <v>43</v>
      </c>
      <c r="H62" s="23">
        <v>0</v>
      </c>
      <c r="I62" s="23">
        <v>0</v>
      </c>
      <c r="J62" s="23">
        <v>0</v>
      </c>
      <c r="K62" s="23">
        <v>43</v>
      </c>
      <c r="L62" s="33">
        <v>0</v>
      </c>
      <c r="M62" s="33">
        <v>44</v>
      </c>
      <c r="N62" s="33">
        <v>197</v>
      </c>
      <c r="O62" s="33">
        <v>206</v>
      </c>
      <c r="P62" s="33">
        <v>0</v>
      </c>
      <c r="Q62" s="33">
        <v>206</v>
      </c>
      <c r="R62" s="33">
        <v>98</v>
      </c>
      <c r="S62" s="33">
        <v>108</v>
      </c>
      <c r="T62" s="38">
        <v>1.0456852791878173</v>
      </c>
      <c r="U62" s="59">
        <v>197</v>
      </c>
      <c r="V62" s="33">
        <v>0</v>
      </c>
      <c r="W62" s="33">
        <v>0</v>
      </c>
      <c r="X62" s="33"/>
      <c r="Y62" s="33"/>
      <c r="Z62" s="42"/>
      <c r="AA62" s="60"/>
      <c r="AB62" s="105"/>
      <c r="AC62" s="93"/>
      <c r="AD62" s="33">
        <v>0</v>
      </c>
      <c r="AE62" s="33">
        <v>206</v>
      </c>
      <c r="AF62" s="101">
        <v>9</v>
      </c>
    </row>
    <row r="63" spans="2:32" ht="13" outlineLevel="2" x14ac:dyDescent="0.3">
      <c r="B63" s="31" t="s">
        <v>95</v>
      </c>
      <c r="C63" s="33">
        <v>135</v>
      </c>
      <c r="D63" s="33">
        <v>143</v>
      </c>
      <c r="E63" s="23">
        <v>0</v>
      </c>
      <c r="F63" s="23">
        <v>0</v>
      </c>
      <c r="G63" s="23">
        <v>9</v>
      </c>
      <c r="H63" s="23">
        <v>0</v>
      </c>
      <c r="I63" s="23">
        <v>0</v>
      </c>
      <c r="J63" s="23">
        <v>0</v>
      </c>
      <c r="K63" s="23">
        <v>9</v>
      </c>
      <c r="L63" s="33">
        <v>0</v>
      </c>
      <c r="M63" s="33">
        <v>8</v>
      </c>
      <c r="N63" s="33">
        <v>143</v>
      </c>
      <c r="O63" s="33">
        <v>68</v>
      </c>
      <c r="P63" s="33">
        <v>0</v>
      </c>
      <c r="Q63" s="33">
        <v>68</v>
      </c>
      <c r="R63" s="33">
        <v>72</v>
      </c>
      <c r="S63" s="33">
        <v>-4</v>
      </c>
      <c r="T63" s="38">
        <v>0.47552447552447552</v>
      </c>
      <c r="U63" s="59">
        <v>143</v>
      </c>
      <c r="V63" s="33">
        <v>0</v>
      </c>
      <c r="W63" s="33">
        <v>0</v>
      </c>
      <c r="X63" s="33"/>
      <c r="Y63" s="33"/>
      <c r="Z63" s="42"/>
      <c r="AA63" s="60"/>
      <c r="AB63" s="105"/>
      <c r="AC63" s="93"/>
      <c r="AD63" s="33">
        <v>0</v>
      </c>
      <c r="AE63" s="33">
        <v>68</v>
      </c>
      <c r="AF63" s="101">
        <v>-75</v>
      </c>
    </row>
    <row r="64" spans="2:32" ht="13" outlineLevel="2" x14ac:dyDescent="0.3">
      <c r="B64" s="31" t="s">
        <v>96</v>
      </c>
      <c r="C64" s="33">
        <v>3946</v>
      </c>
      <c r="D64" s="33">
        <v>4322</v>
      </c>
      <c r="E64" s="23">
        <v>0</v>
      </c>
      <c r="F64" s="23">
        <v>0</v>
      </c>
      <c r="G64" s="23">
        <v>375</v>
      </c>
      <c r="H64" s="23">
        <v>0</v>
      </c>
      <c r="I64" s="23">
        <v>0</v>
      </c>
      <c r="J64" s="23">
        <v>0</v>
      </c>
      <c r="K64" s="23">
        <v>375</v>
      </c>
      <c r="L64" s="33">
        <v>0</v>
      </c>
      <c r="M64" s="33">
        <v>376</v>
      </c>
      <c r="N64" s="33">
        <v>4322</v>
      </c>
      <c r="O64" s="33">
        <v>2617</v>
      </c>
      <c r="P64" s="33">
        <v>-5</v>
      </c>
      <c r="Q64" s="33">
        <v>2612</v>
      </c>
      <c r="R64" s="33">
        <v>2161</v>
      </c>
      <c r="S64" s="33">
        <v>451</v>
      </c>
      <c r="T64" s="38">
        <v>0.6043498380379454</v>
      </c>
      <c r="U64" s="59">
        <v>5322</v>
      </c>
      <c r="V64" s="33">
        <v>1000</v>
      </c>
      <c r="W64" s="33">
        <v>1000</v>
      </c>
      <c r="X64" s="33"/>
      <c r="Y64" s="33"/>
      <c r="Z64" s="42"/>
      <c r="AA64" s="60"/>
      <c r="AB64" s="105"/>
      <c r="AC64" s="93"/>
      <c r="AD64" s="33">
        <v>0</v>
      </c>
      <c r="AE64" s="33">
        <v>2612</v>
      </c>
      <c r="AF64" s="101">
        <v>-1710</v>
      </c>
    </row>
    <row r="65" spans="2:32" ht="13" outlineLevel="2" x14ac:dyDescent="0.3">
      <c r="B65" s="31" t="s">
        <v>97</v>
      </c>
      <c r="C65" s="33">
        <v>2852</v>
      </c>
      <c r="D65" s="33">
        <v>3040</v>
      </c>
      <c r="E65" s="23">
        <v>0</v>
      </c>
      <c r="F65" s="23">
        <v>0</v>
      </c>
      <c r="G65" s="23">
        <v>299</v>
      </c>
      <c r="H65" s="23">
        <v>0</v>
      </c>
      <c r="I65" s="23">
        <v>-111</v>
      </c>
      <c r="J65" s="23">
        <v>0</v>
      </c>
      <c r="K65" s="23">
        <v>188</v>
      </c>
      <c r="L65" s="33">
        <v>0</v>
      </c>
      <c r="M65" s="33">
        <v>188</v>
      </c>
      <c r="N65" s="33">
        <v>3040</v>
      </c>
      <c r="O65" s="33">
        <v>1545</v>
      </c>
      <c r="P65" s="33">
        <v>-7</v>
      </c>
      <c r="Q65" s="33">
        <v>1538</v>
      </c>
      <c r="R65" s="33">
        <v>1520</v>
      </c>
      <c r="S65" s="33">
        <v>18</v>
      </c>
      <c r="T65" s="38">
        <v>0.50592105263157894</v>
      </c>
      <c r="U65" s="59">
        <v>3067</v>
      </c>
      <c r="V65" s="33">
        <v>27</v>
      </c>
      <c r="W65" s="33">
        <v>27</v>
      </c>
      <c r="X65" s="33"/>
      <c r="Y65" s="33"/>
      <c r="Z65" s="42"/>
      <c r="AA65" s="60"/>
      <c r="AB65" s="105"/>
      <c r="AC65" s="93"/>
      <c r="AD65" s="33">
        <v>0</v>
      </c>
      <c r="AE65" s="33">
        <v>1538</v>
      </c>
      <c r="AF65" s="101">
        <v>-1502</v>
      </c>
    </row>
    <row r="66" spans="2:32" ht="13" outlineLevel="1" x14ac:dyDescent="0.3">
      <c r="B66" s="32" t="s">
        <v>98</v>
      </c>
      <c r="C66" s="34">
        <v>1733</v>
      </c>
      <c r="D66" s="34">
        <v>1844</v>
      </c>
      <c r="E66" s="24">
        <v>0</v>
      </c>
      <c r="F66" s="24">
        <v>0</v>
      </c>
      <c r="G66" s="24">
        <v>111</v>
      </c>
      <c r="H66" s="24">
        <v>0</v>
      </c>
      <c r="I66" s="24">
        <v>0</v>
      </c>
      <c r="J66" s="24">
        <v>0</v>
      </c>
      <c r="K66" s="24">
        <v>111</v>
      </c>
      <c r="L66" s="34">
        <v>0</v>
      </c>
      <c r="M66" s="34">
        <v>111</v>
      </c>
      <c r="N66" s="34">
        <v>1844</v>
      </c>
      <c r="O66" s="34">
        <v>851</v>
      </c>
      <c r="P66" s="34">
        <v>-9</v>
      </c>
      <c r="Q66" s="34">
        <v>842</v>
      </c>
      <c r="R66" s="34">
        <v>922</v>
      </c>
      <c r="S66" s="34">
        <v>-80</v>
      </c>
      <c r="T66" s="38">
        <v>0.45661605206073752</v>
      </c>
      <c r="U66" s="59">
        <v>1828</v>
      </c>
      <c r="V66" s="34">
        <v>-16</v>
      </c>
      <c r="W66" s="34">
        <v>-16</v>
      </c>
      <c r="X66" s="34"/>
      <c r="Y66" s="34"/>
      <c r="Z66" s="41"/>
      <c r="AA66" s="60"/>
      <c r="AB66" s="102"/>
      <c r="AC66" s="34"/>
      <c r="AD66" s="34">
        <v>0</v>
      </c>
      <c r="AE66" s="34">
        <v>842</v>
      </c>
      <c r="AF66" s="103">
        <v>-1002</v>
      </c>
    </row>
    <row r="67" spans="2:32" ht="13" outlineLevel="2" x14ac:dyDescent="0.3">
      <c r="B67" s="31" t="s">
        <v>100</v>
      </c>
      <c r="C67" s="33">
        <v>8819</v>
      </c>
      <c r="D67" s="33">
        <v>9546</v>
      </c>
      <c r="E67" s="23">
        <v>0</v>
      </c>
      <c r="F67" s="23">
        <v>0</v>
      </c>
      <c r="G67" s="23">
        <v>837</v>
      </c>
      <c r="H67" s="23">
        <v>0</v>
      </c>
      <c r="I67" s="23">
        <v>-111</v>
      </c>
      <c r="J67" s="23">
        <v>0</v>
      </c>
      <c r="K67" s="23">
        <v>726</v>
      </c>
      <c r="L67" s="33">
        <v>0</v>
      </c>
      <c r="M67" s="33">
        <v>727</v>
      </c>
      <c r="N67" s="33">
        <v>9546</v>
      </c>
      <c r="O67" s="33">
        <v>5287</v>
      </c>
      <c r="P67" s="33">
        <v>-21</v>
      </c>
      <c r="Q67" s="33">
        <v>5266</v>
      </c>
      <c r="R67" s="33">
        <v>4773</v>
      </c>
      <c r="S67" s="33">
        <v>493</v>
      </c>
      <c r="T67" s="38">
        <v>0.55164466792373767</v>
      </c>
      <c r="U67" s="59">
        <v>10557</v>
      </c>
      <c r="V67" s="33">
        <v>1011</v>
      </c>
      <c r="W67" s="33">
        <v>1011</v>
      </c>
      <c r="X67" s="33"/>
      <c r="Y67" s="33"/>
      <c r="Z67" s="42"/>
      <c r="AA67" s="60"/>
      <c r="AB67" s="105">
        <v>0</v>
      </c>
      <c r="AC67" s="93">
        <v>0</v>
      </c>
      <c r="AD67" s="33"/>
      <c r="AE67" s="33"/>
      <c r="AF67" s="101"/>
    </row>
    <row r="68" spans="2:32" ht="13" outlineLevel="2" x14ac:dyDescent="0.3">
      <c r="B68" s="31" t="s">
        <v>101</v>
      </c>
      <c r="C68" s="33">
        <v>1304</v>
      </c>
      <c r="D68" s="33">
        <v>1394</v>
      </c>
      <c r="E68" s="23">
        <v>0</v>
      </c>
      <c r="F68" s="23">
        <v>0</v>
      </c>
      <c r="G68" s="23">
        <v>91</v>
      </c>
      <c r="H68" s="23">
        <v>0</v>
      </c>
      <c r="I68" s="23">
        <v>0</v>
      </c>
      <c r="J68" s="23">
        <v>0</v>
      </c>
      <c r="K68" s="23">
        <v>91</v>
      </c>
      <c r="L68" s="33">
        <v>0</v>
      </c>
      <c r="M68" s="33">
        <v>90</v>
      </c>
      <c r="N68" s="33">
        <v>1394</v>
      </c>
      <c r="O68" s="33">
        <v>898</v>
      </c>
      <c r="P68" s="33">
        <v>-84</v>
      </c>
      <c r="Q68" s="33">
        <v>814</v>
      </c>
      <c r="R68" s="33">
        <v>697</v>
      </c>
      <c r="S68" s="33">
        <v>117</v>
      </c>
      <c r="T68" s="38">
        <v>0.5839311334289814</v>
      </c>
      <c r="U68" s="59">
        <v>1525</v>
      </c>
      <c r="V68" s="33">
        <v>131</v>
      </c>
      <c r="W68" s="33">
        <v>131</v>
      </c>
      <c r="X68" s="33"/>
      <c r="Y68" s="33"/>
      <c r="Z68" s="42"/>
      <c r="AA68" s="60"/>
      <c r="AB68" s="105"/>
      <c r="AC68" s="93"/>
      <c r="AD68" s="33">
        <v>0</v>
      </c>
      <c r="AE68" s="33">
        <v>814</v>
      </c>
      <c r="AF68" s="101">
        <v>-580</v>
      </c>
    </row>
    <row r="69" spans="2:32" ht="13" outlineLevel="2" x14ac:dyDescent="0.3">
      <c r="B69" s="31" t="s">
        <v>102</v>
      </c>
      <c r="C69" s="33">
        <v>445</v>
      </c>
      <c r="D69" s="33">
        <v>445</v>
      </c>
      <c r="E69" s="23">
        <v>0</v>
      </c>
      <c r="F69" s="23">
        <v>0</v>
      </c>
      <c r="G69" s="23">
        <v>0</v>
      </c>
      <c r="H69" s="23">
        <v>0</v>
      </c>
      <c r="I69" s="23">
        <v>0</v>
      </c>
      <c r="J69" s="23">
        <v>0</v>
      </c>
      <c r="K69" s="23">
        <v>0</v>
      </c>
      <c r="L69" s="33">
        <v>0</v>
      </c>
      <c r="M69" s="33">
        <v>0</v>
      </c>
      <c r="N69" s="33">
        <v>445</v>
      </c>
      <c r="O69" s="33">
        <v>284</v>
      </c>
      <c r="P69" s="33">
        <v>-32</v>
      </c>
      <c r="Q69" s="33">
        <v>252</v>
      </c>
      <c r="R69" s="33">
        <v>223</v>
      </c>
      <c r="S69" s="33">
        <v>29</v>
      </c>
      <c r="T69" s="38">
        <v>0.56629213483146068</v>
      </c>
      <c r="U69" s="59">
        <v>520</v>
      </c>
      <c r="V69" s="33">
        <v>75</v>
      </c>
      <c r="W69" s="33">
        <v>75</v>
      </c>
      <c r="X69" s="33"/>
      <c r="Y69" s="33"/>
      <c r="Z69" s="42"/>
      <c r="AA69" s="60"/>
      <c r="AB69" s="105"/>
      <c r="AC69" s="93"/>
      <c r="AD69" s="33">
        <v>0</v>
      </c>
      <c r="AE69" s="33">
        <v>252</v>
      </c>
      <c r="AF69" s="101">
        <v>-193</v>
      </c>
    </row>
    <row r="70" spans="2:32" ht="13" outlineLevel="2" x14ac:dyDescent="0.3">
      <c r="B70" s="31" t="s">
        <v>103</v>
      </c>
      <c r="C70" s="33">
        <v>267</v>
      </c>
      <c r="D70" s="33">
        <v>331</v>
      </c>
      <c r="E70" s="23">
        <v>0</v>
      </c>
      <c r="F70" s="23">
        <v>0</v>
      </c>
      <c r="G70" s="23">
        <v>64</v>
      </c>
      <c r="H70" s="23">
        <v>0</v>
      </c>
      <c r="I70" s="23">
        <v>0</v>
      </c>
      <c r="J70" s="23">
        <v>0</v>
      </c>
      <c r="K70" s="23">
        <v>64</v>
      </c>
      <c r="L70" s="33">
        <v>0</v>
      </c>
      <c r="M70" s="33">
        <v>64</v>
      </c>
      <c r="N70" s="33">
        <v>331</v>
      </c>
      <c r="O70" s="33">
        <v>281</v>
      </c>
      <c r="P70" s="33">
        <v>-54</v>
      </c>
      <c r="Q70" s="33">
        <v>227</v>
      </c>
      <c r="R70" s="33">
        <v>166</v>
      </c>
      <c r="S70" s="33">
        <v>61</v>
      </c>
      <c r="T70" s="38">
        <v>0.6858006042296072</v>
      </c>
      <c r="U70" s="59">
        <v>331</v>
      </c>
      <c r="V70" s="33">
        <v>0</v>
      </c>
      <c r="W70" s="33">
        <v>0</v>
      </c>
      <c r="X70" s="33"/>
      <c r="Y70" s="33"/>
      <c r="Z70" s="42"/>
      <c r="AA70" s="60"/>
      <c r="AB70" s="105"/>
      <c r="AC70" s="93"/>
      <c r="AD70" s="33">
        <v>0</v>
      </c>
      <c r="AE70" s="33">
        <v>227</v>
      </c>
      <c r="AF70" s="101">
        <v>-104</v>
      </c>
    </row>
    <row r="71" spans="2:32" ht="13" outlineLevel="2" x14ac:dyDescent="0.3">
      <c r="B71" s="31" t="s">
        <v>104</v>
      </c>
      <c r="C71" s="33">
        <v>549</v>
      </c>
      <c r="D71" s="33">
        <v>613</v>
      </c>
      <c r="E71" s="23">
        <v>0</v>
      </c>
      <c r="F71" s="23">
        <v>0</v>
      </c>
      <c r="G71" s="23">
        <v>64</v>
      </c>
      <c r="H71" s="23">
        <v>0</v>
      </c>
      <c r="I71" s="23">
        <v>0</v>
      </c>
      <c r="J71" s="23">
        <v>0</v>
      </c>
      <c r="K71" s="23">
        <v>64</v>
      </c>
      <c r="L71" s="33">
        <v>0</v>
      </c>
      <c r="M71" s="33">
        <v>64</v>
      </c>
      <c r="N71" s="33">
        <v>613</v>
      </c>
      <c r="O71" s="33">
        <v>364</v>
      </c>
      <c r="P71" s="33">
        <v>0</v>
      </c>
      <c r="Q71" s="33">
        <v>364</v>
      </c>
      <c r="R71" s="33">
        <v>306</v>
      </c>
      <c r="S71" s="33">
        <v>58</v>
      </c>
      <c r="T71" s="38">
        <v>0.59380097879282223</v>
      </c>
      <c r="U71" s="59">
        <v>733</v>
      </c>
      <c r="V71" s="33">
        <v>120</v>
      </c>
      <c r="W71" s="33">
        <v>120</v>
      </c>
      <c r="X71" s="33"/>
      <c r="Y71" s="33"/>
      <c r="Z71" s="42"/>
      <c r="AA71" s="60"/>
      <c r="AB71" s="105"/>
      <c r="AC71" s="93"/>
      <c r="AD71" s="33">
        <v>0</v>
      </c>
      <c r="AE71" s="33">
        <v>364</v>
      </c>
      <c r="AF71" s="101">
        <v>-249</v>
      </c>
    </row>
    <row r="72" spans="2:32" ht="13" outlineLevel="2" x14ac:dyDescent="0.3">
      <c r="B72" s="31" t="s">
        <v>105</v>
      </c>
      <c r="C72" s="33">
        <v>1114</v>
      </c>
      <c r="D72" s="33">
        <v>1412</v>
      </c>
      <c r="E72" s="23">
        <v>0</v>
      </c>
      <c r="F72" s="23">
        <v>0</v>
      </c>
      <c r="G72" s="23">
        <v>186</v>
      </c>
      <c r="H72" s="23">
        <v>0</v>
      </c>
      <c r="I72" s="23">
        <v>112</v>
      </c>
      <c r="J72" s="23">
        <v>0</v>
      </c>
      <c r="K72" s="23">
        <v>298</v>
      </c>
      <c r="L72" s="33">
        <v>0</v>
      </c>
      <c r="M72" s="33">
        <v>298</v>
      </c>
      <c r="N72" s="33">
        <v>1412</v>
      </c>
      <c r="O72" s="33">
        <v>1106</v>
      </c>
      <c r="P72" s="33">
        <v>-196</v>
      </c>
      <c r="Q72" s="33">
        <v>911</v>
      </c>
      <c r="R72" s="33">
        <v>706</v>
      </c>
      <c r="S72" s="33">
        <v>205</v>
      </c>
      <c r="T72" s="38">
        <v>0.64518413597733715</v>
      </c>
      <c r="U72" s="59">
        <v>1322</v>
      </c>
      <c r="V72" s="33">
        <v>-90</v>
      </c>
      <c r="W72" s="33">
        <v>-90</v>
      </c>
      <c r="X72" s="33"/>
      <c r="Y72" s="33"/>
      <c r="Z72" s="42"/>
      <c r="AA72" s="60"/>
      <c r="AB72" s="105"/>
      <c r="AC72" s="93"/>
      <c r="AD72" s="33">
        <v>0</v>
      </c>
      <c r="AE72" s="33">
        <v>911</v>
      </c>
      <c r="AF72" s="101">
        <v>-501</v>
      </c>
    </row>
    <row r="73" spans="2:32" ht="13" outlineLevel="1" x14ac:dyDescent="0.3">
      <c r="B73" s="32" t="s">
        <v>106</v>
      </c>
      <c r="C73" s="34">
        <v>126</v>
      </c>
      <c r="D73" s="34">
        <v>136</v>
      </c>
      <c r="E73" s="24">
        <v>0</v>
      </c>
      <c r="F73" s="24">
        <v>0</v>
      </c>
      <c r="G73" s="24">
        <v>10</v>
      </c>
      <c r="H73" s="24">
        <v>0</v>
      </c>
      <c r="I73" s="24">
        <v>0</v>
      </c>
      <c r="J73" s="24">
        <v>0</v>
      </c>
      <c r="K73" s="24">
        <v>10</v>
      </c>
      <c r="L73" s="34">
        <v>0</v>
      </c>
      <c r="M73" s="34">
        <v>10</v>
      </c>
      <c r="N73" s="34">
        <v>136</v>
      </c>
      <c r="O73" s="34">
        <v>109</v>
      </c>
      <c r="P73" s="34">
        <v>0</v>
      </c>
      <c r="Q73" s="34">
        <v>109</v>
      </c>
      <c r="R73" s="34">
        <v>68</v>
      </c>
      <c r="S73" s="34">
        <v>41</v>
      </c>
      <c r="T73" s="38">
        <v>0.80147058823529416</v>
      </c>
      <c r="U73" s="59">
        <v>276</v>
      </c>
      <c r="V73" s="34">
        <v>140</v>
      </c>
      <c r="W73" s="34">
        <v>140</v>
      </c>
      <c r="X73" s="34"/>
      <c r="Y73" s="34"/>
      <c r="Z73" s="41"/>
      <c r="AA73" s="60"/>
      <c r="AB73" s="102"/>
      <c r="AC73" s="34"/>
      <c r="AD73" s="34">
        <v>0</v>
      </c>
      <c r="AE73" s="34">
        <v>109</v>
      </c>
      <c r="AF73" s="103">
        <v>-27</v>
      </c>
    </row>
    <row r="74" spans="2:32" ht="13" outlineLevel="2" x14ac:dyDescent="0.3">
      <c r="B74" s="31" t="s">
        <v>107</v>
      </c>
      <c r="C74" s="33">
        <v>3805</v>
      </c>
      <c r="D74" s="33">
        <v>4331</v>
      </c>
      <c r="E74" s="23">
        <v>0</v>
      </c>
      <c r="F74" s="23">
        <v>0</v>
      </c>
      <c r="G74" s="23">
        <v>415</v>
      </c>
      <c r="H74" s="23">
        <v>0</v>
      </c>
      <c r="I74" s="23">
        <v>112</v>
      </c>
      <c r="J74" s="23">
        <v>0</v>
      </c>
      <c r="K74" s="23">
        <v>527</v>
      </c>
      <c r="L74" s="33">
        <v>0</v>
      </c>
      <c r="M74" s="33">
        <v>526</v>
      </c>
      <c r="N74" s="33">
        <v>4331</v>
      </c>
      <c r="O74" s="33">
        <v>3042</v>
      </c>
      <c r="P74" s="33">
        <v>-366</v>
      </c>
      <c r="Q74" s="33">
        <v>2677</v>
      </c>
      <c r="R74" s="33">
        <v>2166</v>
      </c>
      <c r="S74" s="33">
        <v>511</v>
      </c>
      <c r="T74" s="38">
        <v>0.61810205495266679</v>
      </c>
      <c r="U74" s="59">
        <v>4707</v>
      </c>
      <c r="V74" s="33">
        <v>376</v>
      </c>
      <c r="W74" s="33">
        <v>376</v>
      </c>
      <c r="X74" s="33"/>
      <c r="Y74" s="33"/>
      <c r="Z74" s="42"/>
      <c r="AA74" s="60"/>
      <c r="AB74" s="105">
        <v>0</v>
      </c>
      <c r="AC74" s="93">
        <v>0</v>
      </c>
      <c r="AD74" s="33"/>
      <c r="AE74" s="33"/>
      <c r="AF74" s="101"/>
    </row>
    <row r="75" spans="2:32" ht="13" outlineLevel="2" x14ac:dyDescent="0.3">
      <c r="B75" s="31" t="s">
        <v>108</v>
      </c>
      <c r="C75" s="33">
        <v>742</v>
      </c>
      <c r="D75" s="33">
        <v>881</v>
      </c>
      <c r="E75" s="23">
        <v>0</v>
      </c>
      <c r="F75" s="23">
        <v>0</v>
      </c>
      <c r="G75" s="23">
        <v>59</v>
      </c>
      <c r="H75" s="23">
        <v>0</v>
      </c>
      <c r="I75" s="23">
        <v>81</v>
      </c>
      <c r="J75" s="23">
        <v>0</v>
      </c>
      <c r="K75" s="23">
        <v>140</v>
      </c>
      <c r="L75" s="33">
        <v>0</v>
      </c>
      <c r="M75" s="33">
        <v>139</v>
      </c>
      <c r="N75" s="33">
        <v>881</v>
      </c>
      <c r="O75" s="33">
        <v>540</v>
      </c>
      <c r="P75" s="33">
        <v>0</v>
      </c>
      <c r="Q75" s="33">
        <v>540</v>
      </c>
      <c r="R75" s="33">
        <v>441</v>
      </c>
      <c r="S75" s="33">
        <v>99</v>
      </c>
      <c r="T75" s="38">
        <v>0.61293984108967081</v>
      </c>
      <c r="U75" s="59">
        <v>881</v>
      </c>
      <c r="V75" s="33">
        <v>0</v>
      </c>
      <c r="W75" s="33">
        <v>0</v>
      </c>
      <c r="X75" s="33"/>
      <c r="Y75" s="33"/>
      <c r="Z75" s="42"/>
      <c r="AA75" s="60"/>
      <c r="AB75" s="105"/>
      <c r="AC75" s="93"/>
      <c r="AD75" s="33">
        <v>0</v>
      </c>
      <c r="AE75" s="33">
        <v>540</v>
      </c>
      <c r="AF75" s="101">
        <v>-341</v>
      </c>
    </row>
    <row r="76" spans="2:32" ht="13" outlineLevel="1" x14ac:dyDescent="0.3">
      <c r="B76" s="32" t="s">
        <v>109</v>
      </c>
      <c r="C76" s="34">
        <v>347</v>
      </c>
      <c r="D76" s="34">
        <v>380</v>
      </c>
      <c r="E76" s="24">
        <v>0</v>
      </c>
      <c r="F76" s="24">
        <v>0</v>
      </c>
      <c r="G76" s="24">
        <v>33</v>
      </c>
      <c r="H76" s="24">
        <v>0</v>
      </c>
      <c r="I76" s="24">
        <v>0</v>
      </c>
      <c r="J76" s="24">
        <v>0</v>
      </c>
      <c r="K76" s="24">
        <v>33</v>
      </c>
      <c r="L76" s="34">
        <v>0</v>
      </c>
      <c r="M76" s="34">
        <v>33</v>
      </c>
      <c r="N76" s="34">
        <v>380</v>
      </c>
      <c r="O76" s="34">
        <v>188</v>
      </c>
      <c r="P76" s="34">
        <v>0</v>
      </c>
      <c r="Q76" s="34">
        <v>188</v>
      </c>
      <c r="R76" s="34">
        <v>190</v>
      </c>
      <c r="S76" s="34">
        <v>-2</v>
      </c>
      <c r="T76" s="38">
        <v>0.49473684210526314</v>
      </c>
      <c r="U76" s="59">
        <v>380</v>
      </c>
      <c r="V76" s="34">
        <v>0</v>
      </c>
      <c r="W76" s="34">
        <v>0</v>
      </c>
      <c r="X76" s="34"/>
      <c r="Y76" s="34"/>
      <c r="Z76" s="41"/>
      <c r="AA76" s="60"/>
      <c r="AB76" s="102"/>
      <c r="AC76" s="34"/>
      <c r="AD76" s="34">
        <v>0</v>
      </c>
      <c r="AE76" s="34">
        <v>188</v>
      </c>
      <c r="AF76" s="103">
        <v>-192</v>
      </c>
    </row>
    <row r="77" spans="2:32" ht="13" outlineLevel="2" x14ac:dyDescent="0.3">
      <c r="B77" s="31" t="s">
        <v>110</v>
      </c>
      <c r="C77" s="33">
        <v>1089</v>
      </c>
      <c r="D77" s="33">
        <v>1261</v>
      </c>
      <c r="E77" s="23">
        <v>0</v>
      </c>
      <c r="F77" s="23">
        <v>0</v>
      </c>
      <c r="G77" s="23">
        <v>92</v>
      </c>
      <c r="H77" s="23">
        <v>0</v>
      </c>
      <c r="I77" s="23">
        <v>81</v>
      </c>
      <c r="J77" s="23">
        <v>0</v>
      </c>
      <c r="K77" s="23">
        <v>173</v>
      </c>
      <c r="L77" s="33">
        <v>0</v>
      </c>
      <c r="M77" s="33">
        <v>172</v>
      </c>
      <c r="N77" s="33">
        <v>1261</v>
      </c>
      <c r="O77" s="33">
        <v>728</v>
      </c>
      <c r="P77" s="33">
        <v>0</v>
      </c>
      <c r="Q77" s="33">
        <v>728</v>
      </c>
      <c r="R77" s="33">
        <v>631</v>
      </c>
      <c r="S77" s="33">
        <v>97</v>
      </c>
      <c r="T77" s="38">
        <v>0.57731958762886593</v>
      </c>
      <c r="U77" s="59">
        <v>1261</v>
      </c>
      <c r="V77" s="33">
        <v>0</v>
      </c>
      <c r="W77" s="33">
        <v>0</v>
      </c>
      <c r="X77" s="33"/>
      <c r="Y77" s="33"/>
      <c r="Z77" s="42"/>
      <c r="AA77" s="60"/>
      <c r="AB77" s="105">
        <v>0</v>
      </c>
      <c r="AC77" s="93">
        <v>0</v>
      </c>
      <c r="AD77" s="33"/>
      <c r="AE77" s="33"/>
      <c r="AF77" s="101"/>
    </row>
    <row r="78" spans="2:32" ht="13" outlineLevel="2" x14ac:dyDescent="0.3">
      <c r="B78" s="31" t="s">
        <v>111</v>
      </c>
      <c r="C78" s="33">
        <v>715</v>
      </c>
      <c r="D78" s="33">
        <v>764</v>
      </c>
      <c r="E78" s="23">
        <v>0</v>
      </c>
      <c r="F78" s="23">
        <v>0</v>
      </c>
      <c r="G78" s="23">
        <v>50</v>
      </c>
      <c r="H78" s="23">
        <v>0</v>
      </c>
      <c r="I78" s="23">
        <v>0</v>
      </c>
      <c r="J78" s="23">
        <v>0</v>
      </c>
      <c r="K78" s="23">
        <v>50</v>
      </c>
      <c r="L78" s="33">
        <v>0</v>
      </c>
      <c r="M78" s="33">
        <v>49</v>
      </c>
      <c r="N78" s="33">
        <v>764</v>
      </c>
      <c r="O78" s="33">
        <v>365</v>
      </c>
      <c r="P78" s="33">
        <v>-7</v>
      </c>
      <c r="Q78" s="33">
        <v>357</v>
      </c>
      <c r="R78" s="33">
        <v>382</v>
      </c>
      <c r="S78" s="33">
        <v>-25</v>
      </c>
      <c r="T78" s="38">
        <v>0.46727748691099474</v>
      </c>
      <c r="U78" s="59">
        <v>741</v>
      </c>
      <c r="V78" s="33">
        <v>-23</v>
      </c>
      <c r="W78" s="33">
        <v>-23</v>
      </c>
      <c r="X78" s="33"/>
      <c r="Y78" s="33"/>
      <c r="Z78" s="42"/>
      <c r="AA78" s="60"/>
      <c r="AB78" s="105"/>
      <c r="AC78" s="93"/>
      <c r="AD78" s="33">
        <v>0</v>
      </c>
      <c r="AE78" s="33">
        <v>357</v>
      </c>
      <c r="AF78" s="101">
        <v>-407</v>
      </c>
    </row>
    <row r="79" spans="2:32" ht="13" outlineLevel="2" x14ac:dyDescent="0.3">
      <c r="B79" s="31" t="s">
        <v>112</v>
      </c>
      <c r="C79" s="33">
        <v>401</v>
      </c>
      <c r="D79" s="33">
        <v>418</v>
      </c>
      <c r="E79" s="23">
        <v>0</v>
      </c>
      <c r="F79" s="23">
        <v>0</v>
      </c>
      <c r="G79" s="23">
        <v>17</v>
      </c>
      <c r="H79" s="23">
        <v>0</v>
      </c>
      <c r="I79" s="23">
        <v>0</v>
      </c>
      <c r="J79" s="23">
        <v>0</v>
      </c>
      <c r="K79" s="23">
        <v>17</v>
      </c>
      <c r="L79" s="33">
        <v>0</v>
      </c>
      <c r="M79" s="33">
        <v>17</v>
      </c>
      <c r="N79" s="33">
        <v>418</v>
      </c>
      <c r="O79" s="33">
        <v>566</v>
      </c>
      <c r="P79" s="33">
        <v>-260</v>
      </c>
      <c r="Q79" s="33">
        <v>306</v>
      </c>
      <c r="R79" s="33">
        <v>209</v>
      </c>
      <c r="S79" s="33">
        <v>97</v>
      </c>
      <c r="T79" s="38">
        <v>0.73205741626794263</v>
      </c>
      <c r="U79" s="59">
        <v>438</v>
      </c>
      <c r="V79" s="33">
        <v>20</v>
      </c>
      <c r="W79" s="33">
        <v>20</v>
      </c>
      <c r="X79" s="33"/>
      <c r="Y79" s="33"/>
      <c r="Z79" s="42"/>
      <c r="AA79" s="60"/>
      <c r="AB79" s="105"/>
      <c r="AC79" s="93"/>
      <c r="AD79" s="33">
        <v>0</v>
      </c>
      <c r="AE79" s="33">
        <v>306</v>
      </c>
      <c r="AF79" s="101">
        <v>-112</v>
      </c>
    </row>
    <row r="80" spans="2:32" ht="13" outlineLevel="1" x14ac:dyDescent="0.3">
      <c r="B80" s="32" t="s">
        <v>113</v>
      </c>
      <c r="C80" s="34">
        <v>1518</v>
      </c>
      <c r="D80" s="34">
        <v>1670</v>
      </c>
      <c r="E80" s="24">
        <v>0</v>
      </c>
      <c r="F80" s="24">
        <v>0</v>
      </c>
      <c r="G80" s="24">
        <v>174</v>
      </c>
      <c r="H80" s="24">
        <v>0</v>
      </c>
      <c r="I80" s="24">
        <v>-22</v>
      </c>
      <c r="J80" s="24">
        <v>0</v>
      </c>
      <c r="K80" s="24">
        <v>152</v>
      </c>
      <c r="L80" s="34">
        <v>0</v>
      </c>
      <c r="M80" s="34">
        <v>152</v>
      </c>
      <c r="N80" s="34">
        <v>1670</v>
      </c>
      <c r="O80" s="34">
        <v>1026</v>
      </c>
      <c r="P80" s="34">
        <v>-159</v>
      </c>
      <c r="Q80" s="34">
        <v>866</v>
      </c>
      <c r="R80" s="34">
        <v>835</v>
      </c>
      <c r="S80" s="34">
        <v>31</v>
      </c>
      <c r="T80" s="38">
        <v>0.51856287425149705</v>
      </c>
      <c r="U80" s="59">
        <v>1780</v>
      </c>
      <c r="V80" s="34">
        <v>110</v>
      </c>
      <c r="W80" s="34">
        <v>110</v>
      </c>
      <c r="X80" s="34"/>
      <c r="Y80" s="34"/>
      <c r="Z80" s="41"/>
      <c r="AA80" s="60"/>
      <c r="AB80" s="102"/>
      <c r="AC80" s="34"/>
      <c r="AD80" s="34">
        <v>0</v>
      </c>
      <c r="AE80" s="34">
        <v>866</v>
      </c>
      <c r="AF80" s="103">
        <v>-804</v>
      </c>
    </row>
    <row r="81" spans="2:32" ht="13.5" customHeight="1" thickBot="1" x14ac:dyDescent="0.35">
      <c r="B81" s="53" t="s">
        <v>114</v>
      </c>
      <c r="C81" s="35">
        <v>2634</v>
      </c>
      <c r="D81" s="35">
        <v>2852</v>
      </c>
      <c r="E81" s="25">
        <v>0</v>
      </c>
      <c r="F81" s="25">
        <v>0</v>
      </c>
      <c r="G81" s="25">
        <v>241</v>
      </c>
      <c r="H81" s="25">
        <v>0</v>
      </c>
      <c r="I81" s="25">
        <v>-22</v>
      </c>
      <c r="J81" s="25">
        <v>0</v>
      </c>
      <c r="K81" s="25">
        <v>219</v>
      </c>
      <c r="L81" s="35">
        <v>0</v>
      </c>
      <c r="M81" s="35">
        <v>218</v>
      </c>
      <c r="N81" s="35">
        <v>2852</v>
      </c>
      <c r="O81" s="35">
        <v>1957</v>
      </c>
      <c r="P81" s="35">
        <v>-426</v>
      </c>
      <c r="Q81" s="35">
        <v>1529</v>
      </c>
      <c r="R81" s="35">
        <v>1426</v>
      </c>
      <c r="S81" s="35">
        <v>103</v>
      </c>
      <c r="T81" s="39">
        <v>0.53611500701262271</v>
      </c>
      <c r="U81" s="54">
        <v>2959</v>
      </c>
      <c r="V81" s="35">
        <v>107</v>
      </c>
      <c r="W81" s="35">
        <v>107</v>
      </c>
      <c r="X81" s="35"/>
      <c r="Y81" s="35"/>
      <c r="Z81" s="43"/>
      <c r="AA81" s="60"/>
      <c r="AB81" s="104">
        <v>0</v>
      </c>
      <c r="AC81" s="104">
        <v>0</v>
      </c>
      <c r="AD81" s="35"/>
      <c r="AE81" s="35"/>
      <c r="AF81" s="43"/>
    </row>
    <row r="82" spans="2:32" ht="14" thickTop="1" thickBot="1" x14ac:dyDescent="0.35">
      <c r="B82" s="61" t="s">
        <v>115</v>
      </c>
      <c r="C82" s="62">
        <v>16347</v>
      </c>
      <c r="D82" s="62">
        <v>17990</v>
      </c>
      <c r="E82" s="65">
        <v>0</v>
      </c>
      <c r="F82" s="65">
        <v>0</v>
      </c>
      <c r="G82" s="65">
        <v>1585</v>
      </c>
      <c r="H82" s="65">
        <v>0</v>
      </c>
      <c r="I82" s="65">
        <v>60</v>
      </c>
      <c r="J82" s="65">
        <v>0</v>
      </c>
      <c r="K82" s="65">
        <v>1645</v>
      </c>
      <c r="L82" s="62">
        <v>0</v>
      </c>
      <c r="M82" s="62">
        <v>1643</v>
      </c>
      <c r="N82" s="62">
        <v>17990</v>
      </c>
      <c r="O82" s="62">
        <v>11014</v>
      </c>
      <c r="P82" s="62">
        <v>-813</v>
      </c>
      <c r="Q82" s="62">
        <v>10200</v>
      </c>
      <c r="R82" s="62">
        <v>8996</v>
      </c>
      <c r="S82" s="62">
        <v>1204</v>
      </c>
      <c r="T82" s="62">
        <v>0.56698165647581988</v>
      </c>
      <c r="U82" s="64">
        <v>19484</v>
      </c>
      <c r="V82" s="62">
        <v>1494</v>
      </c>
      <c r="W82" s="62">
        <v>1494</v>
      </c>
      <c r="X82" s="62"/>
      <c r="Y82" s="62"/>
      <c r="Z82" s="63"/>
      <c r="AA82" s="60"/>
      <c r="AB82" s="61">
        <v>0</v>
      </c>
      <c r="AC82" s="62">
        <v>0</v>
      </c>
      <c r="AD82" s="62">
        <v>0</v>
      </c>
      <c r="AE82" s="62">
        <v>10200</v>
      </c>
      <c r="AF82" s="63">
        <v>-7790</v>
      </c>
    </row>
    <row r="83" spans="2:32" ht="13.5" thickBot="1" x14ac:dyDescent="0.35">
      <c r="B83" s="50"/>
      <c r="C83" s="51"/>
      <c r="D83" s="51"/>
      <c r="E83" s="51"/>
      <c r="F83" s="51"/>
      <c r="G83" s="51"/>
      <c r="H83" s="51"/>
      <c r="I83" s="51"/>
      <c r="J83" s="51"/>
      <c r="K83" s="51"/>
      <c r="L83" s="51"/>
      <c r="M83" s="51"/>
      <c r="N83" s="51"/>
      <c r="O83" s="51"/>
      <c r="P83" s="51"/>
      <c r="Q83" s="51"/>
      <c r="R83" s="51"/>
      <c r="S83" s="51"/>
      <c r="T83" s="52"/>
      <c r="U83" s="51"/>
      <c r="V83" s="51"/>
      <c r="W83" s="51"/>
      <c r="X83" s="51"/>
      <c r="Y83" s="51"/>
      <c r="Z83" s="51"/>
      <c r="AA83" s="60"/>
      <c r="AB83" s="51"/>
      <c r="AC83" s="51"/>
      <c r="AD83" s="51"/>
      <c r="AE83" s="51"/>
      <c r="AF83" s="51"/>
    </row>
    <row r="84" spans="2:32" ht="13.5" thickTop="1" x14ac:dyDescent="0.3">
      <c r="B84" s="71" t="s">
        <v>116</v>
      </c>
      <c r="C84" s="72">
        <v>33641</v>
      </c>
      <c r="D84" s="72">
        <v>40170</v>
      </c>
      <c r="E84" s="73">
        <v>141</v>
      </c>
      <c r="F84" s="73">
        <v>68</v>
      </c>
      <c r="G84" s="73">
        <v>6388</v>
      </c>
      <c r="H84" s="73">
        <v>0</v>
      </c>
      <c r="I84" s="73">
        <v>0</v>
      </c>
      <c r="J84" s="73">
        <v>0</v>
      </c>
      <c r="K84" s="73">
        <v>6597</v>
      </c>
      <c r="L84" s="72">
        <v>67</v>
      </c>
      <c r="M84" s="72">
        <v>6596</v>
      </c>
      <c r="N84" s="72">
        <v>40237</v>
      </c>
      <c r="O84" s="72">
        <v>49399</v>
      </c>
      <c r="P84" s="72">
        <v>-26157</v>
      </c>
      <c r="Q84" s="72">
        <v>23316</v>
      </c>
      <c r="R84" s="72">
        <v>21216</v>
      </c>
      <c r="S84" s="72">
        <v>2100</v>
      </c>
      <c r="T84" s="72">
        <v>0.57946666003926739</v>
      </c>
      <c r="U84" s="74">
        <v>41890</v>
      </c>
      <c r="V84" s="72">
        <v>1653</v>
      </c>
      <c r="W84" s="72">
        <v>1653</v>
      </c>
      <c r="X84" s="72">
        <v>0</v>
      </c>
      <c r="Y84" s="72">
        <v>0</v>
      </c>
      <c r="Z84" s="75">
        <v>0</v>
      </c>
      <c r="AA84" s="60"/>
      <c r="AB84" s="71">
        <v>0</v>
      </c>
      <c r="AC84" s="72">
        <v>0</v>
      </c>
      <c r="AD84" s="72">
        <v>0</v>
      </c>
      <c r="AE84" s="72">
        <v>23316</v>
      </c>
      <c r="AF84" s="75">
        <v>-16921</v>
      </c>
    </row>
    <row r="85" spans="2:32" ht="13" outlineLevel="1" x14ac:dyDescent="0.3">
      <c r="B85" s="31"/>
      <c r="C85" s="33"/>
      <c r="D85" s="33"/>
      <c r="E85" s="23"/>
      <c r="F85" s="23"/>
      <c r="G85" s="23"/>
      <c r="H85" s="23"/>
      <c r="I85" s="23"/>
      <c r="J85" s="23"/>
      <c r="K85" s="23"/>
      <c r="L85" s="33"/>
      <c r="M85" s="33"/>
      <c r="N85" s="33"/>
      <c r="O85" s="33"/>
      <c r="P85" s="33"/>
      <c r="Q85" s="33"/>
      <c r="R85" s="33"/>
      <c r="S85" s="33"/>
      <c r="T85" s="38"/>
      <c r="U85" s="59"/>
      <c r="V85" s="33"/>
      <c r="W85" s="33"/>
      <c r="X85" s="33"/>
      <c r="Y85" s="33"/>
      <c r="Z85" s="42"/>
      <c r="AA85" s="60"/>
      <c r="AB85" s="105"/>
      <c r="AC85" s="93"/>
      <c r="AD85" s="33"/>
      <c r="AE85" s="33"/>
      <c r="AF85" s="101"/>
    </row>
    <row r="86" spans="2:32" ht="13" outlineLevel="1" x14ac:dyDescent="0.3">
      <c r="B86" s="31" t="s">
        <v>117</v>
      </c>
      <c r="C86" s="33">
        <v>5662</v>
      </c>
      <c r="D86" s="33">
        <v>5662</v>
      </c>
      <c r="E86" s="23">
        <v>0</v>
      </c>
      <c r="F86" s="23">
        <v>0</v>
      </c>
      <c r="G86" s="23">
        <v>0</v>
      </c>
      <c r="H86" s="23">
        <v>0</v>
      </c>
      <c r="I86" s="23">
        <v>0</v>
      </c>
      <c r="J86" s="23">
        <v>0</v>
      </c>
      <c r="K86" s="23">
        <v>0</v>
      </c>
      <c r="L86" s="33">
        <v>0</v>
      </c>
      <c r="M86" s="33">
        <v>0</v>
      </c>
      <c r="N86" s="33">
        <v>5662</v>
      </c>
      <c r="O86" s="33">
        <v>0</v>
      </c>
      <c r="P86" s="33">
        <v>0</v>
      </c>
      <c r="Q86" s="33">
        <v>0</v>
      </c>
      <c r="R86" s="33">
        <v>2</v>
      </c>
      <c r="S86" s="33">
        <v>-2</v>
      </c>
      <c r="T86" s="38">
        <v>0</v>
      </c>
      <c r="U86" s="59">
        <v>5662</v>
      </c>
      <c r="V86" s="33">
        <v>0</v>
      </c>
      <c r="W86" s="33">
        <v>0</v>
      </c>
      <c r="X86" s="33"/>
      <c r="Y86" s="33"/>
      <c r="Z86" s="42"/>
      <c r="AA86" s="60"/>
      <c r="AB86" s="105"/>
      <c r="AC86" s="93"/>
      <c r="AD86" s="33">
        <v>0</v>
      </c>
      <c r="AE86" s="33">
        <v>0</v>
      </c>
      <c r="AF86" s="101">
        <v>-5662</v>
      </c>
    </row>
    <row r="87" spans="2:32" ht="13" hidden="1" outlineLevel="1" x14ac:dyDescent="0.3">
      <c r="B87" s="31" t="s">
        <v>118</v>
      </c>
      <c r="C87" s="33">
        <v>-5662</v>
      </c>
      <c r="D87" s="33">
        <v>-5662</v>
      </c>
      <c r="E87" s="23">
        <v>0</v>
      </c>
      <c r="F87" s="23">
        <v>0</v>
      </c>
      <c r="G87" s="23">
        <v>0</v>
      </c>
      <c r="H87" s="23">
        <v>0</v>
      </c>
      <c r="I87" s="23">
        <v>0</v>
      </c>
      <c r="J87" s="23">
        <v>0</v>
      </c>
      <c r="K87" s="23">
        <v>0</v>
      </c>
      <c r="L87" s="33">
        <v>0</v>
      </c>
      <c r="M87" s="33">
        <v>0</v>
      </c>
      <c r="N87" s="33">
        <v>-5662</v>
      </c>
      <c r="O87" s="33">
        <v>0</v>
      </c>
      <c r="P87" s="33">
        <v>0</v>
      </c>
      <c r="Q87" s="33">
        <v>0</v>
      </c>
      <c r="R87" s="33">
        <v>-2831</v>
      </c>
      <c r="S87" s="33">
        <v>2831</v>
      </c>
      <c r="T87" s="38">
        <v>0</v>
      </c>
      <c r="U87" s="59">
        <v>-5662</v>
      </c>
      <c r="V87" s="33">
        <v>0</v>
      </c>
      <c r="W87" s="33">
        <v>0</v>
      </c>
      <c r="X87" s="33"/>
      <c r="Y87" s="33"/>
      <c r="Z87" s="42"/>
      <c r="AA87" s="60"/>
      <c r="AB87" s="105"/>
      <c r="AC87" s="93"/>
      <c r="AD87" s="33">
        <v>0</v>
      </c>
      <c r="AE87" s="33">
        <v>0</v>
      </c>
      <c r="AF87" s="101">
        <v>5662</v>
      </c>
    </row>
    <row r="88" spans="2:32" ht="13" hidden="1" outlineLevel="1" x14ac:dyDescent="0.3">
      <c r="B88" s="31" t="s">
        <v>119</v>
      </c>
      <c r="C88" s="33">
        <v>0</v>
      </c>
      <c r="D88" s="33">
        <v>0</v>
      </c>
      <c r="E88" s="23">
        <v>0</v>
      </c>
      <c r="F88" s="23">
        <v>0</v>
      </c>
      <c r="G88" s="23">
        <v>0</v>
      </c>
      <c r="H88" s="23">
        <v>0</v>
      </c>
      <c r="I88" s="23">
        <v>0</v>
      </c>
      <c r="J88" s="23">
        <v>0</v>
      </c>
      <c r="K88" s="23">
        <v>0</v>
      </c>
      <c r="L88" s="33">
        <v>0</v>
      </c>
      <c r="M88" s="33">
        <v>0</v>
      </c>
      <c r="N88" s="33">
        <v>0</v>
      </c>
      <c r="O88" s="33">
        <v>0</v>
      </c>
      <c r="P88" s="33">
        <v>0</v>
      </c>
      <c r="Q88" s="33">
        <v>0</v>
      </c>
      <c r="R88" s="33">
        <v>0</v>
      </c>
      <c r="S88" s="33">
        <v>0</v>
      </c>
      <c r="T88" s="38" t="s">
        <v>42</v>
      </c>
      <c r="U88" s="59">
        <v>0</v>
      </c>
      <c r="V88" s="33">
        <v>0</v>
      </c>
      <c r="W88" s="33">
        <v>0</v>
      </c>
      <c r="X88" s="33"/>
      <c r="Y88" s="33"/>
      <c r="Z88" s="42"/>
      <c r="AA88" s="60"/>
      <c r="AB88" s="105"/>
      <c r="AC88" s="93"/>
      <c r="AD88" s="33">
        <v>0</v>
      </c>
      <c r="AE88" s="33">
        <v>0</v>
      </c>
      <c r="AF88" s="101">
        <v>0</v>
      </c>
    </row>
    <row r="89" spans="2:32" ht="13" hidden="1" outlineLevel="1" x14ac:dyDescent="0.3">
      <c r="B89" s="31" t="s">
        <v>120</v>
      </c>
      <c r="C89" s="33">
        <v>0</v>
      </c>
      <c r="D89" s="33">
        <v>0</v>
      </c>
      <c r="E89" s="23">
        <v>0</v>
      </c>
      <c r="F89" s="23">
        <v>0</v>
      </c>
      <c r="G89" s="23">
        <v>0</v>
      </c>
      <c r="H89" s="23">
        <v>0</v>
      </c>
      <c r="I89" s="23">
        <v>0</v>
      </c>
      <c r="J89" s="23">
        <v>0</v>
      </c>
      <c r="K89" s="23">
        <v>0</v>
      </c>
      <c r="L89" s="33">
        <v>0</v>
      </c>
      <c r="M89" s="33">
        <v>0</v>
      </c>
      <c r="N89" s="33">
        <v>0</v>
      </c>
      <c r="O89" s="33">
        <v>0</v>
      </c>
      <c r="P89" s="33">
        <v>0</v>
      </c>
      <c r="Q89" s="33">
        <v>0</v>
      </c>
      <c r="R89" s="33">
        <v>0</v>
      </c>
      <c r="S89" s="33">
        <v>0</v>
      </c>
      <c r="T89" s="38" t="s">
        <v>42</v>
      </c>
      <c r="U89" s="59">
        <v>0</v>
      </c>
      <c r="V89" s="33">
        <v>0</v>
      </c>
      <c r="W89" s="33">
        <v>0</v>
      </c>
      <c r="X89" s="33"/>
      <c r="Y89" s="33"/>
      <c r="Z89" s="42"/>
      <c r="AA89" s="60"/>
      <c r="AB89" s="105"/>
      <c r="AC89" s="93"/>
      <c r="AD89" s="33">
        <v>0</v>
      </c>
      <c r="AE89" s="33">
        <v>0</v>
      </c>
      <c r="AF89" s="101">
        <v>0</v>
      </c>
    </row>
    <row r="90" spans="2:32" ht="13" hidden="1" outlineLevel="1" x14ac:dyDescent="0.3">
      <c r="B90" s="31" t="s">
        <v>121</v>
      </c>
      <c r="C90" s="33">
        <v>0</v>
      </c>
      <c r="D90" s="33">
        <v>0</v>
      </c>
      <c r="E90" s="23">
        <v>0</v>
      </c>
      <c r="F90" s="23">
        <v>0</v>
      </c>
      <c r="G90" s="23">
        <v>0</v>
      </c>
      <c r="H90" s="23">
        <v>0</v>
      </c>
      <c r="I90" s="23">
        <v>0</v>
      </c>
      <c r="J90" s="23">
        <v>0</v>
      </c>
      <c r="K90" s="23">
        <v>0</v>
      </c>
      <c r="L90" s="33">
        <v>0</v>
      </c>
      <c r="M90" s="33">
        <v>0</v>
      </c>
      <c r="N90" s="33">
        <v>0</v>
      </c>
      <c r="O90" s="33">
        <v>0</v>
      </c>
      <c r="P90" s="33">
        <v>0</v>
      </c>
      <c r="Q90" s="33">
        <v>0</v>
      </c>
      <c r="R90" s="33">
        <v>0</v>
      </c>
      <c r="S90" s="33">
        <v>0</v>
      </c>
      <c r="T90" s="38" t="s">
        <v>42</v>
      </c>
      <c r="U90" s="59">
        <v>0</v>
      </c>
      <c r="V90" s="33">
        <v>0</v>
      </c>
      <c r="W90" s="33">
        <v>0</v>
      </c>
      <c r="X90" s="33"/>
      <c r="Y90" s="33"/>
      <c r="Z90" s="42"/>
      <c r="AA90" s="60"/>
      <c r="AB90" s="105"/>
      <c r="AC90" s="93"/>
      <c r="AD90" s="33">
        <v>0</v>
      </c>
      <c r="AE90" s="33">
        <v>0</v>
      </c>
      <c r="AF90" s="101">
        <v>0</v>
      </c>
    </row>
    <row r="91" spans="2:32" ht="13" hidden="1" outlineLevel="1" x14ac:dyDescent="0.3">
      <c r="B91" s="31" t="s">
        <v>122</v>
      </c>
      <c r="C91" s="33">
        <v>0</v>
      </c>
      <c r="D91" s="33">
        <v>0</v>
      </c>
      <c r="E91" s="23">
        <v>0</v>
      </c>
      <c r="F91" s="23">
        <v>0</v>
      </c>
      <c r="G91" s="23">
        <v>0</v>
      </c>
      <c r="H91" s="23">
        <v>0</v>
      </c>
      <c r="I91" s="23">
        <v>0</v>
      </c>
      <c r="J91" s="23">
        <v>0</v>
      </c>
      <c r="K91" s="23">
        <v>0</v>
      </c>
      <c r="L91" s="33">
        <v>0</v>
      </c>
      <c r="M91" s="33">
        <v>0</v>
      </c>
      <c r="N91" s="33">
        <v>0</v>
      </c>
      <c r="O91" s="33">
        <v>0</v>
      </c>
      <c r="P91" s="33">
        <v>0</v>
      </c>
      <c r="Q91" s="33">
        <v>0</v>
      </c>
      <c r="R91" s="33">
        <v>0</v>
      </c>
      <c r="S91" s="33">
        <v>0</v>
      </c>
      <c r="T91" s="38" t="s">
        <v>42</v>
      </c>
      <c r="U91" s="59">
        <v>0</v>
      </c>
      <c r="V91" s="33">
        <v>0</v>
      </c>
      <c r="W91" s="33">
        <v>0</v>
      </c>
      <c r="X91" s="33"/>
      <c r="Y91" s="33"/>
      <c r="Z91" s="42"/>
      <c r="AA91" s="60"/>
      <c r="AB91" s="105"/>
      <c r="AC91" s="93"/>
      <c r="AD91" s="33">
        <v>0</v>
      </c>
      <c r="AE91" s="33">
        <v>0</v>
      </c>
      <c r="AF91" s="101">
        <v>0</v>
      </c>
    </row>
    <row r="92" spans="2:32" ht="13" hidden="1" outlineLevel="1" x14ac:dyDescent="0.3">
      <c r="B92" s="31" t="s">
        <v>123</v>
      </c>
      <c r="C92" s="33">
        <v>0</v>
      </c>
      <c r="D92" s="33">
        <v>0</v>
      </c>
      <c r="E92" s="23">
        <v>0</v>
      </c>
      <c r="F92" s="23">
        <v>0</v>
      </c>
      <c r="G92" s="23">
        <v>0</v>
      </c>
      <c r="H92" s="23">
        <v>0</v>
      </c>
      <c r="I92" s="23">
        <v>0</v>
      </c>
      <c r="J92" s="23">
        <v>0</v>
      </c>
      <c r="K92" s="23">
        <v>0</v>
      </c>
      <c r="L92" s="33">
        <v>0</v>
      </c>
      <c r="M92" s="33">
        <v>0</v>
      </c>
      <c r="N92" s="33">
        <v>0</v>
      </c>
      <c r="O92" s="33">
        <v>0</v>
      </c>
      <c r="P92" s="33">
        <v>0</v>
      </c>
      <c r="Q92" s="33">
        <v>0</v>
      </c>
      <c r="R92" s="33">
        <v>0</v>
      </c>
      <c r="S92" s="33">
        <v>0</v>
      </c>
      <c r="T92" s="38" t="s">
        <v>42</v>
      </c>
      <c r="U92" s="59">
        <v>0</v>
      </c>
      <c r="V92" s="33">
        <v>0</v>
      </c>
      <c r="W92" s="33">
        <v>0</v>
      </c>
      <c r="X92" s="33"/>
      <c r="Y92" s="33"/>
      <c r="Z92" s="42"/>
      <c r="AA92" s="60"/>
      <c r="AB92" s="105"/>
      <c r="AC92" s="93"/>
      <c r="AD92" s="33">
        <v>0</v>
      </c>
      <c r="AE92" s="33">
        <v>0</v>
      </c>
      <c r="AF92" s="101">
        <v>0</v>
      </c>
    </row>
    <row r="93" spans="2:32" ht="13" outlineLevel="1" x14ac:dyDescent="0.3">
      <c r="B93" s="31" t="s">
        <v>124</v>
      </c>
      <c r="C93" s="33">
        <v>0</v>
      </c>
      <c r="D93" s="33">
        <v>0</v>
      </c>
      <c r="E93" s="23">
        <v>0</v>
      </c>
      <c r="F93" s="23">
        <v>0</v>
      </c>
      <c r="G93" s="23">
        <v>0</v>
      </c>
      <c r="H93" s="23">
        <v>0</v>
      </c>
      <c r="I93" s="23">
        <v>0</v>
      </c>
      <c r="J93" s="23">
        <v>0</v>
      </c>
      <c r="K93" s="23">
        <v>0</v>
      </c>
      <c r="L93" s="33">
        <v>0</v>
      </c>
      <c r="M93" s="33">
        <v>0</v>
      </c>
      <c r="N93" s="33">
        <v>0</v>
      </c>
      <c r="O93" s="33">
        <v>0</v>
      </c>
      <c r="P93" s="33">
        <v>0</v>
      </c>
      <c r="Q93" s="33">
        <v>0</v>
      </c>
      <c r="R93" s="33">
        <v>0</v>
      </c>
      <c r="S93" s="33">
        <v>0</v>
      </c>
      <c r="T93" s="38" t="s">
        <v>42</v>
      </c>
      <c r="U93" s="59">
        <v>0</v>
      </c>
      <c r="V93" s="33">
        <v>0</v>
      </c>
      <c r="W93" s="33">
        <v>0</v>
      </c>
      <c r="X93" s="33"/>
      <c r="Y93" s="33"/>
      <c r="Z93" s="42"/>
      <c r="AA93" s="60"/>
      <c r="AB93" s="105"/>
      <c r="AC93" s="93"/>
      <c r="AD93" s="33">
        <v>0</v>
      </c>
      <c r="AE93" s="33">
        <v>0</v>
      </c>
      <c r="AF93" s="101">
        <v>0</v>
      </c>
    </row>
    <row r="94" spans="2:32" ht="13" outlineLevel="1" x14ac:dyDescent="0.3">
      <c r="B94" s="31" t="s">
        <v>125</v>
      </c>
      <c r="C94" s="33">
        <v>0</v>
      </c>
      <c r="D94" s="33">
        <v>0</v>
      </c>
      <c r="E94" s="23">
        <v>0</v>
      </c>
      <c r="F94" s="23">
        <v>0</v>
      </c>
      <c r="G94" s="23">
        <v>0</v>
      </c>
      <c r="H94" s="23">
        <v>0</v>
      </c>
      <c r="I94" s="23">
        <v>0</v>
      </c>
      <c r="J94" s="23">
        <v>0</v>
      </c>
      <c r="K94" s="23">
        <v>0</v>
      </c>
      <c r="L94" s="33">
        <v>0</v>
      </c>
      <c r="M94" s="33">
        <v>0</v>
      </c>
      <c r="N94" s="33">
        <v>0</v>
      </c>
      <c r="O94" s="33">
        <v>-1079</v>
      </c>
      <c r="P94" s="33">
        <v>0</v>
      </c>
      <c r="Q94" s="33">
        <v>-1079</v>
      </c>
      <c r="R94" s="33">
        <v>0</v>
      </c>
      <c r="S94" s="33">
        <v>-1079</v>
      </c>
      <c r="T94" s="38" t="s">
        <v>42</v>
      </c>
      <c r="U94" s="59">
        <v>0</v>
      </c>
      <c r="V94" s="33">
        <v>0</v>
      </c>
      <c r="W94" s="33">
        <v>0</v>
      </c>
      <c r="X94" s="33"/>
      <c r="Y94" s="33"/>
      <c r="Z94" s="42"/>
      <c r="AA94" s="60"/>
      <c r="AB94" s="105"/>
      <c r="AC94" s="93"/>
      <c r="AD94" s="33">
        <v>0</v>
      </c>
      <c r="AE94" s="33">
        <v>-1079</v>
      </c>
      <c r="AF94" s="101">
        <v>-1079</v>
      </c>
    </row>
    <row r="95" spans="2:32" ht="13" hidden="1" outlineLevel="1" x14ac:dyDescent="0.3">
      <c r="B95" s="31" t="s">
        <v>126</v>
      </c>
      <c r="C95" s="33">
        <v>0</v>
      </c>
      <c r="D95" s="33">
        <v>0</v>
      </c>
      <c r="E95" s="23">
        <v>0</v>
      </c>
      <c r="F95" s="23">
        <v>0</v>
      </c>
      <c r="G95" s="23">
        <v>0</v>
      </c>
      <c r="H95" s="23">
        <v>0</v>
      </c>
      <c r="I95" s="23">
        <v>0</v>
      </c>
      <c r="J95" s="23">
        <v>0</v>
      </c>
      <c r="K95" s="23">
        <v>0</v>
      </c>
      <c r="L95" s="33">
        <v>0</v>
      </c>
      <c r="M95" s="33">
        <v>0</v>
      </c>
      <c r="N95" s="33">
        <v>0</v>
      </c>
      <c r="O95" s="33">
        <v>1079</v>
      </c>
      <c r="P95" s="33">
        <v>0</v>
      </c>
      <c r="Q95" s="33">
        <v>1079</v>
      </c>
      <c r="R95" s="33">
        <v>0</v>
      </c>
      <c r="S95" s="33">
        <v>1079</v>
      </c>
      <c r="T95" s="38" t="s">
        <v>42</v>
      </c>
      <c r="U95" s="59">
        <v>0</v>
      </c>
      <c r="V95" s="33">
        <v>0</v>
      </c>
      <c r="W95" s="33">
        <v>0</v>
      </c>
      <c r="X95" s="33"/>
      <c r="Y95" s="33"/>
      <c r="Z95" s="42"/>
      <c r="AA95" s="60"/>
      <c r="AB95" s="105"/>
      <c r="AC95" s="93"/>
      <c r="AD95" s="33">
        <v>0</v>
      </c>
      <c r="AE95" s="33">
        <v>1079</v>
      </c>
      <c r="AF95" s="101">
        <v>1079</v>
      </c>
    </row>
    <row r="96" spans="2:32" ht="13" hidden="1" outlineLevel="1" x14ac:dyDescent="0.3">
      <c r="B96" s="31" t="s">
        <v>127</v>
      </c>
      <c r="C96" s="33">
        <v>0</v>
      </c>
      <c r="D96" s="33">
        <v>0</v>
      </c>
      <c r="E96" s="23">
        <v>0</v>
      </c>
      <c r="F96" s="23">
        <v>0</v>
      </c>
      <c r="G96" s="23">
        <v>0</v>
      </c>
      <c r="H96" s="23">
        <v>0</v>
      </c>
      <c r="I96" s="23">
        <v>0</v>
      </c>
      <c r="J96" s="23">
        <v>0</v>
      </c>
      <c r="K96" s="23">
        <v>0</v>
      </c>
      <c r="L96" s="33">
        <v>0</v>
      </c>
      <c r="M96" s="33">
        <v>0</v>
      </c>
      <c r="N96" s="33">
        <v>0</v>
      </c>
      <c r="O96" s="33">
        <v>0</v>
      </c>
      <c r="P96" s="33">
        <v>0</v>
      </c>
      <c r="Q96" s="33">
        <v>0</v>
      </c>
      <c r="R96" s="33">
        <v>0</v>
      </c>
      <c r="S96" s="33">
        <v>0</v>
      </c>
      <c r="T96" s="38" t="s">
        <v>42</v>
      </c>
      <c r="U96" s="59">
        <v>0</v>
      </c>
      <c r="V96" s="33">
        <v>0</v>
      </c>
      <c r="W96" s="33">
        <v>0</v>
      </c>
      <c r="X96" s="33"/>
      <c r="Y96" s="33"/>
      <c r="Z96" s="42"/>
      <c r="AA96" s="60"/>
      <c r="AB96" s="105"/>
      <c r="AC96" s="93"/>
      <c r="AD96" s="33">
        <v>0</v>
      </c>
      <c r="AE96" s="33">
        <v>0</v>
      </c>
      <c r="AF96" s="101">
        <v>0</v>
      </c>
    </row>
    <row r="97" spans="2:32" ht="13" hidden="1" outlineLevel="1" x14ac:dyDescent="0.3">
      <c r="B97" s="31" t="s">
        <v>128</v>
      </c>
      <c r="C97" s="33">
        <v>0</v>
      </c>
      <c r="D97" s="33">
        <v>0</v>
      </c>
      <c r="E97" s="23">
        <v>0</v>
      </c>
      <c r="F97" s="23">
        <v>0</v>
      </c>
      <c r="G97" s="23">
        <v>0</v>
      </c>
      <c r="H97" s="23">
        <v>0</v>
      </c>
      <c r="I97" s="23">
        <v>0</v>
      </c>
      <c r="J97" s="23">
        <v>0</v>
      </c>
      <c r="K97" s="23">
        <v>0</v>
      </c>
      <c r="L97" s="33">
        <v>0</v>
      </c>
      <c r="M97" s="33">
        <v>0</v>
      </c>
      <c r="N97" s="33">
        <v>0</v>
      </c>
      <c r="O97" s="33">
        <v>0</v>
      </c>
      <c r="P97" s="33">
        <v>0</v>
      </c>
      <c r="Q97" s="33">
        <v>0</v>
      </c>
      <c r="R97" s="33">
        <v>0</v>
      </c>
      <c r="S97" s="33">
        <v>0</v>
      </c>
      <c r="T97" s="38" t="s">
        <v>42</v>
      </c>
      <c r="U97" s="59">
        <v>0</v>
      </c>
      <c r="V97" s="33">
        <v>0</v>
      </c>
      <c r="W97" s="33">
        <v>0</v>
      </c>
      <c r="X97" s="33"/>
      <c r="Y97" s="33"/>
      <c r="Z97" s="42"/>
      <c r="AA97" s="60"/>
      <c r="AB97" s="105"/>
      <c r="AC97" s="93"/>
      <c r="AD97" s="33">
        <v>0</v>
      </c>
      <c r="AE97" s="33">
        <v>0</v>
      </c>
      <c r="AF97" s="101">
        <v>0</v>
      </c>
    </row>
    <row r="98" spans="2:32" ht="13" hidden="1" outlineLevel="1" x14ac:dyDescent="0.3">
      <c r="B98" s="31" t="s">
        <v>129</v>
      </c>
      <c r="C98" s="33">
        <v>0</v>
      </c>
      <c r="D98" s="33">
        <v>0</v>
      </c>
      <c r="E98" s="23">
        <v>0</v>
      </c>
      <c r="F98" s="23">
        <v>0</v>
      </c>
      <c r="G98" s="23">
        <v>0</v>
      </c>
      <c r="H98" s="23">
        <v>0</v>
      </c>
      <c r="I98" s="23">
        <v>0</v>
      </c>
      <c r="J98" s="23">
        <v>0</v>
      </c>
      <c r="K98" s="23">
        <v>0</v>
      </c>
      <c r="L98" s="33">
        <v>0</v>
      </c>
      <c r="M98" s="33">
        <v>0</v>
      </c>
      <c r="N98" s="33">
        <v>0</v>
      </c>
      <c r="O98" s="33">
        <v>0</v>
      </c>
      <c r="P98" s="33">
        <v>0</v>
      </c>
      <c r="Q98" s="33">
        <v>0</v>
      </c>
      <c r="R98" s="33">
        <v>0</v>
      </c>
      <c r="S98" s="33">
        <v>0</v>
      </c>
      <c r="T98" s="38" t="s">
        <v>42</v>
      </c>
      <c r="U98" s="59">
        <v>0</v>
      </c>
      <c r="V98" s="33">
        <v>0</v>
      </c>
      <c r="W98" s="33">
        <v>0</v>
      </c>
      <c r="X98" s="33"/>
      <c r="Y98" s="33"/>
      <c r="Z98" s="42"/>
      <c r="AA98" s="60"/>
      <c r="AB98" s="105"/>
      <c r="AC98" s="93"/>
      <c r="AD98" s="33">
        <v>0</v>
      </c>
      <c r="AE98" s="33">
        <v>0</v>
      </c>
      <c r="AF98" s="101">
        <v>0</v>
      </c>
    </row>
    <row r="99" spans="2:32" ht="13" hidden="1" outlineLevel="1" x14ac:dyDescent="0.3">
      <c r="B99" s="31" t="s">
        <v>130</v>
      </c>
      <c r="C99" s="33">
        <v>0</v>
      </c>
      <c r="D99" s="33">
        <v>0</v>
      </c>
      <c r="E99" s="23">
        <v>0</v>
      </c>
      <c r="F99" s="23">
        <v>0</v>
      </c>
      <c r="G99" s="23">
        <v>0</v>
      </c>
      <c r="H99" s="23">
        <v>0</v>
      </c>
      <c r="I99" s="23">
        <v>0</v>
      </c>
      <c r="J99" s="23">
        <v>0</v>
      </c>
      <c r="K99" s="23">
        <v>0</v>
      </c>
      <c r="L99" s="33">
        <v>0</v>
      </c>
      <c r="M99" s="33">
        <v>0</v>
      </c>
      <c r="N99" s="33">
        <v>0</v>
      </c>
      <c r="O99" s="33">
        <v>0</v>
      </c>
      <c r="P99" s="33">
        <v>0</v>
      </c>
      <c r="Q99" s="33">
        <v>0</v>
      </c>
      <c r="R99" s="33">
        <v>0</v>
      </c>
      <c r="S99" s="33">
        <v>0</v>
      </c>
      <c r="T99" s="38" t="s">
        <v>42</v>
      </c>
      <c r="U99" s="59">
        <v>0</v>
      </c>
      <c r="V99" s="33">
        <v>0</v>
      </c>
      <c r="W99" s="33">
        <v>0</v>
      </c>
      <c r="X99" s="33"/>
      <c r="Y99" s="33"/>
      <c r="Z99" s="42"/>
      <c r="AA99" s="60"/>
      <c r="AB99" s="105"/>
      <c r="AC99" s="93"/>
      <c r="AD99" s="33">
        <v>0</v>
      </c>
      <c r="AE99" s="33">
        <v>0</v>
      </c>
      <c r="AF99" s="101">
        <v>0</v>
      </c>
    </row>
    <row r="100" spans="2:32" ht="13" outlineLevel="1" x14ac:dyDescent="0.3">
      <c r="B100" s="31" t="s">
        <v>131</v>
      </c>
      <c r="C100" s="33">
        <v>0</v>
      </c>
      <c r="D100" s="33">
        <v>0</v>
      </c>
      <c r="E100" s="23">
        <v>0</v>
      </c>
      <c r="F100" s="23">
        <v>0</v>
      </c>
      <c r="G100" s="23">
        <v>0</v>
      </c>
      <c r="H100" s="23">
        <v>0</v>
      </c>
      <c r="I100" s="23">
        <v>0</v>
      </c>
      <c r="J100" s="23">
        <v>0</v>
      </c>
      <c r="K100" s="23">
        <v>0</v>
      </c>
      <c r="L100" s="33">
        <v>0</v>
      </c>
      <c r="M100" s="33">
        <v>0</v>
      </c>
      <c r="N100" s="33">
        <v>0</v>
      </c>
      <c r="O100" s="33">
        <v>0</v>
      </c>
      <c r="P100" s="33">
        <v>0</v>
      </c>
      <c r="Q100" s="33">
        <v>0</v>
      </c>
      <c r="R100" s="33">
        <v>0</v>
      </c>
      <c r="S100" s="33">
        <v>0</v>
      </c>
      <c r="T100" s="38" t="s">
        <v>42</v>
      </c>
      <c r="U100" s="59">
        <v>0</v>
      </c>
      <c r="V100" s="33">
        <v>0</v>
      </c>
      <c r="W100" s="33">
        <v>0</v>
      </c>
      <c r="X100" s="33"/>
      <c r="Y100" s="33"/>
      <c r="Z100" s="42"/>
      <c r="AA100" s="60"/>
      <c r="AB100" s="105"/>
      <c r="AC100" s="93"/>
      <c r="AD100" s="33">
        <v>0</v>
      </c>
      <c r="AE100" s="33">
        <v>0</v>
      </c>
      <c r="AF100" s="101">
        <v>0</v>
      </c>
    </row>
    <row r="101" spans="2:32" ht="13" outlineLevel="1" x14ac:dyDescent="0.3">
      <c r="B101" s="31" t="s">
        <v>132</v>
      </c>
      <c r="C101" s="33">
        <v>14098</v>
      </c>
      <c r="D101" s="33">
        <v>14098</v>
      </c>
      <c r="E101" s="23">
        <v>0</v>
      </c>
      <c r="F101" s="23">
        <v>0</v>
      </c>
      <c r="G101" s="23">
        <v>0</v>
      </c>
      <c r="H101" s="23">
        <v>0</v>
      </c>
      <c r="I101" s="23">
        <v>0</v>
      </c>
      <c r="J101" s="23">
        <v>0</v>
      </c>
      <c r="K101" s="23">
        <v>0</v>
      </c>
      <c r="L101" s="33">
        <v>0</v>
      </c>
      <c r="M101" s="33">
        <v>0</v>
      </c>
      <c r="N101" s="33">
        <v>14098</v>
      </c>
      <c r="O101" s="33">
        <v>1</v>
      </c>
      <c r="P101" s="33">
        <v>0</v>
      </c>
      <c r="Q101" s="33">
        <v>1</v>
      </c>
      <c r="R101" s="33">
        <v>0</v>
      </c>
      <c r="S101" s="33">
        <v>1</v>
      </c>
      <c r="T101" s="38">
        <v>7.0932047098879272E-5</v>
      </c>
      <c r="U101" s="59">
        <v>14098</v>
      </c>
      <c r="V101" s="33">
        <v>0</v>
      </c>
      <c r="W101" s="33">
        <v>0</v>
      </c>
      <c r="X101" s="33"/>
      <c r="Y101" s="33"/>
      <c r="Z101" s="42"/>
      <c r="AA101" s="60"/>
      <c r="AB101" s="105"/>
      <c r="AC101" s="93"/>
      <c r="AD101" s="33">
        <v>0</v>
      </c>
      <c r="AE101" s="33">
        <v>1</v>
      </c>
      <c r="AF101" s="101">
        <v>-14097</v>
      </c>
    </row>
    <row r="102" spans="2:32" ht="13" outlineLevel="1" x14ac:dyDescent="0.3">
      <c r="B102" s="31" t="s">
        <v>133</v>
      </c>
      <c r="C102" s="33">
        <v>-20561</v>
      </c>
      <c r="D102" s="33">
        <v>-20561</v>
      </c>
      <c r="E102" s="23">
        <v>0</v>
      </c>
      <c r="F102" s="23">
        <v>0</v>
      </c>
      <c r="G102" s="23">
        <v>0</v>
      </c>
      <c r="H102" s="23">
        <v>0</v>
      </c>
      <c r="I102" s="23">
        <v>0</v>
      </c>
      <c r="J102" s="23">
        <v>0</v>
      </c>
      <c r="K102" s="23">
        <v>0</v>
      </c>
      <c r="L102" s="33">
        <v>0</v>
      </c>
      <c r="M102" s="33">
        <v>0</v>
      </c>
      <c r="N102" s="33">
        <v>-20561</v>
      </c>
      <c r="O102" s="33">
        <v>0</v>
      </c>
      <c r="P102" s="33">
        <v>0</v>
      </c>
      <c r="Q102" s="33">
        <v>0</v>
      </c>
      <c r="R102" s="33">
        <v>0</v>
      </c>
      <c r="S102" s="33">
        <v>0</v>
      </c>
      <c r="T102" s="38">
        <v>0</v>
      </c>
      <c r="U102" s="59">
        <v>-20561</v>
      </c>
      <c r="V102" s="33">
        <v>0</v>
      </c>
      <c r="W102" s="33">
        <v>0</v>
      </c>
      <c r="X102" s="33"/>
      <c r="Y102" s="33"/>
      <c r="Z102" s="42"/>
      <c r="AA102" s="60"/>
      <c r="AB102" s="105"/>
      <c r="AC102" s="93"/>
      <c r="AD102" s="33">
        <v>0</v>
      </c>
      <c r="AE102" s="33">
        <v>0</v>
      </c>
      <c r="AF102" s="101">
        <v>20561</v>
      </c>
    </row>
    <row r="103" spans="2:32" ht="13.5" outlineLevel="1" thickBot="1" x14ac:dyDescent="0.35">
      <c r="B103" s="80" t="s">
        <v>134</v>
      </c>
      <c r="C103" s="81">
        <v>-3149</v>
      </c>
      <c r="D103" s="81">
        <v>-3149</v>
      </c>
      <c r="E103" s="82">
        <v>0</v>
      </c>
      <c r="F103" s="82">
        <v>0</v>
      </c>
      <c r="G103" s="82">
        <v>0</v>
      </c>
      <c r="H103" s="82">
        <v>0</v>
      </c>
      <c r="I103" s="82">
        <v>0</v>
      </c>
      <c r="J103" s="82">
        <v>0</v>
      </c>
      <c r="K103" s="82">
        <v>0</v>
      </c>
      <c r="L103" s="81">
        <v>0</v>
      </c>
      <c r="M103" s="81">
        <v>0</v>
      </c>
      <c r="N103" s="81">
        <v>-3149</v>
      </c>
      <c r="O103" s="81">
        <v>0</v>
      </c>
      <c r="P103" s="81">
        <v>-1049</v>
      </c>
      <c r="Q103" s="81">
        <v>-1049</v>
      </c>
      <c r="R103" s="81">
        <v>-1574</v>
      </c>
      <c r="S103" s="81">
        <v>525</v>
      </c>
      <c r="T103" s="81">
        <v>0.33312162591298827</v>
      </c>
      <c r="U103" s="83">
        <v>-3149</v>
      </c>
      <c r="V103" s="81">
        <v>0</v>
      </c>
      <c r="W103" s="81">
        <v>0</v>
      </c>
      <c r="X103" s="81"/>
      <c r="Y103" s="81"/>
      <c r="Z103" s="84"/>
      <c r="AA103" s="60"/>
      <c r="AB103" s="98"/>
      <c r="AC103" s="36"/>
      <c r="AD103" s="36">
        <v>0</v>
      </c>
      <c r="AE103" s="36">
        <v>-1049</v>
      </c>
      <c r="AF103" s="99">
        <v>2100</v>
      </c>
    </row>
    <row r="104" spans="2:32" ht="13.5" thickBot="1" x14ac:dyDescent="0.35">
      <c r="B104" s="68"/>
      <c r="C104" s="69"/>
      <c r="D104" s="69"/>
      <c r="E104" s="77"/>
      <c r="F104" s="77"/>
      <c r="G104" s="77"/>
      <c r="H104" s="77"/>
      <c r="I104" s="77"/>
      <c r="J104" s="77"/>
      <c r="K104" s="77"/>
      <c r="L104" s="69"/>
      <c r="M104" s="69"/>
      <c r="N104" s="69"/>
      <c r="O104" s="69"/>
      <c r="P104" s="69"/>
      <c r="Q104" s="69"/>
      <c r="R104" s="69"/>
      <c r="S104" s="69"/>
      <c r="T104" s="70"/>
      <c r="U104" s="76"/>
      <c r="V104" s="69"/>
      <c r="W104" s="69"/>
      <c r="X104" s="69"/>
      <c r="Y104" s="69"/>
      <c r="Z104" s="69"/>
      <c r="AA104" s="60"/>
      <c r="AB104" s="69"/>
      <c r="AC104" s="69"/>
      <c r="AD104" s="69"/>
      <c r="AE104" s="69"/>
      <c r="AF104" s="69"/>
    </row>
    <row r="105" spans="2:32" ht="13.5" thickTop="1" x14ac:dyDescent="0.3">
      <c r="B105" s="71" t="s">
        <v>135</v>
      </c>
      <c r="C105" s="72">
        <v>-9612</v>
      </c>
      <c r="D105" s="72">
        <v>-9612</v>
      </c>
      <c r="E105" s="73">
        <v>0</v>
      </c>
      <c r="F105" s="73">
        <v>0</v>
      </c>
      <c r="G105" s="73">
        <v>0</v>
      </c>
      <c r="H105" s="73">
        <v>0</v>
      </c>
      <c r="I105" s="73">
        <v>0</v>
      </c>
      <c r="J105" s="73">
        <v>0</v>
      </c>
      <c r="K105" s="73">
        <v>0</v>
      </c>
      <c r="L105" s="72">
        <v>0</v>
      </c>
      <c r="M105" s="72">
        <v>0</v>
      </c>
      <c r="N105" s="72">
        <v>-9612</v>
      </c>
      <c r="O105" s="72">
        <v>1</v>
      </c>
      <c r="P105" s="72">
        <v>-1049</v>
      </c>
      <c r="Q105" s="72">
        <v>-1048</v>
      </c>
      <c r="R105" s="72">
        <v>-4403</v>
      </c>
      <c r="S105" s="72">
        <v>3355</v>
      </c>
      <c r="T105" s="72">
        <v>0.10903037869330004</v>
      </c>
      <c r="U105" s="74">
        <v>-9612</v>
      </c>
      <c r="V105" s="72">
        <v>0</v>
      </c>
      <c r="W105" s="72">
        <v>0</v>
      </c>
      <c r="X105" s="72">
        <v>0</v>
      </c>
      <c r="Y105" s="72">
        <v>0</v>
      </c>
      <c r="Z105" s="75">
        <v>0</v>
      </c>
      <c r="AA105" s="60"/>
      <c r="AB105" s="71">
        <v>0</v>
      </c>
      <c r="AC105" s="72">
        <v>0</v>
      </c>
      <c r="AD105" s="72">
        <v>0</v>
      </c>
      <c r="AE105" s="72">
        <v>-1048</v>
      </c>
      <c r="AF105" s="75">
        <v>8564</v>
      </c>
    </row>
    <row r="106" spans="2:32" ht="13" x14ac:dyDescent="0.3">
      <c r="B106" s="78"/>
      <c r="C106" s="34"/>
      <c r="D106" s="34"/>
      <c r="E106" s="24"/>
      <c r="F106" s="24"/>
      <c r="G106" s="24"/>
      <c r="H106" s="24"/>
      <c r="I106" s="24"/>
      <c r="J106" s="24"/>
      <c r="K106" s="24"/>
      <c r="L106" s="34"/>
      <c r="M106" s="34"/>
      <c r="N106" s="34"/>
      <c r="O106" s="34"/>
      <c r="P106" s="34"/>
      <c r="Q106" s="34"/>
      <c r="R106" s="34"/>
      <c r="S106" s="34"/>
      <c r="T106" s="94"/>
      <c r="U106" s="95"/>
      <c r="V106" s="34"/>
      <c r="W106" s="34"/>
      <c r="X106" s="34"/>
      <c r="Y106" s="34"/>
      <c r="Z106" s="41"/>
      <c r="AA106" s="60"/>
      <c r="AB106" s="100"/>
      <c r="AC106" s="33"/>
      <c r="AD106" s="33"/>
      <c r="AE106" s="33"/>
      <c r="AF106" s="101"/>
    </row>
    <row r="107" spans="2:32" ht="13" outlineLevel="1" x14ac:dyDescent="0.3">
      <c r="B107" s="79" t="s">
        <v>136</v>
      </c>
      <c r="C107" s="33">
        <v>-2614</v>
      </c>
      <c r="D107" s="33">
        <v>-1614</v>
      </c>
      <c r="E107" s="23">
        <v>0</v>
      </c>
      <c r="F107" s="23">
        <v>0</v>
      </c>
      <c r="G107" s="23">
        <v>1000</v>
      </c>
      <c r="H107" s="23">
        <v>0</v>
      </c>
      <c r="I107" s="23">
        <v>0</v>
      </c>
      <c r="J107" s="23">
        <v>0</v>
      </c>
      <c r="K107" s="23">
        <v>1000</v>
      </c>
      <c r="L107" s="33">
        <v>0</v>
      </c>
      <c r="M107" s="33">
        <v>1000</v>
      </c>
      <c r="N107" s="33">
        <v>-1614</v>
      </c>
      <c r="O107" s="33">
        <v>18519</v>
      </c>
      <c r="P107" s="33">
        <v>3119</v>
      </c>
      <c r="Q107" s="33">
        <v>21639</v>
      </c>
      <c r="R107" s="33">
        <v>-2338</v>
      </c>
      <c r="S107" s="33">
        <v>23977</v>
      </c>
      <c r="T107" s="38">
        <v>-13.407063197026023</v>
      </c>
      <c r="U107" s="59">
        <v>-1614</v>
      </c>
      <c r="V107" s="33">
        <v>0</v>
      </c>
      <c r="W107" s="33">
        <v>0</v>
      </c>
      <c r="X107" s="33"/>
      <c r="Y107" s="33"/>
      <c r="Z107" s="42"/>
      <c r="AA107" s="60"/>
      <c r="AB107" s="105">
        <v>0</v>
      </c>
      <c r="AC107" s="93">
        <v>0</v>
      </c>
      <c r="AD107" s="33">
        <v>0</v>
      </c>
      <c r="AE107" s="33">
        <v>21639</v>
      </c>
      <c r="AF107" s="101">
        <v>23253</v>
      </c>
    </row>
    <row r="108" spans="2:32" ht="13" outlineLevel="1" x14ac:dyDescent="0.3">
      <c r="B108" s="79" t="s">
        <v>137</v>
      </c>
      <c r="C108" s="33">
        <v>380</v>
      </c>
      <c r="D108" s="33">
        <v>1380</v>
      </c>
      <c r="E108" s="23">
        <v>0</v>
      </c>
      <c r="F108" s="23">
        <v>0</v>
      </c>
      <c r="G108" s="23">
        <v>1000</v>
      </c>
      <c r="H108" s="23">
        <v>0</v>
      </c>
      <c r="I108" s="23">
        <v>0</v>
      </c>
      <c r="J108" s="23">
        <v>0</v>
      </c>
      <c r="K108" s="23">
        <v>1000</v>
      </c>
      <c r="L108" s="33">
        <v>0</v>
      </c>
      <c r="M108" s="33">
        <v>1000</v>
      </c>
      <c r="N108" s="33">
        <v>1380</v>
      </c>
      <c r="O108" s="33">
        <v>18285</v>
      </c>
      <c r="P108" s="33">
        <v>3012</v>
      </c>
      <c r="Q108" s="33">
        <v>21298</v>
      </c>
      <c r="R108" s="33">
        <v>690</v>
      </c>
      <c r="S108" s="33">
        <v>20608</v>
      </c>
      <c r="T108" s="38">
        <v>15.433333333333334</v>
      </c>
      <c r="U108" s="59">
        <v>1380</v>
      </c>
      <c r="V108" s="33">
        <v>0</v>
      </c>
      <c r="W108" s="33">
        <v>0</v>
      </c>
      <c r="X108" s="33"/>
      <c r="Y108" s="33"/>
      <c r="Z108" s="42"/>
      <c r="AA108" s="60"/>
      <c r="AB108" s="105"/>
      <c r="AC108" s="93"/>
      <c r="AD108" s="33">
        <v>0</v>
      </c>
      <c r="AE108" s="33">
        <v>21298</v>
      </c>
      <c r="AF108" s="101">
        <v>19918</v>
      </c>
    </row>
    <row r="109" spans="2:32" ht="13" outlineLevel="1" x14ac:dyDescent="0.3">
      <c r="B109" s="79" t="s">
        <v>138</v>
      </c>
      <c r="C109" s="33">
        <v>3062</v>
      </c>
      <c r="D109" s="33">
        <v>3062</v>
      </c>
      <c r="E109" s="23">
        <v>0</v>
      </c>
      <c r="F109" s="23">
        <v>0</v>
      </c>
      <c r="G109" s="23">
        <v>0</v>
      </c>
      <c r="H109" s="23">
        <v>0</v>
      </c>
      <c r="I109" s="23">
        <v>0</v>
      </c>
      <c r="J109" s="23">
        <v>0</v>
      </c>
      <c r="K109" s="23">
        <v>0</v>
      </c>
      <c r="L109" s="33">
        <v>0</v>
      </c>
      <c r="M109" s="33">
        <v>0</v>
      </c>
      <c r="N109" s="33">
        <v>3062</v>
      </c>
      <c r="O109" s="33">
        <v>0</v>
      </c>
      <c r="P109" s="33">
        <v>0</v>
      </c>
      <c r="Q109" s="33">
        <v>0</v>
      </c>
      <c r="R109" s="33">
        <v>0</v>
      </c>
      <c r="S109" s="33">
        <v>0</v>
      </c>
      <c r="T109" s="38">
        <v>0</v>
      </c>
      <c r="U109" s="59">
        <v>3062</v>
      </c>
      <c r="V109" s="33">
        <v>0</v>
      </c>
      <c r="W109" s="33">
        <v>0</v>
      </c>
      <c r="X109" s="33"/>
      <c r="Y109" s="33"/>
      <c r="Z109" s="42"/>
      <c r="AA109" s="60"/>
      <c r="AB109" s="105"/>
      <c r="AC109" s="93"/>
      <c r="AD109" s="33">
        <v>0</v>
      </c>
      <c r="AE109" s="33">
        <v>0</v>
      </c>
      <c r="AF109" s="101">
        <v>-3062</v>
      </c>
    </row>
    <row r="110" spans="2:32" ht="13" outlineLevel="1" x14ac:dyDescent="0.3">
      <c r="B110" s="79" t="s">
        <v>139</v>
      </c>
      <c r="C110" s="33">
        <v>602</v>
      </c>
      <c r="D110" s="33">
        <v>602</v>
      </c>
      <c r="E110" s="23">
        <v>0</v>
      </c>
      <c r="F110" s="23">
        <v>0</v>
      </c>
      <c r="G110" s="23">
        <v>0</v>
      </c>
      <c r="H110" s="23">
        <v>0</v>
      </c>
      <c r="I110" s="23">
        <v>0</v>
      </c>
      <c r="J110" s="23">
        <v>0</v>
      </c>
      <c r="K110" s="23">
        <v>0</v>
      </c>
      <c r="L110" s="33">
        <v>0</v>
      </c>
      <c r="M110" s="33">
        <v>0</v>
      </c>
      <c r="N110" s="33">
        <v>602</v>
      </c>
      <c r="O110" s="33">
        <v>199</v>
      </c>
      <c r="P110" s="33">
        <v>0</v>
      </c>
      <c r="Q110" s="33">
        <v>199</v>
      </c>
      <c r="R110" s="33">
        <v>301</v>
      </c>
      <c r="S110" s="33">
        <v>-102</v>
      </c>
      <c r="T110" s="38">
        <v>0.33056478405315615</v>
      </c>
      <c r="U110" s="59">
        <v>602</v>
      </c>
      <c r="V110" s="33">
        <v>0</v>
      </c>
      <c r="W110" s="33">
        <v>0</v>
      </c>
      <c r="X110" s="33"/>
      <c r="Y110" s="33"/>
      <c r="Z110" s="42"/>
      <c r="AA110" s="60"/>
      <c r="AB110" s="105"/>
      <c r="AC110" s="93"/>
      <c r="AD110" s="33">
        <v>0</v>
      </c>
      <c r="AE110" s="33">
        <v>199</v>
      </c>
      <c r="AF110" s="101">
        <v>-403</v>
      </c>
    </row>
    <row r="111" spans="2:32" ht="13" outlineLevel="1" x14ac:dyDescent="0.3">
      <c r="B111" s="79" t="s">
        <v>141</v>
      </c>
      <c r="C111" s="33">
        <v>16219</v>
      </c>
      <c r="D111" s="33">
        <v>16219</v>
      </c>
      <c r="E111" s="23">
        <v>0</v>
      </c>
      <c r="F111" s="23">
        <v>0</v>
      </c>
      <c r="G111" s="23">
        <v>0</v>
      </c>
      <c r="H111" s="23">
        <v>0</v>
      </c>
      <c r="I111" s="23">
        <v>0</v>
      </c>
      <c r="J111" s="23">
        <v>0</v>
      </c>
      <c r="K111" s="23">
        <v>0</v>
      </c>
      <c r="L111" s="33">
        <v>0</v>
      </c>
      <c r="M111" s="33">
        <v>0</v>
      </c>
      <c r="N111" s="33">
        <v>16219</v>
      </c>
      <c r="O111" s="33">
        <v>35</v>
      </c>
      <c r="P111" s="33">
        <v>0</v>
      </c>
      <c r="Q111" s="33">
        <v>35</v>
      </c>
      <c r="R111" s="33">
        <v>8110</v>
      </c>
      <c r="S111" s="33">
        <v>-8075</v>
      </c>
      <c r="T111" s="38">
        <v>2.1579628830384117E-3</v>
      </c>
      <c r="U111" s="59">
        <v>16219</v>
      </c>
      <c r="V111" s="33">
        <v>0</v>
      </c>
      <c r="W111" s="33">
        <v>0</v>
      </c>
      <c r="X111" s="33"/>
      <c r="Y111" s="33"/>
      <c r="Z111" s="42"/>
      <c r="AA111" s="60"/>
      <c r="AB111" s="105"/>
      <c r="AC111" s="93"/>
      <c r="AD111" s="33">
        <v>0</v>
      </c>
      <c r="AE111" s="33">
        <v>35</v>
      </c>
      <c r="AF111" s="101">
        <v>-16184</v>
      </c>
    </row>
    <row r="112" spans="2:32" ht="13" outlineLevel="1" x14ac:dyDescent="0.3">
      <c r="B112" s="79" t="s">
        <v>142</v>
      </c>
      <c r="C112" s="33">
        <v>-7964</v>
      </c>
      <c r="D112" s="33">
        <v>-7964</v>
      </c>
      <c r="E112" s="23">
        <v>0</v>
      </c>
      <c r="F112" s="23">
        <v>0</v>
      </c>
      <c r="G112" s="23">
        <v>0</v>
      </c>
      <c r="H112" s="23">
        <v>0</v>
      </c>
      <c r="I112" s="23">
        <v>0</v>
      </c>
      <c r="J112" s="23">
        <v>0</v>
      </c>
      <c r="K112" s="23">
        <v>0</v>
      </c>
      <c r="L112" s="33">
        <v>0</v>
      </c>
      <c r="M112" s="33">
        <v>0</v>
      </c>
      <c r="N112" s="33">
        <v>-7964</v>
      </c>
      <c r="O112" s="33">
        <v>0</v>
      </c>
      <c r="P112" s="33">
        <v>283</v>
      </c>
      <c r="Q112" s="33">
        <v>283</v>
      </c>
      <c r="R112" s="33">
        <v>-3982</v>
      </c>
      <c r="S112" s="33">
        <v>4265</v>
      </c>
      <c r="T112" s="38">
        <v>-3.5534907081868405E-2</v>
      </c>
      <c r="U112" s="59">
        <v>-7964</v>
      </c>
      <c r="V112" s="33">
        <v>1500</v>
      </c>
      <c r="W112" s="33">
        <v>0</v>
      </c>
      <c r="X112" s="33"/>
      <c r="Y112" s="33"/>
      <c r="Z112" s="42"/>
      <c r="AA112" s="60"/>
      <c r="AB112" s="105"/>
      <c r="AC112" s="93"/>
      <c r="AD112" s="33">
        <v>0</v>
      </c>
      <c r="AE112" s="33">
        <v>283</v>
      </c>
      <c r="AF112" s="101">
        <v>8247</v>
      </c>
    </row>
    <row r="113" spans="2:32" ht="13" outlineLevel="1" x14ac:dyDescent="0.3">
      <c r="B113" s="79" t="s">
        <v>143</v>
      </c>
      <c r="C113" s="33">
        <v>-14548</v>
      </c>
      <c r="D113" s="33">
        <v>-14548</v>
      </c>
      <c r="E113" s="23">
        <v>0</v>
      </c>
      <c r="F113" s="23">
        <v>0</v>
      </c>
      <c r="G113" s="23">
        <v>0</v>
      </c>
      <c r="H113" s="23">
        <v>0</v>
      </c>
      <c r="I113" s="23">
        <v>0</v>
      </c>
      <c r="J113" s="23">
        <v>0</v>
      </c>
      <c r="K113" s="23">
        <v>0</v>
      </c>
      <c r="L113" s="33">
        <v>0</v>
      </c>
      <c r="M113" s="33">
        <v>0</v>
      </c>
      <c r="N113" s="33">
        <v>-14548</v>
      </c>
      <c r="O113" s="33">
        <v>0</v>
      </c>
      <c r="P113" s="33">
        <v>0</v>
      </c>
      <c r="Q113" s="33">
        <v>0</v>
      </c>
      <c r="R113" s="33">
        <v>-7274</v>
      </c>
      <c r="S113" s="33">
        <v>7274</v>
      </c>
      <c r="T113" s="38">
        <v>0</v>
      </c>
      <c r="U113" s="59">
        <v>-14548</v>
      </c>
      <c r="V113" s="33">
        <v>0</v>
      </c>
      <c r="W113" s="33">
        <v>0</v>
      </c>
      <c r="X113" s="33"/>
      <c r="Y113" s="33"/>
      <c r="Z113" s="42"/>
      <c r="AA113" s="60"/>
      <c r="AB113" s="105"/>
      <c r="AC113" s="93"/>
      <c r="AD113" s="33">
        <v>0</v>
      </c>
      <c r="AE113" s="33">
        <v>0</v>
      </c>
      <c r="AF113" s="101">
        <v>14548</v>
      </c>
    </row>
    <row r="114" spans="2:32" ht="13" outlineLevel="1" x14ac:dyDescent="0.3">
      <c r="B114" s="79" t="s">
        <v>144</v>
      </c>
      <c r="C114" s="33">
        <v>-757</v>
      </c>
      <c r="D114" s="33">
        <v>-757</v>
      </c>
      <c r="E114" s="23">
        <v>0</v>
      </c>
      <c r="F114" s="23">
        <v>0</v>
      </c>
      <c r="G114" s="23">
        <v>0</v>
      </c>
      <c r="H114" s="23">
        <v>0</v>
      </c>
      <c r="I114" s="23">
        <v>0</v>
      </c>
      <c r="J114" s="23">
        <v>0</v>
      </c>
      <c r="K114" s="23">
        <v>0</v>
      </c>
      <c r="L114" s="33">
        <v>0</v>
      </c>
      <c r="M114" s="33">
        <v>0</v>
      </c>
      <c r="N114" s="33">
        <v>-757</v>
      </c>
      <c r="O114" s="33">
        <v>0</v>
      </c>
      <c r="P114" s="33">
        <v>0</v>
      </c>
      <c r="Q114" s="33">
        <v>0</v>
      </c>
      <c r="R114" s="33">
        <v>-379</v>
      </c>
      <c r="S114" s="33">
        <v>379</v>
      </c>
      <c r="T114" s="38">
        <v>0</v>
      </c>
      <c r="U114" s="59">
        <v>-757</v>
      </c>
      <c r="V114" s="33">
        <v>0</v>
      </c>
      <c r="W114" s="33">
        <v>0</v>
      </c>
      <c r="X114" s="33"/>
      <c r="Y114" s="33"/>
      <c r="Z114" s="42"/>
      <c r="AA114" s="60"/>
      <c r="AB114" s="105"/>
      <c r="AC114" s="93"/>
      <c r="AD114" s="33">
        <v>0</v>
      </c>
      <c r="AE114" s="33">
        <v>0</v>
      </c>
      <c r="AF114" s="101">
        <v>757</v>
      </c>
    </row>
    <row r="115" spans="2:32" ht="13" outlineLevel="1" x14ac:dyDescent="0.3">
      <c r="B115" s="79" t="s">
        <v>146</v>
      </c>
      <c r="C115" s="33">
        <v>744</v>
      </c>
      <c r="D115" s="33">
        <v>744</v>
      </c>
      <c r="E115" s="23">
        <v>0</v>
      </c>
      <c r="F115" s="23">
        <v>0</v>
      </c>
      <c r="G115" s="23">
        <v>0</v>
      </c>
      <c r="H115" s="23">
        <v>0</v>
      </c>
      <c r="I115" s="23">
        <v>0</v>
      </c>
      <c r="J115" s="23">
        <v>0</v>
      </c>
      <c r="K115" s="23">
        <v>0</v>
      </c>
      <c r="L115" s="33">
        <v>0</v>
      </c>
      <c r="M115" s="33">
        <v>0</v>
      </c>
      <c r="N115" s="33">
        <v>744</v>
      </c>
      <c r="O115" s="33">
        <v>0</v>
      </c>
      <c r="P115" s="33">
        <v>0</v>
      </c>
      <c r="Q115" s="33">
        <v>0</v>
      </c>
      <c r="R115" s="33">
        <v>372</v>
      </c>
      <c r="S115" s="33">
        <v>-372</v>
      </c>
      <c r="T115" s="38">
        <v>0</v>
      </c>
      <c r="U115" s="59">
        <v>744</v>
      </c>
      <c r="V115" s="33">
        <v>0</v>
      </c>
      <c r="W115" s="33">
        <v>0</v>
      </c>
      <c r="X115" s="33"/>
      <c r="Y115" s="33"/>
      <c r="Z115" s="42"/>
      <c r="AA115" s="60"/>
      <c r="AB115" s="105"/>
      <c r="AC115" s="93"/>
      <c r="AD115" s="33">
        <v>0</v>
      </c>
      <c r="AE115" s="33">
        <v>0</v>
      </c>
      <c r="AF115" s="101">
        <v>-744</v>
      </c>
    </row>
    <row r="116" spans="2:32" ht="13" x14ac:dyDescent="0.3">
      <c r="B116" s="85" t="s">
        <v>148</v>
      </c>
      <c r="C116" s="86">
        <v>-352</v>
      </c>
      <c r="D116" s="86">
        <v>-352</v>
      </c>
      <c r="E116" s="87">
        <v>0</v>
      </c>
      <c r="F116" s="87">
        <v>0</v>
      </c>
      <c r="G116" s="87">
        <v>0</v>
      </c>
      <c r="H116" s="87">
        <v>0</v>
      </c>
      <c r="I116" s="87">
        <v>0</v>
      </c>
      <c r="J116" s="87">
        <v>0</v>
      </c>
      <c r="K116" s="87">
        <v>0</v>
      </c>
      <c r="L116" s="86">
        <v>0</v>
      </c>
      <c r="M116" s="86">
        <v>0</v>
      </c>
      <c r="N116" s="86">
        <v>-352</v>
      </c>
      <c r="O116" s="86">
        <v>0</v>
      </c>
      <c r="P116" s="86">
        <v>-176</v>
      </c>
      <c r="Q116" s="86">
        <v>-176</v>
      </c>
      <c r="R116" s="86">
        <v>-176</v>
      </c>
      <c r="S116" s="86">
        <v>0</v>
      </c>
      <c r="T116" s="86">
        <v>0.5</v>
      </c>
      <c r="U116" s="88">
        <v>-352</v>
      </c>
      <c r="V116" s="86">
        <v>0</v>
      </c>
      <c r="W116" s="86">
        <v>0</v>
      </c>
      <c r="X116" s="86"/>
      <c r="Y116" s="86"/>
      <c r="Z116" s="89"/>
      <c r="AA116" s="60"/>
      <c r="AB116" s="98"/>
      <c r="AC116" s="36"/>
      <c r="AD116" s="36">
        <v>0</v>
      </c>
      <c r="AE116" s="36">
        <v>-176</v>
      </c>
      <c r="AF116" s="99">
        <v>176</v>
      </c>
    </row>
    <row r="117" spans="2:32" ht="13" x14ac:dyDescent="0.3">
      <c r="B117" s="78"/>
      <c r="C117" s="34"/>
      <c r="D117" s="34"/>
      <c r="E117" s="24"/>
      <c r="F117" s="24"/>
      <c r="G117" s="24"/>
      <c r="H117" s="24"/>
      <c r="I117" s="24"/>
      <c r="J117" s="24"/>
      <c r="K117" s="24"/>
      <c r="L117" s="34"/>
      <c r="M117" s="34"/>
      <c r="N117" s="34"/>
      <c r="O117" s="34"/>
      <c r="P117" s="34"/>
      <c r="Q117" s="34"/>
      <c r="R117" s="34"/>
      <c r="S117" s="34"/>
      <c r="T117" s="94"/>
      <c r="U117" s="95"/>
      <c r="V117" s="34"/>
      <c r="W117" s="34"/>
      <c r="X117" s="34"/>
      <c r="Y117" s="34"/>
      <c r="Z117" s="41"/>
      <c r="AA117" s="60"/>
      <c r="AB117" s="100"/>
      <c r="AC117" s="33"/>
      <c r="AD117" s="33"/>
      <c r="AE117" s="33"/>
      <c r="AF117" s="101"/>
    </row>
    <row r="118" spans="2:32" ht="13" outlineLevel="1" x14ac:dyDescent="0.3">
      <c r="B118" s="79" t="s">
        <v>149</v>
      </c>
      <c r="C118" s="33">
        <v>8556</v>
      </c>
      <c r="D118" s="33">
        <v>1167</v>
      </c>
      <c r="E118" s="23">
        <v>0</v>
      </c>
      <c r="F118" s="23">
        <v>0</v>
      </c>
      <c r="G118" s="23">
        <v>-7390</v>
      </c>
      <c r="H118" s="23">
        <v>0</v>
      </c>
      <c r="I118" s="23">
        <v>0</v>
      </c>
      <c r="J118" s="23">
        <v>0</v>
      </c>
      <c r="K118" s="23">
        <v>-7390</v>
      </c>
      <c r="L118" s="33">
        <v>0</v>
      </c>
      <c r="M118" s="33">
        <v>-7389</v>
      </c>
      <c r="N118" s="33">
        <v>1167</v>
      </c>
      <c r="O118" s="33">
        <v>0</v>
      </c>
      <c r="P118" s="33">
        <v>0</v>
      </c>
      <c r="Q118" s="33">
        <v>0</v>
      </c>
      <c r="R118" s="33">
        <v>335</v>
      </c>
      <c r="S118" s="33">
        <v>-335</v>
      </c>
      <c r="T118" s="38">
        <v>0</v>
      </c>
      <c r="U118" s="59">
        <v>1167</v>
      </c>
      <c r="V118" s="33">
        <v>0</v>
      </c>
      <c r="W118" s="33">
        <v>0</v>
      </c>
      <c r="X118" s="33"/>
      <c r="Y118" s="33"/>
      <c r="Z118" s="42"/>
      <c r="AA118" s="60"/>
      <c r="AB118" s="105">
        <v>0</v>
      </c>
      <c r="AC118" s="93">
        <v>0</v>
      </c>
      <c r="AD118" s="33">
        <v>0</v>
      </c>
      <c r="AE118" s="33">
        <v>0</v>
      </c>
      <c r="AF118" s="101">
        <v>-1167</v>
      </c>
    </row>
    <row r="119" spans="2:32" ht="13" outlineLevel="1" x14ac:dyDescent="0.3">
      <c r="B119" s="79" t="s">
        <v>150</v>
      </c>
      <c r="C119" s="33">
        <v>1200</v>
      </c>
      <c r="D119" s="33">
        <v>219</v>
      </c>
      <c r="E119" s="23">
        <v>0</v>
      </c>
      <c r="F119" s="23">
        <v>0</v>
      </c>
      <c r="G119" s="23">
        <v>-981</v>
      </c>
      <c r="H119" s="23">
        <v>0</v>
      </c>
      <c r="I119" s="23">
        <v>0</v>
      </c>
      <c r="J119" s="23">
        <v>0</v>
      </c>
      <c r="K119" s="23">
        <v>-981</v>
      </c>
      <c r="L119" s="33">
        <v>0</v>
      </c>
      <c r="M119" s="33">
        <v>-981</v>
      </c>
      <c r="N119" s="33">
        <v>219</v>
      </c>
      <c r="O119" s="33">
        <v>0</v>
      </c>
      <c r="P119" s="33">
        <v>0</v>
      </c>
      <c r="Q119" s="33">
        <v>0</v>
      </c>
      <c r="R119" s="33">
        <v>110</v>
      </c>
      <c r="S119" s="33">
        <v>-110</v>
      </c>
      <c r="T119" s="38">
        <v>0</v>
      </c>
      <c r="U119" s="59">
        <v>219</v>
      </c>
      <c r="V119" s="33">
        <v>0</v>
      </c>
      <c r="W119" s="33">
        <v>0</v>
      </c>
      <c r="X119" s="33"/>
      <c r="Y119" s="33"/>
      <c r="Z119" s="42"/>
      <c r="AA119" s="60"/>
      <c r="AB119" s="105"/>
      <c r="AC119" s="93"/>
      <c r="AD119" s="33">
        <v>0</v>
      </c>
      <c r="AE119" s="33">
        <v>0</v>
      </c>
      <c r="AF119" s="101">
        <v>-219</v>
      </c>
    </row>
    <row r="120" spans="2:32" ht="13" outlineLevel="1" x14ac:dyDescent="0.3">
      <c r="B120" s="79" t="s">
        <v>151</v>
      </c>
      <c r="C120" s="33">
        <v>-400</v>
      </c>
      <c r="D120" s="33">
        <v>-400</v>
      </c>
      <c r="E120" s="23">
        <v>0</v>
      </c>
      <c r="F120" s="23">
        <v>0</v>
      </c>
      <c r="G120" s="23">
        <v>0</v>
      </c>
      <c r="H120" s="23">
        <v>0</v>
      </c>
      <c r="I120" s="23">
        <v>0</v>
      </c>
      <c r="J120" s="23">
        <v>0</v>
      </c>
      <c r="K120" s="23">
        <v>0</v>
      </c>
      <c r="L120" s="33">
        <v>0</v>
      </c>
      <c r="M120" s="33">
        <v>0</v>
      </c>
      <c r="N120" s="33">
        <v>-400</v>
      </c>
      <c r="O120" s="33">
        <v>0</v>
      </c>
      <c r="P120" s="33">
        <v>0</v>
      </c>
      <c r="Q120" s="33">
        <v>0</v>
      </c>
      <c r="R120" s="33">
        <v>-200</v>
      </c>
      <c r="S120" s="33">
        <v>200</v>
      </c>
      <c r="T120" s="38">
        <v>0</v>
      </c>
      <c r="U120" s="59">
        <v>-400</v>
      </c>
      <c r="V120" s="33">
        <v>0</v>
      </c>
      <c r="W120" s="33">
        <v>0</v>
      </c>
      <c r="X120" s="33"/>
      <c r="Y120" s="33"/>
      <c r="Z120" s="42"/>
      <c r="AA120" s="60"/>
      <c r="AB120" s="105"/>
      <c r="AC120" s="93"/>
      <c r="AD120" s="33">
        <v>0</v>
      </c>
      <c r="AE120" s="33">
        <v>0</v>
      </c>
      <c r="AF120" s="101">
        <v>400</v>
      </c>
    </row>
    <row r="121" spans="2:32" ht="13" outlineLevel="1" x14ac:dyDescent="0.3">
      <c r="B121" s="79" t="s">
        <v>152</v>
      </c>
      <c r="C121" s="33">
        <v>7053</v>
      </c>
      <c r="D121" s="33">
        <v>1143</v>
      </c>
      <c r="E121" s="23">
        <v>0</v>
      </c>
      <c r="F121" s="23">
        <v>0</v>
      </c>
      <c r="G121" s="23">
        <v>-5911</v>
      </c>
      <c r="H121" s="23">
        <v>0</v>
      </c>
      <c r="I121" s="23">
        <v>0</v>
      </c>
      <c r="J121" s="23">
        <v>0</v>
      </c>
      <c r="K121" s="23">
        <v>-5911</v>
      </c>
      <c r="L121" s="33">
        <v>0</v>
      </c>
      <c r="M121" s="33">
        <v>-5910</v>
      </c>
      <c r="N121" s="33">
        <v>1143</v>
      </c>
      <c r="O121" s="33">
        <v>0</v>
      </c>
      <c r="P121" s="33">
        <v>0</v>
      </c>
      <c r="Q121" s="33">
        <v>0</v>
      </c>
      <c r="R121" s="33">
        <v>571</v>
      </c>
      <c r="S121" s="33">
        <v>-571</v>
      </c>
      <c r="T121" s="38">
        <v>0</v>
      </c>
      <c r="U121" s="59">
        <v>1143</v>
      </c>
      <c r="V121" s="33">
        <v>0</v>
      </c>
      <c r="W121" s="33">
        <v>0</v>
      </c>
      <c r="X121" s="33"/>
      <c r="Y121" s="33"/>
      <c r="Z121" s="42"/>
      <c r="AA121" s="60"/>
      <c r="AB121" s="105"/>
      <c r="AC121" s="93"/>
      <c r="AD121" s="33">
        <v>0</v>
      </c>
      <c r="AE121" s="33">
        <v>0</v>
      </c>
      <c r="AF121" s="101">
        <v>-1143</v>
      </c>
    </row>
    <row r="122" spans="2:32" ht="13" outlineLevel="1" x14ac:dyDescent="0.3">
      <c r="B122" s="79" t="s">
        <v>153</v>
      </c>
      <c r="C122" s="33">
        <v>171</v>
      </c>
      <c r="D122" s="33">
        <v>-29</v>
      </c>
      <c r="E122" s="23">
        <v>0</v>
      </c>
      <c r="F122" s="23">
        <v>0</v>
      </c>
      <c r="G122" s="23">
        <v>-200</v>
      </c>
      <c r="H122" s="23">
        <v>0</v>
      </c>
      <c r="I122" s="23">
        <v>0</v>
      </c>
      <c r="J122" s="23">
        <v>0</v>
      </c>
      <c r="K122" s="23">
        <v>-200</v>
      </c>
      <c r="L122" s="33">
        <v>0</v>
      </c>
      <c r="M122" s="33">
        <v>-200</v>
      </c>
      <c r="N122" s="33">
        <v>-29</v>
      </c>
      <c r="O122" s="33">
        <v>0</v>
      </c>
      <c r="P122" s="33">
        <v>0</v>
      </c>
      <c r="Q122" s="33">
        <v>0</v>
      </c>
      <c r="R122" s="33">
        <v>-114</v>
      </c>
      <c r="S122" s="33">
        <v>114</v>
      </c>
      <c r="T122" s="38">
        <v>0</v>
      </c>
      <c r="U122" s="59">
        <v>-29</v>
      </c>
      <c r="V122" s="33">
        <v>0</v>
      </c>
      <c r="W122" s="33">
        <v>0</v>
      </c>
      <c r="X122" s="33"/>
      <c r="Y122" s="33"/>
      <c r="Z122" s="42"/>
      <c r="AA122" s="60"/>
      <c r="AB122" s="105"/>
      <c r="AC122" s="93"/>
      <c r="AD122" s="33">
        <v>0</v>
      </c>
      <c r="AE122" s="33">
        <v>0</v>
      </c>
      <c r="AF122" s="101">
        <v>29</v>
      </c>
    </row>
    <row r="123" spans="2:32" ht="13.5" thickBot="1" x14ac:dyDescent="0.35">
      <c r="B123" s="80" t="s">
        <v>154</v>
      </c>
      <c r="C123" s="81">
        <v>532</v>
      </c>
      <c r="D123" s="81">
        <v>234</v>
      </c>
      <c r="E123" s="82">
        <v>0</v>
      </c>
      <c r="F123" s="82">
        <v>0</v>
      </c>
      <c r="G123" s="82">
        <v>-298</v>
      </c>
      <c r="H123" s="82">
        <v>0</v>
      </c>
      <c r="I123" s="82">
        <v>0</v>
      </c>
      <c r="J123" s="82">
        <v>0</v>
      </c>
      <c r="K123" s="82">
        <v>-298</v>
      </c>
      <c r="L123" s="81">
        <v>0</v>
      </c>
      <c r="M123" s="81">
        <v>-298</v>
      </c>
      <c r="N123" s="81">
        <v>234</v>
      </c>
      <c r="O123" s="81">
        <v>0</v>
      </c>
      <c r="P123" s="81">
        <v>0</v>
      </c>
      <c r="Q123" s="81">
        <v>0</v>
      </c>
      <c r="R123" s="81">
        <v>-32</v>
      </c>
      <c r="S123" s="81">
        <v>32</v>
      </c>
      <c r="T123" s="81">
        <v>0</v>
      </c>
      <c r="U123" s="83">
        <v>234</v>
      </c>
      <c r="V123" s="81">
        <v>0</v>
      </c>
      <c r="W123" s="81">
        <v>0</v>
      </c>
      <c r="X123" s="81"/>
      <c r="Y123" s="81"/>
      <c r="Z123" s="84"/>
      <c r="AA123" s="60"/>
      <c r="AB123" s="100"/>
      <c r="AC123" s="33"/>
      <c r="AD123" s="33">
        <v>0</v>
      </c>
      <c r="AE123" s="33">
        <v>0</v>
      </c>
      <c r="AF123" s="101">
        <v>-234</v>
      </c>
    </row>
    <row r="124" spans="2:32" ht="13.5" thickBot="1" x14ac:dyDescent="0.35">
      <c r="B124" s="91"/>
      <c r="C124" s="76"/>
      <c r="D124" s="76"/>
      <c r="E124" s="76"/>
      <c r="F124" s="76"/>
      <c r="G124" s="76"/>
      <c r="H124" s="76"/>
      <c r="I124" s="76"/>
      <c r="J124" s="76"/>
      <c r="K124" s="76"/>
      <c r="L124" s="76"/>
      <c r="M124" s="76"/>
      <c r="N124" s="76"/>
      <c r="O124" s="76"/>
      <c r="P124" s="76"/>
      <c r="Q124" s="76"/>
      <c r="R124" s="76"/>
      <c r="S124" s="76"/>
      <c r="T124" s="92"/>
      <c r="U124" s="76"/>
      <c r="V124" s="76"/>
      <c r="W124" s="76"/>
      <c r="X124" s="76"/>
      <c r="Y124" s="76"/>
      <c r="Z124" s="76"/>
      <c r="AA124" s="60"/>
      <c r="AB124" s="76"/>
      <c r="AC124" s="76"/>
      <c r="AD124" s="76"/>
      <c r="AE124" s="76"/>
      <c r="AF124" s="76"/>
    </row>
    <row r="125" spans="2:32" ht="14" thickTop="1" thickBot="1" x14ac:dyDescent="0.35">
      <c r="B125" s="80" t="s">
        <v>155</v>
      </c>
      <c r="C125" s="81">
        <v>5942</v>
      </c>
      <c r="D125" s="81">
        <v>-447</v>
      </c>
      <c r="E125" s="82">
        <v>0</v>
      </c>
      <c r="F125" s="82">
        <v>0</v>
      </c>
      <c r="G125" s="82">
        <v>-6390</v>
      </c>
      <c r="H125" s="82">
        <v>0</v>
      </c>
      <c r="I125" s="82">
        <v>0</v>
      </c>
      <c r="J125" s="82">
        <v>0</v>
      </c>
      <c r="K125" s="82">
        <v>-6390</v>
      </c>
      <c r="L125" s="81">
        <v>0</v>
      </c>
      <c r="M125" s="81">
        <v>-6389</v>
      </c>
      <c r="N125" s="81">
        <v>-447</v>
      </c>
      <c r="O125" s="81">
        <v>18519</v>
      </c>
      <c r="P125" s="81">
        <v>3119</v>
      </c>
      <c r="Q125" s="81">
        <v>21639</v>
      </c>
      <c r="R125" s="81">
        <v>-2003</v>
      </c>
      <c r="S125" s="81">
        <v>23642</v>
      </c>
      <c r="T125" s="81">
        <v>-48.409395973154361</v>
      </c>
      <c r="U125" s="83">
        <v>-447</v>
      </c>
      <c r="V125" s="81">
        <v>0</v>
      </c>
      <c r="W125" s="81">
        <v>0</v>
      </c>
      <c r="X125" s="81">
        <v>0</v>
      </c>
      <c r="Y125" s="81">
        <v>0</v>
      </c>
      <c r="Z125" s="84">
        <v>0</v>
      </c>
      <c r="AA125" s="60"/>
      <c r="AB125" s="100">
        <v>0</v>
      </c>
      <c r="AC125" s="33">
        <v>0</v>
      </c>
      <c r="AD125" s="33">
        <v>0</v>
      </c>
      <c r="AE125" s="33">
        <v>21639</v>
      </c>
      <c r="AF125" s="101">
        <v>22086</v>
      </c>
    </row>
    <row r="126" spans="2:32" ht="13.5" thickBot="1" x14ac:dyDescent="0.35">
      <c r="B126" s="91"/>
      <c r="C126" s="76"/>
      <c r="D126" s="76"/>
      <c r="E126" s="76"/>
      <c r="F126" s="76"/>
      <c r="G126" s="76"/>
      <c r="H126" s="76"/>
      <c r="I126" s="76"/>
      <c r="J126" s="76"/>
      <c r="K126" s="76"/>
      <c r="L126" s="76"/>
      <c r="M126" s="76"/>
      <c r="N126" s="76"/>
      <c r="O126" s="76"/>
      <c r="P126" s="76"/>
      <c r="Q126" s="76"/>
      <c r="R126" s="76"/>
      <c r="S126" s="76"/>
      <c r="T126" s="92"/>
      <c r="U126" s="76"/>
      <c r="V126" s="76"/>
      <c r="W126" s="76"/>
      <c r="X126" s="76"/>
      <c r="Y126" s="76"/>
      <c r="Z126" s="76"/>
      <c r="AA126" s="60"/>
      <c r="AB126" s="76"/>
      <c r="AC126" s="76"/>
      <c r="AD126" s="76"/>
      <c r="AE126" s="76"/>
      <c r="AF126" s="76"/>
    </row>
    <row r="127" spans="2:32" ht="13.5" thickTop="1" x14ac:dyDescent="0.3">
      <c r="B127" s="71" t="s">
        <v>156</v>
      </c>
      <c r="C127" s="72">
        <v>29971</v>
      </c>
      <c r="D127" s="72">
        <v>30111</v>
      </c>
      <c r="E127" s="73">
        <v>141</v>
      </c>
      <c r="F127" s="73">
        <v>68</v>
      </c>
      <c r="G127" s="73">
        <v>-2</v>
      </c>
      <c r="H127" s="73">
        <v>0</v>
      </c>
      <c r="I127" s="73">
        <v>0</v>
      </c>
      <c r="J127" s="73">
        <v>0</v>
      </c>
      <c r="K127" s="73">
        <v>207</v>
      </c>
      <c r="L127" s="72">
        <v>67</v>
      </c>
      <c r="M127" s="72">
        <v>207</v>
      </c>
      <c r="N127" s="72">
        <v>30178</v>
      </c>
      <c r="O127" s="72">
        <v>67919</v>
      </c>
      <c r="P127" s="72">
        <v>-24087</v>
      </c>
      <c r="Q127" s="72">
        <v>43907</v>
      </c>
      <c r="R127" s="72">
        <v>14810</v>
      </c>
      <c r="S127" s="72">
        <v>29097</v>
      </c>
      <c r="T127" s="72">
        <v>1.4549340579229904</v>
      </c>
      <c r="U127" s="74">
        <v>31831</v>
      </c>
      <c r="V127" s="72">
        <v>1653</v>
      </c>
      <c r="W127" s="72">
        <v>1653</v>
      </c>
      <c r="X127" s="72">
        <v>0</v>
      </c>
      <c r="Y127" s="72">
        <v>0</v>
      </c>
      <c r="Z127" s="75">
        <v>0</v>
      </c>
      <c r="AA127" s="60"/>
      <c r="AB127" s="100">
        <v>0</v>
      </c>
      <c r="AC127" s="33">
        <v>0</v>
      </c>
      <c r="AD127" s="33">
        <v>0</v>
      </c>
      <c r="AE127" s="33">
        <v>43907</v>
      </c>
      <c r="AF127" s="101">
        <v>13729</v>
      </c>
    </row>
    <row r="128" spans="2:32" ht="13" x14ac:dyDescent="0.3">
      <c r="B128" s="79"/>
      <c r="C128" s="33"/>
      <c r="D128" s="33"/>
      <c r="E128" s="23"/>
      <c r="F128" s="23"/>
      <c r="G128" s="23"/>
      <c r="H128" s="23"/>
      <c r="I128" s="23"/>
      <c r="J128" s="23"/>
      <c r="K128" s="23"/>
      <c r="L128" s="33"/>
      <c r="M128" s="33"/>
      <c r="N128" s="33"/>
      <c r="O128" s="33"/>
      <c r="P128" s="33"/>
      <c r="Q128" s="33"/>
      <c r="R128" s="33"/>
      <c r="S128" s="33"/>
      <c r="T128" s="38"/>
      <c r="U128" s="59"/>
      <c r="V128" s="33"/>
      <c r="W128" s="33"/>
      <c r="X128" s="33"/>
      <c r="Y128" s="33"/>
      <c r="Z128" s="42"/>
      <c r="AA128" s="60"/>
      <c r="AB128" s="105"/>
      <c r="AC128" s="93"/>
      <c r="AD128" s="33"/>
      <c r="AE128" s="33"/>
      <c r="AF128" s="101"/>
    </row>
    <row r="129" spans="2:32" ht="13.5" thickBot="1" x14ac:dyDescent="0.35">
      <c r="B129" s="80" t="s">
        <v>157</v>
      </c>
      <c r="C129" s="81">
        <v>-1367</v>
      </c>
      <c r="D129" s="81">
        <v>-1507</v>
      </c>
      <c r="E129" s="82">
        <v>-141</v>
      </c>
      <c r="F129" s="82">
        <v>-68</v>
      </c>
      <c r="G129" s="82">
        <v>0</v>
      </c>
      <c r="H129" s="82">
        <v>0</v>
      </c>
      <c r="I129" s="82">
        <v>0</v>
      </c>
      <c r="J129" s="82">
        <v>0</v>
      </c>
      <c r="K129" s="82">
        <v>-209</v>
      </c>
      <c r="L129" s="81">
        <v>-68</v>
      </c>
      <c r="M129" s="81">
        <v>-208</v>
      </c>
      <c r="N129" s="81">
        <v>-1575</v>
      </c>
      <c r="O129" s="81">
        <v>-209</v>
      </c>
      <c r="P129" s="81">
        <v>0</v>
      </c>
      <c r="Q129" s="81">
        <v>-209</v>
      </c>
      <c r="R129" s="81">
        <v>-893</v>
      </c>
      <c r="S129" s="81">
        <v>684</v>
      </c>
      <c r="T129" s="81">
        <v>0.1326984126984127</v>
      </c>
      <c r="U129" s="83">
        <v>-1575</v>
      </c>
      <c r="V129" s="81">
        <v>0</v>
      </c>
      <c r="W129" s="81">
        <v>0</v>
      </c>
      <c r="X129" s="81"/>
      <c r="Y129" s="81"/>
      <c r="Z129" s="84"/>
      <c r="AA129" s="60"/>
      <c r="AB129" s="100"/>
      <c r="AC129" s="33"/>
      <c r="AD129" s="33">
        <v>0</v>
      </c>
      <c r="AE129" s="33">
        <v>-209</v>
      </c>
      <c r="AF129" s="101">
        <v>1366</v>
      </c>
    </row>
    <row r="130" spans="2:32" ht="13.5" thickBot="1" x14ac:dyDescent="0.35">
      <c r="B130" s="91"/>
      <c r="C130" s="76"/>
      <c r="D130" s="76"/>
      <c r="E130" s="76"/>
      <c r="F130" s="76"/>
      <c r="G130" s="76"/>
      <c r="H130" s="76"/>
      <c r="I130" s="76"/>
      <c r="J130" s="76"/>
      <c r="K130" s="76"/>
      <c r="L130" s="76"/>
      <c r="M130" s="76"/>
      <c r="N130" s="76"/>
      <c r="O130" s="76"/>
      <c r="P130" s="76"/>
      <c r="Q130" s="76"/>
      <c r="R130" s="76"/>
      <c r="S130" s="76"/>
      <c r="T130" s="92"/>
      <c r="U130" s="76"/>
      <c r="V130" s="76"/>
      <c r="W130" s="76"/>
      <c r="X130" s="76"/>
      <c r="Y130" s="76"/>
      <c r="Z130" s="76"/>
      <c r="AA130" s="60"/>
      <c r="AB130" s="76"/>
      <c r="AC130" s="76"/>
      <c r="AD130" s="76"/>
      <c r="AE130" s="76"/>
      <c r="AF130" s="76"/>
    </row>
    <row r="131" spans="2:32" ht="13.5" thickTop="1" x14ac:dyDescent="0.3">
      <c r="B131" s="71" t="s">
        <v>158</v>
      </c>
      <c r="C131" s="72">
        <v>28604</v>
      </c>
      <c r="D131" s="72">
        <v>28604</v>
      </c>
      <c r="E131" s="73">
        <v>0</v>
      </c>
      <c r="F131" s="73">
        <v>0</v>
      </c>
      <c r="G131" s="73">
        <v>-2</v>
      </c>
      <c r="H131" s="73">
        <v>0</v>
      </c>
      <c r="I131" s="73">
        <v>0</v>
      </c>
      <c r="J131" s="73">
        <v>0</v>
      </c>
      <c r="K131" s="73">
        <v>-2</v>
      </c>
      <c r="L131" s="72">
        <v>-1</v>
      </c>
      <c r="M131" s="72">
        <v>-1</v>
      </c>
      <c r="N131" s="72">
        <v>28603</v>
      </c>
      <c r="O131" s="72">
        <v>67710</v>
      </c>
      <c r="P131" s="72">
        <v>-24087</v>
      </c>
      <c r="Q131" s="72">
        <v>43698</v>
      </c>
      <c r="R131" s="72">
        <v>13917</v>
      </c>
      <c r="S131" s="72">
        <v>29781</v>
      </c>
      <c r="T131" s="72">
        <v>1.5277418452609866</v>
      </c>
      <c r="U131" s="74">
        <v>30256</v>
      </c>
      <c r="V131" s="72">
        <v>1653</v>
      </c>
      <c r="W131" s="72">
        <v>1653</v>
      </c>
      <c r="X131" s="72">
        <v>0</v>
      </c>
      <c r="Y131" s="72">
        <v>0</v>
      </c>
      <c r="Z131" s="75">
        <v>0</v>
      </c>
      <c r="AA131" s="60"/>
      <c r="AB131" s="100">
        <v>0</v>
      </c>
      <c r="AC131" s="33">
        <v>0</v>
      </c>
      <c r="AD131" s="33">
        <v>0</v>
      </c>
      <c r="AE131" s="33">
        <v>43698</v>
      </c>
      <c r="AF131" s="101">
        <v>15095</v>
      </c>
    </row>
    <row r="132" spans="2:32" ht="13" x14ac:dyDescent="0.3">
      <c r="B132" s="85"/>
      <c r="C132" s="86"/>
      <c r="D132" s="86"/>
      <c r="E132" s="87"/>
      <c r="F132" s="87"/>
      <c r="G132" s="87"/>
      <c r="H132" s="87"/>
      <c r="I132" s="87"/>
      <c r="J132" s="87"/>
      <c r="K132" s="87"/>
      <c r="L132" s="86"/>
      <c r="M132" s="86"/>
      <c r="N132" s="86"/>
      <c r="O132" s="86"/>
      <c r="P132" s="86"/>
      <c r="Q132" s="86"/>
      <c r="R132" s="86"/>
      <c r="S132" s="86"/>
      <c r="T132" s="86"/>
      <c r="U132" s="88"/>
      <c r="V132" s="86"/>
      <c r="W132" s="86"/>
      <c r="X132" s="86"/>
      <c r="Y132" s="86"/>
      <c r="Z132" s="89"/>
      <c r="AA132" s="60"/>
      <c r="AB132" s="100"/>
      <c r="AC132" s="33"/>
      <c r="AD132" s="33"/>
      <c r="AE132" s="33"/>
      <c r="AF132" s="101"/>
    </row>
    <row r="133" spans="2:32" ht="13" x14ac:dyDescent="0.3">
      <c r="B133" s="78"/>
      <c r="C133" s="33"/>
      <c r="D133" s="33"/>
      <c r="E133" s="23"/>
      <c r="F133" s="23"/>
      <c r="G133" s="23"/>
      <c r="H133" s="23"/>
      <c r="I133" s="23"/>
      <c r="J133" s="23"/>
      <c r="K133" s="23"/>
      <c r="L133" s="33"/>
      <c r="M133" s="33"/>
      <c r="N133" s="33"/>
      <c r="O133" s="33"/>
      <c r="P133" s="33"/>
      <c r="Q133" s="33"/>
      <c r="R133" s="33"/>
      <c r="S133" s="33"/>
      <c r="T133" s="38"/>
      <c r="U133" s="59"/>
      <c r="V133" s="33"/>
      <c r="W133" s="33"/>
      <c r="X133" s="33"/>
      <c r="Y133" s="33"/>
      <c r="Z133" s="42"/>
      <c r="AA133" s="60"/>
      <c r="AB133" s="100"/>
      <c r="AC133" s="33"/>
      <c r="AD133" s="33"/>
      <c r="AE133" s="33"/>
      <c r="AF133" s="101"/>
    </row>
    <row r="134" spans="2:32" ht="13" x14ac:dyDescent="0.3">
      <c r="B134" s="79" t="s">
        <v>159</v>
      </c>
      <c r="C134" s="33"/>
      <c r="D134" s="33"/>
      <c r="E134" s="23"/>
      <c r="F134" s="23"/>
      <c r="G134" s="23"/>
      <c r="H134" s="23"/>
      <c r="I134" s="23"/>
      <c r="J134" s="23"/>
      <c r="K134" s="23"/>
      <c r="L134" s="33"/>
      <c r="M134" s="33"/>
      <c r="N134" s="33"/>
      <c r="O134" s="33"/>
      <c r="P134" s="33"/>
      <c r="Q134" s="33"/>
      <c r="R134" s="33"/>
      <c r="S134" s="33"/>
      <c r="T134" s="38"/>
      <c r="U134" s="59"/>
      <c r="V134" s="33"/>
      <c r="W134" s="33"/>
      <c r="X134" s="33"/>
      <c r="Y134" s="33"/>
      <c r="Z134" s="42"/>
      <c r="AA134" s="60"/>
      <c r="AB134" s="105"/>
      <c r="AC134" s="93"/>
      <c r="AD134" s="33"/>
      <c r="AE134" s="33"/>
      <c r="AF134" s="101"/>
    </row>
    <row r="135" spans="2:32" ht="13" x14ac:dyDescent="0.3">
      <c r="B135" s="79" t="s">
        <v>160</v>
      </c>
      <c r="C135" s="33">
        <v>1416</v>
      </c>
      <c r="D135" s="33">
        <v>1416</v>
      </c>
      <c r="E135" s="23">
        <v>0</v>
      </c>
      <c r="F135" s="23">
        <v>0</v>
      </c>
      <c r="G135" s="23">
        <v>0</v>
      </c>
      <c r="H135" s="23">
        <v>0</v>
      </c>
      <c r="I135" s="23">
        <v>0</v>
      </c>
      <c r="J135" s="23">
        <v>0</v>
      </c>
      <c r="K135" s="23">
        <v>0</v>
      </c>
      <c r="L135" s="33">
        <v>0</v>
      </c>
      <c r="M135" s="33">
        <v>0</v>
      </c>
      <c r="N135" s="33">
        <v>1416</v>
      </c>
      <c r="O135" s="33">
        <v>0</v>
      </c>
      <c r="P135" s="33">
        <v>511</v>
      </c>
      <c r="Q135" s="33">
        <v>511</v>
      </c>
      <c r="R135" s="33">
        <v>708</v>
      </c>
      <c r="S135" s="33">
        <v>-197</v>
      </c>
      <c r="T135" s="38">
        <v>0.36087570621468928</v>
      </c>
      <c r="U135" s="59">
        <v>1416</v>
      </c>
      <c r="V135" s="33">
        <v>0</v>
      </c>
      <c r="W135" s="33">
        <v>0</v>
      </c>
      <c r="X135" s="33"/>
      <c r="Y135" s="33"/>
      <c r="Z135" s="42"/>
      <c r="AA135" s="60"/>
      <c r="AB135" s="105"/>
      <c r="AC135" s="93"/>
      <c r="AD135" s="33">
        <v>0</v>
      </c>
      <c r="AE135" s="33">
        <v>511</v>
      </c>
      <c r="AF135" s="101">
        <v>-905</v>
      </c>
    </row>
    <row r="136" spans="2:32" ht="13" x14ac:dyDescent="0.3">
      <c r="B136" s="79" t="s">
        <v>161</v>
      </c>
      <c r="C136" s="33">
        <v>16278</v>
      </c>
      <c r="D136" s="33">
        <v>16278</v>
      </c>
      <c r="E136" s="23">
        <v>0</v>
      </c>
      <c r="F136" s="23">
        <v>0</v>
      </c>
      <c r="G136" s="23">
        <v>0</v>
      </c>
      <c r="H136" s="23">
        <v>0</v>
      </c>
      <c r="I136" s="23">
        <v>0</v>
      </c>
      <c r="J136" s="23">
        <v>0</v>
      </c>
      <c r="K136" s="23">
        <v>0</v>
      </c>
      <c r="L136" s="33">
        <v>0</v>
      </c>
      <c r="M136" s="33">
        <v>0</v>
      </c>
      <c r="N136" s="33">
        <v>16278</v>
      </c>
      <c r="O136" s="33">
        <v>0</v>
      </c>
      <c r="P136" s="33">
        <v>0</v>
      </c>
      <c r="Q136" s="33">
        <v>0</v>
      </c>
      <c r="R136" s="33">
        <v>8139</v>
      </c>
      <c r="S136" s="33">
        <v>-8139</v>
      </c>
      <c r="T136" s="38">
        <v>0</v>
      </c>
      <c r="U136" s="59">
        <v>16278</v>
      </c>
      <c r="V136" s="33">
        <v>0</v>
      </c>
      <c r="W136" s="33">
        <v>0</v>
      </c>
      <c r="X136" s="33"/>
      <c r="Y136" s="33"/>
      <c r="Z136" s="42"/>
      <c r="AA136" s="60"/>
      <c r="AB136" s="105"/>
      <c r="AC136" s="93"/>
      <c r="AD136" s="33">
        <v>0</v>
      </c>
      <c r="AE136" s="33">
        <v>0</v>
      </c>
      <c r="AF136" s="101">
        <v>-16278</v>
      </c>
    </row>
    <row r="137" spans="2:32" ht="13" x14ac:dyDescent="0.3">
      <c r="B137" s="79" t="s">
        <v>162</v>
      </c>
      <c r="C137" s="33">
        <v>-264</v>
      </c>
      <c r="D137" s="33">
        <v>-264</v>
      </c>
      <c r="E137" s="23">
        <v>0</v>
      </c>
      <c r="F137" s="23">
        <v>0</v>
      </c>
      <c r="G137" s="23">
        <v>0</v>
      </c>
      <c r="H137" s="23">
        <v>0</v>
      </c>
      <c r="I137" s="23">
        <v>0</v>
      </c>
      <c r="J137" s="23">
        <v>0</v>
      </c>
      <c r="K137" s="23">
        <v>0</v>
      </c>
      <c r="L137" s="33">
        <v>0</v>
      </c>
      <c r="M137" s="33">
        <v>0</v>
      </c>
      <c r="N137" s="33">
        <v>-264</v>
      </c>
      <c r="O137" s="33">
        <v>-137</v>
      </c>
      <c r="P137" s="33">
        <v>0</v>
      </c>
      <c r="Q137" s="33">
        <v>-137</v>
      </c>
      <c r="R137" s="33">
        <v>-132</v>
      </c>
      <c r="S137" s="33">
        <v>-5</v>
      </c>
      <c r="T137" s="38">
        <v>0.51893939393939392</v>
      </c>
      <c r="U137" s="59">
        <v>-264</v>
      </c>
      <c r="V137" s="33">
        <v>0</v>
      </c>
      <c r="W137" s="33">
        <v>0</v>
      </c>
      <c r="X137" s="33"/>
      <c r="Y137" s="33"/>
      <c r="Z137" s="42"/>
      <c r="AA137" s="60"/>
      <c r="AB137" s="105"/>
      <c r="AC137" s="93"/>
      <c r="AD137" s="33">
        <v>0</v>
      </c>
      <c r="AE137" s="33">
        <v>-137</v>
      </c>
      <c r="AF137" s="101">
        <v>127</v>
      </c>
    </row>
    <row r="138" spans="2:32" ht="13.5" thickBot="1" x14ac:dyDescent="0.35">
      <c r="B138" s="80" t="s">
        <v>163</v>
      </c>
      <c r="C138" s="81">
        <v>11175</v>
      </c>
      <c r="D138" s="81">
        <v>11175</v>
      </c>
      <c r="E138" s="82">
        <v>0</v>
      </c>
      <c r="F138" s="82">
        <v>0</v>
      </c>
      <c r="G138" s="82">
        <v>0</v>
      </c>
      <c r="H138" s="82">
        <v>0</v>
      </c>
      <c r="I138" s="82">
        <v>0</v>
      </c>
      <c r="J138" s="82">
        <v>0</v>
      </c>
      <c r="K138" s="82">
        <v>0</v>
      </c>
      <c r="L138" s="81">
        <v>0</v>
      </c>
      <c r="M138" s="81">
        <v>0</v>
      </c>
      <c r="N138" s="81">
        <v>11175</v>
      </c>
      <c r="O138" s="81">
        <v>-15989</v>
      </c>
      <c r="P138" s="81">
        <v>3355</v>
      </c>
      <c r="Q138" s="81">
        <v>-12634</v>
      </c>
      <c r="R138" s="81">
        <v>5588</v>
      </c>
      <c r="S138" s="81">
        <v>-18222</v>
      </c>
      <c r="T138" s="81">
        <v>-1.130559284116331</v>
      </c>
      <c r="U138" s="83">
        <v>11175</v>
      </c>
      <c r="V138" s="81">
        <v>0</v>
      </c>
      <c r="W138" s="81">
        <v>0</v>
      </c>
      <c r="X138" s="81"/>
      <c r="Y138" s="81"/>
      <c r="Z138" s="84"/>
      <c r="AA138" s="60"/>
      <c r="AB138" s="100"/>
      <c r="AC138" s="33"/>
      <c r="AD138" s="33">
        <v>0</v>
      </c>
      <c r="AE138" s="33">
        <v>-12634</v>
      </c>
      <c r="AF138" s="101">
        <v>-23809</v>
      </c>
    </row>
    <row r="139" spans="2:32" ht="13.5" thickBot="1" x14ac:dyDescent="0.35">
      <c r="B139" s="91"/>
      <c r="C139" s="76"/>
      <c r="D139" s="76"/>
      <c r="E139" s="76"/>
      <c r="F139" s="76"/>
      <c r="G139" s="76"/>
      <c r="H139" s="76"/>
      <c r="I139" s="76"/>
      <c r="J139" s="76"/>
      <c r="K139" s="76"/>
      <c r="L139" s="76"/>
      <c r="M139" s="76"/>
      <c r="N139" s="76"/>
      <c r="O139" s="76"/>
      <c r="P139" s="76"/>
      <c r="Q139" s="76"/>
      <c r="R139" s="76"/>
      <c r="S139" s="76"/>
      <c r="T139" s="92"/>
      <c r="U139" s="76"/>
      <c r="V139" s="76"/>
      <c r="W139" s="76"/>
      <c r="X139" s="76"/>
      <c r="Y139" s="76"/>
      <c r="Z139" s="76"/>
      <c r="AA139" s="60"/>
      <c r="AB139" s="76"/>
      <c r="AC139" s="76"/>
      <c r="AD139" s="76"/>
      <c r="AE139" s="76"/>
      <c r="AF139" s="76"/>
    </row>
    <row r="140" spans="2:32" ht="14" thickTop="1" thickBot="1" x14ac:dyDescent="0.35">
      <c r="B140" s="80" t="s">
        <v>164</v>
      </c>
      <c r="C140" s="81">
        <v>28605</v>
      </c>
      <c r="D140" s="81">
        <v>28605</v>
      </c>
      <c r="E140" s="82">
        <v>0</v>
      </c>
      <c r="F140" s="82">
        <v>0</v>
      </c>
      <c r="G140" s="82">
        <v>0</v>
      </c>
      <c r="H140" s="82">
        <v>0</v>
      </c>
      <c r="I140" s="82">
        <v>0</v>
      </c>
      <c r="J140" s="82">
        <v>0</v>
      </c>
      <c r="K140" s="82">
        <v>0</v>
      </c>
      <c r="L140" s="81">
        <v>0</v>
      </c>
      <c r="M140" s="81">
        <v>0</v>
      </c>
      <c r="N140" s="81">
        <v>28605</v>
      </c>
      <c r="O140" s="81">
        <v>-16126</v>
      </c>
      <c r="P140" s="81">
        <v>3866</v>
      </c>
      <c r="Q140" s="81">
        <v>-12260</v>
      </c>
      <c r="R140" s="81">
        <v>14303</v>
      </c>
      <c r="S140" s="81">
        <v>-26563</v>
      </c>
      <c r="T140" s="81">
        <v>-0.4285963992309037</v>
      </c>
      <c r="U140" s="83">
        <v>28605</v>
      </c>
      <c r="V140" s="81">
        <v>0</v>
      </c>
      <c r="W140" s="81">
        <v>0</v>
      </c>
      <c r="X140" s="81">
        <v>0</v>
      </c>
      <c r="Y140" s="81">
        <v>0</v>
      </c>
      <c r="Z140" s="84">
        <v>0</v>
      </c>
      <c r="AA140" s="60"/>
      <c r="AB140" s="100">
        <v>0</v>
      </c>
      <c r="AC140" s="33">
        <v>0</v>
      </c>
      <c r="AD140" s="33">
        <v>0</v>
      </c>
      <c r="AE140" s="33">
        <v>-12260</v>
      </c>
      <c r="AF140" s="101">
        <v>-40865</v>
      </c>
    </row>
    <row r="141" spans="2:32" ht="13.5" thickBot="1" x14ac:dyDescent="0.35">
      <c r="B141" s="91"/>
      <c r="C141" s="76"/>
      <c r="D141" s="76"/>
      <c r="E141" s="76"/>
      <c r="F141" s="76"/>
      <c r="G141" s="76"/>
      <c r="H141" s="76"/>
      <c r="I141" s="76"/>
      <c r="J141" s="76"/>
      <c r="K141" s="76"/>
      <c r="L141" s="76"/>
      <c r="M141" s="76"/>
      <c r="N141" s="76"/>
      <c r="O141" s="76"/>
      <c r="P141" s="76"/>
      <c r="Q141" s="76"/>
      <c r="R141" s="76"/>
      <c r="S141" s="76"/>
      <c r="T141" s="92"/>
      <c r="U141" s="76"/>
      <c r="V141" s="76"/>
      <c r="W141" s="76"/>
      <c r="X141" s="76"/>
      <c r="Y141" s="76"/>
      <c r="Z141" s="76"/>
      <c r="AA141" s="60"/>
      <c r="AB141" s="76"/>
      <c r="AC141" s="76"/>
      <c r="AD141" s="76"/>
      <c r="AE141" s="76"/>
      <c r="AF141" s="76"/>
    </row>
    <row r="142" spans="2:32" ht="13" thickTop="1" x14ac:dyDescent="0.25">
      <c r="B142" s="1" t="s">
        <v>165</v>
      </c>
      <c r="C142">
        <v>-1</v>
      </c>
      <c r="D142">
        <v>-1</v>
      </c>
      <c r="E142">
        <v>0</v>
      </c>
      <c r="F142" s="1">
        <v>0</v>
      </c>
      <c r="G142">
        <v>-2</v>
      </c>
      <c r="H142">
        <v>0</v>
      </c>
      <c r="I142">
        <v>0</v>
      </c>
      <c r="J142">
        <v>0</v>
      </c>
      <c r="K142">
        <v>-2</v>
      </c>
      <c r="L142">
        <v>-1</v>
      </c>
      <c r="M142">
        <v>-1</v>
      </c>
      <c r="N142">
        <v>-2</v>
      </c>
      <c r="O142">
        <v>83836</v>
      </c>
      <c r="P142">
        <v>-27953</v>
      </c>
      <c r="Q142">
        <v>55958</v>
      </c>
      <c r="R142">
        <v>-386</v>
      </c>
      <c r="S142">
        <v>56344</v>
      </c>
      <c r="T142">
        <v>-27979</v>
      </c>
      <c r="U142">
        <v>1651</v>
      </c>
      <c r="V142">
        <v>1653</v>
      </c>
      <c r="W142">
        <v>1653</v>
      </c>
      <c r="X142">
        <v>0</v>
      </c>
      <c r="Y142">
        <v>0</v>
      </c>
      <c r="Z142">
        <v>0</v>
      </c>
      <c r="AB142">
        <v>0</v>
      </c>
      <c r="AC142">
        <v>0</v>
      </c>
      <c r="AD142">
        <v>0</v>
      </c>
      <c r="AE142">
        <v>55958</v>
      </c>
      <c r="AF142">
        <v>55960</v>
      </c>
    </row>
  </sheetData>
  <dataConsolidate/>
  <pageMargins left="0.23622047244094491" right="0.23622047244094491" top="0.74803149606299213" bottom="0.74803149606299213" header="0.31496062992125984" footer="0.31496062992125984"/>
  <pageSetup paperSize="8" scale="74" orientation="landscape" r:id="rId1"/>
  <ignoredErrors>
    <ignoredError sqref="T11 T29 T33 V29" formula="1"/>
    <ignoredError sqref="N29:S29" formulaRange="1"/>
    <ignoredError sqref="U29" formula="1"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AF147"/>
  <sheetViews>
    <sheetView workbookViewId="0">
      <pane xSplit="2" ySplit="3" topLeftCell="Q83" activePane="bottomRight" state="frozen"/>
      <selection pane="topRight" activeCell="H61" sqref="H61"/>
      <selection pane="bottomLeft" activeCell="H61" sqref="H61"/>
      <selection pane="bottomRight" activeCell="H61" sqref="H61"/>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customWidth="1" outlineLevel="1"/>
    <col min="14" max="14" width="13.54296875" customWidth="1"/>
    <col min="15" max="16" width="13.54296875" hidden="1" customWidth="1" outlineLevel="1"/>
    <col min="17" max="17" width="13.54296875" customWidth="1" collapsed="1"/>
    <col min="18" max="20" width="13.54296875" customWidth="1" outlineLevel="1"/>
    <col min="21" max="22" width="13.54296875" customWidth="1"/>
    <col min="23" max="26" width="13.54296875" customWidth="1" outlineLevel="1"/>
    <col min="27" max="27" width="1.54296875" customWidth="1"/>
    <col min="28" max="32" width="13.54296875" customWidth="1" outlineLevel="1"/>
    <col min="33" max="33" width="1.54296875" customWidth="1"/>
    <col min="34" max="43" width="11.54296875" customWidth="1"/>
  </cols>
  <sheetData>
    <row r="1" spans="2:32" s="6" customFormat="1" ht="18.5" thickBot="1" x14ac:dyDescent="0.45">
      <c r="B1" s="17"/>
      <c r="D1" s="18" t="s">
        <v>0</v>
      </c>
      <c r="F1" s="17"/>
    </row>
    <row r="2" spans="2:32"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2" ht="13" outlineLevel="2" x14ac:dyDescent="0.3">
      <c r="B5" s="31" t="s">
        <v>36</v>
      </c>
      <c r="C5" s="33">
        <v>715</v>
      </c>
      <c r="D5" s="33">
        <v>804</v>
      </c>
      <c r="E5" s="23">
        <v>0</v>
      </c>
      <c r="F5" s="23">
        <v>-352</v>
      </c>
      <c r="G5" s="23">
        <v>-10</v>
      </c>
      <c r="H5" s="23">
        <v>0</v>
      </c>
      <c r="I5" s="23">
        <v>98</v>
      </c>
      <c r="J5" s="23">
        <v>0</v>
      </c>
      <c r="K5" s="23">
        <f t="shared" ref="K5:K68" si="0">SUM(E5:J5)</f>
        <v>-264</v>
      </c>
      <c r="L5" s="33">
        <f t="shared" ref="L5:L68" si="1">N5-D5</f>
        <v>-352</v>
      </c>
      <c r="M5" s="33">
        <f t="shared" ref="M5:M68" si="2">N5-C5</f>
        <v>-263</v>
      </c>
      <c r="N5" s="33">
        <v>452</v>
      </c>
      <c r="O5" s="33">
        <v>1908</v>
      </c>
      <c r="P5" s="33">
        <v>-1519</v>
      </c>
      <c r="Q5" s="33">
        <v>389</v>
      </c>
      <c r="R5" s="33">
        <v>452</v>
      </c>
      <c r="S5" s="33">
        <f t="shared" ref="S5:S68" si="3">Q5-R5</f>
        <v>-63</v>
      </c>
      <c r="T5" s="38">
        <f t="shared" ref="T5:T68" si="4">IFERROR((Q5/N5)*100%,"∞")</f>
        <v>0.86061946902654862</v>
      </c>
      <c r="U5" s="59">
        <f t="shared" ref="U5:U68" si="5">N5+V5</f>
        <v>452</v>
      </c>
      <c r="V5" s="33">
        <v>0</v>
      </c>
      <c r="W5" s="33">
        <v>0</v>
      </c>
      <c r="X5" s="33"/>
      <c r="Y5" s="33"/>
      <c r="Z5" s="42"/>
      <c r="AA5" s="60"/>
      <c r="AB5" s="105"/>
      <c r="AC5" s="93"/>
      <c r="AD5" s="33">
        <f t="shared" ref="AD5:AD68" si="6">SUM(AB5:AC5)</f>
        <v>0</v>
      </c>
      <c r="AE5" s="33">
        <f t="shared" ref="AE5:AE68" si="7">Q5+AD5</f>
        <v>389</v>
      </c>
      <c r="AF5" s="101">
        <f t="shared" ref="AF5:AF68" si="8">AE5-N5</f>
        <v>-63</v>
      </c>
    </row>
    <row r="6" spans="2:32"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101">
        <f t="shared" si="8"/>
        <v>17</v>
      </c>
    </row>
    <row r="7" spans="2:32" ht="13" outlineLevel="2" x14ac:dyDescent="0.3">
      <c r="B7" s="31" t="s">
        <v>38</v>
      </c>
      <c r="C7" s="33">
        <v>1098</v>
      </c>
      <c r="D7" s="33">
        <v>722</v>
      </c>
      <c r="E7" s="23">
        <v>0</v>
      </c>
      <c r="F7" s="23">
        <v>-921</v>
      </c>
      <c r="G7" s="23">
        <v>-20</v>
      </c>
      <c r="H7" s="23">
        <v>0</v>
      </c>
      <c r="I7" s="23">
        <v>-356</v>
      </c>
      <c r="J7" s="23">
        <v>-15</v>
      </c>
      <c r="K7" s="23">
        <f t="shared" si="0"/>
        <v>-1312</v>
      </c>
      <c r="L7" s="33">
        <f t="shared" si="1"/>
        <v>-937</v>
      </c>
      <c r="M7" s="33">
        <f t="shared" si="2"/>
        <v>-1313</v>
      </c>
      <c r="N7" s="33">
        <v>-215</v>
      </c>
      <c r="O7" s="33">
        <v>1723</v>
      </c>
      <c r="P7" s="33">
        <v>-1684</v>
      </c>
      <c r="Q7" s="33">
        <v>38</v>
      </c>
      <c r="R7" s="33">
        <v>-215</v>
      </c>
      <c r="S7" s="33">
        <f t="shared" si="3"/>
        <v>253</v>
      </c>
      <c r="T7" s="38">
        <f t="shared" si="4"/>
        <v>-0.17674418604651163</v>
      </c>
      <c r="U7" s="59">
        <f t="shared" si="5"/>
        <v>-215</v>
      </c>
      <c r="V7" s="33">
        <v>0</v>
      </c>
      <c r="W7" s="33">
        <v>0</v>
      </c>
      <c r="X7" s="33"/>
      <c r="Y7" s="33"/>
      <c r="Z7" s="42"/>
      <c r="AA7" s="60"/>
      <c r="AB7" s="105"/>
      <c r="AC7" s="93"/>
      <c r="AD7" s="33">
        <f t="shared" si="6"/>
        <v>0</v>
      </c>
      <c r="AE7" s="33">
        <f t="shared" si="7"/>
        <v>38</v>
      </c>
      <c r="AF7" s="101">
        <f t="shared" si="8"/>
        <v>253</v>
      </c>
    </row>
    <row r="8" spans="2:32" ht="13" outlineLevel="2" x14ac:dyDescent="0.3">
      <c r="B8" s="31" t="s">
        <v>39</v>
      </c>
      <c r="C8" s="33">
        <v>1086</v>
      </c>
      <c r="D8" s="33">
        <v>1477</v>
      </c>
      <c r="E8" s="23">
        <v>0</v>
      </c>
      <c r="F8" s="23">
        <v>283</v>
      </c>
      <c r="G8" s="23">
        <v>-6</v>
      </c>
      <c r="H8" s="23">
        <v>-28</v>
      </c>
      <c r="I8" s="23">
        <v>397</v>
      </c>
      <c r="J8" s="23">
        <v>0</v>
      </c>
      <c r="K8" s="23">
        <f t="shared" si="0"/>
        <v>646</v>
      </c>
      <c r="L8" s="33">
        <f t="shared" si="1"/>
        <v>265</v>
      </c>
      <c r="M8" s="33">
        <f t="shared" si="2"/>
        <v>656</v>
      </c>
      <c r="N8" s="33">
        <v>1742</v>
      </c>
      <c r="O8" s="33">
        <v>4451</v>
      </c>
      <c r="P8" s="33">
        <v>-2594</v>
      </c>
      <c r="Q8" s="33">
        <v>1857</v>
      </c>
      <c r="R8" s="33">
        <v>1742</v>
      </c>
      <c r="S8" s="33">
        <f t="shared" si="3"/>
        <v>115</v>
      </c>
      <c r="T8" s="38">
        <f t="shared" si="4"/>
        <v>1.06601607347876</v>
      </c>
      <c r="U8" s="59">
        <f t="shared" si="5"/>
        <v>1742</v>
      </c>
      <c r="V8" s="33">
        <v>0</v>
      </c>
      <c r="W8" s="33">
        <v>0</v>
      </c>
      <c r="X8" s="33"/>
      <c r="Y8" s="33"/>
      <c r="Z8" s="42"/>
      <c r="AA8" s="60"/>
      <c r="AB8" s="105"/>
      <c r="AC8" s="93"/>
      <c r="AD8" s="33">
        <f t="shared" si="6"/>
        <v>0</v>
      </c>
      <c r="AE8" s="33">
        <f t="shared" si="7"/>
        <v>1857</v>
      </c>
      <c r="AF8" s="101">
        <f t="shared" si="8"/>
        <v>115</v>
      </c>
    </row>
    <row r="9" spans="2:32" ht="13" outlineLevel="2" x14ac:dyDescent="0.3">
      <c r="B9" s="31" t="s">
        <v>40</v>
      </c>
      <c r="C9" s="33">
        <v>1586</v>
      </c>
      <c r="D9" s="33">
        <v>1558</v>
      </c>
      <c r="E9" s="23">
        <v>0</v>
      </c>
      <c r="F9" s="23">
        <v>-37</v>
      </c>
      <c r="G9" s="23">
        <v>-3</v>
      </c>
      <c r="H9" s="23">
        <v>0</v>
      </c>
      <c r="I9" s="23">
        <v>-25</v>
      </c>
      <c r="J9" s="23">
        <v>0</v>
      </c>
      <c r="K9" s="23">
        <f t="shared" si="0"/>
        <v>-65</v>
      </c>
      <c r="L9" s="33">
        <f t="shared" si="1"/>
        <v>-37</v>
      </c>
      <c r="M9" s="33">
        <f t="shared" si="2"/>
        <v>-65</v>
      </c>
      <c r="N9" s="33">
        <v>1521</v>
      </c>
      <c r="O9" s="33">
        <v>4168</v>
      </c>
      <c r="P9" s="33">
        <v>-2308</v>
      </c>
      <c r="Q9" s="33">
        <v>1860</v>
      </c>
      <c r="R9" s="33">
        <v>1521</v>
      </c>
      <c r="S9" s="33">
        <f t="shared" si="3"/>
        <v>339</v>
      </c>
      <c r="T9" s="38">
        <f t="shared" si="4"/>
        <v>1.222879684418146</v>
      </c>
      <c r="U9" s="59">
        <f t="shared" si="5"/>
        <v>1480</v>
      </c>
      <c r="V9" s="33">
        <v>-41</v>
      </c>
      <c r="W9" s="33">
        <v>-41</v>
      </c>
      <c r="X9" s="33"/>
      <c r="Y9" s="33"/>
      <c r="Z9" s="42"/>
      <c r="AA9" s="60"/>
      <c r="AB9" s="105"/>
      <c r="AC9" s="93"/>
      <c r="AD9" s="33">
        <f t="shared" si="6"/>
        <v>0</v>
      </c>
      <c r="AE9" s="33">
        <f t="shared" si="7"/>
        <v>1860</v>
      </c>
      <c r="AF9" s="101">
        <f t="shared" si="8"/>
        <v>339</v>
      </c>
    </row>
    <row r="10" spans="2:32"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101">
        <f t="shared" si="8"/>
        <v>7</v>
      </c>
    </row>
    <row r="11" spans="2:32" ht="13" outlineLevel="1" x14ac:dyDescent="0.3">
      <c r="B11" s="32" t="s">
        <v>43</v>
      </c>
      <c r="C11" s="34">
        <f t="shared" ref="C11:J11" si="9">SUBTOTAL(9,C5:C10)</f>
        <v>4659</v>
      </c>
      <c r="D11" s="34">
        <f t="shared" si="9"/>
        <v>4616</v>
      </c>
      <c r="E11" s="24">
        <f t="shared" si="9"/>
        <v>0</v>
      </c>
      <c r="F11" s="24">
        <f t="shared" si="9"/>
        <v>-1027</v>
      </c>
      <c r="G11" s="24">
        <f t="shared" si="9"/>
        <v>-38</v>
      </c>
      <c r="H11" s="24">
        <f t="shared" si="9"/>
        <v>-28</v>
      </c>
      <c r="I11" s="24">
        <f t="shared" si="9"/>
        <v>-6</v>
      </c>
      <c r="J11" s="24">
        <f t="shared" si="9"/>
        <v>-15</v>
      </c>
      <c r="K11" s="24">
        <f>SUM(E11:J11)</f>
        <v>-1114</v>
      </c>
      <c r="L11" s="34">
        <f t="shared" si="1"/>
        <v>-1061</v>
      </c>
      <c r="M11" s="34">
        <f t="shared" si="2"/>
        <v>-1104</v>
      </c>
      <c r="N11" s="34">
        <f>SUBTOTAL(9,N5:N10)</f>
        <v>3555</v>
      </c>
      <c r="O11" s="34">
        <f>SUBTOTAL(9,O5:O10)</f>
        <v>12329</v>
      </c>
      <c r="P11" s="34">
        <f>SUBTOTAL(9,P5:P10)</f>
        <v>-8105</v>
      </c>
      <c r="Q11" s="34">
        <f>SUBTOTAL(9,Q5:Q10)</f>
        <v>4223</v>
      </c>
      <c r="R11" s="34">
        <f>SUBTOTAL(9,R5:R10)</f>
        <v>3555</v>
      </c>
      <c r="S11" s="34">
        <f>Q11-R11</f>
        <v>668</v>
      </c>
      <c r="T11" s="38">
        <f>IFERROR((Q11/N11)*100%,"∞")</f>
        <v>1.1879043600562589</v>
      </c>
      <c r="U11" s="59">
        <f>N11+V11</f>
        <v>3514</v>
      </c>
      <c r="V11" s="34">
        <f>SUBTOTAL(9,V5:V10)</f>
        <v>-41</v>
      </c>
      <c r="W11" s="34">
        <f>SUBTOTAL(9,W5:W10)</f>
        <v>-41</v>
      </c>
      <c r="X11" s="34"/>
      <c r="Y11" s="34"/>
      <c r="Z11" s="41"/>
      <c r="AA11" s="60"/>
      <c r="AB11" s="102">
        <f>SUBTOTAL(9,AB1:AB10)</f>
        <v>0</v>
      </c>
      <c r="AC11" s="34">
        <f>SUBTOTAL(9,AC1:AC10)</f>
        <v>0</v>
      </c>
      <c r="AD11" s="34"/>
      <c r="AE11" s="34"/>
      <c r="AF11" s="103"/>
    </row>
    <row r="12" spans="2:32" ht="13" outlineLevel="2" x14ac:dyDescent="0.3">
      <c r="B12" s="31" t="s">
        <v>44</v>
      </c>
      <c r="C12" s="33">
        <v>773</v>
      </c>
      <c r="D12" s="33">
        <v>723</v>
      </c>
      <c r="E12" s="23">
        <v>24</v>
      </c>
      <c r="F12" s="23">
        <v>29</v>
      </c>
      <c r="G12" s="23">
        <v>-25</v>
      </c>
      <c r="H12" s="23">
        <v>0</v>
      </c>
      <c r="I12" s="23">
        <v>-32</v>
      </c>
      <c r="J12" s="23">
        <v>0</v>
      </c>
      <c r="K12" s="23">
        <f t="shared" si="0"/>
        <v>-4</v>
      </c>
      <c r="L12" s="33">
        <f t="shared" si="1"/>
        <v>30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101">
        <f t="shared" si="8"/>
        <v>78</v>
      </c>
    </row>
    <row r="13" spans="2:32" ht="13" outlineLevel="1" x14ac:dyDescent="0.3">
      <c r="B13" s="32" t="s">
        <v>45</v>
      </c>
      <c r="C13" s="34">
        <f t="shared" ref="C13:J13" si="10">SUBTOTAL(9,C12:C12)</f>
        <v>773</v>
      </c>
      <c r="D13" s="34">
        <f t="shared" si="10"/>
        <v>723</v>
      </c>
      <c r="E13" s="24">
        <f t="shared" si="10"/>
        <v>24</v>
      </c>
      <c r="F13" s="24">
        <f t="shared" si="10"/>
        <v>29</v>
      </c>
      <c r="G13" s="24">
        <f t="shared" si="10"/>
        <v>-25</v>
      </c>
      <c r="H13" s="24">
        <f t="shared" si="10"/>
        <v>0</v>
      </c>
      <c r="I13" s="24">
        <f t="shared" si="10"/>
        <v>-32</v>
      </c>
      <c r="J13" s="24">
        <f t="shared" si="10"/>
        <v>0</v>
      </c>
      <c r="K13" s="24">
        <f>SUM(E13:J13)</f>
        <v>-4</v>
      </c>
      <c r="L13" s="34">
        <f t="shared" ref="L13" si="11">N13-D13</f>
        <v>30</v>
      </c>
      <c r="M13" s="34">
        <f t="shared" ref="M13" si="12">N13-C13</f>
        <v>-20</v>
      </c>
      <c r="N13" s="34">
        <f>SUBTOTAL(9,N12:N12)</f>
        <v>753</v>
      </c>
      <c r="O13" s="34">
        <f>SUBTOTAL(9,O12:O12)</f>
        <v>1783</v>
      </c>
      <c r="P13" s="34">
        <f>SUBTOTAL(9,P12:P12)</f>
        <v>-952</v>
      </c>
      <c r="Q13" s="34">
        <f>SUBTOTAL(9,Q12:Q12)</f>
        <v>831</v>
      </c>
      <c r="R13" s="34">
        <f>SUBTOTAL(9,R12:R12)</f>
        <v>753</v>
      </c>
      <c r="S13" s="34">
        <f>Q13-R13</f>
        <v>78</v>
      </c>
      <c r="T13" s="38">
        <f>IFERROR((Q13/N13)*100%,"∞")</f>
        <v>1.1035856573705178</v>
      </c>
      <c r="U13" s="59">
        <f>N13+V13</f>
        <v>813</v>
      </c>
      <c r="V13" s="34">
        <f>SUBTOTAL(9,V12:V12)</f>
        <v>60</v>
      </c>
      <c r="W13" s="34">
        <f>SUBTOTAL(9,W12:W12)</f>
        <v>60</v>
      </c>
      <c r="X13" s="34"/>
      <c r="Y13" s="34"/>
      <c r="Z13" s="41"/>
      <c r="AA13" s="60"/>
      <c r="AB13" s="102">
        <f>SUBTOTAL(9,AB1:AB12)</f>
        <v>0</v>
      </c>
      <c r="AC13" s="34">
        <f>SUBTOTAL(9,AC1:AC12)</f>
        <v>0</v>
      </c>
      <c r="AD13" s="34"/>
      <c r="AE13" s="34"/>
      <c r="AF13" s="103"/>
    </row>
    <row r="14" spans="2:32" ht="13" outlineLevel="2" x14ac:dyDescent="0.3">
      <c r="B14" s="31" t="s">
        <v>46</v>
      </c>
      <c r="C14" s="33">
        <v>1045</v>
      </c>
      <c r="D14" s="33">
        <v>1031</v>
      </c>
      <c r="E14" s="23">
        <v>-12</v>
      </c>
      <c r="F14" s="23">
        <v>0</v>
      </c>
      <c r="G14" s="23">
        <v>-8</v>
      </c>
      <c r="H14" s="23">
        <v>0</v>
      </c>
      <c r="I14" s="23">
        <v>6</v>
      </c>
      <c r="J14" s="23">
        <v>0</v>
      </c>
      <c r="K14" s="23">
        <f t="shared" si="0"/>
        <v>-14</v>
      </c>
      <c r="L14" s="33">
        <f t="shared" si="1"/>
        <v>0</v>
      </c>
      <c r="M14" s="33">
        <f t="shared" si="2"/>
        <v>-14</v>
      </c>
      <c r="N14" s="33">
        <v>1031</v>
      </c>
      <c r="O14" s="33">
        <v>1617</v>
      </c>
      <c r="P14" s="33">
        <v>-295</v>
      </c>
      <c r="Q14" s="33">
        <v>1322</v>
      </c>
      <c r="R14" s="33">
        <v>1031</v>
      </c>
      <c r="S14" s="33">
        <f t="shared" si="3"/>
        <v>291</v>
      </c>
      <c r="T14" s="38">
        <f t="shared" si="4"/>
        <v>1.2822502424830262</v>
      </c>
      <c r="U14" s="59">
        <f t="shared" si="5"/>
        <v>743</v>
      </c>
      <c r="V14" s="33">
        <v>-288</v>
      </c>
      <c r="W14" s="33">
        <v>-288</v>
      </c>
      <c r="X14" s="33"/>
      <c r="Y14" s="33"/>
      <c r="Z14" s="42"/>
      <c r="AA14" s="60"/>
      <c r="AB14" s="105"/>
      <c r="AC14" s="93"/>
      <c r="AD14" s="33">
        <f t="shared" si="6"/>
        <v>0</v>
      </c>
      <c r="AE14" s="33">
        <f t="shared" si="7"/>
        <v>1322</v>
      </c>
      <c r="AF14" s="101">
        <f t="shared" si="8"/>
        <v>291</v>
      </c>
    </row>
    <row r="15" spans="2:32"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101">
        <f t="shared" si="8"/>
        <v>14</v>
      </c>
    </row>
    <row r="16" spans="2:32"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101">
        <f t="shared" si="8"/>
        <v>-55</v>
      </c>
    </row>
    <row r="17" spans="2:32" ht="13" outlineLevel="2" x14ac:dyDescent="0.3">
      <c r="B17" s="31" t="s">
        <v>49</v>
      </c>
      <c r="C17" s="33">
        <v>602</v>
      </c>
      <c r="D17" s="33">
        <v>640</v>
      </c>
      <c r="E17" s="23">
        <v>43</v>
      </c>
      <c r="F17" s="23">
        <v>0</v>
      </c>
      <c r="G17" s="23">
        <v>-5</v>
      </c>
      <c r="H17" s="23">
        <v>0</v>
      </c>
      <c r="I17" s="23">
        <v>0</v>
      </c>
      <c r="J17" s="23">
        <v>0</v>
      </c>
      <c r="K17" s="23">
        <f t="shared" si="0"/>
        <v>38</v>
      </c>
      <c r="L17" s="33">
        <f t="shared" si="1"/>
        <v>0</v>
      </c>
      <c r="M17" s="33">
        <f t="shared" si="2"/>
        <v>38</v>
      </c>
      <c r="N17" s="33">
        <v>640</v>
      </c>
      <c r="O17" s="33">
        <v>820</v>
      </c>
      <c r="P17" s="33">
        <v>-328</v>
      </c>
      <c r="Q17" s="33">
        <v>492</v>
      </c>
      <c r="R17" s="33">
        <v>640</v>
      </c>
      <c r="S17" s="33">
        <f t="shared" si="3"/>
        <v>-148</v>
      </c>
      <c r="T17" s="38">
        <f t="shared" si="4"/>
        <v>0.76875000000000004</v>
      </c>
      <c r="U17" s="59">
        <f t="shared" si="5"/>
        <v>542</v>
      </c>
      <c r="V17" s="33">
        <v>-98</v>
      </c>
      <c r="W17" s="33">
        <v>-98</v>
      </c>
      <c r="X17" s="33"/>
      <c r="Y17" s="33"/>
      <c r="Z17" s="42"/>
      <c r="AA17" s="60"/>
      <c r="AB17" s="105"/>
      <c r="AC17" s="93"/>
      <c r="AD17" s="33">
        <f t="shared" si="6"/>
        <v>0</v>
      </c>
      <c r="AE17" s="33">
        <f t="shared" si="7"/>
        <v>492</v>
      </c>
      <c r="AF17" s="101">
        <f t="shared" si="8"/>
        <v>-148</v>
      </c>
    </row>
    <row r="18" spans="2:32" ht="13" outlineLevel="2" x14ac:dyDescent="0.3">
      <c r="B18" s="31" t="s">
        <v>50</v>
      </c>
      <c r="C18" s="33">
        <v>393</v>
      </c>
      <c r="D18" s="33">
        <v>154</v>
      </c>
      <c r="E18" s="23">
        <v>0</v>
      </c>
      <c r="F18" s="23">
        <v>0</v>
      </c>
      <c r="G18" s="23">
        <v>4</v>
      </c>
      <c r="H18" s="23">
        <v>0</v>
      </c>
      <c r="I18" s="23">
        <v>-242</v>
      </c>
      <c r="J18" s="23">
        <v>-30</v>
      </c>
      <c r="K18" s="23">
        <f t="shared" si="0"/>
        <v>-268</v>
      </c>
      <c r="L18" s="33">
        <f t="shared" si="1"/>
        <v>-30</v>
      </c>
      <c r="M18" s="33">
        <f t="shared" si="2"/>
        <v>-269</v>
      </c>
      <c r="N18" s="33">
        <v>124</v>
      </c>
      <c r="O18" s="33">
        <v>177</v>
      </c>
      <c r="P18" s="33">
        <v>-58</v>
      </c>
      <c r="Q18" s="33">
        <v>119</v>
      </c>
      <c r="R18" s="33">
        <v>124</v>
      </c>
      <c r="S18" s="33">
        <f t="shared" si="3"/>
        <v>-5</v>
      </c>
      <c r="T18" s="38">
        <f t="shared" si="4"/>
        <v>0.95967741935483875</v>
      </c>
      <c r="U18" s="59">
        <f t="shared" si="5"/>
        <v>127</v>
      </c>
      <c r="V18" s="33">
        <v>3</v>
      </c>
      <c r="W18" s="33">
        <v>3</v>
      </c>
      <c r="X18" s="33"/>
      <c r="Y18" s="33"/>
      <c r="Z18" s="42"/>
      <c r="AA18" s="60"/>
      <c r="AB18" s="105"/>
      <c r="AC18" s="93"/>
      <c r="AD18" s="33">
        <f t="shared" si="6"/>
        <v>0</v>
      </c>
      <c r="AE18" s="33">
        <f t="shared" si="7"/>
        <v>119</v>
      </c>
      <c r="AF18" s="101">
        <f t="shared" si="8"/>
        <v>-5</v>
      </c>
    </row>
    <row r="19" spans="2:32"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101">
        <f t="shared" si="8"/>
        <v>-141</v>
      </c>
    </row>
    <row r="20" spans="2:32" ht="13" outlineLevel="2" x14ac:dyDescent="0.3">
      <c r="B20" s="31" t="s">
        <v>52</v>
      </c>
      <c r="C20" s="33">
        <v>481</v>
      </c>
      <c r="D20" s="33">
        <v>475</v>
      </c>
      <c r="E20" s="23">
        <v>13</v>
      </c>
      <c r="F20" s="23">
        <v>0</v>
      </c>
      <c r="G20" s="23">
        <v>-3</v>
      </c>
      <c r="H20" s="23">
        <v>0</v>
      </c>
      <c r="I20" s="23">
        <v>-16</v>
      </c>
      <c r="J20" s="23">
        <v>0</v>
      </c>
      <c r="K20" s="23">
        <f t="shared" si="0"/>
        <v>-6</v>
      </c>
      <c r="L20" s="33">
        <f t="shared" si="1"/>
        <v>0</v>
      </c>
      <c r="M20" s="33">
        <f t="shared" si="2"/>
        <v>-6</v>
      </c>
      <c r="N20" s="33">
        <v>475</v>
      </c>
      <c r="O20" s="33">
        <v>976</v>
      </c>
      <c r="P20" s="33">
        <v>-551</v>
      </c>
      <c r="Q20" s="33">
        <v>425</v>
      </c>
      <c r="R20" s="33">
        <v>475</v>
      </c>
      <c r="S20" s="33">
        <f t="shared" si="3"/>
        <v>-50</v>
      </c>
      <c r="T20" s="38">
        <f t="shared" si="4"/>
        <v>0.89473684210526316</v>
      </c>
      <c r="U20" s="59">
        <f t="shared" si="5"/>
        <v>526</v>
      </c>
      <c r="V20" s="33">
        <v>51</v>
      </c>
      <c r="W20" s="33">
        <v>51</v>
      </c>
      <c r="X20" s="33"/>
      <c r="Y20" s="33"/>
      <c r="Z20" s="42"/>
      <c r="AA20" s="60"/>
      <c r="AB20" s="105"/>
      <c r="AC20" s="93"/>
      <c r="AD20" s="33">
        <f t="shared" si="6"/>
        <v>0</v>
      </c>
      <c r="AE20" s="33">
        <f t="shared" si="7"/>
        <v>425</v>
      </c>
      <c r="AF20" s="101">
        <f t="shared" si="8"/>
        <v>-50</v>
      </c>
    </row>
    <row r="21" spans="2:32" ht="13" outlineLevel="2" x14ac:dyDescent="0.3">
      <c r="B21" s="31" t="s">
        <v>53</v>
      </c>
      <c r="C21" s="33">
        <v>1168</v>
      </c>
      <c r="D21" s="33">
        <v>1452</v>
      </c>
      <c r="E21" s="23">
        <v>0</v>
      </c>
      <c r="F21" s="23">
        <v>-90</v>
      </c>
      <c r="G21" s="23">
        <v>-4</v>
      </c>
      <c r="H21" s="23">
        <v>0</v>
      </c>
      <c r="I21" s="23">
        <v>288</v>
      </c>
      <c r="J21" s="23">
        <v>-15</v>
      </c>
      <c r="K21" s="23">
        <f t="shared" si="0"/>
        <v>179</v>
      </c>
      <c r="L21" s="33">
        <f t="shared" si="1"/>
        <v>-105</v>
      </c>
      <c r="M21" s="33">
        <f t="shared" si="2"/>
        <v>179</v>
      </c>
      <c r="N21" s="33">
        <v>1347</v>
      </c>
      <c r="O21" s="33">
        <v>1324</v>
      </c>
      <c r="P21" s="33">
        <v>-53</v>
      </c>
      <c r="Q21" s="33">
        <v>1270</v>
      </c>
      <c r="R21" s="33">
        <v>1347</v>
      </c>
      <c r="S21" s="33">
        <f t="shared" si="3"/>
        <v>-77</v>
      </c>
      <c r="T21" s="38">
        <f t="shared" si="4"/>
        <v>0.94283593170007429</v>
      </c>
      <c r="U21" s="59">
        <f t="shared" si="5"/>
        <v>1294</v>
      </c>
      <c r="V21" s="33">
        <v>-53</v>
      </c>
      <c r="W21" s="33">
        <v>-53</v>
      </c>
      <c r="X21" s="33"/>
      <c r="Y21" s="33"/>
      <c r="Z21" s="42"/>
      <c r="AA21" s="60"/>
      <c r="AB21" s="105"/>
      <c r="AC21" s="93"/>
      <c r="AD21" s="33">
        <f t="shared" si="6"/>
        <v>0</v>
      </c>
      <c r="AE21" s="33">
        <f t="shared" si="7"/>
        <v>1270</v>
      </c>
      <c r="AF21" s="101">
        <f t="shared" si="8"/>
        <v>-77</v>
      </c>
    </row>
    <row r="22" spans="2:32" ht="13" outlineLevel="2" x14ac:dyDescent="0.3">
      <c r="B22" s="31" t="s">
        <v>54</v>
      </c>
      <c r="C22" s="33">
        <v>0</v>
      </c>
      <c r="D22" s="33">
        <v>4</v>
      </c>
      <c r="E22" s="23">
        <v>0</v>
      </c>
      <c r="F22" s="23">
        <v>0</v>
      </c>
      <c r="G22" s="23">
        <v>4</v>
      </c>
      <c r="H22" s="23">
        <v>0</v>
      </c>
      <c r="I22" s="23">
        <v>0</v>
      </c>
      <c r="J22" s="23">
        <v>0</v>
      </c>
      <c r="K22" s="23">
        <f t="shared" si="0"/>
        <v>4</v>
      </c>
      <c r="L22" s="33">
        <f t="shared" si="1"/>
        <v>0</v>
      </c>
      <c r="M22" s="33">
        <f t="shared" si="2"/>
        <v>4</v>
      </c>
      <c r="N22" s="33">
        <v>4</v>
      </c>
      <c r="O22" s="33">
        <v>976</v>
      </c>
      <c r="P22" s="33">
        <v>-913</v>
      </c>
      <c r="Q22" s="33">
        <v>63</v>
      </c>
      <c r="R22" s="33">
        <v>4</v>
      </c>
      <c r="S22" s="33">
        <f t="shared" si="3"/>
        <v>59</v>
      </c>
      <c r="T22" s="38">
        <f t="shared" si="4"/>
        <v>15.75</v>
      </c>
      <c r="U22" s="59">
        <f t="shared" si="5"/>
        <v>4</v>
      </c>
      <c r="V22" s="33">
        <v>0</v>
      </c>
      <c r="W22" s="33">
        <v>0</v>
      </c>
      <c r="X22" s="33"/>
      <c r="Y22" s="33"/>
      <c r="Z22" s="42"/>
      <c r="AA22" s="60"/>
      <c r="AB22" s="105"/>
      <c r="AC22" s="93"/>
      <c r="AD22" s="33">
        <f t="shared" si="6"/>
        <v>0</v>
      </c>
      <c r="AE22" s="33">
        <f t="shared" si="7"/>
        <v>63</v>
      </c>
      <c r="AF22" s="101">
        <f t="shared" si="8"/>
        <v>59</v>
      </c>
    </row>
    <row r="23" spans="2:32" ht="13" outlineLevel="1" x14ac:dyDescent="0.3">
      <c r="B23" s="32" t="s">
        <v>55</v>
      </c>
      <c r="C23" s="34">
        <f t="shared" ref="C23:J23" si="13">SUBTOTAL(9,C14:C22)</f>
        <v>5010</v>
      </c>
      <c r="D23" s="34">
        <f t="shared" si="13"/>
        <v>5194</v>
      </c>
      <c r="E23" s="24">
        <f t="shared" si="13"/>
        <v>75</v>
      </c>
      <c r="F23" s="24">
        <f t="shared" si="13"/>
        <v>-90</v>
      </c>
      <c r="G23" s="24">
        <f t="shared" si="13"/>
        <v>-32</v>
      </c>
      <c r="H23" s="24">
        <f t="shared" si="13"/>
        <v>0</v>
      </c>
      <c r="I23" s="24">
        <f t="shared" si="13"/>
        <v>140</v>
      </c>
      <c r="J23" s="24">
        <f t="shared" si="13"/>
        <v>-45</v>
      </c>
      <c r="K23" s="24">
        <f>SUM(E23:J23)</f>
        <v>48</v>
      </c>
      <c r="L23" s="34">
        <f t="shared" ref="L23:L24" si="14">N23-D23</f>
        <v>-135</v>
      </c>
      <c r="M23" s="34">
        <f t="shared" ref="M23:M24" si="15">N23-C23</f>
        <v>49</v>
      </c>
      <c r="N23" s="34">
        <f>SUBTOTAL(9,N14:N22)</f>
        <v>5059</v>
      </c>
      <c r="O23" s="34">
        <f>SUBTOTAL(9,O14:O22)</f>
        <v>8367</v>
      </c>
      <c r="P23" s="34">
        <f>SUBTOTAL(9,P14:P22)</f>
        <v>-3420</v>
      </c>
      <c r="Q23" s="34">
        <f>SUBTOTAL(9,Q14:Q22)</f>
        <v>4947</v>
      </c>
      <c r="R23" s="34">
        <f>SUBTOTAL(9,R14:R22)</f>
        <v>5059</v>
      </c>
      <c r="S23" s="34">
        <f>Q23-R23</f>
        <v>-112</v>
      </c>
      <c r="T23" s="38">
        <f>IFERROR((Q23/N23)*100%,"∞")</f>
        <v>0.97786123739869535</v>
      </c>
      <c r="U23" s="59">
        <f>N23+V23</f>
        <v>4576</v>
      </c>
      <c r="V23" s="34">
        <f>SUBTOTAL(9,V14:V22)</f>
        <v>-483</v>
      </c>
      <c r="W23" s="34">
        <f>SUBTOTAL(9,W14:W22)</f>
        <v>-483</v>
      </c>
      <c r="X23" s="34"/>
      <c r="Y23" s="34"/>
      <c r="Z23" s="41"/>
      <c r="AA23" s="60"/>
      <c r="AB23" s="102">
        <f>SUBTOTAL(9,AB1:AB22)</f>
        <v>0</v>
      </c>
      <c r="AC23" s="34">
        <f>SUBTOTAL(9,AC1:AC22)</f>
        <v>0</v>
      </c>
      <c r="AD23" s="34"/>
      <c r="AE23" s="34"/>
      <c r="AF23" s="103"/>
    </row>
    <row r="24" spans="2:32" ht="13.5" customHeight="1" thickBot="1" x14ac:dyDescent="0.35">
      <c r="B24" s="53" t="s">
        <v>56</v>
      </c>
      <c r="C24" s="35">
        <f t="shared" ref="C24:J24" si="16">SUBTOTAL(9,C5:C23)</f>
        <v>10442</v>
      </c>
      <c r="D24" s="35">
        <f t="shared" si="16"/>
        <v>10533</v>
      </c>
      <c r="E24" s="25">
        <f t="shared" si="16"/>
        <v>99</v>
      </c>
      <c r="F24" s="25">
        <f t="shared" si="16"/>
        <v>-1088</v>
      </c>
      <c r="G24" s="25">
        <f t="shared" si="16"/>
        <v>-95</v>
      </c>
      <c r="H24" s="25">
        <f t="shared" si="16"/>
        <v>-28</v>
      </c>
      <c r="I24" s="25">
        <f t="shared" si="16"/>
        <v>102</v>
      </c>
      <c r="J24" s="25">
        <f t="shared" si="16"/>
        <v>-60</v>
      </c>
      <c r="K24" s="25">
        <f>SUM(E24:J24)</f>
        <v>-1070</v>
      </c>
      <c r="L24" s="35">
        <f t="shared" si="14"/>
        <v>-1166</v>
      </c>
      <c r="M24" s="35">
        <f t="shared" si="15"/>
        <v>-1075</v>
      </c>
      <c r="N24" s="35">
        <f>SUBTOTAL(9,N5:N23)</f>
        <v>9367</v>
      </c>
      <c r="O24" s="35">
        <f>SUBTOTAL(9,O5:O23)</f>
        <v>22479</v>
      </c>
      <c r="P24" s="35">
        <f>SUBTOTAL(9,P5:P23)</f>
        <v>-12477</v>
      </c>
      <c r="Q24" s="35">
        <f>SUBTOTAL(9,Q5:Q23)</f>
        <v>10001</v>
      </c>
      <c r="R24" s="35">
        <f>SUBTOTAL(9,R5:R23)</f>
        <v>9367</v>
      </c>
      <c r="S24" s="35">
        <f>Q24-R24</f>
        <v>634</v>
      </c>
      <c r="T24" s="39">
        <f>IFERROR((Q24/N24)*100%,"∞")</f>
        <v>1.067684424041849</v>
      </c>
      <c r="U24" s="54">
        <f>N24+V24</f>
        <v>8903</v>
      </c>
      <c r="V24" s="35">
        <f>SUBTOTAL(9,V5:V23)</f>
        <v>-464</v>
      </c>
      <c r="W24" s="35">
        <f>SUBTOTAL(9,W5:W23)</f>
        <v>-464</v>
      </c>
      <c r="X24" s="35"/>
      <c r="Y24" s="35"/>
      <c r="Z24" s="43"/>
      <c r="AA24" s="60"/>
      <c r="AB24" s="104">
        <f>SUBTOTAL(9,AB1:AB23)</f>
        <v>0</v>
      </c>
      <c r="AC24" s="104">
        <f>SUBTOTAL(9,AC1:AC23)</f>
        <v>0</v>
      </c>
      <c r="AD24" s="35">
        <f>SUM(AB24:AC24)</f>
        <v>0</v>
      </c>
      <c r="AE24" s="35">
        <f>Q24+AD24</f>
        <v>10001</v>
      </c>
      <c r="AF24" s="43">
        <f>AE24-N24</f>
        <v>634</v>
      </c>
    </row>
    <row r="25" spans="2:32"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101">
        <f t="shared" si="8"/>
        <v>1</v>
      </c>
    </row>
    <row r="26" spans="2:32" ht="13" outlineLevel="2" x14ac:dyDescent="0.3">
      <c r="B26" s="31" t="s">
        <v>58</v>
      </c>
      <c r="C26" s="33">
        <v>-10723</v>
      </c>
      <c r="D26" s="33">
        <v>-10871</v>
      </c>
      <c r="E26" s="23">
        <v>0</v>
      </c>
      <c r="F26" s="23">
        <v>147</v>
      </c>
      <c r="G26" s="23">
        <v>-28</v>
      </c>
      <c r="H26" s="23">
        <v>0</v>
      </c>
      <c r="I26" s="23">
        <v>-120</v>
      </c>
      <c r="J26" s="23">
        <v>-30</v>
      </c>
      <c r="K26" s="23">
        <f t="shared" si="0"/>
        <v>-31</v>
      </c>
      <c r="L26" s="33">
        <f t="shared" si="1"/>
        <v>116</v>
      </c>
      <c r="M26" s="33">
        <f t="shared" si="2"/>
        <v>-32</v>
      </c>
      <c r="N26" s="33">
        <v>-10755</v>
      </c>
      <c r="O26" s="33">
        <v>2279</v>
      </c>
      <c r="P26" s="33">
        <v>-12311</v>
      </c>
      <c r="Q26" s="33">
        <v>-10032</v>
      </c>
      <c r="R26" s="33">
        <v>-10755</v>
      </c>
      <c r="S26" s="33">
        <f t="shared" si="3"/>
        <v>723</v>
      </c>
      <c r="T26" s="38">
        <f t="shared" si="4"/>
        <v>0.9327754532775453</v>
      </c>
      <c r="U26" s="59">
        <f t="shared" si="5"/>
        <v>-9638</v>
      </c>
      <c r="V26" s="33">
        <v>1117</v>
      </c>
      <c r="W26" s="33">
        <v>1117</v>
      </c>
      <c r="X26" s="33"/>
      <c r="Y26" s="33"/>
      <c r="Z26" s="42"/>
      <c r="AA26" s="60"/>
      <c r="AB26" s="105"/>
      <c r="AC26" s="93"/>
      <c r="AD26" s="33">
        <f t="shared" si="6"/>
        <v>0</v>
      </c>
      <c r="AE26" s="33">
        <f t="shared" si="7"/>
        <v>-10032</v>
      </c>
      <c r="AF26" s="101">
        <f t="shared" si="8"/>
        <v>723</v>
      </c>
    </row>
    <row r="27" spans="2:32"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101">
        <f t="shared" si="8"/>
        <v>-42</v>
      </c>
    </row>
    <row r="28" spans="2:32" ht="13" outlineLevel="1" x14ac:dyDescent="0.3">
      <c r="B28" s="32" t="s">
        <v>61</v>
      </c>
      <c r="C28" s="34">
        <f t="shared" ref="C28:J28" si="17">SUBTOTAL(9,C25:C27)</f>
        <v>-9068</v>
      </c>
      <c r="D28" s="34">
        <f t="shared" si="17"/>
        <v>-9242</v>
      </c>
      <c r="E28" s="24">
        <f t="shared" si="17"/>
        <v>0</v>
      </c>
      <c r="F28" s="24">
        <f t="shared" si="17"/>
        <v>147</v>
      </c>
      <c r="G28" s="24">
        <f t="shared" si="17"/>
        <v>-59</v>
      </c>
      <c r="H28" s="24">
        <f t="shared" si="17"/>
        <v>0</v>
      </c>
      <c r="I28" s="24">
        <f t="shared" si="17"/>
        <v>-114</v>
      </c>
      <c r="J28" s="24">
        <f t="shared" si="17"/>
        <v>-30</v>
      </c>
      <c r="K28" s="24">
        <f>SUM(E28:J28)</f>
        <v>-56</v>
      </c>
      <c r="L28" s="34">
        <f t="shared" ref="L28" si="18">N28-D28</f>
        <v>116</v>
      </c>
      <c r="M28" s="34">
        <f t="shared" ref="M28" si="19">N28-C28</f>
        <v>-58</v>
      </c>
      <c r="N28" s="34">
        <f>SUBTOTAL(9,N25:N27)</f>
        <v>-9126</v>
      </c>
      <c r="O28" s="34">
        <f>SUBTOTAL(9,O25:O27)</f>
        <v>4920</v>
      </c>
      <c r="P28" s="34">
        <f>SUBTOTAL(9,P25:P27)</f>
        <v>-13364</v>
      </c>
      <c r="Q28" s="34">
        <f>SUBTOTAL(9,Q25:Q27)</f>
        <v>-8444</v>
      </c>
      <c r="R28" s="34">
        <f>SUBTOTAL(9,R25:R27)</f>
        <v>-9126</v>
      </c>
      <c r="S28" s="34">
        <f>Q28-R28</f>
        <v>682</v>
      </c>
      <c r="T28" s="38">
        <f>IFERROR((Q28/N28)*100%,"∞")</f>
        <v>0.92526846373000216</v>
      </c>
      <c r="U28" s="59">
        <f>N28+V28</f>
        <v>-7859</v>
      </c>
      <c r="V28" s="34">
        <f>SUBTOTAL(9,V25:V27)</f>
        <v>1267</v>
      </c>
      <c r="W28" s="34">
        <f>SUBTOTAL(9,W25:W27)</f>
        <v>1267</v>
      </c>
      <c r="X28" s="34"/>
      <c r="Y28" s="34"/>
      <c r="Z28" s="41"/>
      <c r="AA28" s="60"/>
      <c r="AB28" s="102">
        <f>SUBTOTAL(9,AB1:AB27)</f>
        <v>0</v>
      </c>
      <c r="AC28" s="34">
        <f>SUBTOTAL(9,AC1:AC27)</f>
        <v>0</v>
      </c>
      <c r="AD28" s="34"/>
      <c r="AE28" s="34"/>
      <c r="AF28" s="103"/>
    </row>
    <row r="29" spans="2:32" ht="13" outlineLevel="2" x14ac:dyDescent="0.3">
      <c r="B29" s="31" t="s">
        <v>62</v>
      </c>
      <c r="C29" s="33">
        <v>333</v>
      </c>
      <c r="D29" s="33">
        <v>409</v>
      </c>
      <c r="E29" s="23">
        <v>50</v>
      </c>
      <c r="F29" s="23">
        <v>58</v>
      </c>
      <c r="G29" s="23">
        <v>20</v>
      </c>
      <c r="H29" s="23">
        <v>0</v>
      </c>
      <c r="I29" s="23">
        <v>6</v>
      </c>
      <c r="J29" s="23">
        <v>0</v>
      </c>
      <c r="K29" s="23">
        <f t="shared" si="0"/>
        <v>134</v>
      </c>
      <c r="L29" s="33">
        <f t="shared" si="1"/>
        <v>58</v>
      </c>
      <c r="M29" s="33">
        <f t="shared" si="2"/>
        <v>134</v>
      </c>
      <c r="N29" s="33">
        <v>467</v>
      </c>
      <c r="O29" s="33">
        <v>931</v>
      </c>
      <c r="P29" s="33">
        <v>-353</v>
      </c>
      <c r="Q29" s="33">
        <v>578</v>
      </c>
      <c r="R29" s="33">
        <v>467</v>
      </c>
      <c r="S29" s="33">
        <f t="shared" si="3"/>
        <v>111</v>
      </c>
      <c r="T29" s="38">
        <f t="shared" si="4"/>
        <v>1.2376873661670236</v>
      </c>
      <c r="U29" s="59">
        <f t="shared" si="5"/>
        <v>467</v>
      </c>
      <c r="V29" s="33">
        <v>0</v>
      </c>
      <c r="W29" s="33">
        <v>0</v>
      </c>
      <c r="X29" s="33"/>
      <c r="Y29" s="33"/>
      <c r="Z29" s="42"/>
      <c r="AA29" s="60"/>
      <c r="AB29" s="105"/>
      <c r="AC29" s="93"/>
      <c r="AD29" s="33">
        <f t="shared" si="6"/>
        <v>0</v>
      </c>
      <c r="AE29" s="33">
        <f t="shared" si="7"/>
        <v>578</v>
      </c>
      <c r="AF29" s="101">
        <f t="shared" si="8"/>
        <v>111</v>
      </c>
    </row>
    <row r="30" spans="2:32"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101">
        <f t="shared" si="8"/>
        <v>-89</v>
      </c>
    </row>
    <row r="31" spans="2:32"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101">
        <f t="shared" si="8"/>
        <v>1</v>
      </c>
    </row>
    <row r="32" spans="2:32" ht="13" outlineLevel="1" x14ac:dyDescent="0.3">
      <c r="B32" s="32" t="s">
        <v>65</v>
      </c>
      <c r="C32" s="34">
        <f t="shared" ref="C32:J32" si="20">SUBTOTAL(9,C29:C31)</f>
        <v>782</v>
      </c>
      <c r="D32" s="34">
        <f t="shared" si="20"/>
        <v>845</v>
      </c>
      <c r="E32" s="24">
        <f t="shared" si="20"/>
        <v>50</v>
      </c>
      <c r="F32" s="24">
        <f t="shared" si="20"/>
        <v>58</v>
      </c>
      <c r="G32" s="24">
        <f t="shared" si="20"/>
        <v>6</v>
      </c>
      <c r="H32" s="24">
        <f t="shared" si="20"/>
        <v>0</v>
      </c>
      <c r="I32" s="24">
        <f t="shared" si="20"/>
        <v>6</v>
      </c>
      <c r="J32" s="24">
        <f t="shared" si="20"/>
        <v>0</v>
      </c>
      <c r="K32" s="24">
        <f>SUM(E32:J32)</f>
        <v>120</v>
      </c>
      <c r="L32" s="34">
        <f t="shared" ref="L32" si="21">N32-D32</f>
        <v>58</v>
      </c>
      <c r="M32" s="34">
        <f t="shared" ref="M32" si="22">N32-C32</f>
        <v>121</v>
      </c>
      <c r="N32" s="34">
        <f>SUBTOTAL(9,N29:N31)</f>
        <v>903</v>
      </c>
      <c r="O32" s="34">
        <f>SUBTOTAL(9,O29:O31)</f>
        <v>1309</v>
      </c>
      <c r="P32" s="34">
        <f>SUBTOTAL(9,P29:P31)</f>
        <v>-383</v>
      </c>
      <c r="Q32" s="34">
        <f>SUBTOTAL(9,Q29:Q31)</f>
        <v>926</v>
      </c>
      <c r="R32" s="34">
        <f>SUBTOTAL(9,R29:R31)</f>
        <v>903</v>
      </c>
      <c r="S32" s="34">
        <f>Q32-R32</f>
        <v>23</v>
      </c>
      <c r="T32" s="38">
        <f>IFERROR((Q32/N32)*100%,"∞")</f>
        <v>1.0254706533776301</v>
      </c>
      <c r="U32" s="59">
        <f>N32+V32</f>
        <v>903</v>
      </c>
      <c r="V32" s="34">
        <f>SUBTOTAL(9,V29:V31)</f>
        <v>0</v>
      </c>
      <c r="W32" s="34">
        <f>SUBTOTAL(9,W29:W31)</f>
        <v>0</v>
      </c>
      <c r="X32" s="34"/>
      <c r="Y32" s="34"/>
      <c r="Z32" s="41"/>
      <c r="AA32" s="60"/>
      <c r="AB32" s="102">
        <f>SUBTOTAL(9,AB1:AB31)</f>
        <v>0</v>
      </c>
      <c r="AC32" s="34">
        <f>SUBTOTAL(9,AC1:AC31)</f>
        <v>0</v>
      </c>
      <c r="AD32" s="34"/>
      <c r="AE32" s="34"/>
      <c r="AF32" s="103"/>
    </row>
    <row r="33" spans="2:32"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101">
        <f t="shared" si="8"/>
        <v>-33</v>
      </c>
    </row>
    <row r="34" spans="2:32" ht="13" outlineLevel="2" x14ac:dyDescent="0.3">
      <c r="B34" s="31" t="s">
        <v>67</v>
      </c>
      <c r="C34" s="33">
        <v>184</v>
      </c>
      <c r="D34" s="33">
        <v>179</v>
      </c>
      <c r="E34" s="23">
        <v>0</v>
      </c>
      <c r="F34" s="23">
        <v>-4</v>
      </c>
      <c r="G34" s="23">
        <v>-4</v>
      </c>
      <c r="H34" s="23">
        <v>0</v>
      </c>
      <c r="I34" s="23">
        <v>0</v>
      </c>
      <c r="J34" s="23">
        <v>30</v>
      </c>
      <c r="K34" s="23">
        <f t="shared" si="0"/>
        <v>22</v>
      </c>
      <c r="L34" s="33">
        <f t="shared" si="1"/>
        <v>26</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101">
        <f t="shared" si="8"/>
        <v>-75</v>
      </c>
    </row>
    <row r="35" spans="2:32"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101">
        <f t="shared" si="8"/>
        <v>-19</v>
      </c>
    </row>
    <row r="36" spans="2:32" ht="13" outlineLevel="2" x14ac:dyDescent="0.3">
      <c r="B36" s="31" t="s">
        <v>69</v>
      </c>
      <c r="C36" s="33">
        <v>1218</v>
      </c>
      <c r="D36" s="33">
        <v>1205</v>
      </c>
      <c r="E36" s="23">
        <v>0</v>
      </c>
      <c r="F36" s="23">
        <v>-2</v>
      </c>
      <c r="G36" s="23">
        <v>-17</v>
      </c>
      <c r="H36" s="23">
        <v>0</v>
      </c>
      <c r="I36" s="23">
        <v>3</v>
      </c>
      <c r="J36" s="23">
        <v>0</v>
      </c>
      <c r="K36" s="23">
        <f t="shared" si="0"/>
        <v>-16</v>
      </c>
      <c r="L36" s="33">
        <f t="shared" si="1"/>
        <v>-2</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101">
        <f t="shared" si="8"/>
        <v>-101</v>
      </c>
    </row>
    <row r="37" spans="2:32" ht="13" outlineLevel="2" x14ac:dyDescent="0.3">
      <c r="B37" s="31" t="s">
        <v>70</v>
      </c>
      <c r="C37" s="33">
        <v>-49</v>
      </c>
      <c r="D37" s="33">
        <v>7</v>
      </c>
      <c r="E37" s="23">
        <v>0</v>
      </c>
      <c r="F37" s="23">
        <v>-1445</v>
      </c>
      <c r="G37" s="23">
        <v>-43</v>
      </c>
      <c r="H37" s="23">
        <v>0</v>
      </c>
      <c r="I37" s="23">
        <v>83</v>
      </c>
      <c r="J37" s="23">
        <v>-15</v>
      </c>
      <c r="K37" s="23">
        <f t="shared" si="0"/>
        <v>-1420</v>
      </c>
      <c r="L37" s="33">
        <f t="shared" si="1"/>
        <v>-1460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101">
        <f t="shared" si="8"/>
        <v>96</v>
      </c>
    </row>
    <row r="38" spans="2:32" ht="13" outlineLevel="1" x14ac:dyDescent="0.3">
      <c r="B38" s="32" t="s">
        <v>71</v>
      </c>
      <c r="C38" s="34">
        <f t="shared" ref="C38:J38" si="23">SUBTOTAL(9,C33:C37)</f>
        <v>521</v>
      </c>
      <c r="D38" s="34">
        <f t="shared" si="23"/>
        <v>536</v>
      </c>
      <c r="E38" s="24">
        <f t="shared" si="23"/>
        <v>0</v>
      </c>
      <c r="F38" s="24">
        <f t="shared" si="23"/>
        <v>-1451</v>
      </c>
      <c r="G38" s="24">
        <f t="shared" si="23"/>
        <v>-89</v>
      </c>
      <c r="H38" s="24">
        <f t="shared" si="23"/>
        <v>0</v>
      </c>
      <c r="I38" s="24">
        <f t="shared" si="23"/>
        <v>88</v>
      </c>
      <c r="J38" s="24">
        <f t="shared" si="23"/>
        <v>15</v>
      </c>
      <c r="K38" s="24">
        <f>SUM(E38:J38)</f>
        <v>-1437</v>
      </c>
      <c r="L38" s="34">
        <f t="shared" ref="L38:L39" si="24">N38-D38</f>
        <v>-1436</v>
      </c>
      <c r="M38" s="34">
        <f t="shared" ref="M38:M39" si="25">N38-C38</f>
        <v>-1421</v>
      </c>
      <c r="N38" s="34">
        <f>SUBTOTAL(9,N33:N37)</f>
        <v>-900</v>
      </c>
      <c r="O38" s="34">
        <f>SUBTOTAL(9,O33:O37)</f>
        <v>5341</v>
      </c>
      <c r="P38" s="34">
        <f>SUBTOTAL(9,P33:P37)</f>
        <v>-6372</v>
      </c>
      <c r="Q38" s="34">
        <f>SUBTOTAL(9,Q33:Q37)</f>
        <v>-1032</v>
      </c>
      <c r="R38" s="34">
        <f>SUBTOTAL(9,R33:R37)</f>
        <v>-900</v>
      </c>
      <c r="S38" s="34">
        <f>Q38-R38</f>
        <v>-132</v>
      </c>
      <c r="T38" s="38">
        <f>IFERROR((Q38/N38)*100%,"∞")</f>
        <v>1.1466666666666667</v>
      </c>
      <c r="U38" s="59">
        <f>N38+V38</f>
        <v>-911</v>
      </c>
      <c r="V38" s="34">
        <f>SUBTOTAL(9,V33:V37)</f>
        <v>-11</v>
      </c>
      <c r="W38" s="34">
        <f>SUBTOTAL(9,W33:W37)</f>
        <v>-11</v>
      </c>
      <c r="X38" s="34"/>
      <c r="Y38" s="34"/>
      <c r="Z38" s="41"/>
      <c r="AA38" s="60"/>
      <c r="AB38" s="102">
        <f>SUBTOTAL(9,AB1:AB37)</f>
        <v>0</v>
      </c>
      <c r="AC38" s="34">
        <f>SUBTOTAL(9,AC1:AC37)</f>
        <v>0</v>
      </c>
      <c r="AD38" s="34"/>
      <c r="AE38" s="34"/>
      <c r="AF38" s="103"/>
    </row>
    <row r="39" spans="2:32" ht="13.5" customHeight="1" thickBot="1" x14ac:dyDescent="0.35">
      <c r="B39" s="53" t="s">
        <v>72</v>
      </c>
      <c r="C39" s="35">
        <f t="shared" ref="C39:J39" si="26">SUBTOTAL(9,C25:C38)</f>
        <v>-7765</v>
      </c>
      <c r="D39" s="35">
        <f t="shared" si="26"/>
        <v>-7861</v>
      </c>
      <c r="E39" s="25">
        <f t="shared" si="26"/>
        <v>50</v>
      </c>
      <c r="F39" s="25">
        <f t="shared" si="26"/>
        <v>-1246</v>
      </c>
      <c r="G39" s="25">
        <f t="shared" si="26"/>
        <v>-142</v>
      </c>
      <c r="H39" s="25">
        <f t="shared" si="26"/>
        <v>0</v>
      </c>
      <c r="I39" s="25">
        <f t="shared" si="26"/>
        <v>-20</v>
      </c>
      <c r="J39" s="25">
        <f t="shared" si="26"/>
        <v>-15</v>
      </c>
      <c r="K39" s="25">
        <f>SUM(E39:J39)</f>
        <v>-1373</v>
      </c>
      <c r="L39" s="35">
        <f t="shared" si="24"/>
        <v>-1262</v>
      </c>
      <c r="M39" s="35">
        <f t="shared" si="25"/>
        <v>-1358</v>
      </c>
      <c r="N39" s="35">
        <f>SUBTOTAL(9,N25:N38)</f>
        <v>-9123</v>
      </c>
      <c r="O39" s="35">
        <f>SUBTOTAL(9,O25:O38)</f>
        <v>11570</v>
      </c>
      <c r="P39" s="35">
        <f>SUBTOTAL(9,P25:P38)</f>
        <v>-20119</v>
      </c>
      <c r="Q39" s="35">
        <f>SUBTOTAL(9,Q25:Q38)</f>
        <v>-8550</v>
      </c>
      <c r="R39" s="35">
        <f>SUBTOTAL(9,R25:R38)</f>
        <v>-9123</v>
      </c>
      <c r="S39" s="35">
        <f>Q39-R39</f>
        <v>573</v>
      </c>
      <c r="T39" s="39">
        <f>IFERROR((Q39/N39)*100%,"∞")</f>
        <v>0.93719171325221962</v>
      </c>
      <c r="U39" s="54">
        <f>N39+V39</f>
        <v>-7867</v>
      </c>
      <c r="V39" s="35">
        <f>SUBTOTAL(9,V25:V38)</f>
        <v>1256</v>
      </c>
      <c r="W39" s="35">
        <f>SUBTOTAL(9,W25:W38)</f>
        <v>1256</v>
      </c>
      <c r="X39" s="35"/>
      <c r="Y39" s="35"/>
      <c r="Z39" s="43"/>
      <c r="AA39" s="60"/>
      <c r="AB39" s="104">
        <f>SUBTOTAL(9,AB1:AB38)</f>
        <v>0</v>
      </c>
      <c r="AC39" s="104">
        <f>SUBTOTAL(9,AC1:AC38)</f>
        <v>0</v>
      </c>
      <c r="AD39" s="35">
        <f>SUM(AB39:AC39)</f>
        <v>0</v>
      </c>
      <c r="AE39" s="35">
        <f>Q39+AD39</f>
        <v>-8550</v>
      </c>
      <c r="AF39" s="43">
        <f>AE39-N39</f>
        <v>573</v>
      </c>
    </row>
    <row r="40" spans="2:32"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c r="AC40" s="93"/>
      <c r="AD40" s="33">
        <f t="shared" si="6"/>
        <v>0</v>
      </c>
      <c r="AE40" s="33">
        <f t="shared" si="7"/>
        <v>129</v>
      </c>
      <c r="AF40" s="101">
        <f t="shared" si="8"/>
        <v>1</v>
      </c>
    </row>
    <row r="41" spans="2:32" ht="13" outlineLevel="2" x14ac:dyDescent="0.3">
      <c r="B41" s="31" t="s">
        <v>74</v>
      </c>
      <c r="C41" s="33">
        <v>431</v>
      </c>
      <c r="D41" s="33">
        <v>417</v>
      </c>
      <c r="E41" s="23">
        <v>0</v>
      </c>
      <c r="F41" s="23">
        <v>0</v>
      </c>
      <c r="G41" s="23">
        <v>-13</v>
      </c>
      <c r="H41" s="23">
        <v>0</v>
      </c>
      <c r="I41" s="23">
        <v>0</v>
      </c>
      <c r="J41" s="23">
        <v>0</v>
      </c>
      <c r="K41" s="23">
        <f t="shared" si="0"/>
        <v>-13</v>
      </c>
      <c r="L41" s="33">
        <f t="shared" si="1"/>
        <v>0</v>
      </c>
      <c r="M41" s="33">
        <f t="shared" si="2"/>
        <v>-14</v>
      </c>
      <c r="N41" s="33">
        <v>417</v>
      </c>
      <c r="O41" s="33">
        <v>465</v>
      </c>
      <c r="P41" s="33">
        <v>-39</v>
      </c>
      <c r="Q41" s="33">
        <v>426</v>
      </c>
      <c r="R41" s="33">
        <v>417</v>
      </c>
      <c r="S41" s="33">
        <f t="shared" si="3"/>
        <v>9</v>
      </c>
      <c r="T41" s="38">
        <f t="shared" si="4"/>
        <v>1.0215827338129497</v>
      </c>
      <c r="U41" s="59">
        <f t="shared" si="5"/>
        <v>424</v>
      </c>
      <c r="V41" s="33">
        <v>7</v>
      </c>
      <c r="W41" s="33">
        <v>7</v>
      </c>
      <c r="X41" s="33"/>
      <c r="Y41" s="33"/>
      <c r="Z41" s="42"/>
      <c r="AA41" s="60"/>
      <c r="AB41" s="105"/>
      <c r="AC41" s="93"/>
      <c r="AD41" s="33">
        <f t="shared" si="6"/>
        <v>0</v>
      </c>
      <c r="AE41" s="33">
        <f t="shared" si="7"/>
        <v>426</v>
      </c>
      <c r="AF41" s="101">
        <f t="shared" si="8"/>
        <v>9</v>
      </c>
    </row>
    <row r="42" spans="2:32"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101">
        <f t="shared" si="8"/>
        <v>-66</v>
      </c>
    </row>
    <row r="43" spans="2:32" ht="13" outlineLevel="1" x14ac:dyDescent="0.3">
      <c r="B43" s="32" t="s">
        <v>76</v>
      </c>
      <c r="C43" s="34">
        <f t="shared" ref="C43:J43" si="27">SUBTOTAL(9,C40:C42)</f>
        <v>907</v>
      </c>
      <c r="D43" s="34">
        <f t="shared" si="27"/>
        <v>882</v>
      </c>
      <c r="E43" s="24">
        <f t="shared" si="27"/>
        <v>0</v>
      </c>
      <c r="F43" s="24">
        <f t="shared" si="27"/>
        <v>0</v>
      </c>
      <c r="G43" s="24">
        <f t="shared" si="27"/>
        <v>-22</v>
      </c>
      <c r="H43" s="24">
        <f t="shared" si="27"/>
        <v>0</v>
      </c>
      <c r="I43" s="24">
        <f t="shared" si="27"/>
        <v>-1</v>
      </c>
      <c r="J43" s="24">
        <f t="shared" si="27"/>
        <v>0</v>
      </c>
      <c r="K43" s="24">
        <f>SUM(E43:J43)</f>
        <v>-23</v>
      </c>
      <c r="L43" s="34">
        <f t="shared" ref="L43" si="28">N43-D43</f>
        <v>0</v>
      </c>
      <c r="M43" s="34">
        <f t="shared" ref="M43" si="29">N43-C43</f>
        <v>-25</v>
      </c>
      <c r="N43" s="34">
        <f>SUBTOTAL(9,N40:N42)</f>
        <v>882</v>
      </c>
      <c r="O43" s="34">
        <f>SUBTOTAL(9,O40:O42)</f>
        <v>883</v>
      </c>
      <c r="P43" s="34">
        <f>SUBTOTAL(9,P40:P42)</f>
        <v>-57</v>
      </c>
      <c r="Q43" s="34">
        <f>SUBTOTAL(9,Q40:Q42)</f>
        <v>826</v>
      </c>
      <c r="R43" s="34">
        <f>SUBTOTAL(9,R40:R42)</f>
        <v>882</v>
      </c>
      <c r="S43" s="34">
        <f>Q43-R43</f>
        <v>-56</v>
      </c>
      <c r="T43" s="38">
        <f>IFERROR((Q43/N43)*100%,"∞")</f>
        <v>0.93650793650793651</v>
      </c>
      <c r="U43" s="59">
        <f>N43+V43</f>
        <v>824</v>
      </c>
      <c r="V43" s="34">
        <f>SUBTOTAL(9,V40:V42)</f>
        <v>-58</v>
      </c>
      <c r="W43" s="34">
        <f>SUBTOTAL(9,W40:W42)</f>
        <v>-58</v>
      </c>
      <c r="X43" s="34"/>
      <c r="Y43" s="34"/>
      <c r="Z43" s="41"/>
      <c r="AA43" s="60"/>
      <c r="AB43" s="102">
        <f>SUBTOTAL(9,AB1:AB42)</f>
        <v>0</v>
      </c>
      <c r="AC43" s="34">
        <f>SUBTOTAL(9,AC1:AC42)</f>
        <v>0</v>
      </c>
      <c r="AD43" s="34"/>
      <c r="AE43" s="34"/>
      <c r="AF43" s="103"/>
    </row>
    <row r="44" spans="2:32" ht="13" outlineLevel="2" x14ac:dyDescent="0.3">
      <c r="B44" s="31" t="s">
        <v>77</v>
      </c>
      <c r="C44" s="33">
        <v>509</v>
      </c>
      <c r="D44" s="33">
        <v>543</v>
      </c>
      <c r="E44" s="23">
        <v>44</v>
      </c>
      <c r="F44" s="23">
        <v>-136</v>
      </c>
      <c r="G44" s="23">
        <v>-8</v>
      </c>
      <c r="H44" s="23">
        <v>0</v>
      </c>
      <c r="I44" s="23">
        <v>-2</v>
      </c>
      <c r="J44" s="23">
        <v>0</v>
      </c>
      <c r="K44" s="23">
        <f t="shared" si="0"/>
        <v>-102</v>
      </c>
      <c r="L44" s="33">
        <f t="shared" si="1"/>
        <v>-135</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si="7"/>
        <v>346</v>
      </c>
      <c r="AF44" s="101">
        <f t="shared" si="8"/>
        <v>-62</v>
      </c>
    </row>
    <row r="45" spans="2:32" ht="13" outlineLevel="2" x14ac:dyDescent="0.3">
      <c r="B45" s="31" t="s">
        <v>78</v>
      </c>
      <c r="C45" s="33">
        <v>370</v>
      </c>
      <c r="D45" s="33">
        <v>277</v>
      </c>
      <c r="E45" s="23">
        <v>-63</v>
      </c>
      <c r="F45" s="23">
        <v>-27</v>
      </c>
      <c r="G45" s="23">
        <v>-6</v>
      </c>
      <c r="H45" s="23">
        <v>0</v>
      </c>
      <c r="I45" s="23">
        <v>-25</v>
      </c>
      <c r="J45" s="23">
        <v>0</v>
      </c>
      <c r="K45" s="23">
        <f t="shared" si="0"/>
        <v>-121</v>
      </c>
      <c r="L45" s="33">
        <f t="shared" si="1"/>
        <v>-27</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7"/>
        <v>256</v>
      </c>
      <c r="AF45" s="101">
        <f t="shared" si="8"/>
        <v>6</v>
      </c>
    </row>
    <row r="46" spans="2:32" ht="13" outlineLevel="2" x14ac:dyDescent="0.3">
      <c r="B46" s="31" t="s">
        <v>79</v>
      </c>
      <c r="C46" s="33">
        <v>251</v>
      </c>
      <c r="D46" s="33">
        <v>327</v>
      </c>
      <c r="E46" s="23">
        <v>92</v>
      </c>
      <c r="F46" s="23">
        <v>-386</v>
      </c>
      <c r="G46" s="23">
        <v>-12</v>
      </c>
      <c r="H46" s="23">
        <v>0</v>
      </c>
      <c r="I46" s="23">
        <v>-4</v>
      </c>
      <c r="J46" s="23">
        <v>0</v>
      </c>
      <c r="K46" s="23">
        <f t="shared" si="0"/>
        <v>-310</v>
      </c>
      <c r="L46" s="33">
        <f t="shared" si="1"/>
        <v>-386</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7"/>
        <v>-43</v>
      </c>
      <c r="AF46" s="101">
        <f t="shared" si="8"/>
        <v>16</v>
      </c>
    </row>
    <row r="47" spans="2:32" ht="13" outlineLevel="1" x14ac:dyDescent="0.3">
      <c r="B47" s="32" t="s">
        <v>80</v>
      </c>
      <c r="C47" s="34">
        <f t="shared" ref="C47:J47" si="30">SUBTOTAL(9,C44:C46)</f>
        <v>1130</v>
      </c>
      <c r="D47" s="34">
        <f t="shared" si="30"/>
        <v>1147</v>
      </c>
      <c r="E47" s="24">
        <f t="shared" si="30"/>
        <v>73</v>
      </c>
      <c r="F47" s="24">
        <f t="shared" si="30"/>
        <v>-549</v>
      </c>
      <c r="G47" s="24">
        <f t="shared" si="30"/>
        <v>-26</v>
      </c>
      <c r="H47" s="24">
        <f t="shared" si="30"/>
        <v>0</v>
      </c>
      <c r="I47" s="24">
        <f t="shared" si="30"/>
        <v>-31</v>
      </c>
      <c r="J47" s="24">
        <f t="shared" si="30"/>
        <v>0</v>
      </c>
      <c r="K47" s="24">
        <f>SUM(E47:J47)</f>
        <v>-533</v>
      </c>
      <c r="L47" s="34">
        <f t="shared" ref="L47:L48" si="31">N47-D47</f>
        <v>-548</v>
      </c>
      <c r="M47" s="34">
        <f t="shared" ref="M47:M48" si="32">N47-C47</f>
        <v>-531</v>
      </c>
      <c r="N47" s="34">
        <f>SUBTOTAL(9,N44:N46)</f>
        <v>599</v>
      </c>
      <c r="O47" s="34">
        <f>SUBTOTAL(9,O44:O46)</f>
        <v>2018</v>
      </c>
      <c r="P47" s="34">
        <f>SUBTOTAL(9,P44:P46)</f>
        <v>-1459</v>
      </c>
      <c r="Q47" s="34">
        <f>SUBTOTAL(9,Q44:Q46)</f>
        <v>559</v>
      </c>
      <c r="R47" s="34">
        <f>SUBTOTAL(9,R44:R46)</f>
        <v>599</v>
      </c>
      <c r="S47" s="34">
        <f>Q47-R47</f>
        <v>-40</v>
      </c>
      <c r="T47" s="38">
        <f>IFERROR((Q47/N47)*100%,"∞")</f>
        <v>0.93322203672787984</v>
      </c>
      <c r="U47" s="59">
        <f>N47+V47</f>
        <v>561</v>
      </c>
      <c r="V47" s="34">
        <f>SUBTOTAL(9,V44:V46)</f>
        <v>-38</v>
      </c>
      <c r="W47" s="34">
        <f>SUBTOTAL(9,W44:W46)</f>
        <v>-38</v>
      </c>
      <c r="X47" s="34"/>
      <c r="Y47" s="34"/>
      <c r="Z47" s="41"/>
      <c r="AA47" s="60"/>
      <c r="AB47" s="102">
        <f>SUBTOTAL(9,AB1:AB46)</f>
        <v>0</v>
      </c>
      <c r="AC47" s="34">
        <f>SUBTOTAL(9,AC1:AC46)</f>
        <v>0</v>
      </c>
      <c r="AD47" s="34"/>
      <c r="AE47" s="34"/>
      <c r="AF47" s="103"/>
    </row>
    <row r="48" spans="2:32" ht="13.5" customHeight="1" thickBot="1" x14ac:dyDescent="0.35">
      <c r="B48" s="53" t="s">
        <v>81</v>
      </c>
      <c r="C48" s="35">
        <f t="shared" ref="C48:J48" si="33">SUBTOTAL(9,C40:C47)</f>
        <v>2037</v>
      </c>
      <c r="D48" s="35">
        <f t="shared" si="33"/>
        <v>2029</v>
      </c>
      <c r="E48" s="25">
        <f t="shared" si="33"/>
        <v>73</v>
      </c>
      <c r="F48" s="25">
        <f t="shared" si="33"/>
        <v>-549</v>
      </c>
      <c r="G48" s="25">
        <f t="shared" si="33"/>
        <v>-48</v>
      </c>
      <c r="H48" s="25">
        <f t="shared" si="33"/>
        <v>0</v>
      </c>
      <c r="I48" s="25">
        <f t="shared" si="33"/>
        <v>-32</v>
      </c>
      <c r="J48" s="25">
        <f t="shared" si="33"/>
        <v>0</v>
      </c>
      <c r="K48" s="25">
        <f>SUM(E48:J48)</f>
        <v>-556</v>
      </c>
      <c r="L48" s="35">
        <f t="shared" si="31"/>
        <v>-548</v>
      </c>
      <c r="M48" s="35">
        <f t="shared" si="32"/>
        <v>-556</v>
      </c>
      <c r="N48" s="35">
        <f>SUBTOTAL(9,N40:N47)</f>
        <v>1481</v>
      </c>
      <c r="O48" s="35">
        <f>SUBTOTAL(9,O40:O47)</f>
        <v>2901</v>
      </c>
      <c r="P48" s="35">
        <f>SUBTOTAL(9,P40:P47)</f>
        <v>-1516</v>
      </c>
      <c r="Q48" s="35">
        <f>SUBTOTAL(9,Q40:Q47)</f>
        <v>1385</v>
      </c>
      <c r="R48" s="35">
        <f>SUBTOTAL(9,R40:R47)</f>
        <v>1481</v>
      </c>
      <c r="S48" s="35">
        <f>Q48-R48</f>
        <v>-96</v>
      </c>
      <c r="T48" s="39">
        <f>IFERROR((Q48/N48)*100%,"∞")</f>
        <v>0.93517893315327483</v>
      </c>
      <c r="U48" s="54">
        <f>N48+V48</f>
        <v>1385</v>
      </c>
      <c r="V48" s="35">
        <f>SUBTOTAL(9,V40:V47)</f>
        <v>-96</v>
      </c>
      <c r="W48" s="35">
        <f>SUBTOTAL(9,W40:W47)</f>
        <v>-96</v>
      </c>
      <c r="X48" s="35"/>
      <c r="Y48" s="35"/>
      <c r="Z48" s="43"/>
      <c r="AA48" s="60"/>
      <c r="AB48" s="104">
        <f>SUBTOTAL(9,AB1:AB47)</f>
        <v>0</v>
      </c>
      <c r="AC48" s="104">
        <f>SUBTOTAL(9,AC1:AC47)</f>
        <v>0</v>
      </c>
      <c r="AD48" s="35">
        <f>SUM(AB48:AC48)</f>
        <v>0</v>
      </c>
      <c r="AE48" s="35">
        <f>Q48+AD48</f>
        <v>1385</v>
      </c>
      <c r="AF48" s="43">
        <f>AE48-N48</f>
        <v>-96</v>
      </c>
    </row>
    <row r="49" spans="2:32"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si="7"/>
        <v>-1752</v>
      </c>
      <c r="AF49" s="101">
        <f t="shared" si="8"/>
        <v>252</v>
      </c>
    </row>
    <row r="50" spans="2:32"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7"/>
        <v>6343</v>
      </c>
      <c r="AF50" s="101">
        <f t="shared" si="8"/>
        <v>146</v>
      </c>
    </row>
    <row r="51" spans="2:32"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7"/>
        <v>6074</v>
      </c>
      <c r="AF51" s="101">
        <f t="shared" si="8"/>
        <v>-30</v>
      </c>
    </row>
    <row r="52" spans="2:32"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7"/>
        <v>3418</v>
      </c>
      <c r="AF52" s="101">
        <f t="shared" si="8"/>
        <v>-6</v>
      </c>
    </row>
    <row r="53" spans="2:32"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7"/>
        <v>258</v>
      </c>
      <c r="AF53" s="101">
        <f t="shared" si="8"/>
        <v>0</v>
      </c>
    </row>
    <row r="54" spans="2:32"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7"/>
        <v>89</v>
      </c>
      <c r="AF54" s="101">
        <f t="shared" si="8"/>
        <v>89</v>
      </c>
    </row>
    <row r="55" spans="2:32"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7"/>
        <v>316</v>
      </c>
      <c r="AF55" s="101">
        <f t="shared" si="8"/>
        <v>137</v>
      </c>
    </row>
    <row r="56" spans="2:32"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-35</v>
      </c>
      <c r="P56" s="33">
        <v>-610</v>
      </c>
      <c r="Q56" s="33">
        <v>-644</v>
      </c>
      <c r="R56" s="33">
        <v>-903</v>
      </c>
      <c r="S56" s="33">
        <f t="shared" si="3"/>
        <v>259</v>
      </c>
      <c r="T56" s="38">
        <f t="shared" si="4"/>
        <v>0.71317829457364346</v>
      </c>
      <c r="U56" s="59">
        <f t="shared" si="5"/>
        <v>-903</v>
      </c>
      <c r="V56" s="33">
        <v>0</v>
      </c>
      <c r="W56" s="33">
        <v>0</v>
      </c>
      <c r="X56" s="33"/>
      <c r="Y56" s="33"/>
      <c r="Z56" s="42"/>
      <c r="AA56" s="60"/>
      <c r="AB56" s="105"/>
      <c r="AC56" s="93"/>
      <c r="AD56" s="33">
        <f t="shared" si="6"/>
        <v>0</v>
      </c>
      <c r="AE56" s="33">
        <f t="shared" si="7"/>
        <v>-644</v>
      </c>
      <c r="AF56" s="101">
        <f t="shared" si="8"/>
        <v>259</v>
      </c>
    </row>
    <row r="57" spans="2:32"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7"/>
        <v>149</v>
      </c>
      <c r="AF57" s="101">
        <f t="shared" si="8"/>
        <v>2</v>
      </c>
    </row>
    <row r="58" spans="2:32"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7"/>
        <v>46</v>
      </c>
      <c r="AF58" s="101">
        <f t="shared" si="8"/>
        <v>37</v>
      </c>
    </row>
    <row r="59" spans="2:32" ht="13" outlineLevel="1" x14ac:dyDescent="0.3">
      <c r="B59" s="32" t="s">
        <v>92</v>
      </c>
      <c r="C59" s="34">
        <f t="shared" ref="C59:J59" si="34">SUBTOTAL(9,C49:C58)</f>
        <v>13051</v>
      </c>
      <c r="D59" s="34">
        <f t="shared" si="34"/>
        <v>13411</v>
      </c>
      <c r="E59" s="24">
        <f t="shared" si="34"/>
        <v>0</v>
      </c>
      <c r="F59" s="24">
        <f t="shared" si="34"/>
        <v>0</v>
      </c>
      <c r="G59" s="24">
        <f t="shared" si="34"/>
        <v>362</v>
      </c>
      <c r="H59" s="24">
        <f t="shared" si="34"/>
        <v>0</v>
      </c>
      <c r="I59" s="24">
        <f t="shared" si="34"/>
        <v>0</v>
      </c>
      <c r="J59" s="24">
        <f t="shared" si="34"/>
        <v>0</v>
      </c>
      <c r="K59" s="24">
        <f>SUM(E59:J59)</f>
        <v>362</v>
      </c>
      <c r="L59" s="34">
        <f t="shared" ref="L59:L60" si="35">N59-D59</f>
        <v>0</v>
      </c>
      <c r="M59" s="34">
        <f t="shared" ref="M59:M60" si="36">N59-C59</f>
        <v>360</v>
      </c>
      <c r="N59" s="34">
        <f>SUBTOTAL(9,N49:N58)</f>
        <v>13411</v>
      </c>
      <c r="O59" s="34">
        <f>SUBTOTAL(9,O49:O58)</f>
        <v>24879</v>
      </c>
      <c r="P59" s="34">
        <f>SUBTOTAL(9,P49:P58)</f>
        <v>-10583</v>
      </c>
      <c r="Q59" s="34">
        <f>SUBTOTAL(9,Q49:Q58)</f>
        <v>14297</v>
      </c>
      <c r="R59" s="34">
        <f>SUBTOTAL(9,R49:R58)</f>
        <v>13411</v>
      </c>
      <c r="S59" s="34">
        <f>Q59-R59</f>
        <v>886</v>
      </c>
      <c r="T59" s="38">
        <f>IFERROR((Q59/N59)*100%,"∞")</f>
        <v>1.0660651703825219</v>
      </c>
      <c r="U59" s="59">
        <f>N59+V59</f>
        <v>13411</v>
      </c>
      <c r="V59" s="34">
        <f>SUBTOTAL(9,V49:V58)</f>
        <v>0</v>
      </c>
      <c r="W59" s="34">
        <f>SUBTOTAL(9,W49:W58)</f>
        <v>0</v>
      </c>
      <c r="X59" s="34"/>
      <c r="Y59" s="34"/>
      <c r="Z59" s="41"/>
      <c r="AA59" s="60"/>
      <c r="AB59" s="102">
        <f>SUBTOTAL(9,AB1:AB58)</f>
        <v>0</v>
      </c>
      <c r="AC59" s="34">
        <f>SUBTOTAL(9,AC1:AC58)</f>
        <v>0</v>
      </c>
      <c r="AD59" s="34"/>
      <c r="AE59" s="34"/>
      <c r="AF59" s="103"/>
    </row>
    <row r="60" spans="2:32" ht="13.5" customHeight="1" thickBot="1" x14ac:dyDescent="0.35">
      <c r="B60" s="53" t="s">
        <v>93</v>
      </c>
      <c r="C60" s="35">
        <f t="shared" ref="C60:J60" si="37">SUBTOTAL(9,C49:C59)</f>
        <v>13051</v>
      </c>
      <c r="D60" s="35">
        <f t="shared" si="37"/>
        <v>13411</v>
      </c>
      <c r="E60" s="25">
        <f t="shared" si="37"/>
        <v>0</v>
      </c>
      <c r="F60" s="25">
        <f t="shared" si="37"/>
        <v>0</v>
      </c>
      <c r="G60" s="25">
        <f t="shared" si="37"/>
        <v>362</v>
      </c>
      <c r="H60" s="25">
        <f t="shared" si="37"/>
        <v>0</v>
      </c>
      <c r="I60" s="25">
        <f t="shared" si="37"/>
        <v>0</v>
      </c>
      <c r="J60" s="25">
        <f t="shared" si="37"/>
        <v>0</v>
      </c>
      <c r="K60" s="25">
        <f>SUM(E60:J60)</f>
        <v>362</v>
      </c>
      <c r="L60" s="35">
        <f t="shared" si="35"/>
        <v>0</v>
      </c>
      <c r="M60" s="35">
        <f t="shared" si="36"/>
        <v>360</v>
      </c>
      <c r="N60" s="35">
        <f>SUBTOTAL(9,N49:N59)</f>
        <v>13411</v>
      </c>
      <c r="O60" s="35">
        <f>SUBTOTAL(9,O49:O59)</f>
        <v>24879</v>
      </c>
      <c r="P60" s="35">
        <f>SUBTOTAL(9,P49:P59)</f>
        <v>-10583</v>
      </c>
      <c r="Q60" s="35">
        <f>SUBTOTAL(9,Q49:Q59)</f>
        <v>14297</v>
      </c>
      <c r="R60" s="35">
        <f>SUBTOTAL(9,R49:R59)</f>
        <v>13411</v>
      </c>
      <c r="S60" s="35">
        <f>Q60-R60</f>
        <v>886</v>
      </c>
      <c r="T60" s="39">
        <f>IFERROR((Q60/N60)*100%,"∞")</f>
        <v>1.0660651703825219</v>
      </c>
      <c r="U60" s="54">
        <f>N60+V60</f>
        <v>13411</v>
      </c>
      <c r="V60" s="35">
        <f>SUBTOTAL(9,V49:V59)</f>
        <v>0</v>
      </c>
      <c r="W60" s="35">
        <f>SUBTOTAL(9,W49:W59)</f>
        <v>0</v>
      </c>
      <c r="X60" s="35"/>
      <c r="Y60" s="35"/>
      <c r="Z60" s="43"/>
      <c r="AA60" s="60"/>
      <c r="AB60" s="104">
        <f>SUBTOTAL(9,AB1:AB59)</f>
        <v>0</v>
      </c>
      <c r="AC60" s="104">
        <f>SUBTOTAL(9,AC1:AC59)</f>
        <v>0</v>
      </c>
      <c r="AD60" s="35">
        <f>SUM(AB60:AC60)</f>
        <v>0</v>
      </c>
      <c r="AE60" s="35">
        <f>Q60+AD60</f>
        <v>14297</v>
      </c>
      <c r="AF60" s="43">
        <f>AE60-N60</f>
        <v>886</v>
      </c>
    </row>
    <row r="61" spans="2:32"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si="7"/>
        <v>676</v>
      </c>
      <c r="AF61" s="101">
        <f t="shared" si="8"/>
        <v>33</v>
      </c>
    </row>
    <row r="62" spans="2:32"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7"/>
        <v>130</v>
      </c>
      <c r="AF62" s="101">
        <f t="shared" si="8"/>
        <v>3</v>
      </c>
    </row>
    <row r="63" spans="2:32"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7"/>
        <v>4582</v>
      </c>
      <c r="AF63" s="101">
        <f t="shared" si="8"/>
        <v>202</v>
      </c>
    </row>
    <row r="64" spans="2:32"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7"/>
        <v>2882</v>
      </c>
      <c r="AF64" s="101">
        <f t="shared" si="8"/>
        <v>159</v>
      </c>
    </row>
    <row r="65" spans="2:32" ht="13" outlineLevel="2" x14ac:dyDescent="0.3">
      <c r="B65" s="31" t="s">
        <v>98</v>
      </c>
      <c r="C65" s="33">
        <v>1828</v>
      </c>
      <c r="D65" s="33">
        <v>1884</v>
      </c>
      <c r="E65" s="23">
        <v>124</v>
      </c>
      <c r="F65" s="23">
        <v>0</v>
      </c>
      <c r="G65" s="23">
        <v>-27</v>
      </c>
      <c r="H65" s="23">
        <v>0</v>
      </c>
      <c r="I65" s="23">
        <v>-42</v>
      </c>
      <c r="J65" s="23">
        <v>105</v>
      </c>
      <c r="K65" s="23">
        <f t="shared" si="0"/>
        <v>160</v>
      </c>
      <c r="L65" s="33">
        <f t="shared" si="1"/>
        <v>105</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c r="AC65" s="93"/>
      <c r="AD65" s="33">
        <f t="shared" si="6"/>
        <v>0</v>
      </c>
      <c r="AE65" s="33">
        <f t="shared" si="7"/>
        <v>1642</v>
      </c>
      <c r="AF65" s="101">
        <f t="shared" si="8"/>
        <v>-347</v>
      </c>
    </row>
    <row r="66" spans="2:32" ht="13" outlineLevel="1" x14ac:dyDescent="0.3">
      <c r="B66" s="32" t="s">
        <v>100</v>
      </c>
      <c r="C66" s="34">
        <f t="shared" ref="C66:J66" si="38">SUBTOTAL(9,C61:C65)</f>
        <v>9730</v>
      </c>
      <c r="D66" s="34">
        <f t="shared" si="38"/>
        <v>9757</v>
      </c>
      <c r="E66" s="24">
        <f t="shared" si="38"/>
        <v>174</v>
      </c>
      <c r="F66" s="24">
        <f t="shared" si="38"/>
        <v>0</v>
      </c>
      <c r="G66" s="24">
        <f t="shared" si="38"/>
        <v>-107</v>
      </c>
      <c r="H66" s="24">
        <f t="shared" si="38"/>
        <v>0</v>
      </c>
      <c r="I66" s="24">
        <f t="shared" si="38"/>
        <v>-42</v>
      </c>
      <c r="J66" s="24">
        <f t="shared" si="38"/>
        <v>105</v>
      </c>
      <c r="K66" s="24">
        <f>SUM(E66:J66)</f>
        <v>130</v>
      </c>
      <c r="L66" s="34">
        <f t="shared" ref="L66" si="39">N66-D66</f>
        <v>105</v>
      </c>
      <c r="M66" s="34">
        <f t="shared" ref="M66" si="40">N66-C66</f>
        <v>132</v>
      </c>
      <c r="N66" s="34">
        <f>SUBTOTAL(9,N61:N65)</f>
        <v>9862</v>
      </c>
      <c r="O66" s="34">
        <f>SUBTOTAL(9,O61:O65)</f>
        <v>10045</v>
      </c>
      <c r="P66" s="34">
        <f>SUBTOTAL(9,P61:P65)</f>
        <v>-134</v>
      </c>
      <c r="Q66" s="34">
        <f>SUBTOTAL(9,Q61:Q65)</f>
        <v>9912</v>
      </c>
      <c r="R66" s="34">
        <f>SUBTOTAL(9,R61:R65)</f>
        <v>9862</v>
      </c>
      <c r="S66" s="34">
        <f>Q66-R66</f>
        <v>50</v>
      </c>
      <c r="T66" s="38">
        <f>IFERROR((Q66/N66)*100%,"∞")</f>
        <v>1.0050699655242343</v>
      </c>
      <c r="U66" s="59">
        <f>N66+V66</f>
        <v>9960</v>
      </c>
      <c r="V66" s="34">
        <f>SUBTOTAL(9,V61:V65)</f>
        <v>98</v>
      </c>
      <c r="W66" s="34">
        <f>SUBTOTAL(9,W61:W65)</f>
        <v>98</v>
      </c>
      <c r="X66" s="34"/>
      <c r="Y66" s="34"/>
      <c r="Z66" s="41"/>
      <c r="AA66" s="60"/>
      <c r="AB66" s="102">
        <f>SUBTOTAL(9,AB1:AB65)</f>
        <v>0</v>
      </c>
      <c r="AC66" s="34">
        <f>SUBTOTAL(9,AC1:AC65)</f>
        <v>0</v>
      </c>
      <c r="AD66" s="34"/>
      <c r="AE66" s="34"/>
      <c r="AF66" s="103"/>
    </row>
    <row r="67" spans="2:32"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si="7"/>
        <v>920</v>
      </c>
      <c r="AF67" s="101">
        <f t="shared" si="8"/>
        <v>-141</v>
      </c>
    </row>
    <row r="68" spans="2:32"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573</v>
      </c>
      <c r="P68" s="33">
        <v>-36</v>
      </c>
      <c r="Q68" s="33">
        <v>538</v>
      </c>
      <c r="R68" s="33">
        <v>230</v>
      </c>
      <c r="S68" s="33">
        <f t="shared" si="3"/>
        <v>308</v>
      </c>
      <c r="T68" s="38">
        <f t="shared" si="4"/>
        <v>2.3391304347826085</v>
      </c>
      <c r="U68" s="59">
        <f t="shared" si="5"/>
        <v>370</v>
      </c>
      <c r="V68" s="33">
        <v>140</v>
      </c>
      <c r="W68" s="33">
        <v>140</v>
      </c>
      <c r="X68" s="33"/>
      <c r="Y68" s="33"/>
      <c r="Z68" s="42"/>
      <c r="AA68" s="60"/>
      <c r="AB68" s="105"/>
      <c r="AC68" s="93"/>
      <c r="AD68" s="33">
        <f t="shared" si="6"/>
        <v>0</v>
      </c>
      <c r="AE68" s="33">
        <f t="shared" si="7"/>
        <v>538</v>
      </c>
      <c r="AF68" s="101">
        <f t="shared" si="8"/>
        <v>308</v>
      </c>
    </row>
    <row r="69" spans="2:32" ht="13" outlineLevel="2" x14ac:dyDescent="0.3">
      <c r="B69" s="31" t="s">
        <v>103</v>
      </c>
      <c r="C69" s="33">
        <v>283</v>
      </c>
      <c r="D69" s="33">
        <v>278</v>
      </c>
      <c r="E69" s="23">
        <v>0</v>
      </c>
      <c r="F69" s="23">
        <v>0</v>
      </c>
      <c r="G69" s="23">
        <v>-10</v>
      </c>
      <c r="H69" s="23">
        <v>0</v>
      </c>
      <c r="I69" s="23">
        <v>5</v>
      </c>
      <c r="J69" s="23">
        <v>0</v>
      </c>
      <c r="K69" s="23">
        <f t="shared" ref="K69:K79" si="41">SUM(E69:J69)</f>
        <v>-5</v>
      </c>
      <c r="L69" s="33">
        <f t="shared" ref="L69:L81" si="42">N69-D69</f>
        <v>0</v>
      </c>
      <c r="M69" s="33">
        <f t="shared" ref="M69:M81" si="43">N69-C69</f>
        <v>-5</v>
      </c>
      <c r="N69" s="33">
        <v>278</v>
      </c>
      <c r="O69" s="33">
        <v>578</v>
      </c>
      <c r="P69" s="33">
        <v>-234</v>
      </c>
      <c r="Q69" s="33">
        <v>344</v>
      </c>
      <c r="R69" s="33">
        <v>278</v>
      </c>
      <c r="S69" s="33">
        <f t="shared" ref="S69:S79" si="44">Q69-R69</f>
        <v>66</v>
      </c>
      <c r="T69" s="38">
        <f t="shared" ref="T69:T79" si="45">IFERROR((Q69/N69)*100%,"∞")</f>
        <v>1.2374100719424461</v>
      </c>
      <c r="U69" s="59">
        <f t="shared" ref="U69:U79" si="46">N69+V69</f>
        <v>278</v>
      </c>
      <c r="V69" s="33">
        <v>0</v>
      </c>
      <c r="W69" s="33">
        <v>0</v>
      </c>
      <c r="X69" s="33"/>
      <c r="Y69" s="33"/>
      <c r="Z69" s="42"/>
      <c r="AA69" s="60"/>
      <c r="AB69" s="105"/>
      <c r="AC69" s="93"/>
      <c r="AD69" s="33">
        <f t="shared" ref="AD69:AD79" si="47">SUM(AB69:AC69)</f>
        <v>0</v>
      </c>
      <c r="AE69" s="33">
        <f t="shared" ref="AE69:AE79" si="48">Q69+AD69</f>
        <v>344</v>
      </c>
      <c r="AF69" s="101">
        <f t="shared" ref="AF69:AF79" si="49">AE69-N69</f>
        <v>66</v>
      </c>
    </row>
    <row r="70" spans="2:32" ht="13" outlineLevel="2" x14ac:dyDescent="0.3">
      <c r="B70" s="31" t="s">
        <v>104</v>
      </c>
      <c r="C70" s="33">
        <v>494</v>
      </c>
      <c r="D70" s="33">
        <v>491</v>
      </c>
      <c r="E70" s="23">
        <v>0</v>
      </c>
      <c r="F70" s="23">
        <v>0</v>
      </c>
      <c r="G70" s="23">
        <v>-8</v>
      </c>
      <c r="H70" s="23">
        <v>0</v>
      </c>
      <c r="I70" s="23">
        <v>4</v>
      </c>
      <c r="J70" s="23">
        <v>-15</v>
      </c>
      <c r="K70" s="23">
        <f t="shared" si="41"/>
        <v>-19</v>
      </c>
      <c r="L70" s="33">
        <f t="shared" si="42"/>
        <v>-15</v>
      </c>
      <c r="M70" s="33">
        <f t="shared" si="43"/>
        <v>-18</v>
      </c>
      <c r="N70" s="33">
        <v>476</v>
      </c>
      <c r="O70" s="33">
        <v>598</v>
      </c>
      <c r="P70" s="33">
        <v>0</v>
      </c>
      <c r="Q70" s="33">
        <v>598</v>
      </c>
      <c r="R70" s="33">
        <v>476</v>
      </c>
      <c r="S70" s="33">
        <f t="shared" si="44"/>
        <v>122</v>
      </c>
      <c r="T70" s="38">
        <f t="shared" si="45"/>
        <v>1.2563025210084033</v>
      </c>
      <c r="U70" s="59">
        <f t="shared" si="46"/>
        <v>511</v>
      </c>
      <c r="V70" s="33">
        <v>35</v>
      </c>
      <c r="W70" s="33">
        <v>35</v>
      </c>
      <c r="X70" s="33"/>
      <c r="Y70" s="33"/>
      <c r="Z70" s="42"/>
      <c r="AA70" s="60"/>
      <c r="AB70" s="105"/>
      <c r="AC70" s="93"/>
      <c r="AD70" s="33">
        <f t="shared" si="47"/>
        <v>0</v>
      </c>
      <c r="AE70" s="33">
        <f t="shared" si="48"/>
        <v>598</v>
      </c>
      <c r="AF70" s="101">
        <f t="shared" si="49"/>
        <v>122</v>
      </c>
    </row>
    <row r="71" spans="2:32" ht="13" outlineLevel="2" x14ac:dyDescent="0.3">
      <c r="B71" s="31" t="s">
        <v>105</v>
      </c>
      <c r="C71" s="33">
        <v>955</v>
      </c>
      <c r="D71" s="33">
        <v>921</v>
      </c>
      <c r="E71" s="23">
        <v>0</v>
      </c>
      <c r="F71" s="23">
        <v>488</v>
      </c>
      <c r="G71" s="23">
        <v>-35</v>
      </c>
      <c r="H71" s="23">
        <v>0</v>
      </c>
      <c r="I71" s="23">
        <v>2</v>
      </c>
      <c r="J71" s="23">
        <v>-15</v>
      </c>
      <c r="K71" s="23">
        <f t="shared" si="41"/>
        <v>440</v>
      </c>
      <c r="L71" s="33">
        <f t="shared" si="42"/>
        <v>473</v>
      </c>
      <c r="M71" s="33">
        <f t="shared" si="43"/>
        <v>439</v>
      </c>
      <c r="N71" s="33">
        <v>1394</v>
      </c>
      <c r="O71" s="33">
        <v>2729</v>
      </c>
      <c r="P71" s="33">
        <v>-1337</v>
      </c>
      <c r="Q71" s="33">
        <v>1391</v>
      </c>
      <c r="R71" s="33">
        <v>1394</v>
      </c>
      <c r="S71" s="33">
        <f t="shared" si="44"/>
        <v>-3</v>
      </c>
      <c r="T71" s="38">
        <f t="shared" si="45"/>
        <v>0.9978479196556671</v>
      </c>
      <c r="U71" s="59">
        <f t="shared" si="46"/>
        <v>1342</v>
      </c>
      <c r="V71" s="33">
        <v>-52</v>
      </c>
      <c r="W71" s="33">
        <v>-52</v>
      </c>
      <c r="X71" s="33"/>
      <c r="Y71" s="33"/>
      <c r="Z71" s="42"/>
      <c r="AA71" s="60"/>
      <c r="AB71" s="105"/>
      <c r="AC71" s="93"/>
      <c r="AD71" s="33">
        <f t="shared" si="47"/>
        <v>0</v>
      </c>
      <c r="AE71" s="33">
        <f t="shared" si="48"/>
        <v>1391</v>
      </c>
      <c r="AF71" s="101">
        <f t="shared" si="49"/>
        <v>-3</v>
      </c>
    </row>
    <row r="72" spans="2:32" ht="13" outlineLevel="2" x14ac:dyDescent="0.3">
      <c r="B72" s="31" t="s">
        <v>106</v>
      </c>
      <c r="C72" s="33">
        <v>120</v>
      </c>
      <c r="D72" s="33">
        <v>117</v>
      </c>
      <c r="E72" s="23">
        <v>0</v>
      </c>
      <c r="F72" s="23">
        <v>0</v>
      </c>
      <c r="G72" s="23">
        <v>-3</v>
      </c>
      <c r="H72" s="23">
        <v>0</v>
      </c>
      <c r="I72" s="23">
        <v>0</v>
      </c>
      <c r="J72" s="23">
        <v>0</v>
      </c>
      <c r="K72" s="23">
        <f t="shared" si="41"/>
        <v>-3</v>
      </c>
      <c r="L72" s="33">
        <f t="shared" si="42"/>
        <v>0</v>
      </c>
      <c r="M72" s="33">
        <f t="shared" si="43"/>
        <v>-3</v>
      </c>
      <c r="N72" s="33">
        <v>117</v>
      </c>
      <c r="O72" s="33">
        <v>167</v>
      </c>
      <c r="P72" s="33">
        <v>0</v>
      </c>
      <c r="Q72" s="33">
        <v>166</v>
      </c>
      <c r="R72" s="33">
        <v>117</v>
      </c>
      <c r="S72" s="33">
        <f t="shared" si="44"/>
        <v>49</v>
      </c>
      <c r="T72" s="38">
        <f t="shared" si="45"/>
        <v>1.4188034188034189</v>
      </c>
      <c r="U72" s="59">
        <f t="shared" si="46"/>
        <v>117</v>
      </c>
      <c r="V72" s="33">
        <v>0</v>
      </c>
      <c r="W72" s="33">
        <v>0</v>
      </c>
      <c r="X72" s="33"/>
      <c r="Y72" s="33"/>
      <c r="Z72" s="42"/>
      <c r="AA72" s="60"/>
      <c r="AB72" s="105"/>
      <c r="AC72" s="93"/>
      <c r="AD72" s="33">
        <f t="shared" si="47"/>
        <v>0</v>
      </c>
      <c r="AE72" s="33">
        <f t="shared" si="48"/>
        <v>166</v>
      </c>
      <c r="AF72" s="101">
        <f t="shared" si="49"/>
        <v>49</v>
      </c>
    </row>
    <row r="73" spans="2:32" ht="13" outlineLevel="1" x14ac:dyDescent="0.3">
      <c r="B73" s="32" t="s">
        <v>107</v>
      </c>
      <c r="C73" s="34">
        <f t="shared" ref="C73:J73" si="50">SUBTOTAL(9,C67:C72)</f>
        <v>3169</v>
      </c>
      <c r="D73" s="34">
        <f t="shared" si="50"/>
        <v>3098</v>
      </c>
      <c r="E73" s="24">
        <f t="shared" si="50"/>
        <v>0</v>
      </c>
      <c r="F73" s="24">
        <f t="shared" si="50"/>
        <v>488</v>
      </c>
      <c r="G73" s="24">
        <f t="shared" si="50"/>
        <v>-84</v>
      </c>
      <c r="H73" s="24">
        <f t="shared" si="50"/>
        <v>0</v>
      </c>
      <c r="I73" s="24">
        <f t="shared" si="50"/>
        <v>13</v>
      </c>
      <c r="J73" s="24">
        <f t="shared" si="50"/>
        <v>-30</v>
      </c>
      <c r="K73" s="24">
        <f>SUM(E73:J73)</f>
        <v>387</v>
      </c>
      <c r="L73" s="34">
        <f t="shared" si="42"/>
        <v>458</v>
      </c>
      <c r="M73" s="34">
        <f t="shared" si="43"/>
        <v>387</v>
      </c>
      <c r="N73" s="34">
        <f>SUBTOTAL(9,N67:N72)</f>
        <v>3556</v>
      </c>
      <c r="O73" s="34">
        <f>SUBTOTAL(9,O67:O72)</f>
        <v>5961</v>
      </c>
      <c r="P73" s="34">
        <f>SUBTOTAL(9,P67:P72)</f>
        <v>-2003</v>
      </c>
      <c r="Q73" s="34">
        <f>SUBTOTAL(9,Q67:Q72)</f>
        <v>3957</v>
      </c>
      <c r="R73" s="34">
        <f>SUBTOTAL(9,R67:R72)</f>
        <v>3556</v>
      </c>
      <c r="S73" s="34">
        <f>Q73-R73</f>
        <v>401</v>
      </c>
      <c r="T73" s="38">
        <f>IFERROR((Q73/N73)*100%,"∞")</f>
        <v>1.1127671541057367</v>
      </c>
      <c r="U73" s="59">
        <f>N73+V73</f>
        <v>3609</v>
      </c>
      <c r="V73" s="34">
        <f>SUBTOTAL(9,V67:V72)</f>
        <v>53</v>
      </c>
      <c r="W73" s="34">
        <f>SUBTOTAL(9,W67:W72)</f>
        <v>53</v>
      </c>
      <c r="X73" s="34"/>
      <c r="Y73" s="34"/>
      <c r="Z73" s="41"/>
      <c r="AA73" s="60"/>
      <c r="AB73" s="102">
        <f>SUBTOTAL(9,AB1:AB72)</f>
        <v>0</v>
      </c>
      <c r="AC73" s="34">
        <f>SUBTOTAL(9,AC1:AC72)</f>
        <v>0</v>
      </c>
      <c r="AD73" s="34"/>
      <c r="AE73" s="34"/>
      <c r="AF73" s="103"/>
    </row>
    <row r="74" spans="2:32" ht="13" outlineLevel="2" x14ac:dyDescent="0.3">
      <c r="B74" s="31" t="s">
        <v>108</v>
      </c>
      <c r="C74" s="33">
        <v>760</v>
      </c>
      <c r="D74" s="33">
        <v>737</v>
      </c>
      <c r="E74" s="23">
        <v>0</v>
      </c>
      <c r="F74" s="23">
        <v>0</v>
      </c>
      <c r="G74" s="23">
        <v>-22</v>
      </c>
      <c r="H74" s="23">
        <v>0</v>
      </c>
      <c r="I74" s="23">
        <v>0</v>
      </c>
      <c r="J74" s="23">
        <v>0</v>
      </c>
      <c r="K74" s="23">
        <f t="shared" si="41"/>
        <v>-22</v>
      </c>
      <c r="L74" s="33">
        <f t="shared" si="42"/>
        <v>0</v>
      </c>
      <c r="M74" s="33">
        <f t="shared" si="43"/>
        <v>-23</v>
      </c>
      <c r="N74" s="33">
        <v>737</v>
      </c>
      <c r="O74" s="33">
        <v>753</v>
      </c>
      <c r="P74" s="33">
        <v>-25</v>
      </c>
      <c r="Q74" s="33">
        <v>729</v>
      </c>
      <c r="R74" s="33">
        <v>737</v>
      </c>
      <c r="S74" s="33">
        <f t="shared" si="44"/>
        <v>-8</v>
      </c>
      <c r="T74" s="38">
        <f t="shared" si="45"/>
        <v>0.98914518317503397</v>
      </c>
      <c r="U74" s="59">
        <f t="shared" si="46"/>
        <v>737</v>
      </c>
      <c r="V74" s="33">
        <v>0</v>
      </c>
      <c r="W74" s="33">
        <v>0</v>
      </c>
      <c r="X74" s="33"/>
      <c r="Y74" s="33"/>
      <c r="Z74" s="42"/>
      <c r="AA74" s="60"/>
      <c r="AB74" s="105"/>
      <c r="AC74" s="93"/>
      <c r="AD74" s="33">
        <f t="shared" si="47"/>
        <v>0</v>
      </c>
      <c r="AE74" s="33">
        <f t="shared" si="48"/>
        <v>729</v>
      </c>
      <c r="AF74" s="101">
        <f t="shared" si="49"/>
        <v>-8</v>
      </c>
    </row>
    <row r="75" spans="2:32" ht="13" outlineLevel="2" x14ac:dyDescent="0.3">
      <c r="B75" s="31" t="s">
        <v>109</v>
      </c>
      <c r="C75" s="33">
        <v>337</v>
      </c>
      <c r="D75" s="33">
        <v>332</v>
      </c>
      <c r="E75" s="23">
        <v>0</v>
      </c>
      <c r="F75" s="23">
        <v>0</v>
      </c>
      <c r="G75" s="23">
        <v>-5</v>
      </c>
      <c r="H75" s="23">
        <v>0</v>
      </c>
      <c r="I75" s="23">
        <v>0</v>
      </c>
      <c r="J75" s="23">
        <v>0</v>
      </c>
      <c r="K75" s="23">
        <f t="shared" si="41"/>
        <v>-5</v>
      </c>
      <c r="L75" s="33">
        <f t="shared" si="42"/>
        <v>0</v>
      </c>
      <c r="M75" s="33">
        <f t="shared" si="43"/>
        <v>-5</v>
      </c>
      <c r="N75" s="33">
        <v>332</v>
      </c>
      <c r="O75" s="33">
        <v>341</v>
      </c>
      <c r="P75" s="33">
        <v>0</v>
      </c>
      <c r="Q75" s="33">
        <v>341</v>
      </c>
      <c r="R75" s="33">
        <v>332</v>
      </c>
      <c r="S75" s="33">
        <f t="shared" si="44"/>
        <v>9</v>
      </c>
      <c r="T75" s="38">
        <f t="shared" si="45"/>
        <v>1.0271084337349397</v>
      </c>
      <c r="U75" s="59">
        <f t="shared" si="46"/>
        <v>332</v>
      </c>
      <c r="V75" s="33">
        <v>0</v>
      </c>
      <c r="W75" s="33">
        <v>0</v>
      </c>
      <c r="X75" s="33"/>
      <c r="Y75" s="33"/>
      <c r="Z75" s="42"/>
      <c r="AA75" s="60"/>
      <c r="AB75" s="105"/>
      <c r="AC75" s="93"/>
      <c r="AD75" s="33">
        <f t="shared" si="47"/>
        <v>0</v>
      </c>
      <c r="AE75" s="33">
        <f t="shared" si="48"/>
        <v>341</v>
      </c>
      <c r="AF75" s="101">
        <f t="shared" si="49"/>
        <v>9</v>
      </c>
    </row>
    <row r="76" spans="2:32" ht="13" outlineLevel="1" x14ac:dyDescent="0.3">
      <c r="B76" s="32" t="s">
        <v>110</v>
      </c>
      <c r="C76" s="34">
        <f t="shared" ref="C76:J76" si="51">SUBTOTAL(9,C74:C75)</f>
        <v>1097</v>
      </c>
      <c r="D76" s="34">
        <f t="shared" si="51"/>
        <v>1069</v>
      </c>
      <c r="E76" s="24">
        <f t="shared" si="51"/>
        <v>0</v>
      </c>
      <c r="F76" s="24">
        <f t="shared" si="51"/>
        <v>0</v>
      </c>
      <c r="G76" s="24">
        <f t="shared" si="51"/>
        <v>-27</v>
      </c>
      <c r="H76" s="24">
        <f t="shared" si="51"/>
        <v>0</v>
      </c>
      <c r="I76" s="24">
        <f t="shared" si="51"/>
        <v>0</v>
      </c>
      <c r="J76" s="24">
        <f t="shared" si="51"/>
        <v>0</v>
      </c>
      <c r="K76" s="24">
        <f>SUM(E76:J76)</f>
        <v>-27</v>
      </c>
      <c r="L76" s="34">
        <f t="shared" si="42"/>
        <v>0</v>
      </c>
      <c r="M76" s="34">
        <f t="shared" si="43"/>
        <v>-28</v>
      </c>
      <c r="N76" s="34">
        <f>SUBTOTAL(9,N74:N75)</f>
        <v>1069</v>
      </c>
      <c r="O76" s="34">
        <f>SUBTOTAL(9,O74:O75)</f>
        <v>1094</v>
      </c>
      <c r="P76" s="34">
        <f>SUBTOTAL(9,P74:P75)</f>
        <v>-25</v>
      </c>
      <c r="Q76" s="34">
        <f>SUBTOTAL(9,Q74:Q75)</f>
        <v>1070</v>
      </c>
      <c r="R76" s="34">
        <f>SUBTOTAL(9,R74:R75)</f>
        <v>1069</v>
      </c>
      <c r="S76" s="34">
        <f>Q76-R76</f>
        <v>1</v>
      </c>
      <c r="T76" s="38">
        <f>IFERROR((Q76/N76)*100%,"∞")</f>
        <v>1.0009354536950421</v>
      </c>
      <c r="U76" s="59">
        <f>N76+V76</f>
        <v>1069</v>
      </c>
      <c r="V76" s="34">
        <f>SUBTOTAL(9,V74:V75)</f>
        <v>0</v>
      </c>
      <c r="W76" s="34">
        <f>SUBTOTAL(9,W74:W75)</f>
        <v>0</v>
      </c>
      <c r="X76" s="34"/>
      <c r="Y76" s="34"/>
      <c r="Z76" s="41"/>
      <c r="AA76" s="60"/>
      <c r="AB76" s="102">
        <f>SUBTOTAL(9,AB2:AB75)</f>
        <v>0</v>
      </c>
      <c r="AC76" s="34">
        <f>SUBTOTAL(9,AC2:AC75)</f>
        <v>0</v>
      </c>
      <c r="AD76" s="34"/>
      <c r="AE76" s="34"/>
      <c r="AF76" s="103"/>
    </row>
    <row r="77" spans="2:32" ht="13" outlineLevel="2" x14ac:dyDescent="0.3">
      <c r="B77" s="31" t="s">
        <v>111</v>
      </c>
      <c r="C77" s="33">
        <v>718</v>
      </c>
      <c r="D77" s="33">
        <v>724</v>
      </c>
      <c r="E77" s="23">
        <v>10</v>
      </c>
      <c r="F77" s="23">
        <v>0</v>
      </c>
      <c r="G77" s="23">
        <v>-5</v>
      </c>
      <c r="H77" s="23">
        <v>0</v>
      </c>
      <c r="I77" s="23">
        <v>0</v>
      </c>
      <c r="J77" s="23">
        <v>0</v>
      </c>
      <c r="K77" s="23">
        <f t="shared" si="41"/>
        <v>5</v>
      </c>
      <c r="L77" s="33">
        <f t="shared" si="42"/>
        <v>0</v>
      </c>
      <c r="M77" s="33">
        <f t="shared" si="43"/>
        <v>6</v>
      </c>
      <c r="N77" s="33">
        <v>724</v>
      </c>
      <c r="O77" s="33">
        <v>808</v>
      </c>
      <c r="P77" s="33">
        <v>-67</v>
      </c>
      <c r="Q77" s="33">
        <v>741</v>
      </c>
      <c r="R77" s="33">
        <v>724</v>
      </c>
      <c r="S77" s="33">
        <f t="shared" si="44"/>
        <v>17</v>
      </c>
      <c r="T77" s="38">
        <f t="shared" si="45"/>
        <v>1.0234806629834254</v>
      </c>
      <c r="U77" s="59">
        <f t="shared" si="46"/>
        <v>743</v>
      </c>
      <c r="V77" s="33">
        <v>19</v>
      </c>
      <c r="W77" s="33">
        <v>19</v>
      </c>
      <c r="X77" s="33"/>
      <c r="Y77" s="33"/>
      <c r="Z77" s="42"/>
      <c r="AA77" s="60"/>
      <c r="AB77" s="105"/>
      <c r="AC77" s="93"/>
      <c r="AD77" s="33">
        <f t="shared" si="47"/>
        <v>0</v>
      </c>
      <c r="AE77" s="33">
        <f t="shared" si="48"/>
        <v>741</v>
      </c>
      <c r="AF77" s="101">
        <f t="shared" si="49"/>
        <v>17</v>
      </c>
    </row>
    <row r="78" spans="2:32" ht="13" outlineLevel="2" x14ac:dyDescent="0.3">
      <c r="B78" s="31" t="s">
        <v>112</v>
      </c>
      <c r="C78" s="33">
        <v>394</v>
      </c>
      <c r="D78" s="33">
        <v>390</v>
      </c>
      <c r="E78" s="23">
        <v>0</v>
      </c>
      <c r="F78" s="23">
        <v>0</v>
      </c>
      <c r="G78" s="23">
        <v>-3</v>
      </c>
      <c r="H78" s="23">
        <v>0</v>
      </c>
      <c r="I78" s="23">
        <v>0</v>
      </c>
      <c r="J78" s="23">
        <v>0</v>
      </c>
      <c r="K78" s="23">
        <f t="shared" si="41"/>
        <v>-3</v>
      </c>
      <c r="L78" s="33">
        <f t="shared" si="42"/>
        <v>0</v>
      </c>
      <c r="M78" s="33">
        <f t="shared" si="43"/>
        <v>-4</v>
      </c>
      <c r="N78" s="33">
        <v>390</v>
      </c>
      <c r="O78" s="33">
        <v>537</v>
      </c>
      <c r="P78" s="33">
        <v>-40</v>
      </c>
      <c r="Q78" s="33">
        <v>496</v>
      </c>
      <c r="R78" s="33">
        <v>390</v>
      </c>
      <c r="S78" s="33">
        <f t="shared" si="44"/>
        <v>106</v>
      </c>
      <c r="T78" s="38">
        <f t="shared" si="45"/>
        <v>1.2717948717948717</v>
      </c>
      <c r="U78" s="59">
        <f t="shared" si="46"/>
        <v>460</v>
      </c>
      <c r="V78" s="33">
        <v>70</v>
      </c>
      <c r="W78" s="33">
        <v>70</v>
      </c>
      <c r="X78" s="33"/>
      <c r="Y78" s="33"/>
      <c r="Z78" s="42"/>
      <c r="AA78" s="60"/>
      <c r="AB78" s="105"/>
      <c r="AC78" s="93"/>
      <c r="AD78" s="33">
        <f t="shared" si="47"/>
        <v>0</v>
      </c>
      <c r="AE78" s="33">
        <f t="shared" si="48"/>
        <v>496</v>
      </c>
      <c r="AF78" s="101">
        <f t="shared" si="49"/>
        <v>106</v>
      </c>
    </row>
    <row r="79" spans="2:32" ht="13" outlineLevel="2" x14ac:dyDescent="0.3">
      <c r="B79" s="31" t="s">
        <v>113</v>
      </c>
      <c r="C79" s="33">
        <v>1352</v>
      </c>
      <c r="D79" s="33">
        <v>1289</v>
      </c>
      <c r="E79" s="23">
        <v>0</v>
      </c>
      <c r="F79" s="23">
        <v>0</v>
      </c>
      <c r="G79" s="23">
        <v>-41</v>
      </c>
      <c r="H79" s="23">
        <v>0</v>
      </c>
      <c r="I79" s="23">
        <v>-22</v>
      </c>
      <c r="J79" s="23">
        <v>0</v>
      </c>
      <c r="K79" s="23">
        <f t="shared" si="41"/>
        <v>-63</v>
      </c>
      <c r="L79" s="33">
        <f t="shared" si="42"/>
        <v>0</v>
      </c>
      <c r="M79" s="33">
        <f t="shared" si="43"/>
        <v>-63</v>
      </c>
      <c r="N79" s="33">
        <v>1289</v>
      </c>
      <c r="O79" s="33">
        <v>1941</v>
      </c>
      <c r="P79" s="33">
        <v>-316</v>
      </c>
      <c r="Q79" s="33">
        <v>1625</v>
      </c>
      <c r="R79" s="33">
        <v>1289</v>
      </c>
      <c r="S79" s="33">
        <f t="shared" si="44"/>
        <v>336</v>
      </c>
      <c r="T79" s="38">
        <f t="shared" si="45"/>
        <v>1.26066718386346</v>
      </c>
      <c r="U79" s="59">
        <f t="shared" si="46"/>
        <v>1389</v>
      </c>
      <c r="V79" s="33">
        <v>100</v>
      </c>
      <c r="W79" s="33">
        <v>100</v>
      </c>
      <c r="X79" s="33"/>
      <c r="Y79" s="33"/>
      <c r="Z79" s="42"/>
      <c r="AA79" s="60"/>
      <c r="AB79" s="105"/>
      <c r="AC79" s="93"/>
      <c r="AD79" s="33">
        <f t="shared" si="47"/>
        <v>0</v>
      </c>
      <c r="AE79" s="33">
        <f t="shared" si="48"/>
        <v>1625</v>
      </c>
      <c r="AF79" s="101">
        <f t="shared" si="49"/>
        <v>336</v>
      </c>
    </row>
    <row r="80" spans="2:32" ht="13" outlineLevel="1" x14ac:dyDescent="0.3">
      <c r="B80" s="32" t="s">
        <v>114</v>
      </c>
      <c r="C80" s="34">
        <f t="shared" ref="C80:J80" si="52">SUBTOTAL(9,C77:C79)</f>
        <v>2464</v>
      </c>
      <c r="D80" s="34">
        <f t="shared" si="52"/>
        <v>2403</v>
      </c>
      <c r="E80" s="24">
        <f t="shared" si="52"/>
        <v>10</v>
      </c>
      <c r="F80" s="24">
        <f t="shared" si="52"/>
        <v>0</v>
      </c>
      <c r="G80" s="24">
        <f t="shared" si="52"/>
        <v>-49</v>
      </c>
      <c r="H80" s="24">
        <f t="shared" si="52"/>
        <v>0</v>
      </c>
      <c r="I80" s="24">
        <f t="shared" si="52"/>
        <v>-22</v>
      </c>
      <c r="J80" s="24">
        <f t="shared" si="52"/>
        <v>0</v>
      </c>
      <c r="K80" s="24">
        <f>SUM(E80:J80)</f>
        <v>-61</v>
      </c>
      <c r="L80" s="34">
        <f t="shared" si="42"/>
        <v>0</v>
      </c>
      <c r="M80" s="34">
        <f t="shared" si="43"/>
        <v>-61</v>
      </c>
      <c r="N80" s="34">
        <f>SUBTOTAL(9,N77:N79)</f>
        <v>2403</v>
      </c>
      <c r="O80" s="34">
        <f>SUBTOTAL(9,O77:O79)</f>
        <v>3286</v>
      </c>
      <c r="P80" s="34">
        <f>SUBTOTAL(9,P77:P79)</f>
        <v>-423</v>
      </c>
      <c r="Q80" s="34">
        <f>SUBTOTAL(9,Q77:Q79)</f>
        <v>2862</v>
      </c>
      <c r="R80" s="34">
        <f>SUBTOTAL(9,R77:R79)</f>
        <v>2403</v>
      </c>
      <c r="S80" s="34">
        <f>Q80-R80</f>
        <v>459</v>
      </c>
      <c r="T80" s="38">
        <f>IFERROR((Q80/N80)*100%,"∞")</f>
        <v>1.1910112359550562</v>
      </c>
      <c r="U80" s="59">
        <f>N80+V80</f>
        <v>2592</v>
      </c>
      <c r="V80" s="34">
        <f>SUBTOTAL(9,V77:V79)</f>
        <v>189</v>
      </c>
      <c r="W80" s="34">
        <f>SUBTOTAL(9,W77:W79)</f>
        <v>189</v>
      </c>
      <c r="X80" s="34"/>
      <c r="Y80" s="34"/>
      <c r="Z80" s="41"/>
      <c r="AA80" s="60"/>
      <c r="AB80" s="102">
        <f>SUBTOTAL(9,AB5:AB79)</f>
        <v>0</v>
      </c>
      <c r="AC80" s="34">
        <f>SUBTOTAL(9,AC5:AC79)</f>
        <v>0</v>
      </c>
      <c r="AD80" s="34"/>
      <c r="AE80" s="34"/>
      <c r="AF80" s="103"/>
    </row>
    <row r="81" spans="2:32" ht="13.5" customHeight="1" thickBot="1" x14ac:dyDescent="0.35">
      <c r="B81" s="53" t="s">
        <v>115</v>
      </c>
      <c r="C81" s="35">
        <f t="shared" ref="C81:J81" si="53">SUBTOTAL(9,C61:C80)</f>
        <v>16460</v>
      </c>
      <c r="D81" s="35">
        <f t="shared" si="53"/>
        <v>16327</v>
      </c>
      <c r="E81" s="25">
        <f t="shared" si="53"/>
        <v>184</v>
      </c>
      <c r="F81" s="25">
        <f t="shared" si="53"/>
        <v>488</v>
      </c>
      <c r="G81" s="25">
        <f t="shared" si="53"/>
        <v>-267</v>
      </c>
      <c r="H81" s="25">
        <f t="shared" si="53"/>
        <v>0</v>
      </c>
      <c r="I81" s="25">
        <f t="shared" si="53"/>
        <v>-51</v>
      </c>
      <c r="J81" s="25">
        <f t="shared" si="53"/>
        <v>75</v>
      </c>
      <c r="K81" s="25">
        <f>SUM(E81:J81)</f>
        <v>429</v>
      </c>
      <c r="L81" s="35">
        <f t="shared" si="42"/>
        <v>563</v>
      </c>
      <c r="M81" s="35">
        <f t="shared" si="43"/>
        <v>430</v>
      </c>
      <c r="N81" s="35">
        <f>SUBTOTAL(9,N61:N80)</f>
        <v>16890</v>
      </c>
      <c r="O81" s="35">
        <f>SUBTOTAL(9,O61:O80)</f>
        <v>20386</v>
      </c>
      <c r="P81" s="35">
        <f>SUBTOTAL(9,P61:P80)</f>
        <v>-2585</v>
      </c>
      <c r="Q81" s="35">
        <f>SUBTOTAL(9,Q61:Q80)</f>
        <v>17801</v>
      </c>
      <c r="R81" s="35">
        <f>SUBTOTAL(9,R61:R80)</f>
        <v>16890</v>
      </c>
      <c r="S81" s="35">
        <f>Q81-R81</f>
        <v>911</v>
      </c>
      <c r="T81" s="39">
        <f>IFERROR((Q81/N81)*100%,"∞")</f>
        <v>1.0539372409709888</v>
      </c>
      <c r="U81" s="54">
        <f>N81+V81</f>
        <v>17230</v>
      </c>
      <c r="V81" s="35">
        <f>SUBTOTAL(9,V61:V80)</f>
        <v>340</v>
      </c>
      <c r="W81" s="35">
        <f>SUBTOTAL(9,W61:W80)</f>
        <v>340</v>
      </c>
      <c r="X81" s="35"/>
      <c r="Y81" s="35"/>
      <c r="Z81" s="43"/>
      <c r="AA81" s="60"/>
      <c r="AB81" s="104">
        <f>SUBTOTAL(9,AB5:AB80)</f>
        <v>0</v>
      </c>
      <c r="AC81" s="104">
        <f>SUBTOTAL(9,AC5:AC80)</f>
        <v>0</v>
      </c>
      <c r="AD81" s="35">
        <f>SUM(AB81:AC81)</f>
        <v>0</v>
      </c>
      <c r="AE81" s="35">
        <f>Q81+AD81</f>
        <v>17801</v>
      </c>
      <c r="AF81" s="43">
        <f>AE81-N81</f>
        <v>911</v>
      </c>
    </row>
    <row r="82" spans="2:32" ht="14" thickTop="1" thickBot="1" x14ac:dyDescent="0.35">
      <c r="B82" s="61"/>
      <c r="C82" s="62"/>
      <c r="D82" s="62"/>
      <c r="E82" s="65"/>
      <c r="F82" s="65"/>
      <c r="G82" s="65"/>
      <c r="H82" s="65"/>
      <c r="I82" s="65"/>
      <c r="J82" s="65"/>
      <c r="K82" s="65"/>
      <c r="L82" s="62"/>
      <c r="M82" s="62"/>
      <c r="N82" s="62"/>
      <c r="O82" s="62"/>
      <c r="P82" s="62"/>
      <c r="Q82" s="62"/>
      <c r="R82" s="62"/>
      <c r="S82" s="62"/>
      <c r="T82" s="62"/>
      <c r="U82" s="64"/>
      <c r="V82" s="62"/>
      <c r="W82" s="62"/>
      <c r="X82" s="62"/>
      <c r="Y82" s="62"/>
      <c r="Z82" s="63"/>
      <c r="AA82" s="60"/>
      <c r="AB82" s="61"/>
      <c r="AC82" s="62"/>
      <c r="AD82" s="62"/>
      <c r="AE82" s="62"/>
      <c r="AF82" s="63"/>
    </row>
    <row r="83" spans="2:32" ht="13.5" thickBot="1" x14ac:dyDescent="0.35">
      <c r="B83" s="50" t="s">
        <v>116</v>
      </c>
      <c r="C83" s="51">
        <f t="shared" ref="C83:J83" si="54">SUBTOTAL(9,C5:C82)</f>
        <v>34225</v>
      </c>
      <c r="D83" s="51">
        <f t="shared" si="54"/>
        <v>34439</v>
      </c>
      <c r="E83" s="51">
        <f t="shared" si="54"/>
        <v>406</v>
      </c>
      <c r="F83" s="51">
        <f t="shared" si="54"/>
        <v>-2395</v>
      </c>
      <c r="G83" s="51">
        <f t="shared" si="54"/>
        <v>-190</v>
      </c>
      <c r="H83" s="51">
        <f t="shared" si="54"/>
        <v>-28</v>
      </c>
      <c r="I83" s="51">
        <f t="shared" si="54"/>
        <v>-1</v>
      </c>
      <c r="J83" s="51">
        <f t="shared" si="54"/>
        <v>0</v>
      </c>
      <c r="K83" s="51">
        <f>SUM(E83:J83)</f>
        <v>-2208</v>
      </c>
      <c r="L83" s="51">
        <f>N83-D83</f>
        <v>-2413</v>
      </c>
      <c r="M83" s="51">
        <f>N83-C83</f>
        <v>-2199</v>
      </c>
      <c r="N83" s="51">
        <f>SUBTOTAL(9,N5:N82)</f>
        <v>32026</v>
      </c>
      <c r="O83" s="51">
        <f>SUBTOTAL(9,O5:O82)</f>
        <v>82215</v>
      </c>
      <c r="P83" s="51">
        <f>SUBTOTAL(9,P5:P82)</f>
        <v>-47280</v>
      </c>
      <c r="Q83" s="51">
        <f>SUBTOTAL(9,Q5:Q82)</f>
        <v>34934</v>
      </c>
      <c r="R83" s="51">
        <f>SUBTOTAL(9,R5:R82)</f>
        <v>32026</v>
      </c>
      <c r="S83" s="51">
        <f>Q83-R83</f>
        <v>2908</v>
      </c>
      <c r="T83" s="52">
        <f>IFERROR((Q83/N83)*100%,"∞")</f>
        <v>1.0908012240054956</v>
      </c>
      <c r="U83" s="51">
        <f>N83+V83</f>
        <v>33062</v>
      </c>
      <c r="V83" s="51">
        <f>SUBTOTAL(9,V5:V82)</f>
        <v>1036</v>
      </c>
      <c r="W83" s="51">
        <f>SUBTOTAL(9,W5:W82)</f>
        <v>1036</v>
      </c>
      <c r="X83" s="51">
        <f>SUBTOTAL(9,X5:X82)</f>
        <v>0</v>
      </c>
      <c r="Y83" s="51">
        <f>SUBTOTAL(9,Y5:Y82)</f>
        <v>0</v>
      </c>
      <c r="Z83" s="51">
        <f>SUBTOTAL(9,Z5:Z82)</f>
        <v>0</v>
      </c>
      <c r="AA83" s="60"/>
      <c r="AB83" s="51">
        <f>SUBTOTAL(9,AB5:AB82)</f>
        <v>0</v>
      </c>
      <c r="AC83" s="51">
        <f>SUBTOTAL(9,AC5:AC82)</f>
        <v>0</v>
      </c>
      <c r="AD83" s="51">
        <f>SUM(AB83:AC83)</f>
        <v>0</v>
      </c>
      <c r="AE83" s="51">
        <f>Q83+AD83</f>
        <v>34934</v>
      </c>
      <c r="AF83" s="51">
        <f>AE83-N83</f>
        <v>2908</v>
      </c>
    </row>
    <row r="84" spans="2:32" ht="13.5" thickTop="1" x14ac:dyDescent="0.3">
      <c r="B84" s="71"/>
      <c r="C84" s="72"/>
      <c r="D84" s="72"/>
      <c r="E84" s="73"/>
      <c r="F84" s="73"/>
      <c r="G84" s="73"/>
      <c r="H84" s="73"/>
      <c r="I84" s="73"/>
      <c r="J84" s="73"/>
      <c r="K84" s="73"/>
      <c r="L84" s="72"/>
      <c r="M84" s="72"/>
      <c r="N84" s="72"/>
      <c r="O84" s="72"/>
      <c r="P84" s="72"/>
      <c r="Q84" s="72"/>
      <c r="R84" s="72"/>
      <c r="S84" s="72"/>
      <c r="T84" s="72"/>
      <c r="U84" s="74"/>
      <c r="V84" s="72"/>
      <c r="W84" s="72"/>
      <c r="X84" s="72"/>
      <c r="Y84" s="72"/>
      <c r="Z84" s="75"/>
      <c r="AA84" s="60"/>
      <c r="AB84" s="71"/>
      <c r="AC84" s="72"/>
      <c r="AD84" s="72"/>
      <c r="AE84" s="72"/>
      <c r="AF84" s="75"/>
    </row>
    <row r="85" spans="2:32" ht="13" outlineLevel="1" x14ac:dyDescent="0.3">
      <c r="B85" s="31" t="s">
        <v>117</v>
      </c>
      <c r="C85" s="33">
        <v>5662</v>
      </c>
      <c r="D85" s="33">
        <v>5662</v>
      </c>
      <c r="E85" s="23">
        <v>0</v>
      </c>
      <c r="F85" s="23">
        <v>0</v>
      </c>
      <c r="G85" s="23">
        <v>0</v>
      </c>
      <c r="H85" s="23">
        <v>0</v>
      </c>
      <c r="I85" s="23">
        <v>0</v>
      </c>
      <c r="J85" s="23">
        <v>0</v>
      </c>
      <c r="K85" s="23">
        <f t="shared" ref="K85:K102" si="55">SUM(E85:J85)</f>
        <v>0</v>
      </c>
      <c r="L85" s="33">
        <f t="shared" ref="L85:L102" si="56">N85-D85</f>
        <v>0</v>
      </c>
      <c r="M85" s="33">
        <f t="shared" ref="M85:M102" si="57">N85-C85</f>
        <v>0</v>
      </c>
      <c r="N85" s="33">
        <v>5662</v>
      </c>
      <c r="O85" s="33">
        <v>5662</v>
      </c>
      <c r="P85" s="33">
        <v>0</v>
      </c>
      <c r="Q85" s="33">
        <v>5662</v>
      </c>
      <c r="R85" s="33">
        <v>5662</v>
      </c>
      <c r="S85" s="33">
        <f t="shared" ref="S85:S102" si="58">Q85-R85</f>
        <v>0</v>
      </c>
      <c r="T85" s="38">
        <f t="shared" ref="T85:T102" si="59">IFERROR((Q85/N85)*100%,"∞")</f>
        <v>1</v>
      </c>
      <c r="U85" s="59">
        <f t="shared" ref="U85:U102" si="60">N85+V85</f>
        <v>5662</v>
      </c>
      <c r="V85" s="33">
        <v>0</v>
      </c>
      <c r="W85" s="33">
        <v>0</v>
      </c>
      <c r="X85" s="33"/>
      <c r="Y85" s="33"/>
      <c r="Z85" s="42"/>
      <c r="AA85" s="60"/>
      <c r="AB85" s="105"/>
      <c r="AC85" s="93"/>
      <c r="AD85" s="33">
        <f t="shared" ref="AD85:AD102" si="61">SUM(AB85:AC85)</f>
        <v>0</v>
      </c>
      <c r="AE85" s="33">
        <f t="shared" ref="AE85:AE102" si="62">Q85+AD85</f>
        <v>5662</v>
      </c>
      <c r="AF85" s="101">
        <f t="shared" ref="AF85:AF102" si="63">AE85-N85</f>
        <v>0</v>
      </c>
    </row>
    <row r="86" spans="2:32" ht="13" outlineLevel="1" x14ac:dyDescent="0.3">
      <c r="B86" s="31" t="s">
        <v>118</v>
      </c>
      <c r="C86" s="33">
        <v>-5662</v>
      </c>
      <c r="D86" s="33">
        <v>-5662</v>
      </c>
      <c r="E86" s="23">
        <v>0</v>
      </c>
      <c r="F86" s="23">
        <v>0</v>
      </c>
      <c r="G86" s="23">
        <v>0</v>
      </c>
      <c r="H86" s="23">
        <v>0</v>
      </c>
      <c r="I86" s="23">
        <v>0</v>
      </c>
      <c r="J86" s="23">
        <v>0</v>
      </c>
      <c r="K86" s="23">
        <f t="shared" si="55"/>
        <v>0</v>
      </c>
      <c r="L86" s="33">
        <f t="shared" si="56"/>
        <v>0</v>
      </c>
      <c r="M86" s="33">
        <f t="shared" si="57"/>
        <v>0</v>
      </c>
      <c r="N86" s="33">
        <v>-5662</v>
      </c>
      <c r="O86" s="33">
        <v>0</v>
      </c>
      <c r="P86" s="33">
        <v>-5662</v>
      </c>
      <c r="Q86" s="33">
        <v>-5662</v>
      </c>
      <c r="R86" s="33">
        <v>-5662</v>
      </c>
      <c r="S86" s="33">
        <f t="shared" si="58"/>
        <v>0</v>
      </c>
      <c r="T86" s="38">
        <f t="shared" si="59"/>
        <v>1</v>
      </c>
      <c r="U86" s="59">
        <f t="shared" si="60"/>
        <v>-5662</v>
      </c>
      <c r="V86" s="33">
        <v>0</v>
      </c>
      <c r="W86" s="33">
        <v>0</v>
      </c>
      <c r="X86" s="33"/>
      <c r="Y86" s="33"/>
      <c r="Z86" s="42"/>
      <c r="AA86" s="60"/>
      <c r="AB86" s="105"/>
      <c r="AC86" s="93"/>
      <c r="AD86" s="33">
        <f t="shared" si="61"/>
        <v>0</v>
      </c>
      <c r="AE86" s="33">
        <f t="shared" si="62"/>
        <v>-5662</v>
      </c>
      <c r="AF86" s="101">
        <f t="shared" si="63"/>
        <v>0</v>
      </c>
    </row>
    <row r="87" spans="2:32" ht="13" hidden="1" outlineLevel="1" x14ac:dyDescent="0.3">
      <c r="B87" s="31" t="s">
        <v>119</v>
      </c>
      <c r="C87" s="33">
        <v>0</v>
      </c>
      <c r="D87" s="33">
        <v>0</v>
      </c>
      <c r="E87" s="23">
        <v>0</v>
      </c>
      <c r="F87" s="23">
        <v>0</v>
      </c>
      <c r="G87" s="23">
        <v>0</v>
      </c>
      <c r="H87" s="23">
        <v>0</v>
      </c>
      <c r="I87" s="23">
        <v>0</v>
      </c>
      <c r="J87" s="23">
        <v>0</v>
      </c>
      <c r="K87" s="23">
        <f t="shared" si="55"/>
        <v>0</v>
      </c>
      <c r="L87" s="33">
        <f t="shared" si="56"/>
        <v>0</v>
      </c>
      <c r="M87" s="33">
        <f t="shared" si="57"/>
        <v>0</v>
      </c>
      <c r="N87" s="33">
        <v>0</v>
      </c>
      <c r="O87" s="33">
        <v>0</v>
      </c>
      <c r="P87" s="33">
        <v>0</v>
      </c>
      <c r="Q87" s="33">
        <v>0</v>
      </c>
      <c r="R87" s="33">
        <v>0</v>
      </c>
      <c r="S87" s="33">
        <f t="shared" si="58"/>
        <v>0</v>
      </c>
      <c r="T87" s="38" t="str">
        <f t="shared" si="59"/>
        <v>∞</v>
      </c>
      <c r="U87" s="59">
        <f t="shared" si="60"/>
        <v>0</v>
      </c>
      <c r="V87" s="33">
        <v>0</v>
      </c>
      <c r="W87" s="33">
        <v>0</v>
      </c>
      <c r="X87" s="33"/>
      <c r="Y87" s="33"/>
      <c r="Z87" s="42"/>
      <c r="AA87" s="60"/>
      <c r="AB87" s="105"/>
      <c r="AC87" s="93"/>
      <c r="AD87" s="33">
        <f t="shared" si="61"/>
        <v>0</v>
      </c>
      <c r="AE87" s="33">
        <f t="shared" si="62"/>
        <v>0</v>
      </c>
      <c r="AF87" s="101">
        <f t="shared" si="63"/>
        <v>0</v>
      </c>
    </row>
    <row r="88" spans="2:32" ht="13" hidden="1" outlineLevel="1" x14ac:dyDescent="0.3">
      <c r="B88" s="31" t="s">
        <v>120</v>
      </c>
      <c r="C88" s="33">
        <v>0</v>
      </c>
      <c r="D88" s="33">
        <v>0</v>
      </c>
      <c r="E88" s="23">
        <v>0</v>
      </c>
      <c r="F88" s="23">
        <v>0</v>
      </c>
      <c r="G88" s="23">
        <v>0</v>
      </c>
      <c r="H88" s="23">
        <v>0</v>
      </c>
      <c r="I88" s="23">
        <v>0</v>
      </c>
      <c r="J88" s="23">
        <v>0</v>
      </c>
      <c r="K88" s="23">
        <f t="shared" si="55"/>
        <v>0</v>
      </c>
      <c r="L88" s="33">
        <f t="shared" si="56"/>
        <v>0</v>
      </c>
      <c r="M88" s="33">
        <f t="shared" si="57"/>
        <v>0</v>
      </c>
      <c r="N88" s="33">
        <v>0</v>
      </c>
      <c r="O88" s="33">
        <v>0</v>
      </c>
      <c r="P88" s="33">
        <v>0</v>
      </c>
      <c r="Q88" s="33">
        <v>0</v>
      </c>
      <c r="R88" s="33">
        <v>0</v>
      </c>
      <c r="S88" s="33">
        <f t="shared" si="58"/>
        <v>0</v>
      </c>
      <c r="T88" s="38" t="str">
        <f t="shared" si="59"/>
        <v>∞</v>
      </c>
      <c r="U88" s="59">
        <f t="shared" si="60"/>
        <v>0</v>
      </c>
      <c r="V88" s="33">
        <v>0</v>
      </c>
      <c r="W88" s="33">
        <v>0</v>
      </c>
      <c r="X88" s="33"/>
      <c r="Y88" s="33"/>
      <c r="Z88" s="42"/>
      <c r="AA88" s="60"/>
      <c r="AB88" s="105"/>
      <c r="AC88" s="93"/>
      <c r="AD88" s="33">
        <f t="shared" si="61"/>
        <v>0</v>
      </c>
      <c r="AE88" s="33">
        <f t="shared" si="62"/>
        <v>0</v>
      </c>
      <c r="AF88" s="101">
        <f t="shared" si="63"/>
        <v>0</v>
      </c>
    </row>
    <row r="89" spans="2:32" ht="13" outlineLevel="1" x14ac:dyDescent="0.3">
      <c r="B89" s="31" t="s">
        <v>121</v>
      </c>
      <c r="C89" s="33">
        <v>0</v>
      </c>
      <c r="D89" s="33">
        <v>0</v>
      </c>
      <c r="E89" s="23">
        <v>0</v>
      </c>
      <c r="F89" s="23">
        <v>0</v>
      </c>
      <c r="G89" s="23">
        <v>0</v>
      </c>
      <c r="H89" s="23">
        <v>0</v>
      </c>
      <c r="I89" s="23">
        <v>0</v>
      </c>
      <c r="J89" s="23">
        <v>0</v>
      </c>
      <c r="K89" s="23">
        <f t="shared" si="55"/>
        <v>0</v>
      </c>
      <c r="L89" s="33">
        <f t="shared" si="56"/>
        <v>0</v>
      </c>
      <c r="M89" s="33">
        <f t="shared" si="57"/>
        <v>0</v>
      </c>
      <c r="N89" s="33">
        <v>0</v>
      </c>
      <c r="O89" s="33">
        <v>-3105</v>
      </c>
      <c r="P89" s="33">
        <v>0</v>
      </c>
      <c r="Q89" s="33">
        <v>-3105</v>
      </c>
      <c r="R89" s="33">
        <v>0</v>
      </c>
      <c r="S89" s="33">
        <f t="shared" si="58"/>
        <v>-3105</v>
      </c>
      <c r="T89" s="38" t="str">
        <f t="shared" si="59"/>
        <v>∞</v>
      </c>
      <c r="U89" s="59">
        <f t="shared" si="60"/>
        <v>0</v>
      </c>
      <c r="V89" s="33">
        <v>0</v>
      </c>
      <c r="W89" s="33">
        <v>0</v>
      </c>
      <c r="X89" s="33"/>
      <c r="Y89" s="33"/>
      <c r="Z89" s="42"/>
      <c r="AA89" s="60"/>
      <c r="AB89" s="105"/>
      <c r="AC89" s="93"/>
      <c r="AD89" s="33">
        <f t="shared" si="61"/>
        <v>0</v>
      </c>
      <c r="AE89" s="33">
        <f t="shared" si="62"/>
        <v>-3105</v>
      </c>
      <c r="AF89" s="101">
        <f t="shared" si="63"/>
        <v>-3105</v>
      </c>
    </row>
    <row r="90" spans="2:32" ht="13" outlineLevel="1" x14ac:dyDescent="0.3">
      <c r="B90" s="31" t="s">
        <v>122</v>
      </c>
      <c r="C90" s="33">
        <v>0</v>
      </c>
      <c r="D90" s="33">
        <v>0</v>
      </c>
      <c r="E90" s="23">
        <v>0</v>
      </c>
      <c r="F90" s="23">
        <v>0</v>
      </c>
      <c r="G90" s="23">
        <v>0</v>
      </c>
      <c r="H90" s="23">
        <v>0</v>
      </c>
      <c r="I90" s="23">
        <v>0</v>
      </c>
      <c r="J90" s="23">
        <v>0</v>
      </c>
      <c r="K90" s="23">
        <f t="shared" si="55"/>
        <v>0</v>
      </c>
      <c r="L90" s="33">
        <f t="shared" si="56"/>
        <v>0</v>
      </c>
      <c r="M90" s="33">
        <f t="shared" si="57"/>
        <v>0</v>
      </c>
      <c r="N90" s="33">
        <v>0</v>
      </c>
      <c r="O90" s="33">
        <v>3105</v>
      </c>
      <c r="P90" s="33">
        <v>0</v>
      </c>
      <c r="Q90" s="33">
        <v>3105</v>
      </c>
      <c r="R90" s="33">
        <v>0</v>
      </c>
      <c r="S90" s="33">
        <f t="shared" si="58"/>
        <v>3105</v>
      </c>
      <c r="T90" s="38" t="str">
        <f t="shared" si="59"/>
        <v>∞</v>
      </c>
      <c r="U90" s="59">
        <f t="shared" si="60"/>
        <v>0</v>
      </c>
      <c r="V90" s="33">
        <v>0</v>
      </c>
      <c r="W90" s="33">
        <v>0</v>
      </c>
      <c r="X90" s="33"/>
      <c r="Y90" s="33"/>
      <c r="Z90" s="42"/>
      <c r="AA90" s="60"/>
      <c r="AB90" s="105"/>
      <c r="AC90" s="93"/>
      <c r="AD90" s="33">
        <f t="shared" si="61"/>
        <v>0</v>
      </c>
      <c r="AE90" s="33">
        <f t="shared" si="62"/>
        <v>3105</v>
      </c>
      <c r="AF90" s="101">
        <f t="shared" si="63"/>
        <v>3105</v>
      </c>
    </row>
    <row r="91" spans="2:32" ht="13" outlineLevel="1" x14ac:dyDescent="0.3">
      <c r="B91" s="31" t="s">
        <v>123</v>
      </c>
      <c r="C91" s="33">
        <v>0</v>
      </c>
      <c r="D91" s="33">
        <v>0</v>
      </c>
      <c r="E91" s="23">
        <v>0</v>
      </c>
      <c r="F91" s="23">
        <v>0</v>
      </c>
      <c r="G91" s="23">
        <v>0</v>
      </c>
      <c r="H91" s="23">
        <v>0</v>
      </c>
      <c r="I91" s="23">
        <v>0</v>
      </c>
      <c r="J91" s="23">
        <v>0</v>
      </c>
      <c r="K91" s="23">
        <f t="shared" si="55"/>
        <v>0</v>
      </c>
      <c r="L91" s="33">
        <f t="shared" si="56"/>
        <v>0</v>
      </c>
      <c r="M91" s="33">
        <f t="shared" si="57"/>
        <v>0</v>
      </c>
      <c r="N91" s="33">
        <v>0</v>
      </c>
      <c r="O91" s="33">
        <v>123</v>
      </c>
      <c r="P91" s="33">
        <v>-175</v>
      </c>
      <c r="Q91" s="33">
        <v>-53</v>
      </c>
      <c r="R91" s="33">
        <v>0</v>
      </c>
      <c r="S91" s="33">
        <f t="shared" si="58"/>
        <v>-53</v>
      </c>
      <c r="T91" s="38" t="str">
        <f t="shared" si="59"/>
        <v>∞</v>
      </c>
      <c r="U91" s="59">
        <f t="shared" si="60"/>
        <v>0</v>
      </c>
      <c r="V91" s="33">
        <v>0</v>
      </c>
      <c r="W91" s="33">
        <v>0</v>
      </c>
      <c r="X91" s="33"/>
      <c r="Y91" s="33"/>
      <c r="Z91" s="42"/>
      <c r="AA91" s="60"/>
      <c r="AB91" s="105"/>
      <c r="AC91" s="93"/>
      <c r="AD91" s="33">
        <f t="shared" si="61"/>
        <v>0</v>
      </c>
      <c r="AE91" s="33">
        <f t="shared" si="62"/>
        <v>-53</v>
      </c>
      <c r="AF91" s="101">
        <f t="shared" si="63"/>
        <v>-53</v>
      </c>
    </row>
    <row r="92" spans="2:32" ht="13" outlineLevel="1" x14ac:dyDescent="0.3">
      <c r="B92" s="31" t="s">
        <v>124</v>
      </c>
      <c r="C92" s="33">
        <v>0</v>
      </c>
      <c r="D92" s="33">
        <v>0</v>
      </c>
      <c r="E92" s="23">
        <v>0</v>
      </c>
      <c r="F92" s="23">
        <v>0</v>
      </c>
      <c r="G92" s="23">
        <v>0</v>
      </c>
      <c r="H92" s="23">
        <v>0</v>
      </c>
      <c r="I92" s="23">
        <v>0</v>
      </c>
      <c r="J92" s="23">
        <v>0</v>
      </c>
      <c r="K92" s="23">
        <f t="shared" si="55"/>
        <v>0</v>
      </c>
      <c r="L92" s="33">
        <f t="shared" si="56"/>
        <v>0</v>
      </c>
      <c r="M92" s="33">
        <f t="shared" si="57"/>
        <v>0</v>
      </c>
      <c r="N92" s="33">
        <v>0</v>
      </c>
      <c r="O92" s="33">
        <v>53</v>
      </c>
      <c r="P92" s="33">
        <v>0</v>
      </c>
      <c r="Q92" s="33">
        <v>53</v>
      </c>
      <c r="R92" s="33">
        <v>0</v>
      </c>
      <c r="S92" s="33">
        <f t="shared" si="58"/>
        <v>53</v>
      </c>
      <c r="T92" s="38" t="str">
        <f t="shared" si="59"/>
        <v>∞</v>
      </c>
      <c r="U92" s="59">
        <f t="shared" si="60"/>
        <v>0</v>
      </c>
      <c r="V92" s="33">
        <v>0</v>
      </c>
      <c r="W92" s="33">
        <v>0</v>
      </c>
      <c r="X92" s="33"/>
      <c r="Y92" s="33"/>
      <c r="Z92" s="42"/>
      <c r="AA92" s="60"/>
      <c r="AB92" s="105"/>
      <c r="AC92" s="93"/>
      <c r="AD92" s="33">
        <f t="shared" si="61"/>
        <v>0</v>
      </c>
      <c r="AE92" s="33">
        <f t="shared" si="62"/>
        <v>53</v>
      </c>
      <c r="AF92" s="101">
        <f t="shared" si="63"/>
        <v>53</v>
      </c>
    </row>
    <row r="93" spans="2:32" ht="13" outlineLevel="1" x14ac:dyDescent="0.3">
      <c r="B93" s="31" t="s">
        <v>125</v>
      </c>
      <c r="C93" s="33">
        <v>0</v>
      </c>
      <c r="D93" s="33">
        <v>0</v>
      </c>
      <c r="E93" s="23">
        <v>0</v>
      </c>
      <c r="F93" s="23">
        <v>0</v>
      </c>
      <c r="G93" s="23">
        <v>0</v>
      </c>
      <c r="H93" s="23">
        <v>0</v>
      </c>
      <c r="I93" s="23">
        <v>0</v>
      </c>
      <c r="J93" s="23">
        <v>0</v>
      </c>
      <c r="K93" s="23">
        <f t="shared" si="55"/>
        <v>0</v>
      </c>
      <c r="L93" s="33">
        <f t="shared" si="56"/>
        <v>0</v>
      </c>
      <c r="M93" s="33">
        <f t="shared" si="57"/>
        <v>0</v>
      </c>
      <c r="N93" s="33">
        <v>0</v>
      </c>
      <c r="O93" s="33">
        <v>77</v>
      </c>
      <c r="P93" s="33">
        <v>0</v>
      </c>
      <c r="Q93" s="33">
        <v>77</v>
      </c>
      <c r="R93" s="33">
        <v>0</v>
      </c>
      <c r="S93" s="33">
        <f t="shared" si="58"/>
        <v>77</v>
      </c>
      <c r="T93" s="38" t="str">
        <f t="shared" si="59"/>
        <v>∞</v>
      </c>
      <c r="U93" s="59">
        <f t="shared" si="60"/>
        <v>0</v>
      </c>
      <c r="V93" s="33">
        <v>0</v>
      </c>
      <c r="W93" s="33">
        <v>0</v>
      </c>
      <c r="X93" s="33"/>
      <c r="Y93" s="33"/>
      <c r="Z93" s="42"/>
      <c r="AA93" s="60"/>
      <c r="AB93" s="105"/>
      <c r="AC93" s="93"/>
      <c r="AD93" s="33">
        <f t="shared" si="61"/>
        <v>0</v>
      </c>
      <c r="AE93" s="33">
        <f t="shared" si="62"/>
        <v>77</v>
      </c>
      <c r="AF93" s="101">
        <f t="shared" si="63"/>
        <v>77</v>
      </c>
    </row>
    <row r="94" spans="2:32" ht="13" outlineLevel="1" x14ac:dyDescent="0.3">
      <c r="B94" s="31" t="s">
        <v>126</v>
      </c>
      <c r="C94" s="33">
        <v>0</v>
      </c>
      <c r="D94" s="33">
        <v>0</v>
      </c>
      <c r="E94" s="23">
        <v>0</v>
      </c>
      <c r="F94" s="23">
        <v>0</v>
      </c>
      <c r="G94" s="23">
        <v>0</v>
      </c>
      <c r="H94" s="23">
        <v>0</v>
      </c>
      <c r="I94" s="23">
        <v>0</v>
      </c>
      <c r="J94" s="23">
        <v>0</v>
      </c>
      <c r="K94" s="23">
        <f t="shared" si="55"/>
        <v>0</v>
      </c>
      <c r="L94" s="33">
        <f t="shared" si="56"/>
        <v>0</v>
      </c>
      <c r="M94" s="33">
        <f t="shared" si="57"/>
        <v>0</v>
      </c>
      <c r="N94" s="33">
        <v>0</v>
      </c>
      <c r="O94" s="33">
        <v>-77</v>
      </c>
      <c r="P94" s="33">
        <v>0</v>
      </c>
      <c r="Q94" s="33">
        <v>-77</v>
      </c>
      <c r="R94" s="33">
        <v>0</v>
      </c>
      <c r="S94" s="33">
        <f t="shared" si="58"/>
        <v>-77</v>
      </c>
      <c r="T94" s="38" t="str">
        <f t="shared" si="59"/>
        <v>∞</v>
      </c>
      <c r="U94" s="59">
        <f t="shared" si="60"/>
        <v>0</v>
      </c>
      <c r="V94" s="33">
        <v>0</v>
      </c>
      <c r="W94" s="33">
        <v>0</v>
      </c>
      <c r="X94" s="33"/>
      <c r="Y94" s="33"/>
      <c r="Z94" s="42"/>
      <c r="AA94" s="60"/>
      <c r="AB94" s="105"/>
      <c r="AC94" s="93"/>
      <c r="AD94" s="33">
        <f t="shared" si="61"/>
        <v>0</v>
      </c>
      <c r="AE94" s="33">
        <f t="shared" si="62"/>
        <v>-77</v>
      </c>
      <c r="AF94" s="101">
        <f t="shared" si="63"/>
        <v>-77</v>
      </c>
    </row>
    <row r="95" spans="2:32" ht="13" outlineLevel="1" x14ac:dyDescent="0.3">
      <c r="B95" s="31" t="s">
        <v>127</v>
      </c>
      <c r="C95" s="33">
        <v>0</v>
      </c>
      <c r="D95" s="33">
        <v>0</v>
      </c>
      <c r="E95" s="23">
        <v>0</v>
      </c>
      <c r="F95" s="23">
        <v>0</v>
      </c>
      <c r="G95" s="23">
        <v>0</v>
      </c>
      <c r="H95" s="23">
        <v>0</v>
      </c>
      <c r="I95" s="23">
        <v>0</v>
      </c>
      <c r="J95" s="23">
        <v>0</v>
      </c>
      <c r="K95" s="23">
        <f t="shared" si="55"/>
        <v>0</v>
      </c>
      <c r="L95" s="33">
        <f t="shared" si="56"/>
        <v>0</v>
      </c>
      <c r="M95" s="33">
        <f t="shared" si="57"/>
        <v>0</v>
      </c>
      <c r="N95" s="33">
        <v>0</v>
      </c>
      <c r="O95" s="33">
        <v>12473</v>
      </c>
      <c r="P95" s="33">
        <v>0</v>
      </c>
      <c r="Q95" s="33">
        <v>12473</v>
      </c>
      <c r="R95" s="33">
        <v>0</v>
      </c>
      <c r="S95" s="33">
        <f t="shared" si="58"/>
        <v>12473</v>
      </c>
      <c r="T95" s="38" t="str">
        <f t="shared" si="59"/>
        <v>∞</v>
      </c>
      <c r="U95" s="59">
        <f t="shared" si="60"/>
        <v>0</v>
      </c>
      <c r="V95" s="33">
        <v>0</v>
      </c>
      <c r="W95" s="33">
        <v>0</v>
      </c>
      <c r="X95" s="33"/>
      <c r="Y95" s="33"/>
      <c r="Z95" s="42"/>
      <c r="AA95" s="60"/>
      <c r="AB95" s="105"/>
      <c r="AC95" s="93"/>
      <c r="AD95" s="33">
        <f t="shared" si="61"/>
        <v>0</v>
      </c>
      <c r="AE95" s="33">
        <f t="shared" si="62"/>
        <v>12473</v>
      </c>
      <c r="AF95" s="101">
        <f t="shared" si="63"/>
        <v>12473</v>
      </c>
    </row>
    <row r="96" spans="2:32" ht="13" outlineLevel="1" x14ac:dyDescent="0.3">
      <c r="B96" s="31" t="s">
        <v>128</v>
      </c>
      <c r="C96" s="33">
        <v>0</v>
      </c>
      <c r="D96" s="33">
        <v>0</v>
      </c>
      <c r="E96" s="23">
        <v>0</v>
      </c>
      <c r="F96" s="23">
        <v>0</v>
      </c>
      <c r="G96" s="23">
        <v>0</v>
      </c>
      <c r="H96" s="23">
        <v>0</v>
      </c>
      <c r="I96" s="23">
        <v>0</v>
      </c>
      <c r="J96" s="23">
        <v>0</v>
      </c>
      <c r="K96" s="23">
        <f t="shared" si="55"/>
        <v>0</v>
      </c>
      <c r="L96" s="33">
        <f t="shared" si="56"/>
        <v>0</v>
      </c>
      <c r="M96" s="33">
        <f t="shared" si="57"/>
        <v>0</v>
      </c>
      <c r="N96" s="33">
        <v>0</v>
      </c>
      <c r="O96" s="33">
        <v>-12051</v>
      </c>
      <c r="P96" s="33">
        <v>0</v>
      </c>
      <c r="Q96" s="33">
        <v>-12051</v>
      </c>
      <c r="R96" s="33">
        <v>0</v>
      </c>
      <c r="S96" s="33">
        <f t="shared" si="58"/>
        <v>-12051</v>
      </c>
      <c r="T96" s="38" t="str">
        <f t="shared" si="59"/>
        <v>∞</v>
      </c>
      <c r="U96" s="59">
        <f t="shared" si="60"/>
        <v>0</v>
      </c>
      <c r="V96" s="33">
        <v>0</v>
      </c>
      <c r="W96" s="33">
        <v>0</v>
      </c>
      <c r="X96" s="33"/>
      <c r="Y96" s="33"/>
      <c r="Z96" s="42"/>
      <c r="AA96" s="60"/>
      <c r="AB96" s="105"/>
      <c r="AC96" s="93"/>
      <c r="AD96" s="33">
        <f t="shared" si="61"/>
        <v>0</v>
      </c>
      <c r="AE96" s="33">
        <f t="shared" si="62"/>
        <v>-12051</v>
      </c>
      <c r="AF96" s="101">
        <f t="shared" si="63"/>
        <v>-12051</v>
      </c>
    </row>
    <row r="97" spans="2:32" ht="13" outlineLevel="1" x14ac:dyDescent="0.3">
      <c r="B97" s="31" t="s">
        <v>129</v>
      </c>
      <c r="C97" s="33">
        <v>0</v>
      </c>
      <c r="D97" s="33">
        <v>0</v>
      </c>
      <c r="E97" s="23">
        <v>0</v>
      </c>
      <c r="F97" s="23">
        <v>0</v>
      </c>
      <c r="G97" s="23">
        <v>0</v>
      </c>
      <c r="H97" s="23">
        <v>0</v>
      </c>
      <c r="I97" s="23">
        <v>0</v>
      </c>
      <c r="J97" s="23">
        <v>0</v>
      </c>
      <c r="K97" s="23">
        <f t="shared" si="55"/>
        <v>0</v>
      </c>
      <c r="L97" s="33">
        <f t="shared" si="56"/>
        <v>0</v>
      </c>
      <c r="M97" s="33">
        <f t="shared" si="57"/>
        <v>0</v>
      </c>
      <c r="N97" s="33">
        <v>0</v>
      </c>
      <c r="O97" s="33">
        <v>-422</v>
      </c>
      <c r="P97" s="33">
        <v>0</v>
      </c>
      <c r="Q97" s="33">
        <v>-422</v>
      </c>
      <c r="R97" s="33">
        <v>0</v>
      </c>
      <c r="S97" s="33">
        <f t="shared" si="58"/>
        <v>-422</v>
      </c>
      <c r="T97" s="38" t="str">
        <f t="shared" si="59"/>
        <v>∞</v>
      </c>
      <c r="U97" s="59">
        <f t="shared" si="60"/>
        <v>0</v>
      </c>
      <c r="V97" s="33">
        <v>0</v>
      </c>
      <c r="W97" s="33">
        <v>0</v>
      </c>
      <c r="X97" s="33"/>
      <c r="Y97" s="33"/>
      <c r="Z97" s="42"/>
      <c r="AA97" s="60"/>
      <c r="AB97" s="105"/>
      <c r="AC97" s="93"/>
      <c r="AD97" s="33">
        <f t="shared" si="61"/>
        <v>0</v>
      </c>
      <c r="AE97" s="33">
        <f t="shared" si="62"/>
        <v>-422</v>
      </c>
      <c r="AF97" s="101">
        <f t="shared" si="63"/>
        <v>-422</v>
      </c>
    </row>
    <row r="98" spans="2:32" ht="13" outlineLevel="1" x14ac:dyDescent="0.3">
      <c r="B98" s="31" t="s">
        <v>130</v>
      </c>
      <c r="C98" s="33">
        <v>0</v>
      </c>
      <c r="D98" s="33">
        <v>0</v>
      </c>
      <c r="E98" s="23">
        <v>0</v>
      </c>
      <c r="F98" s="23">
        <v>0</v>
      </c>
      <c r="G98" s="23">
        <v>0</v>
      </c>
      <c r="H98" s="23">
        <v>0</v>
      </c>
      <c r="I98" s="23">
        <v>0</v>
      </c>
      <c r="J98" s="23">
        <v>0</v>
      </c>
      <c r="K98" s="23">
        <f t="shared" si="55"/>
        <v>0</v>
      </c>
      <c r="L98" s="33">
        <f t="shared" si="56"/>
        <v>0</v>
      </c>
      <c r="M98" s="33">
        <f t="shared" si="57"/>
        <v>0</v>
      </c>
      <c r="N98" s="33">
        <v>0</v>
      </c>
      <c r="O98" s="33">
        <v>5355</v>
      </c>
      <c r="P98" s="33">
        <v>0</v>
      </c>
      <c r="Q98" s="33">
        <v>5355</v>
      </c>
      <c r="R98" s="33">
        <v>0</v>
      </c>
      <c r="S98" s="33">
        <f t="shared" si="58"/>
        <v>5355</v>
      </c>
      <c r="T98" s="38" t="str">
        <f t="shared" si="59"/>
        <v>∞</v>
      </c>
      <c r="U98" s="59">
        <f t="shared" si="60"/>
        <v>0</v>
      </c>
      <c r="V98" s="33">
        <v>0</v>
      </c>
      <c r="W98" s="33">
        <v>0</v>
      </c>
      <c r="X98" s="33"/>
      <c r="Y98" s="33"/>
      <c r="Z98" s="42"/>
      <c r="AA98" s="60"/>
      <c r="AB98" s="105"/>
      <c r="AC98" s="93"/>
      <c r="AD98" s="33">
        <f t="shared" si="61"/>
        <v>0</v>
      </c>
      <c r="AE98" s="33">
        <f t="shared" si="62"/>
        <v>5355</v>
      </c>
      <c r="AF98" s="101">
        <f t="shared" si="63"/>
        <v>5355</v>
      </c>
    </row>
    <row r="99" spans="2:32" ht="13" outlineLevel="1" x14ac:dyDescent="0.3">
      <c r="B99" s="31" t="s">
        <v>131</v>
      </c>
      <c r="C99" s="33">
        <v>0</v>
      </c>
      <c r="D99" s="33">
        <v>0</v>
      </c>
      <c r="E99" s="23">
        <v>0</v>
      </c>
      <c r="F99" s="23">
        <v>0</v>
      </c>
      <c r="G99" s="23">
        <v>0</v>
      </c>
      <c r="H99" s="23">
        <v>0</v>
      </c>
      <c r="I99" s="23">
        <v>0</v>
      </c>
      <c r="J99" s="23">
        <v>0</v>
      </c>
      <c r="K99" s="23">
        <f t="shared" si="55"/>
        <v>0</v>
      </c>
      <c r="L99" s="33">
        <f t="shared" si="56"/>
        <v>0</v>
      </c>
      <c r="M99" s="33">
        <f t="shared" si="57"/>
        <v>0</v>
      </c>
      <c r="N99" s="33">
        <v>0</v>
      </c>
      <c r="O99" s="33">
        <v>0</v>
      </c>
      <c r="P99" s="33">
        <v>-5355</v>
      </c>
      <c r="Q99" s="33">
        <v>-5355</v>
      </c>
      <c r="R99" s="33">
        <v>0</v>
      </c>
      <c r="S99" s="33">
        <f t="shared" si="58"/>
        <v>-5355</v>
      </c>
      <c r="T99" s="38" t="str">
        <f t="shared" si="59"/>
        <v>∞</v>
      </c>
      <c r="U99" s="59">
        <f t="shared" si="60"/>
        <v>0</v>
      </c>
      <c r="V99" s="33">
        <v>0</v>
      </c>
      <c r="W99" s="33">
        <v>0</v>
      </c>
      <c r="X99" s="33"/>
      <c r="Y99" s="33"/>
      <c r="Z99" s="42"/>
      <c r="AA99" s="60"/>
      <c r="AB99" s="105"/>
      <c r="AC99" s="93"/>
      <c r="AD99" s="33">
        <f t="shared" si="61"/>
        <v>0</v>
      </c>
      <c r="AE99" s="33">
        <f t="shared" si="62"/>
        <v>-5355</v>
      </c>
      <c r="AF99" s="101">
        <f t="shared" si="63"/>
        <v>-5355</v>
      </c>
    </row>
    <row r="100" spans="2:32" ht="13" outlineLevel="1" x14ac:dyDescent="0.3">
      <c r="B100" s="31" t="s">
        <v>132</v>
      </c>
      <c r="C100" s="33">
        <v>14098</v>
      </c>
      <c r="D100" s="33">
        <v>14098</v>
      </c>
      <c r="E100" s="23">
        <v>0</v>
      </c>
      <c r="F100" s="23">
        <v>0</v>
      </c>
      <c r="G100" s="23">
        <v>0</v>
      </c>
      <c r="H100" s="23">
        <v>0</v>
      </c>
      <c r="I100" s="23">
        <v>0</v>
      </c>
      <c r="J100" s="23">
        <v>0</v>
      </c>
      <c r="K100" s="23">
        <f t="shared" si="55"/>
        <v>0</v>
      </c>
      <c r="L100" s="33">
        <f t="shared" si="56"/>
        <v>0</v>
      </c>
      <c r="M100" s="33">
        <f t="shared" si="57"/>
        <v>0</v>
      </c>
      <c r="N100" s="33">
        <v>14098</v>
      </c>
      <c r="O100" s="33">
        <v>0</v>
      </c>
      <c r="P100" s="33">
        <v>0</v>
      </c>
      <c r="Q100" s="33">
        <v>0</v>
      </c>
      <c r="R100" s="33">
        <v>14098</v>
      </c>
      <c r="S100" s="33">
        <f t="shared" si="58"/>
        <v>-14098</v>
      </c>
      <c r="T100" s="38">
        <f t="shared" si="59"/>
        <v>0</v>
      </c>
      <c r="U100" s="59">
        <f t="shared" si="60"/>
        <v>14098</v>
      </c>
      <c r="V100" s="33">
        <v>0</v>
      </c>
      <c r="W100" s="33">
        <v>0</v>
      </c>
      <c r="X100" s="33"/>
      <c r="Y100" s="33"/>
      <c r="Z100" s="42"/>
      <c r="AA100" s="60"/>
      <c r="AB100" s="105"/>
      <c r="AC100" s="93"/>
      <c r="AD100" s="33">
        <f t="shared" si="61"/>
        <v>0</v>
      </c>
      <c r="AE100" s="33">
        <f t="shared" si="62"/>
        <v>0</v>
      </c>
      <c r="AF100" s="101">
        <f t="shared" si="63"/>
        <v>-14098</v>
      </c>
    </row>
    <row r="101" spans="2:32" ht="13" outlineLevel="1" x14ac:dyDescent="0.3">
      <c r="B101" s="31" t="s">
        <v>133</v>
      </c>
      <c r="C101" s="33">
        <v>-20581</v>
      </c>
      <c r="D101" s="33">
        <v>-20581</v>
      </c>
      <c r="E101" s="23">
        <v>0</v>
      </c>
      <c r="F101" s="23">
        <v>0</v>
      </c>
      <c r="G101" s="23">
        <v>0</v>
      </c>
      <c r="H101" s="23">
        <v>0</v>
      </c>
      <c r="I101" s="23">
        <v>0</v>
      </c>
      <c r="J101" s="23">
        <v>0</v>
      </c>
      <c r="K101" s="23">
        <f t="shared" si="55"/>
        <v>0</v>
      </c>
      <c r="L101" s="33">
        <f t="shared" si="56"/>
        <v>0</v>
      </c>
      <c r="M101" s="33">
        <f t="shared" si="57"/>
        <v>0</v>
      </c>
      <c r="N101" s="33">
        <v>-20581</v>
      </c>
      <c r="O101" s="33">
        <v>0</v>
      </c>
      <c r="P101" s="33">
        <v>0</v>
      </c>
      <c r="Q101" s="33">
        <v>0</v>
      </c>
      <c r="R101" s="33">
        <v>-20581</v>
      </c>
      <c r="S101" s="33">
        <f t="shared" si="58"/>
        <v>20581</v>
      </c>
      <c r="T101" s="38">
        <f t="shared" si="59"/>
        <v>0</v>
      </c>
      <c r="U101" s="59">
        <f t="shared" si="60"/>
        <v>-20581</v>
      </c>
      <c r="V101" s="33">
        <v>0</v>
      </c>
      <c r="W101" s="33">
        <v>0</v>
      </c>
      <c r="X101" s="33"/>
      <c r="Y101" s="33"/>
      <c r="Z101" s="42"/>
      <c r="AA101" s="60"/>
      <c r="AB101" s="105"/>
      <c r="AC101" s="93"/>
      <c r="AD101" s="33">
        <f t="shared" si="61"/>
        <v>0</v>
      </c>
      <c r="AE101" s="33">
        <f t="shared" si="62"/>
        <v>0</v>
      </c>
      <c r="AF101" s="101">
        <f t="shared" si="63"/>
        <v>20581</v>
      </c>
    </row>
    <row r="102" spans="2:32" ht="13" outlineLevel="1" x14ac:dyDescent="0.3">
      <c r="B102" s="31" t="s">
        <v>134</v>
      </c>
      <c r="C102" s="33">
        <v>-3149</v>
      </c>
      <c r="D102" s="33">
        <v>-3149</v>
      </c>
      <c r="E102" s="23">
        <v>0</v>
      </c>
      <c r="F102" s="23">
        <v>0</v>
      </c>
      <c r="G102" s="23">
        <v>0</v>
      </c>
      <c r="H102" s="23">
        <v>0</v>
      </c>
      <c r="I102" s="23">
        <v>0</v>
      </c>
      <c r="J102" s="23">
        <v>0</v>
      </c>
      <c r="K102" s="23">
        <f t="shared" si="55"/>
        <v>0</v>
      </c>
      <c r="L102" s="33">
        <f t="shared" si="56"/>
        <v>0</v>
      </c>
      <c r="M102" s="33">
        <f t="shared" si="57"/>
        <v>0</v>
      </c>
      <c r="N102" s="33">
        <v>-3149</v>
      </c>
      <c r="O102" s="33">
        <v>0</v>
      </c>
      <c r="P102" s="33">
        <v>-3149</v>
      </c>
      <c r="Q102" s="33">
        <v>-3149</v>
      </c>
      <c r="R102" s="33">
        <v>-3149</v>
      </c>
      <c r="S102" s="33">
        <f t="shared" si="58"/>
        <v>0</v>
      </c>
      <c r="T102" s="38">
        <f t="shared" si="59"/>
        <v>1</v>
      </c>
      <c r="U102" s="59">
        <f t="shared" si="60"/>
        <v>-3149</v>
      </c>
      <c r="V102" s="33">
        <v>0</v>
      </c>
      <c r="W102" s="33">
        <v>0</v>
      </c>
      <c r="X102" s="33"/>
      <c r="Y102" s="33"/>
      <c r="Z102" s="42"/>
      <c r="AA102" s="60"/>
      <c r="AB102" s="105"/>
      <c r="AC102" s="93"/>
      <c r="AD102" s="33">
        <f t="shared" si="61"/>
        <v>0</v>
      </c>
      <c r="AE102" s="33">
        <f t="shared" si="62"/>
        <v>-3149</v>
      </c>
      <c r="AF102" s="101">
        <f t="shared" si="63"/>
        <v>0</v>
      </c>
    </row>
    <row r="103" spans="2:32"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6"/>
      <c r="AF103" s="99"/>
    </row>
    <row r="104" spans="2:32" ht="13.5" thickBot="1" x14ac:dyDescent="0.35">
      <c r="B104" s="68" t="s">
        <v>135</v>
      </c>
      <c r="C104" s="69">
        <f t="shared" ref="C104:J104" si="64">SUM(C85:C85,C86:C86,C87:C87,C88:C88,C89:C89,C90:C90,C91:C91,C92:C92,C93:C93,C94:C94,C95:C95,C96:C96,C97:C97,C98:C98,C99:C99,C100:C100,C101:C101,C102:C102)</f>
        <v>-9632</v>
      </c>
      <c r="D104" s="69">
        <f t="shared" si="64"/>
        <v>-9632</v>
      </c>
      <c r="E104" s="77">
        <f t="shared" si="64"/>
        <v>0</v>
      </c>
      <c r="F104" s="77">
        <f t="shared" si="64"/>
        <v>0</v>
      </c>
      <c r="G104" s="77">
        <f t="shared" si="64"/>
        <v>0</v>
      </c>
      <c r="H104" s="77">
        <f t="shared" si="64"/>
        <v>0</v>
      </c>
      <c r="I104" s="77">
        <f t="shared" si="64"/>
        <v>0</v>
      </c>
      <c r="J104" s="77">
        <f t="shared" si="64"/>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11193</v>
      </c>
      <c r="P104" s="69">
        <f>SUM(P85:P85,P86:P86,P87:P87,P88:P88,P89:P89,P90:P90,P91:P91,P92:P92,P93:P93,P94:P94,P95:P95,P96:P96,P97:P97,P98:P98,P99:P99,P100:P100,P101:P101,P102:P102)</f>
        <v>-14341</v>
      </c>
      <c r="Q104" s="69">
        <f>SUM(Q85:Q85,Q86:Q86,Q87:Q87,Q88:Q88,Q89:Q89,Q90:Q90,Q91:Q91,Q92:Q92,Q93:Q93,Q94:Q94,Q95:Q95,Q96:Q96,Q97:Q97,Q98:Q98,Q99:Q99,Q100:Q100,Q101:Q101,Q102:Q102)</f>
        <v>-3149</v>
      </c>
      <c r="R104" s="69">
        <f>SUM(R85:R85,R86:R86,R87:R87,R88:R88,R89:R89,R90:R90,R91:R91,R92:R92,R93:R93,R94:R94,R95:R95,R96:R96,R97:R97,R98:R98,R99:R99,R100:R100,R101:R101,R102:R102)</f>
        <v>-9632</v>
      </c>
      <c r="S104" s="69">
        <f>Q104-R104</f>
        <v>6483</v>
      </c>
      <c r="T104" s="70">
        <f>IFERROR((Q104/N104)*100%,"∞")</f>
        <v>0.32693106312292358</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-3149</v>
      </c>
      <c r="AF104" s="69">
        <f>SUM(AF85:AF85,AF86:AF86,AF87:AF87,AF88:AF88,AF89:AF89,AF90:AF90,AF91:AF91,AF92:AF92,AF93:AF93,AF94:AF94,AF95:AF95,AF96:AF96,AF97:AF97,AF98:AF98,AF99:AF99,AF100:AF100,AF101:AF101,AF102:AF102)</f>
        <v>6483</v>
      </c>
    </row>
    <row r="105" spans="2:32"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5"/>
    </row>
    <row r="106" spans="2:32" ht="13" x14ac:dyDescent="0.3">
      <c r="B106" s="78" t="s">
        <v>136</v>
      </c>
      <c r="C106" s="34">
        <f t="shared" ref="C106:J106" si="65">SUM(C107:C116,C117:C117)</f>
        <v>-1226</v>
      </c>
      <c r="D106" s="34">
        <f t="shared" si="65"/>
        <v>-1226</v>
      </c>
      <c r="E106" s="24">
        <f t="shared" si="65"/>
        <v>0</v>
      </c>
      <c r="F106" s="24">
        <f t="shared" si="65"/>
        <v>33</v>
      </c>
      <c r="G106" s="24">
        <f t="shared" si="65"/>
        <v>0</v>
      </c>
      <c r="H106" s="24">
        <f t="shared" si="65"/>
        <v>50</v>
      </c>
      <c r="I106" s="24">
        <f t="shared" si="65"/>
        <v>0</v>
      </c>
      <c r="J106" s="24">
        <f t="shared" si="65"/>
        <v>0</v>
      </c>
      <c r="K106" s="24">
        <f>SUM(K107:K117)</f>
        <v>83</v>
      </c>
      <c r="L106" s="34">
        <f>N106-D106</f>
        <v>50</v>
      </c>
      <c r="M106" s="34">
        <f>N106-C106</f>
        <v>50</v>
      </c>
      <c r="N106" s="34">
        <f>SUM(N107:N116,N117:N117)</f>
        <v>-1176</v>
      </c>
      <c r="O106" s="34">
        <f>SUM(O107:O116,O117:O117)</f>
        <v>55756</v>
      </c>
      <c r="P106" s="34">
        <f>SUM(P107:P116,P117:P117)</f>
        <v>-61146</v>
      </c>
      <c r="Q106" s="34">
        <f>SUM(Q107:Q116,Q117:Q117)</f>
        <v>-5390</v>
      </c>
      <c r="R106" s="34">
        <f>SUM(R107:R116,R117:R117)</f>
        <v>-1176</v>
      </c>
      <c r="S106" s="34">
        <f>Q106-R106</f>
        <v>-4214</v>
      </c>
      <c r="T106" s="94">
        <f>IFERROR((Q106/N106)*100%,"∞")</f>
        <v>4.583333333333333</v>
      </c>
      <c r="U106" s="95">
        <f>N106+V106</f>
        <v>-1176</v>
      </c>
      <c r="V106" s="34">
        <f>SUM(V107:V116,V117:V117)</f>
        <v>0</v>
      </c>
      <c r="W106" s="34">
        <f>SUM(W107:W116,W117:W117)</f>
        <v>0</v>
      </c>
      <c r="X106" s="34"/>
      <c r="Y106" s="34"/>
      <c r="Z106" s="41"/>
      <c r="AA106" s="60"/>
      <c r="AB106" s="100">
        <f>SUM(AB107:AB116,AB117:AB117)</f>
        <v>0</v>
      </c>
      <c r="AC106" s="33">
        <f>SUM(AC107:AC116,AC117:AC117)</f>
        <v>0</v>
      </c>
      <c r="AD106" s="33">
        <f>SUM(AD107:AD116,AD117:AD117)</f>
        <v>0</v>
      </c>
      <c r="AE106" s="33">
        <f>SUM(AE107:AE116,AE117:AE117)</f>
        <v>-5390</v>
      </c>
      <c r="AF106" s="101">
        <f>SUM(AF107:AF116,AF117:AF117)</f>
        <v>-4214</v>
      </c>
    </row>
    <row r="107" spans="2:32" ht="13" outlineLevel="1" x14ac:dyDescent="0.3">
      <c r="B107" s="79" t="s">
        <v>137</v>
      </c>
      <c r="C107" s="33">
        <v>380</v>
      </c>
      <c r="D107" s="33">
        <v>380</v>
      </c>
      <c r="E107" s="23">
        <v>0</v>
      </c>
      <c r="F107" s="23">
        <v>33</v>
      </c>
      <c r="G107" s="23">
        <v>0</v>
      </c>
      <c r="H107" s="23">
        <v>50</v>
      </c>
      <c r="I107" s="23">
        <v>0</v>
      </c>
      <c r="J107" s="23">
        <v>0</v>
      </c>
      <c r="K107" s="23">
        <f>SUM(E107:J107)</f>
        <v>83</v>
      </c>
      <c r="L107" s="33">
        <f>N107-D107</f>
        <v>50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101">
        <f>AE107-N107</f>
        <v>1406</v>
      </c>
    </row>
    <row r="108" spans="2:32" ht="13" outlineLevel="1" x14ac:dyDescent="0.3">
      <c r="B108" s="79" t="s">
        <v>138</v>
      </c>
      <c r="C108" s="33">
        <v>3062</v>
      </c>
      <c r="D108" s="33">
        <v>3062</v>
      </c>
      <c r="E108" s="23">
        <v>0</v>
      </c>
      <c r="F108" s="23">
        <v>0</v>
      </c>
      <c r="G108" s="23">
        <v>0</v>
      </c>
      <c r="H108" s="23">
        <v>0</v>
      </c>
      <c r="I108" s="23">
        <v>0</v>
      </c>
      <c r="J108" s="23">
        <v>0</v>
      </c>
      <c r="K108" s="23">
        <f t="shared" ref="K108:K115" si="66">SUM(E108:J108)</f>
        <v>0</v>
      </c>
      <c r="L108" s="33">
        <f t="shared" ref="L108:L115" si="67">N108-D108</f>
        <v>0</v>
      </c>
      <c r="M108" s="33">
        <f t="shared" ref="M108:M115" si="68">N108-C108</f>
        <v>0</v>
      </c>
      <c r="N108" s="33">
        <v>3062</v>
      </c>
      <c r="O108" s="33">
        <v>0</v>
      </c>
      <c r="P108" s="33">
        <v>0</v>
      </c>
      <c r="Q108" s="33">
        <v>0</v>
      </c>
      <c r="R108" s="33">
        <v>3062</v>
      </c>
      <c r="S108" s="33">
        <f t="shared" ref="S108:S115" si="69">Q108-R108</f>
        <v>-3062</v>
      </c>
      <c r="T108" s="38">
        <f t="shared" ref="T108:T115" si="70">IFERROR((Q108/N108)*100%,"∞")</f>
        <v>0</v>
      </c>
      <c r="U108" s="59">
        <f t="shared" ref="U108:U115" si="71">N108+V108</f>
        <v>3062</v>
      </c>
      <c r="V108" s="33">
        <v>0</v>
      </c>
      <c r="W108" s="33">
        <v>0</v>
      </c>
      <c r="X108" s="33"/>
      <c r="Y108" s="33"/>
      <c r="Z108" s="42"/>
      <c r="AA108" s="60"/>
      <c r="AB108" s="105"/>
      <c r="AC108" s="93"/>
      <c r="AD108" s="33">
        <f t="shared" ref="AD108:AD115" si="72">SUM(AB108:AC108)</f>
        <v>0</v>
      </c>
      <c r="AE108" s="33">
        <f t="shared" ref="AE108:AE115" si="73">Q108+AD108</f>
        <v>0</v>
      </c>
      <c r="AF108" s="101">
        <f t="shared" ref="AF108:AF115" si="74">AE108-N108</f>
        <v>-3062</v>
      </c>
    </row>
    <row r="109" spans="2:32" ht="13" outlineLevel="1" x14ac:dyDescent="0.3">
      <c r="B109" s="79" t="s">
        <v>139</v>
      </c>
      <c r="C109" s="33">
        <v>602</v>
      </c>
      <c r="D109" s="33">
        <v>602</v>
      </c>
      <c r="E109" s="23">
        <v>0</v>
      </c>
      <c r="F109" s="23">
        <v>0</v>
      </c>
      <c r="G109" s="23">
        <v>0</v>
      </c>
      <c r="H109" s="23">
        <v>0</v>
      </c>
      <c r="I109" s="23">
        <v>0</v>
      </c>
      <c r="J109" s="23">
        <v>0</v>
      </c>
      <c r="K109" s="23">
        <f t="shared" si="66"/>
        <v>0</v>
      </c>
      <c r="L109" s="33">
        <f t="shared" si="67"/>
        <v>0</v>
      </c>
      <c r="M109" s="33">
        <f t="shared" si="68"/>
        <v>0</v>
      </c>
      <c r="N109" s="33">
        <v>602</v>
      </c>
      <c r="O109" s="33">
        <v>422</v>
      </c>
      <c r="P109" s="33">
        <v>0</v>
      </c>
      <c r="Q109" s="33">
        <v>422</v>
      </c>
      <c r="R109" s="33">
        <v>602</v>
      </c>
      <c r="S109" s="33">
        <f t="shared" si="69"/>
        <v>-180</v>
      </c>
      <c r="T109" s="38">
        <f t="shared" si="70"/>
        <v>0.70099667774086383</v>
      </c>
      <c r="U109" s="59">
        <f t="shared" si="71"/>
        <v>602</v>
      </c>
      <c r="V109" s="33">
        <v>0</v>
      </c>
      <c r="W109" s="33">
        <v>0</v>
      </c>
      <c r="X109" s="33"/>
      <c r="Y109" s="33"/>
      <c r="Z109" s="42"/>
      <c r="AA109" s="60"/>
      <c r="AB109" s="105"/>
      <c r="AC109" s="93"/>
      <c r="AD109" s="33">
        <f t="shared" si="72"/>
        <v>0</v>
      </c>
      <c r="AE109" s="33">
        <f t="shared" si="73"/>
        <v>422</v>
      </c>
      <c r="AF109" s="101">
        <f t="shared" si="74"/>
        <v>-180</v>
      </c>
    </row>
    <row r="110" spans="2:32" ht="13" outlineLevel="1" x14ac:dyDescent="0.3">
      <c r="B110" s="79" t="s">
        <v>141</v>
      </c>
      <c r="C110" s="33">
        <v>8581</v>
      </c>
      <c r="D110" s="33">
        <v>8581</v>
      </c>
      <c r="E110" s="23">
        <v>0</v>
      </c>
      <c r="F110" s="23">
        <v>0</v>
      </c>
      <c r="G110" s="23">
        <v>0</v>
      </c>
      <c r="H110" s="23">
        <v>0</v>
      </c>
      <c r="I110" s="23">
        <v>0</v>
      </c>
      <c r="J110" s="23">
        <v>0</v>
      </c>
      <c r="K110" s="23">
        <f t="shared" si="66"/>
        <v>0</v>
      </c>
      <c r="L110" s="33">
        <f t="shared" si="67"/>
        <v>0</v>
      </c>
      <c r="M110" s="33">
        <f t="shared" si="68"/>
        <v>0</v>
      </c>
      <c r="N110" s="33">
        <v>8581</v>
      </c>
      <c r="O110" s="33">
        <v>6850</v>
      </c>
      <c r="P110" s="33">
        <v>0</v>
      </c>
      <c r="Q110" s="33">
        <v>6850</v>
      </c>
      <c r="R110" s="33">
        <v>8581</v>
      </c>
      <c r="S110" s="33">
        <f t="shared" si="69"/>
        <v>-1731</v>
      </c>
      <c r="T110" s="38">
        <f t="shared" si="70"/>
        <v>0.79827525929378862</v>
      </c>
      <c r="U110" s="59">
        <f t="shared" si="71"/>
        <v>8581</v>
      </c>
      <c r="V110" s="33">
        <v>0</v>
      </c>
      <c r="W110" s="33">
        <v>0</v>
      </c>
      <c r="X110" s="33"/>
      <c r="Y110" s="33"/>
      <c r="Z110" s="42"/>
      <c r="AA110" s="60"/>
      <c r="AB110" s="105"/>
      <c r="AC110" s="93"/>
      <c r="AD110" s="33">
        <f t="shared" si="72"/>
        <v>0</v>
      </c>
      <c r="AE110" s="33">
        <f t="shared" si="73"/>
        <v>6850</v>
      </c>
      <c r="AF110" s="101">
        <f t="shared" si="74"/>
        <v>-1731</v>
      </c>
    </row>
    <row r="111" spans="2:32" ht="13" outlineLevel="1" x14ac:dyDescent="0.3">
      <c r="B111" s="79" t="s">
        <v>142</v>
      </c>
      <c r="C111" s="33">
        <v>-4597</v>
      </c>
      <c r="D111" s="33">
        <v>-4597</v>
      </c>
      <c r="E111" s="23">
        <v>0</v>
      </c>
      <c r="F111" s="23">
        <v>0</v>
      </c>
      <c r="G111" s="23">
        <v>0</v>
      </c>
      <c r="H111" s="23">
        <v>0</v>
      </c>
      <c r="I111" s="23">
        <v>0</v>
      </c>
      <c r="J111" s="23">
        <v>0</v>
      </c>
      <c r="K111" s="23">
        <f t="shared" si="66"/>
        <v>0</v>
      </c>
      <c r="L111" s="33">
        <f t="shared" si="67"/>
        <v>0</v>
      </c>
      <c r="M111" s="33">
        <f t="shared" si="68"/>
        <v>0</v>
      </c>
      <c r="N111" s="33">
        <v>-4597</v>
      </c>
      <c r="O111" s="33">
        <v>390</v>
      </c>
      <c r="P111" s="33">
        <v>-5737</v>
      </c>
      <c r="Q111" s="33">
        <v>-5347</v>
      </c>
      <c r="R111" s="33">
        <v>-4597</v>
      </c>
      <c r="S111" s="33">
        <f t="shared" si="69"/>
        <v>-750</v>
      </c>
      <c r="T111" s="38">
        <f t="shared" si="70"/>
        <v>1.1631498803567544</v>
      </c>
      <c r="U111" s="59">
        <f t="shared" si="71"/>
        <v>-4597</v>
      </c>
      <c r="V111" s="33">
        <v>0</v>
      </c>
      <c r="W111" s="33">
        <v>0</v>
      </c>
      <c r="X111" s="33"/>
      <c r="Y111" s="33"/>
      <c r="Z111" s="42"/>
      <c r="AA111" s="60"/>
      <c r="AB111" s="105"/>
      <c r="AC111" s="93"/>
      <c r="AD111" s="33">
        <f t="shared" si="72"/>
        <v>0</v>
      </c>
      <c r="AE111" s="33">
        <f t="shared" si="73"/>
        <v>-5347</v>
      </c>
      <c r="AF111" s="101">
        <f t="shared" si="74"/>
        <v>-750</v>
      </c>
    </row>
    <row r="112" spans="2:32" ht="13" outlineLevel="1" x14ac:dyDescent="0.3">
      <c r="B112" s="79" t="s">
        <v>143</v>
      </c>
      <c r="C112" s="33">
        <v>-8990</v>
      </c>
      <c r="D112" s="33">
        <v>-8990</v>
      </c>
      <c r="E112" s="23">
        <v>0</v>
      </c>
      <c r="F112" s="23">
        <v>0</v>
      </c>
      <c r="G112" s="23">
        <v>0</v>
      </c>
      <c r="H112" s="23">
        <v>0</v>
      </c>
      <c r="I112" s="23">
        <v>0</v>
      </c>
      <c r="J112" s="23">
        <v>0</v>
      </c>
      <c r="K112" s="23">
        <f t="shared" si="66"/>
        <v>0</v>
      </c>
      <c r="L112" s="33">
        <f t="shared" si="67"/>
        <v>0</v>
      </c>
      <c r="M112" s="33">
        <f t="shared" si="68"/>
        <v>0</v>
      </c>
      <c r="N112" s="33">
        <v>-8990</v>
      </c>
      <c r="O112" s="33">
        <v>0</v>
      </c>
      <c r="P112" s="33">
        <v>-8264</v>
      </c>
      <c r="Q112" s="33">
        <v>-8264</v>
      </c>
      <c r="R112" s="33">
        <v>-8990</v>
      </c>
      <c r="S112" s="33">
        <f t="shared" si="69"/>
        <v>726</v>
      </c>
      <c r="T112" s="38">
        <f t="shared" si="70"/>
        <v>0.91924360400444938</v>
      </c>
      <c r="U112" s="59">
        <f t="shared" si="71"/>
        <v>-8990</v>
      </c>
      <c r="V112" s="33">
        <v>0</v>
      </c>
      <c r="W112" s="33">
        <v>0</v>
      </c>
      <c r="X112" s="33"/>
      <c r="Y112" s="33"/>
      <c r="Z112" s="42"/>
      <c r="AA112" s="60"/>
      <c r="AB112" s="105"/>
      <c r="AC112" s="93"/>
      <c r="AD112" s="33">
        <f t="shared" si="72"/>
        <v>0</v>
      </c>
      <c r="AE112" s="33">
        <f t="shared" si="73"/>
        <v>-8264</v>
      </c>
      <c r="AF112" s="101">
        <f t="shared" si="74"/>
        <v>726</v>
      </c>
    </row>
    <row r="113" spans="2:32" ht="13" outlineLevel="1" x14ac:dyDescent="0.3">
      <c r="B113" s="79" t="s">
        <v>144</v>
      </c>
      <c r="C113" s="33">
        <v>-646</v>
      </c>
      <c r="D113" s="33">
        <v>-646</v>
      </c>
      <c r="E113" s="23">
        <v>0</v>
      </c>
      <c r="F113" s="23">
        <v>0</v>
      </c>
      <c r="G113" s="23">
        <v>0</v>
      </c>
      <c r="H113" s="23">
        <v>0</v>
      </c>
      <c r="I113" s="23">
        <v>0</v>
      </c>
      <c r="J113" s="23">
        <v>0</v>
      </c>
      <c r="K113" s="23">
        <f t="shared" si="66"/>
        <v>0</v>
      </c>
      <c r="L113" s="33">
        <f t="shared" si="67"/>
        <v>0</v>
      </c>
      <c r="M113" s="33">
        <f t="shared" si="68"/>
        <v>0</v>
      </c>
      <c r="N113" s="33">
        <v>-646</v>
      </c>
      <c r="O113" s="33">
        <v>0</v>
      </c>
      <c r="P113" s="33">
        <v>-453</v>
      </c>
      <c r="Q113" s="33">
        <v>-453</v>
      </c>
      <c r="R113" s="33">
        <v>-646</v>
      </c>
      <c r="S113" s="33">
        <f t="shared" si="69"/>
        <v>193</v>
      </c>
      <c r="T113" s="38">
        <f t="shared" si="70"/>
        <v>0.70123839009287925</v>
      </c>
      <c r="U113" s="59">
        <f t="shared" si="71"/>
        <v>-646</v>
      </c>
      <c r="V113" s="33">
        <v>0</v>
      </c>
      <c r="W113" s="33">
        <v>0</v>
      </c>
      <c r="X113" s="33"/>
      <c r="Y113" s="33"/>
      <c r="Z113" s="42"/>
      <c r="AA113" s="60"/>
      <c r="AB113" s="105"/>
      <c r="AC113" s="93"/>
      <c r="AD113" s="33">
        <f t="shared" si="72"/>
        <v>0</v>
      </c>
      <c r="AE113" s="33">
        <f t="shared" si="73"/>
        <v>-453</v>
      </c>
      <c r="AF113" s="101">
        <f t="shared" si="74"/>
        <v>193</v>
      </c>
    </row>
    <row r="114" spans="2:32" ht="13" outlineLevel="1" x14ac:dyDescent="0.3">
      <c r="B114" s="79" t="s">
        <v>145</v>
      </c>
      <c r="C114" s="33">
        <v>687</v>
      </c>
      <c r="D114" s="33">
        <v>687</v>
      </c>
      <c r="E114" s="23">
        <v>0</v>
      </c>
      <c r="F114" s="23">
        <v>0</v>
      </c>
      <c r="G114" s="23">
        <v>0</v>
      </c>
      <c r="H114" s="23">
        <v>0</v>
      </c>
      <c r="I114" s="23">
        <v>0</v>
      </c>
      <c r="J114" s="23">
        <v>0</v>
      </c>
      <c r="K114" s="23">
        <f t="shared" si="66"/>
        <v>0</v>
      </c>
      <c r="L114" s="33">
        <f t="shared" si="67"/>
        <v>0</v>
      </c>
      <c r="M114" s="33">
        <f t="shared" si="68"/>
        <v>0</v>
      </c>
      <c r="N114" s="33">
        <v>687</v>
      </c>
      <c r="O114" s="33">
        <v>0</v>
      </c>
      <c r="P114" s="33">
        <v>0</v>
      </c>
      <c r="Q114" s="33">
        <v>0</v>
      </c>
      <c r="R114" s="33">
        <v>687</v>
      </c>
      <c r="S114" s="33">
        <f t="shared" si="69"/>
        <v>-687</v>
      </c>
      <c r="T114" s="38">
        <f t="shared" si="70"/>
        <v>0</v>
      </c>
      <c r="U114" s="59">
        <f t="shared" si="71"/>
        <v>687</v>
      </c>
      <c r="V114" s="33">
        <v>0</v>
      </c>
      <c r="W114" s="33">
        <v>0</v>
      </c>
      <c r="X114" s="33"/>
      <c r="Y114" s="33"/>
      <c r="Z114" s="42"/>
      <c r="AA114" s="60"/>
      <c r="AB114" s="105"/>
      <c r="AC114" s="93"/>
      <c r="AD114" s="33">
        <f t="shared" si="72"/>
        <v>0</v>
      </c>
      <c r="AE114" s="33">
        <f t="shared" si="73"/>
        <v>0</v>
      </c>
      <c r="AF114" s="101">
        <f t="shared" si="74"/>
        <v>-687</v>
      </c>
    </row>
    <row r="115" spans="2:32" ht="13" outlineLevel="1" x14ac:dyDescent="0.3">
      <c r="B115" s="79" t="s">
        <v>146</v>
      </c>
      <c r="C115" s="33">
        <v>166</v>
      </c>
      <c r="D115" s="33">
        <v>166</v>
      </c>
      <c r="E115" s="23">
        <v>0</v>
      </c>
      <c r="F115" s="23">
        <v>0</v>
      </c>
      <c r="G115" s="23">
        <v>0</v>
      </c>
      <c r="H115" s="23">
        <v>0</v>
      </c>
      <c r="I115" s="23">
        <v>0</v>
      </c>
      <c r="J115" s="23">
        <v>0</v>
      </c>
      <c r="K115" s="23">
        <f t="shared" si="66"/>
        <v>0</v>
      </c>
      <c r="L115" s="33">
        <f t="shared" si="67"/>
        <v>0</v>
      </c>
      <c r="M115" s="33">
        <f t="shared" si="68"/>
        <v>0</v>
      </c>
      <c r="N115" s="33">
        <v>166</v>
      </c>
      <c r="O115" s="33">
        <v>37</v>
      </c>
      <c r="P115" s="33">
        <v>0</v>
      </c>
      <c r="Q115" s="33">
        <v>37</v>
      </c>
      <c r="R115" s="33">
        <v>166</v>
      </c>
      <c r="S115" s="33">
        <f t="shared" si="69"/>
        <v>-129</v>
      </c>
      <c r="T115" s="38">
        <f t="shared" si="70"/>
        <v>0.22289156626506024</v>
      </c>
      <c r="U115" s="59">
        <f t="shared" si="71"/>
        <v>166</v>
      </c>
      <c r="V115" s="33">
        <v>0</v>
      </c>
      <c r="W115" s="33">
        <v>0</v>
      </c>
      <c r="X115" s="33"/>
      <c r="Y115" s="33"/>
      <c r="Z115" s="42"/>
      <c r="AA115" s="60"/>
      <c r="AB115" s="105"/>
      <c r="AC115" s="93"/>
      <c r="AD115" s="33">
        <f t="shared" si="72"/>
        <v>0</v>
      </c>
      <c r="AE115" s="33">
        <f t="shared" si="73"/>
        <v>37</v>
      </c>
      <c r="AF115" s="101">
        <f t="shared" si="74"/>
        <v>-129</v>
      </c>
    </row>
    <row r="116" spans="2:32" ht="13" outlineLevel="1" x14ac:dyDescent="0.3">
      <c r="B116" s="79" t="s">
        <v>147</v>
      </c>
      <c r="C116" s="33">
        <v>0</v>
      </c>
      <c r="D116" s="33">
        <v>0</v>
      </c>
      <c r="E116" s="23">
        <v>0</v>
      </c>
      <c r="F116" s="23">
        <v>0</v>
      </c>
      <c r="G116" s="23">
        <v>0</v>
      </c>
      <c r="H116" s="23">
        <v>0</v>
      </c>
      <c r="I116" s="23">
        <v>0</v>
      </c>
      <c r="J116" s="23">
        <v>0</v>
      </c>
      <c r="K116" s="23">
        <f>SUM(E116:J116)</f>
        <v>0</v>
      </c>
      <c r="L116" s="33">
        <f>N116-D116</f>
        <v>0</v>
      </c>
      <c r="M116" s="33">
        <f>N116-C116</f>
        <v>0</v>
      </c>
      <c r="N116" s="33">
        <v>0</v>
      </c>
      <c r="O116" s="33">
        <v>8439</v>
      </c>
      <c r="P116" s="33">
        <v>-8439</v>
      </c>
      <c r="Q116" s="33">
        <v>0</v>
      </c>
      <c r="R116" s="33">
        <v>0</v>
      </c>
      <c r="S116" s="33">
        <f>Q116-R116</f>
        <v>0</v>
      </c>
      <c r="T116" s="38" t="str">
        <f>IFERROR((Q116/N116)*100%,"∞")</f>
        <v>∞</v>
      </c>
      <c r="U116" s="59">
        <f>N116+V116</f>
        <v>0</v>
      </c>
      <c r="V116" s="33">
        <v>0</v>
      </c>
      <c r="W116" s="33">
        <v>0</v>
      </c>
      <c r="X116" s="33"/>
      <c r="Y116" s="33"/>
      <c r="Z116" s="42"/>
      <c r="AA116" s="60"/>
      <c r="AB116" s="105"/>
      <c r="AC116" s="93"/>
      <c r="AD116" s="33">
        <f>SUM(AB116:AC116)</f>
        <v>0</v>
      </c>
      <c r="AE116" s="33">
        <f>Q116+AD116</f>
        <v>0</v>
      </c>
      <c r="AF116" s="101">
        <f>AE116-N116</f>
        <v>0</v>
      </c>
    </row>
    <row r="117" spans="2:32" ht="13" outlineLevel="1" x14ac:dyDescent="0.3">
      <c r="B117" s="79" t="s">
        <v>148</v>
      </c>
      <c r="C117" s="33">
        <v>-471</v>
      </c>
      <c r="D117" s="33">
        <v>-471</v>
      </c>
      <c r="E117" s="23">
        <v>0</v>
      </c>
      <c r="F117" s="23">
        <v>0</v>
      </c>
      <c r="G117" s="23">
        <v>0</v>
      </c>
      <c r="H117" s="23">
        <v>0</v>
      </c>
      <c r="I117" s="23">
        <v>0</v>
      </c>
      <c r="J117" s="23">
        <v>0</v>
      </c>
      <c r="K117" s="23">
        <f>SUM(E117:J117)</f>
        <v>0</v>
      </c>
      <c r="L117" s="33">
        <f>N117-D117</f>
        <v>0</v>
      </c>
      <c r="M117" s="33">
        <f>N117-C117</f>
        <v>0</v>
      </c>
      <c r="N117" s="33">
        <v>-471</v>
      </c>
      <c r="O117" s="33">
        <v>0</v>
      </c>
      <c r="P117" s="33">
        <v>-471</v>
      </c>
      <c r="Q117" s="33">
        <v>-471</v>
      </c>
      <c r="R117" s="33">
        <v>-471</v>
      </c>
      <c r="S117" s="33">
        <f>Q117-R117</f>
        <v>0</v>
      </c>
      <c r="T117" s="38">
        <f>IFERROR((Q117/N117)*100%,"∞")</f>
        <v>1</v>
      </c>
      <c r="U117" s="59">
        <f>N117+V117</f>
        <v>-471</v>
      </c>
      <c r="V117" s="33">
        <v>0</v>
      </c>
      <c r="W117" s="33">
        <v>0</v>
      </c>
      <c r="X117" s="33"/>
      <c r="Y117" s="33"/>
      <c r="Z117" s="42"/>
      <c r="AA117" s="60"/>
      <c r="AB117" s="105"/>
      <c r="AC117" s="93"/>
      <c r="AD117" s="33">
        <f>SUM(AB117:AC117)</f>
        <v>0</v>
      </c>
      <c r="AE117" s="33">
        <f>Q117+AD117</f>
        <v>-471</v>
      </c>
      <c r="AF117" s="101">
        <f>AE117-N117</f>
        <v>0</v>
      </c>
    </row>
    <row r="118" spans="2:32"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99"/>
    </row>
    <row r="119" spans="2:32" ht="13" x14ac:dyDescent="0.3">
      <c r="B119" s="78" t="s">
        <v>149</v>
      </c>
      <c r="C119" s="34">
        <f t="shared" ref="C119:J119" si="75">SUM(C120:C127)</f>
        <v>1238</v>
      </c>
      <c r="D119" s="34">
        <f t="shared" si="75"/>
        <v>1427</v>
      </c>
      <c r="E119" s="24">
        <f t="shared" si="75"/>
        <v>0</v>
      </c>
      <c r="F119" s="24">
        <f t="shared" si="75"/>
        <v>0</v>
      </c>
      <c r="G119" s="24">
        <f t="shared" si="75"/>
        <v>190</v>
      </c>
      <c r="H119" s="24">
        <f t="shared" si="75"/>
        <v>0</v>
      </c>
      <c r="I119" s="24">
        <f t="shared" si="75"/>
        <v>0</v>
      </c>
      <c r="J119" s="24">
        <f t="shared" si="75"/>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SUM(AE120:AE127)</f>
        <v>917</v>
      </c>
      <c r="AF119" s="101">
        <f>SUM(AF120:AF127)</f>
        <v>-510</v>
      </c>
    </row>
    <row r="120" spans="2:32"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Q120+AD120</f>
        <v>8</v>
      </c>
      <c r="AF120" s="101">
        <f>AE120-N120</f>
        <v>8</v>
      </c>
    </row>
    <row r="121" spans="2:32" ht="13" outlineLevel="1" x14ac:dyDescent="0.3">
      <c r="B121" s="79" t="s">
        <v>150</v>
      </c>
      <c r="C121" s="33">
        <v>278</v>
      </c>
      <c r="D121" s="33">
        <v>278</v>
      </c>
      <c r="E121" s="23">
        <v>0</v>
      </c>
      <c r="F121" s="23">
        <v>0</v>
      </c>
      <c r="G121" s="23">
        <v>0</v>
      </c>
      <c r="H121" s="23">
        <v>0</v>
      </c>
      <c r="I121" s="23">
        <v>0</v>
      </c>
      <c r="J121" s="23">
        <v>0</v>
      </c>
      <c r="K121" s="23">
        <f t="shared" ref="K121:K126" si="76">SUM(E121:J121)</f>
        <v>0</v>
      </c>
      <c r="L121" s="33">
        <f t="shared" ref="L121:L126" si="77">N121-D121</f>
        <v>0</v>
      </c>
      <c r="M121" s="33">
        <f t="shared" ref="M121:M126" si="78">N121-C121</f>
        <v>0</v>
      </c>
      <c r="N121" s="33">
        <v>278</v>
      </c>
      <c r="O121" s="33">
        <v>0</v>
      </c>
      <c r="P121" s="33">
        <v>0</v>
      </c>
      <c r="Q121" s="33">
        <v>0</v>
      </c>
      <c r="R121" s="33">
        <v>278</v>
      </c>
      <c r="S121" s="33">
        <f t="shared" ref="S121:S126" si="79">Q121-R121</f>
        <v>-278</v>
      </c>
      <c r="T121" s="38">
        <f t="shared" ref="T121:T126" si="80">IFERROR((Q121/N121)*100%,"∞")</f>
        <v>0</v>
      </c>
      <c r="U121" s="59">
        <f t="shared" ref="U121:U126" si="81">N121+V121</f>
        <v>278</v>
      </c>
      <c r="V121" s="33">
        <v>0</v>
      </c>
      <c r="W121" s="33">
        <v>0</v>
      </c>
      <c r="X121" s="33"/>
      <c r="Y121" s="33"/>
      <c r="Z121" s="42"/>
      <c r="AA121" s="60"/>
      <c r="AB121" s="105"/>
      <c r="AC121" s="93"/>
      <c r="AD121" s="33">
        <f t="shared" ref="AD121:AD126" si="82">SUM(AB121:AC121)</f>
        <v>0</v>
      </c>
      <c r="AE121" s="33">
        <f t="shared" ref="AE121:AE126" si="83">Q121+AD121</f>
        <v>0</v>
      </c>
      <c r="AF121" s="101">
        <f t="shared" ref="AF121:AF126" si="84">AE121-N121</f>
        <v>-278</v>
      </c>
    </row>
    <row r="122" spans="2:32" ht="13" outlineLevel="1" x14ac:dyDescent="0.3">
      <c r="B122" s="79" t="s">
        <v>151</v>
      </c>
      <c r="C122" s="33">
        <v>-400</v>
      </c>
      <c r="D122" s="33">
        <v>617</v>
      </c>
      <c r="E122" s="23">
        <v>0</v>
      </c>
      <c r="F122" s="23">
        <v>0</v>
      </c>
      <c r="G122" s="23">
        <v>1017</v>
      </c>
      <c r="H122" s="23">
        <v>0</v>
      </c>
      <c r="I122" s="23">
        <v>0</v>
      </c>
      <c r="J122" s="23">
        <v>0</v>
      </c>
      <c r="K122" s="23">
        <f t="shared" si="76"/>
        <v>1017</v>
      </c>
      <c r="L122" s="33">
        <f t="shared" si="77"/>
        <v>0</v>
      </c>
      <c r="M122" s="33">
        <f t="shared" si="78"/>
        <v>1017</v>
      </c>
      <c r="N122" s="33">
        <v>617</v>
      </c>
      <c r="O122" s="33">
        <v>1667</v>
      </c>
      <c r="P122" s="33">
        <v>0</v>
      </c>
      <c r="Q122" s="33">
        <v>1667</v>
      </c>
      <c r="R122" s="33">
        <v>617</v>
      </c>
      <c r="S122" s="33">
        <f t="shared" si="79"/>
        <v>1050</v>
      </c>
      <c r="T122" s="38">
        <f t="shared" si="80"/>
        <v>2.7017828200972449</v>
      </c>
      <c r="U122" s="59">
        <f t="shared" si="81"/>
        <v>617</v>
      </c>
      <c r="V122" s="33">
        <v>0</v>
      </c>
      <c r="W122" s="33">
        <v>0</v>
      </c>
      <c r="X122" s="33"/>
      <c r="Y122" s="33"/>
      <c r="Z122" s="42"/>
      <c r="AA122" s="60"/>
      <c r="AB122" s="105"/>
      <c r="AC122" s="93"/>
      <c r="AD122" s="33">
        <f t="shared" si="82"/>
        <v>0</v>
      </c>
      <c r="AE122" s="33">
        <f t="shared" si="83"/>
        <v>1667</v>
      </c>
      <c r="AF122" s="101">
        <f t="shared" si="84"/>
        <v>1050</v>
      </c>
    </row>
    <row r="123" spans="2:32" ht="13" outlineLevel="1" x14ac:dyDescent="0.3">
      <c r="B123" s="79" t="s">
        <v>152</v>
      </c>
      <c r="C123" s="33">
        <v>693</v>
      </c>
      <c r="D123" s="33">
        <v>-95</v>
      </c>
      <c r="E123" s="23">
        <v>0</v>
      </c>
      <c r="F123" s="23">
        <v>0</v>
      </c>
      <c r="G123" s="23">
        <v>-787</v>
      </c>
      <c r="H123" s="23">
        <v>0</v>
      </c>
      <c r="I123" s="23">
        <v>0</v>
      </c>
      <c r="J123" s="23">
        <v>0</v>
      </c>
      <c r="K123" s="23">
        <f t="shared" si="76"/>
        <v>-787</v>
      </c>
      <c r="L123" s="33">
        <f t="shared" si="77"/>
        <v>0</v>
      </c>
      <c r="M123" s="33">
        <f t="shared" si="78"/>
        <v>-788</v>
      </c>
      <c r="N123" s="33">
        <v>-95</v>
      </c>
      <c r="O123" s="33">
        <v>0</v>
      </c>
      <c r="P123" s="33">
        <v>0</v>
      </c>
      <c r="Q123" s="33">
        <v>0</v>
      </c>
      <c r="R123" s="33">
        <v>-95</v>
      </c>
      <c r="S123" s="33">
        <f t="shared" si="79"/>
        <v>95</v>
      </c>
      <c r="T123" s="38">
        <f t="shared" si="80"/>
        <v>0</v>
      </c>
      <c r="U123" s="59">
        <f t="shared" si="81"/>
        <v>-95</v>
      </c>
      <c r="V123" s="33">
        <v>0</v>
      </c>
      <c r="W123" s="33">
        <v>0</v>
      </c>
      <c r="X123" s="33"/>
      <c r="Y123" s="33"/>
      <c r="Z123" s="42"/>
      <c r="AA123" s="60"/>
      <c r="AB123" s="105"/>
      <c r="AC123" s="93"/>
      <c r="AD123" s="33">
        <f t="shared" si="82"/>
        <v>0</v>
      </c>
      <c r="AE123" s="33">
        <f t="shared" si="83"/>
        <v>0</v>
      </c>
      <c r="AF123" s="101">
        <f t="shared" si="84"/>
        <v>95</v>
      </c>
    </row>
    <row r="124" spans="2:32" ht="13" outlineLevel="1" x14ac:dyDescent="0.3">
      <c r="B124" s="79" t="s">
        <v>153</v>
      </c>
      <c r="C124" s="33">
        <v>645</v>
      </c>
      <c r="D124" s="33">
        <v>615</v>
      </c>
      <c r="E124" s="23">
        <v>0</v>
      </c>
      <c r="F124" s="23">
        <v>0</v>
      </c>
      <c r="G124" s="23">
        <v>-30</v>
      </c>
      <c r="H124" s="23">
        <v>0</v>
      </c>
      <c r="I124" s="23">
        <v>0</v>
      </c>
      <c r="J124" s="23">
        <v>0</v>
      </c>
      <c r="K124" s="23">
        <f t="shared" si="76"/>
        <v>-30</v>
      </c>
      <c r="L124" s="33">
        <f t="shared" si="77"/>
        <v>0</v>
      </c>
      <c r="M124" s="33">
        <f t="shared" si="78"/>
        <v>-30</v>
      </c>
      <c r="N124" s="33">
        <v>615</v>
      </c>
      <c r="O124" s="33">
        <v>0</v>
      </c>
      <c r="P124" s="33">
        <v>0</v>
      </c>
      <c r="Q124" s="33">
        <v>0</v>
      </c>
      <c r="R124" s="33">
        <v>615</v>
      </c>
      <c r="S124" s="33">
        <f t="shared" si="79"/>
        <v>-615</v>
      </c>
      <c r="T124" s="38">
        <f t="shared" si="80"/>
        <v>0</v>
      </c>
      <c r="U124" s="59">
        <f t="shared" si="81"/>
        <v>615</v>
      </c>
      <c r="V124" s="33">
        <v>0</v>
      </c>
      <c r="W124" s="33">
        <v>0</v>
      </c>
      <c r="X124" s="33"/>
      <c r="Y124" s="33"/>
      <c r="Z124" s="42"/>
      <c r="AA124" s="60"/>
      <c r="AB124" s="105"/>
      <c r="AC124" s="93"/>
      <c r="AD124" s="33">
        <f t="shared" si="82"/>
        <v>0</v>
      </c>
      <c r="AE124" s="33">
        <f t="shared" si="83"/>
        <v>0</v>
      </c>
      <c r="AF124" s="101">
        <f t="shared" si="84"/>
        <v>-615</v>
      </c>
    </row>
    <row r="125" spans="2:32" ht="13" outlineLevel="1" x14ac:dyDescent="0.3">
      <c r="B125" s="79" t="s">
        <v>154</v>
      </c>
      <c r="C125" s="33">
        <v>525</v>
      </c>
      <c r="D125" s="33">
        <v>515</v>
      </c>
      <c r="E125" s="23">
        <v>0</v>
      </c>
      <c r="F125" s="23">
        <v>0</v>
      </c>
      <c r="G125" s="23">
        <v>-10</v>
      </c>
      <c r="H125" s="23">
        <v>0</v>
      </c>
      <c r="I125" s="23">
        <v>0</v>
      </c>
      <c r="J125" s="23">
        <v>0</v>
      </c>
      <c r="K125" s="23">
        <f t="shared" si="76"/>
        <v>-10</v>
      </c>
      <c r="L125" s="33">
        <f t="shared" si="77"/>
        <v>0</v>
      </c>
      <c r="M125" s="33">
        <f t="shared" si="78"/>
        <v>-10</v>
      </c>
      <c r="N125" s="33">
        <v>515</v>
      </c>
      <c r="O125" s="33">
        <v>0</v>
      </c>
      <c r="P125" s="33">
        <v>0</v>
      </c>
      <c r="Q125" s="33">
        <v>0</v>
      </c>
      <c r="R125" s="33">
        <v>515</v>
      </c>
      <c r="S125" s="33">
        <f t="shared" si="79"/>
        <v>-515</v>
      </c>
      <c r="T125" s="38">
        <f t="shared" si="80"/>
        <v>0</v>
      </c>
      <c r="U125" s="59">
        <f t="shared" si="81"/>
        <v>515</v>
      </c>
      <c r="V125" s="33">
        <v>0</v>
      </c>
      <c r="W125" s="33">
        <v>0</v>
      </c>
      <c r="X125" s="33"/>
      <c r="Y125" s="33"/>
      <c r="Z125" s="42"/>
      <c r="AA125" s="60"/>
      <c r="AB125" s="105"/>
      <c r="AC125" s="93"/>
      <c r="AD125" s="33">
        <f t="shared" si="82"/>
        <v>0</v>
      </c>
      <c r="AE125" s="33">
        <f t="shared" si="83"/>
        <v>0</v>
      </c>
      <c r="AF125" s="101">
        <f t="shared" si="84"/>
        <v>-515</v>
      </c>
    </row>
    <row r="126" spans="2:32" ht="13" outlineLevel="1" x14ac:dyDescent="0.3">
      <c r="B126" s="79" t="s">
        <v>219</v>
      </c>
      <c r="C126" s="33">
        <v>-503</v>
      </c>
      <c r="D126" s="33">
        <v>-503</v>
      </c>
      <c r="E126" s="23">
        <v>0</v>
      </c>
      <c r="F126" s="23">
        <v>0</v>
      </c>
      <c r="G126" s="23">
        <v>0</v>
      </c>
      <c r="H126" s="23">
        <v>0</v>
      </c>
      <c r="I126" s="23">
        <v>0</v>
      </c>
      <c r="J126" s="23">
        <v>0</v>
      </c>
      <c r="K126" s="23">
        <f t="shared" si="76"/>
        <v>0</v>
      </c>
      <c r="L126" s="33">
        <f t="shared" si="77"/>
        <v>0</v>
      </c>
      <c r="M126" s="33">
        <f t="shared" si="78"/>
        <v>0</v>
      </c>
      <c r="N126" s="33">
        <v>-503</v>
      </c>
      <c r="O126" s="33">
        <v>0</v>
      </c>
      <c r="P126" s="33">
        <v>0</v>
      </c>
      <c r="Q126" s="33">
        <v>0</v>
      </c>
      <c r="R126" s="33">
        <v>-503</v>
      </c>
      <c r="S126" s="33">
        <f t="shared" si="79"/>
        <v>503</v>
      </c>
      <c r="T126" s="38">
        <f t="shared" si="80"/>
        <v>0</v>
      </c>
      <c r="U126" s="59">
        <f t="shared" si="81"/>
        <v>-503</v>
      </c>
      <c r="V126" s="33">
        <v>0</v>
      </c>
      <c r="W126" s="33">
        <v>0</v>
      </c>
      <c r="X126" s="33"/>
      <c r="Y126" s="33"/>
      <c r="Z126" s="42"/>
      <c r="AA126" s="60"/>
      <c r="AB126" s="105"/>
      <c r="AC126" s="93"/>
      <c r="AD126" s="33">
        <f t="shared" si="82"/>
        <v>0</v>
      </c>
      <c r="AE126" s="33">
        <f t="shared" si="83"/>
        <v>0</v>
      </c>
      <c r="AF126" s="101">
        <f t="shared" si="84"/>
        <v>503</v>
      </c>
    </row>
    <row r="127" spans="2:32" ht="13" outlineLevel="1" x14ac:dyDescent="0.3">
      <c r="B127" s="79"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Q127+AD127</f>
        <v>-758</v>
      </c>
      <c r="AF127" s="101">
        <f>AE127-N127</f>
        <v>-758</v>
      </c>
    </row>
    <row r="128" spans="2:32"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row>
    <row r="129" spans="2:32" ht="13.5" thickBot="1" x14ac:dyDescent="0.35">
      <c r="B129" s="91" t="s">
        <v>155</v>
      </c>
      <c r="C129" s="76">
        <f t="shared" ref="C129:J129" si="85">C106+C119</f>
        <v>12</v>
      </c>
      <c r="D129" s="76">
        <f t="shared" si="85"/>
        <v>201</v>
      </c>
      <c r="E129" s="76">
        <f t="shared" si="85"/>
        <v>0</v>
      </c>
      <c r="F129" s="76">
        <f t="shared" si="85"/>
        <v>33</v>
      </c>
      <c r="G129" s="76">
        <f t="shared" si="85"/>
        <v>190</v>
      </c>
      <c r="H129" s="76">
        <f t="shared" si="85"/>
        <v>50</v>
      </c>
      <c r="I129" s="76">
        <f t="shared" si="85"/>
        <v>0</v>
      </c>
      <c r="J129" s="76">
        <f t="shared" si="85"/>
        <v>0</v>
      </c>
      <c r="K129" s="76">
        <f>SUM(E129:J129)</f>
        <v>273</v>
      </c>
      <c r="L129" s="76">
        <f>N129-D129</f>
        <v>50</v>
      </c>
      <c r="M129" s="76">
        <f>N129-C129</f>
        <v>239</v>
      </c>
      <c r="N129" s="76">
        <f>N106+N119</f>
        <v>251</v>
      </c>
      <c r="O129" s="76">
        <f>O106+O119</f>
        <v>57431</v>
      </c>
      <c r="P129" s="76">
        <f>P106+P119</f>
        <v>-61904</v>
      </c>
      <c r="Q129" s="76">
        <f>Q106+Q119</f>
        <v>-4473</v>
      </c>
      <c r="R129" s="76">
        <f>R106+R119</f>
        <v>251</v>
      </c>
      <c r="S129" s="76">
        <f>Q129-R129</f>
        <v>-4724</v>
      </c>
      <c r="T129" s="92">
        <f>IFERROR((Q129/N129)*100%,"∞")</f>
        <v>-17.820717131474105</v>
      </c>
      <c r="U129" s="76">
        <f>N129+V129</f>
        <v>251</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-4473</v>
      </c>
      <c r="AF129" s="76">
        <f>AF106+AF119</f>
        <v>-4724</v>
      </c>
    </row>
    <row r="130" spans="2:32"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row>
    <row r="131" spans="2:32" ht="13.5" thickBot="1" x14ac:dyDescent="0.35">
      <c r="B131" s="91" t="s">
        <v>156</v>
      </c>
      <c r="C131" s="76">
        <f t="shared" ref="C131:J131" si="86">C83+C104+C129</f>
        <v>24605</v>
      </c>
      <c r="D131" s="76">
        <f t="shared" si="86"/>
        <v>25008</v>
      </c>
      <c r="E131" s="76">
        <f t="shared" si="86"/>
        <v>406</v>
      </c>
      <c r="F131" s="76">
        <f t="shared" si="86"/>
        <v>-2362</v>
      </c>
      <c r="G131" s="76">
        <f t="shared" si="86"/>
        <v>0</v>
      </c>
      <c r="H131" s="76">
        <f t="shared" si="86"/>
        <v>22</v>
      </c>
      <c r="I131" s="76">
        <f t="shared" si="86"/>
        <v>-1</v>
      </c>
      <c r="J131" s="76">
        <f t="shared" si="86"/>
        <v>0</v>
      </c>
      <c r="K131" s="76">
        <f>SUM(E131:J131)</f>
        <v>-1935</v>
      </c>
      <c r="L131" s="76">
        <f>N131-D131</f>
        <v>-2363</v>
      </c>
      <c r="M131" s="76">
        <f>N131-C131</f>
        <v>-1960</v>
      </c>
      <c r="N131" s="76">
        <f>N83+N104+N129</f>
        <v>22645</v>
      </c>
      <c r="O131" s="76">
        <f>O83+O104+O129</f>
        <v>150839</v>
      </c>
      <c r="P131" s="76">
        <f>P83+P104+P129</f>
        <v>-123525</v>
      </c>
      <c r="Q131" s="76">
        <f>Q83+Q104+Q129</f>
        <v>27312</v>
      </c>
      <c r="R131" s="76">
        <f>R83+R104+R129</f>
        <v>22645</v>
      </c>
      <c r="S131" s="76">
        <f>Q131-R131</f>
        <v>4667</v>
      </c>
      <c r="T131" s="92">
        <f>IFERROR((Q131/N131)*100%,"∞")</f>
        <v>1.2060940604990065</v>
      </c>
      <c r="U131" s="76">
        <f>N131+V131</f>
        <v>23681</v>
      </c>
      <c r="V131" s="76">
        <f>V83+V104+V129</f>
        <v>1036</v>
      </c>
      <c r="W131" s="76">
        <f>W83+W104+W129</f>
        <v>1036</v>
      </c>
      <c r="X131" s="76">
        <f>X83+X104+X129</f>
        <v>0</v>
      </c>
      <c r="Y131" s="76">
        <f>Y83+Y104+Y129</f>
        <v>0</v>
      </c>
      <c r="Z131" s="76">
        <f>Z83+Z104+Z129</f>
        <v>0</v>
      </c>
      <c r="AA131" s="60"/>
      <c r="AB131" s="76">
        <f>AB83+AB104+AB129</f>
        <v>0</v>
      </c>
      <c r="AC131" s="76">
        <f>AC83+AC104+AC129</f>
        <v>0</v>
      </c>
      <c r="AD131" s="76">
        <f>AD83+AD104+AD129</f>
        <v>0</v>
      </c>
      <c r="AE131" s="76">
        <f>AE83+AE104+AE129</f>
        <v>27312</v>
      </c>
      <c r="AF131" s="76">
        <f>AF83+AF104+AF129</f>
        <v>4667</v>
      </c>
    </row>
    <row r="132" spans="2:32"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row>
    <row r="133" spans="2:32" ht="13" x14ac:dyDescent="0.3">
      <c r="B133" s="79" t="s">
        <v>157</v>
      </c>
      <c r="C133" s="33">
        <v>-1980</v>
      </c>
      <c r="D133" s="33">
        <v>-2387</v>
      </c>
      <c r="E133" s="23">
        <v>-407</v>
      </c>
      <c r="F133" s="23">
        <v>-3074</v>
      </c>
      <c r="G133" s="23">
        <v>0</v>
      </c>
      <c r="H133" s="23">
        <v>-5460</v>
      </c>
      <c r="I133" s="23">
        <v>0</v>
      </c>
      <c r="J133" s="23">
        <v>0</v>
      </c>
      <c r="K133" s="23">
        <f>SUM(E133:J133)</f>
        <v>-8941</v>
      </c>
      <c r="L133" s="33">
        <f>N133-D133</f>
        <v>-3074</v>
      </c>
      <c r="M133" s="33">
        <f>N133-C133</f>
        <v>-3481</v>
      </c>
      <c r="N133" s="33">
        <v>-5461</v>
      </c>
      <c r="O133" s="33">
        <v>-6077</v>
      </c>
      <c r="P133" s="33">
        <v>0</v>
      </c>
      <c r="Q133" s="33">
        <v>-6077</v>
      </c>
      <c r="R133" s="33">
        <v>-5461</v>
      </c>
      <c r="S133" s="33">
        <f>Q133-R133</f>
        <v>-616</v>
      </c>
      <c r="T133" s="38">
        <f>IFERROR((Q133/N133)*100%,"∞")</f>
        <v>1.1127998535066839</v>
      </c>
      <c r="U133" s="59">
        <f>N133+V133</f>
        <v>-5461</v>
      </c>
      <c r="V133" s="33">
        <v>0</v>
      </c>
      <c r="W133" s="33">
        <v>0</v>
      </c>
      <c r="X133" s="33"/>
      <c r="Y133" s="33"/>
      <c r="Z133" s="42"/>
      <c r="AA133" s="60"/>
      <c r="AB133" s="105"/>
      <c r="AC133" s="93"/>
      <c r="AD133" s="33">
        <f>SUM(AB133:AC133)</f>
        <v>0</v>
      </c>
      <c r="AE133" s="33">
        <f>Q133+AD133</f>
        <v>-6077</v>
      </c>
      <c r="AF133" s="101">
        <f>AE133-N133</f>
        <v>-616</v>
      </c>
    </row>
    <row r="134" spans="2:32"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row>
    <row r="135" spans="2:32" ht="13.5" thickBot="1" x14ac:dyDescent="0.35">
      <c r="B135" s="91" t="s">
        <v>158</v>
      </c>
      <c r="C135" s="76">
        <f t="shared" ref="C135:J135" si="87">C131+C133</f>
        <v>22625</v>
      </c>
      <c r="D135" s="76">
        <f t="shared" si="87"/>
        <v>22621</v>
      </c>
      <c r="E135" s="76">
        <f t="shared" si="87"/>
        <v>-1</v>
      </c>
      <c r="F135" s="76">
        <f t="shared" si="87"/>
        <v>-5436</v>
      </c>
      <c r="G135" s="76">
        <f t="shared" si="87"/>
        <v>0</v>
      </c>
      <c r="H135" s="76">
        <f t="shared" si="87"/>
        <v>-5438</v>
      </c>
      <c r="I135" s="76">
        <f t="shared" si="87"/>
        <v>-1</v>
      </c>
      <c r="J135" s="76">
        <f t="shared" si="87"/>
        <v>0</v>
      </c>
      <c r="K135" s="76">
        <f>SUM(E135:J135)</f>
        <v>-10876</v>
      </c>
      <c r="L135" s="76">
        <f>N135-D135</f>
        <v>-5437</v>
      </c>
      <c r="M135" s="76">
        <f>N135-C135</f>
        <v>-5441</v>
      </c>
      <c r="N135" s="76">
        <f>N131+N133</f>
        <v>17184</v>
      </c>
      <c r="O135" s="76">
        <f>O131+O133</f>
        <v>144762</v>
      </c>
      <c r="P135" s="76">
        <f>P131+P133</f>
        <v>-123525</v>
      </c>
      <c r="Q135" s="76">
        <f>Q131+Q133</f>
        <v>21235</v>
      </c>
      <c r="R135" s="76">
        <f>R131+R133</f>
        <v>17184</v>
      </c>
      <c r="S135" s="76">
        <f>Q135-R135</f>
        <v>4051</v>
      </c>
      <c r="T135" s="92">
        <f>IFERROR((Q135/N135)*100%,"∞")</f>
        <v>1.2357425512104283</v>
      </c>
      <c r="U135" s="76">
        <f>N135+V135</f>
        <v>18220</v>
      </c>
      <c r="V135" s="76">
        <f>V131+V133</f>
        <v>1036</v>
      </c>
      <c r="W135" s="76">
        <f>W131+W133</f>
        <v>1036</v>
      </c>
      <c r="X135" s="76">
        <f>X131+X133</f>
        <v>0</v>
      </c>
      <c r="Y135" s="76">
        <f>Y131+Y133</f>
        <v>0</v>
      </c>
      <c r="Z135" s="76">
        <f>Z131+Z133</f>
        <v>0</v>
      </c>
      <c r="AA135" s="60"/>
      <c r="AB135" s="76">
        <f>AB131+AB133</f>
        <v>0</v>
      </c>
      <c r="AC135" s="76">
        <f>AC131+AC133</f>
        <v>0</v>
      </c>
      <c r="AD135" s="76">
        <f>AD131+AD133</f>
        <v>0</v>
      </c>
      <c r="AE135" s="76">
        <f>AE131+AE133</f>
        <v>21235</v>
      </c>
      <c r="AF135" s="76">
        <f>AF131+AF133</f>
        <v>4051</v>
      </c>
    </row>
    <row r="136" spans="2:32"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row>
    <row r="137" spans="2:32"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row>
    <row r="138" spans="2:32"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row>
    <row r="139" spans="2:32" ht="13" x14ac:dyDescent="0.3">
      <c r="B139" s="79" t="s">
        <v>160</v>
      </c>
      <c r="C139" s="33">
        <v>711</v>
      </c>
      <c r="D139" s="33">
        <v>711</v>
      </c>
      <c r="E139" s="23">
        <v>0</v>
      </c>
      <c r="F139" s="23">
        <v>0</v>
      </c>
      <c r="G139" s="23">
        <v>0</v>
      </c>
      <c r="H139" s="23">
        <v>0</v>
      </c>
      <c r="I139" s="23">
        <v>0</v>
      </c>
      <c r="J139" s="23">
        <v>0</v>
      </c>
      <c r="K139" s="23">
        <f t="shared" ref="K139:K140" si="88">SUM(E139:J139)</f>
        <v>0</v>
      </c>
      <c r="L139" s="33">
        <f t="shared" ref="L139:L140" si="89">N139-D139</f>
        <v>0</v>
      </c>
      <c r="M139" s="33">
        <f t="shared" ref="M139:M140" si="90">N139-C139</f>
        <v>0</v>
      </c>
      <c r="N139" s="33">
        <v>711</v>
      </c>
      <c r="O139" s="33">
        <v>0</v>
      </c>
      <c r="P139" s="33">
        <v>1051</v>
      </c>
      <c r="Q139" s="33">
        <v>1051</v>
      </c>
      <c r="R139" s="33">
        <v>711</v>
      </c>
      <c r="S139" s="33">
        <f t="shared" ref="S139:S140" si="91">Q139-R139</f>
        <v>340</v>
      </c>
      <c r="T139" s="38">
        <f t="shared" ref="T139:T140" si="92">IFERROR((Q139/N139)*100%,"∞")</f>
        <v>1.4781997187060478</v>
      </c>
      <c r="U139" s="59">
        <f t="shared" ref="U139:U140" si="93">N139+V139</f>
        <v>711</v>
      </c>
      <c r="V139" s="33">
        <v>0</v>
      </c>
      <c r="W139" s="33">
        <v>0</v>
      </c>
      <c r="X139" s="33"/>
      <c r="Y139" s="33"/>
      <c r="Z139" s="42"/>
      <c r="AA139" s="60"/>
      <c r="AB139" s="105"/>
      <c r="AC139" s="93"/>
      <c r="AD139" s="33">
        <f t="shared" ref="AD139:AD140" si="94">SUM(AB139:AC139)</f>
        <v>0</v>
      </c>
      <c r="AE139" s="33">
        <f t="shared" ref="AE139:AE140" si="95">Q139+AD139</f>
        <v>1051</v>
      </c>
      <c r="AF139" s="101">
        <f t="shared" ref="AF139:AF140" si="96">AE139-N139</f>
        <v>340</v>
      </c>
    </row>
    <row r="140" spans="2:32" ht="13" x14ac:dyDescent="0.3">
      <c r="B140" s="79" t="s">
        <v>161</v>
      </c>
      <c r="C140" s="33">
        <v>15029</v>
      </c>
      <c r="D140" s="33">
        <v>15029</v>
      </c>
      <c r="E140" s="23">
        <v>0</v>
      </c>
      <c r="F140" s="23">
        <v>0</v>
      </c>
      <c r="G140" s="23">
        <v>0</v>
      </c>
      <c r="H140" s="23">
        <v>0</v>
      </c>
      <c r="I140" s="23">
        <v>0</v>
      </c>
      <c r="J140" s="23">
        <v>0</v>
      </c>
      <c r="K140" s="23">
        <f t="shared" si="88"/>
        <v>0</v>
      </c>
      <c r="L140" s="33">
        <f t="shared" si="89"/>
        <v>0</v>
      </c>
      <c r="M140" s="33">
        <f t="shared" si="90"/>
        <v>0</v>
      </c>
      <c r="N140" s="33">
        <v>15029</v>
      </c>
      <c r="O140" s="33">
        <v>14621</v>
      </c>
      <c r="P140" s="33">
        <v>0</v>
      </c>
      <c r="Q140" s="33">
        <v>14621</v>
      </c>
      <c r="R140" s="33">
        <v>15029</v>
      </c>
      <c r="S140" s="33">
        <f t="shared" si="91"/>
        <v>-408</v>
      </c>
      <c r="T140" s="38">
        <f t="shared" si="92"/>
        <v>0.97285248519528911</v>
      </c>
      <c r="U140" s="59">
        <f t="shared" si="93"/>
        <v>15029</v>
      </c>
      <c r="V140" s="33">
        <v>0</v>
      </c>
      <c r="W140" s="33">
        <v>0</v>
      </c>
      <c r="X140" s="33"/>
      <c r="Y140" s="33"/>
      <c r="Z140" s="42"/>
      <c r="AA140" s="60"/>
      <c r="AB140" s="105"/>
      <c r="AC140" s="93"/>
      <c r="AD140" s="33">
        <f t="shared" si="94"/>
        <v>0</v>
      </c>
      <c r="AE140" s="33">
        <f t="shared" si="95"/>
        <v>14621</v>
      </c>
      <c r="AF140" s="101">
        <f t="shared" si="96"/>
        <v>-408</v>
      </c>
    </row>
    <row r="141" spans="2:32" ht="13" x14ac:dyDescent="0.3">
      <c r="B141" s="79" t="s">
        <v>162</v>
      </c>
      <c r="C141" s="33">
        <v>-271</v>
      </c>
      <c r="D141" s="33">
        <v>-271</v>
      </c>
      <c r="E141" s="23">
        <v>0</v>
      </c>
      <c r="F141" s="23">
        <v>0</v>
      </c>
      <c r="G141" s="23">
        <v>0</v>
      </c>
      <c r="H141" s="23">
        <v>0</v>
      </c>
      <c r="I141" s="23">
        <v>0</v>
      </c>
      <c r="J141" s="23">
        <v>0</v>
      </c>
      <c r="K141" s="23">
        <f>SUM(E141:J141)</f>
        <v>0</v>
      </c>
      <c r="L141" s="33">
        <f>N141-D141</f>
        <v>0</v>
      </c>
      <c r="M141" s="33">
        <f>N141-C141</f>
        <v>0</v>
      </c>
      <c r="N141" s="33">
        <v>-271</v>
      </c>
      <c r="O141" s="33">
        <v>-281</v>
      </c>
      <c r="P141" s="33">
        <v>0</v>
      </c>
      <c r="Q141" s="33">
        <v>-281</v>
      </c>
      <c r="R141" s="33">
        <v>-271</v>
      </c>
      <c r="S141" s="33">
        <f>Q141-R141</f>
        <v>-10</v>
      </c>
      <c r="T141" s="38">
        <f>IFERROR((Q141/N141)*100%,"∞")</f>
        <v>1.03690036900369</v>
      </c>
      <c r="U141" s="59">
        <f>N141+V141</f>
        <v>-271</v>
      </c>
      <c r="V141" s="33">
        <v>0</v>
      </c>
      <c r="W141" s="33">
        <v>0</v>
      </c>
      <c r="X141" s="33"/>
      <c r="Y141" s="33"/>
      <c r="Z141" s="42"/>
      <c r="AA141" s="60"/>
      <c r="AB141" s="105"/>
      <c r="AC141" s="93"/>
      <c r="AD141" s="33">
        <f>SUM(AB141:AC141)</f>
        <v>0</v>
      </c>
      <c r="AE141" s="33">
        <f>Q141+AD141</f>
        <v>-281</v>
      </c>
      <c r="AF141" s="101">
        <f>AE141-N141</f>
        <v>-10</v>
      </c>
    </row>
    <row r="142" spans="2:32" ht="13" x14ac:dyDescent="0.3">
      <c r="B142" s="79" t="s">
        <v>163</v>
      </c>
      <c r="C142" s="33">
        <v>7154</v>
      </c>
      <c r="D142" s="33">
        <v>7154</v>
      </c>
      <c r="E142" s="23">
        <v>0</v>
      </c>
      <c r="F142" s="23">
        <v>-5437</v>
      </c>
      <c r="G142" s="23">
        <v>0</v>
      </c>
      <c r="H142" s="23">
        <v>-5437</v>
      </c>
      <c r="I142" s="23">
        <v>0</v>
      </c>
      <c r="J142" s="23">
        <v>0</v>
      </c>
      <c r="K142" s="23">
        <f>SUM(E142:J142)</f>
        <v>-10874</v>
      </c>
      <c r="L142" s="33">
        <f>N142-D142</f>
        <v>-5437</v>
      </c>
      <c r="M142" s="33">
        <f>N142-C142</f>
        <v>-5437</v>
      </c>
      <c r="N142" s="33">
        <v>1717</v>
      </c>
      <c r="O142" s="33">
        <v>2718</v>
      </c>
      <c r="P142" s="33">
        <v>-1001</v>
      </c>
      <c r="Q142" s="33">
        <v>1717</v>
      </c>
      <c r="R142" s="33">
        <v>1717</v>
      </c>
      <c r="S142" s="33">
        <f>Q142-R142</f>
        <v>0</v>
      </c>
      <c r="T142" s="38">
        <f>IFERROR((Q142/N142)*100%,"∞")</f>
        <v>1</v>
      </c>
      <c r="U142" s="59">
        <f>N142+V142</f>
        <v>1717</v>
      </c>
      <c r="V142" s="33">
        <v>0</v>
      </c>
      <c r="W142" s="33">
        <v>0</v>
      </c>
      <c r="X142" s="33"/>
      <c r="Y142" s="33"/>
      <c r="Z142" s="42"/>
      <c r="AA142" s="60"/>
      <c r="AB142" s="105"/>
      <c r="AC142" s="93"/>
      <c r="AD142" s="33">
        <f>SUM(AB142:AC142)</f>
        <v>0</v>
      </c>
      <c r="AE142" s="33">
        <f>Q142+AD142</f>
        <v>1717</v>
      </c>
      <c r="AF142" s="101">
        <f>AE142-N142</f>
        <v>0</v>
      </c>
    </row>
    <row r="143" spans="2:32"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row>
    <row r="144" spans="2:32" ht="13.5" thickBot="1" x14ac:dyDescent="0.35">
      <c r="B144" s="91" t="s">
        <v>164</v>
      </c>
      <c r="C144" s="76">
        <f t="shared" ref="C144:J144" si="97">SUM(C139:C142)</f>
        <v>22623</v>
      </c>
      <c r="D144" s="76">
        <f t="shared" si="97"/>
        <v>22623</v>
      </c>
      <c r="E144" s="76">
        <f t="shared" si="97"/>
        <v>0</v>
      </c>
      <c r="F144" s="76">
        <f t="shared" si="97"/>
        <v>-5437</v>
      </c>
      <c r="G144" s="76">
        <f t="shared" si="97"/>
        <v>0</v>
      </c>
      <c r="H144" s="76">
        <f t="shared" si="97"/>
        <v>-5437</v>
      </c>
      <c r="I144" s="76">
        <f t="shared" si="97"/>
        <v>0</v>
      </c>
      <c r="J144" s="76">
        <f t="shared" si="97"/>
        <v>0</v>
      </c>
      <c r="K144" s="76">
        <f>SUM(E144:J144)</f>
        <v>-10874</v>
      </c>
      <c r="L144" s="76">
        <f>N144-D144</f>
        <v>-5437</v>
      </c>
      <c r="M144" s="76">
        <f>N144-C144</f>
        <v>-5437</v>
      </c>
      <c r="N144" s="76">
        <f>SUM(N139:N142)</f>
        <v>17186</v>
      </c>
      <c r="O144" s="76">
        <f>SUM(O139:O142)</f>
        <v>17058</v>
      </c>
      <c r="P144" s="76">
        <f>SUM(P139:P142)</f>
        <v>50</v>
      </c>
      <c r="Q144" s="76">
        <f>SUM(Q139:Q142)</f>
        <v>17108</v>
      </c>
      <c r="R144" s="76">
        <f>SUM(R139:R142)</f>
        <v>17186</v>
      </c>
      <c r="S144" s="76">
        <f>Q144-R144</f>
        <v>-78</v>
      </c>
      <c r="T144" s="92">
        <f>IFERROR((Q144/N144)*100%,"∞")</f>
        <v>0.9954614220877458</v>
      </c>
      <c r="U144" s="76">
        <f>N144+V144</f>
        <v>17186</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17108</v>
      </c>
      <c r="AF144" s="76">
        <f>SUM(AF139:AF142)</f>
        <v>-78</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2" ht="13.5" thickBot="1" x14ac:dyDescent="0.35">
      <c r="B146" s="91" t="s">
        <v>165</v>
      </c>
      <c r="C146" s="76">
        <f t="shared" ref="C146:J146" si="98">C135-C144</f>
        <v>2</v>
      </c>
      <c r="D146" s="76">
        <f t="shared" si="98"/>
        <v>-2</v>
      </c>
      <c r="E146" s="76">
        <f t="shared" si="98"/>
        <v>-1</v>
      </c>
      <c r="F146" s="76">
        <f t="shared" si="98"/>
        <v>1</v>
      </c>
      <c r="G146" s="76">
        <f t="shared" si="98"/>
        <v>0</v>
      </c>
      <c r="H146" s="76">
        <f t="shared" si="98"/>
        <v>-1</v>
      </c>
      <c r="I146" s="76">
        <f t="shared" si="98"/>
        <v>-1</v>
      </c>
      <c r="J146" s="76">
        <f t="shared" si="98"/>
        <v>0</v>
      </c>
      <c r="K146" s="76">
        <f>SUM(E146:J146)</f>
        <v>-2</v>
      </c>
      <c r="L146" s="76">
        <f>N146-D146</f>
        <v>0</v>
      </c>
      <c r="M146" s="76">
        <f>N146-C146</f>
        <v>-4</v>
      </c>
      <c r="N146" s="76">
        <f>N135-N144</f>
        <v>-2</v>
      </c>
      <c r="O146" s="76">
        <f>O135-O144</f>
        <v>127704</v>
      </c>
      <c r="P146" s="76">
        <f>P135-P144</f>
        <v>-123575</v>
      </c>
      <c r="Q146" s="76">
        <f>Q135-Q144</f>
        <v>4127</v>
      </c>
      <c r="R146" s="76">
        <f>R135-R144</f>
        <v>-2</v>
      </c>
      <c r="S146" s="76">
        <f>Q146-R146</f>
        <v>4129</v>
      </c>
      <c r="T146" s="92">
        <f>IFERROR((Q146/N146)*100%,"∞")</f>
        <v>-2063.5</v>
      </c>
      <c r="U146" s="76">
        <f>N146+V146</f>
        <v>1034</v>
      </c>
      <c r="V146" s="76">
        <f>V135-V144</f>
        <v>1036</v>
      </c>
      <c r="W146" s="76">
        <f>W135-W144</f>
        <v>1036</v>
      </c>
      <c r="X146" s="76">
        <f>X135-X144</f>
        <v>0</v>
      </c>
      <c r="Y146" s="76">
        <f>Y135-Y144</f>
        <v>0</v>
      </c>
      <c r="Z146" s="76">
        <f>Z135-Z144</f>
        <v>0</v>
      </c>
      <c r="AA146" s="60"/>
      <c r="AB146" s="76">
        <f>AB135-AB144</f>
        <v>0</v>
      </c>
      <c r="AC146" s="76">
        <f>AC135-AC144</f>
        <v>0</v>
      </c>
      <c r="AD146" s="76">
        <f>AD135-AD144</f>
        <v>0</v>
      </c>
      <c r="AE146" s="76">
        <f>AE135-AE144</f>
        <v>4127</v>
      </c>
      <c r="AF146" s="76">
        <f>AF135-AF144</f>
        <v>4129</v>
      </c>
    </row>
    <row r="147" spans="2:32" ht="13" thickTop="1" x14ac:dyDescent="0.25"/>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F147"/>
  <sheetViews>
    <sheetView topLeftCell="Q67" workbookViewId="0">
      <selection activeCell="H61" sqref="H61"/>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hidden="1" customWidth="1" outlineLevel="1"/>
    <col min="14" max="14" width="13.54296875" customWidth="1" collapsed="1"/>
    <col min="15" max="16" width="13.54296875" customWidth="1" outlineLevel="1"/>
    <col min="17" max="17" width="13.54296875" customWidth="1"/>
    <col min="18" max="20" width="13.54296875" customWidth="1" outlineLevel="1"/>
    <col min="21" max="22" width="13.54296875" customWidth="1"/>
    <col min="23" max="26" width="13.54296875" customWidth="1" outlineLevel="1"/>
    <col min="27" max="27" width="1.54296875" customWidth="1"/>
    <col min="28" max="32" width="13.54296875" customWidth="1" outlineLevel="1"/>
    <col min="33" max="33" width="1.54296875" customWidth="1"/>
    <col min="34" max="43" width="11.54296875" customWidth="1"/>
  </cols>
  <sheetData>
    <row r="1" spans="1:32" s="6" customFormat="1" ht="18.5" thickBot="1" x14ac:dyDescent="0.45">
      <c r="B1" s="17"/>
      <c r="D1" s="18" t="s">
        <v>0</v>
      </c>
      <c r="F1" s="17"/>
    </row>
    <row r="2" spans="1:32" ht="72" customHeight="1" thickBot="1" x14ac:dyDescent="0.3">
      <c r="B2" s="28" t="str">
        <f>[16]_control!F9</f>
        <v>General Fund Outturn Report 22/23 @ 31 March 2023</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1: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1: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1:32" ht="13" outlineLevel="2" x14ac:dyDescent="0.3">
      <c r="A5">
        <f>COUNTIF(Comments!F:F,'Appendix A 240227'!B5)</f>
        <v>1</v>
      </c>
      <c r="B5" s="31" t="s">
        <v>36</v>
      </c>
      <c r="C5" s="33">
        <v>715</v>
      </c>
      <c r="D5" s="33">
        <v>452</v>
      </c>
      <c r="E5" s="23">
        <v>-352</v>
      </c>
      <c r="F5" s="23">
        <v>0</v>
      </c>
      <c r="G5" s="23">
        <v>-10</v>
      </c>
      <c r="H5" s="23">
        <v>0</v>
      </c>
      <c r="I5" s="23">
        <v>98</v>
      </c>
      <c r="J5" s="23">
        <v>0</v>
      </c>
      <c r="K5" s="23">
        <f t="shared" ref="K5:K68" si="0">SUM(E5:J5)</f>
        <v>-264</v>
      </c>
      <c r="L5" s="33">
        <f t="shared" ref="L5:L68" si="1">N5-D5</f>
        <v>0</v>
      </c>
      <c r="M5" s="33">
        <f t="shared" ref="M5:M68" si="2">N5-C5</f>
        <v>-263</v>
      </c>
      <c r="N5" s="33">
        <v>452</v>
      </c>
      <c r="O5" s="33">
        <v>1908</v>
      </c>
      <c r="P5" s="33">
        <v>-1519</v>
      </c>
      <c r="Q5" s="33">
        <v>389</v>
      </c>
      <c r="R5" s="33">
        <v>452</v>
      </c>
      <c r="S5" s="33">
        <f t="shared" ref="S5:S68" si="3">Q5-R5</f>
        <v>-63</v>
      </c>
      <c r="T5" s="38">
        <f t="shared" ref="T5:T68" si="4">IFERROR((Q5/N5)*100%,"∞")</f>
        <v>0.86061946902654862</v>
      </c>
      <c r="U5" s="59">
        <f t="shared" ref="U5:U68" si="5">N5+V5</f>
        <v>452</v>
      </c>
      <c r="V5" s="33">
        <v>0</v>
      </c>
      <c r="W5" s="33">
        <v>0</v>
      </c>
      <c r="X5" s="33"/>
      <c r="Y5" s="33"/>
      <c r="Z5" s="42"/>
      <c r="AA5" s="60"/>
      <c r="AB5" s="105"/>
      <c r="AC5" s="93"/>
      <c r="AD5" s="33">
        <f t="shared" ref="AD5:AD68" si="6">SUM(AB5:AC5)</f>
        <v>0</v>
      </c>
      <c r="AE5" s="33">
        <f t="shared" ref="AE5:AE68" si="7">Q5+AD5</f>
        <v>389</v>
      </c>
      <c r="AF5" s="101">
        <f t="shared" ref="AF5:AF68" si="8">AE5-N5</f>
        <v>-63</v>
      </c>
    </row>
    <row r="6" spans="1:32"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101">
        <f t="shared" si="8"/>
        <v>17</v>
      </c>
    </row>
    <row r="7" spans="1:32" ht="13" outlineLevel="2" x14ac:dyDescent="0.3">
      <c r="B7" s="31" t="s">
        <v>38</v>
      </c>
      <c r="C7" s="33">
        <v>1098</v>
      </c>
      <c r="D7" s="33">
        <v>-9</v>
      </c>
      <c r="E7" s="23">
        <v>-716</v>
      </c>
      <c r="F7" s="23">
        <v>0</v>
      </c>
      <c r="G7" s="23">
        <v>-20</v>
      </c>
      <c r="H7" s="23">
        <v>0</v>
      </c>
      <c r="I7" s="23">
        <v>-371</v>
      </c>
      <c r="J7" s="23">
        <v>0</v>
      </c>
      <c r="K7" s="23">
        <f t="shared" si="0"/>
        <v>-1107</v>
      </c>
      <c r="L7" s="33">
        <f t="shared" si="1"/>
        <v>0</v>
      </c>
      <c r="M7" s="33">
        <f t="shared" si="2"/>
        <v>-1107</v>
      </c>
      <c r="N7" s="33">
        <v>-9</v>
      </c>
      <c r="O7" s="33">
        <v>1723</v>
      </c>
      <c r="P7" s="33">
        <v>-1684</v>
      </c>
      <c r="Q7" s="33">
        <v>38</v>
      </c>
      <c r="R7" s="33">
        <v>-9</v>
      </c>
      <c r="S7" s="33">
        <f t="shared" si="3"/>
        <v>47</v>
      </c>
      <c r="T7" s="38">
        <f t="shared" si="4"/>
        <v>-4.2222222222222223</v>
      </c>
      <c r="U7" s="59">
        <f t="shared" si="5"/>
        <v>-9</v>
      </c>
      <c r="V7" s="33">
        <v>0</v>
      </c>
      <c r="W7" s="33">
        <v>0</v>
      </c>
      <c r="X7" s="33"/>
      <c r="Y7" s="33"/>
      <c r="Z7" s="42"/>
      <c r="AA7" s="60"/>
      <c r="AB7" s="105"/>
      <c r="AC7" s="93"/>
      <c r="AD7" s="33">
        <f t="shared" si="6"/>
        <v>0</v>
      </c>
      <c r="AE7" s="33">
        <f t="shared" si="7"/>
        <v>38</v>
      </c>
      <c r="AF7" s="101">
        <f t="shared" si="8"/>
        <v>47</v>
      </c>
    </row>
    <row r="8" spans="1:32" ht="13" outlineLevel="2" x14ac:dyDescent="0.3">
      <c r="B8" s="31" t="s">
        <v>39</v>
      </c>
      <c r="C8" s="33">
        <v>1086</v>
      </c>
      <c r="D8" s="33">
        <v>1742</v>
      </c>
      <c r="E8" s="23">
        <v>283</v>
      </c>
      <c r="F8" s="23">
        <v>0</v>
      </c>
      <c r="G8" s="23">
        <v>-34</v>
      </c>
      <c r="H8" s="23">
        <v>0</v>
      </c>
      <c r="I8" s="23">
        <v>397</v>
      </c>
      <c r="J8" s="23">
        <v>0</v>
      </c>
      <c r="K8" s="23">
        <f t="shared" si="0"/>
        <v>646</v>
      </c>
      <c r="L8" s="33">
        <f t="shared" si="1"/>
        <v>0</v>
      </c>
      <c r="M8" s="33">
        <f t="shared" si="2"/>
        <v>656</v>
      </c>
      <c r="N8" s="33">
        <v>1742</v>
      </c>
      <c r="O8" s="33">
        <v>4451</v>
      </c>
      <c r="P8" s="33">
        <v>-2594</v>
      </c>
      <c r="Q8" s="33">
        <v>1857</v>
      </c>
      <c r="R8" s="33">
        <v>1742</v>
      </c>
      <c r="S8" s="33">
        <f t="shared" si="3"/>
        <v>115</v>
      </c>
      <c r="T8" s="38">
        <f t="shared" si="4"/>
        <v>1.06601607347876</v>
      </c>
      <c r="U8" s="59">
        <f t="shared" si="5"/>
        <v>1742</v>
      </c>
      <c r="V8" s="33">
        <v>0</v>
      </c>
      <c r="W8" s="33">
        <v>0</v>
      </c>
      <c r="X8" s="33"/>
      <c r="Y8" s="33"/>
      <c r="Z8" s="42"/>
      <c r="AA8" s="60"/>
      <c r="AB8" s="105"/>
      <c r="AC8" s="93"/>
      <c r="AD8" s="33">
        <f t="shared" si="6"/>
        <v>0</v>
      </c>
      <c r="AE8" s="33">
        <f t="shared" si="7"/>
        <v>1857</v>
      </c>
      <c r="AF8" s="101">
        <f t="shared" si="8"/>
        <v>115</v>
      </c>
    </row>
    <row r="9" spans="1:32" ht="13" outlineLevel="2" x14ac:dyDescent="0.3">
      <c r="B9" s="31" t="s">
        <v>40</v>
      </c>
      <c r="C9" s="33">
        <v>1586</v>
      </c>
      <c r="D9" s="33">
        <v>1863</v>
      </c>
      <c r="E9" s="23">
        <v>306</v>
      </c>
      <c r="F9" s="23">
        <v>0</v>
      </c>
      <c r="G9" s="23">
        <v>-3</v>
      </c>
      <c r="H9" s="23">
        <v>0</v>
      </c>
      <c r="I9" s="23">
        <v>-25</v>
      </c>
      <c r="J9" s="23">
        <v>0</v>
      </c>
      <c r="K9" s="23">
        <f t="shared" si="0"/>
        <v>278</v>
      </c>
      <c r="L9" s="33">
        <f t="shared" si="1"/>
        <v>0</v>
      </c>
      <c r="M9" s="33">
        <f t="shared" si="2"/>
        <v>277</v>
      </c>
      <c r="N9" s="33">
        <v>1863</v>
      </c>
      <c r="O9" s="33">
        <v>4168</v>
      </c>
      <c r="P9" s="33">
        <v>-2308</v>
      </c>
      <c r="Q9" s="33">
        <v>1860</v>
      </c>
      <c r="R9" s="33">
        <v>1863</v>
      </c>
      <c r="S9" s="33">
        <f t="shared" si="3"/>
        <v>-3</v>
      </c>
      <c r="T9" s="38">
        <f t="shared" si="4"/>
        <v>0.99838969404186795</v>
      </c>
      <c r="U9" s="59">
        <f t="shared" si="5"/>
        <v>1822</v>
      </c>
      <c r="V9" s="33">
        <v>-41</v>
      </c>
      <c r="W9" s="33">
        <v>-41</v>
      </c>
      <c r="X9" s="33"/>
      <c r="Y9" s="33"/>
      <c r="Z9" s="42"/>
      <c r="AA9" s="60"/>
      <c r="AB9" s="105"/>
      <c r="AC9" s="93"/>
      <c r="AD9" s="33">
        <f t="shared" si="6"/>
        <v>0</v>
      </c>
      <c r="AE9" s="33">
        <f t="shared" si="7"/>
        <v>1860</v>
      </c>
      <c r="AF9" s="101">
        <f t="shared" si="8"/>
        <v>-3</v>
      </c>
    </row>
    <row r="10" spans="1:32"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101">
        <f t="shared" si="8"/>
        <v>7</v>
      </c>
    </row>
    <row r="11" spans="1:32" ht="13" outlineLevel="1" x14ac:dyDescent="0.3">
      <c r="B11" s="32" t="s">
        <v>43</v>
      </c>
      <c r="C11" s="34">
        <f t="shared" ref="C11:J11" si="9">SUBTOTAL(9,C5:C10)</f>
        <v>4659</v>
      </c>
      <c r="D11" s="34">
        <f t="shared" si="9"/>
        <v>4103</v>
      </c>
      <c r="E11" s="24">
        <f t="shared" si="9"/>
        <v>-479</v>
      </c>
      <c r="F11" s="24">
        <f t="shared" si="9"/>
        <v>0</v>
      </c>
      <c r="G11" s="24">
        <f t="shared" si="9"/>
        <v>-66</v>
      </c>
      <c r="H11" s="24">
        <f t="shared" si="9"/>
        <v>0</v>
      </c>
      <c r="I11" s="24">
        <f t="shared" si="9"/>
        <v>-21</v>
      </c>
      <c r="J11" s="24">
        <f t="shared" si="9"/>
        <v>0</v>
      </c>
      <c r="K11" s="24">
        <f>SUM(E11:J11)</f>
        <v>-566</v>
      </c>
      <c r="L11" s="34">
        <f t="shared" si="1"/>
        <v>0</v>
      </c>
      <c r="M11" s="34">
        <f t="shared" si="2"/>
        <v>-556</v>
      </c>
      <c r="N11" s="34">
        <f>SUBTOTAL(9,N5:N10)</f>
        <v>4103</v>
      </c>
      <c r="O11" s="34">
        <f>SUBTOTAL(9,O5:O10)</f>
        <v>12329</v>
      </c>
      <c r="P11" s="34">
        <f>SUBTOTAL(9,P5:P10)</f>
        <v>-8105</v>
      </c>
      <c r="Q11" s="34">
        <f>SUBTOTAL(9,Q5:Q10)</f>
        <v>4223</v>
      </c>
      <c r="R11" s="34">
        <f>SUBTOTAL(9,R5:R10)</f>
        <v>4103</v>
      </c>
      <c r="S11" s="34">
        <f>Q11-R11</f>
        <v>120</v>
      </c>
      <c r="T11" s="38">
        <f>IFERROR((Q11/N11)*100%,"∞")</f>
        <v>1.0292468925176701</v>
      </c>
      <c r="U11" s="59">
        <f>N11+V11</f>
        <v>4062</v>
      </c>
      <c r="V11" s="34">
        <f>SUBTOTAL(9,V5:V10)</f>
        <v>-41</v>
      </c>
      <c r="W11" s="34">
        <f>SUBTOTAL(9,W5:W10)</f>
        <v>-41</v>
      </c>
      <c r="X11" s="34"/>
      <c r="Y11" s="34"/>
      <c r="Z11" s="41"/>
      <c r="AA11" s="60"/>
      <c r="AB11" s="102">
        <f>SUBTOTAL(9,AB1:AB10)</f>
        <v>0</v>
      </c>
      <c r="AC11" s="34">
        <f>SUBTOTAL(9,AC1:AC10)</f>
        <v>0</v>
      </c>
      <c r="AD11" s="34"/>
      <c r="AE11" s="34"/>
      <c r="AF11" s="103"/>
    </row>
    <row r="12" spans="1:32" ht="13" outlineLevel="2" x14ac:dyDescent="0.3">
      <c r="B12" s="31" t="s">
        <v>44</v>
      </c>
      <c r="C12" s="33">
        <v>773</v>
      </c>
      <c r="D12" s="33">
        <v>753</v>
      </c>
      <c r="E12" s="23">
        <v>53</v>
      </c>
      <c r="F12" s="23">
        <v>0</v>
      </c>
      <c r="G12" s="23">
        <v>-25</v>
      </c>
      <c r="H12" s="23">
        <v>0</v>
      </c>
      <c r="I12" s="23">
        <v>-32</v>
      </c>
      <c r="J12" s="23">
        <v>0</v>
      </c>
      <c r="K12" s="23">
        <f t="shared" si="0"/>
        <v>-4</v>
      </c>
      <c r="L12" s="33">
        <f t="shared" si="1"/>
        <v>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101">
        <f t="shared" si="8"/>
        <v>78</v>
      </c>
    </row>
    <row r="13" spans="1:32" ht="13" outlineLevel="1" x14ac:dyDescent="0.3">
      <c r="B13" s="32" t="s">
        <v>45</v>
      </c>
      <c r="C13" s="34">
        <f t="shared" ref="C13:J13" si="10">SUBTOTAL(9,C12:C12)</f>
        <v>773</v>
      </c>
      <c r="D13" s="34">
        <f t="shared" si="10"/>
        <v>753</v>
      </c>
      <c r="E13" s="24">
        <f t="shared" si="10"/>
        <v>53</v>
      </c>
      <c r="F13" s="24">
        <f t="shared" si="10"/>
        <v>0</v>
      </c>
      <c r="G13" s="24">
        <f t="shared" si="10"/>
        <v>-25</v>
      </c>
      <c r="H13" s="24">
        <f t="shared" si="10"/>
        <v>0</v>
      </c>
      <c r="I13" s="24">
        <f t="shared" si="10"/>
        <v>-32</v>
      </c>
      <c r="J13" s="24">
        <f t="shared" si="10"/>
        <v>0</v>
      </c>
      <c r="K13" s="24">
        <f>SUM(E13:J13)</f>
        <v>-4</v>
      </c>
      <c r="L13" s="34">
        <f t="shared" si="1"/>
        <v>0</v>
      </c>
      <c r="M13" s="34">
        <f t="shared" si="2"/>
        <v>-20</v>
      </c>
      <c r="N13" s="34">
        <f>SUBTOTAL(9,N12:N12)</f>
        <v>753</v>
      </c>
      <c r="O13" s="34">
        <f>SUBTOTAL(9,O12:O12)</f>
        <v>1783</v>
      </c>
      <c r="P13" s="34">
        <f>SUBTOTAL(9,P12:P12)</f>
        <v>-952</v>
      </c>
      <c r="Q13" s="34">
        <f>SUBTOTAL(9,Q12:Q12)</f>
        <v>831</v>
      </c>
      <c r="R13" s="34">
        <f>SUBTOTAL(9,R12:R12)</f>
        <v>753</v>
      </c>
      <c r="S13" s="34">
        <f>Q13-R13</f>
        <v>78</v>
      </c>
      <c r="T13" s="38">
        <f>IFERROR((Q13/N13)*100%,"∞")</f>
        <v>1.1035856573705178</v>
      </c>
      <c r="U13" s="59">
        <f>N13+V13</f>
        <v>813</v>
      </c>
      <c r="V13" s="34">
        <f>SUBTOTAL(9,V12:V12)</f>
        <v>60</v>
      </c>
      <c r="W13" s="34">
        <f>SUBTOTAL(9,W12:W12)</f>
        <v>60</v>
      </c>
      <c r="X13" s="34"/>
      <c r="Y13" s="34"/>
      <c r="Z13" s="41"/>
      <c r="AA13" s="60"/>
      <c r="AB13" s="102">
        <f>SUBTOTAL(9,AB1:AB12)</f>
        <v>0</v>
      </c>
      <c r="AC13" s="34">
        <f>SUBTOTAL(9,AC1:AC12)</f>
        <v>0</v>
      </c>
      <c r="AD13" s="34"/>
      <c r="AE13" s="34"/>
      <c r="AF13" s="103"/>
    </row>
    <row r="14" spans="1:32" ht="13" outlineLevel="2" x14ac:dyDescent="0.3">
      <c r="B14" s="31" t="s">
        <v>46</v>
      </c>
      <c r="C14" s="33">
        <v>1045</v>
      </c>
      <c r="D14" s="33">
        <v>1016</v>
      </c>
      <c r="E14" s="23">
        <v>-27</v>
      </c>
      <c r="F14" s="23">
        <v>0</v>
      </c>
      <c r="G14" s="23">
        <v>-8</v>
      </c>
      <c r="H14" s="23">
        <v>0</v>
      </c>
      <c r="I14" s="23">
        <v>6</v>
      </c>
      <c r="J14" s="23">
        <v>0</v>
      </c>
      <c r="K14" s="23">
        <f t="shared" si="0"/>
        <v>-29</v>
      </c>
      <c r="L14" s="33">
        <f t="shared" si="1"/>
        <v>0</v>
      </c>
      <c r="M14" s="33">
        <f t="shared" si="2"/>
        <v>-29</v>
      </c>
      <c r="N14" s="33">
        <v>1016</v>
      </c>
      <c r="O14" s="33">
        <v>1617</v>
      </c>
      <c r="P14" s="33">
        <v>-295</v>
      </c>
      <c r="Q14" s="33">
        <v>1322</v>
      </c>
      <c r="R14" s="33">
        <v>1016</v>
      </c>
      <c r="S14" s="33">
        <f t="shared" si="3"/>
        <v>306</v>
      </c>
      <c r="T14" s="38">
        <f t="shared" si="4"/>
        <v>1.3011811023622046</v>
      </c>
      <c r="U14" s="59">
        <f t="shared" si="5"/>
        <v>728</v>
      </c>
      <c r="V14" s="33">
        <v>-288</v>
      </c>
      <c r="W14" s="33">
        <v>-288</v>
      </c>
      <c r="X14" s="33"/>
      <c r="Y14" s="33"/>
      <c r="Z14" s="42"/>
      <c r="AA14" s="60"/>
      <c r="AB14" s="105"/>
      <c r="AC14" s="93"/>
      <c r="AD14" s="33">
        <f t="shared" si="6"/>
        <v>0</v>
      </c>
      <c r="AE14" s="33">
        <f t="shared" si="7"/>
        <v>1322</v>
      </c>
      <c r="AF14" s="101">
        <f t="shared" si="8"/>
        <v>306</v>
      </c>
    </row>
    <row r="15" spans="1:32"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101">
        <f t="shared" si="8"/>
        <v>14</v>
      </c>
    </row>
    <row r="16" spans="1:32"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101">
        <f t="shared" si="8"/>
        <v>-55</v>
      </c>
    </row>
    <row r="17" spans="2:32" ht="13" outlineLevel="2" x14ac:dyDescent="0.3">
      <c r="B17" s="31" t="s">
        <v>49</v>
      </c>
      <c r="C17" s="33">
        <v>602</v>
      </c>
      <c r="D17" s="33">
        <v>610</v>
      </c>
      <c r="E17" s="23">
        <v>13</v>
      </c>
      <c r="F17" s="23">
        <v>0</v>
      </c>
      <c r="G17" s="23">
        <v>-5</v>
      </c>
      <c r="H17" s="23">
        <v>0</v>
      </c>
      <c r="I17" s="23">
        <v>0</v>
      </c>
      <c r="J17" s="23">
        <v>0</v>
      </c>
      <c r="K17" s="23">
        <f t="shared" si="0"/>
        <v>8</v>
      </c>
      <c r="L17" s="33">
        <f t="shared" si="1"/>
        <v>0</v>
      </c>
      <c r="M17" s="33">
        <f t="shared" si="2"/>
        <v>8</v>
      </c>
      <c r="N17" s="33">
        <v>610</v>
      </c>
      <c r="O17" s="33">
        <v>820</v>
      </c>
      <c r="P17" s="33">
        <v>-328</v>
      </c>
      <c r="Q17" s="33">
        <v>492</v>
      </c>
      <c r="R17" s="33">
        <v>610</v>
      </c>
      <c r="S17" s="33">
        <f t="shared" si="3"/>
        <v>-118</v>
      </c>
      <c r="T17" s="38">
        <f t="shared" si="4"/>
        <v>0.80655737704918029</v>
      </c>
      <c r="U17" s="59">
        <f t="shared" si="5"/>
        <v>512</v>
      </c>
      <c r="V17" s="33">
        <v>-98</v>
      </c>
      <c r="W17" s="33">
        <v>-98</v>
      </c>
      <c r="X17" s="33"/>
      <c r="Y17" s="33"/>
      <c r="Z17" s="42"/>
      <c r="AA17" s="60"/>
      <c r="AB17" s="105"/>
      <c r="AC17" s="93"/>
      <c r="AD17" s="33">
        <f t="shared" si="6"/>
        <v>0</v>
      </c>
      <c r="AE17" s="33">
        <f t="shared" si="7"/>
        <v>492</v>
      </c>
      <c r="AF17" s="101">
        <f t="shared" si="8"/>
        <v>-118</v>
      </c>
    </row>
    <row r="18" spans="2:32" ht="13" outlineLevel="2" x14ac:dyDescent="0.3">
      <c r="B18" s="31" t="s">
        <v>50</v>
      </c>
      <c r="C18" s="33">
        <v>393</v>
      </c>
      <c r="D18" s="33">
        <v>149</v>
      </c>
      <c r="E18" s="23">
        <v>25</v>
      </c>
      <c r="F18" s="23">
        <v>0</v>
      </c>
      <c r="G18" s="23">
        <v>4</v>
      </c>
      <c r="H18" s="23">
        <v>0</v>
      </c>
      <c r="I18" s="23">
        <v>-272</v>
      </c>
      <c r="J18" s="23">
        <v>0</v>
      </c>
      <c r="K18" s="23">
        <f t="shared" si="0"/>
        <v>-243</v>
      </c>
      <c r="L18" s="33">
        <f t="shared" si="1"/>
        <v>0</v>
      </c>
      <c r="M18" s="33">
        <f t="shared" si="2"/>
        <v>-244</v>
      </c>
      <c r="N18" s="33">
        <v>149</v>
      </c>
      <c r="O18" s="33">
        <v>177</v>
      </c>
      <c r="P18" s="33">
        <v>-58</v>
      </c>
      <c r="Q18" s="33">
        <v>119</v>
      </c>
      <c r="R18" s="33">
        <v>149</v>
      </c>
      <c r="S18" s="33">
        <f t="shared" si="3"/>
        <v>-30</v>
      </c>
      <c r="T18" s="38">
        <f t="shared" si="4"/>
        <v>0.79865771812080533</v>
      </c>
      <c r="U18" s="59">
        <f t="shared" si="5"/>
        <v>152</v>
      </c>
      <c r="V18" s="33">
        <v>3</v>
      </c>
      <c r="W18" s="33">
        <v>3</v>
      </c>
      <c r="X18" s="33"/>
      <c r="Y18" s="33"/>
      <c r="Z18" s="42"/>
      <c r="AA18" s="60"/>
      <c r="AB18" s="105"/>
      <c r="AC18" s="93"/>
      <c r="AD18" s="33">
        <f t="shared" si="6"/>
        <v>0</v>
      </c>
      <c r="AE18" s="33">
        <f t="shared" si="7"/>
        <v>119</v>
      </c>
      <c r="AF18" s="101">
        <f t="shared" si="8"/>
        <v>-30</v>
      </c>
    </row>
    <row r="19" spans="2:32"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101">
        <f t="shared" si="8"/>
        <v>-141</v>
      </c>
    </row>
    <row r="20" spans="2:32" ht="13" outlineLevel="2" x14ac:dyDescent="0.3">
      <c r="B20" s="31" t="s">
        <v>52</v>
      </c>
      <c r="C20" s="33">
        <v>481</v>
      </c>
      <c r="D20" s="33">
        <v>422</v>
      </c>
      <c r="E20" s="23">
        <v>-40</v>
      </c>
      <c r="F20" s="23">
        <v>0</v>
      </c>
      <c r="G20" s="23">
        <v>-3</v>
      </c>
      <c r="H20" s="23">
        <v>0</v>
      </c>
      <c r="I20" s="23">
        <v>-16</v>
      </c>
      <c r="J20" s="23">
        <v>0</v>
      </c>
      <c r="K20" s="23">
        <f t="shared" si="0"/>
        <v>-59</v>
      </c>
      <c r="L20" s="33">
        <f t="shared" si="1"/>
        <v>0</v>
      </c>
      <c r="M20" s="33">
        <f t="shared" si="2"/>
        <v>-59</v>
      </c>
      <c r="N20" s="33">
        <v>422</v>
      </c>
      <c r="O20" s="33">
        <v>976</v>
      </c>
      <c r="P20" s="33">
        <v>-551</v>
      </c>
      <c r="Q20" s="33">
        <v>425</v>
      </c>
      <c r="R20" s="33">
        <v>422</v>
      </c>
      <c r="S20" s="33">
        <f t="shared" si="3"/>
        <v>3</v>
      </c>
      <c r="T20" s="38">
        <f t="shared" si="4"/>
        <v>1.0071090047393365</v>
      </c>
      <c r="U20" s="59">
        <f t="shared" si="5"/>
        <v>473</v>
      </c>
      <c r="V20" s="33">
        <v>51</v>
      </c>
      <c r="W20" s="33">
        <v>51</v>
      </c>
      <c r="X20" s="33"/>
      <c r="Y20" s="33"/>
      <c r="Z20" s="42"/>
      <c r="AA20" s="60"/>
      <c r="AB20" s="105"/>
      <c r="AC20" s="93"/>
      <c r="AD20" s="33">
        <f t="shared" si="6"/>
        <v>0</v>
      </c>
      <c r="AE20" s="33">
        <f t="shared" si="7"/>
        <v>425</v>
      </c>
      <c r="AF20" s="101">
        <f t="shared" si="8"/>
        <v>3</v>
      </c>
    </row>
    <row r="21" spans="2:32" ht="13" outlineLevel="2" x14ac:dyDescent="0.3">
      <c r="B21" s="31" t="s">
        <v>53</v>
      </c>
      <c r="C21" s="33">
        <v>1168</v>
      </c>
      <c r="D21" s="33">
        <v>1347</v>
      </c>
      <c r="E21" s="23">
        <v>-90</v>
      </c>
      <c r="F21" s="23">
        <v>0</v>
      </c>
      <c r="G21" s="23">
        <v>-4</v>
      </c>
      <c r="H21" s="23">
        <v>0</v>
      </c>
      <c r="I21" s="23">
        <v>273</v>
      </c>
      <c r="J21" s="23">
        <v>0</v>
      </c>
      <c r="K21" s="23">
        <f t="shared" si="0"/>
        <v>179</v>
      </c>
      <c r="L21" s="33">
        <f t="shared" si="1"/>
        <v>0</v>
      </c>
      <c r="M21" s="33">
        <f t="shared" si="2"/>
        <v>179</v>
      </c>
      <c r="N21" s="33">
        <v>1347</v>
      </c>
      <c r="O21" s="33">
        <v>1324</v>
      </c>
      <c r="P21" s="33">
        <v>-53</v>
      </c>
      <c r="Q21" s="33">
        <v>1270</v>
      </c>
      <c r="R21" s="33">
        <v>1347</v>
      </c>
      <c r="S21" s="33">
        <f t="shared" si="3"/>
        <v>-77</v>
      </c>
      <c r="T21" s="38">
        <f t="shared" si="4"/>
        <v>0.94283593170007429</v>
      </c>
      <c r="U21" s="59">
        <f t="shared" si="5"/>
        <v>1294</v>
      </c>
      <c r="V21" s="33">
        <v>-53</v>
      </c>
      <c r="W21" s="33">
        <v>-53</v>
      </c>
      <c r="X21" s="33"/>
      <c r="Y21" s="33"/>
      <c r="Z21" s="42"/>
      <c r="AA21" s="60"/>
      <c r="AB21" s="105"/>
      <c r="AC21" s="93"/>
      <c r="AD21" s="33">
        <f t="shared" si="6"/>
        <v>0</v>
      </c>
      <c r="AE21" s="33">
        <f t="shared" si="7"/>
        <v>1270</v>
      </c>
      <c r="AF21" s="101">
        <f t="shared" si="8"/>
        <v>-77</v>
      </c>
    </row>
    <row r="22" spans="2:32" ht="13" outlineLevel="2" x14ac:dyDescent="0.3">
      <c r="B22" s="31" t="s">
        <v>54</v>
      </c>
      <c r="C22" s="33">
        <v>0</v>
      </c>
      <c r="D22" s="33">
        <v>46</v>
      </c>
      <c r="E22" s="23">
        <v>42</v>
      </c>
      <c r="F22" s="23">
        <v>0</v>
      </c>
      <c r="G22" s="23">
        <v>4</v>
      </c>
      <c r="H22" s="23">
        <v>0</v>
      </c>
      <c r="I22" s="23">
        <v>0</v>
      </c>
      <c r="J22" s="23">
        <v>0</v>
      </c>
      <c r="K22" s="23">
        <f t="shared" si="0"/>
        <v>46</v>
      </c>
      <c r="L22" s="33">
        <f t="shared" si="1"/>
        <v>0</v>
      </c>
      <c r="M22" s="33">
        <f t="shared" si="2"/>
        <v>46</v>
      </c>
      <c r="N22" s="33">
        <v>46</v>
      </c>
      <c r="O22" s="33">
        <v>976</v>
      </c>
      <c r="P22" s="33">
        <v>-913</v>
      </c>
      <c r="Q22" s="33">
        <v>63</v>
      </c>
      <c r="R22" s="33">
        <v>46</v>
      </c>
      <c r="S22" s="33">
        <f t="shared" si="3"/>
        <v>17</v>
      </c>
      <c r="T22" s="38">
        <f t="shared" si="4"/>
        <v>1.3695652173913044</v>
      </c>
      <c r="U22" s="59">
        <f t="shared" si="5"/>
        <v>46</v>
      </c>
      <c r="V22" s="33">
        <v>0</v>
      </c>
      <c r="W22" s="33">
        <v>0</v>
      </c>
      <c r="X22" s="33"/>
      <c r="Y22" s="33"/>
      <c r="Z22" s="42"/>
      <c r="AA22" s="60"/>
      <c r="AB22" s="105"/>
      <c r="AC22" s="93"/>
      <c r="AD22" s="33">
        <f t="shared" si="6"/>
        <v>0</v>
      </c>
      <c r="AE22" s="33">
        <f t="shared" si="7"/>
        <v>63</v>
      </c>
      <c r="AF22" s="101">
        <f t="shared" si="8"/>
        <v>17</v>
      </c>
    </row>
    <row r="23" spans="2:32" ht="13" outlineLevel="1" x14ac:dyDescent="0.3">
      <c r="B23" s="32" t="s">
        <v>55</v>
      </c>
      <c r="C23" s="34">
        <f t="shared" ref="C23:J23" si="11">SUBTOTAL(9,C14:C22)</f>
        <v>5010</v>
      </c>
      <c r="D23" s="34">
        <f t="shared" si="11"/>
        <v>5028</v>
      </c>
      <c r="E23" s="24">
        <f t="shared" si="11"/>
        <v>-46</v>
      </c>
      <c r="F23" s="24">
        <f t="shared" si="11"/>
        <v>0</v>
      </c>
      <c r="G23" s="24">
        <f t="shared" si="11"/>
        <v>-32</v>
      </c>
      <c r="H23" s="24">
        <f t="shared" si="11"/>
        <v>0</v>
      </c>
      <c r="I23" s="24">
        <f t="shared" si="11"/>
        <v>95</v>
      </c>
      <c r="J23" s="24">
        <f t="shared" si="11"/>
        <v>0</v>
      </c>
      <c r="K23" s="24">
        <f>SUM(E23:J23)</f>
        <v>17</v>
      </c>
      <c r="L23" s="34">
        <f t="shared" si="1"/>
        <v>0</v>
      </c>
      <c r="M23" s="34">
        <f t="shared" si="2"/>
        <v>18</v>
      </c>
      <c r="N23" s="34">
        <f>SUBTOTAL(9,N14:N22)</f>
        <v>5028</v>
      </c>
      <c r="O23" s="34">
        <f>SUBTOTAL(9,O14:O22)</f>
        <v>8367</v>
      </c>
      <c r="P23" s="34">
        <f>SUBTOTAL(9,P14:P22)</f>
        <v>-3420</v>
      </c>
      <c r="Q23" s="34">
        <f>SUBTOTAL(9,Q14:Q22)</f>
        <v>4947</v>
      </c>
      <c r="R23" s="34">
        <f>SUBTOTAL(9,R14:R22)</f>
        <v>5028</v>
      </c>
      <c r="S23" s="34">
        <f>Q23-R23</f>
        <v>-81</v>
      </c>
      <c r="T23" s="38">
        <f>IFERROR((Q23/N23)*100%,"∞")</f>
        <v>0.98389021479713601</v>
      </c>
      <c r="U23" s="59">
        <f>N23+V23</f>
        <v>4545</v>
      </c>
      <c r="V23" s="34">
        <f>SUBTOTAL(9,V14:V22)</f>
        <v>-483</v>
      </c>
      <c r="W23" s="34">
        <f>SUBTOTAL(9,W14:W22)</f>
        <v>-483</v>
      </c>
      <c r="X23" s="34"/>
      <c r="Y23" s="34"/>
      <c r="Z23" s="41"/>
      <c r="AA23" s="60"/>
      <c r="AB23" s="102">
        <f>SUBTOTAL(9,AB1:AB22)</f>
        <v>0</v>
      </c>
      <c r="AC23" s="34">
        <f>SUBTOTAL(9,AC1:AC22)</f>
        <v>0</v>
      </c>
      <c r="AD23" s="34"/>
      <c r="AE23" s="34"/>
      <c r="AF23" s="103"/>
    </row>
    <row r="24" spans="2:32" ht="13.5" customHeight="1" thickBot="1" x14ac:dyDescent="0.35">
      <c r="B24" s="53" t="s">
        <v>56</v>
      </c>
      <c r="C24" s="35">
        <f t="shared" ref="C24:J24" si="12">SUBTOTAL(9,C5:C23)</f>
        <v>10442</v>
      </c>
      <c r="D24" s="35">
        <f t="shared" si="12"/>
        <v>9884</v>
      </c>
      <c r="E24" s="25">
        <f t="shared" si="12"/>
        <v>-472</v>
      </c>
      <c r="F24" s="25">
        <f t="shared" si="12"/>
        <v>0</v>
      </c>
      <c r="G24" s="25">
        <f t="shared" si="12"/>
        <v>-123</v>
      </c>
      <c r="H24" s="25">
        <f t="shared" si="12"/>
        <v>0</v>
      </c>
      <c r="I24" s="25">
        <f t="shared" si="12"/>
        <v>42</v>
      </c>
      <c r="J24" s="25">
        <f t="shared" si="12"/>
        <v>0</v>
      </c>
      <c r="K24" s="25">
        <f>SUM(E24:J24)</f>
        <v>-553</v>
      </c>
      <c r="L24" s="35">
        <f t="shared" si="1"/>
        <v>0</v>
      </c>
      <c r="M24" s="35">
        <f t="shared" si="2"/>
        <v>-558</v>
      </c>
      <c r="N24" s="35">
        <f>SUBTOTAL(9,N5:N23)</f>
        <v>9884</v>
      </c>
      <c r="O24" s="35">
        <f>SUBTOTAL(9,O5:O23)</f>
        <v>22479</v>
      </c>
      <c r="P24" s="35">
        <f>SUBTOTAL(9,P5:P23)</f>
        <v>-12477</v>
      </c>
      <c r="Q24" s="35">
        <f>SUBTOTAL(9,Q5:Q23)</f>
        <v>10001</v>
      </c>
      <c r="R24" s="35">
        <f>SUBTOTAL(9,R5:R23)</f>
        <v>9884</v>
      </c>
      <c r="S24" s="35">
        <f>Q24-R24</f>
        <v>117</v>
      </c>
      <c r="T24" s="39">
        <f>IFERROR((Q24/N24)*100%,"∞")</f>
        <v>1.0118373128288143</v>
      </c>
      <c r="U24" s="54">
        <f>N24+V24</f>
        <v>9420</v>
      </c>
      <c r="V24" s="35">
        <f>SUBTOTAL(9,V5:V23)</f>
        <v>-464</v>
      </c>
      <c r="W24" s="35">
        <f>SUBTOTAL(9,W5:W23)</f>
        <v>-464</v>
      </c>
      <c r="X24" s="35"/>
      <c r="Y24" s="35"/>
      <c r="Z24" s="43"/>
      <c r="AA24" s="60"/>
      <c r="AB24" s="104">
        <f>SUBTOTAL(9,AB1:AB23)</f>
        <v>0</v>
      </c>
      <c r="AC24" s="104">
        <f>SUBTOTAL(9,AC1:AC23)</f>
        <v>0</v>
      </c>
      <c r="AD24" s="35">
        <f>SUM(AB24:AC24)</f>
        <v>0</v>
      </c>
      <c r="AE24" s="35">
        <f>Q24+AD24</f>
        <v>10001</v>
      </c>
      <c r="AF24" s="43">
        <f>AE24-N24</f>
        <v>117</v>
      </c>
    </row>
    <row r="25" spans="2:32"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101">
        <f t="shared" si="8"/>
        <v>1</v>
      </c>
    </row>
    <row r="26" spans="2:32" ht="13" outlineLevel="2" x14ac:dyDescent="0.3">
      <c r="B26" s="31" t="s">
        <v>58</v>
      </c>
      <c r="C26" s="33">
        <v>-10723</v>
      </c>
      <c r="D26" s="33">
        <v>-10755</v>
      </c>
      <c r="E26" s="23">
        <v>147</v>
      </c>
      <c r="F26" s="23">
        <v>0</v>
      </c>
      <c r="G26" s="23">
        <v>-28</v>
      </c>
      <c r="H26" s="23">
        <v>0</v>
      </c>
      <c r="I26" s="23">
        <v>-150</v>
      </c>
      <c r="J26" s="23">
        <v>0</v>
      </c>
      <c r="K26" s="23">
        <f t="shared" si="0"/>
        <v>-31</v>
      </c>
      <c r="L26" s="33">
        <f t="shared" si="1"/>
        <v>0</v>
      </c>
      <c r="M26" s="33">
        <f t="shared" si="2"/>
        <v>-32</v>
      </c>
      <c r="N26" s="33">
        <v>-10755</v>
      </c>
      <c r="O26" s="33">
        <v>2279</v>
      </c>
      <c r="P26" s="33">
        <v>-12311</v>
      </c>
      <c r="Q26" s="33">
        <v>-10032</v>
      </c>
      <c r="R26" s="33">
        <v>-10755</v>
      </c>
      <c r="S26" s="33">
        <f t="shared" si="3"/>
        <v>723</v>
      </c>
      <c r="T26" s="38">
        <f t="shared" si="4"/>
        <v>0.9327754532775453</v>
      </c>
      <c r="U26" s="59">
        <f t="shared" si="5"/>
        <v>-9638</v>
      </c>
      <c r="V26" s="33">
        <v>1117</v>
      </c>
      <c r="W26" s="33">
        <v>1117</v>
      </c>
      <c r="X26" s="33"/>
      <c r="Y26" s="33"/>
      <c r="Z26" s="42"/>
      <c r="AA26" s="60"/>
      <c r="AB26" s="105"/>
      <c r="AC26" s="93"/>
      <c r="AD26" s="33">
        <f t="shared" si="6"/>
        <v>0</v>
      </c>
      <c r="AE26" s="33">
        <f t="shared" si="7"/>
        <v>-10032</v>
      </c>
      <c r="AF26" s="101">
        <f t="shared" si="8"/>
        <v>723</v>
      </c>
    </row>
    <row r="27" spans="2:32"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101">
        <f t="shared" si="8"/>
        <v>-42</v>
      </c>
    </row>
    <row r="28" spans="2:32" ht="13" outlineLevel="1" x14ac:dyDescent="0.3">
      <c r="B28" s="32" t="s">
        <v>61</v>
      </c>
      <c r="C28" s="34">
        <f t="shared" ref="C28:J28" si="13">SUBTOTAL(9,C25:C27)</f>
        <v>-9068</v>
      </c>
      <c r="D28" s="34">
        <f t="shared" si="13"/>
        <v>-9126</v>
      </c>
      <c r="E28" s="24">
        <f t="shared" si="13"/>
        <v>147</v>
      </c>
      <c r="F28" s="24">
        <f t="shared" si="13"/>
        <v>0</v>
      </c>
      <c r="G28" s="24">
        <f t="shared" si="13"/>
        <v>-59</v>
      </c>
      <c r="H28" s="24">
        <f t="shared" si="13"/>
        <v>0</v>
      </c>
      <c r="I28" s="24">
        <f t="shared" si="13"/>
        <v>-144</v>
      </c>
      <c r="J28" s="24">
        <f t="shared" si="13"/>
        <v>0</v>
      </c>
      <c r="K28" s="24">
        <f>SUM(E28:J28)</f>
        <v>-56</v>
      </c>
      <c r="L28" s="34">
        <f t="shared" si="1"/>
        <v>0</v>
      </c>
      <c r="M28" s="34">
        <f t="shared" si="2"/>
        <v>-58</v>
      </c>
      <c r="N28" s="34">
        <f>SUBTOTAL(9,N25:N27)</f>
        <v>-9126</v>
      </c>
      <c r="O28" s="34">
        <f>SUBTOTAL(9,O25:O27)</f>
        <v>4920</v>
      </c>
      <c r="P28" s="34">
        <f>SUBTOTAL(9,P25:P27)</f>
        <v>-13364</v>
      </c>
      <c r="Q28" s="34">
        <f>SUBTOTAL(9,Q25:Q27)</f>
        <v>-8444</v>
      </c>
      <c r="R28" s="34">
        <f>SUBTOTAL(9,R25:R27)</f>
        <v>-9126</v>
      </c>
      <c r="S28" s="34">
        <f>Q28-R28</f>
        <v>682</v>
      </c>
      <c r="T28" s="38">
        <f>IFERROR((Q28/N28)*100%,"∞")</f>
        <v>0.92526846373000216</v>
      </c>
      <c r="U28" s="59">
        <f>N28+V28</f>
        <v>-7859</v>
      </c>
      <c r="V28" s="34">
        <f>SUBTOTAL(9,V25:V27)</f>
        <v>1267</v>
      </c>
      <c r="W28" s="34">
        <f>SUBTOTAL(9,W25:W27)</f>
        <v>1267</v>
      </c>
      <c r="X28" s="34"/>
      <c r="Y28" s="34"/>
      <c r="Z28" s="41"/>
      <c r="AA28" s="60"/>
      <c r="AB28" s="102">
        <f>SUBTOTAL(9,AB1:AB27)</f>
        <v>0</v>
      </c>
      <c r="AC28" s="34">
        <f>SUBTOTAL(9,AC1:AC27)</f>
        <v>0</v>
      </c>
      <c r="AD28" s="34"/>
      <c r="AE28" s="34"/>
      <c r="AF28" s="103"/>
    </row>
    <row r="29" spans="2:32" ht="13" outlineLevel="2" x14ac:dyDescent="0.3">
      <c r="B29" s="31" t="s">
        <v>62</v>
      </c>
      <c r="C29" s="33">
        <v>333</v>
      </c>
      <c r="D29" s="33">
        <v>240</v>
      </c>
      <c r="E29" s="23">
        <v>108</v>
      </c>
      <c r="F29" s="23">
        <v>0</v>
      </c>
      <c r="G29" s="23">
        <v>-207</v>
      </c>
      <c r="H29" s="23">
        <v>0</v>
      </c>
      <c r="I29" s="23">
        <v>6</v>
      </c>
      <c r="J29" s="23">
        <v>0</v>
      </c>
      <c r="K29" s="23">
        <f t="shared" si="0"/>
        <v>-93</v>
      </c>
      <c r="L29" s="33">
        <f t="shared" si="1"/>
        <v>0</v>
      </c>
      <c r="M29" s="33">
        <f t="shared" si="2"/>
        <v>-93</v>
      </c>
      <c r="N29" s="33">
        <v>240</v>
      </c>
      <c r="O29" s="33">
        <v>985</v>
      </c>
      <c r="P29" s="33">
        <v>-407</v>
      </c>
      <c r="Q29" s="33">
        <v>578</v>
      </c>
      <c r="R29" s="33">
        <v>240</v>
      </c>
      <c r="S29" s="33">
        <f t="shared" si="3"/>
        <v>338</v>
      </c>
      <c r="T29" s="38">
        <f t="shared" si="4"/>
        <v>2.4083333333333332</v>
      </c>
      <c r="U29" s="59">
        <f t="shared" si="5"/>
        <v>240</v>
      </c>
      <c r="V29" s="33">
        <v>0</v>
      </c>
      <c r="W29" s="33">
        <v>0</v>
      </c>
      <c r="X29" s="33"/>
      <c r="Y29" s="33"/>
      <c r="Z29" s="42"/>
      <c r="AA29" s="60"/>
      <c r="AB29" s="105"/>
      <c r="AC29" s="93"/>
      <c r="AD29" s="33">
        <f t="shared" si="6"/>
        <v>0</v>
      </c>
      <c r="AE29" s="33">
        <f t="shared" si="7"/>
        <v>578</v>
      </c>
      <c r="AF29" s="101">
        <f t="shared" si="8"/>
        <v>338</v>
      </c>
    </row>
    <row r="30" spans="2:32"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101">
        <f t="shared" si="8"/>
        <v>-89</v>
      </c>
    </row>
    <row r="31" spans="2:32"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101">
        <f t="shared" si="8"/>
        <v>1</v>
      </c>
    </row>
    <row r="32" spans="2:32" ht="13" outlineLevel="1" x14ac:dyDescent="0.3">
      <c r="B32" s="32" t="s">
        <v>65</v>
      </c>
      <c r="C32" s="34">
        <f t="shared" ref="C32:J32" si="14">SUBTOTAL(9,C29:C31)</f>
        <v>782</v>
      </c>
      <c r="D32" s="34">
        <f t="shared" si="14"/>
        <v>676</v>
      </c>
      <c r="E32" s="24">
        <f t="shared" si="14"/>
        <v>108</v>
      </c>
      <c r="F32" s="24">
        <f t="shared" si="14"/>
        <v>0</v>
      </c>
      <c r="G32" s="24">
        <f t="shared" si="14"/>
        <v>-221</v>
      </c>
      <c r="H32" s="24">
        <f t="shared" si="14"/>
        <v>0</v>
      </c>
      <c r="I32" s="24">
        <f t="shared" si="14"/>
        <v>6</v>
      </c>
      <c r="J32" s="24">
        <f t="shared" si="14"/>
        <v>0</v>
      </c>
      <c r="K32" s="24">
        <f>SUM(E32:J32)</f>
        <v>-107</v>
      </c>
      <c r="L32" s="34">
        <f t="shared" si="1"/>
        <v>0</v>
      </c>
      <c r="M32" s="34">
        <f t="shared" si="2"/>
        <v>-106</v>
      </c>
      <c r="N32" s="34">
        <f>SUBTOTAL(9,N29:N31)</f>
        <v>676</v>
      </c>
      <c r="O32" s="34">
        <f>SUBTOTAL(9,O29:O31)</f>
        <v>1363</v>
      </c>
      <c r="P32" s="34">
        <f>SUBTOTAL(9,P29:P31)</f>
        <v>-437</v>
      </c>
      <c r="Q32" s="34">
        <f>SUBTOTAL(9,Q29:Q31)</f>
        <v>926</v>
      </c>
      <c r="R32" s="34">
        <f>SUBTOTAL(9,R29:R31)</f>
        <v>676</v>
      </c>
      <c r="S32" s="34">
        <f>Q32-R32</f>
        <v>250</v>
      </c>
      <c r="T32" s="38">
        <f>IFERROR((Q32/N32)*100%,"∞")</f>
        <v>1.3698224852071006</v>
      </c>
      <c r="U32" s="59">
        <f>N32+V32</f>
        <v>676</v>
      </c>
      <c r="V32" s="34">
        <f>SUBTOTAL(9,V29:V31)</f>
        <v>0</v>
      </c>
      <c r="W32" s="34">
        <f>SUBTOTAL(9,W29:W31)</f>
        <v>0</v>
      </c>
      <c r="X32" s="34"/>
      <c r="Y32" s="34"/>
      <c r="Z32" s="41"/>
      <c r="AA32" s="60"/>
      <c r="AB32" s="102">
        <f>SUBTOTAL(9,AB1:AB31)</f>
        <v>0</v>
      </c>
      <c r="AC32" s="34">
        <f>SUBTOTAL(9,AC1:AC31)</f>
        <v>0</v>
      </c>
      <c r="AD32" s="34"/>
      <c r="AE32" s="34"/>
      <c r="AF32" s="103"/>
    </row>
    <row r="33" spans="2:32"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101">
        <f t="shared" si="8"/>
        <v>-33</v>
      </c>
    </row>
    <row r="34" spans="2:32" ht="13" outlineLevel="2" x14ac:dyDescent="0.3">
      <c r="B34" s="31" t="s">
        <v>67</v>
      </c>
      <c r="C34" s="33">
        <v>184</v>
      </c>
      <c r="D34" s="33">
        <v>205</v>
      </c>
      <c r="E34" s="23">
        <v>-4</v>
      </c>
      <c r="F34" s="23">
        <v>0</v>
      </c>
      <c r="G34" s="23">
        <v>-4</v>
      </c>
      <c r="H34" s="23">
        <v>0</v>
      </c>
      <c r="I34" s="23">
        <v>30</v>
      </c>
      <c r="J34" s="23">
        <v>0</v>
      </c>
      <c r="K34" s="23">
        <f t="shared" si="0"/>
        <v>22</v>
      </c>
      <c r="L34" s="33">
        <f t="shared" si="1"/>
        <v>0</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101">
        <f t="shared" si="8"/>
        <v>-75</v>
      </c>
    </row>
    <row r="35" spans="2:32"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101">
        <f t="shared" si="8"/>
        <v>-19</v>
      </c>
    </row>
    <row r="36" spans="2:32" ht="13" outlineLevel="2" x14ac:dyDescent="0.3">
      <c r="B36" s="31" t="s">
        <v>69</v>
      </c>
      <c r="C36" s="33">
        <v>1218</v>
      </c>
      <c r="D36" s="33">
        <v>1203</v>
      </c>
      <c r="E36" s="23">
        <v>-2</v>
      </c>
      <c r="F36" s="23">
        <v>0</v>
      </c>
      <c r="G36" s="23">
        <v>-17</v>
      </c>
      <c r="H36" s="23">
        <v>0</v>
      </c>
      <c r="I36" s="23">
        <v>3</v>
      </c>
      <c r="J36" s="23">
        <v>0</v>
      </c>
      <c r="K36" s="23">
        <f t="shared" si="0"/>
        <v>-16</v>
      </c>
      <c r="L36" s="33">
        <f t="shared" si="1"/>
        <v>0</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101">
        <f t="shared" si="8"/>
        <v>-101</v>
      </c>
    </row>
    <row r="37" spans="2:32" ht="13" outlineLevel="2" x14ac:dyDescent="0.3">
      <c r="B37" s="31" t="s">
        <v>70</v>
      </c>
      <c r="C37" s="33">
        <v>-49</v>
      </c>
      <c r="D37" s="33">
        <v>-1453</v>
      </c>
      <c r="E37" s="23">
        <v>-1445</v>
      </c>
      <c r="F37" s="23">
        <v>0</v>
      </c>
      <c r="G37" s="23">
        <v>-43</v>
      </c>
      <c r="H37" s="23">
        <v>0</v>
      </c>
      <c r="I37" s="23">
        <v>68</v>
      </c>
      <c r="J37" s="23">
        <v>0</v>
      </c>
      <c r="K37" s="23">
        <f t="shared" si="0"/>
        <v>-1420</v>
      </c>
      <c r="L37" s="33">
        <f t="shared" si="1"/>
        <v>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101">
        <f t="shared" si="8"/>
        <v>96</v>
      </c>
    </row>
    <row r="38" spans="2:32" ht="13" outlineLevel="1" x14ac:dyDescent="0.3">
      <c r="B38" s="32" t="s">
        <v>71</v>
      </c>
      <c r="C38" s="34">
        <f t="shared" ref="C38:J38" si="15">SUBTOTAL(9,C33:C37)</f>
        <v>521</v>
      </c>
      <c r="D38" s="34">
        <f t="shared" si="15"/>
        <v>-900</v>
      </c>
      <c r="E38" s="24">
        <f t="shared" si="15"/>
        <v>-1451</v>
      </c>
      <c r="F38" s="24">
        <f t="shared" si="15"/>
        <v>0</v>
      </c>
      <c r="G38" s="24">
        <f t="shared" si="15"/>
        <v>-89</v>
      </c>
      <c r="H38" s="24">
        <f t="shared" si="15"/>
        <v>0</v>
      </c>
      <c r="I38" s="24">
        <f t="shared" si="15"/>
        <v>103</v>
      </c>
      <c r="J38" s="24">
        <f t="shared" si="15"/>
        <v>0</v>
      </c>
      <c r="K38" s="24">
        <f>SUM(E38:J38)</f>
        <v>-1437</v>
      </c>
      <c r="L38" s="34">
        <f t="shared" si="1"/>
        <v>0</v>
      </c>
      <c r="M38" s="34">
        <f t="shared" si="2"/>
        <v>-1421</v>
      </c>
      <c r="N38" s="34">
        <f>SUBTOTAL(9,N33:N37)</f>
        <v>-900</v>
      </c>
      <c r="O38" s="34">
        <f>SUBTOTAL(9,O33:O37)</f>
        <v>5341</v>
      </c>
      <c r="P38" s="34">
        <f>SUBTOTAL(9,P33:P37)</f>
        <v>-6372</v>
      </c>
      <c r="Q38" s="34">
        <f>SUBTOTAL(9,Q33:Q37)</f>
        <v>-1032</v>
      </c>
      <c r="R38" s="34">
        <f>SUBTOTAL(9,R33:R37)</f>
        <v>-900</v>
      </c>
      <c r="S38" s="34">
        <f>Q38-R38</f>
        <v>-132</v>
      </c>
      <c r="T38" s="38">
        <f>IFERROR((Q38/N38)*100%,"∞")</f>
        <v>1.1466666666666667</v>
      </c>
      <c r="U38" s="59">
        <f>N38+V38</f>
        <v>-911</v>
      </c>
      <c r="V38" s="34">
        <f>SUBTOTAL(9,V33:V37)</f>
        <v>-11</v>
      </c>
      <c r="W38" s="34">
        <f>SUBTOTAL(9,W33:W37)</f>
        <v>-11</v>
      </c>
      <c r="X38" s="34"/>
      <c r="Y38" s="34"/>
      <c r="Z38" s="41"/>
      <c r="AA38" s="60"/>
      <c r="AB38" s="102">
        <f>SUBTOTAL(9,AB1:AB37)</f>
        <v>0</v>
      </c>
      <c r="AC38" s="34">
        <f>SUBTOTAL(9,AC1:AC37)</f>
        <v>0</v>
      </c>
      <c r="AD38" s="34"/>
      <c r="AE38" s="34"/>
      <c r="AF38" s="103"/>
    </row>
    <row r="39" spans="2:32" ht="13.5" customHeight="1" thickBot="1" x14ac:dyDescent="0.35">
      <c r="B39" s="53" t="s">
        <v>72</v>
      </c>
      <c r="C39" s="35">
        <f t="shared" ref="C39:J39" si="16">SUBTOTAL(9,C25:C38)</f>
        <v>-7765</v>
      </c>
      <c r="D39" s="35">
        <f t="shared" si="16"/>
        <v>-9350</v>
      </c>
      <c r="E39" s="25">
        <f t="shared" si="16"/>
        <v>-1196</v>
      </c>
      <c r="F39" s="25">
        <f t="shared" si="16"/>
        <v>0</v>
      </c>
      <c r="G39" s="25">
        <f t="shared" si="16"/>
        <v>-369</v>
      </c>
      <c r="H39" s="25">
        <f t="shared" si="16"/>
        <v>0</v>
      </c>
      <c r="I39" s="25">
        <f t="shared" si="16"/>
        <v>-35</v>
      </c>
      <c r="J39" s="25">
        <f t="shared" si="16"/>
        <v>0</v>
      </c>
      <c r="K39" s="25">
        <f>SUM(E39:J39)</f>
        <v>-1600</v>
      </c>
      <c r="L39" s="35">
        <f t="shared" si="1"/>
        <v>0</v>
      </c>
      <c r="M39" s="35">
        <f t="shared" si="2"/>
        <v>-1585</v>
      </c>
      <c r="N39" s="35">
        <f>SUBTOTAL(9,N25:N38)</f>
        <v>-9350</v>
      </c>
      <c r="O39" s="35">
        <f>SUBTOTAL(9,O25:O38)</f>
        <v>11624</v>
      </c>
      <c r="P39" s="35">
        <f>SUBTOTAL(9,P25:P38)</f>
        <v>-20173</v>
      </c>
      <c r="Q39" s="35">
        <f>SUBTOTAL(9,Q25:Q38)</f>
        <v>-8550</v>
      </c>
      <c r="R39" s="35">
        <f>SUBTOTAL(9,R25:R38)</f>
        <v>-9350</v>
      </c>
      <c r="S39" s="35">
        <f>Q39-R39</f>
        <v>800</v>
      </c>
      <c r="T39" s="39">
        <f>IFERROR((Q39/N39)*100%,"∞")</f>
        <v>0.91443850267379678</v>
      </c>
      <c r="U39" s="54">
        <f>N39+V39</f>
        <v>-8094</v>
      </c>
      <c r="V39" s="35">
        <f>SUBTOTAL(9,V25:V38)</f>
        <v>1256</v>
      </c>
      <c r="W39" s="35">
        <f>SUBTOTAL(9,W25:W38)</f>
        <v>1256</v>
      </c>
      <c r="X39" s="35"/>
      <c r="Y39" s="35"/>
      <c r="Z39" s="43"/>
      <c r="AA39" s="60"/>
      <c r="AB39" s="104">
        <f>SUBTOTAL(9,AB1:AB38)</f>
        <v>0</v>
      </c>
      <c r="AC39" s="104">
        <f>SUBTOTAL(9,AC1:AC38)</f>
        <v>0</v>
      </c>
      <c r="AD39" s="35">
        <f>SUM(AB39:AC39)</f>
        <v>0</v>
      </c>
      <c r="AE39" s="35">
        <f>Q39+AD39</f>
        <v>-8550</v>
      </c>
      <c r="AF39" s="43">
        <f>AE39-N39</f>
        <v>800</v>
      </c>
    </row>
    <row r="40" spans="2:32"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c r="AC40" s="93"/>
      <c r="AD40" s="33">
        <f t="shared" si="6"/>
        <v>0</v>
      </c>
      <c r="AE40" s="33">
        <f t="shared" si="7"/>
        <v>129</v>
      </c>
      <c r="AF40" s="101">
        <f t="shared" si="8"/>
        <v>1</v>
      </c>
    </row>
    <row r="41" spans="2:32" ht="13" outlineLevel="2" x14ac:dyDescent="0.3">
      <c r="B41" s="31" t="s">
        <v>74</v>
      </c>
      <c r="C41" s="33">
        <v>431</v>
      </c>
      <c r="D41" s="33">
        <v>433</v>
      </c>
      <c r="E41" s="23">
        <v>16</v>
      </c>
      <c r="F41" s="23">
        <v>0</v>
      </c>
      <c r="G41" s="23">
        <v>-13</v>
      </c>
      <c r="H41" s="23">
        <v>0</v>
      </c>
      <c r="I41" s="23">
        <v>0</v>
      </c>
      <c r="J41" s="23">
        <v>0</v>
      </c>
      <c r="K41" s="23">
        <f t="shared" si="0"/>
        <v>3</v>
      </c>
      <c r="L41" s="33">
        <f t="shared" si="1"/>
        <v>0</v>
      </c>
      <c r="M41" s="33">
        <f t="shared" si="2"/>
        <v>2</v>
      </c>
      <c r="N41" s="33">
        <v>433</v>
      </c>
      <c r="O41" s="33">
        <v>465</v>
      </c>
      <c r="P41" s="33">
        <v>-39</v>
      </c>
      <c r="Q41" s="33">
        <v>426</v>
      </c>
      <c r="R41" s="33">
        <v>433</v>
      </c>
      <c r="S41" s="33">
        <f t="shared" si="3"/>
        <v>-7</v>
      </c>
      <c r="T41" s="38">
        <f t="shared" si="4"/>
        <v>0.9838337182448037</v>
      </c>
      <c r="U41" s="59">
        <f t="shared" si="5"/>
        <v>440</v>
      </c>
      <c r="V41" s="33">
        <v>7</v>
      </c>
      <c r="W41" s="33">
        <v>7</v>
      </c>
      <c r="X41" s="33"/>
      <c r="Y41" s="33"/>
      <c r="Z41" s="42"/>
      <c r="AA41" s="60"/>
      <c r="AB41" s="105"/>
      <c r="AC41" s="93"/>
      <c r="AD41" s="33">
        <f t="shared" si="6"/>
        <v>0</v>
      </c>
      <c r="AE41" s="33">
        <f t="shared" si="7"/>
        <v>426</v>
      </c>
      <c r="AF41" s="101">
        <f t="shared" si="8"/>
        <v>-7</v>
      </c>
    </row>
    <row r="42" spans="2:32"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101">
        <f t="shared" si="8"/>
        <v>-66</v>
      </c>
    </row>
    <row r="43" spans="2:32" ht="13" outlineLevel="1" x14ac:dyDescent="0.3">
      <c r="B43" s="32" t="s">
        <v>76</v>
      </c>
      <c r="C43" s="34">
        <f t="shared" ref="C43:J43" si="17">SUBTOTAL(9,C40:C42)</f>
        <v>907</v>
      </c>
      <c r="D43" s="34">
        <f t="shared" si="17"/>
        <v>898</v>
      </c>
      <c r="E43" s="24">
        <f t="shared" si="17"/>
        <v>16</v>
      </c>
      <c r="F43" s="24">
        <f t="shared" si="17"/>
        <v>0</v>
      </c>
      <c r="G43" s="24">
        <f t="shared" si="17"/>
        <v>-22</v>
      </c>
      <c r="H43" s="24">
        <f t="shared" si="17"/>
        <v>0</v>
      </c>
      <c r="I43" s="24">
        <f t="shared" si="17"/>
        <v>-1</v>
      </c>
      <c r="J43" s="24">
        <f t="shared" si="17"/>
        <v>0</v>
      </c>
      <c r="K43" s="24">
        <f>SUM(E43:J43)</f>
        <v>-7</v>
      </c>
      <c r="L43" s="34">
        <f t="shared" si="1"/>
        <v>0</v>
      </c>
      <c r="M43" s="34">
        <f t="shared" si="2"/>
        <v>-9</v>
      </c>
      <c r="N43" s="34">
        <f>SUBTOTAL(9,N40:N42)</f>
        <v>898</v>
      </c>
      <c r="O43" s="34">
        <f>SUBTOTAL(9,O40:O42)</f>
        <v>883</v>
      </c>
      <c r="P43" s="34">
        <f>SUBTOTAL(9,P40:P42)</f>
        <v>-57</v>
      </c>
      <c r="Q43" s="34">
        <f>SUBTOTAL(9,Q40:Q42)</f>
        <v>826</v>
      </c>
      <c r="R43" s="34">
        <f>SUBTOTAL(9,R40:R42)</f>
        <v>898</v>
      </c>
      <c r="S43" s="34">
        <f>Q43-R43</f>
        <v>-72</v>
      </c>
      <c r="T43" s="38">
        <f>IFERROR((Q43/N43)*100%,"∞")</f>
        <v>0.91982182628062359</v>
      </c>
      <c r="U43" s="59">
        <f>N43+V43</f>
        <v>840</v>
      </c>
      <c r="V43" s="34">
        <f>SUBTOTAL(9,V40:V42)</f>
        <v>-58</v>
      </c>
      <c r="W43" s="34">
        <f>SUBTOTAL(9,W40:W42)</f>
        <v>-58</v>
      </c>
      <c r="X43" s="34"/>
      <c r="Y43" s="34"/>
      <c r="Z43" s="41"/>
      <c r="AA43" s="60"/>
      <c r="AB43" s="102">
        <f>SUBTOTAL(9,AB1:AB42)</f>
        <v>0</v>
      </c>
      <c r="AC43" s="34">
        <f>SUBTOTAL(9,AC1:AC42)</f>
        <v>0</v>
      </c>
      <c r="AD43" s="34"/>
      <c r="AE43" s="34"/>
      <c r="AF43" s="103"/>
    </row>
    <row r="44" spans="2:32" ht="13" outlineLevel="2" x14ac:dyDescent="0.3">
      <c r="B44" s="31" t="s">
        <v>77</v>
      </c>
      <c r="C44" s="33">
        <v>509</v>
      </c>
      <c r="D44" s="33">
        <v>408</v>
      </c>
      <c r="E44" s="23">
        <v>-92</v>
      </c>
      <c r="F44" s="23">
        <v>0</v>
      </c>
      <c r="G44" s="23">
        <v>-8</v>
      </c>
      <c r="H44" s="23">
        <v>0</v>
      </c>
      <c r="I44" s="23">
        <v>-2</v>
      </c>
      <c r="J44" s="23">
        <v>0</v>
      </c>
      <c r="K44" s="23">
        <f t="shared" si="0"/>
        <v>-102</v>
      </c>
      <c r="L44" s="33">
        <f t="shared" si="1"/>
        <v>0</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si="7"/>
        <v>346</v>
      </c>
      <c r="AF44" s="101">
        <f t="shared" si="8"/>
        <v>-62</v>
      </c>
    </row>
    <row r="45" spans="2:32" ht="13" outlineLevel="2" x14ac:dyDescent="0.3">
      <c r="B45" s="31" t="s">
        <v>78</v>
      </c>
      <c r="C45" s="33">
        <v>370</v>
      </c>
      <c r="D45" s="33">
        <v>250</v>
      </c>
      <c r="E45" s="23">
        <v>-89</v>
      </c>
      <c r="F45" s="23">
        <v>0</v>
      </c>
      <c r="G45" s="23">
        <v>-6</v>
      </c>
      <c r="H45" s="23">
        <v>0</v>
      </c>
      <c r="I45" s="23">
        <v>-25</v>
      </c>
      <c r="J45" s="23">
        <v>0</v>
      </c>
      <c r="K45" s="23">
        <f t="shared" si="0"/>
        <v>-120</v>
      </c>
      <c r="L45" s="33">
        <f t="shared" si="1"/>
        <v>0</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7"/>
        <v>256</v>
      </c>
      <c r="AF45" s="101">
        <f t="shared" si="8"/>
        <v>6</v>
      </c>
    </row>
    <row r="46" spans="2:32" ht="13" outlineLevel="2" x14ac:dyDescent="0.3">
      <c r="B46" s="31" t="s">
        <v>79</v>
      </c>
      <c r="C46" s="33">
        <v>251</v>
      </c>
      <c r="D46" s="33">
        <v>-59</v>
      </c>
      <c r="E46" s="23">
        <v>-295</v>
      </c>
      <c r="F46" s="23">
        <v>0</v>
      </c>
      <c r="G46" s="23">
        <v>-12</v>
      </c>
      <c r="H46" s="23">
        <v>0</v>
      </c>
      <c r="I46" s="23">
        <v>-4</v>
      </c>
      <c r="J46" s="23">
        <v>0</v>
      </c>
      <c r="K46" s="23">
        <f t="shared" si="0"/>
        <v>-311</v>
      </c>
      <c r="L46" s="33">
        <f t="shared" si="1"/>
        <v>0</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7"/>
        <v>-43</v>
      </c>
      <c r="AF46" s="101">
        <f t="shared" si="8"/>
        <v>16</v>
      </c>
    </row>
    <row r="47" spans="2:32" ht="13" outlineLevel="1" x14ac:dyDescent="0.3">
      <c r="B47" s="32" t="s">
        <v>80</v>
      </c>
      <c r="C47" s="34">
        <f t="shared" ref="C47:J47" si="18">SUBTOTAL(9,C44:C46)</f>
        <v>1130</v>
      </c>
      <c r="D47" s="34">
        <f t="shared" si="18"/>
        <v>599</v>
      </c>
      <c r="E47" s="24">
        <f t="shared" si="18"/>
        <v>-476</v>
      </c>
      <c r="F47" s="24">
        <f t="shared" si="18"/>
        <v>0</v>
      </c>
      <c r="G47" s="24">
        <f t="shared" si="18"/>
        <v>-26</v>
      </c>
      <c r="H47" s="24">
        <f t="shared" si="18"/>
        <v>0</v>
      </c>
      <c r="I47" s="24">
        <f t="shared" si="18"/>
        <v>-31</v>
      </c>
      <c r="J47" s="24">
        <f t="shared" si="18"/>
        <v>0</v>
      </c>
      <c r="K47" s="24">
        <f>SUM(E47:J47)</f>
        <v>-533</v>
      </c>
      <c r="L47" s="34">
        <f t="shared" si="1"/>
        <v>0</v>
      </c>
      <c r="M47" s="34">
        <f t="shared" si="2"/>
        <v>-531</v>
      </c>
      <c r="N47" s="34">
        <f>SUBTOTAL(9,N44:N46)</f>
        <v>599</v>
      </c>
      <c r="O47" s="34">
        <f>SUBTOTAL(9,O44:O46)</f>
        <v>2018</v>
      </c>
      <c r="P47" s="34">
        <f>SUBTOTAL(9,P44:P46)</f>
        <v>-1459</v>
      </c>
      <c r="Q47" s="34">
        <f>SUBTOTAL(9,Q44:Q46)</f>
        <v>559</v>
      </c>
      <c r="R47" s="34">
        <f>SUBTOTAL(9,R44:R46)</f>
        <v>599</v>
      </c>
      <c r="S47" s="34">
        <f>Q47-R47</f>
        <v>-40</v>
      </c>
      <c r="T47" s="38">
        <f>IFERROR((Q47/N47)*100%,"∞")</f>
        <v>0.93322203672787984</v>
      </c>
      <c r="U47" s="59">
        <f>N47+V47</f>
        <v>561</v>
      </c>
      <c r="V47" s="34">
        <f>SUBTOTAL(9,V44:V46)</f>
        <v>-38</v>
      </c>
      <c r="W47" s="34">
        <f>SUBTOTAL(9,W44:W46)</f>
        <v>-38</v>
      </c>
      <c r="X47" s="34"/>
      <c r="Y47" s="34"/>
      <c r="Z47" s="41"/>
      <c r="AA47" s="60"/>
      <c r="AB47" s="102">
        <f>SUBTOTAL(9,AB1:AB46)</f>
        <v>0</v>
      </c>
      <c r="AC47" s="34">
        <f>SUBTOTAL(9,AC1:AC46)</f>
        <v>0</v>
      </c>
      <c r="AD47" s="34"/>
      <c r="AE47" s="34"/>
      <c r="AF47" s="103"/>
    </row>
    <row r="48" spans="2:32" ht="13.5" customHeight="1" thickBot="1" x14ac:dyDescent="0.35">
      <c r="B48" s="53" t="s">
        <v>81</v>
      </c>
      <c r="C48" s="35">
        <f t="shared" ref="C48:J48" si="19">SUBTOTAL(9,C40:C47)</f>
        <v>2037</v>
      </c>
      <c r="D48" s="35">
        <f t="shared" si="19"/>
        <v>1497</v>
      </c>
      <c r="E48" s="25">
        <f t="shared" si="19"/>
        <v>-460</v>
      </c>
      <c r="F48" s="25">
        <f t="shared" si="19"/>
        <v>0</v>
      </c>
      <c r="G48" s="25">
        <f t="shared" si="19"/>
        <v>-48</v>
      </c>
      <c r="H48" s="25">
        <f t="shared" si="19"/>
        <v>0</v>
      </c>
      <c r="I48" s="25">
        <f t="shared" si="19"/>
        <v>-32</v>
      </c>
      <c r="J48" s="25">
        <f t="shared" si="19"/>
        <v>0</v>
      </c>
      <c r="K48" s="25">
        <f>SUM(E48:J48)</f>
        <v>-540</v>
      </c>
      <c r="L48" s="35">
        <f t="shared" si="1"/>
        <v>0</v>
      </c>
      <c r="M48" s="35">
        <f t="shared" si="2"/>
        <v>-540</v>
      </c>
      <c r="N48" s="35">
        <f>SUBTOTAL(9,N40:N47)</f>
        <v>1497</v>
      </c>
      <c r="O48" s="35">
        <f>SUBTOTAL(9,O40:O47)</f>
        <v>2901</v>
      </c>
      <c r="P48" s="35">
        <f>SUBTOTAL(9,P40:P47)</f>
        <v>-1516</v>
      </c>
      <c r="Q48" s="35">
        <f>SUBTOTAL(9,Q40:Q47)</f>
        <v>1385</v>
      </c>
      <c r="R48" s="35">
        <f>SUBTOTAL(9,R40:R47)</f>
        <v>1497</v>
      </c>
      <c r="S48" s="35">
        <f>Q48-R48</f>
        <v>-112</v>
      </c>
      <c r="T48" s="39">
        <f>IFERROR((Q48/N48)*100%,"∞")</f>
        <v>0.92518370073480294</v>
      </c>
      <c r="U48" s="54">
        <f>N48+V48</f>
        <v>1401</v>
      </c>
      <c r="V48" s="35">
        <f>SUBTOTAL(9,V40:V47)</f>
        <v>-96</v>
      </c>
      <c r="W48" s="35">
        <f>SUBTOTAL(9,W40:W47)</f>
        <v>-96</v>
      </c>
      <c r="X48" s="35"/>
      <c r="Y48" s="35"/>
      <c r="Z48" s="43"/>
      <c r="AA48" s="60"/>
      <c r="AB48" s="104">
        <f>SUBTOTAL(9,AB1:AB47)</f>
        <v>0</v>
      </c>
      <c r="AC48" s="104">
        <f>SUBTOTAL(9,AC1:AC47)</f>
        <v>0</v>
      </c>
      <c r="AD48" s="35">
        <f>SUM(AB48:AC48)</f>
        <v>0</v>
      </c>
      <c r="AE48" s="35">
        <f>Q48+AD48</f>
        <v>1385</v>
      </c>
      <c r="AF48" s="43">
        <f>AE48-N48</f>
        <v>-112</v>
      </c>
    </row>
    <row r="49" spans="2:32"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si="7"/>
        <v>-1752</v>
      </c>
      <c r="AF49" s="101">
        <f t="shared" si="8"/>
        <v>252</v>
      </c>
    </row>
    <row r="50" spans="2:32"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7"/>
        <v>6343</v>
      </c>
      <c r="AF50" s="101">
        <f t="shared" si="8"/>
        <v>146</v>
      </c>
    </row>
    <row r="51" spans="2:32"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7"/>
        <v>6074</v>
      </c>
      <c r="AF51" s="101">
        <f t="shared" si="8"/>
        <v>-30</v>
      </c>
    </row>
    <row r="52" spans="2:32"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7"/>
        <v>3418</v>
      </c>
      <c r="AF52" s="101">
        <f t="shared" si="8"/>
        <v>-6</v>
      </c>
    </row>
    <row r="53" spans="2:32"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7"/>
        <v>258</v>
      </c>
      <c r="AF53" s="101">
        <f t="shared" si="8"/>
        <v>0</v>
      </c>
    </row>
    <row r="54" spans="2:32"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7"/>
        <v>89</v>
      </c>
      <c r="AF54" s="101">
        <f t="shared" si="8"/>
        <v>89</v>
      </c>
    </row>
    <row r="55" spans="2:32"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7"/>
        <v>316</v>
      </c>
      <c r="AF55" s="101">
        <f t="shared" si="8"/>
        <v>137</v>
      </c>
    </row>
    <row r="56" spans="2:32"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-35</v>
      </c>
      <c r="P56" s="33">
        <v>-610</v>
      </c>
      <c r="Q56" s="33">
        <v>-644</v>
      </c>
      <c r="R56" s="33">
        <v>-903</v>
      </c>
      <c r="S56" s="33">
        <f t="shared" si="3"/>
        <v>259</v>
      </c>
      <c r="T56" s="38">
        <f t="shared" si="4"/>
        <v>0.71317829457364346</v>
      </c>
      <c r="U56" s="59">
        <f t="shared" si="5"/>
        <v>-903</v>
      </c>
      <c r="V56" s="33">
        <v>0</v>
      </c>
      <c r="W56" s="33">
        <v>0</v>
      </c>
      <c r="X56" s="33"/>
      <c r="Y56" s="33"/>
      <c r="Z56" s="42"/>
      <c r="AA56" s="60"/>
      <c r="AB56" s="105"/>
      <c r="AC56" s="93"/>
      <c r="AD56" s="33">
        <f t="shared" si="6"/>
        <v>0</v>
      </c>
      <c r="AE56" s="33">
        <f t="shared" si="7"/>
        <v>-644</v>
      </c>
      <c r="AF56" s="101">
        <f t="shared" si="8"/>
        <v>259</v>
      </c>
    </row>
    <row r="57" spans="2:32"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7"/>
        <v>149</v>
      </c>
      <c r="AF57" s="101">
        <f t="shared" si="8"/>
        <v>2</v>
      </c>
    </row>
    <row r="58" spans="2:32"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7"/>
        <v>46</v>
      </c>
      <c r="AF58" s="101">
        <f t="shared" si="8"/>
        <v>37</v>
      </c>
    </row>
    <row r="59" spans="2:32" ht="13" outlineLevel="1" x14ac:dyDescent="0.3">
      <c r="B59" s="32" t="s">
        <v>92</v>
      </c>
      <c r="C59" s="34">
        <f t="shared" ref="C59:J59" si="20">SUBTOTAL(9,C49:C58)</f>
        <v>13051</v>
      </c>
      <c r="D59" s="34">
        <f t="shared" si="20"/>
        <v>13411</v>
      </c>
      <c r="E59" s="24">
        <f t="shared" si="20"/>
        <v>0</v>
      </c>
      <c r="F59" s="24">
        <f t="shared" si="20"/>
        <v>0</v>
      </c>
      <c r="G59" s="24">
        <f t="shared" si="20"/>
        <v>362</v>
      </c>
      <c r="H59" s="24">
        <f t="shared" si="20"/>
        <v>0</v>
      </c>
      <c r="I59" s="24">
        <f t="shared" si="20"/>
        <v>0</v>
      </c>
      <c r="J59" s="24">
        <f t="shared" si="20"/>
        <v>0</v>
      </c>
      <c r="K59" s="24">
        <f>SUM(E59:J59)</f>
        <v>362</v>
      </c>
      <c r="L59" s="34">
        <f t="shared" si="1"/>
        <v>0</v>
      </c>
      <c r="M59" s="34">
        <f t="shared" si="2"/>
        <v>360</v>
      </c>
      <c r="N59" s="34">
        <f>SUBTOTAL(9,N49:N58)</f>
        <v>13411</v>
      </c>
      <c r="O59" s="34">
        <f>SUBTOTAL(9,O49:O58)</f>
        <v>24879</v>
      </c>
      <c r="P59" s="34">
        <f>SUBTOTAL(9,P49:P58)</f>
        <v>-10583</v>
      </c>
      <c r="Q59" s="34">
        <f>SUBTOTAL(9,Q49:Q58)</f>
        <v>14297</v>
      </c>
      <c r="R59" s="34">
        <f>SUBTOTAL(9,R49:R58)</f>
        <v>13411</v>
      </c>
      <c r="S59" s="34">
        <f>Q59-R59</f>
        <v>886</v>
      </c>
      <c r="T59" s="38">
        <f>IFERROR((Q59/N59)*100%,"∞")</f>
        <v>1.0660651703825219</v>
      </c>
      <c r="U59" s="59">
        <f>N59+V59</f>
        <v>13411</v>
      </c>
      <c r="V59" s="34">
        <f>SUBTOTAL(9,V49:V58)</f>
        <v>0</v>
      </c>
      <c r="W59" s="34">
        <f>SUBTOTAL(9,W49:W58)</f>
        <v>0</v>
      </c>
      <c r="X59" s="34"/>
      <c r="Y59" s="34"/>
      <c r="Z59" s="41"/>
      <c r="AA59" s="60"/>
      <c r="AB59" s="102">
        <f>SUBTOTAL(9,AB1:AB58)</f>
        <v>0</v>
      </c>
      <c r="AC59" s="34">
        <f>SUBTOTAL(9,AC1:AC58)</f>
        <v>0</v>
      </c>
      <c r="AD59" s="34"/>
      <c r="AE59" s="34"/>
      <c r="AF59" s="103"/>
    </row>
    <row r="60" spans="2:32" ht="13.5" customHeight="1" thickBot="1" x14ac:dyDescent="0.35">
      <c r="B60" s="53" t="s">
        <v>93</v>
      </c>
      <c r="C60" s="35">
        <f t="shared" ref="C60:J60" si="21">SUBTOTAL(9,C49:C59)</f>
        <v>13051</v>
      </c>
      <c r="D60" s="35">
        <f t="shared" si="21"/>
        <v>13411</v>
      </c>
      <c r="E60" s="25">
        <f t="shared" si="21"/>
        <v>0</v>
      </c>
      <c r="F60" s="25">
        <f t="shared" si="21"/>
        <v>0</v>
      </c>
      <c r="G60" s="25">
        <f t="shared" si="21"/>
        <v>362</v>
      </c>
      <c r="H60" s="25">
        <f t="shared" si="21"/>
        <v>0</v>
      </c>
      <c r="I60" s="25">
        <f t="shared" si="21"/>
        <v>0</v>
      </c>
      <c r="J60" s="25">
        <f t="shared" si="21"/>
        <v>0</v>
      </c>
      <c r="K60" s="25">
        <f>SUM(E60:J60)</f>
        <v>362</v>
      </c>
      <c r="L60" s="35">
        <f t="shared" si="1"/>
        <v>0</v>
      </c>
      <c r="M60" s="35">
        <f t="shared" si="2"/>
        <v>360</v>
      </c>
      <c r="N60" s="35">
        <f>SUBTOTAL(9,N49:N59)</f>
        <v>13411</v>
      </c>
      <c r="O60" s="35">
        <f>SUBTOTAL(9,O49:O59)</f>
        <v>24879</v>
      </c>
      <c r="P60" s="35">
        <f>SUBTOTAL(9,P49:P59)</f>
        <v>-10583</v>
      </c>
      <c r="Q60" s="35">
        <f>SUBTOTAL(9,Q49:Q59)</f>
        <v>14297</v>
      </c>
      <c r="R60" s="35">
        <f>SUBTOTAL(9,R49:R59)</f>
        <v>13411</v>
      </c>
      <c r="S60" s="35">
        <f>Q60-R60</f>
        <v>886</v>
      </c>
      <c r="T60" s="39">
        <f>IFERROR((Q60/N60)*100%,"∞")</f>
        <v>1.0660651703825219</v>
      </c>
      <c r="U60" s="54">
        <f>N60+V60</f>
        <v>13411</v>
      </c>
      <c r="V60" s="35">
        <f>SUBTOTAL(9,V49:V59)</f>
        <v>0</v>
      </c>
      <c r="W60" s="35">
        <f>SUBTOTAL(9,W49:W59)</f>
        <v>0</v>
      </c>
      <c r="X60" s="35"/>
      <c r="Y60" s="35"/>
      <c r="Z60" s="43"/>
      <c r="AA60" s="60"/>
      <c r="AB60" s="104">
        <f>SUBTOTAL(9,AB1:AB59)</f>
        <v>0</v>
      </c>
      <c r="AC60" s="104">
        <f>SUBTOTAL(9,AC1:AC59)</f>
        <v>0</v>
      </c>
      <c r="AD60" s="35">
        <f>SUM(AB60:AC60)</f>
        <v>0</v>
      </c>
      <c r="AE60" s="35">
        <f>Q60+AD60</f>
        <v>14297</v>
      </c>
      <c r="AF60" s="43">
        <f>AE60-N60</f>
        <v>886</v>
      </c>
    </row>
    <row r="61" spans="2:32"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si="7"/>
        <v>676</v>
      </c>
      <c r="AF61" s="101">
        <f t="shared" si="8"/>
        <v>33</v>
      </c>
    </row>
    <row r="62" spans="2:32"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7"/>
        <v>130</v>
      </c>
      <c r="AF62" s="101">
        <f t="shared" si="8"/>
        <v>3</v>
      </c>
    </row>
    <row r="63" spans="2:32"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7"/>
        <v>4582</v>
      </c>
      <c r="AF63" s="101">
        <f t="shared" si="8"/>
        <v>202</v>
      </c>
    </row>
    <row r="64" spans="2:32"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7"/>
        <v>2882</v>
      </c>
      <c r="AF64" s="101">
        <f t="shared" si="8"/>
        <v>159</v>
      </c>
    </row>
    <row r="65" spans="2:32" ht="13" outlineLevel="2" x14ac:dyDescent="0.3">
      <c r="B65" s="31" t="s">
        <v>98</v>
      </c>
      <c r="C65" s="33">
        <v>1828</v>
      </c>
      <c r="D65" s="33">
        <v>1989</v>
      </c>
      <c r="E65" s="23">
        <v>124</v>
      </c>
      <c r="F65" s="23">
        <v>0</v>
      </c>
      <c r="G65" s="23">
        <v>-27</v>
      </c>
      <c r="H65" s="23">
        <v>0</v>
      </c>
      <c r="I65" s="23">
        <v>63</v>
      </c>
      <c r="J65" s="23">
        <v>0</v>
      </c>
      <c r="K65" s="23">
        <f t="shared" si="0"/>
        <v>160</v>
      </c>
      <c r="L65" s="33">
        <f t="shared" si="1"/>
        <v>0</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c r="AC65" s="93"/>
      <c r="AD65" s="33">
        <f t="shared" si="6"/>
        <v>0</v>
      </c>
      <c r="AE65" s="33">
        <f t="shared" si="7"/>
        <v>1642</v>
      </c>
      <c r="AF65" s="101">
        <f t="shared" si="8"/>
        <v>-347</v>
      </c>
    </row>
    <row r="66" spans="2:32" ht="13" outlineLevel="1" x14ac:dyDescent="0.3">
      <c r="B66" s="32" t="s">
        <v>100</v>
      </c>
      <c r="C66" s="34">
        <f t="shared" ref="C66:J66" si="22">SUBTOTAL(9,C61:C65)</f>
        <v>9730</v>
      </c>
      <c r="D66" s="34">
        <f t="shared" si="22"/>
        <v>9862</v>
      </c>
      <c r="E66" s="24">
        <f t="shared" si="22"/>
        <v>174</v>
      </c>
      <c r="F66" s="24">
        <f t="shared" si="22"/>
        <v>0</v>
      </c>
      <c r="G66" s="24">
        <f t="shared" si="22"/>
        <v>-107</v>
      </c>
      <c r="H66" s="24">
        <f t="shared" si="22"/>
        <v>0</v>
      </c>
      <c r="I66" s="24">
        <f t="shared" si="22"/>
        <v>63</v>
      </c>
      <c r="J66" s="24">
        <f t="shared" si="22"/>
        <v>0</v>
      </c>
      <c r="K66" s="24">
        <f>SUM(E66:J66)</f>
        <v>130</v>
      </c>
      <c r="L66" s="34">
        <f t="shared" si="1"/>
        <v>0</v>
      </c>
      <c r="M66" s="34">
        <f t="shared" si="2"/>
        <v>132</v>
      </c>
      <c r="N66" s="34">
        <f>SUBTOTAL(9,N61:N65)</f>
        <v>9862</v>
      </c>
      <c r="O66" s="34">
        <f>SUBTOTAL(9,O61:O65)</f>
        <v>10045</v>
      </c>
      <c r="P66" s="34">
        <f>SUBTOTAL(9,P61:P65)</f>
        <v>-134</v>
      </c>
      <c r="Q66" s="34">
        <f>SUBTOTAL(9,Q61:Q65)</f>
        <v>9912</v>
      </c>
      <c r="R66" s="34">
        <f>SUBTOTAL(9,R61:R65)</f>
        <v>9862</v>
      </c>
      <c r="S66" s="34">
        <f>Q66-R66</f>
        <v>50</v>
      </c>
      <c r="T66" s="38">
        <f>IFERROR((Q66/N66)*100%,"∞")</f>
        <v>1.0050699655242343</v>
      </c>
      <c r="U66" s="59">
        <f>N66+V66</f>
        <v>9960</v>
      </c>
      <c r="V66" s="34">
        <f>SUBTOTAL(9,V61:V65)</f>
        <v>98</v>
      </c>
      <c r="W66" s="34">
        <f>SUBTOTAL(9,W61:W65)</f>
        <v>98</v>
      </c>
      <c r="X66" s="34"/>
      <c r="Y66" s="34"/>
      <c r="Z66" s="41"/>
      <c r="AA66" s="60"/>
      <c r="AB66" s="102">
        <f>SUBTOTAL(9,AB1:AB65)</f>
        <v>0</v>
      </c>
      <c r="AC66" s="34">
        <f>SUBTOTAL(9,AC1:AC65)</f>
        <v>0</v>
      </c>
      <c r="AD66" s="34"/>
      <c r="AE66" s="34"/>
      <c r="AF66" s="103"/>
    </row>
    <row r="67" spans="2:32"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si="7"/>
        <v>920</v>
      </c>
      <c r="AF67" s="101">
        <f t="shared" si="8"/>
        <v>-141</v>
      </c>
    </row>
    <row r="68" spans="2:32"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573</v>
      </c>
      <c r="P68" s="33">
        <v>-36</v>
      </c>
      <c r="Q68" s="33">
        <v>538</v>
      </c>
      <c r="R68" s="33">
        <v>230</v>
      </c>
      <c r="S68" s="33">
        <f t="shared" si="3"/>
        <v>308</v>
      </c>
      <c r="T68" s="38">
        <f t="shared" si="4"/>
        <v>2.3391304347826085</v>
      </c>
      <c r="U68" s="59">
        <f t="shared" si="5"/>
        <v>370</v>
      </c>
      <c r="V68" s="33">
        <v>140</v>
      </c>
      <c r="W68" s="33">
        <v>140</v>
      </c>
      <c r="X68" s="33"/>
      <c r="Y68" s="33"/>
      <c r="Z68" s="42"/>
      <c r="AA68" s="60"/>
      <c r="AB68" s="105"/>
      <c r="AC68" s="93"/>
      <c r="AD68" s="33">
        <f t="shared" si="6"/>
        <v>0</v>
      </c>
      <c r="AE68" s="33">
        <f t="shared" si="7"/>
        <v>538</v>
      </c>
      <c r="AF68" s="101">
        <f t="shared" si="8"/>
        <v>308</v>
      </c>
    </row>
    <row r="69" spans="2:32" ht="13" outlineLevel="2" x14ac:dyDescent="0.3">
      <c r="B69" s="31" t="s">
        <v>103</v>
      </c>
      <c r="C69" s="33">
        <v>283</v>
      </c>
      <c r="D69" s="33">
        <v>278</v>
      </c>
      <c r="E69" s="23">
        <v>0</v>
      </c>
      <c r="F69" s="23">
        <v>0</v>
      </c>
      <c r="G69" s="23">
        <v>-10</v>
      </c>
      <c r="H69" s="23">
        <v>0</v>
      </c>
      <c r="I69" s="23">
        <v>5</v>
      </c>
      <c r="J69" s="23">
        <v>0</v>
      </c>
      <c r="K69" s="23">
        <f t="shared" ref="K69:K79" si="23">SUM(E69:J69)</f>
        <v>-5</v>
      </c>
      <c r="L69" s="33">
        <f t="shared" ref="L69:L81" si="24">N69-D69</f>
        <v>0</v>
      </c>
      <c r="M69" s="33">
        <f t="shared" ref="M69:M81" si="25">N69-C69</f>
        <v>-5</v>
      </c>
      <c r="N69" s="33">
        <v>278</v>
      </c>
      <c r="O69" s="33">
        <v>578</v>
      </c>
      <c r="P69" s="33">
        <v>-234</v>
      </c>
      <c r="Q69" s="33">
        <v>344</v>
      </c>
      <c r="R69" s="33">
        <v>278</v>
      </c>
      <c r="S69" s="33">
        <f t="shared" ref="S69:S79" si="26">Q69-R69</f>
        <v>66</v>
      </c>
      <c r="T69" s="38">
        <f t="shared" ref="T69:T79" si="27">IFERROR((Q69/N69)*100%,"∞")</f>
        <v>1.2374100719424461</v>
      </c>
      <c r="U69" s="59">
        <f t="shared" ref="U69:U79" si="28">N69+V69</f>
        <v>278</v>
      </c>
      <c r="V69" s="33">
        <v>0</v>
      </c>
      <c r="W69" s="33">
        <v>0</v>
      </c>
      <c r="X69" s="33"/>
      <c r="Y69" s="33"/>
      <c r="Z69" s="42"/>
      <c r="AA69" s="60"/>
      <c r="AB69" s="105"/>
      <c r="AC69" s="93"/>
      <c r="AD69" s="33">
        <f t="shared" ref="AD69:AD79" si="29">SUM(AB69:AC69)</f>
        <v>0</v>
      </c>
      <c r="AE69" s="33">
        <f t="shared" ref="AE69:AE79" si="30">Q69+AD69</f>
        <v>344</v>
      </c>
      <c r="AF69" s="101">
        <f t="shared" ref="AF69:AF79" si="31">AE69-N69</f>
        <v>66</v>
      </c>
    </row>
    <row r="70" spans="2:32" ht="13" outlineLevel="2" x14ac:dyDescent="0.3">
      <c r="B70" s="31" t="s">
        <v>104</v>
      </c>
      <c r="C70" s="33">
        <v>494</v>
      </c>
      <c r="D70" s="33">
        <v>476</v>
      </c>
      <c r="E70" s="23">
        <v>0</v>
      </c>
      <c r="F70" s="23">
        <v>0</v>
      </c>
      <c r="G70" s="23">
        <v>-8</v>
      </c>
      <c r="H70" s="23">
        <v>0</v>
      </c>
      <c r="I70" s="23">
        <v>-11</v>
      </c>
      <c r="J70" s="23">
        <v>0</v>
      </c>
      <c r="K70" s="23">
        <f t="shared" si="23"/>
        <v>-19</v>
      </c>
      <c r="L70" s="33">
        <f t="shared" si="24"/>
        <v>0</v>
      </c>
      <c r="M70" s="33">
        <f t="shared" si="25"/>
        <v>-18</v>
      </c>
      <c r="N70" s="33">
        <v>476</v>
      </c>
      <c r="O70" s="33">
        <v>598</v>
      </c>
      <c r="P70" s="33">
        <v>0</v>
      </c>
      <c r="Q70" s="33">
        <v>598</v>
      </c>
      <c r="R70" s="33">
        <v>476</v>
      </c>
      <c r="S70" s="33">
        <f t="shared" si="26"/>
        <v>122</v>
      </c>
      <c r="T70" s="38">
        <f t="shared" si="27"/>
        <v>1.2563025210084033</v>
      </c>
      <c r="U70" s="59">
        <f t="shared" si="28"/>
        <v>511</v>
      </c>
      <c r="V70" s="33">
        <v>35</v>
      </c>
      <c r="W70" s="33">
        <v>35</v>
      </c>
      <c r="X70" s="33"/>
      <c r="Y70" s="33"/>
      <c r="Z70" s="42"/>
      <c r="AA70" s="60"/>
      <c r="AB70" s="105"/>
      <c r="AC70" s="93"/>
      <c r="AD70" s="33">
        <f t="shared" si="29"/>
        <v>0</v>
      </c>
      <c r="AE70" s="33">
        <f t="shared" si="30"/>
        <v>598</v>
      </c>
      <c r="AF70" s="101">
        <f t="shared" si="31"/>
        <v>122</v>
      </c>
    </row>
    <row r="71" spans="2:32" ht="13" outlineLevel="2" x14ac:dyDescent="0.3">
      <c r="B71" s="31" t="s">
        <v>105</v>
      </c>
      <c r="C71" s="33">
        <v>955</v>
      </c>
      <c r="D71" s="33">
        <v>1394</v>
      </c>
      <c r="E71" s="23">
        <v>488</v>
      </c>
      <c r="F71" s="23">
        <v>0</v>
      </c>
      <c r="G71" s="23">
        <v>-35</v>
      </c>
      <c r="H71" s="23">
        <v>0</v>
      </c>
      <c r="I71" s="23">
        <v>-13</v>
      </c>
      <c r="J71" s="23">
        <v>0</v>
      </c>
      <c r="K71" s="23">
        <f t="shared" si="23"/>
        <v>440</v>
      </c>
      <c r="L71" s="33">
        <f t="shared" si="24"/>
        <v>0</v>
      </c>
      <c r="M71" s="33">
        <f t="shared" si="25"/>
        <v>439</v>
      </c>
      <c r="N71" s="33">
        <v>1394</v>
      </c>
      <c r="O71" s="33">
        <v>2729</v>
      </c>
      <c r="P71" s="33">
        <v>-1337</v>
      </c>
      <c r="Q71" s="33">
        <v>1391</v>
      </c>
      <c r="R71" s="33">
        <v>1394</v>
      </c>
      <c r="S71" s="33">
        <f t="shared" si="26"/>
        <v>-3</v>
      </c>
      <c r="T71" s="38">
        <f t="shared" si="27"/>
        <v>0.9978479196556671</v>
      </c>
      <c r="U71" s="59">
        <f t="shared" si="28"/>
        <v>1342</v>
      </c>
      <c r="V71" s="33">
        <v>-52</v>
      </c>
      <c r="W71" s="33">
        <v>-52</v>
      </c>
      <c r="X71" s="33"/>
      <c r="Y71" s="33"/>
      <c r="Z71" s="42"/>
      <c r="AA71" s="60"/>
      <c r="AB71" s="105"/>
      <c r="AC71" s="93"/>
      <c r="AD71" s="33">
        <f t="shared" si="29"/>
        <v>0</v>
      </c>
      <c r="AE71" s="33">
        <f t="shared" si="30"/>
        <v>1391</v>
      </c>
      <c r="AF71" s="101">
        <f t="shared" si="31"/>
        <v>-3</v>
      </c>
    </row>
    <row r="72" spans="2:32" ht="13" outlineLevel="2" x14ac:dyDescent="0.3">
      <c r="B72" s="31" t="s">
        <v>106</v>
      </c>
      <c r="C72" s="33">
        <v>120</v>
      </c>
      <c r="D72" s="33">
        <v>117</v>
      </c>
      <c r="E72" s="23">
        <v>0</v>
      </c>
      <c r="F72" s="23">
        <v>0</v>
      </c>
      <c r="G72" s="23">
        <v>-3</v>
      </c>
      <c r="H72" s="23">
        <v>0</v>
      </c>
      <c r="I72" s="23">
        <v>0</v>
      </c>
      <c r="J72" s="23">
        <v>0</v>
      </c>
      <c r="K72" s="23">
        <f t="shared" si="23"/>
        <v>-3</v>
      </c>
      <c r="L72" s="33">
        <f t="shared" si="24"/>
        <v>0</v>
      </c>
      <c r="M72" s="33">
        <f t="shared" si="25"/>
        <v>-3</v>
      </c>
      <c r="N72" s="33">
        <v>117</v>
      </c>
      <c r="O72" s="33">
        <v>167</v>
      </c>
      <c r="P72" s="33">
        <v>0</v>
      </c>
      <c r="Q72" s="33">
        <v>166</v>
      </c>
      <c r="R72" s="33">
        <v>117</v>
      </c>
      <c r="S72" s="33">
        <f t="shared" si="26"/>
        <v>49</v>
      </c>
      <c r="T72" s="38">
        <f t="shared" si="27"/>
        <v>1.4188034188034189</v>
      </c>
      <c r="U72" s="59">
        <f t="shared" si="28"/>
        <v>117</v>
      </c>
      <c r="V72" s="33">
        <v>0</v>
      </c>
      <c r="W72" s="33">
        <v>0</v>
      </c>
      <c r="X72" s="33"/>
      <c r="Y72" s="33"/>
      <c r="Z72" s="42"/>
      <c r="AA72" s="60"/>
      <c r="AB72" s="105"/>
      <c r="AC72" s="93"/>
      <c r="AD72" s="33">
        <f t="shared" si="29"/>
        <v>0</v>
      </c>
      <c r="AE72" s="33">
        <f t="shared" si="30"/>
        <v>166</v>
      </c>
      <c r="AF72" s="101">
        <f t="shared" si="31"/>
        <v>49</v>
      </c>
    </row>
    <row r="73" spans="2:32" ht="13" outlineLevel="1" x14ac:dyDescent="0.3">
      <c r="B73" s="32" t="s">
        <v>107</v>
      </c>
      <c r="C73" s="34">
        <f t="shared" ref="C73:J73" si="32">SUBTOTAL(9,C67:C72)</f>
        <v>3169</v>
      </c>
      <c r="D73" s="34">
        <f t="shared" si="32"/>
        <v>3556</v>
      </c>
      <c r="E73" s="24">
        <f t="shared" si="32"/>
        <v>488</v>
      </c>
      <c r="F73" s="24">
        <f t="shared" si="32"/>
        <v>0</v>
      </c>
      <c r="G73" s="24">
        <f t="shared" si="32"/>
        <v>-84</v>
      </c>
      <c r="H73" s="24">
        <f t="shared" si="32"/>
        <v>0</v>
      </c>
      <c r="I73" s="24">
        <f t="shared" si="32"/>
        <v>-17</v>
      </c>
      <c r="J73" s="24">
        <f t="shared" si="32"/>
        <v>0</v>
      </c>
      <c r="K73" s="24">
        <f>SUM(E73:J73)</f>
        <v>387</v>
      </c>
      <c r="L73" s="34">
        <f t="shared" si="24"/>
        <v>0</v>
      </c>
      <c r="M73" s="34">
        <f t="shared" si="25"/>
        <v>387</v>
      </c>
      <c r="N73" s="34">
        <f>SUBTOTAL(9,N67:N72)</f>
        <v>3556</v>
      </c>
      <c r="O73" s="34">
        <f>SUBTOTAL(9,O67:O72)</f>
        <v>5961</v>
      </c>
      <c r="P73" s="34">
        <f>SUBTOTAL(9,P67:P72)</f>
        <v>-2003</v>
      </c>
      <c r="Q73" s="34">
        <f>SUBTOTAL(9,Q67:Q72)</f>
        <v>3957</v>
      </c>
      <c r="R73" s="34">
        <f>SUBTOTAL(9,R67:R72)</f>
        <v>3556</v>
      </c>
      <c r="S73" s="34">
        <f>Q73-R73</f>
        <v>401</v>
      </c>
      <c r="T73" s="38">
        <f>IFERROR((Q73/N73)*100%,"∞")</f>
        <v>1.1127671541057367</v>
      </c>
      <c r="U73" s="59">
        <f>N73+V73</f>
        <v>3609</v>
      </c>
      <c r="V73" s="34">
        <f>SUBTOTAL(9,V67:V72)</f>
        <v>53</v>
      </c>
      <c r="W73" s="34">
        <f>SUBTOTAL(9,W67:W72)</f>
        <v>53</v>
      </c>
      <c r="X73" s="34"/>
      <c r="Y73" s="34"/>
      <c r="Z73" s="41"/>
      <c r="AA73" s="60"/>
      <c r="AB73" s="102">
        <f>SUBTOTAL(9,AB1:AB72)</f>
        <v>0</v>
      </c>
      <c r="AC73" s="34">
        <f>SUBTOTAL(9,AC1:AC72)</f>
        <v>0</v>
      </c>
      <c r="AD73" s="34"/>
      <c r="AE73" s="34"/>
      <c r="AF73" s="103"/>
    </row>
    <row r="74" spans="2:32" ht="13" outlineLevel="2" x14ac:dyDescent="0.3">
      <c r="B74" s="31" t="s">
        <v>108</v>
      </c>
      <c r="C74" s="33">
        <v>760</v>
      </c>
      <c r="D74" s="33">
        <v>737</v>
      </c>
      <c r="E74" s="23">
        <v>0</v>
      </c>
      <c r="F74" s="23">
        <v>0</v>
      </c>
      <c r="G74" s="23">
        <v>-22</v>
      </c>
      <c r="H74" s="23">
        <v>0</v>
      </c>
      <c r="I74" s="23">
        <v>0</v>
      </c>
      <c r="J74" s="23">
        <v>0</v>
      </c>
      <c r="K74" s="23">
        <f t="shared" si="23"/>
        <v>-22</v>
      </c>
      <c r="L74" s="33">
        <f t="shared" si="24"/>
        <v>0</v>
      </c>
      <c r="M74" s="33">
        <f t="shared" si="25"/>
        <v>-23</v>
      </c>
      <c r="N74" s="33">
        <v>737</v>
      </c>
      <c r="O74" s="33">
        <v>753</v>
      </c>
      <c r="P74" s="33">
        <v>-25</v>
      </c>
      <c r="Q74" s="33">
        <v>729</v>
      </c>
      <c r="R74" s="33">
        <v>737</v>
      </c>
      <c r="S74" s="33">
        <f t="shared" si="26"/>
        <v>-8</v>
      </c>
      <c r="T74" s="38">
        <f t="shared" si="27"/>
        <v>0.98914518317503397</v>
      </c>
      <c r="U74" s="59">
        <f t="shared" si="28"/>
        <v>737</v>
      </c>
      <c r="V74" s="33">
        <v>0</v>
      </c>
      <c r="W74" s="33">
        <v>0</v>
      </c>
      <c r="X74" s="33"/>
      <c r="Y74" s="33"/>
      <c r="Z74" s="42"/>
      <c r="AA74" s="60"/>
      <c r="AB74" s="105"/>
      <c r="AC74" s="93"/>
      <c r="AD74" s="33">
        <f t="shared" si="29"/>
        <v>0</v>
      </c>
      <c r="AE74" s="33">
        <f t="shared" si="30"/>
        <v>729</v>
      </c>
      <c r="AF74" s="101">
        <f t="shared" si="31"/>
        <v>-8</v>
      </c>
    </row>
    <row r="75" spans="2:32" ht="13" outlineLevel="2" x14ac:dyDescent="0.3">
      <c r="B75" s="31" t="s">
        <v>109</v>
      </c>
      <c r="C75" s="33">
        <v>337</v>
      </c>
      <c r="D75" s="33">
        <v>332</v>
      </c>
      <c r="E75" s="23">
        <v>0</v>
      </c>
      <c r="F75" s="23">
        <v>0</v>
      </c>
      <c r="G75" s="23">
        <v>-5</v>
      </c>
      <c r="H75" s="23">
        <v>0</v>
      </c>
      <c r="I75" s="23">
        <v>0</v>
      </c>
      <c r="J75" s="23">
        <v>0</v>
      </c>
      <c r="K75" s="23">
        <f t="shared" si="23"/>
        <v>-5</v>
      </c>
      <c r="L75" s="33">
        <f t="shared" si="24"/>
        <v>0</v>
      </c>
      <c r="M75" s="33">
        <f t="shared" si="25"/>
        <v>-5</v>
      </c>
      <c r="N75" s="33">
        <v>332</v>
      </c>
      <c r="O75" s="33">
        <v>341</v>
      </c>
      <c r="P75" s="33">
        <v>0</v>
      </c>
      <c r="Q75" s="33">
        <v>341</v>
      </c>
      <c r="R75" s="33">
        <v>332</v>
      </c>
      <c r="S75" s="33">
        <f t="shared" si="26"/>
        <v>9</v>
      </c>
      <c r="T75" s="38">
        <f t="shared" si="27"/>
        <v>1.0271084337349397</v>
      </c>
      <c r="U75" s="59">
        <f t="shared" si="28"/>
        <v>332</v>
      </c>
      <c r="V75" s="33">
        <v>0</v>
      </c>
      <c r="W75" s="33">
        <v>0</v>
      </c>
      <c r="X75" s="33"/>
      <c r="Y75" s="33"/>
      <c r="Z75" s="42"/>
      <c r="AA75" s="60"/>
      <c r="AB75" s="105"/>
      <c r="AC75" s="93"/>
      <c r="AD75" s="33">
        <f t="shared" si="29"/>
        <v>0</v>
      </c>
      <c r="AE75" s="33">
        <f t="shared" si="30"/>
        <v>341</v>
      </c>
      <c r="AF75" s="101">
        <f t="shared" si="31"/>
        <v>9</v>
      </c>
    </row>
    <row r="76" spans="2:32" ht="13" outlineLevel="1" x14ac:dyDescent="0.3">
      <c r="B76" s="32" t="s">
        <v>110</v>
      </c>
      <c r="C76" s="34">
        <f t="shared" ref="C76:J76" si="33">SUBTOTAL(9,C74:C75)</f>
        <v>1097</v>
      </c>
      <c r="D76" s="34">
        <f t="shared" si="33"/>
        <v>1069</v>
      </c>
      <c r="E76" s="24">
        <f t="shared" si="33"/>
        <v>0</v>
      </c>
      <c r="F76" s="24">
        <f t="shared" si="33"/>
        <v>0</v>
      </c>
      <c r="G76" s="24">
        <f t="shared" si="33"/>
        <v>-27</v>
      </c>
      <c r="H76" s="24">
        <f t="shared" si="33"/>
        <v>0</v>
      </c>
      <c r="I76" s="24">
        <f t="shared" si="33"/>
        <v>0</v>
      </c>
      <c r="J76" s="24">
        <f t="shared" si="33"/>
        <v>0</v>
      </c>
      <c r="K76" s="24">
        <f>SUM(E76:J76)</f>
        <v>-27</v>
      </c>
      <c r="L76" s="34">
        <f t="shared" si="24"/>
        <v>0</v>
      </c>
      <c r="M76" s="34">
        <f t="shared" si="25"/>
        <v>-28</v>
      </c>
      <c r="N76" s="34">
        <f>SUBTOTAL(9,N74:N75)</f>
        <v>1069</v>
      </c>
      <c r="O76" s="34">
        <f>SUBTOTAL(9,O74:O75)</f>
        <v>1094</v>
      </c>
      <c r="P76" s="34">
        <f>SUBTOTAL(9,P74:P75)</f>
        <v>-25</v>
      </c>
      <c r="Q76" s="34">
        <f>SUBTOTAL(9,Q74:Q75)</f>
        <v>1070</v>
      </c>
      <c r="R76" s="34">
        <f>SUBTOTAL(9,R74:R75)</f>
        <v>1069</v>
      </c>
      <c r="S76" s="34">
        <f>Q76-R76</f>
        <v>1</v>
      </c>
      <c r="T76" s="38">
        <f>IFERROR((Q76/N76)*100%,"∞")</f>
        <v>1.0009354536950421</v>
      </c>
      <c r="U76" s="59">
        <f>N76+V76</f>
        <v>1069</v>
      </c>
      <c r="V76" s="34">
        <f>SUBTOTAL(9,V74:V75)</f>
        <v>0</v>
      </c>
      <c r="W76" s="34">
        <f>SUBTOTAL(9,W74:W75)</f>
        <v>0</v>
      </c>
      <c r="X76" s="34"/>
      <c r="Y76" s="34"/>
      <c r="Z76" s="41"/>
      <c r="AA76" s="60"/>
      <c r="AB76" s="102">
        <f>SUBTOTAL(9,AB2:AB75)</f>
        <v>0</v>
      </c>
      <c r="AC76" s="34">
        <f>SUBTOTAL(9,AC2:AC75)</f>
        <v>0</v>
      </c>
      <c r="AD76" s="34"/>
      <c r="AE76" s="34"/>
      <c r="AF76" s="103"/>
    </row>
    <row r="77" spans="2:32" ht="13" outlineLevel="2" x14ac:dyDescent="0.3">
      <c r="B77" s="31" t="s">
        <v>111</v>
      </c>
      <c r="C77" s="33">
        <v>718</v>
      </c>
      <c r="D77" s="33">
        <v>724</v>
      </c>
      <c r="E77" s="23">
        <v>10</v>
      </c>
      <c r="F77" s="23">
        <v>0</v>
      </c>
      <c r="G77" s="23">
        <v>-5</v>
      </c>
      <c r="H77" s="23">
        <v>0</v>
      </c>
      <c r="I77" s="23">
        <v>0</v>
      </c>
      <c r="J77" s="23">
        <v>0</v>
      </c>
      <c r="K77" s="23">
        <f t="shared" si="23"/>
        <v>5</v>
      </c>
      <c r="L77" s="33">
        <f t="shared" si="24"/>
        <v>0</v>
      </c>
      <c r="M77" s="33">
        <f t="shared" si="25"/>
        <v>6</v>
      </c>
      <c r="N77" s="33">
        <v>724</v>
      </c>
      <c r="O77" s="33">
        <v>808</v>
      </c>
      <c r="P77" s="33">
        <v>-67</v>
      </c>
      <c r="Q77" s="33">
        <v>741</v>
      </c>
      <c r="R77" s="33">
        <v>724</v>
      </c>
      <c r="S77" s="33">
        <f t="shared" si="26"/>
        <v>17</v>
      </c>
      <c r="T77" s="38">
        <f t="shared" si="27"/>
        <v>1.0234806629834254</v>
      </c>
      <c r="U77" s="59">
        <f t="shared" si="28"/>
        <v>743</v>
      </c>
      <c r="V77" s="33">
        <v>19</v>
      </c>
      <c r="W77" s="33">
        <v>19</v>
      </c>
      <c r="X77" s="33"/>
      <c r="Y77" s="33"/>
      <c r="Z77" s="42"/>
      <c r="AA77" s="60"/>
      <c r="AB77" s="105"/>
      <c r="AC77" s="93"/>
      <c r="AD77" s="33">
        <f t="shared" si="29"/>
        <v>0</v>
      </c>
      <c r="AE77" s="33">
        <f t="shared" si="30"/>
        <v>741</v>
      </c>
      <c r="AF77" s="101">
        <f t="shared" si="31"/>
        <v>17</v>
      </c>
    </row>
    <row r="78" spans="2:32" ht="13" outlineLevel="2" x14ac:dyDescent="0.3">
      <c r="B78" s="31" t="s">
        <v>112</v>
      </c>
      <c r="C78" s="33">
        <v>394</v>
      </c>
      <c r="D78" s="33">
        <v>390</v>
      </c>
      <c r="E78" s="23">
        <v>0</v>
      </c>
      <c r="F78" s="23">
        <v>0</v>
      </c>
      <c r="G78" s="23">
        <v>-3</v>
      </c>
      <c r="H78" s="23">
        <v>0</v>
      </c>
      <c r="I78" s="23">
        <v>0</v>
      </c>
      <c r="J78" s="23">
        <v>0</v>
      </c>
      <c r="K78" s="23">
        <f t="shared" si="23"/>
        <v>-3</v>
      </c>
      <c r="L78" s="33">
        <f t="shared" si="24"/>
        <v>0</v>
      </c>
      <c r="M78" s="33">
        <f t="shared" si="25"/>
        <v>-4</v>
      </c>
      <c r="N78" s="33">
        <v>390</v>
      </c>
      <c r="O78" s="33">
        <v>537</v>
      </c>
      <c r="P78" s="33">
        <v>-40</v>
      </c>
      <c r="Q78" s="33">
        <v>496</v>
      </c>
      <c r="R78" s="33">
        <v>390</v>
      </c>
      <c r="S78" s="33">
        <f t="shared" si="26"/>
        <v>106</v>
      </c>
      <c r="T78" s="38">
        <f t="shared" si="27"/>
        <v>1.2717948717948717</v>
      </c>
      <c r="U78" s="59">
        <f t="shared" si="28"/>
        <v>460</v>
      </c>
      <c r="V78" s="33">
        <v>70</v>
      </c>
      <c r="W78" s="33">
        <v>70</v>
      </c>
      <c r="X78" s="33"/>
      <c r="Y78" s="33"/>
      <c r="Z78" s="42"/>
      <c r="AA78" s="60"/>
      <c r="AB78" s="105"/>
      <c r="AC78" s="93"/>
      <c r="AD78" s="33">
        <f t="shared" si="29"/>
        <v>0</v>
      </c>
      <c r="AE78" s="33">
        <f t="shared" si="30"/>
        <v>496</v>
      </c>
      <c r="AF78" s="101">
        <f t="shared" si="31"/>
        <v>106</v>
      </c>
    </row>
    <row r="79" spans="2:32" ht="13" outlineLevel="2" x14ac:dyDescent="0.3">
      <c r="B79" s="31" t="s">
        <v>113</v>
      </c>
      <c r="C79" s="33">
        <v>1352</v>
      </c>
      <c r="D79" s="33">
        <v>1289</v>
      </c>
      <c r="E79" s="23">
        <v>0</v>
      </c>
      <c r="F79" s="23">
        <v>0</v>
      </c>
      <c r="G79" s="23">
        <v>-41</v>
      </c>
      <c r="H79" s="23">
        <v>0</v>
      </c>
      <c r="I79" s="23">
        <v>-22</v>
      </c>
      <c r="J79" s="23">
        <v>0</v>
      </c>
      <c r="K79" s="23">
        <f t="shared" si="23"/>
        <v>-63</v>
      </c>
      <c r="L79" s="33">
        <f t="shared" si="24"/>
        <v>0</v>
      </c>
      <c r="M79" s="33">
        <f t="shared" si="25"/>
        <v>-63</v>
      </c>
      <c r="N79" s="33">
        <v>1289</v>
      </c>
      <c r="O79" s="33">
        <v>1941</v>
      </c>
      <c r="P79" s="33">
        <v>-316</v>
      </c>
      <c r="Q79" s="33">
        <v>1625</v>
      </c>
      <c r="R79" s="33">
        <v>1289</v>
      </c>
      <c r="S79" s="33">
        <f t="shared" si="26"/>
        <v>336</v>
      </c>
      <c r="T79" s="38">
        <f t="shared" si="27"/>
        <v>1.26066718386346</v>
      </c>
      <c r="U79" s="59">
        <f t="shared" si="28"/>
        <v>1389</v>
      </c>
      <c r="V79" s="33">
        <v>100</v>
      </c>
      <c r="W79" s="33">
        <v>100</v>
      </c>
      <c r="X79" s="33"/>
      <c r="Y79" s="33"/>
      <c r="Z79" s="42"/>
      <c r="AA79" s="60"/>
      <c r="AB79" s="105"/>
      <c r="AC79" s="93"/>
      <c r="AD79" s="33">
        <f t="shared" si="29"/>
        <v>0</v>
      </c>
      <c r="AE79" s="33">
        <f t="shared" si="30"/>
        <v>1625</v>
      </c>
      <c r="AF79" s="101">
        <f t="shared" si="31"/>
        <v>336</v>
      </c>
    </row>
    <row r="80" spans="2:32" ht="13" outlineLevel="1" x14ac:dyDescent="0.3">
      <c r="B80" s="32" t="s">
        <v>114</v>
      </c>
      <c r="C80" s="34">
        <f t="shared" ref="C80:J80" si="34">SUBTOTAL(9,C77:C79)</f>
        <v>2464</v>
      </c>
      <c r="D80" s="34">
        <f t="shared" si="34"/>
        <v>2403</v>
      </c>
      <c r="E80" s="24">
        <f t="shared" si="34"/>
        <v>10</v>
      </c>
      <c r="F80" s="24">
        <f t="shared" si="34"/>
        <v>0</v>
      </c>
      <c r="G80" s="24">
        <f t="shared" si="34"/>
        <v>-49</v>
      </c>
      <c r="H80" s="24">
        <f t="shared" si="34"/>
        <v>0</v>
      </c>
      <c r="I80" s="24">
        <f t="shared" si="34"/>
        <v>-22</v>
      </c>
      <c r="J80" s="24">
        <f t="shared" si="34"/>
        <v>0</v>
      </c>
      <c r="K80" s="24">
        <f>SUM(E80:J80)</f>
        <v>-61</v>
      </c>
      <c r="L80" s="34">
        <f t="shared" si="24"/>
        <v>0</v>
      </c>
      <c r="M80" s="34">
        <f t="shared" si="25"/>
        <v>-61</v>
      </c>
      <c r="N80" s="34">
        <f>SUBTOTAL(9,N77:N79)</f>
        <v>2403</v>
      </c>
      <c r="O80" s="34">
        <f>SUBTOTAL(9,O77:O79)</f>
        <v>3286</v>
      </c>
      <c r="P80" s="34">
        <f>SUBTOTAL(9,P77:P79)</f>
        <v>-423</v>
      </c>
      <c r="Q80" s="34">
        <f>SUBTOTAL(9,Q77:Q79)</f>
        <v>2862</v>
      </c>
      <c r="R80" s="34">
        <f>SUBTOTAL(9,R77:R79)</f>
        <v>2403</v>
      </c>
      <c r="S80" s="34">
        <f>Q80-R80</f>
        <v>459</v>
      </c>
      <c r="T80" s="38">
        <f>IFERROR((Q80/N80)*100%,"∞")</f>
        <v>1.1910112359550562</v>
      </c>
      <c r="U80" s="59">
        <f>N80+V80</f>
        <v>2592</v>
      </c>
      <c r="V80" s="34">
        <f>SUBTOTAL(9,V77:V79)</f>
        <v>189</v>
      </c>
      <c r="W80" s="34">
        <f>SUBTOTAL(9,W77:W79)</f>
        <v>189</v>
      </c>
      <c r="X80" s="34"/>
      <c r="Y80" s="34"/>
      <c r="Z80" s="41"/>
      <c r="AA80" s="60"/>
      <c r="AB80" s="102">
        <f>SUBTOTAL(9,AB5:AB79)</f>
        <v>0</v>
      </c>
      <c r="AC80" s="34">
        <f>SUBTOTAL(9,AC5:AC79)</f>
        <v>0</v>
      </c>
      <c r="AD80" s="34"/>
      <c r="AE80" s="34"/>
      <c r="AF80" s="103"/>
    </row>
    <row r="81" spans="2:32" ht="13.5" customHeight="1" thickBot="1" x14ac:dyDescent="0.35">
      <c r="B81" s="53" t="s">
        <v>115</v>
      </c>
      <c r="C81" s="35">
        <f t="shared" ref="C81:J81" si="35">SUBTOTAL(9,C61:C80)</f>
        <v>16460</v>
      </c>
      <c r="D81" s="35">
        <f t="shared" si="35"/>
        <v>16890</v>
      </c>
      <c r="E81" s="25">
        <f t="shared" si="35"/>
        <v>672</v>
      </c>
      <c r="F81" s="25">
        <f t="shared" si="35"/>
        <v>0</v>
      </c>
      <c r="G81" s="25">
        <f t="shared" si="35"/>
        <v>-267</v>
      </c>
      <c r="H81" s="25">
        <f t="shared" si="35"/>
        <v>0</v>
      </c>
      <c r="I81" s="25">
        <f t="shared" si="35"/>
        <v>24</v>
      </c>
      <c r="J81" s="25">
        <f t="shared" si="35"/>
        <v>0</v>
      </c>
      <c r="K81" s="25">
        <f>SUM(E81:J81)</f>
        <v>429</v>
      </c>
      <c r="L81" s="35">
        <f t="shared" si="24"/>
        <v>0</v>
      </c>
      <c r="M81" s="35">
        <f t="shared" si="25"/>
        <v>430</v>
      </c>
      <c r="N81" s="35">
        <f>SUBTOTAL(9,N61:N80)</f>
        <v>16890</v>
      </c>
      <c r="O81" s="35">
        <f>SUBTOTAL(9,O61:O80)</f>
        <v>20386</v>
      </c>
      <c r="P81" s="35">
        <f>SUBTOTAL(9,P61:P80)</f>
        <v>-2585</v>
      </c>
      <c r="Q81" s="35">
        <f>SUBTOTAL(9,Q61:Q80)</f>
        <v>17801</v>
      </c>
      <c r="R81" s="35">
        <f>SUBTOTAL(9,R61:R80)</f>
        <v>16890</v>
      </c>
      <c r="S81" s="35">
        <f>Q81-R81</f>
        <v>911</v>
      </c>
      <c r="T81" s="39">
        <f>IFERROR((Q81/N81)*100%,"∞")</f>
        <v>1.0539372409709888</v>
      </c>
      <c r="U81" s="54">
        <f>N81+V81</f>
        <v>17230</v>
      </c>
      <c r="V81" s="35">
        <f>SUBTOTAL(9,V61:V80)</f>
        <v>340</v>
      </c>
      <c r="W81" s="35">
        <f>SUBTOTAL(9,W61:W80)</f>
        <v>340</v>
      </c>
      <c r="X81" s="35"/>
      <c r="Y81" s="35"/>
      <c r="Z81" s="43"/>
      <c r="AA81" s="60"/>
      <c r="AB81" s="104">
        <f>SUBTOTAL(9,AB5:AB80)</f>
        <v>0</v>
      </c>
      <c r="AC81" s="104">
        <f>SUBTOTAL(9,AC5:AC80)</f>
        <v>0</v>
      </c>
      <c r="AD81" s="35">
        <f>SUM(AB81:AC81)</f>
        <v>0</v>
      </c>
      <c r="AE81" s="35">
        <f>Q81+AD81</f>
        <v>17801</v>
      </c>
      <c r="AF81" s="43">
        <f>AE81-N81</f>
        <v>911</v>
      </c>
    </row>
    <row r="82" spans="2:32" ht="14" thickTop="1" thickBot="1" x14ac:dyDescent="0.35">
      <c r="B82" s="61"/>
      <c r="C82" s="62"/>
      <c r="D82" s="62"/>
      <c r="E82" s="65"/>
      <c r="F82" s="65"/>
      <c r="G82" s="65"/>
      <c r="H82" s="65"/>
      <c r="I82" s="65"/>
      <c r="J82" s="65"/>
      <c r="K82" s="65"/>
      <c r="L82" s="62"/>
      <c r="M82" s="62"/>
      <c r="N82" s="62"/>
      <c r="O82" s="62"/>
      <c r="P82" s="62"/>
      <c r="Q82" s="62"/>
      <c r="R82" s="62"/>
      <c r="S82" s="62"/>
      <c r="T82" s="62"/>
      <c r="U82" s="64"/>
      <c r="V82" s="62"/>
      <c r="W82" s="62"/>
      <c r="X82" s="62"/>
      <c r="Y82" s="62"/>
      <c r="Z82" s="63"/>
      <c r="AA82" s="60"/>
      <c r="AB82" s="61"/>
      <c r="AC82" s="62"/>
      <c r="AD82" s="62"/>
      <c r="AE82" s="62"/>
      <c r="AF82" s="63"/>
    </row>
    <row r="83" spans="2:32" ht="13.5" thickBot="1" x14ac:dyDescent="0.35">
      <c r="B83" s="50" t="s">
        <v>116</v>
      </c>
      <c r="C83" s="51">
        <f t="shared" ref="C83:J83" si="36">SUBTOTAL(9,C5:C82)</f>
        <v>34225</v>
      </c>
      <c r="D83" s="51">
        <f t="shared" si="36"/>
        <v>32332</v>
      </c>
      <c r="E83" s="51">
        <f t="shared" si="36"/>
        <v>-1456</v>
      </c>
      <c r="F83" s="51">
        <f t="shared" si="36"/>
        <v>0</v>
      </c>
      <c r="G83" s="51">
        <f t="shared" si="36"/>
        <v>-445</v>
      </c>
      <c r="H83" s="51">
        <f t="shared" si="36"/>
        <v>0</v>
      </c>
      <c r="I83" s="51">
        <f t="shared" si="36"/>
        <v>-1</v>
      </c>
      <c r="J83" s="51">
        <f t="shared" si="36"/>
        <v>0</v>
      </c>
      <c r="K83" s="51">
        <f>SUM(E83:J83)</f>
        <v>-1902</v>
      </c>
      <c r="L83" s="51">
        <f>N83-D83</f>
        <v>0</v>
      </c>
      <c r="M83" s="51">
        <f>N83-C83</f>
        <v>-1893</v>
      </c>
      <c r="N83" s="51">
        <f>SUBTOTAL(9,N5:N82)</f>
        <v>32332</v>
      </c>
      <c r="O83" s="51">
        <f>SUBTOTAL(9,O5:O82)</f>
        <v>82269</v>
      </c>
      <c r="P83" s="51">
        <f>SUBTOTAL(9,P5:P82)</f>
        <v>-47334</v>
      </c>
      <c r="Q83" s="51">
        <f>SUBTOTAL(9,Q5:Q82)</f>
        <v>34934</v>
      </c>
      <c r="R83" s="51">
        <f>SUBTOTAL(9,R5:R82)</f>
        <v>32332</v>
      </c>
      <c r="S83" s="51">
        <f>Q83-R83</f>
        <v>2602</v>
      </c>
      <c r="T83" s="52">
        <f>IFERROR((Q83/N83)*100%,"∞")</f>
        <v>1.0804775454657924</v>
      </c>
      <c r="U83" s="51">
        <f>N83+V83</f>
        <v>33368</v>
      </c>
      <c r="V83" s="51">
        <f>SUBTOTAL(9,V5:V82)</f>
        <v>1036</v>
      </c>
      <c r="W83" s="51">
        <f>SUBTOTAL(9,W5:W82)</f>
        <v>1036</v>
      </c>
      <c r="X83" s="51">
        <f>SUBTOTAL(9,X5:X82)</f>
        <v>0</v>
      </c>
      <c r="Y83" s="51">
        <f>SUBTOTAL(9,Y5:Y82)</f>
        <v>0</v>
      </c>
      <c r="Z83" s="51">
        <f>SUBTOTAL(9,Z5:Z82)</f>
        <v>0</v>
      </c>
      <c r="AA83" s="60"/>
      <c r="AB83" s="51">
        <f>SUBTOTAL(9,AB5:AB82)</f>
        <v>0</v>
      </c>
      <c r="AC83" s="51">
        <f>SUBTOTAL(9,AC5:AC82)</f>
        <v>0</v>
      </c>
      <c r="AD83" s="51">
        <f>SUM(AB83:AC83)</f>
        <v>0</v>
      </c>
      <c r="AE83" s="51">
        <f>Q83+AD83</f>
        <v>34934</v>
      </c>
      <c r="AF83" s="51">
        <f>AE83-N83</f>
        <v>2602</v>
      </c>
    </row>
    <row r="84" spans="2:32" ht="13.5" thickTop="1" x14ac:dyDescent="0.3">
      <c r="B84" s="71"/>
      <c r="C84" s="72"/>
      <c r="D84" s="72"/>
      <c r="E84" s="73"/>
      <c r="F84" s="73"/>
      <c r="G84" s="73"/>
      <c r="H84" s="73"/>
      <c r="I84" s="73"/>
      <c r="J84" s="73"/>
      <c r="K84" s="73"/>
      <c r="L84" s="72"/>
      <c r="M84" s="72"/>
      <c r="N84" s="72"/>
      <c r="O84" s="72"/>
      <c r="P84" s="72"/>
      <c r="Q84" s="72"/>
      <c r="R84" s="72"/>
      <c r="S84" s="72"/>
      <c r="T84" s="72"/>
      <c r="U84" s="74"/>
      <c r="V84" s="72"/>
      <c r="W84" s="72"/>
      <c r="X84" s="72"/>
      <c r="Y84" s="72"/>
      <c r="Z84" s="75"/>
      <c r="AA84" s="60"/>
      <c r="AB84" s="71"/>
      <c r="AC84" s="72"/>
      <c r="AD84" s="72"/>
      <c r="AE84" s="72"/>
      <c r="AF84" s="75"/>
    </row>
    <row r="85" spans="2:32" ht="13" outlineLevel="1" x14ac:dyDescent="0.3">
      <c r="B85" s="31" t="s">
        <v>117</v>
      </c>
      <c r="C85" s="33">
        <v>5662</v>
      </c>
      <c r="D85" s="33">
        <v>5662</v>
      </c>
      <c r="E85" s="23">
        <v>0</v>
      </c>
      <c r="F85" s="23">
        <v>0</v>
      </c>
      <c r="G85" s="23">
        <v>0</v>
      </c>
      <c r="H85" s="23">
        <v>0</v>
      </c>
      <c r="I85" s="23">
        <v>0</v>
      </c>
      <c r="J85" s="23">
        <v>0</v>
      </c>
      <c r="K85" s="23">
        <f t="shared" ref="K85:K102" si="37">SUM(E85:J85)</f>
        <v>0</v>
      </c>
      <c r="L85" s="33">
        <f t="shared" ref="L85:L102" si="38">N85-D85</f>
        <v>0</v>
      </c>
      <c r="M85" s="33">
        <f t="shared" ref="M85:M102" si="39">N85-C85</f>
        <v>0</v>
      </c>
      <c r="N85" s="33">
        <v>5662</v>
      </c>
      <c r="O85" s="33">
        <v>5662</v>
      </c>
      <c r="P85" s="33">
        <v>0</v>
      </c>
      <c r="Q85" s="33">
        <v>5662</v>
      </c>
      <c r="R85" s="33">
        <v>5662</v>
      </c>
      <c r="S85" s="33">
        <f t="shared" ref="S85:S102" si="40">Q85-R85</f>
        <v>0</v>
      </c>
      <c r="T85" s="38">
        <f t="shared" ref="T85:T102" si="41">IFERROR((Q85/N85)*100%,"∞")</f>
        <v>1</v>
      </c>
      <c r="U85" s="59">
        <f t="shared" ref="U85:U102" si="42">N85+V85</f>
        <v>5662</v>
      </c>
      <c r="V85" s="33">
        <v>0</v>
      </c>
      <c r="W85" s="33">
        <v>0</v>
      </c>
      <c r="X85" s="33"/>
      <c r="Y85" s="33"/>
      <c r="Z85" s="42"/>
      <c r="AA85" s="60"/>
      <c r="AB85" s="105"/>
      <c r="AC85" s="93"/>
      <c r="AD85" s="33">
        <f t="shared" ref="AD85:AD102" si="43">SUM(AB85:AC85)</f>
        <v>0</v>
      </c>
      <c r="AE85" s="33">
        <f t="shared" ref="AE85:AE102" si="44">Q85+AD85</f>
        <v>5662</v>
      </c>
      <c r="AF85" s="101">
        <f t="shared" ref="AF85:AF102" si="45">AE85-N85</f>
        <v>0</v>
      </c>
    </row>
    <row r="86" spans="2:32" ht="13" outlineLevel="1" x14ac:dyDescent="0.3">
      <c r="B86" s="31" t="s">
        <v>118</v>
      </c>
      <c r="C86" s="33">
        <v>-5662</v>
      </c>
      <c r="D86" s="33">
        <v>-5662</v>
      </c>
      <c r="E86" s="23">
        <v>0</v>
      </c>
      <c r="F86" s="23">
        <v>0</v>
      </c>
      <c r="G86" s="23">
        <v>0</v>
      </c>
      <c r="H86" s="23">
        <v>0</v>
      </c>
      <c r="I86" s="23">
        <v>0</v>
      </c>
      <c r="J86" s="23">
        <v>0</v>
      </c>
      <c r="K86" s="23">
        <f t="shared" si="37"/>
        <v>0</v>
      </c>
      <c r="L86" s="33">
        <f t="shared" si="38"/>
        <v>0</v>
      </c>
      <c r="M86" s="33">
        <f t="shared" si="39"/>
        <v>0</v>
      </c>
      <c r="N86" s="33">
        <v>-5662</v>
      </c>
      <c r="O86" s="33">
        <v>0</v>
      </c>
      <c r="P86" s="33">
        <v>-5662</v>
      </c>
      <c r="Q86" s="33">
        <v>-5662</v>
      </c>
      <c r="R86" s="33">
        <v>-5662</v>
      </c>
      <c r="S86" s="33">
        <f t="shared" si="40"/>
        <v>0</v>
      </c>
      <c r="T86" s="38">
        <f t="shared" si="41"/>
        <v>1</v>
      </c>
      <c r="U86" s="59">
        <f t="shared" si="42"/>
        <v>-5662</v>
      </c>
      <c r="V86" s="33">
        <v>0</v>
      </c>
      <c r="W86" s="33">
        <v>0</v>
      </c>
      <c r="X86" s="33"/>
      <c r="Y86" s="33"/>
      <c r="Z86" s="42"/>
      <c r="AA86" s="60"/>
      <c r="AB86" s="105"/>
      <c r="AC86" s="93"/>
      <c r="AD86" s="33">
        <f t="shared" si="43"/>
        <v>0</v>
      </c>
      <c r="AE86" s="33">
        <f t="shared" si="44"/>
        <v>-5662</v>
      </c>
      <c r="AF86" s="101">
        <f t="shared" si="45"/>
        <v>0</v>
      </c>
    </row>
    <row r="87" spans="2:32" ht="13" hidden="1" outlineLevel="1" x14ac:dyDescent="0.3">
      <c r="B87" s="31" t="s">
        <v>119</v>
      </c>
      <c r="C87" s="33">
        <v>0</v>
      </c>
      <c r="D87" s="33">
        <v>0</v>
      </c>
      <c r="E87" s="23">
        <v>0</v>
      </c>
      <c r="F87" s="23">
        <v>0</v>
      </c>
      <c r="G87" s="23">
        <v>0</v>
      </c>
      <c r="H87" s="23">
        <v>0</v>
      </c>
      <c r="I87" s="23">
        <v>0</v>
      </c>
      <c r="J87" s="23">
        <v>0</v>
      </c>
      <c r="K87" s="23">
        <f t="shared" si="37"/>
        <v>0</v>
      </c>
      <c r="L87" s="33">
        <f t="shared" si="38"/>
        <v>0</v>
      </c>
      <c r="M87" s="33">
        <f t="shared" si="39"/>
        <v>0</v>
      </c>
      <c r="N87" s="33">
        <v>0</v>
      </c>
      <c r="O87" s="33">
        <v>0</v>
      </c>
      <c r="P87" s="33">
        <v>0</v>
      </c>
      <c r="Q87" s="33">
        <v>0</v>
      </c>
      <c r="R87" s="33">
        <v>0</v>
      </c>
      <c r="S87" s="33">
        <f t="shared" si="40"/>
        <v>0</v>
      </c>
      <c r="T87" s="38" t="str">
        <f t="shared" si="41"/>
        <v>∞</v>
      </c>
      <c r="U87" s="59">
        <f t="shared" si="42"/>
        <v>0</v>
      </c>
      <c r="V87" s="33">
        <v>0</v>
      </c>
      <c r="W87" s="33">
        <v>0</v>
      </c>
      <c r="X87" s="33"/>
      <c r="Y87" s="33"/>
      <c r="Z87" s="42"/>
      <c r="AA87" s="60"/>
      <c r="AB87" s="105"/>
      <c r="AC87" s="93"/>
      <c r="AD87" s="33">
        <f t="shared" si="43"/>
        <v>0</v>
      </c>
      <c r="AE87" s="33">
        <f t="shared" si="44"/>
        <v>0</v>
      </c>
      <c r="AF87" s="101">
        <f t="shared" si="45"/>
        <v>0</v>
      </c>
    </row>
    <row r="88" spans="2:32" ht="13" hidden="1" outlineLevel="1" x14ac:dyDescent="0.3">
      <c r="B88" s="31" t="s">
        <v>120</v>
      </c>
      <c r="C88" s="33">
        <v>0</v>
      </c>
      <c r="D88" s="33">
        <v>0</v>
      </c>
      <c r="E88" s="23">
        <v>0</v>
      </c>
      <c r="F88" s="23">
        <v>0</v>
      </c>
      <c r="G88" s="23">
        <v>0</v>
      </c>
      <c r="H88" s="23">
        <v>0</v>
      </c>
      <c r="I88" s="23">
        <v>0</v>
      </c>
      <c r="J88" s="23">
        <v>0</v>
      </c>
      <c r="K88" s="23">
        <f t="shared" si="37"/>
        <v>0</v>
      </c>
      <c r="L88" s="33">
        <f t="shared" si="38"/>
        <v>0</v>
      </c>
      <c r="M88" s="33">
        <f t="shared" si="39"/>
        <v>0</v>
      </c>
      <c r="N88" s="33">
        <v>0</v>
      </c>
      <c r="O88" s="33">
        <v>0</v>
      </c>
      <c r="P88" s="33">
        <v>0</v>
      </c>
      <c r="Q88" s="33">
        <v>0</v>
      </c>
      <c r="R88" s="33">
        <v>0</v>
      </c>
      <c r="S88" s="33">
        <f t="shared" si="40"/>
        <v>0</v>
      </c>
      <c r="T88" s="38" t="str">
        <f t="shared" si="41"/>
        <v>∞</v>
      </c>
      <c r="U88" s="59">
        <f t="shared" si="42"/>
        <v>0</v>
      </c>
      <c r="V88" s="33">
        <v>0</v>
      </c>
      <c r="W88" s="33">
        <v>0</v>
      </c>
      <c r="X88" s="33"/>
      <c r="Y88" s="33"/>
      <c r="Z88" s="42"/>
      <c r="AA88" s="60"/>
      <c r="AB88" s="105"/>
      <c r="AC88" s="93"/>
      <c r="AD88" s="33">
        <f t="shared" si="43"/>
        <v>0</v>
      </c>
      <c r="AE88" s="33">
        <f t="shared" si="44"/>
        <v>0</v>
      </c>
      <c r="AF88" s="101">
        <f t="shared" si="45"/>
        <v>0</v>
      </c>
    </row>
    <row r="89" spans="2:32" ht="13" outlineLevel="1" x14ac:dyDescent="0.3">
      <c r="B89" s="31" t="s">
        <v>121</v>
      </c>
      <c r="C89" s="33">
        <v>0</v>
      </c>
      <c r="D89" s="33">
        <v>0</v>
      </c>
      <c r="E89" s="23">
        <v>0</v>
      </c>
      <c r="F89" s="23">
        <v>0</v>
      </c>
      <c r="G89" s="23">
        <v>0</v>
      </c>
      <c r="H89" s="23">
        <v>0</v>
      </c>
      <c r="I89" s="23">
        <v>0</v>
      </c>
      <c r="J89" s="23">
        <v>0</v>
      </c>
      <c r="K89" s="23">
        <f t="shared" si="37"/>
        <v>0</v>
      </c>
      <c r="L89" s="33">
        <f t="shared" si="38"/>
        <v>0</v>
      </c>
      <c r="M89" s="33">
        <f t="shared" si="39"/>
        <v>0</v>
      </c>
      <c r="N89" s="33">
        <v>0</v>
      </c>
      <c r="O89" s="33">
        <v>-3105</v>
      </c>
      <c r="P89" s="33">
        <v>0</v>
      </c>
      <c r="Q89" s="33">
        <v>-3105</v>
      </c>
      <c r="R89" s="33">
        <v>0</v>
      </c>
      <c r="S89" s="33">
        <f t="shared" si="40"/>
        <v>-3105</v>
      </c>
      <c r="T89" s="38" t="str">
        <f t="shared" si="41"/>
        <v>∞</v>
      </c>
      <c r="U89" s="59">
        <f t="shared" si="42"/>
        <v>0</v>
      </c>
      <c r="V89" s="33">
        <v>0</v>
      </c>
      <c r="W89" s="33">
        <v>0</v>
      </c>
      <c r="X89" s="33"/>
      <c r="Y89" s="33"/>
      <c r="Z89" s="42"/>
      <c r="AA89" s="60"/>
      <c r="AB89" s="105"/>
      <c r="AC89" s="93"/>
      <c r="AD89" s="33">
        <f t="shared" si="43"/>
        <v>0</v>
      </c>
      <c r="AE89" s="33">
        <f t="shared" si="44"/>
        <v>-3105</v>
      </c>
      <c r="AF89" s="101">
        <f t="shared" si="45"/>
        <v>-3105</v>
      </c>
    </row>
    <row r="90" spans="2:32" ht="13" outlineLevel="1" x14ac:dyDescent="0.3">
      <c r="B90" s="31" t="s">
        <v>122</v>
      </c>
      <c r="C90" s="33">
        <v>0</v>
      </c>
      <c r="D90" s="33">
        <v>0</v>
      </c>
      <c r="E90" s="23">
        <v>0</v>
      </c>
      <c r="F90" s="23">
        <v>0</v>
      </c>
      <c r="G90" s="23">
        <v>0</v>
      </c>
      <c r="H90" s="23">
        <v>0</v>
      </c>
      <c r="I90" s="23">
        <v>0</v>
      </c>
      <c r="J90" s="23">
        <v>0</v>
      </c>
      <c r="K90" s="23">
        <f t="shared" si="37"/>
        <v>0</v>
      </c>
      <c r="L90" s="33">
        <f t="shared" si="38"/>
        <v>0</v>
      </c>
      <c r="M90" s="33">
        <f t="shared" si="39"/>
        <v>0</v>
      </c>
      <c r="N90" s="33">
        <v>0</v>
      </c>
      <c r="O90" s="33">
        <v>3105</v>
      </c>
      <c r="P90" s="33">
        <v>0</v>
      </c>
      <c r="Q90" s="33">
        <v>3105</v>
      </c>
      <c r="R90" s="33">
        <v>0</v>
      </c>
      <c r="S90" s="33">
        <f t="shared" si="40"/>
        <v>3105</v>
      </c>
      <c r="T90" s="38" t="str">
        <f t="shared" si="41"/>
        <v>∞</v>
      </c>
      <c r="U90" s="59">
        <f t="shared" si="42"/>
        <v>0</v>
      </c>
      <c r="V90" s="33">
        <v>0</v>
      </c>
      <c r="W90" s="33">
        <v>0</v>
      </c>
      <c r="X90" s="33"/>
      <c r="Y90" s="33"/>
      <c r="Z90" s="42"/>
      <c r="AA90" s="60"/>
      <c r="AB90" s="105"/>
      <c r="AC90" s="93"/>
      <c r="AD90" s="33">
        <f t="shared" si="43"/>
        <v>0</v>
      </c>
      <c r="AE90" s="33">
        <f t="shared" si="44"/>
        <v>3105</v>
      </c>
      <c r="AF90" s="101">
        <f t="shared" si="45"/>
        <v>3105</v>
      </c>
    </row>
    <row r="91" spans="2:32" ht="13" outlineLevel="1" x14ac:dyDescent="0.3">
      <c r="B91" s="31" t="s">
        <v>123</v>
      </c>
      <c r="C91" s="33">
        <v>0</v>
      </c>
      <c r="D91" s="33">
        <v>0</v>
      </c>
      <c r="E91" s="23">
        <v>0</v>
      </c>
      <c r="F91" s="23">
        <v>0</v>
      </c>
      <c r="G91" s="23">
        <v>0</v>
      </c>
      <c r="H91" s="23">
        <v>0</v>
      </c>
      <c r="I91" s="23">
        <v>0</v>
      </c>
      <c r="J91" s="23">
        <v>0</v>
      </c>
      <c r="K91" s="23">
        <f t="shared" si="37"/>
        <v>0</v>
      </c>
      <c r="L91" s="33">
        <f t="shared" si="38"/>
        <v>0</v>
      </c>
      <c r="M91" s="33">
        <f t="shared" si="39"/>
        <v>0</v>
      </c>
      <c r="N91" s="33">
        <v>0</v>
      </c>
      <c r="O91" s="33">
        <v>123</v>
      </c>
      <c r="P91" s="33">
        <v>0</v>
      </c>
      <c r="Q91" s="33">
        <v>123</v>
      </c>
      <c r="R91" s="33">
        <v>0</v>
      </c>
      <c r="S91" s="33">
        <f t="shared" si="40"/>
        <v>123</v>
      </c>
      <c r="T91" s="38" t="str">
        <f t="shared" si="41"/>
        <v>∞</v>
      </c>
      <c r="U91" s="59">
        <f t="shared" si="42"/>
        <v>0</v>
      </c>
      <c r="V91" s="33">
        <v>0</v>
      </c>
      <c r="W91" s="33">
        <v>0</v>
      </c>
      <c r="X91" s="33"/>
      <c r="Y91" s="33"/>
      <c r="Z91" s="42"/>
      <c r="AA91" s="60"/>
      <c r="AB91" s="105"/>
      <c r="AC91" s="93"/>
      <c r="AD91" s="33">
        <f t="shared" si="43"/>
        <v>0</v>
      </c>
      <c r="AE91" s="33">
        <f t="shared" si="44"/>
        <v>123</v>
      </c>
      <c r="AF91" s="101">
        <f t="shared" si="45"/>
        <v>123</v>
      </c>
    </row>
    <row r="92" spans="2:32" ht="13" outlineLevel="1" x14ac:dyDescent="0.3">
      <c r="B92" s="31" t="s">
        <v>124</v>
      </c>
      <c r="C92" s="33">
        <v>0</v>
      </c>
      <c r="D92" s="33">
        <v>0</v>
      </c>
      <c r="E92" s="23">
        <v>0</v>
      </c>
      <c r="F92" s="23">
        <v>0</v>
      </c>
      <c r="G92" s="23">
        <v>0</v>
      </c>
      <c r="H92" s="23">
        <v>0</v>
      </c>
      <c r="I92" s="23">
        <v>0</v>
      </c>
      <c r="J92" s="23">
        <v>0</v>
      </c>
      <c r="K92" s="23">
        <f t="shared" si="37"/>
        <v>0</v>
      </c>
      <c r="L92" s="33">
        <f t="shared" si="38"/>
        <v>0</v>
      </c>
      <c r="M92" s="33">
        <f t="shared" si="39"/>
        <v>0</v>
      </c>
      <c r="N92" s="33">
        <v>0</v>
      </c>
      <c r="O92" s="33">
        <v>53</v>
      </c>
      <c r="P92" s="33">
        <v>0</v>
      </c>
      <c r="Q92" s="33">
        <v>53</v>
      </c>
      <c r="R92" s="33">
        <v>0</v>
      </c>
      <c r="S92" s="33">
        <f t="shared" si="40"/>
        <v>53</v>
      </c>
      <c r="T92" s="38" t="str">
        <f t="shared" si="41"/>
        <v>∞</v>
      </c>
      <c r="U92" s="59">
        <f t="shared" si="42"/>
        <v>0</v>
      </c>
      <c r="V92" s="33">
        <v>0</v>
      </c>
      <c r="W92" s="33">
        <v>0</v>
      </c>
      <c r="X92" s="33"/>
      <c r="Y92" s="33"/>
      <c r="Z92" s="42"/>
      <c r="AA92" s="60"/>
      <c r="AB92" s="105"/>
      <c r="AC92" s="93"/>
      <c r="AD92" s="33">
        <f t="shared" si="43"/>
        <v>0</v>
      </c>
      <c r="AE92" s="33">
        <f t="shared" si="44"/>
        <v>53</v>
      </c>
      <c r="AF92" s="101">
        <f t="shared" si="45"/>
        <v>53</v>
      </c>
    </row>
    <row r="93" spans="2:32" ht="13" outlineLevel="1" x14ac:dyDescent="0.3">
      <c r="B93" s="31" t="s">
        <v>125</v>
      </c>
      <c r="C93" s="33">
        <v>0</v>
      </c>
      <c r="D93" s="33">
        <v>0</v>
      </c>
      <c r="E93" s="23">
        <v>0</v>
      </c>
      <c r="F93" s="23">
        <v>0</v>
      </c>
      <c r="G93" s="23">
        <v>0</v>
      </c>
      <c r="H93" s="23">
        <v>0</v>
      </c>
      <c r="I93" s="23">
        <v>0</v>
      </c>
      <c r="J93" s="23">
        <v>0</v>
      </c>
      <c r="K93" s="23">
        <f t="shared" si="37"/>
        <v>0</v>
      </c>
      <c r="L93" s="33">
        <f t="shared" si="38"/>
        <v>0</v>
      </c>
      <c r="M93" s="33">
        <f t="shared" si="39"/>
        <v>0</v>
      </c>
      <c r="N93" s="33">
        <v>0</v>
      </c>
      <c r="O93" s="33">
        <v>77</v>
      </c>
      <c r="P93" s="33">
        <v>0</v>
      </c>
      <c r="Q93" s="33">
        <v>77</v>
      </c>
      <c r="R93" s="33">
        <v>0</v>
      </c>
      <c r="S93" s="33">
        <f t="shared" si="40"/>
        <v>77</v>
      </c>
      <c r="T93" s="38" t="str">
        <f t="shared" si="41"/>
        <v>∞</v>
      </c>
      <c r="U93" s="59">
        <f t="shared" si="42"/>
        <v>0</v>
      </c>
      <c r="V93" s="33">
        <v>0</v>
      </c>
      <c r="W93" s="33">
        <v>0</v>
      </c>
      <c r="X93" s="33"/>
      <c r="Y93" s="33"/>
      <c r="Z93" s="42"/>
      <c r="AA93" s="60"/>
      <c r="AB93" s="105"/>
      <c r="AC93" s="93"/>
      <c r="AD93" s="33">
        <f t="shared" si="43"/>
        <v>0</v>
      </c>
      <c r="AE93" s="33">
        <f t="shared" si="44"/>
        <v>77</v>
      </c>
      <c r="AF93" s="101">
        <f t="shared" si="45"/>
        <v>77</v>
      </c>
    </row>
    <row r="94" spans="2:32" ht="13" outlineLevel="1" x14ac:dyDescent="0.3">
      <c r="B94" s="31" t="s">
        <v>126</v>
      </c>
      <c r="C94" s="33">
        <v>0</v>
      </c>
      <c r="D94" s="33">
        <v>0</v>
      </c>
      <c r="E94" s="23">
        <v>0</v>
      </c>
      <c r="F94" s="23">
        <v>0</v>
      </c>
      <c r="G94" s="23">
        <v>0</v>
      </c>
      <c r="H94" s="23">
        <v>0</v>
      </c>
      <c r="I94" s="23">
        <v>0</v>
      </c>
      <c r="J94" s="23">
        <v>0</v>
      </c>
      <c r="K94" s="23">
        <f t="shared" si="37"/>
        <v>0</v>
      </c>
      <c r="L94" s="33">
        <f t="shared" si="38"/>
        <v>0</v>
      </c>
      <c r="M94" s="33">
        <f t="shared" si="39"/>
        <v>0</v>
      </c>
      <c r="N94" s="33">
        <v>0</v>
      </c>
      <c r="O94" s="33">
        <v>-77</v>
      </c>
      <c r="P94" s="33">
        <v>0</v>
      </c>
      <c r="Q94" s="33">
        <v>-77</v>
      </c>
      <c r="R94" s="33">
        <v>0</v>
      </c>
      <c r="S94" s="33">
        <f t="shared" si="40"/>
        <v>-77</v>
      </c>
      <c r="T94" s="38" t="str">
        <f t="shared" si="41"/>
        <v>∞</v>
      </c>
      <c r="U94" s="59">
        <f t="shared" si="42"/>
        <v>0</v>
      </c>
      <c r="V94" s="33">
        <v>0</v>
      </c>
      <c r="W94" s="33">
        <v>0</v>
      </c>
      <c r="X94" s="33"/>
      <c r="Y94" s="33"/>
      <c r="Z94" s="42"/>
      <c r="AA94" s="60"/>
      <c r="AB94" s="105"/>
      <c r="AC94" s="93"/>
      <c r="AD94" s="33">
        <f t="shared" si="43"/>
        <v>0</v>
      </c>
      <c r="AE94" s="33">
        <f t="shared" si="44"/>
        <v>-77</v>
      </c>
      <c r="AF94" s="101">
        <f t="shared" si="45"/>
        <v>-77</v>
      </c>
    </row>
    <row r="95" spans="2:32" ht="13" outlineLevel="1" x14ac:dyDescent="0.3">
      <c r="B95" s="31" t="s">
        <v>127</v>
      </c>
      <c r="C95" s="33">
        <v>0</v>
      </c>
      <c r="D95" s="33">
        <v>0</v>
      </c>
      <c r="E95" s="23">
        <v>0</v>
      </c>
      <c r="F95" s="23">
        <v>0</v>
      </c>
      <c r="G95" s="23">
        <v>0</v>
      </c>
      <c r="H95" s="23">
        <v>0</v>
      </c>
      <c r="I95" s="23">
        <v>0</v>
      </c>
      <c r="J95" s="23">
        <v>0</v>
      </c>
      <c r="K95" s="23">
        <f t="shared" si="37"/>
        <v>0</v>
      </c>
      <c r="L95" s="33">
        <f t="shared" si="38"/>
        <v>0</v>
      </c>
      <c r="M95" s="33">
        <f t="shared" si="39"/>
        <v>0</v>
      </c>
      <c r="N95" s="33">
        <v>0</v>
      </c>
      <c r="O95" s="33">
        <v>12473</v>
      </c>
      <c r="P95" s="33">
        <v>0</v>
      </c>
      <c r="Q95" s="33">
        <v>12473</v>
      </c>
      <c r="R95" s="33">
        <v>0</v>
      </c>
      <c r="S95" s="33">
        <f t="shared" si="40"/>
        <v>12473</v>
      </c>
      <c r="T95" s="38" t="str">
        <f t="shared" si="41"/>
        <v>∞</v>
      </c>
      <c r="U95" s="59">
        <f t="shared" si="42"/>
        <v>0</v>
      </c>
      <c r="V95" s="33">
        <v>0</v>
      </c>
      <c r="W95" s="33">
        <v>0</v>
      </c>
      <c r="X95" s="33"/>
      <c r="Y95" s="33"/>
      <c r="Z95" s="42"/>
      <c r="AA95" s="60"/>
      <c r="AB95" s="105"/>
      <c r="AC95" s="93"/>
      <c r="AD95" s="33">
        <f t="shared" si="43"/>
        <v>0</v>
      </c>
      <c r="AE95" s="33">
        <f t="shared" si="44"/>
        <v>12473</v>
      </c>
      <c r="AF95" s="101">
        <f t="shared" si="45"/>
        <v>12473</v>
      </c>
    </row>
    <row r="96" spans="2:32" ht="13" outlineLevel="1" x14ac:dyDescent="0.3">
      <c r="B96" s="31" t="s">
        <v>128</v>
      </c>
      <c r="C96" s="33">
        <v>0</v>
      </c>
      <c r="D96" s="33">
        <v>0</v>
      </c>
      <c r="E96" s="23">
        <v>0</v>
      </c>
      <c r="F96" s="23">
        <v>0</v>
      </c>
      <c r="G96" s="23">
        <v>0</v>
      </c>
      <c r="H96" s="23">
        <v>0</v>
      </c>
      <c r="I96" s="23">
        <v>0</v>
      </c>
      <c r="J96" s="23">
        <v>0</v>
      </c>
      <c r="K96" s="23">
        <f t="shared" si="37"/>
        <v>0</v>
      </c>
      <c r="L96" s="33">
        <f t="shared" si="38"/>
        <v>0</v>
      </c>
      <c r="M96" s="33">
        <f t="shared" si="39"/>
        <v>0</v>
      </c>
      <c r="N96" s="33">
        <v>0</v>
      </c>
      <c r="O96" s="33">
        <v>-12051</v>
      </c>
      <c r="P96" s="33">
        <v>0</v>
      </c>
      <c r="Q96" s="33">
        <v>-12051</v>
      </c>
      <c r="R96" s="33">
        <v>0</v>
      </c>
      <c r="S96" s="33">
        <f t="shared" si="40"/>
        <v>-12051</v>
      </c>
      <c r="T96" s="38" t="str">
        <f t="shared" si="41"/>
        <v>∞</v>
      </c>
      <c r="U96" s="59">
        <f t="shared" si="42"/>
        <v>0</v>
      </c>
      <c r="V96" s="33">
        <v>0</v>
      </c>
      <c r="W96" s="33">
        <v>0</v>
      </c>
      <c r="X96" s="33"/>
      <c r="Y96" s="33"/>
      <c r="Z96" s="42"/>
      <c r="AA96" s="60"/>
      <c r="AB96" s="105"/>
      <c r="AC96" s="93"/>
      <c r="AD96" s="33">
        <f t="shared" si="43"/>
        <v>0</v>
      </c>
      <c r="AE96" s="33">
        <f t="shared" si="44"/>
        <v>-12051</v>
      </c>
      <c r="AF96" s="101">
        <f t="shared" si="45"/>
        <v>-12051</v>
      </c>
    </row>
    <row r="97" spans="2:32" ht="13" outlineLevel="1" x14ac:dyDescent="0.3">
      <c r="B97" s="31" t="s">
        <v>129</v>
      </c>
      <c r="C97" s="33">
        <v>0</v>
      </c>
      <c r="D97" s="33">
        <v>0</v>
      </c>
      <c r="E97" s="23">
        <v>0</v>
      </c>
      <c r="F97" s="23">
        <v>0</v>
      </c>
      <c r="G97" s="23">
        <v>0</v>
      </c>
      <c r="H97" s="23">
        <v>0</v>
      </c>
      <c r="I97" s="23">
        <v>0</v>
      </c>
      <c r="J97" s="23">
        <v>0</v>
      </c>
      <c r="K97" s="23">
        <f t="shared" si="37"/>
        <v>0</v>
      </c>
      <c r="L97" s="33">
        <f t="shared" si="38"/>
        <v>0</v>
      </c>
      <c r="M97" s="33">
        <f t="shared" si="39"/>
        <v>0</v>
      </c>
      <c r="N97" s="33">
        <v>0</v>
      </c>
      <c r="O97" s="33">
        <v>-422</v>
      </c>
      <c r="P97" s="33">
        <v>0</v>
      </c>
      <c r="Q97" s="33">
        <v>-422</v>
      </c>
      <c r="R97" s="33">
        <v>0</v>
      </c>
      <c r="S97" s="33">
        <f t="shared" si="40"/>
        <v>-422</v>
      </c>
      <c r="T97" s="38" t="str">
        <f t="shared" si="41"/>
        <v>∞</v>
      </c>
      <c r="U97" s="59">
        <f t="shared" si="42"/>
        <v>0</v>
      </c>
      <c r="V97" s="33">
        <v>0</v>
      </c>
      <c r="W97" s="33">
        <v>0</v>
      </c>
      <c r="X97" s="33"/>
      <c r="Y97" s="33"/>
      <c r="Z97" s="42"/>
      <c r="AA97" s="60"/>
      <c r="AB97" s="105"/>
      <c r="AC97" s="93"/>
      <c r="AD97" s="33">
        <f t="shared" si="43"/>
        <v>0</v>
      </c>
      <c r="AE97" s="33">
        <f t="shared" si="44"/>
        <v>-422</v>
      </c>
      <c r="AF97" s="101">
        <f t="shared" si="45"/>
        <v>-422</v>
      </c>
    </row>
    <row r="98" spans="2:32" ht="13" outlineLevel="1" x14ac:dyDescent="0.3">
      <c r="B98" s="31" t="s">
        <v>130</v>
      </c>
      <c r="C98" s="33">
        <v>0</v>
      </c>
      <c r="D98" s="33">
        <v>0</v>
      </c>
      <c r="E98" s="23">
        <v>0</v>
      </c>
      <c r="F98" s="23">
        <v>0</v>
      </c>
      <c r="G98" s="23">
        <v>0</v>
      </c>
      <c r="H98" s="23">
        <v>0</v>
      </c>
      <c r="I98" s="23">
        <v>0</v>
      </c>
      <c r="J98" s="23">
        <v>0</v>
      </c>
      <c r="K98" s="23">
        <f t="shared" si="37"/>
        <v>0</v>
      </c>
      <c r="L98" s="33">
        <f t="shared" si="38"/>
        <v>0</v>
      </c>
      <c r="M98" s="33">
        <f t="shared" si="39"/>
        <v>0</v>
      </c>
      <c r="N98" s="33">
        <v>0</v>
      </c>
      <c r="O98" s="33">
        <v>5355</v>
      </c>
      <c r="P98" s="33">
        <v>0</v>
      </c>
      <c r="Q98" s="33">
        <v>5355</v>
      </c>
      <c r="R98" s="33">
        <v>0</v>
      </c>
      <c r="S98" s="33">
        <f t="shared" si="40"/>
        <v>5355</v>
      </c>
      <c r="T98" s="38" t="str">
        <f t="shared" si="41"/>
        <v>∞</v>
      </c>
      <c r="U98" s="59">
        <f t="shared" si="42"/>
        <v>0</v>
      </c>
      <c r="V98" s="33">
        <v>0</v>
      </c>
      <c r="W98" s="33">
        <v>0</v>
      </c>
      <c r="X98" s="33"/>
      <c r="Y98" s="33"/>
      <c r="Z98" s="42"/>
      <c r="AA98" s="60"/>
      <c r="AB98" s="105"/>
      <c r="AC98" s="93"/>
      <c r="AD98" s="33">
        <f t="shared" si="43"/>
        <v>0</v>
      </c>
      <c r="AE98" s="33">
        <f t="shared" si="44"/>
        <v>5355</v>
      </c>
      <c r="AF98" s="101">
        <f t="shared" si="45"/>
        <v>5355</v>
      </c>
    </row>
    <row r="99" spans="2:32" ht="13" outlineLevel="1" x14ac:dyDescent="0.3">
      <c r="B99" s="31" t="s">
        <v>131</v>
      </c>
      <c r="C99" s="33">
        <v>0</v>
      </c>
      <c r="D99" s="33">
        <v>0</v>
      </c>
      <c r="E99" s="23">
        <v>0</v>
      </c>
      <c r="F99" s="23">
        <v>0</v>
      </c>
      <c r="G99" s="23">
        <v>0</v>
      </c>
      <c r="H99" s="23">
        <v>0</v>
      </c>
      <c r="I99" s="23">
        <v>0</v>
      </c>
      <c r="J99" s="23">
        <v>0</v>
      </c>
      <c r="K99" s="23">
        <f t="shared" si="37"/>
        <v>0</v>
      </c>
      <c r="L99" s="33">
        <f t="shared" si="38"/>
        <v>0</v>
      </c>
      <c r="M99" s="33">
        <f t="shared" si="39"/>
        <v>0</v>
      </c>
      <c r="N99" s="33">
        <v>0</v>
      </c>
      <c r="O99" s="33">
        <v>0</v>
      </c>
      <c r="P99" s="33">
        <v>-5355</v>
      </c>
      <c r="Q99" s="33">
        <v>-5355</v>
      </c>
      <c r="R99" s="33">
        <v>0</v>
      </c>
      <c r="S99" s="33">
        <f t="shared" si="40"/>
        <v>-5355</v>
      </c>
      <c r="T99" s="38" t="str">
        <f t="shared" si="41"/>
        <v>∞</v>
      </c>
      <c r="U99" s="59">
        <f t="shared" si="42"/>
        <v>0</v>
      </c>
      <c r="V99" s="33">
        <v>0</v>
      </c>
      <c r="W99" s="33">
        <v>0</v>
      </c>
      <c r="X99" s="33"/>
      <c r="Y99" s="33"/>
      <c r="Z99" s="42"/>
      <c r="AA99" s="60"/>
      <c r="AB99" s="105"/>
      <c r="AC99" s="93"/>
      <c r="AD99" s="33">
        <f t="shared" si="43"/>
        <v>0</v>
      </c>
      <c r="AE99" s="33">
        <f t="shared" si="44"/>
        <v>-5355</v>
      </c>
      <c r="AF99" s="101">
        <f t="shared" si="45"/>
        <v>-5355</v>
      </c>
    </row>
    <row r="100" spans="2:32" ht="13" outlineLevel="1" x14ac:dyDescent="0.3">
      <c r="B100" s="31" t="s">
        <v>132</v>
      </c>
      <c r="C100" s="33">
        <v>14098</v>
      </c>
      <c r="D100" s="33">
        <v>14098</v>
      </c>
      <c r="E100" s="23">
        <v>0</v>
      </c>
      <c r="F100" s="23">
        <v>0</v>
      </c>
      <c r="G100" s="23">
        <v>0</v>
      </c>
      <c r="H100" s="23">
        <v>0</v>
      </c>
      <c r="I100" s="23">
        <v>0</v>
      </c>
      <c r="J100" s="23">
        <v>0</v>
      </c>
      <c r="K100" s="23">
        <f t="shared" si="37"/>
        <v>0</v>
      </c>
      <c r="L100" s="33">
        <f t="shared" si="38"/>
        <v>0</v>
      </c>
      <c r="M100" s="33">
        <f t="shared" si="39"/>
        <v>0</v>
      </c>
      <c r="N100" s="33">
        <v>14098</v>
      </c>
      <c r="O100" s="33">
        <v>23395</v>
      </c>
      <c r="P100" s="33">
        <v>0</v>
      </c>
      <c r="Q100" s="33">
        <v>23395</v>
      </c>
      <c r="R100" s="33">
        <v>14098</v>
      </c>
      <c r="S100" s="33">
        <f t="shared" si="40"/>
        <v>9297</v>
      </c>
      <c r="T100" s="38">
        <f t="shared" si="41"/>
        <v>1.6594552418782806</v>
      </c>
      <c r="U100" s="59">
        <f t="shared" si="42"/>
        <v>14098</v>
      </c>
      <c r="V100" s="33">
        <v>0</v>
      </c>
      <c r="W100" s="33">
        <v>0</v>
      </c>
      <c r="X100" s="33"/>
      <c r="Y100" s="33"/>
      <c r="Z100" s="42"/>
      <c r="AA100" s="60"/>
      <c r="AB100" s="105"/>
      <c r="AC100" s="93"/>
      <c r="AD100" s="33">
        <f t="shared" si="43"/>
        <v>0</v>
      </c>
      <c r="AE100" s="33">
        <f t="shared" si="44"/>
        <v>23395</v>
      </c>
      <c r="AF100" s="101">
        <f t="shared" si="45"/>
        <v>9297</v>
      </c>
    </row>
    <row r="101" spans="2:32" ht="13" outlineLevel="1" x14ac:dyDescent="0.3">
      <c r="B101" s="31" t="s">
        <v>133</v>
      </c>
      <c r="C101" s="33">
        <v>-20581</v>
      </c>
      <c r="D101" s="33">
        <v>-20581</v>
      </c>
      <c r="E101" s="23">
        <v>0</v>
      </c>
      <c r="F101" s="23">
        <v>0</v>
      </c>
      <c r="G101" s="23">
        <v>0</v>
      </c>
      <c r="H101" s="23">
        <v>0</v>
      </c>
      <c r="I101" s="23">
        <v>0</v>
      </c>
      <c r="J101" s="23">
        <v>0</v>
      </c>
      <c r="K101" s="23">
        <f t="shared" si="37"/>
        <v>0</v>
      </c>
      <c r="L101" s="33">
        <f t="shared" si="38"/>
        <v>0</v>
      </c>
      <c r="M101" s="33">
        <f t="shared" si="39"/>
        <v>0</v>
      </c>
      <c r="N101" s="33">
        <v>-20581</v>
      </c>
      <c r="O101" s="33">
        <v>-32368</v>
      </c>
      <c r="P101" s="33">
        <v>0</v>
      </c>
      <c r="Q101" s="33">
        <v>-32368</v>
      </c>
      <c r="R101" s="33">
        <v>-20581</v>
      </c>
      <c r="S101" s="33">
        <f t="shared" si="40"/>
        <v>-11787</v>
      </c>
      <c r="T101" s="38">
        <f t="shared" si="41"/>
        <v>1.5727126961760847</v>
      </c>
      <c r="U101" s="59">
        <f t="shared" si="42"/>
        <v>-20581</v>
      </c>
      <c r="V101" s="33">
        <v>0</v>
      </c>
      <c r="W101" s="33">
        <v>0</v>
      </c>
      <c r="X101" s="33"/>
      <c r="Y101" s="33"/>
      <c r="Z101" s="42"/>
      <c r="AA101" s="60"/>
      <c r="AB101" s="105"/>
      <c r="AC101" s="93"/>
      <c r="AD101" s="33">
        <f t="shared" si="43"/>
        <v>0</v>
      </c>
      <c r="AE101" s="33">
        <f t="shared" si="44"/>
        <v>-32368</v>
      </c>
      <c r="AF101" s="101">
        <f t="shared" si="45"/>
        <v>-11787</v>
      </c>
    </row>
    <row r="102" spans="2:32" ht="13" outlineLevel="1" x14ac:dyDescent="0.3">
      <c r="B102" s="31" t="s">
        <v>134</v>
      </c>
      <c r="C102" s="33">
        <v>-3149</v>
      </c>
      <c r="D102" s="33">
        <v>-3149</v>
      </c>
      <c r="E102" s="23">
        <v>0</v>
      </c>
      <c r="F102" s="23">
        <v>0</v>
      </c>
      <c r="G102" s="23">
        <v>0</v>
      </c>
      <c r="H102" s="23">
        <v>0</v>
      </c>
      <c r="I102" s="23">
        <v>0</v>
      </c>
      <c r="J102" s="23">
        <v>0</v>
      </c>
      <c r="K102" s="23">
        <f t="shared" si="37"/>
        <v>0</v>
      </c>
      <c r="L102" s="33">
        <f t="shared" si="38"/>
        <v>0</v>
      </c>
      <c r="M102" s="33">
        <f t="shared" si="39"/>
        <v>0</v>
      </c>
      <c r="N102" s="33">
        <v>-3149</v>
      </c>
      <c r="O102" s="33">
        <v>0</v>
      </c>
      <c r="P102" s="33">
        <v>-3149</v>
      </c>
      <c r="Q102" s="33">
        <v>-3149</v>
      </c>
      <c r="R102" s="33">
        <v>-3149</v>
      </c>
      <c r="S102" s="33">
        <f t="shared" si="40"/>
        <v>0</v>
      </c>
      <c r="T102" s="38">
        <f t="shared" si="41"/>
        <v>1</v>
      </c>
      <c r="U102" s="59">
        <f t="shared" si="42"/>
        <v>-3149</v>
      </c>
      <c r="V102" s="33">
        <v>0</v>
      </c>
      <c r="W102" s="33">
        <v>0</v>
      </c>
      <c r="X102" s="33"/>
      <c r="Y102" s="33"/>
      <c r="Z102" s="42"/>
      <c r="AA102" s="60"/>
      <c r="AB102" s="105"/>
      <c r="AC102" s="93"/>
      <c r="AD102" s="33">
        <f t="shared" si="43"/>
        <v>0</v>
      </c>
      <c r="AE102" s="33">
        <f t="shared" si="44"/>
        <v>-3149</v>
      </c>
      <c r="AF102" s="101">
        <f t="shared" si="45"/>
        <v>0</v>
      </c>
    </row>
    <row r="103" spans="2:32"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6"/>
      <c r="AF103" s="99"/>
    </row>
    <row r="104" spans="2:32" ht="13.5" thickBot="1" x14ac:dyDescent="0.35">
      <c r="B104" s="68" t="s">
        <v>135</v>
      </c>
      <c r="C104" s="69">
        <f t="shared" ref="C104:J104" si="46">SUM(C85:C85,C86:C86,C87:C87,C88:C88,C89:C89,C90:C90,C91:C91,C92:C92,C93:C93,C94:C94,C95:C95,C96:C96,C97:C97,C98:C98,C99:C99,C100:C100,C101:C101,C102:C102)</f>
        <v>-9632</v>
      </c>
      <c r="D104" s="69">
        <f t="shared" si="46"/>
        <v>-9632</v>
      </c>
      <c r="E104" s="77">
        <f t="shared" si="46"/>
        <v>0</v>
      </c>
      <c r="F104" s="77">
        <f t="shared" si="46"/>
        <v>0</v>
      </c>
      <c r="G104" s="77">
        <f t="shared" si="46"/>
        <v>0</v>
      </c>
      <c r="H104" s="77">
        <f t="shared" si="46"/>
        <v>0</v>
      </c>
      <c r="I104" s="77">
        <f t="shared" si="46"/>
        <v>0</v>
      </c>
      <c r="J104" s="77">
        <f t="shared" si="46"/>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2220</v>
      </c>
      <c r="P104" s="69">
        <f>SUM(P85:P85,P86:P86,P87:P87,P88:P88,P89:P89,P90:P90,P91:P91,P92:P92,P93:P93,P94:P94,P95:P95,P96:P96,P97:P97,P98:P98,P99:P99,P100:P100,P101:P101,P102:P102)</f>
        <v>-14166</v>
      </c>
      <c r="Q104" s="69">
        <f>SUM(Q85:Q85,Q86:Q86,Q87:Q87,Q88:Q88,Q89:Q89,Q90:Q90,Q91:Q91,Q92:Q92,Q93:Q93,Q94:Q94,Q95:Q95,Q96:Q96,Q97:Q97,Q98:Q98,Q99:Q99,Q100:Q100,Q101:Q101,Q102:Q102)</f>
        <v>-11946</v>
      </c>
      <c r="R104" s="69">
        <f>SUM(R85:R85,R86:R86,R87:R87,R88:R88,R89:R89,R90:R90,R91:R91,R92:R92,R93:R93,R94:R94,R95:R95,R96:R96,R97:R97,R98:R98,R99:R99,R100:R100,R101:R101,R102:R102)</f>
        <v>-9632</v>
      </c>
      <c r="S104" s="69">
        <f>Q104-R104</f>
        <v>-2314</v>
      </c>
      <c r="T104" s="70">
        <f>IFERROR((Q104/N104)*100%,"∞")</f>
        <v>1.2402408637873754</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-11946</v>
      </c>
      <c r="AF104" s="69">
        <f>SUM(AF85:AF85,AF86:AF86,AF87:AF87,AF88:AF88,AF89:AF89,AF90:AF90,AF91:AF91,AF92:AF92,AF93:AF93,AF94:AF94,AF95:AF95,AF96:AF96,AF97:AF97,AF98:AF98,AF99:AF99,AF100:AF100,AF101:AF101,AF102:AF102)</f>
        <v>-2314</v>
      </c>
    </row>
    <row r="105" spans="2:32"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5"/>
    </row>
    <row r="106" spans="2:32" ht="13" x14ac:dyDescent="0.3">
      <c r="B106" s="78" t="s">
        <v>136</v>
      </c>
      <c r="C106" s="34">
        <f t="shared" ref="C106:J106" si="47">SUM(C107:C116,C117:C117)</f>
        <v>-1226</v>
      </c>
      <c r="D106" s="34">
        <f t="shared" si="47"/>
        <v>-949</v>
      </c>
      <c r="E106" s="24">
        <f t="shared" si="47"/>
        <v>33</v>
      </c>
      <c r="F106" s="24">
        <f t="shared" si="47"/>
        <v>0</v>
      </c>
      <c r="G106" s="24">
        <f t="shared" si="47"/>
        <v>277</v>
      </c>
      <c r="H106" s="24">
        <f t="shared" si="47"/>
        <v>0</v>
      </c>
      <c r="I106" s="24">
        <f t="shared" si="47"/>
        <v>0</v>
      </c>
      <c r="J106" s="24">
        <f t="shared" si="47"/>
        <v>0</v>
      </c>
      <c r="K106" s="24">
        <f>SUM(K107:K117)</f>
        <v>310</v>
      </c>
      <c r="L106" s="34">
        <f>N106-D106</f>
        <v>0</v>
      </c>
      <c r="M106" s="34">
        <f>N106-C106</f>
        <v>277</v>
      </c>
      <c r="N106" s="34">
        <f>SUM(N107:N116,N117:N117)</f>
        <v>-949</v>
      </c>
      <c r="O106" s="34">
        <f>SUM(O107:O116,O117:O117)</f>
        <v>60261</v>
      </c>
      <c r="P106" s="34">
        <f>SUM(P107:P116,P117:P117)</f>
        <v>-61146</v>
      </c>
      <c r="Q106" s="34">
        <f>SUM(Q107:Q116,Q117:Q117)</f>
        <v>-885</v>
      </c>
      <c r="R106" s="34">
        <f>SUM(R107:R116,R117:R117)</f>
        <v>-949</v>
      </c>
      <c r="S106" s="34">
        <f>Q106-R106</f>
        <v>64</v>
      </c>
      <c r="T106" s="94">
        <f>IFERROR((Q106/N106)*100%,"∞")</f>
        <v>0.93256059009483672</v>
      </c>
      <c r="U106" s="95">
        <f>N106+V106</f>
        <v>-949</v>
      </c>
      <c r="V106" s="34">
        <f>SUM(V107:V116,V117:V117)</f>
        <v>0</v>
      </c>
      <c r="W106" s="34">
        <f>SUM(W107:W116,W117:W117)</f>
        <v>0</v>
      </c>
      <c r="X106" s="34"/>
      <c r="Y106" s="34"/>
      <c r="Z106" s="41"/>
      <c r="AA106" s="60"/>
      <c r="AB106" s="100">
        <f>SUM(AB107:AB116,AB117:AB117)</f>
        <v>0</v>
      </c>
      <c r="AC106" s="33">
        <f>SUM(AC107:AC116,AC117:AC117)</f>
        <v>0</v>
      </c>
      <c r="AD106" s="33">
        <f>SUM(AD107:AD116,AD117:AD117)</f>
        <v>0</v>
      </c>
      <c r="AE106" s="33">
        <f>SUM(AE107:AE116,AE117:AE117)</f>
        <v>-885</v>
      </c>
      <c r="AF106" s="101">
        <f>SUM(AF107:AF116,AF117:AF117)</f>
        <v>64</v>
      </c>
    </row>
    <row r="107" spans="2:32" ht="13" outlineLevel="1" x14ac:dyDescent="0.3">
      <c r="B107" s="79" t="s">
        <v>137</v>
      </c>
      <c r="C107" s="33">
        <v>380</v>
      </c>
      <c r="D107" s="33">
        <v>430</v>
      </c>
      <c r="E107" s="23">
        <v>33</v>
      </c>
      <c r="F107" s="23">
        <v>0</v>
      </c>
      <c r="G107" s="23">
        <v>50</v>
      </c>
      <c r="H107" s="23">
        <v>0</v>
      </c>
      <c r="I107" s="23">
        <v>0</v>
      </c>
      <c r="J107" s="23">
        <v>0</v>
      </c>
      <c r="K107" s="23">
        <f>SUM(E107:J107)</f>
        <v>83</v>
      </c>
      <c r="L107" s="33">
        <f>N107-D107</f>
        <v>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101">
        <f>AE107-N107</f>
        <v>1406</v>
      </c>
    </row>
    <row r="108" spans="2:32" ht="13" outlineLevel="1" x14ac:dyDescent="0.3">
      <c r="B108" s="79" t="s">
        <v>138</v>
      </c>
      <c r="C108" s="33">
        <v>3062</v>
      </c>
      <c r="D108" s="33">
        <v>3062</v>
      </c>
      <c r="E108" s="23">
        <v>0</v>
      </c>
      <c r="F108" s="23">
        <v>0</v>
      </c>
      <c r="G108" s="23">
        <v>0</v>
      </c>
      <c r="H108" s="23">
        <v>0</v>
      </c>
      <c r="I108" s="23">
        <v>0</v>
      </c>
      <c r="J108" s="23">
        <v>0</v>
      </c>
      <c r="K108" s="23">
        <f t="shared" ref="K108:K115" si="48">SUM(E108:J108)</f>
        <v>0</v>
      </c>
      <c r="L108" s="33">
        <f t="shared" ref="L108:L115" si="49">N108-D108</f>
        <v>0</v>
      </c>
      <c r="M108" s="33">
        <f t="shared" ref="M108:M115" si="50">N108-C108</f>
        <v>0</v>
      </c>
      <c r="N108" s="33">
        <v>3062</v>
      </c>
      <c r="O108" s="33">
        <v>4505</v>
      </c>
      <c r="P108" s="33">
        <v>0</v>
      </c>
      <c r="Q108" s="33">
        <v>4505</v>
      </c>
      <c r="R108" s="33">
        <v>3062</v>
      </c>
      <c r="S108" s="33">
        <f t="shared" ref="S108:S115" si="51">Q108-R108</f>
        <v>1443</v>
      </c>
      <c r="T108" s="38">
        <f t="shared" ref="T108:T115" si="52">IFERROR((Q108/N108)*100%,"∞")</f>
        <v>1.4712606139777924</v>
      </c>
      <c r="U108" s="59">
        <f t="shared" ref="U108:U115" si="53">N108+V108</f>
        <v>3062</v>
      </c>
      <c r="V108" s="33">
        <v>0</v>
      </c>
      <c r="W108" s="33">
        <v>0</v>
      </c>
      <c r="X108" s="33"/>
      <c r="Y108" s="33"/>
      <c r="Z108" s="42"/>
      <c r="AA108" s="60"/>
      <c r="AB108" s="105"/>
      <c r="AC108" s="93"/>
      <c r="AD108" s="33">
        <f t="shared" ref="AD108:AD115" si="54">SUM(AB108:AC108)</f>
        <v>0</v>
      </c>
      <c r="AE108" s="33">
        <f t="shared" ref="AE108:AE115" si="55">Q108+AD108</f>
        <v>4505</v>
      </c>
      <c r="AF108" s="101">
        <f t="shared" ref="AF108:AF115" si="56">AE108-N108</f>
        <v>1443</v>
      </c>
    </row>
    <row r="109" spans="2:32" ht="13" outlineLevel="1" x14ac:dyDescent="0.3">
      <c r="B109" s="79" t="s">
        <v>139</v>
      </c>
      <c r="C109" s="33">
        <v>602</v>
      </c>
      <c r="D109" s="33">
        <v>602</v>
      </c>
      <c r="E109" s="23">
        <v>0</v>
      </c>
      <c r="F109" s="23">
        <v>0</v>
      </c>
      <c r="G109" s="23">
        <v>0</v>
      </c>
      <c r="H109" s="23">
        <v>0</v>
      </c>
      <c r="I109" s="23">
        <v>0</v>
      </c>
      <c r="J109" s="23">
        <v>0</v>
      </c>
      <c r="K109" s="23">
        <f t="shared" si="48"/>
        <v>0</v>
      </c>
      <c r="L109" s="33">
        <f t="shared" si="49"/>
        <v>0</v>
      </c>
      <c r="M109" s="33">
        <f t="shared" si="50"/>
        <v>0</v>
      </c>
      <c r="N109" s="33">
        <v>602</v>
      </c>
      <c r="O109" s="33">
        <v>422</v>
      </c>
      <c r="P109" s="33">
        <v>0</v>
      </c>
      <c r="Q109" s="33">
        <v>422</v>
      </c>
      <c r="R109" s="33">
        <v>602</v>
      </c>
      <c r="S109" s="33">
        <f t="shared" si="51"/>
        <v>-180</v>
      </c>
      <c r="T109" s="38">
        <f t="shared" si="52"/>
        <v>0.70099667774086383</v>
      </c>
      <c r="U109" s="59">
        <f t="shared" si="53"/>
        <v>602</v>
      </c>
      <c r="V109" s="33">
        <v>0</v>
      </c>
      <c r="W109" s="33">
        <v>0</v>
      </c>
      <c r="X109" s="33"/>
      <c r="Y109" s="33"/>
      <c r="Z109" s="42"/>
      <c r="AA109" s="60"/>
      <c r="AB109" s="105"/>
      <c r="AC109" s="93"/>
      <c r="AD109" s="33">
        <f t="shared" si="54"/>
        <v>0</v>
      </c>
      <c r="AE109" s="33">
        <f t="shared" si="55"/>
        <v>422</v>
      </c>
      <c r="AF109" s="101">
        <f t="shared" si="56"/>
        <v>-180</v>
      </c>
    </row>
    <row r="110" spans="2:32" ht="13" outlineLevel="1" x14ac:dyDescent="0.3">
      <c r="B110" s="79" t="s">
        <v>141</v>
      </c>
      <c r="C110" s="33">
        <v>8581</v>
      </c>
      <c r="D110" s="33">
        <v>8581</v>
      </c>
      <c r="E110" s="23">
        <v>0</v>
      </c>
      <c r="F110" s="23">
        <v>0</v>
      </c>
      <c r="G110" s="23">
        <v>0</v>
      </c>
      <c r="H110" s="23">
        <v>0</v>
      </c>
      <c r="I110" s="23">
        <v>0</v>
      </c>
      <c r="J110" s="23">
        <v>0</v>
      </c>
      <c r="K110" s="23">
        <f t="shared" si="48"/>
        <v>0</v>
      </c>
      <c r="L110" s="33">
        <f t="shared" si="49"/>
        <v>0</v>
      </c>
      <c r="M110" s="33">
        <f t="shared" si="50"/>
        <v>0</v>
      </c>
      <c r="N110" s="33">
        <v>8581</v>
      </c>
      <c r="O110" s="33">
        <v>6850</v>
      </c>
      <c r="P110" s="33">
        <v>0</v>
      </c>
      <c r="Q110" s="33">
        <v>6850</v>
      </c>
      <c r="R110" s="33">
        <v>8581</v>
      </c>
      <c r="S110" s="33">
        <f t="shared" si="51"/>
        <v>-1731</v>
      </c>
      <c r="T110" s="38">
        <f t="shared" si="52"/>
        <v>0.79827525929378862</v>
      </c>
      <c r="U110" s="59">
        <f t="shared" si="53"/>
        <v>8581</v>
      </c>
      <c r="V110" s="33">
        <v>0</v>
      </c>
      <c r="W110" s="33">
        <v>0</v>
      </c>
      <c r="X110" s="33"/>
      <c r="Y110" s="33"/>
      <c r="Z110" s="42"/>
      <c r="AA110" s="60"/>
      <c r="AB110" s="105"/>
      <c r="AC110" s="93"/>
      <c r="AD110" s="33">
        <f t="shared" si="54"/>
        <v>0</v>
      </c>
      <c r="AE110" s="33">
        <f t="shared" si="55"/>
        <v>6850</v>
      </c>
      <c r="AF110" s="101">
        <f t="shared" si="56"/>
        <v>-1731</v>
      </c>
    </row>
    <row r="111" spans="2:32" ht="13" outlineLevel="1" x14ac:dyDescent="0.3">
      <c r="B111" s="79" t="s">
        <v>142</v>
      </c>
      <c r="C111" s="33">
        <v>-4597</v>
      </c>
      <c r="D111" s="33">
        <v>-4597</v>
      </c>
      <c r="E111" s="23">
        <v>0</v>
      </c>
      <c r="F111" s="23">
        <v>0</v>
      </c>
      <c r="G111" s="23">
        <v>0</v>
      </c>
      <c r="H111" s="23">
        <v>0</v>
      </c>
      <c r="I111" s="23">
        <v>0</v>
      </c>
      <c r="J111" s="23">
        <v>0</v>
      </c>
      <c r="K111" s="23">
        <f t="shared" si="48"/>
        <v>0</v>
      </c>
      <c r="L111" s="33">
        <f t="shared" si="49"/>
        <v>0</v>
      </c>
      <c r="M111" s="33">
        <f t="shared" si="50"/>
        <v>0</v>
      </c>
      <c r="N111" s="33">
        <v>-4597</v>
      </c>
      <c r="O111" s="33">
        <v>390</v>
      </c>
      <c r="P111" s="33">
        <v>-5737</v>
      </c>
      <c r="Q111" s="33">
        <v>-5347</v>
      </c>
      <c r="R111" s="33">
        <v>-4597</v>
      </c>
      <c r="S111" s="33">
        <f t="shared" si="51"/>
        <v>-750</v>
      </c>
      <c r="T111" s="38">
        <f t="shared" si="52"/>
        <v>1.1631498803567544</v>
      </c>
      <c r="U111" s="59">
        <f t="shared" si="53"/>
        <v>-4597</v>
      </c>
      <c r="V111" s="33">
        <v>0</v>
      </c>
      <c r="W111" s="33">
        <v>0</v>
      </c>
      <c r="X111" s="33"/>
      <c r="Y111" s="33"/>
      <c r="Z111" s="42"/>
      <c r="AA111" s="60"/>
      <c r="AB111" s="105"/>
      <c r="AC111" s="93"/>
      <c r="AD111" s="33">
        <f t="shared" si="54"/>
        <v>0</v>
      </c>
      <c r="AE111" s="33">
        <f t="shared" si="55"/>
        <v>-5347</v>
      </c>
      <c r="AF111" s="101">
        <f t="shared" si="56"/>
        <v>-750</v>
      </c>
    </row>
    <row r="112" spans="2:32" ht="13" outlineLevel="1" x14ac:dyDescent="0.3">
      <c r="B112" s="79" t="s">
        <v>143</v>
      </c>
      <c r="C112" s="33">
        <v>-8990</v>
      </c>
      <c r="D112" s="33">
        <v>-8990</v>
      </c>
      <c r="E112" s="23">
        <v>0</v>
      </c>
      <c r="F112" s="23">
        <v>0</v>
      </c>
      <c r="G112" s="23">
        <v>0</v>
      </c>
      <c r="H112" s="23">
        <v>0</v>
      </c>
      <c r="I112" s="23">
        <v>0</v>
      </c>
      <c r="J112" s="23">
        <v>0</v>
      </c>
      <c r="K112" s="23">
        <f t="shared" si="48"/>
        <v>0</v>
      </c>
      <c r="L112" s="33">
        <f t="shared" si="49"/>
        <v>0</v>
      </c>
      <c r="M112" s="33">
        <f t="shared" si="50"/>
        <v>0</v>
      </c>
      <c r="N112" s="33">
        <v>-8990</v>
      </c>
      <c r="O112" s="33">
        <v>0</v>
      </c>
      <c r="P112" s="33">
        <v>-8264</v>
      </c>
      <c r="Q112" s="33">
        <v>-8264</v>
      </c>
      <c r="R112" s="33">
        <v>-8990</v>
      </c>
      <c r="S112" s="33">
        <f t="shared" si="51"/>
        <v>726</v>
      </c>
      <c r="T112" s="38">
        <f t="shared" si="52"/>
        <v>0.91924360400444938</v>
      </c>
      <c r="U112" s="59">
        <f t="shared" si="53"/>
        <v>-8990</v>
      </c>
      <c r="V112" s="33">
        <v>0</v>
      </c>
      <c r="W112" s="33">
        <v>0</v>
      </c>
      <c r="X112" s="33"/>
      <c r="Y112" s="33"/>
      <c r="Z112" s="42"/>
      <c r="AA112" s="60"/>
      <c r="AB112" s="105"/>
      <c r="AC112" s="93"/>
      <c r="AD112" s="33">
        <f t="shared" si="54"/>
        <v>0</v>
      </c>
      <c r="AE112" s="33">
        <f t="shared" si="55"/>
        <v>-8264</v>
      </c>
      <c r="AF112" s="101">
        <f t="shared" si="56"/>
        <v>726</v>
      </c>
    </row>
    <row r="113" spans="2:32" ht="13" outlineLevel="1" x14ac:dyDescent="0.3">
      <c r="B113" s="79" t="s">
        <v>144</v>
      </c>
      <c r="C113" s="33">
        <v>-646</v>
      </c>
      <c r="D113" s="33">
        <v>-646</v>
      </c>
      <c r="E113" s="23">
        <v>0</v>
      </c>
      <c r="F113" s="23">
        <v>0</v>
      </c>
      <c r="G113" s="23">
        <v>0</v>
      </c>
      <c r="H113" s="23">
        <v>0</v>
      </c>
      <c r="I113" s="23">
        <v>0</v>
      </c>
      <c r="J113" s="23">
        <v>0</v>
      </c>
      <c r="K113" s="23">
        <f t="shared" si="48"/>
        <v>0</v>
      </c>
      <c r="L113" s="33">
        <f t="shared" si="49"/>
        <v>0</v>
      </c>
      <c r="M113" s="33">
        <f t="shared" si="50"/>
        <v>0</v>
      </c>
      <c r="N113" s="33">
        <v>-646</v>
      </c>
      <c r="O113" s="33">
        <v>0</v>
      </c>
      <c r="P113" s="33">
        <v>-453</v>
      </c>
      <c r="Q113" s="33">
        <v>-453</v>
      </c>
      <c r="R113" s="33">
        <v>-646</v>
      </c>
      <c r="S113" s="33">
        <f t="shared" si="51"/>
        <v>193</v>
      </c>
      <c r="T113" s="38">
        <f t="shared" si="52"/>
        <v>0.70123839009287925</v>
      </c>
      <c r="U113" s="59">
        <f t="shared" si="53"/>
        <v>-646</v>
      </c>
      <c r="V113" s="33">
        <v>0</v>
      </c>
      <c r="W113" s="33">
        <v>0</v>
      </c>
      <c r="X113" s="33"/>
      <c r="Y113" s="33"/>
      <c r="Z113" s="42"/>
      <c r="AA113" s="60"/>
      <c r="AB113" s="105"/>
      <c r="AC113" s="93"/>
      <c r="AD113" s="33">
        <f t="shared" si="54"/>
        <v>0</v>
      </c>
      <c r="AE113" s="33">
        <f t="shared" si="55"/>
        <v>-453</v>
      </c>
      <c r="AF113" s="101">
        <f t="shared" si="56"/>
        <v>193</v>
      </c>
    </row>
    <row r="114" spans="2:32" ht="13" outlineLevel="1" x14ac:dyDescent="0.3">
      <c r="B114" s="79" t="s">
        <v>145</v>
      </c>
      <c r="C114" s="33">
        <v>687</v>
      </c>
      <c r="D114" s="33">
        <v>687</v>
      </c>
      <c r="E114" s="23">
        <v>0</v>
      </c>
      <c r="F114" s="23">
        <v>0</v>
      </c>
      <c r="G114" s="23">
        <v>0</v>
      </c>
      <c r="H114" s="23">
        <v>0</v>
      </c>
      <c r="I114" s="23">
        <v>0</v>
      </c>
      <c r="J114" s="23">
        <v>0</v>
      </c>
      <c r="K114" s="23">
        <f t="shared" si="48"/>
        <v>0</v>
      </c>
      <c r="L114" s="33">
        <f t="shared" si="49"/>
        <v>0</v>
      </c>
      <c r="M114" s="33">
        <f t="shared" si="50"/>
        <v>0</v>
      </c>
      <c r="N114" s="33">
        <v>687</v>
      </c>
      <c r="O114" s="33">
        <v>0</v>
      </c>
      <c r="P114" s="33">
        <v>0</v>
      </c>
      <c r="Q114" s="33">
        <v>0</v>
      </c>
      <c r="R114" s="33">
        <v>687</v>
      </c>
      <c r="S114" s="33">
        <f t="shared" si="51"/>
        <v>-687</v>
      </c>
      <c r="T114" s="38">
        <f t="shared" si="52"/>
        <v>0</v>
      </c>
      <c r="U114" s="59">
        <f t="shared" si="53"/>
        <v>687</v>
      </c>
      <c r="V114" s="33">
        <v>0</v>
      </c>
      <c r="W114" s="33">
        <v>0</v>
      </c>
      <c r="X114" s="33"/>
      <c r="Y114" s="33"/>
      <c r="Z114" s="42"/>
      <c r="AA114" s="60"/>
      <c r="AB114" s="105"/>
      <c r="AC114" s="93"/>
      <c r="AD114" s="33">
        <f t="shared" si="54"/>
        <v>0</v>
      </c>
      <c r="AE114" s="33">
        <f t="shared" si="55"/>
        <v>0</v>
      </c>
      <c r="AF114" s="101">
        <f t="shared" si="56"/>
        <v>-687</v>
      </c>
    </row>
    <row r="115" spans="2:32" ht="13" outlineLevel="1" x14ac:dyDescent="0.3">
      <c r="B115" s="79" t="s">
        <v>146</v>
      </c>
      <c r="C115" s="33">
        <v>166</v>
      </c>
      <c r="D115" s="33">
        <v>166</v>
      </c>
      <c r="E115" s="23">
        <v>0</v>
      </c>
      <c r="F115" s="23">
        <v>0</v>
      </c>
      <c r="G115" s="23">
        <v>0</v>
      </c>
      <c r="H115" s="23">
        <v>0</v>
      </c>
      <c r="I115" s="23">
        <v>0</v>
      </c>
      <c r="J115" s="23">
        <v>0</v>
      </c>
      <c r="K115" s="23">
        <f t="shared" si="48"/>
        <v>0</v>
      </c>
      <c r="L115" s="33">
        <f t="shared" si="49"/>
        <v>0</v>
      </c>
      <c r="M115" s="33">
        <f t="shared" si="50"/>
        <v>0</v>
      </c>
      <c r="N115" s="33">
        <v>166</v>
      </c>
      <c r="O115" s="33">
        <v>37</v>
      </c>
      <c r="P115" s="33">
        <v>0</v>
      </c>
      <c r="Q115" s="33">
        <v>37</v>
      </c>
      <c r="R115" s="33">
        <v>166</v>
      </c>
      <c r="S115" s="33">
        <f t="shared" si="51"/>
        <v>-129</v>
      </c>
      <c r="T115" s="38">
        <f t="shared" si="52"/>
        <v>0.22289156626506024</v>
      </c>
      <c r="U115" s="59">
        <f t="shared" si="53"/>
        <v>166</v>
      </c>
      <c r="V115" s="33">
        <v>0</v>
      </c>
      <c r="W115" s="33">
        <v>0</v>
      </c>
      <c r="X115" s="33"/>
      <c r="Y115" s="33"/>
      <c r="Z115" s="42"/>
      <c r="AA115" s="60"/>
      <c r="AB115" s="105"/>
      <c r="AC115" s="93"/>
      <c r="AD115" s="33">
        <f t="shared" si="54"/>
        <v>0</v>
      </c>
      <c r="AE115" s="33">
        <f t="shared" si="55"/>
        <v>37</v>
      </c>
      <c r="AF115" s="101">
        <f t="shared" si="56"/>
        <v>-129</v>
      </c>
    </row>
    <row r="116" spans="2:32" ht="13" outlineLevel="1" x14ac:dyDescent="0.3">
      <c r="B116" s="79" t="s">
        <v>147</v>
      </c>
      <c r="C116" s="33">
        <v>0</v>
      </c>
      <c r="D116" s="33">
        <v>227</v>
      </c>
      <c r="E116" s="23">
        <v>0</v>
      </c>
      <c r="F116" s="23">
        <v>0</v>
      </c>
      <c r="G116" s="23">
        <v>227</v>
      </c>
      <c r="H116" s="23">
        <v>0</v>
      </c>
      <c r="I116" s="23">
        <v>0</v>
      </c>
      <c r="J116" s="23">
        <v>0</v>
      </c>
      <c r="K116" s="23">
        <f>SUM(E116:J116)</f>
        <v>227</v>
      </c>
      <c r="L116" s="33">
        <f>N116-D116</f>
        <v>0</v>
      </c>
      <c r="M116" s="33">
        <f>N116-C116</f>
        <v>227</v>
      </c>
      <c r="N116" s="33">
        <v>227</v>
      </c>
      <c r="O116" s="33">
        <v>8439</v>
      </c>
      <c r="P116" s="33">
        <v>-8439</v>
      </c>
      <c r="Q116" s="33">
        <v>0</v>
      </c>
      <c r="R116" s="33">
        <v>227</v>
      </c>
      <c r="S116" s="33">
        <f>Q116-R116</f>
        <v>-227</v>
      </c>
      <c r="T116" s="38">
        <f>IFERROR((Q116/N116)*100%,"∞")</f>
        <v>0</v>
      </c>
      <c r="U116" s="59">
        <f>N116+V116</f>
        <v>227</v>
      </c>
      <c r="V116" s="33">
        <v>0</v>
      </c>
      <c r="W116" s="33">
        <v>0</v>
      </c>
      <c r="X116" s="33"/>
      <c r="Y116" s="33"/>
      <c r="Z116" s="42"/>
      <c r="AA116" s="60"/>
      <c r="AB116" s="105"/>
      <c r="AC116" s="93"/>
      <c r="AD116" s="33">
        <f>SUM(AB116:AC116)</f>
        <v>0</v>
      </c>
      <c r="AE116" s="33">
        <f>Q116+AD116</f>
        <v>0</v>
      </c>
      <c r="AF116" s="101">
        <f>AE116-N116</f>
        <v>-227</v>
      </c>
    </row>
    <row r="117" spans="2:32" ht="13" outlineLevel="1" x14ac:dyDescent="0.3">
      <c r="B117" s="79" t="s">
        <v>148</v>
      </c>
      <c r="C117" s="33">
        <v>-471</v>
      </c>
      <c r="D117" s="33">
        <v>-471</v>
      </c>
      <c r="E117" s="23">
        <v>0</v>
      </c>
      <c r="F117" s="23">
        <v>0</v>
      </c>
      <c r="G117" s="23">
        <v>0</v>
      </c>
      <c r="H117" s="23">
        <v>0</v>
      </c>
      <c r="I117" s="23">
        <v>0</v>
      </c>
      <c r="J117" s="23">
        <v>0</v>
      </c>
      <c r="K117" s="23">
        <f>SUM(E117:J117)</f>
        <v>0</v>
      </c>
      <c r="L117" s="33">
        <f>N117-D117</f>
        <v>0</v>
      </c>
      <c r="M117" s="33">
        <f>N117-C117</f>
        <v>0</v>
      </c>
      <c r="N117" s="33">
        <v>-471</v>
      </c>
      <c r="O117" s="33">
        <v>0</v>
      </c>
      <c r="P117" s="33">
        <v>-471</v>
      </c>
      <c r="Q117" s="33">
        <v>-471</v>
      </c>
      <c r="R117" s="33">
        <v>-471</v>
      </c>
      <c r="S117" s="33">
        <f>Q117-R117</f>
        <v>0</v>
      </c>
      <c r="T117" s="38">
        <f>IFERROR((Q117/N117)*100%,"∞")</f>
        <v>1</v>
      </c>
      <c r="U117" s="59">
        <f>N117+V117</f>
        <v>-471</v>
      </c>
      <c r="V117" s="33">
        <v>0</v>
      </c>
      <c r="W117" s="33">
        <v>0</v>
      </c>
      <c r="X117" s="33"/>
      <c r="Y117" s="33"/>
      <c r="Z117" s="42"/>
      <c r="AA117" s="60"/>
      <c r="AB117" s="105"/>
      <c r="AC117" s="93"/>
      <c r="AD117" s="33">
        <f>SUM(AB117:AC117)</f>
        <v>0</v>
      </c>
      <c r="AE117" s="33">
        <f>Q117+AD117</f>
        <v>-471</v>
      </c>
      <c r="AF117" s="101">
        <f>AE117-N117</f>
        <v>0</v>
      </c>
    </row>
    <row r="118" spans="2:32"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99"/>
    </row>
    <row r="119" spans="2:32" ht="13" x14ac:dyDescent="0.3">
      <c r="B119" s="78" t="s">
        <v>149</v>
      </c>
      <c r="C119" s="34">
        <f t="shared" ref="C119:J119" si="57">SUM(C120:C127)</f>
        <v>1238</v>
      </c>
      <c r="D119" s="34">
        <f t="shared" si="57"/>
        <v>1427</v>
      </c>
      <c r="E119" s="24">
        <f t="shared" si="57"/>
        <v>0</v>
      </c>
      <c r="F119" s="24">
        <f t="shared" si="57"/>
        <v>0</v>
      </c>
      <c r="G119" s="24">
        <f t="shared" si="57"/>
        <v>190</v>
      </c>
      <c r="H119" s="24">
        <f t="shared" si="57"/>
        <v>0</v>
      </c>
      <c r="I119" s="24">
        <f t="shared" si="57"/>
        <v>0</v>
      </c>
      <c r="J119" s="24">
        <f t="shared" si="57"/>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SUM(AE120:AE127)</f>
        <v>917</v>
      </c>
      <c r="AF119" s="101">
        <f>SUM(AF120:AF127)</f>
        <v>-510</v>
      </c>
    </row>
    <row r="120" spans="2:32"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Q120+AD120</f>
        <v>8</v>
      </c>
      <c r="AF120" s="101">
        <f>AE120-N120</f>
        <v>8</v>
      </c>
    </row>
    <row r="121" spans="2:32" ht="13" outlineLevel="1" x14ac:dyDescent="0.3">
      <c r="B121" s="79" t="s">
        <v>150</v>
      </c>
      <c r="C121" s="33">
        <v>278</v>
      </c>
      <c r="D121" s="33">
        <v>278</v>
      </c>
      <c r="E121" s="23">
        <v>0</v>
      </c>
      <c r="F121" s="23">
        <v>0</v>
      </c>
      <c r="G121" s="23">
        <v>0</v>
      </c>
      <c r="H121" s="23">
        <v>0</v>
      </c>
      <c r="I121" s="23">
        <v>0</v>
      </c>
      <c r="J121" s="23">
        <v>0</v>
      </c>
      <c r="K121" s="23">
        <f t="shared" ref="K121:K126" si="58">SUM(E121:J121)</f>
        <v>0</v>
      </c>
      <c r="L121" s="33">
        <f t="shared" ref="L121:L126" si="59">N121-D121</f>
        <v>0</v>
      </c>
      <c r="M121" s="33">
        <f t="shared" ref="M121:M126" si="60">N121-C121</f>
        <v>0</v>
      </c>
      <c r="N121" s="33">
        <v>278</v>
      </c>
      <c r="O121" s="33">
        <v>0</v>
      </c>
      <c r="P121" s="33">
        <v>0</v>
      </c>
      <c r="Q121" s="33">
        <v>0</v>
      </c>
      <c r="R121" s="33">
        <v>278</v>
      </c>
      <c r="S121" s="33">
        <f t="shared" ref="S121:S126" si="61">Q121-R121</f>
        <v>-278</v>
      </c>
      <c r="T121" s="38">
        <f t="shared" ref="T121:T126" si="62">IFERROR((Q121/N121)*100%,"∞")</f>
        <v>0</v>
      </c>
      <c r="U121" s="59">
        <f t="shared" ref="U121:U126" si="63">N121+V121</f>
        <v>278</v>
      </c>
      <c r="V121" s="33">
        <v>0</v>
      </c>
      <c r="W121" s="33">
        <v>0</v>
      </c>
      <c r="X121" s="33"/>
      <c r="Y121" s="33"/>
      <c r="Z121" s="42"/>
      <c r="AA121" s="60"/>
      <c r="AB121" s="105"/>
      <c r="AC121" s="93"/>
      <c r="AD121" s="33">
        <f t="shared" ref="AD121:AD126" si="64">SUM(AB121:AC121)</f>
        <v>0</v>
      </c>
      <c r="AE121" s="33">
        <f t="shared" ref="AE121:AE126" si="65">Q121+AD121</f>
        <v>0</v>
      </c>
      <c r="AF121" s="101">
        <f t="shared" ref="AF121:AF126" si="66">AE121-N121</f>
        <v>-278</v>
      </c>
    </row>
    <row r="122" spans="2:32" ht="13" outlineLevel="1" x14ac:dyDescent="0.3">
      <c r="B122" s="79" t="s">
        <v>151</v>
      </c>
      <c r="C122" s="33">
        <v>-400</v>
      </c>
      <c r="D122" s="33">
        <v>617</v>
      </c>
      <c r="E122" s="23">
        <v>0</v>
      </c>
      <c r="F122" s="23">
        <v>0</v>
      </c>
      <c r="G122" s="23">
        <v>1017</v>
      </c>
      <c r="H122" s="23">
        <v>0</v>
      </c>
      <c r="I122" s="23">
        <v>0</v>
      </c>
      <c r="J122" s="23">
        <v>0</v>
      </c>
      <c r="K122" s="23">
        <f t="shared" si="58"/>
        <v>1017</v>
      </c>
      <c r="L122" s="33">
        <f t="shared" si="59"/>
        <v>0</v>
      </c>
      <c r="M122" s="33">
        <f t="shared" si="60"/>
        <v>1017</v>
      </c>
      <c r="N122" s="33">
        <v>617</v>
      </c>
      <c r="O122" s="33">
        <v>1667</v>
      </c>
      <c r="P122" s="33">
        <v>0</v>
      </c>
      <c r="Q122" s="33">
        <v>1667</v>
      </c>
      <c r="R122" s="33">
        <v>617</v>
      </c>
      <c r="S122" s="33">
        <f t="shared" si="61"/>
        <v>1050</v>
      </c>
      <c r="T122" s="38">
        <f t="shared" si="62"/>
        <v>2.7017828200972449</v>
      </c>
      <c r="U122" s="59">
        <f t="shared" si="63"/>
        <v>617</v>
      </c>
      <c r="V122" s="33">
        <v>0</v>
      </c>
      <c r="W122" s="33">
        <v>0</v>
      </c>
      <c r="X122" s="33"/>
      <c r="Y122" s="33"/>
      <c r="Z122" s="42"/>
      <c r="AA122" s="60"/>
      <c r="AB122" s="105"/>
      <c r="AC122" s="93"/>
      <c r="AD122" s="33">
        <f t="shared" si="64"/>
        <v>0</v>
      </c>
      <c r="AE122" s="33">
        <f t="shared" si="65"/>
        <v>1667</v>
      </c>
      <c r="AF122" s="101">
        <f t="shared" si="66"/>
        <v>1050</v>
      </c>
    </row>
    <row r="123" spans="2:32" ht="13" outlineLevel="1" x14ac:dyDescent="0.3">
      <c r="B123" s="79" t="s">
        <v>152</v>
      </c>
      <c r="C123" s="33">
        <v>693</v>
      </c>
      <c r="D123" s="33">
        <v>-95</v>
      </c>
      <c r="E123" s="23">
        <v>0</v>
      </c>
      <c r="F123" s="23">
        <v>0</v>
      </c>
      <c r="G123" s="23">
        <v>-787</v>
      </c>
      <c r="H123" s="23">
        <v>0</v>
      </c>
      <c r="I123" s="23">
        <v>0</v>
      </c>
      <c r="J123" s="23">
        <v>0</v>
      </c>
      <c r="K123" s="23">
        <f t="shared" si="58"/>
        <v>-787</v>
      </c>
      <c r="L123" s="33">
        <f t="shared" si="59"/>
        <v>0</v>
      </c>
      <c r="M123" s="33">
        <f t="shared" si="60"/>
        <v>-788</v>
      </c>
      <c r="N123" s="33">
        <v>-95</v>
      </c>
      <c r="O123" s="33">
        <v>0</v>
      </c>
      <c r="P123" s="33">
        <v>0</v>
      </c>
      <c r="Q123" s="33">
        <v>0</v>
      </c>
      <c r="R123" s="33">
        <v>-95</v>
      </c>
      <c r="S123" s="33">
        <f t="shared" si="61"/>
        <v>95</v>
      </c>
      <c r="T123" s="38">
        <f t="shared" si="62"/>
        <v>0</v>
      </c>
      <c r="U123" s="59">
        <f t="shared" si="63"/>
        <v>-95</v>
      </c>
      <c r="V123" s="33">
        <v>0</v>
      </c>
      <c r="W123" s="33">
        <v>0</v>
      </c>
      <c r="X123" s="33"/>
      <c r="Y123" s="33"/>
      <c r="Z123" s="42"/>
      <c r="AA123" s="60"/>
      <c r="AB123" s="105"/>
      <c r="AC123" s="93"/>
      <c r="AD123" s="33">
        <f t="shared" si="64"/>
        <v>0</v>
      </c>
      <c r="AE123" s="33">
        <f t="shared" si="65"/>
        <v>0</v>
      </c>
      <c r="AF123" s="101">
        <f t="shared" si="66"/>
        <v>95</v>
      </c>
    </row>
    <row r="124" spans="2:32" ht="13" outlineLevel="1" x14ac:dyDescent="0.3">
      <c r="B124" s="79" t="s">
        <v>153</v>
      </c>
      <c r="C124" s="33">
        <v>645</v>
      </c>
      <c r="D124" s="33">
        <v>615</v>
      </c>
      <c r="E124" s="23">
        <v>0</v>
      </c>
      <c r="F124" s="23">
        <v>0</v>
      </c>
      <c r="G124" s="23">
        <v>-30</v>
      </c>
      <c r="H124" s="23">
        <v>0</v>
      </c>
      <c r="I124" s="23">
        <v>0</v>
      </c>
      <c r="J124" s="23">
        <v>0</v>
      </c>
      <c r="K124" s="23">
        <f t="shared" si="58"/>
        <v>-30</v>
      </c>
      <c r="L124" s="33">
        <f t="shared" si="59"/>
        <v>0</v>
      </c>
      <c r="M124" s="33">
        <f t="shared" si="60"/>
        <v>-30</v>
      </c>
      <c r="N124" s="33">
        <v>615</v>
      </c>
      <c r="O124" s="33">
        <v>0</v>
      </c>
      <c r="P124" s="33">
        <v>0</v>
      </c>
      <c r="Q124" s="33">
        <v>0</v>
      </c>
      <c r="R124" s="33">
        <v>615</v>
      </c>
      <c r="S124" s="33">
        <f t="shared" si="61"/>
        <v>-615</v>
      </c>
      <c r="T124" s="38">
        <f t="shared" si="62"/>
        <v>0</v>
      </c>
      <c r="U124" s="59">
        <f t="shared" si="63"/>
        <v>615</v>
      </c>
      <c r="V124" s="33">
        <v>0</v>
      </c>
      <c r="W124" s="33">
        <v>0</v>
      </c>
      <c r="X124" s="33"/>
      <c r="Y124" s="33"/>
      <c r="Z124" s="42"/>
      <c r="AA124" s="60"/>
      <c r="AB124" s="105"/>
      <c r="AC124" s="93"/>
      <c r="AD124" s="33">
        <f t="shared" si="64"/>
        <v>0</v>
      </c>
      <c r="AE124" s="33">
        <f t="shared" si="65"/>
        <v>0</v>
      </c>
      <c r="AF124" s="101">
        <f t="shared" si="66"/>
        <v>-615</v>
      </c>
    </row>
    <row r="125" spans="2:32" ht="13" outlineLevel="1" x14ac:dyDescent="0.3">
      <c r="B125" s="79" t="s">
        <v>154</v>
      </c>
      <c r="C125" s="33">
        <v>525</v>
      </c>
      <c r="D125" s="33">
        <v>515</v>
      </c>
      <c r="E125" s="23">
        <v>0</v>
      </c>
      <c r="F125" s="23">
        <v>0</v>
      </c>
      <c r="G125" s="23">
        <v>-10</v>
      </c>
      <c r="H125" s="23">
        <v>0</v>
      </c>
      <c r="I125" s="23">
        <v>0</v>
      </c>
      <c r="J125" s="23">
        <v>0</v>
      </c>
      <c r="K125" s="23">
        <f t="shared" si="58"/>
        <v>-10</v>
      </c>
      <c r="L125" s="33">
        <f t="shared" si="59"/>
        <v>0</v>
      </c>
      <c r="M125" s="33">
        <f t="shared" si="60"/>
        <v>-10</v>
      </c>
      <c r="N125" s="33">
        <v>515</v>
      </c>
      <c r="O125" s="33">
        <v>0</v>
      </c>
      <c r="P125" s="33">
        <v>0</v>
      </c>
      <c r="Q125" s="33">
        <v>0</v>
      </c>
      <c r="R125" s="33">
        <v>515</v>
      </c>
      <c r="S125" s="33">
        <f t="shared" si="61"/>
        <v>-515</v>
      </c>
      <c r="T125" s="38">
        <f t="shared" si="62"/>
        <v>0</v>
      </c>
      <c r="U125" s="59">
        <f t="shared" si="63"/>
        <v>515</v>
      </c>
      <c r="V125" s="33">
        <v>0</v>
      </c>
      <c r="W125" s="33">
        <v>0</v>
      </c>
      <c r="X125" s="33"/>
      <c r="Y125" s="33"/>
      <c r="Z125" s="42"/>
      <c r="AA125" s="60"/>
      <c r="AB125" s="105"/>
      <c r="AC125" s="93"/>
      <c r="AD125" s="33">
        <f t="shared" si="64"/>
        <v>0</v>
      </c>
      <c r="AE125" s="33">
        <f t="shared" si="65"/>
        <v>0</v>
      </c>
      <c r="AF125" s="101">
        <f t="shared" si="66"/>
        <v>-515</v>
      </c>
    </row>
    <row r="126" spans="2:32" ht="13" outlineLevel="1" x14ac:dyDescent="0.3">
      <c r="B126" s="79" t="s">
        <v>219</v>
      </c>
      <c r="C126" s="33">
        <v>-503</v>
      </c>
      <c r="D126" s="33">
        <v>-503</v>
      </c>
      <c r="E126" s="23">
        <v>0</v>
      </c>
      <c r="F126" s="23">
        <v>0</v>
      </c>
      <c r="G126" s="23">
        <v>0</v>
      </c>
      <c r="H126" s="23">
        <v>0</v>
      </c>
      <c r="I126" s="23">
        <v>0</v>
      </c>
      <c r="J126" s="23">
        <v>0</v>
      </c>
      <c r="K126" s="23">
        <f t="shared" si="58"/>
        <v>0</v>
      </c>
      <c r="L126" s="33">
        <f t="shared" si="59"/>
        <v>0</v>
      </c>
      <c r="M126" s="33">
        <f t="shared" si="60"/>
        <v>0</v>
      </c>
      <c r="N126" s="33">
        <v>-503</v>
      </c>
      <c r="O126" s="33">
        <v>0</v>
      </c>
      <c r="P126" s="33">
        <v>0</v>
      </c>
      <c r="Q126" s="33">
        <v>0</v>
      </c>
      <c r="R126" s="33">
        <v>-503</v>
      </c>
      <c r="S126" s="33">
        <f t="shared" si="61"/>
        <v>503</v>
      </c>
      <c r="T126" s="38">
        <f t="shared" si="62"/>
        <v>0</v>
      </c>
      <c r="U126" s="59">
        <f t="shared" si="63"/>
        <v>-503</v>
      </c>
      <c r="V126" s="33">
        <v>0</v>
      </c>
      <c r="W126" s="33">
        <v>0</v>
      </c>
      <c r="X126" s="33"/>
      <c r="Y126" s="33"/>
      <c r="Z126" s="42"/>
      <c r="AA126" s="60"/>
      <c r="AB126" s="105"/>
      <c r="AC126" s="93"/>
      <c r="AD126" s="33">
        <f t="shared" si="64"/>
        <v>0</v>
      </c>
      <c r="AE126" s="33">
        <f t="shared" si="65"/>
        <v>0</v>
      </c>
      <c r="AF126" s="101">
        <f t="shared" si="66"/>
        <v>503</v>
      </c>
    </row>
    <row r="127" spans="2:32" ht="13" outlineLevel="1" x14ac:dyDescent="0.3">
      <c r="B127" s="79"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Q127+AD127</f>
        <v>-758</v>
      </c>
      <c r="AF127" s="101">
        <f>AE127-N127</f>
        <v>-758</v>
      </c>
    </row>
    <row r="128" spans="2:32"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row>
    <row r="129" spans="2:32" ht="13.5" thickBot="1" x14ac:dyDescent="0.35">
      <c r="B129" s="91" t="s">
        <v>155</v>
      </c>
      <c r="C129" s="76">
        <f t="shared" ref="C129:J129" si="67">C106+C119</f>
        <v>12</v>
      </c>
      <c r="D129" s="76">
        <f t="shared" si="67"/>
        <v>478</v>
      </c>
      <c r="E129" s="76">
        <f t="shared" si="67"/>
        <v>33</v>
      </c>
      <c r="F129" s="76">
        <f t="shared" si="67"/>
        <v>0</v>
      </c>
      <c r="G129" s="76">
        <f t="shared" si="67"/>
        <v>467</v>
      </c>
      <c r="H129" s="76">
        <f t="shared" si="67"/>
        <v>0</v>
      </c>
      <c r="I129" s="76">
        <f t="shared" si="67"/>
        <v>0</v>
      </c>
      <c r="J129" s="76">
        <f t="shared" si="67"/>
        <v>0</v>
      </c>
      <c r="K129" s="76">
        <f>SUM(E129:J129)</f>
        <v>500</v>
      </c>
      <c r="L129" s="76">
        <f>N129-D129</f>
        <v>0</v>
      </c>
      <c r="M129" s="76">
        <f>N129-C129</f>
        <v>466</v>
      </c>
      <c r="N129" s="76">
        <f>N106+N119</f>
        <v>478</v>
      </c>
      <c r="O129" s="76">
        <f>O106+O119</f>
        <v>61936</v>
      </c>
      <c r="P129" s="76">
        <f>P106+P119</f>
        <v>-61904</v>
      </c>
      <c r="Q129" s="76">
        <f>Q106+Q119</f>
        <v>32</v>
      </c>
      <c r="R129" s="76">
        <f>R106+R119</f>
        <v>478</v>
      </c>
      <c r="S129" s="76">
        <f>Q129-R129</f>
        <v>-446</v>
      </c>
      <c r="T129" s="92">
        <f>IFERROR((Q129/N129)*100%,"∞")</f>
        <v>6.6945606694560664E-2</v>
      </c>
      <c r="U129" s="76">
        <f>N129+V129</f>
        <v>478</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32</v>
      </c>
      <c r="AF129" s="76">
        <f>AF106+AF119</f>
        <v>-446</v>
      </c>
    </row>
    <row r="130" spans="2:32"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row>
    <row r="131" spans="2:32" ht="13.5" thickBot="1" x14ac:dyDescent="0.35">
      <c r="B131" s="91" t="s">
        <v>156</v>
      </c>
      <c r="C131" s="76">
        <f t="shared" ref="C131:J131" si="68">C83+C104+C129</f>
        <v>24605</v>
      </c>
      <c r="D131" s="76">
        <f t="shared" si="68"/>
        <v>23178</v>
      </c>
      <c r="E131" s="76">
        <f t="shared" si="68"/>
        <v>-1423</v>
      </c>
      <c r="F131" s="76">
        <f t="shared" si="68"/>
        <v>0</v>
      </c>
      <c r="G131" s="76">
        <f t="shared" si="68"/>
        <v>22</v>
      </c>
      <c r="H131" s="76">
        <f t="shared" si="68"/>
        <v>0</v>
      </c>
      <c r="I131" s="76">
        <f t="shared" si="68"/>
        <v>-1</v>
      </c>
      <c r="J131" s="76">
        <f t="shared" si="68"/>
        <v>0</v>
      </c>
      <c r="K131" s="76">
        <f>SUM(E131:J131)</f>
        <v>-1402</v>
      </c>
      <c r="L131" s="76">
        <f>N131-D131</f>
        <v>0</v>
      </c>
      <c r="M131" s="76">
        <f>N131-C131</f>
        <v>-1427</v>
      </c>
      <c r="N131" s="76">
        <f>N83+N104+N129</f>
        <v>23178</v>
      </c>
      <c r="O131" s="76">
        <f>O83+O104+O129</f>
        <v>146425</v>
      </c>
      <c r="P131" s="76">
        <f>P83+P104+P129</f>
        <v>-123404</v>
      </c>
      <c r="Q131" s="76">
        <f>Q83+Q104+Q129</f>
        <v>23020</v>
      </c>
      <c r="R131" s="76">
        <f>R83+R104+R129</f>
        <v>23178</v>
      </c>
      <c r="S131" s="76">
        <f>Q131-R131</f>
        <v>-158</v>
      </c>
      <c r="T131" s="92">
        <f>IFERROR((Q131/N131)*100%,"∞")</f>
        <v>0.99318319095694196</v>
      </c>
      <c r="U131" s="76">
        <f>N131+V131</f>
        <v>24214</v>
      </c>
      <c r="V131" s="76">
        <f>V83+V104+V129</f>
        <v>1036</v>
      </c>
      <c r="W131" s="76">
        <f>W83+W104+W129</f>
        <v>1036</v>
      </c>
      <c r="X131" s="76">
        <f>X83+X104+X129</f>
        <v>0</v>
      </c>
      <c r="Y131" s="76">
        <f>Y83+Y104+Y129</f>
        <v>0</v>
      </c>
      <c r="Z131" s="76">
        <f>Z83+Z104+Z129</f>
        <v>0</v>
      </c>
      <c r="AA131" s="60"/>
      <c r="AB131" s="76">
        <f>AB83+AB104+AB129</f>
        <v>0</v>
      </c>
      <c r="AC131" s="76">
        <f>AC83+AC104+AC129</f>
        <v>0</v>
      </c>
      <c r="AD131" s="76">
        <f>AD83+AD104+AD129</f>
        <v>0</v>
      </c>
      <c r="AE131" s="76">
        <f>AE83+AE104+AE129</f>
        <v>23020</v>
      </c>
      <c r="AF131" s="76">
        <f>AF83+AF104+AF129</f>
        <v>-158</v>
      </c>
    </row>
    <row r="132" spans="2:32"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row>
    <row r="133" spans="2:32" ht="13" x14ac:dyDescent="0.3">
      <c r="B133" s="79" t="s">
        <v>157</v>
      </c>
      <c r="C133" s="33">
        <v>-1980</v>
      </c>
      <c r="D133" s="33">
        <v>-5994</v>
      </c>
      <c r="E133" s="23">
        <v>-4013</v>
      </c>
      <c r="F133" s="23">
        <v>0</v>
      </c>
      <c r="G133" s="23">
        <v>-5460</v>
      </c>
      <c r="H133" s="23">
        <v>0</v>
      </c>
      <c r="I133" s="23">
        <v>0</v>
      </c>
      <c r="J133" s="23">
        <v>0</v>
      </c>
      <c r="K133" s="23">
        <f>SUM(E133:J133)</f>
        <v>-9473</v>
      </c>
      <c r="L133" s="33">
        <f>N133-D133</f>
        <v>0</v>
      </c>
      <c r="M133" s="33">
        <f>N133-C133</f>
        <v>-4014</v>
      </c>
      <c r="N133" s="33">
        <v>-5994</v>
      </c>
      <c r="O133" s="33">
        <v>-6016</v>
      </c>
      <c r="P133" s="33">
        <v>0</v>
      </c>
      <c r="Q133" s="33">
        <v>-6016</v>
      </c>
      <c r="R133" s="33">
        <v>-5994</v>
      </c>
      <c r="S133" s="33">
        <f>Q133-R133</f>
        <v>-22</v>
      </c>
      <c r="T133" s="38">
        <f>IFERROR((Q133/N133)*100%,"∞")</f>
        <v>1.0036703370036704</v>
      </c>
      <c r="U133" s="59">
        <f>N133+V133</f>
        <v>-5994</v>
      </c>
      <c r="V133" s="33">
        <v>0</v>
      </c>
      <c r="W133" s="33">
        <v>0</v>
      </c>
      <c r="X133" s="33"/>
      <c r="Y133" s="33"/>
      <c r="Z133" s="42"/>
      <c r="AA133" s="60"/>
      <c r="AB133" s="105"/>
      <c r="AC133" s="93"/>
      <c r="AD133" s="33">
        <f>SUM(AB133:AC133)</f>
        <v>0</v>
      </c>
      <c r="AE133" s="33">
        <f>Q133+AD133</f>
        <v>-6016</v>
      </c>
      <c r="AF133" s="101">
        <f>AE133-N133</f>
        <v>-22</v>
      </c>
    </row>
    <row r="134" spans="2:32"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row>
    <row r="135" spans="2:32" ht="13.5" thickBot="1" x14ac:dyDescent="0.35">
      <c r="B135" s="91" t="s">
        <v>158</v>
      </c>
      <c r="C135" s="76">
        <f t="shared" ref="C135:J135" si="69">C131+C133</f>
        <v>22625</v>
      </c>
      <c r="D135" s="76">
        <f t="shared" si="69"/>
        <v>17184</v>
      </c>
      <c r="E135" s="76">
        <f t="shared" si="69"/>
        <v>-5436</v>
      </c>
      <c r="F135" s="76">
        <f t="shared" si="69"/>
        <v>0</v>
      </c>
      <c r="G135" s="76">
        <f t="shared" si="69"/>
        <v>-5438</v>
      </c>
      <c r="H135" s="76">
        <f t="shared" si="69"/>
        <v>0</v>
      </c>
      <c r="I135" s="76">
        <f t="shared" si="69"/>
        <v>-1</v>
      </c>
      <c r="J135" s="76">
        <f t="shared" si="69"/>
        <v>0</v>
      </c>
      <c r="K135" s="76">
        <f>SUM(E135:J135)</f>
        <v>-10875</v>
      </c>
      <c r="L135" s="76">
        <f>N135-D135</f>
        <v>0</v>
      </c>
      <c r="M135" s="76">
        <f>N135-C135</f>
        <v>-5441</v>
      </c>
      <c r="N135" s="76">
        <f>N131+N133</f>
        <v>17184</v>
      </c>
      <c r="O135" s="76">
        <f>O131+O133</f>
        <v>140409</v>
      </c>
      <c r="P135" s="76">
        <f>P131+P133</f>
        <v>-123404</v>
      </c>
      <c r="Q135" s="76">
        <f>Q131+Q133</f>
        <v>17004</v>
      </c>
      <c r="R135" s="76">
        <f>R131+R133</f>
        <v>17184</v>
      </c>
      <c r="S135" s="76">
        <f>Q135-R135</f>
        <v>-180</v>
      </c>
      <c r="T135" s="92">
        <f>IFERROR((Q135/N135)*100%,"∞")</f>
        <v>0.98952513966480449</v>
      </c>
      <c r="U135" s="76">
        <f>N135+V135</f>
        <v>18220</v>
      </c>
      <c r="V135" s="76">
        <f>V131+V133</f>
        <v>1036</v>
      </c>
      <c r="W135" s="76">
        <f>W131+W133</f>
        <v>1036</v>
      </c>
      <c r="X135" s="76">
        <f>X131+X133</f>
        <v>0</v>
      </c>
      <c r="Y135" s="76">
        <f>Y131+Y133</f>
        <v>0</v>
      </c>
      <c r="Z135" s="76">
        <f>Z131+Z133</f>
        <v>0</v>
      </c>
      <c r="AA135" s="60"/>
      <c r="AB135" s="76">
        <f>AB131+AB133</f>
        <v>0</v>
      </c>
      <c r="AC135" s="76">
        <f>AC131+AC133</f>
        <v>0</v>
      </c>
      <c r="AD135" s="76">
        <f>AD131+AD133</f>
        <v>0</v>
      </c>
      <c r="AE135" s="76">
        <f>AE131+AE133</f>
        <v>17004</v>
      </c>
      <c r="AF135" s="76">
        <f>AF131+AF133</f>
        <v>-180</v>
      </c>
    </row>
    <row r="136" spans="2:32"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row>
    <row r="137" spans="2:32"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row>
    <row r="138" spans="2:32"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row>
    <row r="139" spans="2:32" ht="13" x14ac:dyDescent="0.3">
      <c r="B139" s="79" t="s">
        <v>160</v>
      </c>
      <c r="C139" s="33">
        <v>711</v>
      </c>
      <c r="D139" s="33">
        <v>711</v>
      </c>
      <c r="E139" s="23">
        <v>0</v>
      </c>
      <c r="F139" s="23">
        <v>0</v>
      </c>
      <c r="G139" s="23">
        <v>0</v>
      </c>
      <c r="H139" s="23">
        <v>0</v>
      </c>
      <c r="I139" s="23">
        <v>0</v>
      </c>
      <c r="J139" s="23">
        <v>0</v>
      </c>
      <c r="K139" s="23">
        <f t="shared" ref="K139:K140" si="70">SUM(E139:J139)</f>
        <v>0</v>
      </c>
      <c r="L139" s="33">
        <f t="shared" ref="L139:L140" si="71">N139-D139</f>
        <v>0</v>
      </c>
      <c r="M139" s="33">
        <f t="shared" ref="M139:M140" si="72">N139-C139</f>
        <v>0</v>
      </c>
      <c r="N139" s="33">
        <v>711</v>
      </c>
      <c r="O139" s="33">
        <v>0</v>
      </c>
      <c r="P139" s="33">
        <v>719</v>
      </c>
      <c r="Q139" s="33">
        <v>719</v>
      </c>
      <c r="R139" s="33">
        <v>711</v>
      </c>
      <c r="S139" s="33">
        <f t="shared" ref="S139:S140" si="73">Q139-R139</f>
        <v>8</v>
      </c>
      <c r="T139" s="38">
        <f t="shared" ref="T139:T140" si="74">IFERROR((Q139/N139)*100%,"∞")</f>
        <v>1.0112517580872011</v>
      </c>
      <c r="U139" s="59">
        <f t="shared" ref="U139:U140" si="75">N139+V139</f>
        <v>711</v>
      </c>
      <c r="V139" s="33">
        <v>0</v>
      </c>
      <c r="W139" s="33">
        <v>0</v>
      </c>
      <c r="X139" s="33"/>
      <c r="Y139" s="33"/>
      <c r="Z139" s="42"/>
      <c r="AA139" s="60"/>
      <c r="AB139" s="105"/>
      <c r="AC139" s="93"/>
      <c r="AD139" s="33">
        <f t="shared" ref="AD139:AD140" si="76">SUM(AB139:AC139)</f>
        <v>0</v>
      </c>
      <c r="AE139" s="33">
        <f t="shared" ref="AE139:AE140" si="77">Q139+AD139</f>
        <v>719</v>
      </c>
      <c r="AF139" s="101">
        <f t="shared" ref="AF139:AF140" si="78">AE139-N139</f>
        <v>8</v>
      </c>
    </row>
    <row r="140" spans="2:32" ht="13" x14ac:dyDescent="0.3">
      <c r="B140" s="79" t="s">
        <v>161</v>
      </c>
      <c r="C140" s="33">
        <v>15029</v>
      </c>
      <c r="D140" s="33">
        <v>15029</v>
      </c>
      <c r="E140" s="23">
        <v>0</v>
      </c>
      <c r="F140" s="23">
        <v>0</v>
      </c>
      <c r="G140" s="23">
        <v>0</v>
      </c>
      <c r="H140" s="23">
        <v>0</v>
      </c>
      <c r="I140" s="23">
        <v>0</v>
      </c>
      <c r="J140" s="23">
        <v>0</v>
      </c>
      <c r="K140" s="23">
        <f t="shared" si="70"/>
        <v>0</v>
      </c>
      <c r="L140" s="33">
        <f t="shared" si="71"/>
        <v>0</v>
      </c>
      <c r="M140" s="33">
        <f t="shared" si="72"/>
        <v>0</v>
      </c>
      <c r="N140" s="33">
        <v>15029</v>
      </c>
      <c r="O140" s="33">
        <v>14621</v>
      </c>
      <c r="P140" s="33">
        <v>0</v>
      </c>
      <c r="Q140" s="33">
        <v>14621</v>
      </c>
      <c r="R140" s="33">
        <v>15029</v>
      </c>
      <c r="S140" s="33">
        <f t="shared" si="73"/>
        <v>-408</v>
      </c>
      <c r="T140" s="38">
        <f t="shared" si="74"/>
        <v>0.97285248519528911</v>
      </c>
      <c r="U140" s="59">
        <f t="shared" si="75"/>
        <v>15029</v>
      </c>
      <c r="V140" s="33">
        <v>0</v>
      </c>
      <c r="W140" s="33">
        <v>0</v>
      </c>
      <c r="X140" s="33"/>
      <c r="Y140" s="33"/>
      <c r="Z140" s="42"/>
      <c r="AA140" s="60"/>
      <c r="AB140" s="105"/>
      <c r="AC140" s="93"/>
      <c r="AD140" s="33">
        <f t="shared" si="76"/>
        <v>0</v>
      </c>
      <c r="AE140" s="33">
        <f t="shared" si="77"/>
        <v>14621</v>
      </c>
      <c r="AF140" s="101">
        <f t="shared" si="78"/>
        <v>-408</v>
      </c>
    </row>
    <row r="141" spans="2:32" ht="13" x14ac:dyDescent="0.3">
      <c r="B141" s="79" t="s">
        <v>162</v>
      </c>
      <c r="C141" s="33">
        <v>-271</v>
      </c>
      <c r="D141" s="33">
        <v>-271</v>
      </c>
      <c r="E141" s="23">
        <v>0</v>
      </c>
      <c r="F141" s="23">
        <v>0</v>
      </c>
      <c r="G141" s="23">
        <v>0</v>
      </c>
      <c r="H141" s="23">
        <v>0</v>
      </c>
      <c r="I141" s="23">
        <v>0</v>
      </c>
      <c r="J141" s="23">
        <v>0</v>
      </c>
      <c r="K141" s="23">
        <f>SUM(E141:J141)</f>
        <v>0</v>
      </c>
      <c r="L141" s="33">
        <f>N141-D141</f>
        <v>0</v>
      </c>
      <c r="M141" s="33">
        <f>N141-C141</f>
        <v>0</v>
      </c>
      <c r="N141" s="33">
        <v>-271</v>
      </c>
      <c r="O141" s="33">
        <v>-281</v>
      </c>
      <c r="P141" s="33">
        <v>0</v>
      </c>
      <c r="Q141" s="33">
        <v>-281</v>
      </c>
      <c r="R141" s="33">
        <v>-271</v>
      </c>
      <c r="S141" s="33">
        <f>Q141-R141</f>
        <v>-10</v>
      </c>
      <c r="T141" s="38">
        <f>IFERROR((Q141/N141)*100%,"∞")</f>
        <v>1.03690036900369</v>
      </c>
      <c r="U141" s="59">
        <f>N141+V141</f>
        <v>-271</v>
      </c>
      <c r="V141" s="33">
        <v>0</v>
      </c>
      <c r="W141" s="33">
        <v>0</v>
      </c>
      <c r="X141" s="33"/>
      <c r="Y141" s="33"/>
      <c r="Z141" s="42"/>
      <c r="AA141" s="60"/>
      <c r="AB141" s="105"/>
      <c r="AC141" s="93"/>
      <c r="AD141" s="33">
        <f>SUM(AB141:AC141)</f>
        <v>0</v>
      </c>
      <c r="AE141" s="33">
        <f>Q141+AD141</f>
        <v>-281</v>
      </c>
      <c r="AF141" s="101">
        <f>AE141-N141</f>
        <v>-10</v>
      </c>
    </row>
    <row r="142" spans="2:32" ht="13" x14ac:dyDescent="0.3">
      <c r="B142" s="79" t="s">
        <v>163</v>
      </c>
      <c r="C142" s="33">
        <v>7154</v>
      </c>
      <c r="D142" s="33">
        <v>1717</v>
      </c>
      <c r="E142" s="23">
        <v>-5437</v>
      </c>
      <c r="F142" s="23">
        <v>0</v>
      </c>
      <c r="G142" s="23">
        <v>-5437</v>
      </c>
      <c r="H142" s="23">
        <v>0</v>
      </c>
      <c r="I142" s="23">
        <v>0</v>
      </c>
      <c r="J142" s="23">
        <v>0</v>
      </c>
      <c r="K142" s="23">
        <f>SUM(E142:J142)</f>
        <v>-10874</v>
      </c>
      <c r="L142" s="33">
        <f>N142-D142</f>
        <v>0</v>
      </c>
      <c r="M142" s="33">
        <f>N142-C142</f>
        <v>-5437</v>
      </c>
      <c r="N142" s="33">
        <v>1717</v>
      </c>
      <c r="O142" s="33">
        <v>2718</v>
      </c>
      <c r="P142" s="33">
        <v>-1001</v>
      </c>
      <c r="Q142" s="33">
        <v>1717</v>
      </c>
      <c r="R142" s="33">
        <v>1717</v>
      </c>
      <c r="S142" s="33">
        <f>Q142-R142</f>
        <v>0</v>
      </c>
      <c r="T142" s="38">
        <f>IFERROR((Q142/N142)*100%,"∞")</f>
        <v>1</v>
      </c>
      <c r="U142" s="59">
        <f>N142+V142</f>
        <v>1717</v>
      </c>
      <c r="V142" s="33">
        <v>0</v>
      </c>
      <c r="W142" s="33">
        <v>0</v>
      </c>
      <c r="X142" s="33"/>
      <c r="Y142" s="33"/>
      <c r="Z142" s="42"/>
      <c r="AA142" s="60"/>
      <c r="AB142" s="105"/>
      <c r="AC142" s="93"/>
      <c r="AD142" s="33">
        <f>SUM(AB142:AC142)</f>
        <v>0</v>
      </c>
      <c r="AE142" s="33">
        <f>Q142+AD142</f>
        <v>1717</v>
      </c>
      <c r="AF142" s="101">
        <f>AE142-N142</f>
        <v>0</v>
      </c>
    </row>
    <row r="143" spans="2:32"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row>
    <row r="144" spans="2:32" ht="13.5" thickBot="1" x14ac:dyDescent="0.35">
      <c r="B144" s="91" t="s">
        <v>164</v>
      </c>
      <c r="C144" s="76">
        <f t="shared" ref="C144:J144" si="79">SUM(C139:C142)</f>
        <v>22623</v>
      </c>
      <c r="D144" s="76">
        <f t="shared" si="79"/>
        <v>17186</v>
      </c>
      <c r="E144" s="76">
        <f t="shared" si="79"/>
        <v>-5437</v>
      </c>
      <c r="F144" s="76">
        <f t="shared" si="79"/>
        <v>0</v>
      </c>
      <c r="G144" s="76">
        <f t="shared" si="79"/>
        <v>-5437</v>
      </c>
      <c r="H144" s="76">
        <f t="shared" si="79"/>
        <v>0</v>
      </c>
      <c r="I144" s="76">
        <f t="shared" si="79"/>
        <v>0</v>
      </c>
      <c r="J144" s="76">
        <f t="shared" si="79"/>
        <v>0</v>
      </c>
      <c r="K144" s="76">
        <f>SUM(E144:J144)</f>
        <v>-10874</v>
      </c>
      <c r="L144" s="76">
        <f>N144-D144</f>
        <v>0</v>
      </c>
      <c r="M144" s="76">
        <f>N144-C144</f>
        <v>-5437</v>
      </c>
      <c r="N144" s="76">
        <f>SUM(N139:N142)</f>
        <v>17186</v>
      </c>
      <c r="O144" s="76">
        <f>SUM(O139:O142)</f>
        <v>17058</v>
      </c>
      <c r="P144" s="76">
        <f>SUM(P139:P142)</f>
        <v>-282</v>
      </c>
      <c r="Q144" s="76">
        <f>SUM(Q139:Q142)</f>
        <v>16776</v>
      </c>
      <c r="R144" s="76">
        <f>SUM(R139:R142)</f>
        <v>17186</v>
      </c>
      <c r="S144" s="76">
        <f>Q144-R144</f>
        <v>-410</v>
      </c>
      <c r="T144" s="92">
        <f>IFERROR((Q144/N144)*100%,"∞")</f>
        <v>0.97614337251251015</v>
      </c>
      <c r="U144" s="76">
        <f>N144+V144</f>
        <v>17186</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16776</v>
      </c>
      <c r="AF144" s="76">
        <f>SUM(AF139:AF142)</f>
        <v>-410</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2" ht="13.5" thickBot="1" x14ac:dyDescent="0.35">
      <c r="B146" s="91" t="s">
        <v>165</v>
      </c>
      <c r="C146" s="76">
        <f t="shared" ref="C146:J146" si="80">C135-C144</f>
        <v>2</v>
      </c>
      <c r="D146" s="76">
        <f t="shared" si="80"/>
        <v>-2</v>
      </c>
      <c r="E146" s="76">
        <f t="shared" si="80"/>
        <v>1</v>
      </c>
      <c r="F146" s="76">
        <f t="shared" si="80"/>
        <v>0</v>
      </c>
      <c r="G146" s="76">
        <f t="shared" si="80"/>
        <v>-1</v>
      </c>
      <c r="H146" s="76">
        <f t="shared" si="80"/>
        <v>0</v>
      </c>
      <c r="I146" s="76">
        <f t="shared" si="80"/>
        <v>-1</v>
      </c>
      <c r="J146" s="76">
        <f t="shared" si="80"/>
        <v>0</v>
      </c>
      <c r="K146" s="76">
        <f>SUM(E146:J146)</f>
        <v>-1</v>
      </c>
      <c r="L146" s="76">
        <f>N146-D146</f>
        <v>0</v>
      </c>
      <c r="M146" s="76">
        <f>N146-C146</f>
        <v>-4</v>
      </c>
      <c r="N146" s="76">
        <f>N135-N144</f>
        <v>-2</v>
      </c>
      <c r="O146" s="76">
        <f>O135-O144</f>
        <v>123351</v>
      </c>
      <c r="P146" s="76">
        <f>P135-P144</f>
        <v>-123122</v>
      </c>
      <c r="Q146" s="76">
        <f>Q135-Q144</f>
        <v>228</v>
      </c>
      <c r="R146" s="76">
        <f>R135-R144</f>
        <v>-2</v>
      </c>
      <c r="S146" s="76">
        <f>Q146-R146</f>
        <v>230</v>
      </c>
      <c r="T146" s="92">
        <f>IFERROR((Q146/N146)*100%,"∞")</f>
        <v>-114</v>
      </c>
      <c r="U146" s="76">
        <f>N146+V146</f>
        <v>1034</v>
      </c>
      <c r="V146" s="76">
        <f>V135-V144</f>
        <v>1036</v>
      </c>
      <c r="W146" s="76">
        <f>W135-W144</f>
        <v>1036</v>
      </c>
      <c r="X146" s="76">
        <f>X135-X144</f>
        <v>0</v>
      </c>
      <c r="Y146" s="76">
        <f>Y135-Y144</f>
        <v>0</v>
      </c>
      <c r="Z146" s="76">
        <f>Z135-Z144</f>
        <v>0</v>
      </c>
      <c r="AA146" s="60"/>
      <c r="AB146" s="76">
        <f>AB135-AB144</f>
        <v>0</v>
      </c>
      <c r="AC146" s="76">
        <f>AC135-AC144</f>
        <v>0</v>
      </c>
      <c r="AD146" s="76">
        <f>AD135-AD144</f>
        <v>0</v>
      </c>
      <c r="AE146" s="76">
        <f>AE135-AE144</f>
        <v>228</v>
      </c>
      <c r="AF146" s="76">
        <f>AF135-AF144</f>
        <v>230</v>
      </c>
    </row>
    <row r="147" spans="2:32" ht="13" thickTop="1" x14ac:dyDescent="0.25"/>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AF147"/>
  <sheetViews>
    <sheetView workbookViewId="0">
      <pane xSplit="2" ySplit="2" topLeftCell="Z127" activePane="bottomRight" state="frozen"/>
      <selection pane="topRight" activeCell="H61" sqref="H61"/>
      <selection pane="bottomLeft" activeCell="H61" sqref="H61"/>
      <selection pane="bottomRight" activeCell="H61" sqref="H61"/>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customWidth="1" outlineLevel="1"/>
    <col min="14" max="14" width="13.54296875" customWidth="1"/>
    <col min="15" max="16" width="13.54296875" hidden="1" customWidth="1" outlineLevel="1"/>
    <col min="17" max="17" width="13.54296875" customWidth="1" collapsed="1"/>
    <col min="18" max="20" width="13.54296875" customWidth="1" outlineLevel="1"/>
    <col min="21" max="22" width="13.54296875" customWidth="1"/>
    <col min="23" max="26" width="13.54296875" customWidth="1" outlineLevel="1"/>
    <col min="27" max="27" width="1.54296875" customWidth="1"/>
    <col min="28" max="32" width="13.54296875" customWidth="1" outlineLevel="1"/>
    <col min="33" max="33" width="1.54296875" customWidth="1"/>
    <col min="34" max="43" width="11.54296875" customWidth="1"/>
  </cols>
  <sheetData>
    <row r="1" spans="2:32" s="6" customFormat="1" ht="18.5" thickBot="1" x14ac:dyDescent="0.45">
      <c r="B1" s="17"/>
      <c r="D1" s="18" t="s">
        <v>0</v>
      </c>
      <c r="F1" s="17"/>
    </row>
    <row r="2" spans="2:32"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2" ht="13" outlineLevel="2" x14ac:dyDescent="0.3">
      <c r="B5" s="31" t="s">
        <v>36</v>
      </c>
      <c r="C5" s="33">
        <v>715</v>
      </c>
      <c r="D5" s="33">
        <v>804</v>
      </c>
      <c r="E5" s="23">
        <v>0</v>
      </c>
      <c r="F5" s="23">
        <v>-352</v>
      </c>
      <c r="G5" s="23">
        <v>-10</v>
      </c>
      <c r="H5" s="23">
        <v>0</v>
      </c>
      <c r="I5" s="23">
        <v>98</v>
      </c>
      <c r="J5" s="23">
        <v>0</v>
      </c>
      <c r="K5" s="23">
        <f t="shared" ref="K5:K68" si="0">SUM(E5:J5)</f>
        <v>-264</v>
      </c>
      <c r="L5" s="33">
        <f t="shared" ref="L5:L68" si="1">N5-D5</f>
        <v>-352</v>
      </c>
      <c r="M5" s="33">
        <f t="shared" ref="M5:M68" si="2">N5-C5</f>
        <v>-263</v>
      </c>
      <c r="N5" s="33">
        <v>452</v>
      </c>
      <c r="O5" s="33">
        <v>1908</v>
      </c>
      <c r="P5" s="33">
        <v>-1519</v>
      </c>
      <c r="Q5" s="33">
        <v>389</v>
      </c>
      <c r="R5" s="33">
        <v>452</v>
      </c>
      <c r="S5" s="33">
        <f t="shared" ref="S5:S68" si="3">Q5-R5</f>
        <v>-63</v>
      </c>
      <c r="T5" s="38">
        <f t="shared" ref="T5:T68" si="4">IFERROR((Q5/N5)*100%,"∞")</f>
        <v>0.86061946902654862</v>
      </c>
      <c r="U5" s="59">
        <f t="shared" ref="U5:U68" si="5">N5+V5</f>
        <v>452</v>
      </c>
      <c r="V5" s="33">
        <v>0</v>
      </c>
      <c r="W5" s="33">
        <v>0</v>
      </c>
      <c r="X5" s="33"/>
      <c r="Y5" s="33"/>
      <c r="Z5" s="42"/>
      <c r="AA5" s="60"/>
      <c r="AB5" s="105"/>
      <c r="AC5" s="93"/>
      <c r="AD5" s="33">
        <f t="shared" ref="AD5:AD68" si="6">SUM(AB5:AC5)</f>
        <v>0</v>
      </c>
      <c r="AE5" s="33">
        <f t="shared" ref="AE5:AE68" si="7">Q5+AD5</f>
        <v>389</v>
      </c>
      <c r="AF5" s="101">
        <f t="shared" ref="AF5:AF68" si="8">AE5-N5</f>
        <v>-63</v>
      </c>
    </row>
    <row r="6" spans="2:32"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101">
        <f t="shared" si="8"/>
        <v>17</v>
      </c>
    </row>
    <row r="7" spans="2:32" ht="13" outlineLevel="2" x14ac:dyDescent="0.3">
      <c r="B7" s="31" t="s">
        <v>38</v>
      </c>
      <c r="C7" s="33">
        <v>1098</v>
      </c>
      <c r="D7" s="33">
        <v>722</v>
      </c>
      <c r="E7" s="23">
        <v>0</v>
      </c>
      <c r="F7" s="23">
        <v>-921</v>
      </c>
      <c r="G7" s="23">
        <v>-20</v>
      </c>
      <c r="H7" s="23">
        <v>0</v>
      </c>
      <c r="I7" s="23">
        <v>-356</v>
      </c>
      <c r="J7" s="23">
        <v>-15</v>
      </c>
      <c r="K7" s="23">
        <f t="shared" si="0"/>
        <v>-1312</v>
      </c>
      <c r="L7" s="33">
        <f t="shared" si="1"/>
        <v>-937</v>
      </c>
      <c r="M7" s="33">
        <f t="shared" si="2"/>
        <v>-1313</v>
      </c>
      <c r="N7" s="33">
        <v>-215</v>
      </c>
      <c r="O7" s="33">
        <v>1723</v>
      </c>
      <c r="P7" s="33">
        <v>-1684</v>
      </c>
      <c r="Q7" s="33">
        <v>38</v>
      </c>
      <c r="R7" s="33">
        <v>-215</v>
      </c>
      <c r="S7" s="33">
        <f t="shared" si="3"/>
        <v>253</v>
      </c>
      <c r="T7" s="38">
        <f t="shared" si="4"/>
        <v>-0.17674418604651163</v>
      </c>
      <c r="U7" s="59">
        <f t="shared" si="5"/>
        <v>-215</v>
      </c>
      <c r="V7" s="33">
        <v>0</v>
      </c>
      <c r="W7" s="33">
        <v>0</v>
      </c>
      <c r="X7" s="33"/>
      <c r="Y7" s="33"/>
      <c r="Z7" s="42"/>
      <c r="AA7" s="60"/>
      <c r="AB7" s="105"/>
      <c r="AC7" s="93"/>
      <c r="AD7" s="33">
        <f t="shared" si="6"/>
        <v>0</v>
      </c>
      <c r="AE7" s="33">
        <f t="shared" si="7"/>
        <v>38</v>
      </c>
      <c r="AF7" s="101">
        <f t="shared" si="8"/>
        <v>253</v>
      </c>
    </row>
    <row r="8" spans="2:32" ht="13" outlineLevel="2" x14ac:dyDescent="0.3">
      <c r="B8" s="31" t="s">
        <v>39</v>
      </c>
      <c r="C8" s="33">
        <v>1086</v>
      </c>
      <c r="D8" s="33">
        <v>1477</v>
      </c>
      <c r="E8" s="23">
        <v>0</v>
      </c>
      <c r="F8" s="23">
        <v>283</v>
      </c>
      <c r="G8" s="23">
        <v>-6</v>
      </c>
      <c r="H8" s="23">
        <v>-28</v>
      </c>
      <c r="I8" s="23">
        <v>397</v>
      </c>
      <c r="J8" s="23">
        <v>0</v>
      </c>
      <c r="K8" s="23">
        <f t="shared" si="0"/>
        <v>646</v>
      </c>
      <c r="L8" s="33">
        <f t="shared" si="1"/>
        <v>265</v>
      </c>
      <c r="M8" s="33">
        <f t="shared" si="2"/>
        <v>656</v>
      </c>
      <c r="N8" s="33">
        <v>1742</v>
      </c>
      <c r="O8" s="33">
        <v>4451</v>
      </c>
      <c r="P8" s="33">
        <v>-2601</v>
      </c>
      <c r="Q8" s="33">
        <v>1850</v>
      </c>
      <c r="R8" s="33">
        <v>1742</v>
      </c>
      <c r="S8" s="33">
        <f t="shared" si="3"/>
        <v>108</v>
      </c>
      <c r="T8" s="38">
        <f t="shared" si="4"/>
        <v>1.0619977037887485</v>
      </c>
      <c r="U8" s="59">
        <f t="shared" si="5"/>
        <v>1742</v>
      </c>
      <c r="V8" s="33">
        <v>0</v>
      </c>
      <c r="W8" s="33">
        <v>0</v>
      </c>
      <c r="X8" s="33"/>
      <c r="Y8" s="33"/>
      <c r="Z8" s="42"/>
      <c r="AA8" s="60"/>
      <c r="AB8" s="105"/>
      <c r="AC8" s="93"/>
      <c r="AD8" s="33">
        <f t="shared" si="6"/>
        <v>0</v>
      </c>
      <c r="AE8" s="33">
        <f t="shared" si="7"/>
        <v>1850</v>
      </c>
      <c r="AF8" s="101">
        <f t="shared" si="8"/>
        <v>108</v>
      </c>
    </row>
    <row r="9" spans="2:32" ht="13" outlineLevel="2" x14ac:dyDescent="0.3">
      <c r="B9" s="31" t="s">
        <v>40</v>
      </c>
      <c r="C9" s="33">
        <v>1586</v>
      </c>
      <c r="D9" s="33">
        <v>1558</v>
      </c>
      <c r="E9" s="23">
        <v>0</v>
      </c>
      <c r="F9" s="23">
        <v>-37</v>
      </c>
      <c r="G9" s="23">
        <v>-3</v>
      </c>
      <c r="H9" s="23">
        <v>0</v>
      </c>
      <c r="I9" s="23">
        <v>-25</v>
      </c>
      <c r="J9" s="23">
        <v>0</v>
      </c>
      <c r="K9" s="23">
        <f t="shared" si="0"/>
        <v>-65</v>
      </c>
      <c r="L9" s="33">
        <f t="shared" si="1"/>
        <v>-37</v>
      </c>
      <c r="M9" s="33">
        <f t="shared" si="2"/>
        <v>-65</v>
      </c>
      <c r="N9" s="33">
        <v>1521</v>
      </c>
      <c r="O9" s="33">
        <v>4168</v>
      </c>
      <c r="P9" s="33">
        <v>-2308</v>
      </c>
      <c r="Q9" s="33">
        <v>1860</v>
      </c>
      <c r="R9" s="33">
        <v>1521</v>
      </c>
      <c r="S9" s="33">
        <f t="shared" si="3"/>
        <v>339</v>
      </c>
      <c r="T9" s="38">
        <f t="shared" si="4"/>
        <v>1.222879684418146</v>
      </c>
      <c r="U9" s="59">
        <f t="shared" si="5"/>
        <v>1480</v>
      </c>
      <c r="V9" s="33">
        <v>-41</v>
      </c>
      <c r="W9" s="33">
        <v>-41</v>
      </c>
      <c r="X9" s="33"/>
      <c r="Y9" s="33"/>
      <c r="Z9" s="42"/>
      <c r="AA9" s="60"/>
      <c r="AB9" s="105"/>
      <c r="AC9" s="93"/>
      <c r="AD9" s="33">
        <f t="shared" si="6"/>
        <v>0</v>
      </c>
      <c r="AE9" s="33">
        <f t="shared" si="7"/>
        <v>1860</v>
      </c>
      <c r="AF9" s="101">
        <f t="shared" si="8"/>
        <v>339</v>
      </c>
    </row>
    <row r="10" spans="2:32"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101">
        <f t="shared" si="8"/>
        <v>7</v>
      </c>
    </row>
    <row r="11" spans="2:32" ht="13" outlineLevel="1" x14ac:dyDescent="0.3">
      <c r="B11" s="32" t="s">
        <v>43</v>
      </c>
      <c r="C11" s="34">
        <f t="shared" ref="C11:J11" si="9">SUBTOTAL(9,C5:C10)</f>
        <v>4659</v>
      </c>
      <c r="D11" s="34">
        <f t="shared" si="9"/>
        <v>4616</v>
      </c>
      <c r="E11" s="24">
        <f t="shared" si="9"/>
        <v>0</v>
      </c>
      <c r="F11" s="24">
        <f t="shared" si="9"/>
        <v>-1027</v>
      </c>
      <c r="G11" s="24">
        <f t="shared" si="9"/>
        <v>-38</v>
      </c>
      <c r="H11" s="24">
        <f t="shared" si="9"/>
        <v>-28</v>
      </c>
      <c r="I11" s="24">
        <f t="shared" si="9"/>
        <v>-6</v>
      </c>
      <c r="J11" s="24">
        <f t="shared" si="9"/>
        <v>-15</v>
      </c>
      <c r="K11" s="24">
        <f>SUM(E11:J11)</f>
        <v>-1114</v>
      </c>
      <c r="L11" s="34">
        <f t="shared" si="1"/>
        <v>-1061</v>
      </c>
      <c r="M11" s="34">
        <f t="shared" si="2"/>
        <v>-1104</v>
      </c>
      <c r="N11" s="34">
        <f>SUBTOTAL(9,N5:N10)</f>
        <v>3555</v>
      </c>
      <c r="O11" s="34">
        <f>SUBTOTAL(9,O5:O10)</f>
        <v>12329</v>
      </c>
      <c r="P11" s="34">
        <f>SUBTOTAL(9,P5:P10)</f>
        <v>-8112</v>
      </c>
      <c r="Q11" s="34">
        <f>SUBTOTAL(9,Q5:Q10)</f>
        <v>4216</v>
      </c>
      <c r="R11" s="34">
        <f>SUBTOTAL(9,R5:R10)</f>
        <v>3555</v>
      </c>
      <c r="S11" s="34">
        <f>Q11-R11</f>
        <v>661</v>
      </c>
      <c r="T11" s="38">
        <f>IFERROR((Q11/N11)*100%,"∞")</f>
        <v>1.1859353023909986</v>
      </c>
      <c r="U11" s="59">
        <f>N11+V11</f>
        <v>3514</v>
      </c>
      <c r="V11" s="34">
        <f>SUBTOTAL(9,V5:V10)</f>
        <v>-41</v>
      </c>
      <c r="W11" s="34">
        <f>SUBTOTAL(9,W5:W10)</f>
        <v>-41</v>
      </c>
      <c r="X11" s="34"/>
      <c r="Y11" s="34"/>
      <c r="Z11" s="41"/>
      <c r="AA11" s="60"/>
      <c r="AB11" s="102">
        <f>SUBTOTAL(9,AB1:AB10)</f>
        <v>0</v>
      </c>
      <c r="AC11" s="34">
        <f>SUBTOTAL(9,AC1:AC10)</f>
        <v>0</v>
      </c>
      <c r="AD11" s="34"/>
      <c r="AE11" s="34"/>
      <c r="AF11" s="103"/>
    </row>
    <row r="12" spans="2:32" ht="13" outlineLevel="2" x14ac:dyDescent="0.3">
      <c r="B12" s="31" t="s">
        <v>44</v>
      </c>
      <c r="C12" s="33">
        <v>773</v>
      </c>
      <c r="D12" s="33">
        <v>723</v>
      </c>
      <c r="E12" s="23">
        <v>24</v>
      </c>
      <c r="F12" s="23">
        <v>29</v>
      </c>
      <c r="G12" s="23">
        <v>-25</v>
      </c>
      <c r="H12" s="23">
        <v>0</v>
      </c>
      <c r="I12" s="23">
        <v>-32</v>
      </c>
      <c r="J12" s="23">
        <v>0</v>
      </c>
      <c r="K12" s="23">
        <f t="shared" si="0"/>
        <v>-4</v>
      </c>
      <c r="L12" s="33">
        <f t="shared" si="1"/>
        <v>30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101">
        <f t="shared" si="8"/>
        <v>78</v>
      </c>
    </row>
    <row r="13" spans="2:32" ht="13" outlineLevel="1" x14ac:dyDescent="0.3">
      <c r="B13" s="32" t="s">
        <v>45</v>
      </c>
      <c r="C13" s="34">
        <f t="shared" ref="C13:J13" si="10">SUBTOTAL(9,C12:C12)</f>
        <v>773</v>
      </c>
      <c r="D13" s="34">
        <f t="shared" si="10"/>
        <v>723</v>
      </c>
      <c r="E13" s="24">
        <f t="shared" si="10"/>
        <v>24</v>
      </c>
      <c r="F13" s="24">
        <f t="shared" si="10"/>
        <v>29</v>
      </c>
      <c r="G13" s="24">
        <f t="shared" si="10"/>
        <v>-25</v>
      </c>
      <c r="H13" s="24">
        <f t="shared" si="10"/>
        <v>0</v>
      </c>
      <c r="I13" s="24">
        <f t="shared" si="10"/>
        <v>-32</v>
      </c>
      <c r="J13" s="24">
        <f t="shared" si="10"/>
        <v>0</v>
      </c>
      <c r="K13" s="24">
        <f>SUM(E13:J13)</f>
        <v>-4</v>
      </c>
      <c r="L13" s="34">
        <f t="shared" ref="L13" si="11">N13-D13</f>
        <v>30</v>
      </c>
      <c r="M13" s="34">
        <f t="shared" ref="M13" si="12">N13-C13</f>
        <v>-20</v>
      </c>
      <c r="N13" s="34">
        <f>SUBTOTAL(9,N12:N12)</f>
        <v>753</v>
      </c>
      <c r="O13" s="34">
        <f>SUBTOTAL(9,O12:O12)</f>
        <v>1783</v>
      </c>
      <c r="P13" s="34">
        <f>SUBTOTAL(9,P12:P12)</f>
        <v>-952</v>
      </c>
      <c r="Q13" s="34">
        <f>SUBTOTAL(9,Q12:Q12)</f>
        <v>831</v>
      </c>
      <c r="R13" s="34">
        <f>SUBTOTAL(9,R12:R12)</f>
        <v>753</v>
      </c>
      <c r="S13" s="34">
        <f>Q13-R13</f>
        <v>78</v>
      </c>
      <c r="T13" s="38">
        <f>IFERROR((Q13/N13)*100%,"∞")</f>
        <v>1.1035856573705178</v>
      </c>
      <c r="U13" s="59">
        <f>N13+V13</f>
        <v>813</v>
      </c>
      <c r="V13" s="34">
        <f>SUBTOTAL(9,V12:V12)</f>
        <v>60</v>
      </c>
      <c r="W13" s="34">
        <f>SUBTOTAL(9,W12:W12)</f>
        <v>60</v>
      </c>
      <c r="X13" s="34"/>
      <c r="Y13" s="34"/>
      <c r="Z13" s="41"/>
      <c r="AA13" s="60"/>
      <c r="AB13" s="102">
        <f>SUBTOTAL(9,AB1:AB12)</f>
        <v>0</v>
      </c>
      <c r="AC13" s="34">
        <f>SUBTOTAL(9,AC1:AC12)</f>
        <v>0</v>
      </c>
      <c r="AD13" s="34"/>
      <c r="AE13" s="34"/>
      <c r="AF13" s="103"/>
    </row>
    <row r="14" spans="2:32" ht="13" outlineLevel="2" x14ac:dyDescent="0.3">
      <c r="B14" s="31" t="s">
        <v>46</v>
      </c>
      <c r="C14" s="33">
        <v>1045</v>
      </c>
      <c r="D14" s="33">
        <v>1031</v>
      </c>
      <c r="E14" s="23">
        <v>-12</v>
      </c>
      <c r="F14" s="23">
        <v>0</v>
      </c>
      <c r="G14" s="23">
        <v>-8</v>
      </c>
      <c r="H14" s="23">
        <v>0</v>
      </c>
      <c r="I14" s="23">
        <v>6</v>
      </c>
      <c r="J14" s="23">
        <v>0</v>
      </c>
      <c r="K14" s="23">
        <f t="shared" si="0"/>
        <v>-14</v>
      </c>
      <c r="L14" s="33">
        <f t="shared" si="1"/>
        <v>0</v>
      </c>
      <c r="M14" s="33">
        <f t="shared" si="2"/>
        <v>-14</v>
      </c>
      <c r="N14" s="33">
        <v>1031</v>
      </c>
      <c r="O14" s="33">
        <v>1617</v>
      </c>
      <c r="P14" s="33">
        <v>-295</v>
      </c>
      <c r="Q14" s="33">
        <v>1322</v>
      </c>
      <c r="R14" s="33">
        <v>1031</v>
      </c>
      <c r="S14" s="33">
        <f t="shared" si="3"/>
        <v>291</v>
      </c>
      <c r="T14" s="38">
        <f t="shared" si="4"/>
        <v>1.2822502424830262</v>
      </c>
      <c r="U14" s="59">
        <f t="shared" si="5"/>
        <v>743</v>
      </c>
      <c r="V14" s="33">
        <v>-288</v>
      </c>
      <c r="W14" s="33">
        <v>-288</v>
      </c>
      <c r="X14" s="33"/>
      <c r="Y14" s="33"/>
      <c r="Z14" s="42"/>
      <c r="AA14" s="60"/>
      <c r="AB14" s="105"/>
      <c r="AC14" s="93"/>
      <c r="AD14" s="33">
        <f t="shared" si="6"/>
        <v>0</v>
      </c>
      <c r="AE14" s="33">
        <f t="shared" si="7"/>
        <v>1322</v>
      </c>
      <c r="AF14" s="101">
        <f t="shared" si="8"/>
        <v>291</v>
      </c>
    </row>
    <row r="15" spans="2:32"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101">
        <f t="shared" si="8"/>
        <v>14</v>
      </c>
    </row>
    <row r="16" spans="2:32"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101">
        <f t="shared" si="8"/>
        <v>-55</v>
      </c>
    </row>
    <row r="17" spans="2:32" ht="13" outlineLevel="2" x14ac:dyDescent="0.3">
      <c r="B17" s="31" t="s">
        <v>49</v>
      </c>
      <c r="C17" s="33">
        <v>602</v>
      </c>
      <c r="D17" s="33">
        <v>640</v>
      </c>
      <c r="E17" s="23">
        <v>43</v>
      </c>
      <c r="F17" s="23">
        <v>0</v>
      </c>
      <c r="G17" s="23">
        <v>-5</v>
      </c>
      <c r="H17" s="23">
        <v>0</v>
      </c>
      <c r="I17" s="23">
        <v>0</v>
      </c>
      <c r="J17" s="23">
        <v>0</v>
      </c>
      <c r="K17" s="23">
        <f t="shared" si="0"/>
        <v>38</v>
      </c>
      <c r="L17" s="33">
        <f t="shared" si="1"/>
        <v>0</v>
      </c>
      <c r="M17" s="33">
        <f t="shared" si="2"/>
        <v>38</v>
      </c>
      <c r="N17" s="33">
        <v>640</v>
      </c>
      <c r="O17" s="33">
        <v>820</v>
      </c>
      <c r="P17" s="33">
        <v>-328</v>
      </c>
      <c r="Q17" s="33">
        <v>492</v>
      </c>
      <c r="R17" s="33">
        <v>640</v>
      </c>
      <c r="S17" s="33">
        <f t="shared" si="3"/>
        <v>-148</v>
      </c>
      <c r="T17" s="38">
        <f t="shared" si="4"/>
        <v>0.76875000000000004</v>
      </c>
      <c r="U17" s="59">
        <f t="shared" si="5"/>
        <v>542</v>
      </c>
      <c r="V17" s="33">
        <v>-98</v>
      </c>
      <c r="W17" s="33">
        <v>-98</v>
      </c>
      <c r="X17" s="33"/>
      <c r="Y17" s="33"/>
      <c r="Z17" s="42"/>
      <c r="AA17" s="60"/>
      <c r="AB17" s="105"/>
      <c r="AC17" s="93"/>
      <c r="AD17" s="33">
        <f t="shared" si="6"/>
        <v>0</v>
      </c>
      <c r="AE17" s="33">
        <f t="shared" si="7"/>
        <v>492</v>
      </c>
      <c r="AF17" s="101">
        <f t="shared" si="8"/>
        <v>-148</v>
      </c>
    </row>
    <row r="18" spans="2:32" ht="13" outlineLevel="2" x14ac:dyDescent="0.3">
      <c r="B18" s="31" t="s">
        <v>50</v>
      </c>
      <c r="C18" s="33">
        <v>393</v>
      </c>
      <c r="D18" s="33">
        <v>154</v>
      </c>
      <c r="E18" s="23">
        <v>0</v>
      </c>
      <c r="F18" s="23">
        <v>0</v>
      </c>
      <c r="G18" s="23">
        <v>4</v>
      </c>
      <c r="H18" s="23">
        <v>0</v>
      </c>
      <c r="I18" s="23">
        <v>-242</v>
      </c>
      <c r="J18" s="23">
        <v>-30</v>
      </c>
      <c r="K18" s="23">
        <f t="shared" si="0"/>
        <v>-268</v>
      </c>
      <c r="L18" s="33">
        <f t="shared" si="1"/>
        <v>-30</v>
      </c>
      <c r="M18" s="33">
        <f t="shared" si="2"/>
        <v>-269</v>
      </c>
      <c r="N18" s="33">
        <v>124</v>
      </c>
      <c r="O18" s="33">
        <v>177</v>
      </c>
      <c r="P18" s="33">
        <v>-58</v>
      </c>
      <c r="Q18" s="33">
        <v>119</v>
      </c>
      <c r="R18" s="33">
        <v>124</v>
      </c>
      <c r="S18" s="33">
        <f t="shared" si="3"/>
        <v>-5</v>
      </c>
      <c r="T18" s="38">
        <f t="shared" si="4"/>
        <v>0.95967741935483875</v>
      </c>
      <c r="U18" s="59">
        <f t="shared" si="5"/>
        <v>127</v>
      </c>
      <c r="V18" s="33">
        <v>3</v>
      </c>
      <c r="W18" s="33">
        <v>3</v>
      </c>
      <c r="X18" s="33"/>
      <c r="Y18" s="33"/>
      <c r="Z18" s="42"/>
      <c r="AA18" s="60"/>
      <c r="AB18" s="105"/>
      <c r="AC18" s="93"/>
      <c r="AD18" s="33">
        <f t="shared" si="6"/>
        <v>0</v>
      </c>
      <c r="AE18" s="33">
        <f t="shared" si="7"/>
        <v>119</v>
      </c>
      <c r="AF18" s="101">
        <f t="shared" si="8"/>
        <v>-5</v>
      </c>
    </row>
    <row r="19" spans="2:32"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101">
        <f t="shared" si="8"/>
        <v>-141</v>
      </c>
    </row>
    <row r="20" spans="2:32" ht="13" outlineLevel="2" x14ac:dyDescent="0.3">
      <c r="B20" s="31" t="s">
        <v>52</v>
      </c>
      <c r="C20" s="33">
        <v>481</v>
      </c>
      <c r="D20" s="33">
        <v>475</v>
      </c>
      <c r="E20" s="23">
        <v>13</v>
      </c>
      <c r="F20" s="23">
        <v>0</v>
      </c>
      <c r="G20" s="23">
        <v>-3</v>
      </c>
      <c r="H20" s="23">
        <v>0</v>
      </c>
      <c r="I20" s="23">
        <v>-16</v>
      </c>
      <c r="J20" s="23">
        <v>0</v>
      </c>
      <c r="K20" s="23">
        <f t="shared" si="0"/>
        <v>-6</v>
      </c>
      <c r="L20" s="33">
        <f t="shared" si="1"/>
        <v>0</v>
      </c>
      <c r="M20" s="33">
        <f t="shared" si="2"/>
        <v>-6</v>
      </c>
      <c r="N20" s="33">
        <v>475</v>
      </c>
      <c r="O20" s="33">
        <v>976</v>
      </c>
      <c r="P20" s="33">
        <v>-551</v>
      </c>
      <c r="Q20" s="33">
        <v>425</v>
      </c>
      <c r="R20" s="33">
        <v>475</v>
      </c>
      <c r="S20" s="33">
        <f t="shared" si="3"/>
        <v>-50</v>
      </c>
      <c r="T20" s="38">
        <f t="shared" si="4"/>
        <v>0.89473684210526316</v>
      </c>
      <c r="U20" s="59">
        <f t="shared" si="5"/>
        <v>526</v>
      </c>
      <c r="V20" s="33">
        <v>51</v>
      </c>
      <c r="W20" s="33">
        <v>51</v>
      </c>
      <c r="X20" s="33"/>
      <c r="Y20" s="33"/>
      <c r="Z20" s="42"/>
      <c r="AA20" s="60"/>
      <c r="AB20" s="105"/>
      <c r="AC20" s="93"/>
      <c r="AD20" s="33">
        <f t="shared" si="6"/>
        <v>0</v>
      </c>
      <c r="AE20" s="33">
        <f t="shared" si="7"/>
        <v>425</v>
      </c>
      <c r="AF20" s="101">
        <f t="shared" si="8"/>
        <v>-50</v>
      </c>
    </row>
    <row r="21" spans="2:32" ht="13" outlineLevel="2" x14ac:dyDescent="0.3">
      <c r="B21" s="31" t="s">
        <v>53</v>
      </c>
      <c r="C21" s="33">
        <v>1168</v>
      </c>
      <c r="D21" s="33">
        <v>1452</v>
      </c>
      <c r="E21" s="23">
        <v>0</v>
      </c>
      <c r="F21" s="23">
        <v>-90</v>
      </c>
      <c r="G21" s="23">
        <v>-4</v>
      </c>
      <c r="H21" s="23">
        <v>0</v>
      </c>
      <c r="I21" s="23">
        <v>288</v>
      </c>
      <c r="J21" s="23">
        <v>-15</v>
      </c>
      <c r="K21" s="23">
        <f t="shared" si="0"/>
        <v>179</v>
      </c>
      <c r="L21" s="33">
        <f t="shared" si="1"/>
        <v>-105</v>
      </c>
      <c r="M21" s="33">
        <f t="shared" si="2"/>
        <v>179</v>
      </c>
      <c r="N21" s="33">
        <v>1347</v>
      </c>
      <c r="O21" s="33">
        <v>1324</v>
      </c>
      <c r="P21" s="33">
        <v>-53</v>
      </c>
      <c r="Q21" s="33">
        <v>1270</v>
      </c>
      <c r="R21" s="33">
        <v>1347</v>
      </c>
      <c r="S21" s="33">
        <f t="shared" si="3"/>
        <v>-77</v>
      </c>
      <c r="T21" s="38">
        <f t="shared" si="4"/>
        <v>0.94283593170007429</v>
      </c>
      <c r="U21" s="59">
        <f t="shared" si="5"/>
        <v>1294</v>
      </c>
      <c r="V21" s="33">
        <v>-53</v>
      </c>
      <c r="W21" s="33">
        <v>-53</v>
      </c>
      <c r="X21" s="33"/>
      <c r="Y21" s="33"/>
      <c r="Z21" s="42"/>
      <c r="AA21" s="60"/>
      <c r="AB21" s="105"/>
      <c r="AC21" s="93"/>
      <c r="AD21" s="33">
        <f t="shared" si="6"/>
        <v>0</v>
      </c>
      <c r="AE21" s="33">
        <f t="shared" si="7"/>
        <v>1270</v>
      </c>
      <c r="AF21" s="101">
        <f t="shared" si="8"/>
        <v>-77</v>
      </c>
    </row>
    <row r="22" spans="2:32" ht="13" outlineLevel="2" x14ac:dyDescent="0.3">
      <c r="B22" s="31" t="s">
        <v>54</v>
      </c>
      <c r="C22" s="33">
        <v>0</v>
      </c>
      <c r="D22" s="33">
        <v>4</v>
      </c>
      <c r="E22" s="23">
        <v>0</v>
      </c>
      <c r="F22" s="23">
        <v>0</v>
      </c>
      <c r="G22" s="23">
        <v>4</v>
      </c>
      <c r="H22" s="23">
        <v>0</v>
      </c>
      <c r="I22" s="23">
        <v>0</v>
      </c>
      <c r="J22" s="23">
        <v>0</v>
      </c>
      <c r="K22" s="23">
        <f t="shared" si="0"/>
        <v>4</v>
      </c>
      <c r="L22" s="33">
        <f t="shared" si="1"/>
        <v>0</v>
      </c>
      <c r="M22" s="33">
        <f t="shared" si="2"/>
        <v>4</v>
      </c>
      <c r="N22" s="33">
        <v>4</v>
      </c>
      <c r="O22" s="33">
        <v>976</v>
      </c>
      <c r="P22" s="33">
        <v>-913</v>
      </c>
      <c r="Q22" s="33">
        <v>63</v>
      </c>
      <c r="R22" s="33">
        <v>4</v>
      </c>
      <c r="S22" s="33">
        <f t="shared" si="3"/>
        <v>59</v>
      </c>
      <c r="T22" s="38">
        <f t="shared" si="4"/>
        <v>15.75</v>
      </c>
      <c r="U22" s="59">
        <f t="shared" si="5"/>
        <v>4</v>
      </c>
      <c r="V22" s="33">
        <v>0</v>
      </c>
      <c r="W22" s="33">
        <v>0</v>
      </c>
      <c r="X22" s="33"/>
      <c r="Y22" s="33"/>
      <c r="Z22" s="42"/>
      <c r="AA22" s="60"/>
      <c r="AB22" s="105"/>
      <c r="AC22" s="93"/>
      <c r="AD22" s="33">
        <f t="shared" si="6"/>
        <v>0</v>
      </c>
      <c r="AE22" s="33">
        <f t="shared" si="7"/>
        <v>63</v>
      </c>
      <c r="AF22" s="101">
        <f t="shared" si="8"/>
        <v>59</v>
      </c>
    </row>
    <row r="23" spans="2:32" ht="13" outlineLevel="1" x14ac:dyDescent="0.3">
      <c r="B23" s="32" t="s">
        <v>55</v>
      </c>
      <c r="C23" s="34">
        <f t="shared" ref="C23:J23" si="13">SUBTOTAL(9,C14:C22)</f>
        <v>5010</v>
      </c>
      <c r="D23" s="34">
        <f t="shared" si="13"/>
        <v>5194</v>
      </c>
      <c r="E23" s="24">
        <f t="shared" si="13"/>
        <v>75</v>
      </c>
      <c r="F23" s="24">
        <f t="shared" si="13"/>
        <v>-90</v>
      </c>
      <c r="G23" s="24">
        <f t="shared" si="13"/>
        <v>-32</v>
      </c>
      <c r="H23" s="24">
        <f t="shared" si="13"/>
        <v>0</v>
      </c>
      <c r="I23" s="24">
        <f t="shared" si="13"/>
        <v>140</v>
      </c>
      <c r="J23" s="24">
        <f t="shared" si="13"/>
        <v>-45</v>
      </c>
      <c r="K23" s="24">
        <f>SUM(E23:J23)</f>
        <v>48</v>
      </c>
      <c r="L23" s="34">
        <f t="shared" ref="L23:L24" si="14">N23-D23</f>
        <v>-135</v>
      </c>
      <c r="M23" s="34">
        <f t="shared" ref="M23:M24" si="15">N23-C23</f>
        <v>49</v>
      </c>
      <c r="N23" s="34">
        <f>SUBTOTAL(9,N14:N22)</f>
        <v>5059</v>
      </c>
      <c r="O23" s="34">
        <f>SUBTOTAL(9,O14:O22)</f>
        <v>8367</v>
      </c>
      <c r="P23" s="34">
        <f>SUBTOTAL(9,P14:P22)</f>
        <v>-3420</v>
      </c>
      <c r="Q23" s="34">
        <f>SUBTOTAL(9,Q14:Q22)</f>
        <v>4947</v>
      </c>
      <c r="R23" s="34">
        <f>SUBTOTAL(9,R14:R22)</f>
        <v>5059</v>
      </c>
      <c r="S23" s="34">
        <f>Q23-R23</f>
        <v>-112</v>
      </c>
      <c r="T23" s="38">
        <f>IFERROR((Q23/N23)*100%,"∞")</f>
        <v>0.97786123739869535</v>
      </c>
      <c r="U23" s="59">
        <f>N23+V23</f>
        <v>4576</v>
      </c>
      <c r="V23" s="34">
        <f>SUBTOTAL(9,V14:V22)</f>
        <v>-483</v>
      </c>
      <c r="W23" s="34">
        <f>SUBTOTAL(9,W14:W22)</f>
        <v>-483</v>
      </c>
      <c r="X23" s="34"/>
      <c r="Y23" s="34"/>
      <c r="Z23" s="41"/>
      <c r="AA23" s="60"/>
      <c r="AB23" s="102">
        <f>SUBTOTAL(9,AB1:AB22)</f>
        <v>0</v>
      </c>
      <c r="AC23" s="34">
        <f>SUBTOTAL(9,AC1:AC22)</f>
        <v>0</v>
      </c>
      <c r="AD23" s="34"/>
      <c r="AE23" s="34"/>
      <c r="AF23" s="103"/>
    </row>
    <row r="24" spans="2:32" ht="14.9" customHeight="1" thickBot="1" x14ac:dyDescent="0.35">
      <c r="B24" s="53" t="s">
        <v>56</v>
      </c>
      <c r="C24" s="35">
        <f t="shared" ref="C24:J24" si="16">SUBTOTAL(9,C5:C23)</f>
        <v>10442</v>
      </c>
      <c r="D24" s="35">
        <f t="shared" si="16"/>
        <v>10533</v>
      </c>
      <c r="E24" s="25">
        <f t="shared" si="16"/>
        <v>99</v>
      </c>
      <c r="F24" s="25">
        <f t="shared" si="16"/>
        <v>-1088</v>
      </c>
      <c r="G24" s="25">
        <f t="shared" si="16"/>
        <v>-95</v>
      </c>
      <c r="H24" s="25">
        <f t="shared" si="16"/>
        <v>-28</v>
      </c>
      <c r="I24" s="25">
        <f t="shared" si="16"/>
        <v>102</v>
      </c>
      <c r="J24" s="25">
        <f t="shared" si="16"/>
        <v>-60</v>
      </c>
      <c r="K24" s="25">
        <f>SUM(E24:J24)</f>
        <v>-1070</v>
      </c>
      <c r="L24" s="35">
        <f t="shared" si="14"/>
        <v>-1166</v>
      </c>
      <c r="M24" s="35">
        <f t="shared" si="15"/>
        <v>-1075</v>
      </c>
      <c r="N24" s="35">
        <f>SUBTOTAL(9,N5:N23)</f>
        <v>9367</v>
      </c>
      <c r="O24" s="35">
        <f>SUBTOTAL(9,O5:O23)</f>
        <v>22479</v>
      </c>
      <c r="P24" s="35">
        <f>SUBTOTAL(9,P5:P23)</f>
        <v>-12484</v>
      </c>
      <c r="Q24" s="35">
        <f>SUBTOTAL(9,Q5:Q23)</f>
        <v>9994</v>
      </c>
      <c r="R24" s="35">
        <f>SUBTOTAL(9,R5:R23)</f>
        <v>9367</v>
      </c>
      <c r="S24" s="35">
        <f>Q24-R24</f>
        <v>627</v>
      </c>
      <c r="T24" s="39">
        <f>IFERROR((Q24/N24)*100%,"∞")</f>
        <v>1.0669371196754565</v>
      </c>
      <c r="U24" s="54">
        <f>N24+V24</f>
        <v>8903</v>
      </c>
      <c r="V24" s="35">
        <f>SUBTOTAL(9,V5:V23)</f>
        <v>-464</v>
      </c>
      <c r="W24" s="35">
        <f>SUBTOTAL(9,W5:W23)</f>
        <v>-464</v>
      </c>
      <c r="X24" s="35"/>
      <c r="Y24" s="35"/>
      <c r="Z24" s="43"/>
      <c r="AA24" s="60"/>
      <c r="AB24" s="104">
        <f>SUBTOTAL(9,AB1:AB23)</f>
        <v>0</v>
      </c>
      <c r="AC24" s="104">
        <f>SUBTOTAL(9,AC1:AC23)</f>
        <v>0</v>
      </c>
      <c r="AD24" s="35">
        <f>SUM(AB24:AC24)</f>
        <v>0</v>
      </c>
      <c r="AE24" s="35">
        <f>Q24+AD24</f>
        <v>9994</v>
      </c>
      <c r="AF24" s="43">
        <f>AE24-N24</f>
        <v>627</v>
      </c>
    </row>
    <row r="25" spans="2:32"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101">
        <f t="shared" si="8"/>
        <v>1</v>
      </c>
    </row>
    <row r="26" spans="2:32" ht="13" outlineLevel="2" x14ac:dyDescent="0.3">
      <c r="B26" s="31" t="s">
        <v>58</v>
      </c>
      <c r="C26" s="33">
        <v>-10723</v>
      </c>
      <c r="D26" s="33">
        <v>-10871</v>
      </c>
      <c r="E26" s="23">
        <v>0</v>
      </c>
      <c r="F26" s="23">
        <v>147</v>
      </c>
      <c r="G26" s="23">
        <v>-28</v>
      </c>
      <c r="H26" s="23">
        <v>0</v>
      </c>
      <c r="I26" s="23">
        <v>-120</v>
      </c>
      <c r="J26" s="23">
        <v>-30</v>
      </c>
      <c r="K26" s="23">
        <f t="shared" si="0"/>
        <v>-31</v>
      </c>
      <c r="L26" s="33">
        <f t="shared" si="1"/>
        <v>116</v>
      </c>
      <c r="M26" s="33">
        <f t="shared" si="2"/>
        <v>-32</v>
      </c>
      <c r="N26" s="33">
        <v>-10755</v>
      </c>
      <c r="O26" s="33">
        <v>2279</v>
      </c>
      <c r="P26" s="33">
        <v>-12311</v>
      </c>
      <c r="Q26" s="33">
        <v>-10032</v>
      </c>
      <c r="R26" s="33">
        <v>-10755</v>
      </c>
      <c r="S26" s="33">
        <f t="shared" si="3"/>
        <v>723</v>
      </c>
      <c r="T26" s="38">
        <f t="shared" si="4"/>
        <v>0.9327754532775453</v>
      </c>
      <c r="U26" s="59">
        <f t="shared" si="5"/>
        <v>-9638</v>
      </c>
      <c r="V26" s="33">
        <v>1117</v>
      </c>
      <c r="W26" s="33">
        <v>1117</v>
      </c>
      <c r="X26" s="33"/>
      <c r="Y26" s="33"/>
      <c r="Z26" s="42"/>
      <c r="AA26" s="60"/>
      <c r="AB26" s="105"/>
      <c r="AC26" s="93"/>
      <c r="AD26" s="33">
        <f t="shared" si="6"/>
        <v>0</v>
      </c>
      <c r="AE26" s="33">
        <f t="shared" si="7"/>
        <v>-10032</v>
      </c>
      <c r="AF26" s="101">
        <f t="shared" si="8"/>
        <v>723</v>
      </c>
    </row>
    <row r="27" spans="2:32"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101">
        <f t="shared" si="8"/>
        <v>-42</v>
      </c>
    </row>
    <row r="28" spans="2:32" ht="13" outlineLevel="1" x14ac:dyDescent="0.3">
      <c r="B28" s="32" t="s">
        <v>61</v>
      </c>
      <c r="C28" s="34">
        <f t="shared" ref="C28:J28" si="17">SUBTOTAL(9,C25:C27)</f>
        <v>-9068</v>
      </c>
      <c r="D28" s="34">
        <f t="shared" si="17"/>
        <v>-9242</v>
      </c>
      <c r="E28" s="24">
        <f t="shared" si="17"/>
        <v>0</v>
      </c>
      <c r="F28" s="24">
        <f t="shared" si="17"/>
        <v>147</v>
      </c>
      <c r="G28" s="24">
        <f t="shared" si="17"/>
        <v>-59</v>
      </c>
      <c r="H28" s="24">
        <f t="shared" si="17"/>
        <v>0</v>
      </c>
      <c r="I28" s="24">
        <f t="shared" si="17"/>
        <v>-114</v>
      </c>
      <c r="J28" s="24">
        <f t="shared" si="17"/>
        <v>-30</v>
      </c>
      <c r="K28" s="24">
        <f>SUM(E28:J28)</f>
        <v>-56</v>
      </c>
      <c r="L28" s="34">
        <f t="shared" ref="L28" si="18">N28-D28</f>
        <v>116</v>
      </c>
      <c r="M28" s="34">
        <f t="shared" ref="M28" si="19">N28-C28</f>
        <v>-58</v>
      </c>
      <c r="N28" s="34">
        <f>SUBTOTAL(9,N25:N27)</f>
        <v>-9126</v>
      </c>
      <c r="O28" s="34">
        <f>SUBTOTAL(9,O25:O27)</f>
        <v>4920</v>
      </c>
      <c r="P28" s="34">
        <f>SUBTOTAL(9,P25:P27)</f>
        <v>-13364</v>
      </c>
      <c r="Q28" s="34">
        <f>SUBTOTAL(9,Q25:Q27)</f>
        <v>-8444</v>
      </c>
      <c r="R28" s="34">
        <f>SUBTOTAL(9,R25:R27)</f>
        <v>-9126</v>
      </c>
      <c r="S28" s="34">
        <f>Q28-R28</f>
        <v>682</v>
      </c>
      <c r="T28" s="38">
        <f>IFERROR((Q28/N28)*100%,"∞")</f>
        <v>0.92526846373000216</v>
      </c>
      <c r="U28" s="59">
        <f>N28+V28</f>
        <v>-7859</v>
      </c>
      <c r="V28" s="34">
        <f>SUBTOTAL(9,V25:V27)</f>
        <v>1267</v>
      </c>
      <c r="W28" s="34">
        <f>SUBTOTAL(9,W25:W27)</f>
        <v>1267</v>
      </c>
      <c r="X28" s="34"/>
      <c r="Y28" s="34"/>
      <c r="Z28" s="41"/>
      <c r="AA28" s="60"/>
      <c r="AB28" s="102">
        <f>SUBTOTAL(9,AB1:AB27)</f>
        <v>0</v>
      </c>
      <c r="AC28" s="34">
        <f>SUBTOTAL(9,AC1:AC27)</f>
        <v>0</v>
      </c>
      <c r="AD28" s="34"/>
      <c r="AE28" s="34"/>
      <c r="AF28" s="103"/>
    </row>
    <row r="29" spans="2:32" ht="13" outlineLevel="2" x14ac:dyDescent="0.3">
      <c r="B29" s="31" t="s">
        <v>62</v>
      </c>
      <c r="C29" s="33">
        <v>333</v>
      </c>
      <c r="D29" s="33">
        <v>409</v>
      </c>
      <c r="E29" s="23">
        <v>50</v>
      </c>
      <c r="F29" s="23">
        <v>58</v>
      </c>
      <c r="G29" s="23">
        <v>20</v>
      </c>
      <c r="H29" s="23">
        <v>0</v>
      </c>
      <c r="I29" s="23">
        <v>6</v>
      </c>
      <c r="J29" s="23">
        <v>0</v>
      </c>
      <c r="K29" s="23">
        <f t="shared" si="0"/>
        <v>134</v>
      </c>
      <c r="L29" s="33">
        <f t="shared" si="1"/>
        <v>58</v>
      </c>
      <c r="M29" s="33">
        <f t="shared" si="2"/>
        <v>134</v>
      </c>
      <c r="N29" s="33">
        <v>467</v>
      </c>
      <c r="O29" s="33">
        <v>985</v>
      </c>
      <c r="P29" s="33">
        <v>-407</v>
      </c>
      <c r="Q29" s="33">
        <v>578</v>
      </c>
      <c r="R29" s="33">
        <v>467</v>
      </c>
      <c r="S29" s="33">
        <f t="shared" si="3"/>
        <v>111</v>
      </c>
      <c r="T29" s="38">
        <f t="shared" si="4"/>
        <v>1.2376873661670236</v>
      </c>
      <c r="U29" s="59">
        <f t="shared" si="5"/>
        <v>467</v>
      </c>
      <c r="V29" s="33">
        <v>0</v>
      </c>
      <c r="W29" s="33">
        <v>0</v>
      </c>
      <c r="X29" s="33"/>
      <c r="Y29" s="33"/>
      <c r="Z29" s="42"/>
      <c r="AA29" s="60"/>
      <c r="AB29" s="105"/>
      <c r="AC29" s="93"/>
      <c r="AD29" s="33">
        <f t="shared" si="6"/>
        <v>0</v>
      </c>
      <c r="AE29" s="33">
        <f t="shared" si="7"/>
        <v>578</v>
      </c>
      <c r="AF29" s="101">
        <f t="shared" si="8"/>
        <v>111</v>
      </c>
    </row>
    <row r="30" spans="2:32"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101">
        <f t="shared" si="8"/>
        <v>-89</v>
      </c>
    </row>
    <row r="31" spans="2:32"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101">
        <f t="shared" si="8"/>
        <v>1</v>
      </c>
    </row>
    <row r="32" spans="2:32" ht="13" outlineLevel="1" x14ac:dyDescent="0.3">
      <c r="B32" s="32" t="s">
        <v>65</v>
      </c>
      <c r="C32" s="34">
        <f t="shared" ref="C32:J32" si="20">SUBTOTAL(9,C29:C31)</f>
        <v>782</v>
      </c>
      <c r="D32" s="34">
        <f t="shared" si="20"/>
        <v>845</v>
      </c>
      <c r="E32" s="24">
        <f t="shared" si="20"/>
        <v>50</v>
      </c>
      <c r="F32" s="24">
        <f t="shared" si="20"/>
        <v>58</v>
      </c>
      <c r="G32" s="24">
        <f t="shared" si="20"/>
        <v>6</v>
      </c>
      <c r="H32" s="24">
        <f t="shared" si="20"/>
        <v>0</v>
      </c>
      <c r="I32" s="24">
        <f t="shared" si="20"/>
        <v>6</v>
      </c>
      <c r="J32" s="24">
        <f t="shared" si="20"/>
        <v>0</v>
      </c>
      <c r="K32" s="24">
        <f>SUM(E32:J32)</f>
        <v>120</v>
      </c>
      <c r="L32" s="34">
        <f t="shared" ref="L32" si="21">N32-D32</f>
        <v>58</v>
      </c>
      <c r="M32" s="34">
        <f t="shared" ref="M32" si="22">N32-C32</f>
        <v>121</v>
      </c>
      <c r="N32" s="34">
        <f>SUBTOTAL(9,N29:N31)</f>
        <v>903</v>
      </c>
      <c r="O32" s="34">
        <f>SUBTOTAL(9,O29:O31)</f>
        <v>1363</v>
      </c>
      <c r="P32" s="34">
        <f>SUBTOTAL(9,P29:P31)</f>
        <v>-437</v>
      </c>
      <c r="Q32" s="34">
        <f>SUBTOTAL(9,Q29:Q31)</f>
        <v>926</v>
      </c>
      <c r="R32" s="34">
        <f>SUBTOTAL(9,R29:R31)</f>
        <v>903</v>
      </c>
      <c r="S32" s="34">
        <f>Q32-R32</f>
        <v>23</v>
      </c>
      <c r="T32" s="38">
        <f>IFERROR((Q32/N32)*100%,"∞")</f>
        <v>1.0254706533776301</v>
      </c>
      <c r="U32" s="59">
        <f>N32+V32</f>
        <v>903</v>
      </c>
      <c r="V32" s="34">
        <f>SUBTOTAL(9,V29:V31)</f>
        <v>0</v>
      </c>
      <c r="W32" s="34">
        <f>SUBTOTAL(9,W29:W31)</f>
        <v>0</v>
      </c>
      <c r="X32" s="34"/>
      <c r="Y32" s="34"/>
      <c r="Z32" s="41"/>
      <c r="AA32" s="60"/>
      <c r="AB32" s="102">
        <f>SUBTOTAL(9,AB1:AB31)</f>
        <v>0</v>
      </c>
      <c r="AC32" s="34">
        <f>SUBTOTAL(9,AC1:AC31)</f>
        <v>0</v>
      </c>
      <c r="AD32" s="34"/>
      <c r="AE32" s="34"/>
      <c r="AF32" s="103"/>
    </row>
    <row r="33" spans="2:32"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101">
        <f t="shared" si="8"/>
        <v>-33</v>
      </c>
    </row>
    <row r="34" spans="2:32" ht="13" outlineLevel="2" x14ac:dyDescent="0.3">
      <c r="B34" s="31" t="s">
        <v>67</v>
      </c>
      <c r="C34" s="33">
        <v>184</v>
      </c>
      <c r="D34" s="33">
        <v>179</v>
      </c>
      <c r="E34" s="23">
        <v>0</v>
      </c>
      <c r="F34" s="23">
        <v>-4</v>
      </c>
      <c r="G34" s="23">
        <v>-4</v>
      </c>
      <c r="H34" s="23">
        <v>0</v>
      </c>
      <c r="I34" s="23">
        <v>0</v>
      </c>
      <c r="J34" s="23">
        <v>30</v>
      </c>
      <c r="K34" s="23">
        <f t="shared" si="0"/>
        <v>22</v>
      </c>
      <c r="L34" s="33">
        <f t="shared" si="1"/>
        <v>26</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101">
        <f t="shared" si="8"/>
        <v>-75</v>
      </c>
    </row>
    <row r="35" spans="2:32"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101">
        <f t="shared" si="8"/>
        <v>-19</v>
      </c>
    </row>
    <row r="36" spans="2:32" ht="13" outlineLevel="2" x14ac:dyDescent="0.3">
      <c r="B36" s="31" t="s">
        <v>69</v>
      </c>
      <c r="C36" s="33">
        <v>1218</v>
      </c>
      <c r="D36" s="33">
        <v>1205</v>
      </c>
      <c r="E36" s="23">
        <v>0</v>
      </c>
      <c r="F36" s="23">
        <v>-2</v>
      </c>
      <c r="G36" s="23">
        <v>-17</v>
      </c>
      <c r="H36" s="23">
        <v>0</v>
      </c>
      <c r="I36" s="23">
        <v>3</v>
      </c>
      <c r="J36" s="23">
        <v>0</v>
      </c>
      <c r="K36" s="23">
        <f t="shared" si="0"/>
        <v>-16</v>
      </c>
      <c r="L36" s="33">
        <f t="shared" si="1"/>
        <v>-2</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101">
        <f t="shared" si="8"/>
        <v>-101</v>
      </c>
    </row>
    <row r="37" spans="2:32" ht="13" outlineLevel="2" x14ac:dyDescent="0.3">
      <c r="B37" s="31" t="s">
        <v>70</v>
      </c>
      <c r="C37" s="33">
        <v>-49</v>
      </c>
      <c r="D37" s="33">
        <v>7</v>
      </c>
      <c r="E37" s="23">
        <v>0</v>
      </c>
      <c r="F37" s="23">
        <v>-1445</v>
      </c>
      <c r="G37" s="23">
        <v>-43</v>
      </c>
      <c r="H37" s="23">
        <v>0</v>
      </c>
      <c r="I37" s="23">
        <v>83</v>
      </c>
      <c r="J37" s="23">
        <v>-15</v>
      </c>
      <c r="K37" s="23">
        <f t="shared" si="0"/>
        <v>-1420</v>
      </c>
      <c r="L37" s="33">
        <f t="shared" si="1"/>
        <v>-1460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101">
        <f t="shared" si="8"/>
        <v>96</v>
      </c>
    </row>
    <row r="38" spans="2:32" ht="13" outlineLevel="1" x14ac:dyDescent="0.3">
      <c r="B38" s="32" t="s">
        <v>71</v>
      </c>
      <c r="C38" s="34">
        <f t="shared" ref="C38:J38" si="23">SUBTOTAL(9,C33:C37)</f>
        <v>521</v>
      </c>
      <c r="D38" s="34">
        <f t="shared" si="23"/>
        <v>536</v>
      </c>
      <c r="E38" s="24">
        <f t="shared" si="23"/>
        <v>0</v>
      </c>
      <c r="F38" s="24">
        <f t="shared" si="23"/>
        <v>-1451</v>
      </c>
      <c r="G38" s="24">
        <f t="shared" si="23"/>
        <v>-89</v>
      </c>
      <c r="H38" s="24">
        <f t="shared" si="23"/>
        <v>0</v>
      </c>
      <c r="I38" s="24">
        <f t="shared" si="23"/>
        <v>88</v>
      </c>
      <c r="J38" s="24">
        <f t="shared" si="23"/>
        <v>15</v>
      </c>
      <c r="K38" s="24">
        <f>SUM(E38:J38)</f>
        <v>-1437</v>
      </c>
      <c r="L38" s="34">
        <f t="shared" ref="L38:L39" si="24">N38-D38</f>
        <v>-1436</v>
      </c>
      <c r="M38" s="34">
        <f t="shared" ref="M38:M39" si="25">N38-C38</f>
        <v>-1421</v>
      </c>
      <c r="N38" s="34">
        <f>SUBTOTAL(9,N33:N37)</f>
        <v>-900</v>
      </c>
      <c r="O38" s="34">
        <f>SUBTOTAL(9,O33:O37)</f>
        <v>5341</v>
      </c>
      <c r="P38" s="34">
        <f>SUBTOTAL(9,P33:P37)</f>
        <v>-6372</v>
      </c>
      <c r="Q38" s="34">
        <f>SUBTOTAL(9,Q33:Q37)</f>
        <v>-1032</v>
      </c>
      <c r="R38" s="34">
        <f>SUBTOTAL(9,R33:R37)</f>
        <v>-900</v>
      </c>
      <c r="S38" s="34">
        <f>Q38-R38</f>
        <v>-132</v>
      </c>
      <c r="T38" s="38">
        <f>IFERROR((Q38/N38)*100%,"∞")</f>
        <v>1.1466666666666667</v>
      </c>
      <c r="U38" s="59">
        <f>N38+V38</f>
        <v>-911</v>
      </c>
      <c r="V38" s="34">
        <f>SUBTOTAL(9,V33:V37)</f>
        <v>-11</v>
      </c>
      <c r="W38" s="34">
        <f>SUBTOTAL(9,W33:W37)</f>
        <v>-11</v>
      </c>
      <c r="X38" s="34"/>
      <c r="Y38" s="34"/>
      <c r="Z38" s="41"/>
      <c r="AA38" s="60"/>
      <c r="AB38" s="102">
        <f>SUBTOTAL(9,AB1:AB37)</f>
        <v>0</v>
      </c>
      <c r="AC38" s="34">
        <f>SUBTOTAL(9,AC1:AC37)</f>
        <v>0</v>
      </c>
      <c r="AD38" s="34"/>
      <c r="AE38" s="34"/>
      <c r="AF38" s="103"/>
    </row>
    <row r="39" spans="2:32" ht="14.9" customHeight="1" thickBot="1" x14ac:dyDescent="0.35">
      <c r="B39" s="53" t="s">
        <v>72</v>
      </c>
      <c r="C39" s="35">
        <f t="shared" ref="C39:J39" si="26">SUBTOTAL(9,C25:C38)</f>
        <v>-7765</v>
      </c>
      <c r="D39" s="35">
        <f t="shared" si="26"/>
        <v>-7861</v>
      </c>
      <c r="E39" s="25">
        <f t="shared" si="26"/>
        <v>50</v>
      </c>
      <c r="F39" s="25">
        <f t="shared" si="26"/>
        <v>-1246</v>
      </c>
      <c r="G39" s="25">
        <f t="shared" si="26"/>
        <v>-142</v>
      </c>
      <c r="H39" s="25">
        <f t="shared" si="26"/>
        <v>0</v>
      </c>
      <c r="I39" s="25">
        <f t="shared" si="26"/>
        <v>-20</v>
      </c>
      <c r="J39" s="25">
        <f t="shared" si="26"/>
        <v>-15</v>
      </c>
      <c r="K39" s="25">
        <f>SUM(E39:J39)</f>
        <v>-1373</v>
      </c>
      <c r="L39" s="35">
        <f t="shared" si="24"/>
        <v>-1262</v>
      </c>
      <c r="M39" s="35">
        <f t="shared" si="25"/>
        <v>-1358</v>
      </c>
      <c r="N39" s="35">
        <f>SUBTOTAL(9,N25:N38)</f>
        <v>-9123</v>
      </c>
      <c r="O39" s="35">
        <f>SUBTOTAL(9,O25:O38)</f>
        <v>11624</v>
      </c>
      <c r="P39" s="35">
        <f>SUBTOTAL(9,P25:P38)</f>
        <v>-20173</v>
      </c>
      <c r="Q39" s="35">
        <f>SUBTOTAL(9,Q25:Q38)</f>
        <v>-8550</v>
      </c>
      <c r="R39" s="35">
        <f>SUBTOTAL(9,R25:R38)</f>
        <v>-9123</v>
      </c>
      <c r="S39" s="35">
        <f>Q39-R39</f>
        <v>573</v>
      </c>
      <c r="T39" s="39">
        <f>IFERROR((Q39/N39)*100%,"∞")</f>
        <v>0.93719171325221962</v>
      </c>
      <c r="U39" s="54">
        <f>N39+V39</f>
        <v>-7867</v>
      </c>
      <c r="V39" s="35">
        <f>SUBTOTAL(9,V25:V38)</f>
        <v>1256</v>
      </c>
      <c r="W39" s="35">
        <f>SUBTOTAL(9,W25:W38)</f>
        <v>1256</v>
      </c>
      <c r="X39" s="35"/>
      <c r="Y39" s="35"/>
      <c r="Z39" s="43"/>
      <c r="AA39" s="60"/>
      <c r="AB39" s="104">
        <f>SUBTOTAL(9,AB1:AB38)</f>
        <v>0</v>
      </c>
      <c r="AC39" s="104">
        <f>SUBTOTAL(9,AC1:AC38)</f>
        <v>0</v>
      </c>
      <c r="AD39" s="35">
        <f>SUM(AB39:AC39)</f>
        <v>0</v>
      </c>
      <c r="AE39" s="35">
        <f>Q39+AD39</f>
        <v>-8550</v>
      </c>
      <c r="AF39" s="43">
        <f>AE39-N39</f>
        <v>573</v>
      </c>
    </row>
    <row r="40" spans="2:32"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c r="AC40" s="93"/>
      <c r="AD40" s="33">
        <f t="shared" si="6"/>
        <v>0</v>
      </c>
      <c r="AE40" s="33">
        <f t="shared" si="7"/>
        <v>129</v>
      </c>
      <c r="AF40" s="101">
        <f t="shared" si="8"/>
        <v>1</v>
      </c>
    </row>
    <row r="41" spans="2:32" ht="13" outlineLevel="2" x14ac:dyDescent="0.3">
      <c r="B41" s="31" t="s">
        <v>74</v>
      </c>
      <c r="C41" s="33">
        <v>431</v>
      </c>
      <c r="D41" s="33">
        <v>417</v>
      </c>
      <c r="E41" s="23">
        <v>0</v>
      </c>
      <c r="F41" s="23">
        <v>0</v>
      </c>
      <c r="G41" s="23">
        <v>-13</v>
      </c>
      <c r="H41" s="23">
        <v>0</v>
      </c>
      <c r="I41" s="23">
        <v>0</v>
      </c>
      <c r="J41" s="23">
        <v>0</v>
      </c>
      <c r="K41" s="23">
        <f t="shared" si="0"/>
        <v>-13</v>
      </c>
      <c r="L41" s="33">
        <f t="shared" si="1"/>
        <v>0</v>
      </c>
      <c r="M41" s="33">
        <f t="shared" si="2"/>
        <v>-14</v>
      </c>
      <c r="N41" s="33">
        <v>417</v>
      </c>
      <c r="O41" s="33">
        <v>465</v>
      </c>
      <c r="P41" s="33">
        <v>-39</v>
      </c>
      <c r="Q41" s="33">
        <v>426</v>
      </c>
      <c r="R41" s="33">
        <v>417</v>
      </c>
      <c r="S41" s="33">
        <f t="shared" si="3"/>
        <v>9</v>
      </c>
      <c r="T41" s="38">
        <f t="shared" si="4"/>
        <v>1.0215827338129497</v>
      </c>
      <c r="U41" s="59">
        <f t="shared" si="5"/>
        <v>424</v>
      </c>
      <c r="V41" s="33">
        <v>7</v>
      </c>
      <c r="W41" s="33">
        <v>7</v>
      </c>
      <c r="X41" s="33"/>
      <c r="Y41" s="33"/>
      <c r="Z41" s="42"/>
      <c r="AA41" s="60"/>
      <c r="AB41" s="105"/>
      <c r="AC41" s="93"/>
      <c r="AD41" s="33">
        <f t="shared" si="6"/>
        <v>0</v>
      </c>
      <c r="AE41" s="33">
        <f t="shared" si="7"/>
        <v>426</v>
      </c>
      <c r="AF41" s="101">
        <f t="shared" si="8"/>
        <v>9</v>
      </c>
    </row>
    <row r="42" spans="2:32"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101">
        <f t="shared" si="8"/>
        <v>-66</v>
      </c>
    </row>
    <row r="43" spans="2:32" ht="13" outlineLevel="1" x14ac:dyDescent="0.3">
      <c r="B43" s="32" t="s">
        <v>76</v>
      </c>
      <c r="C43" s="34">
        <f t="shared" ref="C43:J43" si="27">SUBTOTAL(9,C40:C42)</f>
        <v>907</v>
      </c>
      <c r="D43" s="34">
        <f t="shared" si="27"/>
        <v>882</v>
      </c>
      <c r="E43" s="24">
        <f t="shared" si="27"/>
        <v>0</v>
      </c>
      <c r="F43" s="24">
        <f t="shared" si="27"/>
        <v>0</v>
      </c>
      <c r="G43" s="24">
        <f t="shared" si="27"/>
        <v>-22</v>
      </c>
      <c r="H43" s="24">
        <f t="shared" si="27"/>
        <v>0</v>
      </c>
      <c r="I43" s="24">
        <f t="shared" si="27"/>
        <v>-1</v>
      </c>
      <c r="J43" s="24">
        <f t="shared" si="27"/>
        <v>0</v>
      </c>
      <c r="K43" s="24">
        <f>SUM(E43:J43)</f>
        <v>-23</v>
      </c>
      <c r="L43" s="34">
        <f t="shared" ref="L43" si="28">N43-D43</f>
        <v>0</v>
      </c>
      <c r="M43" s="34">
        <f t="shared" ref="M43" si="29">N43-C43</f>
        <v>-25</v>
      </c>
      <c r="N43" s="34">
        <f>SUBTOTAL(9,N40:N42)</f>
        <v>882</v>
      </c>
      <c r="O43" s="34">
        <f>SUBTOTAL(9,O40:O42)</f>
        <v>883</v>
      </c>
      <c r="P43" s="34">
        <f>SUBTOTAL(9,P40:P42)</f>
        <v>-57</v>
      </c>
      <c r="Q43" s="34">
        <f>SUBTOTAL(9,Q40:Q42)</f>
        <v>826</v>
      </c>
      <c r="R43" s="34">
        <f>SUBTOTAL(9,R40:R42)</f>
        <v>882</v>
      </c>
      <c r="S43" s="34">
        <f>Q43-R43</f>
        <v>-56</v>
      </c>
      <c r="T43" s="38">
        <f>IFERROR((Q43/N43)*100%,"∞")</f>
        <v>0.93650793650793651</v>
      </c>
      <c r="U43" s="59">
        <f>N43+V43</f>
        <v>824</v>
      </c>
      <c r="V43" s="34">
        <f>SUBTOTAL(9,V40:V42)</f>
        <v>-58</v>
      </c>
      <c r="W43" s="34">
        <f>SUBTOTAL(9,W40:W42)</f>
        <v>-58</v>
      </c>
      <c r="X43" s="34"/>
      <c r="Y43" s="34"/>
      <c r="Z43" s="41"/>
      <c r="AA43" s="60"/>
      <c r="AB43" s="102">
        <f>SUBTOTAL(9,AB1:AB42)</f>
        <v>0</v>
      </c>
      <c r="AC43" s="34">
        <f>SUBTOTAL(9,AC1:AC42)</f>
        <v>0</v>
      </c>
      <c r="AD43" s="34"/>
      <c r="AE43" s="34"/>
      <c r="AF43" s="103"/>
    </row>
    <row r="44" spans="2:32" ht="13" outlineLevel="2" x14ac:dyDescent="0.3">
      <c r="B44" s="31" t="s">
        <v>77</v>
      </c>
      <c r="C44" s="33">
        <v>509</v>
      </c>
      <c r="D44" s="33">
        <v>543</v>
      </c>
      <c r="E44" s="23">
        <v>44</v>
      </c>
      <c r="F44" s="23">
        <v>-136</v>
      </c>
      <c r="G44" s="23">
        <v>-8</v>
      </c>
      <c r="H44" s="23">
        <v>0</v>
      </c>
      <c r="I44" s="23">
        <v>-2</v>
      </c>
      <c r="J44" s="23">
        <v>0</v>
      </c>
      <c r="K44" s="23">
        <f t="shared" si="0"/>
        <v>-102</v>
      </c>
      <c r="L44" s="33">
        <f t="shared" si="1"/>
        <v>-135</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si="7"/>
        <v>346</v>
      </c>
      <c r="AF44" s="101">
        <f t="shared" si="8"/>
        <v>-62</v>
      </c>
    </row>
    <row r="45" spans="2:32" ht="13" outlineLevel="2" x14ac:dyDescent="0.3">
      <c r="B45" s="31" t="s">
        <v>78</v>
      </c>
      <c r="C45" s="33">
        <v>370</v>
      </c>
      <c r="D45" s="33">
        <v>277</v>
      </c>
      <c r="E45" s="23">
        <v>-63</v>
      </c>
      <c r="F45" s="23">
        <v>-27</v>
      </c>
      <c r="G45" s="23">
        <v>-6</v>
      </c>
      <c r="H45" s="23">
        <v>0</v>
      </c>
      <c r="I45" s="23">
        <v>-25</v>
      </c>
      <c r="J45" s="23">
        <v>0</v>
      </c>
      <c r="K45" s="23">
        <f t="shared" si="0"/>
        <v>-121</v>
      </c>
      <c r="L45" s="33">
        <f t="shared" si="1"/>
        <v>-27</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7"/>
        <v>256</v>
      </c>
      <c r="AF45" s="101">
        <f t="shared" si="8"/>
        <v>6</v>
      </c>
    </row>
    <row r="46" spans="2:32" ht="13" outlineLevel="2" x14ac:dyDescent="0.3">
      <c r="B46" s="31" t="s">
        <v>79</v>
      </c>
      <c r="C46" s="33">
        <v>251</v>
      </c>
      <c r="D46" s="33">
        <v>327</v>
      </c>
      <c r="E46" s="23">
        <v>92</v>
      </c>
      <c r="F46" s="23">
        <v>-386</v>
      </c>
      <c r="G46" s="23">
        <v>-12</v>
      </c>
      <c r="H46" s="23">
        <v>0</v>
      </c>
      <c r="I46" s="23">
        <v>-4</v>
      </c>
      <c r="J46" s="23">
        <v>0</v>
      </c>
      <c r="K46" s="23">
        <f t="shared" si="0"/>
        <v>-310</v>
      </c>
      <c r="L46" s="33">
        <f t="shared" si="1"/>
        <v>-386</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7"/>
        <v>-43</v>
      </c>
      <c r="AF46" s="101">
        <f t="shared" si="8"/>
        <v>16</v>
      </c>
    </row>
    <row r="47" spans="2:32" ht="13" outlineLevel="1" x14ac:dyDescent="0.3">
      <c r="B47" s="32" t="s">
        <v>80</v>
      </c>
      <c r="C47" s="34">
        <f t="shared" ref="C47:J47" si="30">SUBTOTAL(9,C44:C46)</f>
        <v>1130</v>
      </c>
      <c r="D47" s="34">
        <f t="shared" si="30"/>
        <v>1147</v>
      </c>
      <c r="E47" s="24">
        <f t="shared" si="30"/>
        <v>73</v>
      </c>
      <c r="F47" s="24">
        <f t="shared" si="30"/>
        <v>-549</v>
      </c>
      <c r="G47" s="24">
        <f t="shared" si="30"/>
        <v>-26</v>
      </c>
      <c r="H47" s="24">
        <f t="shared" si="30"/>
        <v>0</v>
      </c>
      <c r="I47" s="24">
        <f t="shared" si="30"/>
        <v>-31</v>
      </c>
      <c r="J47" s="24">
        <f t="shared" si="30"/>
        <v>0</v>
      </c>
      <c r="K47" s="24">
        <f>SUM(E47:J47)</f>
        <v>-533</v>
      </c>
      <c r="L47" s="34">
        <f t="shared" ref="L47:L48" si="31">N47-D47</f>
        <v>-548</v>
      </c>
      <c r="M47" s="34">
        <f t="shared" ref="M47:M48" si="32">N47-C47</f>
        <v>-531</v>
      </c>
      <c r="N47" s="34">
        <f>SUBTOTAL(9,N44:N46)</f>
        <v>599</v>
      </c>
      <c r="O47" s="34">
        <f>SUBTOTAL(9,O44:O46)</f>
        <v>2018</v>
      </c>
      <c r="P47" s="34">
        <f>SUBTOTAL(9,P44:P46)</f>
        <v>-1459</v>
      </c>
      <c r="Q47" s="34">
        <f>SUBTOTAL(9,Q44:Q46)</f>
        <v>559</v>
      </c>
      <c r="R47" s="34">
        <f>SUBTOTAL(9,R44:R46)</f>
        <v>599</v>
      </c>
      <c r="S47" s="34">
        <f>Q47-R47</f>
        <v>-40</v>
      </c>
      <c r="T47" s="38">
        <f>IFERROR((Q47/N47)*100%,"∞")</f>
        <v>0.93322203672787984</v>
      </c>
      <c r="U47" s="59">
        <f>N47+V47</f>
        <v>561</v>
      </c>
      <c r="V47" s="34">
        <f>SUBTOTAL(9,V44:V46)</f>
        <v>-38</v>
      </c>
      <c r="W47" s="34">
        <f>SUBTOTAL(9,W44:W46)</f>
        <v>-38</v>
      </c>
      <c r="X47" s="34"/>
      <c r="Y47" s="34"/>
      <c r="Z47" s="41"/>
      <c r="AA47" s="60"/>
      <c r="AB47" s="102">
        <f>SUBTOTAL(9,AB1:AB46)</f>
        <v>0</v>
      </c>
      <c r="AC47" s="34">
        <f>SUBTOTAL(9,AC1:AC46)</f>
        <v>0</v>
      </c>
      <c r="AD47" s="34"/>
      <c r="AE47" s="34"/>
      <c r="AF47" s="103"/>
    </row>
    <row r="48" spans="2:32" ht="14.9" customHeight="1" thickBot="1" x14ac:dyDescent="0.35">
      <c r="B48" s="53" t="s">
        <v>81</v>
      </c>
      <c r="C48" s="35">
        <f t="shared" ref="C48:J48" si="33">SUBTOTAL(9,C40:C47)</f>
        <v>2037</v>
      </c>
      <c r="D48" s="35">
        <f t="shared" si="33"/>
        <v>2029</v>
      </c>
      <c r="E48" s="25">
        <f t="shared" si="33"/>
        <v>73</v>
      </c>
      <c r="F48" s="25">
        <f t="shared" si="33"/>
        <v>-549</v>
      </c>
      <c r="G48" s="25">
        <f t="shared" si="33"/>
        <v>-48</v>
      </c>
      <c r="H48" s="25">
        <f t="shared" si="33"/>
        <v>0</v>
      </c>
      <c r="I48" s="25">
        <f t="shared" si="33"/>
        <v>-32</v>
      </c>
      <c r="J48" s="25">
        <f t="shared" si="33"/>
        <v>0</v>
      </c>
      <c r="K48" s="25">
        <f>SUM(E48:J48)</f>
        <v>-556</v>
      </c>
      <c r="L48" s="35">
        <f t="shared" si="31"/>
        <v>-548</v>
      </c>
      <c r="M48" s="35">
        <f t="shared" si="32"/>
        <v>-556</v>
      </c>
      <c r="N48" s="35">
        <f>SUBTOTAL(9,N40:N47)</f>
        <v>1481</v>
      </c>
      <c r="O48" s="35">
        <f>SUBTOTAL(9,O40:O47)</f>
        <v>2901</v>
      </c>
      <c r="P48" s="35">
        <f>SUBTOTAL(9,P40:P47)</f>
        <v>-1516</v>
      </c>
      <c r="Q48" s="35">
        <f>SUBTOTAL(9,Q40:Q47)</f>
        <v>1385</v>
      </c>
      <c r="R48" s="35">
        <f>SUBTOTAL(9,R40:R47)</f>
        <v>1481</v>
      </c>
      <c r="S48" s="35">
        <f>Q48-R48</f>
        <v>-96</v>
      </c>
      <c r="T48" s="39">
        <f>IFERROR((Q48/N48)*100%,"∞")</f>
        <v>0.93517893315327483</v>
      </c>
      <c r="U48" s="54">
        <f>N48+V48</f>
        <v>1385</v>
      </c>
      <c r="V48" s="35">
        <f>SUBTOTAL(9,V40:V47)</f>
        <v>-96</v>
      </c>
      <c r="W48" s="35">
        <f>SUBTOTAL(9,W40:W47)</f>
        <v>-96</v>
      </c>
      <c r="X48" s="35"/>
      <c r="Y48" s="35"/>
      <c r="Z48" s="43"/>
      <c r="AA48" s="60"/>
      <c r="AB48" s="104">
        <f>SUBTOTAL(9,AB1:AB47)</f>
        <v>0</v>
      </c>
      <c r="AC48" s="104">
        <f>SUBTOTAL(9,AC1:AC47)</f>
        <v>0</v>
      </c>
      <c r="AD48" s="35">
        <f>SUM(AB48:AC48)</f>
        <v>0</v>
      </c>
      <c r="AE48" s="35">
        <f>Q48+AD48</f>
        <v>1385</v>
      </c>
      <c r="AF48" s="43">
        <f>AE48-N48</f>
        <v>-96</v>
      </c>
    </row>
    <row r="49" spans="2:32"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si="7"/>
        <v>-1752</v>
      </c>
      <c r="AF49" s="101">
        <f t="shared" si="8"/>
        <v>252</v>
      </c>
    </row>
    <row r="50" spans="2:32"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7"/>
        <v>6343</v>
      </c>
      <c r="AF50" s="101">
        <f t="shared" si="8"/>
        <v>146</v>
      </c>
    </row>
    <row r="51" spans="2:32"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7"/>
        <v>6074</v>
      </c>
      <c r="AF51" s="101">
        <f t="shared" si="8"/>
        <v>-30</v>
      </c>
    </row>
    <row r="52" spans="2:32"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7"/>
        <v>3418</v>
      </c>
      <c r="AF52" s="101">
        <f t="shared" si="8"/>
        <v>-6</v>
      </c>
    </row>
    <row r="53" spans="2:32"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7"/>
        <v>258</v>
      </c>
      <c r="AF53" s="101">
        <f t="shared" si="8"/>
        <v>0</v>
      </c>
    </row>
    <row r="54" spans="2:32"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7"/>
        <v>89</v>
      </c>
      <c r="AF54" s="101">
        <f t="shared" si="8"/>
        <v>89</v>
      </c>
    </row>
    <row r="55" spans="2:32"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7"/>
        <v>316</v>
      </c>
      <c r="AF55" s="101">
        <f t="shared" si="8"/>
        <v>137</v>
      </c>
    </row>
    <row r="56" spans="2:32"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226</v>
      </c>
      <c r="P56" s="33">
        <v>-610</v>
      </c>
      <c r="Q56" s="33">
        <v>-383</v>
      </c>
      <c r="R56" s="33">
        <v>-903</v>
      </c>
      <c r="S56" s="33">
        <f t="shared" si="3"/>
        <v>520</v>
      </c>
      <c r="T56" s="38">
        <f t="shared" si="4"/>
        <v>0.42414174972314506</v>
      </c>
      <c r="U56" s="59">
        <f t="shared" si="5"/>
        <v>-903</v>
      </c>
      <c r="V56" s="33">
        <v>0</v>
      </c>
      <c r="W56" s="33">
        <v>0</v>
      </c>
      <c r="X56" s="33"/>
      <c r="Y56" s="33"/>
      <c r="Z56" s="42"/>
      <c r="AA56" s="60"/>
      <c r="AB56" s="105"/>
      <c r="AC56" s="93"/>
      <c r="AD56" s="33">
        <f t="shared" si="6"/>
        <v>0</v>
      </c>
      <c r="AE56" s="33">
        <f t="shared" si="7"/>
        <v>-383</v>
      </c>
      <c r="AF56" s="101">
        <f t="shared" si="8"/>
        <v>520</v>
      </c>
    </row>
    <row r="57" spans="2:32"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7"/>
        <v>149</v>
      </c>
      <c r="AF57" s="101">
        <f t="shared" si="8"/>
        <v>2</v>
      </c>
    </row>
    <row r="58" spans="2:32"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7"/>
        <v>46</v>
      </c>
      <c r="AF58" s="101">
        <f t="shared" si="8"/>
        <v>37</v>
      </c>
    </row>
    <row r="59" spans="2:32" ht="13" outlineLevel="1" x14ac:dyDescent="0.3">
      <c r="B59" s="32" t="s">
        <v>92</v>
      </c>
      <c r="C59" s="34">
        <f t="shared" ref="C59:J59" si="34">SUBTOTAL(9,C49:C58)</f>
        <v>13051</v>
      </c>
      <c r="D59" s="34">
        <f t="shared" si="34"/>
        <v>13411</v>
      </c>
      <c r="E59" s="24">
        <f t="shared" si="34"/>
        <v>0</v>
      </c>
      <c r="F59" s="24">
        <f t="shared" si="34"/>
        <v>0</v>
      </c>
      <c r="G59" s="24">
        <f t="shared" si="34"/>
        <v>362</v>
      </c>
      <c r="H59" s="24">
        <f t="shared" si="34"/>
        <v>0</v>
      </c>
      <c r="I59" s="24">
        <f t="shared" si="34"/>
        <v>0</v>
      </c>
      <c r="J59" s="24">
        <f t="shared" si="34"/>
        <v>0</v>
      </c>
      <c r="K59" s="24">
        <f>SUM(E59:J59)</f>
        <v>362</v>
      </c>
      <c r="L59" s="34">
        <f t="shared" ref="L59:L60" si="35">N59-D59</f>
        <v>0</v>
      </c>
      <c r="M59" s="34">
        <f t="shared" ref="M59:M60" si="36">N59-C59</f>
        <v>360</v>
      </c>
      <c r="N59" s="34">
        <f>SUBTOTAL(9,N49:N58)</f>
        <v>13411</v>
      </c>
      <c r="O59" s="34">
        <f>SUBTOTAL(9,O49:O58)</f>
        <v>25140</v>
      </c>
      <c r="P59" s="34">
        <f>SUBTOTAL(9,P49:P58)</f>
        <v>-10583</v>
      </c>
      <c r="Q59" s="34">
        <f>SUBTOTAL(9,Q49:Q58)</f>
        <v>14558</v>
      </c>
      <c r="R59" s="34">
        <f>SUBTOTAL(9,R49:R58)</f>
        <v>13411</v>
      </c>
      <c r="S59" s="34">
        <f>Q59-R59</f>
        <v>1147</v>
      </c>
      <c r="T59" s="38">
        <f>IFERROR((Q59/N59)*100%,"∞")</f>
        <v>1.0855268063529937</v>
      </c>
      <c r="U59" s="59">
        <f>N59+V59</f>
        <v>13411</v>
      </c>
      <c r="V59" s="34">
        <f>SUBTOTAL(9,V49:V58)</f>
        <v>0</v>
      </c>
      <c r="W59" s="34">
        <f>SUBTOTAL(9,W49:W58)</f>
        <v>0</v>
      </c>
      <c r="X59" s="34"/>
      <c r="Y59" s="34"/>
      <c r="Z59" s="41"/>
      <c r="AA59" s="60"/>
      <c r="AB59" s="102">
        <f>SUBTOTAL(9,AB1:AB58)</f>
        <v>0</v>
      </c>
      <c r="AC59" s="34">
        <f>SUBTOTAL(9,AC1:AC58)</f>
        <v>0</v>
      </c>
      <c r="AD59" s="34"/>
      <c r="AE59" s="34"/>
      <c r="AF59" s="103"/>
    </row>
    <row r="60" spans="2:32" ht="14.9" customHeight="1" thickBot="1" x14ac:dyDescent="0.35">
      <c r="B60" s="53" t="s">
        <v>93</v>
      </c>
      <c r="C60" s="35">
        <f t="shared" ref="C60:J60" si="37">SUBTOTAL(9,C49:C59)</f>
        <v>13051</v>
      </c>
      <c r="D60" s="35">
        <f t="shared" si="37"/>
        <v>13411</v>
      </c>
      <c r="E60" s="25">
        <f t="shared" si="37"/>
        <v>0</v>
      </c>
      <c r="F60" s="25">
        <f t="shared" si="37"/>
        <v>0</v>
      </c>
      <c r="G60" s="25">
        <f t="shared" si="37"/>
        <v>362</v>
      </c>
      <c r="H60" s="25">
        <f t="shared" si="37"/>
        <v>0</v>
      </c>
      <c r="I60" s="25">
        <f t="shared" si="37"/>
        <v>0</v>
      </c>
      <c r="J60" s="25">
        <f t="shared" si="37"/>
        <v>0</v>
      </c>
      <c r="K60" s="25">
        <f>SUM(E60:J60)</f>
        <v>362</v>
      </c>
      <c r="L60" s="35">
        <f t="shared" si="35"/>
        <v>0</v>
      </c>
      <c r="M60" s="35">
        <f t="shared" si="36"/>
        <v>360</v>
      </c>
      <c r="N60" s="35">
        <f>SUBTOTAL(9,N49:N59)</f>
        <v>13411</v>
      </c>
      <c r="O60" s="35">
        <f>SUBTOTAL(9,O49:O59)</f>
        <v>25140</v>
      </c>
      <c r="P60" s="35">
        <f>SUBTOTAL(9,P49:P59)</f>
        <v>-10583</v>
      </c>
      <c r="Q60" s="35">
        <f>SUBTOTAL(9,Q49:Q59)</f>
        <v>14558</v>
      </c>
      <c r="R60" s="35">
        <f>SUBTOTAL(9,R49:R59)</f>
        <v>13411</v>
      </c>
      <c r="S60" s="35">
        <f>Q60-R60</f>
        <v>1147</v>
      </c>
      <c r="T60" s="39">
        <f>IFERROR((Q60/N60)*100%,"∞")</f>
        <v>1.0855268063529937</v>
      </c>
      <c r="U60" s="54">
        <f>N60+V60</f>
        <v>13411</v>
      </c>
      <c r="V60" s="35">
        <f>SUBTOTAL(9,V49:V59)</f>
        <v>0</v>
      </c>
      <c r="W60" s="35">
        <f>SUBTOTAL(9,W49:W59)</f>
        <v>0</v>
      </c>
      <c r="X60" s="35"/>
      <c r="Y60" s="35"/>
      <c r="Z60" s="43"/>
      <c r="AA60" s="60"/>
      <c r="AB60" s="104">
        <f>SUBTOTAL(9,AB1:AB59)</f>
        <v>0</v>
      </c>
      <c r="AC60" s="104">
        <f>SUBTOTAL(9,AC1:AC59)</f>
        <v>0</v>
      </c>
      <c r="AD60" s="35">
        <f>SUM(AB60:AC60)</f>
        <v>0</v>
      </c>
      <c r="AE60" s="35">
        <f>Q60+AD60</f>
        <v>14558</v>
      </c>
      <c r="AF60" s="43">
        <f>AE60-N60</f>
        <v>1147</v>
      </c>
    </row>
    <row r="61" spans="2:32"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si="7"/>
        <v>676</v>
      </c>
      <c r="AF61" s="101">
        <f t="shared" si="8"/>
        <v>33</v>
      </c>
    </row>
    <row r="62" spans="2:32"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7"/>
        <v>130</v>
      </c>
      <c r="AF62" s="101">
        <f t="shared" si="8"/>
        <v>3</v>
      </c>
    </row>
    <row r="63" spans="2:32"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7"/>
        <v>4582</v>
      </c>
      <c r="AF63" s="101">
        <f t="shared" si="8"/>
        <v>202</v>
      </c>
    </row>
    <row r="64" spans="2:32"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7"/>
        <v>2882</v>
      </c>
      <c r="AF64" s="101">
        <f t="shared" si="8"/>
        <v>159</v>
      </c>
    </row>
    <row r="65" spans="2:32" ht="13" outlineLevel="2" x14ac:dyDescent="0.3">
      <c r="B65" s="31" t="s">
        <v>98</v>
      </c>
      <c r="C65" s="33">
        <v>1828</v>
      </c>
      <c r="D65" s="33">
        <v>1884</v>
      </c>
      <c r="E65" s="23">
        <v>124</v>
      </c>
      <c r="F65" s="23">
        <v>0</v>
      </c>
      <c r="G65" s="23">
        <v>-27</v>
      </c>
      <c r="H65" s="23">
        <v>0</v>
      </c>
      <c r="I65" s="23">
        <v>-42</v>
      </c>
      <c r="J65" s="23">
        <v>105</v>
      </c>
      <c r="K65" s="23">
        <f t="shared" si="0"/>
        <v>160</v>
      </c>
      <c r="L65" s="33">
        <f t="shared" si="1"/>
        <v>105</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c r="AC65" s="93"/>
      <c r="AD65" s="33">
        <f t="shared" si="6"/>
        <v>0</v>
      </c>
      <c r="AE65" s="33">
        <f t="shared" si="7"/>
        <v>1642</v>
      </c>
      <c r="AF65" s="101">
        <f t="shared" si="8"/>
        <v>-347</v>
      </c>
    </row>
    <row r="66" spans="2:32" ht="13" outlineLevel="1" x14ac:dyDescent="0.3">
      <c r="B66" s="32" t="s">
        <v>100</v>
      </c>
      <c r="C66" s="34">
        <f t="shared" ref="C66:J66" si="38">SUBTOTAL(9,C61:C65)</f>
        <v>9730</v>
      </c>
      <c r="D66" s="34">
        <f t="shared" si="38"/>
        <v>9757</v>
      </c>
      <c r="E66" s="24">
        <f t="shared" si="38"/>
        <v>174</v>
      </c>
      <c r="F66" s="24">
        <f t="shared" si="38"/>
        <v>0</v>
      </c>
      <c r="G66" s="24">
        <f t="shared" si="38"/>
        <v>-107</v>
      </c>
      <c r="H66" s="24">
        <f t="shared" si="38"/>
        <v>0</v>
      </c>
      <c r="I66" s="24">
        <f t="shared" si="38"/>
        <v>-42</v>
      </c>
      <c r="J66" s="24">
        <f t="shared" si="38"/>
        <v>105</v>
      </c>
      <c r="K66" s="24">
        <f>SUM(E66:J66)</f>
        <v>130</v>
      </c>
      <c r="L66" s="34">
        <f t="shared" ref="L66" si="39">N66-D66</f>
        <v>105</v>
      </c>
      <c r="M66" s="34">
        <f t="shared" ref="M66" si="40">N66-C66</f>
        <v>132</v>
      </c>
      <c r="N66" s="34">
        <f>SUBTOTAL(9,N61:N65)</f>
        <v>9862</v>
      </c>
      <c r="O66" s="34">
        <f>SUBTOTAL(9,O61:O65)</f>
        <v>10045</v>
      </c>
      <c r="P66" s="34">
        <f>SUBTOTAL(9,P61:P65)</f>
        <v>-134</v>
      </c>
      <c r="Q66" s="34">
        <f>SUBTOTAL(9,Q61:Q65)</f>
        <v>9912</v>
      </c>
      <c r="R66" s="34">
        <f>SUBTOTAL(9,R61:R65)</f>
        <v>9862</v>
      </c>
      <c r="S66" s="34">
        <f>Q66-R66</f>
        <v>50</v>
      </c>
      <c r="T66" s="38">
        <f>IFERROR((Q66/N66)*100%,"∞")</f>
        <v>1.0050699655242343</v>
      </c>
      <c r="U66" s="59">
        <f>N66+V66</f>
        <v>9960</v>
      </c>
      <c r="V66" s="34">
        <f>SUBTOTAL(9,V61:V65)</f>
        <v>98</v>
      </c>
      <c r="W66" s="34">
        <f>SUBTOTAL(9,W61:W65)</f>
        <v>98</v>
      </c>
      <c r="X66" s="34"/>
      <c r="Y66" s="34"/>
      <c r="Z66" s="41"/>
      <c r="AA66" s="60"/>
      <c r="AB66" s="102">
        <f>SUBTOTAL(9,AB1:AB65)</f>
        <v>0</v>
      </c>
      <c r="AC66" s="34">
        <f>SUBTOTAL(9,AC1:AC65)</f>
        <v>0</v>
      </c>
      <c r="AD66" s="34"/>
      <c r="AE66" s="34"/>
      <c r="AF66" s="103"/>
    </row>
    <row r="67" spans="2:32"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si="7"/>
        <v>920</v>
      </c>
      <c r="AF67" s="101">
        <f t="shared" si="8"/>
        <v>-141</v>
      </c>
    </row>
    <row r="68" spans="2:32"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573</v>
      </c>
      <c r="P68" s="33">
        <v>-36</v>
      </c>
      <c r="Q68" s="33">
        <v>538</v>
      </c>
      <c r="R68" s="33">
        <v>230</v>
      </c>
      <c r="S68" s="33">
        <f t="shared" si="3"/>
        <v>308</v>
      </c>
      <c r="T68" s="38">
        <f t="shared" si="4"/>
        <v>2.3391304347826085</v>
      </c>
      <c r="U68" s="59">
        <f t="shared" si="5"/>
        <v>370</v>
      </c>
      <c r="V68" s="33">
        <v>140</v>
      </c>
      <c r="W68" s="33">
        <v>140</v>
      </c>
      <c r="X68" s="33"/>
      <c r="Y68" s="33"/>
      <c r="Z68" s="42"/>
      <c r="AA68" s="60"/>
      <c r="AB68" s="105"/>
      <c r="AC68" s="93"/>
      <c r="AD68" s="33">
        <f t="shared" si="6"/>
        <v>0</v>
      </c>
      <c r="AE68" s="33">
        <f t="shared" si="7"/>
        <v>538</v>
      </c>
      <c r="AF68" s="101">
        <f t="shared" si="8"/>
        <v>308</v>
      </c>
    </row>
    <row r="69" spans="2:32" ht="13" outlineLevel="2" x14ac:dyDescent="0.3">
      <c r="B69" s="31" t="s">
        <v>103</v>
      </c>
      <c r="C69" s="33">
        <v>283</v>
      </c>
      <c r="D69" s="33">
        <v>278</v>
      </c>
      <c r="E69" s="23">
        <v>0</v>
      </c>
      <c r="F69" s="23">
        <v>0</v>
      </c>
      <c r="G69" s="23">
        <v>-10</v>
      </c>
      <c r="H69" s="23">
        <v>0</v>
      </c>
      <c r="I69" s="23">
        <v>5</v>
      </c>
      <c r="J69" s="23">
        <v>0</v>
      </c>
      <c r="K69" s="23">
        <f t="shared" ref="K69:K79" si="41">SUM(E69:J69)</f>
        <v>-5</v>
      </c>
      <c r="L69" s="33">
        <f t="shared" ref="L69:L81" si="42">N69-D69</f>
        <v>0</v>
      </c>
      <c r="M69" s="33">
        <f t="shared" ref="M69:M81" si="43">N69-C69</f>
        <v>-5</v>
      </c>
      <c r="N69" s="33">
        <v>278</v>
      </c>
      <c r="O69" s="33">
        <v>578</v>
      </c>
      <c r="P69" s="33">
        <v>-234</v>
      </c>
      <c r="Q69" s="33">
        <v>344</v>
      </c>
      <c r="R69" s="33">
        <v>278</v>
      </c>
      <c r="S69" s="33">
        <f t="shared" ref="S69:S79" si="44">Q69-R69</f>
        <v>66</v>
      </c>
      <c r="T69" s="38">
        <f t="shared" ref="T69:T79" si="45">IFERROR((Q69/N69)*100%,"∞")</f>
        <v>1.2374100719424461</v>
      </c>
      <c r="U69" s="59">
        <f t="shared" ref="U69:U79" si="46">N69+V69</f>
        <v>278</v>
      </c>
      <c r="V69" s="33">
        <v>0</v>
      </c>
      <c r="W69" s="33">
        <v>0</v>
      </c>
      <c r="X69" s="33"/>
      <c r="Y69" s="33"/>
      <c r="Z69" s="42"/>
      <c r="AA69" s="60"/>
      <c r="AB69" s="105"/>
      <c r="AC69" s="93"/>
      <c r="AD69" s="33">
        <f t="shared" ref="AD69:AD79" si="47">SUM(AB69:AC69)</f>
        <v>0</v>
      </c>
      <c r="AE69" s="33">
        <f t="shared" ref="AE69:AE79" si="48">Q69+AD69</f>
        <v>344</v>
      </c>
      <c r="AF69" s="101">
        <f t="shared" ref="AF69:AF79" si="49">AE69-N69</f>
        <v>66</v>
      </c>
    </row>
    <row r="70" spans="2:32" ht="13" outlineLevel="2" x14ac:dyDescent="0.3">
      <c r="B70" s="31" t="s">
        <v>104</v>
      </c>
      <c r="C70" s="33">
        <v>494</v>
      </c>
      <c r="D70" s="33">
        <v>491</v>
      </c>
      <c r="E70" s="23">
        <v>0</v>
      </c>
      <c r="F70" s="23">
        <v>0</v>
      </c>
      <c r="G70" s="23">
        <v>-8</v>
      </c>
      <c r="H70" s="23">
        <v>0</v>
      </c>
      <c r="I70" s="23">
        <v>4</v>
      </c>
      <c r="J70" s="23">
        <v>-15</v>
      </c>
      <c r="K70" s="23">
        <f t="shared" si="41"/>
        <v>-19</v>
      </c>
      <c r="L70" s="33">
        <f t="shared" si="42"/>
        <v>-15</v>
      </c>
      <c r="M70" s="33">
        <f t="shared" si="43"/>
        <v>-18</v>
      </c>
      <c r="N70" s="33">
        <v>476</v>
      </c>
      <c r="O70" s="33">
        <v>598</v>
      </c>
      <c r="P70" s="33">
        <v>0</v>
      </c>
      <c r="Q70" s="33">
        <v>598</v>
      </c>
      <c r="R70" s="33">
        <v>476</v>
      </c>
      <c r="S70" s="33">
        <f t="shared" si="44"/>
        <v>122</v>
      </c>
      <c r="T70" s="38">
        <f t="shared" si="45"/>
        <v>1.2563025210084033</v>
      </c>
      <c r="U70" s="59">
        <f t="shared" si="46"/>
        <v>511</v>
      </c>
      <c r="V70" s="33">
        <v>35</v>
      </c>
      <c r="W70" s="33">
        <v>35</v>
      </c>
      <c r="X70" s="33"/>
      <c r="Y70" s="33"/>
      <c r="Z70" s="42"/>
      <c r="AA70" s="60"/>
      <c r="AB70" s="105"/>
      <c r="AC70" s="93"/>
      <c r="AD70" s="33">
        <f t="shared" si="47"/>
        <v>0</v>
      </c>
      <c r="AE70" s="33">
        <f t="shared" si="48"/>
        <v>598</v>
      </c>
      <c r="AF70" s="101">
        <f t="shared" si="49"/>
        <v>122</v>
      </c>
    </row>
    <row r="71" spans="2:32" ht="13" outlineLevel="2" x14ac:dyDescent="0.3">
      <c r="B71" s="31" t="s">
        <v>105</v>
      </c>
      <c r="C71" s="33">
        <v>955</v>
      </c>
      <c r="D71" s="33">
        <v>921</v>
      </c>
      <c r="E71" s="23">
        <v>0</v>
      </c>
      <c r="F71" s="23">
        <v>488</v>
      </c>
      <c r="G71" s="23">
        <v>-35</v>
      </c>
      <c r="H71" s="23">
        <v>0</v>
      </c>
      <c r="I71" s="23">
        <v>2</v>
      </c>
      <c r="J71" s="23">
        <v>-15</v>
      </c>
      <c r="K71" s="23">
        <f t="shared" si="41"/>
        <v>440</v>
      </c>
      <c r="L71" s="33">
        <f t="shared" si="42"/>
        <v>473</v>
      </c>
      <c r="M71" s="33">
        <f t="shared" si="43"/>
        <v>439</v>
      </c>
      <c r="N71" s="33">
        <v>1394</v>
      </c>
      <c r="O71" s="33">
        <v>2729</v>
      </c>
      <c r="P71" s="33">
        <v>-1337</v>
      </c>
      <c r="Q71" s="33">
        <v>1391</v>
      </c>
      <c r="R71" s="33">
        <v>1394</v>
      </c>
      <c r="S71" s="33">
        <f t="shared" si="44"/>
        <v>-3</v>
      </c>
      <c r="T71" s="38">
        <f t="shared" si="45"/>
        <v>0.9978479196556671</v>
      </c>
      <c r="U71" s="59">
        <f t="shared" si="46"/>
        <v>1342</v>
      </c>
      <c r="V71" s="33">
        <v>-52</v>
      </c>
      <c r="W71" s="33">
        <v>-52</v>
      </c>
      <c r="X71" s="33"/>
      <c r="Y71" s="33"/>
      <c r="Z71" s="42"/>
      <c r="AA71" s="60"/>
      <c r="AB71" s="105"/>
      <c r="AC71" s="93"/>
      <c r="AD71" s="33">
        <f t="shared" si="47"/>
        <v>0</v>
      </c>
      <c r="AE71" s="33">
        <f t="shared" si="48"/>
        <v>1391</v>
      </c>
      <c r="AF71" s="101">
        <f t="shared" si="49"/>
        <v>-3</v>
      </c>
    </row>
    <row r="72" spans="2:32" ht="13" outlineLevel="2" x14ac:dyDescent="0.3">
      <c r="B72" s="31" t="s">
        <v>106</v>
      </c>
      <c r="C72" s="33">
        <v>120</v>
      </c>
      <c r="D72" s="33">
        <v>117</v>
      </c>
      <c r="E72" s="23">
        <v>0</v>
      </c>
      <c r="F72" s="23">
        <v>0</v>
      </c>
      <c r="G72" s="23">
        <v>-3</v>
      </c>
      <c r="H72" s="23">
        <v>0</v>
      </c>
      <c r="I72" s="23">
        <v>0</v>
      </c>
      <c r="J72" s="23">
        <v>0</v>
      </c>
      <c r="K72" s="23">
        <f t="shared" si="41"/>
        <v>-3</v>
      </c>
      <c r="L72" s="33">
        <f t="shared" si="42"/>
        <v>0</v>
      </c>
      <c r="M72" s="33">
        <f t="shared" si="43"/>
        <v>-3</v>
      </c>
      <c r="N72" s="33">
        <v>117</v>
      </c>
      <c r="O72" s="33">
        <v>167</v>
      </c>
      <c r="P72" s="33">
        <v>0</v>
      </c>
      <c r="Q72" s="33">
        <v>166</v>
      </c>
      <c r="R72" s="33">
        <v>117</v>
      </c>
      <c r="S72" s="33">
        <f t="shared" si="44"/>
        <v>49</v>
      </c>
      <c r="T72" s="38">
        <f t="shared" si="45"/>
        <v>1.4188034188034189</v>
      </c>
      <c r="U72" s="59">
        <f t="shared" si="46"/>
        <v>117</v>
      </c>
      <c r="V72" s="33">
        <v>0</v>
      </c>
      <c r="W72" s="33">
        <v>0</v>
      </c>
      <c r="X72" s="33"/>
      <c r="Y72" s="33"/>
      <c r="Z72" s="42"/>
      <c r="AA72" s="60"/>
      <c r="AB72" s="105"/>
      <c r="AC72" s="93"/>
      <c r="AD72" s="33">
        <f t="shared" si="47"/>
        <v>0</v>
      </c>
      <c r="AE72" s="33">
        <f t="shared" si="48"/>
        <v>166</v>
      </c>
      <c r="AF72" s="101">
        <f t="shared" si="49"/>
        <v>49</v>
      </c>
    </row>
    <row r="73" spans="2:32" ht="13" outlineLevel="1" x14ac:dyDescent="0.3">
      <c r="B73" s="32" t="s">
        <v>107</v>
      </c>
      <c r="C73" s="34">
        <f t="shared" ref="C73:J73" si="50">SUBTOTAL(9,C67:C72)</f>
        <v>3169</v>
      </c>
      <c r="D73" s="34">
        <f t="shared" si="50"/>
        <v>3098</v>
      </c>
      <c r="E73" s="24">
        <f t="shared" si="50"/>
        <v>0</v>
      </c>
      <c r="F73" s="24">
        <f t="shared" si="50"/>
        <v>488</v>
      </c>
      <c r="G73" s="24">
        <f t="shared" si="50"/>
        <v>-84</v>
      </c>
      <c r="H73" s="24">
        <f t="shared" si="50"/>
        <v>0</v>
      </c>
      <c r="I73" s="24">
        <f t="shared" si="50"/>
        <v>13</v>
      </c>
      <c r="J73" s="24">
        <f t="shared" si="50"/>
        <v>-30</v>
      </c>
      <c r="K73" s="24">
        <f>SUM(E73:J73)</f>
        <v>387</v>
      </c>
      <c r="L73" s="34">
        <f t="shared" si="42"/>
        <v>458</v>
      </c>
      <c r="M73" s="34">
        <f t="shared" si="43"/>
        <v>387</v>
      </c>
      <c r="N73" s="34">
        <f>SUBTOTAL(9,N67:N72)</f>
        <v>3556</v>
      </c>
      <c r="O73" s="34">
        <f>SUBTOTAL(9,O67:O72)</f>
        <v>5961</v>
      </c>
      <c r="P73" s="34">
        <f>SUBTOTAL(9,P67:P72)</f>
        <v>-2003</v>
      </c>
      <c r="Q73" s="34">
        <f>SUBTOTAL(9,Q67:Q72)</f>
        <v>3957</v>
      </c>
      <c r="R73" s="34">
        <f>SUBTOTAL(9,R67:R72)</f>
        <v>3556</v>
      </c>
      <c r="S73" s="34">
        <f>Q73-R73</f>
        <v>401</v>
      </c>
      <c r="T73" s="38">
        <f>IFERROR((Q73/N73)*100%,"∞")</f>
        <v>1.1127671541057367</v>
      </c>
      <c r="U73" s="59">
        <f>N73+V73</f>
        <v>3609</v>
      </c>
      <c r="V73" s="34">
        <f>SUBTOTAL(9,V67:V72)</f>
        <v>53</v>
      </c>
      <c r="W73" s="34">
        <f>SUBTOTAL(9,W67:W72)</f>
        <v>53</v>
      </c>
      <c r="X73" s="34"/>
      <c r="Y73" s="34"/>
      <c r="Z73" s="41"/>
      <c r="AA73" s="60"/>
      <c r="AB73" s="102">
        <f>SUBTOTAL(9,AB1:AB72)</f>
        <v>0</v>
      </c>
      <c r="AC73" s="34">
        <f>SUBTOTAL(9,AC1:AC72)</f>
        <v>0</v>
      </c>
      <c r="AD73" s="34"/>
      <c r="AE73" s="34"/>
      <c r="AF73" s="103"/>
    </row>
    <row r="74" spans="2:32" ht="13" outlineLevel="2" x14ac:dyDescent="0.3">
      <c r="B74" s="31" t="s">
        <v>108</v>
      </c>
      <c r="C74" s="33">
        <v>760</v>
      </c>
      <c r="D74" s="33">
        <v>737</v>
      </c>
      <c r="E74" s="23">
        <v>0</v>
      </c>
      <c r="F74" s="23">
        <v>0</v>
      </c>
      <c r="G74" s="23">
        <v>-22</v>
      </c>
      <c r="H74" s="23">
        <v>0</v>
      </c>
      <c r="I74" s="23">
        <v>0</v>
      </c>
      <c r="J74" s="23">
        <v>0</v>
      </c>
      <c r="K74" s="23">
        <f t="shared" si="41"/>
        <v>-22</v>
      </c>
      <c r="L74" s="33">
        <f t="shared" si="42"/>
        <v>0</v>
      </c>
      <c r="M74" s="33">
        <f t="shared" si="43"/>
        <v>-23</v>
      </c>
      <c r="N74" s="33">
        <v>737</v>
      </c>
      <c r="O74" s="33">
        <v>753</v>
      </c>
      <c r="P74" s="33">
        <v>-25</v>
      </c>
      <c r="Q74" s="33">
        <v>729</v>
      </c>
      <c r="R74" s="33">
        <v>737</v>
      </c>
      <c r="S74" s="33">
        <f t="shared" si="44"/>
        <v>-8</v>
      </c>
      <c r="T74" s="38">
        <f t="shared" si="45"/>
        <v>0.98914518317503397</v>
      </c>
      <c r="U74" s="59">
        <f t="shared" si="46"/>
        <v>737</v>
      </c>
      <c r="V74" s="33">
        <v>0</v>
      </c>
      <c r="W74" s="33">
        <v>0</v>
      </c>
      <c r="X74" s="33"/>
      <c r="Y74" s="33"/>
      <c r="Z74" s="42"/>
      <c r="AA74" s="60"/>
      <c r="AB74" s="105"/>
      <c r="AC74" s="93"/>
      <c r="AD74" s="33">
        <f t="shared" si="47"/>
        <v>0</v>
      </c>
      <c r="AE74" s="33">
        <f t="shared" si="48"/>
        <v>729</v>
      </c>
      <c r="AF74" s="101">
        <f t="shared" si="49"/>
        <v>-8</v>
      </c>
    </row>
    <row r="75" spans="2:32" ht="13" outlineLevel="2" x14ac:dyDescent="0.3">
      <c r="B75" s="31" t="s">
        <v>109</v>
      </c>
      <c r="C75" s="33">
        <v>337</v>
      </c>
      <c r="D75" s="33">
        <v>332</v>
      </c>
      <c r="E75" s="23">
        <v>0</v>
      </c>
      <c r="F75" s="23">
        <v>0</v>
      </c>
      <c r="G75" s="23">
        <v>-5</v>
      </c>
      <c r="H75" s="23">
        <v>0</v>
      </c>
      <c r="I75" s="23">
        <v>0</v>
      </c>
      <c r="J75" s="23">
        <v>0</v>
      </c>
      <c r="K75" s="23">
        <f t="shared" si="41"/>
        <v>-5</v>
      </c>
      <c r="L75" s="33">
        <f t="shared" si="42"/>
        <v>0</v>
      </c>
      <c r="M75" s="33">
        <f t="shared" si="43"/>
        <v>-5</v>
      </c>
      <c r="N75" s="33">
        <v>332</v>
      </c>
      <c r="O75" s="33">
        <v>341</v>
      </c>
      <c r="P75" s="33">
        <v>0</v>
      </c>
      <c r="Q75" s="33">
        <v>341</v>
      </c>
      <c r="R75" s="33">
        <v>332</v>
      </c>
      <c r="S75" s="33">
        <f t="shared" si="44"/>
        <v>9</v>
      </c>
      <c r="T75" s="38">
        <f t="shared" si="45"/>
        <v>1.0271084337349397</v>
      </c>
      <c r="U75" s="59">
        <f t="shared" si="46"/>
        <v>332</v>
      </c>
      <c r="V75" s="33">
        <v>0</v>
      </c>
      <c r="W75" s="33">
        <v>0</v>
      </c>
      <c r="X75" s="33"/>
      <c r="Y75" s="33"/>
      <c r="Z75" s="42"/>
      <c r="AA75" s="60"/>
      <c r="AB75" s="105"/>
      <c r="AC75" s="93"/>
      <c r="AD75" s="33">
        <f t="shared" si="47"/>
        <v>0</v>
      </c>
      <c r="AE75" s="33">
        <f t="shared" si="48"/>
        <v>341</v>
      </c>
      <c r="AF75" s="101">
        <f t="shared" si="49"/>
        <v>9</v>
      </c>
    </row>
    <row r="76" spans="2:32" ht="13" outlineLevel="1" x14ac:dyDescent="0.3">
      <c r="B76" s="32" t="s">
        <v>110</v>
      </c>
      <c r="C76" s="34">
        <f t="shared" ref="C76:J76" si="51">SUBTOTAL(9,C74:C75)</f>
        <v>1097</v>
      </c>
      <c r="D76" s="34">
        <f t="shared" si="51"/>
        <v>1069</v>
      </c>
      <c r="E76" s="24">
        <f t="shared" si="51"/>
        <v>0</v>
      </c>
      <c r="F76" s="24">
        <f t="shared" si="51"/>
        <v>0</v>
      </c>
      <c r="G76" s="24">
        <f t="shared" si="51"/>
        <v>-27</v>
      </c>
      <c r="H76" s="24">
        <f t="shared" si="51"/>
        <v>0</v>
      </c>
      <c r="I76" s="24">
        <f t="shared" si="51"/>
        <v>0</v>
      </c>
      <c r="J76" s="24">
        <f t="shared" si="51"/>
        <v>0</v>
      </c>
      <c r="K76" s="24">
        <f>SUM(E76:J76)</f>
        <v>-27</v>
      </c>
      <c r="L76" s="34">
        <f t="shared" si="42"/>
        <v>0</v>
      </c>
      <c r="M76" s="34">
        <f t="shared" si="43"/>
        <v>-28</v>
      </c>
      <c r="N76" s="34">
        <f>SUBTOTAL(9,N74:N75)</f>
        <v>1069</v>
      </c>
      <c r="O76" s="34">
        <f>SUBTOTAL(9,O74:O75)</f>
        <v>1094</v>
      </c>
      <c r="P76" s="34">
        <f>SUBTOTAL(9,P74:P75)</f>
        <v>-25</v>
      </c>
      <c r="Q76" s="34">
        <f>SUBTOTAL(9,Q74:Q75)</f>
        <v>1070</v>
      </c>
      <c r="R76" s="34">
        <f>SUBTOTAL(9,R74:R75)</f>
        <v>1069</v>
      </c>
      <c r="S76" s="34">
        <f>Q76-R76</f>
        <v>1</v>
      </c>
      <c r="T76" s="38">
        <f>IFERROR((Q76/N76)*100%,"∞")</f>
        <v>1.0009354536950421</v>
      </c>
      <c r="U76" s="59">
        <f>N76+V76</f>
        <v>1069</v>
      </c>
      <c r="V76" s="34">
        <f>SUBTOTAL(9,V74:V75)</f>
        <v>0</v>
      </c>
      <c r="W76" s="34">
        <f>SUBTOTAL(9,W74:W75)</f>
        <v>0</v>
      </c>
      <c r="X76" s="34"/>
      <c r="Y76" s="34"/>
      <c r="Z76" s="41"/>
      <c r="AA76" s="60"/>
      <c r="AB76" s="102">
        <f>SUBTOTAL(9,AB2:AB75)</f>
        <v>0</v>
      </c>
      <c r="AC76" s="34">
        <f>SUBTOTAL(9,AC2:AC75)</f>
        <v>0</v>
      </c>
      <c r="AD76" s="34"/>
      <c r="AE76" s="34"/>
      <c r="AF76" s="103"/>
    </row>
    <row r="77" spans="2:32" ht="13" outlineLevel="2" x14ac:dyDescent="0.3">
      <c r="B77" s="31" t="s">
        <v>111</v>
      </c>
      <c r="C77" s="33">
        <v>718</v>
      </c>
      <c r="D77" s="33">
        <v>724</v>
      </c>
      <c r="E77" s="23">
        <v>10</v>
      </c>
      <c r="F77" s="23">
        <v>0</v>
      </c>
      <c r="G77" s="23">
        <v>-5</v>
      </c>
      <c r="H77" s="23">
        <v>0</v>
      </c>
      <c r="I77" s="23">
        <v>0</v>
      </c>
      <c r="J77" s="23">
        <v>0</v>
      </c>
      <c r="K77" s="23">
        <f t="shared" si="41"/>
        <v>5</v>
      </c>
      <c r="L77" s="33">
        <f t="shared" si="42"/>
        <v>0</v>
      </c>
      <c r="M77" s="33">
        <f t="shared" si="43"/>
        <v>6</v>
      </c>
      <c r="N77" s="33">
        <v>724</v>
      </c>
      <c r="O77" s="33">
        <v>808</v>
      </c>
      <c r="P77" s="33">
        <v>-67</v>
      </c>
      <c r="Q77" s="33">
        <v>741</v>
      </c>
      <c r="R77" s="33">
        <v>724</v>
      </c>
      <c r="S77" s="33">
        <f t="shared" si="44"/>
        <v>17</v>
      </c>
      <c r="T77" s="38">
        <f t="shared" si="45"/>
        <v>1.0234806629834254</v>
      </c>
      <c r="U77" s="59">
        <f t="shared" si="46"/>
        <v>743</v>
      </c>
      <c r="V77" s="33">
        <v>19</v>
      </c>
      <c r="W77" s="33">
        <v>19</v>
      </c>
      <c r="X77" s="33"/>
      <c r="Y77" s="33"/>
      <c r="Z77" s="42"/>
      <c r="AA77" s="60"/>
      <c r="AB77" s="105"/>
      <c r="AC77" s="93"/>
      <c r="AD77" s="33">
        <f t="shared" si="47"/>
        <v>0</v>
      </c>
      <c r="AE77" s="33">
        <f t="shared" si="48"/>
        <v>741</v>
      </c>
      <c r="AF77" s="101">
        <f t="shared" si="49"/>
        <v>17</v>
      </c>
    </row>
    <row r="78" spans="2:32" ht="13" outlineLevel="2" x14ac:dyDescent="0.3">
      <c r="B78" s="31" t="s">
        <v>112</v>
      </c>
      <c r="C78" s="33">
        <v>394</v>
      </c>
      <c r="D78" s="33">
        <v>390</v>
      </c>
      <c r="E78" s="23">
        <v>0</v>
      </c>
      <c r="F78" s="23">
        <v>0</v>
      </c>
      <c r="G78" s="23">
        <v>-3</v>
      </c>
      <c r="H78" s="23">
        <v>0</v>
      </c>
      <c r="I78" s="23">
        <v>0</v>
      </c>
      <c r="J78" s="23">
        <v>0</v>
      </c>
      <c r="K78" s="23">
        <f t="shared" si="41"/>
        <v>-3</v>
      </c>
      <c r="L78" s="33">
        <f t="shared" si="42"/>
        <v>0</v>
      </c>
      <c r="M78" s="33">
        <f t="shared" si="43"/>
        <v>-4</v>
      </c>
      <c r="N78" s="33">
        <v>390</v>
      </c>
      <c r="O78" s="33">
        <v>537</v>
      </c>
      <c r="P78" s="33">
        <v>-40</v>
      </c>
      <c r="Q78" s="33">
        <v>496</v>
      </c>
      <c r="R78" s="33">
        <v>390</v>
      </c>
      <c r="S78" s="33">
        <f t="shared" si="44"/>
        <v>106</v>
      </c>
      <c r="T78" s="38">
        <f t="shared" si="45"/>
        <v>1.2717948717948717</v>
      </c>
      <c r="U78" s="59">
        <f t="shared" si="46"/>
        <v>460</v>
      </c>
      <c r="V78" s="33">
        <v>70</v>
      </c>
      <c r="W78" s="33">
        <v>70</v>
      </c>
      <c r="X78" s="33"/>
      <c r="Y78" s="33"/>
      <c r="Z78" s="42"/>
      <c r="AA78" s="60"/>
      <c r="AB78" s="105"/>
      <c r="AC78" s="93"/>
      <c r="AD78" s="33">
        <f t="shared" si="47"/>
        <v>0</v>
      </c>
      <c r="AE78" s="33">
        <f t="shared" si="48"/>
        <v>496</v>
      </c>
      <c r="AF78" s="101">
        <f t="shared" si="49"/>
        <v>106</v>
      </c>
    </row>
    <row r="79" spans="2:32" ht="13" outlineLevel="2" x14ac:dyDescent="0.3">
      <c r="B79" s="31" t="s">
        <v>113</v>
      </c>
      <c r="C79" s="33">
        <v>1352</v>
      </c>
      <c r="D79" s="33">
        <v>1289</v>
      </c>
      <c r="E79" s="23">
        <v>0</v>
      </c>
      <c r="F79" s="23">
        <v>0</v>
      </c>
      <c r="G79" s="23">
        <v>-41</v>
      </c>
      <c r="H79" s="23">
        <v>0</v>
      </c>
      <c r="I79" s="23">
        <v>-22</v>
      </c>
      <c r="J79" s="23">
        <v>0</v>
      </c>
      <c r="K79" s="23">
        <f t="shared" si="41"/>
        <v>-63</v>
      </c>
      <c r="L79" s="33">
        <f t="shared" si="42"/>
        <v>0</v>
      </c>
      <c r="M79" s="33">
        <f t="shared" si="43"/>
        <v>-63</v>
      </c>
      <c r="N79" s="33">
        <v>1289</v>
      </c>
      <c r="O79" s="33">
        <v>1941</v>
      </c>
      <c r="P79" s="33">
        <v>-316</v>
      </c>
      <c r="Q79" s="33">
        <v>1625</v>
      </c>
      <c r="R79" s="33">
        <v>1289</v>
      </c>
      <c r="S79" s="33">
        <f t="shared" si="44"/>
        <v>336</v>
      </c>
      <c r="T79" s="38">
        <f t="shared" si="45"/>
        <v>1.26066718386346</v>
      </c>
      <c r="U79" s="59">
        <f t="shared" si="46"/>
        <v>1389</v>
      </c>
      <c r="V79" s="33">
        <v>100</v>
      </c>
      <c r="W79" s="33">
        <v>100</v>
      </c>
      <c r="X79" s="33"/>
      <c r="Y79" s="33"/>
      <c r="Z79" s="42"/>
      <c r="AA79" s="60"/>
      <c r="AB79" s="105"/>
      <c r="AC79" s="93"/>
      <c r="AD79" s="33">
        <f t="shared" si="47"/>
        <v>0</v>
      </c>
      <c r="AE79" s="33">
        <f t="shared" si="48"/>
        <v>1625</v>
      </c>
      <c r="AF79" s="101">
        <f t="shared" si="49"/>
        <v>336</v>
      </c>
    </row>
    <row r="80" spans="2:32" ht="13" outlineLevel="1" x14ac:dyDescent="0.3">
      <c r="B80" s="32" t="s">
        <v>114</v>
      </c>
      <c r="C80" s="34">
        <f t="shared" ref="C80:J80" si="52">SUBTOTAL(9,C77:C79)</f>
        <v>2464</v>
      </c>
      <c r="D80" s="34">
        <f t="shared" si="52"/>
        <v>2403</v>
      </c>
      <c r="E80" s="24">
        <f t="shared" si="52"/>
        <v>10</v>
      </c>
      <c r="F80" s="24">
        <f t="shared" si="52"/>
        <v>0</v>
      </c>
      <c r="G80" s="24">
        <f t="shared" si="52"/>
        <v>-49</v>
      </c>
      <c r="H80" s="24">
        <f t="shared" si="52"/>
        <v>0</v>
      </c>
      <c r="I80" s="24">
        <f t="shared" si="52"/>
        <v>-22</v>
      </c>
      <c r="J80" s="24">
        <f t="shared" si="52"/>
        <v>0</v>
      </c>
      <c r="K80" s="24">
        <f>SUM(E80:J80)</f>
        <v>-61</v>
      </c>
      <c r="L80" s="34">
        <f t="shared" si="42"/>
        <v>0</v>
      </c>
      <c r="M80" s="34">
        <f t="shared" si="43"/>
        <v>-61</v>
      </c>
      <c r="N80" s="34">
        <f>SUBTOTAL(9,N77:N79)</f>
        <v>2403</v>
      </c>
      <c r="O80" s="34">
        <f>SUBTOTAL(9,O77:O79)</f>
        <v>3286</v>
      </c>
      <c r="P80" s="34">
        <f>SUBTOTAL(9,P77:P79)</f>
        <v>-423</v>
      </c>
      <c r="Q80" s="34">
        <f>SUBTOTAL(9,Q77:Q79)</f>
        <v>2862</v>
      </c>
      <c r="R80" s="34">
        <f>SUBTOTAL(9,R77:R79)</f>
        <v>2403</v>
      </c>
      <c r="S80" s="34">
        <f>Q80-R80</f>
        <v>459</v>
      </c>
      <c r="T80" s="38">
        <f>IFERROR((Q80/N80)*100%,"∞")</f>
        <v>1.1910112359550562</v>
      </c>
      <c r="U80" s="59">
        <f>N80+V80</f>
        <v>2592</v>
      </c>
      <c r="V80" s="34">
        <f>SUBTOTAL(9,V77:V79)</f>
        <v>189</v>
      </c>
      <c r="W80" s="34">
        <f>SUBTOTAL(9,W77:W79)</f>
        <v>189</v>
      </c>
      <c r="X80" s="34"/>
      <c r="Y80" s="34"/>
      <c r="Z80" s="41"/>
      <c r="AA80" s="60"/>
      <c r="AB80" s="102">
        <f>SUBTOTAL(9,AB5:AB79)</f>
        <v>0</v>
      </c>
      <c r="AC80" s="34">
        <f>SUBTOTAL(9,AC5:AC79)</f>
        <v>0</v>
      </c>
      <c r="AD80" s="34"/>
      <c r="AE80" s="34"/>
      <c r="AF80" s="103"/>
    </row>
    <row r="81" spans="2:32" ht="14.9" customHeight="1" thickBot="1" x14ac:dyDescent="0.35">
      <c r="B81" s="53" t="s">
        <v>115</v>
      </c>
      <c r="C81" s="35">
        <f t="shared" ref="C81:J81" si="53">SUBTOTAL(9,C61:C80)</f>
        <v>16460</v>
      </c>
      <c r="D81" s="35">
        <f t="shared" si="53"/>
        <v>16327</v>
      </c>
      <c r="E81" s="25">
        <f t="shared" si="53"/>
        <v>184</v>
      </c>
      <c r="F81" s="25">
        <f t="shared" si="53"/>
        <v>488</v>
      </c>
      <c r="G81" s="25">
        <f t="shared" si="53"/>
        <v>-267</v>
      </c>
      <c r="H81" s="25">
        <f t="shared" si="53"/>
        <v>0</v>
      </c>
      <c r="I81" s="25">
        <f t="shared" si="53"/>
        <v>-51</v>
      </c>
      <c r="J81" s="25">
        <f t="shared" si="53"/>
        <v>75</v>
      </c>
      <c r="K81" s="25">
        <f>SUM(E81:J81)</f>
        <v>429</v>
      </c>
      <c r="L81" s="35">
        <f t="shared" si="42"/>
        <v>563</v>
      </c>
      <c r="M81" s="35">
        <f t="shared" si="43"/>
        <v>430</v>
      </c>
      <c r="N81" s="35">
        <f>SUBTOTAL(9,N61:N80)</f>
        <v>16890</v>
      </c>
      <c r="O81" s="35">
        <f>SUBTOTAL(9,O61:O80)</f>
        <v>20386</v>
      </c>
      <c r="P81" s="35">
        <f>SUBTOTAL(9,P61:P80)</f>
        <v>-2585</v>
      </c>
      <c r="Q81" s="35">
        <f>SUBTOTAL(9,Q61:Q80)</f>
        <v>17801</v>
      </c>
      <c r="R81" s="35">
        <f>SUBTOTAL(9,R61:R80)</f>
        <v>16890</v>
      </c>
      <c r="S81" s="35">
        <f>Q81-R81</f>
        <v>911</v>
      </c>
      <c r="T81" s="39">
        <f>IFERROR((Q81/N81)*100%,"∞")</f>
        <v>1.0539372409709888</v>
      </c>
      <c r="U81" s="54">
        <f>N81+V81</f>
        <v>17230</v>
      </c>
      <c r="V81" s="35">
        <f>SUBTOTAL(9,V61:V80)</f>
        <v>340</v>
      </c>
      <c r="W81" s="35">
        <f>SUBTOTAL(9,W61:W80)</f>
        <v>340</v>
      </c>
      <c r="X81" s="35"/>
      <c r="Y81" s="35"/>
      <c r="Z81" s="43"/>
      <c r="AA81" s="60"/>
      <c r="AB81" s="104">
        <f>SUBTOTAL(9,AB5:AB80)</f>
        <v>0</v>
      </c>
      <c r="AC81" s="104">
        <f>SUBTOTAL(9,AC5:AC80)</f>
        <v>0</v>
      </c>
      <c r="AD81" s="35">
        <f>SUM(AB81:AC81)</f>
        <v>0</v>
      </c>
      <c r="AE81" s="35">
        <f>Q81+AD81</f>
        <v>17801</v>
      </c>
      <c r="AF81" s="43">
        <f>AE81-N81</f>
        <v>911</v>
      </c>
    </row>
    <row r="82" spans="2:32" ht="14" thickTop="1" thickBot="1" x14ac:dyDescent="0.35">
      <c r="B82" s="61"/>
      <c r="C82" s="62"/>
      <c r="D82" s="62"/>
      <c r="E82" s="65"/>
      <c r="F82" s="65"/>
      <c r="G82" s="65"/>
      <c r="H82" s="65"/>
      <c r="I82" s="65"/>
      <c r="J82" s="65"/>
      <c r="K82" s="65"/>
      <c r="L82" s="62"/>
      <c r="M82" s="62"/>
      <c r="N82" s="62"/>
      <c r="O82" s="62"/>
      <c r="P82" s="62"/>
      <c r="Q82" s="62"/>
      <c r="R82" s="62"/>
      <c r="S82" s="62"/>
      <c r="T82" s="62"/>
      <c r="U82" s="64"/>
      <c r="V82" s="62"/>
      <c r="W82" s="62"/>
      <c r="X82" s="62"/>
      <c r="Y82" s="62"/>
      <c r="Z82" s="63"/>
      <c r="AA82" s="60"/>
      <c r="AB82" s="61"/>
      <c r="AC82" s="62"/>
      <c r="AD82" s="62"/>
      <c r="AE82" s="62"/>
      <c r="AF82" s="63"/>
    </row>
    <row r="83" spans="2:32" ht="13.5" thickBot="1" x14ac:dyDescent="0.35">
      <c r="B83" s="50" t="s">
        <v>116</v>
      </c>
      <c r="C83" s="51">
        <f t="shared" ref="C83:J83" si="54">SUBTOTAL(9,C5:C82)</f>
        <v>34225</v>
      </c>
      <c r="D83" s="51">
        <f t="shared" si="54"/>
        <v>34439</v>
      </c>
      <c r="E83" s="51">
        <f t="shared" si="54"/>
        <v>406</v>
      </c>
      <c r="F83" s="51">
        <f t="shared" si="54"/>
        <v>-2395</v>
      </c>
      <c r="G83" s="51">
        <f t="shared" si="54"/>
        <v>-190</v>
      </c>
      <c r="H83" s="51">
        <f t="shared" si="54"/>
        <v>-28</v>
      </c>
      <c r="I83" s="51">
        <f t="shared" si="54"/>
        <v>-1</v>
      </c>
      <c r="J83" s="51">
        <f t="shared" si="54"/>
        <v>0</v>
      </c>
      <c r="K83" s="51">
        <f>SUM(E83:J83)</f>
        <v>-2208</v>
      </c>
      <c r="L83" s="51">
        <f>N83-D83</f>
        <v>-2413</v>
      </c>
      <c r="M83" s="51">
        <f>N83-C83</f>
        <v>-2199</v>
      </c>
      <c r="N83" s="51">
        <f>SUBTOTAL(9,N5:N82)</f>
        <v>32026</v>
      </c>
      <c r="O83" s="51">
        <f>SUBTOTAL(9,O5:O82)</f>
        <v>82530</v>
      </c>
      <c r="P83" s="51">
        <f>SUBTOTAL(9,P5:P82)</f>
        <v>-47341</v>
      </c>
      <c r="Q83" s="51">
        <f>SUBTOTAL(9,Q5:Q82)</f>
        <v>35188</v>
      </c>
      <c r="R83" s="51">
        <f>SUBTOTAL(9,R5:R82)</f>
        <v>32026</v>
      </c>
      <c r="S83" s="51">
        <f>Q83-R83</f>
        <v>3162</v>
      </c>
      <c r="T83" s="52">
        <f>IFERROR((Q83/N83)*100%,"∞")</f>
        <v>1.0987322800224817</v>
      </c>
      <c r="U83" s="51">
        <f>N83+V83</f>
        <v>33062</v>
      </c>
      <c r="V83" s="51">
        <f>SUBTOTAL(9,V5:V82)</f>
        <v>1036</v>
      </c>
      <c r="W83" s="51">
        <f>SUBTOTAL(9,W5:W82)</f>
        <v>1036</v>
      </c>
      <c r="X83" s="51">
        <f>SUBTOTAL(9,X5:X82)</f>
        <v>0</v>
      </c>
      <c r="Y83" s="51">
        <f>SUBTOTAL(9,Y5:Y82)</f>
        <v>0</v>
      </c>
      <c r="Z83" s="51">
        <f>SUBTOTAL(9,Z5:Z82)</f>
        <v>0</v>
      </c>
      <c r="AA83" s="60"/>
      <c r="AB83" s="51">
        <f>SUBTOTAL(9,AB5:AB82)</f>
        <v>0</v>
      </c>
      <c r="AC83" s="51">
        <f>SUBTOTAL(9,AC5:AC82)</f>
        <v>0</v>
      </c>
      <c r="AD83" s="51">
        <f>SUM(AB83:AC83)</f>
        <v>0</v>
      </c>
      <c r="AE83" s="51">
        <f>Q83+AD83</f>
        <v>35188</v>
      </c>
      <c r="AF83" s="51">
        <f>AE83-N83</f>
        <v>3162</v>
      </c>
    </row>
    <row r="84" spans="2:32" ht="13.5" thickTop="1" x14ac:dyDescent="0.3">
      <c r="B84" s="71"/>
      <c r="C84" s="72"/>
      <c r="D84" s="72"/>
      <c r="E84" s="73"/>
      <c r="F84" s="73"/>
      <c r="G84" s="73"/>
      <c r="H84" s="73"/>
      <c r="I84" s="73"/>
      <c r="J84" s="73"/>
      <c r="K84" s="73"/>
      <c r="L84" s="72"/>
      <c r="M84" s="72"/>
      <c r="N84" s="72"/>
      <c r="O84" s="72"/>
      <c r="P84" s="72"/>
      <c r="Q84" s="72"/>
      <c r="R84" s="72"/>
      <c r="S84" s="72"/>
      <c r="T84" s="72"/>
      <c r="U84" s="74"/>
      <c r="V84" s="72"/>
      <c r="W84" s="72"/>
      <c r="X84" s="72"/>
      <c r="Y84" s="72"/>
      <c r="Z84" s="75"/>
      <c r="AA84" s="60"/>
      <c r="AB84" s="71"/>
      <c r="AC84" s="72"/>
      <c r="AD84" s="72"/>
      <c r="AE84" s="72"/>
      <c r="AF84" s="75"/>
    </row>
    <row r="85" spans="2:32" ht="13" outlineLevel="1" x14ac:dyDescent="0.3">
      <c r="B85" s="31" t="s">
        <v>117</v>
      </c>
      <c r="C85" s="33">
        <v>5662</v>
      </c>
      <c r="D85" s="33">
        <v>5662</v>
      </c>
      <c r="E85" s="23">
        <v>0</v>
      </c>
      <c r="F85" s="23">
        <v>0</v>
      </c>
      <c r="G85" s="23">
        <v>0</v>
      </c>
      <c r="H85" s="23">
        <v>0</v>
      </c>
      <c r="I85" s="23">
        <v>0</v>
      </c>
      <c r="J85" s="23">
        <v>0</v>
      </c>
      <c r="K85" s="23">
        <f t="shared" ref="K85:K102" si="55">SUM(E85:J85)</f>
        <v>0</v>
      </c>
      <c r="L85" s="33">
        <f t="shared" ref="L85:L102" si="56">N85-D85</f>
        <v>0</v>
      </c>
      <c r="M85" s="33">
        <f t="shared" ref="M85:M102" si="57">N85-C85</f>
        <v>0</v>
      </c>
      <c r="N85" s="33">
        <v>5662</v>
      </c>
      <c r="O85" s="33">
        <v>6528</v>
      </c>
      <c r="P85" s="33">
        <v>0</v>
      </c>
      <c r="Q85" s="33">
        <v>6528</v>
      </c>
      <c r="R85" s="33">
        <v>5662</v>
      </c>
      <c r="S85" s="33">
        <f t="shared" ref="S85:S102" si="58">Q85-R85</f>
        <v>866</v>
      </c>
      <c r="T85" s="38">
        <f t="shared" ref="T85:T102" si="59">IFERROR((Q85/N85)*100%,"∞")</f>
        <v>1.1529494878134934</v>
      </c>
      <c r="U85" s="59">
        <f t="shared" ref="U85:U102" si="60">N85+V85</f>
        <v>5662</v>
      </c>
      <c r="V85" s="33">
        <v>0</v>
      </c>
      <c r="W85" s="33">
        <v>0</v>
      </c>
      <c r="X85" s="33"/>
      <c r="Y85" s="33"/>
      <c r="Z85" s="42"/>
      <c r="AA85" s="60"/>
      <c r="AB85" s="105"/>
      <c r="AC85" s="93"/>
      <c r="AD85" s="33">
        <f t="shared" ref="AD85:AD102" si="61">SUM(AB85:AC85)</f>
        <v>0</v>
      </c>
      <c r="AE85" s="33">
        <f t="shared" ref="AE85:AE102" si="62">Q85+AD85</f>
        <v>6528</v>
      </c>
      <c r="AF85" s="101">
        <f t="shared" ref="AF85:AF102" si="63">AE85-N85</f>
        <v>866</v>
      </c>
    </row>
    <row r="86" spans="2:32" ht="13" outlineLevel="1" x14ac:dyDescent="0.3">
      <c r="B86" s="31" t="s">
        <v>118</v>
      </c>
      <c r="C86" s="33">
        <v>-5662</v>
      </c>
      <c r="D86" s="33">
        <v>-5662</v>
      </c>
      <c r="E86" s="23">
        <v>0</v>
      </c>
      <c r="F86" s="23">
        <v>0</v>
      </c>
      <c r="G86" s="23">
        <v>0</v>
      </c>
      <c r="H86" s="23">
        <v>0</v>
      </c>
      <c r="I86" s="23">
        <v>0</v>
      </c>
      <c r="J86" s="23">
        <v>0</v>
      </c>
      <c r="K86" s="23">
        <f t="shared" si="55"/>
        <v>0</v>
      </c>
      <c r="L86" s="33">
        <f t="shared" si="56"/>
        <v>0</v>
      </c>
      <c r="M86" s="33">
        <f t="shared" si="57"/>
        <v>0</v>
      </c>
      <c r="N86" s="33">
        <v>-5662</v>
      </c>
      <c r="O86" s="33">
        <v>0</v>
      </c>
      <c r="P86" s="33">
        <v>-6528</v>
      </c>
      <c r="Q86" s="33">
        <v>-6528</v>
      </c>
      <c r="R86" s="33">
        <v>-5662</v>
      </c>
      <c r="S86" s="33">
        <f t="shared" si="58"/>
        <v>-866</v>
      </c>
      <c r="T86" s="38">
        <f t="shared" si="59"/>
        <v>1.1529494878134934</v>
      </c>
      <c r="U86" s="59">
        <f t="shared" si="60"/>
        <v>-5662</v>
      </c>
      <c r="V86" s="33">
        <v>0</v>
      </c>
      <c r="W86" s="33">
        <v>0</v>
      </c>
      <c r="X86" s="33"/>
      <c r="Y86" s="33"/>
      <c r="Z86" s="42"/>
      <c r="AA86" s="60"/>
      <c r="AB86" s="105"/>
      <c r="AC86" s="93"/>
      <c r="AD86" s="33">
        <f t="shared" si="61"/>
        <v>0</v>
      </c>
      <c r="AE86" s="33">
        <f t="shared" si="62"/>
        <v>-6528</v>
      </c>
      <c r="AF86" s="101">
        <f t="shared" si="63"/>
        <v>-866</v>
      </c>
    </row>
    <row r="87" spans="2:32" ht="13" outlineLevel="1" x14ac:dyDescent="0.3">
      <c r="B87" s="31" t="s">
        <v>119</v>
      </c>
      <c r="C87" s="33">
        <v>0</v>
      </c>
      <c r="D87" s="33">
        <v>0</v>
      </c>
      <c r="E87" s="23">
        <v>0</v>
      </c>
      <c r="F87" s="23">
        <v>0</v>
      </c>
      <c r="G87" s="23">
        <v>0</v>
      </c>
      <c r="H87" s="23">
        <v>0</v>
      </c>
      <c r="I87" s="23">
        <v>0</v>
      </c>
      <c r="J87" s="23">
        <v>0</v>
      </c>
      <c r="K87" s="23">
        <f t="shared" si="55"/>
        <v>0</v>
      </c>
      <c r="L87" s="33">
        <f t="shared" si="56"/>
        <v>0</v>
      </c>
      <c r="M87" s="33">
        <f t="shared" si="57"/>
        <v>0</v>
      </c>
      <c r="N87" s="33">
        <v>0</v>
      </c>
      <c r="O87" s="33">
        <v>580</v>
      </c>
      <c r="P87" s="33">
        <v>0</v>
      </c>
      <c r="Q87" s="33">
        <v>580</v>
      </c>
      <c r="R87" s="33">
        <v>0</v>
      </c>
      <c r="S87" s="33">
        <f t="shared" si="58"/>
        <v>580</v>
      </c>
      <c r="T87" s="38" t="str">
        <f t="shared" si="59"/>
        <v>∞</v>
      </c>
      <c r="U87" s="59">
        <f t="shared" si="60"/>
        <v>0</v>
      </c>
      <c r="V87" s="33">
        <v>0</v>
      </c>
      <c r="W87" s="33">
        <v>0</v>
      </c>
      <c r="X87" s="33"/>
      <c r="Y87" s="33"/>
      <c r="Z87" s="42"/>
      <c r="AA87" s="60"/>
      <c r="AB87" s="105"/>
      <c r="AC87" s="93"/>
      <c r="AD87" s="33">
        <f t="shared" si="61"/>
        <v>0</v>
      </c>
      <c r="AE87" s="33">
        <f t="shared" si="62"/>
        <v>580</v>
      </c>
      <c r="AF87" s="101">
        <f t="shared" si="63"/>
        <v>580</v>
      </c>
    </row>
    <row r="88" spans="2:32" ht="13" outlineLevel="1" x14ac:dyDescent="0.3">
      <c r="B88" s="31" t="s">
        <v>120</v>
      </c>
      <c r="C88" s="33">
        <v>0</v>
      </c>
      <c r="D88" s="33">
        <v>0</v>
      </c>
      <c r="E88" s="23">
        <v>0</v>
      </c>
      <c r="F88" s="23">
        <v>0</v>
      </c>
      <c r="G88" s="23">
        <v>0</v>
      </c>
      <c r="H88" s="23">
        <v>0</v>
      </c>
      <c r="I88" s="23">
        <v>0</v>
      </c>
      <c r="J88" s="23">
        <v>0</v>
      </c>
      <c r="K88" s="23">
        <f t="shared" si="55"/>
        <v>0</v>
      </c>
      <c r="L88" s="33">
        <f t="shared" si="56"/>
        <v>0</v>
      </c>
      <c r="M88" s="33">
        <f t="shared" si="57"/>
        <v>0</v>
      </c>
      <c r="N88" s="33">
        <v>0</v>
      </c>
      <c r="O88" s="33">
        <v>0</v>
      </c>
      <c r="P88" s="33">
        <v>-580</v>
      </c>
      <c r="Q88" s="33">
        <v>-580</v>
      </c>
      <c r="R88" s="33">
        <v>0</v>
      </c>
      <c r="S88" s="33">
        <f t="shared" si="58"/>
        <v>-580</v>
      </c>
      <c r="T88" s="38" t="str">
        <f t="shared" si="59"/>
        <v>∞</v>
      </c>
      <c r="U88" s="59">
        <f t="shared" si="60"/>
        <v>0</v>
      </c>
      <c r="V88" s="33">
        <v>0</v>
      </c>
      <c r="W88" s="33">
        <v>0</v>
      </c>
      <c r="X88" s="33"/>
      <c r="Y88" s="33"/>
      <c r="Z88" s="42"/>
      <c r="AA88" s="60"/>
      <c r="AB88" s="105"/>
      <c r="AC88" s="93"/>
      <c r="AD88" s="33">
        <f t="shared" si="61"/>
        <v>0</v>
      </c>
      <c r="AE88" s="33">
        <f t="shared" si="62"/>
        <v>-580</v>
      </c>
      <c r="AF88" s="101">
        <f t="shared" si="63"/>
        <v>-580</v>
      </c>
    </row>
    <row r="89" spans="2:32" ht="13" outlineLevel="1" x14ac:dyDescent="0.3">
      <c r="B89" s="31" t="s">
        <v>121</v>
      </c>
      <c r="C89" s="33">
        <v>0</v>
      </c>
      <c r="D89" s="33">
        <v>0</v>
      </c>
      <c r="E89" s="23">
        <v>0</v>
      </c>
      <c r="F89" s="23">
        <v>0</v>
      </c>
      <c r="G89" s="23">
        <v>0</v>
      </c>
      <c r="H89" s="23">
        <v>0</v>
      </c>
      <c r="I89" s="23">
        <v>0</v>
      </c>
      <c r="J89" s="23">
        <v>0</v>
      </c>
      <c r="K89" s="23">
        <f t="shared" si="55"/>
        <v>0</v>
      </c>
      <c r="L89" s="33">
        <f t="shared" si="56"/>
        <v>0</v>
      </c>
      <c r="M89" s="33">
        <f t="shared" si="57"/>
        <v>0</v>
      </c>
      <c r="N89" s="33">
        <v>0</v>
      </c>
      <c r="O89" s="33">
        <v>-1267</v>
      </c>
      <c r="P89" s="33">
        <v>0</v>
      </c>
      <c r="Q89" s="33">
        <v>-1267</v>
      </c>
      <c r="R89" s="33">
        <v>0</v>
      </c>
      <c r="S89" s="33">
        <f t="shared" si="58"/>
        <v>-1267</v>
      </c>
      <c r="T89" s="38" t="str">
        <f t="shared" si="59"/>
        <v>∞</v>
      </c>
      <c r="U89" s="59">
        <f t="shared" si="60"/>
        <v>0</v>
      </c>
      <c r="V89" s="33">
        <v>0</v>
      </c>
      <c r="W89" s="33">
        <v>0</v>
      </c>
      <c r="X89" s="33"/>
      <c r="Y89" s="33"/>
      <c r="Z89" s="42"/>
      <c r="AA89" s="60"/>
      <c r="AB89" s="105"/>
      <c r="AC89" s="93"/>
      <c r="AD89" s="33">
        <f t="shared" si="61"/>
        <v>0</v>
      </c>
      <c r="AE89" s="33">
        <f t="shared" si="62"/>
        <v>-1267</v>
      </c>
      <c r="AF89" s="101">
        <f t="shared" si="63"/>
        <v>-1267</v>
      </c>
    </row>
    <row r="90" spans="2:32" ht="13" outlineLevel="1" x14ac:dyDescent="0.3">
      <c r="B90" s="31" t="s">
        <v>122</v>
      </c>
      <c r="C90" s="33">
        <v>0</v>
      </c>
      <c r="D90" s="33">
        <v>0</v>
      </c>
      <c r="E90" s="23">
        <v>0</v>
      </c>
      <c r="F90" s="23">
        <v>0</v>
      </c>
      <c r="G90" s="23">
        <v>0</v>
      </c>
      <c r="H90" s="23">
        <v>0</v>
      </c>
      <c r="I90" s="23">
        <v>0</v>
      </c>
      <c r="J90" s="23">
        <v>0</v>
      </c>
      <c r="K90" s="23">
        <f t="shared" si="55"/>
        <v>0</v>
      </c>
      <c r="L90" s="33">
        <f t="shared" si="56"/>
        <v>0</v>
      </c>
      <c r="M90" s="33">
        <f t="shared" si="57"/>
        <v>0</v>
      </c>
      <c r="N90" s="33">
        <v>0</v>
      </c>
      <c r="O90" s="33">
        <v>1267</v>
      </c>
      <c r="P90" s="33">
        <v>0</v>
      </c>
      <c r="Q90" s="33">
        <v>1267</v>
      </c>
      <c r="R90" s="33">
        <v>0</v>
      </c>
      <c r="S90" s="33">
        <f t="shared" si="58"/>
        <v>1267</v>
      </c>
      <c r="T90" s="38" t="str">
        <f t="shared" si="59"/>
        <v>∞</v>
      </c>
      <c r="U90" s="59">
        <f t="shared" si="60"/>
        <v>0</v>
      </c>
      <c r="V90" s="33">
        <v>0</v>
      </c>
      <c r="W90" s="33">
        <v>0</v>
      </c>
      <c r="X90" s="33"/>
      <c r="Y90" s="33"/>
      <c r="Z90" s="42"/>
      <c r="AA90" s="60"/>
      <c r="AB90" s="105"/>
      <c r="AC90" s="93"/>
      <c r="AD90" s="33">
        <f t="shared" si="61"/>
        <v>0</v>
      </c>
      <c r="AE90" s="33">
        <f t="shared" si="62"/>
        <v>1267</v>
      </c>
      <c r="AF90" s="101">
        <f t="shared" si="63"/>
        <v>1267</v>
      </c>
    </row>
    <row r="91" spans="2:32" ht="13" outlineLevel="1" x14ac:dyDescent="0.3">
      <c r="B91" s="31" t="s">
        <v>123</v>
      </c>
      <c r="C91" s="33">
        <v>0</v>
      </c>
      <c r="D91" s="33">
        <v>0</v>
      </c>
      <c r="E91" s="23">
        <v>0</v>
      </c>
      <c r="F91" s="23">
        <v>0</v>
      </c>
      <c r="G91" s="23">
        <v>0</v>
      </c>
      <c r="H91" s="23">
        <v>0</v>
      </c>
      <c r="I91" s="23">
        <v>0</v>
      </c>
      <c r="J91" s="23">
        <v>0</v>
      </c>
      <c r="K91" s="23">
        <f t="shared" si="55"/>
        <v>0</v>
      </c>
      <c r="L91" s="33">
        <f t="shared" si="56"/>
        <v>0</v>
      </c>
      <c r="M91" s="33">
        <f t="shared" si="57"/>
        <v>0</v>
      </c>
      <c r="N91" s="33">
        <v>0</v>
      </c>
      <c r="O91" s="33">
        <v>123</v>
      </c>
      <c r="P91" s="33">
        <v>-175</v>
      </c>
      <c r="Q91" s="33">
        <v>-53</v>
      </c>
      <c r="R91" s="33">
        <v>0</v>
      </c>
      <c r="S91" s="33">
        <f t="shared" si="58"/>
        <v>-53</v>
      </c>
      <c r="T91" s="38" t="str">
        <f t="shared" si="59"/>
        <v>∞</v>
      </c>
      <c r="U91" s="59">
        <f t="shared" si="60"/>
        <v>0</v>
      </c>
      <c r="V91" s="33">
        <v>0</v>
      </c>
      <c r="W91" s="33">
        <v>0</v>
      </c>
      <c r="X91" s="33"/>
      <c r="Y91" s="33"/>
      <c r="Z91" s="42"/>
      <c r="AA91" s="60"/>
      <c r="AB91" s="105"/>
      <c r="AC91" s="93"/>
      <c r="AD91" s="33">
        <f t="shared" si="61"/>
        <v>0</v>
      </c>
      <c r="AE91" s="33">
        <f t="shared" si="62"/>
        <v>-53</v>
      </c>
      <c r="AF91" s="101">
        <f t="shared" si="63"/>
        <v>-53</v>
      </c>
    </row>
    <row r="92" spans="2:32" ht="13" outlineLevel="1" x14ac:dyDescent="0.3">
      <c r="B92" s="31" t="s">
        <v>124</v>
      </c>
      <c r="C92" s="33">
        <v>0</v>
      </c>
      <c r="D92" s="33">
        <v>0</v>
      </c>
      <c r="E92" s="23">
        <v>0</v>
      </c>
      <c r="F92" s="23">
        <v>0</v>
      </c>
      <c r="G92" s="23">
        <v>0</v>
      </c>
      <c r="H92" s="23">
        <v>0</v>
      </c>
      <c r="I92" s="23">
        <v>0</v>
      </c>
      <c r="J92" s="23">
        <v>0</v>
      </c>
      <c r="K92" s="23">
        <f t="shared" si="55"/>
        <v>0</v>
      </c>
      <c r="L92" s="33">
        <f t="shared" si="56"/>
        <v>0</v>
      </c>
      <c r="M92" s="33">
        <f t="shared" si="57"/>
        <v>0</v>
      </c>
      <c r="N92" s="33">
        <v>0</v>
      </c>
      <c r="O92" s="33">
        <v>53</v>
      </c>
      <c r="P92" s="33">
        <v>0</v>
      </c>
      <c r="Q92" s="33">
        <v>53</v>
      </c>
      <c r="R92" s="33">
        <v>0</v>
      </c>
      <c r="S92" s="33">
        <f t="shared" si="58"/>
        <v>53</v>
      </c>
      <c r="T92" s="38" t="str">
        <f t="shared" si="59"/>
        <v>∞</v>
      </c>
      <c r="U92" s="59">
        <f t="shared" si="60"/>
        <v>0</v>
      </c>
      <c r="V92" s="33">
        <v>0</v>
      </c>
      <c r="W92" s="33">
        <v>0</v>
      </c>
      <c r="X92" s="33"/>
      <c r="Y92" s="33"/>
      <c r="Z92" s="42"/>
      <c r="AA92" s="60"/>
      <c r="AB92" s="105"/>
      <c r="AC92" s="93"/>
      <c r="AD92" s="33">
        <f t="shared" si="61"/>
        <v>0</v>
      </c>
      <c r="AE92" s="33">
        <f t="shared" si="62"/>
        <v>53</v>
      </c>
      <c r="AF92" s="101">
        <f t="shared" si="63"/>
        <v>53</v>
      </c>
    </row>
    <row r="93" spans="2:32" ht="13" outlineLevel="1" x14ac:dyDescent="0.3">
      <c r="B93" s="31" t="s">
        <v>125</v>
      </c>
      <c r="C93" s="33">
        <v>0</v>
      </c>
      <c r="D93" s="33">
        <v>0</v>
      </c>
      <c r="E93" s="23">
        <v>0</v>
      </c>
      <c r="F93" s="23">
        <v>0</v>
      </c>
      <c r="G93" s="23">
        <v>0</v>
      </c>
      <c r="H93" s="23">
        <v>0</v>
      </c>
      <c r="I93" s="23">
        <v>0</v>
      </c>
      <c r="J93" s="23">
        <v>0</v>
      </c>
      <c r="K93" s="23">
        <f t="shared" si="55"/>
        <v>0</v>
      </c>
      <c r="L93" s="33">
        <f t="shared" si="56"/>
        <v>0</v>
      </c>
      <c r="M93" s="33">
        <f t="shared" si="57"/>
        <v>0</v>
      </c>
      <c r="N93" s="33">
        <v>0</v>
      </c>
      <c r="O93" s="33">
        <v>77</v>
      </c>
      <c r="P93" s="33">
        <v>0</v>
      </c>
      <c r="Q93" s="33">
        <v>77</v>
      </c>
      <c r="R93" s="33">
        <v>0</v>
      </c>
      <c r="S93" s="33">
        <f t="shared" si="58"/>
        <v>77</v>
      </c>
      <c r="T93" s="38" t="str">
        <f t="shared" si="59"/>
        <v>∞</v>
      </c>
      <c r="U93" s="59">
        <f t="shared" si="60"/>
        <v>0</v>
      </c>
      <c r="V93" s="33">
        <v>0</v>
      </c>
      <c r="W93" s="33">
        <v>0</v>
      </c>
      <c r="X93" s="33"/>
      <c r="Y93" s="33"/>
      <c r="Z93" s="42"/>
      <c r="AA93" s="60"/>
      <c r="AB93" s="105"/>
      <c r="AC93" s="93"/>
      <c r="AD93" s="33">
        <f t="shared" si="61"/>
        <v>0</v>
      </c>
      <c r="AE93" s="33">
        <f t="shared" si="62"/>
        <v>77</v>
      </c>
      <c r="AF93" s="101">
        <f t="shared" si="63"/>
        <v>77</v>
      </c>
    </row>
    <row r="94" spans="2:32" ht="13" outlineLevel="1" x14ac:dyDescent="0.3">
      <c r="B94" s="31" t="s">
        <v>126</v>
      </c>
      <c r="C94" s="33">
        <v>0</v>
      </c>
      <c r="D94" s="33">
        <v>0</v>
      </c>
      <c r="E94" s="23">
        <v>0</v>
      </c>
      <c r="F94" s="23">
        <v>0</v>
      </c>
      <c r="G94" s="23">
        <v>0</v>
      </c>
      <c r="H94" s="23">
        <v>0</v>
      </c>
      <c r="I94" s="23">
        <v>0</v>
      </c>
      <c r="J94" s="23">
        <v>0</v>
      </c>
      <c r="K94" s="23">
        <f t="shared" si="55"/>
        <v>0</v>
      </c>
      <c r="L94" s="33">
        <f t="shared" si="56"/>
        <v>0</v>
      </c>
      <c r="M94" s="33">
        <f t="shared" si="57"/>
        <v>0</v>
      </c>
      <c r="N94" s="33">
        <v>0</v>
      </c>
      <c r="O94" s="33">
        <v>-77</v>
      </c>
      <c r="P94" s="33">
        <v>0</v>
      </c>
      <c r="Q94" s="33">
        <v>-77</v>
      </c>
      <c r="R94" s="33">
        <v>0</v>
      </c>
      <c r="S94" s="33">
        <f t="shared" si="58"/>
        <v>-77</v>
      </c>
      <c r="T94" s="38" t="str">
        <f t="shared" si="59"/>
        <v>∞</v>
      </c>
      <c r="U94" s="59">
        <f t="shared" si="60"/>
        <v>0</v>
      </c>
      <c r="V94" s="33">
        <v>0</v>
      </c>
      <c r="W94" s="33">
        <v>0</v>
      </c>
      <c r="X94" s="33"/>
      <c r="Y94" s="33"/>
      <c r="Z94" s="42"/>
      <c r="AA94" s="60"/>
      <c r="AB94" s="105"/>
      <c r="AC94" s="93"/>
      <c r="AD94" s="33">
        <f t="shared" si="61"/>
        <v>0</v>
      </c>
      <c r="AE94" s="33">
        <f t="shared" si="62"/>
        <v>-77</v>
      </c>
      <c r="AF94" s="101">
        <f t="shared" si="63"/>
        <v>-77</v>
      </c>
    </row>
    <row r="95" spans="2:32" ht="13" outlineLevel="1" x14ac:dyDescent="0.3">
      <c r="B95" s="31" t="s">
        <v>127</v>
      </c>
      <c r="C95" s="33">
        <v>0</v>
      </c>
      <c r="D95" s="33">
        <v>0</v>
      </c>
      <c r="E95" s="23">
        <v>0</v>
      </c>
      <c r="F95" s="23">
        <v>0</v>
      </c>
      <c r="G95" s="23">
        <v>0</v>
      </c>
      <c r="H95" s="23">
        <v>0</v>
      </c>
      <c r="I95" s="23">
        <v>0</v>
      </c>
      <c r="J95" s="23">
        <v>0</v>
      </c>
      <c r="K95" s="23">
        <f t="shared" si="55"/>
        <v>0</v>
      </c>
      <c r="L95" s="33">
        <f t="shared" si="56"/>
        <v>0</v>
      </c>
      <c r="M95" s="33">
        <f t="shared" si="57"/>
        <v>0</v>
      </c>
      <c r="N95" s="33">
        <v>0</v>
      </c>
      <c r="O95" s="33">
        <v>12473</v>
      </c>
      <c r="P95" s="33">
        <v>0</v>
      </c>
      <c r="Q95" s="33">
        <v>12473</v>
      </c>
      <c r="R95" s="33">
        <v>0</v>
      </c>
      <c r="S95" s="33">
        <f t="shared" si="58"/>
        <v>12473</v>
      </c>
      <c r="T95" s="38" t="str">
        <f t="shared" si="59"/>
        <v>∞</v>
      </c>
      <c r="U95" s="59">
        <f t="shared" si="60"/>
        <v>0</v>
      </c>
      <c r="V95" s="33">
        <v>0</v>
      </c>
      <c r="W95" s="33">
        <v>0</v>
      </c>
      <c r="X95" s="33"/>
      <c r="Y95" s="33"/>
      <c r="Z95" s="42"/>
      <c r="AA95" s="60"/>
      <c r="AB95" s="105"/>
      <c r="AC95" s="93"/>
      <c r="AD95" s="33">
        <f t="shared" si="61"/>
        <v>0</v>
      </c>
      <c r="AE95" s="33">
        <f t="shared" si="62"/>
        <v>12473</v>
      </c>
      <c r="AF95" s="101">
        <f t="shared" si="63"/>
        <v>12473</v>
      </c>
    </row>
    <row r="96" spans="2:32" ht="13" outlineLevel="1" x14ac:dyDescent="0.3">
      <c r="B96" s="31" t="s">
        <v>128</v>
      </c>
      <c r="C96" s="33">
        <v>0</v>
      </c>
      <c r="D96" s="33">
        <v>0</v>
      </c>
      <c r="E96" s="23">
        <v>0</v>
      </c>
      <c r="F96" s="23">
        <v>0</v>
      </c>
      <c r="G96" s="23">
        <v>0</v>
      </c>
      <c r="H96" s="23">
        <v>0</v>
      </c>
      <c r="I96" s="23">
        <v>0</v>
      </c>
      <c r="J96" s="23">
        <v>0</v>
      </c>
      <c r="K96" s="23">
        <f t="shared" si="55"/>
        <v>0</v>
      </c>
      <c r="L96" s="33">
        <f t="shared" si="56"/>
        <v>0</v>
      </c>
      <c r="M96" s="33">
        <f t="shared" si="57"/>
        <v>0</v>
      </c>
      <c r="N96" s="33">
        <v>0</v>
      </c>
      <c r="O96" s="33">
        <v>-12051</v>
      </c>
      <c r="P96" s="33">
        <v>0</v>
      </c>
      <c r="Q96" s="33">
        <v>-12051</v>
      </c>
      <c r="R96" s="33">
        <v>0</v>
      </c>
      <c r="S96" s="33">
        <f t="shared" si="58"/>
        <v>-12051</v>
      </c>
      <c r="T96" s="38" t="str">
        <f t="shared" si="59"/>
        <v>∞</v>
      </c>
      <c r="U96" s="59">
        <f t="shared" si="60"/>
        <v>0</v>
      </c>
      <c r="V96" s="33">
        <v>0</v>
      </c>
      <c r="W96" s="33">
        <v>0</v>
      </c>
      <c r="X96" s="33"/>
      <c r="Y96" s="33"/>
      <c r="Z96" s="42"/>
      <c r="AA96" s="60"/>
      <c r="AB96" s="105"/>
      <c r="AC96" s="93"/>
      <c r="AD96" s="33">
        <f t="shared" si="61"/>
        <v>0</v>
      </c>
      <c r="AE96" s="33">
        <f t="shared" si="62"/>
        <v>-12051</v>
      </c>
      <c r="AF96" s="101">
        <f t="shared" si="63"/>
        <v>-12051</v>
      </c>
    </row>
    <row r="97" spans="2:32" ht="13" outlineLevel="1" x14ac:dyDescent="0.3">
      <c r="B97" s="31" t="s">
        <v>129</v>
      </c>
      <c r="C97" s="33">
        <v>0</v>
      </c>
      <c r="D97" s="33">
        <v>0</v>
      </c>
      <c r="E97" s="23">
        <v>0</v>
      </c>
      <c r="F97" s="23">
        <v>0</v>
      </c>
      <c r="G97" s="23">
        <v>0</v>
      </c>
      <c r="H97" s="23">
        <v>0</v>
      </c>
      <c r="I97" s="23">
        <v>0</v>
      </c>
      <c r="J97" s="23">
        <v>0</v>
      </c>
      <c r="K97" s="23">
        <f t="shared" si="55"/>
        <v>0</v>
      </c>
      <c r="L97" s="33">
        <f t="shared" si="56"/>
        <v>0</v>
      </c>
      <c r="M97" s="33">
        <f t="shared" si="57"/>
        <v>0</v>
      </c>
      <c r="N97" s="33">
        <v>0</v>
      </c>
      <c r="O97" s="33">
        <v>-422</v>
      </c>
      <c r="P97" s="33">
        <v>0</v>
      </c>
      <c r="Q97" s="33">
        <v>-422</v>
      </c>
      <c r="R97" s="33">
        <v>0</v>
      </c>
      <c r="S97" s="33">
        <f t="shared" si="58"/>
        <v>-422</v>
      </c>
      <c r="T97" s="38" t="str">
        <f t="shared" si="59"/>
        <v>∞</v>
      </c>
      <c r="U97" s="59">
        <f t="shared" si="60"/>
        <v>0</v>
      </c>
      <c r="V97" s="33">
        <v>0</v>
      </c>
      <c r="W97" s="33">
        <v>0</v>
      </c>
      <c r="X97" s="33"/>
      <c r="Y97" s="33"/>
      <c r="Z97" s="42"/>
      <c r="AA97" s="60"/>
      <c r="AB97" s="105"/>
      <c r="AC97" s="93"/>
      <c r="AD97" s="33">
        <f t="shared" si="61"/>
        <v>0</v>
      </c>
      <c r="AE97" s="33">
        <f t="shared" si="62"/>
        <v>-422</v>
      </c>
      <c r="AF97" s="101">
        <f t="shared" si="63"/>
        <v>-422</v>
      </c>
    </row>
    <row r="98" spans="2:32" ht="13" outlineLevel="1" x14ac:dyDescent="0.3">
      <c r="B98" s="31" t="s">
        <v>130</v>
      </c>
      <c r="C98" s="33">
        <v>0</v>
      </c>
      <c r="D98" s="33">
        <v>0</v>
      </c>
      <c r="E98" s="23">
        <v>0</v>
      </c>
      <c r="F98" s="23">
        <v>0</v>
      </c>
      <c r="G98" s="23">
        <v>0</v>
      </c>
      <c r="H98" s="23">
        <v>0</v>
      </c>
      <c r="I98" s="23">
        <v>0</v>
      </c>
      <c r="J98" s="23">
        <v>0</v>
      </c>
      <c r="K98" s="23">
        <f t="shared" si="55"/>
        <v>0</v>
      </c>
      <c r="L98" s="33">
        <f t="shared" si="56"/>
        <v>0</v>
      </c>
      <c r="M98" s="33">
        <f t="shared" si="57"/>
        <v>0</v>
      </c>
      <c r="N98" s="33">
        <v>0</v>
      </c>
      <c r="O98" s="33">
        <v>5355</v>
      </c>
      <c r="P98" s="33">
        <v>0</v>
      </c>
      <c r="Q98" s="33">
        <v>5355</v>
      </c>
      <c r="R98" s="33">
        <v>0</v>
      </c>
      <c r="S98" s="33">
        <f t="shared" si="58"/>
        <v>5355</v>
      </c>
      <c r="T98" s="38" t="str">
        <f t="shared" si="59"/>
        <v>∞</v>
      </c>
      <c r="U98" s="59">
        <f t="shared" si="60"/>
        <v>0</v>
      </c>
      <c r="V98" s="33">
        <v>0</v>
      </c>
      <c r="W98" s="33">
        <v>0</v>
      </c>
      <c r="X98" s="33"/>
      <c r="Y98" s="33"/>
      <c r="Z98" s="42"/>
      <c r="AA98" s="60"/>
      <c r="AB98" s="105"/>
      <c r="AC98" s="93"/>
      <c r="AD98" s="33">
        <f t="shared" si="61"/>
        <v>0</v>
      </c>
      <c r="AE98" s="33">
        <f t="shared" si="62"/>
        <v>5355</v>
      </c>
      <c r="AF98" s="101">
        <f t="shared" si="63"/>
        <v>5355</v>
      </c>
    </row>
    <row r="99" spans="2:32" ht="13" outlineLevel="1" x14ac:dyDescent="0.3">
      <c r="B99" s="31" t="s">
        <v>131</v>
      </c>
      <c r="C99" s="33">
        <v>0</v>
      </c>
      <c r="D99" s="33">
        <v>0</v>
      </c>
      <c r="E99" s="23">
        <v>0</v>
      </c>
      <c r="F99" s="23">
        <v>0</v>
      </c>
      <c r="G99" s="23">
        <v>0</v>
      </c>
      <c r="H99" s="23">
        <v>0</v>
      </c>
      <c r="I99" s="23">
        <v>0</v>
      </c>
      <c r="J99" s="23">
        <v>0</v>
      </c>
      <c r="K99" s="23">
        <f t="shared" si="55"/>
        <v>0</v>
      </c>
      <c r="L99" s="33">
        <f t="shared" si="56"/>
        <v>0</v>
      </c>
      <c r="M99" s="33">
        <f t="shared" si="57"/>
        <v>0</v>
      </c>
      <c r="N99" s="33">
        <v>0</v>
      </c>
      <c r="O99" s="33">
        <v>0</v>
      </c>
      <c r="P99" s="33">
        <v>-5355</v>
      </c>
      <c r="Q99" s="33">
        <v>-5355</v>
      </c>
      <c r="R99" s="33">
        <v>0</v>
      </c>
      <c r="S99" s="33">
        <f t="shared" si="58"/>
        <v>-5355</v>
      </c>
      <c r="T99" s="38" t="str">
        <f t="shared" si="59"/>
        <v>∞</v>
      </c>
      <c r="U99" s="59">
        <f t="shared" si="60"/>
        <v>0</v>
      </c>
      <c r="V99" s="33">
        <v>0</v>
      </c>
      <c r="W99" s="33">
        <v>0</v>
      </c>
      <c r="X99" s="33"/>
      <c r="Y99" s="33"/>
      <c r="Z99" s="42"/>
      <c r="AA99" s="60"/>
      <c r="AB99" s="105"/>
      <c r="AC99" s="93"/>
      <c r="AD99" s="33">
        <f t="shared" si="61"/>
        <v>0</v>
      </c>
      <c r="AE99" s="33">
        <f t="shared" si="62"/>
        <v>-5355</v>
      </c>
      <c r="AF99" s="101">
        <f t="shared" si="63"/>
        <v>-5355</v>
      </c>
    </row>
    <row r="100" spans="2:32" ht="13" outlineLevel="1" x14ac:dyDescent="0.3">
      <c r="B100" s="31" t="s">
        <v>132</v>
      </c>
      <c r="C100" s="33">
        <v>14098</v>
      </c>
      <c r="D100" s="33">
        <v>14098</v>
      </c>
      <c r="E100" s="23">
        <v>0</v>
      </c>
      <c r="F100" s="23">
        <v>0</v>
      </c>
      <c r="G100" s="23">
        <v>0</v>
      </c>
      <c r="H100" s="23">
        <v>0</v>
      </c>
      <c r="I100" s="23">
        <v>0</v>
      </c>
      <c r="J100" s="23">
        <v>0</v>
      </c>
      <c r="K100" s="23">
        <f t="shared" si="55"/>
        <v>0</v>
      </c>
      <c r="L100" s="33">
        <f t="shared" si="56"/>
        <v>0</v>
      </c>
      <c r="M100" s="33">
        <f t="shared" si="57"/>
        <v>0</v>
      </c>
      <c r="N100" s="33">
        <v>14098</v>
      </c>
      <c r="O100" s="33">
        <v>23395</v>
      </c>
      <c r="P100" s="33">
        <v>0</v>
      </c>
      <c r="Q100" s="33">
        <v>23395</v>
      </c>
      <c r="R100" s="33">
        <v>14098</v>
      </c>
      <c r="S100" s="33">
        <f t="shared" si="58"/>
        <v>9297</v>
      </c>
      <c r="T100" s="38">
        <f t="shared" si="59"/>
        <v>1.6594552418782806</v>
      </c>
      <c r="U100" s="59">
        <f t="shared" si="60"/>
        <v>14098</v>
      </c>
      <c r="V100" s="33">
        <v>0</v>
      </c>
      <c r="W100" s="33">
        <v>0</v>
      </c>
      <c r="X100" s="33"/>
      <c r="Y100" s="33"/>
      <c r="Z100" s="42"/>
      <c r="AA100" s="60"/>
      <c r="AB100" s="105"/>
      <c r="AC100" s="93"/>
      <c r="AD100" s="33">
        <f t="shared" si="61"/>
        <v>0</v>
      </c>
      <c r="AE100" s="33">
        <f t="shared" si="62"/>
        <v>23395</v>
      </c>
      <c r="AF100" s="101">
        <f t="shared" si="63"/>
        <v>9297</v>
      </c>
    </row>
    <row r="101" spans="2:32" ht="13" outlineLevel="1" x14ac:dyDescent="0.3">
      <c r="B101" s="31" t="s">
        <v>133</v>
      </c>
      <c r="C101" s="33">
        <v>-20581</v>
      </c>
      <c r="D101" s="33">
        <v>-20581</v>
      </c>
      <c r="E101" s="23">
        <v>0</v>
      </c>
      <c r="F101" s="23">
        <v>0</v>
      </c>
      <c r="G101" s="23">
        <v>0</v>
      </c>
      <c r="H101" s="23">
        <v>0</v>
      </c>
      <c r="I101" s="23">
        <v>0</v>
      </c>
      <c r="J101" s="23">
        <v>0</v>
      </c>
      <c r="K101" s="23">
        <f t="shared" si="55"/>
        <v>0</v>
      </c>
      <c r="L101" s="33">
        <f t="shared" si="56"/>
        <v>0</v>
      </c>
      <c r="M101" s="33">
        <f t="shared" si="57"/>
        <v>0</v>
      </c>
      <c r="N101" s="33">
        <v>-20581</v>
      </c>
      <c r="O101" s="33">
        <v>-32368</v>
      </c>
      <c r="P101" s="33">
        <v>0</v>
      </c>
      <c r="Q101" s="33">
        <v>-32368</v>
      </c>
      <c r="R101" s="33">
        <v>-20581</v>
      </c>
      <c r="S101" s="33">
        <f t="shared" si="58"/>
        <v>-11787</v>
      </c>
      <c r="T101" s="38">
        <f t="shared" si="59"/>
        <v>1.5727126961760847</v>
      </c>
      <c r="U101" s="59">
        <f t="shared" si="60"/>
        <v>-20581</v>
      </c>
      <c r="V101" s="33">
        <v>0</v>
      </c>
      <c r="W101" s="33">
        <v>0</v>
      </c>
      <c r="X101" s="33"/>
      <c r="Y101" s="33"/>
      <c r="Z101" s="42"/>
      <c r="AA101" s="60"/>
      <c r="AB101" s="105"/>
      <c r="AC101" s="93"/>
      <c r="AD101" s="33">
        <f t="shared" si="61"/>
        <v>0</v>
      </c>
      <c r="AE101" s="33">
        <f t="shared" si="62"/>
        <v>-32368</v>
      </c>
      <c r="AF101" s="101">
        <f t="shared" si="63"/>
        <v>-11787</v>
      </c>
    </row>
    <row r="102" spans="2:32" ht="13" outlineLevel="1" x14ac:dyDescent="0.3">
      <c r="B102" s="31" t="s">
        <v>134</v>
      </c>
      <c r="C102" s="33">
        <v>-3149</v>
      </c>
      <c r="D102" s="33">
        <v>-3149</v>
      </c>
      <c r="E102" s="23">
        <v>0</v>
      </c>
      <c r="F102" s="23">
        <v>0</v>
      </c>
      <c r="G102" s="23">
        <v>0</v>
      </c>
      <c r="H102" s="23">
        <v>0</v>
      </c>
      <c r="I102" s="23">
        <v>0</v>
      </c>
      <c r="J102" s="23">
        <v>0</v>
      </c>
      <c r="K102" s="23">
        <f t="shared" si="55"/>
        <v>0</v>
      </c>
      <c r="L102" s="33">
        <f t="shared" si="56"/>
        <v>0</v>
      </c>
      <c r="M102" s="33">
        <f t="shared" si="57"/>
        <v>0</v>
      </c>
      <c r="N102" s="33">
        <v>-3149</v>
      </c>
      <c r="O102" s="33">
        <v>0</v>
      </c>
      <c r="P102" s="33">
        <v>-3149</v>
      </c>
      <c r="Q102" s="33">
        <v>-3149</v>
      </c>
      <c r="R102" s="33">
        <v>-3149</v>
      </c>
      <c r="S102" s="33">
        <f t="shared" si="58"/>
        <v>0</v>
      </c>
      <c r="T102" s="38">
        <f t="shared" si="59"/>
        <v>1</v>
      </c>
      <c r="U102" s="59">
        <f t="shared" si="60"/>
        <v>-3149</v>
      </c>
      <c r="V102" s="33">
        <v>0</v>
      </c>
      <c r="W102" s="33">
        <v>0</v>
      </c>
      <c r="X102" s="33"/>
      <c r="Y102" s="33"/>
      <c r="Z102" s="42"/>
      <c r="AA102" s="60"/>
      <c r="AB102" s="105"/>
      <c r="AC102" s="93"/>
      <c r="AD102" s="33">
        <f t="shared" si="61"/>
        <v>0</v>
      </c>
      <c r="AE102" s="33">
        <f t="shared" si="62"/>
        <v>-3149</v>
      </c>
      <c r="AF102" s="101">
        <f t="shared" si="63"/>
        <v>0</v>
      </c>
    </row>
    <row r="103" spans="2:32"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6"/>
      <c r="AF103" s="99"/>
    </row>
    <row r="104" spans="2:32" ht="13.5" thickBot="1" x14ac:dyDescent="0.35">
      <c r="B104" s="68" t="s">
        <v>135</v>
      </c>
      <c r="C104" s="69">
        <f t="shared" ref="C104:J104" si="64">SUM(C85:C85,C86:C86,C87:C87,C88:C88,C89:C89,C90:C90,C91:C91,C92:C92,C93:C93,C94:C94,C95:C95,C96:C96,C97:C97,C98:C98,C99:C99,C100:C100,C101:C101,C102:C102)</f>
        <v>-9632</v>
      </c>
      <c r="D104" s="69">
        <f t="shared" si="64"/>
        <v>-9632</v>
      </c>
      <c r="E104" s="77">
        <f t="shared" si="64"/>
        <v>0</v>
      </c>
      <c r="F104" s="77">
        <f t="shared" si="64"/>
        <v>0</v>
      </c>
      <c r="G104" s="77">
        <f t="shared" si="64"/>
        <v>0</v>
      </c>
      <c r="H104" s="77">
        <f t="shared" si="64"/>
        <v>0</v>
      </c>
      <c r="I104" s="77">
        <f t="shared" si="64"/>
        <v>0</v>
      </c>
      <c r="J104" s="77">
        <f t="shared" si="64"/>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3666</v>
      </c>
      <c r="P104" s="69">
        <f>SUM(P85:P85,P86:P86,P87:P87,P88:P88,P89:P89,P90:P90,P91:P91,P92:P92,P93:P93,P94:P94,P95:P95,P96:P96,P97:P97,P98:P98,P99:P99,P100:P100,P101:P101,P102:P102)</f>
        <v>-15787</v>
      </c>
      <c r="Q104" s="69">
        <f>SUM(Q85:Q85,Q86:Q86,Q87:Q87,Q88:Q88,Q89:Q89,Q90:Q90,Q91:Q91,Q92:Q92,Q93:Q93,Q94:Q94,Q95:Q95,Q96:Q96,Q97:Q97,Q98:Q98,Q99:Q99,Q100:Q100,Q101:Q101,Q102:Q102)</f>
        <v>-12122</v>
      </c>
      <c r="R104" s="69">
        <f>SUM(R85:R85,R86:R86,R87:R87,R88:R88,R89:R89,R90:R90,R91:R91,R92:R92,R93:R93,R94:R94,R95:R95,R96:R96,R97:R97,R98:R98,R99:R99,R100:R100,R101:R101,R102:R102)</f>
        <v>-9632</v>
      </c>
      <c r="S104" s="69">
        <f>Q104-R104</f>
        <v>-2490</v>
      </c>
      <c r="T104" s="70">
        <f>IFERROR((Q104/N104)*100%,"∞")</f>
        <v>1.2585132890365449</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-12122</v>
      </c>
      <c r="AF104" s="69">
        <f>SUM(AF85:AF85,AF86:AF86,AF87:AF87,AF88:AF88,AF89:AF89,AF90:AF90,AF91:AF91,AF92:AF92,AF93:AF93,AF94:AF94,AF95:AF95,AF96:AF96,AF97:AF97,AF98:AF98,AF99:AF99,AF100:AF100,AF101:AF101,AF102:AF102)</f>
        <v>-2490</v>
      </c>
    </row>
    <row r="105" spans="2:32"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5"/>
    </row>
    <row r="106" spans="2:32" ht="13" x14ac:dyDescent="0.3">
      <c r="B106" s="78" t="s">
        <v>136</v>
      </c>
      <c r="C106" s="34">
        <f t="shared" ref="C106:J106" si="65">SUM(C107:C116,C117:C117)</f>
        <v>-1226</v>
      </c>
      <c r="D106" s="34">
        <f t="shared" si="65"/>
        <v>-1226</v>
      </c>
      <c r="E106" s="24">
        <f t="shared" si="65"/>
        <v>0</v>
      </c>
      <c r="F106" s="24">
        <f t="shared" si="65"/>
        <v>33</v>
      </c>
      <c r="G106" s="24">
        <f t="shared" si="65"/>
        <v>0</v>
      </c>
      <c r="H106" s="24">
        <f t="shared" si="65"/>
        <v>50</v>
      </c>
      <c r="I106" s="24">
        <f t="shared" si="65"/>
        <v>0</v>
      </c>
      <c r="J106" s="24">
        <f t="shared" si="65"/>
        <v>0</v>
      </c>
      <c r="K106" s="24">
        <f>SUM(K107:K117)</f>
        <v>83</v>
      </c>
      <c r="L106" s="34">
        <f>N106-D106</f>
        <v>50</v>
      </c>
      <c r="M106" s="34">
        <f>N106-C106</f>
        <v>50</v>
      </c>
      <c r="N106" s="34">
        <f>SUM(N107:N116,N117:N117)</f>
        <v>-1176</v>
      </c>
      <c r="O106" s="34">
        <f>SUM(O107:O116,O117:O117)</f>
        <v>59797</v>
      </c>
      <c r="P106" s="34">
        <f>SUM(P107:P116,P117:P117)</f>
        <v>-60805</v>
      </c>
      <c r="Q106" s="34">
        <f>SUM(Q107:Q116,Q117:Q117)</f>
        <v>-1008</v>
      </c>
      <c r="R106" s="34">
        <f>SUM(R107:R116,R117:R117)</f>
        <v>-1176</v>
      </c>
      <c r="S106" s="34">
        <f>Q106-R106</f>
        <v>168</v>
      </c>
      <c r="T106" s="94">
        <f>IFERROR((Q106/N106)*100%,"∞")</f>
        <v>0.8571428571428571</v>
      </c>
      <c r="U106" s="95">
        <f>N106+V106</f>
        <v>-1176</v>
      </c>
      <c r="V106" s="34">
        <f>SUM(V107:V116,V117:V117)</f>
        <v>0</v>
      </c>
      <c r="W106" s="34">
        <f>SUM(W107:W116,W117:W117)</f>
        <v>0</v>
      </c>
      <c r="X106" s="34"/>
      <c r="Y106" s="34"/>
      <c r="Z106" s="41"/>
      <c r="AA106" s="60"/>
      <c r="AB106" s="100">
        <f>SUM(AB107:AB116,AB117:AB117)</f>
        <v>0</v>
      </c>
      <c r="AC106" s="33">
        <f>SUM(AC107:AC116,AC117:AC117)</f>
        <v>0</v>
      </c>
      <c r="AD106" s="33">
        <f>SUM(AD107:AD116,AD117:AD117)</f>
        <v>0</v>
      </c>
      <c r="AE106" s="33">
        <f>SUM(AE107:AE116,AE117:AE117)</f>
        <v>-1008</v>
      </c>
      <c r="AF106" s="101">
        <f>SUM(AF107:AF116,AF117:AF117)</f>
        <v>168</v>
      </c>
    </row>
    <row r="107" spans="2:32" ht="13" outlineLevel="1" x14ac:dyDescent="0.3">
      <c r="B107" s="79" t="s">
        <v>137</v>
      </c>
      <c r="C107" s="33">
        <v>380</v>
      </c>
      <c r="D107" s="33">
        <v>380</v>
      </c>
      <c r="E107" s="23">
        <v>0</v>
      </c>
      <c r="F107" s="23">
        <v>33</v>
      </c>
      <c r="G107" s="23">
        <v>0</v>
      </c>
      <c r="H107" s="23">
        <v>50</v>
      </c>
      <c r="I107" s="23">
        <v>0</v>
      </c>
      <c r="J107" s="23">
        <v>0</v>
      </c>
      <c r="K107" s="23">
        <f>SUM(E107:J107)</f>
        <v>83</v>
      </c>
      <c r="L107" s="33">
        <f>N107-D107</f>
        <v>50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101">
        <f>AE107-N107</f>
        <v>1406</v>
      </c>
    </row>
    <row r="108" spans="2:32" ht="13" outlineLevel="1" x14ac:dyDescent="0.3">
      <c r="B108" s="79" t="s">
        <v>138</v>
      </c>
      <c r="C108" s="33">
        <v>3062</v>
      </c>
      <c r="D108" s="33">
        <v>3062</v>
      </c>
      <c r="E108" s="23">
        <v>0</v>
      </c>
      <c r="F108" s="23">
        <v>0</v>
      </c>
      <c r="G108" s="23">
        <v>0</v>
      </c>
      <c r="H108" s="23">
        <v>0</v>
      </c>
      <c r="I108" s="23">
        <v>0</v>
      </c>
      <c r="J108" s="23">
        <v>0</v>
      </c>
      <c r="K108" s="23">
        <f t="shared" ref="K108:K115" si="66">SUM(E108:J108)</f>
        <v>0</v>
      </c>
      <c r="L108" s="33">
        <f t="shared" ref="L108:L115" si="67">N108-D108</f>
        <v>0</v>
      </c>
      <c r="M108" s="33">
        <f t="shared" ref="M108:M115" si="68">N108-C108</f>
        <v>0</v>
      </c>
      <c r="N108" s="33">
        <v>3062</v>
      </c>
      <c r="O108" s="33">
        <v>4505</v>
      </c>
      <c r="P108" s="33">
        <v>0</v>
      </c>
      <c r="Q108" s="33">
        <v>4505</v>
      </c>
      <c r="R108" s="33">
        <v>3062</v>
      </c>
      <c r="S108" s="33">
        <f t="shared" ref="S108:S115" si="69">Q108-R108</f>
        <v>1443</v>
      </c>
      <c r="T108" s="38">
        <f t="shared" ref="T108:T115" si="70">IFERROR((Q108/N108)*100%,"∞")</f>
        <v>1.4712606139777924</v>
      </c>
      <c r="U108" s="59">
        <f t="shared" ref="U108:U115" si="71">N108+V108</f>
        <v>3062</v>
      </c>
      <c r="V108" s="33">
        <v>0</v>
      </c>
      <c r="W108" s="33">
        <v>0</v>
      </c>
      <c r="X108" s="33"/>
      <c r="Y108" s="33"/>
      <c r="Z108" s="42"/>
      <c r="AA108" s="60"/>
      <c r="AB108" s="105"/>
      <c r="AC108" s="93"/>
      <c r="AD108" s="33">
        <f t="shared" ref="AD108:AD115" si="72">SUM(AB108:AC108)</f>
        <v>0</v>
      </c>
      <c r="AE108" s="33">
        <f t="shared" ref="AE108:AE115" si="73">Q108+AD108</f>
        <v>4505</v>
      </c>
      <c r="AF108" s="101">
        <f t="shared" ref="AF108:AF115" si="74">AE108-N108</f>
        <v>1443</v>
      </c>
    </row>
    <row r="109" spans="2:32" ht="13" outlineLevel="1" x14ac:dyDescent="0.3">
      <c r="B109" s="79" t="s">
        <v>139</v>
      </c>
      <c r="C109" s="33">
        <v>602</v>
      </c>
      <c r="D109" s="33">
        <v>602</v>
      </c>
      <c r="E109" s="23">
        <v>0</v>
      </c>
      <c r="F109" s="23">
        <v>0</v>
      </c>
      <c r="G109" s="23">
        <v>0</v>
      </c>
      <c r="H109" s="23">
        <v>0</v>
      </c>
      <c r="I109" s="23">
        <v>0</v>
      </c>
      <c r="J109" s="23">
        <v>0</v>
      </c>
      <c r="K109" s="23">
        <f t="shared" si="66"/>
        <v>0</v>
      </c>
      <c r="L109" s="33">
        <f t="shared" si="67"/>
        <v>0</v>
      </c>
      <c r="M109" s="33">
        <f t="shared" si="68"/>
        <v>0</v>
      </c>
      <c r="N109" s="33">
        <v>602</v>
      </c>
      <c r="O109" s="33">
        <v>422</v>
      </c>
      <c r="P109" s="33">
        <v>0</v>
      </c>
      <c r="Q109" s="33">
        <v>422</v>
      </c>
      <c r="R109" s="33">
        <v>602</v>
      </c>
      <c r="S109" s="33">
        <f t="shared" si="69"/>
        <v>-180</v>
      </c>
      <c r="T109" s="38">
        <f t="shared" si="70"/>
        <v>0.70099667774086383</v>
      </c>
      <c r="U109" s="59">
        <f t="shared" si="71"/>
        <v>602</v>
      </c>
      <c r="V109" s="33">
        <v>0</v>
      </c>
      <c r="W109" s="33">
        <v>0</v>
      </c>
      <c r="X109" s="33"/>
      <c r="Y109" s="33"/>
      <c r="Z109" s="42"/>
      <c r="AA109" s="60"/>
      <c r="AB109" s="105"/>
      <c r="AC109" s="93"/>
      <c r="AD109" s="33">
        <f t="shared" si="72"/>
        <v>0</v>
      </c>
      <c r="AE109" s="33">
        <f t="shared" si="73"/>
        <v>422</v>
      </c>
      <c r="AF109" s="101">
        <f t="shared" si="74"/>
        <v>-180</v>
      </c>
    </row>
    <row r="110" spans="2:32" ht="13" outlineLevel="1" x14ac:dyDescent="0.3">
      <c r="B110" s="79" t="s">
        <v>141</v>
      </c>
      <c r="C110" s="33">
        <v>8581</v>
      </c>
      <c r="D110" s="33">
        <v>8581</v>
      </c>
      <c r="E110" s="23">
        <v>0</v>
      </c>
      <c r="F110" s="23">
        <v>0</v>
      </c>
      <c r="G110" s="23">
        <v>0</v>
      </c>
      <c r="H110" s="23">
        <v>0</v>
      </c>
      <c r="I110" s="23">
        <v>0</v>
      </c>
      <c r="J110" s="23">
        <v>0</v>
      </c>
      <c r="K110" s="23">
        <f t="shared" si="66"/>
        <v>0</v>
      </c>
      <c r="L110" s="33">
        <f t="shared" si="67"/>
        <v>0</v>
      </c>
      <c r="M110" s="33">
        <f t="shared" si="68"/>
        <v>0</v>
      </c>
      <c r="N110" s="33">
        <v>8581</v>
      </c>
      <c r="O110" s="33">
        <v>6850</v>
      </c>
      <c r="P110" s="33">
        <v>0</v>
      </c>
      <c r="Q110" s="33">
        <v>6850</v>
      </c>
      <c r="R110" s="33">
        <v>8581</v>
      </c>
      <c r="S110" s="33">
        <f t="shared" si="69"/>
        <v>-1731</v>
      </c>
      <c r="T110" s="38">
        <f t="shared" si="70"/>
        <v>0.79827525929378862</v>
      </c>
      <c r="U110" s="59">
        <f t="shared" si="71"/>
        <v>8581</v>
      </c>
      <c r="V110" s="33">
        <v>0</v>
      </c>
      <c r="W110" s="33">
        <v>0</v>
      </c>
      <c r="X110" s="33"/>
      <c r="Y110" s="33"/>
      <c r="Z110" s="42"/>
      <c r="AA110" s="60"/>
      <c r="AB110" s="105"/>
      <c r="AC110" s="93"/>
      <c r="AD110" s="33">
        <f t="shared" si="72"/>
        <v>0</v>
      </c>
      <c r="AE110" s="33">
        <f t="shared" si="73"/>
        <v>6850</v>
      </c>
      <c r="AF110" s="101">
        <f t="shared" si="74"/>
        <v>-1731</v>
      </c>
    </row>
    <row r="111" spans="2:32" ht="13" outlineLevel="1" x14ac:dyDescent="0.3">
      <c r="B111" s="79" t="s">
        <v>142</v>
      </c>
      <c r="C111" s="33">
        <v>-4597</v>
      </c>
      <c r="D111" s="33">
        <v>-4597</v>
      </c>
      <c r="E111" s="23">
        <v>0</v>
      </c>
      <c r="F111" s="23">
        <v>0</v>
      </c>
      <c r="G111" s="23">
        <v>0</v>
      </c>
      <c r="H111" s="23">
        <v>0</v>
      </c>
      <c r="I111" s="23">
        <v>0</v>
      </c>
      <c r="J111" s="23">
        <v>0</v>
      </c>
      <c r="K111" s="23">
        <f t="shared" si="66"/>
        <v>0</v>
      </c>
      <c r="L111" s="33">
        <f t="shared" si="67"/>
        <v>0</v>
      </c>
      <c r="M111" s="33">
        <f t="shared" si="68"/>
        <v>0</v>
      </c>
      <c r="N111" s="33">
        <v>-4597</v>
      </c>
      <c r="O111" s="33">
        <v>390</v>
      </c>
      <c r="P111" s="33">
        <v>-5737</v>
      </c>
      <c r="Q111" s="33">
        <v>-5347</v>
      </c>
      <c r="R111" s="33">
        <v>-4597</v>
      </c>
      <c r="S111" s="33">
        <f t="shared" si="69"/>
        <v>-750</v>
      </c>
      <c r="T111" s="38">
        <f t="shared" si="70"/>
        <v>1.1631498803567544</v>
      </c>
      <c r="U111" s="59">
        <f t="shared" si="71"/>
        <v>-4597</v>
      </c>
      <c r="V111" s="33">
        <v>0</v>
      </c>
      <c r="W111" s="33">
        <v>0</v>
      </c>
      <c r="X111" s="33"/>
      <c r="Y111" s="33"/>
      <c r="Z111" s="42"/>
      <c r="AA111" s="60"/>
      <c r="AB111" s="105"/>
      <c r="AC111" s="93"/>
      <c r="AD111" s="33">
        <f t="shared" si="72"/>
        <v>0</v>
      </c>
      <c r="AE111" s="33">
        <f t="shared" si="73"/>
        <v>-5347</v>
      </c>
      <c r="AF111" s="101">
        <f t="shared" si="74"/>
        <v>-750</v>
      </c>
    </row>
    <row r="112" spans="2:32" ht="13" outlineLevel="1" x14ac:dyDescent="0.3">
      <c r="B112" s="79" t="s">
        <v>143</v>
      </c>
      <c r="C112" s="33">
        <v>-8990</v>
      </c>
      <c r="D112" s="33">
        <v>-8990</v>
      </c>
      <c r="E112" s="23">
        <v>0</v>
      </c>
      <c r="F112" s="23">
        <v>0</v>
      </c>
      <c r="G112" s="23">
        <v>0</v>
      </c>
      <c r="H112" s="23">
        <v>0</v>
      </c>
      <c r="I112" s="23">
        <v>0</v>
      </c>
      <c r="J112" s="23">
        <v>0</v>
      </c>
      <c r="K112" s="23">
        <f t="shared" si="66"/>
        <v>0</v>
      </c>
      <c r="L112" s="33">
        <f t="shared" si="67"/>
        <v>0</v>
      </c>
      <c r="M112" s="33">
        <f t="shared" si="68"/>
        <v>0</v>
      </c>
      <c r="N112" s="33">
        <v>-8990</v>
      </c>
      <c r="O112" s="33">
        <v>0</v>
      </c>
      <c r="P112" s="33">
        <v>-8264</v>
      </c>
      <c r="Q112" s="33">
        <v>-8264</v>
      </c>
      <c r="R112" s="33">
        <v>-8990</v>
      </c>
      <c r="S112" s="33">
        <f t="shared" si="69"/>
        <v>726</v>
      </c>
      <c r="T112" s="38">
        <f t="shared" si="70"/>
        <v>0.91924360400444938</v>
      </c>
      <c r="U112" s="59">
        <f t="shared" si="71"/>
        <v>-8990</v>
      </c>
      <c r="V112" s="33">
        <v>0</v>
      </c>
      <c r="W112" s="33">
        <v>0</v>
      </c>
      <c r="X112" s="33"/>
      <c r="Y112" s="33"/>
      <c r="Z112" s="42"/>
      <c r="AA112" s="60"/>
      <c r="AB112" s="105"/>
      <c r="AC112" s="93"/>
      <c r="AD112" s="33">
        <f t="shared" si="72"/>
        <v>0</v>
      </c>
      <c r="AE112" s="33">
        <f t="shared" si="73"/>
        <v>-8264</v>
      </c>
      <c r="AF112" s="101">
        <f t="shared" si="74"/>
        <v>726</v>
      </c>
    </row>
    <row r="113" spans="2:32" ht="13" outlineLevel="1" x14ac:dyDescent="0.3">
      <c r="B113" s="79" t="s">
        <v>144</v>
      </c>
      <c r="C113" s="33">
        <v>-646</v>
      </c>
      <c r="D113" s="33">
        <v>-646</v>
      </c>
      <c r="E113" s="23">
        <v>0</v>
      </c>
      <c r="F113" s="23">
        <v>0</v>
      </c>
      <c r="G113" s="23">
        <v>0</v>
      </c>
      <c r="H113" s="23">
        <v>0</v>
      </c>
      <c r="I113" s="23">
        <v>0</v>
      </c>
      <c r="J113" s="23">
        <v>0</v>
      </c>
      <c r="K113" s="23">
        <f t="shared" si="66"/>
        <v>0</v>
      </c>
      <c r="L113" s="33">
        <f t="shared" si="67"/>
        <v>0</v>
      </c>
      <c r="M113" s="33">
        <f t="shared" si="68"/>
        <v>0</v>
      </c>
      <c r="N113" s="33">
        <v>-646</v>
      </c>
      <c r="O113" s="33">
        <v>0</v>
      </c>
      <c r="P113" s="33">
        <v>-453</v>
      </c>
      <c r="Q113" s="33">
        <v>-453</v>
      </c>
      <c r="R113" s="33">
        <v>-646</v>
      </c>
      <c r="S113" s="33">
        <f t="shared" si="69"/>
        <v>193</v>
      </c>
      <c r="T113" s="38">
        <f t="shared" si="70"/>
        <v>0.70123839009287925</v>
      </c>
      <c r="U113" s="59">
        <f t="shared" si="71"/>
        <v>-646</v>
      </c>
      <c r="V113" s="33">
        <v>0</v>
      </c>
      <c r="W113" s="33">
        <v>0</v>
      </c>
      <c r="X113" s="33"/>
      <c r="Y113" s="33"/>
      <c r="Z113" s="42"/>
      <c r="AA113" s="60"/>
      <c r="AB113" s="105"/>
      <c r="AC113" s="93"/>
      <c r="AD113" s="33">
        <f t="shared" si="72"/>
        <v>0</v>
      </c>
      <c r="AE113" s="33">
        <f t="shared" si="73"/>
        <v>-453</v>
      </c>
      <c r="AF113" s="101">
        <f t="shared" si="74"/>
        <v>193</v>
      </c>
    </row>
    <row r="114" spans="2:32" ht="13" outlineLevel="1" x14ac:dyDescent="0.3">
      <c r="B114" s="79" t="s">
        <v>145</v>
      </c>
      <c r="C114" s="33">
        <v>687</v>
      </c>
      <c r="D114" s="33">
        <v>687</v>
      </c>
      <c r="E114" s="23">
        <v>0</v>
      </c>
      <c r="F114" s="23">
        <v>0</v>
      </c>
      <c r="G114" s="23">
        <v>0</v>
      </c>
      <c r="H114" s="23">
        <v>0</v>
      </c>
      <c r="I114" s="23">
        <v>0</v>
      </c>
      <c r="J114" s="23">
        <v>0</v>
      </c>
      <c r="K114" s="23">
        <f t="shared" si="66"/>
        <v>0</v>
      </c>
      <c r="L114" s="33">
        <f t="shared" si="67"/>
        <v>0</v>
      </c>
      <c r="M114" s="33">
        <f t="shared" si="68"/>
        <v>0</v>
      </c>
      <c r="N114" s="33">
        <v>687</v>
      </c>
      <c r="O114" s="33">
        <v>-123</v>
      </c>
      <c r="P114" s="33">
        <v>0</v>
      </c>
      <c r="Q114" s="33">
        <v>-123</v>
      </c>
      <c r="R114" s="33">
        <v>687</v>
      </c>
      <c r="S114" s="33">
        <f t="shared" si="69"/>
        <v>-810</v>
      </c>
      <c r="T114" s="38">
        <f t="shared" si="70"/>
        <v>-0.17903930131004367</v>
      </c>
      <c r="U114" s="59">
        <f t="shared" si="71"/>
        <v>687</v>
      </c>
      <c r="V114" s="33">
        <v>0</v>
      </c>
      <c r="W114" s="33">
        <v>0</v>
      </c>
      <c r="X114" s="33"/>
      <c r="Y114" s="33"/>
      <c r="Z114" s="42"/>
      <c r="AA114" s="60"/>
      <c r="AB114" s="105"/>
      <c r="AC114" s="93"/>
      <c r="AD114" s="33">
        <f t="shared" si="72"/>
        <v>0</v>
      </c>
      <c r="AE114" s="33">
        <f t="shared" si="73"/>
        <v>-123</v>
      </c>
      <c r="AF114" s="101">
        <f t="shared" si="74"/>
        <v>-810</v>
      </c>
    </row>
    <row r="115" spans="2:32" ht="13" outlineLevel="1" x14ac:dyDescent="0.3">
      <c r="B115" s="79" t="s">
        <v>146</v>
      </c>
      <c r="C115" s="33">
        <v>166</v>
      </c>
      <c r="D115" s="33">
        <v>166</v>
      </c>
      <c r="E115" s="23">
        <v>0</v>
      </c>
      <c r="F115" s="23">
        <v>0</v>
      </c>
      <c r="G115" s="23">
        <v>0</v>
      </c>
      <c r="H115" s="23">
        <v>0</v>
      </c>
      <c r="I115" s="23">
        <v>0</v>
      </c>
      <c r="J115" s="23">
        <v>0</v>
      </c>
      <c r="K115" s="23">
        <f t="shared" si="66"/>
        <v>0</v>
      </c>
      <c r="L115" s="33">
        <f t="shared" si="67"/>
        <v>0</v>
      </c>
      <c r="M115" s="33">
        <f t="shared" si="68"/>
        <v>0</v>
      </c>
      <c r="N115" s="33">
        <v>166</v>
      </c>
      <c r="O115" s="33">
        <v>37</v>
      </c>
      <c r="P115" s="33">
        <v>0</v>
      </c>
      <c r="Q115" s="33">
        <v>37</v>
      </c>
      <c r="R115" s="33">
        <v>166</v>
      </c>
      <c r="S115" s="33">
        <f t="shared" si="69"/>
        <v>-129</v>
      </c>
      <c r="T115" s="38">
        <f t="shared" si="70"/>
        <v>0.22289156626506024</v>
      </c>
      <c r="U115" s="59">
        <f t="shared" si="71"/>
        <v>166</v>
      </c>
      <c r="V115" s="33">
        <v>0</v>
      </c>
      <c r="W115" s="33">
        <v>0</v>
      </c>
      <c r="X115" s="33"/>
      <c r="Y115" s="33"/>
      <c r="Z115" s="42"/>
      <c r="AA115" s="60"/>
      <c r="AB115" s="105"/>
      <c r="AC115" s="93"/>
      <c r="AD115" s="33">
        <f t="shared" si="72"/>
        <v>0</v>
      </c>
      <c r="AE115" s="33">
        <f t="shared" si="73"/>
        <v>37</v>
      </c>
      <c r="AF115" s="101">
        <f t="shared" si="74"/>
        <v>-129</v>
      </c>
    </row>
    <row r="116" spans="2:32" ht="13" outlineLevel="1" x14ac:dyDescent="0.3">
      <c r="B116" s="79" t="s">
        <v>147</v>
      </c>
      <c r="C116" s="33">
        <v>0</v>
      </c>
      <c r="D116" s="33">
        <v>0</v>
      </c>
      <c r="E116" s="23">
        <v>0</v>
      </c>
      <c r="F116" s="23">
        <v>0</v>
      </c>
      <c r="G116" s="23">
        <v>0</v>
      </c>
      <c r="H116" s="23">
        <v>0</v>
      </c>
      <c r="I116" s="23">
        <v>0</v>
      </c>
      <c r="J116" s="23">
        <v>0</v>
      </c>
      <c r="K116" s="23">
        <f>SUM(E116:J116)</f>
        <v>0</v>
      </c>
      <c r="L116" s="33">
        <f>N116-D116</f>
        <v>0</v>
      </c>
      <c r="M116" s="33">
        <f>N116-C116</f>
        <v>0</v>
      </c>
      <c r="N116" s="33">
        <v>0</v>
      </c>
      <c r="O116" s="33">
        <v>8098</v>
      </c>
      <c r="P116" s="33">
        <v>-8098</v>
      </c>
      <c r="Q116" s="33">
        <v>0</v>
      </c>
      <c r="R116" s="33">
        <v>0</v>
      </c>
      <c r="S116" s="33">
        <f>Q116-R116</f>
        <v>0</v>
      </c>
      <c r="T116" s="38" t="str">
        <f>IFERROR((Q116/N116)*100%,"∞")</f>
        <v>∞</v>
      </c>
      <c r="U116" s="59">
        <f>N116+V116</f>
        <v>0</v>
      </c>
      <c r="V116" s="33">
        <v>0</v>
      </c>
      <c r="W116" s="33">
        <v>0</v>
      </c>
      <c r="X116" s="33"/>
      <c r="Y116" s="33"/>
      <c r="Z116" s="42"/>
      <c r="AA116" s="60"/>
      <c r="AB116" s="105"/>
      <c r="AC116" s="93"/>
      <c r="AD116" s="33">
        <f>SUM(AB116:AC116)</f>
        <v>0</v>
      </c>
      <c r="AE116" s="33">
        <f>Q116+AD116</f>
        <v>0</v>
      </c>
      <c r="AF116" s="101">
        <f>AE116-N116</f>
        <v>0</v>
      </c>
    </row>
    <row r="117" spans="2:32" ht="13" outlineLevel="1" x14ac:dyDescent="0.3">
      <c r="B117" s="79" t="s">
        <v>148</v>
      </c>
      <c r="C117" s="33">
        <v>-471</v>
      </c>
      <c r="D117" s="33">
        <v>-471</v>
      </c>
      <c r="E117" s="23">
        <v>0</v>
      </c>
      <c r="F117" s="23">
        <v>0</v>
      </c>
      <c r="G117" s="23">
        <v>0</v>
      </c>
      <c r="H117" s="23">
        <v>0</v>
      </c>
      <c r="I117" s="23">
        <v>0</v>
      </c>
      <c r="J117" s="23">
        <v>0</v>
      </c>
      <c r="K117" s="23">
        <f>SUM(E117:J117)</f>
        <v>0</v>
      </c>
      <c r="L117" s="33">
        <f>N117-D117</f>
        <v>0</v>
      </c>
      <c r="M117" s="33">
        <f>N117-C117</f>
        <v>0</v>
      </c>
      <c r="N117" s="33">
        <v>-471</v>
      </c>
      <c r="O117" s="33">
        <v>0</v>
      </c>
      <c r="P117" s="33">
        <v>-471</v>
      </c>
      <c r="Q117" s="33">
        <v>-471</v>
      </c>
      <c r="R117" s="33">
        <v>-471</v>
      </c>
      <c r="S117" s="33">
        <f>Q117-R117</f>
        <v>0</v>
      </c>
      <c r="T117" s="38">
        <f>IFERROR((Q117/N117)*100%,"∞")</f>
        <v>1</v>
      </c>
      <c r="U117" s="59">
        <f>N117+V117</f>
        <v>-471</v>
      </c>
      <c r="V117" s="33">
        <v>0</v>
      </c>
      <c r="W117" s="33">
        <v>0</v>
      </c>
      <c r="X117" s="33"/>
      <c r="Y117" s="33"/>
      <c r="Z117" s="42"/>
      <c r="AA117" s="60"/>
      <c r="AB117" s="105"/>
      <c r="AC117" s="93"/>
      <c r="AD117" s="33">
        <f>SUM(AB117:AC117)</f>
        <v>0</v>
      </c>
      <c r="AE117" s="33">
        <f>Q117+AD117</f>
        <v>-471</v>
      </c>
      <c r="AF117" s="101">
        <f>AE117-N117</f>
        <v>0</v>
      </c>
    </row>
    <row r="118" spans="2:32"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99"/>
    </row>
    <row r="119" spans="2:32" ht="13" x14ac:dyDescent="0.3">
      <c r="B119" s="78" t="s">
        <v>149</v>
      </c>
      <c r="C119" s="34">
        <f t="shared" ref="C119:J119" si="75">SUM(C120:C127)</f>
        <v>1238</v>
      </c>
      <c r="D119" s="34">
        <f t="shared" si="75"/>
        <v>1427</v>
      </c>
      <c r="E119" s="24">
        <f t="shared" si="75"/>
        <v>0</v>
      </c>
      <c r="F119" s="24">
        <f t="shared" si="75"/>
        <v>0</v>
      </c>
      <c r="G119" s="24">
        <f t="shared" si="75"/>
        <v>190</v>
      </c>
      <c r="H119" s="24">
        <f t="shared" si="75"/>
        <v>0</v>
      </c>
      <c r="I119" s="24">
        <f t="shared" si="75"/>
        <v>0</v>
      </c>
      <c r="J119" s="24">
        <f t="shared" si="75"/>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SUM(AE120:AE127)</f>
        <v>917</v>
      </c>
      <c r="AF119" s="101">
        <f>SUM(AF120:AF127)</f>
        <v>-510</v>
      </c>
    </row>
    <row r="120" spans="2:32"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Q120+AD120</f>
        <v>8</v>
      </c>
      <c r="AF120" s="101">
        <f>AE120-N120</f>
        <v>8</v>
      </c>
    </row>
    <row r="121" spans="2:32" ht="13" outlineLevel="1" x14ac:dyDescent="0.3">
      <c r="B121" s="79" t="s">
        <v>150</v>
      </c>
      <c r="C121" s="33">
        <v>278</v>
      </c>
      <c r="D121" s="33">
        <v>278</v>
      </c>
      <c r="E121" s="23">
        <v>0</v>
      </c>
      <c r="F121" s="23">
        <v>0</v>
      </c>
      <c r="G121" s="23">
        <v>0</v>
      </c>
      <c r="H121" s="23">
        <v>0</v>
      </c>
      <c r="I121" s="23">
        <v>0</v>
      </c>
      <c r="J121" s="23">
        <v>0</v>
      </c>
      <c r="K121" s="23">
        <f t="shared" ref="K121:K126" si="76">SUM(E121:J121)</f>
        <v>0</v>
      </c>
      <c r="L121" s="33">
        <f t="shared" ref="L121:L126" si="77">N121-D121</f>
        <v>0</v>
      </c>
      <c r="M121" s="33">
        <f t="shared" ref="M121:M126" si="78">N121-C121</f>
        <v>0</v>
      </c>
      <c r="N121" s="33">
        <v>278</v>
      </c>
      <c r="O121" s="33">
        <v>0</v>
      </c>
      <c r="P121" s="33">
        <v>0</v>
      </c>
      <c r="Q121" s="33">
        <v>0</v>
      </c>
      <c r="R121" s="33">
        <v>278</v>
      </c>
      <c r="S121" s="33">
        <f t="shared" ref="S121:S126" si="79">Q121-R121</f>
        <v>-278</v>
      </c>
      <c r="T121" s="38">
        <f t="shared" ref="T121:T126" si="80">IFERROR((Q121/N121)*100%,"∞")</f>
        <v>0</v>
      </c>
      <c r="U121" s="59">
        <f t="shared" ref="U121:U126" si="81">N121+V121</f>
        <v>278</v>
      </c>
      <c r="V121" s="33">
        <v>0</v>
      </c>
      <c r="W121" s="33">
        <v>0</v>
      </c>
      <c r="X121" s="33"/>
      <c r="Y121" s="33"/>
      <c r="Z121" s="42"/>
      <c r="AA121" s="60"/>
      <c r="AB121" s="105"/>
      <c r="AC121" s="93"/>
      <c r="AD121" s="33">
        <f t="shared" ref="AD121:AD126" si="82">SUM(AB121:AC121)</f>
        <v>0</v>
      </c>
      <c r="AE121" s="33">
        <f t="shared" ref="AE121:AE126" si="83">Q121+AD121</f>
        <v>0</v>
      </c>
      <c r="AF121" s="101">
        <f t="shared" ref="AF121:AF126" si="84">AE121-N121</f>
        <v>-278</v>
      </c>
    </row>
    <row r="122" spans="2:32" ht="13" outlineLevel="1" x14ac:dyDescent="0.3">
      <c r="B122" s="79" t="s">
        <v>151</v>
      </c>
      <c r="C122" s="33">
        <v>-400</v>
      </c>
      <c r="D122" s="33">
        <v>617</v>
      </c>
      <c r="E122" s="23">
        <v>0</v>
      </c>
      <c r="F122" s="23">
        <v>0</v>
      </c>
      <c r="G122" s="23">
        <v>1017</v>
      </c>
      <c r="H122" s="23">
        <v>0</v>
      </c>
      <c r="I122" s="23">
        <v>0</v>
      </c>
      <c r="J122" s="23">
        <v>0</v>
      </c>
      <c r="K122" s="23">
        <f t="shared" si="76"/>
        <v>1017</v>
      </c>
      <c r="L122" s="33">
        <f t="shared" si="77"/>
        <v>0</v>
      </c>
      <c r="M122" s="33">
        <f t="shared" si="78"/>
        <v>1017</v>
      </c>
      <c r="N122" s="33">
        <v>617</v>
      </c>
      <c r="O122" s="33">
        <v>1667</v>
      </c>
      <c r="P122" s="33">
        <v>0</v>
      </c>
      <c r="Q122" s="33">
        <v>1667</v>
      </c>
      <c r="R122" s="33">
        <v>617</v>
      </c>
      <c r="S122" s="33">
        <f t="shared" si="79"/>
        <v>1050</v>
      </c>
      <c r="T122" s="38">
        <f t="shared" si="80"/>
        <v>2.7017828200972449</v>
      </c>
      <c r="U122" s="59">
        <f t="shared" si="81"/>
        <v>617</v>
      </c>
      <c r="V122" s="33">
        <v>0</v>
      </c>
      <c r="W122" s="33">
        <v>0</v>
      </c>
      <c r="X122" s="33"/>
      <c r="Y122" s="33"/>
      <c r="Z122" s="42"/>
      <c r="AA122" s="60"/>
      <c r="AB122" s="105"/>
      <c r="AC122" s="93"/>
      <c r="AD122" s="33">
        <f t="shared" si="82"/>
        <v>0</v>
      </c>
      <c r="AE122" s="33">
        <f t="shared" si="83"/>
        <v>1667</v>
      </c>
      <c r="AF122" s="101">
        <f t="shared" si="84"/>
        <v>1050</v>
      </c>
    </row>
    <row r="123" spans="2:32" ht="13" outlineLevel="1" x14ac:dyDescent="0.3">
      <c r="B123" s="79" t="s">
        <v>152</v>
      </c>
      <c r="C123" s="33">
        <v>693</v>
      </c>
      <c r="D123" s="33">
        <v>-95</v>
      </c>
      <c r="E123" s="23">
        <v>0</v>
      </c>
      <c r="F123" s="23">
        <v>0</v>
      </c>
      <c r="G123" s="23">
        <v>-787</v>
      </c>
      <c r="H123" s="23">
        <v>0</v>
      </c>
      <c r="I123" s="23">
        <v>0</v>
      </c>
      <c r="J123" s="23">
        <v>0</v>
      </c>
      <c r="K123" s="23">
        <f t="shared" si="76"/>
        <v>-787</v>
      </c>
      <c r="L123" s="33">
        <f t="shared" si="77"/>
        <v>0</v>
      </c>
      <c r="M123" s="33">
        <f t="shared" si="78"/>
        <v>-788</v>
      </c>
      <c r="N123" s="33">
        <v>-95</v>
      </c>
      <c r="O123" s="33">
        <v>0</v>
      </c>
      <c r="P123" s="33">
        <v>0</v>
      </c>
      <c r="Q123" s="33">
        <v>0</v>
      </c>
      <c r="R123" s="33">
        <v>-95</v>
      </c>
      <c r="S123" s="33">
        <f t="shared" si="79"/>
        <v>95</v>
      </c>
      <c r="T123" s="38">
        <f t="shared" si="80"/>
        <v>0</v>
      </c>
      <c r="U123" s="59">
        <f t="shared" si="81"/>
        <v>-95</v>
      </c>
      <c r="V123" s="33">
        <v>0</v>
      </c>
      <c r="W123" s="33">
        <v>0</v>
      </c>
      <c r="X123" s="33"/>
      <c r="Y123" s="33"/>
      <c r="Z123" s="42"/>
      <c r="AA123" s="60"/>
      <c r="AB123" s="105"/>
      <c r="AC123" s="93"/>
      <c r="AD123" s="33">
        <f t="shared" si="82"/>
        <v>0</v>
      </c>
      <c r="AE123" s="33">
        <f t="shared" si="83"/>
        <v>0</v>
      </c>
      <c r="AF123" s="101">
        <f t="shared" si="84"/>
        <v>95</v>
      </c>
    </row>
    <row r="124" spans="2:32" ht="13" outlineLevel="1" x14ac:dyDescent="0.3">
      <c r="B124" s="79" t="s">
        <v>153</v>
      </c>
      <c r="C124" s="33">
        <v>645</v>
      </c>
      <c r="D124" s="33">
        <v>615</v>
      </c>
      <c r="E124" s="23">
        <v>0</v>
      </c>
      <c r="F124" s="23">
        <v>0</v>
      </c>
      <c r="G124" s="23">
        <v>-30</v>
      </c>
      <c r="H124" s="23">
        <v>0</v>
      </c>
      <c r="I124" s="23">
        <v>0</v>
      </c>
      <c r="J124" s="23">
        <v>0</v>
      </c>
      <c r="K124" s="23">
        <f t="shared" si="76"/>
        <v>-30</v>
      </c>
      <c r="L124" s="33">
        <f t="shared" si="77"/>
        <v>0</v>
      </c>
      <c r="M124" s="33">
        <f t="shared" si="78"/>
        <v>-30</v>
      </c>
      <c r="N124" s="33">
        <v>615</v>
      </c>
      <c r="O124" s="33">
        <v>0</v>
      </c>
      <c r="P124" s="33">
        <v>0</v>
      </c>
      <c r="Q124" s="33">
        <v>0</v>
      </c>
      <c r="R124" s="33">
        <v>615</v>
      </c>
      <c r="S124" s="33">
        <f t="shared" si="79"/>
        <v>-615</v>
      </c>
      <c r="T124" s="38">
        <f t="shared" si="80"/>
        <v>0</v>
      </c>
      <c r="U124" s="59">
        <f t="shared" si="81"/>
        <v>615</v>
      </c>
      <c r="V124" s="33">
        <v>0</v>
      </c>
      <c r="W124" s="33">
        <v>0</v>
      </c>
      <c r="X124" s="33"/>
      <c r="Y124" s="33"/>
      <c r="Z124" s="42"/>
      <c r="AA124" s="60"/>
      <c r="AB124" s="105"/>
      <c r="AC124" s="93"/>
      <c r="AD124" s="33">
        <f t="shared" si="82"/>
        <v>0</v>
      </c>
      <c r="AE124" s="33">
        <f t="shared" si="83"/>
        <v>0</v>
      </c>
      <c r="AF124" s="101">
        <f t="shared" si="84"/>
        <v>-615</v>
      </c>
    </row>
    <row r="125" spans="2:32" ht="13" outlineLevel="1" x14ac:dyDescent="0.3">
      <c r="B125" s="79" t="s">
        <v>154</v>
      </c>
      <c r="C125" s="33">
        <v>525</v>
      </c>
      <c r="D125" s="33">
        <v>515</v>
      </c>
      <c r="E125" s="23">
        <v>0</v>
      </c>
      <c r="F125" s="23">
        <v>0</v>
      </c>
      <c r="G125" s="23">
        <v>-10</v>
      </c>
      <c r="H125" s="23">
        <v>0</v>
      </c>
      <c r="I125" s="23">
        <v>0</v>
      </c>
      <c r="J125" s="23">
        <v>0</v>
      </c>
      <c r="K125" s="23">
        <f t="shared" si="76"/>
        <v>-10</v>
      </c>
      <c r="L125" s="33">
        <f t="shared" si="77"/>
        <v>0</v>
      </c>
      <c r="M125" s="33">
        <f t="shared" si="78"/>
        <v>-10</v>
      </c>
      <c r="N125" s="33">
        <v>515</v>
      </c>
      <c r="O125" s="33">
        <v>0</v>
      </c>
      <c r="P125" s="33">
        <v>0</v>
      </c>
      <c r="Q125" s="33">
        <v>0</v>
      </c>
      <c r="R125" s="33">
        <v>515</v>
      </c>
      <c r="S125" s="33">
        <f t="shared" si="79"/>
        <v>-515</v>
      </c>
      <c r="T125" s="38">
        <f t="shared" si="80"/>
        <v>0</v>
      </c>
      <c r="U125" s="59">
        <f t="shared" si="81"/>
        <v>515</v>
      </c>
      <c r="V125" s="33">
        <v>0</v>
      </c>
      <c r="W125" s="33">
        <v>0</v>
      </c>
      <c r="X125" s="33"/>
      <c r="Y125" s="33"/>
      <c r="Z125" s="42"/>
      <c r="AA125" s="60"/>
      <c r="AB125" s="105"/>
      <c r="AC125" s="93"/>
      <c r="AD125" s="33">
        <f t="shared" si="82"/>
        <v>0</v>
      </c>
      <c r="AE125" s="33">
        <f t="shared" si="83"/>
        <v>0</v>
      </c>
      <c r="AF125" s="101">
        <f t="shared" si="84"/>
        <v>-515</v>
      </c>
    </row>
    <row r="126" spans="2:32" ht="13" outlineLevel="1" x14ac:dyDescent="0.3">
      <c r="B126" s="79" t="s">
        <v>219</v>
      </c>
      <c r="C126" s="33">
        <v>-503</v>
      </c>
      <c r="D126" s="33">
        <v>-503</v>
      </c>
      <c r="E126" s="23">
        <v>0</v>
      </c>
      <c r="F126" s="23">
        <v>0</v>
      </c>
      <c r="G126" s="23">
        <v>0</v>
      </c>
      <c r="H126" s="23">
        <v>0</v>
      </c>
      <c r="I126" s="23">
        <v>0</v>
      </c>
      <c r="J126" s="23">
        <v>0</v>
      </c>
      <c r="K126" s="23">
        <f t="shared" si="76"/>
        <v>0</v>
      </c>
      <c r="L126" s="33">
        <f t="shared" si="77"/>
        <v>0</v>
      </c>
      <c r="M126" s="33">
        <f t="shared" si="78"/>
        <v>0</v>
      </c>
      <c r="N126" s="33">
        <v>-503</v>
      </c>
      <c r="O126" s="33">
        <v>0</v>
      </c>
      <c r="P126" s="33">
        <v>0</v>
      </c>
      <c r="Q126" s="33">
        <v>0</v>
      </c>
      <c r="R126" s="33">
        <v>-503</v>
      </c>
      <c r="S126" s="33">
        <f t="shared" si="79"/>
        <v>503</v>
      </c>
      <c r="T126" s="38">
        <f t="shared" si="80"/>
        <v>0</v>
      </c>
      <c r="U126" s="59">
        <f t="shared" si="81"/>
        <v>-503</v>
      </c>
      <c r="V126" s="33">
        <v>0</v>
      </c>
      <c r="W126" s="33">
        <v>0</v>
      </c>
      <c r="X126" s="33"/>
      <c r="Y126" s="33"/>
      <c r="Z126" s="42"/>
      <c r="AA126" s="60"/>
      <c r="AB126" s="105"/>
      <c r="AC126" s="93"/>
      <c r="AD126" s="33">
        <f t="shared" si="82"/>
        <v>0</v>
      </c>
      <c r="AE126" s="33">
        <f t="shared" si="83"/>
        <v>0</v>
      </c>
      <c r="AF126" s="101">
        <f t="shared" si="84"/>
        <v>503</v>
      </c>
    </row>
    <row r="127" spans="2:32" ht="13" outlineLevel="1" x14ac:dyDescent="0.3">
      <c r="B127" s="79"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Q127+AD127</f>
        <v>-758</v>
      </c>
      <c r="AF127" s="101">
        <f>AE127-N127</f>
        <v>-758</v>
      </c>
    </row>
    <row r="128" spans="2:32"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row>
    <row r="129" spans="2:32" ht="13.5" thickBot="1" x14ac:dyDescent="0.35">
      <c r="B129" s="91" t="s">
        <v>155</v>
      </c>
      <c r="C129" s="76">
        <f t="shared" ref="C129:J129" si="85">C106+C119</f>
        <v>12</v>
      </c>
      <c r="D129" s="76">
        <f t="shared" si="85"/>
        <v>201</v>
      </c>
      <c r="E129" s="76">
        <f t="shared" si="85"/>
        <v>0</v>
      </c>
      <c r="F129" s="76">
        <f t="shared" si="85"/>
        <v>33</v>
      </c>
      <c r="G129" s="76">
        <f t="shared" si="85"/>
        <v>190</v>
      </c>
      <c r="H129" s="76">
        <f t="shared" si="85"/>
        <v>50</v>
      </c>
      <c r="I129" s="76">
        <f t="shared" si="85"/>
        <v>0</v>
      </c>
      <c r="J129" s="76">
        <f t="shared" si="85"/>
        <v>0</v>
      </c>
      <c r="K129" s="76">
        <f>SUM(E129:J129)</f>
        <v>273</v>
      </c>
      <c r="L129" s="76">
        <f>N129-D129</f>
        <v>50</v>
      </c>
      <c r="M129" s="76">
        <f>N129-C129</f>
        <v>239</v>
      </c>
      <c r="N129" s="76">
        <f>N106+N119</f>
        <v>251</v>
      </c>
      <c r="O129" s="76">
        <f>O106+O119</f>
        <v>61472</v>
      </c>
      <c r="P129" s="76">
        <f>P106+P119</f>
        <v>-61563</v>
      </c>
      <c r="Q129" s="76">
        <f>Q106+Q119</f>
        <v>-91</v>
      </c>
      <c r="R129" s="76">
        <f>R106+R119</f>
        <v>251</v>
      </c>
      <c r="S129" s="76">
        <f>Q129-R129</f>
        <v>-342</v>
      </c>
      <c r="T129" s="92">
        <f>IFERROR((Q129/N129)*100%,"∞")</f>
        <v>-0.36254980079681276</v>
      </c>
      <c r="U129" s="76">
        <f>N129+V129</f>
        <v>251</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-91</v>
      </c>
      <c r="AF129" s="76">
        <f>AF106+AF119</f>
        <v>-342</v>
      </c>
    </row>
    <row r="130" spans="2:32"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row>
    <row r="131" spans="2:32" ht="13.5" thickBot="1" x14ac:dyDescent="0.35">
      <c r="B131" s="91" t="s">
        <v>156</v>
      </c>
      <c r="C131" s="76">
        <f t="shared" ref="C131:J131" si="86">C83+C104+C129</f>
        <v>24605</v>
      </c>
      <c r="D131" s="76">
        <f t="shared" si="86"/>
        <v>25008</v>
      </c>
      <c r="E131" s="76">
        <f t="shared" si="86"/>
        <v>406</v>
      </c>
      <c r="F131" s="76">
        <f t="shared" si="86"/>
        <v>-2362</v>
      </c>
      <c r="G131" s="76">
        <f t="shared" si="86"/>
        <v>0</v>
      </c>
      <c r="H131" s="76">
        <f t="shared" si="86"/>
        <v>22</v>
      </c>
      <c r="I131" s="76">
        <f t="shared" si="86"/>
        <v>-1</v>
      </c>
      <c r="J131" s="76">
        <f t="shared" si="86"/>
        <v>0</v>
      </c>
      <c r="K131" s="76">
        <f>SUM(E131:J131)</f>
        <v>-1935</v>
      </c>
      <c r="L131" s="76">
        <f>N131-D131</f>
        <v>-2363</v>
      </c>
      <c r="M131" s="76">
        <f>N131-C131</f>
        <v>-1960</v>
      </c>
      <c r="N131" s="76">
        <f>N83+N104+N129</f>
        <v>22645</v>
      </c>
      <c r="O131" s="76">
        <f>O83+O104+O129</f>
        <v>147668</v>
      </c>
      <c r="P131" s="76">
        <f>P83+P104+P129</f>
        <v>-124691</v>
      </c>
      <c r="Q131" s="76">
        <f>Q83+Q104+Q129</f>
        <v>22975</v>
      </c>
      <c r="R131" s="76">
        <f>R83+R104+R129</f>
        <v>22645</v>
      </c>
      <c r="S131" s="76">
        <f>Q131-R131</f>
        <v>330</v>
      </c>
      <c r="T131" s="92">
        <f>IFERROR((Q131/N131)*100%,"∞")</f>
        <v>1.0145727533671893</v>
      </c>
      <c r="U131" s="76">
        <f>N131+V131</f>
        <v>23681</v>
      </c>
      <c r="V131" s="76">
        <f>V83+V104+V129</f>
        <v>1036</v>
      </c>
      <c r="W131" s="76">
        <f>W83+W104+W129</f>
        <v>1036</v>
      </c>
      <c r="X131" s="76">
        <f>X83+X104+X129</f>
        <v>0</v>
      </c>
      <c r="Y131" s="76">
        <f>Y83+Y104+Y129</f>
        <v>0</v>
      </c>
      <c r="Z131" s="76">
        <f>Z83+Z104+Z129</f>
        <v>0</v>
      </c>
      <c r="AA131" s="60"/>
      <c r="AB131" s="76">
        <f>AB83+AB104+AB129</f>
        <v>0</v>
      </c>
      <c r="AC131" s="76">
        <f>AC83+AC104+AC129</f>
        <v>0</v>
      </c>
      <c r="AD131" s="76">
        <f>AD83+AD104+AD129</f>
        <v>0</v>
      </c>
      <c r="AE131" s="76">
        <f>AE83+AE104+AE129</f>
        <v>22975</v>
      </c>
      <c r="AF131" s="76">
        <f>AF83+AF104+AF129</f>
        <v>330</v>
      </c>
    </row>
    <row r="132" spans="2:32"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row>
    <row r="133" spans="2:32" ht="13" x14ac:dyDescent="0.3">
      <c r="B133" s="79" t="s">
        <v>157</v>
      </c>
      <c r="C133" s="33">
        <v>-1980</v>
      </c>
      <c r="D133" s="33">
        <v>-2387</v>
      </c>
      <c r="E133" s="23">
        <v>-407</v>
      </c>
      <c r="F133" s="23">
        <v>-3074</v>
      </c>
      <c r="G133" s="23">
        <v>0</v>
      </c>
      <c r="H133" s="23">
        <v>-5460</v>
      </c>
      <c r="I133" s="23">
        <v>0</v>
      </c>
      <c r="J133" s="23">
        <v>0</v>
      </c>
      <c r="K133" s="23">
        <f>SUM(E133:J133)</f>
        <v>-8941</v>
      </c>
      <c r="L133" s="33">
        <f>N133-D133</f>
        <v>-3074</v>
      </c>
      <c r="M133" s="33">
        <f>N133-C133</f>
        <v>-3481</v>
      </c>
      <c r="N133" s="33">
        <v>-5461</v>
      </c>
      <c r="O133" s="33">
        <v>-5938</v>
      </c>
      <c r="P133" s="33">
        <v>0</v>
      </c>
      <c r="Q133" s="33">
        <v>-5938</v>
      </c>
      <c r="R133" s="33">
        <v>-5461</v>
      </c>
      <c r="S133" s="33">
        <f>Q133-R133</f>
        <v>-477</v>
      </c>
      <c r="T133" s="38">
        <f>IFERROR((Q133/N133)*100%,"∞")</f>
        <v>1.0873466398095586</v>
      </c>
      <c r="U133" s="59">
        <f>N133+V133</f>
        <v>-5461</v>
      </c>
      <c r="V133" s="33">
        <v>0</v>
      </c>
      <c r="W133" s="33">
        <v>0</v>
      </c>
      <c r="X133" s="33"/>
      <c r="Y133" s="33"/>
      <c r="Z133" s="42"/>
      <c r="AA133" s="60"/>
      <c r="AB133" s="105"/>
      <c r="AC133" s="93"/>
      <c r="AD133" s="33">
        <f>SUM(AB133:AC133)</f>
        <v>0</v>
      </c>
      <c r="AE133" s="33">
        <f>Q133+AD133</f>
        <v>-5938</v>
      </c>
      <c r="AF133" s="101">
        <f>AE133-N133</f>
        <v>-477</v>
      </c>
    </row>
    <row r="134" spans="2:32"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row>
    <row r="135" spans="2:32" ht="13.5" thickBot="1" x14ac:dyDescent="0.35">
      <c r="B135" s="91" t="s">
        <v>158</v>
      </c>
      <c r="C135" s="76">
        <f t="shared" ref="C135:J135" si="87">C131+C133</f>
        <v>22625</v>
      </c>
      <c r="D135" s="76">
        <f t="shared" si="87"/>
        <v>22621</v>
      </c>
      <c r="E135" s="76">
        <f t="shared" si="87"/>
        <v>-1</v>
      </c>
      <c r="F135" s="76">
        <f t="shared" si="87"/>
        <v>-5436</v>
      </c>
      <c r="G135" s="76">
        <f t="shared" si="87"/>
        <v>0</v>
      </c>
      <c r="H135" s="76">
        <f t="shared" si="87"/>
        <v>-5438</v>
      </c>
      <c r="I135" s="76">
        <f t="shared" si="87"/>
        <v>-1</v>
      </c>
      <c r="J135" s="76">
        <f t="shared" si="87"/>
        <v>0</v>
      </c>
      <c r="K135" s="76">
        <f>SUM(E135:J135)</f>
        <v>-10876</v>
      </c>
      <c r="L135" s="76">
        <f>N135-D135</f>
        <v>-5437</v>
      </c>
      <c r="M135" s="76">
        <f>N135-C135</f>
        <v>-5441</v>
      </c>
      <c r="N135" s="76">
        <f>N131+N133</f>
        <v>17184</v>
      </c>
      <c r="O135" s="76">
        <f>O131+O133</f>
        <v>141730</v>
      </c>
      <c r="P135" s="76">
        <f>P131+P133</f>
        <v>-124691</v>
      </c>
      <c r="Q135" s="76">
        <f>Q131+Q133</f>
        <v>17037</v>
      </c>
      <c r="R135" s="76">
        <f>R131+R133</f>
        <v>17184</v>
      </c>
      <c r="S135" s="76">
        <f>Q135-R135</f>
        <v>-147</v>
      </c>
      <c r="T135" s="92">
        <f>IFERROR((Q135/N135)*100%,"∞")</f>
        <v>0.99144553072625696</v>
      </c>
      <c r="U135" s="76">
        <f>N135+V135</f>
        <v>18220</v>
      </c>
      <c r="V135" s="76">
        <f>V131+V133</f>
        <v>1036</v>
      </c>
      <c r="W135" s="76">
        <f>W131+W133</f>
        <v>1036</v>
      </c>
      <c r="X135" s="76">
        <f>X131+X133</f>
        <v>0</v>
      </c>
      <c r="Y135" s="76">
        <f>Y131+Y133</f>
        <v>0</v>
      </c>
      <c r="Z135" s="76">
        <f>Z131+Z133</f>
        <v>0</v>
      </c>
      <c r="AA135" s="60"/>
      <c r="AB135" s="76">
        <f>AB131+AB133</f>
        <v>0</v>
      </c>
      <c r="AC135" s="76">
        <f>AC131+AC133</f>
        <v>0</v>
      </c>
      <c r="AD135" s="76">
        <f>AD131+AD133</f>
        <v>0</v>
      </c>
      <c r="AE135" s="76">
        <f>AE131+AE133</f>
        <v>17037</v>
      </c>
      <c r="AF135" s="76">
        <f>AF131+AF133</f>
        <v>-147</v>
      </c>
    </row>
    <row r="136" spans="2:32"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row>
    <row r="137" spans="2:32"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row>
    <row r="138" spans="2:32"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row>
    <row r="139" spans="2:32" ht="13" x14ac:dyDescent="0.3">
      <c r="B139" s="79" t="s">
        <v>160</v>
      </c>
      <c r="C139" s="33">
        <v>711</v>
      </c>
      <c r="D139" s="33">
        <v>711</v>
      </c>
      <c r="E139" s="23">
        <v>0</v>
      </c>
      <c r="F139" s="23">
        <v>0</v>
      </c>
      <c r="G139" s="23">
        <v>0</v>
      </c>
      <c r="H139" s="23">
        <v>0</v>
      </c>
      <c r="I139" s="23">
        <v>0</v>
      </c>
      <c r="J139" s="23">
        <v>0</v>
      </c>
      <c r="K139" s="23">
        <f t="shared" ref="K139:K140" si="88">SUM(E139:J139)</f>
        <v>0</v>
      </c>
      <c r="L139" s="33">
        <f t="shared" ref="L139:L140" si="89">N139-D139</f>
        <v>0</v>
      </c>
      <c r="M139" s="33">
        <f t="shared" ref="M139:M140" si="90">N139-C139</f>
        <v>0</v>
      </c>
      <c r="N139" s="33">
        <v>711</v>
      </c>
      <c r="O139" s="33">
        <v>0</v>
      </c>
      <c r="P139" s="33">
        <v>719</v>
      </c>
      <c r="Q139" s="33">
        <v>719</v>
      </c>
      <c r="R139" s="33">
        <v>711</v>
      </c>
      <c r="S139" s="33">
        <f t="shared" ref="S139:S140" si="91">Q139-R139</f>
        <v>8</v>
      </c>
      <c r="T139" s="38">
        <f t="shared" ref="T139:T140" si="92">IFERROR((Q139/N139)*100%,"∞")</f>
        <v>1.0112517580872011</v>
      </c>
      <c r="U139" s="59">
        <f t="shared" ref="U139:U140" si="93">N139+V139</f>
        <v>711</v>
      </c>
      <c r="V139" s="33">
        <v>0</v>
      </c>
      <c r="W139" s="33">
        <v>0</v>
      </c>
      <c r="X139" s="33"/>
      <c r="Y139" s="33"/>
      <c r="Z139" s="42"/>
      <c r="AA139" s="60"/>
      <c r="AB139" s="105"/>
      <c r="AC139" s="93"/>
      <c r="AD139" s="33">
        <f t="shared" ref="AD139:AD140" si="94">SUM(AB139:AC139)</f>
        <v>0</v>
      </c>
      <c r="AE139" s="33">
        <f t="shared" ref="AE139:AE140" si="95">Q139+AD139</f>
        <v>719</v>
      </c>
      <c r="AF139" s="101">
        <f t="shared" ref="AF139:AF140" si="96">AE139-N139</f>
        <v>8</v>
      </c>
    </row>
    <row r="140" spans="2:32" ht="13" x14ac:dyDescent="0.3">
      <c r="B140" s="79" t="s">
        <v>161</v>
      </c>
      <c r="C140" s="33">
        <v>15029</v>
      </c>
      <c r="D140" s="33">
        <v>15029</v>
      </c>
      <c r="E140" s="23">
        <v>0</v>
      </c>
      <c r="F140" s="23">
        <v>0</v>
      </c>
      <c r="G140" s="23">
        <v>0</v>
      </c>
      <c r="H140" s="23">
        <v>0</v>
      </c>
      <c r="I140" s="23">
        <v>0</v>
      </c>
      <c r="J140" s="23">
        <v>0</v>
      </c>
      <c r="K140" s="23">
        <f t="shared" si="88"/>
        <v>0</v>
      </c>
      <c r="L140" s="33">
        <f t="shared" si="89"/>
        <v>0</v>
      </c>
      <c r="M140" s="33">
        <f t="shared" si="90"/>
        <v>0</v>
      </c>
      <c r="N140" s="33">
        <v>15029</v>
      </c>
      <c r="O140" s="33">
        <v>14621</v>
      </c>
      <c r="P140" s="33">
        <v>0</v>
      </c>
      <c r="Q140" s="33">
        <v>14621</v>
      </c>
      <c r="R140" s="33">
        <v>15029</v>
      </c>
      <c r="S140" s="33">
        <f t="shared" si="91"/>
        <v>-408</v>
      </c>
      <c r="T140" s="38">
        <f t="shared" si="92"/>
        <v>0.97285248519528911</v>
      </c>
      <c r="U140" s="59">
        <f t="shared" si="93"/>
        <v>15029</v>
      </c>
      <c r="V140" s="33">
        <v>0</v>
      </c>
      <c r="W140" s="33">
        <v>0</v>
      </c>
      <c r="X140" s="33"/>
      <c r="Y140" s="33"/>
      <c r="Z140" s="42"/>
      <c r="AA140" s="60"/>
      <c r="AB140" s="105"/>
      <c r="AC140" s="93"/>
      <c r="AD140" s="33">
        <f t="shared" si="94"/>
        <v>0</v>
      </c>
      <c r="AE140" s="33">
        <f t="shared" si="95"/>
        <v>14621</v>
      </c>
      <c r="AF140" s="101">
        <f t="shared" si="96"/>
        <v>-408</v>
      </c>
    </row>
    <row r="141" spans="2:32" ht="13" x14ac:dyDescent="0.3">
      <c r="B141" s="79" t="s">
        <v>162</v>
      </c>
      <c r="C141" s="33">
        <v>-271</v>
      </c>
      <c r="D141" s="33">
        <v>-271</v>
      </c>
      <c r="E141" s="23">
        <v>0</v>
      </c>
      <c r="F141" s="23">
        <v>0</v>
      </c>
      <c r="G141" s="23">
        <v>0</v>
      </c>
      <c r="H141" s="23">
        <v>0</v>
      </c>
      <c r="I141" s="23">
        <v>0</v>
      </c>
      <c r="J141" s="23">
        <v>0</v>
      </c>
      <c r="K141" s="23">
        <f>SUM(E141:J141)</f>
        <v>0</v>
      </c>
      <c r="L141" s="33">
        <f>N141-D141</f>
        <v>0</v>
      </c>
      <c r="M141" s="33">
        <f>N141-C141</f>
        <v>0</v>
      </c>
      <c r="N141" s="33">
        <v>-271</v>
      </c>
      <c r="O141" s="33">
        <v>-281</v>
      </c>
      <c r="P141" s="33">
        <v>0</v>
      </c>
      <c r="Q141" s="33">
        <v>-281</v>
      </c>
      <c r="R141" s="33">
        <v>-271</v>
      </c>
      <c r="S141" s="33">
        <f>Q141-R141</f>
        <v>-10</v>
      </c>
      <c r="T141" s="38">
        <f>IFERROR((Q141/N141)*100%,"∞")</f>
        <v>1.03690036900369</v>
      </c>
      <c r="U141" s="59">
        <f>N141+V141</f>
        <v>-271</v>
      </c>
      <c r="V141" s="33">
        <v>0</v>
      </c>
      <c r="W141" s="33">
        <v>0</v>
      </c>
      <c r="X141" s="33"/>
      <c r="Y141" s="33"/>
      <c r="Z141" s="42"/>
      <c r="AA141" s="60"/>
      <c r="AB141" s="105"/>
      <c r="AC141" s="93"/>
      <c r="AD141" s="33">
        <f>SUM(AB141:AC141)</f>
        <v>0</v>
      </c>
      <c r="AE141" s="33">
        <f>Q141+AD141</f>
        <v>-281</v>
      </c>
      <c r="AF141" s="101">
        <f>AE141-N141</f>
        <v>-10</v>
      </c>
    </row>
    <row r="142" spans="2:32" ht="13" x14ac:dyDescent="0.3">
      <c r="B142" s="79" t="s">
        <v>163</v>
      </c>
      <c r="C142" s="33">
        <v>7154</v>
      </c>
      <c r="D142" s="33">
        <v>7154</v>
      </c>
      <c r="E142" s="23">
        <v>0</v>
      </c>
      <c r="F142" s="23">
        <v>-5437</v>
      </c>
      <c r="G142" s="23">
        <v>0</v>
      </c>
      <c r="H142" s="23">
        <v>-5437</v>
      </c>
      <c r="I142" s="23">
        <v>0</v>
      </c>
      <c r="J142" s="23">
        <v>0</v>
      </c>
      <c r="K142" s="23">
        <f>SUM(E142:J142)</f>
        <v>-10874</v>
      </c>
      <c r="L142" s="33">
        <f>N142-D142</f>
        <v>-5437</v>
      </c>
      <c r="M142" s="33">
        <f>N142-C142</f>
        <v>-5437</v>
      </c>
      <c r="N142" s="33">
        <v>1717</v>
      </c>
      <c r="O142" s="33">
        <v>2718</v>
      </c>
      <c r="P142" s="33">
        <v>-1001</v>
      </c>
      <c r="Q142" s="33">
        <v>1717</v>
      </c>
      <c r="R142" s="33">
        <v>1717</v>
      </c>
      <c r="S142" s="33">
        <f>Q142-R142</f>
        <v>0</v>
      </c>
      <c r="T142" s="38">
        <f>IFERROR((Q142/N142)*100%,"∞")</f>
        <v>1</v>
      </c>
      <c r="U142" s="59">
        <f>N142+V142</f>
        <v>1717</v>
      </c>
      <c r="V142" s="33">
        <v>0</v>
      </c>
      <c r="W142" s="33">
        <v>0</v>
      </c>
      <c r="X142" s="33"/>
      <c r="Y142" s="33"/>
      <c r="Z142" s="42"/>
      <c r="AA142" s="60"/>
      <c r="AB142" s="105"/>
      <c r="AC142" s="93"/>
      <c r="AD142" s="33">
        <f>SUM(AB142:AC142)</f>
        <v>0</v>
      </c>
      <c r="AE142" s="33">
        <f>Q142+AD142</f>
        <v>1717</v>
      </c>
      <c r="AF142" s="101">
        <f>AE142-N142</f>
        <v>0</v>
      </c>
    </row>
    <row r="143" spans="2:32"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row>
    <row r="144" spans="2:32" ht="13.5" thickBot="1" x14ac:dyDescent="0.35">
      <c r="B144" s="91" t="s">
        <v>164</v>
      </c>
      <c r="C144" s="76">
        <f t="shared" ref="C144:J144" si="97">SUM(C139:C142)</f>
        <v>22623</v>
      </c>
      <c r="D144" s="76">
        <f t="shared" si="97"/>
        <v>22623</v>
      </c>
      <c r="E144" s="76">
        <f t="shared" si="97"/>
        <v>0</v>
      </c>
      <c r="F144" s="76">
        <f t="shared" si="97"/>
        <v>-5437</v>
      </c>
      <c r="G144" s="76">
        <f t="shared" si="97"/>
        <v>0</v>
      </c>
      <c r="H144" s="76">
        <f t="shared" si="97"/>
        <v>-5437</v>
      </c>
      <c r="I144" s="76">
        <f t="shared" si="97"/>
        <v>0</v>
      </c>
      <c r="J144" s="76">
        <f t="shared" si="97"/>
        <v>0</v>
      </c>
      <c r="K144" s="76">
        <f>SUM(E144:J144)</f>
        <v>-10874</v>
      </c>
      <c r="L144" s="76">
        <f>N144-D144</f>
        <v>-5437</v>
      </c>
      <c r="M144" s="76">
        <f>N144-C144</f>
        <v>-5437</v>
      </c>
      <c r="N144" s="76">
        <f>SUM(N139:N142)</f>
        <v>17186</v>
      </c>
      <c r="O144" s="76">
        <f>SUM(O139:O142)</f>
        <v>17058</v>
      </c>
      <c r="P144" s="76">
        <f>SUM(P139:P142)</f>
        <v>-282</v>
      </c>
      <c r="Q144" s="76">
        <f>SUM(Q139:Q142)</f>
        <v>16776</v>
      </c>
      <c r="R144" s="76">
        <f>SUM(R139:R142)</f>
        <v>17186</v>
      </c>
      <c r="S144" s="76">
        <f>Q144-R144</f>
        <v>-410</v>
      </c>
      <c r="T144" s="92">
        <f>IFERROR((Q144/N144)*100%,"∞")</f>
        <v>0.97614337251251015</v>
      </c>
      <c r="U144" s="76">
        <f>N144+V144</f>
        <v>17186</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16776</v>
      </c>
      <c r="AF144" s="76">
        <f>SUM(AF139:AF142)</f>
        <v>-410</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2" ht="13.5" thickBot="1" x14ac:dyDescent="0.35">
      <c r="B146" s="91" t="s">
        <v>165</v>
      </c>
      <c r="C146" s="76">
        <f t="shared" ref="C146:J146" si="98">C135-C144</f>
        <v>2</v>
      </c>
      <c r="D146" s="76">
        <f t="shared" si="98"/>
        <v>-2</v>
      </c>
      <c r="E146" s="76">
        <f t="shared" si="98"/>
        <v>-1</v>
      </c>
      <c r="F146" s="76">
        <f t="shared" si="98"/>
        <v>1</v>
      </c>
      <c r="G146" s="76">
        <f t="shared" si="98"/>
        <v>0</v>
      </c>
      <c r="H146" s="76">
        <f t="shared" si="98"/>
        <v>-1</v>
      </c>
      <c r="I146" s="76">
        <f t="shared" si="98"/>
        <v>-1</v>
      </c>
      <c r="J146" s="76">
        <f t="shared" si="98"/>
        <v>0</v>
      </c>
      <c r="K146" s="76">
        <f>SUM(E146:J146)</f>
        <v>-2</v>
      </c>
      <c r="L146" s="76">
        <f>N146-D146</f>
        <v>0</v>
      </c>
      <c r="M146" s="76">
        <f>N146-C146</f>
        <v>-4</v>
      </c>
      <c r="N146" s="76">
        <f>N135-N144</f>
        <v>-2</v>
      </c>
      <c r="O146" s="76">
        <f>O135-O144</f>
        <v>124672</v>
      </c>
      <c r="P146" s="76">
        <f>P135-P144</f>
        <v>-124409</v>
      </c>
      <c r="Q146" s="76">
        <f>Q135-Q144</f>
        <v>261</v>
      </c>
      <c r="R146" s="76">
        <f>R135-R144</f>
        <v>-2</v>
      </c>
      <c r="S146" s="76">
        <f>Q146-R146</f>
        <v>263</v>
      </c>
      <c r="T146" s="92">
        <f>IFERROR((Q146/N146)*100%,"∞")</f>
        <v>-130.5</v>
      </c>
      <c r="U146" s="76">
        <f>N146+V146</f>
        <v>1034</v>
      </c>
      <c r="V146" s="76">
        <f>V135-V144</f>
        <v>1036</v>
      </c>
      <c r="W146" s="76">
        <f>W135-W144</f>
        <v>1036</v>
      </c>
      <c r="X146" s="76">
        <f>X135-X144</f>
        <v>0</v>
      </c>
      <c r="Y146" s="76">
        <f>Y135-Y144</f>
        <v>0</v>
      </c>
      <c r="Z146" s="76">
        <f>Z135-Z144</f>
        <v>0</v>
      </c>
      <c r="AA146" s="60"/>
      <c r="AB146" s="76">
        <f>AB135-AB144</f>
        <v>0</v>
      </c>
      <c r="AC146" s="76">
        <f>AC135-AC144</f>
        <v>0</v>
      </c>
      <c r="AD146" s="76">
        <f>AD135-AD144</f>
        <v>0</v>
      </c>
      <c r="AE146" s="76">
        <f>AE135-AE144</f>
        <v>261</v>
      </c>
      <c r="AF146" s="76">
        <f>AF135-AF144</f>
        <v>263</v>
      </c>
    </row>
    <row r="147" spans="2:32" ht="13" thickTop="1" x14ac:dyDescent="0.25"/>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AG150"/>
  <sheetViews>
    <sheetView workbookViewId="0">
      <pane xSplit="2" ySplit="2" topLeftCell="I123" activePane="bottomRight" state="frozen"/>
      <selection pane="topRight" activeCell="C1" sqref="C1"/>
      <selection pane="bottomLeft" activeCell="A3" sqref="A3"/>
      <selection pane="bottomRight" activeCell="N133" sqref="N133"/>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customWidth="1" outlineLevel="1"/>
    <col min="6" max="6" width="13.54296875" style="1" customWidth="1" outlineLevel="1"/>
    <col min="7" max="11" width="13.54296875" customWidth="1" outlineLevel="1"/>
    <col min="12" max="12" width="13.54296875" customWidth="1"/>
    <col min="13" max="13" width="13.54296875" customWidth="1" outlineLevel="1"/>
    <col min="14" max="14" width="13.54296875" customWidth="1"/>
    <col min="15" max="16" width="13.54296875" customWidth="1" outlineLevel="1"/>
    <col min="17" max="17" width="13.54296875" customWidth="1"/>
    <col min="18" max="20" width="13.54296875" customWidth="1" outlineLevel="1"/>
    <col min="21" max="22" width="13.54296875" customWidth="1"/>
    <col min="23" max="26" width="13.54296875" hidden="1" customWidth="1" outlineLevel="1"/>
    <col min="27" max="27" width="1.54296875" customWidth="1" collapsed="1"/>
    <col min="28" max="32" width="13.54296875" hidden="1" customWidth="1" outlineLevel="1"/>
    <col min="33" max="33" width="1.54296875" customWidth="1" collapsed="1"/>
    <col min="34" max="43" width="11.54296875" customWidth="1"/>
  </cols>
  <sheetData>
    <row r="1" spans="2:32" s="6" customFormat="1" ht="18.5" thickBot="1" x14ac:dyDescent="0.45">
      <c r="B1" s="17"/>
      <c r="D1" s="18" t="s">
        <v>0</v>
      </c>
      <c r="F1" s="17"/>
    </row>
    <row r="2" spans="2:32"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2" ht="13" outlineLevel="2" x14ac:dyDescent="0.3">
      <c r="B5" s="31" t="s">
        <v>36</v>
      </c>
      <c r="C5" s="33">
        <v>715</v>
      </c>
      <c r="D5" s="33">
        <v>804</v>
      </c>
      <c r="E5" s="23">
        <v>0</v>
      </c>
      <c r="F5" s="23">
        <v>-352</v>
      </c>
      <c r="G5" s="23">
        <v>-10</v>
      </c>
      <c r="H5" s="23">
        <v>0</v>
      </c>
      <c r="I5" s="23">
        <v>98</v>
      </c>
      <c r="J5" s="23">
        <v>0</v>
      </c>
      <c r="K5" s="23">
        <f t="shared" ref="K5:K68" si="0">SUM(E5:J5)</f>
        <v>-264</v>
      </c>
      <c r="L5" s="33">
        <f t="shared" ref="L5:L68" si="1">N5-D5</f>
        <v>-352</v>
      </c>
      <c r="M5" s="33">
        <f t="shared" ref="M5:M68" si="2">N5-C5</f>
        <v>-263</v>
      </c>
      <c r="N5" s="33">
        <v>452</v>
      </c>
      <c r="O5" s="33">
        <v>1908</v>
      </c>
      <c r="P5" s="33">
        <v>-1584</v>
      </c>
      <c r="Q5" s="33">
        <v>324</v>
      </c>
      <c r="R5" s="33">
        <v>452</v>
      </c>
      <c r="S5" s="33">
        <f t="shared" ref="S5:S68" si="3">Q5-R5</f>
        <v>-128</v>
      </c>
      <c r="T5" s="38">
        <f t="shared" ref="T5:T68" si="4">IFERROR((Q5/N5)*100%,"∞")</f>
        <v>0.7168141592920354</v>
      </c>
      <c r="U5" s="59">
        <f t="shared" ref="U5:U68" si="5">N5+V5</f>
        <v>452</v>
      </c>
      <c r="V5" s="33">
        <v>0</v>
      </c>
      <c r="W5" s="33">
        <v>0</v>
      </c>
      <c r="X5" s="33"/>
      <c r="Y5" s="33"/>
      <c r="Z5" s="42"/>
      <c r="AA5" s="60"/>
      <c r="AB5" s="105"/>
      <c r="AC5" s="93"/>
      <c r="AD5" s="33">
        <f t="shared" ref="AD5:AD68" si="6">SUM(AB5:AC5)</f>
        <v>0</v>
      </c>
      <c r="AE5" s="33">
        <f t="shared" ref="AE5:AE68" si="7">Q5+AD5</f>
        <v>324</v>
      </c>
      <c r="AF5" s="101">
        <f t="shared" ref="AF5:AF68" si="8">AE5-N5</f>
        <v>-128</v>
      </c>
    </row>
    <row r="6" spans="2:32"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101">
        <f t="shared" si="8"/>
        <v>17</v>
      </c>
    </row>
    <row r="7" spans="2:32" ht="13" outlineLevel="2" x14ac:dyDescent="0.3">
      <c r="B7" s="31" t="s">
        <v>38</v>
      </c>
      <c r="C7" s="33">
        <v>1098</v>
      </c>
      <c r="D7" s="33">
        <v>722</v>
      </c>
      <c r="E7" s="23">
        <v>0</v>
      </c>
      <c r="F7" s="23">
        <v>-921</v>
      </c>
      <c r="G7" s="23">
        <v>-20</v>
      </c>
      <c r="H7" s="23">
        <v>0</v>
      </c>
      <c r="I7" s="23">
        <v>-356</v>
      </c>
      <c r="J7" s="23">
        <v>-15</v>
      </c>
      <c r="K7" s="23">
        <f t="shared" si="0"/>
        <v>-1312</v>
      </c>
      <c r="L7" s="33">
        <f t="shared" si="1"/>
        <v>-937</v>
      </c>
      <c r="M7" s="33">
        <f t="shared" si="2"/>
        <v>-1313</v>
      </c>
      <c r="N7" s="33">
        <v>-215</v>
      </c>
      <c r="O7" s="33">
        <v>1723</v>
      </c>
      <c r="P7" s="33">
        <v>-1736</v>
      </c>
      <c r="Q7" s="33">
        <v>-14</v>
      </c>
      <c r="R7" s="33">
        <v>-215</v>
      </c>
      <c r="S7" s="33">
        <f t="shared" si="3"/>
        <v>201</v>
      </c>
      <c r="T7" s="38">
        <f t="shared" si="4"/>
        <v>6.5116279069767441E-2</v>
      </c>
      <c r="U7" s="59">
        <f t="shared" si="5"/>
        <v>-215</v>
      </c>
      <c r="V7" s="33">
        <v>0</v>
      </c>
      <c r="W7" s="33">
        <v>0</v>
      </c>
      <c r="X7" s="33"/>
      <c r="Y7" s="33"/>
      <c r="Z7" s="42"/>
      <c r="AA7" s="60"/>
      <c r="AB7" s="105"/>
      <c r="AC7" s="93"/>
      <c r="AD7" s="33">
        <f t="shared" si="6"/>
        <v>0</v>
      </c>
      <c r="AE7" s="33">
        <f t="shared" si="7"/>
        <v>-14</v>
      </c>
      <c r="AF7" s="101">
        <f t="shared" si="8"/>
        <v>201</v>
      </c>
    </row>
    <row r="8" spans="2:32" ht="13" outlineLevel="2" x14ac:dyDescent="0.3">
      <c r="B8" s="31" t="s">
        <v>39</v>
      </c>
      <c r="C8" s="33">
        <v>1086</v>
      </c>
      <c r="D8" s="33">
        <v>1477</v>
      </c>
      <c r="E8" s="23">
        <v>0</v>
      </c>
      <c r="F8" s="23">
        <v>283</v>
      </c>
      <c r="G8" s="23">
        <v>-6</v>
      </c>
      <c r="H8" s="23">
        <v>-28</v>
      </c>
      <c r="I8" s="23">
        <v>397</v>
      </c>
      <c r="J8" s="23">
        <v>0</v>
      </c>
      <c r="K8" s="23">
        <f t="shared" si="0"/>
        <v>646</v>
      </c>
      <c r="L8" s="33">
        <f t="shared" si="1"/>
        <v>265</v>
      </c>
      <c r="M8" s="33">
        <f t="shared" si="2"/>
        <v>656</v>
      </c>
      <c r="N8" s="33">
        <v>1742</v>
      </c>
      <c r="O8" s="33">
        <v>4451</v>
      </c>
      <c r="P8" s="33">
        <v>-2601</v>
      </c>
      <c r="Q8" s="33">
        <v>1850</v>
      </c>
      <c r="R8" s="33">
        <v>1742</v>
      </c>
      <c r="S8" s="33">
        <f t="shared" si="3"/>
        <v>108</v>
      </c>
      <c r="T8" s="38">
        <f t="shared" si="4"/>
        <v>1.0619977037887485</v>
      </c>
      <c r="U8" s="59">
        <f t="shared" si="5"/>
        <v>1742</v>
      </c>
      <c r="V8" s="33">
        <v>0</v>
      </c>
      <c r="W8" s="33">
        <v>0</v>
      </c>
      <c r="X8" s="33"/>
      <c r="Y8" s="33"/>
      <c r="Z8" s="42"/>
      <c r="AA8" s="60"/>
      <c r="AB8" s="105"/>
      <c r="AC8" s="93"/>
      <c r="AD8" s="33">
        <f t="shared" si="6"/>
        <v>0</v>
      </c>
      <c r="AE8" s="33">
        <f t="shared" si="7"/>
        <v>1850</v>
      </c>
      <c r="AF8" s="101">
        <f t="shared" si="8"/>
        <v>108</v>
      </c>
    </row>
    <row r="9" spans="2:32" ht="13" outlineLevel="2" x14ac:dyDescent="0.3">
      <c r="B9" s="31" t="s">
        <v>40</v>
      </c>
      <c r="C9" s="33">
        <v>1586</v>
      </c>
      <c r="D9" s="33">
        <v>1558</v>
      </c>
      <c r="E9" s="23">
        <v>0</v>
      </c>
      <c r="F9" s="23">
        <v>-37</v>
      </c>
      <c r="G9" s="23">
        <v>-3</v>
      </c>
      <c r="H9" s="23">
        <v>0</v>
      </c>
      <c r="I9" s="23">
        <v>-25</v>
      </c>
      <c r="J9" s="23">
        <v>0</v>
      </c>
      <c r="K9" s="23">
        <f t="shared" si="0"/>
        <v>-65</v>
      </c>
      <c r="L9" s="33">
        <f t="shared" si="1"/>
        <v>-37</v>
      </c>
      <c r="M9" s="33">
        <f t="shared" si="2"/>
        <v>-65</v>
      </c>
      <c r="N9" s="33">
        <v>1521</v>
      </c>
      <c r="O9" s="33">
        <v>4168</v>
      </c>
      <c r="P9" s="33">
        <v>-2308</v>
      </c>
      <c r="Q9" s="33">
        <v>1860</v>
      </c>
      <c r="R9" s="33">
        <v>1521</v>
      </c>
      <c r="S9" s="33">
        <f t="shared" si="3"/>
        <v>339</v>
      </c>
      <c r="T9" s="38">
        <f t="shared" si="4"/>
        <v>1.222879684418146</v>
      </c>
      <c r="U9" s="59">
        <f t="shared" si="5"/>
        <v>1480</v>
      </c>
      <c r="V9" s="33">
        <v>-41</v>
      </c>
      <c r="W9" s="33">
        <v>-41</v>
      </c>
      <c r="X9" s="33"/>
      <c r="Y9" s="33"/>
      <c r="Z9" s="42"/>
      <c r="AA9" s="60"/>
      <c r="AB9" s="105"/>
      <c r="AC9" s="93"/>
      <c r="AD9" s="33">
        <f t="shared" si="6"/>
        <v>0</v>
      </c>
      <c r="AE9" s="33">
        <f t="shared" si="7"/>
        <v>1860</v>
      </c>
      <c r="AF9" s="101">
        <f t="shared" si="8"/>
        <v>339</v>
      </c>
    </row>
    <row r="10" spans="2:32"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101">
        <f t="shared" si="8"/>
        <v>7</v>
      </c>
    </row>
    <row r="11" spans="2:32" ht="13" outlineLevel="1" x14ac:dyDescent="0.3">
      <c r="B11" s="32" t="s">
        <v>43</v>
      </c>
      <c r="C11" s="34">
        <f t="shared" ref="C11:J11" si="9">SUBTOTAL(9,C5:C10)</f>
        <v>4659</v>
      </c>
      <c r="D11" s="34">
        <f t="shared" si="9"/>
        <v>4616</v>
      </c>
      <c r="E11" s="24">
        <f t="shared" si="9"/>
        <v>0</v>
      </c>
      <c r="F11" s="24">
        <f t="shared" si="9"/>
        <v>-1027</v>
      </c>
      <c r="G11" s="24">
        <f t="shared" si="9"/>
        <v>-38</v>
      </c>
      <c r="H11" s="24">
        <f t="shared" si="9"/>
        <v>-28</v>
      </c>
      <c r="I11" s="24">
        <f t="shared" si="9"/>
        <v>-6</v>
      </c>
      <c r="J11" s="24">
        <f t="shared" si="9"/>
        <v>-15</v>
      </c>
      <c r="K11" s="24">
        <f>SUM(E11:J11)</f>
        <v>-1114</v>
      </c>
      <c r="L11" s="34">
        <f t="shared" si="1"/>
        <v>-1061</v>
      </c>
      <c r="M11" s="34">
        <f t="shared" si="2"/>
        <v>-1104</v>
      </c>
      <c r="N11" s="34">
        <f>SUBTOTAL(9,N5:N10)</f>
        <v>3555</v>
      </c>
      <c r="O11" s="34">
        <f>SUBTOTAL(9,O5:O10)</f>
        <v>12329</v>
      </c>
      <c r="P11" s="34">
        <f>SUBTOTAL(9,P5:P10)</f>
        <v>-8229</v>
      </c>
      <c r="Q11" s="34">
        <f>SUBTOTAL(9,Q5:Q10)</f>
        <v>4099</v>
      </c>
      <c r="R11" s="34">
        <f>SUBTOTAL(9,R5:R10)</f>
        <v>3555</v>
      </c>
      <c r="S11" s="34">
        <f>Q11-R11</f>
        <v>544</v>
      </c>
      <c r="T11" s="38">
        <f>IFERROR((Q11/N11)*100%,"∞")</f>
        <v>1.1530239099859354</v>
      </c>
      <c r="U11" s="59">
        <f>N11+V11</f>
        <v>3514</v>
      </c>
      <c r="V11" s="34">
        <f>SUBTOTAL(9,V5:V10)</f>
        <v>-41</v>
      </c>
      <c r="W11" s="34">
        <f>SUBTOTAL(9,W5:W10)</f>
        <v>-41</v>
      </c>
      <c r="X11" s="34"/>
      <c r="Y11" s="34"/>
      <c r="Z11" s="41"/>
      <c r="AA11" s="60"/>
      <c r="AB11" s="102">
        <f>SUBTOTAL(9,AB1:AB10)</f>
        <v>0</v>
      </c>
      <c r="AC11" s="34">
        <f>SUBTOTAL(9,AC1:AC10)</f>
        <v>0</v>
      </c>
      <c r="AD11" s="34"/>
      <c r="AE11" s="34"/>
      <c r="AF11" s="103"/>
    </row>
    <row r="12" spans="2:32" ht="13" outlineLevel="2" x14ac:dyDescent="0.3">
      <c r="B12" s="31" t="s">
        <v>44</v>
      </c>
      <c r="C12" s="33">
        <v>773</v>
      </c>
      <c r="D12" s="33">
        <v>723</v>
      </c>
      <c r="E12" s="23">
        <v>24</v>
      </c>
      <c r="F12" s="23">
        <v>29</v>
      </c>
      <c r="G12" s="23">
        <v>-25</v>
      </c>
      <c r="H12" s="23">
        <v>0</v>
      </c>
      <c r="I12" s="23">
        <v>-32</v>
      </c>
      <c r="J12" s="23">
        <v>0</v>
      </c>
      <c r="K12" s="23">
        <f t="shared" si="0"/>
        <v>-4</v>
      </c>
      <c r="L12" s="33">
        <f t="shared" si="1"/>
        <v>30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101">
        <f t="shared" si="8"/>
        <v>78</v>
      </c>
    </row>
    <row r="13" spans="2:32" ht="13" outlineLevel="1" x14ac:dyDescent="0.3">
      <c r="B13" s="32" t="s">
        <v>45</v>
      </c>
      <c r="C13" s="34">
        <f t="shared" ref="C13:J13" si="10">SUBTOTAL(9,C12:C12)</f>
        <v>773</v>
      </c>
      <c r="D13" s="34">
        <f t="shared" si="10"/>
        <v>723</v>
      </c>
      <c r="E13" s="24">
        <f t="shared" si="10"/>
        <v>24</v>
      </c>
      <c r="F13" s="24">
        <f t="shared" si="10"/>
        <v>29</v>
      </c>
      <c r="G13" s="24">
        <f t="shared" si="10"/>
        <v>-25</v>
      </c>
      <c r="H13" s="24">
        <f t="shared" si="10"/>
        <v>0</v>
      </c>
      <c r="I13" s="24">
        <f t="shared" si="10"/>
        <v>-32</v>
      </c>
      <c r="J13" s="24">
        <f t="shared" si="10"/>
        <v>0</v>
      </c>
      <c r="K13" s="24">
        <f>SUM(E13:J13)</f>
        <v>-4</v>
      </c>
      <c r="L13" s="34">
        <f t="shared" ref="L13" si="11">N13-D13</f>
        <v>30</v>
      </c>
      <c r="M13" s="34">
        <f t="shared" ref="M13" si="12">N13-C13</f>
        <v>-20</v>
      </c>
      <c r="N13" s="34">
        <f>SUBTOTAL(9,N12:N12)</f>
        <v>753</v>
      </c>
      <c r="O13" s="34">
        <f>SUBTOTAL(9,O12:O12)</f>
        <v>1783</v>
      </c>
      <c r="P13" s="34">
        <f>SUBTOTAL(9,P12:P12)</f>
        <v>-952</v>
      </c>
      <c r="Q13" s="34">
        <f>SUBTOTAL(9,Q12:Q12)</f>
        <v>831</v>
      </c>
      <c r="R13" s="34">
        <f>SUBTOTAL(9,R12:R12)</f>
        <v>753</v>
      </c>
      <c r="S13" s="34">
        <f>Q13-R13</f>
        <v>78</v>
      </c>
      <c r="T13" s="38">
        <f>IFERROR((Q13/N13)*100%,"∞")</f>
        <v>1.1035856573705178</v>
      </c>
      <c r="U13" s="59">
        <f>N13+V13</f>
        <v>813</v>
      </c>
      <c r="V13" s="34">
        <f>SUBTOTAL(9,V12:V12)</f>
        <v>60</v>
      </c>
      <c r="W13" s="34">
        <f>SUBTOTAL(9,W12:W12)</f>
        <v>60</v>
      </c>
      <c r="X13" s="34"/>
      <c r="Y13" s="34"/>
      <c r="Z13" s="41"/>
      <c r="AA13" s="60"/>
      <c r="AB13" s="102">
        <f>SUBTOTAL(9,AB1:AB12)</f>
        <v>0</v>
      </c>
      <c r="AC13" s="34">
        <f>SUBTOTAL(9,AC1:AC12)</f>
        <v>0</v>
      </c>
      <c r="AD13" s="34"/>
      <c r="AE13" s="34"/>
      <c r="AF13" s="103"/>
    </row>
    <row r="14" spans="2:32" ht="13" outlineLevel="2" x14ac:dyDescent="0.3">
      <c r="B14" s="31" t="s">
        <v>46</v>
      </c>
      <c r="C14" s="33">
        <v>1045</v>
      </c>
      <c r="D14" s="33">
        <v>1031</v>
      </c>
      <c r="E14" s="23">
        <v>-12</v>
      </c>
      <c r="F14" s="23">
        <v>0</v>
      </c>
      <c r="G14" s="23">
        <v>-8</v>
      </c>
      <c r="H14" s="23">
        <v>0</v>
      </c>
      <c r="I14" s="23">
        <v>6</v>
      </c>
      <c r="J14" s="23">
        <v>0</v>
      </c>
      <c r="K14" s="23">
        <f t="shared" si="0"/>
        <v>-14</v>
      </c>
      <c r="L14" s="33">
        <f t="shared" si="1"/>
        <v>0</v>
      </c>
      <c r="M14" s="33">
        <f t="shared" si="2"/>
        <v>-14</v>
      </c>
      <c r="N14" s="33">
        <v>1031</v>
      </c>
      <c r="O14" s="33">
        <v>1617</v>
      </c>
      <c r="P14" s="33">
        <v>-295</v>
      </c>
      <c r="Q14" s="33">
        <v>1322</v>
      </c>
      <c r="R14" s="33">
        <v>1031</v>
      </c>
      <c r="S14" s="33">
        <f t="shared" si="3"/>
        <v>291</v>
      </c>
      <c r="T14" s="38">
        <f t="shared" si="4"/>
        <v>1.2822502424830262</v>
      </c>
      <c r="U14" s="59">
        <f t="shared" si="5"/>
        <v>743</v>
      </c>
      <c r="V14" s="33">
        <v>-288</v>
      </c>
      <c r="W14" s="33">
        <v>-288</v>
      </c>
      <c r="X14" s="33"/>
      <c r="Y14" s="33"/>
      <c r="Z14" s="42"/>
      <c r="AA14" s="60"/>
      <c r="AB14" s="105"/>
      <c r="AC14" s="93"/>
      <c r="AD14" s="33">
        <f t="shared" si="6"/>
        <v>0</v>
      </c>
      <c r="AE14" s="33">
        <f t="shared" si="7"/>
        <v>1322</v>
      </c>
      <c r="AF14" s="101">
        <f t="shared" si="8"/>
        <v>291</v>
      </c>
    </row>
    <row r="15" spans="2:32"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101">
        <f t="shared" si="8"/>
        <v>14</v>
      </c>
    </row>
    <row r="16" spans="2:32"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101">
        <f t="shared" si="8"/>
        <v>-55</v>
      </c>
    </row>
    <row r="17" spans="2:32" ht="13" outlineLevel="2" x14ac:dyDescent="0.3">
      <c r="B17" s="31" t="s">
        <v>49</v>
      </c>
      <c r="C17" s="33">
        <v>602</v>
      </c>
      <c r="D17" s="33">
        <v>640</v>
      </c>
      <c r="E17" s="23">
        <v>43</v>
      </c>
      <c r="F17" s="23">
        <v>0</v>
      </c>
      <c r="G17" s="23">
        <v>-5</v>
      </c>
      <c r="H17" s="23">
        <v>0</v>
      </c>
      <c r="I17" s="23">
        <v>0</v>
      </c>
      <c r="J17" s="23">
        <v>0</v>
      </c>
      <c r="K17" s="23">
        <f t="shared" si="0"/>
        <v>38</v>
      </c>
      <c r="L17" s="33">
        <f t="shared" si="1"/>
        <v>0</v>
      </c>
      <c r="M17" s="33">
        <f t="shared" si="2"/>
        <v>38</v>
      </c>
      <c r="N17" s="33">
        <v>640</v>
      </c>
      <c r="O17" s="33">
        <v>820</v>
      </c>
      <c r="P17" s="33">
        <v>-328</v>
      </c>
      <c r="Q17" s="33">
        <v>492</v>
      </c>
      <c r="R17" s="33">
        <v>640</v>
      </c>
      <c r="S17" s="33">
        <f t="shared" si="3"/>
        <v>-148</v>
      </c>
      <c r="T17" s="38">
        <f t="shared" si="4"/>
        <v>0.76875000000000004</v>
      </c>
      <c r="U17" s="59">
        <f t="shared" si="5"/>
        <v>542</v>
      </c>
      <c r="V17" s="33">
        <v>-98</v>
      </c>
      <c r="W17" s="33">
        <v>-98</v>
      </c>
      <c r="X17" s="33"/>
      <c r="Y17" s="33"/>
      <c r="Z17" s="42"/>
      <c r="AA17" s="60"/>
      <c r="AB17" s="105"/>
      <c r="AC17" s="93"/>
      <c r="AD17" s="33">
        <f t="shared" si="6"/>
        <v>0</v>
      </c>
      <c r="AE17" s="33">
        <f t="shared" si="7"/>
        <v>492</v>
      </c>
      <c r="AF17" s="101">
        <f t="shared" si="8"/>
        <v>-148</v>
      </c>
    </row>
    <row r="18" spans="2:32" ht="13" outlineLevel="2" x14ac:dyDescent="0.3">
      <c r="B18" s="31" t="s">
        <v>50</v>
      </c>
      <c r="C18" s="33">
        <v>393</v>
      </c>
      <c r="D18" s="33">
        <v>154</v>
      </c>
      <c r="E18" s="23">
        <v>0</v>
      </c>
      <c r="F18" s="23">
        <v>0</v>
      </c>
      <c r="G18" s="23">
        <v>4</v>
      </c>
      <c r="H18" s="23">
        <v>0</v>
      </c>
      <c r="I18" s="23">
        <v>-242</v>
      </c>
      <c r="J18" s="23">
        <v>-30</v>
      </c>
      <c r="K18" s="23">
        <f t="shared" si="0"/>
        <v>-268</v>
      </c>
      <c r="L18" s="33">
        <f t="shared" si="1"/>
        <v>-30</v>
      </c>
      <c r="M18" s="33">
        <f t="shared" si="2"/>
        <v>-269</v>
      </c>
      <c r="N18" s="33">
        <v>124</v>
      </c>
      <c r="O18" s="33">
        <v>177</v>
      </c>
      <c r="P18" s="33">
        <v>-58</v>
      </c>
      <c r="Q18" s="33">
        <v>119</v>
      </c>
      <c r="R18" s="33">
        <v>124</v>
      </c>
      <c r="S18" s="33">
        <f t="shared" si="3"/>
        <v>-5</v>
      </c>
      <c r="T18" s="38">
        <f t="shared" si="4"/>
        <v>0.95967741935483875</v>
      </c>
      <c r="U18" s="59">
        <f t="shared" si="5"/>
        <v>127</v>
      </c>
      <c r="V18" s="33">
        <v>3</v>
      </c>
      <c r="W18" s="33">
        <v>3</v>
      </c>
      <c r="X18" s="33"/>
      <c r="Y18" s="33"/>
      <c r="Z18" s="42"/>
      <c r="AA18" s="60"/>
      <c r="AB18" s="105"/>
      <c r="AC18" s="93"/>
      <c r="AD18" s="33">
        <f t="shared" si="6"/>
        <v>0</v>
      </c>
      <c r="AE18" s="33">
        <f t="shared" si="7"/>
        <v>119</v>
      </c>
      <c r="AF18" s="101">
        <f t="shared" si="8"/>
        <v>-5</v>
      </c>
    </row>
    <row r="19" spans="2:32"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101">
        <f t="shared" si="8"/>
        <v>-141</v>
      </c>
    </row>
    <row r="20" spans="2:32" ht="13" outlineLevel="2" x14ac:dyDescent="0.3">
      <c r="B20" s="31" t="s">
        <v>52</v>
      </c>
      <c r="C20" s="33">
        <v>481</v>
      </c>
      <c r="D20" s="33">
        <v>475</v>
      </c>
      <c r="E20" s="23">
        <v>13</v>
      </c>
      <c r="F20" s="23">
        <v>0</v>
      </c>
      <c r="G20" s="23">
        <v>-3</v>
      </c>
      <c r="H20" s="23">
        <v>0</v>
      </c>
      <c r="I20" s="23">
        <v>-16</v>
      </c>
      <c r="J20" s="23">
        <v>0</v>
      </c>
      <c r="K20" s="23">
        <f t="shared" si="0"/>
        <v>-6</v>
      </c>
      <c r="L20" s="33">
        <f t="shared" si="1"/>
        <v>0</v>
      </c>
      <c r="M20" s="33">
        <f t="shared" si="2"/>
        <v>-6</v>
      </c>
      <c r="N20" s="33">
        <v>475</v>
      </c>
      <c r="O20" s="33">
        <v>976</v>
      </c>
      <c r="P20" s="33">
        <v>-551</v>
      </c>
      <c r="Q20" s="33">
        <v>425</v>
      </c>
      <c r="R20" s="33">
        <v>475</v>
      </c>
      <c r="S20" s="33">
        <f t="shared" si="3"/>
        <v>-50</v>
      </c>
      <c r="T20" s="38">
        <f t="shared" si="4"/>
        <v>0.89473684210526316</v>
      </c>
      <c r="U20" s="59">
        <f t="shared" si="5"/>
        <v>526</v>
      </c>
      <c r="V20" s="33">
        <v>51</v>
      </c>
      <c r="W20" s="33">
        <v>51</v>
      </c>
      <c r="X20" s="33"/>
      <c r="Y20" s="33"/>
      <c r="Z20" s="42"/>
      <c r="AA20" s="60"/>
      <c r="AB20" s="105"/>
      <c r="AC20" s="93"/>
      <c r="AD20" s="33">
        <f t="shared" si="6"/>
        <v>0</v>
      </c>
      <c r="AE20" s="33">
        <f t="shared" si="7"/>
        <v>425</v>
      </c>
      <c r="AF20" s="101">
        <f t="shared" si="8"/>
        <v>-50</v>
      </c>
    </row>
    <row r="21" spans="2:32" ht="13" outlineLevel="2" x14ac:dyDescent="0.3">
      <c r="B21" s="31" t="s">
        <v>53</v>
      </c>
      <c r="C21" s="33">
        <v>1168</v>
      </c>
      <c r="D21" s="33">
        <v>1452</v>
      </c>
      <c r="E21" s="23">
        <v>0</v>
      </c>
      <c r="F21" s="23">
        <v>-90</v>
      </c>
      <c r="G21" s="23">
        <v>-4</v>
      </c>
      <c r="H21" s="23">
        <v>0</v>
      </c>
      <c r="I21" s="23">
        <v>288</v>
      </c>
      <c r="J21" s="23">
        <v>-15</v>
      </c>
      <c r="K21" s="23">
        <f t="shared" si="0"/>
        <v>179</v>
      </c>
      <c r="L21" s="33">
        <f t="shared" si="1"/>
        <v>-105</v>
      </c>
      <c r="M21" s="33">
        <f t="shared" si="2"/>
        <v>179</v>
      </c>
      <c r="N21" s="33">
        <v>1347</v>
      </c>
      <c r="O21" s="33">
        <v>1324</v>
      </c>
      <c r="P21" s="33">
        <v>-353</v>
      </c>
      <c r="Q21" s="33">
        <v>970</v>
      </c>
      <c r="R21" s="33">
        <v>1347</v>
      </c>
      <c r="S21" s="33">
        <f t="shared" si="3"/>
        <v>-377</v>
      </c>
      <c r="T21" s="38">
        <f t="shared" si="4"/>
        <v>0.72011878247958427</v>
      </c>
      <c r="U21" s="59">
        <f t="shared" si="5"/>
        <v>1294</v>
      </c>
      <c r="V21" s="33">
        <v>-53</v>
      </c>
      <c r="W21" s="33">
        <v>-53</v>
      </c>
      <c r="X21" s="33"/>
      <c r="Y21" s="33"/>
      <c r="Z21" s="42"/>
      <c r="AA21" s="60"/>
      <c r="AB21" s="105"/>
      <c r="AC21" s="93"/>
      <c r="AD21" s="33">
        <f t="shared" si="6"/>
        <v>0</v>
      </c>
      <c r="AE21" s="33">
        <f t="shared" si="7"/>
        <v>970</v>
      </c>
      <c r="AF21" s="101">
        <f t="shared" si="8"/>
        <v>-377</v>
      </c>
    </row>
    <row r="22" spans="2:32" ht="13" outlineLevel="2" x14ac:dyDescent="0.3">
      <c r="B22" s="31" t="s">
        <v>54</v>
      </c>
      <c r="C22" s="33">
        <v>0</v>
      </c>
      <c r="D22" s="33">
        <v>4</v>
      </c>
      <c r="E22" s="23">
        <v>0</v>
      </c>
      <c r="F22" s="23">
        <v>0</v>
      </c>
      <c r="G22" s="23">
        <v>4</v>
      </c>
      <c r="H22" s="23">
        <v>0</v>
      </c>
      <c r="I22" s="23">
        <v>0</v>
      </c>
      <c r="J22" s="23">
        <v>0</v>
      </c>
      <c r="K22" s="23">
        <f t="shared" si="0"/>
        <v>4</v>
      </c>
      <c r="L22" s="33">
        <f t="shared" si="1"/>
        <v>0</v>
      </c>
      <c r="M22" s="33">
        <f t="shared" si="2"/>
        <v>4</v>
      </c>
      <c r="N22" s="33">
        <v>4</v>
      </c>
      <c r="O22" s="33">
        <v>976</v>
      </c>
      <c r="P22" s="33">
        <v>-913</v>
      </c>
      <c r="Q22" s="33">
        <v>63</v>
      </c>
      <c r="R22" s="33">
        <v>4</v>
      </c>
      <c r="S22" s="33">
        <f t="shared" si="3"/>
        <v>59</v>
      </c>
      <c r="T22" s="38">
        <f t="shared" si="4"/>
        <v>15.75</v>
      </c>
      <c r="U22" s="59">
        <f t="shared" si="5"/>
        <v>4</v>
      </c>
      <c r="V22" s="33">
        <v>0</v>
      </c>
      <c r="W22" s="33">
        <v>0</v>
      </c>
      <c r="X22" s="33"/>
      <c r="Y22" s="33"/>
      <c r="Z22" s="42"/>
      <c r="AA22" s="60"/>
      <c r="AB22" s="105"/>
      <c r="AC22" s="93"/>
      <c r="AD22" s="33">
        <f t="shared" si="6"/>
        <v>0</v>
      </c>
      <c r="AE22" s="33">
        <f t="shared" si="7"/>
        <v>63</v>
      </c>
      <c r="AF22" s="101">
        <f t="shared" si="8"/>
        <v>59</v>
      </c>
    </row>
    <row r="23" spans="2:32" ht="13" outlineLevel="1" x14ac:dyDescent="0.3">
      <c r="B23" s="32" t="s">
        <v>55</v>
      </c>
      <c r="C23" s="34">
        <f t="shared" ref="C23:J23" si="13">SUBTOTAL(9,C14:C22)</f>
        <v>5010</v>
      </c>
      <c r="D23" s="34">
        <f t="shared" si="13"/>
        <v>5194</v>
      </c>
      <c r="E23" s="24">
        <f t="shared" si="13"/>
        <v>75</v>
      </c>
      <c r="F23" s="24">
        <f t="shared" si="13"/>
        <v>-90</v>
      </c>
      <c r="G23" s="24">
        <f t="shared" si="13"/>
        <v>-32</v>
      </c>
      <c r="H23" s="24">
        <f t="shared" si="13"/>
        <v>0</v>
      </c>
      <c r="I23" s="24">
        <f t="shared" si="13"/>
        <v>140</v>
      </c>
      <c r="J23" s="24">
        <f t="shared" si="13"/>
        <v>-45</v>
      </c>
      <c r="K23" s="24">
        <f>SUM(E23:J23)</f>
        <v>48</v>
      </c>
      <c r="L23" s="34">
        <f t="shared" ref="L23:L24" si="14">N23-D23</f>
        <v>-135</v>
      </c>
      <c r="M23" s="34">
        <f t="shared" ref="M23:M24" si="15">N23-C23</f>
        <v>49</v>
      </c>
      <c r="N23" s="34">
        <f>SUBTOTAL(9,N14:N22)</f>
        <v>5059</v>
      </c>
      <c r="O23" s="34">
        <f>SUBTOTAL(9,O14:O22)</f>
        <v>8367</v>
      </c>
      <c r="P23" s="34">
        <f>SUBTOTAL(9,P14:P22)</f>
        <v>-3720</v>
      </c>
      <c r="Q23" s="34">
        <f>SUBTOTAL(9,Q14:Q22)</f>
        <v>4647</v>
      </c>
      <c r="R23" s="34">
        <f>SUBTOTAL(9,R14:R22)</f>
        <v>5059</v>
      </c>
      <c r="S23" s="34">
        <f>Q23-R23</f>
        <v>-412</v>
      </c>
      <c r="T23" s="38">
        <f>IFERROR((Q23/N23)*100%,"∞")</f>
        <v>0.91856098043091516</v>
      </c>
      <c r="U23" s="59">
        <f>N23+V23</f>
        <v>4576</v>
      </c>
      <c r="V23" s="34">
        <f>SUBTOTAL(9,V14:V22)</f>
        <v>-483</v>
      </c>
      <c r="W23" s="34">
        <f>SUBTOTAL(9,W14:W22)</f>
        <v>-483</v>
      </c>
      <c r="X23" s="34"/>
      <c r="Y23" s="34"/>
      <c r="Z23" s="41"/>
      <c r="AA23" s="60"/>
      <c r="AB23" s="102">
        <f>SUBTOTAL(9,AB1:AB22)</f>
        <v>0</v>
      </c>
      <c r="AC23" s="34">
        <f>SUBTOTAL(9,AC1:AC22)</f>
        <v>0</v>
      </c>
      <c r="AD23" s="34"/>
      <c r="AE23" s="34"/>
      <c r="AF23" s="103"/>
    </row>
    <row r="24" spans="2:32" ht="14.9" customHeight="1" thickBot="1" x14ac:dyDescent="0.35">
      <c r="B24" s="53" t="s">
        <v>56</v>
      </c>
      <c r="C24" s="35">
        <f t="shared" ref="C24:J24" si="16">SUBTOTAL(9,C5:C23)</f>
        <v>10442</v>
      </c>
      <c r="D24" s="35">
        <f t="shared" si="16"/>
        <v>10533</v>
      </c>
      <c r="E24" s="25">
        <f t="shared" si="16"/>
        <v>99</v>
      </c>
      <c r="F24" s="25">
        <f t="shared" si="16"/>
        <v>-1088</v>
      </c>
      <c r="G24" s="25">
        <f t="shared" si="16"/>
        <v>-95</v>
      </c>
      <c r="H24" s="25">
        <f t="shared" si="16"/>
        <v>-28</v>
      </c>
      <c r="I24" s="25">
        <f t="shared" si="16"/>
        <v>102</v>
      </c>
      <c r="J24" s="25">
        <f t="shared" si="16"/>
        <v>-60</v>
      </c>
      <c r="K24" s="25">
        <f>SUM(E24:J24)</f>
        <v>-1070</v>
      </c>
      <c r="L24" s="35">
        <f t="shared" si="14"/>
        <v>-1166</v>
      </c>
      <c r="M24" s="35">
        <f t="shared" si="15"/>
        <v>-1075</v>
      </c>
      <c r="N24" s="35">
        <f>SUBTOTAL(9,N5:N23)</f>
        <v>9367</v>
      </c>
      <c r="O24" s="35">
        <f>SUBTOTAL(9,O5:O23)</f>
        <v>22479</v>
      </c>
      <c r="P24" s="35">
        <f>SUBTOTAL(9,P5:P23)</f>
        <v>-12901</v>
      </c>
      <c r="Q24" s="35">
        <f>SUBTOTAL(9,Q5:Q23)</f>
        <v>9577</v>
      </c>
      <c r="R24" s="35">
        <f>SUBTOTAL(9,R5:R23)</f>
        <v>9367</v>
      </c>
      <c r="S24" s="35">
        <f>Q24-R24</f>
        <v>210</v>
      </c>
      <c r="T24" s="39">
        <f>IFERROR((Q24/N24)*100%,"∞")</f>
        <v>1.0224191309917796</v>
      </c>
      <c r="U24" s="54">
        <f>N24+V24</f>
        <v>8903</v>
      </c>
      <c r="V24" s="35">
        <f>SUBTOTAL(9,V5:V23)</f>
        <v>-464</v>
      </c>
      <c r="W24" s="35">
        <f>SUBTOTAL(9,W5:W23)</f>
        <v>-464</v>
      </c>
      <c r="X24" s="35"/>
      <c r="Y24" s="35"/>
      <c r="Z24" s="43"/>
      <c r="AA24" s="60"/>
      <c r="AB24" s="104">
        <f>SUBTOTAL(9,AB1:AB23)</f>
        <v>0</v>
      </c>
      <c r="AC24" s="104">
        <f>SUBTOTAL(9,AC1:AC23)</f>
        <v>0</v>
      </c>
      <c r="AD24" s="35">
        <f>SUM(AB24:AC24)</f>
        <v>0</v>
      </c>
      <c r="AE24" s="35">
        <f>Q24+AD24</f>
        <v>9577</v>
      </c>
      <c r="AF24" s="43">
        <f>AE24-N24</f>
        <v>210</v>
      </c>
    </row>
    <row r="25" spans="2:32"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101">
        <f t="shared" si="8"/>
        <v>1</v>
      </c>
    </row>
    <row r="26" spans="2:32" ht="13" outlineLevel="2" x14ac:dyDescent="0.3">
      <c r="B26" s="31" t="s">
        <v>58</v>
      </c>
      <c r="C26" s="33">
        <v>-10723</v>
      </c>
      <c r="D26" s="33">
        <v>-10871</v>
      </c>
      <c r="E26" s="23">
        <v>0</v>
      </c>
      <c r="F26" s="23">
        <v>147</v>
      </c>
      <c r="G26" s="23">
        <v>-28</v>
      </c>
      <c r="H26" s="23">
        <v>0</v>
      </c>
      <c r="I26" s="23">
        <v>-120</v>
      </c>
      <c r="J26" s="23">
        <v>-30</v>
      </c>
      <c r="K26" s="23">
        <f t="shared" si="0"/>
        <v>-31</v>
      </c>
      <c r="L26" s="33">
        <f t="shared" si="1"/>
        <v>116</v>
      </c>
      <c r="M26" s="33">
        <f t="shared" si="2"/>
        <v>-32</v>
      </c>
      <c r="N26" s="33">
        <v>-10755</v>
      </c>
      <c r="O26" s="33">
        <v>2279</v>
      </c>
      <c r="P26" s="33">
        <v>-12311</v>
      </c>
      <c r="Q26" s="33">
        <v>-10032</v>
      </c>
      <c r="R26" s="33">
        <v>-10755</v>
      </c>
      <c r="S26" s="33">
        <f t="shared" si="3"/>
        <v>723</v>
      </c>
      <c r="T26" s="38">
        <f t="shared" si="4"/>
        <v>0.9327754532775453</v>
      </c>
      <c r="U26" s="59">
        <f t="shared" si="5"/>
        <v>-9638</v>
      </c>
      <c r="V26" s="33">
        <v>1117</v>
      </c>
      <c r="W26" s="33">
        <v>1117</v>
      </c>
      <c r="X26" s="33"/>
      <c r="Y26" s="33"/>
      <c r="Z26" s="42"/>
      <c r="AA26" s="60"/>
      <c r="AB26" s="105"/>
      <c r="AC26" s="93"/>
      <c r="AD26" s="33">
        <f t="shared" si="6"/>
        <v>0</v>
      </c>
      <c r="AE26" s="33">
        <f t="shared" si="7"/>
        <v>-10032</v>
      </c>
      <c r="AF26" s="101">
        <f t="shared" si="8"/>
        <v>723</v>
      </c>
    </row>
    <row r="27" spans="2:32"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101">
        <f t="shared" si="8"/>
        <v>-42</v>
      </c>
    </row>
    <row r="28" spans="2:32" ht="13" outlineLevel="1" x14ac:dyDescent="0.3">
      <c r="B28" s="32" t="s">
        <v>61</v>
      </c>
      <c r="C28" s="34">
        <f t="shared" ref="C28:J28" si="17">SUBTOTAL(9,C25:C27)</f>
        <v>-9068</v>
      </c>
      <c r="D28" s="34">
        <f t="shared" si="17"/>
        <v>-9242</v>
      </c>
      <c r="E28" s="24">
        <f t="shared" si="17"/>
        <v>0</v>
      </c>
      <c r="F28" s="24">
        <f t="shared" si="17"/>
        <v>147</v>
      </c>
      <c r="G28" s="24">
        <f t="shared" si="17"/>
        <v>-59</v>
      </c>
      <c r="H28" s="24">
        <f t="shared" si="17"/>
        <v>0</v>
      </c>
      <c r="I28" s="24">
        <f t="shared" si="17"/>
        <v>-114</v>
      </c>
      <c r="J28" s="24">
        <f t="shared" si="17"/>
        <v>-30</v>
      </c>
      <c r="K28" s="24">
        <f>SUM(E28:J28)</f>
        <v>-56</v>
      </c>
      <c r="L28" s="34">
        <f t="shared" ref="L28" si="18">N28-D28</f>
        <v>116</v>
      </c>
      <c r="M28" s="34">
        <f t="shared" ref="M28" si="19">N28-C28</f>
        <v>-58</v>
      </c>
      <c r="N28" s="34">
        <f>SUBTOTAL(9,N25:N27)</f>
        <v>-9126</v>
      </c>
      <c r="O28" s="34">
        <f>SUBTOTAL(9,O25:O27)</f>
        <v>4920</v>
      </c>
      <c r="P28" s="34">
        <f>SUBTOTAL(9,P25:P27)</f>
        <v>-13364</v>
      </c>
      <c r="Q28" s="34">
        <f>SUBTOTAL(9,Q25:Q27)</f>
        <v>-8444</v>
      </c>
      <c r="R28" s="34">
        <f>SUBTOTAL(9,R25:R27)</f>
        <v>-9126</v>
      </c>
      <c r="S28" s="34">
        <f>Q28-R28</f>
        <v>682</v>
      </c>
      <c r="T28" s="38">
        <f>IFERROR((Q28/N28)*100%,"∞")</f>
        <v>0.92526846373000216</v>
      </c>
      <c r="U28" s="59">
        <f>N28+V28</f>
        <v>-7859</v>
      </c>
      <c r="V28" s="34">
        <f>SUBTOTAL(9,V25:V27)</f>
        <v>1267</v>
      </c>
      <c r="W28" s="34">
        <f>SUBTOTAL(9,W25:W27)</f>
        <v>1267</v>
      </c>
      <c r="X28" s="34"/>
      <c r="Y28" s="34"/>
      <c r="Z28" s="41"/>
      <c r="AA28" s="60"/>
      <c r="AB28" s="102">
        <f>SUBTOTAL(9,AB1:AB27)</f>
        <v>0</v>
      </c>
      <c r="AC28" s="34">
        <f>SUBTOTAL(9,AC1:AC27)</f>
        <v>0</v>
      </c>
      <c r="AD28" s="34"/>
      <c r="AE28" s="34"/>
      <c r="AF28" s="103"/>
    </row>
    <row r="29" spans="2:32" ht="13" outlineLevel="2" x14ac:dyDescent="0.3">
      <c r="B29" s="31" t="s">
        <v>62</v>
      </c>
      <c r="C29" s="33">
        <v>333</v>
      </c>
      <c r="D29" s="33">
        <v>409</v>
      </c>
      <c r="E29" s="23">
        <v>50</v>
      </c>
      <c r="F29" s="23">
        <v>58</v>
      </c>
      <c r="G29" s="23">
        <v>20</v>
      </c>
      <c r="H29" s="23">
        <v>0</v>
      </c>
      <c r="I29" s="23">
        <v>6</v>
      </c>
      <c r="J29" s="23">
        <v>0</v>
      </c>
      <c r="K29" s="23">
        <f t="shared" si="0"/>
        <v>134</v>
      </c>
      <c r="L29" s="33">
        <f t="shared" si="1"/>
        <v>58</v>
      </c>
      <c r="M29" s="33">
        <f t="shared" si="2"/>
        <v>134</v>
      </c>
      <c r="N29" s="33">
        <v>467</v>
      </c>
      <c r="O29" s="33">
        <v>985</v>
      </c>
      <c r="P29" s="33">
        <v>-444</v>
      </c>
      <c r="Q29" s="33">
        <v>541</v>
      </c>
      <c r="R29" s="33">
        <v>467</v>
      </c>
      <c r="S29" s="33">
        <f t="shared" si="3"/>
        <v>74</v>
      </c>
      <c r="T29" s="38">
        <f t="shared" si="4"/>
        <v>1.1584582441113491</v>
      </c>
      <c r="U29" s="59">
        <f t="shared" si="5"/>
        <v>467</v>
      </c>
      <c r="V29" s="33">
        <v>0</v>
      </c>
      <c r="W29" s="33">
        <v>0</v>
      </c>
      <c r="X29" s="33"/>
      <c r="Y29" s="33"/>
      <c r="Z29" s="42"/>
      <c r="AA29" s="60"/>
      <c r="AB29" s="105"/>
      <c r="AC29" s="93"/>
      <c r="AD29" s="33">
        <f t="shared" si="6"/>
        <v>0</v>
      </c>
      <c r="AE29" s="33">
        <f t="shared" si="7"/>
        <v>541</v>
      </c>
      <c r="AF29" s="101">
        <f t="shared" si="8"/>
        <v>74</v>
      </c>
    </row>
    <row r="30" spans="2:32"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101">
        <f t="shared" si="8"/>
        <v>-89</v>
      </c>
    </row>
    <row r="31" spans="2:32"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101">
        <f t="shared" si="8"/>
        <v>1</v>
      </c>
    </row>
    <row r="32" spans="2:32" ht="13" outlineLevel="1" x14ac:dyDescent="0.3">
      <c r="B32" s="32" t="s">
        <v>65</v>
      </c>
      <c r="C32" s="34">
        <f t="shared" ref="C32:J32" si="20">SUBTOTAL(9,C29:C31)</f>
        <v>782</v>
      </c>
      <c r="D32" s="34">
        <f t="shared" si="20"/>
        <v>845</v>
      </c>
      <c r="E32" s="24">
        <f t="shared" si="20"/>
        <v>50</v>
      </c>
      <c r="F32" s="24">
        <f t="shared" si="20"/>
        <v>58</v>
      </c>
      <c r="G32" s="24">
        <f t="shared" si="20"/>
        <v>6</v>
      </c>
      <c r="H32" s="24">
        <f t="shared" si="20"/>
        <v>0</v>
      </c>
      <c r="I32" s="24">
        <f t="shared" si="20"/>
        <v>6</v>
      </c>
      <c r="J32" s="24">
        <f t="shared" si="20"/>
        <v>0</v>
      </c>
      <c r="K32" s="24">
        <f>SUM(E32:J32)</f>
        <v>120</v>
      </c>
      <c r="L32" s="34">
        <f t="shared" ref="L32" si="21">N32-D32</f>
        <v>58</v>
      </c>
      <c r="M32" s="34">
        <f t="shared" ref="M32" si="22">N32-C32</f>
        <v>121</v>
      </c>
      <c r="N32" s="34">
        <f>SUBTOTAL(9,N29:N31)</f>
        <v>903</v>
      </c>
      <c r="O32" s="34">
        <f>SUBTOTAL(9,O29:O31)</f>
        <v>1363</v>
      </c>
      <c r="P32" s="34">
        <f>SUBTOTAL(9,P29:P31)</f>
        <v>-474</v>
      </c>
      <c r="Q32" s="34">
        <f>SUBTOTAL(9,Q29:Q31)</f>
        <v>889</v>
      </c>
      <c r="R32" s="34">
        <f>SUBTOTAL(9,R29:R31)</f>
        <v>903</v>
      </c>
      <c r="S32" s="34">
        <f>Q32-R32</f>
        <v>-14</v>
      </c>
      <c r="T32" s="38">
        <f>IFERROR((Q32/N32)*100%,"∞")</f>
        <v>0.98449612403100772</v>
      </c>
      <c r="U32" s="59">
        <f>N32+V32</f>
        <v>903</v>
      </c>
      <c r="V32" s="34">
        <f>SUBTOTAL(9,V29:V31)</f>
        <v>0</v>
      </c>
      <c r="W32" s="34">
        <f>SUBTOTAL(9,W29:W31)</f>
        <v>0</v>
      </c>
      <c r="X32" s="34"/>
      <c r="Y32" s="34"/>
      <c r="Z32" s="41"/>
      <c r="AA32" s="60"/>
      <c r="AB32" s="102">
        <f>SUBTOTAL(9,AB1:AB31)</f>
        <v>0</v>
      </c>
      <c r="AC32" s="34">
        <f>SUBTOTAL(9,AC1:AC31)</f>
        <v>0</v>
      </c>
      <c r="AD32" s="34"/>
      <c r="AE32" s="34"/>
      <c r="AF32" s="103"/>
    </row>
    <row r="33" spans="2:32"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101">
        <f t="shared" si="8"/>
        <v>-33</v>
      </c>
    </row>
    <row r="34" spans="2:32" ht="13" outlineLevel="2" x14ac:dyDescent="0.3">
      <c r="B34" s="31" t="s">
        <v>67</v>
      </c>
      <c r="C34" s="33">
        <v>184</v>
      </c>
      <c r="D34" s="33">
        <v>179</v>
      </c>
      <c r="E34" s="23">
        <v>0</v>
      </c>
      <c r="F34" s="23">
        <v>-4</v>
      </c>
      <c r="G34" s="23">
        <v>-4</v>
      </c>
      <c r="H34" s="23">
        <v>0</v>
      </c>
      <c r="I34" s="23">
        <v>0</v>
      </c>
      <c r="J34" s="23">
        <v>30</v>
      </c>
      <c r="K34" s="23">
        <f t="shared" si="0"/>
        <v>22</v>
      </c>
      <c r="L34" s="33">
        <f t="shared" si="1"/>
        <v>26</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101">
        <f t="shared" si="8"/>
        <v>-75</v>
      </c>
    </row>
    <row r="35" spans="2:32"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101">
        <f t="shared" si="8"/>
        <v>-19</v>
      </c>
    </row>
    <row r="36" spans="2:32" ht="13" outlineLevel="2" x14ac:dyDescent="0.3">
      <c r="B36" s="31" t="s">
        <v>69</v>
      </c>
      <c r="C36" s="33">
        <v>1218</v>
      </c>
      <c r="D36" s="33">
        <v>1205</v>
      </c>
      <c r="E36" s="23">
        <v>0</v>
      </c>
      <c r="F36" s="23">
        <v>-2</v>
      </c>
      <c r="G36" s="23">
        <v>-17</v>
      </c>
      <c r="H36" s="23">
        <v>0</v>
      </c>
      <c r="I36" s="23">
        <v>3</v>
      </c>
      <c r="J36" s="23">
        <v>0</v>
      </c>
      <c r="K36" s="23">
        <f t="shared" si="0"/>
        <v>-16</v>
      </c>
      <c r="L36" s="33">
        <f t="shared" si="1"/>
        <v>-2</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101">
        <f t="shared" si="8"/>
        <v>-101</v>
      </c>
    </row>
    <row r="37" spans="2:32" ht="13" outlineLevel="2" x14ac:dyDescent="0.3">
      <c r="B37" s="31" t="s">
        <v>70</v>
      </c>
      <c r="C37" s="33">
        <v>-49</v>
      </c>
      <c r="D37" s="33">
        <v>7</v>
      </c>
      <c r="E37" s="23">
        <v>0</v>
      </c>
      <c r="F37" s="23">
        <v>-1445</v>
      </c>
      <c r="G37" s="23">
        <v>-43</v>
      </c>
      <c r="H37" s="23">
        <v>0</v>
      </c>
      <c r="I37" s="23">
        <v>83</v>
      </c>
      <c r="J37" s="23">
        <v>-15</v>
      </c>
      <c r="K37" s="23">
        <f t="shared" si="0"/>
        <v>-1420</v>
      </c>
      <c r="L37" s="33">
        <f t="shared" si="1"/>
        <v>-1460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101">
        <f t="shared" si="8"/>
        <v>96</v>
      </c>
    </row>
    <row r="38" spans="2:32" ht="13" outlineLevel="1" x14ac:dyDescent="0.3">
      <c r="B38" s="32" t="s">
        <v>71</v>
      </c>
      <c r="C38" s="34">
        <f t="shared" ref="C38:J38" si="23">SUBTOTAL(9,C33:C37)</f>
        <v>521</v>
      </c>
      <c r="D38" s="34">
        <f t="shared" si="23"/>
        <v>536</v>
      </c>
      <c r="E38" s="24">
        <f t="shared" si="23"/>
        <v>0</v>
      </c>
      <c r="F38" s="24">
        <f t="shared" si="23"/>
        <v>-1451</v>
      </c>
      <c r="G38" s="24">
        <f t="shared" si="23"/>
        <v>-89</v>
      </c>
      <c r="H38" s="24">
        <f t="shared" si="23"/>
        <v>0</v>
      </c>
      <c r="I38" s="24">
        <f t="shared" si="23"/>
        <v>88</v>
      </c>
      <c r="J38" s="24">
        <f t="shared" si="23"/>
        <v>15</v>
      </c>
      <c r="K38" s="24">
        <f>SUM(E38:J38)</f>
        <v>-1437</v>
      </c>
      <c r="L38" s="34">
        <f t="shared" ref="L38:L39" si="24">N38-D38</f>
        <v>-1436</v>
      </c>
      <c r="M38" s="34">
        <f t="shared" ref="M38:M39" si="25">N38-C38</f>
        <v>-1421</v>
      </c>
      <c r="N38" s="34">
        <f>SUBTOTAL(9,N33:N37)</f>
        <v>-900</v>
      </c>
      <c r="O38" s="34">
        <f>SUBTOTAL(9,O33:O37)</f>
        <v>5341</v>
      </c>
      <c r="P38" s="34">
        <f>SUBTOTAL(9,P33:P37)</f>
        <v>-6372</v>
      </c>
      <c r="Q38" s="34">
        <f>SUBTOTAL(9,Q33:Q37)</f>
        <v>-1032</v>
      </c>
      <c r="R38" s="34">
        <f>SUBTOTAL(9,R33:R37)</f>
        <v>-900</v>
      </c>
      <c r="S38" s="34">
        <f>Q38-R38</f>
        <v>-132</v>
      </c>
      <c r="T38" s="38">
        <f>IFERROR((Q38/N38)*100%,"∞")</f>
        <v>1.1466666666666667</v>
      </c>
      <c r="U38" s="59">
        <f>N38+V38</f>
        <v>-911</v>
      </c>
      <c r="V38" s="34">
        <f>SUBTOTAL(9,V33:V37)</f>
        <v>-11</v>
      </c>
      <c r="W38" s="34">
        <f>SUBTOTAL(9,W33:W37)</f>
        <v>-11</v>
      </c>
      <c r="X38" s="34"/>
      <c r="Y38" s="34"/>
      <c r="Z38" s="41"/>
      <c r="AA38" s="60"/>
      <c r="AB38" s="102">
        <f>SUBTOTAL(9,AB1:AB37)</f>
        <v>0</v>
      </c>
      <c r="AC38" s="34">
        <f>SUBTOTAL(9,AC1:AC37)</f>
        <v>0</v>
      </c>
      <c r="AD38" s="34"/>
      <c r="AE38" s="34"/>
      <c r="AF38" s="103"/>
    </row>
    <row r="39" spans="2:32" ht="14.9" customHeight="1" thickBot="1" x14ac:dyDescent="0.35">
      <c r="B39" s="53" t="s">
        <v>72</v>
      </c>
      <c r="C39" s="35">
        <f t="shared" ref="C39:J39" si="26">SUBTOTAL(9,C25:C38)</f>
        <v>-7765</v>
      </c>
      <c r="D39" s="35">
        <f t="shared" si="26"/>
        <v>-7861</v>
      </c>
      <c r="E39" s="25">
        <f t="shared" si="26"/>
        <v>50</v>
      </c>
      <c r="F39" s="25">
        <f t="shared" si="26"/>
        <v>-1246</v>
      </c>
      <c r="G39" s="25">
        <f t="shared" si="26"/>
        <v>-142</v>
      </c>
      <c r="H39" s="25">
        <f t="shared" si="26"/>
        <v>0</v>
      </c>
      <c r="I39" s="25">
        <f t="shared" si="26"/>
        <v>-20</v>
      </c>
      <c r="J39" s="25">
        <f t="shared" si="26"/>
        <v>-15</v>
      </c>
      <c r="K39" s="25">
        <f>SUM(E39:J39)</f>
        <v>-1373</v>
      </c>
      <c r="L39" s="35">
        <f t="shared" si="24"/>
        <v>-1262</v>
      </c>
      <c r="M39" s="35">
        <f t="shared" si="25"/>
        <v>-1358</v>
      </c>
      <c r="N39" s="35">
        <f>SUBTOTAL(9,N25:N38)</f>
        <v>-9123</v>
      </c>
      <c r="O39" s="35">
        <f>SUBTOTAL(9,O25:O38)</f>
        <v>11624</v>
      </c>
      <c r="P39" s="35">
        <f>SUBTOTAL(9,P25:P38)</f>
        <v>-20210</v>
      </c>
      <c r="Q39" s="35">
        <f>SUBTOTAL(9,Q25:Q38)</f>
        <v>-8587</v>
      </c>
      <c r="R39" s="35">
        <f>SUBTOTAL(9,R25:R38)</f>
        <v>-9123</v>
      </c>
      <c r="S39" s="35">
        <f>Q39-R39</f>
        <v>536</v>
      </c>
      <c r="T39" s="39">
        <f>IFERROR((Q39/N39)*100%,"∞")</f>
        <v>0.94124739668968538</v>
      </c>
      <c r="U39" s="54">
        <f>N39+V39</f>
        <v>-7867</v>
      </c>
      <c r="V39" s="35">
        <f>SUBTOTAL(9,V25:V38)</f>
        <v>1256</v>
      </c>
      <c r="W39" s="35">
        <f>SUBTOTAL(9,W25:W38)</f>
        <v>1256</v>
      </c>
      <c r="X39" s="35"/>
      <c r="Y39" s="35"/>
      <c r="Z39" s="43"/>
      <c r="AA39" s="60"/>
      <c r="AB39" s="104">
        <f>SUBTOTAL(9,AB1:AB38)</f>
        <v>0</v>
      </c>
      <c r="AC39" s="104">
        <f>SUBTOTAL(9,AC1:AC38)</f>
        <v>0</v>
      </c>
      <c r="AD39" s="35">
        <f>SUM(AB39:AC39)</f>
        <v>0</v>
      </c>
      <c r="AE39" s="35">
        <f>Q39+AD39</f>
        <v>-8587</v>
      </c>
      <c r="AF39" s="43">
        <f>AE39-N39</f>
        <v>536</v>
      </c>
    </row>
    <row r="40" spans="2:32"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c r="AC40" s="93"/>
      <c r="AD40" s="33">
        <f t="shared" si="6"/>
        <v>0</v>
      </c>
      <c r="AE40" s="33">
        <f t="shared" si="7"/>
        <v>129</v>
      </c>
      <c r="AF40" s="101">
        <f t="shared" si="8"/>
        <v>1</v>
      </c>
    </row>
    <row r="41" spans="2:32" ht="13" outlineLevel="2" x14ac:dyDescent="0.3">
      <c r="B41" s="31" t="s">
        <v>74</v>
      </c>
      <c r="C41" s="33">
        <v>431</v>
      </c>
      <c r="D41" s="33">
        <v>417</v>
      </c>
      <c r="E41" s="23">
        <v>0</v>
      </c>
      <c r="F41" s="23">
        <v>0</v>
      </c>
      <c r="G41" s="23">
        <v>-13</v>
      </c>
      <c r="H41" s="23">
        <v>0</v>
      </c>
      <c r="I41" s="23">
        <v>0</v>
      </c>
      <c r="J41" s="23">
        <v>0</v>
      </c>
      <c r="K41" s="23">
        <f t="shared" si="0"/>
        <v>-13</v>
      </c>
      <c r="L41" s="33">
        <f t="shared" si="1"/>
        <v>0</v>
      </c>
      <c r="M41" s="33">
        <f t="shared" si="2"/>
        <v>-14</v>
      </c>
      <c r="N41" s="33">
        <v>417</v>
      </c>
      <c r="O41" s="33">
        <v>465</v>
      </c>
      <c r="P41" s="33">
        <v>-39</v>
      </c>
      <c r="Q41" s="33">
        <v>426</v>
      </c>
      <c r="R41" s="33">
        <v>417</v>
      </c>
      <c r="S41" s="33">
        <f t="shared" si="3"/>
        <v>9</v>
      </c>
      <c r="T41" s="38">
        <f t="shared" si="4"/>
        <v>1.0215827338129497</v>
      </c>
      <c r="U41" s="59">
        <f t="shared" si="5"/>
        <v>424</v>
      </c>
      <c r="V41" s="33">
        <v>7</v>
      </c>
      <c r="W41" s="33">
        <v>7</v>
      </c>
      <c r="X41" s="33"/>
      <c r="Y41" s="33"/>
      <c r="Z41" s="42"/>
      <c r="AA41" s="60"/>
      <c r="AB41" s="105"/>
      <c r="AC41" s="93"/>
      <c r="AD41" s="33">
        <f t="shared" si="6"/>
        <v>0</v>
      </c>
      <c r="AE41" s="33">
        <f t="shared" si="7"/>
        <v>426</v>
      </c>
      <c r="AF41" s="101">
        <f t="shared" si="8"/>
        <v>9</v>
      </c>
    </row>
    <row r="42" spans="2:32"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101">
        <f t="shared" si="8"/>
        <v>-66</v>
      </c>
    </row>
    <row r="43" spans="2:32" ht="13" outlineLevel="1" x14ac:dyDescent="0.3">
      <c r="B43" s="32" t="s">
        <v>76</v>
      </c>
      <c r="C43" s="34">
        <f t="shared" ref="C43:J43" si="27">SUBTOTAL(9,C40:C42)</f>
        <v>907</v>
      </c>
      <c r="D43" s="34">
        <f t="shared" si="27"/>
        <v>882</v>
      </c>
      <c r="E43" s="24">
        <f t="shared" si="27"/>
        <v>0</v>
      </c>
      <c r="F43" s="24">
        <f t="shared" si="27"/>
        <v>0</v>
      </c>
      <c r="G43" s="24">
        <f t="shared" si="27"/>
        <v>-22</v>
      </c>
      <c r="H43" s="24">
        <f t="shared" si="27"/>
        <v>0</v>
      </c>
      <c r="I43" s="24">
        <f t="shared" si="27"/>
        <v>-1</v>
      </c>
      <c r="J43" s="24">
        <f t="shared" si="27"/>
        <v>0</v>
      </c>
      <c r="K43" s="24">
        <f>SUM(E43:J43)</f>
        <v>-23</v>
      </c>
      <c r="L43" s="34">
        <f t="shared" ref="L43" si="28">N43-D43</f>
        <v>0</v>
      </c>
      <c r="M43" s="34">
        <f t="shared" ref="M43" si="29">N43-C43</f>
        <v>-25</v>
      </c>
      <c r="N43" s="34">
        <f>SUBTOTAL(9,N40:N42)</f>
        <v>882</v>
      </c>
      <c r="O43" s="34">
        <f>SUBTOTAL(9,O40:O42)</f>
        <v>883</v>
      </c>
      <c r="P43" s="34">
        <f>SUBTOTAL(9,P40:P42)</f>
        <v>-57</v>
      </c>
      <c r="Q43" s="34">
        <f>SUBTOTAL(9,Q40:Q42)</f>
        <v>826</v>
      </c>
      <c r="R43" s="34">
        <f>SUBTOTAL(9,R40:R42)</f>
        <v>882</v>
      </c>
      <c r="S43" s="34">
        <f>Q43-R43</f>
        <v>-56</v>
      </c>
      <c r="T43" s="38">
        <f>IFERROR((Q43/N43)*100%,"∞")</f>
        <v>0.93650793650793651</v>
      </c>
      <c r="U43" s="59">
        <f>N43+V43</f>
        <v>824</v>
      </c>
      <c r="V43" s="34">
        <f>SUBTOTAL(9,V40:V42)</f>
        <v>-58</v>
      </c>
      <c r="W43" s="34">
        <f>SUBTOTAL(9,W40:W42)</f>
        <v>-58</v>
      </c>
      <c r="X43" s="34"/>
      <c r="Y43" s="34"/>
      <c r="Z43" s="41"/>
      <c r="AA43" s="60"/>
      <c r="AB43" s="102">
        <f>SUBTOTAL(9,AB1:AB42)</f>
        <v>0</v>
      </c>
      <c r="AC43" s="34">
        <f>SUBTOTAL(9,AC1:AC42)</f>
        <v>0</v>
      </c>
      <c r="AD43" s="34"/>
      <c r="AE43" s="34"/>
      <c r="AF43" s="103"/>
    </row>
    <row r="44" spans="2:32" ht="13" outlineLevel="2" x14ac:dyDescent="0.3">
      <c r="B44" s="31" t="s">
        <v>77</v>
      </c>
      <c r="C44" s="33">
        <v>509</v>
      </c>
      <c r="D44" s="33">
        <v>543</v>
      </c>
      <c r="E44" s="23">
        <v>44</v>
      </c>
      <c r="F44" s="23">
        <v>-136</v>
      </c>
      <c r="G44" s="23">
        <v>-8</v>
      </c>
      <c r="H44" s="23">
        <v>0</v>
      </c>
      <c r="I44" s="23">
        <v>-2</v>
      </c>
      <c r="J44" s="23">
        <v>0</v>
      </c>
      <c r="K44" s="23">
        <f t="shared" si="0"/>
        <v>-102</v>
      </c>
      <c r="L44" s="33">
        <f t="shared" si="1"/>
        <v>-135</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si="7"/>
        <v>346</v>
      </c>
      <c r="AF44" s="101">
        <f t="shared" si="8"/>
        <v>-62</v>
      </c>
    </row>
    <row r="45" spans="2:32" ht="13" outlineLevel="2" x14ac:dyDescent="0.3">
      <c r="B45" s="31" t="s">
        <v>78</v>
      </c>
      <c r="C45" s="33">
        <v>370</v>
      </c>
      <c r="D45" s="33">
        <v>277</v>
      </c>
      <c r="E45" s="23">
        <v>-63</v>
      </c>
      <c r="F45" s="23">
        <v>-27</v>
      </c>
      <c r="G45" s="23">
        <v>-6</v>
      </c>
      <c r="H45" s="23">
        <v>0</v>
      </c>
      <c r="I45" s="23">
        <v>-25</v>
      </c>
      <c r="J45" s="23">
        <v>0</v>
      </c>
      <c r="K45" s="23">
        <f t="shared" si="0"/>
        <v>-121</v>
      </c>
      <c r="L45" s="33">
        <f t="shared" si="1"/>
        <v>-27</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7"/>
        <v>256</v>
      </c>
      <c r="AF45" s="101">
        <f t="shared" si="8"/>
        <v>6</v>
      </c>
    </row>
    <row r="46" spans="2:32" ht="13" outlineLevel="2" x14ac:dyDescent="0.3">
      <c r="B46" s="31" t="s">
        <v>79</v>
      </c>
      <c r="C46" s="33">
        <v>251</v>
      </c>
      <c r="D46" s="33">
        <v>327</v>
      </c>
      <c r="E46" s="23">
        <v>92</v>
      </c>
      <c r="F46" s="23">
        <v>-386</v>
      </c>
      <c r="G46" s="23">
        <v>-12</v>
      </c>
      <c r="H46" s="23">
        <v>0</v>
      </c>
      <c r="I46" s="23">
        <v>-4</v>
      </c>
      <c r="J46" s="23">
        <v>0</v>
      </c>
      <c r="K46" s="23">
        <f t="shared" si="0"/>
        <v>-310</v>
      </c>
      <c r="L46" s="33">
        <f t="shared" si="1"/>
        <v>-386</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7"/>
        <v>-43</v>
      </c>
      <c r="AF46" s="101">
        <f t="shared" si="8"/>
        <v>16</v>
      </c>
    </row>
    <row r="47" spans="2:32" ht="13" outlineLevel="1" x14ac:dyDescent="0.3">
      <c r="B47" s="32" t="s">
        <v>80</v>
      </c>
      <c r="C47" s="34">
        <f t="shared" ref="C47:J47" si="30">SUBTOTAL(9,C44:C46)</f>
        <v>1130</v>
      </c>
      <c r="D47" s="34">
        <f t="shared" si="30"/>
        <v>1147</v>
      </c>
      <c r="E47" s="24">
        <f t="shared" si="30"/>
        <v>73</v>
      </c>
      <c r="F47" s="24">
        <f t="shared" si="30"/>
        <v>-549</v>
      </c>
      <c r="G47" s="24">
        <f t="shared" si="30"/>
        <v>-26</v>
      </c>
      <c r="H47" s="24">
        <f t="shared" si="30"/>
        <v>0</v>
      </c>
      <c r="I47" s="24">
        <f t="shared" si="30"/>
        <v>-31</v>
      </c>
      <c r="J47" s="24">
        <f t="shared" si="30"/>
        <v>0</v>
      </c>
      <c r="K47" s="24">
        <f>SUM(E47:J47)</f>
        <v>-533</v>
      </c>
      <c r="L47" s="34">
        <f t="shared" ref="L47:L48" si="31">N47-D47</f>
        <v>-548</v>
      </c>
      <c r="M47" s="34">
        <f t="shared" ref="M47:M48" si="32">N47-C47</f>
        <v>-531</v>
      </c>
      <c r="N47" s="34">
        <f>SUBTOTAL(9,N44:N46)</f>
        <v>599</v>
      </c>
      <c r="O47" s="34">
        <f>SUBTOTAL(9,O44:O46)</f>
        <v>2018</v>
      </c>
      <c r="P47" s="34">
        <f>SUBTOTAL(9,P44:P46)</f>
        <v>-1459</v>
      </c>
      <c r="Q47" s="34">
        <f>SUBTOTAL(9,Q44:Q46)</f>
        <v>559</v>
      </c>
      <c r="R47" s="34">
        <f>SUBTOTAL(9,R44:R46)</f>
        <v>599</v>
      </c>
      <c r="S47" s="34">
        <f>Q47-R47</f>
        <v>-40</v>
      </c>
      <c r="T47" s="38">
        <f>IFERROR((Q47/N47)*100%,"∞")</f>
        <v>0.93322203672787984</v>
      </c>
      <c r="U47" s="59">
        <f>N47+V47</f>
        <v>561</v>
      </c>
      <c r="V47" s="34">
        <f>SUBTOTAL(9,V44:V46)</f>
        <v>-38</v>
      </c>
      <c r="W47" s="34">
        <f>SUBTOTAL(9,W44:W46)</f>
        <v>-38</v>
      </c>
      <c r="X47" s="34"/>
      <c r="Y47" s="34"/>
      <c r="Z47" s="41"/>
      <c r="AA47" s="60"/>
      <c r="AB47" s="102">
        <f>SUBTOTAL(9,AB1:AB46)</f>
        <v>0</v>
      </c>
      <c r="AC47" s="34">
        <f>SUBTOTAL(9,AC1:AC46)</f>
        <v>0</v>
      </c>
      <c r="AD47" s="34"/>
      <c r="AE47" s="34"/>
      <c r="AF47" s="103"/>
    </row>
    <row r="48" spans="2:32" ht="14.9" customHeight="1" thickBot="1" x14ac:dyDescent="0.35">
      <c r="B48" s="53" t="s">
        <v>81</v>
      </c>
      <c r="C48" s="35">
        <f t="shared" ref="C48:J48" si="33">SUBTOTAL(9,C40:C47)</f>
        <v>2037</v>
      </c>
      <c r="D48" s="35">
        <f t="shared" si="33"/>
        <v>2029</v>
      </c>
      <c r="E48" s="25">
        <f t="shared" si="33"/>
        <v>73</v>
      </c>
      <c r="F48" s="25">
        <f t="shared" si="33"/>
        <v>-549</v>
      </c>
      <c r="G48" s="25">
        <f t="shared" si="33"/>
        <v>-48</v>
      </c>
      <c r="H48" s="25">
        <f t="shared" si="33"/>
        <v>0</v>
      </c>
      <c r="I48" s="25">
        <f t="shared" si="33"/>
        <v>-32</v>
      </c>
      <c r="J48" s="25">
        <f t="shared" si="33"/>
        <v>0</v>
      </c>
      <c r="K48" s="25">
        <f>SUM(E48:J48)</f>
        <v>-556</v>
      </c>
      <c r="L48" s="35">
        <f t="shared" si="31"/>
        <v>-548</v>
      </c>
      <c r="M48" s="35">
        <f t="shared" si="32"/>
        <v>-556</v>
      </c>
      <c r="N48" s="35">
        <f>SUBTOTAL(9,N40:N47)</f>
        <v>1481</v>
      </c>
      <c r="O48" s="35">
        <f>SUBTOTAL(9,O40:O47)</f>
        <v>2901</v>
      </c>
      <c r="P48" s="35">
        <f>SUBTOTAL(9,P40:P47)</f>
        <v>-1516</v>
      </c>
      <c r="Q48" s="35">
        <f>SUBTOTAL(9,Q40:Q47)</f>
        <v>1385</v>
      </c>
      <c r="R48" s="35">
        <f>SUBTOTAL(9,R40:R47)</f>
        <v>1481</v>
      </c>
      <c r="S48" s="35">
        <f>Q48-R48</f>
        <v>-96</v>
      </c>
      <c r="T48" s="39">
        <f>IFERROR((Q48/N48)*100%,"∞")</f>
        <v>0.93517893315327483</v>
      </c>
      <c r="U48" s="54">
        <f>N48+V48</f>
        <v>1385</v>
      </c>
      <c r="V48" s="35">
        <f>SUBTOTAL(9,V40:V47)</f>
        <v>-96</v>
      </c>
      <c r="W48" s="35">
        <f>SUBTOTAL(9,W40:W47)</f>
        <v>-96</v>
      </c>
      <c r="X48" s="35"/>
      <c r="Y48" s="35"/>
      <c r="Z48" s="43"/>
      <c r="AA48" s="60"/>
      <c r="AB48" s="104">
        <f>SUBTOTAL(9,AB1:AB47)</f>
        <v>0</v>
      </c>
      <c r="AC48" s="104">
        <f>SUBTOTAL(9,AC1:AC47)</f>
        <v>0</v>
      </c>
      <c r="AD48" s="35">
        <f>SUM(AB48:AC48)</f>
        <v>0</v>
      </c>
      <c r="AE48" s="35">
        <f>Q48+AD48</f>
        <v>1385</v>
      </c>
      <c r="AF48" s="43">
        <f>AE48-N48</f>
        <v>-96</v>
      </c>
    </row>
    <row r="49" spans="2:32"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si="7"/>
        <v>-1752</v>
      </c>
      <c r="AF49" s="101">
        <f t="shared" si="8"/>
        <v>252</v>
      </c>
    </row>
    <row r="50" spans="2:32"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7"/>
        <v>6343</v>
      </c>
      <c r="AF50" s="101">
        <f t="shared" si="8"/>
        <v>146</v>
      </c>
    </row>
    <row r="51" spans="2:32"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7"/>
        <v>6074</v>
      </c>
      <c r="AF51" s="101">
        <f t="shared" si="8"/>
        <v>-30</v>
      </c>
    </row>
    <row r="52" spans="2:32"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7"/>
        <v>3418</v>
      </c>
      <c r="AF52" s="101">
        <f t="shared" si="8"/>
        <v>-6</v>
      </c>
    </row>
    <row r="53" spans="2:32"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7"/>
        <v>258</v>
      </c>
      <c r="AF53" s="101">
        <f t="shared" si="8"/>
        <v>0</v>
      </c>
    </row>
    <row r="54" spans="2:32"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7"/>
        <v>89</v>
      </c>
      <c r="AF54" s="101">
        <f t="shared" si="8"/>
        <v>89</v>
      </c>
    </row>
    <row r="55" spans="2:32"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7"/>
        <v>316</v>
      </c>
      <c r="AF55" s="101">
        <f t="shared" si="8"/>
        <v>137</v>
      </c>
    </row>
    <row r="56" spans="2:32"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226</v>
      </c>
      <c r="P56" s="33">
        <v>-610</v>
      </c>
      <c r="Q56" s="33">
        <v>-383</v>
      </c>
      <c r="R56" s="33">
        <v>-903</v>
      </c>
      <c r="S56" s="33">
        <f t="shared" si="3"/>
        <v>520</v>
      </c>
      <c r="T56" s="38">
        <f t="shared" si="4"/>
        <v>0.42414174972314506</v>
      </c>
      <c r="U56" s="59">
        <f t="shared" si="5"/>
        <v>-903</v>
      </c>
      <c r="V56" s="33">
        <v>0</v>
      </c>
      <c r="W56" s="33">
        <v>0</v>
      </c>
      <c r="X56" s="33"/>
      <c r="Y56" s="33"/>
      <c r="Z56" s="42"/>
      <c r="AA56" s="60"/>
      <c r="AB56" s="105"/>
      <c r="AC56" s="93"/>
      <c r="AD56" s="33">
        <f t="shared" si="6"/>
        <v>0</v>
      </c>
      <c r="AE56" s="33">
        <f t="shared" si="7"/>
        <v>-383</v>
      </c>
      <c r="AF56" s="101">
        <f t="shared" si="8"/>
        <v>520</v>
      </c>
    </row>
    <row r="57" spans="2:32"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7"/>
        <v>149</v>
      </c>
      <c r="AF57" s="101">
        <f t="shared" si="8"/>
        <v>2</v>
      </c>
    </row>
    <row r="58" spans="2:32"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7"/>
        <v>46</v>
      </c>
      <c r="AF58" s="101">
        <f t="shared" si="8"/>
        <v>37</v>
      </c>
    </row>
    <row r="59" spans="2:32" ht="13" outlineLevel="1" x14ac:dyDescent="0.3">
      <c r="B59" s="32" t="s">
        <v>92</v>
      </c>
      <c r="C59" s="34">
        <f t="shared" ref="C59:J59" si="34">SUBTOTAL(9,C49:C58)</f>
        <v>13051</v>
      </c>
      <c r="D59" s="34">
        <f t="shared" si="34"/>
        <v>13411</v>
      </c>
      <c r="E59" s="24">
        <f t="shared" si="34"/>
        <v>0</v>
      </c>
      <c r="F59" s="24">
        <f t="shared" si="34"/>
        <v>0</v>
      </c>
      <c r="G59" s="24">
        <f t="shared" si="34"/>
        <v>362</v>
      </c>
      <c r="H59" s="24">
        <f t="shared" si="34"/>
        <v>0</v>
      </c>
      <c r="I59" s="24">
        <f t="shared" si="34"/>
        <v>0</v>
      </c>
      <c r="J59" s="24">
        <f t="shared" si="34"/>
        <v>0</v>
      </c>
      <c r="K59" s="24">
        <f>SUM(E59:J59)</f>
        <v>362</v>
      </c>
      <c r="L59" s="34">
        <f t="shared" ref="L59:L60" si="35">N59-D59</f>
        <v>0</v>
      </c>
      <c r="M59" s="34">
        <f t="shared" ref="M59:M60" si="36">N59-C59</f>
        <v>360</v>
      </c>
      <c r="N59" s="34">
        <f>SUBTOTAL(9,N49:N58)</f>
        <v>13411</v>
      </c>
      <c r="O59" s="34">
        <f>SUBTOTAL(9,O49:O58)</f>
        <v>25140</v>
      </c>
      <c r="P59" s="34">
        <f>SUBTOTAL(9,P49:P58)</f>
        <v>-10583</v>
      </c>
      <c r="Q59" s="34">
        <f>SUBTOTAL(9,Q49:Q58)</f>
        <v>14558</v>
      </c>
      <c r="R59" s="34">
        <f>SUBTOTAL(9,R49:R58)</f>
        <v>13411</v>
      </c>
      <c r="S59" s="34">
        <f>Q59-R59</f>
        <v>1147</v>
      </c>
      <c r="T59" s="38">
        <f>IFERROR((Q59/N59)*100%,"∞")</f>
        <v>1.0855268063529937</v>
      </c>
      <c r="U59" s="59">
        <f>N59+V59</f>
        <v>13411</v>
      </c>
      <c r="V59" s="34">
        <f>SUBTOTAL(9,V49:V58)</f>
        <v>0</v>
      </c>
      <c r="W59" s="34">
        <f>SUBTOTAL(9,W49:W58)</f>
        <v>0</v>
      </c>
      <c r="X59" s="34"/>
      <c r="Y59" s="34"/>
      <c r="Z59" s="41"/>
      <c r="AA59" s="60"/>
      <c r="AB59" s="102">
        <f>SUBTOTAL(9,AB1:AB58)</f>
        <v>0</v>
      </c>
      <c r="AC59" s="34">
        <f>SUBTOTAL(9,AC1:AC58)</f>
        <v>0</v>
      </c>
      <c r="AD59" s="34"/>
      <c r="AE59" s="34"/>
      <c r="AF59" s="103"/>
    </row>
    <row r="60" spans="2:32" ht="14.9" customHeight="1" thickBot="1" x14ac:dyDescent="0.35">
      <c r="B60" s="53" t="s">
        <v>93</v>
      </c>
      <c r="C60" s="35">
        <f t="shared" ref="C60:J60" si="37">SUBTOTAL(9,C49:C59)</f>
        <v>13051</v>
      </c>
      <c r="D60" s="35">
        <f t="shared" si="37"/>
        <v>13411</v>
      </c>
      <c r="E60" s="25">
        <f t="shared" si="37"/>
        <v>0</v>
      </c>
      <c r="F60" s="25">
        <f t="shared" si="37"/>
        <v>0</v>
      </c>
      <c r="G60" s="25">
        <f t="shared" si="37"/>
        <v>362</v>
      </c>
      <c r="H60" s="25">
        <f t="shared" si="37"/>
        <v>0</v>
      </c>
      <c r="I60" s="25">
        <f t="shared" si="37"/>
        <v>0</v>
      </c>
      <c r="J60" s="25">
        <f t="shared" si="37"/>
        <v>0</v>
      </c>
      <c r="K60" s="25">
        <f>SUM(E60:J60)</f>
        <v>362</v>
      </c>
      <c r="L60" s="35">
        <f t="shared" si="35"/>
        <v>0</v>
      </c>
      <c r="M60" s="35">
        <f t="shared" si="36"/>
        <v>360</v>
      </c>
      <c r="N60" s="35">
        <f>SUBTOTAL(9,N49:N59)</f>
        <v>13411</v>
      </c>
      <c r="O60" s="35">
        <f>SUBTOTAL(9,O49:O59)</f>
        <v>25140</v>
      </c>
      <c r="P60" s="35">
        <f>SUBTOTAL(9,P49:P59)</f>
        <v>-10583</v>
      </c>
      <c r="Q60" s="35">
        <f>SUBTOTAL(9,Q49:Q59)</f>
        <v>14558</v>
      </c>
      <c r="R60" s="35">
        <f>SUBTOTAL(9,R49:R59)</f>
        <v>13411</v>
      </c>
      <c r="S60" s="35">
        <f>Q60-R60</f>
        <v>1147</v>
      </c>
      <c r="T60" s="39">
        <f>IFERROR((Q60/N60)*100%,"∞")</f>
        <v>1.0855268063529937</v>
      </c>
      <c r="U60" s="54">
        <f>N60+V60</f>
        <v>13411</v>
      </c>
      <c r="V60" s="35">
        <f>SUBTOTAL(9,V49:V59)</f>
        <v>0</v>
      </c>
      <c r="W60" s="35">
        <f>SUBTOTAL(9,W49:W59)</f>
        <v>0</v>
      </c>
      <c r="X60" s="35"/>
      <c r="Y60" s="35"/>
      <c r="Z60" s="43"/>
      <c r="AA60" s="60"/>
      <c r="AB60" s="104">
        <f>SUBTOTAL(9,AB1:AB59)</f>
        <v>0</v>
      </c>
      <c r="AC60" s="104">
        <f>SUBTOTAL(9,AC1:AC59)</f>
        <v>0</v>
      </c>
      <c r="AD60" s="35">
        <f>SUM(AB60:AC60)</f>
        <v>0</v>
      </c>
      <c r="AE60" s="35">
        <f>Q60+AD60</f>
        <v>14558</v>
      </c>
      <c r="AF60" s="43">
        <f>AE60-N60</f>
        <v>1147</v>
      </c>
    </row>
    <row r="61" spans="2:32"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si="7"/>
        <v>676</v>
      </c>
      <c r="AF61" s="101">
        <f t="shared" si="8"/>
        <v>33</v>
      </c>
    </row>
    <row r="62" spans="2:32"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7"/>
        <v>130</v>
      </c>
      <c r="AF62" s="101">
        <f t="shared" si="8"/>
        <v>3</v>
      </c>
    </row>
    <row r="63" spans="2:32"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7"/>
        <v>4582</v>
      </c>
      <c r="AF63" s="101">
        <f t="shared" si="8"/>
        <v>202</v>
      </c>
    </row>
    <row r="64" spans="2:32"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7"/>
        <v>2882</v>
      </c>
      <c r="AF64" s="101">
        <f t="shared" si="8"/>
        <v>159</v>
      </c>
    </row>
    <row r="65" spans="2:32" ht="13" outlineLevel="2" x14ac:dyDescent="0.3">
      <c r="B65" s="31" t="s">
        <v>98</v>
      </c>
      <c r="C65" s="33">
        <v>1828</v>
      </c>
      <c r="D65" s="33">
        <v>1884</v>
      </c>
      <c r="E65" s="23">
        <v>124</v>
      </c>
      <c r="F65" s="23">
        <v>0</v>
      </c>
      <c r="G65" s="23">
        <v>-27</v>
      </c>
      <c r="H65" s="23">
        <v>0</v>
      </c>
      <c r="I65" s="23">
        <v>-42</v>
      </c>
      <c r="J65" s="23">
        <v>105</v>
      </c>
      <c r="K65" s="23">
        <f t="shared" si="0"/>
        <v>160</v>
      </c>
      <c r="L65" s="33">
        <f t="shared" si="1"/>
        <v>105</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c r="AC65" s="93"/>
      <c r="AD65" s="33">
        <f t="shared" si="6"/>
        <v>0</v>
      </c>
      <c r="AE65" s="33">
        <f t="shared" si="7"/>
        <v>1642</v>
      </c>
      <c r="AF65" s="101">
        <f t="shared" si="8"/>
        <v>-347</v>
      </c>
    </row>
    <row r="66" spans="2:32" ht="13" outlineLevel="1" x14ac:dyDescent="0.3">
      <c r="B66" s="32" t="s">
        <v>100</v>
      </c>
      <c r="C66" s="34">
        <f t="shared" ref="C66:J66" si="38">SUBTOTAL(9,C61:C65)</f>
        <v>9730</v>
      </c>
      <c r="D66" s="34">
        <f t="shared" si="38"/>
        <v>9757</v>
      </c>
      <c r="E66" s="24">
        <f t="shared" si="38"/>
        <v>174</v>
      </c>
      <c r="F66" s="24">
        <f t="shared" si="38"/>
        <v>0</v>
      </c>
      <c r="G66" s="24">
        <f t="shared" si="38"/>
        <v>-107</v>
      </c>
      <c r="H66" s="24">
        <f t="shared" si="38"/>
        <v>0</v>
      </c>
      <c r="I66" s="24">
        <f t="shared" si="38"/>
        <v>-42</v>
      </c>
      <c r="J66" s="24">
        <f t="shared" si="38"/>
        <v>105</v>
      </c>
      <c r="K66" s="24">
        <f>SUM(E66:J66)</f>
        <v>130</v>
      </c>
      <c r="L66" s="34">
        <f t="shared" ref="L66" si="39">N66-D66</f>
        <v>105</v>
      </c>
      <c r="M66" s="34">
        <f t="shared" ref="M66" si="40">N66-C66</f>
        <v>132</v>
      </c>
      <c r="N66" s="34">
        <f>SUBTOTAL(9,N61:N65)</f>
        <v>9862</v>
      </c>
      <c r="O66" s="34">
        <f>SUBTOTAL(9,O61:O65)</f>
        <v>10045</v>
      </c>
      <c r="P66" s="34">
        <f>SUBTOTAL(9,P61:P65)</f>
        <v>-134</v>
      </c>
      <c r="Q66" s="34">
        <f>SUBTOTAL(9,Q61:Q65)</f>
        <v>9912</v>
      </c>
      <c r="R66" s="34">
        <f>SUBTOTAL(9,R61:R65)</f>
        <v>9862</v>
      </c>
      <c r="S66" s="34">
        <f>Q66-R66</f>
        <v>50</v>
      </c>
      <c r="T66" s="38">
        <f>IFERROR((Q66/N66)*100%,"∞")</f>
        <v>1.0050699655242343</v>
      </c>
      <c r="U66" s="59">
        <f>N66+V66</f>
        <v>9960</v>
      </c>
      <c r="V66" s="34">
        <f>SUBTOTAL(9,V61:V65)</f>
        <v>98</v>
      </c>
      <c r="W66" s="34">
        <f>SUBTOTAL(9,W61:W65)</f>
        <v>98</v>
      </c>
      <c r="X66" s="34"/>
      <c r="Y66" s="34"/>
      <c r="Z66" s="41"/>
      <c r="AA66" s="60"/>
      <c r="AB66" s="102">
        <f>SUBTOTAL(9,AB1:AB65)</f>
        <v>0</v>
      </c>
      <c r="AC66" s="34">
        <f>SUBTOTAL(9,AC1:AC65)</f>
        <v>0</v>
      </c>
      <c r="AD66" s="34"/>
      <c r="AE66" s="34"/>
      <c r="AF66" s="103"/>
    </row>
    <row r="67" spans="2:32"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si="7"/>
        <v>920</v>
      </c>
      <c r="AF67" s="101">
        <f t="shared" si="8"/>
        <v>-141</v>
      </c>
    </row>
    <row r="68" spans="2:32"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571</v>
      </c>
      <c r="P68" s="33">
        <v>-36</v>
      </c>
      <c r="Q68" s="33">
        <v>536</v>
      </c>
      <c r="R68" s="33">
        <v>230</v>
      </c>
      <c r="S68" s="33">
        <f t="shared" si="3"/>
        <v>306</v>
      </c>
      <c r="T68" s="38">
        <f t="shared" si="4"/>
        <v>2.3304347826086955</v>
      </c>
      <c r="U68" s="59">
        <f t="shared" si="5"/>
        <v>370</v>
      </c>
      <c r="V68" s="33">
        <v>140</v>
      </c>
      <c r="W68" s="33">
        <v>140</v>
      </c>
      <c r="X68" s="33"/>
      <c r="Y68" s="33"/>
      <c r="Z68" s="42"/>
      <c r="AA68" s="60"/>
      <c r="AB68" s="105"/>
      <c r="AC68" s="93"/>
      <c r="AD68" s="33">
        <f t="shared" si="6"/>
        <v>0</v>
      </c>
      <c r="AE68" s="33">
        <f t="shared" si="7"/>
        <v>536</v>
      </c>
      <c r="AF68" s="101">
        <f t="shared" si="8"/>
        <v>306</v>
      </c>
    </row>
    <row r="69" spans="2:32" ht="13" outlineLevel="2" x14ac:dyDescent="0.3">
      <c r="B69" s="31" t="s">
        <v>103</v>
      </c>
      <c r="C69" s="33">
        <v>283</v>
      </c>
      <c r="D69" s="33">
        <v>278</v>
      </c>
      <c r="E69" s="23">
        <v>0</v>
      </c>
      <c r="F69" s="23">
        <v>0</v>
      </c>
      <c r="G69" s="23">
        <v>-10</v>
      </c>
      <c r="H69" s="23">
        <v>0</v>
      </c>
      <c r="I69" s="23">
        <v>5</v>
      </c>
      <c r="J69" s="23">
        <v>0</v>
      </c>
      <c r="K69" s="23">
        <f t="shared" ref="K69:K79" si="41">SUM(E69:J69)</f>
        <v>-5</v>
      </c>
      <c r="L69" s="33">
        <f t="shared" ref="L69:L81" si="42">N69-D69</f>
        <v>0</v>
      </c>
      <c r="M69" s="33">
        <f t="shared" ref="M69:M81" si="43">N69-C69</f>
        <v>-5</v>
      </c>
      <c r="N69" s="33">
        <v>278</v>
      </c>
      <c r="O69" s="33">
        <v>578</v>
      </c>
      <c r="P69" s="33">
        <v>-234</v>
      </c>
      <c r="Q69" s="33">
        <v>344</v>
      </c>
      <c r="R69" s="33">
        <v>278</v>
      </c>
      <c r="S69" s="33">
        <f t="shared" ref="S69:S79" si="44">Q69-R69</f>
        <v>66</v>
      </c>
      <c r="T69" s="38">
        <f t="shared" ref="T69:T79" si="45">IFERROR((Q69/N69)*100%,"∞")</f>
        <v>1.2374100719424461</v>
      </c>
      <c r="U69" s="59">
        <f t="shared" ref="U69:U79" si="46">N69+V69</f>
        <v>278</v>
      </c>
      <c r="V69" s="33">
        <v>0</v>
      </c>
      <c r="W69" s="33">
        <v>0</v>
      </c>
      <c r="X69" s="33"/>
      <c r="Y69" s="33"/>
      <c r="Z69" s="42"/>
      <c r="AA69" s="60"/>
      <c r="AB69" s="105"/>
      <c r="AC69" s="93"/>
      <c r="AD69" s="33">
        <f t="shared" ref="AD69:AD79" si="47">SUM(AB69:AC69)</f>
        <v>0</v>
      </c>
      <c r="AE69" s="33">
        <f t="shared" ref="AE69:AE79" si="48">Q69+AD69</f>
        <v>344</v>
      </c>
      <c r="AF69" s="101">
        <f t="shared" ref="AF69:AF79" si="49">AE69-N69</f>
        <v>66</v>
      </c>
    </row>
    <row r="70" spans="2:32" ht="13" outlineLevel="2" x14ac:dyDescent="0.3">
      <c r="B70" s="31" t="s">
        <v>104</v>
      </c>
      <c r="C70" s="33">
        <v>494</v>
      </c>
      <c r="D70" s="33">
        <v>491</v>
      </c>
      <c r="E70" s="23">
        <v>0</v>
      </c>
      <c r="F70" s="23">
        <v>0</v>
      </c>
      <c r="G70" s="23">
        <v>-8</v>
      </c>
      <c r="H70" s="23">
        <v>0</v>
      </c>
      <c r="I70" s="23">
        <v>4</v>
      </c>
      <c r="J70" s="23">
        <v>-15</v>
      </c>
      <c r="K70" s="23">
        <f t="shared" si="41"/>
        <v>-19</v>
      </c>
      <c r="L70" s="33">
        <f t="shared" si="42"/>
        <v>-15</v>
      </c>
      <c r="M70" s="33">
        <f t="shared" si="43"/>
        <v>-18</v>
      </c>
      <c r="N70" s="33">
        <v>476</v>
      </c>
      <c r="O70" s="33">
        <v>598</v>
      </c>
      <c r="P70" s="33">
        <v>0</v>
      </c>
      <c r="Q70" s="33">
        <v>598</v>
      </c>
      <c r="R70" s="33">
        <v>476</v>
      </c>
      <c r="S70" s="33">
        <f t="shared" si="44"/>
        <v>122</v>
      </c>
      <c r="T70" s="38">
        <f t="shared" si="45"/>
        <v>1.2563025210084033</v>
      </c>
      <c r="U70" s="59">
        <f t="shared" si="46"/>
        <v>511</v>
      </c>
      <c r="V70" s="33">
        <v>35</v>
      </c>
      <c r="W70" s="33">
        <v>35</v>
      </c>
      <c r="X70" s="33"/>
      <c r="Y70" s="33"/>
      <c r="Z70" s="42"/>
      <c r="AA70" s="60"/>
      <c r="AB70" s="105"/>
      <c r="AC70" s="93"/>
      <c r="AD70" s="33">
        <f t="shared" si="47"/>
        <v>0</v>
      </c>
      <c r="AE70" s="33">
        <f t="shared" si="48"/>
        <v>598</v>
      </c>
      <c r="AF70" s="101">
        <f t="shared" si="49"/>
        <v>122</v>
      </c>
    </row>
    <row r="71" spans="2:32" ht="13" outlineLevel="2" x14ac:dyDescent="0.3">
      <c r="B71" s="31" t="s">
        <v>105</v>
      </c>
      <c r="C71" s="33">
        <v>955</v>
      </c>
      <c r="D71" s="33">
        <v>921</v>
      </c>
      <c r="E71" s="23">
        <v>0</v>
      </c>
      <c r="F71" s="23">
        <v>488</v>
      </c>
      <c r="G71" s="23">
        <v>-35</v>
      </c>
      <c r="H71" s="23">
        <v>0</v>
      </c>
      <c r="I71" s="23">
        <v>2</v>
      </c>
      <c r="J71" s="23">
        <v>-15</v>
      </c>
      <c r="K71" s="23">
        <f t="shared" si="41"/>
        <v>440</v>
      </c>
      <c r="L71" s="33">
        <f t="shared" si="42"/>
        <v>473</v>
      </c>
      <c r="M71" s="33">
        <f t="shared" si="43"/>
        <v>439</v>
      </c>
      <c r="N71" s="33">
        <v>1394</v>
      </c>
      <c r="O71" s="33">
        <v>2729</v>
      </c>
      <c r="P71" s="33">
        <v>-1337</v>
      </c>
      <c r="Q71" s="33">
        <v>1391</v>
      </c>
      <c r="R71" s="33">
        <v>1394</v>
      </c>
      <c r="S71" s="33">
        <f t="shared" si="44"/>
        <v>-3</v>
      </c>
      <c r="T71" s="38">
        <f t="shared" si="45"/>
        <v>0.9978479196556671</v>
      </c>
      <c r="U71" s="59">
        <f t="shared" si="46"/>
        <v>1342</v>
      </c>
      <c r="V71" s="33">
        <v>-52</v>
      </c>
      <c r="W71" s="33">
        <v>-52</v>
      </c>
      <c r="X71" s="33"/>
      <c r="Y71" s="33"/>
      <c r="Z71" s="42"/>
      <c r="AA71" s="60"/>
      <c r="AB71" s="105"/>
      <c r="AC71" s="93"/>
      <c r="AD71" s="33">
        <f t="shared" si="47"/>
        <v>0</v>
      </c>
      <c r="AE71" s="33">
        <f t="shared" si="48"/>
        <v>1391</v>
      </c>
      <c r="AF71" s="101">
        <f t="shared" si="49"/>
        <v>-3</v>
      </c>
    </row>
    <row r="72" spans="2:32" ht="13" outlineLevel="2" x14ac:dyDescent="0.3">
      <c r="B72" s="31" t="s">
        <v>106</v>
      </c>
      <c r="C72" s="33">
        <v>120</v>
      </c>
      <c r="D72" s="33">
        <v>117</v>
      </c>
      <c r="E72" s="23">
        <v>0</v>
      </c>
      <c r="F72" s="23">
        <v>0</v>
      </c>
      <c r="G72" s="23">
        <v>-3</v>
      </c>
      <c r="H72" s="23">
        <v>0</v>
      </c>
      <c r="I72" s="23">
        <v>0</v>
      </c>
      <c r="J72" s="23">
        <v>0</v>
      </c>
      <c r="K72" s="23">
        <f t="shared" si="41"/>
        <v>-3</v>
      </c>
      <c r="L72" s="33">
        <f t="shared" si="42"/>
        <v>0</v>
      </c>
      <c r="M72" s="33">
        <f t="shared" si="43"/>
        <v>-3</v>
      </c>
      <c r="N72" s="33">
        <v>117</v>
      </c>
      <c r="O72" s="33">
        <v>167</v>
      </c>
      <c r="P72" s="33">
        <v>0</v>
      </c>
      <c r="Q72" s="33">
        <v>166</v>
      </c>
      <c r="R72" s="33">
        <v>117</v>
      </c>
      <c r="S72" s="33">
        <f t="shared" si="44"/>
        <v>49</v>
      </c>
      <c r="T72" s="38">
        <f t="shared" si="45"/>
        <v>1.4188034188034189</v>
      </c>
      <c r="U72" s="59">
        <f t="shared" si="46"/>
        <v>117</v>
      </c>
      <c r="V72" s="33">
        <v>0</v>
      </c>
      <c r="W72" s="33">
        <v>0</v>
      </c>
      <c r="X72" s="33"/>
      <c r="Y72" s="33"/>
      <c r="Z72" s="42"/>
      <c r="AA72" s="60"/>
      <c r="AB72" s="105"/>
      <c r="AC72" s="93"/>
      <c r="AD72" s="33">
        <f t="shared" si="47"/>
        <v>0</v>
      </c>
      <c r="AE72" s="33">
        <f t="shared" si="48"/>
        <v>166</v>
      </c>
      <c r="AF72" s="101">
        <f t="shared" si="49"/>
        <v>49</v>
      </c>
    </row>
    <row r="73" spans="2:32" ht="13" outlineLevel="1" x14ac:dyDescent="0.3">
      <c r="B73" s="32" t="s">
        <v>107</v>
      </c>
      <c r="C73" s="34">
        <f t="shared" ref="C73:J73" si="50">SUBTOTAL(9,C67:C72)</f>
        <v>3169</v>
      </c>
      <c r="D73" s="34">
        <f t="shared" si="50"/>
        <v>3098</v>
      </c>
      <c r="E73" s="24">
        <f t="shared" si="50"/>
        <v>0</v>
      </c>
      <c r="F73" s="24">
        <f t="shared" si="50"/>
        <v>488</v>
      </c>
      <c r="G73" s="24">
        <f t="shared" si="50"/>
        <v>-84</v>
      </c>
      <c r="H73" s="24">
        <f t="shared" si="50"/>
        <v>0</v>
      </c>
      <c r="I73" s="24">
        <f t="shared" si="50"/>
        <v>13</v>
      </c>
      <c r="J73" s="24">
        <f t="shared" si="50"/>
        <v>-30</v>
      </c>
      <c r="K73" s="24">
        <f>SUM(E73:J73)</f>
        <v>387</v>
      </c>
      <c r="L73" s="34">
        <f t="shared" si="42"/>
        <v>458</v>
      </c>
      <c r="M73" s="34">
        <f t="shared" si="43"/>
        <v>387</v>
      </c>
      <c r="N73" s="34">
        <f>SUBTOTAL(9,N67:N72)</f>
        <v>3556</v>
      </c>
      <c r="O73" s="34">
        <f>SUBTOTAL(9,O67:O72)</f>
        <v>5959</v>
      </c>
      <c r="P73" s="34">
        <f>SUBTOTAL(9,P67:P72)</f>
        <v>-2003</v>
      </c>
      <c r="Q73" s="34">
        <f>SUBTOTAL(9,Q67:Q72)</f>
        <v>3955</v>
      </c>
      <c r="R73" s="34">
        <f>SUBTOTAL(9,R67:R72)</f>
        <v>3556</v>
      </c>
      <c r="S73" s="34">
        <f>Q73-R73</f>
        <v>399</v>
      </c>
      <c r="T73" s="38">
        <f>IFERROR((Q73/N73)*100%,"∞")</f>
        <v>1.1122047244094488</v>
      </c>
      <c r="U73" s="59">
        <f>N73+V73</f>
        <v>3609</v>
      </c>
      <c r="V73" s="34">
        <f>SUBTOTAL(9,V67:V72)</f>
        <v>53</v>
      </c>
      <c r="W73" s="34">
        <f>SUBTOTAL(9,W67:W72)</f>
        <v>53</v>
      </c>
      <c r="X73" s="34"/>
      <c r="Y73" s="34"/>
      <c r="Z73" s="41"/>
      <c r="AA73" s="60"/>
      <c r="AB73" s="102">
        <f>SUBTOTAL(9,AB1:AB72)</f>
        <v>0</v>
      </c>
      <c r="AC73" s="34">
        <f>SUBTOTAL(9,AC1:AC72)</f>
        <v>0</v>
      </c>
      <c r="AD73" s="34"/>
      <c r="AE73" s="34"/>
      <c r="AF73" s="103"/>
    </row>
    <row r="74" spans="2:32" ht="13" outlineLevel="2" x14ac:dyDescent="0.3">
      <c r="B74" s="31" t="s">
        <v>108</v>
      </c>
      <c r="C74" s="33">
        <v>760</v>
      </c>
      <c r="D74" s="33">
        <v>737</v>
      </c>
      <c r="E74" s="23">
        <v>0</v>
      </c>
      <c r="F74" s="23">
        <v>0</v>
      </c>
      <c r="G74" s="23">
        <v>-22</v>
      </c>
      <c r="H74" s="23">
        <v>0</v>
      </c>
      <c r="I74" s="23">
        <v>0</v>
      </c>
      <c r="J74" s="23">
        <v>0</v>
      </c>
      <c r="K74" s="23">
        <f t="shared" si="41"/>
        <v>-22</v>
      </c>
      <c r="L74" s="33">
        <f t="shared" si="42"/>
        <v>0</v>
      </c>
      <c r="M74" s="33">
        <f t="shared" si="43"/>
        <v>-23</v>
      </c>
      <c r="N74" s="33">
        <v>737</v>
      </c>
      <c r="O74" s="33">
        <v>753</v>
      </c>
      <c r="P74" s="33">
        <v>-25</v>
      </c>
      <c r="Q74" s="33">
        <v>729</v>
      </c>
      <c r="R74" s="33">
        <v>737</v>
      </c>
      <c r="S74" s="33">
        <f t="shared" si="44"/>
        <v>-8</v>
      </c>
      <c r="T74" s="38">
        <f t="shared" si="45"/>
        <v>0.98914518317503397</v>
      </c>
      <c r="U74" s="59">
        <f t="shared" si="46"/>
        <v>737</v>
      </c>
      <c r="V74" s="33">
        <v>0</v>
      </c>
      <c r="W74" s="33">
        <v>0</v>
      </c>
      <c r="X74" s="33"/>
      <c r="Y74" s="33"/>
      <c r="Z74" s="42"/>
      <c r="AA74" s="60"/>
      <c r="AB74" s="105"/>
      <c r="AC74" s="93"/>
      <c r="AD74" s="33">
        <f t="shared" si="47"/>
        <v>0</v>
      </c>
      <c r="AE74" s="33">
        <f t="shared" si="48"/>
        <v>729</v>
      </c>
      <c r="AF74" s="101">
        <f t="shared" si="49"/>
        <v>-8</v>
      </c>
    </row>
    <row r="75" spans="2:32" ht="13" outlineLevel="2" x14ac:dyDescent="0.3">
      <c r="B75" s="31" t="s">
        <v>109</v>
      </c>
      <c r="C75" s="33">
        <v>337</v>
      </c>
      <c r="D75" s="33">
        <v>332</v>
      </c>
      <c r="E75" s="23">
        <v>0</v>
      </c>
      <c r="F75" s="23">
        <v>0</v>
      </c>
      <c r="G75" s="23">
        <v>-5</v>
      </c>
      <c r="H75" s="23">
        <v>0</v>
      </c>
      <c r="I75" s="23">
        <v>0</v>
      </c>
      <c r="J75" s="23">
        <v>0</v>
      </c>
      <c r="K75" s="23">
        <f t="shared" si="41"/>
        <v>-5</v>
      </c>
      <c r="L75" s="33">
        <f t="shared" si="42"/>
        <v>0</v>
      </c>
      <c r="M75" s="33">
        <f t="shared" si="43"/>
        <v>-5</v>
      </c>
      <c r="N75" s="33">
        <v>332</v>
      </c>
      <c r="O75" s="33">
        <v>341</v>
      </c>
      <c r="P75" s="33">
        <v>0</v>
      </c>
      <c r="Q75" s="33">
        <v>341</v>
      </c>
      <c r="R75" s="33">
        <v>332</v>
      </c>
      <c r="S75" s="33">
        <f t="shared" si="44"/>
        <v>9</v>
      </c>
      <c r="T75" s="38">
        <f t="shared" si="45"/>
        <v>1.0271084337349397</v>
      </c>
      <c r="U75" s="59">
        <f t="shared" si="46"/>
        <v>332</v>
      </c>
      <c r="V75" s="33">
        <v>0</v>
      </c>
      <c r="W75" s="33">
        <v>0</v>
      </c>
      <c r="X75" s="33"/>
      <c r="Y75" s="33"/>
      <c r="Z75" s="42"/>
      <c r="AA75" s="60"/>
      <c r="AB75" s="105"/>
      <c r="AC75" s="93"/>
      <c r="AD75" s="33">
        <f t="shared" si="47"/>
        <v>0</v>
      </c>
      <c r="AE75" s="33">
        <f t="shared" si="48"/>
        <v>341</v>
      </c>
      <c r="AF75" s="101">
        <f t="shared" si="49"/>
        <v>9</v>
      </c>
    </row>
    <row r="76" spans="2:32" ht="13" outlineLevel="1" x14ac:dyDescent="0.3">
      <c r="B76" s="32" t="s">
        <v>110</v>
      </c>
      <c r="C76" s="34">
        <f t="shared" ref="C76:J76" si="51">SUBTOTAL(9,C74:C75)</f>
        <v>1097</v>
      </c>
      <c r="D76" s="34">
        <f t="shared" si="51"/>
        <v>1069</v>
      </c>
      <c r="E76" s="24">
        <f t="shared" si="51"/>
        <v>0</v>
      </c>
      <c r="F76" s="24">
        <f t="shared" si="51"/>
        <v>0</v>
      </c>
      <c r="G76" s="24">
        <f t="shared" si="51"/>
        <v>-27</v>
      </c>
      <c r="H76" s="24">
        <f t="shared" si="51"/>
        <v>0</v>
      </c>
      <c r="I76" s="24">
        <f t="shared" si="51"/>
        <v>0</v>
      </c>
      <c r="J76" s="24">
        <f t="shared" si="51"/>
        <v>0</v>
      </c>
      <c r="K76" s="24">
        <f>SUM(E76:J76)</f>
        <v>-27</v>
      </c>
      <c r="L76" s="34">
        <f t="shared" si="42"/>
        <v>0</v>
      </c>
      <c r="M76" s="34">
        <f t="shared" si="43"/>
        <v>-28</v>
      </c>
      <c r="N76" s="34">
        <f>SUBTOTAL(9,N74:N75)</f>
        <v>1069</v>
      </c>
      <c r="O76" s="34">
        <f>SUBTOTAL(9,O74:O75)</f>
        <v>1094</v>
      </c>
      <c r="P76" s="34">
        <f>SUBTOTAL(9,P74:P75)</f>
        <v>-25</v>
      </c>
      <c r="Q76" s="34">
        <f>SUBTOTAL(9,Q74:Q75)</f>
        <v>1070</v>
      </c>
      <c r="R76" s="34">
        <f>SUBTOTAL(9,R74:R75)</f>
        <v>1069</v>
      </c>
      <c r="S76" s="34">
        <f>Q76-R76</f>
        <v>1</v>
      </c>
      <c r="T76" s="38">
        <f>IFERROR((Q76/N76)*100%,"∞")</f>
        <v>1.0009354536950421</v>
      </c>
      <c r="U76" s="59">
        <f>N76+V76</f>
        <v>1069</v>
      </c>
      <c r="V76" s="34">
        <f>SUBTOTAL(9,V74:V75)</f>
        <v>0</v>
      </c>
      <c r="W76" s="34">
        <f>SUBTOTAL(9,W74:W75)</f>
        <v>0</v>
      </c>
      <c r="X76" s="34"/>
      <c r="Y76" s="34"/>
      <c r="Z76" s="41"/>
      <c r="AA76" s="60"/>
      <c r="AB76" s="102">
        <f>SUBTOTAL(9,AB2:AB75)</f>
        <v>0</v>
      </c>
      <c r="AC76" s="34">
        <f>SUBTOTAL(9,AC2:AC75)</f>
        <v>0</v>
      </c>
      <c r="AD76" s="34"/>
      <c r="AE76" s="34"/>
      <c r="AF76" s="103"/>
    </row>
    <row r="77" spans="2:32" ht="13" outlineLevel="2" x14ac:dyDescent="0.3">
      <c r="B77" s="31" t="s">
        <v>111</v>
      </c>
      <c r="C77" s="33">
        <v>718</v>
      </c>
      <c r="D77" s="33">
        <v>724</v>
      </c>
      <c r="E77" s="23">
        <v>10</v>
      </c>
      <c r="F77" s="23">
        <v>0</v>
      </c>
      <c r="G77" s="23">
        <v>-5</v>
      </c>
      <c r="H77" s="23">
        <v>0</v>
      </c>
      <c r="I77" s="23">
        <v>0</v>
      </c>
      <c r="J77" s="23">
        <v>0</v>
      </c>
      <c r="K77" s="23">
        <f t="shared" si="41"/>
        <v>5</v>
      </c>
      <c r="L77" s="33">
        <f t="shared" si="42"/>
        <v>0</v>
      </c>
      <c r="M77" s="33">
        <f t="shared" si="43"/>
        <v>6</v>
      </c>
      <c r="N77" s="33">
        <v>724</v>
      </c>
      <c r="O77" s="33">
        <v>808</v>
      </c>
      <c r="P77" s="33">
        <v>-67</v>
      </c>
      <c r="Q77" s="33">
        <v>741</v>
      </c>
      <c r="R77" s="33">
        <v>724</v>
      </c>
      <c r="S77" s="33">
        <f t="shared" si="44"/>
        <v>17</v>
      </c>
      <c r="T77" s="38">
        <f t="shared" si="45"/>
        <v>1.0234806629834254</v>
      </c>
      <c r="U77" s="59">
        <f t="shared" si="46"/>
        <v>743</v>
      </c>
      <c r="V77" s="33">
        <v>19</v>
      </c>
      <c r="W77" s="33">
        <v>19</v>
      </c>
      <c r="X77" s="33"/>
      <c r="Y77" s="33"/>
      <c r="Z77" s="42"/>
      <c r="AA77" s="60"/>
      <c r="AB77" s="105"/>
      <c r="AC77" s="93"/>
      <c r="AD77" s="33">
        <f t="shared" si="47"/>
        <v>0</v>
      </c>
      <c r="AE77" s="33">
        <f t="shared" si="48"/>
        <v>741</v>
      </c>
      <c r="AF77" s="101">
        <f t="shared" si="49"/>
        <v>17</v>
      </c>
    </row>
    <row r="78" spans="2:32" ht="13" outlineLevel="2" x14ac:dyDescent="0.3">
      <c r="B78" s="31" t="s">
        <v>112</v>
      </c>
      <c r="C78" s="33">
        <v>394</v>
      </c>
      <c r="D78" s="33">
        <v>390</v>
      </c>
      <c r="E78" s="23">
        <v>0</v>
      </c>
      <c r="F78" s="23">
        <v>0</v>
      </c>
      <c r="G78" s="23">
        <v>-3</v>
      </c>
      <c r="H78" s="23">
        <v>0</v>
      </c>
      <c r="I78" s="23">
        <v>0</v>
      </c>
      <c r="J78" s="23">
        <v>0</v>
      </c>
      <c r="K78" s="23">
        <f t="shared" si="41"/>
        <v>-3</v>
      </c>
      <c r="L78" s="33">
        <f t="shared" si="42"/>
        <v>0</v>
      </c>
      <c r="M78" s="33">
        <f t="shared" si="43"/>
        <v>-4</v>
      </c>
      <c r="N78" s="33">
        <v>390</v>
      </c>
      <c r="O78" s="33">
        <v>537</v>
      </c>
      <c r="P78" s="33">
        <v>-40</v>
      </c>
      <c r="Q78" s="33">
        <v>496</v>
      </c>
      <c r="R78" s="33">
        <v>390</v>
      </c>
      <c r="S78" s="33">
        <f t="shared" si="44"/>
        <v>106</v>
      </c>
      <c r="T78" s="38">
        <f t="shared" si="45"/>
        <v>1.2717948717948717</v>
      </c>
      <c r="U78" s="59">
        <f t="shared" si="46"/>
        <v>460</v>
      </c>
      <c r="V78" s="33">
        <v>70</v>
      </c>
      <c r="W78" s="33">
        <v>70</v>
      </c>
      <c r="X78" s="33"/>
      <c r="Y78" s="33"/>
      <c r="Z78" s="42"/>
      <c r="AA78" s="60"/>
      <c r="AB78" s="105"/>
      <c r="AC78" s="93"/>
      <c r="AD78" s="33">
        <f t="shared" si="47"/>
        <v>0</v>
      </c>
      <c r="AE78" s="33">
        <f t="shared" si="48"/>
        <v>496</v>
      </c>
      <c r="AF78" s="101">
        <f t="shared" si="49"/>
        <v>106</v>
      </c>
    </row>
    <row r="79" spans="2:32" ht="13" outlineLevel="2" x14ac:dyDescent="0.3">
      <c r="B79" s="31" t="s">
        <v>113</v>
      </c>
      <c r="C79" s="33">
        <v>1352</v>
      </c>
      <c r="D79" s="33">
        <v>1289</v>
      </c>
      <c r="E79" s="23">
        <v>0</v>
      </c>
      <c r="F79" s="23">
        <v>0</v>
      </c>
      <c r="G79" s="23">
        <v>-41</v>
      </c>
      <c r="H79" s="23">
        <v>0</v>
      </c>
      <c r="I79" s="23">
        <v>-22</v>
      </c>
      <c r="J79" s="23">
        <v>0</v>
      </c>
      <c r="K79" s="23">
        <f t="shared" si="41"/>
        <v>-63</v>
      </c>
      <c r="L79" s="33">
        <f t="shared" si="42"/>
        <v>0</v>
      </c>
      <c r="M79" s="33">
        <f t="shared" si="43"/>
        <v>-63</v>
      </c>
      <c r="N79" s="33">
        <v>1289</v>
      </c>
      <c r="O79" s="33">
        <v>1941</v>
      </c>
      <c r="P79" s="33">
        <v>-316</v>
      </c>
      <c r="Q79" s="33">
        <v>1625</v>
      </c>
      <c r="R79" s="33">
        <v>1289</v>
      </c>
      <c r="S79" s="33">
        <f t="shared" si="44"/>
        <v>336</v>
      </c>
      <c r="T79" s="38">
        <f t="shared" si="45"/>
        <v>1.26066718386346</v>
      </c>
      <c r="U79" s="59">
        <f t="shared" si="46"/>
        <v>1389</v>
      </c>
      <c r="V79" s="33">
        <v>100</v>
      </c>
      <c r="W79" s="33">
        <v>100</v>
      </c>
      <c r="X79" s="33"/>
      <c r="Y79" s="33"/>
      <c r="Z79" s="42"/>
      <c r="AA79" s="60"/>
      <c r="AB79" s="105"/>
      <c r="AC79" s="93"/>
      <c r="AD79" s="33">
        <f t="shared" si="47"/>
        <v>0</v>
      </c>
      <c r="AE79" s="33">
        <f t="shared" si="48"/>
        <v>1625</v>
      </c>
      <c r="AF79" s="101">
        <f t="shared" si="49"/>
        <v>336</v>
      </c>
    </row>
    <row r="80" spans="2:32" ht="13" outlineLevel="1" x14ac:dyDescent="0.3">
      <c r="B80" s="32" t="s">
        <v>114</v>
      </c>
      <c r="C80" s="34">
        <f t="shared" ref="C80:J80" si="52">SUBTOTAL(9,C77:C79)</f>
        <v>2464</v>
      </c>
      <c r="D80" s="34">
        <f t="shared" si="52"/>
        <v>2403</v>
      </c>
      <c r="E80" s="24">
        <f t="shared" si="52"/>
        <v>10</v>
      </c>
      <c r="F80" s="24">
        <f t="shared" si="52"/>
        <v>0</v>
      </c>
      <c r="G80" s="24">
        <f t="shared" si="52"/>
        <v>-49</v>
      </c>
      <c r="H80" s="24">
        <f t="shared" si="52"/>
        <v>0</v>
      </c>
      <c r="I80" s="24">
        <f t="shared" si="52"/>
        <v>-22</v>
      </c>
      <c r="J80" s="24">
        <f t="shared" si="52"/>
        <v>0</v>
      </c>
      <c r="K80" s="24">
        <f>SUM(E80:J80)</f>
        <v>-61</v>
      </c>
      <c r="L80" s="34">
        <f t="shared" si="42"/>
        <v>0</v>
      </c>
      <c r="M80" s="34">
        <f t="shared" si="43"/>
        <v>-61</v>
      </c>
      <c r="N80" s="34">
        <f>SUBTOTAL(9,N77:N79)</f>
        <v>2403</v>
      </c>
      <c r="O80" s="34">
        <f>SUBTOTAL(9,O77:O79)</f>
        <v>3286</v>
      </c>
      <c r="P80" s="34">
        <f>SUBTOTAL(9,P77:P79)</f>
        <v>-423</v>
      </c>
      <c r="Q80" s="34">
        <f>SUBTOTAL(9,Q77:Q79)</f>
        <v>2862</v>
      </c>
      <c r="R80" s="34">
        <f>SUBTOTAL(9,R77:R79)</f>
        <v>2403</v>
      </c>
      <c r="S80" s="34">
        <f>Q80-R80</f>
        <v>459</v>
      </c>
      <c r="T80" s="38">
        <f>IFERROR((Q80/N80)*100%,"∞")</f>
        <v>1.1910112359550562</v>
      </c>
      <c r="U80" s="59">
        <f>N80+V80</f>
        <v>2592</v>
      </c>
      <c r="V80" s="34">
        <f>SUBTOTAL(9,V77:V79)</f>
        <v>189</v>
      </c>
      <c r="W80" s="34">
        <f>SUBTOTAL(9,W77:W79)</f>
        <v>189</v>
      </c>
      <c r="X80" s="34"/>
      <c r="Y80" s="34"/>
      <c r="Z80" s="41"/>
      <c r="AA80" s="60"/>
      <c r="AB80" s="102">
        <f>SUBTOTAL(9,AB5:AB79)</f>
        <v>0</v>
      </c>
      <c r="AC80" s="34">
        <f>SUBTOTAL(9,AC5:AC79)</f>
        <v>0</v>
      </c>
      <c r="AD80" s="34"/>
      <c r="AE80" s="34"/>
      <c r="AF80" s="103"/>
    </row>
    <row r="81" spans="2:32" ht="14.9" customHeight="1" thickBot="1" x14ac:dyDescent="0.35">
      <c r="B81" s="53" t="s">
        <v>115</v>
      </c>
      <c r="C81" s="35">
        <f t="shared" ref="C81:J81" si="53">SUBTOTAL(9,C61:C80)</f>
        <v>16460</v>
      </c>
      <c r="D81" s="35">
        <f t="shared" si="53"/>
        <v>16327</v>
      </c>
      <c r="E81" s="25">
        <f t="shared" si="53"/>
        <v>184</v>
      </c>
      <c r="F81" s="25">
        <f t="shared" si="53"/>
        <v>488</v>
      </c>
      <c r="G81" s="25">
        <f t="shared" si="53"/>
        <v>-267</v>
      </c>
      <c r="H81" s="25">
        <f t="shared" si="53"/>
        <v>0</v>
      </c>
      <c r="I81" s="25">
        <f t="shared" si="53"/>
        <v>-51</v>
      </c>
      <c r="J81" s="25">
        <f t="shared" si="53"/>
        <v>75</v>
      </c>
      <c r="K81" s="25">
        <f>SUM(E81:J81)</f>
        <v>429</v>
      </c>
      <c r="L81" s="35">
        <f t="shared" si="42"/>
        <v>563</v>
      </c>
      <c r="M81" s="35">
        <f t="shared" si="43"/>
        <v>430</v>
      </c>
      <c r="N81" s="35">
        <f>SUBTOTAL(9,N61:N80)</f>
        <v>16890</v>
      </c>
      <c r="O81" s="35">
        <f>SUBTOTAL(9,O61:O80)</f>
        <v>20384</v>
      </c>
      <c r="P81" s="35">
        <f>SUBTOTAL(9,P61:P80)</f>
        <v>-2585</v>
      </c>
      <c r="Q81" s="35">
        <f>SUBTOTAL(9,Q61:Q80)</f>
        <v>17799</v>
      </c>
      <c r="R81" s="35">
        <f>SUBTOTAL(9,R61:R80)</f>
        <v>16890</v>
      </c>
      <c r="S81" s="35">
        <f>Q81-R81</f>
        <v>909</v>
      </c>
      <c r="T81" s="39">
        <f>IFERROR((Q81/N81)*100%,"∞")</f>
        <v>1.0538188277087033</v>
      </c>
      <c r="U81" s="54">
        <f>N81+V81</f>
        <v>17230</v>
      </c>
      <c r="V81" s="35">
        <f>SUBTOTAL(9,V61:V80)</f>
        <v>340</v>
      </c>
      <c r="W81" s="35">
        <f>SUBTOTAL(9,W61:W80)</f>
        <v>340</v>
      </c>
      <c r="X81" s="35"/>
      <c r="Y81" s="35"/>
      <c r="Z81" s="43"/>
      <c r="AA81" s="60"/>
      <c r="AB81" s="104">
        <f>SUBTOTAL(9,AB5:AB80)</f>
        <v>0</v>
      </c>
      <c r="AC81" s="104">
        <f>SUBTOTAL(9,AC5:AC80)</f>
        <v>0</v>
      </c>
      <c r="AD81" s="35">
        <f>SUM(AB81:AC81)</f>
        <v>0</v>
      </c>
      <c r="AE81" s="35">
        <f>Q81+AD81</f>
        <v>17799</v>
      </c>
      <c r="AF81" s="43">
        <f>AE81-N81</f>
        <v>909</v>
      </c>
    </row>
    <row r="82" spans="2:32" ht="14" thickTop="1" thickBot="1" x14ac:dyDescent="0.35">
      <c r="B82" s="61"/>
      <c r="C82" s="62"/>
      <c r="D82" s="62"/>
      <c r="E82" s="65"/>
      <c r="F82" s="65"/>
      <c r="G82" s="65"/>
      <c r="H82" s="65"/>
      <c r="I82" s="65"/>
      <c r="J82" s="65"/>
      <c r="K82" s="65"/>
      <c r="L82" s="62"/>
      <c r="M82" s="62"/>
      <c r="N82" s="62"/>
      <c r="O82" s="62"/>
      <c r="P82" s="62"/>
      <c r="Q82" s="62"/>
      <c r="R82" s="62"/>
      <c r="S82" s="62"/>
      <c r="T82" s="62"/>
      <c r="U82" s="64"/>
      <c r="V82" s="62"/>
      <c r="W82" s="62"/>
      <c r="X82" s="62"/>
      <c r="Y82" s="62"/>
      <c r="Z82" s="63"/>
      <c r="AA82" s="60"/>
      <c r="AB82" s="61"/>
      <c r="AC82" s="62"/>
      <c r="AD82" s="62"/>
      <c r="AE82" s="62"/>
      <c r="AF82" s="63"/>
    </row>
    <row r="83" spans="2:32" ht="13.5" thickBot="1" x14ac:dyDescent="0.35">
      <c r="B83" s="50" t="s">
        <v>116</v>
      </c>
      <c r="C83" s="51">
        <f t="shared" ref="C83:J83" si="54">SUBTOTAL(9,C5:C82)</f>
        <v>34225</v>
      </c>
      <c r="D83" s="51">
        <f t="shared" si="54"/>
        <v>34439</v>
      </c>
      <c r="E83" s="51">
        <f t="shared" si="54"/>
        <v>406</v>
      </c>
      <c r="F83" s="51">
        <f t="shared" si="54"/>
        <v>-2395</v>
      </c>
      <c r="G83" s="51">
        <f t="shared" si="54"/>
        <v>-190</v>
      </c>
      <c r="H83" s="51">
        <f t="shared" si="54"/>
        <v>-28</v>
      </c>
      <c r="I83" s="51">
        <f t="shared" si="54"/>
        <v>-1</v>
      </c>
      <c r="J83" s="51">
        <f t="shared" si="54"/>
        <v>0</v>
      </c>
      <c r="K83" s="51">
        <f>SUM(E83:J83)</f>
        <v>-2208</v>
      </c>
      <c r="L83" s="51">
        <f>N83-D83</f>
        <v>-2413</v>
      </c>
      <c r="M83" s="51">
        <f>N83-C83</f>
        <v>-2199</v>
      </c>
      <c r="N83" s="51">
        <f>SUBTOTAL(9,N5:N82)</f>
        <v>32026</v>
      </c>
      <c r="O83" s="51">
        <f>SUBTOTAL(9,O5:O82)</f>
        <v>82528</v>
      </c>
      <c r="P83" s="51">
        <f>SUBTOTAL(9,P5:P82)</f>
        <v>-47795</v>
      </c>
      <c r="Q83" s="51">
        <f>SUBTOTAL(9,Q5:Q82)</f>
        <v>34732</v>
      </c>
      <c r="R83" s="51">
        <f>SUBTOTAL(9,R5:R82)</f>
        <v>32026</v>
      </c>
      <c r="S83" s="51">
        <f>Q83-R83</f>
        <v>2706</v>
      </c>
      <c r="T83" s="52">
        <f>IFERROR((Q83/N83)*100%,"∞")</f>
        <v>1.0844938487478923</v>
      </c>
      <c r="U83" s="51">
        <f>N83+V83</f>
        <v>33062</v>
      </c>
      <c r="V83" s="51">
        <f>SUBTOTAL(9,V5:V82)</f>
        <v>1036</v>
      </c>
      <c r="W83" s="51">
        <f>SUBTOTAL(9,W5:W82)</f>
        <v>1036</v>
      </c>
      <c r="X83" s="51">
        <f>SUBTOTAL(9,X5:X82)</f>
        <v>0</v>
      </c>
      <c r="Y83" s="51">
        <f>SUBTOTAL(9,Y5:Y82)</f>
        <v>0</v>
      </c>
      <c r="Z83" s="51">
        <f>SUBTOTAL(9,Z5:Z82)</f>
        <v>0</v>
      </c>
      <c r="AA83" s="60"/>
      <c r="AB83" s="51">
        <f>SUBTOTAL(9,AB5:AB82)</f>
        <v>0</v>
      </c>
      <c r="AC83" s="51">
        <f>SUBTOTAL(9,AC5:AC82)</f>
        <v>0</v>
      </c>
      <c r="AD83" s="51">
        <f>SUM(AB83:AC83)</f>
        <v>0</v>
      </c>
      <c r="AE83" s="51">
        <f>Q83+AD83</f>
        <v>34732</v>
      </c>
      <c r="AF83" s="51">
        <f>AE83-N83</f>
        <v>2706</v>
      </c>
    </row>
    <row r="84" spans="2:32" ht="13.5" thickTop="1" x14ac:dyDescent="0.3">
      <c r="B84" s="71"/>
      <c r="C84" s="72"/>
      <c r="D84" s="72"/>
      <c r="E84" s="73"/>
      <c r="F84" s="73"/>
      <c r="G84" s="73"/>
      <c r="H84" s="73"/>
      <c r="I84" s="73"/>
      <c r="J84" s="73"/>
      <c r="K84" s="73"/>
      <c r="L84" s="72"/>
      <c r="M84" s="72"/>
      <c r="N84" s="72"/>
      <c r="O84" s="72"/>
      <c r="P84" s="72"/>
      <c r="Q84" s="72"/>
      <c r="R84" s="72"/>
      <c r="S84" s="72"/>
      <c r="T84" s="72"/>
      <c r="U84" s="74"/>
      <c r="V84" s="72"/>
      <c r="W84" s="72"/>
      <c r="X84" s="72"/>
      <c r="Y84" s="72"/>
      <c r="Z84" s="75"/>
      <c r="AA84" s="60"/>
      <c r="AB84" s="71"/>
      <c r="AC84" s="72"/>
      <c r="AD84" s="72"/>
      <c r="AE84" s="72"/>
      <c r="AF84" s="75"/>
    </row>
    <row r="85" spans="2:32" ht="13" outlineLevel="1" x14ac:dyDescent="0.3">
      <c r="B85" s="31" t="s">
        <v>117</v>
      </c>
      <c r="C85" s="33">
        <v>5662</v>
      </c>
      <c r="D85" s="33">
        <v>5662</v>
      </c>
      <c r="E85" s="23">
        <v>0</v>
      </c>
      <c r="F85" s="23">
        <v>0</v>
      </c>
      <c r="G85" s="23">
        <v>0</v>
      </c>
      <c r="H85" s="23">
        <v>0</v>
      </c>
      <c r="I85" s="23">
        <v>0</v>
      </c>
      <c r="J85" s="23">
        <v>0</v>
      </c>
      <c r="K85" s="23">
        <f t="shared" ref="K85:K102" si="55">SUM(E85:J85)</f>
        <v>0</v>
      </c>
      <c r="L85" s="33">
        <f t="shared" ref="L85:L102" si="56">N85-D85</f>
        <v>0</v>
      </c>
      <c r="M85" s="33">
        <f t="shared" ref="M85:M102" si="57">N85-C85</f>
        <v>0</v>
      </c>
      <c r="N85" s="33">
        <v>5662</v>
      </c>
      <c r="O85" s="33">
        <v>6528</v>
      </c>
      <c r="P85" s="33">
        <v>0</v>
      </c>
      <c r="Q85" s="33">
        <v>6528</v>
      </c>
      <c r="R85" s="33">
        <v>5662</v>
      </c>
      <c r="S85" s="33">
        <f t="shared" ref="S85:S102" si="58">Q85-R85</f>
        <v>866</v>
      </c>
      <c r="T85" s="38">
        <f t="shared" ref="T85:T102" si="59">IFERROR((Q85/N85)*100%,"∞")</f>
        <v>1.1529494878134934</v>
      </c>
      <c r="U85" s="59">
        <f t="shared" ref="U85:U102" si="60">N85+V85</f>
        <v>5662</v>
      </c>
      <c r="V85" s="33">
        <v>0</v>
      </c>
      <c r="W85" s="33">
        <v>0</v>
      </c>
      <c r="X85" s="33"/>
      <c r="Y85" s="33"/>
      <c r="Z85" s="42"/>
      <c r="AA85" s="60"/>
      <c r="AB85" s="105"/>
      <c r="AC85" s="93"/>
      <c r="AD85" s="33">
        <f t="shared" ref="AD85:AD102" si="61">SUM(AB85:AC85)</f>
        <v>0</v>
      </c>
      <c r="AE85" s="33">
        <f t="shared" ref="AE85:AE102" si="62">Q85+AD85</f>
        <v>6528</v>
      </c>
      <c r="AF85" s="101">
        <f t="shared" ref="AF85:AF102" si="63">AE85-N85</f>
        <v>866</v>
      </c>
    </row>
    <row r="86" spans="2:32" ht="13" outlineLevel="1" x14ac:dyDescent="0.3">
      <c r="B86" s="31" t="s">
        <v>118</v>
      </c>
      <c r="C86" s="33">
        <v>-5662</v>
      </c>
      <c r="D86" s="33">
        <v>-5662</v>
      </c>
      <c r="E86" s="23">
        <v>0</v>
      </c>
      <c r="F86" s="23">
        <v>0</v>
      </c>
      <c r="G86" s="23">
        <v>0</v>
      </c>
      <c r="H86" s="23">
        <v>0</v>
      </c>
      <c r="I86" s="23">
        <v>0</v>
      </c>
      <c r="J86" s="23">
        <v>0</v>
      </c>
      <c r="K86" s="23">
        <f t="shared" si="55"/>
        <v>0</v>
      </c>
      <c r="L86" s="33">
        <f t="shared" si="56"/>
        <v>0</v>
      </c>
      <c r="M86" s="33">
        <f t="shared" si="57"/>
        <v>0</v>
      </c>
      <c r="N86" s="33">
        <v>-5662</v>
      </c>
      <c r="O86" s="33">
        <v>0</v>
      </c>
      <c r="P86" s="33">
        <v>-6528</v>
      </c>
      <c r="Q86" s="33">
        <v>-6528</v>
      </c>
      <c r="R86" s="33">
        <v>-5662</v>
      </c>
      <c r="S86" s="33">
        <f t="shared" si="58"/>
        <v>-866</v>
      </c>
      <c r="T86" s="38">
        <f t="shared" si="59"/>
        <v>1.1529494878134934</v>
      </c>
      <c r="U86" s="59">
        <f t="shared" si="60"/>
        <v>-5662</v>
      </c>
      <c r="V86" s="33">
        <v>0</v>
      </c>
      <c r="W86" s="33">
        <v>0</v>
      </c>
      <c r="X86" s="33"/>
      <c r="Y86" s="33"/>
      <c r="Z86" s="42"/>
      <c r="AA86" s="60"/>
      <c r="AB86" s="105"/>
      <c r="AC86" s="93"/>
      <c r="AD86" s="33">
        <f t="shared" si="61"/>
        <v>0</v>
      </c>
      <c r="AE86" s="33">
        <f t="shared" si="62"/>
        <v>-6528</v>
      </c>
      <c r="AF86" s="101">
        <f t="shared" si="63"/>
        <v>-866</v>
      </c>
    </row>
    <row r="87" spans="2:32" ht="13" outlineLevel="1" x14ac:dyDescent="0.3">
      <c r="B87" s="31" t="s">
        <v>119</v>
      </c>
      <c r="C87" s="33">
        <v>0</v>
      </c>
      <c r="D87" s="33">
        <v>0</v>
      </c>
      <c r="E87" s="23">
        <v>0</v>
      </c>
      <c r="F87" s="23">
        <v>0</v>
      </c>
      <c r="G87" s="23">
        <v>0</v>
      </c>
      <c r="H87" s="23">
        <v>0</v>
      </c>
      <c r="I87" s="23">
        <v>0</v>
      </c>
      <c r="J87" s="23">
        <v>0</v>
      </c>
      <c r="K87" s="23">
        <f t="shared" si="55"/>
        <v>0</v>
      </c>
      <c r="L87" s="33">
        <f t="shared" si="56"/>
        <v>0</v>
      </c>
      <c r="M87" s="33">
        <f t="shared" si="57"/>
        <v>0</v>
      </c>
      <c r="N87" s="33">
        <v>0</v>
      </c>
      <c r="O87" s="33">
        <v>580</v>
      </c>
      <c r="P87" s="33">
        <v>0</v>
      </c>
      <c r="Q87" s="33">
        <v>580</v>
      </c>
      <c r="R87" s="33">
        <v>0</v>
      </c>
      <c r="S87" s="33">
        <f t="shared" si="58"/>
        <v>580</v>
      </c>
      <c r="T87" s="38" t="str">
        <f t="shared" si="59"/>
        <v>∞</v>
      </c>
      <c r="U87" s="59">
        <f t="shared" si="60"/>
        <v>0</v>
      </c>
      <c r="V87" s="33">
        <v>0</v>
      </c>
      <c r="W87" s="33">
        <v>0</v>
      </c>
      <c r="X87" s="33"/>
      <c r="Y87" s="33"/>
      <c r="Z87" s="42"/>
      <c r="AA87" s="60"/>
      <c r="AB87" s="105"/>
      <c r="AC87" s="93"/>
      <c r="AD87" s="33">
        <f t="shared" si="61"/>
        <v>0</v>
      </c>
      <c r="AE87" s="33">
        <f t="shared" si="62"/>
        <v>580</v>
      </c>
      <c r="AF87" s="101">
        <f t="shared" si="63"/>
        <v>580</v>
      </c>
    </row>
    <row r="88" spans="2:32" ht="13" outlineLevel="1" x14ac:dyDescent="0.3">
      <c r="B88" s="31" t="s">
        <v>120</v>
      </c>
      <c r="C88" s="33">
        <v>0</v>
      </c>
      <c r="D88" s="33">
        <v>0</v>
      </c>
      <c r="E88" s="23">
        <v>0</v>
      </c>
      <c r="F88" s="23">
        <v>0</v>
      </c>
      <c r="G88" s="23">
        <v>0</v>
      </c>
      <c r="H88" s="23">
        <v>0</v>
      </c>
      <c r="I88" s="23">
        <v>0</v>
      </c>
      <c r="J88" s="23">
        <v>0</v>
      </c>
      <c r="K88" s="23">
        <f t="shared" si="55"/>
        <v>0</v>
      </c>
      <c r="L88" s="33">
        <f t="shared" si="56"/>
        <v>0</v>
      </c>
      <c r="M88" s="33">
        <f t="shared" si="57"/>
        <v>0</v>
      </c>
      <c r="N88" s="33">
        <v>0</v>
      </c>
      <c r="O88" s="33">
        <v>0</v>
      </c>
      <c r="P88" s="33">
        <v>-580</v>
      </c>
      <c r="Q88" s="33">
        <v>-580</v>
      </c>
      <c r="R88" s="33">
        <v>0</v>
      </c>
      <c r="S88" s="33">
        <f t="shared" si="58"/>
        <v>-580</v>
      </c>
      <c r="T88" s="38" t="str">
        <f t="shared" si="59"/>
        <v>∞</v>
      </c>
      <c r="U88" s="59">
        <f t="shared" si="60"/>
        <v>0</v>
      </c>
      <c r="V88" s="33">
        <v>0</v>
      </c>
      <c r="W88" s="33">
        <v>0</v>
      </c>
      <c r="X88" s="33"/>
      <c r="Y88" s="33"/>
      <c r="Z88" s="42"/>
      <c r="AA88" s="60"/>
      <c r="AB88" s="105"/>
      <c r="AC88" s="93"/>
      <c r="AD88" s="33">
        <f t="shared" si="61"/>
        <v>0</v>
      </c>
      <c r="AE88" s="33">
        <f t="shared" si="62"/>
        <v>-580</v>
      </c>
      <c r="AF88" s="101">
        <f t="shared" si="63"/>
        <v>-580</v>
      </c>
    </row>
    <row r="89" spans="2:32" ht="13" outlineLevel="1" x14ac:dyDescent="0.3">
      <c r="B89" s="31" t="s">
        <v>121</v>
      </c>
      <c r="C89" s="33">
        <v>0</v>
      </c>
      <c r="D89" s="33">
        <v>0</v>
      </c>
      <c r="E89" s="23">
        <v>0</v>
      </c>
      <c r="F89" s="23">
        <v>0</v>
      </c>
      <c r="G89" s="23">
        <v>0</v>
      </c>
      <c r="H89" s="23">
        <v>0</v>
      </c>
      <c r="I89" s="23">
        <v>0</v>
      </c>
      <c r="J89" s="23">
        <v>0</v>
      </c>
      <c r="K89" s="23">
        <f t="shared" si="55"/>
        <v>0</v>
      </c>
      <c r="L89" s="33">
        <f t="shared" si="56"/>
        <v>0</v>
      </c>
      <c r="M89" s="33">
        <f t="shared" si="57"/>
        <v>0</v>
      </c>
      <c r="N89" s="33">
        <v>0</v>
      </c>
      <c r="O89" s="33">
        <v>-1267</v>
      </c>
      <c r="P89" s="33">
        <v>0</v>
      </c>
      <c r="Q89" s="33">
        <v>-1267</v>
      </c>
      <c r="R89" s="33">
        <v>0</v>
      </c>
      <c r="S89" s="33">
        <f t="shared" si="58"/>
        <v>-1267</v>
      </c>
      <c r="T89" s="38" t="str">
        <f t="shared" si="59"/>
        <v>∞</v>
      </c>
      <c r="U89" s="59">
        <f t="shared" si="60"/>
        <v>0</v>
      </c>
      <c r="V89" s="33">
        <v>0</v>
      </c>
      <c r="W89" s="33">
        <v>0</v>
      </c>
      <c r="X89" s="33"/>
      <c r="Y89" s="33"/>
      <c r="Z89" s="42"/>
      <c r="AA89" s="60"/>
      <c r="AB89" s="105"/>
      <c r="AC89" s="93"/>
      <c r="AD89" s="33">
        <f t="shared" si="61"/>
        <v>0</v>
      </c>
      <c r="AE89" s="33">
        <f t="shared" si="62"/>
        <v>-1267</v>
      </c>
      <c r="AF89" s="101">
        <f t="shared" si="63"/>
        <v>-1267</v>
      </c>
    </row>
    <row r="90" spans="2:32" ht="13" outlineLevel="1" x14ac:dyDescent="0.3">
      <c r="B90" s="31" t="s">
        <v>122</v>
      </c>
      <c r="C90" s="33">
        <v>0</v>
      </c>
      <c r="D90" s="33">
        <v>0</v>
      </c>
      <c r="E90" s="23">
        <v>0</v>
      </c>
      <c r="F90" s="23">
        <v>0</v>
      </c>
      <c r="G90" s="23">
        <v>0</v>
      </c>
      <c r="H90" s="23">
        <v>0</v>
      </c>
      <c r="I90" s="23">
        <v>0</v>
      </c>
      <c r="J90" s="23">
        <v>0</v>
      </c>
      <c r="K90" s="23">
        <f t="shared" si="55"/>
        <v>0</v>
      </c>
      <c r="L90" s="33">
        <f t="shared" si="56"/>
        <v>0</v>
      </c>
      <c r="M90" s="33">
        <f t="shared" si="57"/>
        <v>0</v>
      </c>
      <c r="N90" s="33">
        <v>0</v>
      </c>
      <c r="O90" s="33">
        <v>1267</v>
      </c>
      <c r="P90" s="33">
        <v>0</v>
      </c>
      <c r="Q90" s="33">
        <v>1267</v>
      </c>
      <c r="R90" s="33">
        <v>0</v>
      </c>
      <c r="S90" s="33">
        <f t="shared" si="58"/>
        <v>1267</v>
      </c>
      <c r="T90" s="38" t="str">
        <f t="shared" si="59"/>
        <v>∞</v>
      </c>
      <c r="U90" s="59">
        <f t="shared" si="60"/>
        <v>0</v>
      </c>
      <c r="V90" s="33">
        <v>0</v>
      </c>
      <c r="W90" s="33">
        <v>0</v>
      </c>
      <c r="X90" s="33"/>
      <c r="Y90" s="33"/>
      <c r="Z90" s="42"/>
      <c r="AA90" s="60"/>
      <c r="AB90" s="105"/>
      <c r="AC90" s="93"/>
      <c r="AD90" s="33">
        <f t="shared" si="61"/>
        <v>0</v>
      </c>
      <c r="AE90" s="33">
        <f t="shared" si="62"/>
        <v>1267</v>
      </c>
      <c r="AF90" s="101">
        <f t="shared" si="63"/>
        <v>1267</v>
      </c>
    </row>
    <row r="91" spans="2:32" ht="13" outlineLevel="1" x14ac:dyDescent="0.3">
      <c r="B91" s="31" t="s">
        <v>123</v>
      </c>
      <c r="C91" s="33">
        <v>0</v>
      </c>
      <c r="D91" s="33">
        <v>0</v>
      </c>
      <c r="E91" s="23">
        <v>0</v>
      </c>
      <c r="F91" s="23">
        <v>0</v>
      </c>
      <c r="G91" s="23">
        <v>0</v>
      </c>
      <c r="H91" s="23">
        <v>0</v>
      </c>
      <c r="I91" s="23">
        <v>0</v>
      </c>
      <c r="J91" s="23">
        <v>0</v>
      </c>
      <c r="K91" s="23">
        <f t="shared" si="55"/>
        <v>0</v>
      </c>
      <c r="L91" s="33">
        <f t="shared" si="56"/>
        <v>0</v>
      </c>
      <c r="M91" s="33">
        <f t="shared" si="57"/>
        <v>0</v>
      </c>
      <c r="N91" s="33">
        <v>0</v>
      </c>
      <c r="O91" s="33">
        <v>123</v>
      </c>
      <c r="P91" s="33">
        <v>-175</v>
      </c>
      <c r="Q91" s="33">
        <v>-53</v>
      </c>
      <c r="R91" s="33">
        <v>0</v>
      </c>
      <c r="S91" s="33">
        <f t="shared" si="58"/>
        <v>-53</v>
      </c>
      <c r="T91" s="38" t="str">
        <f t="shared" si="59"/>
        <v>∞</v>
      </c>
      <c r="U91" s="59">
        <f t="shared" si="60"/>
        <v>0</v>
      </c>
      <c r="V91" s="33">
        <v>0</v>
      </c>
      <c r="W91" s="33">
        <v>0</v>
      </c>
      <c r="X91" s="33"/>
      <c r="Y91" s="33"/>
      <c r="Z91" s="42"/>
      <c r="AA91" s="60"/>
      <c r="AB91" s="105"/>
      <c r="AC91" s="93"/>
      <c r="AD91" s="33">
        <f t="shared" si="61"/>
        <v>0</v>
      </c>
      <c r="AE91" s="33">
        <f t="shared" si="62"/>
        <v>-53</v>
      </c>
      <c r="AF91" s="101">
        <f t="shared" si="63"/>
        <v>-53</v>
      </c>
    </row>
    <row r="92" spans="2:32" ht="13" outlineLevel="1" x14ac:dyDescent="0.3">
      <c r="B92" s="31" t="s">
        <v>124</v>
      </c>
      <c r="C92" s="33">
        <v>0</v>
      </c>
      <c r="D92" s="33">
        <v>0</v>
      </c>
      <c r="E92" s="23">
        <v>0</v>
      </c>
      <c r="F92" s="23">
        <v>0</v>
      </c>
      <c r="G92" s="23">
        <v>0</v>
      </c>
      <c r="H92" s="23">
        <v>0</v>
      </c>
      <c r="I92" s="23">
        <v>0</v>
      </c>
      <c r="J92" s="23">
        <v>0</v>
      </c>
      <c r="K92" s="23">
        <f t="shared" si="55"/>
        <v>0</v>
      </c>
      <c r="L92" s="33">
        <f t="shared" si="56"/>
        <v>0</v>
      </c>
      <c r="M92" s="33">
        <f t="shared" si="57"/>
        <v>0</v>
      </c>
      <c r="N92" s="33">
        <v>0</v>
      </c>
      <c r="O92" s="33">
        <v>53</v>
      </c>
      <c r="P92" s="33">
        <v>0</v>
      </c>
      <c r="Q92" s="33">
        <v>53</v>
      </c>
      <c r="R92" s="33">
        <v>0</v>
      </c>
      <c r="S92" s="33">
        <f t="shared" si="58"/>
        <v>53</v>
      </c>
      <c r="T92" s="38" t="str">
        <f t="shared" si="59"/>
        <v>∞</v>
      </c>
      <c r="U92" s="59">
        <f t="shared" si="60"/>
        <v>0</v>
      </c>
      <c r="V92" s="33">
        <v>0</v>
      </c>
      <c r="W92" s="33">
        <v>0</v>
      </c>
      <c r="X92" s="33"/>
      <c r="Y92" s="33"/>
      <c r="Z92" s="42"/>
      <c r="AA92" s="60"/>
      <c r="AB92" s="105"/>
      <c r="AC92" s="93"/>
      <c r="AD92" s="33">
        <f t="shared" si="61"/>
        <v>0</v>
      </c>
      <c r="AE92" s="33">
        <f t="shared" si="62"/>
        <v>53</v>
      </c>
      <c r="AF92" s="101">
        <f t="shared" si="63"/>
        <v>53</v>
      </c>
    </row>
    <row r="93" spans="2:32" ht="13" outlineLevel="1" x14ac:dyDescent="0.3">
      <c r="B93" s="31" t="s">
        <v>125</v>
      </c>
      <c r="C93" s="33">
        <v>0</v>
      </c>
      <c r="D93" s="33">
        <v>0</v>
      </c>
      <c r="E93" s="23">
        <v>0</v>
      </c>
      <c r="F93" s="23">
        <v>0</v>
      </c>
      <c r="G93" s="23">
        <v>0</v>
      </c>
      <c r="H93" s="23">
        <v>0</v>
      </c>
      <c r="I93" s="23">
        <v>0</v>
      </c>
      <c r="J93" s="23">
        <v>0</v>
      </c>
      <c r="K93" s="23">
        <f t="shared" si="55"/>
        <v>0</v>
      </c>
      <c r="L93" s="33">
        <f t="shared" si="56"/>
        <v>0</v>
      </c>
      <c r="M93" s="33">
        <f t="shared" si="57"/>
        <v>0</v>
      </c>
      <c r="N93" s="33">
        <v>0</v>
      </c>
      <c r="O93" s="33">
        <v>77</v>
      </c>
      <c r="P93" s="33">
        <v>0</v>
      </c>
      <c r="Q93" s="33">
        <v>77</v>
      </c>
      <c r="R93" s="33">
        <v>0</v>
      </c>
      <c r="S93" s="33">
        <f t="shared" si="58"/>
        <v>77</v>
      </c>
      <c r="T93" s="38" t="str">
        <f t="shared" si="59"/>
        <v>∞</v>
      </c>
      <c r="U93" s="59">
        <f t="shared" si="60"/>
        <v>0</v>
      </c>
      <c r="V93" s="33">
        <v>0</v>
      </c>
      <c r="W93" s="33">
        <v>0</v>
      </c>
      <c r="X93" s="33"/>
      <c r="Y93" s="33"/>
      <c r="Z93" s="42"/>
      <c r="AA93" s="60"/>
      <c r="AB93" s="105"/>
      <c r="AC93" s="93"/>
      <c r="AD93" s="33">
        <f t="shared" si="61"/>
        <v>0</v>
      </c>
      <c r="AE93" s="33">
        <f t="shared" si="62"/>
        <v>77</v>
      </c>
      <c r="AF93" s="101">
        <f t="shared" si="63"/>
        <v>77</v>
      </c>
    </row>
    <row r="94" spans="2:32" ht="13" outlineLevel="1" x14ac:dyDescent="0.3">
      <c r="B94" s="31" t="s">
        <v>126</v>
      </c>
      <c r="C94" s="33">
        <v>0</v>
      </c>
      <c r="D94" s="33">
        <v>0</v>
      </c>
      <c r="E94" s="23">
        <v>0</v>
      </c>
      <c r="F94" s="23">
        <v>0</v>
      </c>
      <c r="G94" s="23">
        <v>0</v>
      </c>
      <c r="H94" s="23">
        <v>0</v>
      </c>
      <c r="I94" s="23">
        <v>0</v>
      </c>
      <c r="J94" s="23">
        <v>0</v>
      </c>
      <c r="K94" s="23">
        <f t="shared" si="55"/>
        <v>0</v>
      </c>
      <c r="L94" s="33">
        <f t="shared" si="56"/>
        <v>0</v>
      </c>
      <c r="M94" s="33">
        <f t="shared" si="57"/>
        <v>0</v>
      </c>
      <c r="N94" s="33">
        <v>0</v>
      </c>
      <c r="O94" s="33">
        <v>-77</v>
      </c>
      <c r="P94" s="33">
        <v>0</v>
      </c>
      <c r="Q94" s="33">
        <v>-77</v>
      </c>
      <c r="R94" s="33">
        <v>0</v>
      </c>
      <c r="S94" s="33">
        <f t="shared" si="58"/>
        <v>-77</v>
      </c>
      <c r="T94" s="38" t="str">
        <f t="shared" si="59"/>
        <v>∞</v>
      </c>
      <c r="U94" s="59">
        <f t="shared" si="60"/>
        <v>0</v>
      </c>
      <c r="V94" s="33">
        <v>0</v>
      </c>
      <c r="W94" s="33">
        <v>0</v>
      </c>
      <c r="X94" s="33"/>
      <c r="Y94" s="33"/>
      <c r="Z94" s="42"/>
      <c r="AA94" s="60"/>
      <c r="AB94" s="105"/>
      <c r="AC94" s="93"/>
      <c r="AD94" s="33">
        <f t="shared" si="61"/>
        <v>0</v>
      </c>
      <c r="AE94" s="33">
        <f t="shared" si="62"/>
        <v>-77</v>
      </c>
      <c r="AF94" s="101">
        <f t="shared" si="63"/>
        <v>-77</v>
      </c>
    </row>
    <row r="95" spans="2:32" ht="13" outlineLevel="1" x14ac:dyDescent="0.3">
      <c r="B95" s="31" t="s">
        <v>127</v>
      </c>
      <c r="C95" s="33">
        <v>0</v>
      </c>
      <c r="D95" s="33">
        <v>0</v>
      </c>
      <c r="E95" s="23">
        <v>0</v>
      </c>
      <c r="F95" s="23">
        <v>0</v>
      </c>
      <c r="G95" s="23">
        <v>0</v>
      </c>
      <c r="H95" s="23">
        <v>0</v>
      </c>
      <c r="I95" s="23">
        <v>0</v>
      </c>
      <c r="J95" s="23">
        <v>0</v>
      </c>
      <c r="K95" s="23">
        <f t="shared" si="55"/>
        <v>0</v>
      </c>
      <c r="L95" s="33">
        <f t="shared" si="56"/>
        <v>0</v>
      </c>
      <c r="M95" s="33">
        <f t="shared" si="57"/>
        <v>0</v>
      </c>
      <c r="N95" s="33">
        <v>0</v>
      </c>
      <c r="O95" s="33">
        <v>12473</v>
      </c>
      <c r="P95" s="33">
        <v>0</v>
      </c>
      <c r="Q95" s="33">
        <v>12473</v>
      </c>
      <c r="R95" s="33">
        <v>0</v>
      </c>
      <c r="S95" s="33">
        <f t="shared" si="58"/>
        <v>12473</v>
      </c>
      <c r="T95" s="38" t="str">
        <f t="shared" si="59"/>
        <v>∞</v>
      </c>
      <c r="U95" s="59">
        <f t="shared" si="60"/>
        <v>0</v>
      </c>
      <c r="V95" s="33">
        <v>0</v>
      </c>
      <c r="W95" s="33">
        <v>0</v>
      </c>
      <c r="X95" s="33"/>
      <c r="Y95" s="33"/>
      <c r="Z95" s="42"/>
      <c r="AA95" s="60"/>
      <c r="AB95" s="105"/>
      <c r="AC95" s="93"/>
      <c r="AD95" s="33">
        <f t="shared" si="61"/>
        <v>0</v>
      </c>
      <c r="AE95" s="33">
        <f t="shared" si="62"/>
        <v>12473</v>
      </c>
      <c r="AF95" s="101">
        <f t="shared" si="63"/>
        <v>12473</v>
      </c>
    </row>
    <row r="96" spans="2:32" ht="13" outlineLevel="1" x14ac:dyDescent="0.3">
      <c r="B96" s="31" t="s">
        <v>128</v>
      </c>
      <c r="C96" s="33">
        <v>0</v>
      </c>
      <c r="D96" s="33">
        <v>0</v>
      </c>
      <c r="E96" s="23">
        <v>0</v>
      </c>
      <c r="F96" s="23">
        <v>0</v>
      </c>
      <c r="G96" s="23">
        <v>0</v>
      </c>
      <c r="H96" s="23">
        <v>0</v>
      </c>
      <c r="I96" s="23">
        <v>0</v>
      </c>
      <c r="J96" s="23">
        <v>0</v>
      </c>
      <c r="K96" s="23">
        <f t="shared" si="55"/>
        <v>0</v>
      </c>
      <c r="L96" s="33">
        <f t="shared" si="56"/>
        <v>0</v>
      </c>
      <c r="M96" s="33">
        <f t="shared" si="57"/>
        <v>0</v>
      </c>
      <c r="N96" s="33">
        <v>0</v>
      </c>
      <c r="O96" s="33">
        <v>-12051</v>
      </c>
      <c r="P96" s="33">
        <v>0</v>
      </c>
      <c r="Q96" s="33">
        <v>-12051</v>
      </c>
      <c r="R96" s="33">
        <v>0</v>
      </c>
      <c r="S96" s="33">
        <f t="shared" si="58"/>
        <v>-12051</v>
      </c>
      <c r="T96" s="38" t="str">
        <f t="shared" si="59"/>
        <v>∞</v>
      </c>
      <c r="U96" s="59">
        <f t="shared" si="60"/>
        <v>0</v>
      </c>
      <c r="V96" s="33">
        <v>0</v>
      </c>
      <c r="W96" s="33">
        <v>0</v>
      </c>
      <c r="X96" s="33"/>
      <c r="Y96" s="33"/>
      <c r="Z96" s="42"/>
      <c r="AA96" s="60"/>
      <c r="AB96" s="105"/>
      <c r="AC96" s="93"/>
      <c r="AD96" s="33">
        <f t="shared" si="61"/>
        <v>0</v>
      </c>
      <c r="AE96" s="33">
        <f t="shared" si="62"/>
        <v>-12051</v>
      </c>
      <c r="AF96" s="101">
        <f t="shared" si="63"/>
        <v>-12051</v>
      </c>
    </row>
    <row r="97" spans="2:32" ht="13" outlineLevel="1" x14ac:dyDescent="0.3">
      <c r="B97" s="31" t="s">
        <v>129</v>
      </c>
      <c r="C97" s="33">
        <v>0</v>
      </c>
      <c r="D97" s="33">
        <v>0</v>
      </c>
      <c r="E97" s="23">
        <v>0</v>
      </c>
      <c r="F97" s="23">
        <v>0</v>
      </c>
      <c r="G97" s="23">
        <v>0</v>
      </c>
      <c r="H97" s="23">
        <v>0</v>
      </c>
      <c r="I97" s="23">
        <v>0</v>
      </c>
      <c r="J97" s="23">
        <v>0</v>
      </c>
      <c r="K97" s="23">
        <f t="shared" si="55"/>
        <v>0</v>
      </c>
      <c r="L97" s="33">
        <f t="shared" si="56"/>
        <v>0</v>
      </c>
      <c r="M97" s="33">
        <f t="shared" si="57"/>
        <v>0</v>
      </c>
      <c r="N97" s="33">
        <v>0</v>
      </c>
      <c r="O97" s="33">
        <v>-422</v>
      </c>
      <c r="P97" s="33">
        <v>0</v>
      </c>
      <c r="Q97" s="33">
        <v>-422</v>
      </c>
      <c r="R97" s="33">
        <v>0</v>
      </c>
      <c r="S97" s="33">
        <f t="shared" si="58"/>
        <v>-422</v>
      </c>
      <c r="T97" s="38" t="str">
        <f t="shared" si="59"/>
        <v>∞</v>
      </c>
      <c r="U97" s="59">
        <f t="shared" si="60"/>
        <v>0</v>
      </c>
      <c r="V97" s="33">
        <v>0</v>
      </c>
      <c r="W97" s="33">
        <v>0</v>
      </c>
      <c r="X97" s="33"/>
      <c r="Y97" s="33"/>
      <c r="Z97" s="42"/>
      <c r="AA97" s="60"/>
      <c r="AB97" s="105"/>
      <c r="AC97" s="93"/>
      <c r="AD97" s="33">
        <f t="shared" si="61"/>
        <v>0</v>
      </c>
      <c r="AE97" s="33">
        <f t="shared" si="62"/>
        <v>-422</v>
      </c>
      <c r="AF97" s="101">
        <f t="shared" si="63"/>
        <v>-422</v>
      </c>
    </row>
    <row r="98" spans="2:32" ht="13" outlineLevel="1" x14ac:dyDescent="0.3">
      <c r="B98" s="31" t="s">
        <v>130</v>
      </c>
      <c r="C98" s="33">
        <v>0</v>
      </c>
      <c r="D98" s="33">
        <v>0</v>
      </c>
      <c r="E98" s="23">
        <v>0</v>
      </c>
      <c r="F98" s="23">
        <v>0</v>
      </c>
      <c r="G98" s="23">
        <v>0</v>
      </c>
      <c r="H98" s="23">
        <v>0</v>
      </c>
      <c r="I98" s="23">
        <v>0</v>
      </c>
      <c r="J98" s="23">
        <v>0</v>
      </c>
      <c r="K98" s="23">
        <f t="shared" si="55"/>
        <v>0</v>
      </c>
      <c r="L98" s="33">
        <f t="shared" si="56"/>
        <v>0</v>
      </c>
      <c r="M98" s="33">
        <f t="shared" si="57"/>
        <v>0</v>
      </c>
      <c r="N98" s="33">
        <v>0</v>
      </c>
      <c r="O98" s="33">
        <v>5355</v>
      </c>
      <c r="P98" s="33">
        <v>0</v>
      </c>
      <c r="Q98" s="33">
        <v>5355</v>
      </c>
      <c r="R98" s="33">
        <v>0</v>
      </c>
      <c r="S98" s="33">
        <f t="shared" si="58"/>
        <v>5355</v>
      </c>
      <c r="T98" s="38" t="str">
        <f t="shared" si="59"/>
        <v>∞</v>
      </c>
      <c r="U98" s="59">
        <f t="shared" si="60"/>
        <v>0</v>
      </c>
      <c r="V98" s="33">
        <v>0</v>
      </c>
      <c r="W98" s="33">
        <v>0</v>
      </c>
      <c r="X98" s="33"/>
      <c r="Y98" s="33"/>
      <c r="Z98" s="42"/>
      <c r="AA98" s="60"/>
      <c r="AB98" s="105"/>
      <c r="AC98" s="93"/>
      <c r="AD98" s="33">
        <f t="shared" si="61"/>
        <v>0</v>
      </c>
      <c r="AE98" s="33">
        <f t="shared" si="62"/>
        <v>5355</v>
      </c>
      <c r="AF98" s="101">
        <f t="shared" si="63"/>
        <v>5355</v>
      </c>
    </row>
    <row r="99" spans="2:32" ht="13" outlineLevel="1" x14ac:dyDescent="0.3">
      <c r="B99" s="31" t="s">
        <v>131</v>
      </c>
      <c r="C99" s="33">
        <v>0</v>
      </c>
      <c r="D99" s="33">
        <v>0</v>
      </c>
      <c r="E99" s="23">
        <v>0</v>
      </c>
      <c r="F99" s="23">
        <v>0</v>
      </c>
      <c r="G99" s="23">
        <v>0</v>
      </c>
      <c r="H99" s="23">
        <v>0</v>
      </c>
      <c r="I99" s="23">
        <v>0</v>
      </c>
      <c r="J99" s="23">
        <v>0</v>
      </c>
      <c r="K99" s="23">
        <f t="shared" si="55"/>
        <v>0</v>
      </c>
      <c r="L99" s="33">
        <f t="shared" si="56"/>
        <v>0</v>
      </c>
      <c r="M99" s="33">
        <f t="shared" si="57"/>
        <v>0</v>
      </c>
      <c r="N99" s="33">
        <v>0</v>
      </c>
      <c r="O99" s="33">
        <v>0</v>
      </c>
      <c r="P99" s="33">
        <v>-5355</v>
      </c>
      <c r="Q99" s="33">
        <v>-5355</v>
      </c>
      <c r="R99" s="33">
        <v>0</v>
      </c>
      <c r="S99" s="33">
        <f t="shared" si="58"/>
        <v>-5355</v>
      </c>
      <c r="T99" s="38" t="str">
        <f t="shared" si="59"/>
        <v>∞</v>
      </c>
      <c r="U99" s="59">
        <f t="shared" si="60"/>
        <v>0</v>
      </c>
      <c r="V99" s="33">
        <v>0</v>
      </c>
      <c r="W99" s="33">
        <v>0</v>
      </c>
      <c r="X99" s="33"/>
      <c r="Y99" s="33"/>
      <c r="Z99" s="42"/>
      <c r="AA99" s="60"/>
      <c r="AB99" s="105"/>
      <c r="AC99" s="93"/>
      <c r="AD99" s="33">
        <f t="shared" si="61"/>
        <v>0</v>
      </c>
      <c r="AE99" s="33">
        <f t="shared" si="62"/>
        <v>-5355</v>
      </c>
      <c r="AF99" s="101">
        <f t="shared" si="63"/>
        <v>-5355</v>
      </c>
    </row>
    <row r="100" spans="2:32" ht="13" outlineLevel="1" x14ac:dyDescent="0.3">
      <c r="B100" s="31" t="s">
        <v>132</v>
      </c>
      <c r="C100" s="33">
        <v>14098</v>
      </c>
      <c r="D100" s="33">
        <v>14098</v>
      </c>
      <c r="E100" s="23">
        <v>0</v>
      </c>
      <c r="F100" s="23">
        <v>0</v>
      </c>
      <c r="G100" s="23">
        <v>0</v>
      </c>
      <c r="H100" s="23">
        <v>0</v>
      </c>
      <c r="I100" s="23">
        <v>0</v>
      </c>
      <c r="J100" s="23">
        <v>0</v>
      </c>
      <c r="K100" s="23">
        <f t="shared" si="55"/>
        <v>0</v>
      </c>
      <c r="L100" s="33">
        <f t="shared" si="56"/>
        <v>0</v>
      </c>
      <c r="M100" s="33">
        <f t="shared" si="57"/>
        <v>0</v>
      </c>
      <c r="N100" s="33">
        <v>14098</v>
      </c>
      <c r="O100" s="33">
        <v>23395</v>
      </c>
      <c r="P100" s="33">
        <v>0</v>
      </c>
      <c r="Q100" s="33">
        <v>23395</v>
      </c>
      <c r="R100" s="33">
        <v>14098</v>
      </c>
      <c r="S100" s="33">
        <f t="shared" si="58"/>
        <v>9297</v>
      </c>
      <c r="T100" s="38">
        <f t="shared" si="59"/>
        <v>1.6594552418782806</v>
      </c>
      <c r="U100" s="59">
        <f t="shared" si="60"/>
        <v>14098</v>
      </c>
      <c r="V100" s="33">
        <v>0</v>
      </c>
      <c r="W100" s="33">
        <v>0</v>
      </c>
      <c r="X100" s="33"/>
      <c r="Y100" s="33"/>
      <c r="Z100" s="42"/>
      <c r="AA100" s="60"/>
      <c r="AB100" s="105"/>
      <c r="AC100" s="93"/>
      <c r="AD100" s="33">
        <f t="shared" si="61"/>
        <v>0</v>
      </c>
      <c r="AE100" s="33">
        <f t="shared" si="62"/>
        <v>23395</v>
      </c>
      <c r="AF100" s="101">
        <f t="shared" si="63"/>
        <v>9297</v>
      </c>
    </row>
    <row r="101" spans="2:32" ht="13" outlineLevel="1" x14ac:dyDescent="0.3">
      <c r="B101" s="31" t="s">
        <v>133</v>
      </c>
      <c r="C101" s="33">
        <v>-20581</v>
      </c>
      <c r="D101" s="33">
        <v>-20581</v>
      </c>
      <c r="E101" s="23">
        <v>0</v>
      </c>
      <c r="F101" s="23">
        <v>0</v>
      </c>
      <c r="G101" s="23">
        <v>0</v>
      </c>
      <c r="H101" s="23">
        <v>0</v>
      </c>
      <c r="I101" s="23">
        <v>0</v>
      </c>
      <c r="J101" s="23">
        <v>0</v>
      </c>
      <c r="K101" s="23">
        <f t="shared" si="55"/>
        <v>0</v>
      </c>
      <c r="L101" s="33">
        <f t="shared" si="56"/>
        <v>0</v>
      </c>
      <c r="M101" s="33">
        <f t="shared" si="57"/>
        <v>0</v>
      </c>
      <c r="N101" s="33">
        <v>-20581</v>
      </c>
      <c r="O101" s="33">
        <v>-32368</v>
      </c>
      <c r="P101" s="33">
        <v>0</v>
      </c>
      <c r="Q101" s="33">
        <v>-32368</v>
      </c>
      <c r="R101" s="33">
        <v>-20581</v>
      </c>
      <c r="S101" s="33">
        <f t="shared" si="58"/>
        <v>-11787</v>
      </c>
      <c r="T101" s="38">
        <f t="shared" si="59"/>
        <v>1.5727126961760847</v>
      </c>
      <c r="U101" s="59">
        <f t="shared" si="60"/>
        <v>-20581</v>
      </c>
      <c r="V101" s="33">
        <v>0</v>
      </c>
      <c r="W101" s="33">
        <v>0</v>
      </c>
      <c r="X101" s="33"/>
      <c r="Y101" s="33"/>
      <c r="Z101" s="42"/>
      <c r="AA101" s="60"/>
      <c r="AB101" s="105"/>
      <c r="AC101" s="93"/>
      <c r="AD101" s="33">
        <f t="shared" si="61"/>
        <v>0</v>
      </c>
      <c r="AE101" s="33">
        <f t="shared" si="62"/>
        <v>-32368</v>
      </c>
      <c r="AF101" s="101">
        <f t="shared" si="63"/>
        <v>-11787</v>
      </c>
    </row>
    <row r="102" spans="2:32" ht="13" outlineLevel="1" x14ac:dyDescent="0.3">
      <c r="B102" s="31" t="s">
        <v>134</v>
      </c>
      <c r="C102" s="33">
        <v>-3149</v>
      </c>
      <c r="D102" s="33">
        <v>-3149</v>
      </c>
      <c r="E102" s="23">
        <v>0</v>
      </c>
      <c r="F102" s="23">
        <v>0</v>
      </c>
      <c r="G102" s="23">
        <v>0</v>
      </c>
      <c r="H102" s="23">
        <v>0</v>
      </c>
      <c r="I102" s="23">
        <v>0</v>
      </c>
      <c r="J102" s="23">
        <v>0</v>
      </c>
      <c r="K102" s="23">
        <f t="shared" si="55"/>
        <v>0</v>
      </c>
      <c r="L102" s="33">
        <f t="shared" si="56"/>
        <v>0</v>
      </c>
      <c r="M102" s="33">
        <f t="shared" si="57"/>
        <v>0</v>
      </c>
      <c r="N102" s="33">
        <v>-3149</v>
      </c>
      <c r="O102" s="33">
        <v>0</v>
      </c>
      <c r="P102" s="33">
        <v>-3149</v>
      </c>
      <c r="Q102" s="33">
        <v>-3149</v>
      </c>
      <c r="R102" s="33">
        <v>-3149</v>
      </c>
      <c r="S102" s="33">
        <f t="shared" si="58"/>
        <v>0</v>
      </c>
      <c r="T102" s="38">
        <f t="shared" si="59"/>
        <v>1</v>
      </c>
      <c r="U102" s="59">
        <f t="shared" si="60"/>
        <v>-3149</v>
      </c>
      <c r="V102" s="33">
        <v>0</v>
      </c>
      <c r="W102" s="33">
        <v>0</v>
      </c>
      <c r="X102" s="33"/>
      <c r="Y102" s="33"/>
      <c r="Z102" s="42"/>
      <c r="AA102" s="60"/>
      <c r="AB102" s="105"/>
      <c r="AC102" s="93"/>
      <c r="AD102" s="33">
        <f t="shared" si="61"/>
        <v>0</v>
      </c>
      <c r="AE102" s="33">
        <f t="shared" si="62"/>
        <v>-3149</v>
      </c>
      <c r="AF102" s="101">
        <f t="shared" si="63"/>
        <v>0</v>
      </c>
    </row>
    <row r="103" spans="2:32"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6"/>
      <c r="AF103" s="99"/>
    </row>
    <row r="104" spans="2:32" ht="13.5" thickBot="1" x14ac:dyDescent="0.35">
      <c r="B104" s="68" t="s">
        <v>135</v>
      </c>
      <c r="C104" s="69">
        <f t="shared" ref="C104:J104" si="64">SUM(C85:C85,C86:C86,C87:C87,C88:C88,C89:C89,C90:C90,C91:C91,C92:C92,C93:C93,C94:C94,C95:C95,C96:C96,C97:C97,C98:C98,C99:C99,C100:C100,C101:C101,C102:C102)</f>
        <v>-9632</v>
      </c>
      <c r="D104" s="69">
        <f t="shared" si="64"/>
        <v>-9632</v>
      </c>
      <c r="E104" s="77">
        <f t="shared" si="64"/>
        <v>0</v>
      </c>
      <c r="F104" s="77">
        <f t="shared" si="64"/>
        <v>0</v>
      </c>
      <c r="G104" s="77">
        <f t="shared" si="64"/>
        <v>0</v>
      </c>
      <c r="H104" s="77">
        <f t="shared" si="64"/>
        <v>0</v>
      </c>
      <c r="I104" s="77">
        <f t="shared" si="64"/>
        <v>0</v>
      </c>
      <c r="J104" s="77">
        <f t="shared" si="64"/>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3666</v>
      </c>
      <c r="P104" s="69">
        <f>SUM(P85:P85,P86:P86,P87:P87,P88:P88,P89:P89,P90:P90,P91:P91,P92:P92,P93:P93,P94:P94,P95:P95,P96:P96,P97:P97,P98:P98,P99:P99,P100:P100,P101:P101,P102:P102)</f>
        <v>-15787</v>
      </c>
      <c r="Q104" s="69">
        <f>SUM(Q85:Q85,Q86:Q86,Q87:Q87,Q88:Q88,Q89:Q89,Q90:Q90,Q91:Q91,Q92:Q92,Q93:Q93,Q94:Q94,Q95:Q95,Q96:Q96,Q97:Q97,Q98:Q98,Q99:Q99,Q100:Q100,Q101:Q101,Q102:Q102)</f>
        <v>-12122</v>
      </c>
      <c r="R104" s="69">
        <f>SUM(R85:R85,R86:R86,R87:R87,R88:R88,R89:R89,R90:R90,R91:R91,R92:R92,R93:R93,R94:R94,R95:R95,R96:R96,R97:R97,R98:R98,R99:R99,R100:R100,R101:R101,R102:R102)</f>
        <v>-9632</v>
      </c>
      <c r="S104" s="69">
        <f>Q104-R104</f>
        <v>-2490</v>
      </c>
      <c r="T104" s="70">
        <f>IFERROR((Q104/N104)*100%,"∞")</f>
        <v>1.2585132890365449</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-12122</v>
      </c>
      <c r="AF104" s="69">
        <f>SUM(AF85:AF85,AF86:AF86,AF87:AF87,AF88:AF88,AF89:AF89,AF90:AF90,AF91:AF91,AF92:AF92,AF93:AF93,AF94:AF94,AF95:AF95,AF96:AF96,AF97:AF97,AF98:AF98,AF99:AF99,AF100:AF100,AF101:AF101,AF102:AF102)</f>
        <v>-2490</v>
      </c>
    </row>
    <row r="105" spans="2:32"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5"/>
    </row>
    <row r="106" spans="2:32" ht="13" x14ac:dyDescent="0.3">
      <c r="B106" s="78" t="s">
        <v>136</v>
      </c>
      <c r="C106" s="34">
        <f t="shared" ref="C106:J106" si="65">SUM(C107:C116,C117:C117)</f>
        <v>-1226</v>
      </c>
      <c r="D106" s="34">
        <f t="shared" si="65"/>
        <v>-1226</v>
      </c>
      <c r="E106" s="24">
        <f t="shared" si="65"/>
        <v>0</v>
      </c>
      <c r="F106" s="24">
        <f t="shared" si="65"/>
        <v>33</v>
      </c>
      <c r="G106" s="24">
        <f t="shared" si="65"/>
        <v>0</v>
      </c>
      <c r="H106" s="24">
        <f t="shared" si="65"/>
        <v>50</v>
      </c>
      <c r="I106" s="24">
        <f t="shared" si="65"/>
        <v>0</v>
      </c>
      <c r="J106" s="24">
        <f t="shared" si="65"/>
        <v>0</v>
      </c>
      <c r="K106" s="24">
        <f>SUM(K107:K117)</f>
        <v>83</v>
      </c>
      <c r="L106" s="34">
        <f>N106-D106</f>
        <v>50</v>
      </c>
      <c r="M106" s="34">
        <f>N106-C106</f>
        <v>50</v>
      </c>
      <c r="N106" s="34">
        <f>SUM(N107:N116,N117:N117)</f>
        <v>-1176</v>
      </c>
      <c r="O106" s="34">
        <f>SUM(O107:O116,O117:O117)</f>
        <v>65008</v>
      </c>
      <c r="P106" s="34">
        <f>SUM(P107:P116,P117:P117)</f>
        <v>-66016</v>
      </c>
      <c r="Q106" s="34">
        <f>SUM(Q107:Q116,Q117:Q117)</f>
        <v>-1008</v>
      </c>
      <c r="R106" s="34">
        <f>SUM(R107:R116,R117:R117)</f>
        <v>-1176</v>
      </c>
      <c r="S106" s="34">
        <f>Q106-R106</f>
        <v>168</v>
      </c>
      <c r="T106" s="94">
        <f>IFERROR((Q106/N106)*100%,"∞")</f>
        <v>0.8571428571428571</v>
      </c>
      <c r="U106" s="95">
        <f>N106+V106</f>
        <v>-1176</v>
      </c>
      <c r="V106" s="34">
        <f>SUM(V107:V116,V117:V117)</f>
        <v>0</v>
      </c>
      <c r="W106" s="34">
        <f>SUM(W107:W116,W117:W117)</f>
        <v>0</v>
      </c>
      <c r="X106" s="34"/>
      <c r="Y106" s="34"/>
      <c r="Z106" s="41"/>
      <c r="AA106" s="60"/>
      <c r="AB106" s="100">
        <f>SUM(AB107:AB116,AB117:AB117)</f>
        <v>0</v>
      </c>
      <c r="AC106" s="33">
        <f>SUM(AC107:AC116,AC117:AC117)</f>
        <v>0</v>
      </c>
      <c r="AD106" s="33">
        <f>SUM(AD107:AD116,AD117:AD117)</f>
        <v>0</v>
      </c>
      <c r="AE106" s="33">
        <f>SUM(AE107:AE116,AE117:AE117)</f>
        <v>-1008</v>
      </c>
      <c r="AF106" s="101">
        <f>SUM(AF107:AF116,AF117:AF117)</f>
        <v>168</v>
      </c>
    </row>
    <row r="107" spans="2:32" ht="13" outlineLevel="1" x14ac:dyDescent="0.3">
      <c r="B107" s="79" t="s">
        <v>137</v>
      </c>
      <c r="C107" s="33">
        <v>380</v>
      </c>
      <c r="D107" s="33">
        <v>380</v>
      </c>
      <c r="E107" s="23">
        <v>0</v>
      </c>
      <c r="F107" s="23">
        <v>33</v>
      </c>
      <c r="G107" s="23">
        <v>0</v>
      </c>
      <c r="H107" s="23">
        <v>50</v>
      </c>
      <c r="I107" s="23">
        <v>0</v>
      </c>
      <c r="J107" s="23">
        <v>0</v>
      </c>
      <c r="K107" s="23">
        <f>SUM(E107:J107)</f>
        <v>83</v>
      </c>
      <c r="L107" s="33">
        <f>N107-D107</f>
        <v>50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101">
        <f>AE107-N107</f>
        <v>1406</v>
      </c>
    </row>
    <row r="108" spans="2:32" ht="13" outlineLevel="1" x14ac:dyDescent="0.3">
      <c r="B108" s="79" t="s">
        <v>138</v>
      </c>
      <c r="C108" s="33">
        <v>3062</v>
      </c>
      <c r="D108" s="33">
        <v>3062</v>
      </c>
      <c r="E108" s="23">
        <v>0</v>
      </c>
      <c r="F108" s="23">
        <v>0</v>
      </c>
      <c r="G108" s="23">
        <v>0</v>
      </c>
      <c r="H108" s="23">
        <v>0</v>
      </c>
      <c r="I108" s="23">
        <v>0</v>
      </c>
      <c r="J108" s="23">
        <v>0</v>
      </c>
      <c r="K108" s="23">
        <f t="shared" ref="K108:K115" si="66">SUM(E108:J108)</f>
        <v>0</v>
      </c>
      <c r="L108" s="33">
        <f t="shared" ref="L108:L115" si="67">N108-D108</f>
        <v>0</v>
      </c>
      <c r="M108" s="33">
        <f t="shared" ref="M108:M115" si="68">N108-C108</f>
        <v>0</v>
      </c>
      <c r="N108" s="33">
        <v>3062</v>
      </c>
      <c r="O108" s="33">
        <v>4505</v>
      </c>
      <c r="P108" s="33">
        <v>0</v>
      </c>
      <c r="Q108" s="33">
        <v>4505</v>
      </c>
      <c r="R108" s="33">
        <v>3062</v>
      </c>
      <c r="S108" s="33">
        <f t="shared" ref="S108:S115" si="69">Q108-R108</f>
        <v>1443</v>
      </c>
      <c r="T108" s="38">
        <f t="shared" ref="T108:T115" si="70">IFERROR((Q108/N108)*100%,"∞")</f>
        <v>1.4712606139777924</v>
      </c>
      <c r="U108" s="59">
        <f t="shared" ref="U108:U115" si="71">N108+V108</f>
        <v>3062</v>
      </c>
      <c r="V108" s="33">
        <v>0</v>
      </c>
      <c r="W108" s="33">
        <v>0</v>
      </c>
      <c r="X108" s="33"/>
      <c r="Y108" s="33"/>
      <c r="Z108" s="42"/>
      <c r="AA108" s="60"/>
      <c r="AB108" s="105"/>
      <c r="AC108" s="93"/>
      <c r="AD108" s="33">
        <f t="shared" ref="AD108:AD115" si="72">SUM(AB108:AC108)</f>
        <v>0</v>
      </c>
      <c r="AE108" s="33">
        <f t="shared" ref="AE108:AE115" si="73">Q108+AD108</f>
        <v>4505</v>
      </c>
      <c r="AF108" s="101">
        <f t="shared" ref="AF108:AF115" si="74">AE108-N108</f>
        <v>1443</v>
      </c>
    </row>
    <row r="109" spans="2:32" ht="13" outlineLevel="1" x14ac:dyDescent="0.3">
      <c r="B109" s="79" t="s">
        <v>139</v>
      </c>
      <c r="C109" s="33">
        <v>602</v>
      </c>
      <c r="D109" s="33">
        <v>602</v>
      </c>
      <c r="E109" s="23">
        <v>0</v>
      </c>
      <c r="F109" s="23">
        <v>0</v>
      </c>
      <c r="G109" s="23">
        <v>0</v>
      </c>
      <c r="H109" s="23">
        <v>0</v>
      </c>
      <c r="I109" s="23">
        <v>0</v>
      </c>
      <c r="J109" s="23">
        <v>0</v>
      </c>
      <c r="K109" s="23">
        <f t="shared" si="66"/>
        <v>0</v>
      </c>
      <c r="L109" s="33">
        <f t="shared" si="67"/>
        <v>0</v>
      </c>
      <c r="M109" s="33">
        <f t="shared" si="68"/>
        <v>0</v>
      </c>
      <c r="N109" s="33">
        <v>602</v>
      </c>
      <c r="O109" s="33">
        <v>422</v>
      </c>
      <c r="P109" s="33">
        <v>0</v>
      </c>
      <c r="Q109" s="33">
        <v>422</v>
      </c>
      <c r="R109" s="33">
        <v>602</v>
      </c>
      <c r="S109" s="33">
        <f t="shared" si="69"/>
        <v>-180</v>
      </c>
      <c r="T109" s="38">
        <f t="shared" si="70"/>
        <v>0.70099667774086383</v>
      </c>
      <c r="U109" s="59">
        <f t="shared" si="71"/>
        <v>602</v>
      </c>
      <c r="V109" s="33">
        <v>0</v>
      </c>
      <c r="W109" s="33">
        <v>0</v>
      </c>
      <c r="X109" s="33"/>
      <c r="Y109" s="33"/>
      <c r="Z109" s="42"/>
      <c r="AA109" s="60"/>
      <c r="AB109" s="105"/>
      <c r="AC109" s="93"/>
      <c r="AD109" s="33">
        <f t="shared" si="72"/>
        <v>0</v>
      </c>
      <c r="AE109" s="33">
        <f t="shared" si="73"/>
        <v>422</v>
      </c>
      <c r="AF109" s="101">
        <f t="shared" si="74"/>
        <v>-180</v>
      </c>
    </row>
    <row r="110" spans="2:32" ht="13" outlineLevel="1" x14ac:dyDescent="0.3">
      <c r="B110" s="79" t="s">
        <v>141</v>
      </c>
      <c r="C110" s="33">
        <v>8581</v>
      </c>
      <c r="D110" s="33">
        <v>8581</v>
      </c>
      <c r="E110" s="23">
        <v>0</v>
      </c>
      <c r="F110" s="23">
        <v>0</v>
      </c>
      <c r="G110" s="23">
        <v>0</v>
      </c>
      <c r="H110" s="23">
        <v>0</v>
      </c>
      <c r="I110" s="23">
        <v>0</v>
      </c>
      <c r="J110" s="23">
        <v>0</v>
      </c>
      <c r="K110" s="23">
        <f t="shared" si="66"/>
        <v>0</v>
      </c>
      <c r="L110" s="33">
        <f t="shared" si="67"/>
        <v>0</v>
      </c>
      <c r="M110" s="33">
        <f t="shared" si="68"/>
        <v>0</v>
      </c>
      <c r="N110" s="33">
        <v>8581</v>
      </c>
      <c r="O110" s="33">
        <v>6850</v>
      </c>
      <c r="P110" s="33">
        <v>0</v>
      </c>
      <c r="Q110" s="33">
        <v>6850</v>
      </c>
      <c r="R110" s="33">
        <v>8581</v>
      </c>
      <c r="S110" s="33">
        <f t="shared" si="69"/>
        <v>-1731</v>
      </c>
      <c r="T110" s="38">
        <f t="shared" si="70"/>
        <v>0.79827525929378862</v>
      </c>
      <c r="U110" s="59">
        <f t="shared" si="71"/>
        <v>8581</v>
      </c>
      <c r="V110" s="33">
        <v>0</v>
      </c>
      <c r="W110" s="33">
        <v>0</v>
      </c>
      <c r="X110" s="33"/>
      <c r="Y110" s="33"/>
      <c r="Z110" s="42"/>
      <c r="AA110" s="60"/>
      <c r="AB110" s="105"/>
      <c r="AC110" s="93"/>
      <c r="AD110" s="33">
        <f t="shared" si="72"/>
        <v>0</v>
      </c>
      <c r="AE110" s="33">
        <f t="shared" si="73"/>
        <v>6850</v>
      </c>
      <c r="AF110" s="101">
        <f t="shared" si="74"/>
        <v>-1731</v>
      </c>
    </row>
    <row r="111" spans="2:32" ht="13" outlineLevel="1" x14ac:dyDescent="0.3">
      <c r="B111" s="79" t="s">
        <v>142</v>
      </c>
      <c r="C111" s="33">
        <v>-4597</v>
      </c>
      <c r="D111" s="33">
        <v>-4597</v>
      </c>
      <c r="E111" s="23">
        <v>0</v>
      </c>
      <c r="F111" s="23">
        <v>0</v>
      </c>
      <c r="G111" s="23">
        <v>0</v>
      </c>
      <c r="H111" s="23">
        <v>0</v>
      </c>
      <c r="I111" s="23">
        <v>0</v>
      </c>
      <c r="J111" s="23">
        <v>0</v>
      </c>
      <c r="K111" s="23">
        <f t="shared" si="66"/>
        <v>0</v>
      </c>
      <c r="L111" s="33">
        <f t="shared" si="67"/>
        <v>0</v>
      </c>
      <c r="M111" s="33">
        <f t="shared" si="68"/>
        <v>0</v>
      </c>
      <c r="N111" s="33">
        <v>-4597</v>
      </c>
      <c r="O111" s="33">
        <v>390</v>
      </c>
      <c r="P111" s="33">
        <v>-5737</v>
      </c>
      <c r="Q111" s="33">
        <v>-5347</v>
      </c>
      <c r="R111" s="33">
        <v>-4597</v>
      </c>
      <c r="S111" s="33">
        <f t="shared" si="69"/>
        <v>-750</v>
      </c>
      <c r="T111" s="38">
        <f t="shared" si="70"/>
        <v>1.1631498803567544</v>
      </c>
      <c r="U111" s="59">
        <f t="shared" si="71"/>
        <v>-4597</v>
      </c>
      <c r="V111" s="33">
        <v>0</v>
      </c>
      <c r="W111" s="33">
        <v>0</v>
      </c>
      <c r="X111" s="33"/>
      <c r="Y111" s="33"/>
      <c r="Z111" s="42"/>
      <c r="AA111" s="60"/>
      <c r="AB111" s="105"/>
      <c r="AC111" s="93"/>
      <c r="AD111" s="33">
        <f t="shared" si="72"/>
        <v>0</v>
      </c>
      <c r="AE111" s="33">
        <f t="shared" si="73"/>
        <v>-5347</v>
      </c>
      <c r="AF111" s="101">
        <f t="shared" si="74"/>
        <v>-750</v>
      </c>
    </row>
    <row r="112" spans="2:32" ht="13" outlineLevel="1" x14ac:dyDescent="0.3">
      <c r="B112" s="79" t="s">
        <v>143</v>
      </c>
      <c r="C112" s="33">
        <v>-8990</v>
      </c>
      <c r="D112" s="33">
        <v>-8990</v>
      </c>
      <c r="E112" s="23">
        <v>0</v>
      </c>
      <c r="F112" s="23">
        <v>0</v>
      </c>
      <c r="G112" s="23">
        <v>0</v>
      </c>
      <c r="H112" s="23">
        <v>0</v>
      </c>
      <c r="I112" s="23">
        <v>0</v>
      </c>
      <c r="J112" s="23">
        <v>0</v>
      </c>
      <c r="K112" s="23">
        <f t="shared" si="66"/>
        <v>0</v>
      </c>
      <c r="L112" s="33">
        <f t="shared" si="67"/>
        <v>0</v>
      </c>
      <c r="M112" s="33">
        <f t="shared" si="68"/>
        <v>0</v>
      </c>
      <c r="N112" s="33">
        <v>-8990</v>
      </c>
      <c r="O112" s="33">
        <v>0</v>
      </c>
      <c r="P112" s="33">
        <v>-8264</v>
      </c>
      <c r="Q112" s="33">
        <v>-8264</v>
      </c>
      <c r="R112" s="33">
        <v>-8990</v>
      </c>
      <c r="S112" s="33">
        <f t="shared" si="69"/>
        <v>726</v>
      </c>
      <c r="T112" s="38">
        <f t="shared" si="70"/>
        <v>0.91924360400444938</v>
      </c>
      <c r="U112" s="59">
        <f t="shared" si="71"/>
        <v>-8990</v>
      </c>
      <c r="V112" s="33">
        <v>0</v>
      </c>
      <c r="W112" s="33">
        <v>0</v>
      </c>
      <c r="X112" s="33"/>
      <c r="Y112" s="33"/>
      <c r="Z112" s="42"/>
      <c r="AA112" s="60"/>
      <c r="AB112" s="105"/>
      <c r="AC112" s="93"/>
      <c r="AD112" s="33">
        <f t="shared" si="72"/>
        <v>0</v>
      </c>
      <c r="AE112" s="33">
        <f t="shared" si="73"/>
        <v>-8264</v>
      </c>
      <c r="AF112" s="101">
        <f t="shared" si="74"/>
        <v>726</v>
      </c>
    </row>
    <row r="113" spans="2:32" ht="13" outlineLevel="1" x14ac:dyDescent="0.3">
      <c r="B113" s="79" t="s">
        <v>144</v>
      </c>
      <c r="C113" s="33">
        <v>-646</v>
      </c>
      <c r="D113" s="33">
        <v>-646</v>
      </c>
      <c r="E113" s="23">
        <v>0</v>
      </c>
      <c r="F113" s="23">
        <v>0</v>
      </c>
      <c r="G113" s="23">
        <v>0</v>
      </c>
      <c r="H113" s="23">
        <v>0</v>
      </c>
      <c r="I113" s="23">
        <v>0</v>
      </c>
      <c r="J113" s="23">
        <v>0</v>
      </c>
      <c r="K113" s="23">
        <f t="shared" si="66"/>
        <v>0</v>
      </c>
      <c r="L113" s="33">
        <f t="shared" si="67"/>
        <v>0</v>
      </c>
      <c r="M113" s="33">
        <f t="shared" si="68"/>
        <v>0</v>
      </c>
      <c r="N113" s="33">
        <v>-646</v>
      </c>
      <c r="O113" s="33">
        <v>0</v>
      </c>
      <c r="P113" s="33">
        <v>-453</v>
      </c>
      <c r="Q113" s="33">
        <v>-453</v>
      </c>
      <c r="R113" s="33">
        <v>-646</v>
      </c>
      <c r="S113" s="33">
        <f t="shared" si="69"/>
        <v>193</v>
      </c>
      <c r="T113" s="38">
        <f t="shared" si="70"/>
        <v>0.70123839009287925</v>
      </c>
      <c r="U113" s="59">
        <f t="shared" si="71"/>
        <v>-646</v>
      </c>
      <c r="V113" s="33">
        <v>0</v>
      </c>
      <c r="W113" s="33">
        <v>0</v>
      </c>
      <c r="X113" s="33"/>
      <c r="Y113" s="33"/>
      <c r="Z113" s="42"/>
      <c r="AA113" s="60"/>
      <c r="AB113" s="105"/>
      <c r="AC113" s="93"/>
      <c r="AD113" s="33">
        <f t="shared" si="72"/>
        <v>0</v>
      </c>
      <c r="AE113" s="33">
        <f t="shared" si="73"/>
        <v>-453</v>
      </c>
      <c r="AF113" s="101">
        <f t="shared" si="74"/>
        <v>193</v>
      </c>
    </row>
    <row r="114" spans="2:32" ht="13" outlineLevel="1" x14ac:dyDescent="0.3">
      <c r="B114" s="79" t="s">
        <v>145</v>
      </c>
      <c r="C114" s="33">
        <v>687</v>
      </c>
      <c r="D114" s="33">
        <v>687</v>
      </c>
      <c r="E114" s="23">
        <v>0</v>
      </c>
      <c r="F114" s="23">
        <v>0</v>
      </c>
      <c r="G114" s="23">
        <v>0</v>
      </c>
      <c r="H114" s="23">
        <v>0</v>
      </c>
      <c r="I114" s="23">
        <v>0</v>
      </c>
      <c r="J114" s="23">
        <v>0</v>
      </c>
      <c r="K114" s="23">
        <f t="shared" si="66"/>
        <v>0</v>
      </c>
      <c r="L114" s="33">
        <f t="shared" si="67"/>
        <v>0</v>
      </c>
      <c r="M114" s="33">
        <f t="shared" si="68"/>
        <v>0</v>
      </c>
      <c r="N114" s="33">
        <v>687</v>
      </c>
      <c r="O114" s="33">
        <v>-123</v>
      </c>
      <c r="P114" s="33">
        <v>0</v>
      </c>
      <c r="Q114" s="33">
        <v>-123</v>
      </c>
      <c r="R114" s="33">
        <v>687</v>
      </c>
      <c r="S114" s="33">
        <f t="shared" si="69"/>
        <v>-810</v>
      </c>
      <c r="T114" s="38">
        <f t="shared" si="70"/>
        <v>-0.17903930131004367</v>
      </c>
      <c r="U114" s="59">
        <f t="shared" si="71"/>
        <v>687</v>
      </c>
      <c r="V114" s="33">
        <v>0</v>
      </c>
      <c r="W114" s="33">
        <v>0</v>
      </c>
      <c r="X114" s="33"/>
      <c r="Y114" s="33"/>
      <c r="Z114" s="42"/>
      <c r="AA114" s="60"/>
      <c r="AB114" s="105"/>
      <c r="AC114" s="93"/>
      <c r="AD114" s="33">
        <f t="shared" si="72"/>
        <v>0</v>
      </c>
      <c r="AE114" s="33">
        <f t="shared" si="73"/>
        <v>-123</v>
      </c>
      <c r="AF114" s="101">
        <f t="shared" si="74"/>
        <v>-810</v>
      </c>
    </row>
    <row r="115" spans="2:32" ht="13" outlineLevel="1" x14ac:dyDescent="0.3">
      <c r="B115" s="79" t="s">
        <v>146</v>
      </c>
      <c r="C115" s="33">
        <v>166</v>
      </c>
      <c r="D115" s="33">
        <v>166</v>
      </c>
      <c r="E115" s="23">
        <v>0</v>
      </c>
      <c r="F115" s="23">
        <v>0</v>
      </c>
      <c r="G115" s="23">
        <v>0</v>
      </c>
      <c r="H115" s="23">
        <v>0</v>
      </c>
      <c r="I115" s="23">
        <v>0</v>
      </c>
      <c r="J115" s="23">
        <v>0</v>
      </c>
      <c r="K115" s="23">
        <f t="shared" si="66"/>
        <v>0</v>
      </c>
      <c r="L115" s="33">
        <f t="shared" si="67"/>
        <v>0</v>
      </c>
      <c r="M115" s="33">
        <f t="shared" si="68"/>
        <v>0</v>
      </c>
      <c r="N115" s="33">
        <v>166</v>
      </c>
      <c r="O115" s="33">
        <v>37</v>
      </c>
      <c r="P115" s="33">
        <v>0</v>
      </c>
      <c r="Q115" s="33">
        <v>37</v>
      </c>
      <c r="R115" s="33">
        <v>166</v>
      </c>
      <c r="S115" s="33">
        <f t="shared" si="69"/>
        <v>-129</v>
      </c>
      <c r="T115" s="38">
        <f t="shared" si="70"/>
        <v>0.22289156626506024</v>
      </c>
      <c r="U115" s="59">
        <f t="shared" si="71"/>
        <v>166</v>
      </c>
      <c r="V115" s="33">
        <v>0</v>
      </c>
      <c r="W115" s="33">
        <v>0</v>
      </c>
      <c r="X115" s="33"/>
      <c r="Y115" s="33"/>
      <c r="Z115" s="42"/>
      <c r="AA115" s="60"/>
      <c r="AB115" s="105"/>
      <c r="AC115" s="93"/>
      <c r="AD115" s="33">
        <f t="shared" si="72"/>
        <v>0</v>
      </c>
      <c r="AE115" s="33">
        <f t="shared" si="73"/>
        <v>37</v>
      </c>
      <c r="AF115" s="101">
        <f t="shared" si="74"/>
        <v>-129</v>
      </c>
    </row>
    <row r="116" spans="2:32" ht="13" outlineLevel="1" x14ac:dyDescent="0.3">
      <c r="B116" s="79" t="s">
        <v>147</v>
      </c>
      <c r="C116" s="33">
        <v>0</v>
      </c>
      <c r="D116" s="33">
        <v>0</v>
      </c>
      <c r="E116" s="23">
        <v>0</v>
      </c>
      <c r="F116" s="23">
        <v>0</v>
      </c>
      <c r="G116" s="23">
        <v>0</v>
      </c>
      <c r="H116" s="23">
        <v>0</v>
      </c>
      <c r="I116" s="23">
        <v>0</v>
      </c>
      <c r="J116" s="23">
        <v>0</v>
      </c>
      <c r="K116" s="23">
        <f>SUM(E116:J116)</f>
        <v>0</v>
      </c>
      <c r="L116" s="33">
        <f>N116-D116</f>
        <v>0</v>
      </c>
      <c r="M116" s="33">
        <f>N116-C116</f>
        <v>0</v>
      </c>
      <c r="N116" s="33">
        <v>0</v>
      </c>
      <c r="O116" s="33">
        <v>13309</v>
      </c>
      <c r="P116" s="33">
        <v>-13309</v>
      </c>
      <c r="Q116" s="33">
        <v>0</v>
      </c>
      <c r="R116" s="33">
        <v>0</v>
      </c>
      <c r="S116" s="33">
        <f>Q116-R116</f>
        <v>0</v>
      </c>
      <c r="T116" s="38" t="str">
        <f>IFERROR((Q116/N116)*100%,"∞")</f>
        <v>∞</v>
      </c>
      <c r="U116" s="59">
        <f>N116+V116</f>
        <v>0</v>
      </c>
      <c r="V116" s="33">
        <v>0</v>
      </c>
      <c r="W116" s="33">
        <v>0</v>
      </c>
      <c r="X116" s="33"/>
      <c r="Y116" s="33"/>
      <c r="Z116" s="42"/>
      <c r="AA116" s="60"/>
      <c r="AB116" s="105"/>
      <c r="AC116" s="93"/>
      <c r="AD116" s="33">
        <f>SUM(AB116:AC116)</f>
        <v>0</v>
      </c>
      <c r="AE116" s="33">
        <f>Q116+AD116</f>
        <v>0</v>
      </c>
      <c r="AF116" s="101">
        <f>AE116-N116</f>
        <v>0</v>
      </c>
    </row>
    <row r="117" spans="2:32" ht="13" outlineLevel="1" x14ac:dyDescent="0.3">
      <c r="B117" s="79" t="s">
        <v>148</v>
      </c>
      <c r="C117" s="33">
        <v>-471</v>
      </c>
      <c r="D117" s="33">
        <v>-471</v>
      </c>
      <c r="E117" s="23">
        <v>0</v>
      </c>
      <c r="F117" s="23">
        <v>0</v>
      </c>
      <c r="G117" s="23">
        <v>0</v>
      </c>
      <c r="H117" s="23">
        <v>0</v>
      </c>
      <c r="I117" s="23">
        <v>0</v>
      </c>
      <c r="J117" s="23">
        <v>0</v>
      </c>
      <c r="K117" s="23">
        <f>SUM(E117:J117)</f>
        <v>0</v>
      </c>
      <c r="L117" s="33">
        <f>N117-D117</f>
        <v>0</v>
      </c>
      <c r="M117" s="33">
        <f>N117-C117</f>
        <v>0</v>
      </c>
      <c r="N117" s="33">
        <v>-471</v>
      </c>
      <c r="O117" s="33">
        <v>0</v>
      </c>
      <c r="P117" s="33">
        <v>-471</v>
      </c>
      <c r="Q117" s="33">
        <v>-471</v>
      </c>
      <c r="R117" s="33">
        <v>-471</v>
      </c>
      <c r="S117" s="33">
        <f>Q117-R117</f>
        <v>0</v>
      </c>
      <c r="T117" s="38">
        <f>IFERROR((Q117/N117)*100%,"∞")</f>
        <v>1</v>
      </c>
      <c r="U117" s="59">
        <f>N117+V117</f>
        <v>-471</v>
      </c>
      <c r="V117" s="33">
        <v>0</v>
      </c>
      <c r="W117" s="33">
        <v>0</v>
      </c>
      <c r="X117" s="33"/>
      <c r="Y117" s="33"/>
      <c r="Z117" s="42"/>
      <c r="AA117" s="60"/>
      <c r="AB117" s="105"/>
      <c r="AC117" s="93"/>
      <c r="AD117" s="33">
        <f>SUM(AB117:AC117)</f>
        <v>0</v>
      </c>
      <c r="AE117" s="33">
        <f>Q117+AD117</f>
        <v>-471</v>
      </c>
      <c r="AF117" s="101">
        <f>AE117-N117</f>
        <v>0</v>
      </c>
    </row>
    <row r="118" spans="2:32"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99"/>
    </row>
    <row r="119" spans="2:32" ht="13" x14ac:dyDescent="0.3">
      <c r="B119" s="78" t="s">
        <v>149</v>
      </c>
      <c r="C119" s="34">
        <f t="shared" ref="C119:J119" si="75">SUM(C120:C127)</f>
        <v>1238</v>
      </c>
      <c r="D119" s="34">
        <f t="shared" si="75"/>
        <v>1427</v>
      </c>
      <c r="E119" s="24">
        <f t="shared" si="75"/>
        <v>0</v>
      </c>
      <c r="F119" s="24">
        <f t="shared" si="75"/>
        <v>0</v>
      </c>
      <c r="G119" s="24">
        <f t="shared" si="75"/>
        <v>190</v>
      </c>
      <c r="H119" s="24">
        <f t="shared" si="75"/>
        <v>0</v>
      </c>
      <c r="I119" s="24">
        <f t="shared" si="75"/>
        <v>0</v>
      </c>
      <c r="J119" s="24">
        <f t="shared" si="75"/>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SUM(AE120:AE127)</f>
        <v>917</v>
      </c>
      <c r="AF119" s="101">
        <f>SUM(AF120:AF127)</f>
        <v>-510</v>
      </c>
    </row>
    <row r="120" spans="2:32"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Q120+AD120</f>
        <v>8</v>
      </c>
      <c r="AF120" s="101">
        <f>AE120-N120</f>
        <v>8</v>
      </c>
    </row>
    <row r="121" spans="2:32" ht="13" outlineLevel="1" x14ac:dyDescent="0.3">
      <c r="B121" s="79" t="s">
        <v>150</v>
      </c>
      <c r="C121" s="33">
        <v>278</v>
      </c>
      <c r="D121" s="33">
        <v>278</v>
      </c>
      <c r="E121" s="23">
        <v>0</v>
      </c>
      <c r="F121" s="23">
        <v>0</v>
      </c>
      <c r="G121" s="23">
        <v>0</v>
      </c>
      <c r="H121" s="23">
        <v>0</v>
      </c>
      <c r="I121" s="23">
        <v>0</v>
      </c>
      <c r="J121" s="23">
        <v>0</v>
      </c>
      <c r="K121" s="23">
        <f t="shared" ref="K121:K126" si="76">SUM(E121:J121)</f>
        <v>0</v>
      </c>
      <c r="L121" s="33">
        <f t="shared" ref="L121:L126" si="77">N121-D121</f>
        <v>0</v>
      </c>
      <c r="M121" s="33">
        <f t="shared" ref="M121:M126" si="78">N121-C121</f>
        <v>0</v>
      </c>
      <c r="N121" s="33">
        <v>278</v>
      </c>
      <c r="O121" s="33">
        <v>0</v>
      </c>
      <c r="P121" s="33">
        <v>0</v>
      </c>
      <c r="Q121" s="33">
        <v>0</v>
      </c>
      <c r="R121" s="33">
        <v>278</v>
      </c>
      <c r="S121" s="33">
        <f t="shared" ref="S121:S126" si="79">Q121-R121</f>
        <v>-278</v>
      </c>
      <c r="T121" s="38">
        <f t="shared" ref="T121:T126" si="80">IFERROR((Q121/N121)*100%,"∞")</f>
        <v>0</v>
      </c>
      <c r="U121" s="59">
        <f t="shared" ref="U121:U126" si="81">N121+V121</f>
        <v>278</v>
      </c>
      <c r="V121" s="33">
        <v>0</v>
      </c>
      <c r="W121" s="33">
        <v>0</v>
      </c>
      <c r="X121" s="33"/>
      <c r="Y121" s="33"/>
      <c r="Z121" s="42"/>
      <c r="AA121" s="60"/>
      <c r="AB121" s="105"/>
      <c r="AC121" s="93"/>
      <c r="AD121" s="33">
        <f t="shared" ref="AD121:AD126" si="82">SUM(AB121:AC121)</f>
        <v>0</v>
      </c>
      <c r="AE121" s="33">
        <f t="shared" ref="AE121:AE126" si="83">Q121+AD121</f>
        <v>0</v>
      </c>
      <c r="AF121" s="101">
        <f t="shared" ref="AF121:AF126" si="84">AE121-N121</f>
        <v>-278</v>
      </c>
    </row>
    <row r="122" spans="2:32" ht="13" outlineLevel="1" x14ac:dyDescent="0.3">
      <c r="B122" s="79" t="s">
        <v>151</v>
      </c>
      <c r="C122" s="33">
        <v>-400</v>
      </c>
      <c r="D122" s="33">
        <v>617</v>
      </c>
      <c r="E122" s="23">
        <v>0</v>
      </c>
      <c r="F122" s="23">
        <v>0</v>
      </c>
      <c r="G122" s="23">
        <v>1017</v>
      </c>
      <c r="H122" s="23">
        <v>0</v>
      </c>
      <c r="I122" s="23">
        <v>0</v>
      </c>
      <c r="J122" s="23">
        <v>0</v>
      </c>
      <c r="K122" s="23">
        <f t="shared" si="76"/>
        <v>1017</v>
      </c>
      <c r="L122" s="33">
        <f t="shared" si="77"/>
        <v>0</v>
      </c>
      <c r="M122" s="33">
        <f t="shared" si="78"/>
        <v>1017</v>
      </c>
      <c r="N122" s="33">
        <v>617</v>
      </c>
      <c r="O122" s="33">
        <v>1667</v>
      </c>
      <c r="P122" s="33">
        <v>0</v>
      </c>
      <c r="Q122" s="33">
        <v>1667</v>
      </c>
      <c r="R122" s="33">
        <v>617</v>
      </c>
      <c r="S122" s="33">
        <f t="shared" si="79"/>
        <v>1050</v>
      </c>
      <c r="T122" s="38">
        <f t="shared" si="80"/>
        <v>2.7017828200972449</v>
      </c>
      <c r="U122" s="59">
        <f t="shared" si="81"/>
        <v>617</v>
      </c>
      <c r="V122" s="33">
        <v>0</v>
      </c>
      <c r="W122" s="33">
        <v>0</v>
      </c>
      <c r="X122" s="33"/>
      <c r="Y122" s="33"/>
      <c r="Z122" s="42"/>
      <c r="AA122" s="60"/>
      <c r="AB122" s="105"/>
      <c r="AC122" s="93"/>
      <c r="AD122" s="33">
        <f t="shared" si="82"/>
        <v>0</v>
      </c>
      <c r="AE122" s="33">
        <f t="shared" si="83"/>
        <v>1667</v>
      </c>
      <c r="AF122" s="101">
        <f t="shared" si="84"/>
        <v>1050</v>
      </c>
    </row>
    <row r="123" spans="2:32" ht="13" outlineLevel="1" x14ac:dyDescent="0.3">
      <c r="B123" s="79" t="s">
        <v>152</v>
      </c>
      <c r="C123" s="33">
        <v>693</v>
      </c>
      <c r="D123" s="33">
        <v>-95</v>
      </c>
      <c r="E123" s="23">
        <v>0</v>
      </c>
      <c r="F123" s="23">
        <v>0</v>
      </c>
      <c r="G123" s="23">
        <v>-787</v>
      </c>
      <c r="H123" s="23">
        <v>0</v>
      </c>
      <c r="I123" s="23">
        <v>0</v>
      </c>
      <c r="J123" s="23">
        <v>0</v>
      </c>
      <c r="K123" s="23">
        <f t="shared" si="76"/>
        <v>-787</v>
      </c>
      <c r="L123" s="33">
        <f t="shared" si="77"/>
        <v>0</v>
      </c>
      <c r="M123" s="33">
        <f t="shared" si="78"/>
        <v>-788</v>
      </c>
      <c r="N123" s="33">
        <v>-95</v>
      </c>
      <c r="O123" s="33">
        <v>0</v>
      </c>
      <c r="P123" s="33">
        <v>0</v>
      </c>
      <c r="Q123" s="33">
        <v>0</v>
      </c>
      <c r="R123" s="33">
        <v>-95</v>
      </c>
      <c r="S123" s="33">
        <f t="shared" si="79"/>
        <v>95</v>
      </c>
      <c r="T123" s="38">
        <f t="shared" si="80"/>
        <v>0</v>
      </c>
      <c r="U123" s="59">
        <f t="shared" si="81"/>
        <v>-95</v>
      </c>
      <c r="V123" s="33">
        <v>0</v>
      </c>
      <c r="W123" s="33">
        <v>0</v>
      </c>
      <c r="X123" s="33"/>
      <c r="Y123" s="33"/>
      <c r="Z123" s="42"/>
      <c r="AA123" s="60"/>
      <c r="AB123" s="105"/>
      <c r="AC123" s="93"/>
      <c r="AD123" s="33">
        <f t="shared" si="82"/>
        <v>0</v>
      </c>
      <c r="AE123" s="33">
        <f t="shared" si="83"/>
        <v>0</v>
      </c>
      <c r="AF123" s="101">
        <f t="shared" si="84"/>
        <v>95</v>
      </c>
    </row>
    <row r="124" spans="2:32" ht="13" outlineLevel="1" x14ac:dyDescent="0.3">
      <c r="B124" s="79" t="s">
        <v>153</v>
      </c>
      <c r="C124" s="33">
        <v>645</v>
      </c>
      <c r="D124" s="33">
        <v>615</v>
      </c>
      <c r="E124" s="23">
        <v>0</v>
      </c>
      <c r="F124" s="23">
        <v>0</v>
      </c>
      <c r="G124" s="23">
        <v>-30</v>
      </c>
      <c r="H124" s="23">
        <v>0</v>
      </c>
      <c r="I124" s="23">
        <v>0</v>
      </c>
      <c r="J124" s="23">
        <v>0</v>
      </c>
      <c r="K124" s="23">
        <f t="shared" si="76"/>
        <v>-30</v>
      </c>
      <c r="L124" s="33">
        <f t="shared" si="77"/>
        <v>0</v>
      </c>
      <c r="M124" s="33">
        <f t="shared" si="78"/>
        <v>-30</v>
      </c>
      <c r="N124" s="33">
        <v>615</v>
      </c>
      <c r="O124" s="33">
        <v>0</v>
      </c>
      <c r="P124" s="33">
        <v>0</v>
      </c>
      <c r="Q124" s="33">
        <v>0</v>
      </c>
      <c r="R124" s="33">
        <v>615</v>
      </c>
      <c r="S124" s="33">
        <f t="shared" si="79"/>
        <v>-615</v>
      </c>
      <c r="T124" s="38">
        <f t="shared" si="80"/>
        <v>0</v>
      </c>
      <c r="U124" s="59">
        <f t="shared" si="81"/>
        <v>615</v>
      </c>
      <c r="V124" s="33">
        <v>0</v>
      </c>
      <c r="W124" s="33">
        <v>0</v>
      </c>
      <c r="X124" s="33"/>
      <c r="Y124" s="33"/>
      <c r="Z124" s="42"/>
      <c r="AA124" s="60"/>
      <c r="AB124" s="105"/>
      <c r="AC124" s="93"/>
      <c r="AD124" s="33">
        <f t="shared" si="82"/>
        <v>0</v>
      </c>
      <c r="AE124" s="33">
        <f t="shared" si="83"/>
        <v>0</v>
      </c>
      <c r="AF124" s="101">
        <f t="shared" si="84"/>
        <v>-615</v>
      </c>
    </row>
    <row r="125" spans="2:32" ht="13" outlineLevel="1" x14ac:dyDescent="0.3">
      <c r="B125" s="79" t="s">
        <v>154</v>
      </c>
      <c r="C125" s="33">
        <v>525</v>
      </c>
      <c r="D125" s="33">
        <v>515</v>
      </c>
      <c r="E125" s="23">
        <v>0</v>
      </c>
      <c r="F125" s="23">
        <v>0</v>
      </c>
      <c r="G125" s="23">
        <v>-10</v>
      </c>
      <c r="H125" s="23">
        <v>0</v>
      </c>
      <c r="I125" s="23">
        <v>0</v>
      </c>
      <c r="J125" s="23">
        <v>0</v>
      </c>
      <c r="K125" s="23">
        <f t="shared" si="76"/>
        <v>-10</v>
      </c>
      <c r="L125" s="33">
        <f t="shared" si="77"/>
        <v>0</v>
      </c>
      <c r="M125" s="33">
        <f t="shared" si="78"/>
        <v>-10</v>
      </c>
      <c r="N125" s="33">
        <v>515</v>
      </c>
      <c r="O125" s="33">
        <v>0</v>
      </c>
      <c r="P125" s="33">
        <v>0</v>
      </c>
      <c r="Q125" s="33">
        <v>0</v>
      </c>
      <c r="R125" s="33">
        <v>515</v>
      </c>
      <c r="S125" s="33">
        <f t="shared" si="79"/>
        <v>-515</v>
      </c>
      <c r="T125" s="38">
        <f t="shared" si="80"/>
        <v>0</v>
      </c>
      <c r="U125" s="59">
        <f t="shared" si="81"/>
        <v>515</v>
      </c>
      <c r="V125" s="33">
        <v>0</v>
      </c>
      <c r="W125" s="33">
        <v>0</v>
      </c>
      <c r="X125" s="33"/>
      <c r="Y125" s="33"/>
      <c r="Z125" s="42"/>
      <c r="AA125" s="60"/>
      <c r="AB125" s="105"/>
      <c r="AC125" s="93"/>
      <c r="AD125" s="33">
        <f t="shared" si="82"/>
        <v>0</v>
      </c>
      <c r="AE125" s="33">
        <f t="shared" si="83"/>
        <v>0</v>
      </c>
      <c r="AF125" s="101">
        <f t="shared" si="84"/>
        <v>-515</v>
      </c>
    </row>
    <row r="126" spans="2:32" ht="13" outlineLevel="1" x14ac:dyDescent="0.3">
      <c r="B126" s="79" t="s">
        <v>219</v>
      </c>
      <c r="C126" s="33">
        <v>-503</v>
      </c>
      <c r="D126" s="33">
        <v>-503</v>
      </c>
      <c r="E126" s="23">
        <v>0</v>
      </c>
      <c r="F126" s="23">
        <v>0</v>
      </c>
      <c r="G126" s="23">
        <v>0</v>
      </c>
      <c r="H126" s="23">
        <v>0</v>
      </c>
      <c r="I126" s="23">
        <v>0</v>
      </c>
      <c r="J126" s="23">
        <v>0</v>
      </c>
      <c r="K126" s="23">
        <f t="shared" si="76"/>
        <v>0</v>
      </c>
      <c r="L126" s="33">
        <f t="shared" si="77"/>
        <v>0</v>
      </c>
      <c r="M126" s="33">
        <f t="shared" si="78"/>
        <v>0</v>
      </c>
      <c r="N126" s="33">
        <v>-503</v>
      </c>
      <c r="O126" s="33">
        <v>0</v>
      </c>
      <c r="P126" s="33">
        <v>0</v>
      </c>
      <c r="Q126" s="33">
        <v>0</v>
      </c>
      <c r="R126" s="33">
        <v>-503</v>
      </c>
      <c r="S126" s="33">
        <f t="shared" si="79"/>
        <v>503</v>
      </c>
      <c r="T126" s="38">
        <f t="shared" si="80"/>
        <v>0</v>
      </c>
      <c r="U126" s="59">
        <f t="shared" si="81"/>
        <v>-503</v>
      </c>
      <c r="V126" s="33">
        <v>0</v>
      </c>
      <c r="W126" s="33">
        <v>0</v>
      </c>
      <c r="X126" s="33"/>
      <c r="Y126" s="33"/>
      <c r="Z126" s="42"/>
      <c r="AA126" s="60"/>
      <c r="AB126" s="105"/>
      <c r="AC126" s="93"/>
      <c r="AD126" s="33">
        <f t="shared" si="82"/>
        <v>0</v>
      </c>
      <c r="AE126" s="33">
        <f t="shared" si="83"/>
        <v>0</v>
      </c>
      <c r="AF126" s="101">
        <f t="shared" si="84"/>
        <v>503</v>
      </c>
    </row>
    <row r="127" spans="2:32" ht="13" outlineLevel="1" x14ac:dyDescent="0.3">
      <c r="B127" s="79"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Q127+AD127</f>
        <v>-758</v>
      </c>
      <c r="AF127" s="101">
        <f>AE127-N127</f>
        <v>-758</v>
      </c>
    </row>
    <row r="128" spans="2:32"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row>
    <row r="129" spans="2:32" ht="13.5" thickBot="1" x14ac:dyDescent="0.35">
      <c r="B129" s="91" t="s">
        <v>155</v>
      </c>
      <c r="C129" s="76">
        <f t="shared" ref="C129:J129" si="85">C106+C119</f>
        <v>12</v>
      </c>
      <c r="D129" s="76">
        <f t="shared" si="85"/>
        <v>201</v>
      </c>
      <c r="E129" s="76">
        <f t="shared" si="85"/>
        <v>0</v>
      </c>
      <c r="F129" s="76">
        <f t="shared" si="85"/>
        <v>33</v>
      </c>
      <c r="G129" s="76">
        <f t="shared" si="85"/>
        <v>190</v>
      </c>
      <c r="H129" s="76">
        <f t="shared" si="85"/>
        <v>50</v>
      </c>
      <c r="I129" s="76">
        <f t="shared" si="85"/>
        <v>0</v>
      </c>
      <c r="J129" s="76">
        <f t="shared" si="85"/>
        <v>0</v>
      </c>
      <c r="K129" s="76">
        <f>SUM(E129:J129)</f>
        <v>273</v>
      </c>
      <c r="L129" s="76">
        <f>N129-D129</f>
        <v>50</v>
      </c>
      <c r="M129" s="76">
        <f>N129-C129</f>
        <v>239</v>
      </c>
      <c r="N129" s="76">
        <f>N106+N119</f>
        <v>251</v>
      </c>
      <c r="O129" s="76">
        <f>O106+O119</f>
        <v>66683</v>
      </c>
      <c r="P129" s="76">
        <f>P106+P119</f>
        <v>-66774</v>
      </c>
      <c r="Q129" s="76">
        <f>Q106+Q119</f>
        <v>-91</v>
      </c>
      <c r="R129" s="76">
        <f>R106+R119</f>
        <v>251</v>
      </c>
      <c r="S129" s="76">
        <f>Q129-R129</f>
        <v>-342</v>
      </c>
      <c r="T129" s="92">
        <f>IFERROR((Q129/N129)*100%,"∞")</f>
        <v>-0.36254980079681276</v>
      </c>
      <c r="U129" s="76">
        <f>N129+V129</f>
        <v>251</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-91</v>
      </c>
      <c r="AF129" s="76">
        <f>AF106+AF119</f>
        <v>-342</v>
      </c>
    </row>
    <row r="130" spans="2:32"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row>
    <row r="131" spans="2:32" ht="13.5" thickBot="1" x14ac:dyDescent="0.35">
      <c r="B131" s="91" t="s">
        <v>156</v>
      </c>
      <c r="C131" s="76">
        <f t="shared" ref="C131:J131" si="86">C83+C104+C129</f>
        <v>24605</v>
      </c>
      <c r="D131" s="76">
        <f t="shared" si="86"/>
        <v>25008</v>
      </c>
      <c r="E131" s="76">
        <f t="shared" si="86"/>
        <v>406</v>
      </c>
      <c r="F131" s="76">
        <f t="shared" si="86"/>
        <v>-2362</v>
      </c>
      <c r="G131" s="76">
        <f t="shared" si="86"/>
        <v>0</v>
      </c>
      <c r="H131" s="76">
        <f t="shared" si="86"/>
        <v>22</v>
      </c>
      <c r="I131" s="76">
        <f t="shared" si="86"/>
        <v>-1</v>
      </c>
      <c r="J131" s="76">
        <f t="shared" si="86"/>
        <v>0</v>
      </c>
      <c r="K131" s="76">
        <f>SUM(E131:J131)</f>
        <v>-1935</v>
      </c>
      <c r="L131" s="76">
        <f>N131-D131</f>
        <v>-2363</v>
      </c>
      <c r="M131" s="76">
        <f>N131-C131</f>
        <v>-1960</v>
      </c>
      <c r="N131" s="76">
        <f>N83+N104+N129</f>
        <v>22645</v>
      </c>
      <c r="O131" s="76">
        <f>O83+O104+O129</f>
        <v>152877</v>
      </c>
      <c r="P131" s="76">
        <f>P83+P104+P129</f>
        <v>-130356</v>
      </c>
      <c r="Q131" s="76">
        <f>Q83+Q104+Q129</f>
        <v>22519</v>
      </c>
      <c r="R131" s="76">
        <f>R83+R104+R129</f>
        <v>22645</v>
      </c>
      <c r="S131" s="76">
        <f>Q131-R131</f>
        <v>-126</v>
      </c>
      <c r="T131" s="92">
        <f>IFERROR((Q131/N131)*100%,"∞")</f>
        <v>0.99443585780525501</v>
      </c>
      <c r="U131" s="76">
        <f>N131+V131</f>
        <v>23681</v>
      </c>
      <c r="V131" s="76">
        <f>V83+V104+V129</f>
        <v>1036</v>
      </c>
      <c r="W131" s="76">
        <f>W83+W104+W129</f>
        <v>1036</v>
      </c>
      <c r="X131" s="76">
        <f>X83+X104+X129</f>
        <v>0</v>
      </c>
      <c r="Y131" s="76">
        <f>Y83+Y104+Y129</f>
        <v>0</v>
      </c>
      <c r="Z131" s="76">
        <f>Z83+Z104+Z129</f>
        <v>0</v>
      </c>
      <c r="AA131" s="60"/>
      <c r="AB131" s="76">
        <f>AB83+AB104+AB129</f>
        <v>0</v>
      </c>
      <c r="AC131" s="76">
        <f>AC83+AC104+AC129</f>
        <v>0</v>
      </c>
      <c r="AD131" s="76">
        <f>AD83+AD104+AD129</f>
        <v>0</v>
      </c>
      <c r="AE131" s="76">
        <f>AE83+AE104+AE129</f>
        <v>22519</v>
      </c>
      <c r="AF131" s="76">
        <f>AF83+AF104+AF129</f>
        <v>-126</v>
      </c>
    </row>
    <row r="132" spans="2:32"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row>
    <row r="133" spans="2:32" ht="13" x14ac:dyDescent="0.3">
      <c r="B133" s="79" t="s">
        <v>157</v>
      </c>
      <c r="C133" s="33">
        <v>-1980</v>
      </c>
      <c r="D133" s="33">
        <v>-2387</v>
      </c>
      <c r="E133" s="23">
        <v>-407</v>
      </c>
      <c r="F133" s="23">
        <v>-3074</v>
      </c>
      <c r="G133" s="23">
        <v>0</v>
      </c>
      <c r="H133" s="23">
        <v>-5460</v>
      </c>
      <c r="I133" s="23">
        <v>0</v>
      </c>
      <c r="J133" s="23">
        <v>0</v>
      </c>
      <c r="K133" s="23">
        <f>SUM(E133:J133)</f>
        <v>-8941</v>
      </c>
      <c r="L133" s="33">
        <f>N133-D133</f>
        <v>-3074</v>
      </c>
      <c r="M133" s="33">
        <f>N133-C133</f>
        <v>-3481</v>
      </c>
      <c r="N133" s="33">
        <v>-5461</v>
      </c>
      <c r="O133" s="33">
        <v>-5938</v>
      </c>
      <c r="P133" s="33">
        <v>0</v>
      </c>
      <c r="Q133" s="33">
        <v>-5938</v>
      </c>
      <c r="R133" s="33">
        <v>-5461</v>
      </c>
      <c r="S133" s="33">
        <f>Q133-R133</f>
        <v>-477</v>
      </c>
      <c r="T133" s="38">
        <f>IFERROR((Q133/N133)*100%,"∞")</f>
        <v>1.0873466398095586</v>
      </c>
      <c r="U133" s="59">
        <f>N133+V133</f>
        <v>-5461</v>
      </c>
      <c r="V133" s="33">
        <v>0</v>
      </c>
      <c r="W133" s="33">
        <v>0</v>
      </c>
      <c r="X133" s="33"/>
      <c r="Y133" s="33"/>
      <c r="Z133" s="42"/>
      <c r="AA133" s="60"/>
      <c r="AB133" s="105"/>
      <c r="AC133" s="93"/>
      <c r="AD133" s="33">
        <f>SUM(AB133:AC133)</f>
        <v>0</v>
      </c>
      <c r="AE133" s="33">
        <f>Q133+AD133</f>
        <v>-5938</v>
      </c>
      <c r="AF133" s="101">
        <f>AE133-N133</f>
        <v>-477</v>
      </c>
    </row>
    <row r="134" spans="2:32"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row>
    <row r="135" spans="2:32" ht="13.5" thickBot="1" x14ac:dyDescent="0.35">
      <c r="B135" s="91" t="s">
        <v>158</v>
      </c>
      <c r="C135" s="76">
        <f t="shared" ref="C135:J135" si="87">C131+C133</f>
        <v>22625</v>
      </c>
      <c r="D135" s="76">
        <f t="shared" si="87"/>
        <v>22621</v>
      </c>
      <c r="E135" s="76">
        <f t="shared" si="87"/>
        <v>-1</v>
      </c>
      <c r="F135" s="76">
        <f t="shared" si="87"/>
        <v>-5436</v>
      </c>
      <c r="G135" s="76">
        <f t="shared" si="87"/>
        <v>0</v>
      </c>
      <c r="H135" s="76">
        <f t="shared" si="87"/>
        <v>-5438</v>
      </c>
      <c r="I135" s="76">
        <f t="shared" si="87"/>
        <v>-1</v>
      </c>
      <c r="J135" s="76">
        <f t="shared" si="87"/>
        <v>0</v>
      </c>
      <c r="K135" s="76">
        <f>SUM(E135:J135)</f>
        <v>-10876</v>
      </c>
      <c r="L135" s="76">
        <f>N135-D135</f>
        <v>-5437</v>
      </c>
      <c r="M135" s="76">
        <f>N135-C135</f>
        <v>-5441</v>
      </c>
      <c r="N135" s="76">
        <f>N131+N133</f>
        <v>17184</v>
      </c>
      <c r="O135" s="76">
        <f>O131+O133</f>
        <v>146939</v>
      </c>
      <c r="P135" s="76">
        <f>P131+P133</f>
        <v>-130356</v>
      </c>
      <c r="Q135" s="76">
        <f>Q131+Q133</f>
        <v>16581</v>
      </c>
      <c r="R135" s="76">
        <f>R131+R133</f>
        <v>17184</v>
      </c>
      <c r="S135" s="76">
        <f>Q135-R135</f>
        <v>-603</v>
      </c>
      <c r="T135" s="92">
        <f>IFERROR((Q135/N135)*100%,"∞")</f>
        <v>0.96490921787709494</v>
      </c>
      <c r="U135" s="76">
        <f>N135+V135</f>
        <v>18220</v>
      </c>
      <c r="V135" s="76">
        <f>V131+V133</f>
        <v>1036</v>
      </c>
      <c r="W135" s="76">
        <f>W131+W133</f>
        <v>1036</v>
      </c>
      <c r="X135" s="76">
        <f>X131+X133</f>
        <v>0</v>
      </c>
      <c r="Y135" s="76">
        <f>Y131+Y133</f>
        <v>0</v>
      </c>
      <c r="Z135" s="76">
        <f>Z131+Z133</f>
        <v>0</v>
      </c>
      <c r="AA135" s="60"/>
      <c r="AB135" s="76">
        <f>AB131+AB133</f>
        <v>0</v>
      </c>
      <c r="AC135" s="76">
        <f>AC131+AC133</f>
        <v>0</v>
      </c>
      <c r="AD135" s="76">
        <f>AD131+AD133</f>
        <v>0</v>
      </c>
      <c r="AE135" s="76">
        <f>AE131+AE133</f>
        <v>16581</v>
      </c>
      <c r="AF135" s="76">
        <f>AF131+AF133</f>
        <v>-603</v>
      </c>
    </row>
    <row r="136" spans="2:32"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row>
    <row r="137" spans="2:32"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row>
    <row r="138" spans="2:32"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row>
    <row r="139" spans="2:32" ht="13" x14ac:dyDescent="0.3">
      <c r="B139" s="79" t="s">
        <v>160</v>
      </c>
      <c r="C139" s="33">
        <v>711</v>
      </c>
      <c r="D139" s="33">
        <v>711</v>
      </c>
      <c r="E139" s="23">
        <v>0</v>
      </c>
      <c r="F139" s="23">
        <v>0</v>
      </c>
      <c r="G139" s="23">
        <v>0</v>
      </c>
      <c r="H139" s="23">
        <v>0</v>
      </c>
      <c r="I139" s="23">
        <v>0</v>
      </c>
      <c r="J139" s="23">
        <v>0</v>
      </c>
      <c r="K139" s="23">
        <f t="shared" ref="K139:K140" si="88">SUM(E139:J139)</f>
        <v>0</v>
      </c>
      <c r="L139" s="33">
        <f t="shared" ref="L139:L140" si="89">N139-D139</f>
        <v>0</v>
      </c>
      <c r="M139" s="33">
        <f t="shared" ref="M139:M140" si="90">N139-C139</f>
        <v>0</v>
      </c>
      <c r="N139" s="33">
        <v>711</v>
      </c>
      <c r="O139" s="33">
        <v>0</v>
      </c>
      <c r="P139" s="33">
        <v>719</v>
      </c>
      <c r="Q139" s="33">
        <v>719</v>
      </c>
      <c r="R139" s="33">
        <v>711</v>
      </c>
      <c r="S139" s="33">
        <f t="shared" ref="S139:S140" si="91">Q139-R139</f>
        <v>8</v>
      </c>
      <c r="T139" s="38">
        <f t="shared" ref="T139:T140" si="92">IFERROR((Q139/N139)*100%,"∞")</f>
        <v>1.0112517580872011</v>
      </c>
      <c r="U139" s="59">
        <f t="shared" ref="U139:U140" si="93">N139+V139</f>
        <v>711</v>
      </c>
      <c r="V139" s="33">
        <v>0</v>
      </c>
      <c r="W139" s="33">
        <v>0</v>
      </c>
      <c r="X139" s="33"/>
      <c r="Y139" s="33"/>
      <c r="Z139" s="42"/>
      <c r="AA139" s="60"/>
      <c r="AB139" s="105"/>
      <c r="AC139" s="93"/>
      <c r="AD139" s="33">
        <f t="shared" ref="AD139:AD140" si="94">SUM(AB139:AC139)</f>
        <v>0</v>
      </c>
      <c r="AE139" s="33">
        <f t="shared" ref="AE139:AE140" si="95">Q139+AD139</f>
        <v>719</v>
      </c>
      <c r="AF139" s="101">
        <f t="shared" ref="AF139:AF140" si="96">AE139-N139</f>
        <v>8</v>
      </c>
    </row>
    <row r="140" spans="2:32" ht="13" x14ac:dyDescent="0.3">
      <c r="B140" s="79" t="s">
        <v>161</v>
      </c>
      <c r="C140" s="33">
        <v>15029</v>
      </c>
      <c r="D140" s="33">
        <v>15029</v>
      </c>
      <c r="E140" s="23">
        <v>0</v>
      </c>
      <c r="F140" s="23">
        <v>0</v>
      </c>
      <c r="G140" s="23">
        <v>0</v>
      </c>
      <c r="H140" s="23">
        <v>0</v>
      </c>
      <c r="I140" s="23">
        <v>0</v>
      </c>
      <c r="J140" s="23">
        <v>0</v>
      </c>
      <c r="K140" s="23">
        <f t="shared" si="88"/>
        <v>0</v>
      </c>
      <c r="L140" s="33">
        <f t="shared" si="89"/>
        <v>0</v>
      </c>
      <c r="M140" s="33">
        <f t="shared" si="90"/>
        <v>0</v>
      </c>
      <c r="N140" s="33">
        <v>15029</v>
      </c>
      <c r="O140" s="33">
        <v>14621</v>
      </c>
      <c r="P140" s="33">
        <v>0</v>
      </c>
      <c r="Q140" s="33">
        <v>14621</v>
      </c>
      <c r="R140" s="33">
        <v>15029</v>
      </c>
      <c r="S140" s="33">
        <f t="shared" si="91"/>
        <v>-408</v>
      </c>
      <c r="T140" s="38">
        <f t="shared" si="92"/>
        <v>0.97285248519528911</v>
      </c>
      <c r="U140" s="59">
        <f t="shared" si="93"/>
        <v>15029</v>
      </c>
      <c r="V140" s="33">
        <v>0</v>
      </c>
      <c r="W140" s="33">
        <v>0</v>
      </c>
      <c r="X140" s="33"/>
      <c r="Y140" s="33"/>
      <c r="Z140" s="42"/>
      <c r="AA140" s="60"/>
      <c r="AB140" s="105"/>
      <c r="AC140" s="93"/>
      <c r="AD140" s="33">
        <f t="shared" si="94"/>
        <v>0</v>
      </c>
      <c r="AE140" s="33">
        <f t="shared" si="95"/>
        <v>14621</v>
      </c>
      <c r="AF140" s="101">
        <f t="shared" si="96"/>
        <v>-408</v>
      </c>
    </row>
    <row r="141" spans="2:32" ht="13" x14ac:dyDescent="0.3">
      <c r="B141" s="79" t="s">
        <v>162</v>
      </c>
      <c r="C141" s="33">
        <v>-271</v>
      </c>
      <c r="D141" s="33">
        <v>-271</v>
      </c>
      <c r="E141" s="23">
        <v>0</v>
      </c>
      <c r="F141" s="23">
        <v>0</v>
      </c>
      <c r="G141" s="23">
        <v>0</v>
      </c>
      <c r="H141" s="23">
        <v>0</v>
      </c>
      <c r="I141" s="23">
        <v>0</v>
      </c>
      <c r="J141" s="23">
        <v>0</v>
      </c>
      <c r="K141" s="23">
        <f>SUM(E141:J141)</f>
        <v>0</v>
      </c>
      <c r="L141" s="33">
        <f>N141-D141</f>
        <v>0</v>
      </c>
      <c r="M141" s="33">
        <f>N141-C141</f>
        <v>0</v>
      </c>
      <c r="N141" s="33">
        <v>-271</v>
      </c>
      <c r="O141" s="33">
        <v>-281</v>
      </c>
      <c r="P141" s="33">
        <v>0</v>
      </c>
      <c r="Q141" s="33">
        <v>-281</v>
      </c>
      <c r="R141" s="33">
        <v>-271</v>
      </c>
      <c r="S141" s="33">
        <f>Q141-R141</f>
        <v>-10</v>
      </c>
      <c r="T141" s="38">
        <f>IFERROR((Q141/N141)*100%,"∞")</f>
        <v>1.03690036900369</v>
      </c>
      <c r="U141" s="59">
        <f>N141+V141</f>
        <v>-271</v>
      </c>
      <c r="V141" s="33">
        <v>0</v>
      </c>
      <c r="W141" s="33">
        <v>0</v>
      </c>
      <c r="X141" s="33"/>
      <c r="Y141" s="33"/>
      <c r="Z141" s="42"/>
      <c r="AA141" s="60"/>
      <c r="AB141" s="105"/>
      <c r="AC141" s="93"/>
      <c r="AD141" s="33">
        <f>SUM(AB141:AC141)</f>
        <v>0</v>
      </c>
      <c r="AE141" s="33">
        <f>Q141+AD141</f>
        <v>-281</v>
      </c>
      <c r="AF141" s="101">
        <f>AE141-N141</f>
        <v>-10</v>
      </c>
    </row>
    <row r="142" spans="2:32" ht="13" x14ac:dyDescent="0.3">
      <c r="B142" s="79" t="s">
        <v>163</v>
      </c>
      <c r="C142" s="33">
        <v>7154</v>
      </c>
      <c r="D142" s="33">
        <v>7154</v>
      </c>
      <c r="E142" s="23">
        <v>0</v>
      </c>
      <c r="F142" s="23">
        <v>-5437</v>
      </c>
      <c r="G142" s="23">
        <v>0</v>
      </c>
      <c r="H142" s="23">
        <v>-5437</v>
      </c>
      <c r="I142" s="23">
        <v>0</v>
      </c>
      <c r="J142" s="23">
        <v>0</v>
      </c>
      <c r="K142" s="23">
        <f>SUM(E142:J142)</f>
        <v>-10874</v>
      </c>
      <c r="L142" s="33">
        <f>N142-D142</f>
        <v>-5437</v>
      </c>
      <c r="M142" s="33">
        <f>N142-C142</f>
        <v>-5437</v>
      </c>
      <c r="N142" s="33">
        <v>1717</v>
      </c>
      <c r="O142" s="33">
        <v>2718</v>
      </c>
      <c r="P142" s="33">
        <v>-1001</v>
      </c>
      <c r="Q142" s="33">
        <v>1717</v>
      </c>
      <c r="R142" s="33">
        <v>1717</v>
      </c>
      <c r="S142" s="33">
        <f>Q142-R142</f>
        <v>0</v>
      </c>
      <c r="T142" s="38">
        <f>IFERROR((Q142/N142)*100%,"∞")</f>
        <v>1</v>
      </c>
      <c r="U142" s="59">
        <f>N142+V142</f>
        <v>1717</v>
      </c>
      <c r="V142" s="33">
        <v>0</v>
      </c>
      <c r="W142" s="33">
        <v>0</v>
      </c>
      <c r="X142" s="33"/>
      <c r="Y142" s="33"/>
      <c r="Z142" s="42"/>
      <c r="AA142" s="60"/>
      <c r="AB142" s="105"/>
      <c r="AC142" s="93"/>
      <c r="AD142" s="33">
        <f>SUM(AB142:AC142)</f>
        <v>0</v>
      </c>
      <c r="AE142" s="33">
        <f>Q142+AD142</f>
        <v>1717</v>
      </c>
      <c r="AF142" s="101">
        <f>AE142-N142</f>
        <v>0</v>
      </c>
    </row>
    <row r="143" spans="2:32"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row>
    <row r="144" spans="2:32" ht="13.5" thickBot="1" x14ac:dyDescent="0.35">
      <c r="B144" s="91" t="s">
        <v>164</v>
      </c>
      <c r="C144" s="76">
        <f t="shared" ref="C144:J144" si="97">SUM(C139:C142)</f>
        <v>22623</v>
      </c>
      <c r="D144" s="76">
        <f t="shared" si="97"/>
        <v>22623</v>
      </c>
      <c r="E144" s="76">
        <f t="shared" si="97"/>
        <v>0</v>
      </c>
      <c r="F144" s="76">
        <f t="shared" si="97"/>
        <v>-5437</v>
      </c>
      <c r="G144" s="76">
        <f t="shared" si="97"/>
        <v>0</v>
      </c>
      <c r="H144" s="76">
        <f t="shared" si="97"/>
        <v>-5437</v>
      </c>
      <c r="I144" s="76">
        <f t="shared" si="97"/>
        <v>0</v>
      </c>
      <c r="J144" s="76">
        <f t="shared" si="97"/>
        <v>0</v>
      </c>
      <c r="K144" s="76">
        <f>SUM(E144:J144)</f>
        <v>-10874</v>
      </c>
      <c r="L144" s="76">
        <f>N144-D144</f>
        <v>-5437</v>
      </c>
      <c r="M144" s="76">
        <f>N144-C144</f>
        <v>-5437</v>
      </c>
      <c r="N144" s="76">
        <f>SUM(N139:N142)</f>
        <v>17186</v>
      </c>
      <c r="O144" s="76">
        <f>SUM(O139:O142)</f>
        <v>17058</v>
      </c>
      <c r="P144" s="76">
        <f>SUM(P139:P142)</f>
        <v>-282</v>
      </c>
      <c r="Q144" s="76">
        <f>SUM(Q139:Q142)</f>
        <v>16776</v>
      </c>
      <c r="R144" s="76">
        <f>SUM(R139:R142)</f>
        <v>17186</v>
      </c>
      <c r="S144" s="76">
        <f>Q144-R144</f>
        <v>-410</v>
      </c>
      <c r="T144" s="92">
        <f>IFERROR((Q144/N144)*100%,"∞")</f>
        <v>0.97614337251251015</v>
      </c>
      <c r="U144" s="76">
        <f>N144+V144</f>
        <v>17186</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16776</v>
      </c>
      <c r="AF144" s="76">
        <f>SUM(AF139:AF142)</f>
        <v>-410</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2" ht="13.5" thickBot="1" x14ac:dyDescent="0.35">
      <c r="B146" s="91" t="s">
        <v>165</v>
      </c>
      <c r="C146" s="76">
        <f t="shared" ref="C146:J146" si="98">C135-C144</f>
        <v>2</v>
      </c>
      <c r="D146" s="76">
        <f t="shared" si="98"/>
        <v>-2</v>
      </c>
      <c r="E146" s="76">
        <f t="shared" si="98"/>
        <v>-1</v>
      </c>
      <c r="F146" s="76">
        <f t="shared" si="98"/>
        <v>1</v>
      </c>
      <c r="G146" s="76">
        <f t="shared" si="98"/>
        <v>0</v>
      </c>
      <c r="H146" s="76">
        <f t="shared" si="98"/>
        <v>-1</v>
      </c>
      <c r="I146" s="76">
        <f t="shared" si="98"/>
        <v>-1</v>
      </c>
      <c r="J146" s="76">
        <f t="shared" si="98"/>
        <v>0</v>
      </c>
      <c r="K146" s="76">
        <f>SUM(E146:J146)</f>
        <v>-2</v>
      </c>
      <c r="L146" s="76">
        <f>N146-D146</f>
        <v>0</v>
      </c>
      <c r="M146" s="76">
        <f>N146-C146</f>
        <v>-4</v>
      </c>
      <c r="N146" s="76">
        <f>N135-N144</f>
        <v>-2</v>
      </c>
      <c r="O146" s="76">
        <f>O135-O144</f>
        <v>129881</v>
      </c>
      <c r="P146" s="76">
        <f>P135-P144</f>
        <v>-130074</v>
      </c>
      <c r="Q146" s="76">
        <f>Q135-Q144</f>
        <v>-195</v>
      </c>
      <c r="R146" s="76">
        <f>R135-R144</f>
        <v>-2</v>
      </c>
      <c r="S146" s="76">
        <f>Q146-R146</f>
        <v>-193</v>
      </c>
      <c r="T146" s="92">
        <f>IFERROR((Q146/N146)*100%,"∞")</f>
        <v>97.5</v>
      </c>
      <c r="U146" s="76">
        <f>N146+V146</f>
        <v>1034</v>
      </c>
      <c r="V146" s="76">
        <f>V135-V144</f>
        <v>1036</v>
      </c>
      <c r="W146" s="76">
        <f>W135-W144</f>
        <v>1036</v>
      </c>
      <c r="X146" s="76">
        <f>X135-X144</f>
        <v>0</v>
      </c>
      <c r="Y146" s="76">
        <f>Y135-Y144</f>
        <v>0</v>
      </c>
      <c r="Z146" s="76">
        <f>Z135-Z144</f>
        <v>0</v>
      </c>
      <c r="AA146" s="60"/>
      <c r="AB146" s="76">
        <f>AB135-AB144</f>
        <v>0</v>
      </c>
      <c r="AC146" s="76">
        <f>AC135-AC144</f>
        <v>0</v>
      </c>
      <c r="AD146" s="76">
        <f>AD135-AD144</f>
        <v>0</v>
      </c>
      <c r="AE146" s="76">
        <f>AE135-AE144</f>
        <v>-195</v>
      </c>
      <c r="AF146" s="76">
        <f>AF135-AF144</f>
        <v>-193</v>
      </c>
    </row>
    <row r="147" spans="2:32" ht="13" thickTop="1" x14ac:dyDescent="0.25"/>
    <row r="150" spans="2:32" x14ac:dyDescent="0.25">
      <c r="Q150" s="19"/>
      <c r="R150" s="19"/>
    </row>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AH147"/>
  <sheetViews>
    <sheetView workbookViewId="0">
      <pane xSplit="2" ySplit="4" topLeftCell="P50" activePane="bottomRight" state="frozen"/>
      <selection pane="topRight" activeCell="C1" sqref="C1"/>
      <selection pane="bottomLeft" activeCell="A5" sqref="A5"/>
      <selection pane="bottomRight" activeCell="S8" sqref="S8"/>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customWidth="1" outlineLevel="1"/>
    <col min="6" max="6" width="13.54296875" style="1" customWidth="1" outlineLevel="1"/>
    <col min="7" max="11" width="13.54296875" customWidth="1" outlineLevel="1"/>
    <col min="12" max="12" width="13.54296875" customWidth="1"/>
    <col min="13" max="13" width="13.54296875" customWidth="1" outlineLevel="1"/>
    <col min="14" max="14" width="13.54296875" customWidth="1"/>
    <col min="15" max="16" width="13.54296875" customWidth="1" outlineLevel="1"/>
    <col min="17" max="17" width="13.54296875" customWidth="1"/>
    <col min="18" max="20" width="13.54296875" customWidth="1" outlineLevel="1"/>
    <col min="21" max="22" width="13.54296875" customWidth="1"/>
    <col min="23" max="26" width="13.54296875" hidden="1" customWidth="1" outlineLevel="1"/>
    <col min="27" max="27" width="1.54296875" customWidth="1" collapsed="1"/>
    <col min="28" max="32" width="13.54296875" hidden="1" customWidth="1" outlineLevel="1"/>
    <col min="33" max="33" width="1.54296875" customWidth="1" collapsed="1"/>
  </cols>
  <sheetData>
    <row r="1" spans="2:34" s="6" customFormat="1" ht="18.5" thickBot="1" x14ac:dyDescent="0.45">
      <c r="B1" s="17"/>
      <c r="D1" s="18" t="s">
        <v>0</v>
      </c>
      <c r="F1" s="17"/>
    </row>
    <row r="2" spans="2:34"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4"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4"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4" ht="13" outlineLevel="2" x14ac:dyDescent="0.3">
      <c r="B5" s="31" t="s">
        <v>36</v>
      </c>
      <c r="C5" s="33">
        <v>715</v>
      </c>
      <c r="D5" s="33">
        <v>804</v>
      </c>
      <c r="E5" s="23">
        <v>0</v>
      </c>
      <c r="F5" s="23">
        <v>-352</v>
      </c>
      <c r="G5" s="23">
        <v>-10</v>
      </c>
      <c r="H5" s="23">
        <v>0</v>
      </c>
      <c r="I5" s="23">
        <v>98</v>
      </c>
      <c r="J5" s="23">
        <v>0</v>
      </c>
      <c r="K5" s="23">
        <f t="shared" ref="K5:K68" si="0">SUM(E5:J5)</f>
        <v>-264</v>
      </c>
      <c r="L5" s="33">
        <f t="shared" ref="L5:L68" si="1">N5-D5</f>
        <v>-352</v>
      </c>
      <c r="M5" s="33">
        <f t="shared" ref="M5:M68" si="2">N5-C5</f>
        <v>-263</v>
      </c>
      <c r="N5" s="33">
        <v>452</v>
      </c>
      <c r="O5" s="33">
        <v>1908</v>
      </c>
      <c r="P5" s="33">
        <v>-1584</v>
      </c>
      <c r="Q5" s="33">
        <v>324</v>
      </c>
      <c r="R5" s="33">
        <v>452</v>
      </c>
      <c r="S5" s="33">
        <f t="shared" ref="S5:S68" si="3">Q5-R5</f>
        <v>-128</v>
      </c>
      <c r="T5" s="38">
        <f t="shared" ref="T5:T68" si="4">IFERROR((Q5/N5)*100%,"∞")</f>
        <v>0.7168141592920354</v>
      </c>
      <c r="U5" s="59">
        <f t="shared" ref="U5:U68" si="5">N5+V5</f>
        <v>452</v>
      </c>
      <c r="V5" s="33">
        <v>0</v>
      </c>
      <c r="W5" s="33">
        <v>0</v>
      </c>
      <c r="X5" s="33"/>
      <c r="Y5" s="33"/>
      <c r="Z5" s="42"/>
      <c r="AA5" s="60"/>
      <c r="AB5" s="105"/>
      <c r="AC5" s="93"/>
      <c r="AD5" s="33">
        <f t="shared" ref="AD5:AD68" si="6">SUM(AB5:AC5)</f>
        <v>0</v>
      </c>
      <c r="AE5" s="33">
        <f t="shared" ref="AE5:AE68" si="7">Q5+AD5</f>
        <v>324</v>
      </c>
      <c r="AF5" s="101">
        <f t="shared" ref="AF5:AF68" si="8">AE5-N5</f>
        <v>-128</v>
      </c>
      <c r="AH5" t="str">
        <f>IF(V5='Appendix A 21.03'!V5,"")</f>
        <v/>
      </c>
    </row>
    <row r="6" spans="2:34" ht="13" outlineLevel="2" x14ac:dyDescent="0.3">
      <c r="B6" s="31" t="s">
        <v>37</v>
      </c>
      <c r="C6" s="33">
        <v>54</v>
      </c>
      <c r="D6" s="33">
        <v>54</v>
      </c>
      <c r="E6" s="23">
        <v>0</v>
      </c>
      <c r="F6" s="23">
        <v>0</v>
      </c>
      <c r="G6" s="23">
        <v>0</v>
      </c>
      <c r="H6" s="23">
        <v>0</v>
      </c>
      <c r="I6" s="23">
        <v>0</v>
      </c>
      <c r="J6" s="23">
        <v>0</v>
      </c>
      <c r="K6" s="23">
        <f t="shared" si="0"/>
        <v>0</v>
      </c>
      <c r="L6" s="33">
        <f t="shared" si="1"/>
        <v>0</v>
      </c>
      <c r="M6" s="33">
        <f t="shared" si="2"/>
        <v>0</v>
      </c>
      <c r="N6" s="33">
        <v>54</v>
      </c>
      <c r="O6" s="33">
        <v>71</v>
      </c>
      <c r="P6" s="33">
        <v>0</v>
      </c>
      <c r="Q6" s="33">
        <v>71</v>
      </c>
      <c r="R6" s="33">
        <v>54</v>
      </c>
      <c r="S6" s="33">
        <f t="shared" si="3"/>
        <v>17</v>
      </c>
      <c r="T6" s="38">
        <f t="shared" si="4"/>
        <v>1.3148148148148149</v>
      </c>
      <c r="U6" s="59">
        <f t="shared" si="5"/>
        <v>54</v>
      </c>
      <c r="V6" s="33">
        <v>0</v>
      </c>
      <c r="W6" s="33">
        <v>0</v>
      </c>
      <c r="X6" s="33"/>
      <c r="Y6" s="33"/>
      <c r="Z6" s="42"/>
      <c r="AA6" s="60"/>
      <c r="AB6" s="105"/>
      <c r="AC6" s="93"/>
      <c r="AD6" s="33">
        <f t="shared" si="6"/>
        <v>0</v>
      </c>
      <c r="AE6" s="33">
        <f t="shared" si="7"/>
        <v>71</v>
      </c>
      <c r="AF6" s="101">
        <f t="shared" si="8"/>
        <v>17</v>
      </c>
      <c r="AH6" t="str">
        <f>IF(V6='Appendix A 21.03'!V6,"")</f>
        <v/>
      </c>
    </row>
    <row r="7" spans="2:34" ht="13" outlineLevel="2" x14ac:dyDescent="0.3">
      <c r="B7" s="31" t="s">
        <v>38</v>
      </c>
      <c r="C7" s="33">
        <v>1098</v>
      </c>
      <c r="D7" s="33">
        <v>722</v>
      </c>
      <c r="E7" s="23">
        <v>0</v>
      </c>
      <c r="F7" s="23">
        <v>-716</v>
      </c>
      <c r="G7" s="23">
        <v>-20</v>
      </c>
      <c r="H7" s="23">
        <v>0</v>
      </c>
      <c r="I7" s="23">
        <v>-356</v>
      </c>
      <c r="J7" s="23">
        <v>-15</v>
      </c>
      <c r="K7" s="23">
        <f t="shared" si="0"/>
        <v>-1107</v>
      </c>
      <c r="L7" s="33">
        <f t="shared" si="1"/>
        <v>-731</v>
      </c>
      <c r="M7" s="33">
        <f t="shared" si="2"/>
        <v>-1107</v>
      </c>
      <c r="N7" s="33">
        <v>-9</v>
      </c>
      <c r="O7" s="33">
        <v>1723</v>
      </c>
      <c r="P7" s="33">
        <v>-1736</v>
      </c>
      <c r="Q7" s="33">
        <v>-14</v>
      </c>
      <c r="R7" s="33">
        <v>-9</v>
      </c>
      <c r="S7" s="33">
        <f t="shared" si="3"/>
        <v>-5</v>
      </c>
      <c r="T7" s="38">
        <f t="shared" si="4"/>
        <v>1.5555555555555556</v>
      </c>
      <c r="U7" s="59">
        <f t="shared" si="5"/>
        <v>-9</v>
      </c>
      <c r="V7" s="33">
        <v>0</v>
      </c>
      <c r="W7" s="33">
        <v>0</v>
      </c>
      <c r="X7" s="33"/>
      <c r="Y7" s="33"/>
      <c r="Z7" s="42"/>
      <c r="AA7" s="60"/>
      <c r="AB7" s="105"/>
      <c r="AC7" s="93"/>
      <c r="AD7" s="33">
        <f t="shared" si="6"/>
        <v>0</v>
      </c>
      <c r="AE7" s="33">
        <f t="shared" si="7"/>
        <v>-14</v>
      </c>
      <c r="AF7" s="101">
        <f t="shared" si="8"/>
        <v>-5</v>
      </c>
      <c r="AH7" t="str">
        <f>IF(V7='Appendix A 21.03'!V7,"")</f>
        <v/>
      </c>
    </row>
    <row r="8" spans="2:34" ht="13" outlineLevel="2" x14ac:dyDescent="0.3">
      <c r="B8" s="31" t="s">
        <v>39</v>
      </c>
      <c r="C8" s="33">
        <v>1086</v>
      </c>
      <c r="D8" s="33">
        <v>1477</v>
      </c>
      <c r="E8" s="23">
        <v>0</v>
      </c>
      <c r="F8" s="23">
        <v>283</v>
      </c>
      <c r="G8" s="23">
        <v>-6</v>
      </c>
      <c r="H8" s="23">
        <v>-28</v>
      </c>
      <c r="I8" s="23">
        <v>397</v>
      </c>
      <c r="J8" s="23">
        <v>0</v>
      </c>
      <c r="K8" s="23">
        <f t="shared" si="0"/>
        <v>646</v>
      </c>
      <c r="L8" s="33">
        <f t="shared" si="1"/>
        <v>265</v>
      </c>
      <c r="M8" s="33">
        <f t="shared" si="2"/>
        <v>656</v>
      </c>
      <c r="N8" s="33">
        <v>1742</v>
      </c>
      <c r="O8" s="33">
        <v>4451</v>
      </c>
      <c r="P8" s="33">
        <v>-2601</v>
      </c>
      <c r="Q8" s="33">
        <v>1850</v>
      </c>
      <c r="R8" s="33">
        <v>1742</v>
      </c>
      <c r="S8" s="33">
        <f t="shared" si="3"/>
        <v>108</v>
      </c>
      <c r="T8" s="38">
        <f t="shared" si="4"/>
        <v>1.0619977037887485</v>
      </c>
      <c r="U8" s="59">
        <f t="shared" si="5"/>
        <v>1742</v>
      </c>
      <c r="V8" s="33">
        <v>0</v>
      </c>
      <c r="W8" s="33">
        <v>0</v>
      </c>
      <c r="X8" s="33"/>
      <c r="Y8" s="33"/>
      <c r="Z8" s="42"/>
      <c r="AA8" s="60"/>
      <c r="AB8" s="105"/>
      <c r="AC8" s="93"/>
      <c r="AD8" s="33">
        <f t="shared" si="6"/>
        <v>0</v>
      </c>
      <c r="AE8" s="33">
        <f t="shared" si="7"/>
        <v>1850</v>
      </c>
      <c r="AF8" s="101">
        <f t="shared" si="8"/>
        <v>108</v>
      </c>
      <c r="AH8" t="str">
        <f>IF(V8='Appendix A 21.03'!V8,"")</f>
        <v/>
      </c>
    </row>
    <row r="9" spans="2:34" ht="13" outlineLevel="2" x14ac:dyDescent="0.3">
      <c r="B9" s="31" t="s">
        <v>40</v>
      </c>
      <c r="C9" s="33">
        <v>1586</v>
      </c>
      <c r="D9" s="33">
        <v>1558</v>
      </c>
      <c r="E9" s="23">
        <v>0</v>
      </c>
      <c r="F9" s="23">
        <v>306</v>
      </c>
      <c r="G9" s="23">
        <v>-3</v>
      </c>
      <c r="H9" s="23">
        <v>0</v>
      </c>
      <c r="I9" s="23">
        <v>-25</v>
      </c>
      <c r="J9" s="23">
        <v>0</v>
      </c>
      <c r="K9" s="23">
        <f t="shared" si="0"/>
        <v>278</v>
      </c>
      <c r="L9" s="33">
        <f t="shared" si="1"/>
        <v>305</v>
      </c>
      <c r="M9" s="33">
        <f t="shared" si="2"/>
        <v>277</v>
      </c>
      <c r="N9" s="33">
        <v>1863</v>
      </c>
      <c r="O9" s="33">
        <v>4168</v>
      </c>
      <c r="P9" s="33">
        <v>-2308</v>
      </c>
      <c r="Q9" s="33">
        <v>1860</v>
      </c>
      <c r="R9" s="33">
        <v>1863</v>
      </c>
      <c r="S9" s="33">
        <f t="shared" si="3"/>
        <v>-3</v>
      </c>
      <c r="T9" s="38">
        <f t="shared" si="4"/>
        <v>0.99838969404186795</v>
      </c>
      <c r="U9" s="59">
        <f t="shared" si="5"/>
        <v>1822</v>
      </c>
      <c r="V9" s="33">
        <v>-41</v>
      </c>
      <c r="W9" s="33">
        <v>-41</v>
      </c>
      <c r="X9" s="33"/>
      <c r="Y9" s="33"/>
      <c r="Z9" s="42"/>
      <c r="AA9" s="60"/>
      <c r="AB9" s="105"/>
      <c r="AC9" s="93"/>
      <c r="AD9" s="33">
        <f t="shared" si="6"/>
        <v>0</v>
      </c>
      <c r="AE9" s="33">
        <f t="shared" si="7"/>
        <v>1860</v>
      </c>
      <c r="AF9" s="101">
        <f t="shared" si="8"/>
        <v>-3</v>
      </c>
      <c r="AH9" t="str">
        <f>IF(V9='Appendix A 21.03'!V9,"")</f>
        <v/>
      </c>
    </row>
    <row r="10" spans="2:34" ht="13" outlineLevel="2" x14ac:dyDescent="0.3">
      <c r="B10" s="31" t="s">
        <v>41</v>
      </c>
      <c r="C10" s="33">
        <v>120</v>
      </c>
      <c r="D10" s="33">
        <v>1</v>
      </c>
      <c r="E10" s="23">
        <v>0</v>
      </c>
      <c r="F10" s="23">
        <v>0</v>
      </c>
      <c r="G10" s="23">
        <v>1</v>
      </c>
      <c r="H10" s="23">
        <v>0</v>
      </c>
      <c r="I10" s="23">
        <v>-120</v>
      </c>
      <c r="J10" s="23">
        <v>0</v>
      </c>
      <c r="K10" s="23">
        <f t="shared" si="0"/>
        <v>-119</v>
      </c>
      <c r="L10" s="33">
        <f t="shared" si="1"/>
        <v>0</v>
      </c>
      <c r="M10" s="33">
        <f t="shared" si="2"/>
        <v>-119</v>
      </c>
      <c r="N10" s="33">
        <v>1</v>
      </c>
      <c r="O10" s="33">
        <v>8</v>
      </c>
      <c r="P10" s="33">
        <v>0</v>
      </c>
      <c r="Q10" s="33">
        <v>8</v>
      </c>
      <c r="R10" s="33">
        <v>1</v>
      </c>
      <c r="S10" s="33">
        <f t="shared" si="3"/>
        <v>7</v>
      </c>
      <c r="T10" s="38">
        <f t="shared" si="4"/>
        <v>8</v>
      </c>
      <c r="U10" s="59">
        <f t="shared" si="5"/>
        <v>1</v>
      </c>
      <c r="V10" s="33">
        <v>0</v>
      </c>
      <c r="W10" s="33">
        <v>0</v>
      </c>
      <c r="X10" s="33"/>
      <c r="Y10" s="33"/>
      <c r="Z10" s="42"/>
      <c r="AA10" s="60"/>
      <c r="AB10" s="105"/>
      <c r="AC10" s="93"/>
      <c r="AD10" s="33">
        <f t="shared" si="6"/>
        <v>0</v>
      </c>
      <c r="AE10" s="33">
        <f t="shared" si="7"/>
        <v>8</v>
      </c>
      <c r="AF10" s="101">
        <f t="shared" si="8"/>
        <v>7</v>
      </c>
      <c r="AH10" t="str">
        <f>IF(V10='Appendix A 21.03'!V10,"")</f>
        <v/>
      </c>
    </row>
    <row r="11" spans="2:34" ht="13" outlineLevel="1" x14ac:dyDescent="0.3">
      <c r="B11" s="32" t="s">
        <v>43</v>
      </c>
      <c r="C11" s="34">
        <f t="shared" ref="C11:J11" si="9">SUBTOTAL(9,C5:C10)</f>
        <v>4659</v>
      </c>
      <c r="D11" s="34">
        <f t="shared" si="9"/>
        <v>4616</v>
      </c>
      <c r="E11" s="24">
        <f t="shared" si="9"/>
        <v>0</v>
      </c>
      <c r="F11" s="24">
        <f t="shared" si="9"/>
        <v>-479</v>
      </c>
      <c r="G11" s="24">
        <f t="shared" si="9"/>
        <v>-38</v>
      </c>
      <c r="H11" s="24">
        <f t="shared" si="9"/>
        <v>-28</v>
      </c>
      <c r="I11" s="24">
        <f t="shared" si="9"/>
        <v>-6</v>
      </c>
      <c r="J11" s="24">
        <f t="shared" si="9"/>
        <v>-15</v>
      </c>
      <c r="K11" s="24">
        <f>SUM(E11:J11)</f>
        <v>-566</v>
      </c>
      <c r="L11" s="34">
        <f t="shared" si="1"/>
        <v>-513</v>
      </c>
      <c r="M11" s="34">
        <f t="shared" si="2"/>
        <v>-556</v>
      </c>
      <c r="N11" s="34">
        <f>SUBTOTAL(9,N5:N10)</f>
        <v>4103</v>
      </c>
      <c r="O11" s="34">
        <f>SUBTOTAL(9,O5:O10)</f>
        <v>12329</v>
      </c>
      <c r="P11" s="34">
        <f>SUBTOTAL(9,P5:P10)</f>
        <v>-8229</v>
      </c>
      <c r="Q11" s="34">
        <f>SUBTOTAL(9,Q5:Q10)</f>
        <v>4099</v>
      </c>
      <c r="R11" s="34">
        <f>SUBTOTAL(9,R5:R10)</f>
        <v>4103</v>
      </c>
      <c r="S11" s="34">
        <f>Q11-R11</f>
        <v>-4</v>
      </c>
      <c r="T11" s="38">
        <f>IFERROR((Q11/N11)*100%,"∞")</f>
        <v>0.99902510358274432</v>
      </c>
      <c r="U11" s="59">
        <f>N11+V11</f>
        <v>4062</v>
      </c>
      <c r="V11" s="34">
        <f>SUBTOTAL(9,V5:V10)</f>
        <v>-41</v>
      </c>
      <c r="W11" s="34">
        <f>SUBTOTAL(9,W5:W10)</f>
        <v>-41</v>
      </c>
      <c r="X11" s="34"/>
      <c r="Y11" s="34"/>
      <c r="Z11" s="41"/>
      <c r="AA11" s="60"/>
      <c r="AB11" s="102">
        <f>SUBTOTAL(9,AB1:AB10)</f>
        <v>0</v>
      </c>
      <c r="AC11" s="34">
        <f>SUBTOTAL(9,AC1:AC10)</f>
        <v>0</v>
      </c>
      <c r="AD11" s="34"/>
      <c r="AE11" s="34"/>
      <c r="AF11" s="103"/>
      <c r="AH11" t="str">
        <f>IF(V11='Appendix A 21.03'!V11,"")</f>
        <v/>
      </c>
    </row>
    <row r="12" spans="2:34" ht="13" outlineLevel="2" x14ac:dyDescent="0.3">
      <c r="B12" s="31" t="s">
        <v>44</v>
      </c>
      <c r="C12" s="33">
        <v>773</v>
      </c>
      <c r="D12" s="33">
        <v>723</v>
      </c>
      <c r="E12" s="23">
        <v>24</v>
      </c>
      <c r="F12" s="23">
        <v>29</v>
      </c>
      <c r="G12" s="23">
        <v>-25</v>
      </c>
      <c r="H12" s="23">
        <v>0</v>
      </c>
      <c r="I12" s="23">
        <v>-32</v>
      </c>
      <c r="J12" s="23">
        <v>0</v>
      </c>
      <c r="K12" s="23">
        <f t="shared" si="0"/>
        <v>-4</v>
      </c>
      <c r="L12" s="33">
        <f t="shared" si="1"/>
        <v>30</v>
      </c>
      <c r="M12" s="33">
        <f t="shared" si="2"/>
        <v>-20</v>
      </c>
      <c r="N12" s="33">
        <v>753</v>
      </c>
      <c r="O12" s="33">
        <v>1783</v>
      </c>
      <c r="P12" s="33">
        <v>-952</v>
      </c>
      <c r="Q12" s="33">
        <v>831</v>
      </c>
      <c r="R12" s="33">
        <v>753</v>
      </c>
      <c r="S12" s="33">
        <f t="shared" si="3"/>
        <v>78</v>
      </c>
      <c r="T12" s="38">
        <f t="shared" si="4"/>
        <v>1.1035856573705178</v>
      </c>
      <c r="U12" s="59">
        <f t="shared" si="5"/>
        <v>813</v>
      </c>
      <c r="V12" s="33">
        <v>60</v>
      </c>
      <c r="W12" s="33">
        <v>60</v>
      </c>
      <c r="X12" s="33"/>
      <c r="Y12" s="33"/>
      <c r="Z12" s="42"/>
      <c r="AA12" s="60"/>
      <c r="AB12" s="105"/>
      <c r="AC12" s="93"/>
      <c r="AD12" s="33">
        <f t="shared" si="6"/>
        <v>0</v>
      </c>
      <c r="AE12" s="33">
        <f t="shared" si="7"/>
        <v>831</v>
      </c>
      <c r="AF12" s="101">
        <f t="shared" si="8"/>
        <v>78</v>
      </c>
      <c r="AH12" t="str">
        <f>IF(V12='Appendix A 21.03'!V12,"")</f>
        <v/>
      </c>
    </row>
    <row r="13" spans="2:34" ht="13" outlineLevel="1" x14ac:dyDescent="0.3">
      <c r="B13" s="32" t="s">
        <v>45</v>
      </c>
      <c r="C13" s="34">
        <f t="shared" ref="C13:J13" si="10">SUBTOTAL(9,C12:C12)</f>
        <v>773</v>
      </c>
      <c r="D13" s="34">
        <f t="shared" si="10"/>
        <v>723</v>
      </c>
      <c r="E13" s="24">
        <f t="shared" si="10"/>
        <v>24</v>
      </c>
      <c r="F13" s="24">
        <f t="shared" si="10"/>
        <v>29</v>
      </c>
      <c r="G13" s="24">
        <f t="shared" si="10"/>
        <v>-25</v>
      </c>
      <c r="H13" s="24">
        <f t="shared" si="10"/>
        <v>0</v>
      </c>
      <c r="I13" s="24">
        <f t="shared" si="10"/>
        <v>-32</v>
      </c>
      <c r="J13" s="24">
        <f t="shared" si="10"/>
        <v>0</v>
      </c>
      <c r="K13" s="24">
        <f>SUM(E13:J13)</f>
        <v>-4</v>
      </c>
      <c r="L13" s="34">
        <f t="shared" ref="L13" si="11">N13-D13</f>
        <v>30</v>
      </c>
      <c r="M13" s="34">
        <f t="shared" ref="M13" si="12">N13-C13</f>
        <v>-20</v>
      </c>
      <c r="N13" s="34">
        <f>SUBTOTAL(9,N12:N12)</f>
        <v>753</v>
      </c>
      <c r="O13" s="34">
        <f>SUBTOTAL(9,O12:O12)</f>
        <v>1783</v>
      </c>
      <c r="P13" s="34">
        <f>SUBTOTAL(9,P12:P12)</f>
        <v>-952</v>
      </c>
      <c r="Q13" s="34">
        <f>SUBTOTAL(9,Q12:Q12)</f>
        <v>831</v>
      </c>
      <c r="R13" s="34">
        <f>SUBTOTAL(9,R12:R12)</f>
        <v>753</v>
      </c>
      <c r="S13" s="34">
        <f>Q13-R13</f>
        <v>78</v>
      </c>
      <c r="T13" s="38">
        <f>IFERROR((Q13/N13)*100%,"∞")</f>
        <v>1.1035856573705178</v>
      </c>
      <c r="U13" s="59">
        <f>N13+V13</f>
        <v>813</v>
      </c>
      <c r="V13" s="34">
        <f>SUBTOTAL(9,V12:V12)</f>
        <v>60</v>
      </c>
      <c r="W13" s="34">
        <f>SUBTOTAL(9,W12:W12)</f>
        <v>60</v>
      </c>
      <c r="X13" s="34"/>
      <c r="Y13" s="34"/>
      <c r="Z13" s="41"/>
      <c r="AA13" s="60"/>
      <c r="AB13" s="102">
        <f>SUBTOTAL(9,AB1:AB12)</f>
        <v>0</v>
      </c>
      <c r="AC13" s="34">
        <f>SUBTOTAL(9,AC1:AC12)</f>
        <v>0</v>
      </c>
      <c r="AD13" s="34"/>
      <c r="AE13" s="34"/>
      <c r="AF13" s="103"/>
      <c r="AH13" t="str">
        <f>IF(V13='Appendix A 21.03'!V13,"")</f>
        <v/>
      </c>
    </row>
    <row r="14" spans="2:34" ht="13" outlineLevel="2" x14ac:dyDescent="0.3">
      <c r="B14" s="31" t="s">
        <v>46</v>
      </c>
      <c r="C14" s="33">
        <v>1045</v>
      </c>
      <c r="D14" s="33">
        <v>1031</v>
      </c>
      <c r="E14" s="23">
        <v>-12</v>
      </c>
      <c r="F14" s="23">
        <v>-15</v>
      </c>
      <c r="G14" s="23">
        <v>-8</v>
      </c>
      <c r="H14" s="23">
        <v>0</v>
      </c>
      <c r="I14" s="23">
        <v>6</v>
      </c>
      <c r="J14" s="23">
        <v>0</v>
      </c>
      <c r="K14" s="23">
        <f t="shared" si="0"/>
        <v>-29</v>
      </c>
      <c r="L14" s="33">
        <f t="shared" si="1"/>
        <v>-15</v>
      </c>
      <c r="M14" s="33">
        <f t="shared" si="2"/>
        <v>-29</v>
      </c>
      <c r="N14" s="33">
        <v>1016</v>
      </c>
      <c r="O14" s="33">
        <v>1617</v>
      </c>
      <c r="P14" s="33">
        <v>-295</v>
      </c>
      <c r="Q14" s="33">
        <v>1322</v>
      </c>
      <c r="R14" s="33">
        <v>1016</v>
      </c>
      <c r="S14" s="33">
        <f t="shared" si="3"/>
        <v>306</v>
      </c>
      <c r="T14" s="38">
        <f t="shared" si="4"/>
        <v>1.3011811023622046</v>
      </c>
      <c r="U14" s="59">
        <f t="shared" si="5"/>
        <v>728</v>
      </c>
      <c r="V14" s="33">
        <v>-288</v>
      </c>
      <c r="W14" s="33">
        <v>-288</v>
      </c>
      <c r="X14" s="33"/>
      <c r="Y14" s="33"/>
      <c r="Z14" s="42"/>
      <c r="AA14" s="60"/>
      <c r="AB14" s="105"/>
      <c r="AC14" s="93"/>
      <c r="AD14" s="33">
        <f t="shared" si="6"/>
        <v>0</v>
      </c>
      <c r="AE14" s="33">
        <f t="shared" si="7"/>
        <v>1322</v>
      </c>
      <c r="AF14" s="101">
        <f t="shared" si="8"/>
        <v>306</v>
      </c>
      <c r="AH14" t="str">
        <f>IF(V14='Appendix A 21.03'!V14,"")</f>
        <v/>
      </c>
    </row>
    <row r="15" spans="2:34" ht="13" outlineLevel="2" x14ac:dyDescent="0.3">
      <c r="B15" s="31" t="s">
        <v>47</v>
      </c>
      <c r="C15" s="33">
        <v>138</v>
      </c>
      <c r="D15" s="33">
        <v>167</v>
      </c>
      <c r="E15" s="23">
        <v>30</v>
      </c>
      <c r="F15" s="23">
        <v>0</v>
      </c>
      <c r="G15" s="23">
        <v>-2</v>
      </c>
      <c r="H15" s="23">
        <v>0</v>
      </c>
      <c r="I15" s="23">
        <v>0</v>
      </c>
      <c r="J15" s="23">
        <v>0</v>
      </c>
      <c r="K15" s="23">
        <f t="shared" si="0"/>
        <v>28</v>
      </c>
      <c r="L15" s="33">
        <f t="shared" si="1"/>
        <v>0</v>
      </c>
      <c r="M15" s="33">
        <f t="shared" si="2"/>
        <v>29</v>
      </c>
      <c r="N15" s="33">
        <v>167</v>
      </c>
      <c r="O15" s="33">
        <v>339</v>
      </c>
      <c r="P15" s="33">
        <v>-158</v>
      </c>
      <c r="Q15" s="33">
        <v>181</v>
      </c>
      <c r="R15" s="33">
        <v>167</v>
      </c>
      <c r="S15" s="33">
        <f t="shared" si="3"/>
        <v>14</v>
      </c>
      <c r="T15" s="38">
        <f t="shared" si="4"/>
        <v>1.0838323353293413</v>
      </c>
      <c r="U15" s="59">
        <f t="shared" si="5"/>
        <v>157</v>
      </c>
      <c r="V15" s="33">
        <v>-10</v>
      </c>
      <c r="W15" s="33">
        <v>-10</v>
      </c>
      <c r="X15" s="33"/>
      <c r="Y15" s="33"/>
      <c r="Z15" s="42"/>
      <c r="AA15" s="60"/>
      <c r="AB15" s="105"/>
      <c r="AC15" s="93"/>
      <c r="AD15" s="33">
        <f t="shared" si="6"/>
        <v>0</v>
      </c>
      <c r="AE15" s="33">
        <f t="shared" si="7"/>
        <v>181</v>
      </c>
      <c r="AF15" s="101">
        <f t="shared" si="8"/>
        <v>14</v>
      </c>
      <c r="AH15" t="str">
        <f>IF(V15='Appendix A 21.03'!V15,"")</f>
        <v/>
      </c>
    </row>
    <row r="16" spans="2:34" ht="13" outlineLevel="2" x14ac:dyDescent="0.3">
      <c r="B16" s="31" t="s">
        <v>48</v>
      </c>
      <c r="C16" s="33">
        <v>368</v>
      </c>
      <c r="D16" s="33">
        <v>365</v>
      </c>
      <c r="E16" s="23">
        <v>0</v>
      </c>
      <c r="F16" s="23">
        <v>0</v>
      </c>
      <c r="G16" s="23">
        <v>-3</v>
      </c>
      <c r="H16" s="23">
        <v>0</v>
      </c>
      <c r="I16" s="23">
        <v>0</v>
      </c>
      <c r="J16" s="23">
        <v>0</v>
      </c>
      <c r="K16" s="23">
        <f t="shared" si="0"/>
        <v>-3</v>
      </c>
      <c r="L16" s="33">
        <f t="shared" si="1"/>
        <v>0</v>
      </c>
      <c r="M16" s="33">
        <f t="shared" si="2"/>
        <v>-3</v>
      </c>
      <c r="N16" s="33">
        <v>365</v>
      </c>
      <c r="O16" s="33">
        <v>322</v>
      </c>
      <c r="P16" s="33">
        <v>-13</v>
      </c>
      <c r="Q16" s="33">
        <v>310</v>
      </c>
      <c r="R16" s="33">
        <v>365</v>
      </c>
      <c r="S16" s="33">
        <f t="shared" si="3"/>
        <v>-55</v>
      </c>
      <c r="T16" s="38">
        <f t="shared" si="4"/>
        <v>0.84931506849315064</v>
      </c>
      <c r="U16" s="59">
        <f t="shared" si="5"/>
        <v>365</v>
      </c>
      <c r="V16" s="33">
        <v>0</v>
      </c>
      <c r="W16" s="33">
        <v>0</v>
      </c>
      <c r="X16" s="33"/>
      <c r="Y16" s="33"/>
      <c r="Z16" s="42"/>
      <c r="AA16" s="60"/>
      <c r="AB16" s="105"/>
      <c r="AC16" s="93"/>
      <c r="AD16" s="33">
        <f t="shared" si="6"/>
        <v>0</v>
      </c>
      <c r="AE16" s="33">
        <f t="shared" si="7"/>
        <v>310</v>
      </c>
      <c r="AF16" s="101">
        <f t="shared" si="8"/>
        <v>-55</v>
      </c>
      <c r="AH16" t="str">
        <f>IF(V16='Appendix A 21.03'!V16,"")</f>
        <v/>
      </c>
    </row>
    <row r="17" spans="2:34" ht="13" outlineLevel="2" x14ac:dyDescent="0.3">
      <c r="B17" s="31" t="s">
        <v>49</v>
      </c>
      <c r="C17" s="33">
        <v>602</v>
      </c>
      <c r="D17" s="33">
        <v>640</v>
      </c>
      <c r="E17" s="23">
        <v>43</v>
      </c>
      <c r="F17" s="23">
        <v>-30</v>
      </c>
      <c r="G17" s="23">
        <v>-5</v>
      </c>
      <c r="H17" s="23">
        <v>0</v>
      </c>
      <c r="I17" s="23">
        <v>0</v>
      </c>
      <c r="J17" s="23">
        <v>0</v>
      </c>
      <c r="K17" s="23">
        <f t="shared" si="0"/>
        <v>8</v>
      </c>
      <c r="L17" s="33">
        <f t="shared" si="1"/>
        <v>-30</v>
      </c>
      <c r="M17" s="33">
        <f t="shared" si="2"/>
        <v>8</v>
      </c>
      <c r="N17" s="33">
        <v>610</v>
      </c>
      <c r="O17" s="33">
        <v>820</v>
      </c>
      <c r="P17" s="33">
        <v>-328</v>
      </c>
      <c r="Q17" s="33">
        <v>492</v>
      </c>
      <c r="R17" s="33">
        <v>610</v>
      </c>
      <c r="S17" s="33">
        <f t="shared" si="3"/>
        <v>-118</v>
      </c>
      <c r="T17" s="38">
        <f t="shared" si="4"/>
        <v>0.80655737704918029</v>
      </c>
      <c r="U17" s="59">
        <f t="shared" si="5"/>
        <v>512</v>
      </c>
      <c r="V17" s="33">
        <v>-98</v>
      </c>
      <c r="W17" s="33">
        <v>-98</v>
      </c>
      <c r="X17" s="33"/>
      <c r="Y17" s="33"/>
      <c r="Z17" s="42"/>
      <c r="AA17" s="60"/>
      <c r="AB17" s="105"/>
      <c r="AC17" s="93"/>
      <c r="AD17" s="33">
        <f t="shared" si="6"/>
        <v>0</v>
      </c>
      <c r="AE17" s="33">
        <f t="shared" si="7"/>
        <v>492</v>
      </c>
      <c r="AF17" s="101">
        <f t="shared" si="8"/>
        <v>-118</v>
      </c>
      <c r="AH17" t="str">
        <f>IF(V17='Appendix A 21.03'!V17,"")</f>
        <v/>
      </c>
    </row>
    <row r="18" spans="2:34" ht="13" outlineLevel="2" x14ac:dyDescent="0.3">
      <c r="B18" s="31" t="s">
        <v>50</v>
      </c>
      <c r="C18" s="33">
        <v>393</v>
      </c>
      <c r="D18" s="33">
        <v>154</v>
      </c>
      <c r="E18" s="23">
        <v>0</v>
      </c>
      <c r="F18" s="23">
        <v>25</v>
      </c>
      <c r="G18" s="23">
        <v>4</v>
      </c>
      <c r="H18" s="23">
        <v>0</v>
      </c>
      <c r="I18" s="23">
        <v>-242</v>
      </c>
      <c r="J18" s="23">
        <v>-30</v>
      </c>
      <c r="K18" s="23">
        <f t="shared" si="0"/>
        <v>-243</v>
      </c>
      <c r="L18" s="33">
        <f t="shared" si="1"/>
        <v>-5</v>
      </c>
      <c r="M18" s="33">
        <f t="shared" si="2"/>
        <v>-244</v>
      </c>
      <c r="N18" s="33">
        <v>149</v>
      </c>
      <c r="O18" s="33">
        <v>177</v>
      </c>
      <c r="P18" s="33">
        <v>-58</v>
      </c>
      <c r="Q18" s="33">
        <v>119</v>
      </c>
      <c r="R18" s="33">
        <v>149</v>
      </c>
      <c r="S18" s="33">
        <f t="shared" si="3"/>
        <v>-30</v>
      </c>
      <c r="T18" s="38">
        <f t="shared" si="4"/>
        <v>0.79865771812080533</v>
      </c>
      <c r="U18" s="59">
        <f t="shared" si="5"/>
        <v>152</v>
      </c>
      <c r="V18" s="33">
        <v>3</v>
      </c>
      <c r="W18" s="33">
        <v>3</v>
      </c>
      <c r="X18" s="33"/>
      <c r="Y18" s="33"/>
      <c r="Z18" s="42"/>
      <c r="AA18" s="60"/>
      <c r="AB18" s="105"/>
      <c r="AC18" s="93"/>
      <c r="AD18" s="33">
        <f t="shared" si="6"/>
        <v>0</v>
      </c>
      <c r="AE18" s="33">
        <f t="shared" si="7"/>
        <v>119</v>
      </c>
      <c r="AF18" s="101">
        <f t="shared" si="8"/>
        <v>-30</v>
      </c>
      <c r="AH18" t="str">
        <f>IF(V18='Appendix A 21.03'!V18,"")</f>
        <v/>
      </c>
    </row>
    <row r="19" spans="2:34" ht="13" outlineLevel="2" x14ac:dyDescent="0.3">
      <c r="B19" s="31" t="s">
        <v>51</v>
      </c>
      <c r="C19" s="33">
        <v>815</v>
      </c>
      <c r="D19" s="33">
        <v>906</v>
      </c>
      <c r="E19" s="23">
        <v>1</v>
      </c>
      <c r="F19" s="23">
        <v>0</v>
      </c>
      <c r="G19" s="23">
        <v>-15</v>
      </c>
      <c r="H19" s="23">
        <v>0</v>
      </c>
      <c r="I19" s="23">
        <v>104</v>
      </c>
      <c r="J19" s="23">
        <v>0</v>
      </c>
      <c r="K19" s="23">
        <f t="shared" si="0"/>
        <v>90</v>
      </c>
      <c r="L19" s="33">
        <f t="shared" si="1"/>
        <v>0</v>
      </c>
      <c r="M19" s="33">
        <f t="shared" si="2"/>
        <v>91</v>
      </c>
      <c r="N19" s="33">
        <v>906</v>
      </c>
      <c r="O19" s="33">
        <v>1816</v>
      </c>
      <c r="P19" s="33">
        <v>-1051</v>
      </c>
      <c r="Q19" s="33">
        <v>765</v>
      </c>
      <c r="R19" s="33">
        <v>906</v>
      </c>
      <c r="S19" s="33">
        <f t="shared" si="3"/>
        <v>-141</v>
      </c>
      <c r="T19" s="38">
        <f t="shared" si="4"/>
        <v>0.8443708609271523</v>
      </c>
      <c r="U19" s="59">
        <f t="shared" si="5"/>
        <v>818</v>
      </c>
      <c r="V19" s="33">
        <v>-88</v>
      </c>
      <c r="W19" s="33">
        <v>-88</v>
      </c>
      <c r="X19" s="33"/>
      <c r="Y19" s="33"/>
      <c r="Z19" s="42"/>
      <c r="AA19" s="60"/>
      <c r="AB19" s="105"/>
      <c r="AC19" s="93"/>
      <c r="AD19" s="33">
        <f t="shared" si="6"/>
        <v>0</v>
      </c>
      <c r="AE19" s="33">
        <f t="shared" si="7"/>
        <v>765</v>
      </c>
      <c r="AF19" s="101">
        <f t="shared" si="8"/>
        <v>-141</v>
      </c>
      <c r="AH19" t="str">
        <f>IF(V19='Appendix A 21.03'!V19,"")</f>
        <v/>
      </c>
    </row>
    <row r="20" spans="2:34" ht="13" outlineLevel="2" x14ac:dyDescent="0.3">
      <c r="B20" s="31" t="s">
        <v>52</v>
      </c>
      <c r="C20" s="33">
        <v>481</v>
      </c>
      <c r="D20" s="33">
        <v>475</v>
      </c>
      <c r="E20" s="23">
        <v>13</v>
      </c>
      <c r="F20" s="23">
        <v>-53</v>
      </c>
      <c r="G20" s="23">
        <v>-3</v>
      </c>
      <c r="H20" s="23">
        <v>0</v>
      </c>
      <c r="I20" s="23">
        <v>-16</v>
      </c>
      <c r="J20" s="23">
        <v>0</v>
      </c>
      <c r="K20" s="23">
        <f t="shared" si="0"/>
        <v>-59</v>
      </c>
      <c r="L20" s="33">
        <f t="shared" si="1"/>
        <v>-53</v>
      </c>
      <c r="M20" s="33">
        <f t="shared" si="2"/>
        <v>-59</v>
      </c>
      <c r="N20" s="33">
        <v>422</v>
      </c>
      <c r="O20" s="33">
        <v>976</v>
      </c>
      <c r="P20" s="33">
        <v>-551</v>
      </c>
      <c r="Q20" s="33">
        <v>425</v>
      </c>
      <c r="R20" s="33">
        <v>422</v>
      </c>
      <c r="S20" s="33">
        <f t="shared" si="3"/>
        <v>3</v>
      </c>
      <c r="T20" s="38">
        <f t="shared" si="4"/>
        <v>1.0071090047393365</v>
      </c>
      <c r="U20" s="59">
        <f t="shared" si="5"/>
        <v>473</v>
      </c>
      <c r="V20" s="33">
        <v>51</v>
      </c>
      <c r="W20" s="33">
        <v>51</v>
      </c>
      <c r="X20" s="33"/>
      <c r="Y20" s="33"/>
      <c r="Z20" s="42"/>
      <c r="AA20" s="60"/>
      <c r="AB20" s="105"/>
      <c r="AC20" s="93"/>
      <c r="AD20" s="33">
        <f t="shared" si="6"/>
        <v>0</v>
      </c>
      <c r="AE20" s="33">
        <f t="shared" si="7"/>
        <v>425</v>
      </c>
      <c r="AF20" s="101">
        <f t="shared" si="8"/>
        <v>3</v>
      </c>
      <c r="AH20" t="str">
        <f>IF(V20='Appendix A 21.03'!V20,"")</f>
        <v/>
      </c>
    </row>
    <row r="21" spans="2:34" ht="13" outlineLevel="2" x14ac:dyDescent="0.3">
      <c r="B21" s="31" t="s">
        <v>53</v>
      </c>
      <c r="C21" s="33">
        <v>1168</v>
      </c>
      <c r="D21" s="33">
        <v>1452</v>
      </c>
      <c r="E21" s="23">
        <v>0</v>
      </c>
      <c r="F21" s="23">
        <v>-90</v>
      </c>
      <c r="G21" s="23">
        <v>-4</v>
      </c>
      <c r="H21" s="23">
        <v>0</v>
      </c>
      <c r="I21" s="23">
        <v>288</v>
      </c>
      <c r="J21" s="23">
        <v>-15</v>
      </c>
      <c r="K21" s="23">
        <f t="shared" si="0"/>
        <v>179</v>
      </c>
      <c r="L21" s="33">
        <f t="shared" si="1"/>
        <v>-105</v>
      </c>
      <c r="M21" s="33">
        <f t="shared" si="2"/>
        <v>179</v>
      </c>
      <c r="N21" s="33">
        <v>1347</v>
      </c>
      <c r="O21" s="33">
        <v>1324</v>
      </c>
      <c r="P21" s="33">
        <v>-353</v>
      </c>
      <c r="Q21" s="33">
        <v>970</v>
      </c>
      <c r="R21" s="33">
        <v>1347</v>
      </c>
      <c r="S21" s="33">
        <f t="shared" si="3"/>
        <v>-377</v>
      </c>
      <c r="T21" s="38">
        <f t="shared" si="4"/>
        <v>0.72011878247958427</v>
      </c>
      <c r="U21" s="59">
        <f t="shared" si="5"/>
        <v>1294</v>
      </c>
      <c r="V21" s="33">
        <v>-53</v>
      </c>
      <c r="W21" s="33">
        <v>-53</v>
      </c>
      <c r="X21" s="33"/>
      <c r="Y21" s="33"/>
      <c r="Z21" s="42"/>
      <c r="AA21" s="60"/>
      <c r="AB21" s="105"/>
      <c r="AC21" s="93"/>
      <c r="AD21" s="33">
        <f t="shared" si="6"/>
        <v>0</v>
      </c>
      <c r="AE21" s="33">
        <f t="shared" si="7"/>
        <v>970</v>
      </c>
      <c r="AF21" s="101">
        <f t="shared" si="8"/>
        <v>-377</v>
      </c>
      <c r="AH21" t="str">
        <f>IF(V21='Appendix A 21.03'!V21,"")</f>
        <v/>
      </c>
    </row>
    <row r="22" spans="2:34" ht="13" outlineLevel="2" x14ac:dyDescent="0.3">
      <c r="B22" s="31" t="s">
        <v>54</v>
      </c>
      <c r="C22" s="33">
        <v>0</v>
      </c>
      <c r="D22" s="33">
        <v>4</v>
      </c>
      <c r="E22" s="23">
        <v>0</v>
      </c>
      <c r="F22" s="23">
        <v>42</v>
      </c>
      <c r="G22" s="23">
        <v>4</v>
      </c>
      <c r="H22" s="23">
        <v>0</v>
      </c>
      <c r="I22" s="23">
        <v>0</v>
      </c>
      <c r="J22" s="23">
        <v>0</v>
      </c>
      <c r="K22" s="23">
        <f t="shared" si="0"/>
        <v>46</v>
      </c>
      <c r="L22" s="33">
        <f t="shared" si="1"/>
        <v>42</v>
      </c>
      <c r="M22" s="33">
        <f t="shared" si="2"/>
        <v>46</v>
      </c>
      <c r="N22" s="33">
        <v>46</v>
      </c>
      <c r="O22" s="33">
        <v>976</v>
      </c>
      <c r="P22" s="33">
        <v>-913</v>
      </c>
      <c r="Q22" s="33">
        <v>63</v>
      </c>
      <c r="R22" s="33">
        <v>46</v>
      </c>
      <c r="S22" s="33">
        <f t="shared" si="3"/>
        <v>17</v>
      </c>
      <c r="T22" s="38">
        <f t="shared" si="4"/>
        <v>1.3695652173913044</v>
      </c>
      <c r="U22" s="59">
        <f t="shared" si="5"/>
        <v>46</v>
      </c>
      <c r="V22" s="33">
        <v>0</v>
      </c>
      <c r="W22" s="33">
        <v>0</v>
      </c>
      <c r="X22" s="33"/>
      <c r="Y22" s="33"/>
      <c r="Z22" s="42"/>
      <c r="AA22" s="60"/>
      <c r="AB22" s="105"/>
      <c r="AC22" s="93"/>
      <c r="AD22" s="33">
        <f t="shared" si="6"/>
        <v>0</v>
      </c>
      <c r="AE22" s="33">
        <f t="shared" si="7"/>
        <v>63</v>
      </c>
      <c r="AF22" s="101">
        <f t="shared" si="8"/>
        <v>17</v>
      </c>
      <c r="AH22" t="str">
        <f>IF(V22='Appendix A 21.03'!V22,"")</f>
        <v/>
      </c>
    </row>
    <row r="23" spans="2:34" ht="13" outlineLevel="1" x14ac:dyDescent="0.3">
      <c r="B23" s="32" t="s">
        <v>55</v>
      </c>
      <c r="C23" s="34">
        <f t="shared" ref="C23:J23" si="13">SUBTOTAL(9,C14:C22)</f>
        <v>5010</v>
      </c>
      <c r="D23" s="34">
        <f t="shared" si="13"/>
        <v>5194</v>
      </c>
      <c r="E23" s="24">
        <f t="shared" si="13"/>
        <v>75</v>
      </c>
      <c r="F23" s="24">
        <f t="shared" si="13"/>
        <v>-121</v>
      </c>
      <c r="G23" s="24">
        <f t="shared" si="13"/>
        <v>-32</v>
      </c>
      <c r="H23" s="24">
        <f t="shared" si="13"/>
        <v>0</v>
      </c>
      <c r="I23" s="24">
        <f t="shared" si="13"/>
        <v>140</v>
      </c>
      <c r="J23" s="24">
        <f t="shared" si="13"/>
        <v>-45</v>
      </c>
      <c r="K23" s="24">
        <f>SUM(E23:J23)</f>
        <v>17</v>
      </c>
      <c r="L23" s="34">
        <f t="shared" ref="L23:L24" si="14">N23-D23</f>
        <v>-166</v>
      </c>
      <c r="M23" s="34">
        <f t="shared" ref="M23:M24" si="15">N23-C23</f>
        <v>18</v>
      </c>
      <c r="N23" s="34">
        <f>SUBTOTAL(9,N14:N22)</f>
        <v>5028</v>
      </c>
      <c r="O23" s="34">
        <f>SUBTOTAL(9,O14:O22)</f>
        <v>8367</v>
      </c>
      <c r="P23" s="34">
        <f>SUBTOTAL(9,P14:P22)</f>
        <v>-3720</v>
      </c>
      <c r="Q23" s="34">
        <f>SUBTOTAL(9,Q14:Q22)</f>
        <v>4647</v>
      </c>
      <c r="R23" s="34">
        <f>SUBTOTAL(9,R14:R22)</f>
        <v>5028</v>
      </c>
      <c r="S23" s="34">
        <f>Q23-R23</f>
        <v>-381</v>
      </c>
      <c r="T23" s="38">
        <f>IFERROR((Q23/N23)*100%,"∞")</f>
        <v>0.92422434367541761</v>
      </c>
      <c r="U23" s="59">
        <f>N23+V23</f>
        <v>4545</v>
      </c>
      <c r="V23" s="34">
        <f>SUBTOTAL(9,V14:V22)</f>
        <v>-483</v>
      </c>
      <c r="W23" s="34">
        <f>SUBTOTAL(9,W14:W22)</f>
        <v>-483</v>
      </c>
      <c r="X23" s="34"/>
      <c r="Y23" s="34"/>
      <c r="Z23" s="41"/>
      <c r="AA23" s="60"/>
      <c r="AB23" s="102">
        <f>SUBTOTAL(9,AB1:AB22)</f>
        <v>0</v>
      </c>
      <c r="AC23" s="34">
        <f>SUBTOTAL(9,AC1:AC22)</f>
        <v>0</v>
      </c>
      <c r="AD23" s="34"/>
      <c r="AE23" s="34"/>
      <c r="AF23" s="103"/>
      <c r="AH23" t="str">
        <f>IF(V23='Appendix A 21.03'!V23,"")</f>
        <v/>
      </c>
    </row>
    <row r="24" spans="2:34" ht="13.5" customHeight="1" thickBot="1" x14ac:dyDescent="0.35">
      <c r="B24" s="53" t="s">
        <v>56</v>
      </c>
      <c r="C24" s="35">
        <f t="shared" ref="C24:J24" si="16">SUBTOTAL(9,C5:C23)</f>
        <v>10442</v>
      </c>
      <c r="D24" s="35">
        <f t="shared" si="16"/>
        <v>10533</v>
      </c>
      <c r="E24" s="25">
        <f t="shared" si="16"/>
        <v>99</v>
      </c>
      <c r="F24" s="25">
        <f t="shared" si="16"/>
        <v>-571</v>
      </c>
      <c r="G24" s="25">
        <f t="shared" si="16"/>
        <v>-95</v>
      </c>
      <c r="H24" s="25">
        <f t="shared" si="16"/>
        <v>-28</v>
      </c>
      <c r="I24" s="25">
        <f t="shared" si="16"/>
        <v>102</v>
      </c>
      <c r="J24" s="25">
        <f t="shared" si="16"/>
        <v>-60</v>
      </c>
      <c r="K24" s="25">
        <f>SUM(E24:J24)</f>
        <v>-553</v>
      </c>
      <c r="L24" s="35">
        <f t="shared" si="14"/>
        <v>-649</v>
      </c>
      <c r="M24" s="35">
        <f t="shared" si="15"/>
        <v>-558</v>
      </c>
      <c r="N24" s="35">
        <f>SUBTOTAL(9,N5:N23)</f>
        <v>9884</v>
      </c>
      <c r="O24" s="35">
        <f>SUBTOTAL(9,O5:O23)</f>
        <v>22479</v>
      </c>
      <c r="P24" s="35">
        <f>SUBTOTAL(9,P5:P23)</f>
        <v>-12901</v>
      </c>
      <c r="Q24" s="35">
        <f>SUBTOTAL(9,Q5:Q23)</f>
        <v>9577</v>
      </c>
      <c r="R24" s="35">
        <f>SUBTOTAL(9,R5:R23)</f>
        <v>9884</v>
      </c>
      <c r="S24" s="35">
        <f>Q24-R24</f>
        <v>-307</v>
      </c>
      <c r="T24" s="39">
        <f>IFERROR((Q24/N24)*100%,"∞")</f>
        <v>0.96893970052610279</v>
      </c>
      <c r="U24" s="54">
        <f>N24+V24</f>
        <v>9420</v>
      </c>
      <c r="V24" s="35">
        <f>SUBTOTAL(9,V5:V23)</f>
        <v>-464</v>
      </c>
      <c r="W24" s="35">
        <f>SUBTOTAL(9,W5:W23)</f>
        <v>-464</v>
      </c>
      <c r="X24" s="35"/>
      <c r="Y24" s="35"/>
      <c r="Z24" s="43"/>
      <c r="AA24" s="60"/>
      <c r="AB24" s="104">
        <f>SUBTOTAL(9,AB1:AB23)</f>
        <v>0</v>
      </c>
      <c r="AC24" s="104">
        <f>SUBTOTAL(9,AC1:AC23)</f>
        <v>0</v>
      </c>
      <c r="AD24" s="35">
        <f>SUM(AB24:AC24)</f>
        <v>0</v>
      </c>
      <c r="AE24" s="35">
        <f>Q24+AD24</f>
        <v>9577</v>
      </c>
      <c r="AF24" s="43">
        <f>AE24-N24</f>
        <v>-307</v>
      </c>
      <c r="AH24" t="str">
        <f>IF(V24='Appendix A 21.03'!V24,"")</f>
        <v/>
      </c>
    </row>
    <row r="25" spans="2:34" ht="13.5" outlineLevel="2" thickTop="1" x14ac:dyDescent="0.3">
      <c r="B25" s="31" t="s">
        <v>57</v>
      </c>
      <c r="C25" s="33">
        <v>1444</v>
      </c>
      <c r="D25" s="33">
        <v>1420</v>
      </c>
      <c r="E25" s="23">
        <v>0</v>
      </c>
      <c r="F25" s="23">
        <v>0</v>
      </c>
      <c r="G25" s="23">
        <v>-29</v>
      </c>
      <c r="H25" s="23">
        <v>0</v>
      </c>
      <c r="I25" s="23">
        <v>6</v>
      </c>
      <c r="J25" s="23">
        <v>0</v>
      </c>
      <c r="K25" s="23">
        <f t="shared" si="0"/>
        <v>-23</v>
      </c>
      <c r="L25" s="33">
        <f t="shared" si="1"/>
        <v>0</v>
      </c>
      <c r="M25" s="33">
        <f t="shared" si="2"/>
        <v>-24</v>
      </c>
      <c r="N25" s="33">
        <v>1420</v>
      </c>
      <c r="O25" s="33">
        <v>2474</v>
      </c>
      <c r="P25" s="33">
        <v>-1053</v>
      </c>
      <c r="Q25" s="33">
        <v>1421</v>
      </c>
      <c r="R25" s="33">
        <v>1420</v>
      </c>
      <c r="S25" s="33">
        <f t="shared" si="3"/>
        <v>1</v>
      </c>
      <c r="T25" s="38">
        <f t="shared" si="4"/>
        <v>1.0007042253521128</v>
      </c>
      <c r="U25" s="59">
        <f t="shared" si="5"/>
        <v>1570</v>
      </c>
      <c r="V25" s="33">
        <v>150</v>
      </c>
      <c r="W25" s="33">
        <v>150</v>
      </c>
      <c r="X25" s="33"/>
      <c r="Y25" s="33"/>
      <c r="Z25" s="42"/>
      <c r="AA25" s="60"/>
      <c r="AB25" s="105"/>
      <c r="AC25" s="93"/>
      <c r="AD25" s="33">
        <f t="shared" si="6"/>
        <v>0</v>
      </c>
      <c r="AE25" s="33">
        <f t="shared" si="7"/>
        <v>1421</v>
      </c>
      <c r="AF25" s="101">
        <f t="shared" si="8"/>
        <v>1</v>
      </c>
      <c r="AH25" t="str">
        <f>IF(V25='Appendix A 21.03'!V25,"")</f>
        <v/>
      </c>
    </row>
    <row r="26" spans="2:34" ht="13" outlineLevel="2" x14ac:dyDescent="0.3">
      <c r="B26" s="31" t="s">
        <v>58</v>
      </c>
      <c r="C26" s="33">
        <v>-10723</v>
      </c>
      <c r="D26" s="33">
        <v>-10871</v>
      </c>
      <c r="E26" s="23">
        <v>0</v>
      </c>
      <c r="F26" s="23">
        <v>147</v>
      </c>
      <c r="G26" s="23">
        <v>-28</v>
      </c>
      <c r="H26" s="23">
        <v>0</v>
      </c>
      <c r="I26" s="23">
        <v>-120</v>
      </c>
      <c r="J26" s="23">
        <v>-30</v>
      </c>
      <c r="K26" s="23">
        <f t="shared" si="0"/>
        <v>-31</v>
      </c>
      <c r="L26" s="33">
        <f t="shared" si="1"/>
        <v>116</v>
      </c>
      <c r="M26" s="33">
        <f t="shared" si="2"/>
        <v>-32</v>
      </c>
      <c r="N26" s="33">
        <v>-10755</v>
      </c>
      <c r="O26" s="33">
        <v>2279</v>
      </c>
      <c r="P26" s="33">
        <v>-12311</v>
      </c>
      <c r="Q26" s="33">
        <v>-10032</v>
      </c>
      <c r="R26" s="33">
        <v>-10755</v>
      </c>
      <c r="S26" s="33">
        <f t="shared" si="3"/>
        <v>723</v>
      </c>
      <c r="T26" s="38">
        <f t="shared" si="4"/>
        <v>0.9327754532775453</v>
      </c>
      <c r="U26" s="59">
        <f t="shared" si="5"/>
        <v>-9638</v>
      </c>
      <c r="V26" s="33">
        <v>1117</v>
      </c>
      <c r="W26" s="33">
        <v>1117</v>
      </c>
      <c r="X26" s="33"/>
      <c r="Y26" s="33"/>
      <c r="Z26" s="42"/>
      <c r="AA26" s="60"/>
      <c r="AB26" s="105"/>
      <c r="AC26" s="93"/>
      <c r="AD26" s="33">
        <f t="shared" si="6"/>
        <v>0</v>
      </c>
      <c r="AE26" s="33">
        <f t="shared" si="7"/>
        <v>-10032</v>
      </c>
      <c r="AF26" s="101">
        <f t="shared" si="8"/>
        <v>723</v>
      </c>
      <c r="AH26" t="str">
        <f>IF(V26='Appendix A 21.03'!V26,"")</f>
        <v/>
      </c>
    </row>
    <row r="27" spans="2:34" ht="13" outlineLevel="2" x14ac:dyDescent="0.3">
      <c r="B27" s="31" t="s">
        <v>59</v>
      </c>
      <c r="C27" s="33">
        <v>211</v>
      </c>
      <c r="D27" s="33">
        <v>209</v>
      </c>
      <c r="E27" s="23">
        <v>0</v>
      </c>
      <c r="F27" s="23">
        <v>0</v>
      </c>
      <c r="G27" s="23">
        <v>-2</v>
      </c>
      <c r="H27" s="23">
        <v>0</v>
      </c>
      <c r="I27" s="23">
        <v>0</v>
      </c>
      <c r="J27" s="23">
        <v>0</v>
      </c>
      <c r="K27" s="23">
        <f t="shared" si="0"/>
        <v>-2</v>
      </c>
      <c r="L27" s="33">
        <f t="shared" si="1"/>
        <v>0</v>
      </c>
      <c r="M27" s="33">
        <f t="shared" si="2"/>
        <v>-2</v>
      </c>
      <c r="N27" s="33">
        <v>209</v>
      </c>
      <c r="O27" s="33">
        <v>167</v>
      </c>
      <c r="P27" s="33">
        <v>0</v>
      </c>
      <c r="Q27" s="33">
        <v>167</v>
      </c>
      <c r="R27" s="33">
        <v>209</v>
      </c>
      <c r="S27" s="33">
        <f t="shared" si="3"/>
        <v>-42</v>
      </c>
      <c r="T27" s="38">
        <f t="shared" si="4"/>
        <v>0.79904306220095689</v>
      </c>
      <c r="U27" s="59">
        <f t="shared" si="5"/>
        <v>209</v>
      </c>
      <c r="V27" s="33">
        <v>0</v>
      </c>
      <c r="W27" s="33">
        <v>0</v>
      </c>
      <c r="X27" s="33"/>
      <c r="Y27" s="33"/>
      <c r="Z27" s="42"/>
      <c r="AA27" s="60"/>
      <c r="AB27" s="105"/>
      <c r="AC27" s="93"/>
      <c r="AD27" s="33">
        <f t="shared" si="6"/>
        <v>0</v>
      </c>
      <c r="AE27" s="33">
        <f t="shared" si="7"/>
        <v>167</v>
      </c>
      <c r="AF27" s="101">
        <f t="shared" si="8"/>
        <v>-42</v>
      </c>
      <c r="AH27" t="str">
        <f>IF(V27='Appendix A 21.03'!V27,"")</f>
        <v/>
      </c>
    </row>
    <row r="28" spans="2:34" ht="13" outlineLevel="1" x14ac:dyDescent="0.3">
      <c r="B28" s="32" t="s">
        <v>61</v>
      </c>
      <c r="C28" s="34">
        <f t="shared" ref="C28:J28" si="17">SUBTOTAL(9,C25:C27)</f>
        <v>-9068</v>
      </c>
      <c r="D28" s="34">
        <f t="shared" si="17"/>
        <v>-9242</v>
      </c>
      <c r="E28" s="24">
        <f t="shared" si="17"/>
        <v>0</v>
      </c>
      <c r="F28" s="24">
        <f t="shared" si="17"/>
        <v>147</v>
      </c>
      <c r="G28" s="24">
        <f t="shared" si="17"/>
        <v>-59</v>
      </c>
      <c r="H28" s="24">
        <f t="shared" si="17"/>
        <v>0</v>
      </c>
      <c r="I28" s="24">
        <f t="shared" si="17"/>
        <v>-114</v>
      </c>
      <c r="J28" s="24">
        <f t="shared" si="17"/>
        <v>-30</v>
      </c>
      <c r="K28" s="24">
        <f>SUM(E28:J28)</f>
        <v>-56</v>
      </c>
      <c r="L28" s="34">
        <f t="shared" ref="L28" si="18">N28-D28</f>
        <v>116</v>
      </c>
      <c r="M28" s="34">
        <f t="shared" ref="M28" si="19">N28-C28</f>
        <v>-58</v>
      </c>
      <c r="N28" s="34">
        <f>SUBTOTAL(9,N25:N27)</f>
        <v>-9126</v>
      </c>
      <c r="O28" s="34">
        <f>SUBTOTAL(9,O25:O27)</f>
        <v>4920</v>
      </c>
      <c r="P28" s="34">
        <f>SUBTOTAL(9,P25:P27)</f>
        <v>-13364</v>
      </c>
      <c r="Q28" s="34">
        <f>SUBTOTAL(9,Q25:Q27)</f>
        <v>-8444</v>
      </c>
      <c r="R28" s="34">
        <f>SUBTOTAL(9,R25:R27)</f>
        <v>-9126</v>
      </c>
      <c r="S28" s="34">
        <f>Q28-R28</f>
        <v>682</v>
      </c>
      <c r="T28" s="38">
        <f>IFERROR((Q28/N28)*100%,"∞")</f>
        <v>0.92526846373000216</v>
      </c>
      <c r="U28" s="59">
        <f>N28+V28</f>
        <v>-7859</v>
      </c>
      <c r="V28" s="34">
        <f>SUBTOTAL(9,V25:V27)</f>
        <v>1267</v>
      </c>
      <c r="W28" s="34">
        <f>SUBTOTAL(9,W25:W27)</f>
        <v>1267</v>
      </c>
      <c r="X28" s="34"/>
      <c r="Y28" s="34"/>
      <c r="Z28" s="41"/>
      <c r="AA28" s="60"/>
      <c r="AB28" s="102">
        <f>SUBTOTAL(9,AB1:AB27)</f>
        <v>0</v>
      </c>
      <c r="AC28" s="34">
        <f>SUBTOTAL(9,AC1:AC27)</f>
        <v>0</v>
      </c>
      <c r="AD28" s="34"/>
      <c r="AE28" s="34"/>
      <c r="AF28" s="103"/>
      <c r="AH28" t="str">
        <f>IF(V28='Appendix A 21.03'!V28,"")</f>
        <v/>
      </c>
    </row>
    <row r="29" spans="2:34" ht="13" outlineLevel="2" x14ac:dyDescent="0.3">
      <c r="B29" s="31" t="s">
        <v>62</v>
      </c>
      <c r="C29" s="33">
        <v>333</v>
      </c>
      <c r="D29" s="33">
        <v>409</v>
      </c>
      <c r="E29" s="23">
        <v>50</v>
      </c>
      <c r="F29" s="23">
        <v>58</v>
      </c>
      <c r="G29" s="23">
        <v>20</v>
      </c>
      <c r="H29" s="23">
        <v>-227</v>
      </c>
      <c r="I29" s="23">
        <v>6</v>
      </c>
      <c r="J29" s="23">
        <v>0</v>
      </c>
      <c r="K29" s="23">
        <f t="shared" si="0"/>
        <v>-93</v>
      </c>
      <c r="L29" s="33">
        <f t="shared" si="1"/>
        <v>-169</v>
      </c>
      <c r="M29" s="33">
        <f t="shared" si="2"/>
        <v>-93</v>
      </c>
      <c r="N29" s="33">
        <v>240</v>
      </c>
      <c r="O29" s="33">
        <v>985</v>
      </c>
      <c r="P29" s="33">
        <v>-444</v>
      </c>
      <c r="Q29" s="33">
        <v>541</v>
      </c>
      <c r="R29" s="33">
        <v>240</v>
      </c>
      <c r="S29" s="33">
        <f t="shared" si="3"/>
        <v>301</v>
      </c>
      <c r="T29" s="38">
        <f t="shared" si="4"/>
        <v>2.2541666666666669</v>
      </c>
      <c r="U29" s="59">
        <f t="shared" si="5"/>
        <v>240</v>
      </c>
      <c r="V29" s="33">
        <v>0</v>
      </c>
      <c r="W29" s="33">
        <v>0</v>
      </c>
      <c r="X29" s="33"/>
      <c r="Y29" s="33"/>
      <c r="Z29" s="42"/>
      <c r="AA29" s="60"/>
      <c r="AB29" s="105"/>
      <c r="AC29" s="93"/>
      <c r="AD29" s="33">
        <f t="shared" si="6"/>
        <v>0</v>
      </c>
      <c r="AE29" s="33">
        <f t="shared" si="7"/>
        <v>541</v>
      </c>
      <c r="AF29" s="101">
        <f t="shared" si="8"/>
        <v>301</v>
      </c>
      <c r="AH29" t="str">
        <f>IF(V29='Appendix A 21.03'!V29,"")</f>
        <v/>
      </c>
    </row>
    <row r="30" spans="2:34" ht="13" outlineLevel="2" x14ac:dyDescent="0.3">
      <c r="B30" s="31" t="s">
        <v>63</v>
      </c>
      <c r="C30" s="33">
        <v>390</v>
      </c>
      <c r="D30" s="33">
        <v>378</v>
      </c>
      <c r="E30" s="23">
        <v>0</v>
      </c>
      <c r="F30" s="23">
        <v>0</v>
      </c>
      <c r="G30" s="23">
        <v>-12</v>
      </c>
      <c r="H30" s="23">
        <v>0</v>
      </c>
      <c r="I30" s="23">
        <v>0</v>
      </c>
      <c r="J30" s="23">
        <v>0</v>
      </c>
      <c r="K30" s="23">
        <f t="shared" si="0"/>
        <v>-12</v>
      </c>
      <c r="L30" s="33">
        <f t="shared" si="1"/>
        <v>0</v>
      </c>
      <c r="M30" s="33">
        <f t="shared" si="2"/>
        <v>-12</v>
      </c>
      <c r="N30" s="33">
        <v>378</v>
      </c>
      <c r="O30" s="33">
        <v>319</v>
      </c>
      <c r="P30" s="33">
        <v>-30</v>
      </c>
      <c r="Q30" s="33">
        <v>289</v>
      </c>
      <c r="R30" s="33">
        <v>378</v>
      </c>
      <c r="S30" s="33">
        <f t="shared" si="3"/>
        <v>-89</v>
      </c>
      <c r="T30" s="38">
        <f t="shared" si="4"/>
        <v>0.76455026455026454</v>
      </c>
      <c r="U30" s="59">
        <f t="shared" si="5"/>
        <v>378</v>
      </c>
      <c r="V30" s="33">
        <v>0</v>
      </c>
      <c r="W30" s="33">
        <v>0</v>
      </c>
      <c r="X30" s="33"/>
      <c r="Y30" s="33"/>
      <c r="Z30" s="42"/>
      <c r="AA30" s="60"/>
      <c r="AB30" s="105"/>
      <c r="AC30" s="93"/>
      <c r="AD30" s="33">
        <f t="shared" si="6"/>
        <v>0</v>
      </c>
      <c r="AE30" s="33">
        <f t="shared" si="7"/>
        <v>289</v>
      </c>
      <c r="AF30" s="101">
        <f t="shared" si="8"/>
        <v>-89</v>
      </c>
      <c r="AH30" t="str">
        <f>IF(V30='Appendix A 21.03'!V30,"")</f>
        <v/>
      </c>
    </row>
    <row r="31" spans="2:34" ht="13" outlineLevel="2" x14ac:dyDescent="0.3">
      <c r="B31" s="31" t="s">
        <v>64</v>
      </c>
      <c r="C31" s="33">
        <v>59</v>
      </c>
      <c r="D31" s="33">
        <v>58</v>
      </c>
      <c r="E31" s="23">
        <v>0</v>
      </c>
      <c r="F31" s="23">
        <v>0</v>
      </c>
      <c r="G31" s="23">
        <v>-2</v>
      </c>
      <c r="H31" s="23">
        <v>0</v>
      </c>
      <c r="I31" s="23">
        <v>0</v>
      </c>
      <c r="J31" s="23">
        <v>0</v>
      </c>
      <c r="K31" s="23">
        <f t="shared" si="0"/>
        <v>-2</v>
      </c>
      <c r="L31" s="33">
        <f t="shared" si="1"/>
        <v>0</v>
      </c>
      <c r="M31" s="33">
        <f t="shared" si="2"/>
        <v>-1</v>
      </c>
      <c r="N31" s="33">
        <v>58</v>
      </c>
      <c r="O31" s="33">
        <v>59</v>
      </c>
      <c r="P31" s="33">
        <v>0</v>
      </c>
      <c r="Q31" s="33">
        <v>59</v>
      </c>
      <c r="R31" s="33">
        <v>58</v>
      </c>
      <c r="S31" s="33">
        <f t="shared" si="3"/>
        <v>1</v>
      </c>
      <c r="T31" s="38">
        <f t="shared" si="4"/>
        <v>1.0172413793103448</v>
      </c>
      <c r="U31" s="59">
        <f t="shared" si="5"/>
        <v>58</v>
      </c>
      <c r="V31" s="33">
        <v>0</v>
      </c>
      <c r="W31" s="33">
        <v>0</v>
      </c>
      <c r="X31" s="33"/>
      <c r="Y31" s="33"/>
      <c r="Z31" s="42"/>
      <c r="AA31" s="60"/>
      <c r="AB31" s="105"/>
      <c r="AC31" s="93"/>
      <c r="AD31" s="33">
        <f t="shared" si="6"/>
        <v>0</v>
      </c>
      <c r="AE31" s="33">
        <f t="shared" si="7"/>
        <v>59</v>
      </c>
      <c r="AF31" s="101">
        <f t="shared" si="8"/>
        <v>1</v>
      </c>
      <c r="AH31" t="str">
        <f>IF(V31='Appendix A 21.03'!V31,"")</f>
        <v/>
      </c>
    </row>
    <row r="32" spans="2:34" ht="13" outlineLevel="1" x14ac:dyDescent="0.3">
      <c r="B32" s="32" t="s">
        <v>65</v>
      </c>
      <c r="C32" s="34">
        <f t="shared" ref="C32:J32" si="20">SUBTOTAL(9,C29:C31)</f>
        <v>782</v>
      </c>
      <c r="D32" s="34">
        <f t="shared" si="20"/>
        <v>845</v>
      </c>
      <c r="E32" s="24">
        <f t="shared" si="20"/>
        <v>50</v>
      </c>
      <c r="F32" s="24">
        <f t="shared" si="20"/>
        <v>58</v>
      </c>
      <c r="G32" s="24">
        <f t="shared" si="20"/>
        <v>6</v>
      </c>
      <c r="H32" s="24">
        <f t="shared" si="20"/>
        <v>-227</v>
      </c>
      <c r="I32" s="24">
        <f t="shared" si="20"/>
        <v>6</v>
      </c>
      <c r="J32" s="24">
        <f t="shared" si="20"/>
        <v>0</v>
      </c>
      <c r="K32" s="24">
        <f>SUM(E32:J32)</f>
        <v>-107</v>
      </c>
      <c r="L32" s="34">
        <f t="shared" ref="L32" si="21">N32-D32</f>
        <v>-169</v>
      </c>
      <c r="M32" s="34">
        <f t="shared" ref="M32" si="22">N32-C32</f>
        <v>-106</v>
      </c>
      <c r="N32" s="34">
        <f>SUBTOTAL(9,N29:N31)</f>
        <v>676</v>
      </c>
      <c r="O32" s="34">
        <f>SUBTOTAL(9,O29:O31)</f>
        <v>1363</v>
      </c>
      <c r="P32" s="34">
        <f>SUBTOTAL(9,P29:P31)</f>
        <v>-474</v>
      </c>
      <c r="Q32" s="34">
        <f>SUBTOTAL(9,Q29:Q31)</f>
        <v>889</v>
      </c>
      <c r="R32" s="34">
        <f>SUBTOTAL(9,R29:R31)</f>
        <v>676</v>
      </c>
      <c r="S32" s="34">
        <f>Q32-R32</f>
        <v>213</v>
      </c>
      <c r="T32" s="38">
        <f>IFERROR((Q32/N32)*100%,"∞")</f>
        <v>1.3150887573964498</v>
      </c>
      <c r="U32" s="59">
        <f>N32+V32</f>
        <v>676</v>
      </c>
      <c r="V32" s="34">
        <f>SUBTOTAL(9,V29:V31)</f>
        <v>0</v>
      </c>
      <c r="W32" s="34">
        <f>SUBTOTAL(9,W29:W31)</f>
        <v>0</v>
      </c>
      <c r="X32" s="34"/>
      <c r="Y32" s="34"/>
      <c r="Z32" s="41"/>
      <c r="AA32" s="60"/>
      <c r="AB32" s="102">
        <f>SUBTOTAL(9,AB1:AB31)</f>
        <v>0</v>
      </c>
      <c r="AC32" s="34">
        <f>SUBTOTAL(9,AC1:AC31)</f>
        <v>0</v>
      </c>
      <c r="AD32" s="34"/>
      <c r="AE32" s="34"/>
      <c r="AF32" s="103"/>
      <c r="AH32" t="str">
        <f>IF(V32='Appendix A 21.03'!V32,"")</f>
        <v/>
      </c>
    </row>
    <row r="33" spans="2:34" ht="13" outlineLevel="2" x14ac:dyDescent="0.3">
      <c r="B33" s="31" t="s">
        <v>66</v>
      </c>
      <c r="C33" s="33">
        <v>-640</v>
      </c>
      <c r="D33" s="33">
        <v>-663</v>
      </c>
      <c r="E33" s="23">
        <v>0</v>
      </c>
      <c r="F33" s="23">
        <v>0</v>
      </c>
      <c r="G33" s="23">
        <v>-25</v>
      </c>
      <c r="H33" s="23">
        <v>0</v>
      </c>
      <c r="I33" s="23">
        <v>2</v>
      </c>
      <c r="J33" s="23">
        <v>0</v>
      </c>
      <c r="K33" s="23">
        <f t="shared" si="0"/>
        <v>-23</v>
      </c>
      <c r="L33" s="33">
        <f t="shared" si="1"/>
        <v>0</v>
      </c>
      <c r="M33" s="33">
        <f t="shared" si="2"/>
        <v>-23</v>
      </c>
      <c r="N33" s="33">
        <v>-663</v>
      </c>
      <c r="O33" s="33">
        <v>1153</v>
      </c>
      <c r="P33" s="33">
        <v>-1848</v>
      </c>
      <c r="Q33" s="33">
        <v>-696</v>
      </c>
      <c r="R33" s="33">
        <v>-663</v>
      </c>
      <c r="S33" s="33">
        <f t="shared" si="3"/>
        <v>-33</v>
      </c>
      <c r="T33" s="38">
        <f t="shared" si="4"/>
        <v>1.0497737556561086</v>
      </c>
      <c r="U33" s="59">
        <f t="shared" si="5"/>
        <v>-644</v>
      </c>
      <c r="V33" s="33">
        <v>19</v>
      </c>
      <c r="W33" s="33">
        <v>19</v>
      </c>
      <c r="X33" s="33"/>
      <c r="Y33" s="33"/>
      <c r="Z33" s="42"/>
      <c r="AA33" s="60"/>
      <c r="AB33" s="105"/>
      <c r="AC33" s="93"/>
      <c r="AD33" s="33">
        <f t="shared" si="6"/>
        <v>0</v>
      </c>
      <c r="AE33" s="33">
        <f t="shared" si="7"/>
        <v>-696</v>
      </c>
      <c r="AF33" s="101">
        <f t="shared" si="8"/>
        <v>-33</v>
      </c>
      <c r="AH33" t="str">
        <f>IF(V33='Appendix A 21.03'!V33,"")</f>
        <v/>
      </c>
    </row>
    <row r="34" spans="2:34" ht="13" outlineLevel="2" x14ac:dyDescent="0.3">
      <c r="B34" s="31" t="s">
        <v>67</v>
      </c>
      <c r="C34" s="33">
        <v>184</v>
      </c>
      <c r="D34" s="33">
        <v>179</v>
      </c>
      <c r="E34" s="23">
        <v>0</v>
      </c>
      <c r="F34" s="23">
        <v>-4</v>
      </c>
      <c r="G34" s="23">
        <v>-4</v>
      </c>
      <c r="H34" s="23">
        <v>0</v>
      </c>
      <c r="I34" s="23">
        <v>0</v>
      </c>
      <c r="J34" s="23">
        <v>30</v>
      </c>
      <c r="K34" s="23">
        <f t="shared" si="0"/>
        <v>22</v>
      </c>
      <c r="L34" s="33">
        <f t="shared" si="1"/>
        <v>26</v>
      </c>
      <c r="M34" s="33">
        <f t="shared" si="2"/>
        <v>21</v>
      </c>
      <c r="N34" s="33">
        <v>205</v>
      </c>
      <c r="O34" s="33">
        <v>151</v>
      </c>
      <c r="P34" s="33">
        <v>-21</v>
      </c>
      <c r="Q34" s="33">
        <v>130</v>
      </c>
      <c r="R34" s="33">
        <v>205</v>
      </c>
      <c r="S34" s="33">
        <f t="shared" si="3"/>
        <v>-75</v>
      </c>
      <c r="T34" s="38">
        <f t="shared" si="4"/>
        <v>0.63414634146341464</v>
      </c>
      <c r="U34" s="59">
        <f t="shared" si="5"/>
        <v>149</v>
      </c>
      <c r="V34" s="33">
        <v>-56</v>
      </c>
      <c r="W34" s="33">
        <v>-56</v>
      </c>
      <c r="X34" s="33"/>
      <c r="Y34" s="33"/>
      <c r="Z34" s="42"/>
      <c r="AA34" s="60"/>
      <c r="AB34" s="105"/>
      <c r="AC34" s="93"/>
      <c r="AD34" s="33">
        <f t="shared" si="6"/>
        <v>0</v>
      </c>
      <c r="AE34" s="33">
        <f t="shared" si="7"/>
        <v>130</v>
      </c>
      <c r="AF34" s="101">
        <f t="shared" si="8"/>
        <v>-75</v>
      </c>
      <c r="AH34" t="str">
        <f>IF(V34='Appendix A 21.03'!V34,"")</f>
        <v/>
      </c>
    </row>
    <row r="35" spans="2:34"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31</v>
      </c>
      <c r="P35" s="33">
        <v>-242</v>
      </c>
      <c r="Q35" s="33">
        <v>-211</v>
      </c>
      <c r="R35" s="33">
        <v>-192</v>
      </c>
      <c r="S35" s="33">
        <f t="shared" si="3"/>
        <v>-19</v>
      </c>
      <c r="T35" s="38">
        <f t="shared" si="4"/>
        <v>1.0989583333333333</v>
      </c>
      <c r="U35" s="59">
        <f t="shared" si="5"/>
        <v>-200</v>
      </c>
      <c r="V35" s="33">
        <v>-8</v>
      </c>
      <c r="W35" s="33">
        <v>-8</v>
      </c>
      <c r="X35" s="33"/>
      <c r="Y35" s="33"/>
      <c r="Z35" s="42"/>
      <c r="AA35" s="60"/>
      <c r="AB35" s="105"/>
      <c r="AC35" s="93"/>
      <c r="AD35" s="33">
        <f t="shared" si="6"/>
        <v>0</v>
      </c>
      <c r="AE35" s="33">
        <f t="shared" si="7"/>
        <v>-211</v>
      </c>
      <c r="AF35" s="101">
        <f t="shared" si="8"/>
        <v>-19</v>
      </c>
      <c r="AH35" t="str">
        <f>IF(V35='Appendix A 21.03'!V35,"")</f>
        <v/>
      </c>
    </row>
    <row r="36" spans="2:34" ht="13" outlineLevel="2" x14ac:dyDescent="0.3">
      <c r="B36" s="31" t="s">
        <v>69</v>
      </c>
      <c r="C36" s="33">
        <v>1218</v>
      </c>
      <c r="D36" s="33">
        <v>1205</v>
      </c>
      <c r="E36" s="23">
        <v>0</v>
      </c>
      <c r="F36" s="23">
        <v>-2</v>
      </c>
      <c r="G36" s="23">
        <v>-17</v>
      </c>
      <c r="H36" s="23">
        <v>0</v>
      </c>
      <c r="I36" s="23">
        <v>3</v>
      </c>
      <c r="J36" s="23">
        <v>0</v>
      </c>
      <c r="K36" s="23">
        <f t="shared" si="0"/>
        <v>-16</v>
      </c>
      <c r="L36" s="33">
        <f t="shared" si="1"/>
        <v>-2</v>
      </c>
      <c r="M36" s="33">
        <f t="shared" si="2"/>
        <v>-15</v>
      </c>
      <c r="N36" s="33">
        <v>1203</v>
      </c>
      <c r="O36" s="33">
        <v>1378</v>
      </c>
      <c r="P36" s="33">
        <v>-276</v>
      </c>
      <c r="Q36" s="33">
        <v>1102</v>
      </c>
      <c r="R36" s="33">
        <v>1203</v>
      </c>
      <c r="S36" s="33">
        <f t="shared" si="3"/>
        <v>-101</v>
      </c>
      <c r="T36" s="38">
        <f t="shared" si="4"/>
        <v>0.91604322527015791</v>
      </c>
      <c r="U36" s="59">
        <f t="shared" si="5"/>
        <v>1137</v>
      </c>
      <c r="V36" s="33">
        <v>-66</v>
      </c>
      <c r="W36" s="33">
        <v>-66</v>
      </c>
      <c r="X36" s="33"/>
      <c r="Y36" s="33"/>
      <c r="Z36" s="42"/>
      <c r="AA36" s="60"/>
      <c r="AB36" s="105"/>
      <c r="AC36" s="93"/>
      <c r="AD36" s="33">
        <f t="shared" si="6"/>
        <v>0</v>
      </c>
      <c r="AE36" s="33">
        <f t="shared" si="7"/>
        <v>1102</v>
      </c>
      <c r="AF36" s="101">
        <f t="shared" si="8"/>
        <v>-101</v>
      </c>
      <c r="AH36" t="str">
        <f>IF(V36='Appendix A 21.03'!V36,"")</f>
        <v/>
      </c>
    </row>
    <row r="37" spans="2:34" ht="13" outlineLevel="2" x14ac:dyDescent="0.3">
      <c r="B37" s="31" t="s">
        <v>70</v>
      </c>
      <c r="C37" s="33">
        <v>-49</v>
      </c>
      <c r="D37" s="33">
        <v>7</v>
      </c>
      <c r="E37" s="23">
        <v>0</v>
      </c>
      <c r="F37" s="23">
        <v>-1445</v>
      </c>
      <c r="G37" s="23">
        <v>-43</v>
      </c>
      <c r="H37" s="23">
        <v>0</v>
      </c>
      <c r="I37" s="23">
        <v>83</v>
      </c>
      <c r="J37" s="23">
        <v>-15</v>
      </c>
      <c r="K37" s="23">
        <f t="shared" si="0"/>
        <v>-1420</v>
      </c>
      <c r="L37" s="33">
        <f t="shared" si="1"/>
        <v>-1460</v>
      </c>
      <c r="M37" s="33">
        <f t="shared" si="2"/>
        <v>-1404</v>
      </c>
      <c r="N37" s="33">
        <v>-1453</v>
      </c>
      <c r="O37" s="33">
        <v>2628</v>
      </c>
      <c r="P37" s="33">
        <v>-3985</v>
      </c>
      <c r="Q37" s="33">
        <v>-1357</v>
      </c>
      <c r="R37" s="33">
        <v>-1453</v>
      </c>
      <c r="S37" s="33">
        <f t="shared" si="3"/>
        <v>96</v>
      </c>
      <c r="T37" s="38">
        <f t="shared" si="4"/>
        <v>0.93392980041293872</v>
      </c>
      <c r="U37" s="59">
        <f t="shared" si="5"/>
        <v>-1353</v>
      </c>
      <c r="V37" s="33">
        <v>100</v>
      </c>
      <c r="W37" s="33">
        <v>100</v>
      </c>
      <c r="X37" s="33"/>
      <c r="Y37" s="33"/>
      <c r="Z37" s="42"/>
      <c r="AA37" s="60"/>
      <c r="AB37" s="105"/>
      <c r="AC37" s="93"/>
      <c r="AD37" s="33">
        <f t="shared" si="6"/>
        <v>0</v>
      </c>
      <c r="AE37" s="33">
        <f t="shared" si="7"/>
        <v>-1357</v>
      </c>
      <c r="AF37" s="101">
        <f t="shared" si="8"/>
        <v>96</v>
      </c>
      <c r="AH37" t="str">
        <f>IF(V37='Appendix A 21.03'!V37,"")</f>
        <v/>
      </c>
    </row>
    <row r="38" spans="2:34" ht="13" outlineLevel="1" x14ac:dyDescent="0.3">
      <c r="B38" s="32" t="s">
        <v>71</v>
      </c>
      <c r="C38" s="34">
        <f t="shared" ref="C38:J38" si="23">SUBTOTAL(9,C33:C37)</f>
        <v>521</v>
      </c>
      <c r="D38" s="34">
        <f t="shared" si="23"/>
        <v>536</v>
      </c>
      <c r="E38" s="24">
        <f t="shared" si="23"/>
        <v>0</v>
      </c>
      <c r="F38" s="24">
        <f t="shared" si="23"/>
        <v>-1451</v>
      </c>
      <c r="G38" s="24">
        <f t="shared" si="23"/>
        <v>-89</v>
      </c>
      <c r="H38" s="24">
        <f t="shared" si="23"/>
        <v>0</v>
      </c>
      <c r="I38" s="24">
        <f t="shared" si="23"/>
        <v>88</v>
      </c>
      <c r="J38" s="24">
        <f t="shared" si="23"/>
        <v>15</v>
      </c>
      <c r="K38" s="24">
        <f>SUM(E38:J38)</f>
        <v>-1437</v>
      </c>
      <c r="L38" s="34">
        <f t="shared" ref="L38:L39" si="24">N38-D38</f>
        <v>-1436</v>
      </c>
      <c r="M38" s="34">
        <f t="shared" ref="M38:M39" si="25">N38-C38</f>
        <v>-1421</v>
      </c>
      <c r="N38" s="34">
        <f>SUBTOTAL(9,N33:N37)</f>
        <v>-900</v>
      </c>
      <c r="O38" s="34">
        <f>SUBTOTAL(9,O33:O37)</f>
        <v>5341</v>
      </c>
      <c r="P38" s="34">
        <f>SUBTOTAL(9,P33:P37)</f>
        <v>-6372</v>
      </c>
      <c r="Q38" s="34">
        <f>SUBTOTAL(9,Q33:Q37)</f>
        <v>-1032</v>
      </c>
      <c r="R38" s="34">
        <f>SUBTOTAL(9,R33:R37)</f>
        <v>-900</v>
      </c>
      <c r="S38" s="34">
        <f>Q38-R38</f>
        <v>-132</v>
      </c>
      <c r="T38" s="38">
        <f>IFERROR((Q38/N38)*100%,"∞")</f>
        <v>1.1466666666666667</v>
      </c>
      <c r="U38" s="59">
        <f>N38+V38</f>
        <v>-911</v>
      </c>
      <c r="V38" s="34">
        <f>SUBTOTAL(9,V33:V37)</f>
        <v>-11</v>
      </c>
      <c r="W38" s="34">
        <f>SUBTOTAL(9,W33:W37)</f>
        <v>-11</v>
      </c>
      <c r="X38" s="34"/>
      <c r="Y38" s="34"/>
      <c r="Z38" s="41"/>
      <c r="AA38" s="60"/>
      <c r="AB38" s="102">
        <f>SUBTOTAL(9,AB1:AB37)</f>
        <v>0</v>
      </c>
      <c r="AC38" s="34">
        <f>SUBTOTAL(9,AC1:AC37)</f>
        <v>0</v>
      </c>
      <c r="AD38" s="34"/>
      <c r="AE38" s="34"/>
      <c r="AF38" s="103"/>
      <c r="AH38" t="str">
        <f>IF(V38='Appendix A 21.03'!V38,"")</f>
        <v/>
      </c>
    </row>
    <row r="39" spans="2:34" ht="13.5" customHeight="1" thickBot="1" x14ac:dyDescent="0.35">
      <c r="B39" s="53" t="s">
        <v>72</v>
      </c>
      <c r="C39" s="35">
        <f t="shared" ref="C39:J39" si="26">SUBTOTAL(9,C25:C38)</f>
        <v>-7765</v>
      </c>
      <c r="D39" s="35">
        <f t="shared" si="26"/>
        <v>-7861</v>
      </c>
      <c r="E39" s="25">
        <f t="shared" si="26"/>
        <v>50</v>
      </c>
      <c r="F39" s="25">
        <f t="shared" si="26"/>
        <v>-1246</v>
      </c>
      <c r="G39" s="25">
        <f t="shared" si="26"/>
        <v>-142</v>
      </c>
      <c r="H39" s="25">
        <f t="shared" si="26"/>
        <v>-227</v>
      </c>
      <c r="I39" s="25">
        <f t="shared" si="26"/>
        <v>-20</v>
      </c>
      <c r="J39" s="25">
        <f t="shared" si="26"/>
        <v>-15</v>
      </c>
      <c r="K39" s="25">
        <f>SUM(E39:J39)</f>
        <v>-1600</v>
      </c>
      <c r="L39" s="35">
        <f t="shared" si="24"/>
        <v>-1489</v>
      </c>
      <c r="M39" s="35">
        <f t="shared" si="25"/>
        <v>-1585</v>
      </c>
      <c r="N39" s="35">
        <f>SUBTOTAL(9,N25:N38)</f>
        <v>-9350</v>
      </c>
      <c r="O39" s="35">
        <f>SUBTOTAL(9,O25:O38)</f>
        <v>11624</v>
      </c>
      <c r="P39" s="35">
        <f>SUBTOTAL(9,P25:P38)</f>
        <v>-20210</v>
      </c>
      <c r="Q39" s="35">
        <f>SUBTOTAL(9,Q25:Q38)</f>
        <v>-8587</v>
      </c>
      <c r="R39" s="35">
        <f>SUBTOTAL(9,R25:R38)</f>
        <v>-9350</v>
      </c>
      <c r="S39" s="35">
        <f>Q39-R39</f>
        <v>763</v>
      </c>
      <c r="T39" s="39">
        <f>IFERROR((Q39/N39)*100%,"∞")</f>
        <v>0.91839572192513363</v>
      </c>
      <c r="U39" s="54">
        <f>N39+V39</f>
        <v>-8094</v>
      </c>
      <c r="V39" s="35">
        <f>SUBTOTAL(9,V25:V38)</f>
        <v>1256</v>
      </c>
      <c r="W39" s="35">
        <f>SUBTOTAL(9,W25:W38)</f>
        <v>1256</v>
      </c>
      <c r="X39" s="35"/>
      <c r="Y39" s="35"/>
      <c r="Z39" s="43"/>
      <c r="AA39" s="60"/>
      <c r="AB39" s="104">
        <f>SUBTOTAL(9,AB1:AB38)</f>
        <v>0</v>
      </c>
      <c r="AC39" s="104">
        <f>SUBTOTAL(9,AC1:AC38)</f>
        <v>0</v>
      </c>
      <c r="AD39" s="35">
        <f>SUM(AB39:AC39)</f>
        <v>0</v>
      </c>
      <c r="AE39" s="35">
        <f>Q39+AD39</f>
        <v>-8587</v>
      </c>
      <c r="AF39" s="43">
        <f>AE39-N39</f>
        <v>763</v>
      </c>
      <c r="AH39" t="str">
        <f>IF(V39='Appendix A 21.03'!V39,"")</f>
        <v/>
      </c>
    </row>
    <row r="40" spans="2:34" ht="13.5" outlineLevel="2" thickTop="1" x14ac:dyDescent="0.3">
      <c r="B40" s="31" t="s">
        <v>73</v>
      </c>
      <c r="C40" s="33">
        <v>132</v>
      </c>
      <c r="D40" s="33">
        <v>128</v>
      </c>
      <c r="E40" s="23">
        <v>0</v>
      </c>
      <c r="F40" s="23">
        <v>0</v>
      </c>
      <c r="G40" s="23">
        <v>-3</v>
      </c>
      <c r="H40" s="23">
        <v>0</v>
      </c>
      <c r="I40" s="23">
        <v>-1</v>
      </c>
      <c r="J40" s="23">
        <v>0</v>
      </c>
      <c r="K40" s="23">
        <f t="shared" si="0"/>
        <v>-4</v>
      </c>
      <c r="L40" s="33">
        <f t="shared" si="1"/>
        <v>0</v>
      </c>
      <c r="M40" s="33">
        <f t="shared" si="2"/>
        <v>-4</v>
      </c>
      <c r="N40" s="33">
        <v>128</v>
      </c>
      <c r="O40" s="33">
        <v>129</v>
      </c>
      <c r="P40" s="33">
        <v>0</v>
      </c>
      <c r="Q40" s="33">
        <v>129</v>
      </c>
      <c r="R40" s="33">
        <v>128</v>
      </c>
      <c r="S40" s="33">
        <f t="shared" si="3"/>
        <v>1</v>
      </c>
      <c r="T40" s="38">
        <f t="shared" si="4"/>
        <v>1.0078125</v>
      </c>
      <c r="U40" s="59">
        <f t="shared" si="5"/>
        <v>129</v>
      </c>
      <c r="V40" s="33">
        <v>1</v>
      </c>
      <c r="W40" s="33">
        <v>1</v>
      </c>
      <c r="X40" s="33"/>
      <c r="Y40" s="33"/>
      <c r="Z40" s="42"/>
      <c r="AA40" s="60"/>
      <c r="AB40" s="105"/>
      <c r="AC40" s="93"/>
      <c r="AD40" s="33">
        <f t="shared" si="6"/>
        <v>0</v>
      </c>
      <c r="AE40" s="33">
        <f t="shared" si="7"/>
        <v>129</v>
      </c>
      <c r="AF40" s="101">
        <f t="shared" si="8"/>
        <v>1</v>
      </c>
      <c r="AH40" t="str">
        <f>IF(V40='Appendix A 21.03'!V40,"")</f>
        <v/>
      </c>
    </row>
    <row r="41" spans="2:34" ht="13" outlineLevel="2" x14ac:dyDescent="0.3">
      <c r="B41" s="31" t="s">
        <v>74</v>
      </c>
      <c r="C41" s="33">
        <v>431</v>
      </c>
      <c r="D41" s="33">
        <v>417</v>
      </c>
      <c r="E41" s="23">
        <v>0</v>
      </c>
      <c r="F41" s="23">
        <v>16</v>
      </c>
      <c r="G41" s="23">
        <v>-13</v>
      </c>
      <c r="H41" s="23">
        <v>0</v>
      </c>
      <c r="I41" s="23">
        <v>0</v>
      </c>
      <c r="J41" s="23">
        <v>0</v>
      </c>
      <c r="K41" s="23">
        <f t="shared" si="0"/>
        <v>3</v>
      </c>
      <c r="L41" s="33">
        <f t="shared" si="1"/>
        <v>16</v>
      </c>
      <c r="M41" s="33">
        <f t="shared" si="2"/>
        <v>2</v>
      </c>
      <c r="N41" s="33">
        <v>433</v>
      </c>
      <c r="O41" s="33">
        <v>465</v>
      </c>
      <c r="P41" s="33">
        <v>-39</v>
      </c>
      <c r="Q41" s="33">
        <v>426</v>
      </c>
      <c r="R41" s="33">
        <v>433</v>
      </c>
      <c r="S41" s="33">
        <f t="shared" si="3"/>
        <v>-7</v>
      </c>
      <c r="T41" s="38">
        <f t="shared" si="4"/>
        <v>0.9838337182448037</v>
      </c>
      <c r="U41" s="59">
        <f t="shared" si="5"/>
        <v>440</v>
      </c>
      <c r="V41" s="33">
        <v>7</v>
      </c>
      <c r="W41" s="33">
        <v>7</v>
      </c>
      <c r="X41" s="33"/>
      <c r="Y41" s="33"/>
      <c r="Z41" s="42"/>
      <c r="AA41" s="60"/>
      <c r="AB41" s="105"/>
      <c r="AC41" s="93"/>
      <c r="AD41" s="33">
        <f t="shared" si="6"/>
        <v>0</v>
      </c>
      <c r="AE41" s="33">
        <f t="shared" si="7"/>
        <v>426</v>
      </c>
      <c r="AF41" s="101">
        <f t="shared" si="8"/>
        <v>-7</v>
      </c>
      <c r="AH41" t="str">
        <f>IF(V41='Appendix A 21.03'!V41,"")</f>
        <v/>
      </c>
    </row>
    <row r="42" spans="2:34" ht="13" outlineLevel="2" x14ac:dyDescent="0.3">
      <c r="B42" s="31" t="s">
        <v>75</v>
      </c>
      <c r="C42" s="33">
        <v>344</v>
      </c>
      <c r="D42" s="33">
        <v>337</v>
      </c>
      <c r="E42" s="23">
        <v>0</v>
      </c>
      <c r="F42" s="23">
        <v>0</v>
      </c>
      <c r="G42" s="23">
        <v>-6</v>
      </c>
      <c r="H42" s="23">
        <v>0</v>
      </c>
      <c r="I42" s="23">
        <v>0</v>
      </c>
      <c r="J42" s="23">
        <v>0</v>
      </c>
      <c r="K42" s="23">
        <f t="shared" si="0"/>
        <v>-6</v>
      </c>
      <c r="L42" s="33">
        <f t="shared" si="1"/>
        <v>0</v>
      </c>
      <c r="M42" s="33">
        <f t="shared" si="2"/>
        <v>-7</v>
      </c>
      <c r="N42" s="33">
        <v>337</v>
      </c>
      <c r="O42" s="33">
        <v>289</v>
      </c>
      <c r="P42" s="33">
        <v>-18</v>
      </c>
      <c r="Q42" s="33">
        <v>271</v>
      </c>
      <c r="R42" s="33">
        <v>337</v>
      </c>
      <c r="S42" s="33">
        <f t="shared" si="3"/>
        <v>-66</v>
      </c>
      <c r="T42" s="38">
        <f t="shared" si="4"/>
        <v>0.80415430267062316</v>
      </c>
      <c r="U42" s="59">
        <f t="shared" si="5"/>
        <v>271</v>
      </c>
      <c r="V42" s="33">
        <v>-66</v>
      </c>
      <c r="W42" s="33">
        <v>-66</v>
      </c>
      <c r="X42" s="33"/>
      <c r="Y42" s="33"/>
      <c r="Z42" s="42"/>
      <c r="AA42" s="60"/>
      <c r="AB42" s="105"/>
      <c r="AC42" s="93"/>
      <c r="AD42" s="33">
        <f t="shared" si="6"/>
        <v>0</v>
      </c>
      <c r="AE42" s="33">
        <f t="shared" si="7"/>
        <v>271</v>
      </c>
      <c r="AF42" s="101">
        <f t="shared" si="8"/>
        <v>-66</v>
      </c>
      <c r="AH42" t="str">
        <f>IF(V42='Appendix A 21.03'!V42,"")</f>
        <v/>
      </c>
    </row>
    <row r="43" spans="2:34" ht="13" outlineLevel="1" x14ac:dyDescent="0.3">
      <c r="B43" s="32" t="s">
        <v>76</v>
      </c>
      <c r="C43" s="34">
        <f t="shared" ref="C43:J43" si="27">SUBTOTAL(9,C40:C42)</f>
        <v>907</v>
      </c>
      <c r="D43" s="34">
        <f t="shared" si="27"/>
        <v>882</v>
      </c>
      <c r="E43" s="24">
        <f t="shared" si="27"/>
        <v>0</v>
      </c>
      <c r="F43" s="24">
        <f t="shared" si="27"/>
        <v>16</v>
      </c>
      <c r="G43" s="24">
        <f t="shared" si="27"/>
        <v>-22</v>
      </c>
      <c r="H43" s="24">
        <f t="shared" si="27"/>
        <v>0</v>
      </c>
      <c r="I43" s="24">
        <f t="shared" si="27"/>
        <v>-1</v>
      </c>
      <c r="J43" s="24">
        <f t="shared" si="27"/>
        <v>0</v>
      </c>
      <c r="K43" s="24">
        <f>SUM(E43:J43)</f>
        <v>-7</v>
      </c>
      <c r="L43" s="34">
        <f t="shared" ref="L43" si="28">N43-D43</f>
        <v>16</v>
      </c>
      <c r="M43" s="34">
        <f t="shared" ref="M43" si="29">N43-C43</f>
        <v>-9</v>
      </c>
      <c r="N43" s="34">
        <f>SUBTOTAL(9,N40:N42)</f>
        <v>898</v>
      </c>
      <c r="O43" s="34">
        <f>SUBTOTAL(9,O40:O42)</f>
        <v>883</v>
      </c>
      <c r="P43" s="34">
        <f>SUBTOTAL(9,P40:P42)</f>
        <v>-57</v>
      </c>
      <c r="Q43" s="34">
        <f>SUBTOTAL(9,Q40:Q42)</f>
        <v>826</v>
      </c>
      <c r="R43" s="34">
        <f>SUBTOTAL(9,R40:R42)</f>
        <v>898</v>
      </c>
      <c r="S43" s="34">
        <f>Q43-R43</f>
        <v>-72</v>
      </c>
      <c r="T43" s="38">
        <f>IFERROR((Q43/N43)*100%,"∞")</f>
        <v>0.91982182628062359</v>
      </c>
      <c r="U43" s="59">
        <f>N43+V43</f>
        <v>840</v>
      </c>
      <c r="V43" s="34">
        <f>SUBTOTAL(9,V40:V42)</f>
        <v>-58</v>
      </c>
      <c r="W43" s="34">
        <f>SUBTOTAL(9,W40:W42)</f>
        <v>-58</v>
      </c>
      <c r="X43" s="34"/>
      <c r="Y43" s="34"/>
      <c r="Z43" s="41"/>
      <c r="AA43" s="60"/>
      <c r="AB43" s="102">
        <f>SUBTOTAL(9,AB1:AB42)</f>
        <v>0</v>
      </c>
      <c r="AC43" s="34">
        <f>SUBTOTAL(9,AC1:AC42)</f>
        <v>0</v>
      </c>
      <c r="AD43" s="34"/>
      <c r="AE43" s="34"/>
      <c r="AF43" s="103"/>
      <c r="AH43" t="str">
        <f>IF(V43='Appendix A 21.03'!V43,"")</f>
        <v/>
      </c>
    </row>
    <row r="44" spans="2:34" ht="13" outlineLevel="2" x14ac:dyDescent="0.3">
      <c r="B44" s="31" t="s">
        <v>77</v>
      </c>
      <c r="C44" s="33">
        <v>509</v>
      </c>
      <c r="D44" s="33">
        <v>543</v>
      </c>
      <c r="E44" s="23">
        <v>44</v>
      </c>
      <c r="F44" s="23">
        <v>-136</v>
      </c>
      <c r="G44" s="23">
        <v>-8</v>
      </c>
      <c r="H44" s="23">
        <v>0</v>
      </c>
      <c r="I44" s="23">
        <v>-2</v>
      </c>
      <c r="J44" s="23">
        <v>0</v>
      </c>
      <c r="K44" s="23">
        <f t="shared" si="0"/>
        <v>-102</v>
      </c>
      <c r="L44" s="33">
        <f t="shared" si="1"/>
        <v>-135</v>
      </c>
      <c r="M44" s="33">
        <f t="shared" si="2"/>
        <v>-101</v>
      </c>
      <c r="N44" s="33">
        <v>408</v>
      </c>
      <c r="O44" s="33">
        <v>579</v>
      </c>
      <c r="P44" s="33">
        <v>-233</v>
      </c>
      <c r="Q44" s="33">
        <v>346</v>
      </c>
      <c r="R44" s="33">
        <v>408</v>
      </c>
      <c r="S44" s="33">
        <f t="shared" si="3"/>
        <v>-62</v>
      </c>
      <c r="T44" s="38">
        <f t="shared" si="4"/>
        <v>0.84803921568627449</v>
      </c>
      <c r="U44" s="59">
        <f t="shared" si="5"/>
        <v>359</v>
      </c>
      <c r="V44" s="33">
        <v>-49</v>
      </c>
      <c r="W44" s="33">
        <v>-49</v>
      </c>
      <c r="X44" s="33"/>
      <c r="Y44" s="33"/>
      <c r="Z44" s="42"/>
      <c r="AA44" s="60"/>
      <c r="AB44" s="105"/>
      <c r="AC44" s="93"/>
      <c r="AD44" s="33">
        <f t="shared" si="6"/>
        <v>0</v>
      </c>
      <c r="AE44" s="33">
        <f t="shared" si="7"/>
        <v>346</v>
      </c>
      <c r="AF44" s="101">
        <f t="shared" si="8"/>
        <v>-62</v>
      </c>
      <c r="AH44" t="str">
        <f>IF(V44='Appendix A 21.03'!V44,"")</f>
        <v/>
      </c>
    </row>
    <row r="45" spans="2:34" ht="13" outlineLevel="2" x14ac:dyDescent="0.3">
      <c r="B45" s="31" t="s">
        <v>78</v>
      </c>
      <c r="C45" s="33">
        <v>370</v>
      </c>
      <c r="D45" s="33">
        <v>277</v>
      </c>
      <c r="E45" s="23">
        <v>-63</v>
      </c>
      <c r="F45" s="23">
        <v>-27</v>
      </c>
      <c r="G45" s="23">
        <v>-6</v>
      </c>
      <c r="H45" s="23">
        <v>0</v>
      </c>
      <c r="I45" s="23">
        <v>-25</v>
      </c>
      <c r="J45" s="23">
        <v>0</v>
      </c>
      <c r="K45" s="23">
        <f t="shared" si="0"/>
        <v>-121</v>
      </c>
      <c r="L45" s="33">
        <f t="shared" si="1"/>
        <v>-27</v>
      </c>
      <c r="M45" s="33">
        <f t="shared" si="2"/>
        <v>-120</v>
      </c>
      <c r="N45" s="33">
        <v>250</v>
      </c>
      <c r="O45" s="33">
        <v>355</v>
      </c>
      <c r="P45" s="33">
        <v>-99</v>
      </c>
      <c r="Q45" s="33">
        <v>256</v>
      </c>
      <c r="R45" s="33">
        <v>250</v>
      </c>
      <c r="S45" s="33">
        <f t="shared" si="3"/>
        <v>6</v>
      </c>
      <c r="T45" s="38">
        <f t="shared" si="4"/>
        <v>1.024</v>
      </c>
      <c r="U45" s="59">
        <f t="shared" si="5"/>
        <v>250</v>
      </c>
      <c r="V45" s="33">
        <v>0</v>
      </c>
      <c r="W45" s="33">
        <v>0</v>
      </c>
      <c r="X45" s="33"/>
      <c r="Y45" s="33"/>
      <c r="Z45" s="42"/>
      <c r="AA45" s="60"/>
      <c r="AB45" s="105"/>
      <c r="AC45" s="93"/>
      <c r="AD45" s="33">
        <f t="shared" si="6"/>
        <v>0</v>
      </c>
      <c r="AE45" s="33">
        <f t="shared" si="7"/>
        <v>256</v>
      </c>
      <c r="AF45" s="101">
        <f t="shared" si="8"/>
        <v>6</v>
      </c>
      <c r="AH45" t="str">
        <f>IF(V45='Appendix A 21.03'!V45,"")</f>
        <v/>
      </c>
    </row>
    <row r="46" spans="2:34" ht="13" outlineLevel="2" x14ac:dyDescent="0.3">
      <c r="B46" s="31" t="s">
        <v>79</v>
      </c>
      <c r="C46" s="33">
        <v>251</v>
      </c>
      <c r="D46" s="33">
        <v>327</v>
      </c>
      <c r="E46" s="23">
        <v>92</v>
      </c>
      <c r="F46" s="23">
        <v>-386</v>
      </c>
      <c r="G46" s="23">
        <v>-12</v>
      </c>
      <c r="H46" s="23">
        <v>0</v>
      </c>
      <c r="I46" s="23">
        <v>-4</v>
      </c>
      <c r="J46" s="23">
        <v>0</v>
      </c>
      <c r="K46" s="23">
        <f t="shared" si="0"/>
        <v>-310</v>
      </c>
      <c r="L46" s="33">
        <f t="shared" si="1"/>
        <v>-386</v>
      </c>
      <c r="M46" s="33">
        <f t="shared" si="2"/>
        <v>-310</v>
      </c>
      <c r="N46" s="33">
        <v>-59</v>
      </c>
      <c r="O46" s="33">
        <v>1084</v>
      </c>
      <c r="P46" s="33">
        <v>-1127</v>
      </c>
      <c r="Q46" s="33">
        <v>-43</v>
      </c>
      <c r="R46" s="33">
        <v>-59</v>
      </c>
      <c r="S46" s="33">
        <f t="shared" si="3"/>
        <v>16</v>
      </c>
      <c r="T46" s="38">
        <f t="shared" si="4"/>
        <v>0.72881355932203384</v>
      </c>
      <c r="U46" s="59">
        <f t="shared" si="5"/>
        <v>-48</v>
      </c>
      <c r="V46" s="33">
        <v>11</v>
      </c>
      <c r="W46" s="33">
        <v>11</v>
      </c>
      <c r="X46" s="33"/>
      <c r="Y46" s="33"/>
      <c r="Z46" s="42"/>
      <c r="AA46" s="60"/>
      <c r="AB46" s="105"/>
      <c r="AC46" s="93"/>
      <c r="AD46" s="33">
        <f t="shared" si="6"/>
        <v>0</v>
      </c>
      <c r="AE46" s="33">
        <f t="shared" si="7"/>
        <v>-43</v>
      </c>
      <c r="AF46" s="101">
        <f t="shared" si="8"/>
        <v>16</v>
      </c>
      <c r="AH46" t="str">
        <f>IF(V46='Appendix A 21.03'!V46,"")</f>
        <v/>
      </c>
    </row>
    <row r="47" spans="2:34" ht="13" outlineLevel="1" x14ac:dyDescent="0.3">
      <c r="B47" s="32" t="s">
        <v>80</v>
      </c>
      <c r="C47" s="34">
        <f t="shared" ref="C47:J47" si="30">SUBTOTAL(9,C44:C46)</f>
        <v>1130</v>
      </c>
      <c r="D47" s="34">
        <f t="shared" si="30"/>
        <v>1147</v>
      </c>
      <c r="E47" s="24">
        <f t="shared" si="30"/>
        <v>73</v>
      </c>
      <c r="F47" s="24">
        <f t="shared" si="30"/>
        <v>-549</v>
      </c>
      <c r="G47" s="24">
        <f t="shared" si="30"/>
        <v>-26</v>
      </c>
      <c r="H47" s="24">
        <f t="shared" si="30"/>
        <v>0</v>
      </c>
      <c r="I47" s="24">
        <f t="shared" si="30"/>
        <v>-31</v>
      </c>
      <c r="J47" s="24">
        <f t="shared" si="30"/>
        <v>0</v>
      </c>
      <c r="K47" s="24">
        <f>SUM(E47:J47)</f>
        <v>-533</v>
      </c>
      <c r="L47" s="34">
        <f t="shared" ref="L47:L48" si="31">N47-D47</f>
        <v>-548</v>
      </c>
      <c r="M47" s="34">
        <f t="shared" ref="M47:M48" si="32">N47-C47</f>
        <v>-531</v>
      </c>
      <c r="N47" s="34">
        <f>SUBTOTAL(9,N44:N46)</f>
        <v>599</v>
      </c>
      <c r="O47" s="34">
        <f>SUBTOTAL(9,O44:O46)</f>
        <v>2018</v>
      </c>
      <c r="P47" s="34">
        <f>SUBTOTAL(9,P44:P46)</f>
        <v>-1459</v>
      </c>
      <c r="Q47" s="34">
        <f>SUBTOTAL(9,Q44:Q46)</f>
        <v>559</v>
      </c>
      <c r="R47" s="34">
        <f>SUBTOTAL(9,R44:R46)</f>
        <v>599</v>
      </c>
      <c r="S47" s="34">
        <f>Q47-R47</f>
        <v>-40</v>
      </c>
      <c r="T47" s="38">
        <f>IFERROR((Q47/N47)*100%,"∞")</f>
        <v>0.93322203672787984</v>
      </c>
      <c r="U47" s="59">
        <f>N47+V47</f>
        <v>561</v>
      </c>
      <c r="V47" s="34">
        <f>SUBTOTAL(9,V44:V46)</f>
        <v>-38</v>
      </c>
      <c r="W47" s="34">
        <f>SUBTOTAL(9,W44:W46)</f>
        <v>-38</v>
      </c>
      <c r="X47" s="34"/>
      <c r="Y47" s="34"/>
      <c r="Z47" s="41"/>
      <c r="AA47" s="60"/>
      <c r="AB47" s="102">
        <f>SUBTOTAL(9,AB1:AB46)</f>
        <v>0</v>
      </c>
      <c r="AC47" s="34">
        <f>SUBTOTAL(9,AC1:AC46)</f>
        <v>0</v>
      </c>
      <c r="AD47" s="34"/>
      <c r="AE47" s="34"/>
      <c r="AF47" s="103"/>
      <c r="AH47" t="str">
        <f>IF(V47='Appendix A 21.03'!V47,"")</f>
        <v/>
      </c>
    </row>
    <row r="48" spans="2:34" ht="13.5" customHeight="1" thickBot="1" x14ac:dyDescent="0.35">
      <c r="B48" s="53" t="s">
        <v>81</v>
      </c>
      <c r="C48" s="35">
        <f t="shared" ref="C48:J48" si="33">SUBTOTAL(9,C40:C47)</f>
        <v>2037</v>
      </c>
      <c r="D48" s="35">
        <f t="shared" si="33"/>
        <v>2029</v>
      </c>
      <c r="E48" s="25">
        <f t="shared" si="33"/>
        <v>73</v>
      </c>
      <c r="F48" s="25">
        <f t="shared" si="33"/>
        <v>-533</v>
      </c>
      <c r="G48" s="25">
        <f t="shared" si="33"/>
        <v>-48</v>
      </c>
      <c r="H48" s="25">
        <f t="shared" si="33"/>
        <v>0</v>
      </c>
      <c r="I48" s="25">
        <f t="shared" si="33"/>
        <v>-32</v>
      </c>
      <c r="J48" s="25">
        <f t="shared" si="33"/>
        <v>0</v>
      </c>
      <c r="K48" s="25">
        <f>SUM(E48:J48)</f>
        <v>-540</v>
      </c>
      <c r="L48" s="35">
        <f t="shared" si="31"/>
        <v>-532</v>
      </c>
      <c r="M48" s="35">
        <f t="shared" si="32"/>
        <v>-540</v>
      </c>
      <c r="N48" s="35">
        <f>SUBTOTAL(9,N40:N47)</f>
        <v>1497</v>
      </c>
      <c r="O48" s="35">
        <f>SUBTOTAL(9,O40:O47)</f>
        <v>2901</v>
      </c>
      <c r="P48" s="35">
        <f>SUBTOTAL(9,P40:P47)</f>
        <v>-1516</v>
      </c>
      <c r="Q48" s="35">
        <f>SUBTOTAL(9,Q40:Q47)</f>
        <v>1385</v>
      </c>
      <c r="R48" s="35">
        <f>SUBTOTAL(9,R40:R47)</f>
        <v>1497</v>
      </c>
      <c r="S48" s="35">
        <f>Q48-R48</f>
        <v>-112</v>
      </c>
      <c r="T48" s="39">
        <f>IFERROR((Q48/N48)*100%,"∞")</f>
        <v>0.92518370073480294</v>
      </c>
      <c r="U48" s="54">
        <f>N48+V48</f>
        <v>1401</v>
      </c>
      <c r="V48" s="35">
        <f>SUBTOTAL(9,V40:V47)</f>
        <v>-96</v>
      </c>
      <c r="W48" s="35">
        <f>SUBTOTAL(9,W40:W47)</f>
        <v>-96</v>
      </c>
      <c r="X48" s="35"/>
      <c r="Y48" s="35"/>
      <c r="Z48" s="43"/>
      <c r="AA48" s="60"/>
      <c r="AB48" s="104">
        <f>SUBTOTAL(9,AB1:AB47)</f>
        <v>0</v>
      </c>
      <c r="AC48" s="104">
        <f>SUBTOTAL(9,AC1:AC47)</f>
        <v>0</v>
      </c>
      <c r="AD48" s="35">
        <f>SUM(AB48:AC48)</f>
        <v>0</v>
      </c>
      <c r="AE48" s="35">
        <f>Q48+AD48</f>
        <v>1385</v>
      </c>
      <c r="AF48" s="43">
        <f>AE48-N48</f>
        <v>-112</v>
      </c>
      <c r="AH48" t="str">
        <f>IF(V48='Appendix A 21.03'!V48,"")</f>
        <v/>
      </c>
    </row>
    <row r="49" spans="2:34" ht="13.5" outlineLevel="2" thickTop="1" x14ac:dyDescent="0.3">
      <c r="B49" s="31" t="s">
        <v>82</v>
      </c>
      <c r="C49" s="33">
        <v>-2025</v>
      </c>
      <c r="D49" s="33">
        <v>-2004</v>
      </c>
      <c r="E49" s="23">
        <v>0</v>
      </c>
      <c r="F49" s="23">
        <v>0</v>
      </c>
      <c r="G49" s="23">
        <v>21</v>
      </c>
      <c r="H49" s="23">
        <v>0</v>
      </c>
      <c r="I49" s="23">
        <v>0</v>
      </c>
      <c r="J49" s="23">
        <v>0</v>
      </c>
      <c r="K49" s="23">
        <f t="shared" si="0"/>
        <v>21</v>
      </c>
      <c r="L49" s="33">
        <f t="shared" si="1"/>
        <v>0</v>
      </c>
      <c r="M49" s="33">
        <f t="shared" si="2"/>
        <v>21</v>
      </c>
      <c r="N49" s="33">
        <v>-2004</v>
      </c>
      <c r="O49" s="33">
        <v>4998</v>
      </c>
      <c r="P49" s="33">
        <v>-6750</v>
      </c>
      <c r="Q49" s="33">
        <v>-1752</v>
      </c>
      <c r="R49" s="33">
        <v>-2004</v>
      </c>
      <c r="S49" s="33">
        <f t="shared" si="3"/>
        <v>252</v>
      </c>
      <c r="T49" s="38">
        <f t="shared" si="4"/>
        <v>0.87425149700598803</v>
      </c>
      <c r="U49" s="59">
        <f t="shared" si="5"/>
        <v>-2004</v>
      </c>
      <c r="V49" s="33">
        <v>0</v>
      </c>
      <c r="W49" s="33">
        <v>0</v>
      </c>
      <c r="X49" s="33"/>
      <c r="Y49" s="33"/>
      <c r="Z49" s="42"/>
      <c r="AA49" s="60"/>
      <c r="AB49" s="105"/>
      <c r="AC49" s="93"/>
      <c r="AD49" s="33">
        <f t="shared" si="6"/>
        <v>0</v>
      </c>
      <c r="AE49" s="33">
        <f t="shared" si="7"/>
        <v>-1752</v>
      </c>
      <c r="AF49" s="101">
        <f t="shared" si="8"/>
        <v>252</v>
      </c>
      <c r="AH49" t="str">
        <f>IF(V49='Appendix A 21.03'!V49,"")</f>
        <v/>
      </c>
    </row>
    <row r="50" spans="2:34" ht="13" outlineLevel="2" x14ac:dyDescent="0.3">
      <c r="B50" s="31" t="s">
        <v>83</v>
      </c>
      <c r="C50" s="33">
        <v>6106</v>
      </c>
      <c r="D50" s="33">
        <v>6197</v>
      </c>
      <c r="E50" s="23">
        <v>0</v>
      </c>
      <c r="F50" s="23">
        <v>0</v>
      </c>
      <c r="G50" s="23">
        <v>91</v>
      </c>
      <c r="H50" s="23">
        <v>0</v>
      </c>
      <c r="I50" s="23">
        <v>0</v>
      </c>
      <c r="J50" s="23">
        <v>0</v>
      </c>
      <c r="K50" s="23">
        <f t="shared" si="0"/>
        <v>91</v>
      </c>
      <c r="L50" s="33">
        <f t="shared" si="1"/>
        <v>0</v>
      </c>
      <c r="M50" s="33">
        <f t="shared" si="2"/>
        <v>91</v>
      </c>
      <c r="N50" s="33">
        <v>6197</v>
      </c>
      <c r="O50" s="33">
        <v>7985</v>
      </c>
      <c r="P50" s="33">
        <v>-1642</v>
      </c>
      <c r="Q50" s="33">
        <v>6343</v>
      </c>
      <c r="R50" s="33">
        <v>6197</v>
      </c>
      <c r="S50" s="33">
        <f t="shared" si="3"/>
        <v>146</v>
      </c>
      <c r="T50" s="38">
        <f t="shared" si="4"/>
        <v>1.0235597869937065</v>
      </c>
      <c r="U50" s="59">
        <f t="shared" si="5"/>
        <v>6197</v>
      </c>
      <c r="V50" s="33">
        <v>0</v>
      </c>
      <c r="W50" s="33">
        <v>0</v>
      </c>
      <c r="X50" s="33"/>
      <c r="Y50" s="33"/>
      <c r="Z50" s="42"/>
      <c r="AA50" s="60"/>
      <c r="AB50" s="105"/>
      <c r="AC50" s="93"/>
      <c r="AD50" s="33">
        <f t="shared" si="6"/>
        <v>0</v>
      </c>
      <c r="AE50" s="33">
        <f t="shared" si="7"/>
        <v>6343</v>
      </c>
      <c r="AF50" s="101">
        <f t="shared" si="8"/>
        <v>146</v>
      </c>
      <c r="AH50" t="str">
        <f>IF(V50='Appendix A 21.03'!V50,"")</f>
        <v/>
      </c>
    </row>
    <row r="51" spans="2:34" ht="13" outlineLevel="2" x14ac:dyDescent="0.3">
      <c r="B51" s="31" t="s">
        <v>84</v>
      </c>
      <c r="C51" s="33">
        <v>6023</v>
      </c>
      <c r="D51" s="33">
        <v>6104</v>
      </c>
      <c r="E51" s="23">
        <v>0</v>
      </c>
      <c r="F51" s="23">
        <v>0</v>
      </c>
      <c r="G51" s="23">
        <v>81</v>
      </c>
      <c r="H51" s="23">
        <v>0</v>
      </c>
      <c r="I51" s="23">
        <v>0</v>
      </c>
      <c r="J51" s="23">
        <v>0</v>
      </c>
      <c r="K51" s="23">
        <f t="shared" si="0"/>
        <v>81</v>
      </c>
      <c r="L51" s="33">
        <f t="shared" si="1"/>
        <v>0</v>
      </c>
      <c r="M51" s="33">
        <f t="shared" si="2"/>
        <v>81</v>
      </c>
      <c r="N51" s="33">
        <v>6104</v>
      </c>
      <c r="O51" s="33">
        <v>6102</v>
      </c>
      <c r="P51" s="33">
        <v>-28</v>
      </c>
      <c r="Q51" s="33">
        <v>6074</v>
      </c>
      <c r="R51" s="33">
        <v>6104</v>
      </c>
      <c r="S51" s="33">
        <f t="shared" si="3"/>
        <v>-30</v>
      </c>
      <c r="T51" s="38">
        <f t="shared" si="4"/>
        <v>0.9950851900393185</v>
      </c>
      <c r="U51" s="59">
        <f t="shared" si="5"/>
        <v>6104</v>
      </c>
      <c r="V51" s="33">
        <v>0</v>
      </c>
      <c r="W51" s="33">
        <v>0</v>
      </c>
      <c r="X51" s="33"/>
      <c r="Y51" s="33"/>
      <c r="Z51" s="42"/>
      <c r="AA51" s="60"/>
      <c r="AB51" s="105"/>
      <c r="AC51" s="93"/>
      <c r="AD51" s="33">
        <f t="shared" si="6"/>
        <v>0</v>
      </c>
      <c r="AE51" s="33">
        <f t="shared" si="7"/>
        <v>6074</v>
      </c>
      <c r="AF51" s="101">
        <f t="shared" si="8"/>
        <v>-30</v>
      </c>
      <c r="AH51" t="str">
        <f>IF(V51='Appendix A 21.03'!V51,"")</f>
        <v/>
      </c>
    </row>
    <row r="52" spans="2:34" ht="13" outlineLevel="2" x14ac:dyDescent="0.3">
      <c r="B52" s="31" t="s">
        <v>85</v>
      </c>
      <c r="C52" s="33">
        <v>3366</v>
      </c>
      <c r="D52" s="33">
        <v>3424</v>
      </c>
      <c r="E52" s="23">
        <v>0</v>
      </c>
      <c r="F52" s="23">
        <v>0</v>
      </c>
      <c r="G52" s="23">
        <v>59</v>
      </c>
      <c r="H52" s="23">
        <v>0</v>
      </c>
      <c r="I52" s="23">
        <v>0</v>
      </c>
      <c r="J52" s="23">
        <v>0</v>
      </c>
      <c r="K52" s="23">
        <f t="shared" si="0"/>
        <v>59</v>
      </c>
      <c r="L52" s="33">
        <f t="shared" si="1"/>
        <v>0</v>
      </c>
      <c r="M52" s="33">
        <f t="shared" si="2"/>
        <v>58</v>
      </c>
      <c r="N52" s="33">
        <v>3424</v>
      </c>
      <c r="O52" s="33">
        <v>3572</v>
      </c>
      <c r="P52" s="33">
        <v>-154</v>
      </c>
      <c r="Q52" s="33">
        <v>3418</v>
      </c>
      <c r="R52" s="33">
        <v>3424</v>
      </c>
      <c r="S52" s="33">
        <f t="shared" si="3"/>
        <v>-6</v>
      </c>
      <c r="T52" s="38">
        <f t="shared" si="4"/>
        <v>0.99824766355140182</v>
      </c>
      <c r="U52" s="59">
        <f t="shared" si="5"/>
        <v>3424</v>
      </c>
      <c r="V52" s="33">
        <v>0</v>
      </c>
      <c r="W52" s="33">
        <v>0</v>
      </c>
      <c r="X52" s="33"/>
      <c r="Y52" s="33"/>
      <c r="Z52" s="42"/>
      <c r="AA52" s="60"/>
      <c r="AB52" s="105"/>
      <c r="AC52" s="93"/>
      <c r="AD52" s="33">
        <f t="shared" si="6"/>
        <v>0</v>
      </c>
      <c r="AE52" s="33">
        <f t="shared" si="7"/>
        <v>3418</v>
      </c>
      <c r="AF52" s="101">
        <f t="shared" si="8"/>
        <v>-6</v>
      </c>
      <c r="AH52" t="str">
        <f>IF(V52='Appendix A 21.03'!V52,"")</f>
        <v/>
      </c>
    </row>
    <row r="53" spans="2:34" ht="13" outlineLevel="2" x14ac:dyDescent="0.3">
      <c r="B53" s="31" t="s">
        <v>86</v>
      </c>
      <c r="C53" s="33">
        <v>253</v>
      </c>
      <c r="D53" s="33">
        <v>258</v>
      </c>
      <c r="E53" s="23">
        <v>0</v>
      </c>
      <c r="F53" s="23">
        <v>0</v>
      </c>
      <c r="G53" s="23">
        <v>5</v>
      </c>
      <c r="H53" s="23">
        <v>0</v>
      </c>
      <c r="I53" s="23">
        <v>0</v>
      </c>
      <c r="J53" s="23">
        <v>0</v>
      </c>
      <c r="K53" s="23">
        <f t="shared" si="0"/>
        <v>5</v>
      </c>
      <c r="L53" s="33">
        <f t="shared" si="1"/>
        <v>0</v>
      </c>
      <c r="M53" s="33">
        <f t="shared" si="2"/>
        <v>5</v>
      </c>
      <c r="N53" s="33">
        <v>258</v>
      </c>
      <c r="O53" s="33">
        <v>258</v>
      </c>
      <c r="P53" s="33">
        <v>0</v>
      </c>
      <c r="Q53" s="33">
        <v>258</v>
      </c>
      <c r="R53" s="33">
        <v>258</v>
      </c>
      <c r="S53" s="33">
        <f t="shared" si="3"/>
        <v>0</v>
      </c>
      <c r="T53" s="38">
        <f t="shared" si="4"/>
        <v>1</v>
      </c>
      <c r="U53" s="59">
        <f t="shared" si="5"/>
        <v>258</v>
      </c>
      <c r="V53" s="33">
        <v>0</v>
      </c>
      <c r="W53" s="33">
        <v>0</v>
      </c>
      <c r="X53" s="33"/>
      <c r="Y53" s="33"/>
      <c r="Z53" s="42"/>
      <c r="AA53" s="60"/>
      <c r="AB53" s="105"/>
      <c r="AC53" s="93"/>
      <c r="AD53" s="33">
        <f t="shared" si="6"/>
        <v>0</v>
      </c>
      <c r="AE53" s="33">
        <f t="shared" si="7"/>
        <v>258</v>
      </c>
      <c r="AF53" s="101">
        <f t="shared" si="8"/>
        <v>0</v>
      </c>
      <c r="AH53" t="str">
        <f>IF(V53='Appendix A 21.03'!V53,"")</f>
        <v/>
      </c>
    </row>
    <row r="54" spans="2:34" ht="13" outlineLevel="2" x14ac:dyDescent="0.3">
      <c r="B54" s="31" t="s">
        <v>87</v>
      </c>
      <c r="C54" s="33">
        <v>0</v>
      </c>
      <c r="D54" s="33">
        <v>0</v>
      </c>
      <c r="E54" s="23">
        <v>0</v>
      </c>
      <c r="F54" s="23">
        <v>0</v>
      </c>
      <c r="G54" s="23">
        <v>0</v>
      </c>
      <c r="H54" s="23">
        <v>0</v>
      </c>
      <c r="I54" s="23">
        <v>0</v>
      </c>
      <c r="J54" s="23">
        <v>0</v>
      </c>
      <c r="K54" s="23">
        <f t="shared" si="0"/>
        <v>0</v>
      </c>
      <c r="L54" s="33">
        <f t="shared" si="1"/>
        <v>0</v>
      </c>
      <c r="M54" s="33">
        <f t="shared" si="2"/>
        <v>0</v>
      </c>
      <c r="N54" s="33">
        <v>0</v>
      </c>
      <c r="O54" s="33">
        <v>913</v>
      </c>
      <c r="P54" s="33">
        <v>-824</v>
      </c>
      <c r="Q54" s="33">
        <v>89</v>
      </c>
      <c r="R54" s="33">
        <v>0</v>
      </c>
      <c r="S54" s="33">
        <f t="shared" si="3"/>
        <v>89</v>
      </c>
      <c r="T54" s="38" t="str">
        <f t="shared" si="4"/>
        <v>∞</v>
      </c>
      <c r="U54" s="59">
        <f t="shared" si="5"/>
        <v>0</v>
      </c>
      <c r="V54" s="33">
        <v>0</v>
      </c>
      <c r="W54" s="33">
        <v>0</v>
      </c>
      <c r="X54" s="33"/>
      <c r="Y54" s="33"/>
      <c r="Z54" s="42"/>
      <c r="AA54" s="60"/>
      <c r="AB54" s="105"/>
      <c r="AC54" s="93"/>
      <c r="AD54" s="33">
        <f t="shared" si="6"/>
        <v>0</v>
      </c>
      <c r="AE54" s="33">
        <f t="shared" si="7"/>
        <v>89</v>
      </c>
      <c r="AF54" s="101">
        <f t="shared" si="8"/>
        <v>89</v>
      </c>
      <c r="AH54" t="str">
        <f>IF(V54='Appendix A 21.03'!V54,"")</f>
        <v/>
      </c>
    </row>
    <row r="55" spans="2:34" ht="13" outlineLevel="2" x14ac:dyDescent="0.3">
      <c r="B55" s="31" t="s">
        <v>88</v>
      </c>
      <c r="C55" s="33">
        <v>151</v>
      </c>
      <c r="D55" s="33">
        <v>179</v>
      </c>
      <c r="E55" s="23">
        <v>0</v>
      </c>
      <c r="F55" s="23">
        <v>0</v>
      </c>
      <c r="G55" s="23">
        <v>28</v>
      </c>
      <c r="H55" s="23">
        <v>0</v>
      </c>
      <c r="I55" s="23">
        <v>0</v>
      </c>
      <c r="J55" s="23">
        <v>0</v>
      </c>
      <c r="K55" s="23">
        <f t="shared" si="0"/>
        <v>28</v>
      </c>
      <c r="L55" s="33">
        <f t="shared" si="1"/>
        <v>0</v>
      </c>
      <c r="M55" s="33">
        <f t="shared" si="2"/>
        <v>28</v>
      </c>
      <c r="N55" s="33">
        <v>179</v>
      </c>
      <c r="O55" s="33">
        <v>316</v>
      </c>
      <c r="P55" s="33">
        <v>0</v>
      </c>
      <c r="Q55" s="33">
        <v>316</v>
      </c>
      <c r="R55" s="33">
        <v>179</v>
      </c>
      <c r="S55" s="33">
        <f t="shared" si="3"/>
        <v>137</v>
      </c>
      <c r="T55" s="38">
        <f t="shared" si="4"/>
        <v>1.76536312849162</v>
      </c>
      <c r="U55" s="59">
        <f t="shared" si="5"/>
        <v>179</v>
      </c>
      <c r="V55" s="33">
        <v>0</v>
      </c>
      <c r="W55" s="33">
        <v>0</v>
      </c>
      <c r="X55" s="33"/>
      <c r="Y55" s="33"/>
      <c r="Z55" s="42"/>
      <c r="AA55" s="60"/>
      <c r="AB55" s="105"/>
      <c r="AC55" s="93"/>
      <c r="AD55" s="33">
        <f t="shared" si="6"/>
        <v>0</v>
      </c>
      <c r="AE55" s="33">
        <f t="shared" si="7"/>
        <v>316</v>
      </c>
      <c r="AF55" s="101">
        <f t="shared" si="8"/>
        <v>137</v>
      </c>
      <c r="AH55" t="str">
        <f>IF(V55='Appendix A 21.03'!V55,"")</f>
        <v/>
      </c>
    </row>
    <row r="56" spans="2:34" ht="13" outlineLevel="2" x14ac:dyDescent="0.3">
      <c r="B56" s="31" t="s">
        <v>89</v>
      </c>
      <c r="C56" s="33">
        <v>-668</v>
      </c>
      <c r="D56" s="33">
        <v>-903</v>
      </c>
      <c r="E56" s="23">
        <v>0</v>
      </c>
      <c r="F56" s="23">
        <v>0</v>
      </c>
      <c r="G56" s="23">
        <v>0</v>
      </c>
      <c r="H56" s="23">
        <v>0</v>
      </c>
      <c r="I56" s="23">
        <v>-235</v>
      </c>
      <c r="J56" s="23">
        <v>0</v>
      </c>
      <c r="K56" s="23">
        <f t="shared" si="0"/>
        <v>-235</v>
      </c>
      <c r="L56" s="33">
        <f t="shared" si="1"/>
        <v>0</v>
      </c>
      <c r="M56" s="33">
        <f t="shared" si="2"/>
        <v>-235</v>
      </c>
      <c r="N56" s="33">
        <v>-903</v>
      </c>
      <c r="O56" s="33">
        <v>226</v>
      </c>
      <c r="P56" s="33">
        <v>-610</v>
      </c>
      <c r="Q56" s="33">
        <v>-383</v>
      </c>
      <c r="R56" s="33">
        <v>-903</v>
      </c>
      <c r="S56" s="33">
        <f t="shared" si="3"/>
        <v>520</v>
      </c>
      <c r="T56" s="38">
        <f t="shared" si="4"/>
        <v>0.42414174972314506</v>
      </c>
      <c r="U56" s="59">
        <f t="shared" si="5"/>
        <v>-903</v>
      </c>
      <c r="V56" s="33">
        <v>0</v>
      </c>
      <c r="W56" s="33">
        <v>0</v>
      </c>
      <c r="X56" s="33"/>
      <c r="Y56" s="33"/>
      <c r="Z56" s="42"/>
      <c r="AA56" s="60"/>
      <c r="AB56" s="105"/>
      <c r="AC56" s="93"/>
      <c r="AD56" s="33">
        <f t="shared" si="6"/>
        <v>0</v>
      </c>
      <c r="AE56" s="33">
        <f t="shared" si="7"/>
        <v>-383</v>
      </c>
      <c r="AF56" s="101">
        <f t="shared" si="8"/>
        <v>520</v>
      </c>
      <c r="AH56" t="str">
        <f>IF(V56='Appendix A 21.03'!V56,"")</f>
        <v/>
      </c>
    </row>
    <row r="57" spans="2:34" ht="13" outlineLevel="2" x14ac:dyDescent="0.3">
      <c r="B57" s="31" t="s">
        <v>90</v>
      </c>
      <c r="C57" s="33">
        <v>71</v>
      </c>
      <c r="D57" s="33">
        <v>147</v>
      </c>
      <c r="E57" s="23">
        <v>0</v>
      </c>
      <c r="F57" s="23">
        <v>0</v>
      </c>
      <c r="G57" s="23">
        <v>77</v>
      </c>
      <c r="H57" s="23">
        <v>0</v>
      </c>
      <c r="I57" s="23">
        <v>0</v>
      </c>
      <c r="J57" s="23">
        <v>0</v>
      </c>
      <c r="K57" s="23">
        <f t="shared" si="0"/>
        <v>77</v>
      </c>
      <c r="L57" s="33">
        <f t="shared" si="1"/>
        <v>0</v>
      </c>
      <c r="M57" s="33">
        <f t="shared" si="2"/>
        <v>76</v>
      </c>
      <c r="N57" s="33">
        <v>147</v>
      </c>
      <c r="O57" s="33">
        <v>309</v>
      </c>
      <c r="P57" s="33">
        <v>-160</v>
      </c>
      <c r="Q57" s="33">
        <v>149</v>
      </c>
      <c r="R57" s="33">
        <v>147</v>
      </c>
      <c r="S57" s="33">
        <f t="shared" si="3"/>
        <v>2</v>
      </c>
      <c r="T57" s="38">
        <f t="shared" si="4"/>
        <v>1.0136054421768708</v>
      </c>
      <c r="U57" s="59">
        <f t="shared" si="5"/>
        <v>147</v>
      </c>
      <c r="V57" s="33">
        <v>0</v>
      </c>
      <c r="W57" s="33">
        <v>0</v>
      </c>
      <c r="X57" s="33"/>
      <c r="Y57" s="33"/>
      <c r="Z57" s="42"/>
      <c r="AA57" s="60"/>
      <c r="AB57" s="105"/>
      <c r="AC57" s="93"/>
      <c r="AD57" s="33">
        <f t="shared" si="6"/>
        <v>0</v>
      </c>
      <c r="AE57" s="33">
        <f t="shared" si="7"/>
        <v>149</v>
      </c>
      <c r="AF57" s="101">
        <f t="shared" si="8"/>
        <v>2</v>
      </c>
      <c r="AH57" t="str">
        <f>IF(V57='Appendix A 21.03'!V57,"")</f>
        <v/>
      </c>
    </row>
    <row r="58" spans="2:34" ht="13" outlineLevel="2" x14ac:dyDescent="0.3">
      <c r="B58" s="31" t="s">
        <v>91</v>
      </c>
      <c r="C58" s="33">
        <v>-226</v>
      </c>
      <c r="D58" s="33">
        <v>9</v>
      </c>
      <c r="E58" s="23">
        <v>0</v>
      </c>
      <c r="F58" s="23">
        <v>0</v>
      </c>
      <c r="G58" s="23">
        <v>0</v>
      </c>
      <c r="H58" s="23">
        <v>0</v>
      </c>
      <c r="I58" s="23">
        <v>235</v>
      </c>
      <c r="J58" s="23">
        <v>0</v>
      </c>
      <c r="K58" s="23">
        <f t="shared" si="0"/>
        <v>235</v>
      </c>
      <c r="L58" s="33">
        <f t="shared" si="1"/>
        <v>0</v>
      </c>
      <c r="M58" s="33">
        <f t="shared" si="2"/>
        <v>235</v>
      </c>
      <c r="N58" s="33">
        <v>9</v>
      </c>
      <c r="O58" s="33">
        <v>461</v>
      </c>
      <c r="P58" s="33">
        <v>-415</v>
      </c>
      <c r="Q58" s="33">
        <v>46</v>
      </c>
      <c r="R58" s="33">
        <v>9</v>
      </c>
      <c r="S58" s="33">
        <f t="shared" si="3"/>
        <v>37</v>
      </c>
      <c r="T58" s="38">
        <f t="shared" si="4"/>
        <v>5.1111111111111107</v>
      </c>
      <c r="U58" s="59">
        <f t="shared" si="5"/>
        <v>9</v>
      </c>
      <c r="V58" s="33">
        <v>0</v>
      </c>
      <c r="W58" s="33">
        <v>0</v>
      </c>
      <c r="X58" s="33"/>
      <c r="Y58" s="33"/>
      <c r="Z58" s="42"/>
      <c r="AA58" s="60"/>
      <c r="AB58" s="105"/>
      <c r="AC58" s="93"/>
      <c r="AD58" s="33">
        <f t="shared" si="6"/>
        <v>0</v>
      </c>
      <c r="AE58" s="33">
        <f t="shared" si="7"/>
        <v>46</v>
      </c>
      <c r="AF58" s="101">
        <f t="shared" si="8"/>
        <v>37</v>
      </c>
      <c r="AH58" t="str">
        <f>IF(V58='Appendix A 21.03'!V58,"")</f>
        <v/>
      </c>
    </row>
    <row r="59" spans="2:34" ht="13" outlineLevel="1" x14ac:dyDescent="0.3">
      <c r="B59" s="32" t="s">
        <v>92</v>
      </c>
      <c r="C59" s="34">
        <f t="shared" ref="C59:J59" si="34">SUBTOTAL(9,C49:C58)</f>
        <v>13051</v>
      </c>
      <c r="D59" s="34">
        <f t="shared" si="34"/>
        <v>13411</v>
      </c>
      <c r="E59" s="24">
        <f t="shared" si="34"/>
        <v>0</v>
      </c>
      <c r="F59" s="24">
        <f t="shared" si="34"/>
        <v>0</v>
      </c>
      <c r="G59" s="24">
        <f t="shared" si="34"/>
        <v>362</v>
      </c>
      <c r="H59" s="24">
        <f t="shared" si="34"/>
        <v>0</v>
      </c>
      <c r="I59" s="24">
        <f t="shared" si="34"/>
        <v>0</v>
      </c>
      <c r="J59" s="24">
        <f t="shared" si="34"/>
        <v>0</v>
      </c>
      <c r="K59" s="24">
        <f>SUM(E59:J59)</f>
        <v>362</v>
      </c>
      <c r="L59" s="34">
        <f t="shared" ref="L59:L60" si="35">N59-D59</f>
        <v>0</v>
      </c>
      <c r="M59" s="34">
        <f t="shared" ref="M59:M60" si="36">N59-C59</f>
        <v>360</v>
      </c>
      <c r="N59" s="34">
        <f>SUBTOTAL(9,N49:N58)</f>
        <v>13411</v>
      </c>
      <c r="O59" s="34">
        <f>SUBTOTAL(9,O49:O58)</f>
        <v>25140</v>
      </c>
      <c r="P59" s="34">
        <f>SUBTOTAL(9,P49:P58)</f>
        <v>-10583</v>
      </c>
      <c r="Q59" s="34">
        <f>SUBTOTAL(9,Q49:Q58)</f>
        <v>14558</v>
      </c>
      <c r="R59" s="34">
        <f>SUBTOTAL(9,R49:R58)</f>
        <v>13411</v>
      </c>
      <c r="S59" s="34">
        <f>Q59-R59</f>
        <v>1147</v>
      </c>
      <c r="T59" s="38">
        <f>IFERROR((Q59/N59)*100%,"∞")</f>
        <v>1.0855268063529937</v>
      </c>
      <c r="U59" s="59">
        <f>N59+V59</f>
        <v>13411</v>
      </c>
      <c r="V59" s="34">
        <f>SUBTOTAL(9,V49:V58)</f>
        <v>0</v>
      </c>
      <c r="W59" s="34">
        <f>SUBTOTAL(9,W49:W58)</f>
        <v>0</v>
      </c>
      <c r="X59" s="34"/>
      <c r="Y59" s="34"/>
      <c r="Z59" s="41"/>
      <c r="AA59" s="60"/>
      <c r="AB59" s="102">
        <f>SUBTOTAL(9,AB1:AB58)</f>
        <v>0</v>
      </c>
      <c r="AC59" s="34">
        <f>SUBTOTAL(9,AC1:AC58)</f>
        <v>0</v>
      </c>
      <c r="AD59" s="34"/>
      <c r="AE59" s="34"/>
      <c r="AF59" s="103"/>
      <c r="AH59" t="str">
        <f>IF(V59='Appendix A 21.03'!V59,"")</f>
        <v/>
      </c>
    </row>
    <row r="60" spans="2:34" ht="13.5" customHeight="1" thickBot="1" x14ac:dyDescent="0.35">
      <c r="B60" s="53" t="s">
        <v>93</v>
      </c>
      <c r="C60" s="35">
        <f t="shared" ref="C60:J60" si="37">SUBTOTAL(9,C49:C59)</f>
        <v>13051</v>
      </c>
      <c r="D60" s="35">
        <f t="shared" si="37"/>
        <v>13411</v>
      </c>
      <c r="E60" s="25">
        <f t="shared" si="37"/>
        <v>0</v>
      </c>
      <c r="F60" s="25">
        <f t="shared" si="37"/>
        <v>0</v>
      </c>
      <c r="G60" s="25">
        <f t="shared" si="37"/>
        <v>362</v>
      </c>
      <c r="H60" s="25">
        <f t="shared" si="37"/>
        <v>0</v>
      </c>
      <c r="I60" s="25">
        <f t="shared" si="37"/>
        <v>0</v>
      </c>
      <c r="J60" s="25">
        <f t="shared" si="37"/>
        <v>0</v>
      </c>
      <c r="K60" s="25">
        <f>SUM(E60:J60)</f>
        <v>362</v>
      </c>
      <c r="L60" s="35">
        <f t="shared" si="35"/>
        <v>0</v>
      </c>
      <c r="M60" s="35">
        <f t="shared" si="36"/>
        <v>360</v>
      </c>
      <c r="N60" s="35">
        <f>SUBTOTAL(9,N49:N59)</f>
        <v>13411</v>
      </c>
      <c r="O60" s="35">
        <f>SUBTOTAL(9,O49:O59)</f>
        <v>25140</v>
      </c>
      <c r="P60" s="35">
        <f>SUBTOTAL(9,P49:P59)</f>
        <v>-10583</v>
      </c>
      <c r="Q60" s="35">
        <f>SUBTOTAL(9,Q49:Q59)</f>
        <v>14558</v>
      </c>
      <c r="R60" s="35">
        <f>SUBTOTAL(9,R49:R59)</f>
        <v>13411</v>
      </c>
      <c r="S60" s="35">
        <f>Q60-R60</f>
        <v>1147</v>
      </c>
      <c r="T60" s="39">
        <f>IFERROR((Q60/N60)*100%,"∞")</f>
        <v>1.0855268063529937</v>
      </c>
      <c r="U60" s="54">
        <f>N60+V60</f>
        <v>13411</v>
      </c>
      <c r="V60" s="35">
        <f>SUBTOTAL(9,V49:V59)</f>
        <v>0</v>
      </c>
      <c r="W60" s="35">
        <f>SUBTOTAL(9,W49:W59)</f>
        <v>0</v>
      </c>
      <c r="X60" s="35"/>
      <c r="Y60" s="35"/>
      <c r="Z60" s="43"/>
      <c r="AA60" s="60"/>
      <c r="AB60" s="104">
        <f>SUBTOTAL(9,AB1:AB59)</f>
        <v>0</v>
      </c>
      <c r="AC60" s="104">
        <f>SUBTOTAL(9,AC1:AC59)</f>
        <v>0</v>
      </c>
      <c r="AD60" s="35">
        <f>SUM(AB60:AC60)</f>
        <v>0</v>
      </c>
      <c r="AE60" s="35">
        <f>Q60+AD60</f>
        <v>14558</v>
      </c>
      <c r="AF60" s="43">
        <f>AE60-N60</f>
        <v>1147</v>
      </c>
      <c r="AH60" t="str">
        <f>IF(V60='Appendix A 21.03'!V60,"")</f>
        <v/>
      </c>
    </row>
    <row r="61" spans="2:34" ht="13.5" outlineLevel="2" thickTop="1" x14ac:dyDescent="0.3">
      <c r="B61" s="31" t="s">
        <v>94</v>
      </c>
      <c r="C61" s="33">
        <v>559</v>
      </c>
      <c r="D61" s="33">
        <v>643</v>
      </c>
      <c r="E61" s="23">
        <v>0</v>
      </c>
      <c r="F61" s="23">
        <v>0</v>
      </c>
      <c r="G61" s="23">
        <v>5</v>
      </c>
      <c r="H61" s="23">
        <v>0</v>
      </c>
      <c r="I61" s="23">
        <v>78</v>
      </c>
      <c r="J61" s="23">
        <v>0</v>
      </c>
      <c r="K61" s="23">
        <f t="shared" si="0"/>
        <v>83</v>
      </c>
      <c r="L61" s="33">
        <f t="shared" si="1"/>
        <v>0</v>
      </c>
      <c r="M61" s="33">
        <f t="shared" si="2"/>
        <v>84</v>
      </c>
      <c r="N61" s="33">
        <v>643</v>
      </c>
      <c r="O61" s="33">
        <v>677</v>
      </c>
      <c r="P61" s="33">
        <v>-1</v>
      </c>
      <c r="Q61" s="33">
        <v>676</v>
      </c>
      <c r="R61" s="33">
        <v>643</v>
      </c>
      <c r="S61" s="33">
        <f t="shared" si="3"/>
        <v>33</v>
      </c>
      <c r="T61" s="38">
        <f t="shared" si="4"/>
        <v>1.0513219284603421</v>
      </c>
      <c r="U61" s="59">
        <f t="shared" si="5"/>
        <v>703</v>
      </c>
      <c r="V61" s="33">
        <v>60</v>
      </c>
      <c r="W61" s="33">
        <v>60</v>
      </c>
      <c r="X61" s="33"/>
      <c r="Y61" s="33"/>
      <c r="Z61" s="42"/>
      <c r="AA61" s="60"/>
      <c r="AB61" s="105"/>
      <c r="AC61" s="93"/>
      <c r="AD61" s="33">
        <f t="shared" si="6"/>
        <v>0</v>
      </c>
      <c r="AE61" s="33">
        <f t="shared" si="7"/>
        <v>676</v>
      </c>
      <c r="AF61" s="101">
        <f t="shared" si="8"/>
        <v>33</v>
      </c>
      <c r="AH61" t="str">
        <f>IF(V61='Appendix A 21.03'!V61,"")</f>
        <v/>
      </c>
    </row>
    <row r="62" spans="2:34" ht="13" outlineLevel="2" x14ac:dyDescent="0.3">
      <c r="B62" s="31" t="s">
        <v>95</v>
      </c>
      <c r="C62" s="33">
        <v>131</v>
      </c>
      <c r="D62" s="33">
        <v>127</v>
      </c>
      <c r="E62" s="23">
        <v>0</v>
      </c>
      <c r="F62" s="23">
        <v>0</v>
      </c>
      <c r="G62" s="23">
        <v>-4</v>
      </c>
      <c r="H62" s="23">
        <v>0</v>
      </c>
      <c r="I62" s="23">
        <v>0</v>
      </c>
      <c r="J62" s="23">
        <v>0</v>
      </c>
      <c r="K62" s="23">
        <f t="shared" si="0"/>
        <v>-4</v>
      </c>
      <c r="L62" s="33">
        <f t="shared" si="1"/>
        <v>0</v>
      </c>
      <c r="M62" s="33">
        <f t="shared" si="2"/>
        <v>-4</v>
      </c>
      <c r="N62" s="33">
        <v>127</v>
      </c>
      <c r="O62" s="33">
        <v>130</v>
      </c>
      <c r="P62" s="33">
        <v>0</v>
      </c>
      <c r="Q62" s="33">
        <v>130</v>
      </c>
      <c r="R62" s="33">
        <v>127</v>
      </c>
      <c r="S62" s="33">
        <f t="shared" si="3"/>
        <v>3</v>
      </c>
      <c r="T62" s="38">
        <f t="shared" si="4"/>
        <v>1.0236220472440944</v>
      </c>
      <c r="U62" s="59">
        <f t="shared" si="5"/>
        <v>127</v>
      </c>
      <c r="V62" s="33">
        <v>0</v>
      </c>
      <c r="W62" s="33">
        <v>0</v>
      </c>
      <c r="X62" s="33"/>
      <c r="Y62" s="33"/>
      <c r="Z62" s="42"/>
      <c r="AA62" s="60"/>
      <c r="AB62" s="105"/>
      <c r="AC62" s="93"/>
      <c r="AD62" s="33">
        <f t="shared" si="6"/>
        <v>0</v>
      </c>
      <c r="AE62" s="33">
        <f t="shared" si="7"/>
        <v>130</v>
      </c>
      <c r="AF62" s="101">
        <f t="shared" si="8"/>
        <v>3</v>
      </c>
      <c r="AH62" t="str">
        <f>IF(V62='Appendix A 21.03'!V62,"")</f>
        <v/>
      </c>
    </row>
    <row r="63" spans="2:34" ht="13" outlineLevel="2" x14ac:dyDescent="0.3">
      <c r="B63" s="31" t="s">
        <v>96</v>
      </c>
      <c r="C63" s="33">
        <v>4443</v>
      </c>
      <c r="D63" s="33">
        <v>4380</v>
      </c>
      <c r="E63" s="23">
        <v>50</v>
      </c>
      <c r="F63" s="23">
        <v>0</v>
      </c>
      <c r="G63" s="23">
        <v>-34</v>
      </c>
      <c r="H63" s="23">
        <v>0</v>
      </c>
      <c r="I63" s="23">
        <v>-78</v>
      </c>
      <c r="J63" s="23">
        <v>0</v>
      </c>
      <c r="K63" s="23">
        <f t="shared" si="0"/>
        <v>-62</v>
      </c>
      <c r="L63" s="33">
        <f t="shared" si="1"/>
        <v>0</v>
      </c>
      <c r="M63" s="33">
        <f t="shared" si="2"/>
        <v>-63</v>
      </c>
      <c r="N63" s="33">
        <v>4380</v>
      </c>
      <c r="O63" s="33">
        <v>4597</v>
      </c>
      <c r="P63" s="33">
        <v>-15</v>
      </c>
      <c r="Q63" s="33">
        <v>4582</v>
      </c>
      <c r="R63" s="33">
        <v>4380</v>
      </c>
      <c r="S63" s="33">
        <f t="shared" si="3"/>
        <v>202</v>
      </c>
      <c r="T63" s="38">
        <f t="shared" si="4"/>
        <v>1.0461187214611871</v>
      </c>
      <c r="U63" s="59">
        <f t="shared" si="5"/>
        <v>4490</v>
      </c>
      <c r="V63" s="33">
        <v>110</v>
      </c>
      <c r="W63" s="33">
        <v>110</v>
      </c>
      <c r="X63" s="33"/>
      <c r="Y63" s="33"/>
      <c r="Z63" s="42"/>
      <c r="AA63" s="60"/>
      <c r="AB63" s="105"/>
      <c r="AC63" s="93"/>
      <c r="AD63" s="33">
        <f t="shared" si="6"/>
        <v>0</v>
      </c>
      <c r="AE63" s="33">
        <f t="shared" si="7"/>
        <v>4582</v>
      </c>
      <c r="AF63" s="101">
        <f t="shared" si="8"/>
        <v>202</v>
      </c>
      <c r="AH63" t="str">
        <f>IF(V63='Appendix A 21.03'!V63,"")</f>
        <v/>
      </c>
    </row>
    <row r="64" spans="2:34" ht="13" outlineLevel="2" x14ac:dyDescent="0.3">
      <c r="B64" s="31" t="s">
        <v>97</v>
      </c>
      <c r="C64" s="33">
        <v>2769</v>
      </c>
      <c r="D64" s="33">
        <v>2723</v>
      </c>
      <c r="E64" s="23">
        <v>0</v>
      </c>
      <c r="F64" s="23">
        <v>0</v>
      </c>
      <c r="G64" s="23">
        <v>-47</v>
      </c>
      <c r="H64" s="23">
        <v>0</v>
      </c>
      <c r="I64" s="23">
        <v>0</v>
      </c>
      <c r="J64" s="23">
        <v>0</v>
      </c>
      <c r="K64" s="23">
        <f t="shared" si="0"/>
        <v>-47</v>
      </c>
      <c r="L64" s="33">
        <f t="shared" si="1"/>
        <v>0</v>
      </c>
      <c r="M64" s="33">
        <f t="shared" si="2"/>
        <v>-46</v>
      </c>
      <c r="N64" s="33">
        <v>2723</v>
      </c>
      <c r="O64" s="33">
        <v>2944</v>
      </c>
      <c r="P64" s="33">
        <v>-63</v>
      </c>
      <c r="Q64" s="33">
        <v>2882</v>
      </c>
      <c r="R64" s="33">
        <v>2723</v>
      </c>
      <c r="S64" s="33">
        <f t="shared" si="3"/>
        <v>159</v>
      </c>
      <c r="T64" s="38">
        <f t="shared" si="4"/>
        <v>1.0583914799853102</v>
      </c>
      <c r="U64" s="59">
        <f t="shared" si="5"/>
        <v>2915</v>
      </c>
      <c r="V64" s="33">
        <v>192</v>
      </c>
      <c r="W64" s="33">
        <v>192</v>
      </c>
      <c r="X64" s="33"/>
      <c r="Y64" s="33"/>
      <c r="Z64" s="42"/>
      <c r="AA64" s="60"/>
      <c r="AB64" s="105"/>
      <c r="AC64" s="93"/>
      <c r="AD64" s="33">
        <f t="shared" si="6"/>
        <v>0</v>
      </c>
      <c r="AE64" s="33">
        <f t="shared" si="7"/>
        <v>2882</v>
      </c>
      <c r="AF64" s="101">
        <f t="shared" si="8"/>
        <v>159</v>
      </c>
      <c r="AH64" t="str">
        <f>IF(V64='Appendix A 21.03'!V64,"")</f>
        <v/>
      </c>
    </row>
    <row r="65" spans="2:34" ht="13" outlineLevel="2" x14ac:dyDescent="0.3">
      <c r="B65" s="31" t="s">
        <v>98</v>
      </c>
      <c r="C65" s="33">
        <v>1828</v>
      </c>
      <c r="D65" s="33">
        <v>1884</v>
      </c>
      <c r="E65" s="23">
        <v>124</v>
      </c>
      <c r="F65" s="23">
        <v>0</v>
      </c>
      <c r="G65" s="23">
        <v>-27</v>
      </c>
      <c r="H65" s="23">
        <v>0</v>
      </c>
      <c r="I65" s="23">
        <v>-42</v>
      </c>
      <c r="J65" s="23">
        <v>105</v>
      </c>
      <c r="K65" s="23">
        <f t="shared" si="0"/>
        <v>160</v>
      </c>
      <c r="L65" s="33">
        <f t="shared" si="1"/>
        <v>105</v>
      </c>
      <c r="M65" s="33">
        <f t="shared" si="2"/>
        <v>161</v>
      </c>
      <c r="N65" s="33">
        <v>1989</v>
      </c>
      <c r="O65" s="33">
        <v>1697</v>
      </c>
      <c r="P65" s="33">
        <v>-55</v>
      </c>
      <c r="Q65" s="33">
        <v>1642</v>
      </c>
      <c r="R65" s="33">
        <v>1989</v>
      </c>
      <c r="S65" s="33">
        <f t="shared" si="3"/>
        <v>-347</v>
      </c>
      <c r="T65" s="38">
        <f t="shared" si="4"/>
        <v>0.82554047259929608</v>
      </c>
      <c r="U65" s="59">
        <f t="shared" si="5"/>
        <v>1725</v>
      </c>
      <c r="V65" s="33">
        <v>-264</v>
      </c>
      <c r="W65" s="33">
        <v>-264</v>
      </c>
      <c r="X65" s="33"/>
      <c r="Y65" s="33"/>
      <c r="Z65" s="42"/>
      <c r="AA65" s="60"/>
      <c r="AB65" s="105"/>
      <c r="AC65" s="93"/>
      <c r="AD65" s="33">
        <f t="shared" si="6"/>
        <v>0</v>
      </c>
      <c r="AE65" s="33">
        <f t="shared" si="7"/>
        <v>1642</v>
      </c>
      <c r="AF65" s="101">
        <f t="shared" si="8"/>
        <v>-347</v>
      </c>
      <c r="AH65" t="str">
        <f>IF(V65='Appendix A 21.03'!V65,"")</f>
        <v/>
      </c>
    </row>
    <row r="66" spans="2:34" ht="13" outlineLevel="1" x14ac:dyDescent="0.3">
      <c r="B66" s="32" t="s">
        <v>100</v>
      </c>
      <c r="C66" s="34">
        <f t="shared" ref="C66:J66" si="38">SUBTOTAL(9,C61:C65)</f>
        <v>9730</v>
      </c>
      <c r="D66" s="34">
        <f t="shared" si="38"/>
        <v>9757</v>
      </c>
      <c r="E66" s="24">
        <f t="shared" si="38"/>
        <v>174</v>
      </c>
      <c r="F66" s="24">
        <f t="shared" si="38"/>
        <v>0</v>
      </c>
      <c r="G66" s="24">
        <f t="shared" si="38"/>
        <v>-107</v>
      </c>
      <c r="H66" s="24">
        <f t="shared" si="38"/>
        <v>0</v>
      </c>
      <c r="I66" s="24">
        <f t="shared" si="38"/>
        <v>-42</v>
      </c>
      <c r="J66" s="24">
        <f t="shared" si="38"/>
        <v>105</v>
      </c>
      <c r="K66" s="24">
        <f>SUM(E66:J66)</f>
        <v>130</v>
      </c>
      <c r="L66" s="34">
        <f t="shared" ref="L66" si="39">N66-D66</f>
        <v>105</v>
      </c>
      <c r="M66" s="34">
        <f t="shared" ref="M66" si="40">N66-C66</f>
        <v>132</v>
      </c>
      <c r="N66" s="34">
        <f>SUBTOTAL(9,N61:N65)</f>
        <v>9862</v>
      </c>
      <c r="O66" s="34">
        <f>SUBTOTAL(9,O61:O65)</f>
        <v>10045</v>
      </c>
      <c r="P66" s="34">
        <f>SUBTOTAL(9,P61:P65)</f>
        <v>-134</v>
      </c>
      <c r="Q66" s="34">
        <f>SUBTOTAL(9,Q61:Q65)</f>
        <v>9912</v>
      </c>
      <c r="R66" s="34">
        <f>SUBTOTAL(9,R61:R65)</f>
        <v>9862</v>
      </c>
      <c r="S66" s="34">
        <f>Q66-R66</f>
        <v>50</v>
      </c>
      <c r="T66" s="38">
        <f>IFERROR((Q66/N66)*100%,"∞")</f>
        <v>1.0050699655242343</v>
      </c>
      <c r="U66" s="59">
        <f>N66+V66</f>
        <v>9960</v>
      </c>
      <c r="V66" s="34">
        <f>SUBTOTAL(9,V61:V65)</f>
        <v>98</v>
      </c>
      <c r="W66" s="34">
        <f>SUBTOTAL(9,W61:W65)</f>
        <v>98</v>
      </c>
      <c r="X66" s="34"/>
      <c r="Y66" s="34"/>
      <c r="Z66" s="41"/>
      <c r="AA66" s="60"/>
      <c r="AB66" s="102">
        <f>SUBTOTAL(9,AB1:AB65)</f>
        <v>0</v>
      </c>
      <c r="AC66" s="34">
        <f>SUBTOTAL(9,AC1:AC65)</f>
        <v>0</v>
      </c>
      <c r="AD66" s="34"/>
      <c r="AE66" s="34"/>
      <c r="AF66" s="103"/>
      <c r="AH66" t="str">
        <f>IF(V66='Appendix A 21.03'!V66,"")</f>
        <v/>
      </c>
    </row>
    <row r="67" spans="2:34" ht="13" outlineLevel="2" x14ac:dyDescent="0.3">
      <c r="B67" s="31" t="s">
        <v>101</v>
      </c>
      <c r="C67" s="33">
        <v>1087</v>
      </c>
      <c r="D67" s="33">
        <v>1061</v>
      </c>
      <c r="E67" s="23">
        <v>0</v>
      </c>
      <c r="F67" s="23">
        <v>0</v>
      </c>
      <c r="G67" s="23">
        <v>-28</v>
      </c>
      <c r="H67" s="23">
        <v>0</v>
      </c>
      <c r="I67" s="23">
        <v>2</v>
      </c>
      <c r="J67" s="23">
        <v>0</v>
      </c>
      <c r="K67" s="23">
        <f t="shared" si="0"/>
        <v>-26</v>
      </c>
      <c r="L67" s="33">
        <f t="shared" si="1"/>
        <v>0</v>
      </c>
      <c r="M67" s="33">
        <f t="shared" si="2"/>
        <v>-26</v>
      </c>
      <c r="N67" s="33">
        <v>1061</v>
      </c>
      <c r="O67" s="33">
        <v>1316</v>
      </c>
      <c r="P67" s="33">
        <v>-396</v>
      </c>
      <c r="Q67" s="33">
        <v>920</v>
      </c>
      <c r="R67" s="33">
        <v>1061</v>
      </c>
      <c r="S67" s="33">
        <f t="shared" si="3"/>
        <v>-141</v>
      </c>
      <c r="T67" s="38">
        <f t="shared" si="4"/>
        <v>0.8671065032987747</v>
      </c>
      <c r="U67" s="59">
        <f t="shared" si="5"/>
        <v>991</v>
      </c>
      <c r="V67" s="33">
        <v>-70</v>
      </c>
      <c r="W67" s="33">
        <v>-70</v>
      </c>
      <c r="X67" s="33"/>
      <c r="Y67" s="33"/>
      <c r="Z67" s="42"/>
      <c r="AA67" s="60"/>
      <c r="AB67" s="105"/>
      <c r="AC67" s="93"/>
      <c r="AD67" s="33">
        <f t="shared" si="6"/>
        <v>0</v>
      </c>
      <c r="AE67" s="33">
        <f t="shared" si="7"/>
        <v>920</v>
      </c>
      <c r="AF67" s="101">
        <f t="shared" si="8"/>
        <v>-141</v>
      </c>
      <c r="AH67" t="str">
        <f>IF(V67='Appendix A 21.03'!V67,"")</f>
        <v/>
      </c>
    </row>
    <row r="68" spans="2:34" ht="13" outlineLevel="2" x14ac:dyDescent="0.3">
      <c r="B68" s="31" t="s">
        <v>102</v>
      </c>
      <c r="C68" s="33">
        <v>230</v>
      </c>
      <c r="D68" s="33">
        <v>230</v>
      </c>
      <c r="E68" s="23">
        <v>0</v>
      </c>
      <c r="F68" s="23">
        <v>0</v>
      </c>
      <c r="G68" s="23">
        <v>0</v>
      </c>
      <c r="H68" s="23">
        <v>0</v>
      </c>
      <c r="I68" s="23">
        <v>0</v>
      </c>
      <c r="J68" s="23">
        <v>0</v>
      </c>
      <c r="K68" s="23">
        <f t="shared" si="0"/>
        <v>0</v>
      </c>
      <c r="L68" s="33">
        <f t="shared" si="1"/>
        <v>0</v>
      </c>
      <c r="M68" s="33">
        <f t="shared" si="2"/>
        <v>0</v>
      </c>
      <c r="N68" s="33">
        <v>230</v>
      </c>
      <c r="O68" s="33">
        <v>571</v>
      </c>
      <c r="P68" s="33">
        <v>-36</v>
      </c>
      <c r="Q68" s="33">
        <v>536</v>
      </c>
      <c r="R68" s="33">
        <v>230</v>
      </c>
      <c r="S68" s="33">
        <f t="shared" si="3"/>
        <v>306</v>
      </c>
      <c r="T68" s="38">
        <f t="shared" si="4"/>
        <v>2.3304347826086955</v>
      </c>
      <c r="U68" s="59">
        <f t="shared" si="5"/>
        <v>370</v>
      </c>
      <c r="V68" s="33">
        <v>140</v>
      </c>
      <c r="W68" s="33">
        <v>140</v>
      </c>
      <c r="X68" s="33"/>
      <c r="Y68" s="33"/>
      <c r="Z68" s="42"/>
      <c r="AA68" s="60"/>
      <c r="AB68" s="105"/>
      <c r="AC68" s="93"/>
      <c r="AD68" s="33">
        <f t="shared" si="6"/>
        <v>0</v>
      </c>
      <c r="AE68" s="33">
        <f t="shared" si="7"/>
        <v>536</v>
      </c>
      <c r="AF68" s="101">
        <f t="shared" si="8"/>
        <v>306</v>
      </c>
      <c r="AH68" t="str">
        <f>IF(V68='Appendix A 21.03'!V68,"")</f>
        <v/>
      </c>
    </row>
    <row r="69" spans="2:34" ht="13" outlineLevel="2" x14ac:dyDescent="0.3">
      <c r="B69" s="31" t="s">
        <v>103</v>
      </c>
      <c r="C69" s="33">
        <v>283</v>
      </c>
      <c r="D69" s="33">
        <v>278</v>
      </c>
      <c r="E69" s="23">
        <v>0</v>
      </c>
      <c r="F69" s="23">
        <v>0</v>
      </c>
      <c r="G69" s="23">
        <v>-10</v>
      </c>
      <c r="H69" s="23">
        <v>0</v>
      </c>
      <c r="I69" s="23">
        <v>5</v>
      </c>
      <c r="J69" s="23">
        <v>0</v>
      </c>
      <c r="K69" s="23">
        <f t="shared" ref="K69:K79" si="41">SUM(E69:J69)</f>
        <v>-5</v>
      </c>
      <c r="L69" s="33">
        <f t="shared" ref="L69:L81" si="42">N69-D69</f>
        <v>0</v>
      </c>
      <c r="M69" s="33">
        <f t="shared" ref="M69:M81" si="43">N69-C69</f>
        <v>-5</v>
      </c>
      <c r="N69" s="33">
        <v>278</v>
      </c>
      <c r="O69" s="33">
        <v>578</v>
      </c>
      <c r="P69" s="33">
        <v>-234</v>
      </c>
      <c r="Q69" s="33">
        <v>344</v>
      </c>
      <c r="R69" s="33">
        <v>278</v>
      </c>
      <c r="S69" s="33">
        <f t="shared" ref="S69:S79" si="44">Q69-R69</f>
        <v>66</v>
      </c>
      <c r="T69" s="38">
        <f t="shared" ref="T69:T79" si="45">IFERROR((Q69/N69)*100%,"∞")</f>
        <v>1.2374100719424461</v>
      </c>
      <c r="U69" s="59">
        <f t="shared" ref="U69:U79" si="46">N69+V69</f>
        <v>278</v>
      </c>
      <c r="V69" s="33">
        <v>0</v>
      </c>
      <c r="W69" s="33">
        <v>0</v>
      </c>
      <c r="X69" s="33"/>
      <c r="Y69" s="33"/>
      <c r="Z69" s="42"/>
      <c r="AA69" s="60"/>
      <c r="AB69" s="105"/>
      <c r="AC69" s="93"/>
      <c r="AD69" s="33">
        <f t="shared" ref="AD69:AD79" si="47">SUM(AB69:AC69)</f>
        <v>0</v>
      </c>
      <c r="AE69" s="33">
        <f t="shared" ref="AE69:AE79" si="48">Q69+AD69</f>
        <v>344</v>
      </c>
      <c r="AF69" s="101">
        <f t="shared" ref="AF69:AF79" si="49">AE69-N69</f>
        <v>66</v>
      </c>
      <c r="AH69" t="str">
        <f>IF(V69='Appendix A 21.03'!V69,"")</f>
        <v/>
      </c>
    </row>
    <row r="70" spans="2:34" ht="13" outlineLevel="2" x14ac:dyDescent="0.3">
      <c r="B70" s="31" t="s">
        <v>104</v>
      </c>
      <c r="C70" s="33">
        <v>494</v>
      </c>
      <c r="D70" s="33">
        <v>491</v>
      </c>
      <c r="E70" s="23">
        <v>0</v>
      </c>
      <c r="F70" s="23">
        <v>0</v>
      </c>
      <c r="G70" s="23">
        <v>-8</v>
      </c>
      <c r="H70" s="23">
        <v>0</v>
      </c>
      <c r="I70" s="23">
        <v>4</v>
      </c>
      <c r="J70" s="23">
        <v>-15</v>
      </c>
      <c r="K70" s="23">
        <f t="shared" si="41"/>
        <v>-19</v>
      </c>
      <c r="L70" s="33">
        <f t="shared" si="42"/>
        <v>-15</v>
      </c>
      <c r="M70" s="33">
        <f t="shared" si="43"/>
        <v>-18</v>
      </c>
      <c r="N70" s="33">
        <v>476</v>
      </c>
      <c r="O70" s="33">
        <v>598</v>
      </c>
      <c r="P70" s="33">
        <v>0</v>
      </c>
      <c r="Q70" s="33">
        <v>598</v>
      </c>
      <c r="R70" s="33">
        <v>476</v>
      </c>
      <c r="S70" s="33">
        <f t="shared" si="44"/>
        <v>122</v>
      </c>
      <c r="T70" s="38">
        <f t="shared" si="45"/>
        <v>1.2563025210084033</v>
      </c>
      <c r="U70" s="59">
        <f t="shared" si="46"/>
        <v>511</v>
      </c>
      <c r="V70" s="33">
        <v>35</v>
      </c>
      <c r="W70" s="33">
        <v>35</v>
      </c>
      <c r="X70" s="33"/>
      <c r="Y70" s="33"/>
      <c r="Z70" s="42"/>
      <c r="AA70" s="60"/>
      <c r="AB70" s="105"/>
      <c r="AC70" s="93"/>
      <c r="AD70" s="33">
        <f t="shared" si="47"/>
        <v>0</v>
      </c>
      <c r="AE70" s="33">
        <f t="shared" si="48"/>
        <v>598</v>
      </c>
      <c r="AF70" s="101">
        <f t="shared" si="49"/>
        <v>122</v>
      </c>
      <c r="AH70" t="str">
        <f>IF(V70='Appendix A 21.03'!V70,"")</f>
        <v/>
      </c>
    </row>
    <row r="71" spans="2:34" ht="13" outlineLevel="2" x14ac:dyDescent="0.3">
      <c r="B71" s="31" t="s">
        <v>105</v>
      </c>
      <c r="C71" s="33">
        <v>955</v>
      </c>
      <c r="D71" s="33">
        <v>921</v>
      </c>
      <c r="E71" s="23">
        <v>0</v>
      </c>
      <c r="F71" s="23">
        <v>488</v>
      </c>
      <c r="G71" s="23">
        <v>-35</v>
      </c>
      <c r="H71" s="23">
        <v>0</v>
      </c>
      <c r="I71" s="23">
        <v>2</v>
      </c>
      <c r="J71" s="23">
        <v>-15</v>
      </c>
      <c r="K71" s="23">
        <f t="shared" si="41"/>
        <v>440</v>
      </c>
      <c r="L71" s="33">
        <f t="shared" si="42"/>
        <v>473</v>
      </c>
      <c r="M71" s="33">
        <f t="shared" si="43"/>
        <v>439</v>
      </c>
      <c r="N71" s="33">
        <v>1394</v>
      </c>
      <c r="O71" s="33">
        <v>2729</v>
      </c>
      <c r="P71" s="33">
        <v>-1337</v>
      </c>
      <c r="Q71" s="33">
        <v>1391</v>
      </c>
      <c r="R71" s="33">
        <v>1394</v>
      </c>
      <c r="S71" s="33">
        <f t="shared" si="44"/>
        <v>-3</v>
      </c>
      <c r="T71" s="38">
        <f t="shared" si="45"/>
        <v>0.9978479196556671</v>
      </c>
      <c r="U71" s="59">
        <f t="shared" si="46"/>
        <v>1342</v>
      </c>
      <c r="V71" s="33">
        <v>-52</v>
      </c>
      <c r="W71" s="33">
        <v>-52</v>
      </c>
      <c r="X71" s="33"/>
      <c r="Y71" s="33"/>
      <c r="Z71" s="42"/>
      <c r="AA71" s="60"/>
      <c r="AB71" s="105"/>
      <c r="AC71" s="93"/>
      <c r="AD71" s="33">
        <f t="shared" si="47"/>
        <v>0</v>
      </c>
      <c r="AE71" s="33">
        <f t="shared" si="48"/>
        <v>1391</v>
      </c>
      <c r="AF71" s="101">
        <f t="shared" si="49"/>
        <v>-3</v>
      </c>
      <c r="AH71" t="str">
        <f>IF(V71='Appendix A 21.03'!V71,"")</f>
        <v/>
      </c>
    </row>
    <row r="72" spans="2:34" ht="13" outlineLevel="2" x14ac:dyDescent="0.3">
      <c r="B72" s="31" t="s">
        <v>106</v>
      </c>
      <c r="C72" s="33">
        <v>120</v>
      </c>
      <c r="D72" s="33">
        <v>117</v>
      </c>
      <c r="E72" s="23">
        <v>0</v>
      </c>
      <c r="F72" s="23">
        <v>0</v>
      </c>
      <c r="G72" s="23">
        <v>-3</v>
      </c>
      <c r="H72" s="23">
        <v>0</v>
      </c>
      <c r="I72" s="23">
        <v>0</v>
      </c>
      <c r="J72" s="23">
        <v>0</v>
      </c>
      <c r="K72" s="23">
        <f t="shared" si="41"/>
        <v>-3</v>
      </c>
      <c r="L72" s="33">
        <f t="shared" si="42"/>
        <v>0</v>
      </c>
      <c r="M72" s="33">
        <f t="shared" si="43"/>
        <v>-3</v>
      </c>
      <c r="N72" s="33">
        <v>117</v>
      </c>
      <c r="O72" s="33">
        <v>167</v>
      </c>
      <c r="P72" s="33">
        <v>0</v>
      </c>
      <c r="Q72" s="33">
        <v>166</v>
      </c>
      <c r="R72" s="33">
        <v>117</v>
      </c>
      <c r="S72" s="33">
        <f t="shared" si="44"/>
        <v>49</v>
      </c>
      <c r="T72" s="38">
        <f t="shared" si="45"/>
        <v>1.4188034188034189</v>
      </c>
      <c r="U72" s="59">
        <f t="shared" si="46"/>
        <v>117</v>
      </c>
      <c r="V72" s="33">
        <v>0</v>
      </c>
      <c r="W72" s="33">
        <v>0</v>
      </c>
      <c r="X72" s="33"/>
      <c r="Y72" s="33"/>
      <c r="Z72" s="42"/>
      <c r="AA72" s="60"/>
      <c r="AB72" s="105"/>
      <c r="AC72" s="93"/>
      <c r="AD72" s="33">
        <f t="shared" si="47"/>
        <v>0</v>
      </c>
      <c r="AE72" s="33">
        <f t="shared" si="48"/>
        <v>166</v>
      </c>
      <c r="AF72" s="101">
        <f t="shared" si="49"/>
        <v>49</v>
      </c>
      <c r="AH72" t="str">
        <f>IF(V72='Appendix A 21.03'!V72,"")</f>
        <v/>
      </c>
    </row>
    <row r="73" spans="2:34" ht="13" outlineLevel="1" x14ac:dyDescent="0.3">
      <c r="B73" s="32" t="s">
        <v>107</v>
      </c>
      <c r="C73" s="34">
        <f t="shared" ref="C73:J73" si="50">SUBTOTAL(9,C67:C72)</f>
        <v>3169</v>
      </c>
      <c r="D73" s="34">
        <f t="shared" si="50"/>
        <v>3098</v>
      </c>
      <c r="E73" s="24">
        <f t="shared" si="50"/>
        <v>0</v>
      </c>
      <c r="F73" s="24">
        <f t="shared" si="50"/>
        <v>488</v>
      </c>
      <c r="G73" s="24">
        <f t="shared" si="50"/>
        <v>-84</v>
      </c>
      <c r="H73" s="24">
        <f t="shared" si="50"/>
        <v>0</v>
      </c>
      <c r="I73" s="24">
        <f t="shared" si="50"/>
        <v>13</v>
      </c>
      <c r="J73" s="24">
        <f t="shared" si="50"/>
        <v>-30</v>
      </c>
      <c r="K73" s="24">
        <f>SUM(E73:J73)</f>
        <v>387</v>
      </c>
      <c r="L73" s="34">
        <f t="shared" si="42"/>
        <v>458</v>
      </c>
      <c r="M73" s="34">
        <f t="shared" si="43"/>
        <v>387</v>
      </c>
      <c r="N73" s="34">
        <f>SUBTOTAL(9,N67:N72)</f>
        <v>3556</v>
      </c>
      <c r="O73" s="34">
        <f>SUBTOTAL(9,O67:O72)</f>
        <v>5959</v>
      </c>
      <c r="P73" s="34">
        <f>SUBTOTAL(9,P67:P72)</f>
        <v>-2003</v>
      </c>
      <c r="Q73" s="34">
        <f>SUBTOTAL(9,Q67:Q72)</f>
        <v>3955</v>
      </c>
      <c r="R73" s="34">
        <f>SUBTOTAL(9,R67:R72)</f>
        <v>3556</v>
      </c>
      <c r="S73" s="34">
        <f>Q73-R73</f>
        <v>399</v>
      </c>
      <c r="T73" s="38">
        <f>IFERROR((Q73/N73)*100%,"∞")</f>
        <v>1.1122047244094488</v>
      </c>
      <c r="U73" s="59">
        <f>N73+V73</f>
        <v>3609</v>
      </c>
      <c r="V73" s="34">
        <f>SUBTOTAL(9,V67:V72)</f>
        <v>53</v>
      </c>
      <c r="W73" s="34">
        <f>SUBTOTAL(9,W67:W72)</f>
        <v>53</v>
      </c>
      <c r="X73" s="34"/>
      <c r="Y73" s="34"/>
      <c r="Z73" s="41"/>
      <c r="AA73" s="60"/>
      <c r="AB73" s="102">
        <f>SUBTOTAL(9,AB1:AB72)</f>
        <v>0</v>
      </c>
      <c r="AC73" s="34">
        <f>SUBTOTAL(9,AC1:AC72)</f>
        <v>0</v>
      </c>
      <c r="AD73" s="34"/>
      <c r="AE73" s="34"/>
      <c r="AF73" s="103"/>
      <c r="AH73" t="str">
        <f>IF(V73='Appendix A 21.03'!V73,"")</f>
        <v/>
      </c>
    </row>
    <row r="74" spans="2:34" ht="13" outlineLevel="2" x14ac:dyDescent="0.3">
      <c r="B74" s="31" t="s">
        <v>108</v>
      </c>
      <c r="C74" s="33">
        <v>760</v>
      </c>
      <c r="D74" s="33">
        <v>737</v>
      </c>
      <c r="E74" s="23">
        <v>0</v>
      </c>
      <c r="F74" s="23">
        <v>0</v>
      </c>
      <c r="G74" s="23">
        <v>-22</v>
      </c>
      <c r="H74" s="23">
        <v>0</v>
      </c>
      <c r="I74" s="23">
        <v>0</v>
      </c>
      <c r="J74" s="23">
        <v>0</v>
      </c>
      <c r="K74" s="23">
        <f t="shared" si="41"/>
        <v>-22</v>
      </c>
      <c r="L74" s="33">
        <f t="shared" si="42"/>
        <v>0</v>
      </c>
      <c r="M74" s="33">
        <f t="shared" si="43"/>
        <v>-23</v>
      </c>
      <c r="N74" s="33">
        <v>737</v>
      </c>
      <c r="O74" s="33">
        <v>753</v>
      </c>
      <c r="P74" s="33">
        <v>-25</v>
      </c>
      <c r="Q74" s="33">
        <v>729</v>
      </c>
      <c r="R74" s="33">
        <v>737</v>
      </c>
      <c r="S74" s="33">
        <f t="shared" si="44"/>
        <v>-8</v>
      </c>
      <c r="T74" s="38">
        <f t="shared" si="45"/>
        <v>0.98914518317503397</v>
      </c>
      <c r="U74" s="59">
        <f t="shared" si="46"/>
        <v>737</v>
      </c>
      <c r="V74" s="33">
        <v>0</v>
      </c>
      <c r="W74" s="33">
        <v>0</v>
      </c>
      <c r="X74" s="33"/>
      <c r="Y74" s="33"/>
      <c r="Z74" s="42"/>
      <c r="AA74" s="60"/>
      <c r="AB74" s="105"/>
      <c r="AC74" s="93"/>
      <c r="AD74" s="33">
        <f t="shared" si="47"/>
        <v>0</v>
      </c>
      <c r="AE74" s="33">
        <f t="shared" si="48"/>
        <v>729</v>
      </c>
      <c r="AF74" s="101">
        <f t="shared" si="49"/>
        <v>-8</v>
      </c>
      <c r="AH74" t="str">
        <f>IF(V74='Appendix A 21.03'!V74,"")</f>
        <v/>
      </c>
    </row>
    <row r="75" spans="2:34" ht="13" outlineLevel="2" x14ac:dyDescent="0.3">
      <c r="B75" s="31" t="s">
        <v>109</v>
      </c>
      <c r="C75" s="33">
        <v>337</v>
      </c>
      <c r="D75" s="33">
        <v>332</v>
      </c>
      <c r="E75" s="23">
        <v>0</v>
      </c>
      <c r="F75" s="23">
        <v>0</v>
      </c>
      <c r="G75" s="23">
        <v>-5</v>
      </c>
      <c r="H75" s="23">
        <v>0</v>
      </c>
      <c r="I75" s="23">
        <v>0</v>
      </c>
      <c r="J75" s="23">
        <v>0</v>
      </c>
      <c r="K75" s="23">
        <f t="shared" si="41"/>
        <v>-5</v>
      </c>
      <c r="L75" s="33">
        <f t="shared" si="42"/>
        <v>0</v>
      </c>
      <c r="M75" s="33">
        <f t="shared" si="43"/>
        <v>-5</v>
      </c>
      <c r="N75" s="33">
        <v>332</v>
      </c>
      <c r="O75" s="33">
        <v>341</v>
      </c>
      <c r="P75" s="33">
        <v>0</v>
      </c>
      <c r="Q75" s="33">
        <v>341</v>
      </c>
      <c r="R75" s="33">
        <v>332</v>
      </c>
      <c r="S75" s="33">
        <f t="shared" si="44"/>
        <v>9</v>
      </c>
      <c r="T75" s="38">
        <f t="shared" si="45"/>
        <v>1.0271084337349397</v>
      </c>
      <c r="U75" s="59">
        <f t="shared" si="46"/>
        <v>332</v>
      </c>
      <c r="V75" s="33">
        <v>0</v>
      </c>
      <c r="W75" s="33">
        <v>0</v>
      </c>
      <c r="X75" s="33"/>
      <c r="Y75" s="33"/>
      <c r="Z75" s="42"/>
      <c r="AA75" s="60"/>
      <c r="AB75" s="105"/>
      <c r="AC75" s="93"/>
      <c r="AD75" s="33">
        <f t="shared" si="47"/>
        <v>0</v>
      </c>
      <c r="AE75" s="33">
        <f t="shared" si="48"/>
        <v>341</v>
      </c>
      <c r="AF75" s="101">
        <f t="shared" si="49"/>
        <v>9</v>
      </c>
      <c r="AH75" t="str">
        <f>IF(V75='Appendix A 21.03'!V75,"")</f>
        <v/>
      </c>
    </row>
    <row r="76" spans="2:34" ht="13" outlineLevel="1" x14ac:dyDescent="0.3">
      <c r="B76" s="32" t="s">
        <v>110</v>
      </c>
      <c r="C76" s="34">
        <f t="shared" ref="C76:J76" si="51">SUBTOTAL(9,C74:C75)</f>
        <v>1097</v>
      </c>
      <c r="D76" s="34">
        <f t="shared" si="51"/>
        <v>1069</v>
      </c>
      <c r="E76" s="24">
        <f t="shared" si="51"/>
        <v>0</v>
      </c>
      <c r="F76" s="24">
        <f t="shared" si="51"/>
        <v>0</v>
      </c>
      <c r="G76" s="24">
        <f t="shared" si="51"/>
        <v>-27</v>
      </c>
      <c r="H76" s="24">
        <f t="shared" si="51"/>
        <v>0</v>
      </c>
      <c r="I76" s="24">
        <f t="shared" si="51"/>
        <v>0</v>
      </c>
      <c r="J76" s="24">
        <f t="shared" si="51"/>
        <v>0</v>
      </c>
      <c r="K76" s="24">
        <f>SUM(E76:J76)</f>
        <v>-27</v>
      </c>
      <c r="L76" s="34">
        <f t="shared" si="42"/>
        <v>0</v>
      </c>
      <c r="M76" s="34">
        <f t="shared" si="43"/>
        <v>-28</v>
      </c>
      <c r="N76" s="34">
        <f>SUBTOTAL(9,N74:N75)</f>
        <v>1069</v>
      </c>
      <c r="O76" s="34">
        <f>SUBTOTAL(9,O74:O75)</f>
        <v>1094</v>
      </c>
      <c r="P76" s="34">
        <f>SUBTOTAL(9,P74:P75)</f>
        <v>-25</v>
      </c>
      <c r="Q76" s="34">
        <f>SUBTOTAL(9,Q74:Q75)</f>
        <v>1070</v>
      </c>
      <c r="R76" s="34">
        <f>SUBTOTAL(9,R74:R75)</f>
        <v>1069</v>
      </c>
      <c r="S76" s="34">
        <f>Q76-R76</f>
        <v>1</v>
      </c>
      <c r="T76" s="38">
        <f>IFERROR((Q76/N76)*100%,"∞")</f>
        <v>1.0009354536950421</v>
      </c>
      <c r="U76" s="59">
        <f>N76+V76</f>
        <v>1069</v>
      </c>
      <c r="V76" s="34">
        <f>SUBTOTAL(9,V74:V75)</f>
        <v>0</v>
      </c>
      <c r="W76" s="34">
        <f>SUBTOTAL(9,W74:W75)</f>
        <v>0</v>
      </c>
      <c r="X76" s="34"/>
      <c r="Y76" s="34"/>
      <c r="Z76" s="41"/>
      <c r="AA76" s="60"/>
      <c r="AB76" s="102">
        <f>SUBTOTAL(9,AB2:AB75)</f>
        <v>0</v>
      </c>
      <c r="AC76" s="34">
        <f>SUBTOTAL(9,AC2:AC75)</f>
        <v>0</v>
      </c>
      <c r="AD76" s="34"/>
      <c r="AE76" s="34"/>
      <c r="AF76" s="103"/>
      <c r="AH76" t="str">
        <f>IF(V76='Appendix A 21.03'!V76,"")</f>
        <v/>
      </c>
    </row>
    <row r="77" spans="2:34" ht="13" outlineLevel="2" x14ac:dyDescent="0.3">
      <c r="B77" s="31" t="s">
        <v>111</v>
      </c>
      <c r="C77" s="33">
        <v>718</v>
      </c>
      <c r="D77" s="33">
        <v>724</v>
      </c>
      <c r="E77" s="23">
        <v>10</v>
      </c>
      <c r="F77" s="23">
        <v>0</v>
      </c>
      <c r="G77" s="23">
        <v>-5</v>
      </c>
      <c r="H77" s="23">
        <v>0</v>
      </c>
      <c r="I77" s="23">
        <v>0</v>
      </c>
      <c r="J77" s="23">
        <v>0</v>
      </c>
      <c r="K77" s="23">
        <f t="shared" si="41"/>
        <v>5</v>
      </c>
      <c r="L77" s="33">
        <f t="shared" si="42"/>
        <v>0</v>
      </c>
      <c r="M77" s="33">
        <f t="shared" si="43"/>
        <v>6</v>
      </c>
      <c r="N77" s="33">
        <v>724</v>
      </c>
      <c r="O77" s="33">
        <v>808</v>
      </c>
      <c r="P77" s="33">
        <v>-67</v>
      </c>
      <c r="Q77" s="33">
        <v>741</v>
      </c>
      <c r="R77" s="33">
        <v>724</v>
      </c>
      <c r="S77" s="33">
        <f t="shared" si="44"/>
        <v>17</v>
      </c>
      <c r="T77" s="38">
        <f t="shared" si="45"/>
        <v>1.0234806629834254</v>
      </c>
      <c r="U77" s="59">
        <f t="shared" si="46"/>
        <v>743</v>
      </c>
      <c r="V77" s="33">
        <v>19</v>
      </c>
      <c r="W77" s="33">
        <v>19</v>
      </c>
      <c r="X77" s="33"/>
      <c r="Y77" s="33"/>
      <c r="Z77" s="42"/>
      <c r="AA77" s="60"/>
      <c r="AB77" s="105"/>
      <c r="AC77" s="93"/>
      <c r="AD77" s="33">
        <f t="shared" si="47"/>
        <v>0</v>
      </c>
      <c r="AE77" s="33">
        <f t="shared" si="48"/>
        <v>741</v>
      </c>
      <c r="AF77" s="101">
        <f t="shared" si="49"/>
        <v>17</v>
      </c>
      <c r="AH77" t="str">
        <f>IF(V77='Appendix A 21.03'!V77,"")</f>
        <v/>
      </c>
    </row>
    <row r="78" spans="2:34" ht="13" outlineLevel="2" x14ac:dyDescent="0.3">
      <c r="B78" s="31" t="s">
        <v>112</v>
      </c>
      <c r="C78" s="33">
        <v>394</v>
      </c>
      <c r="D78" s="33">
        <v>390</v>
      </c>
      <c r="E78" s="23">
        <v>0</v>
      </c>
      <c r="F78" s="23">
        <v>0</v>
      </c>
      <c r="G78" s="23">
        <v>-3</v>
      </c>
      <c r="H78" s="23">
        <v>0</v>
      </c>
      <c r="I78" s="23">
        <v>0</v>
      </c>
      <c r="J78" s="23">
        <v>0</v>
      </c>
      <c r="K78" s="23">
        <f t="shared" si="41"/>
        <v>-3</v>
      </c>
      <c r="L78" s="33">
        <f t="shared" si="42"/>
        <v>0</v>
      </c>
      <c r="M78" s="33">
        <f t="shared" si="43"/>
        <v>-4</v>
      </c>
      <c r="N78" s="33">
        <v>390</v>
      </c>
      <c r="O78" s="33">
        <v>537</v>
      </c>
      <c r="P78" s="33">
        <v>-40</v>
      </c>
      <c r="Q78" s="33">
        <v>496</v>
      </c>
      <c r="R78" s="33">
        <v>390</v>
      </c>
      <c r="S78" s="33">
        <f t="shared" si="44"/>
        <v>106</v>
      </c>
      <c r="T78" s="38">
        <f t="shared" si="45"/>
        <v>1.2717948717948717</v>
      </c>
      <c r="U78" s="59">
        <f t="shared" si="46"/>
        <v>460</v>
      </c>
      <c r="V78" s="33">
        <v>70</v>
      </c>
      <c r="W78" s="33">
        <v>70</v>
      </c>
      <c r="X78" s="33"/>
      <c r="Y78" s="33"/>
      <c r="Z78" s="42"/>
      <c r="AA78" s="60"/>
      <c r="AB78" s="105"/>
      <c r="AC78" s="93"/>
      <c r="AD78" s="33">
        <f t="shared" si="47"/>
        <v>0</v>
      </c>
      <c r="AE78" s="33">
        <f t="shared" si="48"/>
        <v>496</v>
      </c>
      <c r="AF78" s="101">
        <f t="shared" si="49"/>
        <v>106</v>
      </c>
      <c r="AH78" t="str">
        <f>IF(V78='Appendix A 21.03'!V78,"")</f>
        <v/>
      </c>
    </row>
    <row r="79" spans="2:34" ht="13" outlineLevel="2" x14ac:dyDescent="0.3">
      <c r="B79" s="31" t="s">
        <v>113</v>
      </c>
      <c r="C79" s="33">
        <v>1352</v>
      </c>
      <c r="D79" s="33">
        <v>1289</v>
      </c>
      <c r="E79" s="23">
        <v>0</v>
      </c>
      <c r="F79" s="23">
        <v>0</v>
      </c>
      <c r="G79" s="23">
        <v>-41</v>
      </c>
      <c r="H79" s="23">
        <v>0</v>
      </c>
      <c r="I79" s="23">
        <v>-22</v>
      </c>
      <c r="J79" s="23">
        <v>0</v>
      </c>
      <c r="K79" s="23">
        <f t="shared" si="41"/>
        <v>-63</v>
      </c>
      <c r="L79" s="33">
        <f t="shared" si="42"/>
        <v>0</v>
      </c>
      <c r="M79" s="33">
        <f t="shared" si="43"/>
        <v>-63</v>
      </c>
      <c r="N79" s="33">
        <v>1289</v>
      </c>
      <c r="O79" s="33">
        <v>1941</v>
      </c>
      <c r="P79" s="33">
        <v>-316</v>
      </c>
      <c r="Q79" s="33">
        <v>1625</v>
      </c>
      <c r="R79" s="33">
        <v>1289</v>
      </c>
      <c r="S79" s="33">
        <f t="shared" si="44"/>
        <v>336</v>
      </c>
      <c r="T79" s="38">
        <f t="shared" si="45"/>
        <v>1.26066718386346</v>
      </c>
      <c r="U79" s="59">
        <f t="shared" si="46"/>
        <v>1389</v>
      </c>
      <c r="V79" s="33">
        <v>100</v>
      </c>
      <c r="W79" s="33">
        <v>100</v>
      </c>
      <c r="X79" s="33"/>
      <c r="Y79" s="33"/>
      <c r="Z79" s="42"/>
      <c r="AA79" s="60"/>
      <c r="AB79" s="105"/>
      <c r="AC79" s="93"/>
      <c r="AD79" s="33">
        <f t="shared" si="47"/>
        <v>0</v>
      </c>
      <c r="AE79" s="33">
        <f t="shared" si="48"/>
        <v>1625</v>
      </c>
      <c r="AF79" s="101">
        <f t="shared" si="49"/>
        <v>336</v>
      </c>
      <c r="AH79" t="str">
        <f>IF(V79='Appendix A 21.03'!V79,"")</f>
        <v/>
      </c>
    </row>
    <row r="80" spans="2:34" ht="13" outlineLevel="1" x14ac:dyDescent="0.3">
      <c r="B80" s="32" t="s">
        <v>114</v>
      </c>
      <c r="C80" s="34">
        <f t="shared" ref="C80:J80" si="52">SUBTOTAL(9,C77:C79)</f>
        <v>2464</v>
      </c>
      <c r="D80" s="34">
        <f t="shared" si="52"/>
        <v>2403</v>
      </c>
      <c r="E80" s="24">
        <f t="shared" si="52"/>
        <v>10</v>
      </c>
      <c r="F80" s="24">
        <f t="shared" si="52"/>
        <v>0</v>
      </c>
      <c r="G80" s="24">
        <f t="shared" si="52"/>
        <v>-49</v>
      </c>
      <c r="H80" s="24">
        <f t="shared" si="52"/>
        <v>0</v>
      </c>
      <c r="I80" s="24">
        <f t="shared" si="52"/>
        <v>-22</v>
      </c>
      <c r="J80" s="24">
        <f t="shared" si="52"/>
        <v>0</v>
      </c>
      <c r="K80" s="24">
        <f>SUM(E80:J80)</f>
        <v>-61</v>
      </c>
      <c r="L80" s="34">
        <f t="shared" si="42"/>
        <v>0</v>
      </c>
      <c r="M80" s="34">
        <f t="shared" si="43"/>
        <v>-61</v>
      </c>
      <c r="N80" s="34">
        <f>SUBTOTAL(9,N77:N79)</f>
        <v>2403</v>
      </c>
      <c r="O80" s="34">
        <f>SUBTOTAL(9,O77:O79)</f>
        <v>3286</v>
      </c>
      <c r="P80" s="34">
        <f>SUBTOTAL(9,P77:P79)</f>
        <v>-423</v>
      </c>
      <c r="Q80" s="34">
        <f>SUBTOTAL(9,Q77:Q79)</f>
        <v>2862</v>
      </c>
      <c r="R80" s="34">
        <f>SUBTOTAL(9,R77:R79)</f>
        <v>2403</v>
      </c>
      <c r="S80" s="34">
        <f>Q80-R80</f>
        <v>459</v>
      </c>
      <c r="T80" s="38">
        <f>IFERROR((Q80/N80)*100%,"∞")</f>
        <v>1.1910112359550562</v>
      </c>
      <c r="U80" s="59">
        <f>N80+V80</f>
        <v>2592</v>
      </c>
      <c r="V80" s="34">
        <f>SUBTOTAL(9,V77:V79)</f>
        <v>189</v>
      </c>
      <c r="W80" s="34">
        <f>SUBTOTAL(9,W77:W79)</f>
        <v>189</v>
      </c>
      <c r="X80" s="34"/>
      <c r="Y80" s="34"/>
      <c r="Z80" s="41"/>
      <c r="AA80" s="60"/>
      <c r="AB80" s="102">
        <f>SUBTOTAL(9,AB5:AB79)</f>
        <v>0</v>
      </c>
      <c r="AC80" s="34">
        <f>SUBTOTAL(9,AC5:AC79)</f>
        <v>0</v>
      </c>
      <c r="AD80" s="34"/>
      <c r="AE80" s="34"/>
      <c r="AF80" s="103"/>
      <c r="AH80" t="str">
        <f>IF(V80='Appendix A 21.03'!V80,"")</f>
        <v/>
      </c>
    </row>
    <row r="81" spans="2:34" ht="13.5" customHeight="1" thickBot="1" x14ac:dyDescent="0.35">
      <c r="B81" s="53" t="s">
        <v>115</v>
      </c>
      <c r="C81" s="35">
        <f t="shared" ref="C81:J81" si="53">SUBTOTAL(9,C61:C80)</f>
        <v>16460</v>
      </c>
      <c r="D81" s="35">
        <f t="shared" si="53"/>
        <v>16327</v>
      </c>
      <c r="E81" s="25">
        <f t="shared" si="53"/>
        <v>184</v>
      </c>
      <c r="F81" s="25">
        <f t="shared" si="53"/>
        <v>488</v>
      </c>
      <c r="G81" s="25">
        <f t="shared" si="53"/>
        <v>-267</v>
      </c>
      <c r="H81" s="25">
        <f t="shared" si="53"/>
        <v>0</v>
      </c>
      <c r="I81" s="25">
        <f t="shared" si="53"/>
        <v>-51</v>
      </c>
      <c r="J81" s="25">
        <f t="shared" si="53"/>
        <v>75</v>
      </c>
      <c r="K81" s="25">
        <f>SUM(E81:J81)</f>
        <v>429</v>
      </c>
      <c r="L81" s="35">
        <f t="shared" si="42"/>
        <v>563</v>
      </c>
      <c r="M81" s="35">
        <f t="shared" si="43"/>
        <v>430</v>
      </c>
      <c r="N81" s="35">
        <f>SUBTOTAL(9,N61:N80)</f>
        <v>16890</v>
      </c>
      <c r="O81" s="35">
        <f>SUBTOTAL(9,O61:O80)</f>
        <v>20384</v>
      </c>
      <c r="P81" s="35">
        <f>SUBTOTAL(9,P61:P80)</f>
        <v>-2585</v>
      </c>
      <c r="Q81" s="35">
        <f>SUBTOTAL(9,Q61:Q80)</f>
        <v>17799</v>
      </c>
      <c r="R81" s="35">
        <f>SUBTOTAL(9,R61:R80)</f>
        <v>16890</v>
      </c>
      <c r="S81" s="35">
        <f>Q81-R81</f>
        <v>909</v>
      </c>
      <c r="T81" s="39">
        <f>IFERROR((Q81/N81)*100%,"∞")</f>
        <v>1.0538188277087033</v>
      </c>
      <c r="U81" s="54">
        <f>N81+V81</f>
        <v>17230</v>
      </c>
      <c r="V81" s="35">
        <f>SUBTOTAL(9,V61:V80)</f>
        <v>340</v>
      </c>
      <c r="W81" s="35">
        <f>SUBTOTAL(9,W61:W80)</f>
        <v>340</v>
      </c>
      <c r="X81" s="35"/>
      <c r="Y81" s="35"/>
      <c r="Z81" s="43"/>
      <c r="AA81" s="60"/>
      <c r="AB81" s="104">
        <f>SUBTOTAL(9,AB5:AB80)</f>
        <v>0</v>
      </c>
      <c r="AC81" s="104">
        <f>SUBTOTAL(9,AC5:AC80)</f>
        <v>0</v>
      </c>
      <c r="AD81" s="35">
        <f>SUM(AB81:AC81)</f>
        <v>0</v>
      </c>
      <c r="AE81" s="35">
        <f>Q81+AD81</f>
        <v>17799</v>
      </c>
      <c r="AF81" s="43">
        <f>AE81-N81</f>
        <v>909</v>
      </c>
      <c r="AH81" t="str">
        <f>IF(V81='Appendix A 21.03'!V81,"")</f>
        <v/>
      </c>
    </row>
    <row r="82" spans="2:34" ht="14" thickTop="1" thickBot="1" x14ac:dyDescent="0.35">
      <c r="B82" s="61"/>
      <c r="C82" s="62"/>
      <c r="D82" s="62"/>
      <c r="E82" s="65"/>
      <c r="F82" s="65"/>
      <c r="G82" s="65"/>
      <c r="H82" s="65"/>
      <c r="I82" s="65"/>
      <c r="J82" s="65"/>
      <c r="K82" s="65"/>
      <c r="L82" s="62"/>
      <c r="M82" s="62"/>
      <c r="N82" s="62"/>
      <c r="O82" s="62"/>
      <c r="P82" s="62"/>
      <c r="Q82" s="62"/>
      <c r="R82" s="62"/>
      <c r="S82" s="62"/>
      <c r="T82" s="62"/>
      <c r="U82" s="64"/>
      <c r="V82" s="62"/>
      <c r="W82" s="62"/>
      <c r="X82" s="62"/>
      <c r="Y82" s="62"/>
      <c r="Z82" s="63"/>
      <c r="AA82" s="60"/>
      <c r="AB82" s="61"/>
      <c r="AC82" s="62"/>
      <c r="AD82" s="62"/>
      <c r="AE82" s="62"/>
      <c r="AF82" s="63"/>
      <c r="AH82" t="str">
        <f>IF(V82='Appendix A 21.03'!V82,"")</f>
        <v/>
      </c>
    </row>
    <row r="83" spans="2:34" ht="13.5" thickBot="1" x14ac:dyDescent="0.35">
      <c r="B83" s="50" t="s">
        <v>116</v>
      </c>
      <c r="C83" s="51">
        <f t="shared" ref="C83:J83" si="54">SUBTOTAL(9,C5:C82)</f>
        <v>34225</v>
      </c>
      <c r="D83" s="51">
        <f t="shared" si="54"/>
        <v>34439</v>
      </c>
      <c r="E83" s="51">
        <f t="shared" si="54"/>
        <v>406</v>
      </c>
      <c r="F83" s="51">
        <f t="shared" si="54"/>
        <v>-1862</v>
      </c>
      <c r="G83" s="51">
        <f t="shared" si="54"/>
        <v>-190</v>
      </c>
      <c r="H83" s="51">
        <f t="shared" si="54"/>
        <v>-255</v>
      </c>
      <c r="I83" s="51">
        <f t="shared" si="54"/>
        <v>-1</v>
      </c>
      <c r="J83" s="51">
        <f t="shared" si="54"/>
        <v>0</v>
      </c>
      <c r="K83" s="51">
        <f>SUM(E83:J83)</f>
        <v>-1902</v>
      </c>
      <c r="L83" s="51">
        <f>N83-D83</f>
        <v>-2107</v>
      </c>
      <c r="M83" s="51">
        <f>N83-C83</f>
        <v>-1893</v>
      </c>
      <c r="N83" s="51">
        <f>SUBTOTAL(9,N5:N82)</f>
        <v>32332</v>
      </c>
      <c r="O83" s="51">
        <f>SUBTOTAL(9,O5:O82)</f>
        <v>82528</v>
      </c>
      <c r="P83" s="51">
        <f>SUBTOTAL(9,P5:P82)</f>
        <v>-47795</v>
      </c>
      <c r="Q83" s="51">
        <f>SUBTOTAL(9,Q5:Q82)</f>
        <v>34732</v>
      </c>
      <c r="R83" s="51">
        <f>SUBTOTAL(9,R5:R82)</f>
        <v>32332</v>
      </c>
      <c r="S83" s="51">
        <f>Q83-R83</f>
        <v>2400</v>
      </c>
      <c r="T83" s="52">
        <f>IFERROR((Q83/N83)*100%,"∞")</f>
        <v>1.0742298651490783</v>
      </c>
      <c r="U83" s="51">
        <f>N83+V83</f>
        <v>33368</v>
      </c>
      <c r="V83" s="51">
        <f>SUBTOTAL(9,V5:V82)</f>
        <v>1036</v>
      </c>
      <c r="W83" s="51">
        <f>SUBTOTAL(9,W5:W82)</f>
        <v>1036</v>
      </c>
      <c r="X83" s="51">
        <f>SUBTOTAL(9,X5:X82)</f>
        <v>0</v>
      </c>
      <c r="Y83" s="51">
        <f>SUBTOTAL(9,Y5:Y82)</f>
        <v>0</v>
      </c>
      <c r="Z83" s="51">
        <f>SUBTOTAL(9,Z5:Z82)</f>
        <v>0</v>
      </c>
      <c r="AA83" s="60"/>
      <c r="AB83" s="51">
        <f>SUBTOTAL(9,AB5:AB82)</f>
        <v>0</v>
      </c>
      <c r="AC83" s="51">
        <f>SUBTOTAL(9,AC5:AC82)</f>
        <v>0</v>
      </c>
      <c r="AD83" s="51">
        <f>SUM(AB83:AC83)</f>
        <v>0</v>
      </c>
      <c r="AE83" s="51">
        <f>Q83+AD83</f>
        <v>34732</v>
      </c>
      <c r="AF83" s="51">
        <f>AE83-N83</f>
        <v>2400</v>
      </c>
      <c r="AH83" t="str">
        <f>IF(V83='Appendix A 21.03'!V83,"")</f>
        <v/>
      </c>
    </row>
    <row r="84" spans="2:34" ht="13.5" thickTop="1" x14ac:dyDescent="0.3">
      <c r="B84" s="71"/>
      <c r="C84" s="72"/>
      <c r="D84" s="72"/>
      <c r="E84" s="73"/>
      <c r="F84" s="73"/>
      <c r="G84" s="73"/>
      <c r="H84" s="73"/>
      <c r="I84" s="73"/>
      <c r="J84" s="73"/>
      <c r="K84" s="73"/>
      <c r="L84" s="72"/>
      <c r="M84" s="72"/>
      <c r="N84" s="72"/>
      <c r="O84" s="72"/>
      <c r="P84" s="72"/>
      <c r="Q84" s="72"/>
      <c r="R84" s="72"/>
      <c r="S84" s="72"/>
      <c r="T84" s="72"/>
      <c r="U84" s="74"/>
      <c r="V84" s="72"/>
      <c r="W84" s="72"/>
      <c r="X84" s="72"/>
      <c r="Y84" s="72"/>
      <c r="Z84" s="75"/>
      <c r="AA84" s="60"/>
      <c r="AB84" s="71"/>
      <c r="AC84" s="72"/>
      <c r="AD84" s="72"/>
      <c r="AE84" s="72"/>
      <c r="AF84" s="75"/>
      <c r="AH84" t="str">
        <f>IF(V84='Appendix A 21.03'!V84,"")</f>
        <v/>
      </c>
    </row>
    <row r="85" spans="2:34" ht="13" outlineLevel="1" x14ac:dyDescent="0.3">
      <c r="B85" s="31" t="s">
        <v>117</v>
      </c>
      <c r="C85" s="33">
        <v>5662</v>
      </c>
      <c r="D85" s="33">
        <v>5662</v>
      </c>
      <c r="E85" s="23">
        <v>0</v>
      </c>
      <c r="F85" s="23">
        <v>0</v>
      </c>
      <c r="G85" s="23">
        <v>0</v>
      </c>
      <c r="H85" s="23">
        <v>0</v>
      </c>
      <c r="I85" s="23">
        <v>0</v>
      </c>
      <c r="J85" s="23">
        <v>0</v>
      </c>
      <c r="K85" s="23">
        <f t="shared" ref="K85:K102" si="55">SUM(E85:J85)</f>
        <v>0</v>
      </c>
      <c r="L85" s="33">
        <f t="shared" ref="L85:L102" si="56">N85-D85</f>
        <v>0</v>
      </c>
      <c r="M85" s="33">
        <f t="shared" ref="M85:M102" si="57">N85-C85</f>
        <v>0</v>
      </c>
      <c r="N85" s="33">
        <v>5662</v>
      </c>
      <c r="O85" s="33">
        <v>6528</v>
      </c>
      <c r="P85" s="33">
        <v>0</v>
      </c>
      <c r="Q85" s="33">
        <v>6528</v>
      </c>
      <c r="R85" s="33">
        <v>5662</v>
      </c>
      <c r="S85" s="33">
        <f t="shared" ref="S85:S102" si="58">Q85-R85</f>
        <v>866</v>
      </c>
      <c r="T85" s="38">
        <f t="shared" ref="T85:T102" si="59">IFERROR((Q85/N85)*100%,"∞")</f>
        <v>1.1529494878134934</v>
      </c>
      <c r="U85" s="59">
        <f t="shared" ref="U85:U102" si="60">N85+V85</f>
        <v>5662</v>
      </c>
      <c r="V85" s="33">
        <v>0</v>
      </c>
      <c r="W85" s="33">
        <v>0</v>
      </c>
      <c r="X85" s="33"/>
      <c r="Y85" s="33"/>
      <c r="Z85" s="42"/>
      <c r="AA85" s="60"/>
      <c r="AB85" s="105"/>
      <c r="AC85" s="93"/>
      <c r="AD85" s="33">
        <f t="shared" ref="AD85:AD102" si="61">SUM(AB85:AC85)</f>
        <v>0</v>
      </c>
      <c r="AE85" s="33">
        <f t="shared" ref="AE85:AE102" si="62">Q85+AD85</f>
        <v>6528</v>
      </c>
      <c r="AF85" s="101">
        <f t="shared" ref="AF85:AF102" si="63">AE85-N85</f>
        <v>866</v>
      </c>
      <c r="AH85" t="str">
        <f>IF(V85='Appendix A 21.03'!V85,"")</f>
        <v/>
      </c>
    </row>
    <row r="86" spans="2:34" ht="13" outlineLevel="1" x14ac:dyDescent="0.3">
      <c r="B86" s="31" t="s">
        <v>118</v>
      </c>
      <c r="C86" s="33">
        <v>-5662</v>
      </c>
      <c r="D86" s="33">
        <v>-5662</v>
      </c>
      <c r="E86" s="23">
        <v>0</v>
      </c>
      <c r="F86" s="23">
        <v>0</v>
      </c>
      <c r="G86" s="23">
        <v>0</v>
      </c>
      <c r="H86" s="23">
        <v>0</v>
      </c>
      <c r="I86" s="23">
        <v>0</v>
      </c>
      <c r="J86" s="23">
        <v>0</v>
      </c>
      <c r="K86" s="23">
        <f t="shared" si="55"/>
        <v>0</v>
      </c>
      <c r="L86" s="33">
        <f t="shared" si="56"/>
        <v>0</v>
      </c>
      <c r="M86" s="33">
        <f t="shared" si="57"/>
        <v>0</v>
      </c>
      <c r="N86" s="33">
        <v>-5662</v>
      </c>
      <c r="O86" s="33">
        <v>0</v>
      </c>
      <c r="P86" s="33">
        <v>-6528</v>
      </c>
      <c r="Q86" s="33">
        <v>-6528</v>
      </c>
      <c r="R86" s="33">
        <v>-5662</v>
      </c>
      <c r="S86" s="33">
        <f t="shared" si="58"/>
        <v>-866</v>
      </c>
      <c r="T86" s="38">
        <f t="shared" si="59"/>
        <v>1.1529494878134934</v>
      </c>
      <c r="U86" s="59">
        <f t="shared" si="60"/>
        <v>-5662</v>
      </c>
      <c r="V86" s="33">
        <v>0</v>
      </c>
      <c r="W86" s="33">
        <v>0</v>
      </c>
      <c r="X86" s="33"/>
      <c r="Y86" s="33"/>
      <c r="Z86" s="42"/>
      <c r="AA86" s="60"/>
      <c r="AB86" s="105"/>
      <c r="AC86" s="93"/>
      <c r="AD86" s="33">
        <f t="shared" si="61"/>
        <v>0</v>
      </c>
      <c r="AE86" s="33">
        <f t="shared" si="62"/>
        <v>-6528</v>
      </c>
      <c r="AF86" s="101">
        <f t="shared" si="63"/>
        <v>-866</v>
      </c>
      <c r="AH86" t="str">
        <f>IF(V86='Appendix A 21.03'!V86,"")</f>
        <v/>
      </c>
    </row>
    <row r="87" spans="2:34" ht="13" outlineLevel="1" x14ac:dyDescent="0.3">
      <c r="B87" s="31" t="s">
        <v>119</v>
      </c>
      <c r="C87" s="33">
        <v>0</v>
      </c>
      <c r="D87" s="33">
        <v>0</v>
      </c>
      <c r="E87" s="23">
        <v>0</v>
      </c>
      <c r="F87" s="23">
        <v>0</v>
      </c>
      <c r="G87" s="23">
        <v>0</v>
      </c>
      <c r="H87" s="23">
        <v>0</v>
      </c>
      <c r="I87" s="23">
        <v>0</v>
      </c>
      <c r="J87" s="23">
        <v>0</v>
      </c>
      <c r="K87" s="23">
        <f t="shared" si="55"/>
        <v>0</v>
      </c>
      <c r="L87" s="33">
        <f t="shared" si="56"/>
        <v>0</v>
      </c>
      <c r="M87" s="33">
        <f t="shared" si="57"/>
        <v>0</v>
      </c>
      <c r="N87" s="33">
        <v>0</v>
      </c>
      <c r="O87" s="33">
        <v>580</v>
      </c>
      <c r="P87" s="33">
        <v>0</v>
      </c>
      <c r="Q87" s="33">
        <v>580</v>
      </c>
      <c r="R87" s="33">
        <v>0</v>
      </c>
      <c r="S87" s="33">
        <f t="shared" si="58"/>
        <v>580</v>
      </c>
      <c r="T87" s="38" t="str">
        <f t="shared" si="59"/>
        <v>∞</v>
      </c>
      <c r="U87" s="59">
        <f t="shared" si="60"/>
        <v>0</v>
      </c>
      <c r="V87" s="33">
        <v>0</v>
      </c>
      <c r="W87" s="33">
        <v>0</v>
      </c>
      <c r="X87" s="33"/>
      <c r="Y87" s="33"/>
      <c r="Z87" s="42"/>
      <c r="AA87" s="60"/>
      <c r="AB87" s="105"/>
      <c r="AC87" s="93"/>
      <c r="AD87" s="33">
        <f t="shared" si="61"/>
        <v>0</v>
      </c>
      <c r="AE87" s="33">
        <f t="shared" si="62"/>
        <v>580</v>
      </c>
      <c r="AF87" s="101">
        <f t="shared" si="63"/>
        <v>580</v>
      </c>
      <c r="AH87" t="str">
        <f>IF(V87='Appendix A 21.03'!V87,"")</f>
        <v/>
      </c>
    </row>
    <row r="88" spans="2:34" ht="13" outlineLevel="1" x14ac:dyDescent="0.3">
      <c r="B88" s="31" t="s">
        <v>120</v>
      </c>
      <c r="C88" s="33">
        <v>0</v>
      </c>
      <c r="D88" s="33">
        <v>0</v>
      </c>
      <c r="E88" s="23">
        <v>0</v>
      </c>
      <c r="F88" s="23">
        <v>0</v>
      </c>
      <c r="G88" s="23">
        <v>0</v>
      </c>
      <c r="H88" s="23">
        <v>0</v>
      </c>
      <c r="I88" s="23">
        <v>0</v>
      </c>
      <c r="J88" s="23">
        <v>0</v>
      </c>
      <c r="K88" s="23">
        <f t="shared" si="55"/>
        <v>0</v>
      </c>
      <c r="L88" s="33">
        <f t="shared" si="56"/>
        <v>0</v>
      </c>
      <c r="M88" s="33">
        <f t="shared" si="57"/>
        <v>0</v>
      </c>
      <c r="N88" s="33">
        <v>0</v>
      </c>
      <c r="O88" s="33">
        <v>0</v>
      </c>
      <c r="P88" s="33">
        <v>-580</v>
      </c>
      <c r="Q88" s="33">
        <v>-580</v>
      </c>
      <c r="R88" s="33">
        <v>0</v>
      </c>
      <c r="S88" s="33">
        <f t="shared" si="58"/>
        <v>-580</v>
      </c>
      <c r="T88" s="38" t="str">
        <f t="shared" si="59"/>
        <v>∞</v>
      </c>
      <c r="U88" s="59">
        <f t="shared" si="60"/>
        <v>0</v>
      </c>
      <c r="V88" s="33">
        <v>0</v>
      </c>
      <c r="W88" s="33">
        <v>0</v>
      </c>
      <c r="X88" s="33"/>
      <c r="Y88" s="33"/>
      <c r="Z88" s="42"/>
      <c r="AA88" s="60"/>
      <c r="AB88" s="105"/>
      <c r="AC88" s="93"/>
      <c r="AD88" s="33">
        <f t="shared" si="61"/>
        <v>0</v>
      </c>
      <c r="AE88" s="33">
        <f t="shared" si="62"/>
        <v>-580</v>
      </c>
      <c r="AF88" s="101">
        <f t="shared" si="63"/>
        <v>-580</v>
      </c>
      <c r="AH88" t="str">
        <f>IF(V88='Appendix A 21.03'!V88,"")</f>
        <v/>
      </c>
    </row>
    <row r="89" spans="2:34" ht="13" outlineLevel="1" x14ac:dyDescent="0.3">
      <c r="B89" s="31" t="s">
        <v>121</v>
      </c>
      <c r="C89" s="33">
        <v>0</v>
      </c>
      <c r="D89" s="33">
        <v>0</v>
      </c>
      <c r="E89" s="23">
        <v>0</v>
      </c>
      <c r="F89" s="23">
        <v>0</v>
      </c>
      <c r="G89" s="23">
        <v>0</v>
      </c>
      <c r="H89" s="23">
        <v>0</v>
      </c>
      <c r="I89" s="23">
        <v>0</v>
      </c>
      <c r="J89" s="23">
        <v>0</v>
      </c>
      <c r="K89" s="23">
        <f t="shared" si="55"/>
        <v>0</v>
      </c>
      <c r="L89" s="33">
        <f t="shared" si="56"/>
        <v>0</v>
      </c>
      <c r="M89" s="33">
        <f t="shared" si="57"/>
        <v>0</v>
      </c>
      <c r="N89" s="33">
        <v>0</v>
      </c>
      <c r="O89" s="33">
        <v>-1267</v>
      </c>
      <c r="P89" s="33">
        <v>0</v>
      </c>
      <c r="Q89" s="33">
        <v>-1267</v>
      </c>
      <c r="R89" s="33">
        <v>0</v>
      </c>
      <c r="S89" s="33">
        <f t="shared" si="58"/>
        <v>-1267</v>
      </c>
      <c r="T89" s="38" t="str">
        <f t="shared" si="59"/>
        <v>∞</v>
      </c>
      <c r="U89" s="59">
        <f t="shared" si="60"/>
        <v>0</v>
      </c>
      <c r="V89" s="33">
        <v>0</v>
      </c>
      <c r="W89" s="33">
        <v>0</v>
      </c>
      <c r="X89" s="33"/>
      <c r="Y89" s="33"/>
      <c r="Z89" s="42"/>
      <c r="AA89" s="60"/>
      <c r="AB89" s="105"/>
      <c r="AC89" s="93"/>
      <c r="AD89" s="33">
        <f t="shared" si="61"/>
        <v>0</v>
      </c>
      <c r="AE89" s="33">
        <f t="shared" si="62"/>
        <v>-1267</v>
      </c>
      <c r="AF89" s="101">
        <f t="shared" si="63"/>
        <v>-1267</v>
      </c>
      <c r="AH89" t="str">
        <f>IF(V89='Appendix A 21.03'!V89,"")</f>
        <v/>
      </c>
    </row>
    <row r="90" spans="2:34" ht="13" outlineLevel="1" x14ac:dyDescent="0.3">
      <c r="B90" s="31" t="s">
        <v>122</v>
      </c>
      <c r="C90" s="33">
        <v>0</v>
      </c>
      <c r="D90" s="33">
        <v>0</v>
      </c>
      <c r="E90" s="23">
        <v>0</v>
      </c>
      <c r="F90" s="23">
        <v>0</v>
      </c>
      <c r="G90" s="23">
        <v>0</v>
      </c>
      <c r="H90" s="23">
        <v>0</v>
      </c>
      <c r="I90" s="23">
        <v>0</v>
      </c>
      <c r="J90" s="23">
        <v>0</v>
      </c>
      <c r="K90" s="23">
        <f t="shared" si="55"/>
        <v>0</v>
      </c>
      <c r="L90" s="33">
        <f t="shared" si="56"/>
        <v>0</v>
      </c>
      <c r="M90" s="33">
        <f t="shared" si="57"/>
        <v>0</v>
      </c>
      <c r="N90" s="33">
        <v>0</v>
      </c>
      <c r="O90" s="33">
        <v>1267</v>
      </c>
      <c r="P90" s="33">
        <v>0</v>
      </c>
      <c r="Q90" s="33">
        <v>1267</v>
      </c>
      <c r="R90" s="33">
        <v>0</v>
      </c>
      <c r="S90" s="33">
        <f t="shared" si="58"/>
        <v>1267</v>
      </c>
      <c r="T90" s="38" t="str">
        <f t="shared" si="59"/>
        <v>∞</v>
      </c>
      <c r="U90" s="59">
        <f t="shared" si="60"/>
        <v>0</v>
      </c>
      <c r="V90" s="33">
        <v>0</v>
      </c>
      <c r="W90" s="33">
        <v>0</v>
      </c>
      <c r="X90" s="33"/>
      <c r="Y90" s="33"/>
      <c r="Z90" s="42"/>
      <c r="AA90" s="60"/>
      <c r="AB90" s="105"/>
      <c r="AC90" s="93"/>
      <c r="AD90" s="33">
        <f t="shared" si="61"/>
        <v>0</v>
      </c>
      <c r="AE90" s="33">
        <f t="shared" si="62"/>
        <v>1267</v>
      </c>
      <c r="AF90" s="101">
        <f t="shared" si="63"/>
        <v>1267</v>
      </c>
      <c r="AH90" t="str">
        <f>IF(V90='Appendix A 21.03'!V90,"")</f>
        <v/>
      </c>
    </row>
    <row r="91" spans="2:34" ht="13" outlineLevel="1" x14ac:dyDescent="0.3">
      <c r="B91" s="31" t="s">
        <v>123</v>
      </c>
      <c r="C91" s="33">
        <v>0</v>
      </c>
      <c r="D91" s="33">
        <v>0</v>
      </c>
      <c r="E91" s="23">
        <v>0</v>
      </c>
      <c r="F91" s="23">
        <v>0</v>
      </c>
      <c r="G91" s="23">
        <v>0</v>
      </c>
      <c r="H91" s="23">
        <v>0</v>
      </c>
      <c r="I91" s="23">
        <v>0</v>
      </c>
      <c r="J91" s="23">
        <v>0</v>
      </c>
      <c r="K91" s="23">
        <f t="shared" si="55"/>
        <v>0</v>
      </c>
      <c r="L91" s="33">
        <f t="shared" si="56"/>
        <v>0</v>
      </c>
      <c r="M91" s="33">
        <f t="shared" si="57"/>
        <v>0</v>
      </c>
      <c r="N91" s="33">
        <v>0</v>
      </c>
      <c r="O91" s="33">
        <v>123</v>
      </c>
      <c r="P91" s="33">
        <v>-175</v>
      </c>
      <c r="Q91" s="33">
        <v>-53</v>
      </c>
      <c r="R91" s="33">
        <v>0</v>
      </c>
      <c r="S91" s="33">
        <f t="shared" si="58"/>
        <v>-53</v>
      </c>
      <c r="T91" s="38" t="str">
        <f t="shared" si="59"/>
        <v>∞</v>
      </c>
      <c r="U91" s="59">
        <f t="shared" si="60"/>
        <v>0</v>
      </c>
      <c r="V91" s="33">
        <v>0</v>
      </c>
      <c r="W91" s="33">
        <v>0</v>
      </c>
      <c r="X91" s="33"/>
      <c r="Y91" s="33"/>
      <c r="Z91" s="42"/>
      <c r="AA91" s="60"/>
      <c r="AB91" s="105"/>
      <c r="AC91" s="93"/>
      <c r="AD91" s="33">
        <f t="shared" si="61"/>
        <v>0</v>
      </c>
      <c r="AE91" s="33">
        <f t="shared" si="62"/>
        <v>-53</v>
      </c>
      <c r="AF91" s="101">
        <f t="shared" si="63"/>
        <v>-53</v>
      </c>
      <c r="AH91" t="str">
        <f>IF(V91='Appendix A 21.03'!V91,"")</f>
        <v/>
      </c>
    </row>
    <row r="92" spans="2:34" ht="13" outlineLevel="1" x14ac:dyDescent="0.3">
      <c r="B92" s="31" t="s">
        <v>124</v>
      </c>
      <c r="C92" s="33">
        <v>0</v>
      </c>
      <c r="D92" s="33">
        <v>0</v>
      </c>
      <c r="E92" s="23">
        <v>0</v>
      </c>
      <c r="F92" s="23">
        <v>0</v>
      </c>
      <c r="G92" s="23">
        <v>0</v>
      </c>
      <c r="H92" s="23">
        <v>0</v>
      </c>
      <c r="I92" s="23">
        <v>0</v>
      </c>
      <c r="J92" s="23">
        <v>0</v>
      </c>
      <c r="K92" s="23">
        <f t="shared" si="55"/>
        <v>0</v>
      </c>
      <c r="L92" s="33">
        <f t="shared" si="56"/>
        <v>0</v>
      </c>
      <c r="M92" s="33">
        <f t="shared" si="57"/>
        <v>0</v>
      </c>
      <c r="N92" s="33">
        <v>0</v>
      </c>
      <c r="O92" s="33">
        <v>53</v>
      </c>
      <c r="P92" s="33">
        <v>0</v>
      </c>
      <c r="Q92" s="33">
        <v>53</v>
      </c>
      <c r="R92" s="33">
        <v>0</v>
      </c>
      <c r="S92" s="33">
        <f t="shared" si="58"/>
        <v>53</v>
      </c>
      <c r="T92" s="38" t="str">
        <f t="shared" si="59"/>
        <v>∞</v>
      </c>
      <c r="U92" s="59">
        <f t="shared" si="60"/>
        <v>0</v>
      </c>
      <c r="V92" s="33">
        <v>0</v>
      </c>
      <c r="W92" s="33">
        <v>0</v>
      </c>
      <c r="X92" s="33"/>
      <c r="Y92" s="33"/>
      <c r="Z92" s="42"/>
      <c r="AA92" s="60"/>
      <c r="AB92" s="105"/>
      <c r="AC92" s="93"/>
      <c r="AD92" s="33">
        <f t="shared" si="61"/>
        <v>0</v>
      </c>
      <c r="AE92" s="33">
        <f t="shared" si="62"/>
        <v>53</v>
      </c>
      <c r="AF92" s="101">
        <f t="shared" si="63"/>
        <v>53</v>
      </c>
      <c r="AH92" t="str">
        <f>IF(V92='Appendix A 21.03'!V92,"")</f>
        <v/>
      </c>
    </row>
    <row r="93" spans="2:34" ht="13" outlineLevel="1" x14ac:dyDescent="0.3">
      <c r="B93" s="31" t="s">
        <v>125</v>
      </c>
      <c r="C93" s="33">
        <v>0</v>
      </c>
      <c r="D93" s="33">
        <v>0</v>
      </c>
      <c r="E93" s="23">
        <v>0</v>
      </c>
      <c r="F93" s="23">
        <v>0</v>
      </c>
      <c r="G93" s="23">
        <v>0</v>
      </c>
      <c r="H93" s="23">
        <v>0</v>
      </c>
      <c r="I93" s="23">
        <v>0</v>
      </c>
      <c r="J93" s="23">
        <v>0</v>
      </c>
      <c r="K93" s="23">
        <f t="shared" si="55"/>
        <v>0</v>
      </c>
      <c r="L93" s="33">
        <f t="shared" si="56"/>
        <v>0</v>
      </c>
      <c r="M93" s="33">
        <f t="shared" si="57"/>
        <v>0</v>
      </c>
      <c r="N93" s="33">
        <v>0</v>
      </c>
      <c r="O93" s="33">
        <v>77</v>
      </c>
      <c r="P93" s="33">
        <v>0</v>
      </c>
      <c r="Q93" s="33">
        <v>77</v>
      </c>
      <c r="R93" s="33">
        <v>0</v>
      </c>
      <c r="S93" s="33">
        <f t="shared" si="58"/>
        <v>77</v>
      </c>
      <c r="T93" s="38" t="str">
        <f t="shared" si="59"/>
        <v>∞</v>
      </c>
      <c r="U93" s="59">
        <f t="shared" si="60"/>
        <v>0</v>
      </c>
      <c r="V93" s="33">
        <v>0</v>
      </c>
      <c r="W93" s="33">
        <v>0</v>
      </c>
      <c r="X93" s="33"/>
      <c r="Y93" s="33"/>
      <c r="Z93" s="42"/>
      <c r="AA93" s="60"/>
      <c r="AB93" s="105"/>
      <c r="AC93" s="93"/>
      <c r="AD93" s="33">
        <f t="shared" si="61"/>
        <v>0</v>
      </c>
      <c r="AE93" s="33">
        <f t="shared" si="62"/>
        <v>77</v>
      </c>
      <c r="AF93" s="101">
        <f t="shared" si="63"/>
        <v>77</v>
      </c>
      <c r="AH93" t="str">
        <f>IF(V93='Appendix A 21.03'!V93,"")</f>
        <v/>
      </c>
    </row>
    <row r="94" spans="2:34" ht="13" outlineLevel="1" x14ac:dyDescent="0.3">
      <c r="B94" s="31" t="s">
        <v>126</v>
      </c>
      <c r="C94" s="33">
        <v>0</v>
      </c>
      <c r="D94" s="33">
        <v>0</v>
      </c>
      <c r="E94" s="23">
        <v>0</v>
      </c>
      <c r="F94" s="23">
        <v>0</v>
      </c>
      <c r="G94" s="23">
        <v>0</v>
      </c>
      <c r="H94" s="23">
        <v>0</v>
      </c>
      <c r="I94" s="23">
        <v>0</v>
      </c>
      <c r="J94" s="23">
        <v>0</v>
      </c>
      <c r="K94" s="23">
        <f t="shared" si="55"/>
        <v>0</v>
      </c>
      <c r="L94" s="33">
        <f t="shared" si="56"/>
        <v>0</v>
      </c>
      <c r="M94" s="33">
        <f t="shared" si="57"/>
        <v>0</v>
      </c>
      <c r="N94" s="33">
        <v>0</v>
      </c>
      <c r="O94" s="33">
        <v>-77</v>
      </c>
      <c r="P94" s="33">
        <v>0</v>
      </c>
      <c r="Q94" s="33">
        <v>-77</v>
      </c>
      <c r="R94" s="33">
        <v>0</v>
      </c>
      <c r="S94" s="33">
        <f t="shared" si="58"/>
        <v>-77</v>
      </c>
      <c r="T94" s="38" t="str">
        <f t="shared" si="59"/>
        <v>∞</v>
      </c>
      <c r="U94" s="59">
        <f t="shared" si="60"/>
        <v>0</v>
      </c>
      <c r="V94" s="33">
        <v>0</v>
      </c>
      <c r="W94" s="33">
        <v>0</v>
      </c>
      <c r="X94" s="33"/>
      <c r="Y94" s="33"/>
      <c r="Z94" s="42"/>
      <c r="AA94" s="60"/>
      <c r="AB94" s="105"/>
      <c r="AC94" s="93"/>
      <c r="AD94" s="33">
        <f t="shared" si="61"/>
        <v>0</v>
      </c>
      <c r="AE94" s="33">
        <f t="shared" si="62"/>
        <v>-77</v>
      </c>
      <c r="AF94" s="101">
        <f t="shared" si="63"/>
        <v>-77</v>
      </c>
      <c r="AH94" t="str">
        <f>IF(V94='Appendix A 21.03'!V94,"")</f>
        <v/>
      </c>
    </row>
    <row r="95" spans="2:34" ht="13" outlineLevel="1" x14ac:dyDescent="0.3">
      <c r="B95" s="31" t="s">
        <v>127</v>
      </c>
      <c r="C95" s="33">
        <v>0</v>
      </c>
      <c r="D95" s="33">
        <v>0</v>
      </c>
      <c r="E95" s="23">
        <v>0</v>
      </c>
      <c r="F95" s="23">
        <v>0</v>
      </c>
      <c r="G95" s="23">
        <v>0</v>
      </c>
      <c r="H95" s="23">
        <v>0</v>
      </c>
      <c r="I95" s="23">
        <v>0</v>
      </c>
      <c r="J95" s="23">
        <v>0</v>
      </c>
      <c r="K95" s="23">
        <f t="shared" si="55"/>
        <v>0</v>
      </c>
      <c r="L95" s="33">
        <f t="shared" si="56"/>
        <v>0</v>
      </c>
      <c r="M95" s="33">
        <f t="shared" si="57"/>
        <v>0</v>
      </c>
      <c r="N95" s="33">
        <v>0</v>
      </c>
      <c r="O95" s="33">
        <v>12473</v>
      </c>
      <c r="P95" s="33">
        <v>0</v>
      </c>
      <c r="Q95" s="33">
        <v>12473</v>
      </c>
      <c r="R95" s="33">
        <v>0</v>
      </c>
      <c r="S95" s="33">
        <f t="shared" si="58"/>
        <v>12473</v>
      </c>
      <c r="T95" s="38" t="str">
        <f t="shared" si="59"/>
        <v>∞</v>
      </c>
      <c r="U95" s="59">
        <f t="shared" si="60"/>
        <v>0</v>
      </c>
      <c r="V95" s="33">
        <v>0</v>
      </c>
      <c r="W95" s="33">
        <v>0</v>
      </c>
      <c r="X95" s="33"/>
      <c r="Y95" s="33"/>
      <c r="Z95" s="42"/>
      <c r="AA95" s="60"/>
      <c r="AB95" s="105"/>
      <c r="AC95" s="93"/>
      <c r="AD95" s="33">
        <f t="shared" si="61"/>
        <v>0</v>
      </c>
      <c r="AE95" s="33">
        <f t="shared" si="62"/>
        <v>12473</v>
      </c>
      <c r="AF95" s="101">
        <f t="shared" si="63"/>
        <v>12473</v>
      </c>
      <c r="AH95" t="str">
        <f>IF(V95='Appendix A 21.03'!V95,"")</f>
        <v/>
      </c>
    </row>
    <row r="96" spans="2:34" ht="13" outlineLevel="1" x14ac:dyDescent="0.3">
      <c r="B96" s="31" t="s">
        <v>128</v>
      </c>
      <c r="C96" s="33">
        <v>0</v>
      </c>
      <c r="D96" s="33">
        <v>0</v>
      </c>
      <c r="E96" s="23">
        <v>0</v>
      </c>
      <c r="F96" s="23">
        <v>0</v>
      </c>
      <c r="G96" s="23">
        <v>0</v>
      </c>
      <c r="H96" s="23">
        <v>0</v>
      </c>
      <c r="I96" s="23">
        <v>0</v>
      </c>
      <c r="J96" s="23">
        <v>0</v>
      </c>
      <c r="K96" s="23">
        <f t="shared" si="55"/>
        <v>0</v>
      </c>
      <c r="L96" s="33">
        <f t="shared" si="56"/>
        <v>0</v>
      </c>
      <c r="M96" s="33">
        <f t="shared" si="57"/>
        <v>0</v>
      </c>
      <c r="N96" s="33">
        <v>0</v>
      </c>
      <c r="O96" s="33">
        <v>-12051</v>
      </c>
      <c r="P96" s="33">
        <v>0</v>
      </c>
      <c r="Q96" s="33">
        <v>-12051</v>
      </c>
      <c r="R96" s="33">
        <v>0</v>
      </c>
      <c r="S96" s="33">
        <f t="shared" si="58"/>
        <v>-12051</v>
      </c>
      <c r="T96" s="38" t="str">
        <f t="shared" si="59"/>
        <v>∞</v>
      </c>
      <c r="U96" s="59">
        <f t="shared" si="60"/>
        <v>0</v>
      </c>
      <c r="V96" s="33">
        <v>0</v>
      </c>
      <c r="W96" s="33">
        <v>0</v>
      </c>
      <c r="X96" s="33"/>
      <c r="Y96" s="33"/>
      <c r="Z96" s="42"/>
      <c r="AA96" s="60"/>
      <c r="AB96" s="105"/>
      <c r="AC96" s="93"/>
      <c r="AD96" s="33">
        <f t="shared" si="61"/>
        <v>0</v>
      </c>
      <c r="AE96" s="33">
        <f t="shared" si="62"/>
        <v>-12051</v>
      </c>
      <c r="AF96" s="101">
        <f t="shared" si="63"/>
        <v>-12051</v>
      </c>
      <c r="AH96" t="str">
        <f>IF(V96='Appendix A 21.03'!V96,"")</f>
        <v/>
      </c>
    </row>
    <row r="97" spans="2:34" ht="13" outlineLevel="1" x14ac:dyDescent="0.3">
      <c r="B97" s="31" t="s">
        <v>129</v>
      </c>
      <c r="C97" s="33">
        <v>0</v>
      </c>
      <c r="D97" s="33">
        <v>0</v>
      </c>
      <c r="E97" s="23">
        <v>0</v>
      </c>
      <c r="F97" s="23">
        <v>0</v>
      </c>
      <c r="G97" s="23">
        <v>0</v>
      </c>
      <c r="H97" s="23">
        <v>0</v>
      </c>
      <c r="I97" s="23">
        <v>0</v>
      </c>
      <c r="J97" s="23">
        <v>0</v>
      </c>
      <c r="K97" s="23">
        <f t="shared" si="55"/>
        <v>0</v>
      </c>
      <c r="L97" s="33">
        <f t="shared" si="56"/>
        <v>0</v>
      </c>
      <c r="M97" s="33">
        <f t="shared" si="57"/>
        <v>0</v>
      </c>
      <c r="N97" s="33">
        <v>0</v>
      </c>
      <c r="O97" s="33">
        <v>-422</v>
      </c>
      <c r="P97" s="33">
        <v>0</v>
      </c>
      <c r="Q97" s="33">
        <v>-422</v>
      </c>
      <c r="R97" s="33">
        <v>0</v>
      </c>
      <c r="S97" s="33">
        <f t="shared" si="58"/>
        <v>-422</v>
      </c>
      <c r="T97" s="38" t="str">
        <f t="shared" si="59"/>
        <v>∞</v>
      </c>
      <c r="U97" s="59">
        <f t="shared" si="60"/>
        <v>0</v>
      </c>
      <c r="V97" s="33">
        <v>0</v>
      </c>
      <c r="W97" s="33">
        <v>0</v>
      </c>
      <c r="X97" s="33"/>
      <c r="Y97" s="33"/>
      <c r="Z97" s="42"/>
      <c r="AA97" s="60"/>
      <c r="AB97" s="105"/>
      <c r="AC97" s="93"/>
      <c r="AD97" s="33">
        <f t="shared" si="61"/>
        <v>0</v>
      </c>
      <c r="AE97" s="33">
        <f t="shared" si="62"/>
        <v>-422</v>
      </c>
      <c r="AF97" s="101">
        <f t="shared" si="63"/>
        <v>-422</v>
      </c>
      <c r="AH97" t="str">
        <f>IF(V97='Appendix A 21.03'!V97,"")</f>
        <v/>
      </c>
    </row>
    <row r="98" spans="2:34" ht="13" outlineLevel="1" x14ac:dyDescent="0.3">
      <c r="B98" s="31" t="s">
        <v>130</v>
      </c>
      <c r="C98" s="33">
        <v>0</v>
      </c>
      <c r="D98" s="33">
        <v>0</v>
      </c>
      <c r="E98" s="23">
        <v>0</v>
      </c>
      <c r="F98" s="23">
        <v>0</v>
      </c>
      <c r="G98" s="23">
        <v>0</v>
      </c>
      <c r="H98" s="23">
        <v>0</v>
      </c>
      <c r="I98" s="23">
        <v>0</v>
      </c>
      <c r="J98" s="23">
        <v>0</v>
      </c>
      <c r="K98" s="23">
        <f t="shared" si="55"/>
        <v>0</v>
      </c>
      <c r="L98" s="33">
        <f t="shared" si="56"/>
        <v>0</v>
      </c>
      <c r="M98" s="33">
        <f t="shared" si="57"/>
        <v>0</v>
      </c>
      <c r="N98" s="33">
        <v>0</v>
      </c>
      <c r="O98" s="33">
        <v>5355</v>
      </c>
      <c r="P98" s="33">
        <v>0</v>
      </c>
      <c r="Q98" s="33">
        <v>5355</v>
      </c>
      <c r="R98" s="33">
        <v>0</v>
      </c>
      <c r="S98" s="33">
        <f t="shared" si="58"/>
        <v>5355</v>
      </c>
      <c r="T98" s="38" t="str">
        <f t="shared" si="59"/>
        <v>∞</v>
      </c>
      <c r="U98" s="59">
        <f t="shared" si="60"/>
        <v>0</v>
      </c>
      <c r="V98" s="33">
        <v>0</v>
      </c>
      <c r="W98" s="33">
        <v>0</v>
      </c>
      <c r="X98" s="33"/>
      <c r="Y98" s="33"/>
      <c r="Z98" s="42"/>
      <c r="AA98" s="60"/>
      <c r="AB98" s="105"/>
      <c r="AC98" s="93"/>
      <c r="AD98" s="33">
        <f t="shared" si="61"/>
        <v>0</v>
      </c>
      <c r="AE98" s="33">
        <f t="shared" si="62"/>
        <v>5355</v>
      </c>
      <c r="AF98" s="101">
        <f t="shared" si="63"/>
        <v>5355</v>
      </c>
      <c r="AH98" t="str">
        <f>IF(V98='Appendix A 21.03'!V98,"")</f>
        <v/>
      </c>
    </row>
    <row r="99" spans="2:34" ht="13" outlineLevel="1" x14ac:dyDescent="0.3">
      <c r="B99" s="31" t="s">
        <v>131</v>
      </c>
      <c r="C99" s="33">
        <v>0</v>
      </c>
      <c r="D99" s="33">
        <v>0</v>
      </c>
      <c r="E99" s="23">
        <v>0</v>
      </c>
      <c r="F99" s="23">
        <v>0</v>
      </c>
      <c r="G99" s="23">
        <v>0</v>
      </c>
      <c r="H99" s="23">
        <v>0</v>
      </c>
      <c r="I99" s="23">
        <v>0</v>
      </c>
      <c r="J99" s="23">
        <v>0</v>
      </c>
      <c r="K99" s="23">
        <f t="shared" si="55"/>
        <v>0</v>
      </c>
      <c r="L99" s="33">
        <f t="shared" si="56"/>
        <v>0</v>
      </c>
      <c r="M99" s="33">
        <f t="shared" si="57"/>
        <v>0</v>
      </c>
      <c r="N99" s="33">
        <v>0</v>
      </c>
      <c r="O99" s="33">
        <v>0</v>
      </c>
      <c r="P99" s="33">
        <v>-5355</v>
      </c>
      <c r="Q99" s="33">
        <v>-5355</v>
      </c>
      <c r="R99" s="33">
        <v>0</v>
      </c>
      <c r="S99" s="33">
        <f t="shared" si="58"/>
        <v>-5355</v>
      </c>
      <c r="T99" s="38" t="str">
        <f t="shared" si="59"/>
        <v>∞</v>
      </c>
      <c r="U99" s="59">
        <f t="shared" si="60"/>
        <v>0</v>
      </c>
      <c r="V99" s="33">
        <v>0</v>
      </c>
      <c r="W99" s="33">
        <v>0</v>
      </c>
      <c r="X99" s="33"/>
      <c r="Y99" s="33"/>
      <c r="Z99" s="42"/>
      <c r="AA99" s="60"/>
      <c r="AB99" s="105"/>
      <c r="AC99" s="93"/>
      <c r="AD99" s="33">
        <f t="shared" si="61"/>
        <v>0</v>
      </c>
      <c r="AE99" s="33">
        <f t="shared" si="62"/>
        <v>-5355</v>
      </c>
      <c r="AF99" s="101">
        <f t="shared" si="63"/>
        <v>-5355</v>
      </c>
      <c r="AH99" t="str">
        <f>IF(V99='Appendix A 21.03'!V99,"")</f>
        <v/>
      </c>
    </row>
    <row r="100" spans="2:34" ht="13" outlineLevel="1" x14ac:dyDescent="0.3">
      <c r="B100" s="31" t="s">
        <v>132</v>
      </c>
      <c r="C100" s="33">
        <v>14098</v>
      </c>
      <c r="D100" s="33">
        <v>14098</v>
      </c>
      <c r="E100" s="23">
        <v>0</v>
      </c>
      <c r="F100" s="23">
        <v>0</v>
      </c>
      <c r="G100" s="23">
        <v>0</v>
      </c>
      <c r="H100" s="23">
        <v>0</v>
      </c>
      <c r="I100" s="23">
        <v>0</v>
      </c>
      <c r="J100" s="23">
        <v>0</v>
      </c>
      <c r="K100" s="23">
        <f t="shared" si="55"/>
        <v>0</v>
      </c>
      <c r="L100" s="33">
        <f t="shared" si="56"/>
        <v>0</v>
      </c>
      <c r="M100" s="33">
        <f t="shared" si="57"/>
        <v>0</v>
      </c>
      <c r="N100" s="33">
        <v>14098</v>
      </c>
      <c r="O100" s="33">
        <v>23395</v>
      </c>
      <c r="P100" s="33">
        <v>0</v>
      </c>
      <c r="Q100" s="33">
        <v>23395</v>
      </c>
      <c r="R100" s="33">
        <v>14098</v>
      </c>
      <c r="S100" s="33">
        <f t="shared" si="58"/>
        <v>9297</v>
      </c>
      <c r="T100" s="38">
        <f t="shared" si="59"/>
        <v>1.6594552418782806</v>
      </c>
      <c r="U100" s="59">
        <f t="shared" si="60"/>
        <v>14098</v>
      </c>
      <c r="V100" s="33">
        <v>0</v>
      </c>
      <c r="W100" s="33">
        <v>0</v>
      </c>
      <c r="X100" s="33"/>
      <c r="Y100" s="33"/>
      <c r="Z100" s="42"/>
      <c r="AA100" s="60"/>
      <c r="AB100" s="105"/>
      <c r="AC100" s="93"/>
      <c r="AD100" s="33">
        <f t="shared" si="61"/>
        <v>0</v>
      </c>
      <c r="AE100" s="33">
        <f t="shared" si="62"/>
        <v>23395</v>
      </c>
      <c r="AF100" s="101">
        <f t="shared" si="63"/>
        <v>9297</v>
      </c>
      <c r="AH100" t="str">
        <f>IF(V100='Appendix A 21.03'!V100,"")</f>
        <v/>
      </c>
    </row>
    <row r="101" spans="2:34" ht="13" outlineLevel="1" x14ac:dyDescent="0.3">
      <c r="B101" s="31" t="s">
        <v>133</v>
      </c>
      <c r="C101" s="33">
        <v>-20581</v>
      </c>
      <c r="D101" s="33">
        <v>-20581</v>
      </c>
      <c r="E101" s="23">
        <v>0</v>
      </c>
      <c r="F101" s="23">
        <v>0</v>
      </c>
      <c r="G101" s="23">
        <v>0</v>
      </c>
      <c r="H101" s="23">
        <v>0</v>
      </c>
      <c r="I101" s="23">
        <v>0</v>
      </c>
      <c r="J101" s="23">
        <v>0</v>
      </c>
      <c r="K101" s="23">
        <f t="shared" si="55"/>
        <v>0</v>
      </c>
      <c r="L101" s="33">
        <f t="shared" si="56"/>
        <v>0</v>
      </c>
      <c r="M101" s="33">
        <f t="shared" si="57"/>
        <v>0</v>
      </c>
      <c r="N101" s="33">
        <v>-20581</v>
      </c>
      <c r="O101" s="33">
        <v>-32368</v>
      </c>
      <c r="P101" s="33">
        <v>0</v>
      </c>
      <c r="Q101" s="33">
        <v>-32368</v>
      </c>
      <c r="R101" s="33">
        <v>-20581</v>
      </c>
      <c r="S101" s="33">
        <f t="shared" si="58"/>
        <v>-11787</v>
      </c>
      <c r="T101" s="38">
        <f t="shared" si="59"/>
        <v>1.5727126961760847</v>
      </c>
      <c r="U101" s="59">
        <f t="shared" si="60"/>
        <v>-20581</v>
      </c>
      <c r="V101" s="33">
        <v>0</v>
      </c>
      <c r="W101" s="33">
        <v>0</v>
      </c>
      <c r="X101" s="33"/>
      <c r="Y101" s="33"/>
      <c r="Z101" s="42"/>
      <c r="AA101" s="60"/>
      <c r="AB101" s="105"/>
      <c r="AC101" s="93"/>
      <c r="AD101" s="33">
        <f t="shared" si="61"/>
        <v>0</v>
      </c>
      <c r="AE101" s="33">
        <f t="shared" si="62"/>
        <v>-32368</v>
      </c>
      <c r="AF101" s="101">
        <f t="shared" si="63"/>
        <v>-11787</v>
      </c>
      <c r="AH101" t="str">
        <f>IF(V101='Appendix A 21.03'!V101,"")</f>
        <v/>
      </c>
    </row>
    <row r="102" spans="2:34" ht="13" outlineLevel="1" x14ac:dyDescent="0.3">
      <c r="B102" s="31" t="s">
        <v>134</v>
      </c>
      <c r="C102" s="33">
        <v>-3149</v>
      </c>
      <c r="D102" s="33">
        <v>-3149</v>
      </c>
      <c r="E102" s="23">
        <v>0</v>
      </c>
      <c r="F102" s="23">
        <v>0</v>
      </c>
      <c r="G102" s="23">
        <v>0</v>
      </c>
      <c r="H102" s="23">
        <v>0</v>
      </c>
      <c r="I102" s="23">
        <v>0</v>
      </c>
      <c r="J102" s="23">
        <v>0</v>
      </c>
      <c r="K102" s="23">
        <f t="shared" si="55"/>
        <v>0</v>
      </c>
      <c r="L102" s="33">
        <f t="shared" si="56"/>
        <v>0</v>
      </c>
      <c r="M102" s="33">
        <f t="shared" si="57"/>
        <v>0</v>
      </c>
      <c r="N102" s="33">
        <v>-3149</v>
      </c>
      <c r="O102" s="33">
        <v>0</v>
      </c>
      <c r="P102" s="33">
        <v>-3149</v>
      </c>
      <c r="Q102" s="33">
        <v>-3149</v>
      </c>
      <c r="R102" s="33">
        <v>-3149</v>
      </c>
      <c r="S102" s="33">
        <f t="shared" si="58"/>
        <v>0</v>
      </c>
      <c r="T102" s="38">
        <f t="shared" si="59"/>
        <v>1</v>
      </c>
      <c r="U102" s="59">
        <f t="shared" si="60"/>
        <v>-3149</v>
      </c>
      <c r="V102" s="33">
        <v>0</v>
      </c>
      <c r="W102" s="33">
        <v>0</v>
      </c>
      <c r="X102" s="33"/>
      <c r="Y102" s="33"/>
      <c r="Z102" s="42"/>
      <c r="AA102" s="60"/>
      <c r="AB102" s="105"/>
      <c r="AC102" s="93"/>
      <c r="AD102" s="33">
        <f t="shared" si="61"/>
        <v>0</v>
      </c>
      <c r="AE102" s="33">
        <f t="shared" si="62"/>
        <v>-3149</v>
      </c>
      <c r="AF102" s="101">
        <f t="shared" si="63"/>
        <v>0</v>
      </c>
      <c r="AH102" t="str">
        <f>IF(V102='Appendix A 21.03'!V102,"")</f>
        <v/>
      </c>
    </row>
    <row r="103" spans="2:34" ht="13.5" outlineLevel="1" thickBot="1" x14ac:dyDescent="0.35">
      <c r="B103" s="80"/>
      <c r="C103" s="81"/>
      <c r="D103" s="81"/>
      <c r="E103" s="82"/>
      <c r="F103" s="82"/>
      <c r="G103" s="82"/>
      <c r="H103" s="82"/>
      <c r="I103" s="82"/>
      <c r="J103" s="82"/>
      <c r="K103" s="82"/>
      <c r="L103" s="81"/>
      <c r="M103" s="81"/>
      <c r="N103" s="81"/>
      <c r="O103" s="81"/>
      <c r="P103" s="81"/>
      <c r="Q103" s="81"/>
      <c r="R103" s="81"/>
      <c r="S103" s="81"/>
      <c r="T103" s="81"/>
      <c r="U103" s="83"/>
      <c r="V103" s="81"/>
      <c r="W103" s="81"/>
      <c r="X103" s="81"/>
      <c r="Y103" s="81"/>
      <c r="Z103" s="84"/>
      <c r="AA103" s="60"/>
      <c r="AB103" s="98"/>
      <c r="AC103" s="36"/>
      <c r="AD103" s="36"/>
      <c r="AE103" s="36"/>
      <c r="AF103" s="99"/>
      <c r="AH103" t="str">
        <f>IF(V103='Appendix A 21.03'!V103,"")</f>
        <v/>
      </c>
    </row>
    <row r="104" spans="2:34" ht="13.5" thickBot="1" x14ac:dyDescent="0.35">
      <c r="B104" s="68" t="s">
        <v>135</v>
      </c>
      <c r="C104" s="69">
        <f t="shared" ref="C104:J104" si="64">SUM(C85:C85,C86:C86,C87:C87,C88:C88,C89:C89,C90:C90,C91:C91,C92:C92,C93:C93,C94:C94,C95:C95,C96:C96,C97:C97,C98:C98,C99:C99,C100:C100,C101:C101,C102:C102)</f>
        <v>-9632</v>
      </c>
      <c r="D104" s="69">
        <f t="shared" si="64"/>
        <v>-9632</v>
      </c>
      <c r="E104" s="77">
        <f t="shared" si="64"/>
        <v>0</v>
      </c>
      <c r="F104" s="77">
        <f t="shared" si="64"/>
        <v>0</v>
      </c>
      <c r="G104" s="77">
        <f t="shared" si="64"/>
        <v>0</v>
      </c>
      <c r="H104" s="77">
        <f t="shared" si="64"/>
        <v>0</v>
      </c>
      <c r="I104" s="77">
        <f t="shared" si="64"/>
        <v>0</v>
      </c>
      <c r="J104" s="77">
        <f t="shared" si="64"/>
        <v>0</v>
      </c>
      <c r="K104" s="77">
        <f>SUM(E104:J104)</f>
        <v>0</v>
      </c>
      <c r="L104" s="69">
        <f>N104-D104</f>
        <v>0</v>
      </c>
      <c r="M104" s="69">
        <f>N104-C104</f>
        <v>0</v>
      </c>
      <c r="N104" s="69">
        <f>SUM(N85:N85,N86:N86,N87:N87,N88:N88,N89:N89,N90:N90,N91:N91,N92:N92,N93:N93,N94:N94,N95:N95,N96:N96,N97:N97,N98:N98,N99:N99,N100:N100,N101:N101,N102:N102)</f>
        <v>-9632</v>
      </c>
      <c r="O104" s="69">
        <f>SUM(O85:O85,O86:O86,O87:O87,O88:O88,O89:O89,O90:O90,O91:O91,O92:O92,O93:O93,O94:O94,O95:O95,O96:O96,O97:O97,O98:O98,O99:O99,O100:O100,O101:O101,O102:O102)</f>
        <v>3666</v>
      </c>
      <c r="P104" s="69">
        <f>SUM(P85:P85,P86:P86,P87:P87,P88:P88,P89:P89,P90:P90,P91:P91,P92:P92,P93:P93,P94:P94,P95:P95,P96:P96,P97:P97,P98:P98,P99:P99,P100:P100,P101:P101,P102:P102)</f>
        <v>-15787</v>
      </c>
      <c r="Q104" s="69">
        <f>SUM(Q85:Q85,Q86:Q86,Q87:Q87,Q88:Q88,Q89:Q89,Q90:Q90,Q91:Q91,Q92:Q92,Q93:Q93,Q94:Q94,Q95:Q95,Q96:Q96,Q97:Q97,Q98:Q98,Q99:Q99,Q100:Q100,Q101:Q101,Q102:Q102)</f>
        <v>-12122</v>
      </c>
      <c r="R104" s="69">
        <f>SUM(R85:R85,R86:R86,R87:R87,R88:R88,R89:R89,R90:R90,R91:R91,R92:R92,R93:R93,R94:R94,R95:R95,R96:R96,R97:R97,R98:R98,R99:R99,R100:R100,R101:R101,R102:R102)</f>
        <v>-9632</v>
      </c>
      <c r="S104" s="69">
        <f>Q104-R104</f>
        <v>-2490</v>
      </c>
      <c r="T104" s="70">
        <f>IFERROR((Q104/N104)*100%,"∞")</f>
        <v>1.2585132890365449</v>
      </c>
      <c r="U104" s="76">
        <f>N104+V104</f>
        <v>-9632</v>
      </c>
      <c r="V104" s="69">
        <f>SUM(V85:V85,V86:V86,V87:V87,V88:V88,V89:V89,V90:V90,V91:V91,V92:V92,V93:V93,V94:V94,V95:V95,V96:V96,V97:V97,V98:V98,V99:V99,V100:V100,V101:V101,V102:V102)</f>
        <v>0</v>
      </c>
      <c r="W104" s="69">
        <f>SUM(W85:W85,W86:W86,W87:W87,W88:W88,W89:W89,W90:W90,W91:W91,W92:W92,W93:W93,W94:W94,W95:W95,W96:W96,W97:W97,W98:W98,W99:W99,W100:W100,W101:W101,W102:W102)</f>
        <v>0</v>
      </c>
      <c r="X104" s="69">
        <f>SUM(X85:X85,X86:X86,X87:X87,X88:X88,X89:X89,X90:X90,X91:X91,X92:X92,X93:X93,X94:X94,X95:X95,X96:X96,X97:X97,X98:X98,X99:X99,X100:X100,X101:X101,X102:X102)</f>
        <v>0</v>
      </c>
      <c r="Y104" s="69">
        <f>SUM(Y85:Y85,Y86:Y86,Y87:Y87,Y88:Y88,Y89:Y89,Y90:Y90,Y91:Y91,Y92:Y92,Y93:Y93,Y94:Y94,Y95:Y95,Y96:Y96,Y97:Y97,Y98:Y98,Y99:Y99,Y100:Y100,Y101:Y101,Y102:Y102)</f>
        <v>0</v>
      </c>
      <c r="Z104" s="69">
        <f>SUM(Z85:Z85,Z86:Z86,Z87:Z87,Z88:Z88,Z89:Z89,Z90:Z90,Z91:Z91,Z92:Z92,Z93:Z93,Z94:Z94,Z95:Z95,Z96:Z96,Z97:Z97,Z98:Z98,Z99:Z99,Z100:Z100,Z101:Z101,Z102:Z102)</f>
        <v>0</v>
      </c>
      <c r="AA104" s="60"/>
      <c r="AB104" s="69">
        <f>SUM(AB85:AB85,AB86:AB86,AB87:AB87,AB88:AB88,AB89:AB89,AB90:AB90,AB91:AB91,AB92:AB92,AB93:AB93,AB94:AB94,AB95:AB95,AB96:AB96,AB97:AB97,AB98:AB98,AB99:AB99,AB100:AB100,AB101:AB101,AB102:AB102)</f>
        <v>0</v>
      </c>
      <c r="AC104" s="69">
        <f>SUM(AC85:AC85,AC86:AC86,AC87:AC87,AC88:AC88,AC89:AC89,AC90:AC90,AC91:AC91,AC92:AC92,AC93:AC93,AC94:AC94,AC95:AC95,AC96:AC96,AC97:AC97,AC98:AC98,AC99:AC99,AC100:AC100,AC101:AC101,AC102:AC102)</f>
        <v>0</v>
      </c>
      <c r="AD104" s="69">
        <f>SUM(AD85:AD85,AD86:AD86,AD87:AD87,AD88:AD88,AD89:AD89,AD90:AD90,AD91:AD91,AD92:AD92,AD93:AD93,AD94:AD94,AD95:AD95,AD96:AD96,AD97:AD97,AD98:AD98,AD99:AD99,AD100:AD100,AD101:AD101,AD102:AD102)</f>
        <v>0</v>
      </c>
      <c r="AE104" s="69">
        <f>SUM(AE85:AE85,AE86:AE86,AE87:AE87,AE88:AE88,AE89:AE89,AE90:AE90,AE91:AE91,AE92:AE92,AE93:AE93,AE94:AE94,AE95:AE95,AE96:AE96,AE97:AE97,AE98:AE98,AE99:AE99,AE100:AE100,AE101:AE101,AE102:AE102)</f>
        <v>-12122</v>
      </c>
      <c r="AF104" s="69">
        <f>SUM(AF85:AF85,AF86:AF86,AF87:AF87,AF88:AF88,AF89:AF89,AF90:AF90,AF91:AF91,AF92:AF92,AF93:AF93,AF94:AF94,AF95:AF95,AF96:AF96,AF97:AF97,AF98:AF98,AF99:AF99,AF100:AF100,AF101:AF101,AF102:AF102)</f>
        <v>-2490</v>
      </c>
      <c r="AH104" t="str">
        <f>IF(V104='Appendix A 21.03'!V104,"")</f>
        <v/>
      </c>
    </row>
    <row r="105" spans="2:34" ht="13.5" thickTop="1" x14ac:dyDescent="0.3">
      <c r="B105" s="71"/>
      <c r="C105" s="72"/>
      <c r="D105" s="72"/>
      <c r="E105" s="73"/>
      <c r="F105" s="73"/>
      <c r="G105" s="73"/>
      <c r="H105" s="73"/>
      <c r="I105" s="73"/>
      <c r="J105" s="73"/>
      <c r="K105" s="73"/>
      <c r="L105" s="72"/>
      <c r="M105" s="72"/>
      <c r="N105" s="72"/>
      <c r="O105" s="72"/>
      <c r="P105" s="72"/>
      <c r="Q105" s="72"/>
      <c r="R105" s="72"/>
      <c r="S105" s="72"/>
      <c r="T105" s="72"/>
      <c r="U105" s="74"/>
      <c r="V105" s="72"/>
      <c r="W105" s="72"/>
      <c r="X105" s="72"/>
      <c r="Y105" s="72"/>
      <c r="Z105" s="75"/>
      <c r="AA105" s="60"/>
      <c r="AB105" s="71"/>
      <c r="AC105" s="72"/>
      <c r="AD105" s="72"/>
      <c r="AE105" s="72"/>
      <c r="AF105" s="75"/>
      <c r="AH105" t="str">
        <f>IF(V105='Appendix A 21.03'!V105,"")</f>
        <v/>
      </c>
    </row>
    <row r="106" spans="2:34" ht="13" x14ac:dyDescent="0.3">
      <c r="B106" s="78" t="s">
        <v>136</v>
      </c>
      <c r="C106" s="34">
        <f t="shared" ref="C106:J106" si="65">SUM(C107:C116,C117:C117)</f>
        <v>-1226</v>
      </c>
      <c r="D106" s="34">
        <f t="shared" si="65"/>
        <v>-1226</v>
      </c>
      <c r="E106" s="24">
        <f t="shared" si="65"/>
        <v>0</v>
      </c>
      <c r="F106" s="24">
        <f t="shared" si="65"/>
        <v>33</v>
      </c>
      <c r="G106" s="24">
        <f t="shared" si="65"/>
        <v>0</v>
      </c>
      <c r="H106" s="24">
        <f t="shared" si="65"/>
        <v>277</v>
      </c>
      <c r="I106" s="24">
        <f t="shared" si="65"/>
        <v>0</v>
      </c>
      <c r="J106" s="24">
        <f t="shared" si="65"/>
        <v>0</v>
      </c>
      <c r="K106" s="24">
        <f>SUM(K107:K117)</f>
        <v>310</v>
      </c>
      <c r="L106" s="34">
        <f>N106-D106</f>
        <v>277</v>
      </c>
      <c r="M106" s="34">
        <f>N106-C106</f>
        <v>277</v>
      </c>
      <c r="N106" s="34">
        <f>SUM(N107:N116,N117:N117)</f>
        <v>-949</v>
      </c>
      <c r="O106" s="34">
        <f>SUM(O107:O116,O117:O117)</f>
        <v>65008</v>
      </c>
      <c r="P106" s="34">
        <f>SUM(P107:P116,P117:P117)</f>
        <v>-66016</v>
      </c>
      <c r="Q106" s="34">
        <f>SUM(Q107:Q116,Q117:Q117)</f>
        <v>-1008</v>
      </c>
      <c r="R106" s="34">
        <f>SUM(R107:R116,R117:R117)</f>
        <v>-949</v>
      </c>
      <c r="S106" s="34">
        <f>Q106-R106</f>
        <v>-59</v>
      </c>
      <c r="T106" s="94">
        <f>IFERROR((Q106/N106)*100%,"∞")</f>
        <v>1.0621707060063224</v>
      </c>
      <c r="U106" s="95">
        <f>N106+V106</f>
        <v>-949</v>
      </c>
      <c r="V106" s="34">
        <f>SUM(V107:V116,V117:V117)</f>
        <v>0</v>
      </c>
      <c r="W106" s="34">
        <f>SUM(W107:W116,W117:W117)</f>
        <v>0</v>
      </c>
      <c r="X106" s="34"/>
      <c r="Y106" s="34"/>
      <c r="Z106" s="41"/>
      <c r="AA106" s="60"/>
      <c r="AB106" s="100">
        <f>SUM(AB107:AB116,AB117:AB117)</f>
        <v>0</v>
      </c>
      <c r="AC106" s="33">
        <f>SUM(AC107:AC116,AC117:AC117)</f>
        <v>0</v>
      </c>
      <c r="AD106" s="33">
        <f>SUM(AD107:AD116,AD117:AD117)</f>
        <v>0</v>
      </c>
      <c r="AE106" s="33">
        <f>SUM(AE107:AE116,AE117:AE117)</f>
        <v>-1008</v>
      </c>
      <c r="AF106" s="101">
        <f>SUM(AF107:AF116,AF117:AF117)</f>
        <v>-59</v>
      </c>
      <c r="AH106" t="str">
        <f>IF(V106='Appendix A 21.03'!V106,"")</f>
        <v/>
      </c>
    </row>
    <row r="107" spans="2:34" ht="13" outlineLevel="1" x14ac:dyDescent="0.3">
      <c r="B107" s="79" t="s">
        <v>137</v>
      </c>
      <c r="C107" s="33">
        <v>380</v>
      </c>
      <c r="D107" s="33">
        <v>380</v>
      </c>
      <c r="E107" s="23">
        <v>0</v>
      </c>
      <c r="F107" s="23">
        <v>33</v>
      </c>
      <c r="G107" s="23">
        <v>0</v>
      </c>
      <c r="H107" s="23">
        <v>50</v>
      </c>
      <c r="I107" s="23">
        <v>0</v>
      </c>
      <c r="J107" s="23">
        <v>0</v>
      </c>
      <c r="K107" s="23">
        <f>SUM(E107:J107)</f>
        <v>83</v>
      </c>
      <c r="L107" s="33">
        <f>N107-D107</f>
        <v>50</v>
      </c>
      <c r="M107" s="33">
        <f>N107-C107</f>
        <v>50</v>
      </c>
      <c r="N107" s="33">
        <v>430</v>
      </c>
      <c r="O107" s="33">
        <v>39618</v>
      </c>
      <c r="P107" s="33">
        <v>-37782</v>
      </c>
      <c r="Q107" s="33">
        <v>1836</v>
      </c>
      <c r="R107" s="33">
        <v>430</v>
      </c>
      <c r="S107" s="33">
        <f>Q107-R107</f>
        <v>1406</v>
      </c>
      <c r="T107" s="38">
        <f>IFERROR((Q107/N107)*100%,"∞")</f>
        <v>4.2697674418604654</v>
      </c>
      <c r="U107" s="59">
        <f>N107+V107</f>
        <v>430</v>
      </c>
      <c r="V107" s="33">
        <v>0</v>
      </c>
      <c r="W107" s="33">
        <v>0</v>
      </c>
      <c r="X107" s="33"/>
      <c r="Y107" s="33"/>
      <c r="Z107" s="42"/>
      <c r="AA107" s="60"/>
      <c r="AB107" s="105"/>
      <c r="AC107" s="93"/>
      <c r="AD107" s="33">
        <f>SUM(AB107:AC107)</f>
        <v>0</v>
      </c>
      <c r="AE107" s="33">
        <f>Q107+AD107</f>
        <v>1836</v>
      </c>
      <c r="AF107" s="101">
        <f>AE107-N107</f>
        <v>1406</v>
      </c>
      <c r="AH107" t="str">
        <f>IF(V107='Appendix A 21.03'!V107,"")</f>
        <v/>
      </c>
    </row>
    <row r="108" spans="2:34" ht="13" outlineLevel="1" x14ac:dyDescent="0.3">
      <c r="B108" s="79" t="s">
        <v>138</v>
      </c>
      <c r="C108" s="33">
        <v>3062</v>
      </c>
      <c r="D108" s="33">
        <v>3062</v>
      </c>
      <c r="E108" s="23">
        <v>0</v>
      </c>
      <c r="F108" s="23">
        <v>0</v>
      </c>
      <c r="G108" s="23">
        <v>0</v>
      </c>
      <c r="H108" s="23">
        <v>0</v>
      </c>
      <c r="I108" s="23">
        <v>0</v>
      </c>
      <c r="J108" s="23">
        <v>0</v>
      </c>
      <c r="K108" s="23">
        <f t="shared" ref="K108:K115" si="66">SUM(E108:J108)</f>
        <v>0</v>
      </c>
      <c r="L108" s="33">
        <f t="shared" ref="L108:L115" si="67">N108-D108</f>
        <v>0</v>
      </c>
      <c r="M108" s="33">
        <f t="shared" ref="M108:M115" si="68">N108-C108</f>
        <v>0</v>
      </c>
      <c r="N108" s="33">
        <v>3062</v>
      </c>
      <c r="O108" s="33">
        <v>4505</v>
      </c>
      <c r="P108" s="33">
        <v>0</v>
      </c>
      <c r="Q108" s="33">
        <v>4505</v>
      </c>
      <c r="R108" s="33">
        <v>3062</v>
      </c>
      <c r="S108" s="33">
        <f t="shared" ref="S108:S115" si="69">Q108-R108</f>
        <v>1443</v>
      </c>
      <c r="T108" s="38">
        <f t="shared" ref="T108:T115" si="70">IFERROR((Q108/N108)*100%,"∞")</f>
        <v>1.4712606139777924</v>
      </c>
      <c r="U108" s="59">
        <f t="shared" ref="U108:U115" si="71">N108+V108</f>
        <v>3062</v>
      </c>
      <c r="V108" s="33">
        <v>0</v>
      </c>
      <c r="W108" s="33">
        <v>0</v>
      </c>
      <c r="X108" s="33"/>
      <c r="Y108" s="33"/>
      <c r="Z108" s="42"/>
      <c r="AA108" s="60"/>
      <c r="AB108" s="105"/>
      <c r="AC108" s="93"/>
      <c r="AD108" s="33">
        <f t="shared" ref="AD108:AD115" si="72">SUM(AB108:AC108)</f>
        <v>0</v>
      </c>
      <c r="AE108" s="33">
        <f t="shared" ref="AE108:AE115" si="73">Q108+AD108</f>
        <v>4505</v>
      </c>
      <c r="AF108" s="101">
        <f t="shared" ref="AF108:AF115" si="74">AE108-N108</f>
        <v>1443</v>
      </c>
      <c r="AH108" t="str">
        <f>IF(V108='Appendix A 21.03'!V108,"")</f>
        <v/>
      </c>
    </row>
    <row r="109" spans="2:34" ht="13" outlineLevel="1" x14ac:dyDescent="0.3">
      <c r="B109" s="79" t="s">
        <v>139</v>
      </c>
      <c r="C109" s="33">
        <v>602</v>
      </c>
      <c r="D109" s="33">
        <v>602</v>
      </c>
      <c r="E109" s="23">
        <v>0</v>
      </c>
      <c r="F109" s="23">
        <v>0</v>
      </c>
      <c r="G109" s="23">
        <v>0</v>
      </c>
      <c r="H109" s="23">
        <v>0</v>
      </c>
      <c r="I109" s="23">
        <v>0</v>
      </c>
      <c r="J109" s="23">
        <v>0</v>
      </c>
      <c r="K109" s="23">
        <f t="shared" si="66"/>
        <v>0</v>
      </c>
      <c r="L109" s="33">
        <f t="shared" si="67"/>
        <v>0</v>
      </c>
      <c r="M109" s="33">
        <f t="shared" si="68"/>
        <v>0</v>
      </c>
      <c r="N109" s="33">
        <v>602</v>
      </c>
      <c r="O109" s="33">
        <v>422</v>
      </c>
      <c r="P109" s="33">
        <v>0</v>
      </c>
      <c r="Q109" s="33">
        <v>422</v>
      </c>
      <c r="R109" s="33">
        <v>602</v>
      </c>
      <c r="S109" s="33">
        <f t="shared" si="69"/>
        <v>-180</v>
      </c>
      <c r="T109" s="38">
        <f t="shared" si="70"/>
        <v>0.70099667774086383</v>
      </c>
      <c r="U109" s="59">
        <f t="shared" si="71"/>
        <v>602</v>
      </c>
      <c r="V109" s="33">
        <v>0</v>
      </c>
      <c r="W109" s="33">
        <v>0</v>
      </c>
      <c r="X109" s="33"/>
      <c r="Y109" s="33"/>
      <c r="Z109" s="42"/>
      <c r="AA109" s="60"/>
      <c r="AB109" s="105"/>
      <c r="AC109" s="93"/>
      <c r="AD109" s="33">
        <f t="shared" si="72"/>
        <v>0</v>
      </c>
      <c r="AE109" s="33">
        <f t="shared" si="73"/>
        <v>422</v>
      </c>
      <c r="AF109" s="101">
        <f t="shared" si="74"/>
        <v>-180</v>
      </c>
      <c r="AH109" t="str">
        <f>IF(V109='Appendix A 21.03'!V109,"")</f>
        <v/>
      </c>
    </row>
    <row r="110" spans="2:34" ht="13" outlineLevel="1" x14ac:dyDescent="0.3">
      <c r="B110" s="79" t="s">
        <v>141</v>
      </c>
      <c r="C110" s="33">
        <v>8581</v>
      </c>
      <c r="D110" s="33">
        <v>8581</v>
      </c>
      <c r="E110" s="23">
        <v>0</v>
      </c>
      <c r="F110" s="23">
        <v>0</v>
      </c>
      <c r="G110" s="23">
        <v>0</v>
      </c>
      <c r="H110" s="23">
        <v>0</v>
      </c>
      <c r="I110" s="23">
        <v>0</v>
      </c>
      <c r="J110" s="23">
        <v>0</v>
      </c>
      <c r="K110" s="23">
        <f t="shared" si="66"/>
        <v>0</v>
      </c>
      <c r="L110" s="33">
        <f t="shared" si="67"/>
        <v>0</v>
      </c>
      <c r="M110" s="33">
        <f t="shared" si="68"/>
        <v>0</v>
      </c>
      <c r="N110" s="33">
        <v>8581</v>
      </c>
      <c r="O110" s="33">
        <v>6850</v>
      </c>
      <c r="P110" s="33">
        <v>0</v>
      </c>
      <c r="Q110" s="33">
        <v>6850</v>
      </c>
      <c r="R110" s="33">
        <v>8581</v>
      </c>
      <c r="S110" s="33">
        <f t="shared" si="69"/>
        <v>-1731</v>
      </c>
      <c r="T110" s="38">
        <f t="shared" si="70"/>
        <v>0.79827525929378862</v>
      </c>
      <c r="U110" s="59">
        <f t="shared" si="71"/>
        <v>8581</v>
      </c>
      <c r="V110" s="33">
        <v>0</v>
      </c>
      <c r="W110" s="33">
        <v>0</v>
      </c>
      <c r="X110" s="33"/>
      <c r="Y110" s="33"/>
      <c r="Z110" s="42"/>
      <c r="AA110" s="60"/>
      <c r="AB110" s="105"/>
      <c r="AC110" s="93"/>
      <c r="AD110" s="33">
        <f t="shared" si="72"/>
        <v>0</v>
      </c>
      <c r="AE110" s="33">
        <f t="shared" si="73"/>
        <v>6850</v>
      </c>
      <c r="AF110" s="101">
        <f t="shared" si="74"/>
        <v>-1731</v>
      </c>
      <c r="AH110" t="str">
        <f>IF(V110='Appendix A 21.03'!V110,"")</f>
        <v/>
      </c>
    </row>
    <row r="111" spans="2:34" ht="13" outlineLevel="1" x14ac:dyDescent="0.3">
      <c r="B111" s="79" t="s">
        <v>142</v>
      </c>
      <c r="C111" s="33">
        <v>-4597</v>
      </c>
      <c r="D111" s="33">
        <v>-4597</v>
      </c>
      <c r="E111" s="23">
        <v>0</v>
      </c>
      <c r="F111" s="23">
        <v>0</v>
      </c>
      <c r="G111" s="23">
        <v>0</v>
      </c>
      <c r="H111" s="23">
        <v>0</v>
      </c>
      <c r="I111" s="23">
        <v>0</v>
      </c>
      <c r="J111" s="23">
        <v>0</v>
      </c>
      <c r="K111" s="23">
        <f t="shared" si="66"/>
        <v>0</v>
      </c>
      <c r="L111" s="33">
        <f t="shared" si="67"/>
        <v>0</v>
      </c>
      <c r="M111" s="33">
        <f t="shared" si="68"/>
        <v>0</v>
      </c>
      <c r="N111" s="33">
        <v>-4597</v>
      </c>
      <c r="O111" s="33">
        <v>390</v>
      </c>
      <c r="P111" s="33">
        <v>-5737</v>
      </c>
      <c r="Q111" s="33">
        <v>-5347</v>
      </c>
      <c r="R111" s="33">
        <v>-4597</v>
      </c>
      <c r="S111" s="33">
        <f t="shared" si="69"/>
        <v>-750</v>
      </c>
      <c r="T111" s="38">
        <f t="shared" si="70"/>
        <v>1.1631498803567544</v>
      </c>
      <c r="U111" s="59">
        <f t="shared" si="71"/>
        <v>-4597</v>
      </c>
      <c r="V111" s="33">
        <v>0</v>
      </c>
      <c r="W111" s="33">
        <v>0</v>
      </c>
      <c r="X111" s="33"/>
      <c r="Y111" s="33"/>
      <c r="Z111" s="42"/>
      <c r="AA111" s="60"/>
      <c r="AB111" s="105"/>
      <c r="AC111" s="93"/>
      <c r="AD111" s="33">
        <f t="shared" si="72"/>
        <v>0</v>
      </c>
      <c r="AE111" s="33">
        <f t="shared" si="73"/>
        <v>-5347</v>
      </c>
      <c r="AF111" s="101">
        <f t="shared" si="74"/>
        <v>-750</v>
      </c>
      <c r="AH111" t="str">
        <f>IF(V111='Appendix A 21.03'!V111,"")</f>
        <v/>
      </c>
    </row>
    <row r="112" spans="2:34" ht="13" outlineLevel="1" x14ac:dyDescent="0.3">
      <c r="B112" s="79" t="s">
        <v>143</v>
      </c>
      <c r="C112" s="33">
        <v>-8990</v>
      </c>
      <c r="D112" s="33">
        <v>-8990</v>
      </c>
      <c r="E112" s="23">
        <v>0</v>
      </c>
      <c r="F112" s="23">
        <v>0</v>
      </c>
      <c r="G112" s="23">
        <v>0</v>
      </c>
      <c r="H112" s="23">
        <v>0</v>
      </c>
      <c r="I112" s="23">
        <v>0</v>
      </c>
      <c r="J112" s="23">
        <v>0</v>
      </c>
      <c r="K112" s="23">
        <f t="shared" si="66"/>
        <v>0</v>
      </c>
      <c r="L112" s="33">
        <f t="shared" si="67"/>
        <v>0</v>
      </c>
      <c r="M112" s="33">
        <f t="shared" si="68"/>
        <v>0</v>
      </c>
      <c r="N112" s="33">
        <v>-8990</v>
      </c>
      <c r="O112" s="33">
        <v>0</v>
      </c>
      <c r="P112" s="33">
        <v>-8264</v>
      </c>
      <c r="Q112" s="33">
        <v>-8264</v>
      </c>
      <c r="R112" s="33">
        <v>-8990</v>
      </c>
      <c r="S112" s="33">
        <f t="shared" si="69"/>
        <v>726</v>
      </c>
      <c r="T112" s="38">
        <f t="shared" si="70"/>
        <v>0.91924360400444938</v>
      </c>
      <c r="U112" s="59">
        <f t="shared" si="71"/>
        <v>-8990</v>
      </c>
      <c r="V112" s="33">
        <v>0</v>
      </c>
      <c r="W112" s="33">
        <v>0</v>
      </c>
      <c r="X112" s="33"/>
      <c r="Y112" s="33"/>
      <c r="Z112" s="42"/>
      <c r="AA112" s="60"/>
      <c r="AB112" s="105"/>
      <c r="AC112" s="93"/>
      <c r="AD112" s="33">
        <f t="shared" si="72"/>
        <v>0</v>
      </c>
      <c r="AE112" s="33">
        <f t="shared" si="73"/>
        <v>-8264</v>
      </c>
      <c r="AF112" s="101">
        <f t="shared" si="74"/>
        <v>726</v>
      </c>
      <c r="AH112" t="str">
        <f>IF(V112='Appendix A 21.03'!V112,"")</f>
        <v/>
      </c>
    </row>
    <row r="113" spans="2:34" ht="13" outlineLevel="1" x14ac:dyDescent="0.3">
      <c r="B113" s="79" t="s">
        <v>144</v>
      </c>
      <c r="C113" s="33">
        <v>-646</v>
      </c>
      <c r="D113" s="33">
        <v>-646</v>
      </c>
      <c r="E113" s="23">
        <v>0</v>
      </c>
      <c r="F113" s="23">
        <v>0</v>
      </c>
      <c r="G113" s="23">
        <v>0</v>
      </c>
      <c r="H113" s="23">
        <v>0</v>
      </c>
      <c r="I113" s="23">
        <v>0</v>
      </c>
      <c r="J113" s="23">
        <v>0</v>
      </c>
      <c r="K113" s="23">
        <f t="shared" si="66"/>
        <v>0</v>
      </c>
      <c r="L113" s="33">
        <f t="shared" si="67"/>
        <v>0</v>
      </c>
      <c r="M113" s="33">
        <f t="shared" si="68"/>
        <v>0</v>
      </c>
      <c r="N113" s="33">
        <v>-646</v>
      </c>
      <c r="O113" s="33">
        <v>0</v>
      </c>
      <c r="P113" s="33">
        <v>-453</v>
      </c>
      <c r="Q113" s="33">
        <v>-453</v>
      </c>
      <c r="R113" s="33">
        <v>-646</v>
      </c>
      <c r="S113" s="33">
        <f t="shared" si="69"/>
        <v>193</v>
      </c>
      <c r="T113" s="38">
        <f t="shared" si="70"/>
        <v>0.70123839009287925</v>
      </c>
      <c r="U113" s="59">
        <f t="shared" si="71"/>
        <v>-646</v>
      </c>
      <c r="V113" s="33">
        <v>0</v>
      </c>
      <c r="W113" s="33">
        <v>0</v>
      </c>
      <c r="X113" s="33"/>
      <c r="Y113" s="33"/>
      <c r="Z113" s="42"/>
      <c r="AA113" s="60"/>
      <c r="AB113" s="105"/>
      <c r="AC113" s="93"/>
      <c r="AD113" s="33">
        <f t="shared" si="72"/>
        <v>0</v>
      </c>
      <c r="AE113" s="33">
        <f t="shared" si="73"/>
        <v>-453</v>
      </c>
      <c r="AF113" s="101">
        <f t="shared" si="74"/>
        <v>193</v>
      </c>
      <c r="AH113" t="str">
        <f>IF(V113='Appendix A 21.03'!V113,"")</f>
        <v/>
      </c>
    </row>
    <row r="114" spans="2:34" ht="13" outlineLevel="1" x14ac:dyDescent="0.3">
      <c r="B114" s="79" t="s">
        <v>145</v>
      </c>
      <c r="C114" s="33">
        <v>687</v>
      </c>
      <c r="D114" s="33">
        <v>687</v>
      </c>
      <c r="E114" s="23">
        <v>0</v>
      </c>
      <c r="F114" s="23">
        <v>0</v>
      </c>
      <c r="G114" s="23">
        <v>0</v>
      </c>
      <c r="H114" s="23">
        <v>0</v>
      </c>
      <c r="I114" s="23">
        <v>0</v>
      </c>
      <c r="J114" s="23">
        <v>0</v>
      </c>
      <c r="K114" s="23">
        <f t="shared" si="66"/>
        <v>0</v>
      </c>
      <c r="L114" s="33">
        <f t="shared" si="67"/>
        <v>0</v>
      </c>
      <c r="M114" s="33">
        <f t="shared" si="68"/>
        <v>0</v>
      </c>
      <c r="N114" s="33">
        <v>687</v>
      </c>
      <c r="O114" s="33">
        <v>-123</v>
      </c>
      <c r="P114" s="33">
        <v>0</v>
      </c>
      <c r="Q114" s="33">
        <v>-123</v>
      </c>
      <c r="R114" s="33">
        <v>687</v>
      </c>
      <c r="S114" s="33">
        <f t="shared" si="69"/>
        <v>-810</v>
      </c>
      <c r="T114" s="38">
        <f t="shared" si="70"/>
        <v>-0.17903930131004367</v>
      </c>
      <c r="U114" s="59">
        <f t="shared" si="71"/>
        <v>687</v>
      </c>
      <c r="V114" s="33">
        <v>0</v>
      </c>
      <c r="W114" s="33">
        <v>0</v>
      </c>
      <c r="X114" s="33"/>
      <c r="Y114" s="33"/>
      <c r="Z114" s="42"/>
      <c r="AA114" s="60"/>
      <c r="AB114" s="105"/>
      <c r="AC114" s="93"/>
      <c r="AD114" s="33">
        <f t="shared" si="72"/>
        <v>0</v>
      </c>
      <c r="AE114" s="33">
        <f t="shared" si="73"/>
        <v>-123</v>
      </c>
      <c r="AF114" s="101">
        <f t="shared" si="74"/>
        <v>-810</v>
      </c>
      <c r="AH114" t="str">
        <f>IF(V114='Appendix A 21.03'!V114,"")</f>
        <v/>
      </c>
    </row>
    <row r="115" spans="2:34" ht="13" outlineLevel="1" x14ac:dyDescent="0.3">
      <c r="B115" s="79" t="s">
        <v>146</v>
      </c>
      <c r="C115" s="33">
        <v>166</v>
      </c>
      <c r="D115" s="33">
        <v>166</v>
      </c>
      <c r="E115" s="23">
        <v>0</v>
      </c>
      <c r="F115" s="23">
        <v>0</v>
      </c>
      <c r="G115" s="23">
        <v>0</v>
      </c>
      <c r="H115" s="23">
        <v>0</v>
      </c>
      <c r="I115" s="23">
        <v>0</v>
      </c>
      <c r="J115" s="23">
        <v>0</v>
      </c>
      <c r="K115" s="23">
        <f t="shared" si="66"/>
        <v>0</v>
      </c>
      <c r="L115" s="33">
        <f t="shared" si="67"/>
        <v>0</v>
      </c>
      <c r="M115" s="33">
        <f t="shared" si="68"/>
        <v>0</v>
      </c>
      <c r="N115" s="33">
        <v>166</v>
      </c>
      <c r="O115" s="33">
        <v>37</v>
      </c>
      <c r="P115" s="33">
        <v>0</v>
      </c>
      <c r="Q115" s="33">
        <v>37</v>
      </c>
      <c r="R115" s="33">
        <v>166</v>
      </c>
      <c r="S115" s="33">
        <f t="shared" si="69"/>
        <v>-129</v>
      </c>
      <c r="T115" s="38">
        <f t="shared" si="70"/>
        <v>0.22289156626506024</v>
      </c>
      <c r="U115" s="59">
        <f t="shared" si="71"/>
        <v>166</v>
      </c>
      <c r="V115" s="33">
        <v>0</v>
      </c>
      <c r="W115" s="33">
        <v>0</v>
      </c>
      <c r="X115" s="33"/>
      <c r="Y115" s="33"/>
      <c r="Z115" s="42"/>
      <c r="AA115" s="60"/>
      <c r="AB115" s="105"/>
      <c r="AC115" s="93"/>
      <c r="AD115" s="33">
        <f t="shared" si="72"/>
        <v>0</v>
      </c>
      <c r="AE115" s="33">
        <f t="shared" si="73"/>
        <v>37</v>
      </c>
      <c r="AF115" s="101">
        <f t="shared" si="74"/>
        <v>-129</v>
      </c>
      <c r="AH115" t="str">
        <f>IF(V115='Appendix A 21.03'!V115,"")</f>
        <v/>
      </c>
    </row>
    <row r="116" spans="2:34" ht="13" outlineLevel="1" x14ac:dyDescent="0.3">
      <c r="B116" s="79" t="s">
        <v>147</v>
      </c>
      <c r="C116" s="33">
        <v>0</v>
      </c>
      <c r="D116" s="33">
        <v>0</v>
      </c>
      <c r="E116" s="23">
        <v>0</v>
      </c>
      <c r="F116" s="23">
        <v>0</v>
      </c>
      <c r="G116" s="23">
        <v>0</v>
      </c>
      <c r="H116" s="23">
        <v>227</v>
      </c>
      <c r="I116" s="23">
        <v>0</v>
      </c>
      <c r="J116" s="23">
        <v>0</v>
      </c>
      <c r="K116" s="23">
        <f>SUM(E116:J116)</f>
        <v>227</v>
      </c>
      <c r="L116" s="33">
        <f>N116-D116</f>
        <v>227</v>
      </c>
      <c r="M116" s="33">
        <f>N116-C116</f>
        <v>227</v>
      </c>
      <c r="N116" s="33">
        <v>227</v>
      </c>
      <c r="O116" s="33">
        <v>13309</v>
      </c>
      <c r="P116" s="33">
        <v>-13309</v>
      </c>
      <c r="Q116" s="33">
        <v>0</v>
      </c>
      <c r="R116" s="33">
        <v>227</v>
      </c>
      <c r="S116" s="33">
        <f>Q116-R116</f>
        <v>-227</v>
      </c>
      <c r="T116" s="38">
        <f>IFERROR((Q116/N116)*100%,"∞")</f>
        <v>0</v>
      </c>
      <c r="U116" s="59">
        <f>N116+V116</f>
        <v>227</v>
      </c>
      <c r="V116" s="33">
        <v>0</v>
      </c>
      <c r="W116" s="33">
        <v>0</v>
      </c>
      <c r="X116" s="33"/>
      <c r="Y116" s="33"/>
      <c r="Z116" s="42"/>
      <c r="AA116" s="60"/>
      <c r="AB116" s="105"/>
      <c r="AC116" s="93"/>
      <c r="AD116" s="33">
        <f>SUM(AB116:AC116)</f>
        <v>0</v>
      </c>
      <c r="AE116" s="33">
        <f>Q116+AD116</f>
        <v>0</v>
      </c>
      <c r="AF116" s="101">
        <f>AE116-N116</f>
        <v>-227</v>
      </c>
      <c r="AH116" t="str">
        <f>IF(V116='Appendix A 21.03'!V116,"")</f>
        <v/>
      </c>
    </row>
    <row r="117" spans="2:34" ht="13" outlineLevel="1" x14ac:dyDescent="0.3">
      <c r="B117" s="79" t="s">
        <v>148</v>
      </c>
      <c r="C117" s="33">
        <v>-471</v>
      </c>
      <c r="D117" s="33">
        <v>-471</v>
      </c>
      <c r="E117" s="23">
        <v>0</v>
      </c>
      <c r="F117" s="23">
        <v>0</v>
      </c>
      <c r="G117" s="23">
        <v>0</v>
      </c>
      <c r="H117" s="23">
        <v>0</v>
      </c>
      <c r="I117" s="23">
        <v>0</v>
      </c>
      <c r="J117" s="23">
        <v>0</v>
      </c>
      <c r="K117" s="23">
        <f>SUM(E117:J117)</f>
        <v>0</v>
      </c>
      <c r="L117" s="33">
        <f>N117-D117</f>
        <v>0</v>
      </c>
      <c r="M117" s="33">
        <f>N117-C117</f>
        <v>0</v>
      </c>
      <c r="N117" s="33">
        <v>-471</v>
      </c>
      <c r="O117" s="33">
        <v>0</v>
      </c>
      <c r="P117" s="33">
        <v>-471</v>
      </c>
      <c r="Q117" s="33">
        <v>-471</v>
      </c>
      <c r="R117" s="33">
        <v>-471</v>
      </c>
      <c r="S117" s="33">
        <f>Q117-R117</f>
        <v>0</v>
      </c>
      <c r="T117" s="38">
        <f>IFERROR((Q117/N117)*100%,"∞")</f>
        <v>1</v>
      </c>
      <c r="U117" s="59">
        <f>N117+V117</f>
        <v>-471</v>
      </c>
      <c r="V117" s="33">
        <v>0</v>
      </c>
      <c r="W117" s="33">
        <v>0</v>
      </c>
      <c r="X117" s="33"/>
      <c r="Y117" s="33"/>
      <c r="Z117" s="42"/>
      <c r="AA117" s="60"/>
      <c r="AB117" s="105"/>
      <c r="AC117" s="93"/>
      <c r="AD117" s="33">
        <f>SUM(AB117:AC117)</f>
        <v>0</v>
      </c>
      <c r="AE117" s="33">
        <f>Q117+AD117</f>
        <v>-471</v>
      </c>
      <c r="AF117" s="101">
        <f>AE117-N117</f>
        <v>0</v>
      </c>
      <c r="AH117" t="str">
        <f>IF(V117='Appendix A 21.03'!V117,"")</f>
        <v/>
      </c>
    </row>
    <row r="118" spans="2:34" ht="13" x14ac:dyDescent="0.3">
      <c r="B118" s="85"/>
      <c r="C118" s="86"/>
      <c r="D118" s="86"/>
      <c r="E118" s="87"/>
      <c r="F118" s="87"/>
      <c r="G118" s="87"/>
      <c r="H118" s="87"/>
      <c r="I118" s="87"/>
      <c r="J118" s="87"/>
      <c r="K118" s="87"/>
      <c r="L118" s="86"/>
      <c r="M118" s="86"/>
      <c r="N118" s="86"/>
      <c r="O118" s="86"/>
      <c r="P118" s="86"/>
      <c r="Q118" s="86"/>
      <c r="R118" s="86"/>
      <c r="S118" s="86"/>
      <c r="T118" s="86"/>
      <c r="U118" s="88"/>
      <c r="V118" s="86"/>
      <c r="W118" s="86"/>
      <c r="X118" s="86"/>
      <c r="Y118" s="86"/>
      <c r="Z118" s="89"/>
      <c r="AA118" s="60"/>
      <c r="AB118" s="98"/>
      <c r="AC118" s="36"/>
      <c r="AD118" s="36"/>
      <c r="AE118" s="36"/>
      <c r="AF118" s="99"/>
      <c r="AH118" t="str">
        <f>IF(V118='Appendix A 21.03'!V118,"")</f>
        <v/>
      </c>
    </row>
    <row r="119" spans="2:34" ht="13" x14ac:dyDescent="0.3">
      <c r="B119" s="78" t="s">
        <v>149</v>
      </c>
      <c r="C119" s="34">
        <f t="shared" ref="C119:J119" si="75">SUM(C120:C127)</f>
        <v>1238</v>
      </c>
      <c r="D119" s="34">
        <f t="shared" si="75"/>
        <v>1427</v>
      </c>
      <c r="E119" s="24">
        <f t="shared" si="75"/>
        <v>0</v>
      </c>
      <c r="F119" s="24">
        <f t="shared" si="75"/>
        <v>0</v>
      </c>
      <c r="G119" s="24">
        <f t="shared" si="75"/>
        <v>190</v>
      </c>
      <c r="H119" s="24">
        <f t="shared" si="75"/>
        <v>0</v>
      </c>
      <c r="I119" s="24">
        <f t="shared" si="75"/>
        <v>0</v>
      </c>
      <c r="J119" s="24">
        <f t="shared" si="75"/>
        <v>0</v>
      </c>
      <c r="K119" s="24">
        <f>SUM(E119:J119)</f>
        <v>190</v>
      </c>
      <c r="L119" s="34">
        <f>N119-D119</f>
        <v>0</v>
      </c>
      <c r="M119" s="34">
        <f>N119-C119</f>
        <v>189</v>
      </c>
      <c r="N119" s="34">
        <f>SUM(N120:N127)</f>
        <v>1427</v>
      </c>
      <c r="O119" s="34">
        <f>SUM(O120:O127)</f>
        <v>1675</v>
      </c>
      <c r="P119" s="34">
        <f>SUM(P120:P127)</f>
        <v>-758</v>
      </c>
      <c r="Q119" s="34">
        <f>SUM(Q120:Q127)</f>
        <v>917</v>
      </c>
      <c r="R119" s="34">
        <f>SUM(R120:R127)</f>
        <v>1427</v>
      </c>
      <c r="S119" s="34">
        <f>Q119-R119</f>
        <v>-510</v>
      </c>
      <c r="T119" s="94">
        <f>IFERROR((Q119/N119)*100%,"∞")</f>
        <v>0.64260686755430974</v>
      </c>
      <c r="U119" s="95">
        <f>N119+V119</f>
        <v>1427</v>
      </c>
      <c r="V119" s="34">
        <f>SUM(V120:V127)</f>
        <v>0</v>
      </c>
      <c r="W119" s="34">
        <f>SUM(W120:W127)</f>
        <v>0</v>
      </c>
      <c r="X119" s="34"/>
      <c r="Y119" s="34"/>
      <c r="Z119" s="41"/>
      <c r="AA119" s="60"/>
      <c r="AB119" s="100">
        <f>SUM(AB120:AB127)</f>
        <v>0</v>
      </c>
      <c r="AC119" s="33">
        <f>SUM(AC120:AC127)</f>
        <v>0</v>
      </c>
      <c r="AD119" s="33">
        <f>SUM(AD120:AD127)</f>
        <v>0</v>
      </c>
      <c r="AE119" s="33">
        <f>SUM(AE120:AE127)</f>
        <v>917</v>
      </c>
      <c r="AF119" s="101">
        <f>SUM(AF120:AF127)</f>
        <v>-510</v>
      </c>
      <c r="AH119" t="str">
        <f>IF(V119='Appendix A 21.03'!V119,"")</f>
        <v/>
      </c>
    </row>
    <row r="120" spans="2:34" ht="13" outlineLevel="1" x14ac:dyDescent="0.3">
      <c r="B120" s="79" t="s">
        <v>5739</v>
      </c>
      <c r="C120" s="33">
        <v>0</v>
      </c>
      <c r="D120" s="33">
        <v>0</v>
      </c>
      <c r="E120" s="23">
        <v>0</v>
      </c>
      <c r="F120" s="23">
        <v>0</v>
      </c>
      <c r="G120" s="23">
        <v>0</v>
      </c>
      <c r="H120" s="23">
        <v>0</v>
      </c>
      <c r="I120" s="23">
        <v>0</v>
      </c>
      <c r="J120" s="23">
        <v>0</v>
      </c>
      <c r="K120" s="23">
        <f>SUM(E120:J120)</f>
        <v>0</v>
      </c>
      <c r="L120" s="33">
        <f>N120-D120</f>
        <v>0</v>
      </c>
      <c r="M120" s="33">
        <f>N120-C120</f>
        <v>0</v>
      </c>
      <c r="N120" s="33">
        <v>0</v>
      </c>
      <c r="O120" s="33">
        <v>8</v>
      </c>
      <c r="P120" s="33">
        <v>0</v>
      </c>
      <c r="Q120" s="33">
        <v>8</v>
      </c>
      <c r="R120" s="33">
        <v>0</v>
      </c>
      <c r="S120" s="33">
        <f>Q120-R120</f>
        <v>8</v>
      </c>
      <c r="T120" s="38" t="str">
        <f>IFERROR((Q120/N120)*100%,"∞")</f>
        <v>∞</v>
      </c>
      <c r="U120" s="59">
        <f>N120+V120</f>
        <v>0</v>
      </c>
      <c r="V120" s="33">
        <v>0</v>
      </c>
      <c r="W120" s="33">
        <v>0</v>
      </c>
      <c r="X120" s="33"/>
      <c r="Y120" s="33"/>
      <c r="Z120" s="42"/>
      <c r="AA120" s="60"/>
      <c r="AB120" s="105"/>
      <c r="AC120" s="93"/>
      <c r="AD120" s="33">
        <f>SUM(AB120:AC120)</f>
        <v>0</v>
      </c>
      <c r="AE120" s="33">
        <f>Q120+AD120</f>
        <v>8</v>
      </c>
      <c r="AF120" s="101">
        <f>AE120-N120</f>
        <v>8</v>
      </c>
      <c r="AH120" t="str">
        <f>IF(V120='Appendix A 21.03'!V120,"")</f>
        <v/>
      </c>
    </row>
    <row r="121" spans="2:34" ht="13" outlineLevel="1" x14ac:dyDescent="0.3">
      <c r="B121" s="79" t="s">
        <v>150</v>
      </c>
      <c r="C121" s="33">
        <v>278</v>
      </c>
      <c r="D121" s="33">
        <v>278</v>
      </c>
      <c r="E121" s="23">
        <v>0</v>
      </c>
      <c r="F121" s="23">
        <v>0</v>
      </c>
      <c r="G121" s="23">
        <v>0</v>
      </c>
      <c r="H121" s="23">
        <v>0</v>
      </c>
      <c r="I121" s="23">
        <v>0</v>
      </c>
      <c r="J121" s="23">
        <v>0</v>
      </c>
      <c r="K121" s="23">
        <f t="shared" ref="K121:K126" si="76">SUM(E121:J121)</f>
        <v>0</v>
      </c>
      <c r="L121" s="33">
        <f t="shared" ref="L121:L126" si="77">N121-D121</f>
        <v>0</v>
      </c>
      <c r="M121" s="33">
        <f t="shared" ref="M121:M126" si="78">N121-C121</f>
        <v>0</v>
      </c>
      <c r="N121" s="33">
        <v>278</v>
      </c>
      <c r="O121" s="33">
        <v>0</v>
      </c>
      <c r="P121" s="33">
        <v>0</v>
      </c>
      <c r="Q121" s="33">
        <v>0</v>
      </c>
      <c r="R121" s="33">
        <v>278</v>
      </c>
      <c r="S121" s="33">
        <f t="shared" ref="S121:S126" si="79">Q121-R121</f>
        <v>-278</v>
      </c>
      <c r="T121" s="38">
        <f t="shared" ref="T121:T126" si="80">IFERROR((Q121/N121)*100%,"∞")</f>
        <v>0</v>
      </c>
      <c r="U121" s="59">
        <f t="shared" ref="U121:U126" si="81">N121+V121</f>
        <v>278</v>
      </c>
      <c r="V121" s="33">
        <v>0</v>
      </c>
      <c r="W121" s="33">
        <v>0</v>
      </c>
      <c r="X121" s="33"/>
      <c r="Y121" s="33"/>
      <c r="Z121" s="42"/>
      <c r="AA121" s="60"/>
      <c r="AB121" s="105"/>
      <c r="AC121" s="93"/>
      <c r="AD121" s="33">
        <f t="shared" ref="AD121:AD126" si="82">SUM(AB121:AC121)</f>
        <v>0</v>
      </c>
      <c r="AE121" s="33">
        <f t="shared" ref="AE121:AE126" si="83">Q121+AD121</f>
        <v>0</v>
      </c>
      <c r="AF121" s="101">
        <f t="shared" ref="AF121:AF126" si="84">AE121-N121</f>
        <v>-278</v>
      </c>
      <c r="AH121" t="str">
        <f>IF(V121='Appendix A 21.03'!V121,"")</f>
        <v/>
      </c>
    </row>
    <row r="122" spans="2:34" ht="13" outlineLevel="1" x14ac:dyDescent="0.3">
      <c r="B122" s="79" t="s">
        <v>151</v>
      </c>
      <c r="C122" s="33">
        <v>-400</v>
      </c>
      <c r="D122" s="33">
        <v>617</v>
      </c>
      <c r="E122" s="23">
        <v>0</v>
      </c>
      <c r="F122" s="23">
        <v>0</v>
      </c>
      <c r="G122" s="23">
        <v>1017</v>
      </c>
      <c r="H122" s="23">
        <v>0</v>
      </c>
      <c r="I122" s="23">
        <v>0</v>
      </c>
      <c r="J122" s="23">
        <v>0</v>
      </c>
      <c r="K122" s="23">
        <f t="shared" si="76"/>
        <v>1017</v>
      </c>
      <c r="L122" s="33">
        <f t="shared" si="77"/>
        <v>0</v>
      </c>
      <c r="M122" s="33">
        <f t="shared" si="78"/>
        <v>1017</v>
      </c>
      <c r="N122" s="33">
        <v>617</v>
      </c>
      <c r="O122" s="33">
        <v>1667</v>
      </c>
      <c r="P122" s="33">
        <v>0</v>
      </c>
      <c r="Q122" s="33">
        <v>1667</v>
      </c>
      <c r="R122" s="33">
        <v>617</v>
      </c>
      <c r="S122" s="33">
        <f t="shared" si="79"/>
        <v>1050</v>
      </c>
      <c r="T122" s="38">
        <f t="shared" si="80"/>
        <v>2.7017828200972449</v>
      </c>
      <c r="U122" s="59">
        <f t="shared" si="81"/>
        <v>617</v>
      </c>
      <c r="V122" s="33">
        <v>0</v>
      </c>
      <c r="W122" s="33">
        <v>0</v>
      </c>
      <c r="X122" s="33"/>
      <c r="Y122" s="33"/>
      <c r="Z122" s="42"/>
      <c r="AA122" s="60"/>
      <c r="AB122" s="105"/>
      <c r="AC122" s="93"/>
      <c r="AD122" s="33">
        <f t="shared" si="82"/>
        <v>0</v>
      </c>
      <c r="AE122" s="33">
        <f t="shared" si="83"/>
        <v>1667</v>
      </c>
      <c r="AF122" s="101">
        <f t="shared" si="84"/>
        <v>1050</v>
      </c>
      <c r="AH122" t="str">
        <f>IF(V122='Appendix A 21.03'!V122,"")</f>
        <v/>
      </c>
    </row>
    <row r="123" spans="2:34" ht="13" outlineLevel="1" x14ac:dyDescent="0.3">
      <c r="B123" s="79" t="s">
        <v>152</v>
      </c>
      <c r="C123" s="33">
        <v>693</v>
      </c>
      <c r="D123" s="33">
        <v>-95</v>
      </c>
      <c r="E123" s="23">
        <v>0</v>
      </c>
      <c r="F123" s="23">
        <v>0</v>
      </c>
      <c r="G123" s="23">
        <v>-787</v>
      </c>
      <c r="H123" s="23">
        <v>0</v>
      </c>
      <c r="I123" s="23">
        <v>0</v>
      </c>
      <c r="J123" s="23">
        <v>0</v>
      </c>
      <c r="K123" s="23">
        <f t="shared" si="76"/>
        <v>-787</v>
      </c>
      <c r="L123" s="33">
        <f t="shared" si="77"/>
        <v>0</v>
      </c>
      <c r="M123" s="33">
        <f t="shared" si="78"/>
        <v>-788</v>
      </c>
      <c r="N123" s="33">
        <v>-95</v>
      </c>
      <c r="O123" s="33">
        <v>0</v>
      </c>
      <c r="P123" s="33">
        <v>0</v>
      </c>
      <c r="Q123" s="33">
        <v>0</v>
      </c>
      <c r="R123" s="33">
        <v>-95</v>
      </c>
      <c r="S123" s="33">
        <f t="shared" si="79"/>
        <v>95</v>
      </c>
      <c r="T123" s="38">
        <f t="shared" si="80"/>
        <v>0</v>
      </c>
      <c r="U123" s="59">
        <f t="shared" si="81"/>
        <v>-95</v>
      </c>
      <c r="V123" s="33">
        <v>0</v>
      </c>
      <c r="W123" s="33">
        <v>0</v>
      </c>
      <c r="X123" s="33"/>
      <c r="Y123" s="33"/>
      <c r="Z123" s="42"/>
      <c r="AA123" s="60"/>
      <c r="AB123" s="105"/>
      <c r="AC123" s="93"/>
      <c r="AD123" s="33">
        <f t="shared" si="82"/>
        <v>0</v>
      </c>
      <c r="AE123" s="33">
        <f t="shared" si="83"/>
        <v>0</v>
      </c>
      <c r="AF123" s="101">
        <f t="shared" si="84"/>
        <v>95</v>
      </c>
      <c r="AH123" t="str">
        <f>IF(V123='Appendix A 21.03'!V123,"")</f>
        <v/>
      </c>
    </row>
    <row r="124" spans="2:34" ht="13" outlineLevel="1" x14ac:dyDescent="0.3">
      <c r="B124" s="79" t="s">
        <v>153</v>
      </c>
      <c r="C124" s="33">
        <v>645</v>
      </c>
      <c r="D124" s="33">
        <v>615</v>
      </c>
      <c r="E124" s="23">
        <v>0</v>
      </c>
      <c r="F124" s="23">
        <v>0</v>
      </c>
      <c r="G124" s="23">
        <v>-30</v>
      </c>
      <c r="H124" s="23">
        <v>0</v>
      </c>
      <c r="I124" s="23">
        <v>0</v>
      </c>
      <c r="J124" s="23">
        <v>0</v>
      </c>
      <c r="K124" s="23">
        <f t="shared" si="76"/>
        <v>-30</v>
      </c>
      <c r="L124" s="33">
        <f t="shared" si="77"/>
        <v>0</v>
      </c>
      <c r="M124" s="33">
        <f t="shared" si="78"/>
        <v>-30</v>
      </c>
      <c r="N124" s="33">
        <v>615</v>
      </c>
      <c r="O124" s="33">
        <v>0</v>
      </c>
      <c r="P124" s="33">
        <v>0</v>
      </c>
      <c r="Q124" s="33">
        <v>0</v>
      </c>
      <c r="R124" s="33">
        <v>615</v>
      </c>
      <c r="S124" s="33">
        <f t="shared" si="79"/>
        <v>-615</v>
      </c>
      <c r="T124" s="38">
        <f t="shared" si="80"/>
        <v>0</v>
      </c>
      <c r="U124" s="59">
        <f t="shared" si="81"/>
        <v>615</v>
      </c>
      <c r="V124" s="33">
        <v>0</v>
      </c>
      <c r="W124" s="33">
        <v>0</v>
      </c>
      <c r="X124" s="33"/>
      <c r="Y124" s="33"/>
      <c r="Z124" s="42"/>
      <c r="AA124" s="60"/>
      <c r="AB124" s="105"/>
      <c r="AC124" s="93"/>
      <c r="AD124" s="33">
        <f t="shared" si="82"/>
        <v>0</v>
      </c>
      <c r="AE124" s="33">
        <f t="shared" si="83"/>
        <v>0</v>
      </c>
      <c r="AF124" s="101">
        <f t="shared" si="84"/>
        <v>-615</v>
      </c>
      <c r="AH124" t="str">
        <f>IF(V124='Appendix A 21.03'!V124,"")</f>
        <v/>
      </c>
    </row>
    <row r="125" spans="2:34" ht="13" outlineLevel="1" x14ac:dyDescent="0.3">
      <c r="B125" s="79" t="s">
        <v>154</v>
      </c>
      <c r="C125" s="33">
        <v>525</v>
      </c>
      <c r="D125" s="33">
        <v>515</v>
      </c>
      <c r="E125" s="23">
        <v>0</v>
      </c>
      <c r="F125" s="23">
        <v>0</v>
      </c>
      <c r="G125" s="23">
        <v>-10</v>
      </c>
      <c r="H125" s="23">
        <v>0</v>
      </c>
      <c r="I125" s="23">
        <v>0</v>
      </c>
      <c r="J125" s="23">
        <v>0</v>
      </c>
      <c r="K125" s="23">
        <f t="shared" si="76"/>
        <v>-10</v>
      </c>
      <c r="L125" s="33">
        <f t="shared" si="77"/>
        <v>0</v>
      </c>
      <c r="M125" s="33">
        <f t="shared" si="78"/>
        <v>-10</v>
      </c>
      <c r="N125" s="33">
        <v>515</v>
      </c>
      <c r="O125" s="33">
        <v>0</v>
      </c>
      <c r="P125" s="33">
        <v>0</v>
      </c>
      <c r="Q125" s="33">
        <v>0</v>
      </c>
      <c r="R125" s="33">
        <v>515</v>
      </c>
      <c r="S125" s="33">
        <f t="shared" si="79"/>
        <v>-515</v>
      </c>
      <c r="T125" s="38">
        <f t="shared" si="80"/>
        <v>0</v>
      </c>
      <c r="U125" s="59">
        <f t="shared" si="81"/>
        <v>515</v>
      </c>
      <c r="V125" s="33">
        <v>0</v>
      </c>
      <c r="W125" s="33">
        <v>0</v>
      </c>
      <c r="X125" s="33"/>
      <c r="Y125" s="33"/>
      <c r="Z125" s="42"/>
      <c r="AA125" s="60"/>
      <c r="AB125" s="105"/>
      <c r="AC125" s="93"/>
      <c r="AD125" s="33">
        <f t="shared" si="82"/>
        <v>0</v>
      </c>
      <c r="AE125" s="33">
        <f t="shared" si="83"/>
        <v>0</v>
      </c>
      <c r="AF125" s="101">
        <f t="shared" si="84"/>
        <v>-515</v>
      </c>
      <c r="AH125" t="str">
        <f>IF(V125='Appendix A 21.03'!V125,"")</f>
        <v/>
      </c>
    </row>
    <row r="126" spans="2:34" ht="13" outlineLevel="1" x14ac:dyDescent="0.3">
      <c r="B126" s="79" t="s">
        <v>219</v>
      </c>
      <c r="C126" s="33">
        <v>-503</v>
      </c>
      <c r="D126" s="33">
        <v>-503</v>
      </c>
      <c r="E126" s="23">
        <v>0</v>
      </c>
      <c r="F126" s="23">
        <v>0</v>
      </c>
      <c r="G126" s="23">
        <v>0</v>
      </c>
      <c r="H126" s="23">
        <v>0</v>
      </c>
      <c r="I126" s="23">
        <v>0</v>
      </c>
      <c r="J126" s="23">
        <v>0</v>
      </c>
      <c r="K126" s="23">
        <f t="shared" si="76"/>
        <v>0</v>
      </c>
      <c r="L126" s="33">
        <f t="shared" si="77"/>
        <v>0</v>
      </c>
      <c r="M126" s="33">
        <f t="shared" si="78"/>
        <v>0</v>
      </c>
      <c r="N126" s="33">
        <v>-503</v>
      </c>
      <c r="O126" s="33">
        <v>0</v>
      </c>
      <c r="P126" s="33">
        <v>0</v>
      </c>
      <c r="Q126" s="33">
        <v>0</v>
      </c>
      <c r="R126" s="33">
        <v>-503</v>
      </c>
      <c r="S126" s="33">
        <f t="shared" si="79"/>
        <v>503</v>
      </c>
      <c r="T126" s="38">
        <f t="shared" si="80"/>
        <v>0</v>
      </c>
      <c r="U126" s="59">
        <f t="shared" si="81"/>
        <v>-503</v>
      </c>
      <c r="V126" s="33">
        <v>0</v>
      </c>
      <c r="W126" s="33">
        <v>0</v>
      </c>
      <c r="X126" s="33"/>
      <c r="Y126" s="33"/>
      <c r="Z126" s="42"/>
      <c r="AA126" s="60"/>
      <c r="AB126" s="105"/>
      <c r="AC126" s="93"/>
      <c r="AD126" s="33">
        <f t="shared" si="82"/>
        <v>0</v>
      </c>
      <c r="AE126" s="33">
        <f t="shared" si="83"/>
        <v>0</v>
      </c>
      <c r="AF126" s="101">
        <f t="shared" si="84"/>
        <v>503</v>
      </c>
      <c r="AH126" t="str">
        <f>IF(V126='Appendix A 21.03'!V126,"")</f>
        <v/>
      </c>
    </row>
    <row r="127" spans="2:34" ht="13" outlineLevel="1" x14ac:dyDescent="0.3">
      <c r="B127" s="79" t="s">
        <v>222</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-758</v>
      </c>
      <c r="Q127" s="33">
        <v>-758</v>
      </c>
      <c r="R127" s="33">
        <v>0</v>
      </c>
      <c r="S127" s="33">
        <f>Q127-R127</f>
        <v>-758</v>
      </c>
      <c r="T127" s="38" t="str">
        <f>IFERROR((Q127/N127)*100%,"∞")</f>
        <v>∞</v>
      </c>
      <c r="U127" s="59">
        <f>N127+V127</f>
        <v>0</v>
      </c>
      <c r="V127" s="33">
        <v>0</v>
      </c>
      <c r="W127" s="33">
        <v>0</v>
      </c>
      <c r="X127" s="33"/>
      <c r="Y127" s="33"/>
      <c r="Z127" s="42"/>
      <c r="AA127" s="60"/>
      <c r="AB127" s="105"/>
      <c r="AC127" s="93"/>
      <c r="AD127" s="33">
        <f>SUM(AB127:AC127)</f>
        <v>0</v>
      </c>
      <c r="AE127" s="33">
        <f>Q127+AD127</f>
        <v>-758</v>
      </c>
      <c r="AF127" s="101">
        <f>AE127-N127</f>
        <v>-758</v>
      </c>
      <c r="AH127" t="str">
        <f>IF(V127='Appendix A 21.03'!V127,"")</f>
        <v/>
      </c>
    </row>
    <row r="128" spans="2:34"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c r="AH128" t="str">
        <f>IF(V128='Appendix A 21.03'!V128,"")</f>
        <v/>
      </c>
    </row>
    <row r="129" spans="2:34" ht="13.5" thickBot="1" x14ac:dyDescent="0.35">
      <c r="B129" s="91" t="s">
        <v>155</v>
      </c>
      <c r="C129" s="76">
        <f t="shared" ref="C129:J129" si="85">C106+C119</f>
        <v>12</v>
      </c>
      <c r="D129" s="76">
        <f t="shared" si="85"/>
        <v>201</v>
      </c>
      <c r="E129" s="76">
        <f t="shared" si="85"/>
        <v>0</v>
      </c>
      <c r="F129" s="76">
        <f t="shared" si="85"/>
        <v>33</v>
      </c>
      <c r="G129" s="76">
        <f t="shared" si="85"/>
        <v>190</v>
      </c>
      <c r="H129" s="76">
        <f t="shared" si="85"/>
        <v>277</v>
      </c>
      <c r="I129" s="76">
        <f t="shared" si="85"/>
        <v>0</v>
      </c>
      <c r="J129" s="76">
        <f t="shared" si="85"/>
        <v>0</v>
      </c>
      <c r="K129" s="76">
        <f>SUM(E129:J129)</f>
        <v>500</v>
      </c>
      <c r="L129" s="76">
        <f>N129-D129</f>
        <v>277</v>
      </c>
      <c r="M129" s="76">
        <f>N129-C129</f>
        <v>466</v>
      </c>
      <c r="N129" s="76">
        <f>N106+N119</f>
        <v>478</v>
      </c>
      <c r="O129" s="76">
        <f>O106+O119</f>
        <v>66683</v>
      </c>
      <c r="P129" s="76">
        <f>P106+P119</f>
        <v>-66774</v>
      </c>
      <c r="Q129" s="76">
        <f>Q106+Q119</f>
        <v>-91</v>
      </c>
      <c r="R129" s="76">
        <f>R106+R119</f>
        <v>478</v>
      </c>
      <c r="S129" s="76">
        <f>Q129-R129</f>
        <v>-569</v>
      </c>
      <c r="T129" s="92">
        <f>IFERROR((Q129/N129)*100%,"∞")</f>
        <v>-0.1903765690376569</v>
      </c>
      <c r="U129" s="76">
        <f>N129+V129</f>
        <v>478</v>
      </c>
      <c r="V129" s="76">
        <f>V106+V119</f>
        <v>0</v>
      </c>
      <c r="W129" s="76">
        <f>W106+W119</f>
        <v>0</v>
      </c>
      <c r="X129" s="76">
        <f>X106+X119</f>
        <v>0</v>
      </c>
      <c r="Y129" s="76">
        <f>Y106+Y119</f>
        <v>0</v>
      </c>
      <c r="Z129" s="76">
        <f>Z106+Z119</f>
        <v>0</v>
      </c>
      <c r="AA129" s="60"/>
      <c r="AB129" s="76">
        <f>AB106+AB119</f>
        <v>0</v>
      </c>
      <c r="AC129" s="76">
        <f>AC106+AC119</f>
        <v>0</v>
      </c>
      <c r="AD129" s="76">
        <f>AD106+AD119</f>
        <v>0</v>
      </c>
      <c r="AE129" s="76">
        <f>AE106+AE119</f>
        <v>-91</v>
      </c>
      <c r="AF129" s="76">
        <f>AF106+AF119</f>
        <v>-569</v>
      </c>
      <c r="AH129" t="str">
        <f>IF(V129='Appendix A 21.03'!V129,"")</f>
        <v/>
      </c>
    </row>
    <row r="130" spans="2:34"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c r="AH130" t="str">
        <f>IF(V130='Appendix A 21.03'!V130,"")</f>
        <v/>
      </c>
    </row>
    <row r="131" spans="2:34" ht="13.5" thickBot="1" x14ac:dyDescent="0.35">
      <c r="B131" s="91" t="s">
        <v>156</v>
      </c>
      <c r="C131" s="76">
        <f t="shared" ref="C131:J131" si="86">C83+C104+C129</f>
        <v>24605</v>
      </c>
      <c r="D131" s="76">
        <f t="shared" si="86"/>
        <v>25008</v>
      </c>
      <c r="E131" s="76">
        <f t="shared" si="86"/>
        <v>406</v>
      </c>
      <c r="F131" s="76">
        <f t="shared" si="86"/>
        <v>-1829</v>
      </c>
      <c r="G131" s="76">
        <f t="shared" si="86"/>
        <v>0</v>
      </c>
      <c r="H131" s="76">
        <f t="shared" si="86"/>
        <v>22</v>
      </c>
      <c r="I131" s="76">
        <f t="shared" si="86"/>
        <v>-1</v>
      </c>
      <c r="J131" s="76">
        <f t="shared" si="86"/>
        <v>0</v>
      </c>
      <c r="K131" s="76">
        <f>SUM(E131:J131)</f>
        <v>-1402</v>
      </c>
      <c r="L131" s="76">
        <f>N131-D131</f>
        <v>-1830</v>
      </c>
      <c r="M131" s="76">
        <f>N131-C131</f>
        <v>-1427</v>
      </c>
      <c r="N131" s="76">
        <f>N83+N104+N129</f>
        <v>23178</v>
      </c>
      <c r="O131" s="76">
        <f>O83+O104+O129</f>
        <v>152877</v>
      </c>
      <c r="P131" s="76">
        <f>P83+P104+P129</f>
        <v>-130356</v>
      </c>
      <c r="Q131" s="76">
        <f>Q83+Q104+Q129</f>
        <v>22519</v>
      </c>
      <c r="R131" s="76">
        <f>R83+R104+R129</f>
        <v>23178</v>
      </c>
      <c r="S131" s="76">
        <f>Q131-R131</f>
        <v>-659</v>
      </c>
      <c r="T131" s="92">
        <f>IFERROR((Q131/N131)*100%,"∞")</f>
        <v>0.97156786607990331</v>
      </c>
      <c r="U131" s="76">
        <f>N131+V131</f>
        <v>24214</v>
      </c>
      <c r="V131" s="76">
        <f>V83+V104+V129</f>
        <v>1036</v>
      </c>
      <c r="W131" s="76">
        <f>W83+W104+W129</f>
        <v>1036</v>
      </c>
      <c r="X131" s="76">
        <f>X83+X104+X129</f>
        <v>0</v>
      </c>
      <c r="Y131" s="76">
        <f>Y83+Y104+Y129</f>
        <v>0</v>
      </c>
      <c r="Z131" s="76">
        <f>Z83+Z104+Z129</f>
        <v>0</v>
      </c>
      <c r="AA131" s="60"/>
      <c r="AB131" s="76">
        <f>AB83+AB104+AB129</f>
        <v>0</v>
      </c>
      <c r="AC131" s="76">
        <f>AC83+AC104+AC129</f>
        <v>0</v>
      </c>
      <c r="AD131" s="76">
        <f>AD83+AD104+AD129</f>
        <v>0</v>
      </c>
      <c r="AE131" s="76">
        <f>AE83+AE104+AE129</f>
        <v>22519</v>
      </c>
      <c r="AF131" s="76">
        <f>AF83+AF104+AF129</f>
        <v>-659</v>
      </c>
      <c r="AH131" t="str">
        <f>IF(V131='Appendix A 21.03'!V131,"")</f>
        <v/>
      </c>
    </row>
    <row r="132" spans="2:34"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c r="AH132" t="str">
        <f>IF(V132='Appendix A 21.03'!V132,"")</f>
        <v/>
      </c>
    </row>
    <row r="133" spans="2:34" ht="13" x14ac:dyDescent="0.3">
      <c r="B133" s="79" t="s">
        <v>157</v>
      </c>
      <c r="C133" s="33">
        <v>-1980</v>
      </c>
      <c r="D133" s="33">
        <v>-2387</v>
      </c>
      <c r="E133" s="23">
        <v>-407</v>
      </c>
      <c r="F133" s="23">
        <v>-3607</v>
      </c>
      <c r="G133" s="23">
        <v>0</v>
      </c>
      <c r="H133" s="23">
        <v>-5460</v>
      </c>
      <c r="I133" s="23">
        <v>0</v>
      </c>
      <c r="J133" s="23">
        <v>0</v>
      </c>
      <c r="K133" s="23">
        <f>SUM(E133:J133)</f>
        <v>-9474</v>
      </c>
      <c r="L133" s="33">
        <f>N133-D133</f>
        <v>-3707</v>
      </c>
      <c r="M133" s="33">
        <f>N133-C133</f>
        <v>-4114</v>
      </c>
      <c r="N133" s="33">
        <f>-5994-100</f>
        <v>-6094</v>
      </c>
      <c r="O133" s="33">
        <f>-5744-194</f>
        <v>-5938</v>
      </c>
      <c r="P133" s="33">
        <v>0</v>
      </c>
      <c r="Q133" s="33">
        <f>-5744-194</f>
        <v>-5938</v>
      </c>
      <c r="R133" s="33">
        <v>-5994</v>
      </c>
      <c r="S133" s="33">
        <f>Q133-R133</f>
        <v>56</v>
      </c>
      <c r="T133" s="38">
        <f>IFERROR((Q133/N133)*100%,"∞")</f>
        <v>0.97440105021332457</v>
      </c>
      <c r="U133" s="59">
        <f>N133+V133</f>
        <v>-6094</v>
      </c>
      <c r="V133" s="33">
        <v>0</v>
      </c>
      <c r="W133" s="33">
        <v>0</v>
      </c>
      <c r="X133" s="33"/>
      <c r="Y133" s="33"/>
      <c r="Z133" s="42"/>
      <c r="AA133" s="60"/>
      <c r="AB133" s="105"/>
      <c r="AC133" s="93"/>
      <c r="AD133" s="33">
        <f>SUM(AB133:AC133)</f>
        <v>0</v>
      </c>
      <c r="AE133" s="33">
        <f>Q133+AD133</f>
        <v>-5938</v>
      </c>
      <c r="AF133" s="101">
        <f>AE133-N133</f>
        <v>156</v>
      </c>
      <c r="AH133" t="str">
        <f>IF(V133='Appendix A 21.03'!V133,"")</f>
        <v/>
      </c>
    </row>
    <row r="134" spans="2:34"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c r="AH134" t="str">
        <f>IF(V134='Appendix A 21.03'!V134,"")</f>
        <v/>
      </c>
    </row>
    <row r="135" spans="2:34" ht="13.5" thickBot="1" x14ac:dyDescent="0.35">
      <c r="B135" s="91" t="s">
        <v>158</v>
      </c>
      <c r="C135" s="76">
        <f t="shared" ref="C135:J135" si="87">C131+C133</f>
        <v>22625</v>
      </c>
      <c r="D135" s="76">
        <f t="shared" si="87"/>
        <v>22621</v>
      </c>
      <c r="E135" s="76">
        <f t="shared" si="87"/>
        <v>-1</v>
      </c>
      <c r="F135" s="76">
        <f t="shared" si="87"/>
        <v>-5436</v>
      </c>
      <c r="G135" s="76">
        <f t="shared" si="87"/>
        <v>0</v>
      </c>
      <c r="H135" s="76">
        <f t="shared" si="87"/>
        <v>-5438</v>
      </c>
      <c r="I135" s="76">
        <f t="shared" si="87"/>
        <v>-1</v>
      </c>
      <c r="J135" s="76">
        <f t="shared" si="87"/>
        <v>0</v>
      </c>
      <c r="K135" s="76">
        <f>SUM(E135:J135)</f>
        <v>-10876</v>
      </c>
      <c r="L135" s="76">
        <f>N135-D135</f>
        <v>-5537</v>
      </c>
      <c r="M135" s="76">
        <f>N135-C135</f>
        <v>-5541</v>
      </c>
      <c r="N135" s="76">
        <f>N131+N133</f>
        <v>17084</v>
      </c>
      <c r="O135" s="76">
        <f>O131+O133</f>
        <v>146939</v>
      </c>
      <c r="P135" s="76">
        <f>P131+P133</f>
        <v>-130356</v>
      </c>
      <c r="Q135" s="76">
        <f>Q131+Q133</f>
        <v>16581</v>
      </c>
      <c r="R135" s="76">
        <f>R131+R133</f>
        <v>17184</v>
      </c>
      <c r="S135" s="76">
        <f>Q135-R135</f>
        <v>-603</v>
      </c>
      <c r="T135" s="92">
        <f>IFERROR((Q135/N135)*100%,"∞")</f>
        <v>0.97055724654647624</v>
      </c>
      <c r="U135" s="76">
        <f>N135+V135</f>
        <v>18120</v>
      </c>
      <c r="V135" s="76">
        <f>V131+V133</f>
        <v>1036</v>
      </c>
      <c r="W135" s="76">
        <f>W131+W133</f>
        <v>1036</v>
      </c>
      <c r="X135" s="76">
        <f>X131+X133</f>
        <v>0</v>
      </c>
      <c r="Y135" s="76">
        <f>Y131+Y133</f>
        <v>0</v>
      </c>
      <c r="Z135" s="76">
        <f>Z131+Z133</f>
        <v>0</v>
      </c>
      <c r="AA135" s="60"/>
      <c r="AB135" s="76">
        <f>AB131+AB133</f>
        <v>0</v>
      </c>
      <c r="AC135" s="76">
        <f>AC131+AC133</f>
        <v>0</v>
      </c>
      <c r="AD135" s="76">
        <f>AD131+AD133</f>
        <v>0</v>
      </c>
      <c r="AE135" s="76">
        <f>AE131+AE133</f>
        <v>16581</v>
      </c>
      <c r="AF135" s="76">
        <f>AF131+AF133</f>
        <v>-503</v>
      </c>
      <c r="AH135" t="str">
        <f>IF(V135='Appendix A 21.03'!V135,"")</f>
        <v/>
      </c>
    </row>
    <row r="136" spans="2:34"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c r="AH136" t="str">
        <f>IF(V136='Appendix A 21.03'!V136,"")</f>
        <v/>
      </c>
    </row>
    <row r="137" spans="2:34"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c r="AH137" t="str">
        <f>IF(V137='Appendix A 21.03'!V137,"")</f>
        <v/>
      </c>
    </row>
    <row r="138" spans="2:34"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c r="AH138" t="str">
        <f>IF(V138='Appendix A 21.03'!V138,"")</f>
        <v/>
      </c>
    </row>
    <row r="139" spans="2:34" ht="13" x14ac:dyDescent="0.3">
      <c r="B139" s="79" t="s">
        <v>160</v>
      </c>
      <c r="C139" s="33">
        <v>711</v>
      </c>
      <c r="D139" s="33">
        <v>711</v>
      </c>
      <c r="E139" s="23">
        <v>0</v>
      </c>
      <c r="F139" s="23">
        <v>0</v>
      </c>
      <c r="G139" s="23">
        <v>0</v>
      </c>
      <c r="H139" s="23">
        <v>0</v>
      </c>
      <c r="I139" s="23">
        <v>0</v>
      </c>
      <c r="J139" s="23">
        <v>0</v>
      </c>
      <c r="K139" s="23">
        <f t="shared" ref="K139:K140" si="88">SUM(E139:J139)</f>
        <v>0</v>
      </c>
      <c r="L139" s="33">
        <f t="shared" ref="L139:L140" si="89">N139-D139</f>
        <v>0</v>
      </c>
      <c r="M139" s="33">
        <f t="shared" ref="M139:M140" si="90">N139-C139</f>
        <v>0</v>
      </c>
      <c r="N139" s="33">
        <v>711</v>
      </c>
      <c r="O139" s="33">
        <v>0</v>
      </c>
      <c r="P139" s="33">
        <v>719</v>
      </c>
      <c r="Q139" s="33">
        <v>719</v>
      </c>
      <c r="R139" s="33">
        <v>711</v>
      </c>
      <c r="S139" s="33">
        <f t="shared" ref="S139:S140" si="91">Q139-R139</f>
        <v>8</v>
      </c>
      <c r="T139" s="38">
        <f t="shared" ref="T139:T140" si="92">IFERROR((Q139/N139)*100%,"∞")</f>
        <v>1.0112517580872011</v>
      </c>
      <c r="U139" s="59">
        <f t="shared" ref="U139:U140" si="93">N139+V139</f>
        <v>711</v>
      </c>
      <c r="V139" s="33">
        <v>0</v>
      </c>
      <c r="W139" s="33">
        <v>0</v>
      </c>
      <c r="X139" s="33"/>
      <c r="Y139" s="33"/>
      <c r="Z139" s="42"/>
      <c r="AA139" s="60"/>
      <c r="AB139" s="105"/>
      <c r="AC139" s="93"/>
      <c r="AD139" s="33">
        <f t="shared" ref="AD139:AD140" si="94">SUM(AB139:AC139)</f>
        <v>0</v>
      </c>
      <c r="AE139" s="33">
        <f t="shared" ref="AE139:AE140" si="95">Q139+AD139</f>
        <v>719</v>
      </c>
      <c r="AF139" s="101">
        <f t="shared" ref="AF139:AF140" si="96">AE139-N139</f>
        <v>8</v>
      </c>
      <c r="AH139" t="str">
        <f>IF(V139='Appendix A 21.03'!V139,"")</f>
        <v/>
      </c>
    </row>
    <row r="140" spans="2:34" ht="13" x14ac:dyDescent="0.3">
      <c r="B140" s="79" t="s">
        <v>161</v>
      </c>
      <c r="C140" s="33">
        <v>15029</v>
      </c>
      <c r="D140" s="33">
        <v>15029</v>
      </c>
      <c r="E140" s="23">
        <v>0</v>
      </c>
      <c r="F140" s="23">
        <v>0</v>
      </c>
      <c r="G140" s="23">
        <v>0</v>
      </c>
      <c r="H140" s="23">
        <v>0</v>
      </c>
      <c r="I140" s="23">
        <v>0</v>
      </c>
      <c r="J140" s="23">
        <v>0</v>
      </c>
      <c r="K140" s="23">
        <f t="shared" si="88"/>
        <v>0</v>
      </c>
      <c r="L140" s="33">
        <f t="shared" si="89"/>
        <v>0</v>
      </c>
      <c r="M140" s="33">
        <f t="shared" si="90"/>
        <v>0</v>
      </c>
      <c r="N140" s="33">
        <v>15029</v>
      </c>
      <c r="O140" s="33">
        <v>14621</v>
      </c>
      <c r="P140" s="33">
        <v>0</v>
      </c>
      <c r="Q140" s="33">
        <v>14621</v>
      </c>
      <c r="R140" s="33">
        <v>15029</v>
      </c>
      <c r="S140" s="33">
        <f t="shared" si="91"/>
        <v>-408</v>
      </c>
      <c r="T140" s="38">
        <f t="shared" si="92"/>
        <v>0.97285248519528911</v>
      </c>
      <c r="U140" s="59">
        <f t="shared" si="93"/>
        <v>15029</v>
      </c>
      <c r="V140" s="33">
        <v>0</v>
      </c>
      <c r="W140" s="33">
        <v>0</v>
      </c>
      <c r="X140" s="33"/>
      <c r="Y140" s="33"/>
      <c r="Z140" s="42"/>
      <c r="AA140" s="60"/>
      <c r="AB140" s="105"/>
      <c r="AC140" s="93"/>
      <c r="AD140" s="33">
        <f t="shared" si="94"/>
        <v>0</v>
      </c>
      <c r="AE140" s="33">
        <f t="shared" si="95"/>
        <v>14621</v>
      </c>
      <c r="AF140" s="101">
        <f t="shared" si="96"/>
        <v>-408</v>
      </c>
      <c r="AH140" t="str">
        <f>IF(V140='Appendix A 21.03'!V140,"")</f>
        <v/>
      </c>
    </row>
    <row r="141" spans="2:34" ht="13" x14ac:dyDescent="0.3">
      <c r="B141" s="79" t="s">
        <v>162</v>
      </c>
      <c r="C141" s="33">
        <v>-271</v>
      </c>
      <c r="D141" s="33">
        <v>-271</v>
      </c>
      <c r="E141" s="23">
        <v>0</v>
      </c>
      <c r="F141" s="23">
        <v>0</v>
      </c>
      <c r="G141" s="23">
        <v>0</v>
      </c>
      <c r="H141" s="23">
        <v>0</v>
      </c>
      <c r="I141" s="23">
        <v>0</v>
      </c>
      <c r="J141" s="23">
        <v>0</v>
      </c>
      <c r="K141" s="23">
        <f>SUM(E141:J141)</f>
        <v>0</v>
      </c>
      <c r="L141" s="33">
        <f>N141-D141</f>
        <v>0</v>
      </c>
      <c r="M141" s="33">
        <f>N141-C141</f>
        <v>0</v>
      </c>
      <c r="N141" s="33">
        <v>-271</v>
      </c>
      <c r="O141" s="33">
        <v>-281</v>
      </c>
      <c r="P141" s="33">
        <v>0</v>
      </c>
      <c r="Q141" s="33">
        <v>-281</v>
      </c>
      <c r="R141" s="33">
        <v>-271</v>
      </c>
      <c r="S141" s="33">
        <f>Q141-R141</f>
        <v>-10</v>
      </c>
      <c r="T141" s="38">
        <f>IFERROR((Q141/N141)*100%,"∞")</f>
        <v>1.03690036900369</v>
      </c>
      <c r="U141" s="59">
        <f>N141+V141</f>
        <v>-271</v>
      </c>
      <c r="V141" s="33">
        <v>0</v>
      </c>
      <c r="W141" s="33">
        <v>0</v>
      </c>
      <c r="X141" s="33"/>
      <c r="Y141" s="33"/>
      <c r="Z141" s="42"/>
      <c r="AA141" s="60"/>
      <c r="AB141" s="105"/>
      <c r="AC141" s="93"/>
      <c r="AD141" s="33">
        <f>SUM(AB141:AC141)</f>
        <v>0</v>
      </c>
      <c r="AE141" s="33">
        <f>Q141+AD141</f>
        <v>-281</v>
      </c>
      <c r="AF141" s="101">
        <f>AE141-N141</f>
        <v>-10</v>
      </c>
      <c r="AH141" t="str">
        <f>IF(V141='Appendix A 21.03'!V141,"")</f>
        <v/>
      </c>
    </row>
    <row r="142" spans="2:34" ht="13" x14ac:dyDescent="0.3">
      <c r="B142" s="79" t="s">
        <v>163</v>
      </c>
      <c r="C142" s="33">
        <v>7154</v>
      </c>
      <c r="D142" s="33">
        <v>7154</v>
      </c>
      <c r="E142" s="23">
        <v>0</v>
      </c>
      <c r="F142" s="23">
        <v>-5437</v>
      </c>
      <c r="G142" s="23">
        <v>0</v>
      </c>
      <c r="H142" s="23">
        <v>-5437</v>
      </c>
      <c r="I142" s="23">
        <v>0</v>
      </c>
      <c r="J142" s="23">
        <v>0</v>
      </c>
      <c r="K142" s="23">
        <f>SUM(E142:J142)</f>
        <v>-10874</v>
      </c>
      <c r="L142" s="33">
        <f>N142-D142</f>
        <v>-5437</v>
      </c>
      <c r="M142" s="33">
        <f>N142-C142</f>
        <v>-5437</v>
      </c>
      <c r="N142" s="33">
        <v>1717</v>
      </c>
      <c r="O142" s="33">
        <v>2718</v>
      </c>
      <c r="P142" s="33">
        <v>-1001</v>
      </c>
      <c r="Q142" s="33">
        <v>1717</v>
      </c>
      <c r="R142" s="33">
        <v>1717</v>
      </c>
      <c r="S142" s="33">
        <f>Q142-R142</f>
        <v>0</v>
      </c>
      <c r="T142" s="38">
        <f>IFERROR((Q142/N142)*100%,"∞")</f>
        <v>1</v>
      </c>
      <c r="U142" s="59">
        <f>N142+V142</f>
        <v>1717</v>
      </c>
      <c r="V142" s="33">
        <v>0</v>
      </c>
      <c r="W142" s="33">
        <v>0</v>
      </c>
      <c r="X142" s="33"/>
      <c r="Y142" s="33"/>
      <c r="Z142" s="42"/>
      <c r="AA142" s="60"/>
      <c r="AB142" s="105"/>
      <c r="AC142" s="93"/>
      <c r="AD142" s="33">
        <f>SUM(AB142:AC142)</f>
        <v>0</v>
      </c>
      <c r="AE142" s="33">
        <f>Q142+AD142</f>
        <v>1717</v>
      </c>
      <c r="AF142" s="101">
        <f>AE142-N142</f>
        <v>0</v>
      </c>
      <c r="AH142" t="str">
        <f>IF(V142='Appendix A 21.03'!V142,"")</f>
        <v/>
      </c>
    </row>
    <row r="143" spans="2:34"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c r="AH143" t="str">
        <f>IF(V143='Appendix A 21.03'!V143,"")</f>
        <v/>
      </c>
    </row>
    <row r="144" spans="2:34" ht="13.5" thickBot="1" x14ac:dyDescent="0.35">
      <c r="B144" s="91" t="s">
        <v>164</v>
      </c>
      <c r="C144" s="76">
        <f t="shared" ref="C144:J144" si="97">SUM(C139:C142)</f>
        <v>22623</v>
      </c>
      <c r="D144" s="76">
        <f t="shared" si="97"/>
        <v>22623</v>
      </c>
      <c r="E144" s="76">
        <f t="shared" si="97"/>
        <v>0</v>
      </c>
      <c r="F144" s="76">
        <f t="shared" si="97"/>
        <v>-5437</v>
      </c>
      <c r="G144" s="76">
        <f t="shared" si="97"/>
        <v>0</v>
      </c>
      <c r="H144" s="76">
        <f t="shared" si="97"/>
        <v>-5437</v>
      </c>
      <c r="I144" s="76">
        <f t="shared" si="97"/>
        <v>0</v>
      </c>
      <c r="J144" s="76">
        <f t="shared" si="97"/>
        <v>0</v>
      </c>
      <c r="K144" s="76">
        <f>SUM(E144:J144)</f>
        <v>-10874</v>
      </c>
      <c r="L144" s="76">
        <f>N144-D144</f>
        <v>-5437</v>
      </c>
      <c r="M144" s="76">
        <f>N144-C144</f>
        <v>-5437</v>
      </c>
      <c r="N144" s="76">
        <f>SUM(N139:N142)</f>
        <v>17186</v>
      </c>
      <c r="O144" s="76">
        <f>SUM(O139:O142)</f>
        <v>17058</v>
      </c>
      <c r="P144" s="76">
        <f>SUM(P139:P142)</f>
        <v>-282</v>
      </c>
      <c r="Q144" s="76">
        <f>SUM(Q139:Q142)</f>
        <v>16776</v>
      </c>
      <c r="R144" s="76">
        <f>SUM(R139:R142)</f>
        <v>17186</v>
      </c>
      <c r="S144" s="76">
        <f>Q144-R144</f>
        <v>-410</v>
      </c>
      <c r="T144" s="92">
        <f>IFERROR((Q144/N144)*100%,"∞")</f>
        <v>0.97614337251251015</v>
      </c>
      <c r="U144" s="76">
        <f>N144+V144</f>
        <v>17186</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16776</v>
      </c>
      <c r="AF144" s="76">
        <f>SUM(AF139:AF142)</f>
        <v>-410</v>
      </c>
      <c r="AH144" t="str">
        <f>IF(V144='Appendix A 21.03'!V144,"")</f>
        <v/>
      </c>
    </row>
    <row r="145" spans="2:34"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c r="AH145" t="str">
        <f>IF(V145='Appendix A 21.03'!V145,"")</f>
        <v/>
      </c>
    </row>
    <row r="146" spans="2:34" ht="13.5" thickBot="1" x14ac:dyDescent="0.35">
      <c r="B146" s="91" t="s">
        <v>165</v>
      </c>
      <c r="C146" s="76">
        <f t="shared" ref="C146:J146" si="98">C135-C144</f>
        <v>2</v>
      </c>
      <c r="D146" s="76">
        <f t="shared" si="98"/>
        <v>-2</v>
      </c>
      <c r="E146" s="76">
        <f t="shared" si="98"/>
        <v>-1</v>
      </c>
      <c r="F146" s="76">
        <f t="shared" si="98"/>
        <v>1</v>
      </c>
      <c r="G146" s="76">
        <f t="shared" si="98"/>
        <v>0</v>
      </c>
      <c r="H146" s="76">
        <f t="shared" si="98"/>
        <v>-1</v>
      </c>
      <c r="I146" s="76">
        <f t="shared" si="98"/>
        <v>-1</v>
      </c>
      <c r="J146" s="76">
        <f t="shared" si="98"/>
        <v>0</v>
      </c>
      <c r="K146" s="76">
        <f>SUM(E146:J146)</f>
        <v>-2</v>
      </c>
      <c r="L146" s="76">
        <f>N146-D146</f>
        <v>-100</v>
      </c>
      <c r="M146" s="76">
        <f>N146-C146</f>
        <v>-104</v>
      </c>
      <c r="N146" s="76">
        <f>N135-N144</f>
        <v>-102</v>
      </c>
      <c r="O146" s="76">
        <f>O135-O144</f>
        <v>129881</v>
      </c>
      <c r="P146" s="76">
        <f>P135-P144</f>
        <v>-130074</v>
      </c>
      <c r="Q146" s="76">
        <f>Q135-Q144</f>
        <v>-195</v>
      </c>
      <c r="R146" s="76">
        <f>R135-R144</f>
        <v>-2</v>
      </c>
      <c r="S146" s="76">
        <f>Q146-R146</f>
        <v>-193</v>
      </c>
      <c r="T146" s="92">
        <f>IFERROR((Q146/N146)*100%,"∞")</f>
        <v>1.911764705882353</v>
      </c>
      <c r="U146" s="76">
        <f>N146+V146</f>
        <v>934</v>
      </c>
      <c r="V146" s="76">
        <f>V135-V144</f>
        <v>1036</v>
      </c>
      <c r="W146" s="76">
        <f>W135-W144</f>
        <v>1036</v>
      </c>
      <c r="X146" s="76">
        <f>X135-X144</f>
        <v>0</v>
      </c>
      <c r="Y146" s="76">
        <f>Y135-Y144</f>
        <v>0</v>
      </c>
      <c r="Z146" s="76">
        <f>Z135-Z144</f>
        <v>0</v>
      </c>
      <c r="AA146" s="60"/>
      <c r="AB146" s="76">
        <f>AB135-AB144</f>
        <v>0</v>
      </c>
      <c r="AC146" s="76">
        <f>AC135-AC144</f>
        <v>0</v>
      </c>
      <c r="AD146" s="76">
        <f>AD135-AD144</f>
        <v>0</v>
      </c>
      <c r="AE146" s="76">
        <f>AE135-AE144</f>
        <v>-195</v>
      </c>
      <c r="AF146" s="76">
        <f>AF135-AF144</f>
        <v>-93</v>
      </c>
      <c r="AH146" t="str">
        <f>IF(V146='Appendix A 21.03'!V146,"")</f>
        <v/>
      </c>
    </row>
    <row r="147" spans="2:34" ht="13" thickTop="1" x14ac:dyDescent="0.25"/>
  </sheetData>
  <dataConsolidate/>
  <pageMargins left="0.23622047244094491" right="0.23622047244094491" top="0.74803149606299213" bottom="0.74803149606299213" header="0.31496062992125984" footer="0.31496062992125984"/>
  <pageSetup paperSize="8" scale="7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B1:AG146"/>
  <sheetViews>
    <sheetView tabSelected="1" workbookViewId="0">
      <pane xSplit="2" ySplit="4" topLeftCell="C108" activePane="bottomRight" state="frozen"/>
      <selection pane="topRight" activeCell="C1" sqref="C1"/>
      <selection pane="bottomLeft" activeCell="A4" sqref="A4"/>
      <selection pane="bottomRight" activeCell="B125" sqref="B125"/>
    </sheetView>
  </sheetViews>
  <sheetFormatPr defaultColWidth="9.453125" defaultRowHeight="12.5" outlineLevelRow="2" outlineLevelCol="1" x14ac:dyDescent="0.25"/>
  <cols>
    <col min="1" max="1" width="1.54296875" customWidth="1"/>
    <col min="2" max="2" width="55.453125" style="1" customWidth="1"/>
    <col min="3" max="3" width="13.54296875" customWidth="1"/>
    <col min="4" max="4" width="13.54296875" hidden="1" customWidth="1"/>
    <col min="5" max="5" width="13.54296875" hidden="1" customWidth="1" outlineLevel="1"/>
    <col min="6" max="6" width="13.54296875" style="1" hidden="1" customWidth="1" outlineLevel="1"/>
    <col min="7" max="11" width="13.54296875" hidden="1" customWidth="1" outlineLevel="1"/>
    <col min="12" max="12" width="13.54296875" hidden="1" customWidth="1" collapsed="1"/>
    <col min="13" max="13" width="13.54296875" hidden="1" customWidth="1" outlineLevel="1"/>
    <col min="14" max="14" width="13.54296875" customWidth="1" collapsed="1"/>
    <col min="15" max="16" width="13.54296875" hidden="1" customWidth="1" outlineLevel="1"/>
    <col min="17" max="17" width="13.54296875" hidden="1" customWidth="1" collapsed="1"/>
    <col min="18" max="20" width="13.54296875" hidden="1" customWidth="1" outlineLevel="1"/>
    <col min="21" max="21" width="13.54296875" customWidth="1" collapsed="1"/>
    <col min="22" max="22" width="13.54296875" customWidth="1"/>
    <col min="23" max="23" width="13.54296875" customWidth="1" outlineLevel="1"/>
    <col min="24" max="26" width="13.54296875" hidden="1" customWidth="1" outlineLevel="1"/>
    <col min="27" max="27" width="1.54296875" hidden="1" customWidth="1"/>
    <col min="28" max="32" width="13.54296875" hidden="1" customWidth="1" outlineLevel="1"/>
    <col min="33" max="33" width="1.54296875" customWidth="1" collapsed="1"/>
    <col min="34" max="43" width="11.54296875" customWidth="1"/>
  </cols>
  <sheetData>
    <row r="1" spans="2:32" s="6" customFormat="1" ht="18" x14ac:dyDescent="0.4">
      <c r="B1" s="17"/>
      <c r="D1" s="18" t="s">
        <v>0</v>
      </c>
      <c r="F1" s="17"/>
    </row>
    <row r="2" spans="2:32" s="6" customFormat="1" ht="18.5" thickBot="1" x14ac:dyDescent="0.45">
      <c r="B2" s="17"/>
      <c r="D2" s="18"/>
      <c r="F2" s="17"/>
      <c r="V2" s="831" t="s">
        <v>469</v>
      </c>
    </row>
    <row r="3" spans="2:32" ht="72" customHeight="1" thickBot="1" x14ac:dyDescent="0.3">
      <c r="B3" s="28" t="str">
        <f>_control!F9</f>
        <v>General Fund Outturn Report 24/25 @ 30 September 2024</v>
      </c>
      <c r="C3" s="48" t="s">
        <v>2</v>
      </c>
      <c r="D3" s="48" t="s">
        <v>3</v>
      </c>
      <c r="E3" s="49" t="s">
        <v>4</v>
      </c>
      <c r="F3" s="49" t="s">
        <v>5</v>
      </c>
      <c r="G3" s="49" t="s">
        <v>6</v>
      </c>
      <c r="H3" s="49" t="s">
        <v>7</v>
      </c>
      <c r="I3" s="49" t="s">
        <v>8</v>
      </c>
      <c r="J3" s="49" t="s">
        <v>9</v>
      </c>
      <c r="K3" s="49" t="s">
        <v>10</v>
      </c>
      <c r="L3" s="48" t="s">
        <v>11</v>
      </c>
      <c r="M3" s="48" t="s">
        <v>12</v>
      </c>
      <c r="N3" s="48" t="s">
        <v>13</v>
      </c>
      <c r="O3" s="48" t="s">
        <v>14</v>
      </c>
      <c r="P3" s="48" t="s">
        <v>15</v>
      </c>
      <c r="Q3" s="48" t="s">
        <v>16</v>
      </c>
      <c r="R3" s="48" t="s">
        <v>17</v>
      </c>
      <c r="S3" s="48" t="s">
        <v>18</v>
      </c>
      <c r="T3" s="48" t="s">
        <v>19</v>
      </c>
      <c r="U3" s="48" t="s">
        <v>20</v>
      </c>
      <c r="V3" s="752" t="s">
        <v>24</v>
      </c>
      <c r="W3" s="48" t="s">
        <v>5741</v>
      </c>
      <c r="X3" s="48" t="s">
        <v>26</v>
      </c>
      <c r="Y3" s="48" t="s">
        <v>27</v>
      </c>
      <c r="Z3" s="48" t="s">
        <v>28</v>
      </c>
      <c r="AA3" s="60"/>
      <c r="AB3" s="48" t="s">
        <v>29</v>
      </c>
      <c r="AC3" s="48" t="s">
        <v>30</v>
      </c>
      <c r="AD3" s="48" t="s">
        <v>31</v>
      </c>
      <c r="AE3" s="48" t="s">
        <v>32</v>
      </c>
      <c r="AF3" s="48" t="s">
        <v>33</v>
      </c>
    </row>
    <row r="4" spans="2:32" ht="21" x14ac:dyDescent="0.5">
      <c r="B4" s="47"/>
      <c r="C4" s="55" t="s">
        <v>34</v>
      </c>
      <c r="D4" s="55" t="s">
        <v>34</v>
      </c>
      <c r="E4" s="56" t="s">
        <v>34</v>
      </c>
      <c r="F4" s="56" t="s">
        <v>34</v>
      </c>
      <c r="G4" s="56" t="s">
        <v>34</v>
      </c>
      <c r="H4" s="56" t="s">
        <v>34</v>
      </c>
      <c r="I4" s="56" t="s">
        <v>34</v>
      </c>
      <c r="J4" s="56" t="s">
        <v>34</v>
      </c>
      <c r="K4" s="56" t="s">
        <v>34</v>
      </c>
      <c r="L4" s="55" t="s">
        <v>34</v>
      </c>
      <c r="M4" s="55" t="s">
        <v>34</v>
      </c>
      <c r="N4" s="55" t="s">
        <v>34</v>
      </c>
      <c r="O4" s="55" t="s">
        <v>34</v>
      </c>
      <c r="P4" s="55" t="s">
        <v>34</v>
      </c>
      <c r="Q4" s="55" t="s">
        <v>34</v>
      </c>
      <c r="R4" s="55" t="s">
        <v>34</v>
      </c>
      <c r="S4" s="55" t="s">
        <v>34</v>
      </c>
      <c r="T4" s="55" t="s">
        <v>35</v>
      </c>
      <c r="U4" s="55" t="s">
        <v>34</v>
      </c>
      <c r="V4" s="821" t="s">
        <v>34</v>
      </c>
      <c r="W4" s="55" t="s">
        <v>34</v>
      </c>
      <c r="X4" s="55" t="s">
        <v>34</v>
      </c>
      <c r="Y4" s="55" t="s">
        <v>34</v>
      </c>
      <c r="Z4" s="26" t="s">
        <v>34</v>
      </c>
      <c r="AA4" s="60"/>
      <c r="AB4" s="96" t="s">
        <v>34</v>
      </c>
      <c r="AC4" s="55" t="s">
        <v>34</v>
      </c>
      <c r="AD4" s="55" t="s">
        <v>34</v>
      </c>
      <c r="AE4" s="55" t="s">
        <v>34</v>
      </c>
      <c r="AF4" s="97" t="s">
        <v>34</v>
      </c>
    </row>
    <row r="5" spans="2:32" ht="13" x14ac:dyDescent="0.3">
      <c r="B5" s="29"/>
      <c r="C5" s="36"/>
      <c r="D5" s="36"/>
      <c r="E5" s="22"/>
      <c r="F5" s="22"/>
      <c r="G5" s="22"/>
      <c r="H5" s="22"/>
      <c r="I5" s="22"/>
      <c r="J5" s="22"/>
      <c r="K5" s="22"/>
      <c r="L5" s="36"/>
      <c r="M5" s="36"/>
      <c r="N5" s="36"/>
      <c r="O5" s="36"/>
      <c r="P5" s="36"/>
      <c r="Q5" s="36"/>
      <c r="R5" s="36"/>
      <c r="S5" s="36"/>
      <c r="T5" s="36"/>
      <c r="U5" s="58"/>
      <c r="V5" s="822"/>
      <c r="W5" s="36"/>
      <c r="X5" s="36"/>
      <c r="Y5" s="36"/>
      <c r="Z5" s="40"/>
      <c r="AA5" s="60"/>
      <c r="AB5" s="98"/>
      <c r="AC5" s="36"/>
      <c r="AD5" s="36"/>
      <c r="AE5" s="36"/>
      <c r="AF5" s="99"/>
    </row>
    <row r="6" spans="2:32" ht="13" hidden="1" outlineLevel="2" x14ac:dyDescent="0.3">
      <c r="B6" s="31" t="s">
        <v>36</v>
      </c>
      <c r="C6" s="33">
        <v>796</v>
      </c>
      <c r="D6" s="33">
        <v>1070</v>
      </c>
      <c r="E6" s="23">
        <v>217</v>
      </c>
      <c r="F6" s="23">
        <v>0</v>
      </c>
      <c r="G6" s="23">
        <v>57</v>
      </c>
      <c r="H6" s="23">
        <v>0</v>
      </c>
      <c r="I6" s="23">
        <v>0</v>
      </c>
      <c r="J6" s="23">
        <v>0</v>
      </c>
      <c r="K6" s="23">
        <f t="shared" ref="K6:K69" si="0">SUM(E6:J6)</f>
        <v>274</v>
      </c>
      <c r="L6" s="33">
        <f t="shared" ref="L6:L69" si="1">N6-D6</f>
        <v>0</v>
      </c>
      <c r="M6" s="33">
        <f t="shared" ref="M6:M69" si="2">N6-C6</f>
        <v>274</v>
      </c>
      <c r="N6" s="33">
        <v>1070</v>
      </c>
      <c r="O6" s="33">
        <v>283</v>
      </c>
      <c r="P6" s="33">
        <v>-28</v>
      </c>
      <c r="Q6" s="33">
        <v>255</v>
      </c>
      <c r="R6" s="33">
        <v>644</v>
      </c>
      <c r="S6" s="33">
        <f t="shared" ref="S6:S69" si="3">Q6-R6</f>
        <v>-389</v>
      </c>
      <c r="T6" s="38">
        <f t="shared" ref="T6:T69" si="4">IFERROR((Q6/N6)*100%,"∞")</f>
        <v>0.23831775700934579</v>
      </c>
      <c r="U6" s="59">
        <f t="shared" ref="U6:U10" si="5">N6+V6</f>
        <v>970</v>
      </c>
      <c r="V6" s="33">
        <v>-100</v>
      </c>
      <c r="X6" s="33"/>
      <c r="Y6" s="33"/>
      <c r="Z6" s="42"/>
      <c r="AA6" s="60"/>
      <c r="AB6" s="105"/>
      <c r="AC6" s="93"/>
      <c r="AD6" s="33">
        <f t="shared" ref="AD6:AD69" si="6">SUM(AB6:AC6)</f>
        <v>0</v>
      </c>
      <c r="AE6" s="33">
        <f t="shared" ref="AE6:AE69" si="7">Q6+AD6</f>
        <v>255</v>
      </c>
      <c r="AF6" s="101">
        <f t="shared" ref="AF6:AF69" si="8">AE6-N6</f>
        <v>-815</v>
      </c>
    </row>
    <row r="7" spans="2:32" ht="13" hidden="1" outlineLevel="2" x14ac:dyDescent="0.3">
      <c r="B7" s="31" t="s">
        <v>37</v>
      </c>
      <c r="C7" s="33">
        <v>57</v>
      </c>
      <c r="D7" s="33">
        <v>63</v>
      </c>
      <c r="E7" s="23">
        <v>0</v>
      </c>
      <c r="F7" s="23">
        <v>0</v>
      </c>
      <c r="G7" s="23">
        <v>6</v>
      </c>
      <c r="H7" s="23">
        <v>0</v>
      </c>
      <c r="I7" s="23">
        <v>0</v>
      </c>
      <c r="J7" s="23">
        <v>0</v>
      </c>
      <c r="K7" s="23">
        <f t="shared" si="0"/>
        <v>6</v>
      </c>
      <c r="L7" s="33">
        <f t="shared" si="1"/>
        <v>0</v>
      </c>
      <c r="M7" s="33">
        <f t="shared" si="2"/>
        <v>6</v>
      </c>
      <c r="N7" s="33">
        <v>63</v>
      </c>
      <c r="O7" s="33">
        <v>14</v>
      </c>
      <c r="P7" s="33">
        <v>0</v>
      </c>
      <c r="Q7" s="33">
        <v>14</v>
      </c>
      <c r="R7" s="33">
        <v>31</v>
      </c>
      <c r="S7" s="33">
        <f t="shared" si="3"/>
        <v>-17</v>
      </c>
      <c r="T7" s="38">
        <f t="shared" si="4"/>
        <v>0.22222222222222221</v>
      </c>
      <c r="U7" s="59">
        <f t="shared" si="5"/>
        <v>28</v>
      </c>
      <c r="V7" s="33">
        <v>-35</v>
      </c>
      <c r="X7" s="33"/>
      <c r="Y7" s="33"/>
      <c r="Z7" s="42"/>
      <c r="AA7" s="60"/>
      <c r="AB7" s="105"/>
      <c r="AC7" s="93"/>
      <c r="AD7" s="33">
        <f t="shared" si="6"/>
        <v>0</v>
      </c>
      <c r="AE7" s="33">
        <f t="shared" si="7"/>
        <v>14</v>
      </c>
      <c r="AF7" s="101">
        <f t="shared" si="8"/>
        <v>-49</v>
      </c>
    </row>
    <row r="8" spans="2:32" ht="13" hidden="1" outlineLevel="2" x14ac:dyDescent="0.3">
      <c r="B8" s="31" t="s">
        <v>38</v>
      </c>
      <c r="C8" s="33">
        <v>363</v>
      </c>
      <c r="D8" s="33">
        <v>494</v>
      </c>
      <c r="E8" s="23">
        <v>0</v>
      </c>
      <c r="F8" s="23">
        <v>0</v>
      </c>
      <c r="G8" s="23">
        <v>131</v>
      </c>
      <c r="H8" s="23">
        <v>0</v>
      </c>
      <c r="I8" s="23">
        <v>0</v>
      </c>
      <c r="J8" s="23">
        <v>0</v>
      </c>
      <c r="K8" s="23">
        <f t="shared" si="0"/>
        <v>131</v>
      </c>
      <c r="L8" s="33">
        <f t="shared" si="1"/>
        <v>0</v>
      </c>
      <c r="M8" s="33">
        <f t="shared" si="2"/>
        <v>131</v>
      </c>
      <c r="N8" s="33">
        <v>494</v>
      </c>
      <c r="O8" s="33">
        <v>1137</v>
      </c>
      <c r="P8" s="33">
        <v>-482</v>
      </c>
      <c r="Q8" s="33">
        <v>655</v>
      </c>
      <c r="R8" s="33">
        <v>249</v>
      </c>
      <c r="S8" s="33">
        <f t="shared" si="3"/>
        <v>406</v>
      </c>
      <c r="T8" s="38">
        <f t="shared" si="4"/>
        <v>1.3259109311740891</v>
      </c>
      <c r="U8" s="59">
        <f t="shared" si="5"/>
        <v>494</v>
      </c>
      <c r="V8" s="33">
        <v>0</v>
      </c>
      <c r="X8" s="33"/>
      <c r="Y8" s="33"/>
      <c r="Z8" s="42"/>
      <c r="AA8" s="60"/>
      <c r="AB8" s="105"/>
      <c r="AC8" s="93"/>
      <c r="AD8" s="33">
        <f t="shared" si="6"/>
        <v>0</v>
      </c>
      <c r="AE8" s="33">
        <f t="shared" si="7"/>
        <v>655</v>
      </c>
      <c r="AF8" s="101">
        <f t="shared" si="8"/>
        <v>161</v>
      </c>
    </row>
    <row r="9" spans="2:32" ht="13" hidden="1" outlineLevel="2" x14ac:dyDescent="0.3">
      <c r="B9" s="31" t="s">
        <v>39</v>
      </c>
      <c r="C9" s="33">
        <v>1857</v>
      </c>
      <c r="D9" s="33">
        <v>2066</v>
      </c>
      <c r="E9" s="23">
        <v>0</v>
      </c>
      <c r="F9" s="23">
        <v>0</v>
      </c>
      <c r="G9" s="23">
        <v>209</v>
      </c>
      <c r="H9" s="23">
        <v>0</v>
      </c>
      <c r="I9" s="23">
        <v>0</v>
      </c>
      <c r="J9" s="23">
        <v>0</v>
      </c>
      <c r="K9" s="23">
        <f t="shared" si="0"/>
        <v>209</v>
      </c>
      <c r="L9" s="33">
        <f t="shared" si="1"/>
        <v>0</v>
      </c>
      <c r="M9" s="33">
        <f t="shared" si="2"/>
        <v>209</v>
      </c>
      <c r="N9" s="33">
        <v>2066</v>
      </c>
      <c r="O9" s="33">
        <v>4127</v>
      </c>
      <c r="P9" s="33">
        <v>-2479</v>
      </c>
      <c r="Q9" s="33">
        <v>1648</v>
      </c>
      <c r="R9" s="33">
        <v>1033</v>
      </c>
      <c r="S9" s="33">
        <f t="shared" si="3"/>
        <v>615</v>
      </c>
      <c r="T9" s="38">
        <f t="shared" si="4"/>
        <v>0.79767666989351405</v>
      </c>
      <c r="U9" s="59">
        <f t="shared" si="5"/>
        <v>3963</v>
      </c>
      <c r="V9" s="33">
        <v>1897</v>
      </c>
      <c r="W9">
        <v>3300</v>
      </c>
      <c r="X9" s="33"/>
      <c r="Y9" s="33"/>
      <c r="Z9" s="42"/>
      <c r="AA9" s="60"/>
      <c r="AB9" s="105"/>
      <c r="AC9" s="93"/>
      <c r="AD9" s="33">
        <f t="shared" si="6"/>
        <v>0</v>
      </c>
      <c r="AE9" s="33">
        <f t="shared" si="7"/>
        <v>1648</v>
      </c>
      <c r="AF9" s="101">
        <f t="shared" si="8"/>
        <v>-418</v>
      </c>
    </row>
    <row r="10" spans="2:32" ht="13" hidden="1" outlineLevel="2" x14ac:dyDescent="0.3">
      <c r="B10" s="31" t="s">
        <v>40</v>
      </c>
      <c r="C10" s="33">
        <v>1818</v>
      </c>
      <c r="D10" s="33">
        <v>1851</v>
      </c>
      <c r="E10" s="23">
        <v>0</v>
      </c>
      <c r="F10" s="23">
        <v>0</v>
      </c>
      <c r="G10" s="23">
        <v>34</v>
      </c>
      <c r="H10" s="23">
        <v>0</v>
      </c>
      <c r="I10" s="23">
        <v>0</v>
      </c>
      <c r="J10" s="23">
        <v>0</v>
      </c>
      <c r="K10" s="23">
        <f t="shared" si="0"/>
        <v>34</v>
      </c>
      <c r="L10" s="33">
        <f t="shared" si="1"/>
        <v>0</v>
      </c>
      <c r="M10" s="33">
        <f t="shared" si="2"/>
        <v>33</v>
      </c>
      <c r="N10" s="33">
        <v>1851</v>
      </c>
      <c r="O10" s="33">
        <v>2274</v>
      </c>
      <c r="P10" s="33">
        <v>-1038</v>
      </c>
      <c r="Q10" s="33">
        <v>1236</v>
      </c>
      <c r="R10" s="33">
        <v>926</v>
      </c>
      <c r="S10" s="33">
        <f t="shared" si="3"/>
        <v>310</v>
      </c>
      <c r="T10" s="38">
        <f t="shared" si="4"/>
        <v>0.66774716369529985</v>
      </c>
      <c r="U10" s="59">
        <f t="shared" si="5"/>
        <v>1851</v>
      </c>
      <c r="V10" s="33"/>
      <c r="X10" s="33"/>
      <c r="Y10" s="33"/>
      <c r="Z10" s="42"/>
      <c r="AA10" s="60"/>
      <c r="AB10" s="105"/>
      <c r="AC10" s="93"/>
      <c r="AD10" s="33">
        <f t="shared" si="6"/>
        <v>0</v>
      </c>
      <c r="AE10" s="33">
        <f t="shared" si="7"/>
        <v>1236</v>
      </c>
      <c r="AF10" s="101">
        <f t="shared" si="8"/>
        <v>-615</v>
      </c>
    </row>
    <row r="11" spans="2:32" ht="13" hidden="1" outlineLevel="2" x14ac:dyDescent="0.3">
      <c r="B11" s="31" t="s">
        <v>41</v>
      </c>
      <c r="C11" s="33">
        <v>16</v>
      </c>
      <c r="D11" s="33">
        <v>86</v>
      </c>
      <c r="E11" s="23">
        <v>0</v>
      </c>
      <c r="F11" s="23">
        <v>0</v>
      </c>
      <c r="G11" s="23">
        <v>70</v>
      </c>
      <c r="H11" s="23">
        <v>0</v>
      </c>
      <c r="I11" s="23">
        <v>0</v>
      </c>
      <c r="J11" s="23">
        <v>0</v>
      </c>
      <c r="K11" s="23">
        <f t="shared" si="0"/>
        <v>70</v>
      </c>
      <c r="L11" s="33">
        <f t="shared" si="1"/>
        <v>0</v>
      </c>
      <c r="M11" s="33">
        <f t="shared" si="2"/>
        <v>70</v>
      </c>
      <c r="N11" s="33">
        <v>86</v>
      </c>
      <c r="O11" s="33">
        <v>1</v>
      </c>
      <c r="P11" s="33">
        <v>0</v>
      </c>
      <c r="Q11" s="33">
        <v>1</v>
      </c>
      <c r="R11" s="33">
        <v>43</v>
      </c>
      <c r="S11" s="33">
        <f t="shared" si="3"/>
        <v>-42</v>
      </c>
      <c r="T11" s="38">
        <f t="shared" si="4"/>
        <v>1.1627906976744186E-2</v>
      </c>
      <c r="U11" s="59">
        <f t="shared" ref="U11:U69" si="9">N11+V11</f>
        <v>86</v>
      </c>
      <c r="V11" s="93">
        <v>0</v>
      </c>
      <c r="W11" s="33">
        <v>0</v>
      </c>
      <c r="X11" s="33"/>
      <c r="Y11" s="33"/>
      <c r="Z11" s="42"/>
      <c r="AA11" s="60"/>
      <c r="AB11" s="105"/>
      <c r="AC11" s="93"/>
      <c r="AD11" s="33">
        <f t="shared" si="6"/>
        <v>0</v>
      </c>
      <c r="AE11" s="33">
        <f t="shared" si="7"/>
        <v>1</v>
      </c>
      <c r="AF11" s="101">
        <f t="shared" si="8"/>
        <v>-85</v>
      </c>
    </row>
    <row r="12" spans="2:32" ht="13" outlineLevel="1" collapsed="1" x14ac:dyDescent="0.3">
      <c r="B12" s="32" t="s">
        <v>43</v>
      </c>
      <c r="C12" s="34">
        <f t="shared" ref="C12:J12" si="10">SUBTOTAL(9,C6:C11)</f>
        <v>4907</v>
      </c>
      <c r="D12" s="34">
        <f t="shared" si="10"/>
        <v>5630</v>
      </c>
      <c r="E12" s="24">
        <f t="shared" si="10"/>
        <v>217</v>
      </c>
      <c r="F12" s="24">
        <f t="shared" si="10"/>
        <v>0</v>
      </c>
      <c r="G12" s="24">
        <f t="shared" si="10"/>
        <v>507</v>
      </c>
      <c r="H12" s="24">
        <f t="shared" si="10"/>
        <v>0</v>
      </c>
      <c r="I12" s="24">
        <f t="shared" si="10"/>
        <v>0</v>
      </c>
      <c r="J12" s="24">
        <f t="shared" si="10"/>
        <v>0</v>
      </c>
      <c r="K12" s="24">
        <f>SUM(E12:J12)</f>
        <v>724</v>
      </c>
      <c r="L12" s="34">
        <f t="shared" si="1"/>
        <v>0</v>
      </c>
      <c r="M12" s="34">
        <f t="shared" si="2"/>
        <v>723</v>
      </c>
      <c r="N12" s="34">
        <f>SUBTOTAL(9,N6:N11)</f>
        <v>5630</v>
      </c>
      <c r="O12" s="34">
        <f>SUBTOTAL(9,O6:O11)</f>
        <v>7836</v>
      </c>
      <c r="P12" s="34">
        <f>SUBTOTAL(9,P6:P11)</f>
        <v>-4027</v>
      </c>
      <c r="Q12" s="34">
        <f>SUBTOTAL(9,Q6:Q11)</f>
        <v>3809</v>
      </c>
      <c r="R12" s="34">
        <f>SUBTOTAL(9,R6:R11)</f>
        <v>2926</v>
      </c>
      <c r="S12" s="34">
        <f>Q12-R12</f>
        <v>883</v>
      </c>
      <c r="T12" s="38">
        <f>IFERROR((Q12/N12)*100%,"∞")</f>
        <v>0.67655417406749552</v>
      </c>
      <c r="U12" s="59">
        <f>N12+V12</f>
        <v>7392</v>
      </c>
      <c r="V12" s="793">
        <f>SUBTOTAL(9,V6:V11)</f>
        <v>1762</v>
      </c>
      <c r="W12" s="34">
        <f>+SUM(W6:W11)</f>
        <v>3300</v>
      </c>
      <c r="X12" s="34"/>
      <c r="Y12" s="34"/>
      <c r="Z12" s="41"/>
      <c r="AA12" s="60"/>
      <c r="AB12" s="102">
        <f>SUBTOTAL(9,AB1:AB11)</f>
        <v>0</v>
      </c>
      <c r="AC12" s="34">
        <f>SUBTOTAL(9,AC1:AC11)</f>
        <v>0</v>
      </c>
      <c r="AD12" s="34"/>
      <c r="AE12" s="34"/>
      <c r="AF12" s="103"/>
    </row>
    <row r="13" spans="2:32" ht="13" hidden="1" outlineLevel="2" x14ac:dyDescent="0.3">
      <c r="B13" s="31" t="s">
        <v>44</v>
      </c>
      <c r="C13" s="33">
        <v>814</v>
      </c>
      <c r="D13" s="33">
        <v>928</v>
      </c>
      <c r="E13" s="23">
        <v>0</v>
      </c>
      <c r="F13" s="23">
        <v>15</v>
      </c>
      <c r="G13" s="23">
        <v>149</v>
      </c>
      <c r="H13" s="23">
        <v>0</v>
      </c>
      <c r="I13" s="23">
        <v>-35</v>
      </c>
      <c r="J13" s="23">
        <v>0</v>
      </c>
      <c r="K13" s="23">
        <f t="shared" si="0"/>
        <v>129</v>
      </c>
      <c r="L13" s="33">
        <f t="shared" si="1"/>
        <v>15</v>
      </c>
      <c r="M13" s="33">
        <f t="shared" si="2"/>
        <v>129</v>
      </c>
      <c r="N13" s="33">
        <v>943</v>
      </c>
      <c r="O13" s="33">
        <v>921</v>
      </c>
      <c r="P13" s="33">
        <v>-559</v>
      </c>
      <c r="Q13" s="33">
        <v>362</v>
      </c>
      <c r="R13" s="33">
        <v>513</v>
      </c>
      <c r="S13" s="33">
        <f t="shared" si="3"/>
        <v>-151</v>
      </c>
      <c r="T13" s="38">
        <f t="shared" si="4"/>
        <v>0.38388123011664899</v>
      </c>
      <c r="U13" s="59">
        <f t="shared" si="9"/>
        <v>953</v>
      </c>
      <c r="V13" s="93">
        <v>10</v>
      </c>
      <c r="W13" s="33"/>
      <c r="X13" s="33"/>
      <c r="Y13" s="33"/>
      <c r="Z13" s="42"/>
      <c r="AA13" s="60"/>
      <c r="AB13" s="105"/>
      <c r="AC13" s="93"/>
      <c r="AD13" s="33">
        <f t="shared" si="6"/>
        <v>0</v>
      </c>
      <c r="AE13" s="33">
        <f t="shared" si="7"/>
        <v>362</v>
      </c>
      <c r="AF13" s="101">
        <f t="shared" si="8"/>
        <v>-581</v>
      </c>
    </row>
    <row r="14" spans="2:32" ht="13" outlineLevel="1" collapsed="1" x14ac:dyDescent="0.3">
      <c r="B14" s="32" t="s">
        <v>45</v>
      </c>
      <c r="C14" s="34">
        <f t="shared" ref="C14:J14" si="11">SUBTOTAL(9,C13:C13)</f>
        <v>814</v>
      </c>
      <c r="D14" s="34">
        <f t="shared" si="11"/>
        <v>928</v>
      </c>
      <c r="E14" s="24">
        <f t="shared" si="11"/>
        <v>0</v>
      </c>
      <c r="F14" s="24">
        <f t="shared" si="11"/>
        <v>15</v>
      </c>
      <c r="G14" s="24">
        <f t="shared" si="11"/>
        <v>149</v>
      </c>
      <c r="H14" s="24">
        <f t="shared" si="11"/>
        <v>0</v>
      </c>
      <c r="I14" s="24">
        <f t="shared" si="11"/>
        <v>-35</v>
      </c>
      <c r="J14" s="24">
        <f t="shared" si="11"/>
        <v>0</v>
      </c>
      <c r="K14" s="24">
        <f>SUM(E14:J14)</f>
        <v>129</v>
      </c>
      <c r="L14" s="34">
        <f t="shared" ref="L14" si="12">N14-D14</f>
        <v>15</v>
      </c>
      <c r="M14" s="34">
        <f t="shared" ref="M14" si="13">N14-C14</f>
        <v>129</v>
      </c>
      <c r="N14" s="34">
        <f>SUBTOTAL(9,N13:N13)</f>
        <v>943</v>
      </c>
      <c r="O14" s="34">
        <f>SUBTOTAL(9,O13:O13)</f>
        <v>921</v>
      </c>
      <c r="P14" s="34">
        <f>SUBTOTAL(9,P13:P13)</f>
        <v>-559</v>
      </c>
      <c r="Q14" s="34">
        <f>SUBTOTAL(9,Q13:Q13)</f>
        <v>362</v>
      </c>
      <c r="R14" s="34">
        <f>SUBTOTAL(9,R13:R13)</f>
        <v>513</v>
      </c>
      <c r="S14" s="34">
        <f>Q14-R14</f>
        <v>-151</v>
      </c>
      <c r="T14" s="38">
        <f>IFERROR((Q14/N14)*100%,"∞")</f>
        <v>0.38388123011664899</v>
      </c>
      <c r="U14" s="59">
        <f>N14+V14</f>
        <v>953</v>
      </c>
      <c r="V14" s="793">
        <f>SUBTOTAL(9,V13:V13)</f>
        <v>10</v>
      </c>
      <c r="W14" s="34">
        <f>SUBTOTAL(9,W13:W13)</f>
        <v>0</v>
      </c>
      <c r="X14" s="34"/>
      <c r="Y14" s="34"/>
      <c r="Z14" s="41"/>
      <c r="AA14" s="60"/>
      <c r="AB14" s="102">
        <f>SUBTOTAL(9,AB1:AB13)</f>
        <v>0</v>
      </c>
      <c r="AC14" s="34">
        <f>SUBTOTAL(9,AC1:AC13)</f>
        <v>0</v>
      </c>
      <c r="AD14" s="34"/>
      <c r="AE14" s="34"/>
      <c r="AF14" s="103"/>
    </row>
    <row r="15" spans="2:32" ht="13" hidden="1" outlineLevel="2" x14ac:dyDescent="0.3">
      <c r="B15" s="31" t="s">
        <v>46</v>
      </c>
      <c r="C15" s="33">
        <v>991</v>
      </c>
      <c r="D15" s="33">
        <v>1474</v>
      </c>
      <c r="E15" s="23">
        <v>-65</v>
      </c>
      <c r="F15" s="23">
        <v>0</v>
      </c>
      <c r="G15" s="23">
        <v>686</v>
      </c>
      <c r="H15" s="23">
        <v>0</v>
      </c>
      <c r="I15" s="23">
        <v>-137</v>
      </c>
      <c r="J15" s="23">
        <v>0</v>
      </c>
      <c r="K15" s="23">
        <f t="shared" si="0"/>
        <v>484</v>
      </c>
      <c r="L15" s="33">
        <f t="shared" si="1"/>
        <v>0</v>
      </c>
      <c r="M15" s="33">
        <f t="shared" si="2"/>
        <v>483</v>
      </c>
      <c r="N15" s="33">
        <v>1474</v>
      </c>
      <c r="O15" s="33">
        <v>989</v>
      </c>
      <c r="P15" s="33">
        <v>-304</v>
      </c>
      <c r="Q15" s="33">
        <v>685</v>
      </c>
      <c r="R15" s="33">
        <v>781</v>
      </c>
      <c r="S15" s="33">
        <f t="shared" si="3"/>
        <v>-96</v>
      </c>
      <c r="T15" s="38">
        <f t="shared" si="4"/>
        <v>0.46472184531886024</v>
      </c>
      <c r="U15" s="59">
        <f t="shared" si="9"/>
        <v>1639</v>
      </c>
      <c r="V15" s="93">
        <v>165</v>
      </c>
      <c r="W15" s="33"/>
      <c r="X15" s="33"/>
      <c r="Y15" s="33"/>
      <c r="Z15" s="42"/>
      <c r="AA15" s="60"/>
      <c r="AB15" s="105"/>
      <c r="AC15" s="93"/>
      <c r="AD15" s="33">
        <f t="shared" si="6"/>
        <v>0</v>
      </c>
      <c r="AE15" s="33">
        <f t="shared" si="7"/>
        <v>685</v>
      </c>
      <c r="AF15" s="101">
        <f t="shared" si="8"/>
        <v>-789</v>
      </c>
    </row>
    <row r="16" spans="2:32" ht="13" hidden="1" outlineLevel="2" x14ac:dyDescent="0.3">
      <c r="B16" s="31" t="s">
        <v>47</v>
      </c>
      <c r="C16" s="33">
        <v>145</v>
      </c>
      <c r="D16" s="33">
        <v>301</v>
      </c>
      <c r="E16" s="23">
        <v>0</v>
      </c>
      <c r="F16" s="23">
        <v>0</v>
      </c>
      <c r="G16" s="23">
        <v>38</v>
      </c>
      <c r="H16" s="23">
        <v>0</v>
      </c>
      <c r="I16" s="23">
        <v>118</v>
      </c>
      <c r="J16" s="23">
        <v>0</v>
      </c>
      <c r="K16" s="23">
        <f t="shared" si="0"/>
        <v>156</v>
      </c>
      <c r="L16" s="33">
        <f t="shared" si="1"/>
        <v>0</v>
      </c>
      <c r="M16" s="33">
        <f t="shared" si="2"/>
        <v>156</v>
      </c>
      <c r="N16" s="33">
        <v>301</v>
      </c>
      <c r="O16" s="33">
        <v>408</v>
      </c>
      <c r="P16" s="33">
        <v>-512</v>
      </c>
      <c r="Q16" s="33">
        <v>-105</v>
      </c>
      <c r="R16" s="33">
        <v>32</v>
      </c>
      <c r="S16" s="33">
        <f t="shared" si="3"/>
        <v>-137</v>
      </c>
      <c r="T16" s="38">
        <f t="shared" si="4"/>
        <v>-0.34883720930232559</v>
      </c>
      <c r="U16" s="59">
        <f t="shared" si="9"/>
        <v>301</v>
      </c>
      <c r="V16" s="93">
        <v>0</v>
      </c>
      <c r="W16" s="33"/>
      <c r="X16" s="33"/>
      <c r="Y16" s="33"/>
      <c r="Z16" s="42"/>
      <c r="AA16" s="60"/>
      <c r="AB16" s="105"/>
      <c r="AC16" s="93"/>
      <c r="AD16" s="33">
        <f t="shared" si="6"/>
        <v>0</v>
      </c>
      <c r="AE16" s="33">
        <f t="shared" si="7"/>
        <v>-105</v>
      </c>
      <c r="AF16" s="101">
        <f t="shared" si="8"/>
        <v>-406</v>
      </c>
    </row>
    <row r="17" spans="2:32" ht="13" hidden="1" outlineLevel="2" x14ac:dyDescent="0.3">
      <c r="B17" s="31" t="s">
        <v>49</v>
      </c>
      <c r="C17" s="33">
        <v>607</v>
      </c>
      <c r="D17" s="33">
        <v>678</v>
      </c>
      <c r="E17" s="23">
        <v>-5</v>
      </c>
      <c r="F17" s="23">
        <v>0</v>
      </c>
      <c r="G17" s="23">
        <v>118</v>
      </c>
      <c r="H17" s="23">
        <v>0</v>
      </c>
      <c r="I17" s="23">
        <v>-42</v>
      </c>
      <c r="J17" s="23">
        <v>0</v>
      </c>
      <c r="K17" s="23">
        <f t="shared" si="0"/>
        <v>71</v>
      </c>
      <c r="L17" s="33">
        <f t="shared" si="1"/>
        <v>0</v>
      </c>
      <c r="M17" s="33">
        <f t="shared" si="2"/>
        <v>71</v>
      </c>
      <c r="N17" s="33">
        <v>678</v>
      </c>
      <c r="O17" s="33">
        <v>503</v>
      </c>
      <c r="P17" s="33">
        <v>-154</v>
      </c>
      <c r="Q17" s="33">
        <v>349</v>
      </c>
      <c r="R17" s="33">
        <v>417</v>
      </c>
      <c r="S17" s="33">
        <f t="shared" si="3"/>
        <v>-68</v>
      </c>
      <c r="T17" s="38">
        <f t="shared" si="4"/>
        <v>0.51474926253687314</v>
      </c>
      <c r="U17" s="59">
        <f t="shared" si="9"/>
        <v>630</v>
      </c>
      <c r="V17" s="93">
        <v>-48</v>
      </c>
      <c r="W17" s="33"/>
      <c r="X17" s="33"/>
      <c r="Y17" s="33"/>
      <c r="Z17" s="42"/>
      <c r="AA17" s="60"/>
      <c r="AB17" s="105"/>
      <c r="AC17" s="93"/>
      <c r="AD17" s="33">
        <f t="shared" si="6"/>
        <v>0</v>
      </c>
      <c r="AE17" s="33">
        <f t="shared" si="7"/>
        <v>349</v>
      </c>
      <c r="AF17" s="101">
        <f t="shared" si="8"/>
        <v>-329</v>
      </c>
    </row>
    <row r="18" spans="2:32" ht="13" hidden="1" outlineLevel="2" x14ac:dyDescent="0.3">
      <c r="B18" s="31" t="s">
        <v>50</v>
      </c>
      <c r="C18" s="33">
        <v>159</v>
      </c>
      <c r="D18" s="33">
        <v>176</v>
      </c>
      <c r="E18" s="23">
        <v>0</v>
      </c>
      <c r="F18" s="23">
        <v>0</v>
      </c>
      <c r="G18" s="23">
        <v>11</v>
      </c>
      <c r="H18" s="23">
        <v>0</v>
      </c>
      <c r="I18" s="23">
        <v>6</v>
      </c>
      <c r="J18" s="23">
        <v>0</v>
      </c>
      <c r="K18" s="23">
        <f t="shared" si="0"/>
        <v>17</v>
      </c>
      <c r="L18" s="33">
        <f t="shared" si="1"/>
        <v>0</v>
      </c>
      <c r="M18" s="33">
        <f t="shared" si="2"/>
        <v>17</v>
      </c>
      <c r="N18" s="33">
        <v>176</v>
      </c>
      <c r="O18" s="33">
        <v>125</v>
      </c>
      <c r="P18" s="33">
        <v>-76</v>
      </c>
      <c r="Q18" s="33">
        <v>49</v>
      </c>
      <c r="R18" s="33">
        <v>78</v>
      </c>
      <c r="S18" s="33">
        <f t="shared" si="3"/>
        <v>-29</v>
      </c>
      <c r="T18" s="38">
        <f t="shared" si="4"/>
        <v>0.27840909090909088</v>
      </c>
      <c r="U18" s="59">
        <f t="shared" si="9"/>
        <v>164</v>
      </c>
      <c r="V18" s="93">
        <v>-12</v>
      </c>
      <c r="W18" s="33"/>
      <c r="X18" s="33"/>
      <c r="Y18" s="33"/>
      <c r="Z18" s="42"/>
      <c r="AA18" s="60"/>
      <c r="AB18" s="105"/>
      <c r="AC18" s="93"/>
      <c r="AD18" s="33">
        <f t="shared" si="6"/>
        <v>0</v>
      </c>
      <c r="AE18" s="33">
        <f t="shared" si="7"/>
        <v>49</v>
      </c>
      <c r="AF18" s="101">
        <f t="shared" si="8"/>
        <v>-127</v>
      </c>
    </row>
    <row r="19" spans="2:32" ht="13" hidden="1" outlineLevel="2" x14ac:dyDescent="0.3">
      <c r="B19" s="31" t="s">
        <v>52</v>
      </c>
      <c r="C19" s="33">
        <v>284</v>
      </c>
      <c r="D19" s="33">
        <v>381</v>
      </c>
      <c r="E19" s="23">
        <v>0</v>
      </c>
      <c r="F19" s="23">
        <v>0</v>
      </c>
      <c r="G19" s="23">
        <v>26</v>
      </c>
      <c r="H19" s="23">
        <v>0</v>
      </c>
      <c r="I19" s="23">
        <v>70</v>
      </c>
      <c r="J19" s="23">
        <v>0</v>
      </c>
      <c r="K19" s="23">
        <f t="shared" si="0"/>
        <v>96</v>
      </c>
      <c r="L19" s="33">
        <f t="shared" si="1"/>
        <v>0</v>
      </c>
      <c r="M19" s="33">
        <f t="shared" si="2"/>
        <v>97</v>
      </c>
      <c r="N19" s="33">
        <v>381</v>
      </c>
      <c r="O19" s="33">
        <v>517</v>
      </c>
      <c r="P19" s="33">
        <v>-304</v>
      </c>
      <c r="Q19" s="33">
        <v>214</v>
      </c>
      <c r="R19" s="33">
        <v>150</v>
      </c>
      <c r="S19" s="33">
        <f t="shared" si="3"/>
        <v>64</v>
      </c>
      <c r="T19" s="38">
        <f t="shared" si="4"/>
        <v>0.56167979002624668</v>
      </c>
      <c r="U19" s="59">
        <f t="shared" si="9"/>
        <v>381</v>
      </c>
      <c r="V19" s="93">
        <v>0</v>
      </c>
      <c r="W19" s="33"/>
      <c r="X19" s="33"/>
      <c r="Y19" s="33"/>
      <c r="Z19" s="42"/>
      <c r="AA19" s="60"/>
      <c r="AB19" s="105"/>
      <c r="AC19" s="93"/>
      <c r="AD19" s="33">
        <f t="shared" si="6"/>
        <v>0</v>
      </c>
      <c r="AE19" s="33">
        <f t="shared" si="7"/>
        <v>214</v>
      </c>
      <c r="AF19" s="101">
        <f t="shared" si="8"/>
        <v>-167</v>
      </c>
    </row>
    <row r="20" spans="2:32" ht="13" hidden="1" outlineLevel="2" x14ac:dyDescent="0.3">
      <c r="B20" s="31" t="s">
        <v>53</v>
      </c>
      <c r="C20" s="33">
        <v>1383</v>
      </c>
      <c r="D20" s="33">
        <v>1423</v>
      </c>
      <c r="E20" s="23">
        <v>0</v>
      </c>
      <c r="F20" s="23">
        <v>0</v>
      </c>
      <c r="G20" s="23">
        <v>36</v>
      </c>
      <c r="H20" s="23">
        <v>0</v>
      </c>
      <c r="I20" s="23">
        <v>3</v>
      </c>
      <c r="J20" s="23">
        <v>0</v>
      </c>
      <c r="K20" s="23">
        <f t="shared" si="0"/>
        <v>39</v>
      </c>
      <c r="L20" s="33">
        <f t="shared" si="1"/>
        <v>0</v>
      </c>
      <c r="M20" s="33">
        <f t="shared" si="2"/>
        <v>40</v>
      </c>
      <c r="N20" s="33">
        <v>1423</v>
      </c>
      <c r="O20" s="33">
        <v>749</v>
      </c>
      <c r="P20" s="33">
        <v>-1</v>
      </c>
      <c r="Q20" s="33">
        <v>748</v>
      </c>
      <c r="R20" s="33">
        <v>742</v>
      </c>
      <c r="S20" s="33">
        <f t="shared" si="3"/>
        <v>6</v>
      </c>
      <c r="T20" s="38">
        <f t="shared" si="4"/>
        <v>0.52565003513703445</v>
      </c>
      <c r="U20" s="59">
        <f t="shared" si="9"/>
        <v>1366</v>
      </c>
      <c r="V20" s="93">
        <v>-57</v>
      </c>
      <c r="W20" s="33"/>
      <c r="X20" s="33"/>
      <c r="Y20" s="33"/>
      <c r="Z20" s="42"/>
      <c r="AA20" s="60"/>
      <c r="AB20" s="105"/>
      <c r="AC20" s="93"/>
      <c r="AD20" s="33">
        <f t="shared" si="6"/>
        <v>0</v>
      </c>
      <c r="AE20" s="33">
        <f t="shared" si="7"/>
        <v>748</v>
      </c>
      <c r="AF20" s="101">
        <f t="shared" si="8"/>
        <v>-675</v>
      </c>
    </row>
    <row r="21" spans="2:32" ht="13" hidden="1" outlineLevel="2" x14ac:dyDescent="0.3">
      <c r="B21" s="31" t="s">
        <v>54</v>
      </c>
      <c r="C21" s="33">
        <v>0</v>
      </c>
      <c r="D21" s="33">
        <v>12</v>
      </c>
      <c r="E21" s="23">
        <v>0</v>
      </c>
      <c r="F21" s="23">
        <v>0</v>
      </c>
      <c r="G21" s="23">
        <v>12</v>
      </c>
      <c r="H21" s="23">
        <v>0</v>
      </c>
      <c r="I21" s="23">
        <v>0</v>
      </c>
      <c r="J21" s="23">
        <v>0</v>
      </c>
      <c r="K21" s="23">
        <f t="shared" si="0"/>
        <v>12</v>
      </c>
      <c r="L21" s="33">
        <f t="shared" si="1"/>
        <v>0</v>
      </c>
      <c r="M21" s="33">
        <f t="shared" si="2"/>
        <v>12</v>
      </c>
      <c r="N21" s="33">
        <v>12</v>
      </c>
      <c r="O21" s="33">
        <v>111</v>
      </c>
      <c r="P21" s="33">
        <v>-107</v>
      </c>
      <c r="Q21" s="33">
        <v>4</v>
      </c>
      <c r="R21" s="33">
        <v>6</v>
      </c>
      <c r="S21" s="33">
        <f t="shared" si="3"/>
        <v>-2</v>
      </c>
      <c r="T21" s="38">
        <f t="shared" si="4"/>
        <v>0.33333333333333331</v>
      </c>
      <c r="U21" s="59">
        <f t="shared" si="9"/>
        <v>12</v>
      </c>
      <c r="V21" s="93">
        <v>0</v>
      </c>
      <c r="W21" s="33"/>
      <c r="X21" s="33"/>
      <c r="Y21" s="33"/>
      <c r="Z21" s="42"/>
      <c r="AA21" s="60"/>
      <c r="AB21" s="105"/>
      <c r="AC21" s="93"/>
      <c r="AD21" s="33">
        <f t="shared" si="6"/>
        <v>0</v>
      </c>
      <c r="AE21" s="33">
        <f t="shared" si="7"/>
        <v>4</v>
      </c>
      <c r="AF21" s="101">
        <f t="shared" si="8"/>
        <v>-8</v>
      </c>
    </row>
    <row r="22" spans="2:32" ht="13" outlineLevel="1" collapsed="1" x14ac:dyDescent="0.3">
      <c r="B22" s="32" t="s">
        <v>55</v>
      </c>
      <c r="C22" s="34">
        <f t="shared" ref="C22:J22" si="14">SUBTOTAL(9,C15:C21)</f>
        <v>3569</v>
      </c>
      <c r="D22" s="34">
        <f t="shared" si="14"/>
        <v>4445</v>
      </c>
      <c r="E22" s="24">
        <f t="shared" si="14"/>
        <v>-70</v>
      </c>
      <c r="F22" s="24">
        <f t="shared" si="14"/>
        <v>0</v>
      </c>
      <c r="G22" s="24">
        <f t="shared" si="14"/>
        <v>927</v>
      </c>
      <c r="H22" s="24">
        <f t="shared" si="14"/>
        <v>0</v>
      </c>
      <c r="I22" s="24">
        <f t="shared" si="14"/>
        <v>18</v>
      </c>
      <c r="J22" s="24">
        <f t="shared" si="14"/>
        <v>0</v>
      </c>
      <c r="K22" s="24">
        <f>SUM(E22:J22)</f>
        <v>875</v>
      </c>
      <c r="L22" s="34">
        <f t="shared" ref="L22:L23" si="15">N22-D22</f>
        <v>0</v>
      </c>
      <c r="M22" s="34">
        <f t="shared" ref="M22:M23" si="16">N22-C22</f>
        <v>876</v>
      </c>
      <c r="N22" s="34">
        <f>SUBTOTAL(9,N15:N21)</f>
        <v>4445</v>
      </c>
      <c r="O22" s="34">
        <f>SUBTOTAL(9,O15:O21)</f>
        <v>3402</v>
      </c>
      <c r="P22" s="34">
        <f>SUBTOTAL(9,P15:P21)</f>
        <v>-1458</v>
      </c>
      <c r="Q22" s="34">
        <f>SUBTOTAL(9,Q15:Q21)</f>
        <v>1944</v>
      </c>
      <c r="R22" s="34">
        <f>SUBTOTAL(9,R15:R21)</f>
        <v>2206</v>
      </c>
      <c r="S22" s="34">
        <f>Q22-R22</f>
        <v>-262</v>
      </c>
      <c r="T22" s="38">
        <f>IFERROR((Q22/N22)*100%,"∞")</f>
        <v>0.43734533183352081</v>
      </c>
      <c r="U22" s="59">
        <f>N22+V22</f>
        <v>4493</v>
      </c>
      <c r="V22" s="793">
        <f>SUBTOTAL(9,V15:V21)</f>
        <v>48</v>
      </c>
      <c r="W22" s="34">
        <f>SUBTOTAL(9,W15:W21)</f>
        <v>0</v>
      </c>
      <c r="X22" s="34"/>
      <c r="Y22" s="34"/>
      <c r="Z22" s="41"/>
      <c r="AA22" s="60"/>
      <c r="AB22" s="102">
        <f>SUBTOTAL(9,AB1:AB21)</f>
        <v>0</v>
      </c>
      <c r="AC22" s="34">
        <f>SUBTOTAL(9,AC1:AC21)</f>
        <v>0</v>
      </c>
      <c r="AD22" s="34"/>
      <c r="AE22" s="34"/>
      <c r="AF22" s="103"/>
    </row>
    <row r="23" spans="2:32" ht="14.5" customHeight="1" thickBot="1" x14ac:dyDescent="0.35">
      <c r="B23" s="53" t="s">
        <v>56</v>
      </c>
      <c r="C23" s="35">
        <f t="shared" ref="C23:J23" si="17">SUBTOTAL(9,C6:C22)</f>
        <v>9290</v>
      </c>
      <c r="D23" s="35">
        <f t="shared" si="17"/>
        <v>11003</v>
      </c>
      <c r="E23" s="25">
        <f t="shared" si="17"/>
        <v>147</v>
      </c>
      <c r="F23" s="25">
        <f t="shared" si="17"/>
        <v>15</v>
      </c>
      <c r="G23" s="25">
        <f t="shared" si="17"/>
        <v>1583</v>
      </c>
      <c r="H23" s="25">
        <f t="shared" si="17"/>
        <v>0</v>
      </c>
      <c r="I23" s="25">
        <f t="shared" si="17"/>
        <v>-17</v>
      </c>
      <c r="J23" s="25">
        <f t="shared" si="17"/>
        <v>0</v>
      </c>
      <c r="K23" s="25">
        <f>SUM(E23:J23)</f>
        <v>1728</v>
      </c>
      <c r="L23" s="35">
        <f t="shared" si="15"/>
        <v>15</v>
      </c>
      <c r="M23" s="35">
        <f t="shared" si="16"/>
        <v>1728</v>
      </c>
      <c r="N23" s="35">
        <f>SUBTOTAL(9,N6:N22)</f>
        <v>11018</v>
      </c>
      <c r="O23" s="35">
        <f>SUBTOTAL(9,O6:O22)</f>
        <v>12159</v>
      </c>
      <c r="P23" s="35">
        <f>SUBTOTAL(9,P6:P22)</f>
        <v>-6044</v>
      </c>
      <c r="Q23" s="35">
        <f>SUBTOTAL(9,Q6:Q22)</f>
        <v>6115</v>
      </c>
      <c r="R23" s="35">
        <f>SUBTOTAL(9,R6:R22)</f>
        <v>5645</v>
      </c>
      <c r="S23" s="35">
        <f>Q23-R23</f>
        <v>470</v>
      </c>
      <c r="T23" s="39">
        <f>IFERROR((Q23/N23)*100%,"∞")</f>
        <v>0.55500090760573606</v>
      </c>
      <c r="U23" s="54">
        <f>N23+V23</f>
        <v>12838</v>
      </c>
      <c r="V23" s="823">
        <f>SUBTOTAL(9,V6:V22)</f>
        <v>1820</v>
      </c>
      <c r="W23" s="35">
        <f>+W12+W22</f>
        <v>3300</v>
      </c>
      <c r="X23" s="35"/>
      <c r="Y23" s="35"/>
      <c r="Z23" s="43"/>
      <c r="AA23" s="60"/>
      <c r="AB23" s="104">
        <f>SUBTOTAL(9,AB1:AB22)</f>
        <v>0</v>
      </c>
      <c r="AC23" s="104">
        <f>SUBTOTAL(9,AC1:AC22)</f>
        <v>0</v>
      </c>
      <c r="AD23" s="35">
        <f>SUM(AB23:AC23)</f>
        <v>0</v>
      </c>
      <c r="AE23" s="35">
        <f>Q23+AD23</f>
        <v>6115</v>
      </c>
      <c r="AF23" s="43">
        <f>AE23-N23</f>
        <v>-4903</v>
      </c>
    </row>
    <row r="24" spans="2:32" ht="13.5" hidden="1" outlineLevel="2" thickTop="1" x14ac:dyDescent="0.3">
      <c r="B24" s="31" t="s">
        <v>57</v>
      </c>
      <c r="C24" s="33">
        <v>1590</v>
      </c>
      <c r="D24" s="33">
        <v>1751</v>
      </c>
      <c r="E24" s="23">
        <v>0</v>
      </c>
      <c r="F24" s="23">
        <v>0</v>
      </c>
      <c r="G24" s="23">
        <v>156</v>
      </c>
      <c r="H24" s="23">
        <v>0</v>
      </c>
      <c r="I24" s="23">
        <v>5</v>
      </c>
      <c r="J24" s="23">
        <v>0</v>
      </c>
      <c r="K24" s="23">
        <f t="shared" si="0"/>
        <v>161</v>
      </c>
      <c r="L24" s="33">
        <f t="shared" si="1"/>
        <v>0</v>
      </c>
      <c r="M24" s="33">
        <f t="shared" si="2"/>
        <v>161</v>
      </c>
      <c r="N24" s="33">
        <v>1751</v>
      </c>
      <c r="O24" s="33">
        <v>1793</v>
      </c>
      <c r="P24" s="33">
        <v>-528</v>
      </c>
      <c r="Q24" s="33">
        <v>1265</v>
      </c>
      <c r="R24" s="33">
        <v>895</v>
      </c>
      <c r="S24" s="33">
        <f t="shared" si="3"/>
        <v>370</v>
      </c>
      <c r="T24" s="38">
        <f t="shared" si="4"/>
        <v>0.72244431753283833</v>
      </c>
      <c r="U24" s="59">
        <f t="shared" si="9"/>
        <v>1951</v>
      </c>
      <c r="V24" s="93">
        <v>200</v>
      </c>
      <c r="W24" s="33">
        <v>178</v>
      </c>
      <c r="X24" s="33"/>
      <c r="Y24" s="33"/>
      <c r="Z24" s="42"/>
      <c r="AA24" s="60"/>
      <c r="AB24" s="105"/>
      <c r="AC24" s="93"/>
      <c r="AD24" s="33">
        <f t="shared" si="6"/>
        <v>0</v>
      </c>
      <c r="AE24" s="33">
        <f>Q24+AD24</f>
        <v>1265</v>
      </c>
      <c r="AF24" s="101">
        <f t="shared" si="8"/>
        <v>-486</v>
      </c>
    </row>
    <row r="25" spans="2:32" ht="13" hidden="1" outlineLevel="2" x14ac:dyDescent="0.3">
      <c r="B25" s="31" t="s">
        <v>58</v>
      </c>
      <c r="C25" s="33">
        <v>-10598</v>
      </c>
      <c r="D25" s="33">
        <v>-10430</v>
      </c>
      <c r="E25" s="23">
        <v>0</v>
      </c>
      <c r="F25" s="23">
        <v>0</v>
      </c>
      <c r="G25" s="23">
        <v>168</v>
      </c>
      <c r="H25" s="23">
        <v>0</v>
      </c>
      <c r="I25" s="23">
        <v>0</v>
      </c>
      <c r="J25" s="23">
        <v>0</v>
      </c>
      <c r="K25" s="23">
        <f t="shared" si="0"/>
        <v>168</v>
      </c>
      <c r="L25" s="33">
        <f t="shared" si="1"/>
        <v>0</v>
      </c>
      <c r="M25" s="33">
        <f t="shared" si="2"/>
        <v>168</v>
      </c>
      <c r="N25" s="33">
        <v>-10430</v>
      </c>
      <c r="O25" s="33">
        <v>1341</v>
      </c>
      <c r="P25" s="33">
        <v>-5860</v>
      </c>
      <c r="Q25" s="33">
        <f>-4519+-328</f>
        <v>-4847</v>
      </c>
      <c r="R25" s="33">
        <v>-5354</v>
      </c>
      <c r="S25" s="33">
        <f t="shared" si="3"/>
        <v>507</v>
      </c>
      <c r="T25" s="38">
        <f t="shared" si="4"/>
        <v>0.46471716203259827</v>
      </c>
      <c r="U25" s="59">
        <f t="shared" si="9"/>
        <v>-10180</v>
      </c>
      <c r="V25" s="93">
        <v>250</v>
      </c>
      <c r="W25" s="33">
        <v>0</v>
      </c>
      <c r="X25" s="33"/>
      <c r="Y25" s="33"/>
      <c r="Z25" s="42"/>
      <c r="AA25" s="60"/>
      <c r="AB25" s="105"/>
      <c r="AC25" s="93"/>
      <c r="AD25" s="33">
        <f>SUM(AB25:AC25)</f>
        <v>0</v>
      </c>
      <c r="AE25" s="33">
        <f>Q25+AD25</f>
        <v>-4847</v>
      </c>
      <c r="AF25" s="101">
        <f t="shared" si="8"/>
        <v>5583</v>
      </c>
    </row>
    <row r="26" spans="2:32" ht="13" hidden="1" outlineLevel="2" x14ac:dyDescent="0.3">
      <c r="B26" s="31" t="s">
        <v>59</v>
      </c>
      <c r="C26" s="33">
        <v>214</v>
      </c>
      <c r="D26" s="33">
        <v>223</v>
      </c>
      <c r="E26" s="23">
        <v>0</v>
      </c>
      <c r="F26" s="23">
        <v>0</v>
      </c>
      <c r="G26" s="23">
        <v>8</v>
      </c>
      <c r="H26" s="23">
        <v>0</v>
      </c>
      <c r="I26" s="23">
        <v>0</v>
      </c>
      <c r="J26" s="23">
        <v>0</v>
      </c>
      <c r="K26" s="23">
        <f t="shared" si="0"/>
        <v>8</v>
      </c>
      <c r="L26" s="33">
        <f t="shared" si="1"/>
        <v>0</v>
      </c>
      <c r="M26" s="33">
        <f t="shared" si="2"/>
        <v>9</v>
      </c>
      <c r="N26" s="33">
        <v>223</v>
      </c>
      <c r="O26" s="33">
        <v>38</v>
      </c>
      <c r="P26" s="33">
        <v>0</v>
      </c>
      <c r="Q26" s="33">
        <v>38</v>
      </c>
      <c r="R26" s="33">
        <v>111</v>
      </c>
      <c r="S26" s="33">
        <f t="shared" si="3"/>
        <v>-73</v>
      </c>
      <c r="T26" s="38">
        <f t="shared" si="4"/>
        <v>0.17040358744394618</v>
      </c>
      <c r="U26" s="59">
        <f t="shared" si="9"/>
        <v>166</v>
      </c>
      <c r="V26" s="93">
        <v>-57</v>
      </c>
      <c r="W26" s="33">
        <v>0</v>
      </c>
      <c r="X26" s="33"/>
      <c r="Y26" s="33"/>
      <c r="Z26" s="42"/>
      <c r="AA26" s="60"/>
      <c r="AB26" s="105"/>
      <c r="AC26" s="93"/>
      <c r="AD26" s="33">
        <f t="shared" si="6"/>
        <v>0</v>
      </c>
      <c r="AE26" s="33">
        <f t="shared" si="7"/>
        <v>38</v>
      </c>
      <c r="AF26" s="101">
        <f t="shared" si="8"/>
        <v>-185</v>
      </c>
    </row>
    <row r="27" spans="2:32" ht="13" hidden="1" outlineLevel="2" x14ac:dyDescent="0.3">
      <c r="B27" s="31" t="s">
        <v>229</v>
      </c>
      <c r="C27" s="33">
        <v>477</v>
      </c>
      <c r="D27" s="33">
        <v>622</v>
      </c>
      <c r="E27" s="23">
        <v>-15</v>
      </c>
      <c r="F27" s="23">
        <v>0</v>
      </c>
      <c r="G27" s="23">
        <v>199</v>
      </c>
      <c r="H27" s="23">
        <v>0</v>
      </c>
      <c r="I27" s="23">
        <v>-39</v>
      </c>
      <c r="J27" s="23">
        <v>0</v>
      </c>
      <c r="K27" s="23">
        <f t="shared" si="0"/>
        <v>145</v>
      </c>
      <c r="L27" s="33">
        <f t="shared" si="1"/>
        <v>0</v>
      </c>
      <c r="M27" s="33">
        <f t="shared" si="2"/>
        <v>145</v>
      </c>
      <c r="N27" s="33">
        <v>622</v>
      </c>
      <c r="O27" s="33">
        <v>878</v>
      </c>
      <c r="P27" s="33">
        <v>-550</v>
      </c>
      <c r="Q27" s="33">
        <v>328</v>
      </c>
      <c r="R27" s="33">
        <v>392</v>
      </c>
      <c r="S27" s="33">
        <f t="shared" si="3"/>
        <v>-64</v>
      </c>
      <c r="T27" s="38">
        <f t="shared" si="4"/>
        <v>0.52733118971061088</v>
      </c>
      <c r="U27" s="59">
        <f t="shared" si="9"/>
        <v>656</v>
      </c>
      <c r="V27" s="93">
        <v>34</v>
      </c>
      <c r="W27" s="33">
        <v>0</v>
      </c>
      <c r="X27" s="33"/>
      <c r="Y27" s="33"/>
      <c r="Z27" s="42"/>
      <c r="AA27" s="60"/>
      <c r="AB27" s="105"/>
      <c r="AC27" s="93"/>
      <c r="AD27" s="33">
        <f t="shared" si="6"/>
        <v>0</v>
      </c>
      <c r="AE27" s="33">
        <f t="shared" si="7"/>
        <v>328</v>
      </c>
      <c r="AF27" s="101">
        <f t="shared" si="8"/>
        <v>-294</v>
      </c>
    </row>
    <row r="28" spans="2:32" ht="13" hidden="1" outlineLevel="2" x14ac:dyDescent="0.3">
      <c r="B28" s="31" t="s">
        <v>230</v>
      </c>
      <c r="C28" s="33">
        <v>401</v>
      </c>
      <c r="D28" s="33">
        <v>359</v>
      </c>
      <c r="E28" s="23">
        <v>0</v>
      </c>
      <c r="F28" s="23">
        <v>0</v>
      </c>
      <c r="G28" s="23">
        <v>18</v>
      </c>
      <c r="H28" s="23">
        <v>0</v>
      </c>
      <c r="I28" s="23">
        <v>-60</v>
      </c>
      <c r="J28" s="23">
        <v>0</v>
      </c>
      <c r="K28" s="23">
        <f t="shared" si="0"/>
        <v>-42</v>
      </c>
      <c r="L28" s="33">
        <f t="shared" si="1"/>
        <v>0</v>
      </c>
      <c r="M28" s="33">
        <f t="shared" si="2"/>
        <v>-42</v>
      </c>
      <c r="N28" s="33">
        <v>359</v>
      </c>
      <c r="O28" s="33">
        <v>119</v>
      </c>
      <c r="P28" s="33">
        <v>-12</v>
      </c>
      <c r="Q28" s="33">
        <v>107</v>
      </c>
      <c r="R28" s="33">
        <v>180</v>
      </c>
      <c r="S28" s="33">
        <f t="shared" si="3"/>
        <v>-73</v>
      </c>
      <c r="T28" s="38">
        <f t="shared" si="4"/>
        <v>0.29805013927576601</v>
      </c>
      <c r="U28" s="59">
        <f t="shared" si="9"/>
        <v>359</v>
      </c>
      <c r="V28" s="93"/>
      <c r="W28" s="33">
        <v>0</v>
      </c>
      <c r="X28" s="33"/>
      <c r="Y28" s="33"/>
      <c r="Z28" s="42"/>
      <c r="AA28" s="60"/>
      <c r="AB28" s="105"/>
      <c r="AC28" s="93"/>
      <c r="AD28" s="33">
        <f t="shared" si="6"/>
        <v>0</v>
      </c>
      <c r="AE28" s="33">
        <f t="shared" si="7"/>
        <v>107</v>
      </c>
      <c r="AF28" s="101">
        <f t="shared" si="8"/>
        <v>-252</v>
      </c>
    </row>
    <row r="29" spans="2:32" ht="13" hidden="1" outlineLevel="2" x14ac:dyDescent="0.3">
      <c r="B29" s="31" t="s">
        <v>60</v>
      </c>
      <c r="C29" s="33">
        <v>0</v>
      </c>
      <c r="D29" s="33">
        <v>0</v>
      </c>
      <c r="E29" s="23">
        <v>0</v>
      </c>
      <c r="F29" s="23">
        <v>0</v>
      </c>
      <c r="G29" s="23">
        <v>0</v>
      </c>
      <c r="H29" s="23">
        <v>0</v>
      </c>
      <c r="I29" s="23">
        <v>0</v>
      </c>
      <c r="J29" s="23">
        <v>0</v>
      </c>
      <c r="K29" s="23">
        <f t="shared" si="0"/>
        <v>0</v>
      </c>
      <c r="L29" s="33">
        <f t="shared" si="1"/>
        <v>0</v>
      </c>
      <c r="M29" s="33">
        <f t="shared" si="2"/>
        <v>0</v>
      </c>
      <c r="N29" s="33">
        <v>0</v>
      </c>
      <c r="O29" s="33">
        <v>0</v>
      </c>
      <c r="P29" s="33">
        <v>0</v>
      </c>
      <c r="Q29" s="33">
        <v>0</v>
      </c>
      <c r="R29" s="33">
        <v>0</v>
      </c>
      <c r="S29" s="33">
        <f t="shared" si="3"/>
        <v>0</v>
      </c>
      <c r="T29" s="38" t="str">
        <f t="shared" si="4"/>
        <v>∞</v>
      </c>
      <c r="U29" s="59">
        <f t="shared" si="9"/>
        <v>0</v>
      </c>
      <c r="V29" s="93">
        <v>0</v>
      </c>
      <c r="W29" s="33">
        <v>0</v>
      </c>
      <c r="X29" s="33"/>
      <c r="Y29" s="33"/>
      <c r="Z29" s="42"/>
      <c r="AA29" s="60"/>
      <c r="AB29" s="105"/>
      <c r="AC29" s="93"/>
      <c r="AD29" s="33">
        <f t="shared" si="6"/>
        <v>0</v>
      </c>
      <c r="AE29" s="33">
        <f t="shared" si="7"/>
        <v>0</v>
      </c>
      <c r="AF29" s="101">
        <f t="shared" si="8"/>
        <v>0</v>
      </c>
    </row>
    <row r="30" spans="2:32" ht="13.5" outlineLevel="1" collapsed="1" thickTop="1" x14ac:dyDescent="0.3">
      <c r="B30" s="32" t="s">
        <v>61</v>
      </c>
      <c r="C30" s="34">
        <f t="shared" ref="C30:J30" si="18">SUBTOTAL(9,C24:C29)</f>
        <v>-7916</v>
      </c>
      <c r="D30" s="34">
        <f t="shared" si="18"/>
        <v>-7475</v>
      </c>
      <c r="E30" s="24">
        <f t="shared" si="18"/>
        <v>-15</v>
      </c>
      <c r="F30" s="24">
        <f t="shared" si="18"/>
        <v>0</v>
      </c>
      <c r="G30" s="24">
        <f t="shared" si="18"/>
        <v>549</v>
      </c>
      <c r="H30" s="24">
        <f t="shared" si="18"/>
        <v>0</v>
      </c>
      <c r="I30" s="24">
        <f t="shared" si="18"/>
        <v>-94</v>
      </c>
      <c r="J30" s="24">
        <f t="shared" si="18"/>
        <v>0</v>
      </c>
      <c r="K30" s="24">
        <f>SUM(E30:J30)</f>
        <v>440</v>
      </c>
      <c r="L30" s="34">
        <f t="shared" ref="L30" si="19">N30-D30</f>
        <v>0</v>
      </c>
      <c r="M30" s="34">
        <f t="shared" ref="M30" si="20">N30-C30</f>
        <v>441</v>
      </c>
      <c r="N30" s="34">
        <f>SUBTOTAL(9,N24:N29)</f>
        <v>-7475</v>
      </c>
      <c r="O30" s="34">
        <f>SUBTOTAL(9,O24:O29)</f>
        <v>4169</v>
      </c>
      <c r="P30" s="34">
        <f>SUBTOTAL(9,P24:P29)</f>
        <v>-6950</v>
      </c>
      <c r="Q30" s="34">
        <f>SUBTOTAL(9,Q24:Q29)</f>
        <v>-3109</v>
      </c>
      <c r="R30" s="34">
        <f>SUBTOTAL(9,R24:R29)</f>
        <v>-3776</v>
      </c>
      <c r="S30" s="34">
        <f>Q30-R30</f>
        <v>667</v>
      </c>
      <c r="T30" s="38">
        <f>IFERROR((Q30/N30)*100%,"∞")</f>
        <v>0.41591973244147157</v>
      </c>
      <c r="U30" s="59">
        <f>N30+V30</f>
        <v>-7048</v>
      </c>
      <c r="V30" s="793">
        <f>SUBTOTAL(9,V24:V29)</f>
        <v>427</v>
      </c>
      <c r="W30" s="34">
        <f>SUBTOTAL(9,W24:W29)</f>
        <v>178</v>
      </c>
      <c r="X30" s="34"/>
      <c r="Y30" s="34"/>
      <c r="Z30" s="41"/>
      <c r="AA30" s="60"/>
      <c r="AB30" s="102">
        <f>SUBTOTAL(9,AB1:AB29)</f>
        <v>0</v>
      </c>
      <c r="AC30" s="34">
        <f>SUBTOTAL(9,AC1:AC29)</f>
        <v>0</v>
      </c>
      <c r="AD30" s="34"/>
      <c r="AE30" s="34"/>
      <c r="AF30" s="103"/>
    </row>
    <row r="31" spans="2:32" ht="13" hidden="1" outlineLevel="2" x14ac:dyDescent="0.3">
      <c r="B31" s="31" t="s">
        <v>62</v>
      </c>
      <c r="C31" s="33">
        <v>389</v>
      </c>
      <c r="D31" s="33">
        <v>447</v>
      </c>
      <c r="E31" s="23">
        <v>0</v>
      </c>
      <c r="F31" s="23">
        <v>0</v>
      </c>
      <c r="G31" s="23">
        <v>58</v>
      </c>
      <c r="H31" s="23">
        <v>0</v>
      </c>
      <c r="I31" s="23">
        <v>0</v>
      </c>
      <c r="J31" s="23">
        <v>0</v>
      </c>
      <c r="K31" s="23">
        <f t="shared" si="0"/>
        <v>58</v>
      </c>
      <c r="L31" s="33">
        <f t="shared" si="1"/>
        <v>0</v>
      </c>
      <c r="M31" s="33">
        <f t="shared" si="2"/>
        <v>58</v>
      </c>
      <c r="N31" s="33">
        <v>447</v>
      </c>
      <c r="O31" s="33">
        <v>557</v>
      </c>
      <c r="P31" s="33">
        <v>-420</v>
      </c>
      <c r="Q31" s="33">
        <v>136</v>
      </c>
      <c r="R31" s="33">
        <v>242</v>
      </c>
      <c r="S31" s="33">
        <f t="shared" si="3"/>
        <v>-106</v>
      </c>
      <c r="T31" s="38">
        <f t="shared" si="4"/>
        <v>0.30425055928411632</v>
      </c>
      <c r="U31" s="59">
        <f t="shared" si="9"/>
        <v>447</v>
      </c>
      <c r="V31" s="93"/>
      <c r="W31" s="33">
        <v>0</v>
      </c>
      <c r="X31" s="33"/>
      <c r="Y31" s="33"/>
      <c r="Z31" s="42"/>
      <c r="AA31" s="60"/>
      <c r="AB31" s="105"/>
      <c r="AC31" s="93"/>
      <c r="AD31" s="33">
        <f t="shared" si="6"/>
        <v>0</v>
      </c>
      <c r="AE31" s="33">
        <f t="shared" si="7"/>
        <v>136</v>
      </c>
      <c r="AF31" s="101">
        <f t="shared" si="8"/>
        <v>-311</v>
      </c>
    </row>
    <row r="32" spans="2:32" ht="13" hidden="1" outlineLevel="2" x14ac:dyDescent="0.3">
      <c r="B32" s="31" t="s">
        <v>63</v>
      </c>
      <c r="C32" s="33">
        <v>472</v>
      </c>
      <c r="D32" s="33">
        <v>543</v>
      </c>
      <c r="E32" s="23">
        <v>0</v>
      </c>
      <c r="F32" s="23">
        <v>0</v>
      </c>
      <c r="G32" s="23">
        <v>71</v>
      </c>
      <c r="H32" s="23">
        <v>0</v>
      </c>
      <c r="I32" s="23">
        <v>0</v>
      </c>
      <c r="J32" s="23">
        <v>0</v>
      </c>
      <c r="K32" s="23">
        <f t="shared" si="0"/>
        <v>71</v>
      </c>
      <c r="L32" s="33">
        <f t="shared" si="1"/>
        <v>0</v>
      </c>
      <c r="M32" s="33">
        <f t="shared" si="2"/>
        <v>71</v>
      </c>
      <c r="N32" s="33">
        <v>543</v>
      </c>
      <c r="O32" s="33">
        <v>133</v>
      </c>
      <c r="P32" s="33">
        <v>0</v>
      </c>
      <c r="Q32" s="33">
        <v>133</v>
      </c>
      <c r="R32" s="33">
        <v>272</v>
      </c>
      <c r="S32" s="33">
        <f t="shared" si="3"/>
        <v>-139</v>
      </c>
      <c r="T32" s="38">
        <f t="shared" si="4"/>
        <v>0.24493554327808473</v>
      </c>
      <c r="U32" s="59">
        <f t="shared" si="9"/>
        <v>543</v>
      </c>
      <c r="V32" s="93"/>
      <c r="W32" s="33">
        <v>0</v>
      </c>
      <c r="X32" s="33"/>
      <c r="Y32" s="33"/>
      <c r="Z32" s="42"/>
      <c r="AA32" s="60"/>
      <c r="AB32" s="105"/>
      <c r="AC32" s="93"/>
      <c r="AD32" s="33">
        <f t="shared" si="6"/>
        <v>0</v>
      </c>
      <c r="AE32" s="33">
        <f t="shared" si="7"/>
        <v>133</v>
      </c>
      <c r="AF32" s="101">
        <f t="shared" si="8"/>
        <v>-410</v>
      </c>
    </row>
    <row r="33" spans="2:32" ht="13" hidden="1" outlineLevel="2" x14ac:dyDescent="0.3">
      <c r="B33" s="31" t="s">
        <v>64</v>
      </c>
      <c r="C33" s="33">
        <v>68</v>
      </c>
      <c r="D33" s="33">
        <v>89</v>
      </c>
      <c r="E33" s="23">
        <v>0</v>
      </c>
      <c r="F33" s="23">
        <v>0</v>
      </c>
      <c r="G33" s="23">
        <v>21</v>
      </c>
      <c r="H33" s="23">
        <v>0</v>
      </c>
      <c r="I33" s="23">
        <v>0</v>
      </c>
      <c r="J33" s="23">
        <v>0</v>
      </c>
      <c r="K33" s="23">
        <f t="shared" si="0"/>
        <v>21</v>
      </c>
      <c r="L33" s="33">
        <f t="shared" si="1"/>
        <v>0</v>
      </c>
      <c r="M33" s="33">
        <f t="shared" si="2"/>
        <v>21</v>
      </c>
      <c r="N33" s="33">
        <v>89</v>
      </c>
      <c r="O33" s="33">
        <v>79</v>
      </c>
      <c r="P33" s="33">
        <v>0</v>
      </c>
      <c r="Q33" s="33">
        <v>79</v>
      </c>
      <c r="R33" s="33">
        <v>44</v>
      </c>
      <c r="S33" s="33">
        <f t="shared" si="3"/>
        <v>35</v>
      </c>
      <c r="T33" s="38">
        <f t="shared" si="4"/>
        <v>0.88764044943820219</v>
      </c>
      <c r="U33" s="59">
        <f t="shared" si="9"/>
        <v>158</v>
      </c>
      <c r="V33" s="93">
        <v>69</v>
      </c>
      <c r="W33" s="33">
        <v>0</v>
      </c>
      <c r="X33" s="33"/>
      <c r="Y33" s="33"/>
      <c r="Z33" s="42"/>
      <c r="AA33" s="60"/>
      <c r="AB33" s="105"/>
      <c r="AC33" s="93"/>
      <c r="AD33" s="33">
        <f t="shared" si="6"/>
        <v>0</v>
      </c>
      <c r="AE33" s="33">
        <f t="shared" si="7"/>
        <v>79</v>
      </c>
      <c r="AF33" s="101">
        <f t="shared" si="8"/>
        <v>-10</v>
      </c>
    </row>
    <row r="34" spans="2:32" ht="13" outlineLevel="1" collapsed="1" x14ac:dyDescent="0.3">
      <c r="B34" s="32" t="s">
        <v>65</v>
      </c>
      <c r="C34" s="34">
        <f t="shared" ref="C34:J34" si="21">SUBTOTAL(9,C31:C33)</f>
        <v>929</v>
      </c>
      <c r="D34" s="34">
        <f t="shared" si="21"/>
        <v>1079</v>
      </c>
      <c r="E34" s="24">
        <f t="shared" si="21"/>
        <v>0</v>
      </c>
      <c r="F34" s="24">
        <f t="shared" si="21"/>
        <v>0</v>
      </c>
      <c r="G34" s="24">
        <f t="shared" si="21"/>
        <v>150</v>
      </c>
      <c r="H34" s="24">
        <f t="shared" si="21"/>
        <v>0</v>
      </c>
      <c r="I34" s="24">
        <f t="shared" si="21"/>
        <v>0</v>
      </c>
      <c r="J34" s="24">
        <f t="shared" si="21"/>
        <v>0</v>
      </c>
      <c r="K34" s="24">
        <f>SUM(E34:J34)</f>
        <v>150</v>
      </c>
      <c r="L34" s="34">
        <f t="shared" ref="L34" si="22">N34-D34</f>
        <v>0</v>
      </c>
      <c r="M34" s="34">
        <f t="shared" ref="M34" si="23">N34-C34</f>
        <v>150</v>
      </c>
      <c r="N34" s="34">
        <f>SUBTOTAL(9,N31:N33)</f>
        <v>1079</v>
      </c>
      <c r="O34" s="34">
        <f>SUBTOTAL(9,O31:O33)</f>
        <v>769</v>
      </c>
      <c r="P34" s="34">
        <f>SUBTOTAL(9,P31:P33)</f>
        <v>-420</v>
      </c>
      <c r="Q34" s="34">
        <f>SUBTOTAL(9,Q31:Q33)</f>
        <v>348</v>
      </c>
      <c r="R34" s="34">
        <f>SUBTOTAL(9,R31:R33)</f>
        <v>558</v>
      </c>
      <c r="S34" s="34">
        <f>Q34-R34</f>
        <v>-210</v>
      </c>
      <c r="T34" s="38">
        <f>IFERROR((Q34/N34)*100%,"∞")</f>
        <v>0.32252085264133457</v>
      </c>
      <c r="U34" s="59">
        <f>N34+V34</f>
        <v>1148</v>
      </c>
      <c r="V34" s="793">
        <f>SUBTOTAL(9,V31:V33)</f>
        <v>69</v>
      </c>
      <c r="W34" s="34">
        <f>SUBTOTAL(9,W31:W33)</f>
        <v>0</v>
      </c>
      <c r="X34" s="34"/>
      <c r="Y34" s="34"/>
      <c r="Z34" s="41"/>
      <c r="AA34" s="60"/>
      <c r="AB34" s="102">
        <f>SUBTOTAL(9,AB1:AB33)</f>
        <v>0</v>
      </c>
      <c r="AC34" s="34">
        <f>SUBTOTAL(9,AC1:AC33)</f>
        <v>0</v>
      </c>
      <c r="AD34" s="34"/>
      <c r="AE34" s="34"/>
      <c r="AF34" s="103"/>
    </row>
    <row r="35" spans="2:32" ht="13" hidden="1" outlineLevel="2" x14ac:dyDescent="0.3">
      <c r="B35" s="31" t="s">
        <v>66</v>
      </c>
      <c r="C35" s="33">
        <v>-753</v>
      </c>
      <c r="D35" s="33">
        <v>-780</v>
      </c>
      <c r="E35" s="23">
        <v>0</v>
      </c>
      <c r="F35" s="23">
        <v>0</v>
      </c>
      <c r="G35" s="23">
        <v>92</v>
      </c>
      <c r="H35" s="23">
        <v>0</v>
      </c>
      <c r="I35" s="23">
        <v>-119</v>
      </c>
      <c r="J35" s="23">
        <v>0</v>
      </c>
      <c r="K35" s="23">
        <f t="shared" si="0"/>
        <v>-27</v>
      </c>
      <c r="L35" s="33">
        <f t="shared" si="1"/>
        <v>0</v>
      </c>
      <c r="M35" s="33">
        <f t="shared" si="2"/>
        <v>-27</v>
      </c>
      <c r="N35" s="33">
        <v>-780</v>
      </c>
      <c r="O35" s="33">
        <v>620</v>
      </c>
      <c r="P35" s="33">
        <v>-1047</v>
      </c>
      <c r="Q35" s="33">
        <v>-426</v>
      </c>
      <c r="R35" s="33">
        <v>-561</v>
      </c>
      <c r="S35" s="33">
        <f t="shared" si="3"/>
        <v>135</v>
      </c>
      <c r="T35" s="38">
        <f t="shared" si="4"/>
        <v>0.5461538461538461</v>
      </c>
      <c r="U35" s="59">
        <f t="shared" si="9"/>
        <v>-780</v>
      </c>
      <c r="V35" s="93">
        <v>0</v>
      </c>
      <c r="W35" s="33">
        <v>0</v>
      </c>
      <c r="X35" s="33"/>
      <c r="Y35" s="33"/>
      <c r="Z35" s="42"/>
      <c r="AA35" s="60"/>
      <c r="AB35" s="105"/>
      <c r="AC35" s="93"/>
      <c r="AD35" s="33">
        <f t="shared" si="6"/>
        <v>0</v>
      </c>
      <c r="AE35" s="33">
        <f t="shared" si="7"/>
        <v>-426</v>
      </c>
      <c r="AF35" s="101">
        <f t="shared" si="8"/>
        <v>354</v>
      </c>
    </row>
    <row r="36" spans="2:32" ht="13" hidden="1" outlineLevel="2" x14ac:dyDescent="0.3">
      <c r="B36" s="31" t="s">
        <v>67</v>
      </c>
      <c r="C36" s="33">
        <v>121</v>
      </c>
      <c r="D36" s="33">
        <v>228</v>
      </c>
      <c r="E36" s="23">
        <v>0</v>
      </c>
      <c r="F36" s="23">
        <v>0</v>
      </c>
      <c r="G36" s="23">
        <v>33</v>
      </c>
      <c r="H36" s="23">
        <v>0</v>
      </c>
      <c r="I36" s="23">
        <v>74</v>
      </c>
      <c r="J36" s="23">
        <v>0</v>
      </c>
      <c r="K36" s="23">
        <f t="shared" si="0"/>
        <v>107</v>
      </c>
      <c r="L36" s="33">
        <f t="shared" si="1"/>
        <v>0</v>
      </c>
      <c r="M36" s="33">
        <f t="shared" si="2"/>
        <v>107</v>
      </c>
      <c r="N36" s="33">
        <v>228</v>
      </c>
      <c r="O36" s="33">
        <v>81</v>
      </c>
      <c r="P36" s="33">
        <v>-8</v>
      </c>
      <c r="Q36" s="33">
        <v>72</v>
      </c>
      <c r="R36" s="33">
        <v>83</v>
      </c>
      <c r="S36" s="33">
        <f t="shared" si="3"/>
        <v>-11</v>
      </c>
      <c r="T36" s="38">
        <f t="shared" si="4"/>
        <v>0.31578947368421051</v>
      </c>
      <c r="U36" s="59">
        <f t="shared" si="9"/>
        <v>228</v>
      </c>
      <c r="V36" s="93">
        <v>0</v>
      </c>
      <c r="W36" s="33">
        <v>0</v>
      </c>
      <c r="X36" s="33"/>
      <c r="Y36" s="33"/>
      <c r="Z36" s="42"/>
      <c r="AA36" s="60"/>
      <c r="AB36" s="105"/>
      <c r="AC36" s="93"/>
      <c r="AD36" s="33">
        <f t="shared" si="6"/>
        <v>0</v>
      </c>
      <c r="AE36" s="33">
        <f t="shared" si="7"/>
        <v>72</v>
      </c>
      <c r="AF36" s="101">
        <f t="shared" si="8"/>
        <v>-156</v>
      </c>
    </row>
    <row r="37" spans="2:32" ht="13" hidden="1" outlineLevel="2" x14ac:dyDescent="0.3">
      <c r="B37" s="31" t="s">
        <v>68</v>
      </c>
      <c r="C37" s="33">
        <v>-191</v>
      </c>
      <c r="D37" s="33">
        <v>-188</v>
      </c>
      <c r="E37" s="23">
        <v>0</v>
      </c>
      <c r="F37" s="23">
        <v>0</v>
      </c>
      <c r="G37" s="23">
        <v>3</v>
      </c>
      <c r="H37" s="23">
        <v>0</v>
      </c>
      <c r="I37" s="23">
        <v>0</v>
      </c>
      <c r="J37" s="23">
        <v>0</v>
      </c>
      <c r="K37" s="23">
        <f t="shared" si="0"/>
        <v>3</v>
      </c>
      <c r="L37" s="33">
        <f t="shared" si="1"/>
        <v>0</v>
      </c>
      <c r="M37" s="33">
        <f t="shared" si="2"/>
        <v>3</v>
      </c>
      <c r="N37" s="33">
        <v>-188</v>
      </c>
      <c r="O37" s="33">
        <v>42</v>
      </c>
      <c r="P37" s="33">
        <v>-174</v>
      </c>
      <c r="Q37" s="33">
        <v>-133</v>
      </c>
      <c r="R37" s="33">
        <v>-98</v>
      </c>
      <c r="S37" s="33">
        <f t="shared" si="3"/>
        <v>-35</v>
      </c>
      <c r="T37" s="38">
        <f t="shared" si="4"/>
        <v>0.70744680851063835</v>
      </c>
      <c r="U37" s="59">
        <f t="shared" si="9"/>
        <v>-188</v>
      </c>
      <c r="V37" s="93">
        <v>0</v>
      </c>
      <c r="W37" s="33">
        <v>0</v>
      </c>
      <c r="X37" s="33"/>
      <c r="Y37" s="33"/>
      <c r="Z37" s="42"/>
      <c r="AA37" s="60"/>
      <c r="AB37" s="105"/>
      <c r="AC37" s="93"/>
      <c r="AD37" s="33">
        <f t="shared" si="6"/>
        <v>0</v>
      </c>
      <c r="AE37" s="33">
        <f t="shared" si="7"/>
        <v>-133</v>
      </c>
      <c r="AF37" s="101">
        <f t="shared" si="8"/>
        <v>55</v>
      </c>
    </row>
    <row r="38" spans="2:32" ht="13" hidden="1" outlineLevel="2" x14ac:dyDescent="0.3">
      <c r="B38" s="31" t="s">
        <v>69</v>
      </c>
      <c r="C38" s="33">
        <v>1261</v>
      </c>
      <c r="D38" s="33">
        <v>1409</v>
      </c>
      <c r="E38" s="23">
        <v>0</v>
      </c>
      <c r="F38" s="23">
        <v>0</v>
      </c>
      <c r="G38" s="23">
        <v>102</v>
      </c>
      <c r="H38" s="23">
        <v>0</v>
      </c>
      <c r="I38" s="23">
        <v>46</v>
      </c>
      <c r="J38" s="23">
        <v>0</v>
      </c>
      <c r="K38" s="23">
        <f t="shared" si="0"/>
        <v>148</v>
      </c>
      <c r="L38" s="33">
        <f t="shared" si="1"/>
        <v>0</v>
      </c>
      <c r="M38" s="33">
        <f t="shared" si="2"/>
        <v>148</v>
      </c>
      <c r="N38" s="33">
        <v>1409</v>
      </c>
      <c r="O38" s="33">
        <v>714</v>
      </c>
      <c r="P38" s="33">
        <v>-126</v>
      </c>
      <c r="Q38" s="33">
        <v>589</v>
      </c>
      <c r="R38" s="33">
        <v>667</v>
      </c>
      <c r="S38" s="33">
        <f t="shared" si="3"/>
        <v>-78</v>
      </c>
      <c r="T38" s="38">
        <f t="shared" si="4"/>
        <v>0.41802696948190204</v>
      </c>
      <c r="U38" s="59">
        <f t="shared" si="9"/>
        <v>1409</v>
      </c>
      <c r="V38" s="93">
        <v>0</v>
      </c>
      <c r="W38" s="33">
        <v>0</v>
      </c>
      <c r="X38" s="33"/>
      <c r="Y38" s="33"/>
      <c r="Z38" s="42"/>
      <c r="AA38" s="60"/>
      <c r="AB38" s="105"/>
      <c r="AC38" s="93"/>
      <c r="AD38" s="33">
        <f t="shared" si="6"/>
        <v>0</v>
      </c>
      <c r="AE38" s="33">
        <f t="shared" si="7"/>
        <v>589</v>
      </c>
      <c r="AF38" s="101">
        <f t="shared" si="8"/>
        <v>-820</v>
      </c>
    </row>
    <row r="39" spans="2:32" ht="13" hidden="1" outlineLevel="2" x14ac:dyDescent="0.3">
      <c r="B39" s="31" t="s">
        <v>70</v>
      </c>
      <c r="C39" s="33">
        <v>-130</v>
      </c>
      <c r="D39" s="33">
        <v>141</v>
      </c>
      <c r="E39" s="23">
        <v>0</v>
      </c>
      <c r="F39" s="23">
        <v>0</v>
      </c>
      <c r="G39" s="23">
        <v>233</v>
      </c>
      <c r="H39" s="23">
        <v>0</v>
      </c>
      <c r="I39" s="23">
        <v>39</v>
      </c>
      <c r="J39" s="23">
        <v>0</v>
      </c>
      <c r="K39" s="23">
        <f t="shared" si="0"/>
        <v>272</v>
      </c>
      <c r="L39" s="33">
        <f t="shared" si="1"/>
        <v>0</v>
      </c>
      <c r="M39" s="33">
        <f t="shared" si="2"/>
        <v>271</v>
      </c>
      <c r="N39" s="33">
        <v>141</v>
      </c>
      <c r="O39" s="33">
        <v>1891</v>
      </c>
      <c r="P39" s="33">
        <v>-1971</v>
      </c>
      <c r="Q39" s="33">
        <v>-4</v>
      </c>
      <c r="R39" s="33">
        <v>71</v>
      </c>
      <c r="S39" s="33">
        <f t="shared" si="3"/>
        <v>-75</v>
      </c>
      <c r="T39" s="38">
        <f t="shared" si="4"/>
        <v>-2.8368794326241134E-2</v>
      </c>
      <c r="U39" s="59">
        <f t="shared" si="9"/>
        <v>291</v>
      </c>
      <c r="V39" s="93">
        <f>178-28</f>
        <v>150</v>
      </c>
      <c r="W39" s="33"/>
      <c r="X39" s="33"/>
      <c r="Y39" s="33"/>
      <c r="Z39" s="42"/>
      <c r="AA39" s="60"/>
      <c r="AB39" s="105"/>
      <c r="AC39" s="93"/>
      <c r="AD39" s="33">
        <f t="shared" si="6"/>
        <v>0</v>
      </c>
      <c r="AE39" s="33">
        <f t="shared" si="7"/>
        <v>-4</v>
      </c>
      <c r="AF39" s="101">
        <f t="shared" si="8"/>
        <v>-145</v>
      </c>
    </row>
    <row r="40" spans="2:32" ht="13" outlineLevel="1" collapsed="1" x14ac:dyDescent="0.3">
      <c r="B40" s="32" t="s">
        <v>71</v>
      </c>
      <c r="C40" s="34">
        <f t="shared" ref="C40:J40" si="24">SUBTOTAL(9,C35:C39)</f>
        <v>308</v>
      </c>
      <c r="D40" s="34">
        <f t="shared" si="24"/>
        <v>810</v>
      </c>
      <c r="E40" s="24">
        <f t="shared" si="24"/>
        <v>0</v>
      </c>
      <c r="F40" s="24">
        <f t="shared" si="24"/>
        <v>0</v>
      </c>
      <c r="G40" s="24">
        <f t="shared" si="24"/>
        <v>463</v>
      </c>
      <c r="H40" s="24">
        <f t="shared" si="24"/>
        <v>0</v>
      </c>
      <c r="I40" s="24">
        <f t="shared" si="24"/>
        <v>40</v>
      </c>
      <c r="J40" s="24">
        <f t="shared" si="24"/>
        <v>0</v>
      </c>
      <c r="K40" s="24">
        <f>SUM(E40:J40)</f>
        <v>503</v>
      </c>
      <c r="L40" s="34">
        <f t="shared" ref="L40:L41" si="25">N40-D40</f>
        <v>0</v>
      </c>
      <c r="M40" s="34">
        <f t="shared" ref="M40:M41" si="26">N40-C40</f>
        <v>502</v>
      </c>
      <c r="N40" s="34">
        <f>SUBTOTAL(9,N35:N39)</f>
        <v>810</v>
      </c>
      <c r="O40" s="34">
        <f>SUBTOTAL(9,O35:O39)</f>
        <v>3348</v>
      </c>
      <c r="P40" s="34">
        <f>SUBTOTAL(9,P35:P39)</f>
        <v>-3326</v>
      </c>
      <c r="Q40" s="34">
        <f>SUBTOTAL(9,Q35:Q39)</f>
        <v>98</v>
      </c>
      <c r="R40" s="34">
        <f>SUBTOTAL(9,R35:R39)</f>
        <v>162</v>
      </c>
      <c r="S40" s="34">
        <f>Q40-R40</f>
        <v>-64</v>
      </c>
      <c r="T40" s="38">
        <f>IFERROR((Q40/N40)*100%,"∞")</f>
        <v>0.12098765432098765</v>
      </c>
      <c r="U40" s="59">
        <f>N40+V40</f>
        <v>960</v>
      </c>
      <c r="V40" s="793">
        <f>SUBTOTAL(9,V35:V39)</f>
        <v>150</v>
      </c>
      <c r="W40" s="34">
        <f>SUBTOTAL(9,W35:W39)</f>
        <v>0</v>
      </c>
      <c r="X40" s="34"/>
      <c r="Y40" s="34"/>
      <c r="Z40" s="41"/>
      <c r="AA40" s="60"/>
      <c r="AB40" s="102">
        <f>SUBTOTAL(9,AB1:AB39)</f>
        <v>0</v>
      </c>
      <c r="AC40" s="34">
        <f>SUBTOTAL(9,AC1:AC39)</f>
        <v>0</v>
      </c>
      <c r="AD40" s="34"/>
      <c r="AE40" s="34"/>
      <c r="AF40" s="103"/>
    </row>
    <row r="41" spans="2:32" ht="14.5" customHeight="1" thickBot="1" x14ac:dyDescent="0.35">
      <c r="B41" s="53" t="s">
        <v>72</v>
      </c>
      <c r="C41" s="35">
        <f t="shared" ref="C41:J41" si="27">SUBTOTAL(9,C24:C40)</f>
        <v>-6679</v>
      </c>
      <c r="D41" s="35">
        <f t="shared" si="27"/>
        <v>-5586</v>
      </c>
      <c r="E41" s="25">
        <f t="shared" si="27"/>
        <v>-15</v>
      </c>
      <c r="F41" s="25">
        <f t="shared" si="27"/>
        <v>0</v>
      </c>
      <c r="G41" s="25">
        <f t="shared" si="27"/>
        <v>1162</v>
      </c>
      <c r="H41" s="25">
        <f t="shared" si="27"/>
        <v>0</v>
      </c>
      <c r="I41" s="25">
        <f t="shared" si="27"/>
        <v>-54</v>
      </c>
      <c r="J41" s="25">
        <f t="shared" si="27"/>
        <v>0</v>
      </c>
      <c r="K41" s="25">
        <f>SUM(E41:J41)</f>
        <v>1093</v>
      </c>
      <c r="L41" s="35">
        <f t="shared" si="25"/>
        <v>0</v>
      </c>
      <c r="M41" s="35">
        <f t="shared" si="26"/>
        <v>1093</v>
      </c>
      <c r="N41" s="35">
        <f>SUBTOTAL(9,N24:N40)</f>
        <v>-5586</v>
      </c>
      <c r="O41" s="35">
        <f>SUBTOTAL(9,O24:O40)</f>
        <v>8286</v>
      </c>
      <c r="P41" s="35">
        <f>SUBTOTAL(9,P24:P40)</f>
        <v>-10696</v>
      </c>
      <c r="Q41" s="35">
        <f>SUBTOTAL(9,Q24:Q40)</f>
        <v>-2663</v>
      </c>
      <c r="R41" s="35">
        <f>SUBTOTAL(9,R24:R40)</f>
        <v>-3056</v>
      </c>
      <c r="S41" s="35">
        <f>Q41-R41</f>
        <v>393</v>
      </c>
      <c r="T41" s="39">
        <f>IFERROR((Q41/N41)*100%,"∞")</f>
        <v>0.47672753311851057</v>
      </c>
      <c r="U41" s="54">
        <f>N41+V41</f>
        <v>-4940</v>
      </c>
      <c r="V41" s="823">
        <f>SUBTOTAL(9,V24:V40)</f>
        <v>646</v>
      </c>
      <c r="W41" s="35">
        <f>SUBTOTAL(9,W24:W40)</f>
        <v>178</v>
      </c>
      <c r="X41" s="35"/>
      <c r="Y41" s="35"/>
      <c r="Z41" s="43"/>
      <c r="AA41" s="60"/>
      <c r="AB41" s="104">
        <f>SUBTOTAL(9,AB1:AB40)</f>
        <v>0</v>
      </c>
      <c r="AC41" s="104">
        <f>SUBTOTAL(9,AC1:AC40)</f>
        <v>0</v>
      </c>
      <c r="AD41" s="35">
        <f>SUM(AB41:AC41)</f>
        <v>0</v>
      </c>
      <c r="AE41" s="35">
        <f>Q41+AD41</f>
        <v>-2663</v>
      </c>
      <c r="AF41" s="43">
        <f>AE41-N41</f>
        <v>2923</v>
      </c>
    </row>
    <row r="42" spans="2:32" ht="13.5" hidden="1" outlineLevel="2" thickTop="1" x14ac:dyDescent="0.3">
      <c r="B42" s="31" t="s">
        <v>73</v>
      </c>
      <c r="C42" s="33">
        <v>135</v>
      </c>
      <c r="D42" s="33">
        <v>144</v>
      </c>
      <c r="E42" s="23">
        <v>0</v>
      </c>
      <c r="F42" s="23">
        <v>0</v>
      </c>
      <c r="G42" s="23">
        <v>9</v>
      </c>
      <c r="H42" s="23">
        <v>0</v>
      </c>
      <c r="I42" s="23">
        <v>0</v>
      </c>
      <c r="J42" s="23">
        <v>0</v>
      </c>
      <c r="K42" s="23">
        <f t="shared" si="0"/>
        <v>9</v>
      </c>
      <c r="L42" s="33">
        <f t="shared" si="1"/>
        <v>0</v>
      </c>
      <c r="M42" s="33">
        <f t="shared" si="2"/>
        <v>9</v>
      </c>
      <c r="N42" s="33">
        <v>144</v>
      </c>
      <c r="O42" s="33">
        <v>68</v>
      </c>
      <c r="P42" s="33">
        <v>0</v>
      </c>
      <c r="Q42" s="33">
        <v>68</v>
      </c>
      <c r="R42" s="33">
        <v>72</v>
      </c>
      <c r="S42" s="33">
        <f t="shared" si="3"/>
        <v>-4</v>
      </c>
      <c r="T42" s="38">
        <f t="shared" si="4"/>
        <v>0.47222222222222221</v>
      </c>
      <c r="U42" s="59">
        <f t="shared" si="9"/>
        <v>144</v>
      </c>
      <c r="V42" s="93">
        <v>0</v>
      </c>
      <c r="W42" s="33">
        <v>0</v>
      </c>
      <c r="X42" s="33"/>
      <c r="Y42" s="33"/>
      <c r="Z42" s="42"/>
      <c r="AA42" s="60"/>
      <c r="AB42" s="105"/>
      <c r="AC42" s="93"/>
      <c r="AD42" s="33">
        <f t="shared" si="6"/>
        <v>0</v>
      </c>
      <c r="AE42" s="33">
        <f t="shared" si="7"/>
        <v>68</v>
      </c>
      <c r="AF42" s="101">
        <f t="shared" si="8"/>
        <v>-76</v>
      </c>
    </row>
    <row r="43" spans="2:32" ht="13" hidden="1" outlineLevel="2" x14ac:dyDescent="0.3">
      <c r="B43" s="31" t="s">
        <v>74</v>
      </c>
      <c r="C43" s="33">
        <v>471</v>
      </c>
      <c r="D43" s="33">
        <v>519</v>
      </c>
      <c r="E43" s="23">
        <v>0</v>
      </c>
      <c r="F43" s="23">
        <v>0</v>
      </c>
      <c r="G43" s="23">
        <v>47</v>
      </c>
      <c r="H43" s="23">
        <v>0</v>
      </c>
      <c r="I43" s="23">
        <v>0</v>
      </c>
      <c r="J43" s="23">
        <v>0</v>
      </c>
      <c r="K43" s="23">
        <f t="shared" si="0"/>
        <v>47</v>
      </c>
      <c r="L43" s="33">
        <f t="shared" si="1"/>
        <v>0</v>
      </c>
      <c r="M43" s="33">
        <f t="shared" si="2"/>
        <v>48</v>
      </c>
      <c r="N43" s="33">
        <v>519</v>
      </c>
      <c r="O43" s="33">
        <v>232</v>
      </c>
      <c r="P43" s="33">
        <v>-4</v>
      </c>
      <c r="Q43" s="33">
        <v>227</v>
      </c>
      <c r="R43" s="33">
        <v>259</v>
      </c>
      <c r="S43" s="33">
        <f t="shared" si="3"/>
        <v>-32</v>
      </c>
      <c r="T43" s="38">
        <f t="shared" si="4"/>
        <v>0.43737957610789979</v>
      </c>
      <c r="U43" s="59">
        <f t="shared" si="9"/>
        <v>485</v>
      </c>
      <c r="V43" s="93">
        <v>-34</v>
      </c>
      <c r="W43" s="33"/>
      <c r="X43" s="33"/>
      <c r="Y43" s="33"/>
      <c r="Z43" s="42"/>
      <c r="AA43" s="60"/>
      <c r="AB43" s="105"/>
      <c r="AC43" s="93"/>
      <c r="AD43" s="33">
        <f t="shared" si="6"/>
        <v>0</v>
      </c>
      <c r="AE43" s="33">
        <f t="shared" si="7"/>
        <v>227</v>
      </c>
      <c r="AF43" s="101">
        <f t="shared" si="8"/>
        <v>-292</v>
      </c>
    </row>
    <row r="44" spans="2:32" ht="13" hidden="1" outlineLevel="2" x14ac:dyDescent="0.3">
      <c r="B44" s="31" t="s">
        <v>75</v>
      </c>
      <c r="C44" s="33">
        <v>287</v>
      </c>
      <c r="D44" s="33">
        <v>333</v>
      </c>
      <c r="E44" s="23">
        <v>0</v>
      </c>
      <c r="F44" s="23">
        <v>0</v>
      </c>
      <c r="G44" s="23">
        <v>24</v>
      </c>
      <c r="H44" s="23">
        <v>0</v>
      </c>
      <c r="I44" s="23">
        <v>22</v>
      </c>
      <c r="J44" s="23">
        <v>0</v>
      </c>
      <c r="K44" s="23">
        <f t="shared" si="0"/>
        <v>46</v>
      </c>
      <c r="L44" s="33">
        <f t="shared" si="1"/>
        <v>0</v>
      </c>
      <c r="M44" s="33">
        <f t="shared" si="2"/>
        <v>46</v>
      </c>
      <c r="N44" s="33">
        <v>333</v>
      </c>
      <c r="O44" s="33">
        <v>162</v>
      </c>
      <c r="P44" s="33">
        <v>0</v>
      </c>
      <c r="Q44" s="33">
        <v>162</v>
      </c>
      <c r="R44" s="33">
        <v>167</v>
      </c>
      <c r="S44" s="33">
        <f t="shared" si="3"/>
        <v>-5</v>
      </c>
      <c r="T44" s="38">
        <f t="shared" si="4"/>
        <v>0.48648648648648651</v>
      </c>
      <c r="U44" s="59">
        <f t="shared" si="9"/>
        <v>333</v>
      </c>
      <c r="V44" s="93">
        <v>0</v>
      </c>
      <c r="W44" s="33"/>
      <c r="X44" s="33"/>
      <c r="Y44" s="33"/>
      <c r="Z44" s="42"/>
      <c r="AA44" s="60"/>
      <c r="AB44" s="105"/>
      <c r="AC44" s="93"/>
      <c r="AD44" s="33">
        <f t="shared" si="6"/>
        <v>0</v>
      </c>
      <c r="AE44" s="33">
        <f t="shared" si="7"/>
        <v>162</v>
      </c>
      <c r="AF44" s="101">
        <f t="shared" si="8"/>
        <v>-171</v>
      </c>
    </row>
    <row r="45" spans="2:32" ht="13.5" outlineLevel="1" collapsed="1" thickTop="1" x14ac:dyDescent="0.3">
      <c r="B45" s="32" t="s">
        <v>76</v>
      </c>
      <c r="C45" s="34">
        <f t="shared" ref="C45:J45" si="28">SUBTOTAL(9,C42:C44)</f>
        <v>893</v>
      </c>
      <c r="D45" s="34">
        <f t="shared" si="28"/>
        <v>996</v>
      </c>
      <c r="E45" s="24">
        <f t="shared" si="28"/>
        <v>0</v>
      </c>
      <c r="F45" s="24">
        <f t="shared" si="28"/>
        <v>0</v>
      </c>
      <c r="G45" s="24">
        <f t="shared" si="28"/>
        <v>80</v>
      </c>
      <c r="H45" s="24">
        <f t="shared" si="28"/>
        <v>0</v>
      </c>
      <c r="I45" s="24">
        <f t="shared" si="28"/>
        <v>22</v>
      </c>
      <c r="J45" s="24">
        <f t="shared" si="28"/>
        <v>0</v>
      </c>
      <c r="K45" s="24">
        <f>SUM(E45:J45)</f>
        <v>102</v>
      </c>
      <c r="L45" s="34">
        <f t="shared" ref="L45" si="29">N45-D45</f>
        <v>0</v>
      </c>
      <c r="M45" s="34">
        <f t="shared" ref="M45" si="30">N45-C45</f>
        <v>103</v>
      </c>
      <c r="N45" s="34">
        <f>SUBTOTAL(9,N42:N44)</f>
        <v>996</v>
      </c>
      <c r="O45" s="34">
        <f>SUBTOTAL(9,O42:O44)</f>
        <v>462</v>
      </c>
      <c r="P45" s="34">
        <f>SUBTOTAL(9,P42:P44)</f>
        <v>-4</v>
      </c>
      <c r="Q45" s="34">
        <f>SUBTOTAL(9,Q42:Q44)</f>
        <v>457</v>
      </c>
      <c r="R45" s="34">
        <f>SUBTOTAL(9,R42:R44)</f>
        <v>498</v>
      </c>
      <c r="S45" s="34">
        <f>Q45-R45</f>
        <v>-41</v>
      </c>
      <c r="T45" s="38">
        <f>IFERROR((Q45/N45)*100%,"∞")</f>
        <v>0.45883534136546184</v>
      </c>
      <c r="U45" s="59">
        <f>N45+V45</f>
        <v>962</v>
      </c>
      <c r="V45" s="793">
        <f>SUBTOTAL(9,V42:V44)</f>
        <v>-34</v>
      </c>
      <c r="W45" s="34"/>
      <c r="X45" s="34"/>
      <c r="Y45" s="34"/>
      <c r="Z45" s="41"/>
      <c r="AA45" s="60"/>
      <c r="AB45" s="102">
        <f>SUBTOTAL(9,AB1:AB44)</f>
        <v>0</v>
      </c>
      <c r="AC45" s="34">
        <f>SUBTOTAL(9,AC1:AC44)</f>
        <v>0</v>
      </c>
      <c r="AD45" s="34"/>
      <c r="AE45" s="34"/>
      <c r="AF45" s="103"/>
    </row>
    <row r="46" spans="2:32" ht="13" hidden="1" outlineLevel="2" x14ac:dyDescent="0.3">
      <c r="B46" s="31" t="s">
        <v>77</v>
      </c>
      <c r="C46" s="33">
        <v>255</v>
      </c>
      <c r="D46" s="33">
        <v>295</v>
      </c>
      <c r="E46" s="23">
        <v>0</v>
      </c>
      <c r="F46" s="23">
        <v>0</v>
      </c>
      <c r="G46" s="23">
        <v>40</v>
      </c>
      <c r="H46" s="23">
        <v>0</v>
      </c>
      <c r="I46" s="23">
        <v>0</v>
      </c>
      <c r="J46" s="23">
        <v>0</v>
      </c>
      <c r="K46" s="23">
        <f t="shared" si="0"/>
        <v>40</v>
      </c>
      <c r="L46" s="33">
        <f t="shared" si="1"/>
        <v>0</v>
      </c>
      <c r="M46" s="33">
        <f t="shared" si="2"/>
        <v>40</v>
      </c>
      <c r="N46" s="33">
        <v>295</v>
      </c>
      <c r="O46" s="33">
        <v>208</v>
      </c>
      <c r="P46" s="33">
        <v>-6</v>
      </c>
      <c r="Q46" s="33">
        <v>202</v>
      </c>
      <c r="R46" s="33">
        <v>161</v>
      </c>
      <c r="S46" s="33">
        <f t="shared" si="3"/>
        <v>41</v>
      </c>
      <c r="T46" s="38">
        <f t="shared" si="4"/>
        <v>0.68474576271186438</v>
      </c>
      <c r="U46" s="59">
        <f t="shared" si="9"/>
        <v>155</v>
      </c>
      <c r="V46" s="93">
        <v>-140</v>
      </c>
      <c r="W46" s="33"/>
      <c r="X46" s="33"/>
      <c r="Y46" s="33"/>
      <c r="Z46" s="42"/>
      <c r="AA46" s="60"/>
      <c r="AB46" s="105"/>
      <c r="AC46" s="93"/>
      <c r="AD46" s="33">
        <f t="shared" si="6"/>
        <v>0</v>
      </c>
      <c r="AE46" s="33">
        <f t="shared" si="7"/>
        <v>202</v>
      </c>
      <c r="AF46" s="101">
        <f t="shared" si="8"/>
        <v>-93</v>
      </c>
    </row>
    <row r="47" spans="2:32" ht="13" hidden="1" outlineLevel="2" x14ac:dyDescent="0.3">
      <c r="B47" s="31" t="s">
        <v>78</v>
      </c>
      <c r="C47" s="33">
        <v>363</v>
      </c>
      <c r="D47" s="33">
        <v>391</v>
      </c>
      <c r="E47" s="23">
        <v>9</v>
      </c>
      <c r="F47" s="23">
        <v>53</v>
      </c>
      <c r="G47" s="23">
        <v>25</v>
      </c>
      <c r="H47" s="23">
        <v>0</v>
      </c>
      <c r="I47" s="23">
        <v>-6</v>
      </c>
      <c r="J47" s="23">
        <v>0</v>
      </c>
      <c r="K47" s="23">
        <f t="shared" si="0"/>
        <v>81</v>
      </c>
      <c r="L47" s="33">
        <f t="shared" si="1"/>
        <v>52</v>
      </c>
      <c r="M47" s="33">
        <f t="shared" si="2"/>
        <v>80</v>
      </c>
      <c r="N47" s="33">
        <v>443</v>
      </c>
      <c r="O47" s="33">
        <v>255</v>
      </c>
      <c r="P47" s="33">
        <v>-23</v>
      </c>
      <c r="Q47" s="33">
        <v>232</v>
      </c>
      <c r="R47" s="33">
        <v>253</v>
      </c>
      <c r="S47" s="33">
        <f t="shared" si="3"/>
        <v>-21</v>
      </c>
      <c r="T47" s="38">
        <f t="shared" si="4"/>
        <v>0.52370203160270878</v>
      </c>
      <c r="U47" s="59">
        <f t="shared" si="9"/>
        <v>443</v>
      </c>
      <c r="V47" s="93">
        <v>0</v>
      </c>
      <c r="W47" s="33"/>
      <c r="X47" s="33"/>
      <c r="Y47" s="33"/>
      <c r="Z47" s="42"/>
      <c r="AA47" s="60"/>
      <c r="AB47" s="105"/>
      <c r="AC47" s="93"/>
      <c r="AD47" s="33">
        <f t="shared" si="6"/>
        <v>0</v>
      </c>
      <c r="AE47" s="33">
        <f t="shared" si="7"/>
        <v>232</v>
      </c>
      <c r="AF47" s="101">
        <f t="shared" si="8"/>
        <v>-211</v>
      </c>
    </row>
    <row r="48" spans="2:32" ht="13" hidden="1" outlineLevel="2" x14ac:dyDescent="0.3">
      <c r="B48" s="31" t="s">
        <v>79</v>
      </c>
      <c r="C48" s="33">
        <v>239</v>
      </c>
      <c r="D48" s="33">
        <v>287</v>
      </c>
      <c r="E48" s="23">
        <v>0</v>
      </c>
      <c r="F48" s="23">
        <v>0</v>
      </c>
      <c r="G48" s="23">
        <v>53</v>
      </c>
      <c r="H48" s="23">
        <v>0</v>
      </c>
      <c r="I48" s="23">
        <v>-5</v>
      </c>
      <c r="J48" s="23">
        <v>0</v>
      </c>
      <c r="K48" s="23">
        <f t="shared" si="0"/>
        <v>48</v>
      </c>
      <c r="L48" s="33">
        <f t="shared" si="1"/>
        <v>0</v>
      </c>
      <c r="M48" s="33">
        <f t="shared" si="2"/>
        <v>48</v>
      </c>
      <c r="N48" s="33">
        <v>287</v>
      </c>
      <c r="O48" s="33">
        <v>481</v>
      </c>
      <c r="P48" s="33">
        <v>-310</v>
      </c>
      <c r="Q48" s="33">
        <v>172</v>
      </c>
      <c r="R48" s="33">
        <v>134</v>
      </c>
      <c r="S48" s="33">
        <f t="shared" si="3"/>
        <v>38</v>
      </c>
      <c r="T48" s="38">
        <f t="shared" si="4"/>
        <v>0.5993031358885017</v>
      </c>
      <c r="U48" s="59">
        <f t="shared" si="9"/>
        <v>384</v>
      </c>
      <c r="V48" s="93">
        <v>97</v>
      </c>
      <c r="W48" s="33"/>
      <c r="X48" s="33"/>
      <c r="Y48" s="33"/>
      <c r="Z48" s="42"/>
      <c r="AA48" s="60"/>
      <c r="AB48" s="105"/>
      <c r="AC48" s="93"/>
      <c r="AD48" s="33">
        <f t="shared" si="6"/>
        <v>0</v>
      </c>
      <c r="AE48" s="33">
        <f t="shared" si="7"/>
        <v>172</v>
      </c>
      <c r="AF48" s="101">
        <f t="shared" si="8"/>
        <v>-115</v>
      </c>
    </row>
    <row r="49" spans="2:32" ht="13" outlineLevel="1" collapsed="1" x14ac:dyDescent="0.3">
      <c r="B49" s="32" t="s">
        <v>80</v>
      </c>
      <c r="C49" s="34">
        <f t="shared" ref="C49:J49" si="31">SUBTOTAL(9,C46:C48)</f>
        <v>857</v>
      </c>
      <c r="D49" s="34">
        <f t="shared" si="31"/>
        <v>973</v>
      </c>
      <c r="E49" s="24">
        <f t="shared" si="31"/>
        <v>9</v>
      </c>
      <c r="F49" s="24">
        <f t="shared" si="31"/>
        <v>53</v>
      </c>
      <c r="G49" s="24">
        <f t="shared" si="31"/>
        <v>118</v>
      </c>
      <c r="H49" s="24">
        <f t="shared" si="31"/>
        <v>0</v>
      </c>
      <c r="I49" s="24">
        <f t="shared" si="31"/>
        <v>-11</v>
      </c>
      <c r="J49" s="24">
        <f t="shared" si="31"/>
        <v>0</v>
      </c>
      <c r="K49" s="24">
        <f>SUM(E49:J49)</f>
        <v>169</v>
      </c>
      <c r="L49" s="34">
        <f t="shared" ref="L49:L50" si="32">N49-D49</f>
        <v>52</v>
      </c>
      <c r="M49" s="34">
        <f t="shared" ref="M49:M50" si="33">N49-C49</f>
        <v>168</v>
      </c>
      <c r="N49" s="34">
        <f>SUBTOTAL(9,N46:N48)</f>
        <v>1025</v>
      </c>
      <c r="O49" s="34">
        <f>SUBTOTAL(9,O46:O48)</f>
        <v>944</v>
      </c>
      <c r="P49" s="34">
        <f>SUBTOTAL(9,P46:P48)</f>
        <v>-339</v>
      </c>
      <c r="Q49" s="34">
        <f>SUBTOTAL(9,Q46:Q48)</f>
        <v>606</v>
      </c>
      <c r="R49" s="34">
        <f>SUBTOTAL(9,R46:R48)</f>
        <v>548</v>
      </c>
      <c r="S49" s="34">
        <f>Q49-R49</f>
        <v>58</v>
      </c>
      <c r="T49" s="38">
        <f>IFERROR((Q49/N49)*100%,"∞")</f>
        <v>0.59121951219512192</v>
      </c>
      <c r="U49" s="59">
        <f>N49+V49</f>
        <v>982</v>
      </c>
      <c r="V49" s="793">
        <f>SUBTOTAL(9,V46:V48)</f>
        <v>-43</v>
      </c>
      <c r="W49" s="34">
        <f>SUBTOTAL(9,W46:W48)</f>
        <v>0</v>
      </c>
      <c r="X49" s="34"/>
      <c r="Y49" s="34"/>
      <c r="Z49" s="41"/>
      <c r="AA49" s="60"/>
      <c r="AB49" s="102">
        <f>SUBTOTAL(9,AB1:AB48)</f>
        <v>0</v>
      </c>
      <c r="AC49" s="34">
        <f>SUBTOTAL(9,AC1:AC48)</f>
        <v>0</v>
      </c>
      <c r="AD49" s="34"/>
      <c r="AE49" s="34"/>
      <c r="AF49" s="103"/>
    </row>
    <row r="50" spans="2:32" ht="14.5" customHeight="1" thickBot="1" x14ac:dyDescent="0.35">
      <c r="B50" s="53" t="s">
        <v>81</v>
      </c>
      <c r="C50" s="35">
        <f t="shared" ref="C50:J50" si="34">SUBTOTAL(9,C42:C49)</f>
        <v>1750</v>
      </c>
      <c r="D50" s="35">
        <f t="shared" si="34"/>
        <v>1969</v>
      </c>
      <c r="E50" s="25">
        <f t="shared" si="34"/>
        <v>9</v>
      </c>
      <c r="F50" s="25">
        <f t="shared" si="34"/>
        <v>53</v>
      </c>
      <c r="G50" s="25">
        <f t="shared" si="34"/>
        <v>198</v>
      </c>
      <c r="H50" s="25">
        <f t="shared" si="34"/>
        <v>0</v>
      </c>
      <c r="I50" s="25">
        <f t="shared" si="34"/>
        <v>11</v>
      </c>
      <c r="J50" s="25">
        <f t="shared" si="34"/>
        <v>0</v>
      </c>
      <c r="K50" s="25">
        <f>SUM(E50:J50)</f>
        <v>271</v>
      </c>
      <c r="L50" s="35">
        <f t="shared" si="32"/>
        <v>52</v>
      </c>
      <c r="M50" s="35">
        <f t="shared" si="33"/>
        <v>271</v>
      </c>
      <c r="N50" s="35">
        <f>SUBTOTAL(9,N42:N49)</f>
        <v>2021</v>
      </c>
      <c r="O50" s="35">
        <f>SUBTOTAL(9,O42:O49)</f>
        <v>1406</v>
      </c>
      <c r="P50" s="35">
        <f>SUBTOTAL(9,P42:P49)</f>
        <v>-343</v>
      </c>
      <c r="Q50" s="35">
        <f>SUBTOTAL(9,Q42:Q49)</f>
        <v>1063</v>
      </c>
      <c r="R50" s="35">
        <f>SUBTOTAL(9,R42:R49)</f>
        <v>1046</v>
      </c>
      <c r="S50" s="35">
        <f>Q50-R50</f>
        <v>17</v>
      </c>
      <c r="T50" s="39">
        <f>IFERROR((Q50/N50)*100%,"∞")</f>
        <v>0.52597723899059867</v>
      </c>
      <c r="U50" s="54">
        <f>N50+V50</f>
        <v>1944</v>
      </c>
      <c r="V50" s="823">
        <f>SUBTOTAL(9,V42:V49)</f>
        <v>-77</v>
      </c>
      <c r="W50" s="35">
        <f>SUBTOTAL(9,W42:W49)</f>
        <v>0</v>
      </c>
      <c r="X50" s="35"/>
      <c r="Y50" s="35"/>
      <c r="Z50" s="43"/>
      <c r="AA50" s="60"/>
      <c r="AB50" s="104">
        <f>SUBTOTAL(9,AB1:AB49)</f>
        <v>0</v>
      </c>
      <c r="AC50" s="104">
        <f>SUBTOTAL(9,AC1:AC49)</f>
        <v>0</v>
      </c>
      <c r="AD50" s="35">
        <f>SUM(AB50:AC50)</f>
        <v>0</v>
      </c>
      <c r="AE50" s="35">
        <f>Q50+AD50</f>
        <v>1063</v>
      </c>
      <c r="AF50" s="43">
        <f>AE50-N50</f>
        <v>-958</v>
      </c>
    </row>
    <row r="51" spans="2:32" ht="13.5" hidden="1" outlineLevel="2" thickTop="1" x14ac:dyDescent="0.3">
      <c r="B51" s="31" t="s">
        <v>82</v>
      </c>
      <c r="C51" s="33">
        <v>-2390</v>
      </c>
      <c r="D51" s="33">
        <v>-2040</v>
      </c>
      <c r="E51" s="23">
        <v>0</v>
      </c>
      <c r="F51" s="23">
        <v>0</v>
      </c>
      <c r="G51" s="23">
        <v>350</v>
      </c>
      <c r="H51" s="23">
        <v>0</v>
      </c>
      <c r="I51" s="23">
        <v>0</v>
      </c>
      <c r="J51" s="23">
        <v>0</v>
      </c>
      <c r="K51" s="23">
        <f t="shared" si="0"/>
        <v>350</v>
      </c>
      <c r="L51" s="33">
        <f t="shared" si="1"/>
        <v>0</v>
      </c>
      <c r="M51" s="33">
        <f t="shared" si="2"/>
        <v>350</v>
      </c>
      <c r="N51" s="33">
        <v>-2040</v>
      </c>
      <c r="O51" s="33">
        <v>3425</v>
      </c>
      <c r="P51" s="33">
        <v>-4247</v>
      </c>
      <c r="Q51" s="33">
        <v>-822</v>
      </c>
      <c r="R51" s="33">
        <v>-323</v>
      </c>
      <c r="S51" s="33">
        <f t="shared" si="3"/>
        <v>-499</v>
      </c>
      <c r="T51" s="38">
        <f t="shared" si="4"/>
        <v>0.40294117647058825</v>
      </c>
      <c r="U51" s="59">
        <f t="shared" si="9"/>
        <v>-2540</v>
      </c>
      <c r="V51" s="93">
        <v>-500</v>
      </c>
      <c r="W51" s="33"/>
      <c r="X51" s="33"/>
      <c r="Y51" s="33"/>
      <c r="Z51" s="42"/>
      <c r="AA51" s="60"/>
      <c r="AB51" s="105"/>
      <c r="AC51" s="93"/>
      <c r="AD51" s="33">
        <f t="shared" si="6"/>
        <v>0</v>
      </c>
      <c r="AE51" s="33">
        <f t="shared" si="7"/>
        <v>-822</v>
      </c>
      <c r="AF51" s="101">
        <f t="shared" si="8"/>
        <v>1218</v>
      </c>
    </row>
    <row r="52" spans="2:32" ht="13" hidden="1" outlineLevel="2" x14ac:dyDescent="0.3">
      <c r="B52" s="31" t="s">
        <v>83</v>
      </c>
      <c r="C52" s="33">
        <v>6176</v>
      </c>
      <c r="D52" s="33">
        <v>6591</v>
      </c>
      <c r="E52" s="23">
        <v>0</v>
      </c>
      <c r="F52" s="23">
        <v>0</v>
      </c>
      <c r="G52" s="23">
        <v>415</v>
      </c>
      <c r="H52" s="23">
        <v>0</v>
      </c>
      <c r="I52" s="23">
        <v>0</v>
      </c>
      <c r="J52" s="23">
        <v>0</v>
      </c>
      <c r="K52" s="23">
        <f t="shared" si="0"/>
        <v>415</v>
      </c>
      <c r="L52" s="33">
        <f t="shared" si="1"/>
        <v>0</v>
      </c>
      <c r="M52" s="33">
        <f t="shared" si="2"/>
        <v>415</v>
      </c>
      <c r="N52" s="33">
        <v>6591</v>
      </c>
      <c r="O52" s="33">
        <v>4300</v>
      </c>
      <c r="P52" s="33">
        <v>-1386</v>
      </c>
      <c r="Q52" s="33">
        <v>2914</v>
      </c>
      <c r="R52" s="33">
        <v>3296</v>
      </c>
      <c r="S52" s="33">
        <f t="shared" si="3"/>
        <v>-382</v>
      </c>
      <c r="T52" s="38">
        <f t="shared" si="4"/>
        <v>0.44211803975117586</v>
      </c>
      <c r="U52" s="59">
        <f t="shared" si="9"/>
        <v>6391</v>
      </c>
      <c r="V52" s="93">
        <v>-200</v>
      </c>
      <c r="W52" s="33">
        <v>0</v>
      </c>
      <c r="X52" s="33"/>
      <c r="Y52" s="33"/>
      <c r="Z52" s="42"/>
      <c r="AA52" s="60"/>
      <c r="AB52" s="105"/>
      <c r="AC52" s="93"/>
      <c r="AD52" s="33">
        <f t="shared" si="6"/>
        <v>0</v>
      </c>
      <c r="AE52" s="33">
        <f t="shared" si="7"/>
        <v>2914</v>
      </c>
      <c r="AF52" s="101">
        <f t="shared" si="8"/>
        <v>-3677</v>
      </c>
    </row>
    <row r="53" spans="2:32" ht="13" hidden="1" outlineLevel="2" x14ac:dyDescent="0.3">
      <c r="B53" s="31" t="s">
        <v>84</v>
      </c>
      <c r="C53" s="33">
        <v>6185</v>
      </c>
      <c r="D53" s="33">
        <v>6545</v>
      </c>
      <c r="E53" s="23">
        <v>0</v>
      </c>
      <c r="F53" s="23">
        <v>0</v>
      </c>
      <c r="G53" s="23">
        <v>359</v>
      </c>
      <c r="H53" s="23">
        <v>0</v>
      </c>
      <c r="I53" s="23">
        <v>0</v>
      </c>
      <c r="J53" s="23">
        <v>0</v>
      </c>
      <c r="K53" s="23">
        <f t="shared" si="0"/>
        <v>359</v>
      </c>
      <c r="L53" s="33">
        <f t="shared" si="1"/>
        <v>0</v>
      </c>
      <c r="M53" s="33">
        <f t="shared" si="2"/>
        <v>360</v>
      </c>
      <c r="N53" s="33">
        <v>6545</v>
      </c>
      <c r="O53" s="33">
        <v>3272</v>
      </c>
      <c r="P53" s="33">
        <v>-27</v>
      </c>
      <c r="Q53" s="33">
        <v>3245</v>
      </c>
      <c r="R53" s="33">
        <v>3272</v>
      </c>
      <c r="S53" s="33">
        <f t="shared" si="3"/>
        <v>-27</v>
      </c>
      <c r="T53" s="38">
        <f t="shared" si="4"/>
        <v>0.49579831932773111</v>
      </c>
      <c r="U53" s="59">
        <f t="shared" si="9"/>
        <v>6545</v>
      </c>
      <c r="V53" s="93">
        <v>0</v>
      </c>
      <c r="W53" s="33">
        <v>0</v>
      </c>
      <c r="X53" s="33"/>
      <c r="Y53" s="33"/>
      <c r="Z53" s="42"/>
      <c r="AA53" s="60"/>
      <c r="AB53" s="105"/>
      <c r="AC53" s="93"/>
      <c r="AD53" s="33">
        <f t="shared" si="6"/>
        <v>0</v>
      </c>
      <c r="AE53" s="33">
        <f t="shared" si="7"/>
        <v>3245</v>
      </c>
      <c r="AF53" s="101">
        <f t="shared" si="8"/>
        <v>-3300</v>
      </c>
    </row>
    <row r="54" spans="2:32" ht="13" hidden="1" outlineLevel="2" x14ac:dyDescent="0.3">
      <c r="B54" s="31" t="s">
        <v>85</v>
      </c>
      <c r="C54" s="33">
        <v>3479</v>
      </c>
      <c r="D54" s="33">
        <v>3766</v>
      </c>
      <c r="E54" s="23">
        <v>0</v>
      </c>
      <c r="F54" s="23">
        <v>0</v>
      </c>
      <c r="G54" s="23">
        <v>287</v>
      </c>
      <c r="H54" s="23">
        <v>0</v>
      </c>
      <c r="I54" s="23">
        <v>0</v>
      </c>
      <c r="J54" s="23">
        <v>0</v>
      </c>
      <c r="K54" s="23">
        <f t="shared" si="0"/>
        <v>287</v>
      </c>
      <c r="L54" s="33">
        <f t="shared" si="1"/>
        <v>0</v>
      </c>
      <c r="M54" s="33">
        <f t="shared" si="2"/>
        <v>287</v>
      </c>
      <c r="N54" s="33">
        <v>3766</v>
      </c>
      <c r="O54" s="33">
        <v>1986</v>
      </c>
      <c r="P54" s="33">
        <v>-167</v>
      </c>
      <c r="Q54" s="33">
        <v>1819</v>
      </c>
      <c r="R54" s="33">
        <v>1885</v>
      </c>
      <c r="S54" s="33">
        <f t="shared" si="3"/>
        <v>-66</v>
      </c>
      <c r="T54" s="38">
        <f t="shared" si="4"/>
        <v>0.4830058417419012</v>
      </c>
      <c r="U54" s="59">
        <f t="shared" si="9"/>
        <v>3766</v>
      </c>
      <c r="V54" s="93">
        <v>0</v>
      </c>
      <c r="W54" s="33">
        <v>0</v>
      </c>
      <c r="X54" s="33"/>
      <c r="Y54" s="33"/>
      <c r="Z54" s="42"/>
      <c r="AA54" s="60"/>
      <c r="AB54" s="105"/>
      <c r="AC54" s="93"/>
      <c r="AD54" s="33">
        <f t="shared" si="6"/>
        <v>0</v>
      </c>
      <c r="AE54" s="33">
        <f t="shared" si="7"/>
        <v>1819</v>
      </c>
      <c r="AF54" s="101">
        <f t="shared" si="8"/>
        <v>-1947</v>
      </c>
    </row>
    <row r="55" spans="2:32" ht="13" hidden="1" outlineLevel="2" x14ac:dyDescent="0.3">
      <c r="B55" s="31" t="s">
        <v>86</v>
      </c>
      <c r="C55" s="33">
        <v>263</v>
      </c>
      <c r="D55" s="33">
        <v>294</v>
      </c>
      <c r="E55" s="23">
        <v>0</v>
      </c>
      <c r="F55" s="23">
        <v>0</v>
      </c>
      <c r="G55" s="23">
        <v>31</v>
      </c>
      <c r="H55" s="23">
        <v>0</v>
      </c>
      <c r="I55" s="23">
        <v>0</v>
      </c>
      <c r="J55" s="23">
        <v>0</v>
      </c>
      <c r="K55" s="23">
        <f t="shared" si="0"/>
        <v>31</v>
      </c>
      <c r="L55" s="33">
        <f t="shared" si="1"/>
        <v>0</v>
      </c>
      <c r="M55" s="33">
        <f t="shared" si="2"/>
        <v>31</v>
      </c>
      <c r="N55" s="33">
        <v>294</v>
      </c>
      <c r="O55" s="33">
        <v>142</v>
      </c>
      <c r="P55" s="33">
        <v>-1</v>
      </c>
      <c r="Q55" s="33">
        <v>141</v>
      </c>
      <c r="R55" s="33">
        <v>147</v>
      </c>
      <c r="S55" s="33">
        <f t="shared" si="3"/>
        <v>-6</v>
      </c>
      <c r="T55" s="38">
        <f t="shared" si="4"/>
        <v>0.47959183673469385</v>
      </c>
      <c r="U55" s="59">
        <f t="shared" si="9"/>
        <v>294</v>
      </c>
      <c r="V55" s="93">
        <v>0</v>
      </c>
      <c r="W55" s="33">
        <v>0</v>
      </c>
      <c r="X55" s="33"/>
      <c r="Y55" s="33"/>
      <c r="Z55" s="42"/>
      <c r="AA55" s="60"/>
      <c r="AB55" s="105"/>
      <c r="AC55" s="93"/>
      <c r="AD55" s="33">
        <f t="shared" si="6"/>
        <v>0</v>
      </c>
      <c r="AE55" s="33">
        <f t="shared" si="7"/>
        <v>141</v>
      </c>
      <c r="AF55" s="101">
        <f t="shared" si="8"/>
        <v>-153</v>
      </c>
    </row>
    <row r="56" spans="2:32" ht="13" hidden="1" outlineLevel="2" x14ac:dyDescent="0.3">
      <c r="B56" s="31" t="s">
        <v>87</v>
      </c>
      <c r="C56" s="33">
        <v>0</v>
      </c>
      <c r="D56" s="33">
        <v>0</v>
      </c>
      <c r="E56" s="23">
        <v>0</v>
      </c>
      <c r="F56" s="23">
        <v>0</v>
      </c>
      <c r="G56" s="23">
        <v>0</v>
      </c>
      <c r="H56" s="23">
        <v>0</v>
      </c>
      <c r="I56" s="23">
        <v>0</v>
      </c>
      <c r="J56" s="23">
        <v>0</v>
      </c>
      <c r="K56" s="23">
        <f t="shared" si="0"/>
        <v>0</v>
      </c>
      <c r="L56" s="33">
        <f t="shared" si="1"/>
        <v>0</v>
      </c>
      <c r="M56" s="33">
        <f t="shared" si="2"/>
        <v>0</v>
      </c>
      <c r="N56" s="33">
        <v>0</v>
      </c>
      <c r="O56" s="33">
        <v>2387</v>
      </c>
      <c r="P56" s="33">
        <v>-2387</v>
      </c>
      <c r="Q56" s="33">
        <v>0</v>
      </c>
      <c r="R56" s="33">
        <v>0</v>
      </c>
      <c r="S56" s="33">
        <f t="shared" si="3"/>
        <v>0</v>
      </c>
      <c r="T56" s="38" t="str">
        <f t="shared" si="4"/>
        <v>∞</v>
      </c>
      <c r="U56" s="59">
        <f t="shared" si="9"/>
        <v>0</v>
      </c>
      <c r="V56" s="93">
        <v>0</v>
      </c>
      <c r="W56" s="33">
        <v>0</v>
      </c>
      <c r="X56" s="33"/>
      <c r="Y56" s="33"/>
      <c r="Z56" s="42"/>
      <c r="AA56" s="60"/>
      <c r="AB56" s="105"/>
      <c r="AC56" s="93"/>
      <c r="AD56" s="33">
        <f t="shared" si="6"/>
        <v>0</v>
      </c>
      <c r="AE56" s="33">
        <f t="shared" si="7"/>
        <v>0</v>
      </c>
      <c r="AF56" s="101">
        <f t="shared" si="8"/>
        <v>0</v>
      </c>
    </row>
    <row r="57" spans="2:32" ht="13" hidden="1" outlineLevel="2" x14ac:dyDescent="0.3">
      <c r="B57" s="31" t="s">
        <v>88</v>
      </c>
      <c r="C57" s="33">
        <v>525</v>
      </c>
      <c r="D57" s="33">
        <v>662</v>
      </c>
      <c r="E57" s="23">
        <v>0</v>
      </c>
      <c r="F57" s="23">
        <v>0</v>
      </c>
      <c r="G57" s="23">
        <v>137</v>
      </c>
      <c r="H57" s="23">
        <v>0</v>
      </c>
      <c r="I57" s="23">
        <v>0</v>
      </c>
      <c r="J57" s="23">
        <v>0</v>
      </c>
      <c r="K57" s="23">
        <f t="shared" si="0"/>
        <v>137</v>
      </c>
      <c r="L57" s="33">
        <f t="shared" si="1"/>
        <v>0</v>
      </c>
      <c r="M57" s="33">
        <f t="shared" si="2"/>
        <v>137</v>
      </c>
      <c r="N57" s="33">
        <v>662</v>
      </c>
      <c r="O57" s="33">
        <v>331</v>
      </c>
      <c r="P57" s="33">
        <v>1</v>
      </c>
      <c r="Q57" s="33">
        <v>332</v>
      </c>
      <c r="R57" s="33">
        <v>331</v>
      </c>
      <c r="S57" s="33">
        <f t="shared" si="3"/>
        <v>1</v>
      </c>
      <c r="T57" s="38">
        <f t="shared" si="4"/>
        <v>0.50151057401812693</v>
      </c>
      <c r="U57" s="59">
        <f t="shared" si="9"/>
        <v>662</v>
      </c>
      <c r="V57" s="93">
        <v>0</v>
      </c>
      <c r="W57" s="33">
        <v>0</v>
      </c>
      <c r="X57" s="33"/>
      <c r="Y57" s="33"/>
      <c r="Z57" s="42"/>
      <c r="AA57" s="60"/>
      <c r="AB57" s="105"/>
      <c r="AC57" s="93"/>
      <c r="AD57" s="33">
        <f t="shared" si="6"/>
        <v>0</v>
      </c>
      <c r="AE57" s="33">
        <f t="shared" si="7"/>
        <v>332</v>
      </c>
      <c r="AF57" s="101">
        <f t="shared" si="8"/>
        <v>-330</v>
      </c>
    </row>
    <row r="58" spans="2:32" ht="13" hidden="1" outlineLevel="2" x14ac:dyDescent="0.3">
      <c r="B58" s="31" t="s">
        <v>89</v>
      </c>
      <c r="C58" s="33">
        <v>-724</v>
      </c>
      <c r="D58" s="33">
        <v>-724</v>
      </c>
      <c r="E58" s="23">
        <v>0</v>
      </c>
      <c r="F58" s="23">
        <v>0</v>
      </c>
      <c r="G58" s="23">
        <v>0</v>
      </c>
      <c r="H58" s="23">
        <v>0</v>
      </c>
      <c r="I58" s="23">
        <v>0</v>
      </c>
      <c r="J58" s="23">
        <v>0</v>
      </c>
      <c r="K58" s="23">
        <f t="shared" si="0"/>
        <v>0</v>
      </c>
      <c r="L58" s="33">
        <f t="shared" si="1"/>
        <v>0</v>
      </c>
      <c r="M58" s="33">
        <f t="shared" si="2"/>
        <v>0</v>
      </c>
      <c r="N58" s="33">
        <v>-724</v>
      </c>
      <c r="O58" s="33">
        <v>100</v>
      </c>
      <c r="P58" s="33">
        <v>0</v>
      </c>
      <c r="Q58" s="33">
        <v>100</v>
      </c>
      <c r="R58" s="33">
        <v>125</v>
      </c>
      <c r="S58" s="33">
        <f t="shared" si="3"/>
        <v>-25</v>
      </c>
      <c r="T58" s="38">
        <f t="shared" si="4"/>
        <v>-0.13812154696132597</v>
      </c>
      <c r="U58" s="59">
        <f t="shared" si="9"/>
        <v>-724</v>
      </c>
      <c r="V58" s="93">
        <v>0</v>
      </c>
      <c r="W58" s="33">
        <v>0</v>
      </c>
      <c r="X58" s="33"/>
      <c r="Y58" s="33"/>
      <c r="Z58" s="42"/>
      <c r="AA58" s="60"/>
      <c r="AB58" s="105"/>
      <c r="AC58" s="93"/>
      <c r="AD58" s="33">
        <f t="shared" si="6"/>
        <v>0</v>
      </c>
      <c r="AE58" s="33">
        <f t="shared" si="7"/>
        <v>100</v>
      </c>
      <c r="AF58" s="101">
        <f t="shared" si="8"/>
        <v>824</v>
      </c>
    </row>
    <row r="59" spans="2:32" ht="13" hidden="1" outlineLevel="2" x14ac:dyDescent="0.3">
      <c r="B59" s="31" t="s">
        <v>90</v>
      </c>
      <c r="C59" s="33">
        <v>-590</v>
      </c>
      <c r="D59" s="33">
        <v>-312</v>
      </c>
      <c r="E59" s="23">
        <v>0</v>
      </c>
      <c r="F59" s="23">
        <v>0</v>
      </c>
      <c r="G59" s="23">
        <v>278</v>
      </c>
      <c r="H59" s="23">
        <v>0</v>
      </c>
      <c r="I59" s="23">
        <v>0</v>
      </c>
      <c r="J59" s="23">
        <v>0</v>
      </c>
      <c r="K59" s="23">
        <f t="shared" si="0"/>
        <v>278</v>
      </c>
      <c r="L59" s="33">
        <f t="shared" si="1"/>
        <v>0</v>
      </c>
      <c r="M59" s="33">
        <f t="shared" si="2"/>
        <v>278</v>
      </c>
      <c r="N59" s="33">
        <v>-312</v>
      </c>
      <c r="O59" s="33">
        <v>446</v>
      </c>
      <c r="P59" s="33">
        <v>-224</v>
      </c>
      <c r="Q59" s="33">
        <v>222</v>
      </c>
      <c r="R59" s="33">
        <v>-156</v>
      </c>
      <c r="S59" s="33">
        <f t="shared" si="3"/>
        <v>378</v>
      </c>
      <c r="T59" s="38">
        <f t="shared" si="4"/>
        <v>-0.71153846153846156</v>
      </c>
      <c r="U59" s="59">
        <f t="shared" si="9"/>
        <v>-312</v>
      </c>
      <c r="V59" s="93">
        <v>0</v>
      </c>
      <c r="W59" s="33">
        <v>0</v>
      </c>
      <c r="X59" s="33"/>
      <c r="Y59" s="33"/>
      <c r="Z59" s="42"/>
      <c r="AA59" s="60"/>
      <c r="AB59" s="105"/>
      <c r="AC59" s="93"/>
      <c r="AD59" s="33">
        <f t="shared" si="6"/>
        <v>0</v>
      </c>
      <c r="AE59" s="33">
        <f t="shared" si="7"/>
        <v>222</v>
      </c>
      <c r="AF59" s="101">
        <f t="shared" si="8"/>
        <v>534</v>
      </c>
    </row>
    <row r="60" spans="2:32" ht="13" hidden="1" outlineLevel="2" x14ac:dyDescent="0.3">
      <c r="B60" s="31" t="s">
        <v>91</v>
      </c>
      <c r="C60" s="33">
        <v>9</v>
      </c>
      <c r="D60" s="33">
        <v>12</v>
      </c>
      <c r="E60" s="23">
        <v>0</v>
      </c>
      <c r="F60" s="23">
        <v>0</v>
      </c>
      <c r="G60" s="23">
        <v>3</v>
      </c>
      <c r="H60" s="23">
        <v>0</v>
      </c>
      <c r="I60" s="23">
        <v>0</v>
      </c>
      <c r="J60" s="23">
        <v>0</v>
      </c>
      <c r="K60" s="23">
        <f t="shared" si="0"/>
        <v>3</v>
      </c>
      <c r="L60" s="33">
        <f t="shared" si="1"/>
        <v>0</v>
      </c>
      <c r="M60" s="33">
        <f t="shared" si="2"/>
        <v>3</v>
      </c>
      <c r="N60" s="33">
        <v>12</v>
      </c>
      <c r="O60" s="33">
        <v>145</v>
      </c>
      <c r="P60" s="33">
        <v>177</v>
      </c>
      <c r="Q60" s="33">
        <v>322</v>
      </c>
      <c r="R60" s="33">
        <v>8</v>
      </c>
      <c r="S60" s="33">
        <f t="shared" si="3"/>
        <v>314</v>
      </c>
      <c r="T60" s="38">
        <f t="shared" si="4"/>
        <v>26.833333333333332</v>
      </c>
      <c r="U60" s="59">
        <f t="shared" si="9"/>
        <v>12</v>
      </c>
      <c r="V60" s="93">
        <v>0</v>
      </c>
      <c r="W60" s="33">
        <v>0</v>
      </c>
      <c r="X60" s="33"/>
      <c r="Y60" s="33"/>
      <c r="Z60" s="42"/>
      <c r="AA60" s="60"/>
      <c r="AB60" s="105"/>
      <c r="AC60" s="93"/>
      <c r="AD60" s="33">
        <f t="shared" si="6"/>
        <v>0</v>
      </c>
      <c r="AE60" s="33">
        <f t="shared" si="7"/>
        <v>322</v>
      </c>
      <c r="AF60" s="101">
        <f t="shared" si="8"/>
        <v>310</v>
      </c>
    </row>
    <row r="61" spans="2:32" ht="13.5" outlineLevel="1" collapsed="1" thickTop="1" x14ac:dyDescent="0.3">
      <c r="B61" s="32" t="s">
        <v>92</v>
      </c>
      <c r="C61" s="34">
        <f t="shared" ref="C61:J61" si="35">SUBTOTAL(9,C51:C60)</f>
        <v>12933</v>
      </c>
      <c r="D61" s="34">
        <f t="shared" si="35"/>
        <v>14794</v>
      </c>
      <c r="E61" s="24">
        <f t="shared" si="35"/>
        <v>0</v>
      </c>
      <c r="F61" s="24">
        <f t="shared" si="35"/>
        <v>0</v>
      </c>
      <c r="G61" s="24">
        <f t="shared" si="35"/>
        <v>1860</v>
      </c>
      <c r="H61" s="24">
        <f t="shared" si="35"/>
        <v>0</v>
      </c>
      <c r="I61" s="24">
        <f t="shared" si="35"/>
        <v>0</v>
      </c>
      <c r="J61" s="24">
        <f t="shared" si="35"/>
        <v>0</v>
      </c>
      <c r="K61" s="24">
        <f>SUM(E61:J61)</f>
        <v>1860</v>
      </c>
      <c r="L61" s="34">
        <f t="shared" ref="L61:L62" si="36">N61-D61</f>
        <v>0</v>
      </c>
      <c r="M61" s="34">
        <f t="shared" ref="M61:M62" si="37">N61-C61</f>
        <v>1861</v>
      </c>
      <c r="N61" s="34">
        <f>SUBTOTAL(9,N51:N60)</f>
        <v>14794</v>
      </c>
      <c r="O61" s="34">
        <f>SUBTOTAL(9,O51:O60)</f>
        <v>16534</v>
      </c>
      <c r="P61" s="34">
        <f>SUBTOTAL(9,P51:P60)</f>
        <v>-8261</v>
      </c>
      <c r="Q61" s="34">
        <f>SUBTOTAL(9,Q51:Q60)</f>
        <v>8273</v>
      </c>
      <c r="R61" s="34">
        <f>SUBTOTAL(9,R51:R60)</f>
        <v>8585</v>
      </c>
      <c r="S61" s="34">
        <f>Q61-R61</f>
        <v>-312</v>
      </c>
      <c r="T61" s="38">
        <f>IFERROR((Q61/N61)*100%,"∞")</f>
        <v>0.5592131945383263</v>
      </c>
      <c r="U61" s="59">
        <f>N61+V61</f>
        <v>14094</v>
      </c>
      <c r="V61" s="793">
        <f>SUBTOTAL(9,V51:V60)</f>
        <v>-700</v>
      </c>
      <c r="W61" s="34">
        <f>SUBTOTAL(9,W51:W60)</f>
        <v>0</v>
      </c>
      <c r="X61" s="34"/>
      <c r="Y61" s="34"/>
      <c r="Z61" s="41"/>
      <c r="AA61" s="60"/>
      <c r="AB61" s="102">
        <f>SUBTOTAL(9,AB1:AB60)</f>
        <v>0</v>
      </c>
      <c r="AC61" s="34">
        <f>SUBTOTAL(9,AC1:AC60)</f>
        <v>0</v>
      </c>
      <c r="AD61" s="34"/>
      <c r="AE61" s="34"/>
      <c r="AF61" s="103"/>
    </row>
    <row r="62" spans="2:32" ht="14.5" customHeight="1" thickBot="1" x14ac:dyDescent="0.35">
      <c r="B62" s="53" t="s">
        <v>93</v>
      </c>
      <c r="C62" s="35">
        <f t="shared" ref="C62:J62" si="38">SUBTOTAL(9,C51:C61)</f>
        <v>12933</v>
      </c>
      <c r="D62" s="35">
        <f t="shared" si="38"/>
        <v>14794</v>
      </c>
      <c r="E62" s="25">
        <f t="shared" si="38"/>
        <v>0</v>
      </c>
      <c r="F62" s="25">
        <f t="shared" si="38"/>
        <v>0</v>
      </c>
      <c r="G62" s="25">
        <f t="shared" si="38"/>
        <v>1860</v>
      </c>
      <c r="H62" s="25">
        <f t="shared" si="38"/>
        <v>0</v>
      </c>
      <c r="I62" s="25">
        <f t="shared" si="38"/>
        <v>0</v>
      </c>
      <c r="J62" s="25">
        <f t="shared" si="38"/>
        <v>0</v>
      </c>
      <c r="K62" s="25">
        <f>SUM(E62:J62)</f>
        <v>1860</v>
      </c>
      <c r="L62" s="35">
        <f t="shared" si="36"/>
        <v>0</v>
      </c>
      <c r="M62" s="35">
        <f t="shared" si="37"/>
        <v>1861</v>
      </c>
      <c r="N62" s="35">
        <f>SUBTOTAL(9,N51:N61)</f>
        <v>14794</v>
      </c>
      <c r="O62" s="35">
        <f>SUBTOTAL(9,O51:O61)</f>
        <v>16534</v>
      </c>
      <c r="P62" s="35">
        <f>SUBTOTAL(9,P51:P61)</f>
        <v>-8261</v>
      </c>
      <c r="Q62" s="35">
        <f>SUBTOTAL(9,Q51:Q61)</f>
        <v>8273</v>
      </c>
      <c r="R62" s="35">
        <f>SUBTOTAL(9,R51:R61)</f>
        <v>8585</v>
      </c>
      <c r="S62" s="35">
        <f>Q62-R62</f>
        <v>-312</v>
      </c>
      <c r="T62" s="39">
        <f>IFERROR((Q62/N62)*100%,"∞")</f>
        <v>0.5592131945383263</v>
      </c>
      <c r="U62" s="54">
        <f>N62+V62</f>
        <v>14094</v>
      </c>
      <c r="V62" s="823">
        <f>SUBTOTAL(9,V51:V61)</f>
        <v>-700</v>
      </c>
      <c r="W62" s="35">
        <f>SUBTOTAL(9,W51:W61)</f>
        <v>0</v>
      </c>
      <c r="X62" s="35"/>
      <c r="Y62" s="35"/>
      <c r="Z62" s="43"/>
      <c r="AA62" s="60"/>
      <c r="AB62" s="104">
        <f>SUBTOTAL(9,AB1:AB61)</f>
        <v>0</v>
      </c>
      <c r="AC62" s="104">
        <f>SUBTOTAL(9,AC1:AC61)</f>
        <v>0</v>
      </c>
      <c r="AD62" s="35">
        <f>SUM(AB62:AC62)</f>
        <v>0</v>
      </c>
      <c r="AE62" s="35">
        <f>Q62+AD62</f>
        <v>8273</v>
      </c>
      <c r="AF62" s="43">
        <f>AE62-N62</f>
        <v>-6521</v>
      </c>
    </row>
    <row r="63" spans="2:32" ht="13.5" hidden="1" outlineLevel="2" thickTop="1" x14ac:dyDescent="0.3">
      <c r="B63" s="31" t="s">
        <v>94</v>
      </c>
      <c r="C63" s="33">
        <v>153</v>
      </c>
      <c r="D63" s="33">
        <v>197</v>
      </c>
      <c r="E63" s="23">
        <v>0</v>
      </c>
      <c r="F63" s="23">
        <v>0</v>
      </c>
      <c r="G63" s="23">
        <v>43</v>
      </c>
      <c r="H63" s="23">
        <v>0</v>
      </c>
      <c r="I63" s="23">
        <v>0</v>
      </c>
      <c r="J63" s="23">
        <v>0</v>
      </c>
      <c r="K63" s="23">
        <f t="shared" si="0"/>
        <v>43</v>
      </c>
      <c r="L63" s="33">
        <f t="shared" si="1"/>
        <v>0</v>
      </c>
      <c r="M63" s="33">
        <f t="shared" si="2"/>
        <v>44</v>
      </c>
      <c r="N63" s="33">
        <v>197</v>
      </c>
      <c r="O63" s="33">
        <v>206</v>
      </c>
      <c r="P63" s="33">
        <v>0</v>
      </c>
      <c r="Q63" s="33">
        <v>206</v>
      </c>
      <c r="R63" s="33">
        <v>98</v>
      </c>
      <c r="S63" s="33">
        <f t="shared" si="3"/>
        <v>108</v>
      </c>
      <c r="T63" s="38">
        <f t="shared" si="4"/>
        <v>1.0456852791878173</v>
      </c>
      <c r="U63" s="59">
        <f t="shared" si="9"/>
        <v>237</v>
      </c>
      <c r="V63" s="93">
        <v>40</v>
      </c>
      <c r="W63" s="33">
        <v>0</v>
      </c>
      <c r="X63" s="33"/>
      <c r="Y63" s="33"/>
      <c r="Z63" s="42"/>
      <c r="AA63" s="60"/>
      <c r="AB63" s="105"/>
      <c r="AC63" s="93"/>
      <c r="AD63" s="33">
        <f t="shared" si="6"/>
        <v>0</v>
      </c>
      <c r="AE63" s="33">
        <f t="shared" si="7"/>
        <v>206</v>
      </c>
      <c r="AF63" s="101">
        <f t="shared" si="8"/>
        <v>9</v>
      </c>
    </row>
    <row r="64" spans="2:32" ht="13" hidden="1" outlineLevel="2" x14ac:dyDescent="0.3">
      <c r="B64" s="31" t="s">
        <v>95</v>
      </c>
      <c r="C64" s="33">
        <v>135</v>
      </c>
      <c r="D64" s="33">
        <v>143</v>
      </c>
      <c r="E64" s="23">
        <v>0</v>
      </c>
      <c r="F64" s="23">
        <v>0</v>
      </c>
      <c r="G64" s="23">
        <v>9</v>
      </c>
      <c r="H64" s="23">
        <v>0</v>
      </c>
      <c r="I64" s="23">
        <v>0</v>
      </c>
      <c r="J64" s="23">
        <v>0</v>
      </c>
      <c r="K64" s="23">
        <f t="shared" si="0"/>
        <v>9</v>
      </c>
      <c r="L64" s="33">
        <f t="shared" si="1"/>
        <v>0</v>
      </c>
      <c r="M64" s="33">
        <f t="shared" si="2"/>
        <v>8</v>
      </c>
      <c r="N64" s="33">
        <v>143</v>
      </c>
      <c r="O64" s="33">
        <v>68</v>
      </c>
      <c r="P64" s="33">
        <v>0</v>
      </c>
      <c r="Q64" s="33">
        <v>68</v>
      </c>
      <c r="R64" s="33">
        <v>72</v>
      </c>
      <c r="S64" s="33">
        <f t="shared" si="3"/>
        <v>-4</v>
      </c>
      <c r="T64" s="38">
        <f t="shared" si="4"/>
        <v>0.47552447552447552</v>
      </c>
      <c r="U64" s="59">
        <f t="shared" si="9"/>
        <v>143</v>
      </c>
      <c r="V64" s="93">
        <v>0</v>
      </c>
      <c r="W64" s="33">
        <v>0</v>
      </c>
      <c r="X64" s="33"/>
      <c r="Y64" s="33"/>
      <c r="Z64" s="42"/>
      <c r="AA64" s="60"/>
      <c r="AB64" s="105"/>
      <c r="AC64" s="93"/>
      <c r="AD64" s="33">
        <f t="shared" si="6"/>
        <v>0</v>
      </c>
      <c r="AE64" s="33">
        <f t="shared" si="7"/>
        <v>68</v>
      </c>
      <c r="AF64" s="101">
        <f t="shared" si="8"/>
        <v>-75</v>
      </c>
    </row>
    <row r="65" spans="2:32" ht="13" hidden="1" outlineLevel="2" x14ac:dyDescent="0.3">
      <c r="B65" s="31" t="s">
        <v>96</v>
      </c>
      <c r="C65" s="33">
        <v>3946</v>
      </c>
      <c r="D65" s="33">
        <v>4322</v>
      </c>
      <c r="E65" s="23">
        <v>0</v>
      </c>
      <c r="F65" s="23">
        <v>0</v>
      </c>
      <c r="G65" s="23">
        <v>375</v>
      </c>
      <c r="H65" s="23">
        <v>0</v>
      </c>
      <c r="I65" s="23">
        <v>0</v>
      </c>
      <c r="J65" s="23">
        <v>0</v>
      </c>
      <c r="K65" s="23">
        <f t="shared" si="0"/>
        <v>375</v>
      </c>
      <c r="L65" s="33">
        <f t="shared" si="1"/>
        <v>0</v>
      </c>
      <c r="M65" s="33">
        <f t="shared" si="2"/>
        <v>376</v>
      </c>
      <c r="N65" s="33">
        <v>4322</v>
      </c>
      <c r="O65" s="33">
        <v>2617</v>
      </c>
      <c r="P65" s="33">
        <v>-5</v>
      </c>
      <c r="Q65" s="33">
        <v>2612</v>
      </c>
      <c r="R65" s="33">
        <v>2161</v>
      </c>
      <c r="S65" s="33">
        <f t="shared" si="3"/>
        <v>451</v>
      </c>
      <c r="T65" s="819">
        <f t="shared" si="4"/>
        <v>0.6043498380379454</v>
      </c>
      <c r="U65" s="820">
        <f t="shared" si="9"/>
        <v>4622</v>
      </c>
      <c r="V65" s="93">
        <v>300</v>
      </c>
      <c r="W65" s="580">
        <v>300</v>
      </c>
      <c r="X65" s="33"/>
      <c r="Y65" s="33"/>
      <c r="Z65" s="42"/>
      <c r="AA65" s="60"/>
      <c r="AB65" s="105"/>
      <c r="AC65" s="93"/>
      <c r="AD65" s="33">
        <f t="shared" si="6"/>
        <v>0</v>
      </c>
      <c r="AE65" s="33">
        <f t="shared" si="7"/>
        <v>2612</v>
      </c>
      <c r="AF65" s="101">
        <f t="shared" si="8"/>
        <v>-1710</v>
      </c>
    </row>
    <row r="66" spans="2:32" ht="13" hidden="1" outlineLevel="2" x14ac:dyDescent="0.3">
      <c r="B66" s="31" t="s">
        <v>97</v>
      </c>
      <c r="C66" s="33">
        <v>2852</v>
      </c>
      <c r="D66" s="33">
        <v>3040</v>
      </c>
      <c r="E66" s="23">
        <v>0</v>
      </c>
      <c r="F66" s="23">
        <v>0</v>
      </c>
      <c r="G66" s="23">
        <v>299</v>
      </c>
      <c r="H66" s="23">
        <v>0</v>
      </c>
      <c r="I66" s="23">
        <v>-111</v>
      </c>
      <c r="J66" s="23">
        <v>0</v>
      </c>
      <c r="K66" s="23">
        <f t="shared" si="0"/>
        <v>188</v>
      </c>
      <c r="L66" s="33">
        <f t="shared" si="1"/>
        <v>0</v>
      </c>
      <c r="M66" s="33">
        <f t="shared" si="2"/>
        <v>188</v>
      </c>
      <c r="N66" s="33">
        <v>3040</v>
      </c>
      <c r="O66" s="33">
        <v>1545</v>
      </c>
      <c r="P66" s="33">
        <v>-7</v>
      </c>
      <c r="Q66" s="33">
        <v>1538</v>
      </c>
      <c r="R66" s="33">
        <v>1520</v>
      </c>
      <c r="S66" s="33">
        <f t="shared" si="3"/>
        <v>18</v>
      </c>
      <c r="T66" s="38">
        <f t="shared" si="4"/>
        <v>0.50592105263157894</v>
      </c>
      <c r="U66" s="59">
        <f t="shared" si="9"/>
        <v>3067</v>
      </c>
      <c r="V66" s="93">
        <v>27</v>
      </c>
      <c r="W66" s="33"/>
      <c r="X66" s="33"/>
      <c r="Y66" s="33"/>
      <c r="Z66" s="42"/>
      <c r="AA66" s="60"/>
      <c r="AB66" s="105"/>
      <c r="AC66" s="93"/>
      <c r="AD66" s="33">
        <f t="shared" si="6"/>
        <v>0</v>
      </c>
      <c r="AE66" s="33">
        <f t="shared" si="7"/>
        <v>1538</v>
      </c>
      <c r="AF66" s="101">
        <f t="shared" si="8"/>
        <v>-1502</v>
      </c>
    </row>
    <row r="67" spans="2:32" ht="13" hidden="1" outlineLevel="2" x14ac:dyDescent="0.3">
      <c r="B67" s="31" t="s">
        <v>98</v>
      </c>
      <c r="C67" s="33">
        <v>1733</v>
      </c>
      <c r="D67" s="33">
        <v>1844</v>
      </c>
      <c r="E67" s="23">
        <v>0</v>
      </c>
      <c r="F67" s="23">
        <v>0</v>
      </c>
      <c r="G67" s="23">
        <v>111</v>
      </c>
      <c r="H67" s="23">
        <v>0</v>
      </c>
      <c r="I67" s="23">
        <v>0</v>
      </c>
      <c r="J67" s="23">
        <v>0</v>
      </c>
      <c r="K67" s="23">
        <f t="shared" si="0"/>
        <v>111</v>
      </c>
      <c r="L67" s="33">
        <f t="shared" si="1"/>
        <v>0</v>
      </c>
      <c r="M67" s="33">
        <f t="shared" si="2"/>
        <v>111</v>
      </c>
      <c r="N67" s="33">
        <v>1844</v>
      </c>
      <c r="O67" s="33">
        <v>851</v>
      </c>
      <c r="P67" s="33">
        <v>-9</v>
      </c>
      <c r="Q67" s="33">
        <v>842</v>
      </c>
      <c r="R67" s="33">
        <v>922</v>
      </c>
      <c r="S67" s="33">
        <f t="shared" si="3"/>
        <v>-80</v>
      </c>
      <c r="T67" s="38">
        <f t="shared" si="4"/>
        <v>0.45661605206073752</v>
      </c>
      <c r="U67" s="59">
        <f t="shared" si="9"/>
        <v>1794</v>
      </c>
      <c r="V67" s="93">
        <v>-50</v>
      </c>
      <c r="W67" s="33"/>
      <c r="X67" s="33"/>
      <c r="Y67" s="33"/>
      <c r="Z67" s="42"/>
      <c r="AA67" s="60"/>
      <c r="AB67" s="105"/>
      <c r="AC67" s="93"/>
      <c r="AD67" s="33">
        <f t="shared" si="6"/>
        <v>0</v>
      </c>
      <c r="AE67" s="33">
        <f t="shared" si="7"/>
        <v>842</v>
      </c>
      <c r="AF67" s="101">
        <f t="shared" si="8"/>
        <v>-1002</v>
      </c>
    </row>
    <row r="68" spans="2:32" ht="13.5" outlineLevel="1" collapsed="1" thickTop="1" x14ac:dyDescent="0.3">
      <c r="B68" s="32" t="s">
        <v>100</v>
      </c>
      <c r="C68" s="34">
        <f t="shared" ref="C68:J68" si="39">SUBTOTAL(9,C63:C67)</f>
        <v>8819</v>
      </c>
      <c r="D68" s="34">
        <f t="shared" si="39"/>
        <v>9546</v>
      </c>
      <c r="E68" s="24">
        <f t="shared" si="39"/>
        <v>0</v>
      </c>
      <c r="F68" s="24">
        <f t="shared" si="39"/>
        <v>0</v>
      </c>
      <c r="G68" s="24">
        <f t="shared" si="39"/>
        <v>837</v>
      </c>
      <c r="H68" s="24">
        <f t="shared" si="39"/>
        <v>0</v>
      </c>
      <c r="I68" s="24">
        <f t="shared" si="39"/>
        <v>-111</v>
      </c>
      <c r="J68" s="24">
        <f t="shared" si="39"/>
        <v>0</v>
      </c>
      <c r="K68" s="24">
        <f>SUM(E68:J68)</f>
        <v>726</v>
      </c>
      <c r="L68" s="34">
        <f t="shared" ref="L68" si="40">N68-D68</f>
        <v>0</v>
      </c>
      <c r="M68" s="34">
        <f t="shared" ref="M68" si="41">N68-C68</f>
        <v>727</v>
      </c>
      <c r="N68" s="34">
        <f>SUBTOTAL(9,N63:N67)</f>
        <v>9546</v>
      </c>
      <c r="O68" s="34">
        <f>SUBTOTAL(9,O63:O67)</f>
        <v>5287</v>
      </c>
      <c r="P68" s="34">
        <f>SUBTOTAL(9,P63:P67)</f>
        <v>-21</v>
      </c>
      <c r="Q68" s="34">
        <f>SUBTOTAL(9,Q63:Q67)</f>
        <v>5266</v>
      </c>
      <c r="R68" s="34">
        <f>SUBTOTAL(9,R63:R67)</f>
        <v>4773</v>
      </c>
      <c r="S68" s="34">
        <f>Q68-R68</f>
        <v>493</v>
      </c>
      <c r="T68" s="38">
        <f>IFERROR((Q68/N68)*100%,"∞")</f>
        <v>0.55164466792373767</v>
      </c>
      <c r="U68" s="59">
        <f>N68+V68</f>
        <v>9863</v>
      </c>
      <c r="V68" s="793">
        <f>SUBTOTAL(9,V63:V67)</f>
        <v>317</v>
      </c>
      <c r="W68" s="34">
        <f>SUBTOTAL(9,W63:W67)</f>
        <v>300</v>
      </c>
      <c r="X68" s="34"/>
      <c r="Y68" s="34"/>
      <c r="Z68" s="41"/>
      <c r="AA68" s="60"/>
      <c r="AB68" s="102">
        <f>SUBTOTAL(9,AB1:AB67)</f>
        <v>0</v>
      </c>
      <c r="AC68" s="34">
        <f>SUBTOTAL(9,AC1:AC67)</f>
        <v>0</v>
      </c>
      <c r="AD68" s="34"/>
      <c r="AE68" s="34"/>
      <c r="AF68" s="103"/>
    </row>
    <row r="69" spans="2:32" ht="13" hidden="1" outlineLevel="2" x14ac:dyDescent="0.3">
      <c r="B69" s="31" t="s">
        <v>101</v>
      </c>
      <c r="C69" s="33">
        <v>1304</v>
      </c>
      <c r="D69" s="33">
        <v>1394</v>
      </c>
      <c r="E69" s="23">
        <v>0</v>
      </c>
      <c r="F69" s="23">
        <v>0</v>
      </c>
      <c r="G69" s="23">
        <v>91</v>
      </c>
      <c r="H69" s="23">
        <v>0</v>
      </c>
      <c r="I69" s="23">
        <v>0</v>
      </c>
      <c r="J69" s="23">
        <v>0</v>
      </c>
      <c r="K69" s="23">
        <f t="shared" si="0"/>
        <v>91</v>
      </c>
      <c r="L69" s="33">
        <f t="shared" si="1"/>
        <v>0</v>
      </c>
      <c r="M69" s="33">
        <f t="shared" si="2"/>
        <v>90</v>
      </c>
      <c r="N69" s="33">
        <v>1394</v>
      </c>
      <c r="O69" s="33">
        <v>898</v>
      </c>
      <c r="P69" s="33">
        <v>-84</v>
      </c>
      <c r="Q69" s="33">
        <v>814</v>
      </c>
      <c r="R69" s="33">
        <v>697</v>
      </c>
      <c r="S69" s="33">
        <f t="shared" si="3"/>
        <v>117</v>
      </c>
      <c r="T69" s="38">
        <f t="shared" si="4"/>
        <v>0.5839311334289814</v>
      </c>
      <c r="U69" s="59">
        <f t="shared" si="9"/>
        <v>1525</v>
      </c>
      <c r="V69" s="93">
        <v>131</v>
      </c>
      <c r="W69" s="33"/>
      <c r="X69" s="33"/>
      <c r="Y69" s="33"/>
      <c r="Z69" s="42"/>
      <c r="AA69" s="60"/>
      <c r="AB69" s="105"/>
      <c r="AC69" s="93"/>
      <c r="AD69" s="33">
        <f t="shared" si="6"/>
        <v>0</v>
      </c>
      <c r="AE69" s="33">
        <f t="shared" si="7"/>
        <v>814</v>
      </c>
      <c r="AF69" s="101">
        <f t="shared" si="8"/>
        <v>-580</v>
      </c>
    </row>
    <row r="70" spans="2:32" ht="13" hidden="1" outlineLevel="2" x14ac:dyDescent="0.3">
      <c r="B70" s="31" t="s">
        <v>102</v>
      </c>
      <c r="C70" s="33">
        <v>445</v>
      </c>
      <c r="D70" s="33">
        <v>445</v>
      </c>
      <c r="E70" s="23">
        <v>0</v>
      </c>
      <c r="F70" s="23">
        <v>0</v>
      </c>
      <c r="G70" s="23">
        <v>0</v>
      </c>
      <c r="H70" s="23">
        <v>0</v>
      </c>
      <c r="I70" s="23">
        <v>0</v>
      </c>
      <c r="J70" s="23">
        <v>0</v>
      </c>
      <c r="K70" s="23">
        <f t="shared" ref="K70:K81" si="42">SUM(E70:J70)</f>
        <v>0</v>
      </c>
      <c r="L70" s="33">
        <f t="shared" ref="L70:L83" si="43">N70-D70</f>
        <v>0</v>
      </c>
      <c r="M70" s="33">
        <f t="shared" ref="M70:M83" si="44">N70-C70</f>
        <v>0</v>
      </c>
      <c r="N70" s="33">
        <v>445</v>
      </c>
      <c r="O70" s="33">
        <v>284</v>
      </c>
      <c r="P70" s="33">
        <v>-32</v>
      </c>
      <c r="Q70" s="33">
        <v>252</v>
      </c>
      <c r="R70" s="33">
        <v>223</v>
      </c>
      <c r="S70" s="33">
        <f t="shared" ref="S70:S81" si="45">Q70-R70</f>
        <v>29</v>
      </c>
      <c r="T70" s="38">
        <f t="shared" ref="T70:T81" si="46">IFERROR((Q70/N70)*100%,"∞")</f>
        <v>0.56629213483146068</v>
      </c>
      <c r="U70" s="59">
        <f t="shared" ref="U70:U81" si="47">N70+V70</f>
        <v>520</v>
      </c>
      <c r="V70" s="93">
        <v>75</v>
      </c>
      <c r="W70" s="33">
        <v>54</v>
      </c>
      <c r="X70" s="33"/>
      <c r="Y70" s="33"/>
      <c r="Z70" s="42"/>
      <c r="AA70" s="60"/>
      <c r="AB70" s="105"/>
      <c r="AC70" s="93"/>
      <c r="AD70" s="33">
        <f t="shared" ref="AD70:AD81" si="48">SUM(AB70:AC70)</f>
        <v>0</v>
      </c>
      <c r="AE70" s="33">
        <f t="shared" ref="AE70:AE81" si="49">Q70+AD70</f>
        <v>252</v>
      </c>
      <c r="AF70" s="101">
        <f t="shared" ref="AF70:AF81" si="50">AE70-N70</f>
        <v>-193</v>
      </c>
    </row>
    <row r="71" spans="2:32" ht="13" hidden="1" outlineLevel="2" x14ac:dyDescent="0.3">
      <c r="B71" s="31" t="s">
        <v>103</v>
      </c>
      <c r="C71" s="33">
        <v>267</v>
      </c>
      <c r="D71" s="33">
        <v>331</v>
      </c>
      <c r="E71" s="23">
        <v>0</v>
      </c>
      <c r="F71" s="23">
        <v>0</v>
      </c>
      <c r="G71" s="23">
        <v>64</v>
      </c>
      <c r="H71" s="23">
        <v>0</v>
      </c>
      <c r="I71" s="23">
        <v>0</v>
      </c>
      <c r="J71" s="23">
        <v>0</v>
      </c>
      <c r="K71" s="23">
        <f t="shared" si="42"/>
        <v>64</v>
      </c>
      <c r="L71" s="33">
        <f t="shared" si="43"/>
        <v>0</v>
      </c>
      <c r="M71" s="33">
        <f t="shared" si="44"/>
        <v>64</v>
      </c>
      <c r="N71" s="33">
        <v>331</v>
      </c>
      <c r="O71" s="33">
        <v>281</v>
      </c>
      <c r="P71" s="33">
        <v>-54</v>
      </c>
      <c r="Q71" s="33">
        <v>227</v>
      </c>
      <c r="R71" s="33">
        <v>166</v>
      </c>
      <c r="S71" s="33">
        <f t="shared" si="45"/>
        <v>61</v>
      </c>
      <c r="T71" s="38">
        <f t="shared" si="46"/>
        <v>0.6858006042296072</v>
      </c>
      <c r="U71" s="59">
        <f t="shared" si="47"/>
        <v>331</v>
      </c>
      <c r="V71" s="93">
        <v>0</v>
      </c>
      <c r="W71" s="33"/>
      <c r="X71" s="33"/>
      <c r="Y71" s="33"/>
      <c r="Z71" s="42"/>
      <c r="AA71" s="60"/>
      <c r="AB71" s="105"/>
      <c r="AC71" s="93"/>
      <c r="AD71" s="33">
        <f t="shared" si="48"/>
        <v>0</v>
      </c>
      <c r="AE71" s="33">
        <f t="shared" si="49"/>
        <v>227</v>
      </c>
      <c r="AF71" s="101">
        <f t="shared" si="50"/>
        <v>-104</v>
      </c>
    </row>
    <row r="72" spans="2:32" ht="13" hidden="1" outlineLevel="2" x14ac:dyDescent="0.3">
      <c r="B72" s="31" t="s">
        <v>104</v>
      </c>
      <c r="C72" s="33">
        <v>549</v>
      </c>
      <c r="D72" s="33">
        <v>613</v>
      </c>
      <c r="E72" s="23">
        <v>0</v>
      </c>
      <c r="F72" s="23">
        <v>0</v>
      </c>
      <c r="G72" s="23">
        <v>64</v>
      </c>
      <c r="H72" s="23">
        <v>0</v>
      </c>
      <c r="I72" s="23">
        <v>0</v>
      </c>
      <c r="J72" s="23">
        <v>0</v>
      </c>
      <c r="K72" s="23">
        <f t="shared" si="42"/>
        <v>64</v>
      </c>
      <c r="L72" s="33">
        <f t="shared" si="43"/>
        <v>0</v>
      </c>
      <c r="M72" s="33">
        <f t="shared" si="44"/>
        <v>64</v>
      </c>
      <c r="N72" s="33">
        <v>613</v>
      </c>
      <c r="O72" s="33">
        <v>364</v>
      </c>
      <c r="P72" s="33">
        <v>0</v>
      </c>
      <c r="Q72" s="33">
        <v>364</v>
      </c>
      <c r="R72" s="33">
        <v>306</v>
      </c>
      <c r="S72" s="33">
        <f t="shared" si="45"/>
        <v>58</v>
      </c>
      <c r="T72" s="38">
        <f t="shared" si="46"/>
        <v>0.59380097879282223</v>
      </c>
      <c r="U72" s="59">
        <f t="shared" si="47"/>
        <v>733</v>
      </c>
      <c r="V72" s="93">
        <v>120</v>
      </c>
      <c r="W72" s="33"/>
      <c r="X72" s="33"/>
      <c r="Y72" s="33"/>
      <c r="Z72" s="42"/>
      <c r="AA72" s="60"/>
      <c r="AB72" s="105"/>
      <c r="AC72" s="93"/>
      <c r="AD72" s="33">
        <f t="shared" si="48"/>
        <v>0</v>
      </c>
      <c r="AE72" s="33">
        <f t="shared" si="49"/>
        <v>364</v>
      </c>
      <c r="AF72" s="101">
        <f t="shared" si="50"/>
        <v>-249</v>
      </c>
    </row>
    <row r="73" spans="2:32" ht="13" hidden="1" outlineLevel="2" x14ac:dyDescent="0.3">
      <c r="B73" s="31" t="s">
        <v>105</v>
      </c>
      <c r="C73" s="33">
        <v>1114</v>
      </c>
      <c r="D73" s="33">
        <v>1412</v>
      </c>
      <c r="E73" s="23">
        <v>0</v>
      </c>
      <c r="F73" s="23">
        <v>0</v>
      </c>
      <c r="G73" s="23">
        <v>186</v>
      </c>
      <c r="H73" s="23">
        <v>0</v>
      </c>
      <c r="I73" s="23">
        <v>112</v>
      </c>
      <c r="J73" s="23">
        <v>0</v>
      </c>
      <c r="K73" s="23">
        <f t="shared" si="42"/>
        <v>298</v>
      </c>
      <c r="L73" s="33">
        <f t="shared" si="43"/>
        <v>0</v>
      </c>
      <c r="M73" s="33">
        <f t="shared" si="44"/>
        <v>298</v>
      </c>
      <c r="N73" s="33">
        <v>1412</v>
      </c>
      <c r="O73" s="33">
        <v>1106</v>
      </c>
      <c r="P73" s="33">
        <v>-196</v>
      </c>
      <c r="Q73" s="33">
        <v>911</v>
      </c>
      <c r="R73" s="33">
        <v>706</v>
      </c>
      <c r="S73" s="33">
        <f t="shared" si="45"/>
        <v>205</v>
      </c>
      <c r="T73" s="38">
        <f t="shared" si="46"/>
        <v>0.64518413597733715</v>
      </c>
      <c r="U73" s="59">
        <f t="shared" si="47"/>
        <v>1322</v>
      </c>
      <c r="V73" s="93">
        <v>-90</v>
      </c>
      <c r="W73" s="33"/>
      <c r="X73" s="33"/>
      <c r="Y73" s="33"/>
      <c r="Z73" s="42"/>
      <c r="AA73" s="60"/>
      <c r="AB73" s="105"/>
      <c r="AC73" s="93"/>
      <c r="AD73" s="33">
        <f t="shared" si="48"/>
        <v>0</v>
      </c>
      <c r="AE73" s="33">
        <f t="shared" si="49"/>
        <v>911</v>
      </c>
      <c r="AF73" s="101">
        <f t="shared" si="50"/>
        <v>-501</v>
      </c>
    </row>
    <row r="74" spans="2:32" ht="13" hidden="1" outlineLevel="2" x14ac:dyDescent="0.3">
      <c r="B74" s="31" t="s">
        <v>106</v>
      </c>
      <c r="C74" s="33">
        <v>126</v>
      </c>
      <c r="D74" s="33">
        <v>136</v>
      </c>
      <c r="E74" s="23">
        <v>0</v>
      </c>
      <c r="F74" s="23">
        <v>0</v>
      </c>
      <c r="G74" s="23">
        <v>10</v>
      </c>
      <c r="H74" s="23">
        <v>0</v>
      </c>
      <c r="I74" s="23">
        <v>0</v>
      </c>
      <c r="J74" s="23">
        <v>0</v>
      </c>
      <c r="K74" s="23">
        <f t="shared" si="42"/>
        <v>10</v>
      </c>
      <c r="L74" s="33">
        <f t="shared" si="43"/>
        <v>0</v>
      </c>
      <c r="M74" s="33">
        <f t="shared" si="44"/>
        <v>10</v>
      </c>
      <c r="N74" s="33">
        <v>136</v>
      </c>
      <c r="O74" s="33">
        <v>109</v>
      </c>
      <c r="P74" s="33">
        <v>0</v>
      </c>
      <c r="Q74" s="33">
        <v>109</v>
      </c>
      <c r="R74" s="33">
        <v>68</v>
      </c>
      <c r="S74" s="33">
        <f t="shared" si="45"/>
        <v>41</v>
      </c>
      <c r="T74" s="38">
        <f t="shared" si="46"/>
        <v>0.80147058823529416</v>
      </c>
      <c r="U74" s="59">
        <f t="shared" si="47"/>
        <v>206</v>
      </c>
      <c r="V74" s="93">
        <v>70</v>
      </c>
      <c r="W74" s="33"/>
      <c r="X74" s="33"/>
      <c r="Y74" s="33"/>
      <c r="Z74" s="42"/>
      <c r="AA74" s="60"/>
      <c r="AB74" s="105"/>
      <c r="AC74" s="93"/>
      <c r="AD74" s="33">
        <f t="shared" si="48"/>
        <v>0</v>
      </c>
      <c r="AE74" s="33">
        <f t="shared" si="49"/>
        <v>109</v>
      </c>
      <c r="AF74" s="101">
        <f t="shared" si="50"/>
        <v>-27</v>
      </c>
    </row>
    <row r="75" spans="2:32" ht="13" outlineLevel="1" collapsed="1" x14ac:dyDescent="0.3">
      <c r="B75" s="32" t="s">
        <v>107</v>
      </c>
      <c r="C75" s="34">
        <f t="shared" ref="C75:J75" si="51">SUBTOTAL(9,C69:C74)</f>
        <v>3805</v>
      </c>
      <c r="D75" s="34">
        <f t="shared" si="51"/>
        <v>4331</v>
      </c>
      <c r="E75" s="24">
        <f t="shared" si="51"/>
        <v>0</v>
      </c>
      <c r="F75" s="24">
        <f t="shared" si="51"/>
        <v>0</v>
      </c>
      <c r="G75" s="24">
        <f t="shared" si="51"/>
        <v>415</v>
      </c>
      <c r="H75" s="24">
        <f t="shared" si="51"/>
        <v>0</v>
      </c>
      <c r="I75" s="24">
        <f t="shared" si="51"/>
        <v>112</v>
      </c>
      <c r="J75" s="24">
        <f t="shared" si="51"/>
        <v>0</v>
      </c>
      <c r="K75" s="24">
        <f>SUM(E75:J75)</f>
        <v>527</v>
      </c>
      <c r="L75" s="34">
        <f t="shared" si="43"/>
        <v>0</v>
      </c>
      <c r="M75" s="34">
        <f t="shared" si="44"/>
        <v>526</v>
      </c>
      <c r="N75" s="34">
        <f>SUBTOTAL(9,N69:N74)</f>
        <v>4331</v>
      </c>
      <c r="O75" s="34">
        <f>SUBTOTAL(9,O69:O74)</f>
        <v>3042</v>
      </c>
      <c r="P75" s="34">
        <f>SUBTOTAL(9,P69:P74)</f>
        <v>-366</v>
      </c>
      <c r="Q75" s="34">
        <f>SUBTOTAL(9,Q69:Q74)</f>
        <v>2677</v>
      </c>
      <c r="R75" s="34">
        <f>SUBTOTAL(9,R69:R74)</f>
        <v>2166</v>
      </c>
      <c r="S75" s="34">
        <f>Q75-R75</f>
        <v>511</v>
      </c>
      <c r="T75" s="38">
        <f>IFERROR((Q75/N75)*100%,"∞")</f>
        <v>0.61810205495266679</v>
      </c>
      <c r="U75" s="59">
        <f>N75+V75</f>
        <v>4637</v>
      </c>
      <c r="V75" s="793">
        <f>SUBTOTAL(9,V69:V74)</f>
        <v>306</v>
      </c>
      <c r="W75" s="34">
        <f>SUBTOTAL(9,W69:W74)</f>
        <v>54</v>
      </c>
      <c r="X75" s="34"/>
      <c r="Y75" s="34"/>
      <c r="Z75" s="41"/>
      <c r="AA75" s="60"/>
      <c r="AB75" s="102">
        <f>SUBTOTAL(9,AB1:AB74)</f>
        <v>0</v>
      </c>
      <c r="AC75" s="34">
        <f>SUBTOTAL(9,AC1:AC74)</f>
        <v>0</v>
      </c>
      <c r="AD75" s="34"/>
      <c r="AE75" s="34"/>
      <c r="AF75" s="103"/>
    </row>
    <row r="76" spans="2:32" ht="13" hidden="1" outlineLevel="2" x14ac:dyDescent="0.3">
      <c r="B76" s="31" t="s">
        <v>108</v>
      </c>
      <c r="C76" s="33">
        <v>742</v>
      </c>
      <c r="D76" s="33">
        <v>881</v>
      </c>
      <c r="E76" s="23">
        <v>0</v>
      </c>
      <c r="F76" s="23">
        <v>0</v>
      </c>
      <c r="G76" s="23">
        <v>59</v>
      </c>
      <c r="H76" s="23">
        <v>0</v>
      </c>
      <c r="I76" s="23">
        <v>81</v>
      </c>
      <c r="J76" s="23">
        <v>0</v>
      </c>
      <c r="K76" s="23">
        <f t="shared" si="42"/>
        <v>140</v>
      </c>
      <c r="L76" s="33">
        <f t="shared" si="43"/>
        <v>0</v>
      </c>
      <c r="M76" s="33">
        <f t="shared" si="44"/>
        <v>139</v>
      </c>
      <c r="N76" s="33">
        <v>881</v>
      </c>
      <c r="O76" s="33">
        <v>540</v>
      </c>
      <c r="P76" s="33">
        <v>0</v>
      </c>
      <c r="Q76" s="33">
        <v>540</v>
      </c>
      <c r="R76" s="33">
        <v>441</v>
      </c>
      <c r="S76" s="33">
        <f t="shared" si="45"/>
        <v>99</v>
      </c>
      <c r="T76" s="38">
        <f t="shared" si="46"/>
        <v>0.61293984108967081</v>
      </c>
      <c r="U76" s="59">
        <f t="shared" si="47"/>
        <v>941</v>
      </c>
      <c r="V76" s="93">
        <v>60</v>
      </c>
      <c r="W76" s="33">
        <v>0</v>
      </c>
      <c r="X76" s="33"/>
      <c r="Y76" s="33"/>
      <c r="Z76" s="42"/>
      <c r="AA76" s="60"/>
      <c r="AB76" s="105"/>
      <c r="AC76" s="93"/>
      <c r="AD76" s="33">
        <f t="shared" si="48"/>
        <v>0</v>
      </c>
      <c r="AE76" s="33">
        <f t="shared" si="49"/>
        <v>540</v>
      </c>
      <c r="AF76" s="101">
        <f t="shared" si="50"/>
        <v>-341</v>
      </c>
    </row>
    <row r="77" spans="2:32" ht="13" hidden="1" outlineLevel="2" x14ac:dyDescent="0.3">
      <c r="B77" s="31" t="s">
        <v>109</v>
      </c>
      <c r="C77" s="33">
        <v>347</v>
      </c>
      <c r="D77" s="33">
        <v>380</v>
      </c>
      <c r="E77" s="23">
        <v>0</v>
      </c>
      <c r="F77" s="23">
        <v>0</v>
      </c>
      <c r="G77" s="23">
        <v>33</v>
      </c>
      <c r="H77" s="23">
        <v>0</v>
      </c>
      <c r="I77" s="23">
        <v>0</v>
      </c>
      <c r="J77" s="23">
        <v>0</v>
      </c>
      <c r="K77" s="23">
        <f t="shared" si="42"/>
        <v>33</v>
      </c>
      <c r="L77" s="33">
        <f t="shared" si="43"/>
        <v>0</v>
      </c>
      <c r="M77" s="33">
        <f t="shared" si="44"/>
        <v>33</v>
      </c>
      <c r="N77" s="33">
        <v>380</v>
      </c>
      <c r="O77" s="33">
        <v>188</v>
      </c>
      <c r="P77" s="33">
        <v>0</v>
      </c>
      <c r="Q77" s="33">
        <v>188</v>
      </c>
      <c r="R77" s="33">
        <v>190</v>
      </c>
      <c r="S77" s="33">
        <f t="shared" si="45"/>
        <v>-2</v>
      </c>
      <c r="T77" s="38">
        <f t="shared" si="46"/>
        <v>0.49473684210526314</v>
      </c>
      <c r="U77" s="59">
        <f t="shared" si="47"/>
        <v>380</v>
      </c>
      <c r="V77" s="93">
        <v>0</v>
      </c>
      <c r="W77" s="33">
        <v>0</v>
      </c>
      <c r="X77" s="33"/>
      <c r="Y77" s="33"/>
      <c r="Z77" s="42"/>
      <c r="AA77" s="60"/>
      <c r="AB77" s="105"/>
      <c r="AC77" s="93"/>
      <c r="AD77" s="33">
        <f t="shared" si="48"/>
        <v>0</v>
      </c>
      <c r="AE77" s="33">
        <f t="shared" si="49"/>
        <v>188</v>
      </c>
      <c r="AF77" s="101">
        <f t="shared" si="50"/>
        <v>-192</v>
      </c>
    </row>
    <row r="78" spans="2:32" ht="13" outlineLevel="1" collapsed="1" x14ac:dyDescent="0.3">
      <c r="B78" s="32" t="s">
        <v>110</v>
      </c>
      <c r="C78" s="34">
        <f t="shared" ref="C78:J78" si="52">SUBTOTAL(9,C76:C77)</f>
        <v>1089</v>
      </c>
      <c r="D78" s="34">
        <f t="shared" si="52"/>
        <v>1261</v>
      </c>
      <c r="E78" s="24">
        <f t="shared" si="52"/>
        <v>0</v>
      </c>
      <c r="F78" s="24">
        <f t="shared" si="52"/>
        <v>0</v>
      </c>
      <c r="G78" s="24">
        <f t="shared" si="52"/>
        <v>92</v>
      </c>
      <c r="H78" s="24">
        <f t="shared" si="52"/>
        <v>0</v>
      </c>
      <c r="I78" s="24">
        <f t="shared" si="52"/>
        <v>81</v>
      </c>
      <c r="J78" s="24">
        <f t="shared" si="52"/>
        <v>0</v>
      </c>
      <c r="K78" s="24">
        <f>SUM(E78:J78)</f>
        <v>173</v>
      </c>
      <c r="L78" s="34">
        <f t="shared" si="43"/>
        <v>0</v>
      </c>
      <c r="M78" s="34">
        <f t="shared" si="44"/>
        <v>172</v>
      </c>
      <c r="N78" s="34">
        <f>SUBTOTAL(9,N76:N77)</f>
        <v>1261</v>
      </c>
      <c r="O78" s="34">
        <f>SUBTOTAL(9,O76:O77)</f>
        <v>728</v>
      </c>
      <c r="P78" s="34">
        <f>SUBTOTAL(9,P76:P77)</f>
        <v>0</v>
      </c>
      <c r="Q78" s="34">
        <f>SUBTOTAL(9,Q76:Q77)</f>
        <v>728</v>
      </c>
      <c r="R78" s="34">
        <f>SUBTOTAL(9,R76:R77)</f>
        <v>631</v>
      </c>
      <c r="S78" s="34">
        <f>Q78-R78</f>
        <v>97</v>
      </c>
      <c r="T78" s="38">
        <f>IFERROR((Q78/N78)*100%,"∞")</f>
        <v>0.57731958762886593</v>
      </c>
      <c r="U78" s="59">
        <f>N78+V78</f>
        <v>1321</v>
      </c>
      <c r="V78" s="793">
        <f>SUBTOTAL(9,V76:V77)</f>
        <v>60</v>
      </c>
      <c r="W78" s="34">
        <f>SUBTOTAL(9,W76:W77)</f>
        <v>0</v>
      </c>
      <c r="X78" s="34"/>
      <c r="Y78" s="34"/>
      <c r="Z78" s="41"/>
      <c r="AA78" s="60"/>
      <c r="AB78" s="102">
        <f>SUBTOTAL(9,AB3:AB77)</f>
        <v>0</v>
      </c>
      <c r="AC78" s="34">
        <f>SUBTOTAL(9,AC3:AC77)</f>
        <v>0</v>
      </c>
      <c r="AD78" s="34"/>
      <c r="AE78" s="34"/>
      <c r="AF78" s="103"/>
    </row>
    <row r="79" spans="2:32" ht="13" hidden="1" outlineLevel="2" x14ac:dyDescent="0.3">
      <c r="B79" s="31" t="s">
        <v>111</v>
      </c>
      <c r="C79" s="33">
        <v>715</v>
      </c>
      <c r="D79" s="33">
        <v>764</v>
      </c>
      <c r="E79" s="23">
        <v>0</v>
      </c>
      <c r="F79" s="23">
        <v>0</v>
      </c>
      <c r="G79" s="23">
        <v>50</v>
      </c>
      <c r="H79" s="23">
        <v>0</v>
      </c>
      <c r="I79" s="23">
        <v>0</v>
      </c>
      <c r="J79" s="23">
        <v>0</v>
      </c>
      <c r="K79" s="23">
        <f t="shared" si="42"/>
        <v>50</v>
      </c>
      <c r="L79" s="33">
        <f t="shared" si="43"/>
        <v>0</v>
      </c>
      <c r="M79" s="33">
        <f t="shared" si="44"/>
        <v>49</v>
      </c>
      <c r="N79" s="33">
        <v>764</v>
      </c>
      <c r="O79" s="33">
        <v>365</v>
      </c>
      <c r="P79" s="33">
        <v>-7</v>
      </c>
      <c r="Q79" s="33">
        <v>357</v>
      </c>
      <c r="R79" s="33">
        <v>382</v>
      </c>
      <c r="S79" s="33">
        <f t="shared" si="45"/>
        <v>-25</v>
      </c>
      <c r="T79" s="38">
        <f t="shared" si="46"/>
        <v>0.46727748691099474</v>
      </c>
      <c r="U79" s="59">
        <f t="shared" si="47"/>
        <v>741</v>
      </c>
      <c r="V79" s="93">
        <v>-23</v>
      </c>
      <c r="W79" s="33"/>
      <c r="X79" s="33"/>
      <c r="Y79" s="33"/>
      <c r="Z79" s="42"/>
      <c r="AA79" s="60"/>
      <c r="AB79" s="105"/>
      <c r="AC79" s="93"/>
      <c r="AD79" s="33">
        <f t="shared" si="48"/>
        <v>0</v>
      </c>
      <c r="AE79" s="33">
        <f t="shared" si="49"/>
        <v>357</v>
      </c>
      <c r="AF79" s="101">
        <f t="shared" si="50"/>
        <v>-407</v>
      </c>
    </row>
    <row r="80" spans="2:32" ht="13" hidden="1" outlineLevel="2" x14ac:dyDescent="0.3">
      <c r="B80" s="31" t="s">
        <v>112</v>
      </c>
      <c r="C80" s="33">
        <v>401</v>
      </c>
      <c r="D80" s="33">
        <v>418</v>
      </c>
      <c r="E80" s="23">
        <v>0</v>
      </c>
      <c r="F80" s="23">
        <v>0</v>
      </c>
      <c r="G80" s="23">
        <v>17</v>
      </c>
      <c r="H80" s="23">
        <v>0</v>
      </c>
      <c r="I80" s="23">
        <v>0</v>
      </c>
      <c r="J80" s="23">
        <v>0</v>
      </c>
      <c r="K80" s="23">
        <f t="shared" si="42"/>
        <v>17</v>
      </c>
      <c r="L80" s="33">
        <f t="shared" si="43"/>
        <v>0</v>
      </c>
      <c r="M80" s="33">
        <f t="shared" si="44"/>
        <v>17</v>
      </c>
      <c r="N80" s="33">
        <v>418</v>
      </c>
      <c r="O80" s="33">
        <v>566</v>
      </c>
      <c r="P80" s="33">
        <v>-260</v>
      </c>
      <c r="Q80" s="33">
        <v>306</v>
      </c>
      <c r="R80" s="33">
        <v>209</v>
      </c>
      <c r="S80" s="33">
        <f t="shared" si="45"/>
        <v>97</v>
      </c>
      <c r="T80" s="38">
        <f t="shared" si="46"/>
        <v>0.73205741626794263</v>
      </c>
      <c r="U80" s="59">
        <f t="shared" si="47"/>
        <v>438</v>
      </c>
      <c r="V80" s="93">
        <v>20</v>
      </c>
      <c r="W80" s="33"/>
      <c r="X80" s="33"/>
      <c r="Y80" s="33"/>
      <c r="Z80" s="42"/>
      <c r="AA80" s="60"/>
      <c r="AB80" s="105"/>
      <c r="AC80" s="93"/>
      <c r="AD80" s="33">
        <f t="shared" si="48"/>
        <v>0</v>
      </c>
      <c r="AE80" s="33">
        <f t="shared" si="49"/>
        <v>306</v>
      </c>
      <c r="AF80" s="101">
        <f t="shared" si="50"/>
        <v>-112</v>
      </c>
    </row>
    <row r="81" spans="2:32" ht="13" hidden="1" outlineLevel="2" x14ac:dyDescent="0.3">
      <c r="B81" s="31" t="s">
        <v>113</v>
      </c>
      <c r="C81" s="33">
        <v>1518</v>
      </c>
      <c r="D81" s="33">
        <v>1670</v>
      </c>
      <c r="E81" s="23">
        <v>0</v>
      </c>
      <c r="F81" s="23">
        <v>0</v>
      </c>
      <c r="G81" s="23">
        <v>174</v>
      </c>
      <c r="H81" s="23">
        <v>0</v>
      </c>
      <c r="I81" s="23">
        <v>-22</v>
      </c>
      <c r="J81" s="23">
        <v>0</v>
      </c>
      <c r="K81" s="23">
        <f t="shared" si="42"/>
        <v>152</v>
      </c>
      <c r="L81" s="33">
        <f t="shared" si="43"/>
        <v>0</v>
      </c>
      <c r="M81" s="33">
        <f t="shared" si="44"/>
        <v>152</v>
      </c>
      <c r="N81" s="33">
        <v>1670</v>
      </c>
      <c r="O81" s="33">
        <v>1026</v>
      </c>
      <c r="P81" s="33">
        <v>-159</v>
      </c>
      <c r="Q81" s="33">
        <v>866</v>
      </c>
      <c r="R81" s="33">
        <v>835</v>
      </c>
      <c r="S81" s="33">
        <f t="shared" si="45"/>
        <v>31</v>
      </c>
      <c r="T81" s="38">
        <f t="shared" si="46"/>
        <v>0.51856287425149705</v>
      </c>
      <c r="U81" s="59">
        <f t="shared" si="47"/>
        <v>1780</v>
      </c>
      <c r="V81" s="93">
        <v>110</v>
      </c>
      <c r="W81" s="33"/>
      <c r="X81" s="33"/>
      <c r="Y81" s="33"/>
      <c r="Z81" s="42"/>
      <c r="AA81" s="60"/>
      <c r="AB81" s="105"/>
      <c r="AC81" s="93"/>
      <c r="AD81" s="33">
        <f t="shared" si="48"/>
        <v>0</v>
      </c>
      <c r="AE81" s="33">
        <f t="shared" si="49"/>
        <v>866</v>
      </c>
      <c r="AF81" s="101">
        <f t="shared" si="50"/>
        <v>-804</v>
      </c>
    </row>
    <row r="82" spans="2:32" ht="13" outlineLevel="1" collapsed="1" x14ac:dyDescent="0.3">
      <c r="B82" s="32" t="s">
        <v>114</v>
      </c>
      <c r="C82" s="34">
        <f t="shared" ref="C82:J82" si="53">SUBTOTAL(9,C79:C81)</f>
        <v>2634</v>
      </c>
      <c r="D82" s="34">
        <f t="shared" si="53"/>
        <v>2852</v>
      </c>
      <c r="E82" s="24">
        <f t="shared" si="53"/>
        <v>0</v>
      </c>
      <c r="F82" s="24">
        <f t="shared" si="53"/>
        <v>0</v>
      </c>
      <c r="G82" s="24">
        <f t="shared" si="53"/>
        <v>241</v>
      </c>
      <c r="H82" s="24">
        <f t="shared" si="53"/>
        <v>0</v>
      </c>
      <c r="I82" s="24">
        <f t="shared" si="53"/>
        <v>-22</v>
      </c>
      <c r="J82" s="24">
        <f t="shared" si="53"/>
        <v>0</v>
      </c>
      <c r="K82" s="24">
        <f>SUM(E82:J82)</f>
        <v>219</v>
      </c>
      <c r="L82" s="34">
        <f t="shared" si="43"/>
        <v>0</v>
      </c>
      <c r="M82" s="34">
        <f t="shared" si="44"/>
        <v>218</v>
      </c>
      <c r="N82" s="34">
        <f>SUBTOTAL(9,N79:N81)</f>
        <v>2852</v>
      </c>
      <c r="O82" s="34">
        <f>SUBTOTAL(9,O79:O81)</f>
        <v>1957</v>
      </c>
      <c r="P82" s="34">
        <f>SUBTOTAL(9,P79:P81)</f>
        <v>-426</v>
      </c>
      <c r="Q82" s="34">
        <f>SUBTOTAL(9,Q79:Q81)</f>
        <v>1529</v>
      </c>
      <c r="R82" s="34">
        <f>SUBTOTAL(9,R79:R81)</f>
        <v>1426</v>
      </c>
      <c r="S82" s="34">
        <f>Q82-R82</f>
        <v>103</v>
      </c>
      <c r="T82" s="38">
        <f>IFERROR((Q82/N82)*100%,"∞")</f>
        <v>0.53611500701262271</v>
      </c>
      <c r="U82" s="59">
        <f>N82+V82</f>
        <v>2959</v>
      </c>
      <c r="V82" s="793">
        <f>SUBTOTAL(9,V79:V81)</f>
        <v>107</v>
      </c>
      <c r="W82" s="34">
        <f>SUBTOTAL(9,W79:W81)</f>
        <v>0</v>
      </c>
      <c r="X82" s="34"/>
      <c r="Y82" s="34"/>
      <c r="Z82" s="41"/>
      <c r="AA82" s="60"/>
      <c r="AB82" s="102">
        <f>SUBTOTAL(9,AB6:AB81)</f>
        <v>0</v>
      </c>
      <c r="AC82" s="34">
        <f>SUBTOTAL(9,AC6:AC81)</f>
        <v>0</v>
      </c>
      <c r="AD82" s="34"/>
      <c r="AE82" s="34"/>
      <c r="AF82" s="103"/>
    </row>
    <row r="83" spans="2:32" ht="14.5" customHeight="1" thickBot="1" x14ac:dyDescent="0.35">
      <c r="B83" s="53" t="s">
        <v>115</v>
      </c>
      <c r="C83" s="35">
        <f t="shared" ref="C83:J83" si="54">SUBTOTAL(9,C63:C82)</f>
        <v>16347</v>
      </c>
      <c r="D83" s="35">
        <f t="shared" si="54"/>
        <v>17990</v>
      </c>
      <c r="E83" s="25">
        <f t="shared" si="54"/>
        <v>0</v>
      </c>
      <c r="F83" s="25">
        <f t="shared" si="54"/>
        <v>0</v>
      </c>
      <c r="G83" s="25">
        <f t="shared" si="54"/>
        <v>1585</v>
      </c>
      <c r="H83" s="25">
        <f t="shared" si="54"/>
        <v>0</v>
      </c>
      <c r="I83" s="25">
        <f t="shared" si="54"/>
        <v>60</v>
      </c>
      <c r="J83" s="25">
        <f t="shared" si="54"/>
        <v>0</v>
      </c>
      <c r="K83" s="25">
        <f>SUM(E83:J83)</f>
        <v>1645</v>
      </c>
      <c r="L83" s="35">
        <f t="shared" si="43"/>
        <v>0</v>
      </c>
      <c r="M83" s="35">
        <f t="shared" si="44"/>
        <v>1643</v>
      </c>
      <c r="N83" s="35">
        <f>SUBTOTAL(9,N63:N82)</f>
        <v>17990</v>
      </c>
      <c r="O83" s="35">
        <f>SUBTOTAL(9,O63:O82)</f>
        <v>11014</v>
      </c>
      <c r="P83" s="35">
        <f>SUBTOTAL(9,P63:P82)</f>
        <v>-813</v>
      </c>
      <c r="Q83" s="35">
        <f>SUBTOTAL(9,Q63:Q82)</f>
        <v>10200</v>
      </c>
      <c r="R83" s="35">
        <f>SUBTOTAL(9,R63:R82)</f>
        <v>8996</v>
      </c>
      <c r="S83" s="35">
        <f>Q83-R83</f>
        <v>1204</v>
      </c>
      <c r="T83" s="39">
        <f>IFERROR((Q83/N83)*100%,"∞")</f>
        <v>0.56698165647581988</v>
      </c>
      <c r="U83" s="54">
        <f>N83+V83</f>
        <v>18780</v>
      </c>
      <c r="V83" s="823">
        <f>SUBTOTAL(9,V63:V82)</f>
        <v>790</v>
      </c>
      <c r="W83" s="35">
        <f>SUBTOTAL(9,W63:W82)</f>
        <v>354</v>
      </c>
      <c r="X83" s="35"/>
      <c r="Y83" s="35"/>
      <c r="Z83" s="43"/>
      <c r="AA83" s="60"/>
      <c r="AB83" s="104">
        <f>SUBTOTAL(9,AB6:AB82)</f>
        <v>0</v>
      </c>
      <c r="AC83" s="104">
        <f>SUBTOTAL(9,AC6:AC82)</f>
        <v>0</v>
      </c>
      <c r="AD83" s="35">
        <f>SUM(AB83:AC83)</f>
        <v>0</v>
      </c>
      <c r="AE83" s="35">
        <f>Q83+AD83</f>
        <v>10200</v>
      </c>
      <c r="AF83" s="43">
        <f>AE83-N83</f>
        <v>-7790</v>
      </c>
    </row>
    <row r="84" spans="2:32" ht="14" thickTop="1" thickBot="1" x14ac:dyDescent="0.35">
      <c r="B84" s="61"/>
      <c r="C84" s="62"/>
      <c r="D84" s="62"/>
      <c r="E84" s="65"/>
      <c r="F84" s="65"/>
      <c r="G84" s="65"/>
      <c r="H84" s="65"/>
      <c r="I84" s="65"/>
      <c r="J84" s="65"/>
      <c r="K84" s="65"/>
      <c r="L84" s="62"/>
      <c r="M84" s="62"/>
      <c r="N84" s="62"/>
      <c r="O84" s="62"/>
      <c r="P84" s="62"/>
      <c r="Q84" s="62"/>
      <c r="R84" s="62"/>
      <c r="S84" s="62"/>
      <c r="T84" s="62"/>
      <c r="U84" s="64"/>
      <c r="V84" s="824"/>
      <c r="W84" s="62"/>
      <c r="X84" s="62"/>
      <c r="Y84" s="62"/>
      <c r="Z84" s="63"/>
      <c r="AA84" s="60"/>
      <c r="AB84" s="61"/>
      <c r="AC84" s="62"/>
      <c r="AD84" s="62"/>
      <c r="AE84" s="62"/>
      <c r="AF84" s="63"/>
    </row>
    <row r="85" spans="2:32" ht="13.5" thickBot="1" x14ac:dyDescent="0.35">
      <c r="B85" s="50" t="s">
        <v>116</v>
      </c>
      <c r="C85" s="51">
        <f t="shared" ref="C85:J85" si="55">SUBTOTAL(9,C6:C84)</f>
        <v>33641</v>
      </c>
      <c r="D85" s="51">
        <f t="shared" si="55"/>
        <v>40170</v>
      </c>
      <c r="E85" s="51">
        <f t="shared" si="55"/>
        <v>141</v>
      </c>
      <c r="F85" s="51">
        <f t="shared" si="55"/>
        <v>68</v>
      </c>
      <c r="G85" s="51">
        <f t="shared" si="55"/>
        <v>6388</v>
      </c>
      <c r="H85" s="51">
        <f t="shared" si="55"/>
        <v>0</v>
      </c>
      <c r="I85" s="51">
        <f t="shared" si="55"/>
        <v>0</v>
      </c>
      <c r="J85" s="51">
        <f t="shared" si="55"/>
        <v>0</v>
      </c>
      <c r="K85" s="51">
        <f>SUM(E85:J85)</f>
        <v>6597</v>
      </c>
      <c r="L85" s="51">
        <f>N85-D85</f>
        <v>67</v>
      </c>
      <c r="M85" s="51">
        <f>N85-C85</f>
        <v>6596</v>
      </c>
      <c r="N85" s="51">
        <f>SUBTOTAL(9,N6:N84)</f>
        <v>40237</v>
      </c>
      <c r="O85" s="51">
        <f>SUBTOTAL(9,O6:O84)</f>
        <v>49399</v>
      </c>
      <c r="P85" s="51">
        <f>SUBTOTAL(9,P6:P84)</f>
        <v>-26157</v>
      </c>
      <c r="Q85" s="51">
        <f>SUBTOTAL(9,Q6:Q84)</f>
        <v>22988</v>
      </c>
      <c r="R85" s="51">
        <f>SUBTOTAL(9,R6:R84)</f>
        <v>21216</v>
      </c>
      <c r="S85" s="51">
        <f>Q85-R85</f>
        <v>1772</v>
      </c>
      <c r="T85" s="52">
        <f>IFERROR((Q85/N85)*100%,"∞")</f>
        <v>0.57131495886870298</v>
      </c>
      <c r="U85" s="51">
        <f>N85+V85</f>
        <v>42716</v>
      </c>
      <c r="V85" s="825">
        <f>SUBTOTAL(9,V6:V84)</f>
        <v>2479</v>
      </c>
      <c r="W85" s="51">
        <f>+W83+W62+W50+W41+W23</f>
        <v>3832</v>
      </c>
      <c r="X85" s="51">
        <f>SUBTOTAL(9,X6:X84)</f>
        <v>0</v>
      </c>
      <c r="Y85" s="51">
        <f>SUBTOTAL(9,Y6:Y84)</f>
        <v>0</v>
      </c>
      <c r="Z85" s="51">
        <f>SUBTOTAL(9,Z6:Z84)</f>
        <v>0</v>
      </c>
      <c r="AA85" s="60"/>
      <c r="AB85" s="51">
        <f>SUBTOTAL(9,AB6:AB84)</f>
        <v>0</v>
      </c>
      <c r="AC85" s="51">
        <f>SUBTOTAL(9,AC6:AC84)</f>
        <v>0</v>
      </c>
      <c r="AD85" s="51">
        <f>SUM(AB85:AC85)</f>
        <v>0</v>
      </c>
      <c r="AE85" s="51">
        <f>Q85+AD85</f>
        <v>22988</v>
      </c>
      <c r="AF85" s="51">
        <f>AE85-N85</f>
        <v>-17249</v>
      </c>
    </row>
    <row r="86" spans="2:32" ht="14" thickTop="1" thickBot="1" x14ac:dyDescent="0.35">
      <c r="B86" s="71"/>
      <c r="C86" s="72"/>
      <c r="D86" s="72"/>
      <c r="E86" s="73"/>
      <c r="F86" s="73"/>
      <c r="G86" s="73"/>
      <c r="H86" s="73"/>
      <c r="I86" s="73"/>
      <c r="J86" s="73"/>
      <c r="K86" s="73"/>
      <c r="L86" s="72"/>
      <c r="M86" s="72"/>
      <c r="N86" s="72"/>
      <c r="O86" s="72"/>
      <c r="P86" s="72"/>
      <c r="Q86" s="72"/>
      <c r="R86" s="72"/>
      <c r="S86" s="72"/>
      <c r="T86" s="72"/>
      <c r="U86" s="74"/>
      <c r="V86" s="826"/>
      <c r="W86" s="72"/>
      <c r="X86" s="72"/>
      <c r="Y86" s="72"/>
      <c r="Z86" s="75"/>
      <c r="AA86" s="60"/>
      <c r="AB86" s="71"/>
      <c r="AC86" s="72"/>
      <c r="AD86" s="72"/>
      <c r="AE86" s="72"/>
      <c r="AF86" s="75"/>
    </row>
    <row r="87" spans="2:32" ht="13" hidden="1" outlineLevel="1" x14ac:dyDescent="0.3">
      <c r="B87" s="31" t="s">
        <v>117</v>
      </c>
      <c r="C87" s="33">
        <v>5662</v>
      </c>
      <c r="D87" s="33">
        <v>5662</v>
      </c>
      <c r="E87" s="23">
        <v>0</v>
      </c>
      <c r="F87" s="23">
        <v>0</v>
      </c>
      <c r="G87" s="23">
        <v>0</v>
      </c>
      <c r="H87" s="23">
        <v>0</v>
      </c>
      <c r="I87" s="23">
        <v>0</v>
      </c>
      <c r="J87" s="23">
        <v>0</v>
      </c>
      <c r="K87" s="23">
        <f t="shared" ref="K87:K104" si="56">SUM(E87:J87)</f>
        <v>0</v>
      </c>
      <c r="L87" s="33">
        <f t="shared" ref="L87:L104" si="57">N87-D87</f>
        <v>0</v>
      </c>
      <c r="M87" s="33">
        <f t="shared" ref="M87:M104" si="58">N87-C87</f>
        <v>0</v>
      </c>
      <c r="N87" s="33">
        <v>5662</v>
      </c>
      <c r="O87" s="33">
        <v>0</v>
      </c>
      <c r="P87" s="33">
        <v>0</v>
      </c>
      <c r="Q87" s="33">
        <v>0</v>
      </c>
      <c r="R87" s="33">
        <v>2</v>
      </c>
      <c r="S87" s="33">
        <f t="shared" ref="S87:S104" si="59">Q87-R87</f>
        <v>-2</v>
      </c>
      <c r="T87" s="38">
        <f t="shared" ref="T87:T104" si="60">IFERROR((Q87/N87)*100%,"∞")</f>
        <v>0</v>
      </c>
      <c r="U87" s="59">
        <f t="shared" ref="U87:U104" si="61">N87+V87</f>
        <v>5662</v>
      </c>
      <c r="V87" s="93">
        <v>0</v>
      </c>
      <c r="W87" s="33">
        <v>0</v>
      </c>
      <c r="X87" s="33"/>
      <c r="Y87" s="33"/>
      <c r="Z87" s="42"/>
      <c r="AA87" s="60"/>
      <c r="AB87" s="105"/>
      <c r="AC87" s="93"/>
      <c r="AD87" s="33">
        <f t="shared" ref="AD87:AD104" si="62">SUM(AB87:AC87)</f>
        <v>0</v>
      </c>
      <c r="AE87" s="33">
        <f t="shared" ref="AE87:AE104" si="63">Q87+AD87</f>
        <v>0</v>
      </c>
      <c r="AF87" s="101">
        <f t="shared" ref="AF87:AF104" si="64">AE87-N87</f>
        <v>-5662</v>
      </c>
    </row>
    <row r="88" spans="2:32" ht="13" hidden="1" outlineLevel="1" x14ac:dyDescent="0.3">
      <c r="B88" s="31" t="s">
        <v>118</v>
      </c>
      <c r="C88" s="33">
        <v>-5662</v>
      </c>
      <c r="D88" s="33">
        <v>-5662</v>
      </c>
      <c r="E88" s="23">
        <v>0</v>
      </c>
      <c r="F88" s="23">
        <v>0</v>
      </c>
      <c r="G88" s="23">
        <v>0</v>
      </c>
      <c r="H88" s="23">
        <v>0</v>
      </c>
      <c r="I88" s="23">
        <v>0</v>
      </c>
      <c r="J88" s="23">
        <v>0</v>
      </c>
      <c r="K88" s="23">
        <f t="shared" si="56"/>
        <v>0</v>
      </c>
      <c r="L88" s="33">
        <f t="shared" si="57"/>
        <v>0</v>
      </c>
      <c r="M88" s="33">
        <f t="shared" si="58"/>
        <v>0</v>
      </c>
      <c r="N88" s="33">
        <v>-5662</v>
      </c>
      <c r="O88" s="33">
        <v>0</v>
      </c>
      <c r="P88" s="33">
        <v>0</v>
      </c>
      <c r="Q88" s="33">
        <v>0</v>
      </c>
      <c r="R88" s="33">
        <v>-2831</v>
      </c>
      <c r="S88" s="33">
        <f t="shared" si="59"/>
        <v>2831</v>
      </c>
      <c r="T88" s="38">
        <f t="shared" si="60"/>
        <v>0</v>
      </c>
      <c r="U88" s="59">
        <f t="shared" si="61"/>
        <v>-5662</v>
      </c>
      <c r="V88" s="93">
        <v>0</v>
      </c>
      <c r="W88" s="33">
        <v>0</v>
      </c>
      <c r="X88" s="33"/>
      <c r="Y88" s="33"/>
      <c r="Z88" s="42"/>
      <c r="AA88" s="60"/>
      <c r="AB88" s="105"/>
      <c r="AC88" s="93"/>
      <c r="AD88" s="33">
        <f t="shared" si="62"/>
        <v>0</v>
      </c>
      <c r="AE88" s="33">
        <f t="shared" si="63"/>
        <v>0</v>
      </c>
      <c r="AF88" s="101">
        <f t="shared" si="64"/>
        <v>5662</v>
      </c>
    </row>
    <row r="89" spans="2:32" ht="13" hidden="1" outlineLevel="1" x14ac:dyDescent="0.3">
      <c r="B89" s="31" t="s">
        <v>119</v>
      </c>
      <c r="C89" s="33">
        <v>0</v>
      </c>
      <c r="D89" s="33">
        <v>0</v>
      </c>
      <c r="E89" s="23">
        <v>0</v>
      </c>
      <c r="F89" s="23">
        <v>0</v>
      </c>
      <c r="G89" s="23">
        <v>0</v>
      </c>
      <c r="H89" s="23">
        <v>0</v>
      </c>
      <c r="I89" s="23">
        <v>0</v>
      </c>
      <c r="J89" s="23">
        <v>0</v>
      </c>
      <c r="K89" s="23">
        <f t="shared" si="56"/>
        <v>0</v>
      </c>
      <c r="L89" s="33">
        <f t="shared" si="57"/>
        <v>0</v>
      </c>
      <c r="M89" s="33">
        <f t="shared" si="58"/>
        <v>0</v>
      </c>
      <c r="N89" s="33">
        <v>0</v>
      </c>
      <c r="O89" s="33">
        <v>0</v>
      </c>
      <c r="P89" s="33">
        <v>0</v>
      </c>
      <c r="Q89" s="33">
        <v>0</v>
      </c>
      <c r="R89" s="33">
        <v>0</v>
      </c>
      <c r="S89" s="33">
        <f t="shared" si="59"/>
        <v>0</v>
      </c>
      <c r="T89" s="38" t="str">
        <f t="shared" si="60"/>
        <v>∞</v>
      </c>
      <c r="U89" s="59">
        <f t="shared" si="61"/>
        <v>0</v>
      </c>
      <c r="V89" s="93">
        <v>0</v>
      </c>
      <c r="W89" s="33">
        <v>0</v>
      </c>
      <c r="X89" s="33"/>
      <c r="Y89" s="33"/>
      <c r="Z89" s="42"/>
      <c r="AA89" s="60"/>
      <c r="AB89" s="105"/>
      <c r="AC89" s="93"/>
      <c r="AD89" s="33">
        <f t="shared" si="62"/>
        <v>0</v>
      </c>
      <c r="AE89" s="33">
        <f t="shared" si="63"/>
        <v>0</v>
      </c>
      <c r="AF89" s="101">
        <f t="shared" si="64"/>
        <v>0</v>
      </c>
    </row>
    <row r="90" spans="2:32" ht="13" hidden="1" outlineLevel="1" x14ac:dyDescent="0.3">
      <c r="B90" s="31" t="s">
        <v>120</v>
      </c>
      <c r="C90" s="33">
        <v>0</v>
      </c>
      <c r="D90" s="33">
        <v>0</v>
      </c>
      <c r="E90" s="23">
        <v>0</v>
      </c>
      <c r="F90" s="23">
        <v>0</v>
      </c>
      <c r="G90" s="23">
        <v>0</v>
      </c>
      <c r="H90" s="23">
        <v>0</v>
      </c>
      <c r="I90" s="23">
        <v>0</v>
      </c>
      <c r="J90" s="23">
        <v>0</v>
      </c>
      <c r="K90" s="23">
        <f t="shared" si="56"/>
        <v>0</v>
      </c>
      <c r="L90" s="33">
        <f t="shared" si="57"/>
        <v>0</v>
      </c>
      <c r="M90" s="33">
        <f t="shared" si="58"/>
        <v>0</v>
      </c>
      <c r="N90" s="33">
        <v>0</v>
      </c>
      <c r="O90" s="33">
        <v>0</v>
      </c>
      <c r="P90" s="33">
        <v>0</v>
      </c>
      <c r="Q90" s="33">
        <v>0</v>
      </c>
      <c r="R90" s="33">
        <v>0</v>
      </c>
      <c r="S90" s="33">
        <f t="shared" si="59"/>
        <v>0</v>
      </c>
      <c r="T90" s="38" t="str">
        <f t="shared" si="60"/>
        <v>∞</v>
      </c>
      <c r="U90" s="59">
        <f t="shared" si="61"/>
        <v>0</v>
      </c>
      <c r="V90" s="93">
        <v>0</v>
      </c>
      <c r="W90" s="33">
        <v>0</v>
      </c>
      <c r="X90" s="33"/>
      <c r="Y90" s="33"/>
      <c r="Z90" s="42"/>
      <c r="AA90" s="60"/>
      <c r="AB90" s="105"/>
      <c r="AC90" s="93"/>
      <c r="AD90" s="33">
        <f t="shared" si="62"/>
        <v>0</v>
      </c>
      <c r="AE90" s="33">
        <f t="shared" si="63"/>
        <v>0</v>
      </c>
      <c r="AF90" s="101">
        <f t="shared" si="64"/>
        <v>0</v>
      </c>
    </row>
    <row r="91" spans="2:32" ht="13" hidden="1" outlineLevel="1" x14ac:dyDescent="0.3">
      <c r="B91" s="31" t="s">
        <v>121</v>
      </c>
      <c r="C91" s="33">
        <v>0</v>
      </c>
      <c r="D91" s="33">
        <v>0</v>
      </c>
      <c r="E91" s="23">
        <v>0</v>
      </c>
      <c r="F91" s="23">
        <v>0</v>
      </c>
      <c r="G91" s="23">
        <v>0</v>
      </c>
      <c r="H91" s="23">
        <v>0</v>
      </c>
      <c r="I91" s="23">
        <v>0</v>
      </c>
      <c r="J91" s="23">
        <v>0</v>
      </c>
      <c r="K91" s="23">
        <f t="shared" si="56"/>
        <v>0</v>
      </c>
      <c r="L91" s="33">
        <f t="shared" si="57"/>
        <v>0</v>
      </c>
      <c r="M91" s="33">
        <f t="shared" si="58"/>
        <v>0</v>
      </c>
      <c r="N91" s="33">
        <v>0</v>
      </c>
      <c r="O91" s="33">
        <v>0</v>
      </c>
      <c r="P91" s="33">
        <v>0</v>
      </c>
      <c r="Q91" s="33">
        <v>0</v>
      </c>
      <c r="R91" s="33">
        <v>0</v>
      </c>
      <c r="S91" s="33">
        <f t="shared" si="59"/>
        <v>0</v>
      </c>
      <c r="T91" s="38" t="str">
        <f t="shared" si="60"/>
        <v>∞</v>
      </c>
      <c r="U91" s="59">
        <f t="shared" si="61"/>
        <v>0</v>
      </c>
      <c r="V91" s="93">
        <v>0</v>
      </c>
      <c r="W91" s="33">
        <v>0</v>
      </c>
      <c r="X91" s="33"/>
      <c r="Y91" s="33"/>
      <c r="Z91" s="42"/>
      <c r="AA91" s="60"/>
      <c r="AB91" s="105"/>
      <c r="AC91" s="93"/>
      <c r="AD91" s="33">
        <f t="shared" si="62"/>
        <v>0</v>
      </c>
      <c r="AE91" s="33">
        <f t="shared" si="63"/>
        <v>0</v>
      </c>
      <c r="AF91" s="101">
        <f t="shared" si="64"/>
        <v>0</v>
      </c>
    </row>
    <row r="92" spans="2:32" ht="13" hidden="1" outlineLevel="1" x14ac:dyDescent="0.3">
      <c r="B92" s="31" t="s">
        <v>122</v>
      </c>
      <c r="C92" s="33">
        <v>0</v>
      </c>
      <c r="D92" s="33">
        <v>0</v>
      </c>
      <c r="E92" s="23">
        <v>0</v>
      </c>
      <c r="F92" s="23">
        <v>0</v>
      </c>
      <c r="G92" s="23">
        <v>0</v>
      </c>
      <c r="H92" s="23">
        <v>0</v>
      </c>
      <c r="I92" s="23">
        <v>0</v>
      </c>
      <c r="J92" s="23">
        <v>0</v>
      </c>
      <c r="K92" s="23">
        <f t="shared" si="56"/>
        <v>0</v>
      </c>
      <c r="L92" s="33">
        <f t="shared" si="57"/>
        <v>0</v>
      </c>
      <c r="M92" s="33">
        <f t="shared" si="58"/>
        <v>0</v>
      </c>
      <c r="N92" s="33">
        <v>0</v>
      </c>
      <c r="O92" s="33">
        <v>0</v>
      </c>
      <c r="P92" s="33">
        <v>0</v>
      </c>
      <c r="Q92" s="33">
        <v>0</v>
      </c>
      <c r="R92" s="33">
        <v>0</v>
      </c>
      <c r="S92" s="33">
        <f t="shared" si="59"/>
        <v>0</v>
      </c>
      <c r="T92" s="38" t="str">
        <f t="shared" si="60"/>
        <v>∞</v>
      </c>
      <c r="U92" s="59">
        <f t="shared" si="61"/>
        <v>0</v>
      </c>
      <c r="V92" s="93">
        <v>0</v>
      </c>
      <c r="W92" s="33">
        <v>0</v>
      </c>
      <c r="X92" s="33"/>
      <c r="Y92" s="33"/>
      <c r="Z92" s="42"/>
      <c r="AA92" s="60"/>
      <c r="AB92" s="105"/>
      <c r="AC92" s="93"/>
      <c r="AD92" s="33">
        <f t="shared" si="62"/>
        <v>0</v>
      </c>
      <c r="AE92" s="33">
        <f t="shared" si="63"/>
        <v>0</v>
      </c>
      <c r="AF92" s="101">
        <f t="shared" si="64"/>
        <v>0</v>
      </c>
    </row>
    <row r="93" spans="2:32" ht="13" hidden="1" outlineLevel="1" x14ac:dyDescent="0.3">
      <c r="B93" s="31" t="s">
        <v>123</v>
      </c>
      <c r="C93" s="33">
        <v>0</v>
      </c>
      <c r="D93" s="33">
        <v>0</v>
      </c>
      <c r="E93" s="23">
        <v>0</v>
      </c>
      <c r="F93" s="23">
        <v>0</v>
      </c>
      <c r="G93" s="23">
        <v>0</v>
      </c>
      <c r="H93" s="23">
        <v>0</v>
      </c>
      <c r="I93" s="23">
        <v>0</v>
      </c>
      <c r="J93" s="23">
        <v>0</v>
      </c>
      <c r="K93" s="23">
        <f t="shared" si="56"/>
        <v>0</v>
      </c>
      <c r="L93" s="33">
        <f t="shared" si="57"/>
        <v>0</v>
      </c>
      <c r="M93" s="33">
        <f t="shared" si="58"/>
        <v>0</v>
      </c>
      <c r="N93" s="33">
        <v>0</v>
      </c>
      <c r="O93" s="33">
        <v>0</v>
      </c>
      <c r="P93" s="33">
        <v>0</v>
      </c>
      <c r="Q93" s="33">
        <v>0</v>
      </c>
      <c r="R93" s="33">
        <v>0</v>
      </c>
      <c r="S93" s="33">
        <f t="shared" si="59"/>
        <v>0</v>
      </c>
      <c r="T93" s="38" t="str">
        <f t="shared" si="60"/>
        <v>∞</v>
      </c>
      <c r="U93" s="59">
        <f t="shared" si="61"/>
        <v>0</v>
      </c>
      <c r="V93" s="93">
        <v>0</v>
      </c>
      <c r="W93" s="33">
        <v>0</v>
      </c>
      <c r="X93" s="33"/>
      <c r="Y93" s="33"/>
      <c r="Z93" s="42"/>
      <c r="AA93" s="60"/>
      <c r="AB93" s="105"/>
      <c r="AC93" s="93"/>
      <c r="AD93" s="33">
        <f t="shared" si="62"/>
        <v>0</v>
      </c>
      <c r="AE93" s="33">
        <f t="shared" si="63"/>
        <v>0</v>
      </c>
      <c r="AF93" s="101">
        <f t="shared" si="64"/>
        <v>0</v>
      </c>
    </row>
    <row r="94" spans="2:32" ht="13" hidden="1" outlineLevel="1" x14ac:dyDescent="0.3">
      <c r="B94" s="31" t="s">
        <v>124</v>
      </c>
      <c r="C94" s="33">
        <v>0</v>
      </c>
      <c r="D94" s="33">
        <v>0</v>
      </c>
      <c r="E94" s="23">
        <v>0</v>
      </c>
      <c r="F94" s="23">
        <v>0</v>
      </c>
      <c r="G94" s="23">
        <v>0</v>
      </c>
      <c r="H94" s="23">
        <v>0</v>
      </c>
      <c r="I94" s="23">
        <v>0</v>
      </c>
      <c r="J94" s="23">
        <v>0</v>
      </c>
      <c r="K94" s="23">
        <f t="shared" si="56"/>
        <v>0</v>
      </c>
      <c r="L94" s="33">
        <f t="shared" si="57"/>
        <v>0</v>
      </c>
      <c r="M94" s="33">
        <f t="shared" si="58"/>
        <v>0</v>
      </c>
      <c r="N94" s="33">
        <v>0</v>
      </c>
      <c r="O94" s="33">
        <v>0</v>
      </c>
      <c r="P94" s="33">
        <v>0</v>
      </c>
      <c r="Q94" s="33">
        <v>0</v>
      </c>
      <c r="R94" s="33">
        <v>0</v>
      </c>
      <c r="S94" s="33">
        <f t="shared" si="59"/>
        <v>0</v>
      </c>
      <c r="T94" s="38" t="str">
        <f t="shared" si="60"/>
        <v>∞</v>
      </c>
      <c r="U94" s="59">
        <f t="shared" si="61"/>
        <v>0</v>
      </c>
      <c r="V94" s="93">
        <v>0</v>
      </c>
      <c r="W94" s="33">
        <v>0</v>
      </c>
      <c r="X94" s="33"/>
      <c r="Y94" s="33"/>
      <c r="Z94" s="42"/>
      <c r="AA94" s="60"/>
      <c r="AB94" s="105"/>
      <c r="AC94" s="93"/>
      <c r="AD94" s="33">
        <f t="shared" si="62"/>
        <v>0</v>
      </c>
      <c r="AE94" s="33">
        <f t="shared" si="63"/>
        <v>0</v>
      </c>
      <c r="AF94" s="101">
        <f t="shared" si="64"/>
        <v>0</v>
      </c>
    </row>
    <row r="95" spans="2:32" ht="13" hidden="1" outlineLevel="1" x14ac:dyDescent="0.3">
      <c r="B95" s="31" t="s">
        <v>125</v>
      </c>
      <c r="C95" s="33">
        <v>0</v>
      </c>
      <c r="D95" s="33">
        <v>0</v>
      </c>
      <c r="E95" s="23">
        <v>0</v>
      </c>
      <c r="F95" s="23">
        <v>0</v>
      </c>
      <c r="G95" s="23">
        <v>0</v>
      </c>
      <c r="H95" s="23">
        <v>0</v>
      </c>
      <c r="I95" s="23">
        <v>0</v>
      </c>
      <c r="J95" s="23">
        <v>0</v>
      </c>
      <c r="K95" s="23">
        <f t="shared" si="56"/>
        <v>0</v>
      </c>
      <c r="L95" s="33">
        <f t="shared" si="57"/>
        <v>0</v>
      </c>
      <c r="M95" s="33">
        <f t="shared" si="58"/>
        <v>0</v>
      </c>
      <c r="N95" s="33">
        <v>0</v>
      </c>
      <c r="O95" s="33">
        <v>-1079</v>
      </c>
      <c r="P95" s="33">
        <v>0</v>
      </c>
      <c r="Q95" s="33">
        <v>-1079</v>
      </c>
      <c r="R95" s="33">
        <v>0</v>
      </c>
      <c r="S95" s="33">
        <f t="shared" si="59"/>
        <v>-1079</v>
      </c>
      <c r="T95" s="38" t="str">
        <f t="shared" si="60"/>
        <v>∞</v>
      </c>
      <c r="U95" s="59">
        <f t="shared" si="61"/>
        <v>0</v>
      </c>
      <c r="V95" s="93">
        <v>0</v>
      </c>
      <c r="W95" s="33">
        <v>0</v>
      </c>
      <c r="X95" s="33"/>
      <c r="Y95" s="33"/>
      <c r="Z95" s="42"/>
      <c r="AA95" s="60"/>
      <c r="AB95" s="105"/>
      <c r="AC95" s="93"/>
      <c r="AD95" s="33">
        <f t="shared" si="62"/>
        <v>0</v>
      </c>
      <c r="AE95" s="33">
        <f t="shared" si="63"/>
        <v>-1079</v>
      </c>
      <c r="AF95" s="101">
        <f t="shared" si="64"/>
        <v>-1079</v>
      </c>
    </row>
    <row r="96" spans="2:32" ht="13" hidden="1" outlineLevel="1" x14ac:dyDescent="0.3">
      <c r="B96" s="31" t="s">
        <v>126</v>
      </c>
      <c r="C96" s="33">
        <v>0</v>
      </c>
      <c r="D96" s="33">
        <v>0</v>
      </c>
      <c r="E96" s="23">
        <v>0</v>
      </c>
      <c r="F96" s="23">
        <v>0</v>
      </c>
      <c r="G96" s="23">
        <v>0</v>
      </c>
      <c r="H96" s="23">
        <v>0</v>
      </c>
      <c r="I96" s="23">
        <v>0</v>
      </c>
      <c r="J96" s="23">
        <v>0</v>
      </c>
      <c r="K96" s="23">
        <f t="shared" si="56"/>
        <v>0</v>
      </c>
      <c r="L96" s="33">
        <f t="shared" si="57"/>
        <v>0</v>
      </c>
      <c r="M96" s="33">
        <f t="shared" si="58"/>
        <v>0</v>
      </c>
      <c r="N96" s="33">
        <v>0</v>
      </c>
      <c r="O96" s="33">
        <v>1079</v>
      </c>
      <c r="P96" s="33">
        <v>0</v>
      </c>
      <c r="Q96" s="33">
        <v>1079</v>
      </c>
      <c r="R96" s="33">
        <v>0</v>
      </c>
      <c r="S96" s="33">
        <f t="shared" si="59"/>
        <v>1079</v>
      </c>
      <c r="T96" s="38" t="str">
        <f t="shared" si="60"/>
        <v>∞</v>
      </c>
      <c r="U96" s="59">
        <f t="shared" si="61"/>
        <v>0</v>
      </c>
      <c r="V96" s="93">
        <v>0</v>
      </c>
      <c r="W96" s="33">
        <v>0</v>
      </c>
      <c r="X96" s="33"/>
      <c r="Y96" s="33"/>
      <c r="Z96" s="42"/>
      <c r="AA96" s="60"/>
      <c r="AB96" s="105"/>
      <c r="AC96" s="93"/>
      <c r="AD96" s="33">
        <f t="shared" si="62"/>
        <v>0</v>
      </c>
      <c r="AE96" s="33">
        <f t="shared" si="63"/>
        <v>1079</v>
      </c>
      <c r="AF96" s="101">
        <f t="shared" si="64"/>
        <v>1079</v>
      </c>
    </row>
    <row r="97" spans="2:32" ht="13" hidden="1" outlineLevel="1" x14ac:dyDescent="0.3">
      <c r="B97" s="31" t="s">
        <v>127</v>
      </c>
      <c r="C97" s="33">
        <v>0</v>
      </c>
      <c r="D97" s="33">
        <v>0</v>
      </c>
      <c r="E97" s="23">
        <v>0</v>
      </c>
      <c r="F97" s="23">
        <v>0</v>
      </c>
      <c r="G97" s="23">
        <v>0</v>
      </c>
      <c r="H97" s="23">
        <v>0</v>
      </c>
      <c r="I97" s="23">
        <v>0</v>
      </c>
      <c r="J97" s="23">
        <v>0</v>
      </c>
      <c r="K97" s="23">
        <f t="shared" si="56"/>
        <v>0</v>
      </c>
      <c r="L97" s="33">
        <f t="shared" si="57"/>
        <v>0</v>
      </c>
      <c r="M97" s="33">
        <f t="shared" si="58"/>
        <v>0</v>
      </c>
      <c r="N97" s="33">
        <v>0</v>
      </c>
      <c r="O97" s="33">
        <v>0</v>
      </c>
      <c r="P97" s="33">
        <v>0</v>
      </c>
      <c r="Q97" s="33">
        <v>0</v>
      </c>
      <c r="R97" s="33">
        <v>0</v>
      </c>
      <c r="S97" s="33">
        <f t="shared" si="59"/>
        <v>0</v>
      </c>
      <c r="T97" s="38" t="str">
        <f t="shared" si="60"/>
        <v>∞</v>
      </c>
      <c r="U97" s="59">
        <f t="shared" si="61"/>
        <v>0</v>
      </c>
      <c r="V97" s="93">
        <v>0</v>
      </c>
      <c r="W97" s="33">
        <v>0</v>
      </c>
      <c r="X97" s="33"/>
      <c r="Y97" s="33"/>
      <c r="Z97" s="42"/>
      <c r="AA97" s="60"/>
      <c r="AB97" s="105"/>
      <c r="AC97" s="93"/>
      <c r="AD97" s="33">
        <f t="shared" si="62"/>
        <v>0</v>
      </c>
      <c r="AE97" s="33">
        <f t="shared" si="63"/>
        <v>0</v>
      </c>
      <c r="AF97" s="101">
        <f t="shared" si="64"/>
        <v>0</v>
      </c>
    </row>
    <row r="98" spans="2:32" ht="13" hidden="1" outlineLevel="1" x14ac:dyDescent="0.3">
      <c r="B98" s="31" t="s">
        <v>128</v>
      </c>
      <c r="C98" s="33">
        <v>0</v>
      </c>
      <c r="D98" s="33">
        <v>0</v>
      </c>
      <c r="E98" s="23">
        <v>0</v>
      </c>
      <c r="F98" s="23">
        <v>0</v>
      </c>
      <c r="G98" s="23">
        <v>0</v>
      </c>
      <c r="H98" s="23">
        <v>0</v>
      </c>
      <c r="I98" s="23">
        <v>0</v>
      </c>
      <c r="J98" s="23">
        <v>0</v>
      </c>
      <c r="K98" s="23">
        <f t="shared" si="56"/>
        <v>0</v>
      </c>
      <c r="L98" s="33">
        <f t="shared" si="57"/>
        <v>0</v>
      </c>
      <c r="M98" s="33">
        <f t="shared" si="58"/>
        <v>0</v>
      </c>
      <c r="N98" s="33">
        <v>0</v>
      </c>
      <c r="O98" s="33">
        <v>0</v>
      </c>
      <c r="P98" s="33">
        <v>0</v>
      </c>
      <c r="Q98" s="33">
        <v>0</v>
      </c>
      <c r="R98" s="33">
        <v>0</v>
      </c>
      <c r="S98" s="33">
        <f t="shared" si="59"/>
        <v>0</v>
      </c>
      <c r="T98" s="38" t="str">
        <f t="shared" si="60"/>
        <v>∞</v>
      </c>
      <c r="U98" s="59">
        <f t="shared" si="61"/>
        <v>0</v>
      </c>
      <c r="V98" s="93">
        <v>0</v>
      </c>
      <c r="W98" s="33">
        <v>0</v>
      </c>
      <c r="X98" s="33"/>
      <c r="Y98" s="33"/>
      <c r="Z98" s="42"/>
      <c r="AA98" s="60"/>
      <c r="AB98" s="105"/>
      <c r="AC98" s="93"/>
      <c r="AD98" s="33">
        <f t="shared" si="62"/>
        <v>0</v>
      </c>
      <c r="AE98" s="33">
        <f t="shared" si="63"/>
        <v>0</v>
      </c>
      <c r="AF98" s="101">
        <f t="shared" si="64"/>
        <v>0</v>
      </c>
    </row>
    <row r="99" spans="2:32" ht="13" hidden="1" outlineLevel="1" x14ac:dyDescent="0.3">
      <c r="B99" s="31" t="s">
        <v>129</v>
      </c>
      <c r="C99" s="33">
        <v>0</v>
      </c>
      <c r="D99" s="33">
        <v>0</v>
      </c>
      <c r="E99" s="23">
        <v>0</v>
      </c>
      <c r="F99" s="23">
        <v>0</v>
      </c>
      <c r="G99" s="23">
        <v>0</v>
      </c>
      <c r="H99" s="23">
        <v>0</v>
      </c>
      <c r="I99" s="23">
        <v>0</v>
      </c>
      <c r="J99" s="23">
        <v>0</v>
      </c>
      <c r="K99" s="23">
        <f t="shared" si="56"/>
        <v>0</v>
      </c>
      <c r="L99" s="33">
        <f t="shared" si="57"/>
        <v>0</v>
      </c>
      <c r="M99" s="33">
        <f t="shared" si="58"/>
        <v>0</v>
      </c>
      <c r="N99" s="33">
        <v>0</v>
      </c>
      <c r="O99" s="33">
        <v>0</v>
      </c>
      <c r="P99" s="33">
        <v>0</v>
      </c>
      <c r="Q99" s="33">
        <v>0</v>
      </c>
      <c r="R99" s="33">
        <v>0</v>
      </c>
      <c r="S99" s="33">
        <f t="shared" si="59"/>
        <v>0</v>
      </c>
      <c r="T99" s="38" t="str">
        <f t="shared" si="60"/>
        <v>∞</v>
      </c>
      <c r="U99" s="59">
        <f t="shared" si="61"/>
        <v>0</v>
      </c>
      <c r="V99" s="93">
        <v>0</v>
      </c>
      <c r="W99" s="33">
        <v>0</v>
      </c>
      <c r="X99" s="33"/>
      <c r="Y99" s="33"/>
      <c r="Z99" s="42"/>
      <c r="AA99" s="60"/>
      <c r="AB99" s="105"/>
      <c r="AC99" s="93"/>
      <c r="AD99" s="33">
        <f t="shared" si="62"/>
        <v>0</v>
      </c>
      <c r="AE99" s="33">
        <f t="shared" si="63"/>
        <v>0</v>
      </c>
      <c r="AF99" s="101">
        <f t="shared" si="64"/>
        <v>0</v>
      </c>
    </row>
    <row r="100" spans="2:32" ht="13" hidden="1" outlineLevel="1" x14ac:dyDescent="0.3">
      <c r="B100" s="31" t="s">
        <v>130</v>
      </c>
      <c r="C100" s="33">
        <v>0</v>
      </c>
      <c r="D100" s="33">
        <v>0</v>
      </c>
      <c r="E100" s="23">
        <v>0</v>
      </c>
      <c r="F100" s="23">
        <v>0</v>
      </c>
      <c r="G100" s="23">
        <v>0</v>
      </c>
      <c r="H100" s="23">
        <v>0</v>
      </c>
      <c r="I100" s="23">
        <v>0</v>
      </c>
      <c r="J100" s="23">
        <v>0</v>
      </c>
      <c r="K100" s="23">
        <f t="shared" si="56"/>
        <v>0</v>
      </c>
      <c r="L100" s="33">
        <f t="shared" si="57"/>
        <v>0</v>
      </c>
      <c r="M100" s="33">
        <f t="shared" si="58"/>
        <v>0</v>
      </c>
      <c r="N100" s="33">
        <v>0</v>
      </c>
      <c r="O100" s="33">
        <v>0</v>
      </c>
      <c r="P100" s="33">
        <v>0</v>
      </c>
      <c r="Q100" s="33">
        <v>0</v>
      </c>
      <c r="R100" s="33">
        <v>0</v>
      </c>
      <c r="S100" s="33">
        <f t="shared" si="59"/>
        <v>0</v>
      </c>
      <c r="T100" s="38" t="str">
        <f t="shared" si="60"/>
        <v>∞</v>
      </c>
      <c r="U100" s="59">
        <f t="shared" si="61"/>
        <v>0</v>
      </c>
      <c r="V100" s="93">
        <v>0</v>
      </c>
      <c r="W100" s="33">
        <v>0</v>
      </c>
      <c r="X100" s="33"/>
      <c r="Y100" s="33"/>
      <c r="Z100" s="42"/>
      <c r="AA100" s="60"/>
      <c r="AB100" s="105"/>
      <c r="AC100" s="93"/>
      <c r="AD100" s="33">
        <f t="shared" si="62"/>
        <v>0</v>
      </c>
      <c r="AE100" s="33">
        <f t="shared" si="63"/>
        <v>0</v>
      </c>
      <c r="AF100" s="101">
        <f t="shared" si="64"/>
        <v>0</v>
      </c>
    </row>
    <row r="101" spans="2:32" ht="13" hidden="1" outlineLevel="1" x14ac:dyDescent="0.3">
      <c r="B101" s="31" t="s">
        <v>131</v>
      </c>
      <c r="C101" s="33">
        <v>0</v>
      </c>
      <c r="D101" s="33">
        <v>0</v>
      </c>
      <c r="E101" s="23">
        <v>0</v>
      </c>
      <c r="F101" s="23">
        <v>0</v>
      </c>
      <c r="G101" s="23">
        <v>0</v>
      </c>
      <c r="H101" s="23">
        <v>0</v>
      </c>
      <c r="I101" s="23">
        <v>0</v>
      </c>
      <c r="J101" s="23">
        <v>0</v>
      </c>
      <c r="K101" s="23">
        <f t="shared" si="56"/>
        <v>0</v>
      </c>
      <c r="L101" s="33">
        <f t="shared" si="57"/>
        <v>0</v>
      </c>
      <c r="M101" s="33">
        <f t="shared" si="58"/>
        <v>0</v>
      </c>
      <c r="N101" s="33">
        <v>0</v>
      </c>
      <c r="O101" s="33">
        <v>0</v>
      </c>
      <c r="P101" s="33">
        <v>0</v>
      </c>
      <c r="Q101" s="33">
        <v>0</v>
      </c>
      <c r="R101" s="33">
        <v>0</v>
      </c>
      <c r="S101" s="33">
        <f t="shared" si="59"/>
        <v>0</v>
      </c>
      <c r="T101" s="38" t="str">
        <f t="shared" si="60"/>
        <v>∞</v>
      </c>
      <c r="U101" s="59">
        <f t="shared" si="61"/>
        <v>0</v>
      </c>
      <c r="V101" s="93">
        <v>0</v>
      </c>
      <c r="W101" s="33">
        <v>0</v>
      </c>
      <c r="X101" s="33"/>
      <c r="Y101" s="33"/>
      <c r="Z101" s="42"/>
      <c r="AA101" s="60"/>
      <c r="AB101" s="105"/>
      <c r="AC101" s="93"/>
      <c r="AD101" s="33">
        <f t="shared" si="62"/>
        <v>0</v>
      </c>
      <c r="AE101" s="33">
        <f t="shared" si="63"/>
        <v>0</v>
      </c>
      <c r="AF101" s="101">
        <f t="shared" si="64"/>
        <v>0</v>
      </c>
    </row>
    <row r="102" spans="2:32" ht="13" hidden="1" outlineLevel="1" x14ac:dyDescent="0.3">
      <c r="B102" s="31" t="s">
        <v>132</v>
      </c>
      <c r="C102" s="33">
        <v>14098</v>
      </c>
      <c r="D102" s="33">
        <v>14098</v>
      </c>
      <c r="E102" s="23">
        <v>0</v>
      </c>
      <c r="F102" s="23">
        <v>0</v>
      </c>
      <c r="G102" s="23">
        <v>0</v>
      </c>
      <c r="H102" s="23">
        <v>0</v>
      </c>
      <c r="I102" s="23">
        <v>0</v>
      </c>
      <c r="J102" s="23">
        <v>0</v>
      </c>
      <c r="K102" s="23">
        <f t="shared" si="56"/>
        <v>0</v>
      </c>
      <c r="L102" s="33">
        <f t="shared" si="57"/>
        <v>0</v>
      </c>
      <c r="M102" s="33">
        <f t="shared" si="58"/>
        <v>0</v>
      </c>
      <c r="N102" s="33">
        <v>14098</v>
      </c>
      <c r="O102" s="33">
        <v>1</v>
      </c>
      <c r="P102" s="33">
        <v>0</v>
      </c>
      <c r="Q102" s="33">
        <v>1</v>
      </c>
      <c r="R102" s="33">
        <v>0</v>
      </c>
      <c r="S102" s="33">
        <f t="shared" si="59"/>
        <v>1</v>
      </c>
      <c r="T102" s="38">
        <f t="shared" si="60"/>
        <v>7.0932047098879272E-5</v>
      </c>
      <c r="U102" s="59">
        <f t="shared" si="61"/>
        <v>14098</v>
      </c>
      <c r="V102" s="93">
        <v>0</v>
      </c>
      <c r="W102" s="33">
        <v>0</v>
      </c>
      <c r="X102" s="33"/>
      <c r="Y102" s="33"/>
      <c r="Z102" s="42"/>
      <c r="AA102" s="60"/>
      <c r="AB102" s="105"/>
      <c r="AC102" s="93"/>
      <c r="AD102" s="33">
        <f t="shared" si="62"/>
        <v>0</v>
      </c>
      <c r="AE102" s="33">
        <f t="shared" si="63"/>
        <v>1</v>
      </c>
      <c r="AF102" s="101">
        <f t="shared" si="64"/>
        <v>-14097</v>
      </c>
    </row>
    <row r="103" spans="2:32" ht="13" hidden="1" outlineLevel="1" x14ac:dyDescent="0.3">
      <c r="B103" s="31" t="s">
        <v>133</v>
      </c>
      <c r="C103" s="33">
        <v>-20561</v>
      </c>
      <c r="D103" s="33">
        <v>-20561</v>
      </c>
      <c r="E103" s="23">
        <v>0</v>
      </c>
      <c r="F103" s="23">
        <v>0</v>
      </c>
      <c r="G103" s="23">
        <v>0</v>
      </c>
      <c r="H103" s="23">
        <v>0</v>
      </c>
      <c r="I103" s="23">
        <v>0</v>
      </c>
      <c r="J103" s="23">
        <v>0</v>
      </c>
      <c r="K103" s="23">
        <f t="shared" si="56"/>
        <v>0</v>
      </c>
      <c r="L103" s="33">
        <f t="shared" si="57"/>
        <v>0</v>
      </c>
      <c r="M103" s="33">
        <f t="shared" si="58"/>
        <v>0</v>
      </c>
      <c r="N103" s="33">
        <v>-20561</v>
      </c>
      <c r="O103" s="33">
        <v>0</v>
      </c>
      <c r="P103" s="33">
        <v>0</v>
      </c>
      <c r="Q103" s="33">
        <v>0</v>
      </c>
      <c r="R103" s="33">
        <v>0</v>
      </c>
      <c r="S103" s="33">
        <f t="shared" si="59"/>
        <v>0</v>
      </c>
      <c r="T103" s="38">
        <f t="shared" si="60"/>
        <v>0</v>
      </c>
      <c r="U103" s="59">
        <f t="shared" si="61"/>
        <v>-20561</v>
      </c>
      <c r="V103" s="93">
        <v>0</v>
      </c>
      <c r="W103" s="33">
        <v>0</v>
      </c>
      <c r="X103" s="33"/>
      <c r="Y103" s="33"/>
      <c r="Z103" s="42"/>
      <c r="AA103" s="60"/>
      <c r="AB103" s="105"/>
      <c r="AC103" s="93"/>
      <c r="AD103" s="33">
        <f t="shared" si="62"/>
        <v>0</v>
      </c>
      <c r="AE103" s="33">
        <f t="shared" si="63"/>
        <v>0</v>
      </c>
      <c r="AF103" s="101">
        <f t="shared" si="64"/>
        <v>20561</v>
      </c>
    </row>
    <row r="104" spans="2:32" ht="13" hidden="1" outlineLevel="1" x14ac:dyDescent="0.3">
      <c r="B104" s="31" t="s">
        <v>134</v>
      </c>
      <c r="C104" s="33">
        <v>-3149</v>
      </c>
      <c r="D104" s="33">
        <v>-3149</v>
      </c>
      <c r="E104" s="23">
        <v>0</v>
      </c>
      <c r="F104" s="23">
        <v>0</v>
      </c>
      <c r="G104" s="23">
        <v>0</v>
      </c>
      <c r="H104" s="23">
        <v>0</v>
      </c>
      <c r="I104" s="23">
        <v>0</v>
      </c>
      <c r="J104" s="23">
        <v>0</v>
      </c>
      <c r="K104" s="23">
        <f t="shared" si="56"/>
        <v>0</v>
      </c>
      <c r="L104" s="33">
        <f t="shared" si="57"/>
        <v>0</v>
      </c>
      <c r="M104" s="33">
        <f t="shared" si="58"/>
        <v>0</v>
      </c>
      <c r="N104" s="33">
        <v>-3149</v>
      </c>
      <c r="O104" s="33">
        <v>0</v>
      </c>
      <c r="P104" s="33">
        <v>-1049</v>
      </c>
      <c r="Q104" s="33">
        <v>-1049</v>
      </c>
      <c r="R104" s="33">
        <v>-1574</v>
      </c>
      <c r="S104" s="33">
        <f t="shared" si="59"/>
        <v>525</v>
      </c>
      <c r="T104" s="38">
        <f t="shared" si="60"/>
        <v>0.33312162591298827</v>
      </c>
      <c r="U104" s="59">
        <f t="shared" si="61"/>
        <v>-3149</v>
      </c>
      <c r="V104" s="93">
        <v>0</v>
      </c>
      <c r="W104" s="33">
        <v>0</v>
      </c>
      <c r="X104" s="33"/>
      <c r="Y104" s="33"/>
      <c r="Z104" s="42"/>
      <c r="AA104" s="60"/>
      <c r="AB104" s="105"/>
      <c r="AC104" s="93"/>
      <c r="AD104" s="33">
        <f t="shared" si="62"/>
        <v>0</v>
      </c>
      <c r="AE104" s="33">
        <f t="shared" si="63"/>
        <v>-1049</v>
      </c>
      <c r="AF104" s="101">
        <f t="shared" si="64"/>
        <v>2100</v>
      </c>
    </row>
    <row r="105" spans="2:32" ht="13.5" hidden="1" outlineLevel="1" thickBot="1" x14ac:dyDescent="0.35">
      <c r="B105" s="80"/>
      <c r="C105" s="81"/>
      <c r="D105" s="81"/>
      <c r="E105" s="82"/>
      <c r="F105" s="82"/>
      <c r="G105" s="82"/>
      <c r="H105" s="82"/>
      <c r="I105" s="82"/>
      <c r="J105" s="82"/>
      <c r="K105" s="82"/>
      <c r="L105" s="81"/>
      <c r="M105" s="81"/>
      <c r="N105" s="81"/>
      <c r="O105" s="81"/>
      <c r="P105" s="81"/>
      <c r="Q105" s="81"/>
      <c r="R105" s="81"/>
      <c r="S105" s="81"/>
      <c r="T105" s="81"/>
      <c r="U105" s="83"/>
      <c r="V105" s="827"/>
      <c r="W105" s="81"/>
      <c r="X105" s="81"/>
      <c r="Y105" s="81"/>
      <c r="Z105" s="84"/>
      <c r="AA105" s="60"/>
      <c r="AB105" s="98"/>
      <c r="AC105" s="36"/>
      <c r="AD105" s="36"/>
      <c r="AE105" s="36"/>
      <c r="AF105" s="99"/>
    </row>
    <row r="106" spans="2:32" ht="13.5" collapsed="1" thickBot="1" x14ac:dyDescent="0.35">
      <c r="B106" s="68" t="s">
        <v>135</v>
      </c>
      <c r="C106" s="69">
        <f t="shared" ref="C106:J106" si="65">SUM(C87:C87,C88:C88,C89:C89,C90:C90,C91:C91,C92:C92,C93:C93,C94:C94,C95:C95,C96:C96,C97:C97,C98:C98,C99:C99,C100:C100,C101:C101,C102:C102,C103:C103,C104:C104)</f>
        <v>-9612</v>
      </c>
      <c r="D106" s="69">
        <f t="shared" si="65"/>
        <v>-9612</v>
      </c>
      <c r="E106" s="77">
        <f t="shared" si="65"/>
        <v>0</v>
      </c>
      <c r="F106" s="77">
        <f t="shared" si="65"/>
        <v>0</v>
      </c>
      <c r="G106" s="77">
        <f t="shared" si="65"/>
        <v>0</v>
      </c>
      <c r="H106" s="77">
        <f t="shared" si="65"/>
        <v>0</v>
      </c>
      <c r="I106" s="77">
        <f t="shared" si="65"/>
        <v>0</v>
      </c>
      <c r="J106" s="77">
        <f t="shared" si="65"/>
        <v>0</v>
      </c>
      <c r="K106" s="77">
        <f>SUM(E106:J106)</f>
        <v>0</v>
      </c>
      <c r="L106" s="69">
        <f>N106-D106</f>
        <v>0</v>
      </c>
      <c r="M106" s="69">
        <f>N106-C106</f>
        <v>0</v>
      </c>
      <c r="N106" s="69">
        <f>SUM(N87:N87,N88:N88,N89:N89,N90:N90,N91:N91,N92:N92,N93:N93,N94:N94,N95:N95,N96:N96,N97:N97,N98:N98,N99:N99,N100:N100,N101:N101,N102:N102,N103:N103,N104:N104)</f>
        <v>-9612</v>
      </c>
      <c r="O106" s="69">
        <f>SUM(O87:O87,O88:O88,O89:O89,O90:O90,O91:O91,O92:O92,O93:O93,O94:O94,O95:O95,O96:O96,O97:O97,O98:O98,O99:O99,O100:O100,O101:O101,O102:O102,O103:O103,O104:O104)</f>
        <v>1</v>
      </c>
      <c r="P106" s="69">
        <f>SUM(P87:P87,P88:P88,P89:P89,P90:P90,P91:P91,P92:P92,P93:P93,P94:P94,P95:P95,P96:P96,P97:P97,P98:P98,P99:P99,P100:P100,P101:P101,P102:P102,P103:P103,P104:P104)</f>
        <v>-1049</v>
      </c>
      <c r="Q106" s="69">
        <f>SUM(Q87:Q87,Q88:Q88,Q89:Q89,Q90:Q90,Q91:Q91,Q92:Q92,Q93:Q93,Q94:Q94,Q95:Q95,Q96:Q96,Q97:Q97,Q98:Q98,Q99:Q99,Q100:Q100,Q101:Q101,Q102:Q102,Q103:Q103,Q104:Q104)</f>
        <v>-1048</v>
      </c>
      <c r="R106" s="69">
        <f>SUM(R87:R87,R88:R88,R89:R89,R90:R90,R91:R91,R92:R92,R93:R93,R94:R94,R95:R95,R96:R96,R97:R97,R98:R98,R99:R99,R100:R100,R101:R101,R102:R102,R103:R103,R104:R104)</f>
        <v>-4403</v>
      </c>
      <c r="S106" s="69">
        <f>Q106-R106</f>
        <v>3355</v>
      </c>
      <c r="T106" s="70">
        <f>IFERROR((Q106/N106)*100%,"∞")</f>
        <v>0.10903037869330004</v>
      </c>
      <c r="U106" s="76">
        <f>N106+V106</f>
        <v>-9612</v>
      </c>
      <c r="V106" s="828">
        <f>SUM(V87:V87,V88:V88,V89:V89,V90:V90,V91:V91,V92:V92,V93:V93,V94:V94,V95:V95,V96:V96,V97:V97,V98:V98,V99:V99,V100:V100,V101:V101,V102:V102,V103:V103,V104:V104)</f>
        <v>0</v>
      </c>
      <c r="W106" s="69">
        <f>SUM(W87:W87,W88:W88,W89:W89,W90:W90,W91:W91,W92:W92,W93:W93,W94:W94,W95:W95,W96:W96,W97:W97,W98:W98,W99:W99,W100:W100,W101:W101,W102:W102,W103:W103,W104:W104)</f>
        <v>0</v>
      </c>
      <c r="X106" s="69">
        <f>SUM(X87:X87,X88:X88,X89:X89,X90:X90,X91:X91,X92:X92,X93:X93,X94:X94,X95:X95,X96:X96,X97:X97,X98:X98,X99:X99,X100:X100,X101:X101,X102:X102,X103:X103,X104:X104)</f>
        <v>0</v>
      </c>
      <c r="Y106" s="69">
        <f>SUM(Y87:Y87,Y88:Y88,Y89:Y89,Y90:Y90,Y91:Y91,Y92:Y92,Y93:Y93,Y94:Y94,Y95:Y95,Y96:Y96,Y97:Y97,Y98:Y98,Y99:Y99,Y100:Y100,Y101:Y101,Y102:Y102,Y103:Y103,Y104:Y104)</f>
        <v>0</v>
      </c>
      <c r="Z106" s="69">
        <f>SUM(Z87:Z87,Z88:Z88,Z89:Z89,Z90:Z90,Z91:Z91,Z92:Z92,Z93:Z93,Z94:Z94,Z95:Z95,Z96:Z96,Z97:Z97,Z98:Z98,Z99:Z99,Z100:Z100,Z101:Z101,Z102:Z102,Z103:Z103,Z104:Z104)</f>
        <v>0</v>
      </c>
      <c r="AA106" s="60"/>
      <c r="AB106" s="69">
        <f>SUM(AB87:AB87,AB88:AB88,AB89:AB89,AB90:AB90,AB91:AB91,AB92:AB92,AB93:AB93,AB94:AB94,AB95:AB95,AB96:AB96,AB97:AB97,AB98:AB98,AB99:AB99,AB100:AB100,AB101:AB101,AB102:AB102,AB103:AB103,AB104:AB104)</f>
        <v>0</v>
      </c>
      <c r="AC106" s="69">
        <f>SUM(AC87:AC87,AC88:AC88,AC89:AC89,AC90:AC90,AC91:AC91,AC92:AC92,AC93:AC93,AC94:AC94,AC95:AC95,AC96:AC96,AC97:AC97,AC98:AC98,AC99:AC99,AC100:AC100,AC101:AC101,AC102:AC102,AC103:AC103,AC104:AC104)</f>
        <v>0</v>
      </c>
      <c r="AD106" s="69">
        <f>SUM(AD87:AD87,AD88:AD88,AD89:AD89,AD90:AD90,AD91:AD91,AD92:AD92,AD93:AD93,AD94:AD94,AD95:AD95,AD96:AD96,AD97:AD97,AD98:AD98,AD99:AD99,AD100:AD100,AD101:AD101,AD102:AD102,AD103:AD103,AD104:AD104)</f>
        <v>0</v>
      </c>
      <c r="AE106" s="69">
        <f>SUM(AE87:AE87,AE88:AE88,AE89:AE89,AE90:AE90,AE91:AE91,AE92:AE92,AE93:AE93,AE94:AE94,AE95:AE95,AE96:AE96,AE97:AE97,AE98:AE98,AE99:AE99,AE100:AE100,AE101:AE101,AE102:AE102,AE103:AE103,AE104:AE104)</f>
        <v>-1048</v>
      </c>
      <c r="AF106" s="69">
        <f>SUM(AF87:AF87,AF88:AF88,AF89:AF89,AF90:AF90,AF91:AF91,AF92:AF92,AF93:AF93,AF94:AF94,AF95:AF95,AF96:AF96,AF97:AF97,AF98:AF98,AF99:AF99,AF100:AF100,AF101:AF101,AF102:AF102,AF103:AF103,AF104:AF104)</f>
        <v>8564</v>
      </c>
    </row>
    <row r="107" spans="2:32" ht="13.5" thickTop="1" x14ac:dyDescent="0.3">
      <c r="B107" s="71"/>
      <c r="C107" s="72"/>
      <c r="D107" s="72"/>
      <c r="E107" s="73"/>
      <c r="F107" s="73"/>
      <c r="G107" s="73"/>
      <c r="H107" s="73"/>
      <c r="I107" s="73"/>
      <c r="J107" s="73"/>
      <c r="K107" s="73"/>
      <c r="L107" s="72"/>
      <c r="M107" s="72"/>
      <c r="N107" s="72"/>
      <c r="O107" s="72"/>
      <c r="P107" s="72"/>
      <c r="Q107" s="72"/>
      <c r="R107" s="72"/>
      <c r="S107" s="72"/>
      <c r="T107" s="72"/>
      <c r="U107" s="74"/>
      <c r="V107" s="826"/>
      <c r="W107" s="72"/>
      <c r="X107" s="72"/>
      <c r="Y107" s="72"/>
      <c r="Z107" s="75"/>
      <c r="AA107" s="60"/>
      <c r="AB107" s="71"/>
      <c r="AC107" s="72"/>
      <c r="AD107" s="72"/>
      <c r="AE107" s="72"/>
      <c r="AF107" s="75"/>
    </row>
    <row r="108" spans="2:32" ht="13" x14ac:dyDescent="0.3">
      <c r="B108" s="78" t="s">
        <v>136</v>
      </c>
      <c r="C108" s="34">
        <f t="shared" ref="C108:J108" si="66">SUM(C109:C116,C117:C117)</f>
        <v>-2614</v>
      </c>
      <c r="D108" s="34">
        <f t="shared" si="66"/>
        <v>-1614</v>
      </c>
      <c r="E108" s="24">
        <f t="shared" si="66"/>
        <v>0</v>
      </c>
      <c r="F108" s="24">
        <f t="shared" si="66"/>
        <v>0</v>
      </c>
      <c r="G108" s="24">
        <f t="shared" si="66"/>
        <v>1000</v>
      </c>
      <c r="H108" s="24">
        <f t="shared" si="66"/>
        <v>0</v>
      </c>
      <c r="I108" s="24">
        <f t="shared" si="66"/>
        <v>0</v>
      </c>
      <c r="J108" s="24">
        <f t="shared" si="66"/>
        <v>0</v>
      </c>
      <c r="K108" s="24">
        <f>SUM(K109:K117)</f>
        <v>1000</v>
      </c>
      <c r="L108" s="34">
        <f>N108-D108</f>
        <v>0</v>
      </c>
      <c r="M108" s="34">
        <f>N108-C108</f>
        <v>1000</v>
      </c>
      <c r="N108" s="34">
        <f>SUM(N109:N116,N117:N117)</f>
        <v>-1614</v>
      </c>
      <c r="O108" s="34">
        <f>SUM(O109:O116,O117:O117)</f>
        <v>18519</v>
      </c>
      <c r="P108" s="34">
        <f>SUM(P109:P116,P117:P117)</f>
        <v>3119</v>
      </c>
      <c r="Q108" s="34">
        <f>SUM(Q109:Q116,Q117:Q117)</f>
        <v>21639</v>
      </c>
      <c r="R108" s="34">
        <f>SUM(R109:R116,R117:R117)</f>
        <v>-2338</v>
      </c>
      <c r="S108" s="34">
        <f>Q108-R108</f>
        <v>23977</v>
      </c>
      <c r="T108" s="94">
        <f>IFERROR((Q108/N108)*100%,"∞")</f>
        <v>-13.407063197026023</v>
      </c>
      <c r="U108" s="95">
        <f>N108+V108</f>
        <v>-2814</v>
      </c>
      <c r="V108" s="793">
        <f>SUM(V109:V116,V117:V117)</f>
        <v>-1200</v>
      </c>
      <c r="W108" s="34">
        <f>SUM(W109:W116,W117:W117)</f>
        <v>-1700</v>
      </c>
      <c r="X108" s="34"/>
      <c r="Y108" s="34"/>
      <c r="Z108" s="41"/>
      <c r="AA108" s="60"/>
      <c r="AB108" s="100">
        <f>SUM(AB109:AB116,AB117:AB117)</f>
        <v>0</v>
      </c>
      <c r="AC108" s="33">
        <f>SUM(AC109:AC116,AC117:AC117)</f>
        <v>0</v>
      </c>
      <c r="AD108" s="33">
        <f>SUM(AD109:AD116,AD117:AD117)</f>
        <v>0</v>
      </c>
      <c r="AE108" s="33">
        <f>SUM(AE109:AE116,AE117:AE117)</f>
        <v>21639</v>
      </c>
      <c r="AF108" s="101">
        <f>SUM(AF109:AF116,AF117:AF117)</f>
        <v>23253</v>
      </c>
    </row>
    <row r="109" spans="2:32" ht="13" hidden="1" outlineLevel="1" x14ac:dyDescent="0.3">
      <c r="B109" s="79" t="s">
        <v>137</v>
      </c>
      <c r="C109" s="33">
        <v>380</v>
      </c>
      <c r="D109" s="33">
        <v>1380</v>
      </c>
      <c r="E109" s="23">
        <v>0</v>
      </c>
      <c r="F109" s="23">
        <v>0</v>
      </c>
      <c r="G109" s="23">
        <v>1000</v>
      </c>
      <c r="H109" s="23">
        <v>0</v>
      </c>
      <c r="I109" s="23">
        <v>0</v>
      </c>
      <c r="J109" s="23">
        <v>0</v>
      </c>
      <c r="K109" s="23">
        <f>SUM(E109:J109)</f>
        <v>1000</v>
      </c>
      <c r="L109" s="33">
        <f>N109-D109</f>
        <v>0</v>
      </c>
      <c r="M109" s="33">
        <f>N109-C109</f>
        <v>1000</v>
      </c>
      <c r="N109" s="33">
        <v>1380</v>
      </c>
      <c r="O109" s="33">
        <v>18285</v>
      </c>
      <c r="P109" s="33">
        <v>3012</v>
      </c>
      <c r="Q109" s="33">
        <v>21298</v>
      </c>
      <c r="R109" s="33">
        <v>690</v>
      </c>
      <c r="S109" s="33">
        <f>Q109-R109</f>
        <v>20608</v>
      </c>
      <c r="T109" s="38">
        <f>IFERROR((Q109/N109)*100%,"∞")</f>
        <v>15.433333333333334</v>
      </c>
      <c r="U109" s="59">
        <f>N109+V109</f>
        <v>2180</v>
      </c>
      <c r="V109" s="93">
        <v>800</v>
      </c>
      <c r="W109" s="33">
        <v>800</v>
      </c>
      <c r="X109" s="33"/>
      <c r="Y109" s="33"/>
      <c r="Z109" s="42"/>
      <c r="AA109" s="60"/>
      <c r="AB109" s="105"/>
      <c r="AC109" s="93"/>
      <c r="AD109" s="33">
        <f>SUM(AB109:AC109)</f>
        <v>0</v>
      </c>
      <c r="AE109" s="33">
        <f>Q109+AD109</f>
        <v>21298</v>
      </c>
      <c r="AF109" s="101">
        <f>AE109-N109</f>
        <v>19918</v>
      </c>
    </row>
    <row r="110" spans="2:32" ht="13" hidden="1" outlineLevel="1" x14ac:dyDescent="0.3">
      <c r="B110" s="79" t="s">
        <v>138</v>
      </c>
      <c r="C110" s="33">
        <v>3062</v>
      </c>
      <c r="D110" s="33">
        <v>3062</v>
      </c>
      <c r="E110" s="23">
        <v>0</v>
      </c>
      <c r="F110" s="23">
        <v>0</v>
      </c>
      <c r="G110" s="23">
        <v>0</v>
      </c>
      <c r="H110" s="23">
        <v>0</v>
      </c>
      <c r="I110" s="23">
        <v>0</v>
      </c>
      <c r="J110" s="23">
        <v>0</v>
      </c>
      <c r="K110" s="23">
        <f t="shared" ref="K110:K115" si="67">SUM(E110:J110)</f>
        <v>0</v>
      </c>
      <c r="L110" s="33">
        <f t="shared" ref="L110:L115" si="68">N110-D110</f>
        <v>0</v>
      </c>
      <c r="M110" s="33">
        <f t="shared" ref="M110:M115" si="69">N110-C110</f>
        <v>0</v>
      </c>
      <c r="N110" s="33">
        <v>3062</v>
      </c>
      <c r="O110" s="33">
        <v>0</v>
      </c>
      <c r="P110" s="33">
        <v>0</v>
      </c>
      <c r="Q110" s="33">
        <v>0</v>
      </c>
      <c r="R110" s="33">
        <v>0</v>
      </c>
      <c r="S110" s="33">
        <f t="shared" ref="S110:S115" si="70">Q110-R110</f>
        <v>0</v>
      </c>
      <c r="T110" s="38">
        <f t="shared" ref="T110:T115" si="71">IFERROR((Q110/N110)*100%,"∞")</f>
        <v>0</v>
      </c>
      <c r="U110" s="59">
        <f t="shared" ref="U110:U115" si="72">N110+V110</f>
        <v>3062</v>
      </c>
      <c r="V110" s="93">
        <v>0</v>
      </c>
      <c r="W110" s="33">
        <v>0</v>
      </c>
      <c r="X110" s="33"/>
      <c r="Y110" s="33"/>
      <c r="Z110" s="42"/>
      <c r="AA110" s="60"/>
      <c r="AB110" s="105"/>
      <c r="AC110" s="93"/>
      <c r="AD110" s="33">
        <f t="shared" ref="AD110:AD115" si="73">SUM(AB110:AC110)</f>
        <v>0</v>
      </c>
      <c r="AE110" s="33">
        <f t="shared" ref="AE110:AE115" si="74">Q110+AD110</f>
        <v>0</v>
      </c>
      <c r="AF110" s="101">
        <f t="shared" ref="AF110:AF115" si="75">AE110-N110</f>
        <v>-3062</v>
      </c>
    </row>
    <row r="111" spans="2:32" ht="13" hidden="1" outlineLevel="1" x14ac:dyDescent="0.3">
      <c r="B111" s="79" t="s">
        <v>139</v>
      </c>
      <c r="C111" s="33">
        <v>602</v>
      </c>
      <c r="D111" s="33">
        <v>602</v>
      </c>
      <c r="E111" s="23">
        <v>0</v>
      </c>
      <c r="F111" s="23">
        <v>0</v>
      </c>
      <c r="G111" s="23">
        <v>0</v>
      </c>
      <c r="H111" s="23">
        <v>0</v>
      </c>
      <c r="I111" s="23">
        <v>0</v>
      </c>
      <c r="J111" s="23">
        <v>0</v>
      </c>
      <c r="K111" s="23">
        <f t="shared" si="67"/>
        <v>0</v>
      </c>
      <c r="L111" s="33">
        <f t="shared" si="68"/>
        <v>0</v>
      </c>
      <c r="M111" s="33">
        <f t="shared" si="69"/>
        <v>0</v>
      </c>
      <c r="N111" s="33">
        <v>602</v>
      </c>
      <c r="O111" s="33">
        <v>199</v>
      </c>
      <c r="P111" s="33">
        <v>0</v>
      </c>
      <c r="Q111" s="33">
        <v>199</v>
      </c>
      <c r="R111" s="33">
        <v>301</v>
      </c>
      <c r="S111" s="33">
        <f t="shared" si="70"/>
        <v>-102</v>
      </c>
      <c r="T111" s="38">
        <f t="shared" si="71"/>
        <v>0.33056478405315615</v>
      </c>
      <c r="U111" s="59">
        <f t="shared" si="72"/>
        <v>602</v>
      </c>
      <c r="V111" s="93">
        <v>0</v>
      </c>
      <c r="W111" s="33">
        <v>0</v>
      </c>
      <c r="X111" s="33"/>
      <c r="Y111" s="33"/>
      <c r="Z111" s="42"/>
      <c r="AA111" s="60"/>
      <c r="AB111" s="105"/>
      <c r="AC111" s="93"/>
      <c r="AD111" s="33">
        <f t="shared" si="73"/>
        <v>0</v>
      </c>
      <c r="AE111" s="33">
        <f t="shared" si="74"/>
        <v>199</v>
      </c>
      <c r="AF111" s="101">
        <f t="shared" si="75"/>
        <v>-403</v>
      </c>
    </row>
    <row r="112" spans="2:32" ht="13" hidden="1" outlineLevel="1" x14ac:dyDescent="0.3">
      <c r="B112" s="79" t="s">
        <v>141</v>
      </c>
      <c r="C112" s="33">
        <v>16219</v>
      </c>
      <c r="D112" s="33">
        <v>16219</v>
      </c>
      <c r="E112" s="23">
        <v>0</v>
      </c>
      <c r="F112" s="23">
        <v>0</v>
      </c>
      <c r="G112" s="23">
        <v>0</v>
      </c>
      <c r="H112" s="23">
        <v>0</v>
      </c>
      <c r="I112" s="23">
        <v>0</v>
      </c>
      <c r="J112" s="23">
        <v>0</v>
      </c>
      <c r="K112" s="23">
        <f t="shared" si="67"/>
        <v>0</v>
      </c>
      <c r="L112" s="33">
        <f t="shared" si="68"/>
        <v>0</v>
      </c>
      <c r="M112" s="33">
        <f t="shared" si="69"/>
        <v>0</v>
      </c>
      <c r="N112" s="33">
        <v>16219</v>
      </c>
      <c r="O112" s="33">
        <v>35</v>
      </c>
      <c r="P112" s="33">
        <v>0</v>
      </c>
      <c r="Q112" s="33">
        <v>35</v>
      </c>
      <c r="R112" s="33">
        <v>8110</v>
      </c>
      <c r="S112" s="33">
        <f t="shared" si="70"/>
        <v>-8075</v>
      </c>
      <c r="T112" s="38">
        <f t="shared" si="71"/>
        <v>2.1579628830384117E-3</v>
      </c>
      <c r="U112" s="59">
        <f t="shared" si="72"/>
        <v>14219</v>
      </c>
      <c r="V112" s="93">
        <v>-2000</v>
      </c>
      <c r="W112" s="33">
        <v>-2500</v>
      </c>
      <c r="X112" s="33"/>
      <c r="Y112" s="33"/>
      <c r="Z112" s="42"/>
      <c r="AA112" s="60"/>
      <c r="AB112" s="105"/>
      <c r="AC112" s="93"/>
      <c r="AD112" s="33">
        <f t="shared" si="73"/>
        <v>0</v>
      </c>
      <c r="AE112" s="33">
        <f t="shared" si="74"/>
        <v>35</v>
      </c>
      <c r="AF112" s="101">
        <f t="shared" si="75"/>
        <v>-16184</v>
      </c>
    </row>
    <row r="113" spans="2:32" ht="13" hidden="1" outlineLevel="1" x14ac:dyDescent="0.3">
      <c r="B113" s="79" t="s">
        <v>142</v>
      </c>
      <c r="C113" s="33">
        <v>-7964</v>
      </c>
      <c r="D113" s="33">
        <v>-7964</v>
      </c>
      <c r="E113" s="23">
        <v>0</v>
      </c>
      <c r="F113" s="23">
        <v>0</v>
      </c>
      <c r="G113" s="23">
        <v>0</v>
      </c>
      <c r="H113" s="23">
        <v>0</v>
      </c>
      <c r="I113" s="23">
        <v>0</v>
      </c>
      <c r="J113" s="23">
        <v>0</v>
      </c>
      <c r="K113" s="23">
        <f t="shared" si="67"/>
        <v>0</v>
      </c>
      <c r="L113" s="33">
        <f t="shared" si="68"/>
        <v>0</v>
      </c>
      <c r="M113" s="33">
        <f t="shared" si="69"/>
        <v>0</v>
      </c>
      <c r="N113" s="33">
        <v>-7964</v>
      </c>
      <c r="O113" s="33">
        <v>0</v>
      </c>
      <c r="P113" s="33">
        <v>283</v>
      </c>
      <c r="Q113" s="33">
        <v>283</v>
      </c>
      <c r="R113" s="33">
        <v>-3982</v>
      </c>
      <c r="S113" s="33">
        <f t="shared" si="70"/>
        <v>4265</v>
      </c>
      <c r="T113" s="38">
        <f t="shared" si="71"/>
        <v>-3.5534907081868405E-2</v>
      </c>
      <c r="U113" s="59">
        <f t="shared" si="72"/>
        <v>-7964</v>
      </c>
      <c r="V113" s="93">
        <v>0</v>
      </c>
      <c r="W113" s="33">
        <v>0</v>
      </c>
      <c r="X113" s="33"/>
      <c r="Y113" s="33"/>
      <c r="Z113" s="42"/>
      <c r="AA113" s="60"/>
      <c r="AB113" s="105"/>
      <c r="AC113" s="93"/>
      <c r="AD113" s="33">
        <f t="shared" si="73"/>
        <v>0</v>
      </c>
      <c r="AE113" s="33">
        <f t="shared" si="74"/>
        <v>283</v>
      </c>
      <c r="AF113" s="101">
        <f t="shared" si="75"/>
        <v>8247</v>
      </c>
    </row>
    <row r="114" spans="2:32" ht="13" hidden="1" outlineLevel="1" x14ac:dyDescent="0.3">
      <c r="B114" s="79" t="s">
        <v>143</v>
      </c>
      <c r="C114" s="33">
        <v>-14548</v>
      </c>
      <c r="D114" s="33">
        <v>-14548</v>
      </c>
      <c r="E114" s="23">
        <v>0</v>
      </c>
      <c r="F114" s="23">
        <v>0</v>
      </c>
      <c r="G114" s="23">
        <v>0</v>
      </c>
      <c r="H114" s="23">
        <v>0</v>
      </c>
      <c r="I114" s="23">
        <v>0</v>
      </c>
      <c r="J114" s="23">
        <v>0</v>
      </c>
      <c r="K114" s="23">
        <f t="shared" si="67"/>
        <v>0</v>
      </c>
      <c r="L114" s="33">
        <f t="shared" si="68"/>
        <v>0</v>
      </c>
      <c r="M114" s="33">
        <f t="shared" si="69"/>
        <v>0</v>
      </c>
      <c r="N114" s="33">
        <v>-14548</v>
      </c>
      <c r="O114" s="33">
        <v>0</v>
      </c>
      <c r="P114" s="33">
        <v>0</v>
      </c>
      <c r="Q114" s="33">
        <v>0</v>
      </c>
      <c r="R114" s="33">
        <v>-7274</v>
      </c>
      <c r="S114" s="33">
        <f t="shared" si="70"/>
        <v>7274</v>
      </c>
      <c r="T114" s="38">
        <f t="shared" si="71"/>
        <v>0</v>
      </c>
      <c r="U114" s="59">
        <f t="shared" si="72"/>
        <v>-14548</v>
      </c>
      <c r="V114" s="93">
        <v>0</v>
      </c>
      <c r="W114" s="33">
        <v>0</v>
      </c>
      <c r="X114" s="33"/>
      <c r="Y114" s="33"/>
      <c r="Z114" s="42"/>
      <c r="AA114" s="60"/>
      <c r="AB114" s="105"/>
      <c r="AC114" s="93"/>
      <c r="AD114" s="33">
        <f t="shared" si="73"/>
        <v>0</v>
      </c>
      <c r="AE114" s="33">
        <f t="shared" si="74"/>
        <v>0</v>
      </c>
      <c r="AF114" s="101">
        <f t="shared" si="75"/>
        <v>14548</v>
      </c>
    </row>
    <row r="115" spans="2:32" ht="13" hidden="1" outlineLevel="1" x14ac:dyDescent="0.3">
      <c r="B115" s="79" t="s">
        <v>144</v>
      </c>
      <c r="C115" s="33">
        <v>-757</v>
      </c>
      <c r="D115" s="33">
        <v>-757</v>
      </c>
      <c r="E115" s="23">
        <v>0</v>
      </c>
      <c r="F115" s="23">
        <v>0</v>
      </c>
      <c r="G115" s="23">
        <v>0</v>
      </c>
      <c r="H115" s="23">
        <v>0</v>
      </c>
      <c r="I115" s="23">
        <v>0</v>
      </c>
      <c r="J115" s="23">
        <v>0</v>
      </c>
      <c r="K115" s="23">
        <f t="shared" si="67"/>
        <v>0</v>
      </c>
      <c r="L115" s="33">
        <f t="shared" si="68"/>
        <v>0</v>
      </c>
      <c r="M115" s="33">
        <f t="shared" si="69"/>
        <v>0</v>
      </c>
      <c r="N115" s="33">
        <v>-757</v>
      </c>
      <c r="O115" s="33">
        <v>0</v>
      </c>
      <c r="P115" s="33">
        <v>0</v>
      </c>
      <c r="Q115" s="33">
        <v>0</v>
      </c>
      <c r="R115" s="33">
        <v>-379</v>
      </c>
      <c r="S115" s="33">
        <f t="shared" si="70"/>
        <v>379</v>
      </c>
      <c r="T115" s="38">
        <f t="shared" si="71"/>
        <v>0</v>
      </c>
      <c r="U115" s="59">
        <f t="shared" si="72"/>
        <v>-757</v>
      </c>
      <c r="V115" s="93">
        <v>0</v>
      </c>
      <c r="W115" s="33">
        <v>0</v>
      </c>
      <c r="X115" s="33"/>
      <c r="Y115" s="33"/>
      <c r="Z115" s="42"/>
      <c r="AA115" s="60"/>
      <c r="AB115" s="105"/>
      <c r="AC115" s="93"/>
      <c r="AD115" s="33">
        <f t="shared" si="73"/>
        <v>0</v>
      </c>
      <c r="AE115" s="33">
        <f t="shared" si="74"/>
        <v>0</v>
      </c>
      <c r="AF115" s="101">
        <f t="shared" si="75"/>
        <v>757</v>
      </c>
    </row>
    <row r="116" spans="2:32" ht="13" hidden="1" outlineLevel="1" x14ac:dyDescent="0.3">
      <c r="B116" s="79" t="s">
        <v>146</v>
      </c>
      <c r="C116" s="33">
        <v>744</v>
      </c>
      <c r="D116" s="33">
        <v>744</v>
      </c>
      <c r="E116" s="23">
        <v>0</v>
      </c>
      <c r="F116" s="23">
        <v>0</v>
      </c>
      <c r="G116" s="23">
        <v>0</v>
      </c>
      <c r="H116" s="23">
        <v>0</v>
      </c>
      <c r="I116" s="23">
        <v>0</v>
      </c>
      <c r="J116" s="23">
        <v>0</v>
      </c>
      <c r="K116" s="23">
        <f>SUM(E116:J116)</f>
        <v>0</v>
      </c>
      <c r="L116" s="33">
        <f>N116-D116</f>
        <v>0</v>
      </c>
      <c r="M116" s="33">
        <f>N116-C116</f>
        <v>0</v>
      </c>
      <c r="N116" s="33">
        <v>744</v>
      </c>
      <c r="O116" s="33">
        <v>0</v>
      </c>
      <c r="P116" s="33">
        <v>0</v>
      </c>
      <c r="Q116" s="33">
        <v>0</v>
      </c>
      <c r="R116" s="33">
        <v>372</v>
      </c>
      <c r="S116" s="33">
        <f>Q116-R116</f>
        <v>-372</v>
      </c>
      <c r="T116" s="38">
        <f>IFERROR((Q116/N116)*100%,"∞")</f>
        <v>0</v>
      </c>
      <c r="U116" s="59">
        <f>N116+V116</f>
        <v>744</v>
      </c>
      <c r="V116" s="93">
        <v>0</v>
      </c>
      <c r="W116" s="33">
        <v>0</v>
      </c>
      <c r="X116" s="33"/>
      <c r="Y116" s="33"/>
      <c r="Z116" s="42"/>
      <c r="AA116" s="60"/>
      <c r="AB116" s="105"/>
      <c r="AC116" s="93"/>
      <c r="AD116" s="33">
        <f>SUM(AB116:AC116)</f>
        <v>0</v>
      </c>
      <c r="AE116" s="33">
        <f>Q116+AD116</f>
        <v>0</v>
      </c>
      <c r="AF116" s="101">
        <f>AE116-N116</f>
        <v>-744</v>
      </c>
    </row>
    <row r="117" spans="2:32" ht="13" hidden="1" outlineLevel="1" x14ac:dyDescent="0.3">
      <c r="B117" s="79" t="s">
        <v>148</v>
      </c>
      <c r="C117" s="33">
        <v>-352</v>
      </c>
      <c r="D117" s="33">
        <v>-352</v>
      </c>
      <c r="E117" s="23">
        <v>0</v>
      </c>
      <c r="F117" s="23">
        <v>0</v>
      </c>
      <c r="G117" s="23">
        <v>0</v>
      </c>
      <c r="H117" s="23">
        <v>0</v>
      </c>
      <c r="I117" s="23">
        <v>0</v>
      </c>
      <c r="J117" s="23">
        <v>0</v>
      </c>
      <c r="K117" s="23">
        <f>SUM(E117:J117)</f>
        <v>0</v>
      </c>
      <c r="L117" s="33">
        <f>N117-D117</f>
        <v>0</v>
      </c>
      <c r="M117" s="33">
        <f>N117-C117</f>
        <v>0</v>
      </c>
      <c r="N117" s="33">
        <v>-352</v>
      </c>
      <c r="O117" s="33">
        <v>0</v>
      </c>
      <c r="P117" s="33">
        <v>-176</v>
      </c>
      <c r="Q117" s="33">
        <v>-176</v>
      </c>
      <c r="R117" s="33">
        <v>-176</v>
      </c>
      <c r="S117" s="33">
        <f>Q117-R117</f>
        <v>0</v>
      </c>
      <c r="T117" s="38">
        <f>IFERROR((Q117/N117)*100%,"∞")</f>
        <v>0.5</v>
      </c>
      <c r="U117" s="59">
        <f>N117+V117</f>
        <v>-352</v>
      </c>
      <c r="V117" s="93">
        <v>0</v>
      </c>
      <c r="W117" s="33">
        <v>0</v>
      </c>
      <c r="X117" s="33"/>
      <c r="Y117" s="33"/>
      <c r="Z117" s="42"/>
      <c r="AA117" s="60"/>
      <c r="AB117" s="105"/>
      <c r="AC117" s="93"/>
      <c r="AD117" s="33">
        <f>SUM(AB117:AC117)</f>
        <v>0</v>
      </c>
      <c r="AE117" s="33">
        <f>Q117+AD117</f>
        <v>-176</v>
      </c>
      <c r="AF117" s="101">
        <f>AE117-N117</f>
        <v>176</v>
      </c>
    </row>
    <row r="118" spans="2:32" ht="13" collapsed="1" x14ac:dyDescent="0.3">
      <c r="B118" s="85"/>
      <c r="C118" s="86"/>
      <c r="D118" s="86"/>
      <c r="E118" s="87"/>
      <c r="F118" s="87"/>
      <c r="G118" s="87"/>
      <c r="H118" s="87"/>
      <c r="I118" s="87"/>
      <c r="J118" s="87"/>
      <c r="K118" s="87"/>
      <c r="L118" s="86"/>
      <c r="M118" s="86"/>
      <c r="N118" s="86"/>
      <c r="O118" s="86"/>
      <c r="P118" s="86"/>
      <c r="Q118" s="86"/>
      <c r="R118" s="86"/>
      <c r="S118" s="86"/>
      <c r="T118" s="86"/>
      <c r="U118" s="88"/>
      <c r="V118" s="829"/>
      <c r="W118" s="86"/>
      <c r="X118" s="86"/>
      <c r="Y118" s="86"/>
      <c r="Z118" s="89"/>
      <c r="AA118" s="60"/>
      <c r="AB118" s="98"/>
      <c r="AC118" s="36"/>
      <c r="AD118" s="36"/>
      <c r="AE118" s="36"/>
      <c r="AF118" s="99"/>
    </row>
    <row r="119" spans="2:32" ht="13" x14ac:dyDescent="0.3">
      <c r="B119" s="78" t="s">
        <v>149</v>
      </c>
      <c r="C119" s="34">
        <f t="shared" ref="C119:J119" si="76">SUM(C120:C124)</f>
        <v>8556</v>
      </c>
      <c r="D119" s="34">
        <f t="shared" si="76"/>
        <v>1167</v>
      </c>
      <c r="E119" s="24">
        <f t="shared" si="76"/>
        <v>0</v>
      </c>
      <c r="F119" s="24">
        <f t="shared" si="76"/>
        <v>0</v>
      </c>
      <c r="G119" s="24">
        <f t="shared" si="76"/>
        <v>-7390</v>
      </c>
      <c r="H119" s="24">
        <f t="shared" si="76"/>
        <v>0</v>
      </c>
      <c r="I119" s="24">
        <f t="shared" si="76"/>
        <v>0</v>
      </c>
      <c r="J119" s="24">
        <f t="shared" si="76"/>
        <v>0</v>
      </c>
      <c r="K119" s="24">
        <f>SUM(E119:J119)</f>
        <v>-7390</v>
      </c>
      <c r="L119" s="34">
        <f>N119-D119</f>
        <v>0</v>
      </c>
      <c r="M119" s="34">
        <f>N119-C119</f>
        <v>-7389</v>
      </c>
      <c r="N119" s="34">
        <f>SUM(N120:N124)</f>
        <v>1167</v>
      </c>
      <c r="O119" s="34">
        <f>SUM(O120:O124)</f>
        <v>0</v>
      </c>
      <c r="P119" s="34">
        <f>SUM(P120:P124)</f>
        <v>0</v>
      </c>
      <c r="Q119" s="34">
        <f>SUM(Q120:Q124)</f>
        <v>0</v>
      </c>
      <c r="R119" s="34">
        <f>SUM(R120:R124)</f>
        <v>335</v>
      </c>
      <c r="S119" s="34">
        <f>Q119-R119</f>
        <v>-335</v>
      </c>
      <c r="T119" s="94">
        <f>IFERROR((Q119/N119)*100%,"∞")</f>
        <v>0</v>
      </c>
      <c r="U119" s="95">
        <f>N119+V119</f>
        <v>1167</v>
      </c>
      <c r="V119" s="793">
        <f>SUM(V120:V124)</f>
        <v>0</v>
      </c>
      <c r="W119" s="34">
        <f>SUM(W120:W124)</f>
        <v>0</v>
      </c>
      <c r="X119" s="34"/>
      <c r="Y119" s="34"/>
      <c r="Z119" s="41"/>
      <c r="AA119" s="60"/>
      <c r="AB119" s="100">
        <f>SUM(AB120:AB124)</f>
        <v>0</v>
      </c>
      <c r="AC119" s="33">
        <f>SUM(AC120:AC124)</f>
        <v>0</v>
      </c>
      <c r="AD119" s="33">
        <f>SUM(AD120:AD124)</f>
        <v>0</v>
      </c>
      <c r="AE119" s="33">
        <f>SUM(AE120:AE124)</f>
        <v>0</v>
      </c>
      <c r="AF119" s="101">
        <f>SUM(AF120:AF124)</f>
        <v>-1167</v>
      </c>
    </row>
    <row r="120" spans="2:32" ht="13" hidden="1" outlineLevel="1" x14ac:dyDescent="0.3">
      <c r="B120" s="79" t="s">
        <v>150</v>
      </c>
      <c r="C120" s="33">
        <v>1200</v>
      </c>
      <c r="D120" s="33">
        <v>219</v>
      </c>
      <c r="E120" s="23">
        <v>0</v>
      </c>
      <c r="F120" s="23">
        <v>0</v>
      </c>
      <c r="G120" s="23">
        <v>-981</v>
      </c>
      <c r="H120" s="23">
        <v>0</v>
      </c>
      <c r="I120" s="23">
        <v>0</v>
      </c>
      <c r="J120" s="23">
        <v>0</v>
      </c>
      <c r="K120" s="23">
        <f>SUM(E120:J120)</f>
        <v>-981</v>
      </c>
      <c r="L120" s="33">
        <f>N120-D120</f>
        <v>0</v>
      </c>
      <c r="M120" s="33">
        <f>N120-C120</f>
        <v>-981</v>
      </c>
      <c r="N120" s="33">
        <v>219</v>
      </c>
      <c r="O120" s="33">
        <v>0</v>
      </c>
      <c r="P120" s="33">
        <v>0</v>
      </c>
      <c r="Q120" s="33">
        <v>0</v>
      </c>
      <c r="R120" s="33">
        <v>110</v>
      </c>
      <c r="S120" s="33">
        <f>Q120-R120</f>
        <v>-110</v>
      </c>
      <c r="T120" s="38">
        <f>IFERROR((Q120/N120)*100%,"∞")</f>
        <v>0</v>
      </c>
      <c r="U120" s="59">
        <f>N120+V120</f>
        <v>219</v>
      </c>
      <c r="V120" s="93">
        <v>0</v>
      </c>
      <c r="W120" s="33">
        <v>0</v>
      </c>
      <c r="X120" s="33"/>
      <c r="Y120" s="33"/>
      <c r="Z120" s="42"/>
      <c r="AA120" s="60"/>
      <c r="AB120" s="105"/>
      <c r="AC120" s="93"/>
      <c r="AD120" s="33">
        <f>SUM(AB120:AC120)</f>
        <v>0</v>
      </c>
      <c r="AE120" s="33">
        <f>Q120+AD120</f>
        <v>0</v>
      </c>
      <c r="AF120" s="101">
        <f>AE120-N120</f>
        <v>-219</v>
      </c>
    </row>
    <row r="121" spans="2:32" ht="13" hidden="1" outlineLevel="1" x14ac:dyDescent="0.3">
      <c r="B121" s="79" t="s">
        <v>151</v>
      </c>
      <c r="C121" s="33">
        <v>-400</v>
      </c>
      <c r="D121" s="33">
        <v>-400</v>
      </c>
      <c r="E121" s="23">
        <v>0</v>
      </c>
      <c r="F121" s="23">
        <v>0</v>
      </c>
      <c r="G121" s="23">
        <v>0</v>
      </c>
      <c r="H121" s="23">
        <v>0</v>
      </c>
      <c r="I121" s="23">
        <v>0</v>
      </c>
      <c r="J121" s="23">
        <v>0</v>
      </c>
      <c r="K121" s="23">
        <f t="shared" ref="K121:K123" si="77">SUM(E121:J121)</f>
        <v>0</v>
      </c>
      <c r="L121" s="33">
        <f t="shared" ref="L121:L123" si="78">N121-D121</f>
        <v>0</v>
      </c>
      <c r="M121" s="33">
        <f t="shared" ref="M121:M123" si="79">N121-C121</f>
        <v>0</v>
      </c>
      <c r="N121" s="33">
        <v>-400</v>
      </c>
      <c r="O121" s="33">
        <v>0</v>
      </c>
      <c r="P121" s="33">
        <v>0</v>
      </c>
      <c r="Q121" s="33">
        <v>0</v>
      </c>
      <c r="R121" s="33">
        <v>-200</v>
      </c>
      <c r="S121" s="33">
        <f t="shared" ref="S121:S123" si="80">Q121-R121</f>
        <v>200</v>
      </c>
      <c r="T121" s="38">
        <f t="shared" ref="T121:T123" si="81">IFERROR((Q121/N121)*100%,"∞")</f>
        <v>0</v>
      </c>
      <c r="U121" s="59">
        <f t="shared" ref="U121:U123" si="82">N121+V121</f>
        <v>-400</v>
      </c>
      <c r="V121" s="93">
        <v>0</v>
      </c>
      <c r="W121" s="33">
        <v>0</v>
      </c>
      <c r="X121" s="33"/>
      <c r="Y121" s="33"/>
      <c r="Z121" s="42"/>
      <c r="AA121" s="60"/>
      <c r="AB121" s="105"/>
      <c r="AC121" s="93"/>
      <c r="AD121" s="33">
        <f t="shared" ref="AD121:AD123" si="83">SUM(AB121:AC121)</f>
        <v>0</v>
      </c>
      <c r="AE121" s="33">
        <f t="shared" ref="AE121:AE123" si="84">Q121+AD121</f>
        <v>0</v>
      </c>
      <c r="AF121" s="101">
        <f t="shared" ref="AF121:AF123" si="85">AE121-N121</f>
        <v>400</v>
      </c>
    </row>
    <row r="122" spans="2:32" ht="13" hidden="1" outlineLevel="1" x14ac:dyDescent="0.3">
      <c r="B122" s="79" t="s">
        <v>152</v>
      </c>
      <c r="C122" s="33">
        <v>7053</v>
      </c>
      <c r="D122" s="33">
        <v>1143</v>
      </c>
      <c r="E122" s="23">
        <v>0</v>
      </c>
      <c r="F122" s="23">
        <v>0</v>
      </c>
      <c r="G122" s="23">
        <v>-5911</v>
      </c>
      <c r="H122" s="23">
        <v>0</v>
      </c>
      <c r="I122" s="23">
        <v>0</v>
      </c>
      <c r="J122" s="23">
        <v>0</v>
      </c>
      <c r="K122" s="23">
        <f t="shared" si="77"/>
        <v>-5911</v>
      </c>
      <c r="L122" s="33">
        <f t="shared" si="78"/>
        <v>0</v>
      </c>
      <c r="M122" s="33">
        <f t="shared" si="79"/>
        <v>-5910</v>
      </c>
      <c r="N122" s="33">
        <v>1143</v>
      </c>
      <c r="O122" s="33">
        <v>0</v>
      </c>
      <c r="P122" s="33">
        <v>0</v>
      </c>
      <c r="Q122" s="33">
        <v>0</v>
      </c>
      <c r="R122" s="33">
        <v>571</v>
      </c>
      <c r="S122" s="33">
        <f t="shared" si="80"/>
        <v>-571</v>
      </c>
      <c r="T122" s="38">
        <f t="shared" si="81"/>
        <v>0</v>
      </c>
      <c r="U122" s="59">
        <f t="shared" si="82"/>
        <v>1143</v>
      </c>
      <c r="V122" s="93">
        <v>0</v>
      </c>
      <c r="W122" s="33">
        <v>0</v>
      </c>
      <c r="X122" s="33"/>
      <c r="Y122" s="33"/>
      <c r="Z122" s="42"/>
      <c r="AA122" s="60"/>
      <c r="AB122" s="105"/>
      <c r="AC122" s="93"/>
      <c r="AD122" s="33">
        <f t="shared" si="83"/>
        <v>0</v>
      </c>
      <c r="AE122" s="33">
        <f t="shared" si="84"/>
        <v>0</v>
      </c>
      <c r="AF122" s="101">
        <f t="shared" si="85"/>
        <v>-1143</v>
      </c>
    </row>
    <row r="123" spans="2:32" ht="13" hidden="1" outlineLevel="1" x14ac:dyDescent="0.3">
      <c r="B123" s="79" t="s">
        <v>153</v>
      </c>
      <c r="C123" s="33">
        <v>171</v>
      </c>
      <c r="D123" s="33">
        <v>-29</v>
      </c>
      <c r="E123" s="23">
        <v>0</v>
      </c>
      <c r="F123" s="23">
        <v>0</v>
      </c>
      <c r="G123" s="23">
        <v>-200</v>
      </c>
      <c r="H123" s="23">
        <v>0</v>
      </c>
      <c r="I123" s="23">
        <v>0</v>
      </c>
      <c r="J123" s="23">
        <v>0</v>
      </c>
      <c r="K123" s="23">
        <f t="shared" si="77"/>
        <v>-200</v>
      </c>
      <c r="L123" s="33">
        <f t="shared" si="78"/>
        <v>0</v>
      </c>
      <c r="M123" s="33">
        <f t="shared" si="79"/>
        <v>-200</v>
      </c>
      <c r="N123" s="33">
        <v>-29</v>
      </c>
      <c r="O123" s="33">
        <v>0</v>
      </c>
      <c r="P123" s="33">
        <v>0</v>
      </c>
      <c r="Q123" s="33">
        <v>0</v>
      </c>
      <c r="R123" s="33">
        <v>-114</v>
      </c>
      <c r="S123" s="33">
        <f t="shared" si="80"/>
        <v>114</v>
      </c>
      <c r="T123" s="38">
        <f t="shared" si="81"/>
        <v>0</v>
      </c>
      <c r="U123" s="59">
        <f t="shared" si="82"/>
        <v>-29</v>
      </c>
      <c r="V123" s="93">
        <v>0</v>
      </c>
      <c r="W123" s="33">
        <v>0</v>
      </c>
      <c r="X123" s="33"/>
      <c r="Y123" s="33"/>
      <c r="Z123" s="42"/>
      <c r="AA123" s="60"/>
      <c r="AB123" s="105"/>
      <c r="AC123" s="93"/>
      <c r="AD123" s="33">
        <f t="shared" si="83"/>
        <v>0</v>
      </c>
      <c r="AE123" s="33">
        <f t="shared" si="84"/>
        <v>0</v>
      </c>
      <c r="AF123" s="101">
        <f t="shared" si="85"/>
        <v>29</v>
      </c>
    </row>
    <row r="124" spans="2:32" ht="13" hidden="1" outlineLevel="1" x14ac:dyDescent="0.3">
      <c r="B124" s="79" t="s">
        <v>154</v>
      </c>
      <c r="C124" s="33">
        <v>532</v>
      </c>
      <c r="D124" s="33">
        <v>234</v>
      </c>
      <c r="E124" s="23">
        <v>0</v>
      </c>
      <c r="F124" s="23">
        <v>0</v>
      </c>
      <c r="G124" s="23">
        <v>-298</v>
      </c>
      <c r="H124" s="23">
        <v>0</v>
      </c>
      <c r="I124" s="23">
        <v>0</v>
      </c>
      <c r="J124" s="23">
        <v>0</v>
      </c>
      <c r="K124" s="23">
        <f>SUM(E124:J124)</f>
        <v>-298</v>
      </c>
      <c r="L124" s="33">
        <f>N124-D124</f>
        <v>0</v>
      </c>
      <c r="M124" s="33">
        <f>N124-C124</f>
        <v>-298</v>
      </c>
      <c r="N124" s="33">
        <v>234</v>
      </c>
      <c r="O124" s="33">
        <v>0</v>
      </c>
      <c r="P124" s="33">
        <v>0</v>
      </c>
      <c r="Q124" s="33">
        <v>0</v>
      </c>
      <c r="R124" s="33">
        <v>-32</v>
      </c>
      <c r="S124" s="33">
        <f>Q124-R124</f>
        <v>32</v>
      </c>
      <c r="T124" s="38">
        <f>IFERROR((Q124/N124)*100%,"∞")</f>
        <v>0</v>
      </c>
      <c r="U124" s="59">
        <f>N124+V124</f>
        <v>234</v>
      </c>
      <c r="V124" s="93">
        <v>0</v>
      </c>
      <c r="W124" s="33">
        <v>0</v>
      </c>
      <c r="X124" s="33"/>
      <c r="Y124" s="33"/>
      <c r="Z124" s="42"/>
      <c r="AA124" s="60"/>
      <c r="AB124" s="105"/>
      <c r="AC124" s="93"/>
      <c r="AD124" s="33">
        <f>SUM(AB124:AC124)</f>
        <v>0</v>
      </c>
      <c r="AE124" s="33">
        <f>Q124+AD124</f>
        <v>0</v>
      </c>
      <c r="AF124" s="101">
        <f>AE124-N124</f>
        <v>-234</v>
      </c>
    </row>
    <row r="125" spans="2:32" ht="13.5" collapsed="1" thickBot="1" x14ac:dyDescent="0.35">
      <c r="B125" s="80"/>
      <c r="C125" s="81"/>
      <c r="D125" s="81"/>
      <c r="E125" s="82"/>
      <c r="F125" s="82"/>
      <c r="G125" s="82"/>
      <c r="H125" s="82"/>
      <c r="I125" s="82"/>
      <c r="J125" s="82"/>
      <c r="K125" s="82"/>
      <c r="L125" s="81"/>
      <c r="M125" s="81"/>
      <c r="N125" s="81"/>
      <c r="O125" s="81"/>
      <c r="P125" s="81"/>
      <c r="Q125" s="81"/>
      <c r="R125" s="81"/>
      <c r="S125" s="81"/>
      <c r="T125" s="81"/>
      <c r="U125" s="83"/>
      <c r="V125" s="827"/>
      <c r="W125" s="81"/>
      <c r="X125" s="81"/>
      <c r="Y125" s="81"/>
      <c r="Z125" s="84"/>
      <c r="AA125" s="60"/>
      <c r="AB125" s="100"/>
      <c r="AC125" s="33"/>
      <c r="AD125" s="33"/>
      <c r="AE125" s="33"/>
      <c r="AF125" s="101"/>
    </row>
    <row r="126" spans="2:32" ht="13.5" thickBot="1" x14ac:dyDescent="0.35">
      <c r="B126" s="91" t="s">
        <v>155</v>
      </c>
      <c r="C126" s="76">
        <f t="shared" ref="C126:J126" si="86">C108+C119</f>
        <v>5942</v>
      </c>
      <c r="D126" s="76">
        <f t="shared" si="86"/>
        <v>-447</v>
      </c>
      <c r="E126" s="76">
        <f t="shared" si="86"/>
        <v>0</v>
      </c>
      <c r="F126" s="76">
        <f t="shared" si="86"/>
        <v>0</v>
      </c>
      <c r="G126" s="76">
        <f t="shared" si="86"/>
        <v>-6390</v>
      </c>
      <c r="H126" s="76">
        <f t="shared" si="86"/>
        <v>0</v>
      </c>
      <c r="I126" s="76">
        <f t="shared" si="86"/>
        <v>0</v>
      </c>
      <c r="J126" s="76">
        <f t="shared" si="86"/>
        <v>0</v>
      </c>
      <c r="K126" s="76">
        <f>SUM(E126:J126)</f>
        <v>-6390</v>
      </c>
      <c r="L126" s="76">
        <f>N126-D126</f>
        <v>0</v>
      </c>
      <c r="M126" s="76">
        <f>N126-C126</f>
        <v>-6389</v>
      </c>
      <c r="N126" s="76">
        <f>N108+N119</f>
        <v>-447</v>
      </c>
      <c r="O126" s="76">
        <f>O108+O119</f>
        <v>18519</v>
      </c>
      <c r="P126" s="76">
        <f>P108+P119</f>
        <v>3119</v>
      </c>
      <c r="Q126" s="76">
        <f>Q108+Q119</f>
        <v>21639</v>
      </c>
      <c r="R126" s="76">
        <f>R108+R119</f>
        <v>-2003</v>
      </c>
      <c r="S126" s="76">
        <f>Q126-R126</f>
        <v>23642</v>
      </c>
      <c r="T126" s="92">
        <f>IFERROR((Q126/N126)*100%,"∞")</f>
        <v>-48.409395973154361</v>
      </c>
      <c r="U126" s="76">
        <f>N126+V126</f>
        <v>-1647</v>
      </c>
      <c r="V126" s="828">
        <f>V108+V119</f>
        <v>-1200</v>
      </c>
      <c r="W126" s="76">
        <f>W108+W119</f>
        <v>-1700</v>
      </c>
      <c r="X126" s="76">
        <f>X108+X119</f>
        <v>0</v>
      </c>
      <c r="Y126" s="76">
        <f>Y108+Y119</f>
        <v>0</v>
      </c>
      <c r="Z126" s="76">
        <f>Z108+Z119</f>
        <v>0</v>
      </c>
      <c r="AA126" s="60"/>
      <c r="AB126" s="76">
        <f>AB108+AB119</f>
        <v>0</v>
      </c>
      <c r="AC126" s="76">
        <f>AC108+AC119</f>
        <v>0</v>
      </c>
      <c r="AD126" s="76">
        <f>AD108+AD119</f>
        <v>0</v>
      </c>
      <c r="AE126" s="76">
        <f>AE108+AE119</f>
        <v>21639</v>
      </c>
      <c r="AF126" s="76">
        <f>AF108+AF119</f>
        <v>22086</v>
      </c>
    </row>
    <row r="127" spans="2:32" ht="14" thickTop="1" thickBot="1" x14ac:dyDescent="0.35">
      <c r="B127" s="80"/>
      <c r="C127" s="81"/>
      <c r="D127" s="81"/>
      <c r="E127" s="82"/>
      <c r="F127" s="82"/>
      <c r="G127" s="82"/>
      <c r="H127" s="82"/>
      <c r="I127" s="82"/>
      <c r="J127" s="82"/>
      <c r="K127" s="82"/>
      <c r="L127" s="81"/>
      <c r="M127" s="81"/>
      <c r="N127" s="81"/>
      <c r="O127" s="81"/>
      <c r="P127" s="81"/>
      <c r="Q127" s="81"/>
      <c r="R127" s="81"/>
      <c r="S127" s="81"/>
      <c r="T127" s="81"/>
      <c r="U127" s="83"/>
      <c r="V127" s="827"/>
      <c r="W127" s="81"/>
      <c r="X127" s="81"/>
      <c r="Y127" s="81"/>
      <c r="Z127" s="84"/>
      <c r="AA127" s="60"/>
      <c r="AB127" s="100"/>
      <c r="AC127" s="33"/>
      <c r="AD127" s="33"/>
      <c r="AE127" s="33"/>
      <c r="AF127" s="101"/>
    </row>
    <row r="128" spans="2:32" ht="13.5" thickBot="1" x14ac:dyDescent="0.35">
      <c r="B128" s="91" t="s">
        <v>156</v>
      </c>
      <c r="C128" s="76">
        <f t="shared" ref="C128:J128" si="87">C85+C106+C126</f>
        <v>29971</v>
      </c>
      <c r="D128" s="76">
        <f t="shared" si="87"/>
        <v>30111</v>
      </c>
      <c r="E128" s="76">
        <f t="shared" si="87"/>
        <v>141</v>
      </c>
      <c r="F128" s="76">
        <f t="shared" si="87"/>
        <v>68</v>
      </c>
      <c r="G128" s="76">
        <f t="shared" si="87"/>
        <v>-2</v>
      </c>
      <c r="H128" s="76">
        <f t="shared" si="87"/>
        <v>0</v>
      </c>
      <c r="I128" s="76">
        <f t="shared" si="87"/>
        <v>0</v>
      </c>
      <c r="J128" s="76">
        <f t="shared" si="87"/>
        <v>0</v>
      </c>
      <c r="K128" s="76">
        <f>SUM(E128:J128)</f>
        <v>207</v>
      </c>
      <c r="L128" s="76">
        <f>N128-D128</f>
        <v>67</v>
      </c>
      <c r="M128" s="76">
        <f>N128-C128</f>
        <v>207</v>
      </c>
      <c r="N128" s="76">
        <f>N85+N106+N126</f>
        <v>30178</v>
      </c>
      <c r="O128" s="76">
        <f>O85+O106+O126</f>
        <v>67919</v>
      </c>
      <c r="P128" s="76">
        <f>P85+P106+P126</f>
        <v>-24087</v>
      </c>
      <c r="Q128" s="76">
        <f>Q85+Q106+Q126</f>
        <v>43579</v>
      </c>
      <c r="R128" s="76">
        <f>R85+R106+R126</f>
        <v>14810</v>
      </c>
      <c r="S128" s="76">
        <f>Q128-R128</f>
        <v>28769</v>
      </c>
      <c r="T128" s="92">
        <f>IFERROR((Q128/N128)*100%,"∞")</f>
        <v>1.4440652130691232</v>
      </c>
      <c r="U128" s="76">
        <f>N128+V128</f>
        <v>31457</v>
      </c>
      <c r="V128" s="828">
        <f>V85+V106+V126</f>
        <v>1279</v>
      </c>
      <c r="W128" s="76">
        <f>W85+W106+W126</f>
        <v>2132</v>
      </c>
      <c r="X128" s="76">
        <f>X85+X106+X126</f>
        <v>0</v>
      </c>
      <c r="Y128" s="76">
        <f>Y85+Y106+Y126</f>
        <v>0</v>
      </c>
      <c r="Z128" s="76">
        <f>Z85+Z106+Z126</f>
        <v>0</v>
      </c>
      <c r="AA128" s="60"/>
      <c r="AB128" s="76">
        <f>AB85+AB106+AB126</f>
        <v>0</v>
      </c>
      <c r="AC128" s="76">
        <f>AC85+AC106+AC126</f>
        <v>0</v>
      </c>
      <c r="AD128" s="76">
        <f>AD85+AD106+AD126</f>
        <v>0</v>
      </c>
      <c r="AE128" s="76">
        <f>AE85+AE106+AE126</f>
        <v>43579</v>
      </c>
      <c r="AF128" s="76">
        <f>AF85+AF106+AF126</f>
        <v>13401</v>
      </c>
    </row>
    <row r="129" spans="2:32" ht="13.5" thickTop="1" x14ac:dyDescent="0.3">
      <c r="B129" s="71"/>
      <c r="C129" s="72"/>
      <c r="D129" s="72"/>
      <c r="E129" s="73"/>
      <c r="F129" s="73"/>
      <c r="G129" s="73"/>
      <c r="H129" s="73"/>
      <c r="I129" s="73"/>
      <c r="J129" s="73"/>
      <c r="K129" s="73"/>
      <c r="L129" s="72"/>
      <c r="M129" s="72"/>
      <c r="N129" s="72"/>
      <c r="O129" s="72"/>
      <c r="P129" s="72"/>
      <c r="Q129" s="72"/>
      <c r="R129" s="72"/>
      <c r="S129" s="72"/>
      <c r="T129" s="72"/>
      <c r="U129" s="74"/>
      <c r="V129" s="826"/>
      <c r="W129" s="72"/>
      <c r="X129" s="72"/>
      <c r="Y129" s="72"/>
      <c r="Z129" s="75"/>
      <c r="AA129" s="60"/>
      <c r="AB129" s="100"/>
      <c r="AC129" s="33"/>
      <c r="AD129" s="33"/>
      <c r="AE129" s="33"/>
      <c r="AF129" s="101"/>
    </row>
    <row r="130" spans="2:32" ht="13" x14ac:dyDescent="0.3">
      <c r="B130" s="79" t="s">
        <v>157</v>
      </c>
      <c r="C130" s="33">
        <v>-1367</v>
      </c>
      <c r="D130" s="33">
        <v>-1507</v>
      </c>
      <c r="E130" s="23">
        <v>-141</v>
      </c>
      <c r="F130" s="23">
        <v>-68</v>
      </c>
      <c r="G130" s="23">
        <v>0</v>
      </c>
      <c r="H130" s="23">
        <v>0</v>
      </c>
      <c r="I130" s="23">
        <v>0</v>
      </c>
      <c r="J130" s="23">
        <v>0</v>
      </c>
      <c r="K130" s="23">
        <f>SUM(E130:J130)</f>
        <v>-209</v>
      </c>
      <c r="L130" s="33">
        <f>N130-D130</f>
        <v>-68</v>
      </c>
      <c r="M130" s="33">
        <f>N130-C130</f>
        <v>-208</v>
      </c>
      <c r="N130" s="33">
        <v>-1575</v>
      </c>
      <c r="O130" s="33">
        <v>-209</v>
      </c>
      <c r="P130" s="33">
        <v>0</v>
      </c>
      <c r="Q130" s="33">
        <v>-209</v>
      </c>
      <c r="R130" s="33">
        <v>-893</v>
      </c>
      <c r="S130" s="33">
        <f>Q130-R130</f>
        <v>684</v>
      </c>
      <c r="T130" s="38">
        <f>IFERROR((Q130/N130)*100%,"∞")</f>
        <v>0.1326984126984127</v>
      </c>
      <c r="U130" s="59">
        <f>N130+V130</f>
        <v>-1575</v>
      </c>
      <c r="V130" s="93">
        <v>0</v>
      </c>
      <c r="W130" s="33">
        <v>0</v>
      </c>
      <c r="X130" s="33"/>
      <c r="Y130" s="33"/>
      <c r="Z130" s="42"/>
      <c r="AA130" s="60"/>
      <c r="AB130" s="105"/>
      <c r="AC130" s="93"/>
      <c r="AD130" s="33">
        <f>SUM(AB130:AC130)</f>
        <v>0</v>
      </c>
      <c r="AE130" s="33">
        <f>Q130+AD130</f>
        <v>-209</v>
      </c>
      <c r="AF130" s="101">
        <f>AE130-N130</f>
        <v>1366</v>
      </c>
    </row>
    <row r="131" spans="2:32" ht="13.5" thickBot="1" x14ac:dyDescent="0.35">
      <c r="B131" s="80"/>
      <c r="C131" s="81"/>
      <c r="D131" s="81"/>
      <c r="E131" s="82"/>
      <c r="F131" s="82"/>
      <c r="G131" s="82"/>
      <c r="H131" s="82"/>
      <c r="I131" s="82"/>
      <c r="J131" s="82"/>
      <c r="K131" s="82"/>
      <c r="L131" s="81"/>
      <c r="M131" s="81"/>
      <c r="N131" s="81"/>
      <c r="O131" s="81"/>
      <c r="P131" s="81"/>
      <c r="Q131" s="81"/>
      <c r="R131" s="81"/>
      <c r="S131" s="81"/>
      <c r="T131" s="81"/>
      <c r="U131" s="83"/>
      <c r="V131" s="827"/>
      <c r="W131" s="81"/>
      <c r="X131" s="81"/>
      <c r="Y131" s="81"/>
      <c r="Z131" s="84"/>
      <c r="AA131" s="60"/>
      <c r="AB131" s="100"/>
      <c r="AC131" s="33"/>
      <c r="AD131" s="33"/>
      <c r="AE131" s="33"/>
      <c r="AF131" s="101"/>
    </row>
    <row r="132" spans="2:32" ht="13.5" thickBot="1" x14ac:dyDescent="0.35">
      <c r="B132" s="91" t="s">
        <v>158</v>
      </c>
      <c r="C132" s="76">
        <f t="shared" ref="C132:J132" si="88">C128+C130</f>
        <v>28604</v>
      </c>
      <c r="D132" s="76">
        <f t="shared" si="88"/>
        <v>28604</v>
      </c>
      <c r="E132" s="76">
        <f t="shared" si="88"/>
        <v>0</v>
      </c>
      <c r="F132" s="76">
        <f t="shared" si="88"/>
        <v>0</v>
      </c>
      <c r="G132" s="76">
        <f t="shared" si="88"/>
        <v>-2</v>
      </c>
      <c r="H132" s="76">
        <f t="shared" si="88"/>
        <v>0</v>
      </c>
      <c r="I132" s="76">
        <f t="shared" si="88"/>
        <v>0</v>
      </c>
      <c r="J132" s="76">
        <f t="shared" si="88"/>
        <v>0</v>
      </c>
      <c r="K132" s="76">
        <f>SUM(E132:J132)</f>
        <v>-2</v>
      </c>
      <c r="L132" s="76">
        <f>N132-D132</f>
        <v>-1</v>
      </c>
      <c r="M132" s="76">
        <f>N132-C132</f>
        <v>-1</v>
      </c>
      <c r="N132" s="76">
        <f>N128+N130</f>
        <v>28603</v>
      </c>
      <c r="O132" s="76">
        <f>O128+O130</f>
        <v>67710</v>
      </c>
      <c r="P132" s="76">
        <f>P128+P130</f>
        <v>-24087</v>
      </c>
      <c r="Q132" s="76">
        <f>Q128+Q130</f>
        <v>43370</v>
      </c>
      <c r="R132" s="76">
        <f>R128+R130</f>
        <v>13917</v>
      </c>
      <c r="S132" s="76">
        <f>Q132-R132</f>
        <v>29453</v>
      </c>
      <c r="T132" s="92">
        <f>IFERROR((Q132/N132)*100%,"∞")</f>
        <v>1.5162745166590916</v>
      </c>
      <c r="U132" s="76">
        <f>N132+V132</f>
        <v>29882</v>
      </c>
      <c r="V132" s="828">
        <f>V128+V130</f>
        <v>1279</v>
      </c>
      <c r="W132" s="76">
        <f>W128+W130</f>
        <v>2132</v>
      </c>
      <c r="X132" s="76">
        <f>X128+X130</f>
        <v>0</v>
      </c>
      <c r="Y132" s="76">
        <f>Y128+Y130</f>
        <v>0</v>
      </c>
      <c r="Z132" s="76">
        <f>Z128+Z130</f>
        <v>0</v>
      </c>
      <c r="AA132" s="60"/>
      <c r="AB132" s="76">
        <f>AB128+AB130</f>
        <v>0</v>
      </c>
      <c r="AC132" s="76">
        <f>AC128+AC130</f>
        <v>0</v>
      </c>
      <c r="AD132" s="76">
        <f>AD128+AD130</f>
        <v>0</v>
      </c>
      <c r="AE132" s="76">
        <f>AE128+AE130</f>
        <v>43370</v>
      </c>
      <c r="AF132" s="76">
        <f>AF128+AF130</f>
        <v>14767</v>
      </c>
    </row>
    <row r="133" spans="2:32" ht="13.5" thickTop="1" x14ac:dyDescent="0.3">
      <c r="B133" s="71"/>
      <c r="C133" s="72"/>
      <c r="D133" s="72"/>
      <c r="E133" s="73"/>
      <c r="F133" s="73"/>
      <c r="G133" s="73"/>
      <c r="H133" s="73"/>
      <c r="I133" s="73"/>
      <c r="J133" s="73"/>
      <c r="K133" s="73"/>
      <c r="L133" s="72"/>
      <c r="M133" s="72"/>
      <c r="N133" s="72"/>
      <c r="O133" s="72"/>
      <c r="P133" s="72"/>
      <c r="Q133" s="72"/>
      <c r="R133" s="72"/>
      <c r="S133" s="72"/>
      <c r="T133" s="72"/>
      <c r="U133" s="74"/>
      <c r="V133" s="826"/>
      <c r="W133" s="72"/>
      <c r="X133" s="72"/>
      <c r="Y133" s="72"/>
      <c r="Z133" s="75"/>
      <c r="AA133" s="60"/>
      <c r="AB133" s="100"/>
      <c r="AC133" s="33"/>
      <c r="AD133" s="33"/>
      <c r="AE133" s="33"/>
      <c r="AF133" s="101"/>
    </row>
    <row r="134" spans="2:32" ht="13" x14ac:dyDescent="0.3">
      <c r="B134" s="85"/>
      <c r="C134" s="86"/>
      <c r="D134" s="86"/>
      <c r="E134" s="87"/>
      <c r="F134" s="87"/>
      <c r="G134" s="87"/>
      <c r="H134" s="87"/>
      <c r="I134" s="87"/>
      <c r="J134" s="87"/>
      <c r="K134" s="87"/>
      <c r="L134" s="86"/>
      <c r="M134" s="86"/>
      <c r="N134" s="86"/>
      <c r="O134" s="86"/>
      <c r="P134" s="86"/>
      <c r="Q134" s="86"/>
      <c r="R134" s="86"/>
      <c r="S134" s="86"/>
      <c r="T134" s="86"/>
      <c r="U134" s="88"/>
      <c r="V134" s="829"/>
      <c r="W134" s="86"/>
      <c r="X134" s="86"/>
      <c r="Y134" s="86"/>
      <c r="Z134" s="89"/>
      <c r="AA134" s="60"/>
      <c r="AB134" s="100"/>
      <c r="AC134" s="33"/>
      <c r="AD134" s="33"/>
      <c r="AE134" s="33"/>
      <c r="AF134" s="101"/>
    </row>
    <row r="135" spans="2:32" ht="13" x14ac:dyDescent="0.3">
      <c r="B135" s="78" t="s">
        <v>159</v>
      </c>
      <c r="C135" s="33"/>
      <c r="D135" s="33"/>
      <c r="E135" s="23"/>
      <c r="F135" s="23"/>
      <c r="G135" s="23"/>
      <c r="H135" s="23"/>
      <c r="I135" s="23"/>
      <c r="J135" s="23"/>
      <c r="K135" s="23"/>
      <c r="L135" s="33"/>
      <c r="M135" s="33"/>
      <c r="N135" s="33"/>
      <c r="O135" s="33"/>
      <c r="P135" s="33"/>
      <c r="Q135" s="33"/>
      <c r="R135" s="33"/>
      <c r="S135" s="33"/>
      <c r="T135" s="38"/>
      <c r="U135" s="59"/>
      <c r="V135" s="93"/>
      <c r="W135" s="33"/>
      <c r="X135" s="33"/>
      <c r="Y135" s="33"/>
      <c r="Z135" s="42"/>
      <c r="AA135" s="60"/>
      <c r="AB135" s="100"/>
      <c r="AC135" s="33"/>
      <c r="AD135" s="33"/>
      <c r="AE135" s="33"/>
      <c r="AF135" s="101"/>
    </row>
    <row r="136" spans="2:32" ht="13" x14ac:dyDescent="0.3">
      <c r="B136" s="79" t="s">
        <v>160</v>
      </c>
      <c r="C136" s="33">
        <v>1416</v>
      </c>
      <c r="D136" s="33">
        <v>1416</v>
      </c>
      <c r="E136" s="23">
        <v>0</v>
      </c>
      <c r="F136" s="23">
        <v>0</v>
      </c>
      <c r="G136" s="23">
        <v>0</v>
      </c>
      <c r="H136" s="23">
        <v>0</v>
      </c>
      <c r="I136" s="23">
        <v>0</v>
      </c>
      <c r="J136" s="23">
        <v>0</v>
      </c>
      <c r="K136" s="23">
        <f t="shared" ref="K136:K137" si="89">SUM(E136:J136)</f>
        <v>0</v>
      </c>
      <c r="L136" s="33">
        <f t="shared" ref="L136:L137" si="90">N136-D136</f>
        <v>0</v>
      </c>
      <c r="M136" s="33">
        <f t="shared" ref="M136:M137" si="91">N136-C136</f>
        <v>0</v>
      </c>
      <c r="N136" s="33">
        <v>1416</v>
      </c>
      <c r="O136" s="33">
        <v>0</v>
      </c>
      <c r="P136" s="33">
        <v>511</v>
      </c>
      <c r="Q136" s="33">
        <v>511</v>
      </c>
      <c r="R136" s="33">
        <v>708</v>
      </c>
      <c r="S136" s="33">
        <f t="shared" ref="S136:S137" si="92">Q136-R136</f>
        <v>-197</v>
      </c>
      <c r="T136" s="38">
        <f t="shared" ref="T136:T137" si="93">IFERROR((Q136/N136)*100%,"∞")</f>
        <v>0.36087570621468928</v>
      </c>
      <c r="U136" s="59">
        <f t="shared" ref="U136:U137" si="94">N136+V136</f>
        <v>1416</v>
      </c>
      <c r="V136" s="93">
        <v>0</v>
      </c>
      <c r="W136" s="33">
        <v>0</v>
      </c>
      <c r="X136" s="33"/>
      <c r="Y136" s="33"/>
      <c r="Z136" s="42"/>
      <c r="AA136" s="60"/>
      <c r="AB136" s="105"/>
      <c r="AC136" s="93"/>
      <c r="AD136" s="33">
        <f t="shared" ref="AD136:AD137" si="95">SUM(AB136:AC136)</f>
        <v>0</v>
      </c>
      <c r="AE136" s="33">
        <f t="shared" ref="AE136:AE137" si="96">Q136+AD136</f>
        <v>511</v>
      </c>
      <c r="AF136" s="101">
        <f t="shared" ref="AF136:AF137" si="97">AE136-N136</f>
        <v>-905</v>
      </c>
    </row>
    <row r="137" spans="2:32" ht="13" x14ac:dyDescent="0.3">
      <c r="B137" s="79" t="s">
        <v>161</v>
      </c>
      <c r="C137" s="33">
        <v>16278</v>
      </c>
      <c r="D137" s="33">
        <v>16278</v>
      </c>
      <c r="E137" s="23">
        <v>0</v>
      </c>
      <c r="F137" s="23">
        <v>0</v>
      </c>
      <c r="G137" s="23">
        <v>0</v>
      </c>
      <c r="H137" s="23">
        <v>0</v>
      </c>
      <c r="I137" s="23">
        <v>0</v>
      </c>
      <c r="J137" s="23">
        <v>0</v>
      </c>
      <c r="K137" s="23">
        <f t="shared" si="89"/>
        <v>0</v>
      </c>
      <c r="L137" s="33">
        <f t="shared" si="90"/>
        <v>0</v>
      </c>
      <c r="M137" s="33">
        <f t="shared" si="91"/>
        <v>0</v>
      </c>
      <c r="N137" s="33">
        <v>16278</v>
      </c>
      <c r="O137" s="33">
        <v>0</v>
      </c>
      <c r="P137" s="33">
        <v>0</v>
      </c>
      <c r="Q137" s="33">
        <v>0</v>
      </c>
      <c r="R137" s="33">
        <v>8139</v>
      </c>
      <c r="S137" s="33">
        <f t="shared" si="92"/>
        <v>-8139</v>
      </c>
      <c r="T137" s="38">
        <f t="shared" si="93"/>
        <v>0</v>
      </c>
      <c r="U137" s="59">
        <f t="shared" si="94"/>
        <v>16278</v>
      </c>
      <c r="V137" s="93">
        <v>0</v>
      </c>
      <c r="W137" s="33">
        <v>0</v>
      </c>
      <c r="X137" s="33"/>
      <c r="Y137" s="33"/>
      <c r="Z137" s="42"/>
      <c r="AA137" s="60"/>
      <c r="AB137" s="105"/>
      <c r="AC137" s="93"/>
      <c r="AD137" s="33">
        <f t="shared" si="95"/>
        <v>0</v>
      </c>
      <c r="AE137" s="33">
        <f t="shared" si="96"/>
        <v>0</v>
      </c>
      <c r="AF137" s="101">
        <f t="shared" si="97"/>
        <v>-16278</v>
      </c>
    </row>
    <row r="138" spans="2:32" ht="13" x14ac:dyDescent="0.3">
      <c r="B138" s="79" t="s">
        <v>162</v>
      </c>
      <c r="C138" s="33">
        <v>-264</v>
      </c>
      <c r="D138" s="33">
        <v>-264</v>
      </c>
      <c r="E138" s="23">
        <v>0</v>
      </c>
      <c r="F138" s="23">
        <v>0</v>
      </c>
      <c r="G138" s="23">
        <v>0</v>
      </c>
      <c r="H138" s="23">
        <v>0</v>
      </c>
      <c r="I138" s="23">
        <v>0</v>
      </c>
      <c r="J138" s="23">
        <v>0</v>
      </c>
      <c r="K138" s="23">
        <f>SUM(E138:J138)</f>
        <v>0</v>
      </c>
      <c r="L138" s="33">
        <f>N138-D138</f>
        <v>0</v>
      </c>
      <c r="M138" s="33">
        <f>N138-C138</f>
        <v>0</v>
      </c>
      <c r="N138" s="33">
        <v>-264</v>
      </c>
      <c r="O138" s="33">
        <v>-137</v>
      </c>
      <c r="P138" s="33">
        <v>0</v>
      </c>
      <c r="Q138" s="33">
        <v>-137</v>
      </c>
      <c r="R138" s="33">
        <v>-132</v>
      </c>
      <c r="S138" s="33">
        <f>Q138-R138</f>
        <v>-5</v>
      </c>
      <c r="T138" s="38">
        <f>IFERROR((Q138/N138)*100%,"∞")</f>
        <v>0.51893939393939392</v>
      </c>
      <c r="U138" s="59">
        <f>N138+V138</f>
        <v>-264</v>
      </c>
      <c r="V138" s="93">
        <v>0</v>
      </c>
      <c r="W138" s="33">
        <v>0</v>
      </c>
      <c r="X138" s="33"/>
      <c r="Y138" s="33"/>
      <c r="Z138" s="42"/>
      <c r="AA138" s="60"/>
      <c r="AB138" s="105"/>
      <c r="AC138" s="93"/>
      <c r="AD138" s="33">
        <f>SUM(AB138:AC138)</f>
        <v>0</v>
      </c>
      <c r="AE138" s="33">
        <f>Q138+AD138</f>
        <v>-137</v>
      </c>
      <c r="AF138" s="101">
        <f>AE138-N138</f>
        <v>127</v>
      </c>
    </row>
    <row r="139" spans="2:32" ht="13" x14ac:dyDescent="0.3">
      <c r="B139" s="79" t="s">
        <v>163</v>
      </c>
      <c r="C139" s="33">
        <v>11175</v>
      </c>
      <c r="D139" s="33">
        <v>11175</v>
      </c>
      <c r="E139" s="23">
        <v>0</v>
      </c>
      <c r="F139" s="23">
        <v>0</v>
      </c>
      <c r="G139" s="23">
        <v>0</v>
      </c>
      <c r="H139" s="23">
        <v>0</v>
      </c>
      <c r="I139" s="23">
        <v>0</v>
      </c>
      <c r="J139" s="23">
        <v>0</v>
      </c>
      <c r="K139" s="23">
        <f>SUM(E139:J139)</f>
        <v>0</v>
      </c>
      <c r="L139" s="33">
        <f>N139-D139</f>
        <v>0</v>
      </c>
      <c r="M139" s="33">
        <f>N139-C139</f>
        <v>0</v>
      </c>
      <c r="N139" s="33">
        <v>11175</v>
      </c>
      <c r="O139" s="33">
        <v>-15989</v>
      </c>
      <c r="P139" s="33">
        <v>3355</v>
      </c>
      <c r="Q139" s="33">
        <v>-12634</v>
      </c>
      <c r="R139" s="33">
        <v>5588</v>
      </c>
      <c r="S139" s="33">
        <f>Q139-R139</f>
        <v>-18222</v>
      </c>
      <c r="T139" s="38">
        <f>IFERROR((Q139/N139)*100%,"∞")</f>
        <v>-1.130559284116331</v>
      </c>
      <c r="U139" s="59">
        <f>N139+V139</f>
        <v>11175</v>
      </c>
      <c r="V139" s="93">
        <v>0</v>
      </c>
      <c r="W139" s="33">
        <v>0</v>
      </c>
      <c r="X139" s="33"/>
      <c r="Y139" s="33"/>
      <c r="Z139" s="42"/>
      <c r="AA139" s="60"/>
      <c r="AB139" s="105"/>
      <c r="AC139" s="93"/>
      <c r="AD139" s="33">
        <f>SUM(AB139:AC139)</f>
        <v>0</v>
      </c>
      <c r="AE139" s="33">
        <f>Q139+AD139</f>
        <v>-12634</v>
      </c>
      <c r="AF139" s="101">
        <f>AE139-N139</f>
        <v>-23809</v>
      </c>
    </row>
    <row r="140" spans="2:32" ht="13.5" thickBot="1" x14ac:dyDescent="0.35">
      <c r="B140" s="80"/>
      <c r="C140" s="81"/>
      <c r="D140" s="81"/>
      <c r="E140" s="82"/>
      <c r="F140" s="82"/>
      <c r="G140" s="82"/>
      <c r="H140" s="82"/>
      <c r="I140" s="82"/>
      <c r="J140" s="82"/>
      <c r="K140" s="82"/>
      <c r="L140" s="81"/>
      <c r="M140" s="81"/>
      <c r="N140" s="81"/>
      <c r="O140" s="81"/>
      <c r="P140" s="81"/>
      <c r="Q140" s="81"/>
      <c r="R140" s="81"/>
      <c r="S140" s="81"/>
      <c r="T140" s="81"/>
      <c r="U140" s="83"/>
      <c r="V140" s="827"/>
      <c r="W140" s="81"/>
      <c r="X140" s="81"/>
      <c r="Y140" s="81"/>
      <c r="Z140" s="84"/>
      <c r="AA140" s="60"/>
      <c r="AB140" s="100"/>
      <c r="AC140" s="33"/>
      <c r="AD140" s="33"/>
      <c r="AE140" s="33"/>
      <c r="AF140" s="101"/>
    </row>
    <row r="141" spans="2:32" ht="13.5" thickBot="1" x14ac:dyDescent="0.35">
      <c r="B141" s="91" t="s">
        <v>164</v>
      </c>
      <c r="C141" s="76">
        <f t="shared" ref="C141:J141" si="98">SUM(C136:C139)</f>
        <v>28605</v>
      </c>
      <c r="D141" s="76">
        <f t="shared" si="98"/>
        <v>28605</v>
      </c>
      <c r="E141" s="76">
        <f t="shared" si="98"/>
        <v>0</v>
      </c>
      <c r="F141" s="76">
        <f t="shared" si="98"/>
        <v>0</v>
      </c>
      <c r="G141" s="76">
        <f t="shared" si="98"/>
        <v>0</v>
      </c>
      <c r="H141" s="76">
        <f t="shared" si="98"/>
        <v>0</v>
      </c>
      <c r="I141" s="76">
        <f t="shared" si="98"/>
        <v>0</v>
      </c>
      <c r="J141" s="76">
        <f t="shared" si="98"/>
        <v>0</v>
      </c>
      <c r="K141" s="76">
        <f>SUM(E141:J141)</f>
        <v>0</v>
      </c>
      <c r="L141" s="76">
        <f>N141-D141</f>
        <v>0</v>
      </c>
      <c r="M141" s="76">
        <f>N141-C141</f>
        <v>0</v>
      </c>
      <c r="N141" s="76">
        <f>SUM(N136:N139)</f>
        <v>28605</v>
      </c>
      <c r="O141" s="76">
        <f>SUM(O136:O139)</f>
        <v>-16126</v>
      </c>
      <c r="P141" s="76">
        <f>SUM(P136:P139)</f>
        <v>3866</v>
      </c>
      <c r="Q141" s="76">
        <f>SUM(Q136:Q139)</f>
        <v>-12260</v>
      </c>
      <c r="R141" s="76">
        <f>SUM(R136:R139)</f>
        <v>14303</v>
      </c>
      <c r="S141" s="76">
        <f>Q141-R141</f>
        <v>-26563</v>
      </c>
      <c r="T141" s="92">
        <f>IFERROR((Q141/N141)*100%,"∞")</f>
        <v>-0.4285963992309037</v>
      </c>
      <c r="U141" s="76">
        <f>N141+V141</f>
        <v>28605</v>
      </c>
      <c r="V141" s="828">
        <f>SUM(V136:V139)</f>
        <v>0</v>
      </c>
      <c r="W141" s="76">
        <f>SUM(W136:W139)</f>
        <v>0</v>
      </c>
      <c r="X141" s="76">
        <f>SUM(X136:X139)</f>
        <v>0</v>
      </c>
      <c r="Y141" s="76">
        <f>SUM(Y136:Y139)</f>
        <v>0</v>
      </c>
      <c r="Z141" s="76">
        <f>SUM(Z136:Z139)</f>
        <v>0</v>
      </c>
      <c r="AA141" s="60"/>
      <c r="AB141" s="76">
        <f>SUM(AB136:AB139)</f>
        <v>0</v>
      </c>
      <c r="AC141" s="76">
        <f>SUM(AC136:AC139)</f>
        <v>0</v>
      </c>
      <c r="AD141" s="76">
        <f>SUM(AD136:AD139)</f>
        <v>0</v>
      </c>
      <c r="AE141" s="76">
        <f>SUM(AE136:AE139)</f>
        <v>-12260</v>
      </c>
      <c r="AF141" s="76">
        <f>SUM(AF136:AF139)</f>
        <v>-40865</v>
      </c>
    </row>
    <row r="142" spans="2:32" ht="14" thickTop="1" thickBot="1" x14ac:dyDescent="0.35">
      <c r="B142" s="80"/>
      <c r="C142" s="81"/>
      <c r="D142" s="81"/>
      <c r="E142" s="82"/>
      <c r="F142" s="82"/>
      <c r="G142" s="82"/>
      <c r="H142" s="82"/>
      <c r="I142" s="82"/>
      <c r="J142" s="82"/>
      <c r="K142" s="82"/>
      <c r="L142" s="81"/>
      <c r="M142" s="81"/>
      <c r="N142" s="81"/>
      <c r="O142" s="81"/>
      <c r="P142" s="81"/>
      <c r="Q142" s="81"/>
      <c r="R142" s="81"/>
      <c r="S142" s="81"/>
      <c r="T142" s="81"/>
      <c r="U142" s="83"/>
      <c r="V142" s="827"/>
      <c r="W142" s="81"/>
      <c r="X142" s="81"/>
      <c r="Y142" s="81"/>
      <c r="Z142" s="84"/>
      <c r="AA142" s="60"/>
      <c r="AB142" s="100"/>
      <c r="AC142" s="33"/>
      <c r="AD142" s="33"/>
      <c r="AE142" s="33"/>
      <c r="AF142" s="101"/>
    </row>
    <row r="143" spans="2:32" ht="13.5" thickBot="1" x14ac:dyDescent="0.35">
      <c r="B143" s="91" t="s">
        <v>165</v>
      </c>
      <c r="C143" s="76">
        <f t="shared" ref="C143:J143" si="99">C132-C141</f>
        <v>-1</v>
      </c>
      <c r="D143" s="76">
        <f t="shared" si="99"/>
        <v>-1</v>
      </c>
      <c r="E143" s="76">
        <f t="shared" si="99"/>
        <v>0</v>
      </c>
      <c r="F143" s="76">
        <f t="shared" si="99"/>
        <v>0</v>
      </c>
      <c r="G143" s="76">
        <f t="shared" si="99"/>
        <v>-2</v>
      </c>
      <c r="H143" s="76">
        <f t="shared" si="99"/>
        <v>0</v>
      </c>
      <c r="I143" s="76">
        <f t="shared" si="99"/>
        <v>0</v>
      </c>
      <c r="J143" s="76">
        <f t="shared" si="99"/>
        <v>0</v>
      </c>
      <c r="K143" s="76">
        <f>SUM(E143:J143)</f>
        <v>-2</v>
      </c>
      <c r="L143" s="76">
        <f>N143-D143</f>
        <v>-1</v>
      </c>
      <c r="M143" s="76">
        <f>N143-C143</f>
        <v>-1</v>
      </c>
      <c r="N143" s="76">
        <f>N132-N141</f>
        <v>-2</v>
      </c>
      <c r="O143" s="76">
        <f>O132-O141</f>
        <v>83836</v>
      </c>
      <c r="P143" s="76">
        <f>P132-P141</f>
        <v>-27953</v>
      </c>
      <c r="Q143" s="76">
        <f>Q132-Q141</f>
        <v>55630</v>
      </c>
      <c r="R143" s="76">
        <f>R132-R141</f>
        <v>-386</v>
      </c>
      <c r="S143" s="76">
        <f>Q143-R143</f>
        <v>56016</v>
      </c>
      <c r="T143" s="92">
        <f>IFERROR((Q143/N143)*100%,"∞")</f>
        <v>-27815</v>
      </c>
      <c r="U143" s="76">
        <f>N143+V143</f>
        <v>1277</v>
      </c>
      <c r="V143" s="828">
        <f>V132-V141</f>
        <v>1279</v>
      </c>
      <c r="W143" s="76">
        <f>W132-W141</f>
        <v>2132</v>
      </c>
      <c r="X143" s="76">
        <f>X132-X141</f>
        <v>0</v>
      </c>
      <c r="Y143" s="76">
        <f>Y132-Y141</f>
        <v>0</v>
      </c>
      <c r="Z143" s="76">
        <f>Z132-Z141</f>
        <v>0</v>
      </c>
      <c r="AA143" s="60"/>
      <c r="AB143" s="76">
        <f>AB132-AB141</f>
        <v>0</v>
      </c>
      <c r="AC143" s="76">
        <f>AC132-AC141</f>
        <v>0</v>
      </c>
      <c r="AD143" s="76">
        <f>AD132-AD141</f>
        <v>0</v>
      </c>
      <c r="AE143" s="76">
        <f>AE132-AE141</f>
        <v>55630</v>
      </c>
      <c r="AF143" s="76">
        <f>AF132-AF141</f>
        <v>55632</v>
      </c>
    </row>
    <row r="144" spans="2:32" ht="13" thickTop="1" x14ac:dyDescent="0.25">
      <c r="V144" s="644"/>
    </row>
    <row r="145" spans="22:22" x14ac:dyDescent="0.25">
      <c r="V145" s="644"/>
    </row>
    <row r="146" spans="22:22" x14ac:dyDescent="0.25">
      <c r="V146" s="644"/>
    </row>
  </sheetData>
  <dataConsolidate/>
  <pageMargins left="0.23622047244094491" right="0.23622047244094491" top="0.74803149606299213" bottom="0.74803149606299213" header="0.31496062992125984" footer="0.31496062992125984"/>
  <pageSetup paperSize="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6"/>
  <sheetViews>
    <sheetView workbookViewId="0">
      <selection activeCell="G5" sqref="G5:G6"/>
    </sheetView>
  </sheetViews>
  <sheetFormatPr defaultRowHeight="12.5" x14ac:dyDescent="0.25"/>
  <cols>
    <col min="1" max="1" width="5.54296875" bestFit="1" customWidth="1"/>
    <col min="2" max="2" width="19.54296875" customWidth="1"/>
    <col min="3" max="3" width="14.453125" bestFit="1" customWidth="1"/>
    <col min="4" max="4" width="15.54296875" bestFit="1" customWidth="1"/>
    <col min="6" max="6" width="21.54296875" bestFit="1" customWidth="1"/>
    <col min="7" max="7" width="11.54296875" bestFit="1" customWidth="1"/>
    <col min="8" max="8" width="30.453125" customWidth="1"/>
    <col min="10" max="10" width="3.453125" bestFit="1" customWidth="1"/>
    <col min="11" max="12" width="14.54296875" bestFit="1" customWidth="1"/>
    <col min="13" max="13" width="3" bestFit="1" customWidth="1"/>
  </cols>
  <sheetData>
    <row r="1" spans="1:13" x14ac:dyDescent="0.25">
      <c r="A1" t="s">
        <v>232</v>
      </c>
      <c r="B1" t="s">
        <v>233</v>
      </c>
      <c r="C1" t="s">
        <v>234</v>
      </c>
      <c r="D1" t="s">
        <v>235</v>
      </c>
    </row>
    <row r="2" spans="1:13" ht="14.5" x14ac:dyDescent="0.35">
      <c r="A2" t="s">
        <v>236</v>
      </c>
      <c r="B2" t="s">
        <v>237</v>
      </c>
      <c r="C2" t="s">
        <v>238</v>
      </c>
      <c r="F2" s="12" t="s">
        <v>239</v>
      </c>
      <c r="G2" s="13">
        <v>202501</v>
      </c>
      <c r="H2" s="44" t="str">
        <f>CONCATENATE(VLOOKUP(RIGHT(G2,2),$J$2:$K$16,2,FALSE)," ",LEFT(G2,4)+VLOOKUP(RIGHT(G2,2),$J$2:$M$16,4,FALSE))</f>
        <v>01 April 2024</v>
      </c>
      <c r="J2" s="3" t="s">
        <v>240</v>
      </c>
      <c r="K2" s="4" t="s">
        <v>241</v>
      </c>
      <c r="L2" s="4" t="s">
        <v>242</v>
      </c>
      <c r="M2" s="5">
        <v>-1</v>
      </c>
    </row>
    <row r="3" spans="1:13" ht="14.5" x14ac:dyDescent="0.35">
      <c r="F3" s="12" t="s">
        <v>243</v>
      </c>
      <c r="G3" s="13">
        <v>202506</v>
      </c>
      <c r="H3" s="44" t="str">
        <f>CONCATENATE(VLOOKUP(RIGHT(G3,2),$J$2:$L$16,3,FALSE)," ",LEFT(G3,4)+VLOOKUP(RIGHT(G3,2),$J$2:$M$16,4,FALSE))</f>
        <v>30 September 2024</v>
      </c>
      <c r="J3" s="3" t="s">
        <v>244</v>
      </c>
      <c r="K3" s="4" t="s">
        <v>245</v>
      </c>
      <c r="L3" s="4" t="s">
        <v>246</v>
      </c>
      <c r="M3" s="5">
        <v>-1</v>
      </c>
    </row>
    <row r="4" spans="1:13" ht="14.5" x14ac:dyDescent="0.35">
      <c r="F4" s="12" t="s">
        <v>247</v>
      </c>
      <c r="G4" s="13" t="s">
        <v>248</v>
      </c>
      <c r="H4" s="44" t="s">
        <v>249</v>
      </c>
      <c r="J4" s="3" t="s">
        <v>250</v>
      </c>
      <c r="K4" s="4" t="s">
        <v>251</v>
      </c>
      <c r="L4" s="4" t="s">
        <v>252</v>
      </c>
      <c r="M4" s="5">
        <v>-1</v>
      </c>
    </row>
    <row r="5" spans="1:13" ht="14.5" x14ac:dyDescent="0.35">
      <c r="F5" s="12" t="s">
        <v>253</v>
      </c>
      <c r="G5" s="16">
        <v>45535</v>
      </c>
      <c r="H5" s="44"/>
      <c r="J5" s="3" t="s">
        <v>254</v>
      </c>
      <c r="K5" s="4" t="s">
        <v>255</v>
      </c>
      <c r="L5" s="4" t="s">
        <v>256</v>
      </c>
      <c r="M5" s="5">
        <v>-1</v>
      </c>
    </row>
    <row r="6" spans="1:13" ht="14.5" x14ac:dyDescent="0.35">
      <c r="F6" s="12" t="s">
        <v>257</v>
      </c>
      <c r="G6" s="16">
        <v>45579</v>
      </c>
      <c r="H6" s="44"/>
      <c r="J6" s="3" t="s">
        <v>258</v>
      </c>
      <c r="K6" s="4" t="s">
        <v>259</v>
      </c>
      <c r="L6" s="4" t="s">
        <v>260</v>
      </c>
      <c r="M6" s="5">
        <v>-1</v>
      </c>
    </row>
    <row r="7" spans="1:13" ht="14.5" x14ac:dyDescent="0.35">
      <c r="J7" s="3" t="s">
        <v>261</v>
      </c>
      <c r="K7" s="4" t="s">
        <v>262</v>
      </c>
      <c r="L7" s="4" t="s">
        <v>263</v>
      </c>
      <c r="M7" s="5">
        <v>-1</v>
      </c>
    </row>
    <row r="8" spans="1:13" ht="14.5" x14ac:dyDescent="0.35">
      <c r="J8" s="3" t="s">
        <v>264</v>
      </c>
      <c r="K8" s="4" t="s">
        <v>265</v>
      </c>
      <c r="L8" s="4" t="s">
        <v>266</v>
      </c>
      <c r="M8" s="5">
        <v>-1</v>
      </c>
    </row>
    <row r="9" spans="1:13" ht="14.5" x14ac:dyDescent="0.35">
      <c r="F9" t="str">
        <f>CONCATENATE("General Fund Outturn Report ",MID(G3,3,2)-1,"/",MID(G3,3,2)," @ ",H3)</f>
        <v>General Fund Outturn Report 24/25 @ 30 September 2024</v>
      </c>
      <c r="J9" s="3" t="s">
        <v>267</v>
      </c>
      <c r="K9" s="4" t="s">
        <v>268</v>
      </c>
      <c r="L9" s="4" t="s">
        <v>269</v>
      </c>
      <c r="M9" s="5">
        <v>-1</v>
      </c>
    </row>
    <row r="10" spans="1:13" ht="14.5" x14ac:dyDescent="0.35">
      <c r="J10" s="3" t="s">
        <v>270</v>
      </c>
      <c r="K10" s="4" t="s">
        <v>271</v>
      </c>
      <c r="L10" s="4" t="s">
        <v>272</v>
      </c>
      <c r="M10" s="5">
        <v>-1</v>
      </c>
    </row>
    <row r="11" spans="1:13" ht="14.5" x14ac:dyDescent="0.35">
      <c r="J11" s="3" t="s">
        <v>273</v>
      </c>
      <c r="K11" s="4" t="s">
        <v>274</v>
      </c>
      <c r="L11" s="731" t="s">
        <v>275</v>
      </c>
      <c r="M11" s="5">
        <v>0</v>
      </c>
    </row>
    <row r="12" spans="1:13" ht="14.5" x14ac:dyDescent="0.35">
      <c r="B12" t="s">
        <v>276</v>
      </c>
      <c r="J12" s="3" t="s">
        <v>277</v>
      </c>
      <c r="K12" s="4" t="s">
        <v>278</v>
      </c>
      <c r="L12" s="732" t="s">
        <v>279</v>
      </c>
      <c r="M12" s="5">
        <v>0</v>
      </c>
    </row>
    <row r="13" spans="1:13" ht="14.5" x14ac:dyDescent="0.35">
      <c r="B13" t="s">
        <v>280</v>
      </c>
      <c r="J13" s="3" t="s">
        <v>281</v>
      </c>
      <c r="K13" s="4" t="s">
        <v>282</v>
      </c>
      <c r="L13" s="4" t="s">
        <v>283</v>
      </c>
      <c r="M13" s="5">
        <v>0</v>
      </c>
    </row>
    <row r="14" spans="1:13" ht="14.5" x14ac:dyDescent="0.35">
      <c r="B14" t="s">
        <v>284</v>
      </c>
      <c r="J14" s="3" t="s">
        <v>285</v>
      </c>
      <c r="K14" s="4" t="s">
        <v>282</v>
      </c>
      <c r="L14" s="4" t="s">
        <v>283</v>
      </c>
      <c r="M14" s="5">
        <v>0</v>
      </c>
    </row>
    <row r="15" spans="1:13" ht="14.5" x14ac:dyDescent="0.35">
      <c r="B15" t="s">
        <v>286</v>
      </c>
      <c r="J15" s="3" t="s">
        <v>287</v>
      </c>
      <c r="K15" s="4" t="s">
        <v>282</v>
      </c>
      <c r="L15" s="4" t="s">
        <v>283</v>
      </c>
      <c r="M15" s="5">
        <v>0</v>
      </c>
    </row>
    <row r="16" spans="1:13" ht="14.5" x14ac:dyDescent="0.35">
      <c r="J16" s="3" t="s">
        <v>288</v>
      </c>
      <c r="K16" s="4" t="s">
        <v>282</v>
      </c>
      <c r="L16" s="4" t="s">
        <v>283</v>
      </c>
      <c r="M16" s="5">
        <v>0</v>
      </c>
    </row>
  </sheetData>
  <customSheetViews>
    <customSheetView guid="{903669DD-1133-45D2-B108-C6B5BEA5EB61}">
      <selection activeCell="F10" sqref="F10"/>
      <pageMargins left="0" right="0" top="0" bottom="0" header="0" footer="0"/>
      <pageSetup paperSize="9" orientation="portrait" verticalDpi="0" r:id="rId1"/>
    </customSheetView>
    <customSheetView guid="{7910FD81-BFE7-4CD5-939B-3D7A1CA9601A}" state="hidden">
      <selection activeCell="I24" sqref="I24"/>
      <pageMargins left="0" right="0" top="0" bottom="0" header="0" footer="0"/>
      <pageSetup paperSize="9" orientation="portrait" verticalDpi="0" r:id="rId2"/>
    </customSheetView>
    <customSheetView guid="{051C2D13-0D3D-44C3-A7DB-A0EAFBF115F0}">
      <selection activeCell="F10" sqref="F10"/>
      <pageMargins left="0" right="0" top="0" bottom="0" header="0" footer="0"/>
      <pageSetup paperSize="9" orientation="portrait" verticalDpi="0" r:id="rId3"/>
    </customSheetView>
    <customSheetView guid="{9C479752-7F2F-4739-B52F-47A06FE05EF0}" state="hidden">
      <selection activeCell="K20" sqref="K20"/>
      <pageMargins left="0" right="0" top="0" bottom="0" header="0" footer="0"/>
      <pageSetup paperSize="9" orientation="portrait" verticalDpi="0" r:id="rId4"/>
    </customSheetView>
    <customSheetView guid="{A0809A10-8F40-4AD2-8943-60E412AED428}">
      <selection activeCell="F10" sqref="F10"/>
      <pageMargins left="0" right="0" top="0" bottom="0" header="0" footer="0"/>
      <pageSetup paperSize="9" orientation="portrait" verticalDpi="0" r:id="rId5"/>
    </customSheetView>
    <customSheetView guid="{3E006852-BD2D-4884-A2A1-BFAEAE24582F}">
      <selection activeCell="F10" sqref="F10"/>
      <pageMargins left="0" right="0" top="0" bottom="0" header="0" footer="0"/>
      <pageSetup paperSize="9" orientation="portrait" verticalDpi="0" r:id="rId6"/>
    </customSheetView>
    <customSheetView guid="{28ADD64E-1C54-4CF2-8A6A-391E4DF6D903}">
      <selection activeCell="F10" sqref="F10"/>
      <pageMargins left="0" right="0" top="0" bottom="0" header="0" footer="0"/>
      <pageSetup paperSize="9" orientation="portrait" verticalDpi="0" r:id="rId7"/>
    </customSheetView>
    <customSheetView guid="{B5B78BF3-B1F8-4BBA-8E40-E18C6034B566}" state="hidden">
      <selection activeCell="K20" sqref="K20"/>
      <pageMargins left="0" right="0" top="0" bottom="0" header="0" footer="0"/>
      <pageSetup paperSize="9" orientation="portrait" verticalDpi="0" r:id="rId8"/>
    </customSheetView>
    <customSheetView guid="{2F5D2611-A2AC-4668-B979-0EE258BE5F1F}">
      <selection activeCell="F10" sqref="F10"/>
      <pageMargins left="0" right="0" top="0" bottom="0" header="0" footer="0"/>
      <pageSetup paperSize="9" orientation="portrait" verticalDpi="0" r:id="rId9"/>
    </customSheetView>
    <customSheetView guid="{2EE8538C-E3AE-40C6-B22A-073EBF96300A}" state="hidden">
      <selection activeCell="H12" sqref="H12"/>
      <pageMargins left="0" right="0" top="0" bottom="0" header="0" footer="0"/>
      <pageSetup paperSize="9" orientation="portrait" verticalDpi="0" r:id="rId10"/>
    </customSheetView>
    <customSheetView guid="{E4F22399-07D5-465E-AFB1-A36259E00328}">
      <selection activeCell="F10" sqref="F10"/>
      <pageMargins left="0" right="0" top="0" bottom="0" header="0" footer="0"/>
      <pageSetup paperSize="9" orientation="portrait" verticalDpi="0" r:id="rId11"/>
    </customSheetView>
  </customSheetViews>
  <pageMargins left="0.7" right="0.7" top="0.75" bottom="0.75" header="0.3" footer="0.3"/>
  <pageSetup paperSize="9" orientation="portrait" verticalDpi="0"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I544"/>
  <sheetViews>
    <sheetView zoomScale="90" zoomScaleNormal="90" workbookViewId="0">
      <pane ySplit="1" topLeftCell="A290" activePane="bottomLeft" state="frozen"/>
      <selection pane="bottomLeft" activeCell="F316" sqref="F316"/>
    </sheetView>
  </sheetViews>
  <sheetFormatPr defaultColWidth="21.54296875" defaultRowHeight="12.5" outlineLevelRow="1" x14ac:dyDescent="0.25"/>
  <cols>
    <col min="1" max="1" width="11.54296875" style="236" customWidth="1"/>
    <col min="2" max="2" width="14.453125" style="236" customWidth="1"/>
    <col min="3" max="3" width="19.453125" style="186" hidden="1" customWidth="1"/>
    <col min="4" max="4" width="20.453125" style="186" hidden="1" customWidth="1"/>
    <col min="5" max="5" width="18" style="186" hidden="1" customWidth="1"/>
    <col min="6" max="6" width="203" style="182" bestFit="1" customWidth="1"/>
    <col min="7" max="7" width="21.54296875" style="182" customWidth="1"/>
    <col min="8" max="8" width="17.54296875" style="183" bestFit="1" customWidth="1"/>
    <col min="9" max="9" width="7.54296875" style="182" bestFit="1" customWidth="1"/>
    <col min="10" max="10" width="21.54296875" style="182" customWidth="1"/>
    <col min="11" max="11" width="9.453125" style="182" customWidth="1"/>
    <col min="12" max="16384" width="21.54296875" style="182"/>
  </cols>
  <sheetData>
    <row r="1" spans="1:8" ht="20.25" customHeight="1" x14ac:dyDescent="0.4">
      <c r="A1" s="835" t="str">
        <f>"GF Outturn Report -  Comments as @ "&amp;_control!H3</f>
        <v>GF Outturn Report -  Comments as @ 30 September 2024</v>
      </c>
      <c r="B1" s="836"/>
      <c r="C1" s="836"/>
      <c r="D1" s="836"/>
      <c r="E1" s="836"/>
      <c r="F1" s="836"/>
    </row>
    <row r="2" spans="1:8" ht="11.25" customHeight="1" x14ac:dyDescent="0.4">
      <c r="A2" s="231"/>
      <c r="B2" s="232"/>
      <c r="C2" s="184"/>
      <c r="D2" s="184"/>
      <c r="E2" s="184"/>
      <c r="F2" s="185"/>
    </row>
    <row r="3" spans="1:8" ht="18" customHeight="1" x14ac:dyDescent="0.25">
      <c r="A3" s="233" t="s">
        <v>289</v>
      </c>
      <c r="B3" s="234"/>
      <c r="F3" s="187"/>
    </row>
    <row r="4" spans="1:8" ht="17.25" customHeight="1" thickBot="1" x14ac:dyDescent="0.3">
      <c r="A4" s="235"/>
      <c r="B4" s="303"/>
      <c r="F4" s="187"/>
    </row>
    <row r="5" spans="1:8" ht="78" x14ac:dyDescent="0.25">
      <c r="A5" s="237" t="str">
        <f>"Actual Variance at "&amp;_control!H3&amp;"         £'000"</f>
        <v>Actual Variance at 30 September 2024         £'000</v>
      </c>
      <c r="B5" s="238" t="str">
        <f>"Projected Outturn Variance at "&amp;_control!H3&amp;"         £'000"</f>
        <v>Projected Outturn Variance at 30 September 2024         £'000</v>
      </c>
      <c r="C5" s="188" t="s">
        <v>290</v>
      </c>
      <c r="D5" s="188" t="s">
        <v>291</v>
      </c>
      <c r="E5" s="188" t="s">
        <v>292</v>
      </c>
      <c r="F5" s="189"/>
    </row>
    <row r="6" spans="1:8" s="192" customFormat="1" ht="13" x14ac:dyDescent="0.25">
      <c r="A6" s="239" t="str">
        <f>IFERROR(VLOOKUP(F5,'Comments Feeder'!$B:$W,18,FALSE),"")</f>
        <v/>
      </c>
      <c r="B6" s="808"/>
      <c r="C6" s="190"/>
      <c r="D6" s="191"/>
      <c r="E6" s="191"/>
      <c r="F6" s="189" t="s">
        <v>94</v>
      </c>
      <c r="H6" s="193"/>
    </row>
    <row r="7" spans="1:8" s="192" customFormat="1" x14ac:dyDescent="0.25">
      <c r="A7" s="239">
        <f>IFERROR(VLOOKUP(F6,'Comments Feeder'!$B:$W,18,FALSE),"")</f>
        <v>108</v>
      </c>
      <c r="B7" s="807">
        <v>0</v>
      </c>
      <c r="C7" s="239" t="str">
        <f>IFERROR(VLOOKUP(F4,'Comments Feeder'!$B:$W,23,FALSE),"")</f>
        <v/>
      </c>
      <c r="D7" s="194" t="str">
        <f>IFERROR(VLOOKUP(F3,'Comments Feeder'!$B:$W,24,FALSE),"")</f>
        <v/>
      </c>
      <c r="E7" s="194" t="str">
        <f>IFERROR(VLOOKUP(F3,'Comments Feeder'!$B:$W,25,FALSE),"")</f>
        <v/>
      </c>
      <c r="F7" s="815" t="s">
        <v>293</v>
      </c>
      <c r="H7" s="193"/>
    </row>
    <row r="8" spans="1:8" s="192" customFormat="1" x14ac:dyDescent="0.25">
      <c r="A8" s="239"/>
      <c r="B8" s="807"/>
      <c r="C8" s="239"/>
      <c r="D8" s="194"/>
      <c r="E8" s="194"/>
      <c r="F8" s="815" t="s">
        <v>294</v>
      </c>
      <c r="H8" s="193"/>
    </row>
    <row r="9" spans="1:8" s="192" customFormat="1" ht="25" x14ac:dyDescent="0.25">
      <c r="A9" s="239" t="str">
        <f>IFERROR(VLOOKUP(F7,'Comments Feeder'!$B:$W,18,FALSE),"")</f>
        <v/>
      </c>
      <c r="B9" s="239">
        <f>IFERROR(VLOOKUP(F6,'Comments Feeder'!$B:$W,21,FALSE),"")</f>
        <v>0</v>
      </c>
      <c r="C9" s="239" t="str">
        <f>IFERROR(VLOOKUP(F5,'Comments Feeder'!$B:$W,23,FALSE),"")</f>
        <v/>
      </c>
      <c r="D9" s="194" t="str">
        <f>IFERROR(VLOOKUP(F4,'Comments Feeder'!$B:$W,24,FALSE),"")</f>
        <v/>
      </c>
      <c r="E9" s="194" t="str">
        <f>IFERROR(VLOOKUP(F4,'Comments Feeder'!$B:$W,25,FALSE),"")</f>
        <v/>
      </c>
      <c r="F9" s="815" t="s">
        <v>295</v>
      </c>
      <c r="H9" s="193"/>
    </row>
    <row r="10" spans="1:8" s="192" customFormat="1" x14ac:dyDescent="0.25">
      <c r="A10" s="239" t="str">
        <f>IFERROR(VLOOKUP(F9,'Comments Feeder'!$B:$W,18,FALSE),"")</f>
        <v/>
      </c>
      <c r="B10" s="239" t="str">
        <f>IFERROR(VLOOKUP(F7,'Comments Feeder'!$B:$W,21,FALSE),"")</f>
        <v/>
      </c>
      <c r="C10" s="239" t="str">
        <f>IFERROR(VLOOKUP(F6,'Comments Feeder'!$B:$W,23,FALSE),"")</f>
        <v/>
      </c>
      <c r="D10" s="194" t="str">
        <f>IFERROR(VLOOKUP(F5,'Comments Feeder'!$B:$W,24,FALSE),"")</f>
        <v/>
      </c>
      <c r="E10" s="194" t="str">
        <f>IFERROR(VLOOKUP(F5,'Comments Feeder'!$B:$W,25,FALSE),"")</f>
        <v/>
      </c>
      <c r="F10" s="395" t="s">
        <v>296</v>
      </c>
      <c r="H10" s="193"/>
    </row>
    <row r="11" spans="1:8" s="192" customFormat="1" x14ac:dyDescent="0.25">
      <c r="A11" s="239" t="str">
        <f>IFERROR(VLOOKUP(F10,'Comments Feeder'!$B:$W,18,FALSE),"")</f>
        <v/>
      </c>
      <c r="B11" s="239" t="str">
        <f>IFERROR(VLOOKUP(F9,'Comments Feeder'!$B:$W,21,FALSE),"")</f>
        <v/>
      </c>
      <c r="C11" s="239" t="str">
        <f>IFERROR(VLOOKUP(F7,'Comments Feeder'!$B:$W,23,FALSE),"")</f>
        <v/>
      </c>
      <c r="D11" s="194" t="str">
        <f>IFERROR(VLOOKUP(F6,'Comments Feeder'!$B:$W,24,FALSE),"")</f>
        <v/>
      </c>
      <c r="E11" s="194" t="str">
        <f>IFERROR(VLOOKUP(F6,'Comments Feeder'!$B:$W,25,FALSE),"")</f>
        <v/>
      </c>
      <c r="F11" s="196"/>
      <c r="H11" s="193"/>
    </row>
    <row r="12" spans="1:8" s="192" customFormat="1" ht="15" customHeight="1" thickBot="1" x14ac:dyDescent="0.3">
      <c r="A12" s="198" t="str">
        <f>IFERROR(VLOOKUP(F11,'Comments Feeder'!$B:$W,18,FALSE),"")</f>
        <v/>
      </c>
      <c r="B12" s="198" t="str">
        <f>IFERROR(VLOOKUP(F10,'Comments Feeder'!$B:$W,21,FALSE),"")</f>
        <v/>
      </c>
      <c r="C12" s="198" t="str">
        <f>IFERROR(VLOOKUP(F9,'Comments Feeder'!$B:$W,23,FALSE),"")</f>
        <v/>
      </c>
      <c r="D12" s="198" t="str">
        <f>IFERROR(VLOOKUP(F7,'Comments Feeder'!$B:$W,24,FALSE),"")</f>
        <v/>
      </c>
      <c r="E12" s="198" t="str">
        <f>IFERROR(VLOOKUP(F7,'Comments Feeder'!$B:$W,25,FALSE),"")</f>
        <v/>
      </c>
      <c r="F12" s="198"/>
      <c r="H12" s="193"/>
    </row>
    <row r="13" spans="1:8" s="192" customFormat="1" ht="13" x14ac:dyDescent="0.25">
      <c r="A13" s="239" t="str">
        <f>IFERROR(VLOOKUP(F12,'Comments Feeder'!$B:$W,18,FALSE),"")</f>
        <v/>
      </c>
      <c r="B13" s="239" t="str">
        <f>IFERROR(VLOOKUP(F11,'Comments Feeder'!$B:$W,21,FALSE),"")</f>
        <v/>
      </c>
      <c r="C13" s="239" t="str">
        <f>IFERROR(VLOOKUP(F10,'Comments Feeder'!$B:$W,23,FALSE),"")</f>
        <v/>
      </c>
      <c r="D13" s="194" t="str">
        <f>IFERROR(VLOOKUP(F9,'Comments Feeder'!$B:$W,24,FALSE),"")</f>
        <v/>
      </c>
      <c r="E13" s="194" t="str">
        <f>IFERROR(VLOOKUP(F9,'Comments Feeder'!$B:$W,25,FALSE),"")</f>
        <v/>
      </c>
      <c r="F13" s="189" t="s">
        <v>95</v>
      </c>
      <c r="H13" s="193"/>
    </row>
    <row r="14" spans="1:8" s="192" customFormat="1" x14ac:dyDescent="0.25">
      <c r="A14" s="239">
        <f>IFERROR(VLOOKUP(F13,'Comments Feeder'!$B:$W,18,FALSE),"")</f>
        <v>-4</v>
      </c>
      <c r="B14" s="807" t="s">
        <v>297</v>
      </c>
      <c r="C14" s="239" t="str">
        <f>IFERROR(VLOOKUP(F11,'Comments Feeder'!$B:$W,23,FALSE),"")</f>
        <v/>
      </c>
      <c r="D14" s="194" t="str">
        <f>IFERROR(VLOOKUP(F10,'Comments Feeder'!$B:$W,24,FALSE),"")</f>
        <v/>
      </c>
      <c r="E14" s="194" t="str">
        <f>IFERROR(VLOOKUP(F10,'Comments Feeder'!$B:$W,25,FALSE),"")</f>
        <v/>
      </c>
      <c r="F14" s="395"/>
      <c r="H14" s="193"/>
    </row>
    <row r="15" spans="1:8" s="192" customFormat="1" x14ac:dyDescent="0.25">
      <c r="A15" s="239" t="str">
        <f>IFERROR(VLOOKUP(F14,'Comments Feeder'!$B:$W,18,FALSE),"")</f>
        <v/>
      </c>
      <c r="B15" s="239">
        <f>IFERROR(VLOOKUP(F13,'Comments Feeder'!$B:$W,21,FALSE),"")</f>
        <v>0</v>
      </c>
      <c r="C15" s="239" t="str">
        <f>IFERROR(VLOOKUP(F12,'Comments Feeder'!$B:$W,23,FALSE),"")</f>
        <v/>
      </c>
      <c r="D15" s="194" t="str">
        <f>IFERROR(VLOOKUP(F11,'Comments Feeder'!$B:$W,24,FALSE),"")</f>
        <v/>
      </c>
      <c r="E15" s="194" t="str">
        <f>IFERROR(VLOOKUP(F11,'Comments Feeder'!$B:$W,25,FALSE),"")</f>
        <v/>
      </c>
      <c r="F15" s="814" t="s">
        <v>298</v>
      </c>
      <c r="H15" s="193"/>
    </row>
    <row r="16" spans="1:8" s="192" customFormat="1" x14ac:dyDescent="0.25">
      <c r="A16" s="239" t="str">
        <f>IFERROR(VLOOKUP(F15,'Comments Feeder'!$B:$W,18,FALSE),"")</f>
        <v/>
      </c>
      <c r="B16" s="239" t="str">
        <f>IFERROR(VLOOKUP(F14,'Comments Feeder'!$B:$W,21,FALSE),"")</f>
        <v/>
      </c>
      <c r="C16" s="239" t="str">
        <f>IFERROR(VLOOKUP(F13,'Comments Feeder'!$B:$W,23,FALSE),"")</f>
        <v/>
      </c>
      <c r="D16" s="194" t="str">
        <f>IFERROR(VLOOKUP(F12,'Comments Feeder'!$B:$W,24,FALSE),"")</f>
        <v/>
      </c>
      <c r="E16" s="194" t="str">
        <f>IFERROR(VLOOKUP(F12,'Comments Feeder'!$B:$W,25,FALSE),"")</f>
        <v/>
      </c>
      <c r="F16" s="294"/>
      <c r="H16" s="193"/>
    </row>
    <row r="17" spans="1:8" s="192" customFormat="1" x14ac:dyDescent="0.25">
      <c r="A17" s="239" t="str">
        <f>IFERROR(VLOOKUP(F16,'Comments Feeder'!$B:$W,18,FALSE),"")</f>
        <v/>
      </c>
      <c r="B17" s="239" t="str">
        <f>IFERROR(VLOOKUP(F15,'Comments Feeder'!$B:$W,21,FALSE),"")</f>
        <v/>
      </c>
      <c r="C17" s="239" t="str">
        <f>IFERROR(VLOOKUP(F14,'Comments Feeder'!$B:$W,23,FALSE),"")</f>
        <v/>
      </c>
      <c r="D17" s="194" t="str">
        <f>IFERROR(VLOOKUP(F13,'Comments Feeder'!$B:$W,24,FALSE),"")</f>
        <v/>
      </c>
      <c r="E17" s="194" t="str">
        <f>IFERROR(VLOOKUP(F13,'Comments Feeder'!$B:$W,25,FALSE),"")</f>
        <v/>
      </c>
      <c r="F17" s="196"/>
      <c r="H17" s="193"/>
    </row>
    <row r="18" spans="1:8" s="192" customFormat="1" ht="15" customHeight="1" thickBot="1" x14ac:dyDescent="0.3">
      <c r="A18" s="198" t="str">
        <f>IFERROR(VLOOKUP(F17,'Comments Feeder'!$B:$W,18,FALSE),"")</f>
        <v/>
      </c>
      <c r="B18" s="198" t="str">
        <f>IFERROR(VLOOKUP(F16,'Comments Feeder'!$B:$W,21,FALSE),"")</f>
        <v/>
      </c>
      <c r="C18" s="198" t="str">
        <f>IFERROR(VLOOKUP(F15,'Comments Feeder'!$B:$W,23,FALSE),"")</f>
        <v/>
      </c>
      <c r="D18" s="198" t="str">
        <f>IFERROR(VLOOKUP(F14,'Comments Feeder'!$B:$W,24,FALSE),"")</f>
        <v/>
      </c>
      <c r="E18" s="198" t="str">
        <f>IFERROR(VLOOKUP(F14,'Comments Feeder'!$B:$W,25,FALSE),"")</f>
        <v/>
      </c>
      <c r="F18" s="198"/>
      <c r="H18" s="193"/>
    </row>
    <row r="19" spans="1:8" s="192" customFormat="1" ht="13" x14ac:dyDescent="0.25">
      <c r="A19" s="239" t="str">
        <f>IFERROR(VLOOKUP(F18,'Comments Feeder'!$B:$W,18,FALSE),"")</f>
        <v/>
      </c>
      <c r="B19" s="239" t="str">
        <f>IFERROR(VLOOKUP(F17,'Comments Feeder'!$B:$W,21,FALSE),"")</f>
        <v/>
      </c>
      <c r="C19" s="239" t="str">
        <f>IFERROR(VLOOKUP(F16,'Comments Feeder'!$B:$W,23,FALSE),"")</f>
        <v/>
      </c>
      <c r="D19" s="194" t="str">
        <f>IFERROR(VLOOKUP(F15,'Comments Feeder'!$B:$W,24,FALSE),"")</f>
        <v/>
      </c>
      <c r="E19" s="194" t="str">
        <f>IFERROR(VLOOKUP(F15,'Comments Feeder'!$B:$W,25,FALSE),"")</f>
        <v/>
      </c>
      <c r="F19" s="189" t="s">
        <v>96</v>
      </c>
      <c r="H19" s="193"/>
    </row>
    <row r="20" spans="1:8" s="192" customFormat="1" x14ac:dyDescent="0.25">
      <c r="A20" s="239">
        <f>IFERROR(VLOOKUP(F19,'Comments Feeder'!$B:$W,18,FALSE),"")</f>
        <v>451</v>
      </c>
      <c r="B20" s="239"/>
      <c r="C20" s="239" t="str">
        <f>IFERROR(VLOOKUP(F17,'Comments Feeder'!$B:$W,23,FALSE),"")</f>
        <v/>
      </c>
      <c r="D20" s="194" t="str">
        <f>IFERROR(VLOOKUP(F16,'Comments Feeder'!$B:$W,24,FALSE),"")</f>
        <v/>
      </c>
      <c r="E20" s="194" t="str">
        <f>IFERROR(VLOOKUP(F16,'Comments Feeder'!$B:$W,25,FALSE),"")</f>
        <v/>
      </c>
      <c r="F20" s="395" t="s">
        <v>299</v>
      </c>
      <c r="H20" s="193"/>
    </row>
    <row r="21" spans="1:8" s="192" customFormat="1" x14ac:dyDescent="0.25">
      <c r="A21" s="239" t="str">
        <f>IFERROR(VLOOKUP(F20,'Comments Feeder'!$B:$W,18,FALSE),"")</f>
        <v/>
      </c>
      <c r="B21" s="239">
        <v>300</v>
      </c>
      <c r="C21" s="239" t="str">
        <f>IFERROR(VLOOKUP(F18,'Comments Feeder'!$B:$W,23,FALSE),"")</f>
        <v/>
      </c>
      <c r="D21" s="194" t="str">
        <f>IFERROR(VLOOKUP(F17,'Comments Feeder'!$B:$W,24,FALSE),"")</f>
        <v/>
      </c>
      <c r="E21" s="194" t="str">
        <f>IFERROR(VLOOKUP(F17,'Comments Feeder'!$B:$W,25,FALSE),"")</f>
        <v/>
      </c>
      <c r="F21" s="395" t="s">
        <v>300</v>
      </c>
      <c r="H21" s="193"/>
    </row>
    <row r="22" spans="1:8" s="192" customFormat="1" x14ac:dyDescent="0.25">
      <c r="A22" s="239"/>
      <c r="B22" s="239"/>
      <c r="C22" s="239"/>
      <c r="D22" s="194"/>
      <c r="E22" s="194"/>
      <c r="F22" s="395"/>
      <c r="H22" s="193"/>
    </row>
    <row r="23" spans="1:8" s="192" customFormat="1" x14ac:dyDescent="0.25">
      <c r="A23" s="239"/>
      <c r="B23" s="239"/>
      <c r="C23" s="239"/>
      <c r="D23" s="194"/>
      <c r="E23" s="194"/>
      <c r="F23" s="594" t="s">
        <v>301</v>
      </c>
      <c r="H23" s="193"/>
    </row>
    <row r="24" spans="1:8" s="192" customFormat="1" x14ac:dyDescent="0.25">
      <c r="A24" s="239" t="str">
        <f>IFERROR(VLOOKUP(#REF!,'Comments Feeder'!$B:$W,18,FALSE),"")</f>
        <v/>
      </c>
      <c r="B24" s="239" t="str">
        <f>IFERROR(VLOOKUP(F21,'Comments Feeder'!$B:$W,21,FALSE),"")</f>
        <v/>
      </c>
      <c r="C24" s="239" t="str">
        <f>IFERROR(VLOOKUP(F20,'Comments Feeder'!$B:$W,23,FALSE),"")</f>
        <v/>
      </c>
      <c r="D24" s="194" t="str">
        <f>IFERROR(VLOOKUP(F19,'Comments Feeder'!$B:$W,24,FALSE),"")</f>
        <v/>
      </c>
      <c r="E24" s="194" t="str">
        <f>IFERROR(VLOOKUP(F19,'Comments Feeder'!$B:$W,25,FALSE),"")</f>
        <v/>
      </c>
      <c r="F24" s="594"/>
      <c r="H24" s="193"/>
    </row>
    <row r="25" spans="1:8" s="192" customFormat="1" ht="15" customHeight="1" x14ac:dyDescent="0.25">
      <c r="A25" s="304" t="str">
        <f>IFERROR(VLOOKUP(F24,'Comments Feeder'!$B:$W,18,FALSE),"")</f>
        <v/>
      </c>
      <c r="B25" s="304" t="str">
        <f>IFERROR(VLOOKUP(#REF!,'Comments Feeder'!$B:$W,21,FALSE),"")</f>
        <v/>
      </c>
      <c r="C25" s="304" t="str">
        <f>IFERROR(VLOOKUP(F21,'Comments Feeder'!$B:$W,23,FALSE),"")</f>
        <v/>
      </c>
      <c r="D25" s="305" t="str">
        <f>IFERROR(VLOOKUP(F20,'Comments Feeder'!$B:$W,24,FALSE),"")</f>
        <v/>
      </c>
      <c r="E25" s="305" t="str">
        <f>IFERROR(VLOOKUP(F20,'Comments Feeder'!$B:$W,25,FALSE),"")</f>
        <v/>
      </c>
      <c r="F25" s="198"/>
      <c r="H25" s="193"/>
    </row>
    <row r="26" spans="1:8" s="192" customFormat="1" ht="13" x14ac:dyDescent="0.25">
      <c r="A26" s="239" t="str">
        <f>IFERROR(VLOOKUP(F25,'Comments Feeder'!$B:$W,18,FALSE),"")</f>
        <v/>
      </c>
      <c r="B26" s="239" t="str">
        <f>IFERROR(VLOOKUP(F24,'Comments Feeder'!$B:$W,21,FALSE),"")</f>
        <v/>
      </c>
      <c r="C26" s="239" t="str">
        <f>IFERROR(VLOOKUP(#REF!,'Comments Feeder'!$B:$W,23,FALSE),"")</f>
        <v/>
      </c>
      <c r="D26" s="194" t="str">
        <f>IFERROR(VLOOKUP(F21,'Comments Feeder'!$B:$W,24,FALSE),"")</f>
        <v/>
      </c>
      <c r="E26" s="194" t="str">
        <f>IFERROR(VLOOKUP(F21,'Comments Feeder'!$B:$W,25,FALSE),"")</f>
        <v/>
      </c>
      <c r="F26" s="189" t="s">
        <v>97</v>
      </c>
      <c r="H26" s="193"/>
    </row>
    <row r="27" spans="1:8" s="192" customFormat="1" ht="25" x14ac:dyDescent="0.25">
      <c r="A27" s="239">
        <f>IFERROR(VLOOKUP(F26,'Comments Feeder'!$B:$W,18,FALSE),"")</f>
        <v>18</v>
      </c>
      <c r="B27" s="239" t="str">
        <f>IFERROR(VLOOKUP(F25,'Comments Feeder'!$B:$W,21,FALSE),"")</f>
        <v/>
      </c>
      <c r="C27" s="239" t="str">
        <f>IFERROR(VLOOKUP(F24,'Comments Feeder'!$B:$W,23,FALSE),"")</f>
        <v/>
      </c>
      <c r="D27" s="194" t="str">
        <f>IFERROR(VLOOKUP(#REF!,'Comments Feeder'!$B:$W,24,FALSE),"")</f>
        <v/>
      </c>
      <c r="E27" s="194" t="str">
        <f>IFERROR(VLOOKUP(#REF!,'Comments Feeder'!$B:$W,25,FALSE),"")</f>
        <v/>
      </c>
      <c r="F27" s="395" t="s">
        <v>302</v>
      </c>
      <c r="H27" s="193"/>
    </row>
    <row r="28" spans="1:8" s="192" customFormat="1" x14ac:dyDescent="0.25">
      <c r="A28" s="239" t="str">
        <f>IFERROR(VLOOKUP(F27,'Comments Feeder'!$B:$W,18,FALSE),"")</f>
        <v/>
      </c>
      <c r="B28" s="239">
        <f>IFERROR(VLOOKUP(F26,'Comments Feeder'!$B:$W,21,FALSE),"")</f>
        <v>27</v>
      </c>
      <c r="C28" s="239" t="str">
        <f>IFERROR(VLOOKUP(F25,'Comments Feeder'!$B:$W,23,FALSE),"")</f>
        <v/>
      </c>
      <c r="D28" s="194" t="str">
        <f>IFERROR(VLOOKUP(F24,'Comments Feeder'!$B:$W,24,FALSE),"")</f>
        <v/>
      </c>
      <c r="E28" s="194" t="str">
        <f>IFERROR(VLOOKUP(F24,'Comments Feeder'!$B:$W,25,FALSE),"")</f>
        <v/>
      </c>
      <c r="F28" s="395" t="s">
        <v>303</v>
      </c>
      <c r="H28" s="193"/>
    </row>
    <row r="29" spans="1:8" s="192" customFormat="1" x14ac:dyDescent="0.25">
      <c r="A29" s="239" t="str">
        <f>IFERROR(VLOOKUP(F28,'Comments Feeder'!$B:$W,18,FALSE),"")</f>
        <v/>
      </c>
      <c r="B29" s="239" t="str">
        <f>IFERROR(VLOOKUP(F27,'Comments Feeder'!$B:$W,21,FALSE),"")</f>
        <v/>
      </c>
      <c r="C29" s="239" t="str">
        <f>IFERROR(VLOOKUP(F26,'Comments Feeder'!$B:$W,23,FALSE),"")</f>
        <v/>
      </c>
      <c r="D29" s="194" t="str">
        <f>IFERROR(VLOOKUP(F25,'Comments Feeder'!$B:$W,24,FALSE),"")</f>
        <v/>
      </c>
      <c r="E29" s="194" t="str">
        <f>IFERROR(VLOOKUP(F25,'Comments Feeder'!$B:$W,25,FALSE),"")</f>
        <v/>
      </c>
      <c r="F29" s="796" t="s">
        <v>304</v>
      </c>
      <c r="H29" s="193"/>
    </row>
    <row r="30" spans="1:8" s="192" customFormat="1" x14ac:dyDescent="0.25">
      <c r="A30" s="239" t="str">
        <f>IFERROR(VLOOKUP(F29,'Comments Feeder'!$B:$W,18,FALSE),"")</f>
        <v/>
      </c>
      <c r="B30" s="239" t="str">
        <f>IFERROR(VLOOKUP(F28,'Comments Feeder'!$B:$W,21,FALSE),"")</f>
        <v/>
      </c>
      <c r="C30" s="239" t="str">
        <f>IFERROR(VLOOKUP(F27,'Comments Feeder'!$B:$W,23,FALSE),"")</f>
        <v/>
      </c>
      <c r="D30" s="194" t="str">
        <f>IFERROR(VLOOKUP(F26,'Comments Feeder'!$B:$W,24,FALSE),"")</f>
        <v/>
      </c>
      <c r="E30" s="194" t="str">
        <f>IFERROR(VLOOKUP(F26,'Comments Feeder'!$B:$W,25,FALSE),"")</f>
        <v/>
      </c>
      <c r="F30" s="196"/>
      <c r="H30" s="193"/>
    </row>
    <row r="31" spans="1:8" s="192" customFormat="1" ht="15" customHeight="1" x14ac:dyDescent="0.25">
      <c r="A31" s="304" t="str">
        <f>IFERROR(VLOOKUP(F30,'Comments Feeder'!$B:$W,18,FALSE),"")</f>
        <v/>
      </c>
      <c r="B31" s="304" t="str">
        <f>IFERROR(VLOOKUP(F29,'Comments Feeder'!$B:$W,21,FALSE),"")</f>
        <v/>
      </c>
      <c r="C31" s="304" t="str">
        <f>IFERROR(VLOOKUP(F28,'Comments Feeder'!$B:$W,23,FALSE),"")</f>
        <v/>
      </c>
      <c r="D31" s="305" t="str">
        <f>IFERROR(VLOOKUP(F27,'Comments Feeder'!$B:$W,24,FALSE),"")</f>
        <v/>
      </c>
      <c r="E31" s="305" t="str">
        <f>IFERROR(VLOOKUP(F27,'Comments Feeder'!$B:$W,25,FALSE),"")</f>
        <v/>
      </c>
      <c r="F31" s="198"/>
      <c r="H31" s="193"/>
    </row>
    <row r="32" spans="1:8" s="192" customFormat="1" ht="13" x14ac:dyDescent="0.25">
      <c r="A32" s="239" t="str">
        <f>IFERROR(VLOOKUP(F31,'Comments Feeder'!$B:$W,18,FALSE),"")</f>
        <v/>
      </c>
      <c r="B32" s="239" t="str">
        <f>IFERROR(VLOOKUP(F30,'Comments Feeder'!$B:$W,21,FALSE),"")</f>
        <v/>
      </c>
      <c r="C32" s="239" t="str">
        <f>IFERROR(VLOOKUP(F29,'Comments Feeder'!$B:$W,23,FALSE),"")</f>
        <v/>
      </c>
      <c r="D32" s="194" t="str">
        <f>IFERROR(VLOOKUP(F28,'Comments Feeder'!$B:$W,24,FALSE),"")</f>
        <v/>
      </c>
      <c r="E32" s="194" t="str">
        <f>IFERROR(VLOOKUP(F28,'Comments Feeder'!$B:$W,25,FALSE),"")</f>
        <v/>
      </c>
      <c r="F32" s="189" t="s">
        <v>98</v>
      </c>
      <c r="H32" s="193"/>
    </row>
    <row r="33" spans="1:8" s="192" customFormat="1" x14ac:dyDescent="0.25">
      <c r="A33" s="239">
        <f>IFERROR(VLOOKUP(F32,'Comments Feeder'!$B:$W,18,FALSE),"")</f>
        <v>-80</v>
      </c>
      <c r="B33" s="239">
        <v>-50</v>
      </c>
      <c r="C33" s="239" t="str">
        <f>IFERROR(VLOOKUP(F30,'Comments Feeder'!$B:$W,23,FALSE),"")</f>
        <v/>
      </c>
      <c r="D33" s="194" t="str">
        <f>IFERROR(VLOOKUP(F29,'Comments Feeder'!$B:$W,24,FALSE),"")</f>
        <v/>
      </c>
      <c r="E33" s="194" t="str">
        <f>IFERROR(VLOOKUP(F29,'Comments Feeder'!$B:$W,25,FALSE),"")</f>
        <v/>
      </c>
      <c r="F33" s="395" t="s">
        <v>305</v>
      </c>
      <c r="H33" s="193"/>
    </row>
    <row r="34" spans="1:8" s="192" customFormat="1" x14ac:dyDescent="0.25">
      <c r="A34" s="239" t="str">
        <f>IFERROR(VLOOKUP(F33,'Comments Feeder'!$B:$W,18,FALSE),"")</f>
        <v/>
      </c>
      <c r="B34" s="239"/>
      <c r="C34" s="239" t="str">
        <f>IFERROR(VLOOKUP(F31,'Comments Feeder'!$B:$W,23,FALSE),"")</f>
        <v/>
      </c>
      <c r="D34" s="194" t="str">
        <f>IFERROR(VLOOKUP(F30,'Comments Feeder'!$B:$W,24,FALSE),"")</f>
        <v/>
      </c>
      <c r="E34" s="194" t="str">
        <f>IFERROR(VLOOKUP(F30,'Comments Feeder'!$B:$W,25,FALSE),"")</f>
        <v/>
      </c>
      <c r="F34" s="395"/>
      <c r="H34" s="193"/>
    </row>
    <row r="35" spans="1:8" s="192" customFormat="1" x14ac:dyDescent="0.25">
      <c r="A35" s="239" t="str">
        <f>IFERROR(VLOOKUP(F34,'Comments Feeder'!$B:$W,18,FALSE),"")</f>
        <v/>
      </c>
      <c r="B35" s="239" t="str">
        <f>IFERROR(VLOOKUP(F33,'Comments Feeder'!$B:$W,21,FALSE),"")</f>
        <v/>
      </c>
      <c r="C35" s="239" t="str">
        <f>IFERROR(VLOOKUP(F32,'Comments Feeder'!$B:$W,23,FALSE),"")</f>
        <v/>
      </c>
      <c r="D35" s="194" t="str">
        <f>IFERROR(VLOOKUP(F31,'Comments Feeder'!$B:$W,24,FALSE),"")</f>
        <v/>
      </c>
      <c r="E35" s="194" t="str">
        <f>IFERROR(VLOOKUP(F31,'Comments Feeder'!$B:$W,25,FALSE),"")</f>
        <v/>
      </c>
      <c r="F35" s="771" t="s">
        <v>306</v>
      </c>
      <c r="H35" s="193"/>
    </row>
    <row r="36" spans="1:8" s="192" customFormat="1" x14ac:dyDescent="0.25">
      <c r="A36" s="239" t="str">
        <f>IFERROR(VLOOKUP(F35,'Comments Feeder'!$B:$W,18,FALSE),"")</f>
        <v/>
      </c>
      <c r="B36" s="239" t="str">
        <f>IFERROR(VLOOKUP(F34,'Comments Feeder'!$B:$W,21,FALSE),"")</f>
        <v/>
      </c>
      <c r="C36" s="239" t="str">
        <f>IFERROR(VLOOKUP(F33,'Comments Feeder'!$B:$W,23,FALSE),"")</f>
        <v/>
      </c>
      <c r="D36" s="194" t="str">
        <f>IFERROR(VLOOKUP(F32,'Comments Feeder'!$B:$W,24,FALSE),"")</f>
        <v/>
      </c>
      <c r="E36" s="194" t="str">
        <f>IFERROR(VLOOKUP(F32,'Comments Feeder'!$B:$W,25,FALSE),"")</f>
        <v/>
      </c>
      <c r="F36" s="196"/>
      <c r="H36" s="193"/>
    </row>
    <row r="37" spans="1:8" s="192" customFormat="1" ht="15" customHeight="1" thickBot="1" x14ac:dyDescent="0.3">
      <c r="A37" s="304" t="str">
        <f>IFERROR(VLOOKUP(F36,'Comments Feeder'!$B:$W,18,FALSE),"")</f>
        <v/>
      </c>
      <c r="B37" s="304" t="str">
        <f>IFERROR(VLOOKUP(F35,'Comments Feeder'!$B:$W,21,FALSE),"")</f>
        <v/>
      </c>
      <c r="C37" s="304" t="str">
        <f>IFERROR(VLOOKUP(F34,'Comments Feeder'!$B:$W,23,FALSE),"")</f>
        <v/>
      </c>
      <c r="D37" s="305" t="str">
        <f>IFERROR(VLOOKUP(F33,'Comments Feeder'!$B:$W,24,FALSE),"")</f>
        <v/>
      </c>
      <c r="E37" s="305" t="str">
        <f>IFERROR(VLOOKUP(F33,'Comments Feeder'!$B:$W,25,FALSE),"")</f>
        <v/>
      </c>
      <c r="F37" s="198"/>
      <c r="H37" s="193"/>
    </row>
    <row r="38" spans="1:8" s="192" customFormat="1" ht="13" x14ac:dyDescent="0.25">
      <c r="A38" s="239" t="str">
        <f>IFERROR(VLOOKUP(F37,'Comments Feeder'!$B:$W,18,FALSE),"")</f>
        <v/>
      </c>
      <c r="B38" s="239" t="str">
        <f>IFERROR(VLOOKUP(F36,'Comments Feeder'!$B:$W,21,FALSE),"")</f>
        <v/>
      </c>
      <c r="C38" s="239" t="str">
        <f>IFERROR(VLOOKUP(F35,'Comments Feeder'!$B:$W,23,FALSE),"")</f>
        <v/>
      </c>
      <c r="D38" s="194" t="str">
        <f>IFERROR(VLOOKUP(F34,'Comments Feeder'!$B:$W,24,FALSE),"")</f>
        <v/>
      </c>
      <c r="E38" s="194" t="str">
        <f>IFERROR(VLOOKUP(F34,'Comments Feeder'!$B:$W,25,FALSE),"")</f>
        <v/>
      </c>
      <c r="F38" s="189" t="s">
        <v>100</v>
      </c>
      <c r="H38" s="193"/>
    </row>
    <row r="39" spans="1:8" s="192" customFormat="1" ht="31.5" customHeight="1" x14ac:dyDescent="0.25">
      <c r="A39" s="239">
        <f>IFERROR(VLOOKUP(F38,'Comments Feeder'!$B:$W,18,FALSE),"")</f>
        <v>493</v>
      </c>
      <c r="B39" s="239" t="str">
        <f>IFERROR(VLOOKUP(F37,'Comments Feeder'!$B:$W,21,FALSE),"")</f>
        <v/>
      </c>
      <c r="C39" s="239" t="str">
        <f>IFERROR(VLOOKUP(F36,'Comments Feeder'!$B:$W,23,FALSE),"")</f>
        <v/>
      </c>
      <c r="D39" s="194" t="str">
        <f>IFERROR(VLOOKUP(F35,'Comments Feeder'!$B:$W,24,FALSE),"")</f>
        <v/>
      </c>
      <c r="E39" s="194" t="str">
        <f>IFERROR(VLOOKUP(F35,'Comments Feeder'!$B:$W,25,FALSE),"")</f>
        <v/>
      </c>
      <c r="F39" s="195" t="s">
        <v>307</v>
      </c>
      <c r="H39" s="193"/>
    </row>
    <row r="40" spans="1:8" s="192" customFormat="1" ht="45" customHeight="1" x14ac:dyDescent="0.25">
      <c r="A40" s="239" t="str">
        <f>IFERROR(VLOOKUP(F39,'Comments Feeder'!$B:$W,18,FALSE),"")</f>
        <v/>
      </c>
      <c r="B40" s="239">
        <f>+B33+B28+B21+B14</f>
        <v>277</v>
      </c>
      <c r="C40" s="239" t="str">
        <f>IFERROR(VLOOKUP(F37,'Comments Feeder'!$B:$W,23,FALSE),"")</f>
        <v/>
      </c>
      <c r="D40" s="194" t="str">
        <f>IFERROR(VLOOKUP(F36,'Comments Feeder'!$B:$W,24,FALSE),"")</f>
        <v/>
      </c>
      <c r="E40" s="194" t="str">
        <f>IFERROR(VLOOKUP(F36,'Comments Feeder'!$B:$W,25,FALSE),"")</f>
        <v/>
      </c>
      <c r="F40" s="195"/>
      <c r="H40" s="193"/>
    </row>
    <row r="41" spans="1:8" s="192" customFormat="1" x14ac:dyDescent="0.25">
      <c r="A41" s="239" t="str">
        <f>IFERROR(VLOOKUP(F40,'Comments Feeder'!$B:$W,18,FALSE),"")</f>
        <v/>
      </c>
      <c r="B41" s="239" t="str">
        <f>IFERROR(VLOOKUP(F39,'Comments Feeder'!$B:$W,21,FALSE),"")</f>
        <v/>
      </c>
      <c r="C41" s="239" t="str">
        <f>IFERROR(VLOOKUP(F38,'Comments Feeder'!$B:$W,23,FALSE),"")</f>
        <v/>
      </c>
      <c r="D41" s="194" t="str">
        <f>IFERROR(VLOOKUP(F37,'Comments Feeder'!$B:$W,24,FALSE),"")</f>
        <v/>
      </c>
      <c r="E41" s="194" t="str">
        <f>IFERROR(VLOOKUP(F37,'Comments Feeder'!$B:$W,25,FALSE),"")</f>
        <v/>
      </c>
      <c r="F41" s="195"/>
      <c r="H41" s="193"/>
    </row>
    <row r="42" spans="1:8" s="192" customFormat="1" x14ac:dyDescent="0.25">
      <c r="A42" s="239" t="str">
        <f>IFERROR(VLOOKUP(F41,'Comments Feeder'!$B:$W,18,FALSE),"")</f>
        <v/>
      </c>
      <c r="B42" s="239" t="str">
        <f>IFERROR(VLOOKUP(F40,'Comments Feeder'!$B:$W,21,FALSE),"")</f>
        <v/>
      </c>
      <c r="C42" s="239" t="str">
        <f>IFERROR(VLOOKUP(F39,'Comments Feeder'!$B:$W,23,FALSE),"")</f>
        <v/>
      </c>
      <c r="D42" s="194" t="str">
        <f>IFERROR(VLOOKUP(F38,'Comments Feeder'!$B:$W,24,FALSE),"")</f>
        <v/>
      </c>
      <c r="E42" s="194" t="str">
        <f>IFERROR(VLOOKUP(F38,'Comments Feeder'!$B:$W,25,FALSE),"")</f>
        <v/>
      </c>
      <c r="F42" s="196"/>
      <c r="H42" s="193"/>
    </row>
    <row r="43" spans="1:8" s="192" customFormat="1" ht="15" customHeight="1" thickBot="1" x14ac:dyDescent="0.3">
      <c r="A43" s="240"/>
      <c r="B43" s="241"/>
      <c r="C43" s="197"/>
      <c r="D43" s="197"/>
      <c r="E43" s="197"/>
      <c r="F43" s="198"/>
      <c r="H43" s="193"/>
    </row>
    <row r="44" spans="1:8" x14ac:dyDescent="0.25">
      <c r="A44" s="235"/>
      <c r="F44" s="187"/>
      <c r="G44" s="192"/>
      <c r="H44" s="193"/>
    </row>
    <row r="45" spans="1:8" ht="15.75" customHeight="1" x14ac:dyDescent="0.25">
      <c r="A45" s="243" t="s">
        <v>308</v>
      </c>
      <c r="B45" s="234"/>
      <c r="F45" s="187"/>
      <c r="G45" s="192"/>
      <c r="H45" s="193"/>
    </row>
    <row r="46" spans="1:8" ht="13" thickBot="1" x14ac:dyDescent="0.3">
      <c r="A46" s="235"/>
      <c r="F46" s="187"/>
      <c r="G46" s="192"/>
      <c r="H46" s="193"/>
    </row>
    <row r="47" spans="1:8" ht="78.5" thickBot="1" x14ac:dyDescent="0.3">
      <c r="A47" s="244" t="str">
        <f>A5</f>
        <v>Actual Variance at 30 September 2024         £'000</v>
      </c>
      <c r="B47" s="458" t="str">
        <f>B5</f>
        <v>Projected Outturn Variance at 30 September 2024         £'000</v>
      </c>
      <c r="C47" s="246" t="str">
        <f>C5</f>
        <v>Variance to last month's Probable Outturn   £'000</v>
      </c>
      <c r="D47" s="246" t="str">
        <f>D5</f>
        <v>Outturn Variance @previous quarter  £'000</v>
      </c>
      <c r="E47" s="246" t="str">
        <f>E5</f>
        <v>Outturn Variance from previous quarter £'000</v>
      </c>
      <c r="F47" s="206"/>
      <c r="G47" s="192"/>
      <c r="H47" s="193"/>
    </row>
    <row r="48" spans="1:8" ht="21" customHeight="1" x14ac:dyDescent="0.25">
      <c r="A48" s="239" t="str">
        <f>IFERROR(VLOOKUP(F47,'Comments Feeder'!$B:$W,18,FALSE),"")</f>
        <v/>
      </c>
      <c r="B48" s="239" t="str">
        <f>IFERROR(VLOOKUP(F46,'Comments Feeder'!$B:$W,21,FALSE),"")</f>
        <v/>
      </c>
      <c r="C48" s="239" t="str">
        <f>IFERROR(VLOOKUP(F45,'Comments Feeder'!$B:$W,23,FALSE),"")</f>
        <v/>
      </c>
      <c r="D48" s="194" t="str">
        <f>IFERROR(VLOOKUP(F44,'Comments Feeder'!$B:$W,24,FALSE),"")</f>
        <v/>
      </c>
      <c r="E48" s="194" t="str">
        <f>IFERROR(VLOOKUP(F44,'Comments Feeder'!$B:$W,25,FALSE),"")</f>
        <v/>
      </c>
      <c r="F48" s="207" t="s">
        <v>46</v>
      </c>
      <c r="G48" s="192"/>
      <c r="H48" s="193"/>
    </row>
    <row r="49" spans="1:8" ht="26.25" customHeight="1" x14ac:dyDescent="0.25">
      <c r="A49" s="239">
        <f>IFERROR(VLOOKUP(F48,'Comments Feeder'!$B:$W,18,FALSE),"")</f>
        <v>-96</v>
      </c>
      <c r="B49" s="239" t="str">
        <f>IFERROR(VLOOKUP(F47,'Comments Feeder'!$B:$W,21,FALSE),"")</f>
        <v/>
      </c>
      <c r="C49" s="239" t="str">
        <f>IFERROR(VLOOKUP(F46,'Comments Feeder'!$B:$W,23,FALSE),"")</f>
        <v/>
      </c>
      <c r="D49" s="194" t="str">
        <f>IFERROR(VLOOKUP(F45,'Comments Feeder'!$B:$W,24,FALSE),"")</f>
        <v/>
      </c>
      <c r="E49" s="194" t="str">
        <f>IFERROR(VLOOKUP(F45,'Comments Feeder'!$B:$W,25,FALSE),"")</f>
        <v/>
      </c>
      <c r="F49" s="459" t="s">
        <v>309</v>
      </c>
      <c r="G49" s="208"/>
      <c r="H49" s="193"/>
    </row>
    <row r="50" spans="1:8" ht="25" x14ac:dyDescent="0.25">
      <c r="A50" s="239" t="str">
        <f>IFERROR(VLOOKUP(F49,'Comments Feeder'!$B:$W,18,FALSE),"")</f>
        <v/>
      </c>
      <c r="B50" s="239">
        <f>IFERROR(VLOOKUP(F48,'Comments Feeder'!$B:$W,21,FALSE),"")</f>
        <v>165</v>
      </c>
      <c r="C50" s="239" t="str">
        <f>IFERROR(VLOOKUP(F47,'Comments Feeder'!$B:$W,23,FALSE),"")</f>
        <v/>
      </c>
      <c r="D50" s="194" t="str">
        <f>IFERROR(VLOOKUP(F46,'Comments Feeder'!$B:$W,24,FALSE),"")</f>
        <v/>
      </c>
      <c r="E50" s="194" t="str">
        <f>IFERROR(VLOOKUP(F46,'Comments Feeder'!$B:$W,25,FALSE),"")</f>
        <v/>
      </c>
      <c r="F50" s="590" t="s">
        <v>310</v>
      </c>
      <c r="G50" s="192"/>
      <c r="H50" s="193"/>
    </row>
    <row r="51" spans="1:8" x14ac:dyDescent="0.25">
      <c r="A51" s="239" t="str">
        <f>IFERROR(VLOOKUP(F50,'Comments Feeder'!$B:$W,18,FALSE),"")</f>
        <v/>
      </c>
      <c r="B51" s="239" t="str">
        <f>IFERROR(VLOOKUP(F49,'Comments Feeder'!$B:$W,21,FALSE),"")</f>
        <v/>
      </c>
      <c r="C51" s="239" t="str">
        <f>IFERROR(VLOOKUP(F48,'Comments Feeder'!$B:$W,23,FALSE),"")</f>
        <v/>
      </c>
      <c r="D51" s="194" t="str">
        <f>IFERROR(VLOOKUP(F47,'Comments Feeder'!$B:$W,24,FALSE),"")</f>
        <v/>
      </c>
      <c r="E51" s="194" t="str">
        <f>IFERROR(VLOOKUP(F47,'Comments Feeder'!$B:$W,25,FALSE),"")</f>
        <v/>
      </c>
      <c r="F51" s="591"/>
      <c r="G51" s="192"/>
      <c r="H51" s="769"/>
    </row>
    <row r="52" spans="1:8" ht="13.5" thickBot="1" x14ac:dyDescent="0.3">
      <c r="A52" s="304" t="str">
        <f>IFERROR(VLOOKUP(F51,'Comments Feeder'!$B:$W,18,FALSE),"")</f>
        <v/>
      </c>
      <c r="B52" s="304" t="str">
        <f>IFERROR(VLOOKUP(F50,'Comments Feeder'!$B:$W,21,FALSE),"")</f>
        <v/>
      </c>
      <c r="C52" s="304" t="str">
        <f>IFERROR(VLOOKUP(F49,'Comments Feeder'!$B:$W,23,FALSE),"")</f>
        <v/>
      </c>
      <c r="D52" s="305" t="str">
        <f>IFERROR(VLOOKUP(F48,'Comments Feeder'!$B:$W,24,FALSE),"")</f>
        <v/>
      </c>
      <c r="E52" s="305" t="str">
        <f>IFERROR(VLOOKUP(F48,'Comments Feeder'!$B:$W,25,FALSE),"")</f>
        <v/>
      </c>
      <c r="F52" s="205"/>
      <c r="G52" s="192"/>
      <c r="H52" s="769"/>
    </row>
    <row r="53" spans="1:8" ht="13" x14ac:dyDescent="0.25">
      <c r="A53" s="239" t="str">
        <f>IFERROR(VLOOKUP(F52,'Comments Feeder'!$B:$W,18,FALSE),"")</f>
        <v/>
      </c>
      <c r="B53" s="239" t="str">
        <f>IFERROR(VLOOKUP(F51,'Comments Feeder'!$B:$W,21,FALSE),"")</f>
        <v/>
      </c>
      <c r="C53" s="239" t="str">
        <f>IFERROR(VLOOKUP(F50,'Comments Feeder'!$B:$W,23,FALSE),"")</f>
        <v/>
      </c>
      <c r="D53" s="194" t="str">
        <f>IFERROR(VLOOKUP(F49,'Comments Feeder'!$B:$W,24,FALSE),"")</f>
        <v/>
      </c>
      <c r="E53" s="194" t="str">
        <f>IFERROR(VLOOKUP(F49,'Comments Feeder'!$B:$W,25,FALSE),"")</f>
        <v/>
      </c>
      <c r="F53" s="209" t="s">
        <v>47</v>
      </c>
      <c r="G53" s="192"/>
      <c r="H53" s="769"/>
    </row>
    <row r="54" spans="1:8" ht="50.25" customHeight="1" x14ac:dyDescent="0.25">
      <c r="A54" s="239">
        <f>IFERROR(VLOOKUP(F53,'Comments Feeder'!$B:$W,18,FALSE),"")</f>
        <v>-137</v>
      </c>
      <c r="B54" s="239" t="str">
        <f>IFERROR(VLOOKUP(F52,'Comments Feeder'!$B:$W,21,FALSE),"")</f>
        <v/>
      </c>
      <c r="C54" s="239" t="str">
        <f>IFERROR(VLOOKUP(F51,'Comments Feeder'!$B:$W,23,FALSE),"")</f>
        <v/>
      </c>
      <c r="D54" s="194" t="str">
        <f>IFERROR(VLOOKUP(F50,'Comments Feeder'!$B:$W,24,FALSE),"")</f>
        <v/>
      </c>
      <c r="E54" s="194" t="str">
        <f>IFERROR(VLOOKUP(F50,'Comments Feeder'!$B:$W,25,FALSE),"")</f>
        <v/>
      </c>
      <c r="F54" s="397" t="s">
        <v>311</v>
      </c>
      <c r="G54" s="192"/>
      <c r="H54" s="769"/>
    </row>
    <row r="55" spans="1:8" x14ac:dyDescent="0.25">
      <c r="A55" s="239" t="str">
        <f>IFERROR(VLOOKUP(F54,'Comments Feeder'!$B:$W,18,FALSE),"")</f>
        <v/>
      </c>
      <c r="B55" s="239">
        <f>IFERROR(VLOOKUP(F53,'Comments Feeder'!$B:$W,21,FALSE),"")</f>
        <v>0</v>
      </c>
      <c r="C55" s="239" t="str">
        <f>IFERROR(VLOOKUP(F52,'Comments Feeder'!$B:$W,23,FALSE),"")</f>
        <v/>
      </c>
      <c r="D55" s="194" t="str">
        <f>IFERROR(VLOOKUP(F51,'Comments Feeder'!$B:$W,24,FALSE),"")</f>
        <v/>
      </c>
      <c r="E55" s="194" t="str">
        <f>IFERROR(VLOOKUP(F51,'Comments Feeder'!$B:$W,25,FALSE),"")</f>
        <v/>
      </c>
      <c r="F55" s="396"/>
      <c r="G55" s="192"/>
      <c r="H55" s="193"/>
    </row>
    <row r="56" spans="1:8" x14ac:dyDescent="0.25">
      <c r="A56" s="239" t="str">
        <f>IFERROR(VLOOKUP(F55,'Comments Feeder'!$B:$W,18,FALSE),"")</f>
        <v/>
      </c>
      <c r="B56" s="239" t="str">
        <f>IFERROR(VLOOKUP(F54,'Comments Feeder'!$B:$W,21,FALSE),"")</f>
        <v/>
      </c>
      <c r="C56" s="239" t="str">
        <f>IFERROR(VLOOKUP(F53,'Comments Feeder'!$B:$W,23,FALSE),"")</f>
        <v/>
      </c>
      <c r="D56" s="194" t="str">
        <f>IFERROR(VLOOKUP(F52,'Comments Feeder'!$B:$W,24,FALSE),"")</f>
        <v/>
      </c>
      <c r="E56" s="194" t="str">
        <f>IFERROR(VLOOKUP(F52,'Comments Feeder'!$B:$W,25,FALSE),"")</f>
        <v/>
      </c>
      <c r="F56" s="396" t="s">
        <v>312</v>
      </c>
      <c r="G56" s="192"/>
      <c r="H56" s="193"/>
    </row>
    <row r="57" spans="1:8" x14ac:dyDescent="0.25">
      <c r="A57" s="239" t="str">
        <f>IFERROR(VLOOKUP(F56,'Comments Feeder'!$B:$W,18,FALSE),"")</f>
        <v/>
      </c>
      <c r="B57" s="239" t="str">
        <f>IFERROR(VLOOKUP(F55,'Comments Feeder'!$B:$W,21,FALSE),"")</f>
        <v/>
      </c>
      <c r="C57" s="239" t="str">
        <f>IFERROR(VLOOKUP(F54,'Comments Feeder'!$B:$W,23,FALSE),"")</f>
        <v/>
      </c>
      <c r="D57" s="194" t="str">
        <f>IFERROR(VLOOKUP(F53,'Comments Feeder'!$B:$W,24,FALSE),"")</f>
        <v/>
      </c>
      <c r="E57" s="194" t="str">
        <f>IFERROR(VLOOKUP(F53,'Comments Feeder'!$B:$W,25,FALSE),"")</f>
        <v/>
      </c>
      <c r="F57" s="396"/>
      <c r="G57" s="192"/>
      <c r="H57" s="193"/>
    </row>
    <row r="58" spans="1:8" ht="13.5" thickBot="1" x14ac:dyDescent="0.3">
      <c r="A58" s="304" t="str">
        <f>IFERROR(VLOOKUP(F57,'Comments Feeder'!$B:$W,18,FALSE),"")</f>
        <v/>
      </c>
      <c r="B58" s="304" t="str">
        <f>IFERROR(VLOOKUP(F56,'Comments Feeder'!$B:$W,21,FALSE),"")</f>
        <v/>
      </c>
      <c r="C58" s="304" t="str">
        <f>IFERROR(VLOOKUP(F55,'Comments Feeder'!$B:$W,23,FALSE),"")</f>
        <v/>
      </c>
      <c r="D58" s="305" t="str">
        <f>IFERROR(VLOOKUP(F54,'Comments Feeder'!$B:$W,24,FALSE),"")</f>
        <v/>
      </c>
      <c r="E58" s="305" t="str">
        <f>IFERROR(VLOOKUP(F54,'Comments Feeder'!$B:$W,25,FALSE),"")</f>
        <v/>
      </c>
      <c r="F58" s="205"/>
      <c r="G58" s="192"/>
      <c r="H58" s="193"/>
    </row>
    <row r="59" spans="1:8" ht="13" outlineLevel="1" x14ac:dyDescent="0.25">
      <c r="A59" s="239" t="str">
        <f>IFERROR(VLOOKUP(F58,'Comments Feeder'!$B:$W,18,FALSE),"")</f>
        <v/>
      </c>
      <c r="B59" s="239" t="str">
        <f>IFERROR(VLOOKUP(F57,'Comments Feeder'!$B:$W,21,FALSE),"")</f>
        <v/>
      </c>
      <c r="C59" s="239" t="str">
        <f>IFERROR(VLOOKUP(F56,'Comments Feeder'!$B:$W,23,FALSE),"")</f>
        <v/>
      </c>
      <c r="D59" s="194" t="str">
        <f>IFERROR(VLOOKUP(F55,'Comments Feeder'!$B:$W,24,FALSE),"")</f>
        <v/>
      </c>
      <c r="E59" s="194" t="str">
        <f>IFERROR(VLOOKUP(F55,'Comments Feeder'!$B:$W,25,FALSE),"")</f>
        <v/>
      </c>
      <c r="F59" s="209" t="s">
        <v>48</v>
      </c>
      <c r="G59" s="192"/>
      <c r="H59" s="193"/>
    </row>
    <row r="60" spans="1:8" ht="50.25" customHeight="1" outlineLevel="1" x14ac:dyDescent="0.25">
      <c r="A60" s="239" t="str">
        <f>IFERROR(VLOOKUP(F59,'Comments Feeder'!$B:$W,18,FALSE),"")</f>
        <v/>
      </c>
      <c r="B60" s="239" t="str">
        <f>IFERROR(VLOOKUP(F58,'Comments Feeder'!$B:$W,21,FALSE),"")</f>
        <v/>
      </c>
      <c r="C60" s="239" t="str">
        <f>IFERROR(VLOOKUP(F57,'Comments Feeder'!$B:$W,23,FALSE),"")</f>
        <v/>
      </c>
      <c r="D60" s="194" t="str">
        <f>IFERROR(VLOOKUP(F56,'Comments Feeder'!$B:$W,24,FALSE),"")</f>
        <v/>
      </c>
      <c r="E60" s="194" t="str">
        <f>IFERROR(VLOOKUP(F56,'Comments Feeder'!$B:$W,25,FALSE),"")</f>
        <v/>
      </c>
      <c r="F60" s="397"/>
      <c r="G60" s="192"/>
      <c r="H60" s="193"/>
    </row>
    <row r="61" spans="1:8" outlineLevel="1" x14ac:dyDescent="0.25">
      <c r="A61" s="239" t="str">
        <f>IFERROR(VLOOKUP(F60,'Comments Feeder'!$B:$W,18,FALSE),"")</f>
        <v/>
      </c>
      <c r="B61" s="239" t="str">
        <f>IFERROR(VLOOKUP(F59,'Comments Feeder'!$B:$W,21,FALSE),"")</f>
        <v/>
      </c>
      <c r="C61" s="239" t="str">
        <f>IFERROR(VLOOKUP(F58,'Comments Feeder'!$B:$W,23,FALSE),"")</f>
        <v/>
      </c>
      <c r="D61" s="194" t="str">
        <f>IFERROR(VLOOKUP(F57,'Comments Feeder'!$B:$W,24,FALSE),"")</f>
        <v/>
      </c>
      <c r="E61" s="194" t="str">
        <f>IFERROR(VLOOKUP(F57,'Comments Feeder'!$B:$W,25,FALSE),"")</f>
        <v/>
      </c>
      <c r="F61" s="396"/>
      <c r="G61" s="192"/>
      <c r="H61" s="193"/>
    </row>
    <row r="62" spans="1:8" outlineLevel="1" x14ac:dyDescent="0.25">
      <c r="A62" s="239" t="str">
        <f>IFERROR(VLOOKUP(F61,'Comments Feeder'!$B:$W,18,FALSE),"")</f>
        <v/>
      </c>
      <c r="B62" s="239" t="str">
        <f>IFERROR(VLOOKUP(F60,'Comments Feeder'!$B:$W,21,FALSE),"")</f>
        <v/>
      </c>
      <c r="C62" s="239" t="str">
        <f>IFERROR(VLOOKUP(F59,'Comments Feeder'!$B:$W,23,FALSE),"")</f>
        <v/>
      </c>
      <c r="D62" s="194" t="str">
        <f>IFERROR(VLOOKUP(F58,'Comments Feeder'!$B:$W,24,FALSE),"")</f>
        <v/>
      </c>
      <c r="E62" s="194" t="str">
        <f>IFERROR(VLOOKUP(F58,'Comments Feeder'!$B:$W,25,FALSE),"")</f>
        <v/>
      </c>
      <c r="F62" s="396"/>
      <c r="G62" s="192"/>
      <c r="H62" s="193"/>
    </row>
    <row r="63" spans="1:8" outlineLevel="1" x14ac:dyDescent="0.25">
      <c r="A63" s="239" t="str">
        <f>IFERROR(VLOOKUP(F62,'Comments Feeder'!$B:$W,18,FALSE),"")</f>
        <v/>
      </c>
      <c r="B63" s="239" t="str">
        <f>IFERROR(VLOOKUP(F61,'Comments Feeder'!$B:$W,21,FALSE),"")</f>
        <v/>
      </c>
      <c r="C63" s="239" t="str">
        <f>IFERROR(VLOOKUP(F60,'Comments Feeder'!$B:$W,23,FALSE),"")</f>
        <v/>
      </c>
      <c r="D63" s="194" t="str">
        <f>IFERROR(VLOOKUP(F59,'Comments Feeder'!$B:$W,24,FALSE),"")</f>
        <v/>
      </c>
      <c r="E63" s="194" t="str">
        <f>IFERROR(VLOOKUP(F59,'Comments Feeder'!$B:$W,25,FALSE),"")</f>
        <v/>
      </c>
      <c r="F63" s="204"/>
      <c r="G63" s="192"/>
      <c r="H63" s="193"/>
    </row>
    <row r="64" spans="1:8" ht="13.5" thickBot="1" x14ac:dyDescent="0.3">
      <c r="A64" s="304" t="str">
        <f>IFERROR(VLOOKUP(F63,'Comments Feeder'!$B:$W,18,FALSE),"")</f>
        <v/>
      </c>
      <c r="B64" s="304" t="str">
        <f>IFERROR(VLOOKUP(F62,'Comments Feeder'!$B:$W,21,FALSE),"")</f>
        <v/>
      </c>
      <c r="C64" s="304" t="str">
        <f>IFERROR(VLOOKUP(F61,'Comments Feeder'!$B:$W,23,FALSE),"")</f>
        <v/>
      </c>
      <c r="D64" s="305" t="str">
        <f>IFERROR(VLOOKUP(F60,'Comments Feeder'!$B:$W,24,FALSE),"")</f>
        <v/>
      </c>
      <c r="E64" s="305" t="str">
        <f>IFERROR(VLOOKUP(F60,'Comments Feeder'!$B:$W,25,FALSE),"")</f>
        <v/>
      </c>
      <c r="F64" s="205"/>
      <c r="G64" s="192"/>
      <c r="H64" s="193"/>
    </row>
    <row r="65" spans="1:8" ht="13" x14ac:dyDescent="0.25">
      <c r="A65" s="239" t="str">
        <f>IFERROR(VLOOKUP(F64,'Comments Feeder'!$B:$W,18,FALSE),"")</f>
        <v/>
      </c>
      <c r="B65" s="239" t="str">
        <f>IFERROR(VLOOKUP(F63,'Comments Feeder'!$B:$W,21,FALSE),"")</f>
        <v/>
      </c>
      <c r="C65" s="239" t="str">
        <f>IFERROR(VLOOKUP(F62,'Comments Feeder'!$B:$W,23,FALSE),"")</f>
        <v/>
      </c>
      <c r="D65" s="194" t="str">
        <f>IFERROR(VLOOKUP(F61,'Comments Feeder'!$B:$W,24,FALSE),"")</f>
        <v/>
      </c>
      <c r="E65" s="194" t="str">
        <f>IFERROR(VLOOKUP(F61,'Comments Feeder'!$B:$W,25,FALSE),"")</f>
        <v/>
      </c>
      <c r="F65" s="209" t="s">
        <v>49</v>
      </c>
      <c r="G65" s="192"/>
      <c r="H65" s="193"/>
    </row>
    <row r="66" spans="1:8" ht="50.25" customHeight="1" x14ac:dyDescent="0.25">
      <c r="A66" s="239">
        <f>IFERROR(VLOOKUP(F65,'Comments Feeder'!$B:$W,18,FALSE),"")</f>
        <v>-68</v>
      </c>
      <c r="B66" s="239" t="str">
        <f>IFERROR(VLOOKUP(F64,'Comments Feeder'!$B:$W,21,FALSE),"")</f>
        <v/>
      </c>
      <c r="C66" s="239" t="str">
        <f>IFERROR(VLOOKUP(F63,'Comments Feeder'!$B:$W,23,FALSE),"")</f>
        <v/>
      </c>
      <c r="D66" s="194" t="str">
        <f>IFERROR(VLOOKUP(F62,'Comments Feeder'!$B:$W,24,FALSE),"")</f>
        <v/>
      </c>
      <c r="E66" s="194" t="str">
        <f>IFERROR(VLOOKUP(F62,'Comments Feeder'!$B:$W,25,FALSE),"")</f>
        <v/>
      </c>
      <c r="F66" s="397" t="s">
        <v>313</v>
      </c>
      <c r="G66" s="192"/>
      <c r="H66" s="193"/>
    </row>
    <row r="67" spans="1:8" x14ac:dyDescent="0.25">
      <c r="A67" s="239" t="str">
        <f>IFERROR(VLOOKUP(F66,'Comments Feeder'!$B:$W,18,FALSE),"")</f>
        <v/>
      </c>
      <c r="B67" s="239">
        <f>IFERROR(VLOOKUP(F65,'Comments Feeder'!$B:$W,21,FALSE),"")</f>
        <v>-48</v>
      </c>
      <c r="C67" s="239" t="str">
        <f>IFERROR(VLOOKUP(F64,'Comments Feeder'!$B:$W,23,FALSE),"")</f>
        <v/>
      </c>
      <c r="D67" s="194" t="str">
        <f>IFERROR(VLOOKUP(F63,'Comments Feeder'!$B:$W,24,FALSE),"")</f>
        <v/>
      </c>
      <c r="E67" s="194" t="str">
        <f>IFERROR(VLOOKUP(F63,'Comments Feeder'!$B:$W,25,FALSE),"")</f>
        <v/>
      </c>
      <c r="F67" s="396"/>
      <c r="G67" s="192"/>
      <c r="H67" s="193"/>
    </row>
    <row r="68" spans="1:8" x14ac:dyDescent="0.25">
      <c r="A68" s="239" t="str">
        <f>IFERROR(VLOOKUP(F67,'Comments Feeder'!$B:$W,18,FALSE),"")</f>
        <v/>
      </c>
      <c r="B68" s="239" t="str">
        <f>IFERROR(VLOOKUP(F66,'Comments Feeder'!$B:$W,21,FALSE),"")</f>
        <v/>
      </c>
      <c r="C68" s="239" t="str">
        <f>IFERROR(VLOOKUP(F65,'Comments Feeder'!$B:$W,23,FALSE),"")</f>
        <v/>
      </c>
      <c r="D68" s="194" t="str">
        <f>IFERROR(VLOOKUP(F64,'Comments Feeder'!$B:$W,24,FALSE),"")</f>
        <v/>
      </c>
      <c r="E68" s="194" t="str">
        <f>IFERROR(VLOOKUP(F64,'Comments Feeder'!$B:$W,25,FALSE),"")</f>
        <v/>
      </c>
      <c r="F68" s="396" t="s">
        <v>314</v>
      </c>
      <c r="G68" s="192"/>
      <c r="H68" s="193"/>
    </row>
    <row r="69" spans="1:8" x14ac:dyDescent="0.25">
      <c r="A69" s="239" t="str">
        <f>IFERROR(VLOOKUP(F68,'Comments Feeder'!$B:$W,18,FALSE),"")</f>
        <v/>
      </c>
      <c r="B69" s="239" t="str">
        <f>IFERROR(VLOOKUP(F67,'Comments Feeder'!$B:$W,21,FALSE),"")</f>
        <v/>
      </c>
      <c r="C69" s="239" t="str">
        <f>IFERROR(VLOOKUP(F66,'Comments Feeder'!$B:$W,23,FALSE),"")</f>
        <v/>
      </c>
      <c r="D69" s="194" t="str">
        <f>IFERROR(VLOOKUP(F65,'Comments Feeder'!$B:$W,24,FALSE),"")</f>
        <v/>
      </c>
      <c r="E69" s="194" t="str">
        <f>IFERROR(VLOOKUP(F65,'Comments Feeder'!$B:$W,25,FALSE),"")</f>
        <v/>
      </c>
      <c r="F69" s="204"/>
      <c r="G69" s="192"/>
      <c r="H69" s="193"/>
    </row>
    <row r="70" spans="1:8" ht="13.5" thickBot="1" x14ac:dyDescent="0.3">
      <c r="A70" s="304" t="str">
        <f>IFERROR(VLOOKUP(F69,'Comments Feeder'!$B:$W,18,FALSE),"")</f>
        <v/>
      </c>
      <c r="B70" s="304" t="str">
        <f>IFERROR(VLOOKUP(F68,'Comments Feeder'!$B:$W,21,FALSE),"")</f>
        <v/>
      </c>
      <c r="C70" s="304" t="str">
        <f>IFERROR(VLOOKUP(F67,'Comments Feeder'!$B:$W,23,FALSE),"")</f>
        <v/>
      </c>
      <c r="D70" s="305" t="str">
        <f>IFERROR(VLOOKUP(F66,'Comments Feeder'!$B:$W,24,FALSE),"")</f>
        <v/>
      </c>
      <c r="E70" s="305" t="str">
        <f>IFERROR(VLOOKUP(F66,'Comments Feeder'!$B:$W,25,FALSE),"")</f>
        <v/>
      </c>
      <c r="F70" s="205"/>
      <c r="G70" s="192"/>
      <c r="H70" s="193"/>
    </row>
    <row r="71" spans="1:8" ht="13" x14ac:dyDescent="0.25">
      <c r="A71" s="239" t="str">
        <f>IFERROR(VLOOKUP(F70,'Comments Feeder'!$B:$W,18,FALSE),"")</f>
        <v/>
      </c>
      <c r="B71" s="239" t="str">
        <f>IFERROR(VLOOKUP(F69,'Comments Feeder'!$B:$W,21,FALSE),"")</f>
        <v/>
      </c>
      <c r="C71" s="239" t="str">
        <f>IFERROR(VLOOKUP(F68,'Comments Feeder'!$B:$W,23,FALSE),"")</f>
        <v/>
      </c>
      <c r="D71" s="194" t="str">
        <f>IFERROR(VLOOKUP(F67,'Comments Feeder'!$B:$W,24,FALSE),"")</f>
        <v/>
      </c>
      <c r="E71" s="194" t="str">
        <f>IFERROR(VLOOKUP(F67,'Comments Feeder'!$B:$W,25,FALSE),"")</f>
        <v/>
      </c>
      <c r="F71" s="209" t="s">
        <v>50</v>
      </c>
      <c r="G71" s="192"/>
      <c r="H71" s="193"/>
    </row>
    <row r="72" spans="1:8" ht="50.25" customHeight="1" x14ac:dyDescent="0.25">
      <c r="A72" s="239">
        <f>IFERROR(VLOOKUP(F71,'Comments Feeder'!$B:$W,18,FALSE),"")</f>
        <v>-29</v>
      </c>
      <c r="B72" s="239" t="str">
        <f>IFERROR(VLOOKUP(F70,'Comments Feeder'!$B:$W,21,FALSE),"")</f>
        <v/>
      </c>
      <c r="C72" s="239" t="str">
        <f>IFERROR(VLOOKUP(F69,'Comments Feeder'!$B:$W,23,FALSE),"")</f>
        <v/>
      </c>
      <c r="D72" s="194" t="str">
        <f>IFERROR(VLOOKUP(F68,'Comments Feeder'!$B:$W,24,FALSE),"")</f>
        <v/>
      </c>
      <c r="E72" s="194" t="str">
        <f>IFERROR(VLOOKUP(F68,'Comments Feeder'!$B:$W,25,FALSE),"")</f>
        <v/>
      </c>
      <c r="F72" s="397" t="s">
        <v>315</v>
      </c>
      <c r="G72" s="192"/>
      <c r="H72" s="193"/>
    </row>
    <row r="73" spans="1:8" x14ac:dyDescent="0.25">
      <c r="A73" s="239" t="str">
        <f>IFERROR(VLOOKUP(F72,'Comments Feeder'!$B:$W,18,FALSE),"")</f>
        <v/>
      </c>
      <c r="B73" s="239">
        <f>IFERROR(VLOOKUP(F71,'Comments Feeder'!$B:$W,21,FALSE),"")</f>
        <v>-12</v>
      </c>
      <c r="C73" s="239" t="str">
        <f>IFERROR(VLOOKUP(F70,'Comments Feeder'!$B:$W,23,FALSE),"")</f>
        <v/>
      </c>
      <c r="D73" s="194" t="str">
        <f>IFERROR(VLOOKUP(F69,'Comments Feeder'!$B:$W,24,FALSE),"")</f>
        <v/>
      </c>
      <c r="E73" s="194" t="str">
        <f>IFERROR(VLOOKUP(F69,'Comments Feeder'!$B:$W,25,FALSE),"")</f>
        <v/>
      </c>
      <c r="F73" s="396"/>
      <c r="G73" s="192"/>
      <c r="H73" s="193"/>
    </row>
    <row r="74" spans="1:8" x14ac:dyDescent="0.25">
      <c r="A74" s="239" t="str">
        <f>IFERROR(VLOOKUP(F73,'Comments Feeder'!$B:$W,18,FALSE),"")</f>
        <v/>
      </c>
      <c r="B74" s="239" t="str">
        <f>IFERROR(VLOOKUP(F72,'Comments Feeder'!$B:$W,21,FALSE),"")</f>
        <v/>
      </c>
      <c r="C74" s="239" t="str">
        <f>IFERROR(VLOOKUP(F71,'Comments Feeder'!$B:$W,23,FALSE),"")</f>
        <v/>
      </c>
      <c r="D74" s="194" t="str">
        <f>IFERROR(VLOOKUP(F70,'Comments Feeder'!$B:$W,24,FALSE),"")</f>
        <v/>
      </c>
      <c r="E74" s="194" t="str">
        <f>IFERROR(VLOOKUP(F70,'Comments Feeder'!$B:$W,25,FALSE),"")</f>
        <v/>
      </c>
      <c r="F74" s="396" t="s">
        <v>316</v>
      </c>
      <c r="G74" s="192"/>
      <c r="H74" s="193"/>
    </row>
    <row r="75" spans="1:8" x14ac:dyDescent="0.25">
      <c r="A75" s="239" t="str">
        <f>IFERROR(VLOOKUP(F74,'Comments Feeder'!$B:$W,18,FALSE),"")</f>
        <v/>
      </c>
      <c r="B75" s="239" t="str">
        <f>IFERROR(VLOOKUP(F73,'Comments Feeder'!$B:$W,21,FALSE),"")</f>
        <v/>
      </c>
      <c r="C75" s="239" t="str">
        <f>IFERROR(VLOOKUP(F72,'Comments Feeder'!$B:$W,23,FALSE),"")</f>
        <v/>
      </c>
      <c r="D75" s="194" t="str">
        <f>IFERROR(VLOOKUP(F71,'Comments Feeder'!$B:$W,24,FALSE),"")</f>
        <v/>
      </c>
      <c r="E75" s="194" t="str">
        <f>IFERROR(VLOOKUP(F71,'Comments Feeder'!$B:$W,25,FALSE),"")</f>
        <v/>
      </c>
      <c r="F75" s="204"/>
      <c r="G75" s="192"/>
      <c r="H75" s="193"/>
    </row>
    <row r="76" spans="1:8" ht="13.5" thickBot="1" x14ac:dyDescent="0.3">
      <c r="A76" s="304" t="str">
        <f>IFERROR(VLOOKUP(F75,'Comments Feeder'!$B:$W,18,FALSE),"")</f>
        <v/>
      </c>
      <c r="B76" s="304" t="str">
        <f>IFERROR(VLOOKUP(F74,'Comments Feeder'!$B:$W,21,FALSE),"")</f>
        <v/>
      </c>
      <c r="C76" s="304" t="str">
        <f>IFERROR(VLOOKUP(F73,'Comments Feeder'!$B:$W,23,FALSE),"")</f>
        <v/>
      </c>
      <c r="D76" s="305" t="str">
        <f>IFERROR(VLOOKUP(F72,'Comments Feeder'!$B:$W,24,FALSE),"")</f>
        <v/>
      </c>
      <c r="E76" s="305" t="str">
        <f>IFERROR(VLOOKUP(F72,'Comments Feeder'!$B:$W,25,FALSE),"")</f>
        <v/>
      </c>
      <c r="F76" s="205"/>
      <c r="G76" s="192"/>
      <c r="H76" s="193"/>
    </row>
    <row r="77" spans="1:8" ht="13" outlineLevel="1" x14ac:dyDescent="0.25">
      <c r="A77" s="239" t="str">
        <f>IFERROR(VLOOKUP(F76,'Comments Feeder'!$B:$W,18,FALSE),"")</f>
        <v/>
      </c>
      <c r="B77" s="239" t="str">
        <f>IFERROR(VLOOKUP(F75,'Comments Feeder'!$B:$W,21,FALSE),"")</f>
        <v/>
      </c>
      <c r="C77" s="239" t="str">
        <f>IFERROR(VLOOKUP(F74,'Comments Feeder'!$B:$W,23,FALSE),"")</f>
        <v/>
      </c>
      <c r="D77" s="194" t="str">
        <f>IFERROR(VLOOKUP(F73,'Comments Feeder'!$B:$W,24,FALSE),"")</f>
        <v/>
      </c>
      <c r="E77" s="194" t="str">
        <f>IFERROR(VLOOKUP(F73,'Comments Feeder'!$B:$W,25,FALSE),"")</f>
        <v/>
      </c>
      <c r="F77" s="209" t="s">
        <v>51</v>
      </c>
      <c r="G77" s="192"/>
      <c r="H77" s="193"/>
    </row>
    <row r="78" spans="1:8" ht="50.25" customHeight="1" outlineLevel="1" x14ac:dyDescent="0.25">
      <c r="A78" s="239" t="str">
        <f>IFERROR(VLOOKUP(F77,'Comments Feeder'!$B:$W,18,FALSE),"")</f>
        <v/>
      </c>
      <c r="B78" s="239" t="str">
        <f>IFERROR(VLOOKUP(F76,'Comments Feeder'!$B:$W,21,FALSE),"")</f>
        <v/>
      </c>
      <c r="C78" s="239" t="str">
        <f>IFERROR(VLOOKUP(F75,'Comments Feeder'!$B:$W,23,FALSE),"")</f>
        <v/>
      </c>
      <c r="D78" s="194" t="str">
        <f>IFERROR(VLOOKUP(F74,'Comments Feeder'!$B:$W,24,FALSE),"")</f>
        <v/>
      </c>
      <c r="E78" s="194" t="str">
        <f>IFERROR(VLOOKUP(F74,'Comments Feeder'!$B:$W,25,FALSE),"")</f>
        <v/>
      </c>
      <c r="F78" s="397"/>
      <c r="G78" s="192"/>
      <c r="H78" s="193"/>
    </row>
    <row r="79" spans="1:8" ht="25.5" customHeight="1" outlineLevel="1" x14ac:dyDescent="0.25">
      <c r="A79" s="239" t="str">
        <f>IFERROR(VLOOKUP(F78,'Comments Feeder'!$B:$W,18,FALSE),"")</f>
        <v/>
      </c>
      <c r="B79" s="239" t="str">
        <f>IFERROR(VLOOKUP(F77,'Comments Feeder'!$B:$W,21,FALSE),"")</f>
        <v/>
      </c>
      <c r="C79" s="239" t="str">
        <f>IFERROR(VLOOKUP(F76,'Comments Feeder'!$B:$W,23,FALSE),"")</f>
        <v/>
      </c>
      <c r="D79" s="194" t="str">
        <f>IFERROR(VLOOKUP(F75,'Comments Feeder'!$B:$W,24,FALSE),"")</f>
        <v/>
      </c>
      <c r="E79" s="194" t="str">
        <f>IFERROR(VLOOKUP(F75,'Comments Feeder'!$B:$W,25,FALSE),"")</f>
        <v/>
      </c>
      <c r="F79" s="396"/>
      <c r="G79" s="192"/>
      <c r="H79" s="193"/>
    </row>
    <row r="80" spans="1:8" outlineLevel="1" x14ac:dyDescent="0.25">
      <c r="A80" s="239" t="str">
        <f>IFERROR(VLOOKUP(F79,'Comments Feeder'!$B:$W,18,FALSE),"")</f>
        <v/>
      </c>
      <c r="B80" s="239" t="str">
        <f>IFERROR(VLOOKUP(F78,'Comments Feeder'!$B:$W,21,FALSE),"")</f>
        <v/>
      </c>
      <c r="C80" s="239" t="str">
        <f>IFERROR(VLOOKUP(F77,'Comments Feeder'!$B:$W,23,FALSE),"")</f>
        <v/>
      </c>
      <c r="D80" s="194" t="str">
        <f>IFERROR(VLOOKUP(F76,'Comments Feeder'!$B:$W,24,FALSE),"")</f>
        <v/>
      </c>
      <c r="E80" s="194" t="str">
        <f>IFERROR(VLOOKUP(F76,'Comments Feeder'!$B:$W,25,FALSE),"")</f>
        <v/>
      </c>
      <c r="F80" s="396"/>
      <c r="G80" s="192"/>
      <c r="H80" s="193"/>
    </row>
    <row r="81" spans="1:8" outlineLevel="1" x14ac:dyDescent="0.25">
      <c r="A81" s="239" t="str">
        <f>IFERROR(VLOOKUP(F80,'Comments Feeder'!$B:$W,18,FALSE),"")</f>
        <v/>
      </c>
      <c r="B81" s="239" t="str">
        <f>IFERROR(VLOOKUP(F79,'Comments Feeder'!$B:$W,21,FALSE),"")</f>
        <v/>
      </c>
      <c r="C81" s="239" t="str">
        <f>IFERROR(VLOOKUP(F78,'Comments Feeder'!$B:$W,23,FALSE),"")</f>
        <v/>
      </c>
      <c r="D81" s="194" t="str">
        <f>IFERROR(VLOOKUP(F77,'Comments Feeder'!$B:$W,24,FALSE),"")</f>
        <v/>
      </c>
      <c r="E81" s="194" t="str">
        <f>IFERROR(VLOOKUP(F77,'Comments Feeder'!$B:$W,25,FALSE),"")</f>
        <v/>
      </c>
      <c r="F81" s="204"/>
      <c r="G81" s="192"/>
      <c r="H81" s="193"/>
    </row>
    <row r="82" spans="1:8" ht="13.5" thickBot="1" x14ac:dyDescent="0.3">
      <c r="A82" s="304" t="str">
        <f>IFERROR(VLOOKUP(F81,'Comments Feeder'!$B:$W,18,FALSE),"")</f>
        <v/>
      </c>
      <c r="B82" s="304" t="str">
        <f>IFERROR(VLOOKUP(F80,'Comments Feeder'!$B:$W,21,FALSE),"")</f>
        <v/>
      </c>
      <c r="C82" s="304" t="str">
        <f>IFERROR(VLOOKUP(F79,'Comments Feeder'!$B:$W,23,FALSE),"")</f>
        <v/>
      </c>
      <c r="D82" s="305" t="str">
        <f>IFERROR(VLOOKUP(F78,'Comments Feeder'!$B:$W,24,FALSE),"")</f>
        <v/>
      </c>
      <c r="E82" s="305" t="str">
        <f>IFERROR(VLOOKUP(F78,'Comments Feeder'!$B:$W,25,FALSE),"")</f>
        <v/>
      </c>
      <c r="F82" s="205"/>
      <c r="G82" s="192"/>
      <c r="H82" s="193"/>
    </row>
    <row r="83" spans="1:8" ht="13" x14ac:dyDescent="0.25">
      <c r="A83" s="239" t="str">
        <f>IFERROR(VLOOKUP(F82,'Comments Feeder'!$B:$W,18,FALSE),"")</f>
        <v/>
      </c>
      <c r="B83" s="239" t="str">
        <f>IFERROR(VLOOKUP(F81,'Comments Feeder'!$B:$W,21,FALSE),"")</f>
        <v/>
      </c>
      <c r="C83" s="239" t="str">
        <f>IFERROR(VLOOKUP(F80,'Comments Feeder'!$B:$W,23,FALSE),"")</f>
        <v/>
      </c>
      <c r="D83" s="194" t="str">
        <f>IFERROR(VLOOKUP(F79,'Comments Feeder'!$B:$W,24,FALSE),"")</f>
        <v/>
      </c>
      <c r="E83" s="194" t="str">
        <f>IFERROR(VLOOKUP(F79,'Comments Feeder'!$B:$W,25,FALSE),"")</f>
        <v/>
      </c>
      <c r="F83" s="209" t="s">
        <v>52</v>
      </c>
      <c r="G83" s="192"/>
      <c r="H83" s="193"/>
    </row>
    <row r="84" spans="1:8" ht="50.25" customHeight="1" x14ac:dyDescent="0.25">
      <c r="A84" s="239">
        <f>IFERROR(VLOOKUP(F83,'Comments Feeder'!$B:$W,18,FALSE),"")</f>
        <v>64</v>
      </c>
      <c r="B84" s="239" t="str">
        <f>IFERROR(VLOOKUP(F82,'Comments Feeder'!$B:$W,21,FALSE),"")</f>
        <v/>
      </c>
      <c r="C84" s="239" t="str">
        <f>IFERROR(VLOOKUP(F81,'Comments Feeder'!$B:$W,23,FALSE),"")</f>
        <v/>
      </c>
      <c r="D84" s="194" t="str">
        <f>IFERROR(VLOOKUP(F80,'Comments Feeder'!$B:$W,24,FALSE),"")</f>
        <v/>
      </c>
      <c r="E84" s="194" t="str">
        <f>IFERROR(VLOOKUP(F80,'Comments Feeder'!$B:$W,25,FALSE),"")</f>
        <v/>
      </c>
      <c r="F84" s="397" t="s">
        <v>317</v>
      </c>
      <c r="G84" s="192"/>
      <c r="H84" s="193"/>
    </row>
    <row r="85" spans="1:8" x14ac:dyDescent="0.25">
      <c r="A85" s="239" t="str">
        <f>IFERROR(VLOOKUP(F84,'Comments Feeder'!$B:$W,18,FALSE),"")</f>
        <v/>
      </c>
      <c r="B85" s="239">
        <f>IFERROR(VLOOKUP(F83,'Comments Feeder'!$B:$W,21,FALSE),"")</f>
        <v>0</v>
      </c>
      <c r="C85" s="239" t="str">
        <f>IFERROR(VLOOKUP(F82,'Comments Feeder'!$B:$W,23,FALSE),"")</f>
        <v/>
      </c>
      <c r="D85" s="194" t="str">
        <f>IFERROR(VLOOKUP(F81,'Comments Feeder'!$B:$W,24,FALSE),"")</f>
        <v/>
      </c>
      <c r="E85" s="194" t="str">
        <f>IFERROR(VLOOKUP(F81,'Comments Feeder'!$B:$W,25,FALSE),"")</f>
        <v/>
      </c>
      <c r="F85" s="396"/>
      <c r="G85" s="192"/>
      <c r="H85" s="193"/>
    </row>
    <row r="86" spans="1:8" x14ac:dyDescent="0.25">
      <c r="A86" s="239" t="str">
        <f>IFERROR(VLOOKUP(F85,'Comments Feeder'!$B:$W,18,FALSE),"")</f>
        <v/>
      </c>
      <c r="B86" s="239" t="str">
        <f>IFERROR(VLOOKUP(F84,'Comments Feeder'!$B:$W,21,FALSE),"")</f>
        <v/>
      </c>
      <c r="C86" s="239" t="str">
        <f>IFERROR(VLOOKUP(F83,'Comments Feeder'!$B:$W,23,FALSE),"")</f>
        <v/>
      </c>
      <c r="D86" s="194" t="str">
        <f>IFERROR(VLOOKUP(F82,'Comments Feeder'!$B:$W,24,FALSE),"")</f>
        <v/>
      </c>
      <c r="E86" s="194" t="str">
        <f>IFERROR(VLOOKUP(F82,'Comments Feeder'!$B:$W,25,FALSE),"")</f>
        <v/>
      </c>
      <c r="F86" s="396" t="s">
        <v>318</v>
      </c>
      <c r="G86" s="192"/>
      <c r="H86" s="193"/>
    </row>
    <row r="87" spans="1:8" x14ac:dyDescent="0.25">
      <c r="A87" s="239" t="str">
        <f>IFERROR(VLOOKUP(F86,'Comments Feeder'!$B:$W,18,FALSE),"")</f>
        <v/>
      </c>
      <c r="B87" s="239" t="str">
        <f>IFERROR(VLOOKUP(F85,'Comments Feeder'!$B:$W,21,FALSE),"")</f>
        <v/>
      </c>
      <c r="C87" s="239" t="str">
        <f>IFERROR(VLOOKUP(F84,'Comments Feeder'!$B:$W,23,FALSE),"")</f>
        <v/>
      </c>
      <c r="D87" s="194" t="str">
        <f>IFERROR(VLOOKUP(F83,'Comments Feeder'!$B:$W,24,FALSE),"")</f>
        <v/>
      </c>
      <c r="E87" s="194" t="str">
        <f>IFERROR(VLOOKUP(F83,'Comments Feeder'!$B:$W,25,FALSE),"")</f>
        <v/>
      </c>
      <c r="F87" s="204"/>
      <c r="G87" s="192"/>
      <c r="H87" s="193"/>
    </row>
    <row r="88" spans="1:8" ht="13.5" thickBot="1" x14ac:dyDescent="0.3">
      <c r="A88" s="304" t="str">
        <f>IFERROR(VLOOKUP(F87,'Comments Feeder'!$B:$W,18,FALSE),"")</f>
        <v/>
      </c>
      <c r="B88" s="304" t="str">
        <f>IFERROR(VLOOKUP(F86,'Comments Feeder'!$B:$W,21,FALSE),"")</f>
        <v/>
      </c>
      <c r="C88" s="304" t="str">
        <f>IFERROR(VLOOKUP(F85,'Comments Feeder'!$B:$W,23,FALSE),"")</f>
        <v/>
      </c>
      <c r="D88" s="305" t="str">
        <f>IFERROR(VLOOKUP(F84,'Comments Feeder'!$B:$W,24,FALSE),"")</f>
        <v/>
      </c>
      <c r="E88" s="305" t="str">
        <f>IFERROR(VLOOKUP(F84,'Comments Feeder'!$B:$W,25,FALSE),"")</f>
        <v/>
      </c>
      <c r="F88" s="205"/>
      <c r="G88" s="192"/>
      <c r="H88" s="193"/>
    </row>
    <row r="89" spans="1:8" ht="13" x14ac:dyDescent="0.25">
      <c r="A89" s="239" t="str">
        <f>IFERROR(VLOOKUP(F88,'Comments Feeder'!$B:$W,18,FALSE),"")</f>
        <v/>
      </c>
      <c r="B89" s="239" t="str">
        <f>IFERROR(VLOOKUP(F87,'Comments Feeder'!$B:$W,21,FALSE),"")</f>
        <v/>
      </c>
      <c r="C89" s="239" t="str">
        <f>IFERROR(VLOOKUP(F86,'Comments Feeder'!$B:$W,23,FALSE),"")</f>
        <v/>
      </c>
      <c r="D89" s="194" t="str">
        <f>IFERROR(VLOOKUP(F85,'Comments Feeder'!$B:$W,24,FALSE),"")</f>
        <v/>
      </c>
      <c r="E89" s="194" t="str">
        <f>IFERROR(VLOOKUP(F85,'Comments Feeder'!$B:$W,25,FALSE),"")</f>
        <v/>
      </c>
      <c r="F89" s="209" t="s">
        <v>53</v>
      </c>
      <c r="G89" s="192"/>
      <c r="H89" s="193"/>
    </row>
    <row r="90" spans="1:8" ht="50.25" customHeight="1" x14ac:dyDescent="0.25">
      <c r="A90" s="239">
        <f>IFERROR(VLOOKUP(F89,'Comments Feeder'!$B:$W,18,FALSE),"")</f>
        <v>6</v>
      </c>
      <c r="B90" s="239" t="str">
        <f>IFERROR(VLOOKUP(F88,'Comments Feeder'!$B:$W,21,FALSE),"")</f>
        <v/>
      </c>
      <c r="C90" s="239" t="str">
        <f>IFERROR(VLOOKUP(F87,'Comments Feeder'!$B:$W,23,FALSE),"")</f>
        <v/>
      </c>
      <c r="D90" s="194" t="str">
        <f>IFERROR(VLOOKUP(F86,'Comments Feeder'!$B:$W,24,FALSE),"")</f>
        <v/>
      </c>
      <c r="E90" s="194" t="str">
        <f>IFERROR(VLOOKUP(F86,'Comments Feeder'!$B:$W,25,FALSE),"")</f>
        <v/>
      </c>
      <c r="F90" s="397" t="s">
        <v>319</v>
      </c>
      <c r="G90" s="192"/>
      <c r="H90" s="193"/>
    </row>
    <row r="91" spans="1:8" x14ac:dyDescent="0.25">
      <c r="A91" s="239" t="str">
        <f>IFERROR(VLOOKUP(F90,'Comments Feeder'!$B:$W,18,FALSE),"")</f>
        <v/>
      </c>
      <c r="B91" s="239">
        <f>IFERROR(VLOOKUP(F89,'Comments Feeder'!$B:$W,21,FALSE),"")</f>
        <v>-57</v>
      </c>
      <c r="C91" s="239" t="str">
        <f>IFERROR(VLOOKUP(F88,'Comments Feeder'!$B:$W,23,FALSE),"")</f>
        <v/>
      </c>
      <c r="D91" s="194" t="str">
        <f>IFERROR(VLOOKUP(F87,'Comments Feeder'!$B:$W,24,FALSE),"")</f>
        <v/>
      </c>
      <c r="E91" s="194" t="str">
        <f>IFERROR(VLOOKUP(F87,'Comments Feeder'!$B:$W,25,FALSE),"")</f>
        <v/>
      </c>
      <c r="F91" s="396"/>
      <c r="G91" s="192"/>
      <c r="H91" s="193"/>
    </row>
    <row r="92" spans="1:8" x14ac:dyDescent="0.25">
      <c r="A92" s="239" t="str">
        <f>IFERROR(VLOOKUP(F91,'Comments Feeder'!$B:$W,18,FALSE),"")</f>
        <v/>
      </c>
      <c r="B92" s="239" t="str">
        <f>IFERROR(VLOOKUP(F90,'Comments Feeder'!$B:$W,21,FALSE),"")</f>
        <v/>
      </c>
      <c r="C92" s="239" t="str">
        <f>IFERROR(VLOOKUP(F89,'Comments Feeder'!$B:$W,23,FALSE),"")</f>
        <v/>
      </c>
      <c r="D92" s="194" t="str">
        <f>IFERROR(VLOOKUP(F88,'Comments Feeder'!$B:$W,24,FALSE),"")</f>
        <v/>
      </c>
      <c r="E92" s="194" t="str">
        <f>IFERROR(VLOOKUP(F88,'Comments Feeder'!$B:$W,25,FALSE),"")</f>
        <v/>
      </c>
      <c r="F92" s="396" t="s">
        <v>320</v>
      </c>
      <c r="G92" s="192"/>
      <c r="H92" s="193"/>
    </row>
    <row r="93" spans="1:8" x14ac:dyDescent="0.25">
      <c r="A93" s="239" t="str">
        <f>IFERROR(VLOOKUP(F92,'Comments Feeder'!$B:$W,18,FALSE),"")</f>
        <v/>
      </c>
      <c r="B93" s="239" t="str">
        <f>IFERROR(VLOOKUP(F91,'Comments Feeder'!$B:$W,21,FALSE),"")</f>
        <v/>
      </c>
      <c r="C93" s="239" t="str">
        <f>IFERROR(VLOOKUP(F90,'Comments Feeder'!$B:$W,23,FALSE),"")</f>
        <v/>
      </c>
      <c r="D93" s="194" t="str">
        <f>IFERROR(VLOOKUP(F89,'Comments Feeder'!$B:$W,24,FALSE),"")</f>
        <v/>
      </c>
      <c r="E93" s="194" t="str">
        <f>IFERROR(VLOOKUP(F89,'Comments Feeder'!$B:$W,25,FALSE),"")</f>
        <v/>
      </c>
      <c r="F93" s="204"/>
      <c r="G93" s="192"/>
      <c r="H93" s="193"/>
    </row>
    <row r="94" spans="1:8" ht="13.5" thickBot="1" x14ac:dyDescent="0.3">
      <c r="A94" s="304" t="str">
        <f>IFERROR(VLOOKUP(F93,'Comments Feeder'!$B:$W,18,FALSE),"")</f>
        <v/>
      </c>
      <c r="B94" s="304" t="str">
        <f>IFERROR(VLOOKUP(F92,'Comments Feeder'!$B:$W,21,FALSE),"")</f>
        <v/>
      </c>
      <c r="C94" s="304" t="str">
        <f>IFERROR(VLOOKUP(F91,'Comments Feeder'!$B:$W,23,FALSE),"")</f>
        <v/>
      </c>
      <c r="D94" s="305" t="str">
        <f>IFERROR(VLOOKUP(F90,'Comments Feeder'!$B:$W,24,FALSE),"")</f>
        <v/>
      </c>
      <c r="E94" s="305" t="str">
        <f>IFERROR(VLOOKUP(F90,'Comments Feeder'!$B:$W,25,FALSE),"")</f>
        <v/>
      </c>
      <c r="F94" s="205"/>
      <c r="G94" s="192"/>
      <c r="H94" s="193"/>
    </row>
    <row r="95" spans="1:8" ht="13" x14ac:dyDescent="0.25">
      <c r="A95" s="239" t="str">
        <f>IFERROR(VLOOKUP(F94,'Comments Feeder'!$B:$W,18,FALSE),"")</f>
        <v/>
      </c>
      <c r="B95" s="239" t="str">
        <f>IFERROR(VLOOKUP(F93,'Comments Feeder'!$B:$W,21,FALSE),"")</f>
        <v/>
      </c>
      <c r="C95" s="239" t="str">
        <f>IFERROR(VLOOKUP(F92,'Comments Feeder'!$B:$W,23,FALSE),"")</f>
        <v/>
      </c>
      <c r="D95" s="194" t="str">
        <f>IFERROR(VLOOKUP(F91,'Comments Feeder'!$B:$W,24,FALSE),"")</f>
        <v/>
      </c>
      <c r="E95" s="194" t="str">
        <f>IFERROR(VLOOKUP(F91,'Comments Feeder'!$B:$W,25,FALSE),"")</f>
        <v/>
      </c>
      <c r="F95" s="209" t="s">
        <v>54</v>
      </c>
      <c r="G95" s="192"/>
      <c r="H95" s="193"/>
    </row>
    <row r="96" spans="1:8" ht="34.5" customHeight="1" x14ac:dyDescent="0.25">
      <c r="A96" s="239">
        <f>IFERROR(VLOOKUP(F95,'Comments Feeder'!$B:$W,18,FALSE),"")</f>
        <v>-2</v>
      </c>
      <c r="B96" s="239" t="str">
        <f>IFERROR(VLOOKUP(F94,'Comments Feeder'!$B:$W,21,FALSE),"")</f>
        <v/>
      </c>
      <c r="C96" s="239" t="str">
        <f>IFERROR(VLOOKUP(F93,'Comments Feeder'!$B:$W,23,FALSE),"")</f>
        <v/>
      </c>
      <c r="D96" s="194" t="str">
        <f>IFERROR(VLOOKUP(F92,'Comments Feeder'!$B:$W,24,FALSE),"")</f>
        <v/>
      </c>
      <c r="E96" s="194" t="str">
        <f>IFERROR(VLOOKUP(F92,'Comments Feeder'!$B:$W,25,FALSE),"")</f>
        <v/>
      </c>
      <c r="F96" s="600" t="s">
        <v>321</v>
      </c>
      <c r="G96" s="192"/>
      <c r="H96" s="193"/>
    </row>
    <row r="97" spans="1:8" x14ac:dyDescent="0.25">
      <c r="A97" s="239" t="str">
        <f>IFERROR(VLOOKUP(F96,'Comments Feeder'!$B:$W,18,FALSE),"")</f>
        <v/>
      </c>
      <c r="B97" s="239">
        <f>IFERROR(VLOOKUP(F95,'Comments Feeder'!$B:$W,21,FALSE),"")</f>
        <v>0</v>
      </c>
      <c r="C97" s="239" t="str">
        <f>IFERROR(VLOOKUP(F94,'Comments Feeder'!$B:$W,23,FALSE),"")</f>
        <v/>
      </c>
      <c r="D97" s="194" t="str">
        <f>IFERROR(VLOOKUP(F93,'Comments Feeder'!$B:$W,24,FALSE),"")</f>
        <v/>
      </c>
      <c r="E97" s="194" t="str">
        <f>IFERROR(VLOOKUP(F93,'Comments Feeder'!$B:$W,25,FALSE),"")</f>
        <v/>
      </c>
      <c r="F97" s="396"/>
      <c r="G97" s="192"/>
      <c r="H97" s="193"/>
    </row>
    <row r="98" spans="1:8" x14ac:dyDescent="0.25">
      <c r="A98" s="239" t="str">
        <f>IFERROR(VLOOKUP(F97,'Comments Feeder'!$B:$W,18,FALSE),"")</f>
        <v/>
      </c>
      <c r="B98" s="239" t="str">
        <f>IFERROR(VLOOKUP(F96,'Comments Feeder'!$B:$W,21,FALSE),"")</f>
        <v/>
      </c>
      <c r="C98" s="239" t="str">
        <f>IFERROR(VLOOKUP(F95,'Comments Feeder'!$B:$W,23,FALSE),"")</f>
        <v/>
      </c>
      <c r="D98" s="194" t="str">
        <f>IFERROR(VLOOKUP(F94,'Comments Feeder'!$B:$W,24,FALSE),"")</f>
        <v/>
      </c>
      <c r="E98" s="592" t="str">
        <f>IFERROR(VLOOKUP(F94,'Comments Feeder'!$B:$W,25,FALSE),"")</f>
        <v/>
      </c>
      <c r="F98" s="396" t="s">
        <v>322</v>
      </c>
      <c r="G98" s="192"/>
      <c r="H98" s="193"/>
    </row>
    <row r="99" spans="1:8" x14ac:dyDescent="0.25">
      <c r="A99" s="239" t="str">
        <f>IFERROR(VLOOKUP(F98,'Comments Feeder'!$B:$W,18,FALSE),"")</f>
        <v/>
      </c>
      <c r="B99" s="239" t="str">
        <f>IFERROR(VLOOKUP(F97,'Comments Feeder'!$B:$W,21,FALSE),"")</f>
        <v/>
      </c>
      <c r="C99" s="239" t="str">
        <f>IFERROR(VLOOKUP(F96,'Comments Feeder'!$B:$W,23,FALSE),"")</f>
        <v/>
      </c>
      <c r="D99" s="194" t="str">
        <f>IFERROR(VLOOKUP(F95,'Comments Feeder'!$B:$W,24,FALSE),"")</f>
        <v/>
      </c>
      <c r="E99" s="194" t="str">
        <f>IFERROR(VLOOKUP(F95,'Comments Feeder'!$B:$W,25,FALSE),"")</f>
        <v/>
      </c>
      <c r="F99" s="204"/>
      <c r="G99" s="192"/>
      <c r="H99" s="193"/>
    </row>
    <row r="100" spans="1:8" ht="13.5" thickBot="1" x14ac:dyDescent="0.3">
      <c r="A100" s="304" t="str">
        <f>IFERROR(VLOOKUP(F99,'Comments Feeder'!$B:$W,18,FALSE),"")</f>
        <v/>
      </c>
      <c r="B100" s="304" t="str">
        <f>IFERROR(VLOOKUP(F98,'Comments Feeder'!$B:$W,21,FALSE),"")</f>
        <v/>
      </c>
      <c r="C100" s="304" t="str">
        <f>IFERROR(VLOOKUP(F97,'Comments Feeder'!$B:$W,23,FALSE),"")</f>
        <v/>
      </c>
      <c r="D100" s="305" t="str">
        <f>IFERROR(VLOOKUP(F96,'Comments Feeder'!$B:$W,24,FALSE),"")</f>
        <v/>
      </c>
      <c r="E100" s="305" t="str">
        <f>IFERROR(VLOOKUP(F96,'Comments Feeder'!$B:$W,25,FALSE),"")</f>
        <v/>
      </c>
      <c r="F100" s="205"/>
      <c r="G100" s="192"/>
      <c r="H100" s="193"/>
    </row>
    <row r="101" spans="1:8" ht="13" x14ac:dyDescent="0.25">
      <c r="A101" s="239" t="str">
        <f>IFERROR(VLOOKUP(F100,'Comments Feeder'!$B:$W,18,FALSE),"")</f>
        <v/>
      </c>
      <c r="B101" s="239" t="str">
        <f>IFERROR(VLOOKUP(F99,'Comments Feeder'!$B:$W,21,FALSE),"")</f>
        <v/>
      </c>
      <c r="C101" s="239" t="str">
        <f>IFERROR(VLOOKUP(F98,'Comments Feeder'!$B:$W,23,FALSE),"")</f>
        <v/>
      </c>
      <c r="D101" s="194" t="str">
        <f>IFERROR(VLOOKUP(F97,'Comments Feeder'!$B:$W,24,FALSE),"")</f>
        <v/>
      </c>
      <c r="E101" s="194" t="str">
        <f>IFERROR(VLOOKUP(F97,'Comments Feeder'!$B:$W,25,FALSE),"")</f>
        <v/>
      </c>
      <c r="F101" s="209" t="s">
        <v>55</v>
      </c>
      <c r="G101" s="192"/>
      <c r="H101" s="193"/>
    </row>
    <row r="102" spans="1:8" ht="50.25" customHeight="1" x14ac:dyDescent="0.25">
      <c r="A102" s="239">
        <f>IFERROR(VLOOKUP(F101,'Comments Feeder'!$B:$W,18,FALSE),"")</f>
        <v>-262</v>
      </c>
      <c r="B102" s="239" t="str">
        <f>IFERROR(VLOOKUP(F100,'Comments Feeder'!$B:$W,21,FALSE),"")</f>
        <v/>
      </c>
      <c r="C102" s="239" t="str">
        <f>IFERROR(VLOOKUP(F99,'Comments Feeder'!$B:$W,23,FALSE),"")</f>
        <v/>
      </c>
      <c r="D102" s="194" t="str">
        <f>IFERROR(VLOOKUP(F98,'Comments Feeder'!$B:$W,24,FALSE),"")</f>
        <v/>
      </c>
      <c r="E102" s="194" t="str">
        <f>IFERROR(VLOOKUP(F98,'Comments Feeder'!$B:$W,25,FALSE),"")</f>
        <v/>
      </c>
      <c r="F102" s="600" t="s">
        <v>323</v>
      </c>
      <c r="G102" s="192"/>
      <c r="H102" s="193"/>
    </row>
    <row r="103" spans="1:8" x14ac:dyDescent="0.25">
      <c r="A103" s="239" t="str">
        <f>IFERROR(VLOOKUP(F102,'Comments Feeder'!$B:$W,18,FALSE),"")</f>
        <v/>
      </c>
      <c r="B103" s="239">
        <f>IFERROR(VLOOKUP(F101,'Comments Feeder'!$B:$W,21,FALSE),"")</f>
        <v>48</v>
      </c>
      <c r="C103" s="239" t="str">
        <f>IFERROR(VLOOKUP(F100,'Comments Feeder'!$B:$W,23,FALSE),"")</f>
        <v/>
      </c>
      <c r="D103" s="194" t="str">
        <f>IFERROR(VLOOKUP(F99,'Comments Feeder'!$B:$W,24,FALSE),"")</f>
        <v/>
      </c>
      <c r="E103" s="194" t="str">
        <f>IFERROR(VLOOKUP(F99,'Comments Feeder'!$B:$W,25,FALSE),"")</f>
        <v/>
      </c>
      <c r="F103" s="396"/>
      <c r="G103" s="192"/>
      <c r="H103" s="193"/>
    </row>
    <row r="104" spans="1:8" x14ac:dyDescent="0.25">
      <c r="A104" s="239" t="str">
        <f>IFERROR(VLOOKUP(F103,'Comments Feeder'!$B:$W,18,FALSE),"")</f>
        <v/>
      </c>
      <c r="B104" s="239" t="str">
        <f>IFERROR(VLOOKUP(F102,'Comments Feeder'!$B:$W,21,FALSE),"")</f>
        <v/>
      </c>
      <c r="C104" s="239" t="str">
        <f>IFERROR(VLOOKUP(F101,'Comments Feeder'!$B:$W,23,FALSE),"")</f>
        <v/>
      </c>
      <c r="D104" s="194" t="str">
        <f>IFERROR(VLOOKUP(F100,'Comments Feeder'!$B:$W,24,FALSE),"")</f>
        <v/>
      </c>
      <c r="E104" s="194" t="str">
        <f>IFERROR(VLOOKUP(F100,'Comments Feeder'!$B:$W,25,FALSE),"")</f>
        <v/>
      </c>
      <c r="F104" s="396" t="s">
        <v>324</v>
      </c>
      <c r="G104" s="192"/>
      <c r="H104" s="193"/>
    </row>
    <row r="105" spans="1:8" x14ac:dyDescent="0.25">
      <c r="A105" s="239" t="str">
        <f>IFERROR(VLOOKUP(F104,'Comments Feeder'!$B:$W,18,FALSE),"")</f>
        <v/>
      </c>
      <c r="B105" s="239" t="str">
        <f>IFERROR(VLOOKUP(F103,'Comments Feeder'!$B:$W,21,FALSE),"")</f>
        <v/>
      </c>
      <c r="C105" s="239" t="str">
        <f>IFERROR(VLOOKUP(F102,'Comments Feeder'!$B:$W,23,FALSE),"")</f>
        <v/>
      </c>
      <c r="D105" s="194" t="str">
        <f>IFERROR(VLOOKUP(F101,'Comments Feeder'!$B:$W,24,FALSE),"")</f>
        <v/>
      </c>
      <c r="E105" s="194" t="str">
        <f>IFERROR(VLOOKUP(F101,'Comments Feeder'!$B:$W,25,FALSE),"")</f>
        <v/>
      </c>
      <c r="F105" s="204"/>
      <c r="G105" s="192"/>
      <c r="H105" s="193"/>
    </row>
    <row r="106" spans="1:8" ht="13.5" thickBot="1" x14ac:dyDescent="0.3">
      <c r="A106" s="304" t="str">
        <f>IFERROR(VLOOKUP(F105,'Comments Feeder'!$B:$W,18,FALSE),"")</f>
        <v/>
      </c>
      <c r="B106" s="304" t="str">
        <f>IFERROR(VLOOKUP(F104,'Comments Feeder'!$B:$W,21,FALSE),"")</f>
        <v/>
      </c>
      <c r="C106" s="304" t="str">
        <f>IFERROR(VLOOKUP(F103,'Comments Feeder'!$B:$W,23,FALSE),"")</f>
        <v/>
      </c>
      <c r="D106" s="305" t="str">
        <f>IFERROR(VLOOKUP(F102,'Comments Feeder'!$B:$W,24,FALSE),"")</f>
        <v/>
      </c>
      <c r="E106" s="305" t="str">
        <f>IFERROR(VLOOKUP(F102,'Comments Feeder'!$B:$W,25,FALSE),"")</f>
        <v/>
      </c>
      <c r="F106" s="205"/>
      <c r="G106" s="192"/>
      <c r="H106" s="193"/>
    </row>
    <row r="107" spans="1:8" x14ac:dyDescent="0.25">
      <c r="A107" s="235"/>
      <c r="F107" s="211"/>
      <c r="H107" s="193"/>
    </row>
    <row r="108" spans="1:8" ht="15.5" x14ac:dyDescent="0.25">
      <c r="A108" s="832" t="s">
        <v>325</v>
      </c>
      <c r="B108" s="833"/>
      <c r="C108" s="833"/>
      <c r="D108" s="833"/>
      <c r="E108" s="833"/>
      <c r="F108" s="834"/>
      <c r="H108" s="193"/>
    </row>
    <row r="109" spans="1:8" ht="13" thickBot="1" x14ac:dyDescent="0.3">
      <c r="A109" s="235"/>
      <c r="F109" s="211"/>
      <c r="H109" s="193"/>
    </row>
    <row r="110" spans="1:8" ht="78.5" thickBot="1" x14ac:dyDescent="0.3">
      <c r="A110" s="244" t="str">
        <f>A5</f>
        <v>Actual Variance at 30 September 2024         £'000</v>
      </c>
      <c r="B110" s="245" t="str">
        <f>B5</f>
        <v>Projected Outturn Variance at 30 September 2024         £'000</v>
      </c>
      <c r="C110" s="246" t="e">
        <f t="shared" ref="C110" si="0">#REF!</f>
        <v>#REF!</v>
      </c>
      <c r="D110" s="246" t="e">
        <f t="shared" ref="D110" si="1">#REF!</f>
        <v>#REF!</v>
      </c>
      <c r="E110" s="246" t="e">
        <f t="shared" ref="E110" si="2">#REF!</f>
        <v>#REF!</v>
      </c>
      <c r="F110" s="212"/>
      <c r="H110" s="193"/>
    </row>
    <row r="111" spans="1:8" ht="13" x14ac:dyDescent="0.25">
      <c r="A111" s="239" t="str">
        <f>IFERROR(VLOOKUP(F110,'Comments Feeder'!$B:$W,18,FALSE),"")</f>
        <v/>
      </c>
      <c r="B111" s="239" t="str">
        <f>IFERROR(VLOOKUP(F109,'Comments Feeder'!$B:$W,21,FALSE),"")</f>
        <v/>
      </c>
      <c r="C111" s="239" t="str">
        <f>IFERROR(VLOOKUP(F108,'Comments Feeder'!$B:$W,23,FALSE),"")</f>
        <v/>
      </c>
      <c r="D111" s="194" t="str">
        <f>IFERROR(VLOOKUP(F68,'Comments Feeder'!$B:$W,24,FALSE),"")</f>
        <v/>
      </c>
      <c r="E111" s="194" t="str">
        <f>IFERROR(VLOOKUP(F68,'Comments Feeder'!$B:$W,25,FALSE),"")</f>
        <v/>
      </c>
      <c r="F111" s="214" t="s">
        <v>57</v>
      </c>
      <c r="H111" s="193"/>
    </row>
    <row r="112" spans="1:8" x14ac:dyDescent="0.25">
      <c r="A112" s="239">
        <f>IFERROR(VLOOKUP(F111,'Comments Feeder'!$B:$W,18,FALSE),"")</f>
        <v>370</v>
      </c>
      <c r="B112" s="239"/>
      <c r="C112" s="239" t="str">
        <f>IFERROR(VLOOKUP(F109,'Comments Feeder'!$B:$W,23,FALSE),"")</f>
        <v/>
      </c>
      <c r="D112" s="194" t="str">
        <f>IFERROR(VLOOKUP(F108,'Comments Feeder'!$B:$W,24,FALSE),"")</f>
        <v/>
      </c>
      <c r="E112" s="194" t="str">
        <f>IFERROR(VLOOKUP(F108,'Comments Feeder'!$B:$W,25,FALSE),"")</f>
        <v/>
      </c>
      <c r="F112" s="220" t="s">
        <v>326</v>
      </c>
      <c r="H112" s="193"/>
    </row>
    <row r="113" spans="1:8" x14ac:dyDescent="0.25">
      <c r="A113" s="239"/>
      <c r="B113" s="239">
        <v>200</v>
      </c>
      <c r="C113" s="239"/>
      <c r="D113" s="194"/>
      <c r="E113" s="194"/>
      <c r="F113" s="220" t="s">
        <v>327</v>
      </c>
      <c r="H113" s="193"/>
    </row>
    <row r="114" spans="1:8" x14ac:dyDescent="0.25">
      <c r="A114" s="239"/>
      <c r="B114" s="239"/>
      <c r="C114" s="239"/>
      <c r="D114" s="194"/>
      <c r="E114" s="194"/>
      <c r="F114" s="220" t="s">
        <v>328</v>
      </c>
      <c r="H114" s="193"/>
    </row>
    <row r="115" spans="1:8" x14ac:dyDescent="0.25">
      <c r="A115" s="239"/>
      <c r="B115" s="239"/>
      <c r="C115" s="239"/>
      <c r="D115" s="194"/>
      <c r="E115" s="194"/>
      <c r="F115" s="797" t="s">
        <v>329</v>
      </c>
      <c r="H115" s="193"/>
    </row>
    <row r="116" spans="1:8" ht="13" x14ac:dyDescent="0.3">
      <c r="A116" s="239"/>
      <c r="B116" s="239"/>
      <c r="C116" s="239"/>
      <c r="D116" s="194"/>
      <c r="E116" s="194"/>
      <c r="F116" s="809" t="s">
        <v>330</v>
      </c>
      <c r="H116" s="193"/>
    </row>
    <row r="117" spans="1:8" ht="14.5" x14ac:dyDescent="0.35">
      <c r="A117" s="239"/>
      <c r="B117" s="239"/>
      <c r="C117" s="239"/>
      <c r="D117" s="194"/>
      <c r="E117" s="194"/>
      <c r="F117" s="810" t="s">
        <v>331</v>
      </c>
      <c r="H117" s="193"/>
    </row>
    <row r="118" spans="1:8" x14ac:dyDescent="0.25">
      <c r="A118" s="239"/>
      <c r="B118" s="239"/>
      <c r="C118" s="239"/>
      <c r="D118" s="194"/>
      <c r="E118" s="194"/>
      <c r="F118" s="771" t="s">
        <v>5742</v>
      </c>
      <c r="H118" s="193"/>
    </row>
    <row r="119" spans="1:8" ht="13.5" thickBot="1" x14ac:dyDescent="0.3">
      <c r="A119" s="304" t="str">
        <f>IFERROR(VLOOKUP(#REF!,'Comments Feeder'!$B:$W,18,FALSE),"")</f>
        <v/>
      </c>
      <c r="B119" s="304" t="str">
        <f>IFERROR(VLOOKUP(#REF!,'Comments Feeder'!$B:$W,21,FALSE),"")</f>
        <v/>
      </c>
      <c r="C119" s="304" t="str">
        <f>IFERROR(VLOOKUP(#REF!,'Comments Feeder'!$B:$W,23,FALSE),"")</f>
        <v/>
      </c>
      <c r="D119" s="305" t="str">
        <f>IFERROR(VLOOKUP(#REF!,'Comments Feeder'!$B:$W,24,FALSE),"")</f>
        <v/>
      </c>
      <c r="E119" s="305" t="str">
        <f>IFERROR(VLOOKUP(#REF!,'Comments Feeder'!$B:$W,25,FALSE),"")</f>
        <v/>
      </c>
      <c r="F119" s="218"/>
      <c r="H119" s="193"/>
    </row>
    <row r="120" spans="1:8" ht="13" x14ac:dyDescent="0.25">
      <c r="A120" s="239" t="str">
        <f>IFERROR(VLOOKUP(F119,'Comments Feeder'!$B:$W,18,FALSE),"")</f>
        <v/>
      </c>
      <c r="B120" s="239" t="str">
        <f>IFERROR(VLOOKUP(#REF!,'Comments Feeder'!$B:$W,21,FALSE),"")</f>
        <v/>
      </c>
      <c r="C120" s="239" t="str">
        <f>IFERROR(VLOOKUP(#REF!,'Comments Feeder'!$B:$W,23,FALSE),"")</f>
        <v/>
      </c>
      <c r="D120" s="194" t="str">
        <f>IFERROR(VLOOKUP(#REF!,'Comments Feeder'!$B:$W,24,FALSE),"")</f>
        <v/>
      </c>
      <c r="E120" s="194" t="str">
        <f>IFERROR(VLOOKUP(#REF!,'Comments Feeder'!$B:$W,25,FALSE),"")</f>
        <v/>
      </c>
      <c r="F120" s="214" t="s">
        <v>58</v>
      </c>
      <c r="H120" s="193"/>
    </row>
    <row r="121" spans="1:8" x14ac:dyDescent="0.25">
      <c r="A121" s="239">
        <f>IFERROR(VLOOKUP(F120,'Comments Feeder'!$B:$W,18,FALSE),"")</f>
        <v>835</v>
      </c>
      <c r="B121" s="239" t="str">
        <f>IFERROR(VLOOKUP(F119,'Comments Feeder'!$B:$W,21,FALSE),"")</f>
        <v/>
      </c>
      <c r="C121" s="239" t="str">
        <f>IFERROR(VLOOKUP(#REF!,'Comments Feeder'!$B:$W,23,FALSE),"")</f>
        <v/>
      </c>
      <c r="D121" s="194" t="str">
        <f>IFERROR(VLOOKUP(#REF!,'Comments Feeder'!$B:$W,24,FALSE),"")</f>
        <v/>
      </c>
      <c r="E121" s="194" t="str">
        <f>IFERROR(VLOOKUP(#REF!,'Comments Feeder'!$B:$W,25,FALSE),"")</f>
        <v/>
      </c>
      <c r="F121" s="595" t="s">
        <v>332</v>
      </c>
      <c r="H121" s="193"/>
    </row>
    <row r="122" spans="1:8" x14ac:dyDescent="0.25">
      <c r="A122" s="239" t="str">
        <f>IFERROR(VLOOKUP(F121,'Comments Feeder'!$B:$W,18,FALSE),"")</f>
        <v/>
      </c>
      <c r="B122" s="239">
        <v>250</v>
      </c>
      <c r="C122" s="239" t="str">
        <f>IFERROR(VLOOKUP(F119,'Comments Feeder'!$B:$W,23,FALSE),"")</f>
        <v/>
      </c>
      <c r="D122" s="194" t="str">
        <f>IFERROR(VLOOKUP(#REF!,'Comments Feeder'!$B:$W,24,FALSE),"")</f>
        <v/>
      </c>
      <c r="E122" s="194" t="str">
        <f>IFERROR(VLOOKUP(#REF!,'Comments Feeder'!$B:$W,25,FALSE),"")</f>
        <v/>
      </c>
      <c r="F122" s="196" t="s">
        <v>333</v>
      </c>
      <c r="H122" s="193"/>
    </row>
    <row r="123" spans="1:8" x14ac:dyDescent="0.25">
      <c r="A123" s="239" t="str">
        <f>IFERROR(VLOOKUP(F122,'Comments Feeder'!$B:$W,18,FALSE),"")</f>
        <v/>
      </c>
      <c r="B123" s="239" t="str">
        <f>IFERROR(VLOOKUP(F121,'Comments Feeder'!$B:$W,21,FALSE),"")</f>
        <v/>
      </c>
      <c r="C123" s="239" t="str">
        <f>IFERROR(VLOOKUP(F120,'Comments Feeder'!$B:$W,23,FALSE),"")</f>
        <v/>
      </c>
      <c r="D123" s="194" t="str">
        <f>IFERROR(VLOOKUP(F119,'Comments Feeder'!$B:$W,24,FALSE),"")</f>
        <v/>
      </c>
      <c r="E123" s="194" t="str">
        <f>IFERROR(VLOOKUP(F119,'Comments Feeder'!$B:$W,25,FALSE),"")</f>
        <v/>
      </c>
      <c r="F123" s="220" t="s">
        <v>334</v>
      </c>
      <c r="H123" s="193"/>
    </row>
    <row r="124" spans="1:8" x14ac:dyDescent="0.25">
      <c r="A124" s="239"/>
      <c r="B124" s="239"/>
      <c r="C124" s="239"/>
      <c r="D124" s="194"/>
      <c r="E124" s="194"/>
      <c r="F124" s="767" t="s">
        <v>335</v>
      </c>
      <c r="H124" s="193"/>
    </row>
    <row r="125" spans="1:8" x14ac:dyDescent="0.25">
      <c r="A125" s="239"/>
      <c r="B125" s="239"/>
      <c r="C125" s="239"/>
      <c r="D125" s="194"/>
      <c r="E125" s="194"/>
      <c r="F125" s="767" t="s">
        <v>336</v>
      </c>
      <c r="H125" s="193"/>
    </row>
    <row r="126" spans="1:8" x14ac:dyDescent="0.25">
      <c r="A126" s="239"/>
      <c r="B126" s="239"/>
      <c r="C126" s="239"/>
      <c r="D126" s="194"/>
      <c r="E126" s="194"/>
      <c r="F126" s="767" t="s">
        <v>337</v>
      </c>
      <c r="H126" s="193"/>
    </row>
    <row r="127" spans="1:8" x14ac:dyDescent="0.25">
      <c r="A127" s="239"/>
      <c r="B127" s="239"/>
      <c r="C127" s="239"/>
      <c r="D127" s="194"/>
      <c r="E127" s="194"/>
      <c r="F127" s="767" t="s">
        <v>338</v>
      </c>
      <c r="H127" s="193"/>
    </row>
    <row r="128" spans="1:8" x14ac:dyDescent="0.25">
      <c r="A128" s="239"/>
      <c r="B128" s="239"/>
      <c r="C128" s="239"/>
      <c r="D128" s="194"/>
      <c r="E128" s="194"/>
      <c r="F128" s="798" t="s">
        <v>339</v>
      </c>
      <c r="H128" s="193"/>
    </row>
    <row r="129" spans="1:8" ht="15.5" x14ac:dyDescent="0.35">
      <c r="A129" s="239" t="str">
        <f>IFERROR(VLOOKUP(F123,'Comments Feeder'!$B:$W,18,FALSE),"")</f>
        <v/>
      </c>
      <c r="B129" s="239" t="str">
        <f>IFERROR(VLOOKUP(F122,'Comments Feeder'!$B:$W,21,FALSE),"")</f>
        <v/>
      </c>
      <c r="C129" s="239" t="str">
        <f>IFERROR(VLOOKUP(F121,'Comments Feeder'!$B:$W,23,FALSE),"")</f>
        <v/>
      </c>
      <c r="D129" s="194" t="str">
        <f>IFERROR(VLOOKUP(F120,'Comments Feeder'!$B:$W,24,FALSE),"")</f>
        <v/>
      </c>
      <c r="E129" s="194" t="str">
        <f>IFERROR(VLOOKUP(F120,'Comments Feeder'!$B:$W,25,FALSE),"")</f>
        <v/>
      </c>
      <c r="F129" s="809" t="s">
        <v>340</v>
      </c>
      <c r="H129" s="193"/>
    </row>
    <row r="130" spans="1:8" ht="14.5" x14ac:dyDescent="0.35">
      <c r="A130" s="239"/>
      <c r="B130" s="239"/>
      <c r="C130" s="239"/>
      <c r="D130" s="194"/>
      <c r="E130" s="194"/>
      <c r="F130" s="811" t="s">
        <v>341</v>
      </c>
      <c r="H130" s="193"/>
    </row>
    <row r="131" spans="1:8" ht="13.5" thickBot="1" x14ac:dyDescent="0.3">
      <c r="A131" s="304" t="str">
        <f>IFERROR(VLOOKUP(F129,'Comments Feeder'!$B:$W,18,FALSE),"")</f>
        <v/>
      </c>
      <c r="B131" s="304" t="str">
        <f>IFERROR(VLOOKUP(F123,'Comments Feeder'!$B:$W,21,FALSE),"")</f>
        <v/>
      </c>
      <c r="C131" s="304" t="str">
        <f>IFERROR(VLOOKUP(F122,'Comments Feeder'!$B:$W,23,FALSE),"")</f>
        <v/>
      </c>
      <c r="D131" s="305" t="str">
        <f>IFERROR(VLOOKUP(F121,'Comments Feeder'!$B:$W,24,FALSE),"")</f>
        <v/>
      </c>
      <c r="E131" s="305" t="str">
        <f>IFERROR(VLOOKUP(F121,'Comments Feeder'!$B:$W,25,FALSE),"")</f>
        <v/>
      </c>
      <c r="F131" s="218"/>
      <c r="H131" s="193"/>
    </row>
    <row r="132" spans="1:8" ht="13" x14ac:dyDescent="0.25">
      <c r="A132" s="239" t="str">
        <f>IFERROR(VLOOKUP(F131,'Comments Feeder'!$B:$W,18,FALSE),"")</f>
        <v/>
      </c>
      <c r="B132" s="239" t="str">
        <f>IFERROR(VLOOKUP(F129,'Comments Feeder'!$B:$W,21,FALSE),"")</f>
        <v/>
      </c>
      <c r="C132" s="239" t="str">
        <f>IFERROR(VLOOKUP(F123,'Comments Feeder'!$B:$W,23,FALSE),"")</f>
        <v/>
      </c>
      <c r="D132" s="194" t="str">
        <f>IFERROR(VLOOKUP(F122,'Comments Feeder'!$B:$W,24,FALSE),"")</f>
        <v/>
      </c>
      <c r="E132" s="194" t="str">
        <f>IFERROR(VLOOKUP(F122,'Comments Feeder'!$B:$W,25,FALSE),"")</f>
        <v/>
      </c>
      <c r="F132" s="214" t="s">
        <v>59</v>
      </c>
      <c r="H132" s="193"/>
    </row>
    <row r="133" spans="1:8" x14ac:dyDescent="0.25">
      <c r="A133" s="239">
        <f>IFERROR(VLOOKUP(F132,'Comments Feeder'!$B:$W,18,FALSE),"")</f>
        <v>-73</v>
      </c>
      <c r="B133" s="239" t="str">
        <f>IFERROR(VLOOKUP(F131,'Comments Feeder'!$B:$W,21,FALSE),"")</f>
        <v/>
      </c>
      <c r="C133" s="239" t="str">
        <f>IFERROR(VLOOKUP(F129,'Comments Feeder'!$B:$W,23,FALSE),"")</f>
        <v/>
      </c>
      <c r="D133" s="194" t="str">
        <f>IFERROR(VLOOKUP(F123,'Comments Feeder'!$B:$W,24,FALSE),"")</f>
        <v/>
      </c>
      <c r="E133" s="194" t="str">
        <f>IFERROR(VLOOKUP(F123,'Comments Feeder'!$B:$W,25,FALSE),"")</f>
        <v/>
      </c>
      <c r="F133" s="196" t="s">
        <v>342</v>
      </c>
      <c r="H133" s="193"/>
    </row>
    <row r="134" spans="1:8" x14ac:dyDescent="0.25">
      <c r="A134" s="239" t="str">
        <f>IFERROR(VLOOKUP(#REF!,'Comments Feeder'!$B:$W,18,FALSE),"")</f>
        <v/>
      </c>
      <c r="B134" s="239">
        <v>-57</v>
      </c>
      <c r="C134" s="239" t="str">
        <f>IFERROR(VLOOKUP(F131,'Comments Feeder'!$B:$W,23,FALSE),"")</f>
        <v/>
      </c>
      <c r="D134" s="194" t="str">
        <f>IFERROR(VLOOKUP(F129,'Comments Feeder'!$B:$W,24,FALSE),"")</f>
        <v/>
      </c>
      <c r="E134" s="194" t="str">
        <f>IFERROR(VLOOKUP(F129,'Comments Feeder'!$B:$W,25,FALSE),"")</f>
        <v/>
      </c>
      <c r="F134" s="182" t="s">
        <v>343</v>
      </c>
      <c r="H134" s="193"/>
    </row>
    <row r="135" spans="1:8" x14ac:dyDescent="0.25">
      <c r="A135" s="239" t="str">
        <f>IFERROR(VLOOKUP(F133,'Comments Feeder'!$B:$W,18,FALSE),"")</f>
        <v/>
      </c>
      <c r="B135" s="239" t="str">
        <f>IFERROR(VLOOKUP(#REF!,'Comments Feeder'!$B:$W,21,FALSE),"")</f>
        <v/>
      </c>
      <c r="C135" s="239" t="str">
        <f>IFERROR(VLOOKUP(F132,'Comments Feeder'!$B:$W,23,FALSE),"")</f>
        <v/>
      </c>
      <c r="D135" s="194" t="str">
        <f>IFERROR(VLOOKUP(F131,'Comments Feeder'!$B:$W,24,FALSE),"")</f>
        <v/>
      </c>
      <c r="E135" s="194" t="str">
        <f>IFERROR(VLOOKUP(F131,'Comments Feeder'!$B:$W,25,FALSE),"")</f>
        <v/>
      </c>
      <c r="F135" s="196"/>
      <c r="H135" s="193"/>
    </row>
    <row r="136" spans="1:8" x14ac:dyDescent="0.25">
      <c r="A136" s="239" t="str">
        <f>IFERROR(VLOOKUP(F135,'Comments Feeder'!$B:$W,18,FALSE),"")</f>
        <v/>
      </c>
      <c r="B136" s="239" t="str">
        <f>IFERROR(VLOOKUP(F133,'Comments Feeder'!$B:$W,21,FALSE),"")</f>
        <v/>
      </c>
      <c r="C136" s="239" t="str">
        <f>IFERROR(VLOOKUP(#REF!,'Comments Feeder'!$B:$W,23,FALSE),"")</f>
        <v/>
      </c>
      <c r="D136" s="194" t="str">
        <f>IFERROR(VLOOKUP(F132,'Comments Feeder'!$B:$W,24,FALSE),"")</f>
        <v/>
      </c>
      <c r="E136" s="194" t="str">
        <f>IFERROR(VLOOKUP(F132,'Comments Feeder'!$B:$W,25,FALSE),"")</f>
        <v/>
      </c>
      <c r="F136" s="196"/>
      <c r="H136" s="193"/>
    </row>
    <row r="137" spans="1:8" ht="13.5" thickBot="1" x14ac:dyDescent="0.3">
      <c r="A137" s="304" t="str">
        <f>IFERROR(VLOOKUP(F136,'Comments Feeder'!$B:$W,18,FALSE),"")</f>
        <v/>
      </c>
      <c r="B137" s="304" t="str">
        <f>IFERROR(VLOOKUP(F135,'Comments Feeder'!$B:$W,21,FALSE),"")</f>
        <v/>
      </c>
      <c r="C137" s="304" t="str">
        <f>IFERROR(VLOOKUP(F133,'Comments Feeder'!$B:$W,23,FALSE),"")</f>
        <v/>
      </c>
      <c r="D137" s="305" t="str">
        <f>IFERROR(VLOOKUP(#REF!,'Comments Feeder'!$B:$W,24,FALSE),"")</f>
        <v/>
      </c>
      <c r="E137" s="305" t="str">
        <f>IFERROR(VLOOKUP(#REF!,'Comments Feeder'!$B:$W,25,FALSE),"")</f>
        <v/>
      </c>
      <c r="F137" s="218"/>
      <c r="H137" s="193"/>
    </row>
    <row r="138" spans="1:8" ht="13" x14ac:dyDescent="0.25">
      <c r="A138" s="239" t="str">
        <f>IFERROR(VLOOKUP(F137,'Comments Feeder'!$B:$W,18,FALSE),"")</f>
        <v/>
      </c>
      <c r="B138" s="239" t="str">
        <f>IFERROR(VLOOKUP(F136,'Comments Feeder'!$B:$W,21,FALSE),"")</f>
        <v/>
      </c>
      <c r="C138" s="239" t="str">
        <f>IFERROR(VLOOKUP(F135,'Comments Feeder'!$B:$W,23,FALSE),"")</f>
        <v/>
      </c>
      <c r="D138" s="194" t="str">
        <f>IFERROR(VLOOKUP(F133,'Comments Feeder'!$B:$W,24,FALSE),"")</f>
        <v/>
      </c>
      <c r="E138" s="194" t="str">
        <f>IFERROR(VLOOKUP(F133,'Comments Feeder'!$B:$W,25,FALSE),"")</f>
        <v/>
      </c>
      <c r="F138" s="214" t="s">
        <v>229</v>
      </c>
      <c r="H138" s="193"/>
    </row>
    <row r="139" spans="1:8" ht="14.5" x14ac:dyDescent="0.35">
      <c r="A139" s="239">
        <f>IFERROR(VLOOKUP(F138,'Comments Feeder'!$B:$W,18,FALSE),"")</f>
        <v>-64</v>
      </c>
      <c r="B139" s="239" t="str">
        <f>IFERROR(VLOOKUP(F137,'Comments Feeder'!$B:$W,21,FALSE),"")</f>
        <v/>
      </c>
      <c r="C139" s="239" t="str">
        <f>IFERROR(VLOOKUP(F136,'Comments Feeder'!$B:$W,23,FALSE),"")</f>
        <v/>
      </c>
      <c r="D139" s="194" t="str">
        <f>IFERROR(VLOOKUP(F135,'Comments Feeder'!$B:$W,24,FALSE),"")</f>
        <v/>
      </c>
      <c r="E139" s="194" t="str">
        <f>IFERROR(VLOOKUP(F135,'Comments Feeder'!$B:$W,25,FALSE),"")</f>
        <v/>
      </c>
      <c r="F139" s="812" t="s">
        <v>344</v>
      </c>
      <c r="H139" s="193"/>
    </row>
    <row r="140" spans="1:8" ht="14.5" x14ac:dyDescent="0.35">
      <c r="A140" s="239" t="str">
        <f>IFERROR(VLOOKUP(F139,'Comments Feeder'!$B:$W,18,FALSE),"")</f>
        <v/>
      </c>
      <c r="B140" s="239">
        <f>IFERROR(VLOOKUP(F138,'Comments Feeder'!$B:$W,21,FALSE),"")</f>
        <v>34</v>
      </c>
      <c r="C140" s="239" t="str">
        <f>IFERROR(VLOOKUP(F137,'Comments Feeder'!$B:$W,23,FALSE),"")</f>
        <v/>
      </c>
      <c r="D140" s="194" t="str">
        <f>IFERROR(VLOOKUP(F136,'Comments Feeder'!$B:$W,24,FALSE),"")</f>
        <v/>
      </c>
      <c r="E140" s="194" t="str">
        <f>IFERROR(VLOOKUP(F136,'Comments Feeder'!$B:$W,25,FALSE),"")</f>
        <v/>
      </c>
      <c r="F140" s="812" t="s">
        <v>345</v>
      </c>
      <c r="H140" s="193"/>
    </row>
    <row r="141" spans="1:8" x14ac:dyDescent="0.25">
      <c r="A141" s="239" t="str">
        <f>IFERROR(VLOOKUP(F140,'Comments Feeder'!$B:$W,18,FALSE),"")</f>
        <v/>
      </c>
      <c r="B141" s="239" t="str">
        <f>IFERROR(VLOOKUP(F139,'Comments Feeder'!$B:$W,21,FALSE),"")</f>
        <v/>
      </c>
      <c r="C141" s="239" t="str">
        <f>IFERROR(VLOOKUP(F138,'Comments Feeder'!$B:$W,23,FALSE),"")</f>
        <v/>
      </c>
      <c r="D141" s="194" t="str">
        <f>IFERROR(VLOOKUP(F137,'Comments Feeder'!$B:$W,24,FALSE),"")</f>
        <v/>
      </c>
      <c r="E141" s="194" t="str">
        <f>IFERROR(VLOOKUP(F137,'Comments Feeder'!$B:$W,25,FALSE),"")</f>
        <v/>
      </c>
      <c r="F141" s="799" t="s">
        <v>346</v>
      </c>
      <c r="H141" s="193"/>
    </row>
    <row r="142" spans="1:8" ht="14.5" x14ac:dyDescent="0.35">
      <c r="A142" s="239" t="str">
        <f>IFERROR(VLOOKUP(F141,'Comments Feeder'!$B:$W,18,FALSE),"")</f>
        <v/>
      </c>
      <c r="B142" s="239" t="str">
        <f>IFERROR(VLOOKUP(F140,'Comments Feeder'!$B:$W,21,FALSE),"")</f>
        <v/>
      </c>
      <c r="C142" s="239" t="str">
        <f>IFERROR(VLOOKUP(F139,'Comments Feeder'!$B:$W,23,FALSE),"")</f>
        <v/>
      </c>
      <c r="D142" s="194" t="str">
        <f>IFERROR(VLOOKUP(F138,'Comments Feeder'!$B:$W,24,FALSE),"")</f>
        <v/>
      </c>
      <c r="E142" s="194" t="str">
        <f>IFERROR(VLOOKUP(F138,'Comments Feeder'!$B:$W,25,FALSE),"")</f>
        <v/>
      </c>
      <c r="F142" s="813" t="s">
        <v>347</v>
      </c>
      <c r="H142" s="193"/>
    </row>
    <row r="143" spans="1:8" ht="13.5" thickBot="1" x14ac:dyDescent="0.3">
      <c r="A143" s="304" t="str">
        <f>IFERROR(VLOOKUP(F142,'Comments Feeder'!$B:$W,18,FALSE),"")</f>
        <v/>
      </c>
      <c r="B143" s="304" t="str">
        <f>IFERROR(VLOOKUP(F141,'Comments Feeder'!$B:$W,21,FALSE),"")</f>
        <v/>
      </c>
      <c r="C143" s="304" t="str">
        <f>IFERROR(VLOOKUP(F140,'Comments Feeder'!$B:$W,23,FALSE),"")</f>
        <v/>
      </c>
      <c r="D143" s="305" t="str">
        <f>IFERROR(VLOOKUP(F139,'Comments Feeder'!$B:$W,24,FALSE),"")</f>
        <v/>
      </c>
      <c r="E143" s="305" t="str">
        <f>IFERROR(VLOOKUP(F139,'Comments Feeder'!$B:$W,25,FALSE),"")</f>
        <v/>
      </c>
      <c r="F143" s="218"/>
      <c r="H143" s="193"/>
    </row>
    <row r="144" spans="1:8" ht="13" x14ac:dyDescent="0.25">
      <c r="A144" s="239" t="str">
        <f>IFERROR(VLOOKUP(F143,'Comments Feeder'!$B:$W,18,FALSE),"")</f>
        <v/>
      </c>
      <c r="B144" s="239" t="str">
        <f>IFERROR(VLOOKUP(F142,'Comments Feeder'!$B:$W,21,FALSE),"")</f>
        <v/>
      </c>
      <c r="C144" s="239" t="str">
        <f>IFERROR(VLOOKUP(F141,'Comments Feeder'!$B:$W,23,FALSE),"")</f>
        <v/>
      </c>
      <c r="D144" s="194" t="str">
        <f>IFERROR(VLOOKUP(F140,'Comments Feeder'!$B:$W,24,FALSE),"")</f>
        <v/>
      </c>
      <c r="E144" s="194" t="str">
        <f>IFERROR(VLOOKUP(F140,'Comments Feeder'!$B:$W,25,FALSE),"")</f>
        <v/>
      </c>
      <c r="F144" s="214" t="s">
        <v>230</v>
      </c>
      <c r="H144" s="193"/>
    </row>
    <row r="145" spans="1:8" ht="14.5" x14ac:dyDescent="0.35">
      <c r="A145" s="239">
        <f>IFERROR(VLOOKUP(F144,'Comments Feeder'!$B:$W,18,FALSE),"")</f>
        <v>-73</v>
      </c>
      <c r="B145" s="239">
        <v>0</v>
      </c>
      <c r="C145" s="239" t="str">
        <f>IFERROR(VLOOKUP(F142,'Comments Feeder'!$B:$W,23,FALSE),"")</f>
        <v/>
      </c>
      <c r="D145" s="194" t="str">
        <f>IFERROR(VLOOKUP(F141,'Comments Feeder'!$B:$W,24,FALSE),"")</f>
        <v/>
      </c>
      <c r="E145" s="194" t="str">
        <f>IFERROR(VLOOKUP(F141,'Comments Feeder'!$B:$W,25,FALSE),"")</f>
        <v/>
      </c>
      <c r="F145" s="812" t="s">
        <v>348</v>
      </c>
      <c r="H145" s="193"/>
    </row>
    <row r="146" spans="1:8" x14ac:dyDescent="0.25">
      <c r="A146" s="239" t="str">
        <f>IFERROR(VLOOKUP(F145,'Comments Feeder'!$B:$W,18,FALSE),"")</f>
        <v/>
      </c>
      <c r="B146" s="239">
        <v>0</v>
      </c>
      <c r="C146" s="239" t="str">
        <f>IFERROR(VLOOKUP(F143,'Comments Feeder'!$B:$W,23,FALSE),"")</f>
        <v/>
      </c>
      <c r="D146" s="194" t="str">
        <f>IFERROR(VLOOKUP(F142,'Comments Feeder'!$B:$W,24,FALSE),"")</f>
        <v/>
      </c>
      <c r="E146" s="194" t="str">
        <f>IFERROR(VLOOKUP(F142,'Comments Feeder'!$B:$W,25,FALSE),"")</f>
        <v/>
      </c>
      <c r="F146" s="800" t="s">
        <v>349</v>
      </c>
      <c r="H146" s="193"/>
    </row>
    <row r="147" spans="1:8" ht="14.5" x14ac:dyDescent="0.35">
      <c r="A147" s="239" t="str">
        <f>IFERROR(VLOOKUP(F146,'Comments Feeder'!$B:$W,18,FALSE),"")</f>
        <v/>
      </c>
      <c r="B147" s="239" t="str">
        <f>IFERROR(VLOOKUP(F145,'Comments Feeder'!$B:$W,21,FALSE),"")</f>
        <v/>
      </c>
      <c r="C147" s="239" t="str">
        <f>IFERROR(VLOOKUP(F144,'Comments Feeder'!$B:$W,23,FALSE),"")</f>
        <v/>
      </c>
      <c r="D147" s="194" t="str">
        <f>IFERROR(VLOOKUP(F143,'Comments Feeder'!$B:$W,24,FALSE),"")</f>
        <v/>
      </c>
      <c r="E147" s="194" t="str">
        <f>IFERROR(VLOOKUP(F143,'Comments Feeder'!$B:$W,25,FALSE),"")</f>
        <v/>
      </c>
      <c r="F147" s="810" t="s">
        <v>350</v>
      </c>
      <c r="H147" s="193"/>
    </row>
    <row r="148" spans="1:8" x14ac:dyDescent="0.25">
      <c r="A148" s="239" t="str">
        <f>IFERROR(VLOOKUP(F147,'Comments Feeder'!$B:$W,18,FALSE),"")</f>
        <v/>
      </c>
      <c r="B148" s="239" t="str">
        <f>IFERROR(VLOOKUP(F146,'Comments Feeder'!$B:$W,21,FALSE),"")</f>
        <v/>
      </c>
      <c r="C148" s="239" t="str">
        <f>IFERROR(VLOOKUP(F145,'Comments Feeder'!$B:$W,23,FALSE),"")</f>
        <v/>
      </c>
      <c r="D148" s="194" t="str">
        <f>IFERROR(VLOOKUP(F144,'Comments Feeder'!$B:$W,24,FALSE),"")</f>
        <v/>
      </c>
      <c r="E148" s="194" t="str">
        <f>IFERROR(VLOOKUP(F144,'Comments Feeder'!$B:$W,25,FALSE),"")</f>
        <v/>
      </c>
      <c r="F148" s="196" t="s">
        <v>351</v>
      </c>
      <c r="H148" s="193"/>
    </row>
    <row r="149" spans="1:8" ht="13.5" thickBot="1" x14ac:dyDescent="0.3">
      <c r="A149" s="304" t="str">
        <f>IFERROR(VLOOKUP(F148,'Comments Feeder'!$B:$W,18,FALSE),"")</f>
        <v/>
      </c>
      <c r="B149" s="304" t="str">
        <f>IFERROR(VLOOKUP(F147,'Comments Feeder'!$B:$W,21,FALSE),"")</f>
        <v/>
      </c>
      <c r="C149" s="304" t="str">
        <f>IFERROR(VLOOKUP(F146,'Comments Feeder'!$B:$W,23,FALSE),"")</f>
        <v/>
      </c>
      <c r="D149" s="305" t="str">
        <f>IFERROR(VLOOKUP(F145,'Comments Feeder'!$B:$W,24,FALSE),"")</f>
        <v/>
      </c>
      <c r="E149" s="305" t="str">
        <f>IFERROR(VLOOKUP(F145,'Comments Feeder'!$B:$W,25,FALSE),"")</f>
        <v/>
      </c>
      <c r="F149" s="218"/>
      <c r="H149" s="193"/>
    </row>
    <row r="150" spans="1:8" ht="13" x14ac:dyDescent="0.25">
      <c r="A150" s="239" t="str">
        <f>IFERROR(VLOOKUP(F137,'Comments Feeder'!$B:$W,18,FALSE),"")</f>
        <v/>
      </c>
      <c r="B150" s="239" t="str">
        <f>IFERROR(VLOOKUP(F136,'Comments Feeder'!$B:$W,21,FALSE),"")</f>
        <v/>
      </c>
      <c r="C150" s="239" t="str">
        <f>IFERROR(VLOOKUP(F135,'Comments Feeder'!$B:$W,23,FALSE),"")</f>
        <v/>
      </c>
      <c r="D150" s="194" t="str">
        <f>IFERROR(VLOOKUP(F133,'Comments Feeder'!$B:$W,24,FALSE),"")</f>
        <v/>
      </c>
      <c r="E150" s="194" t="str">
        <f>IFERROR(VLOOKUP(F133,'Comments Feeder'!$B:$W,25,FALSE),"")</f>
        <v/>
      </c>
      <c r="F150" s="214" t="s">
        <v>60</v>
      </c>
      <c r="H150" s="193"/>
    </row>
    <row r="151" spans="1:8" x14ac:dyDescent="0.25">
      <c r="A151" s="239">
        <f>IFERROR(VLOOKUP(F150,'Comments Feeder'!$B:$W,18,FALSE),"")</f>
        <v>0</v>
      </c>
      <c r="B151" s="239" t="str">
        <f>IFERROR(VLOOKUP(F137,'Comments Feeder'!$B:$W,21,FALSE),"")</f>
        <v/>
      </c>
      <c r="C151" s="239" t="str">
        <f>IFERROR(VLOOKUP(F136,'Comments Feeder'!$B:$W,23,FALSE),"")</f>
        <v/>
      </c>
      <c r="D151" s="194" t="str">
        <f>IFERROR(VLOOKUP(F135,'Comments Feeder'!$B:$W,24,FALSE),"")</f>
        <v/>
      </c>
      <c r="E151" s="194" t="str">
        <f>IFERROR(VLOOKUP(F135,'Comments Feeder'!$B:$W,25,FALSE),"")</f>
        <v/>
      </c>
      <c r="F151" s="302"/>
      <c r="H151" s="193"/>
    </row>
    <row r="152" spans="1:8" x14ac:dyDescent="0.25">
      <c r="A152" s="239" t="str">
        <f>IFERROR(VLOOKUP(F151,'Comments Feeder'!$B:$W,18,FALSE),"")</f>
        <v/>
      </c>
      <c r="B152" s="239">
        <f>IFERROR(VLOOKUP(F150,'Comments Feeder'!$B:$W,21,FALSE),"")</f>
        <v>0</v>
      </c>
      <c r="C152" s="239" t="str">
        <f>IFERROR(VLOOKUP(F137,'Comments Feeder'!$B:$W,23,FALSE),"")</f>
        <v/>
      </c>
      <c r="D152" s="194" t="str">
        <f>IFERROR(VLOOKUP(F136,'Comments Feeder'!$B:$W,24,FALSE),"")</f>
        <v/>
      </c>
      <c r="E152" s="194" t="str">
        <f>IFERROR(VLOOKUP(F136,'Comments Feeder'!$B:$W,25,FALSE),"")</f>
        <v/>
      </c>
      <c r="F152" s="223"/>
      <c r="H152" s="193"/>
    </row>
    <row r="153" spans="1:8" x14ac:dyDescent="0.25">
      <c r="A153" s="239" t="str">
        <f>IFERROR(VLOOKUP(F152,'Comments Feeder'!$B:$W,18,FALSE),"")</f>
        <v/>
      </c>
      <c r="B153" s="239" t="str">
        <f>IFERROR(VLOOKUP(F151,'Comments Feeder'!$B:$W,21,FALSE),"")</f>
        <v/>
      </c>
      <c r="C153" s="239" t="str">
        <f>IFERROR(VLOOKUP(F150,'Comments Feeder'!$B:$W,23,FALSE),"")</f>
        <v/>
      </c>
      <c r="D153" s="194" t="str">
        <f>IFERROR(VLOOKUP(F137,'Comments Feeder'!$B:$W,24,FALSE),"")</f>
        <v/>
      </c>
      <c r="E153" s="194" t="str">
        <f>IFERROR(VLOOKUP(F137,'Comments Feeder'!$B:$W,25,FALSE),"")</f>
        <v/>
      </c>
      <c r="F153" s="216"/>
      <c r="H153" s="193"/>
    </row>
    <row r="154" spans="1:8" x14ac:dyDescent="0.25">
      <c r="A154" s="239" t="str">
        <f>IFERROR(VLOOKUP(F153,'Comments Feeder'!$B:$W,18,FALSE),"")</f>
        <v/>
      </c>
      <c r="B154" s="239" t="str">
        <f>IFERROR(VLOOKUP(F152,'Comments Feeder'!$B:$W,21,FALSE),"")</f>
        <v/>
      </c>
      <c r="C154" s="239" t="str">
        <f>IFERROR(VLOOKUP(F151,'Comments Feeder'!$B:$W,23,FALSE),"")</f>
        <v/>
      </c>
      <c r="D154" s="194" t="str">
        <f>IFERROR(VLOOKUP(F150,'Comments Feeder'!$B:$W,24,FALSE),"")</f>
        <v/>
      </c>
      <c r="E154" s="194" t="str">
        <f>IFERROR(VLOOKUP(F150,'Comments Feeder'!$B:$W,25,FALSE),"")</f>
        <v/>
      </c>
      <c r="F154" s="196"/>
      <c r="H154" s="193"/>
    </row>
    <row r="155" spans="1:8" ht="13.5" thickBot="1" x14ac:dyDescent="0.3">
      <c r="A155" s="304" t="str">
        <f>IFERROR(VLOOKUP(F154,'Comments Feeder'!$B:$W,18,FALSE),"")</f>
        <v/>
      </c>
      <c r="B155" s="304" t="str">
        <f>IFERROR(VLOOKUP(F153,'Comments Feeder'!$B:$W,21,FALSE),"")</f>
        <v/>
      </c>
      <c r="C155" s="304" t="str">
        <f>IFERROR(VLOOKUP(F152,'Comments Feeder'!$B:$W,23,FALSE),"")</f>
        <v/>
      </c>
      <c r="D155" s="305" t="str">
        <f>IFERROR(VLOOKUP(F151,'Comments Feeder'!$B:$W,24,FALSE),"")</f>
        <v/>
      </c>
      <c r="E155" s="305" t="str">
        <f>IFERROR(VLOOKUP(F151,'Comments Feeder'!$B:$W,25,FALSE),"")</f>
        <v/>
      </c>
      <c r="F155" s="218"/>
      <c r="H155" s="193"/>
    </row>
    <row r="156" spans="1:8" ht="13" x14ac:dyDescent="0.25">
      <c r="A156" s="239" t="str">
        <f>IFERROR(VLOOKUP(#REF!,'Comments Feeder'!$B:$W,18,FALSE),"")</f>
        <v/>
      </c>
      <c r="B156" s="239" t="str">
        <f>IFERROR(VLOOKUP(#REF!,'Comments Feeder'!$B:$W,21,FALSE),"")</f>
        <v/>
      </c>
      <c r="C156" s="239" t="str">
        <f>IFERROR(VLOOKUP(#REF!,'Comments Feeder'!$B:$W,23,FALSE),"")</f>
        <v/>
      </c>
      <c r="D156" s="194" t="str">
        <f>IFERROR(VLOOKUP(#REF!,'Comments Feeder'!$B:$W,24,FALSE),"")</f>
        <v/>
      </c>
      <c r="E156" s="194" t="str">
        <f>IFERROR(VLOOKUP(#REF!,'Comments Feeder'!$B:$W,25,FALSE),"")</f>
        <v/>
      </c>
      <c r="F156" s="226" t="s">
        <v>61</v>
      </c>
      <c r="H156" s="193"/>
    </row>
    <row r="157" spans="1:8" x14ac:dyDescent="0.25">
      <c r="A157" s="239">
        <f>IFERROR(VLOOKUP(F156,'Comments Feeder'!$B:$W,18,FALSE),"")</f>
        <v>995</v>
      </c>
      <c r="B157" s="239" t="str">
        <f>IFERROR(VLOOKUP(#REF!,'Comments Feeder'!$B:$W,21,FALSE),"")</f>
        <v/>
      </c>
      <c r="C157" s="239" t="str">
        <f>IFERROR(VLOOKUP(#REF!,'Comments Feeder'!$B:$W,23,FALSE),"")</f>
        <v/>
      </c>
      <c r="D157" s="194" t="str">
        <f>IFERROR(VLOOKUP(#REF!,'Comments Feeder'!$B:$W,24,FALSE),"")</f>
        <v/>
      </c>
      <c r="E157" s="194" t="str">
        <f>IFERROR(VLOOKUP(#REF!,'Comments Feeder'!$B:$W,25,FALSE),"")</f>
        <v/>
      </c>
      <c r="F157" s="302"/>
      <c r="H157" s="193"/>
    </row>
    <row r="158" spans="1:8" x14ac:dyDescent="0.25">
      <c r="A158" s="239" t="str">
        <f>IFERROR(VLOOKUP(F157,'Comments Feeder'!$B:$W,18,FALSE),"")</f>
        <v/>
      </c>
      <c r="B158" s="239">
        <f>+B146+B140+B134+B122+B113</f>
        <v>427</v>
      </c>
      <c r="C158" s="239" t="str">
        <f>IFERROR(VLOOKUP(#REF!,'Comments Feeder'!$B:$W,23,FALSE),"")</f>
        <v/>
      </c>
      <c r="D158" s="194" t="str">
        <f>IFERROR(VLOOKUP(#REF!,'Comments Feeder'!$B:$W,24,FALSE),"")</f>
        <v/>
      </c>
      <c r="E158" s="194" t="str">
        <f>IFERROR(VLOOKUP(#REF!,'Comments Feeder'!$B:$W,25,FALSE),"")</f>
        <v/>
      </c>
      <c r="F158" s="302"/>
      <c r="G158" s="317"/>
      <c r="H158" s="193"/>
    </row>
    <row r="159" spans="1:8" x14ac:dyDescent="0.25">
      <c r="A159" s="239" t="str">
        <f>IFERROR(VLOOKUP(F158,'Comments Feeder'!$B:$W,18,FALSE),"")</f>
        <v/>
      </c>
      <c r="B159" s="239" t="str">
        <f>IFERROR(VLOOKUP(F157,'Comments Feeder'!$B:$W,21,FALSE),"")</f>
        <v/>
      </c>
      <c r="C159" s="239" t="str">
        <f>IFERROR(VLOOKUP(F156,'Comments Feeder'!$B:$W,23,FALSE),"")</f>
        <v/>
      </c>
      <c r="D159" s="194" t="str">
        <f>IFERROR(VLOOKUP(#REF!,'Comments Feeder'!$B:$W,24,FALSE),"")</f>
        <v/>
      </c>
      <c r="E159" s="194" t="str">
        <f>IFERROR(VLOOKUP(#REF!,'Comments Feeder'!$B:$W,25,FALSE),"")</f>
        <v/>
      </c>
      <c r="F159" s="204"/>
      <c r="H159" s="193"/>
    </row>
    <row r="160" spans="1:8" x14ac:dyDescent="0.25">
      <c r="A160" s="239" t="str">
        <f>IFERROR(VLOOKUP(F159,'Comments Feeder'!$B:$W,18,FALSE),"")</f>
        <v/>
      </c>
      <c r="B160" s="239" t="str">
        <f>IFERROR(VLOOKUP(F158,'Comments Feeder'!$B:$W,21,FALSE),"")</f>
        <v/>
      </c>
      <c r="C160" s="239" t="str">
        <f>IFERROR(VLOOKUP(F157,'Comments Feeder'!$B:$W,23,FALSE),"")</f>
        <v/>
      </c>
      <c r="D160" s="194" t="str">
        <f>IFERROR(VLOOKUP(F156,'Comments Feeder'!$B:$W,24,FALSE),"")</f>
        <v/>
      </c>
      <c r="E160" s="194" t="str">
        <f>IFERROR(VLOOKUP(F156,'Comments Feeder'!$B:$W,25,FALSE),"")</f>
        <v/>
      </c>
      <c r="F160" s="227"/>
      <c r="H160" s="193"/>
    </row>
    <row r="161" spans="1:9" ht="13.5" thickBot="1" x14ac:dyDescent="0.3">
      <c r="A161" s="304" t="str">
        <f>IFERROR(VLOOKUP(F160,'Comments Feeder'!$B:$W,18,FALSE),"")</f>
        <v/>
      </c>
      <c r="B161" s="304" t="str">
        <f>IFERROR(VLOOKUP(F159,'Comments Feeder'!$B:$W,21,FALSE),"")</f>
        <v/>
      </c>
      <c r="C161" s="304" t="str">
        <f>IFERROR(VLOOKUP(F158,'Comments Feeder'!$B:$W,23,FALSE),"")</f>
        <v/>
      </c>
      <c r="D161" s="305" t="str">
        <f>IFERROR(VLOOKUP(F157,'Comments Feeder'!$B:$W,24,FALSE),"")</f>
        <v/>
      </c>
      <c r="E161" s="305" t="str">
        <f>IFERROR(VLOOKUP(F157,'Comments Feeder'!$B:$W,25,FALSE),"")</f>
        <v/>
      </c>
      <c r="F161" s="225"/>
      <c r="H161" s="193"/>
    </row>
    <row r="162" spans="1:9" ht="13" x14ac:dyDescent="0.25">
      <c r="A162" s="585"/>
      <c r="B162" s="586"/>
      <c r="C162" s="586"/>
      <c r="D162" s="587"/>
      <c r="E162" s="587"/>
      <c r="F162" s="588"/>
      <c r="H162" s="193"/>
    </row>
    <row r="163" spans="1:9" ht="15.75" customHeight="1" x14ac:dyDescent="0.25">
      <c r="A163" s="832" t="s">
        <v>352</v>
      </c>
      <c r="B163" s="833"/>
      <c r="C163" s="833"/>
      <c r="D163" s="833"/>
      <c r="E163" s="833"/>
      <c r="F163" s="834"/>
      <c r="H163" s="193"/>
    </row>
    <row r="164" spans="1:9" ht="13" thickBot="1" x14ac:dyDescent="0.3">
      <c r="A164" s="235"/>
      <c r="F164" s="211"/>
      <c r="H164" s="193"/>
    </row>
    <row r="165" spans="1:9" s="213" customFormat="1" ht="78.5" thickBot="1" x14ac:dyDescent="0.3">
      <c r="A165" s="244" t="str">
        <f>A5</f>
        <v>Actual Variance at 30 September 2024         £'000</v>
      </c>
      <c r="B165" s="245" t="str">
        <f>B5</f>
        <v>Projected Outturn Variance at 30 September 2024         £'000</v>
      </c>
      <c r="C165" s="246" t="str">
        <f>C5</f>
        <v>Variance to last month's Probable Outturn   £'000</v>
      </c>
      <c r="D165" s="246" t="str">
        <f>D5</f>
        <v>Outturn Variance @previous quarter  £'000</v>
      </c>
      <c r="E165" s="246" t="str">
        <f>E5</f>
        <v>Outturn Variance from previous quarter £'000</v>
      </c>
      <c r="F165" s="212"/>
      <c r="G165" s="182"/>
      <c r="H165" s="193"/>
      <c r="I165" s="182"/>
    </row>
    <row r="166" spans="1:9" s="215" customFormat="1" ht="12.75" customHeight="1" x14ac:dyDescent="0.25">
      <c r="A166" s="239" t="str">
        <f>IFERROR(VLOOKUP(F165,'Comments Feeder'!$B:$W,18,FALSE),"")</f>
        <v/>
      </c>
      <c r="B166" s="239" t="str">
        <f>IFERROR(VLOOKUP(F164,'Comments Feeder'!$B:$W,21,FALSE),"")</f>
        <v/>
      </c>
      <c r="C166" s="239" t="str">
        <f>IFERROR(VLOOKUP(F163,'Comments Feeder'!$B:$W,23,FALSE),"")</f>
        <v/>
      </c>
      <c r="D166" s="194" t="str">
        <f>IFERROR(VLOOKUP(F107,'Comments Feeder'!$B:$W,24,FALSE),"")</f>
        <v/>
      </c>
      <c r="E166" s="194" t="str">
        <f>IFERROR(VLOOKUP(F107,'Comments Feeder'!$B:$W,25,FALSE),"")</f>
        <v/>
      </c>
      <c r="F166" s="214" t="s">
        <v>62</v>
      </c>
      <c r="H166" s="193"/>
    </row>
    <row r="167" spans="1:9" s="215" customFormat="1" x14ac:dyDescent="0.25">
      <c r="A167" s="239">
        <f>IFERROR(VLOOKUP(F166,'Comments Feeder'!$B:$W,18,FALSE),"")</f>
        <v>-107</v>
      </c>
      <c r="B167" s="239" t="str">
        <f>IFERROR(VLOOKUP(F165,'Comments Feeder'!$B:$W,21,FALSE),"")</f>
        <v/>
      </c>
      <c r="C167" s="239" t="str">
        <f>IFERROR(VLOOKUP(F164,'Comments Feeder'!$B:$W,23,FALSE),"")</f>
        <v/>
      </c>
      <c r="D167" s="194" t="str">
        <f>IFERROR(VLOOKUP(F163,'Comments Feeder'!$B:$W,24,FALSE),"")</f>
        <v/>
      </c>
      <c r="E167" s="194" t="str">
        <f>IFERROR(VLOOKUP(F163,'Comments Feeder'!$B:$W,25,FALSE),"")</f>
        <v/>
      </c>
      <c r="F167" s="301" t="s">
        <v>353</v>
      </c>
      <c r="H167" s="193"/>
    </row>
    <row r="168" spans="1:9" s="215" customFormat="1" ht="25" x14ac:dyDescent="0.25">
      <c r="A168" s="239" t="str">
        <f>IFERROR(VLOOKUP(F167,'Comments Feeder'!$B:$W,18,FALSE),"")</f>
        <v/>
      </c>
      <c r="B168" s="239">
        <v>0</v>
      </c>
      <c r="C168" s="239" t="str">
        <f>IFERROR(VLOOKUP(F165,'Comments Feeder'!$B:$W,23,FALSE),"")</f>
        <v/>
      </c>
      <c r="D168" s="194" t="str">
        <f>IFERROR(VLOOKUP(F164,'Comments Feeder'!$B:$W,24,FALSE),"")</f>
        <v/>
      </c>
      <c r="E168" s="194" t="str">
        <f>IFERROR(VLOOKUP(F164,'Comments Feeder'!$B:$W,25,FALSE),"")</f>
        <v/>
      </c>
      <c r="F168" s="301" t="s">
        <v>354</v>
      </c>
      <c r="H168" s="193"/>
    </row>
    <row r="169" spans="1:9" s="215" customFormat="1" x14ac:dyDescent="0.25">
      <c r="A169" s="239" t="str">
        <f>IFERROR(VLOOKUP(F169,'Comments Feeder'!$B:$W,18,FALSE),"")</f>
        <v/>
      </c>
      <c r="B169" s="239" t="str">
        <f>IFERROR(VLOOKUP(F167,'Comments Feeder'!$B:$W,21,FALSE),"")</f>
        <v/>
      </c>
      <c r="C169" s="239" t="str">
        <f>IFERROR(VLOOKUP(F166,'Comments Feeder'!$B:$W,23,FALSE),"")</f>
        <v/>
      </c>
      <c r="D169" s="194" t="str">
        <f>IFERROR(VLOOKUP(F165,'Comments Feeder'!$B:$W,24,FALSE),"")</f>
        <v/>
      </c>
      <c r="E169" s="194" t="str">
        <f>IFERROR(VLOOKUP(F165,'Comments Feeder'!$B:$W,25,FALSE),"")</f>
        <v/>
      </c>
      <c r="F169" s="301" t="s">
        <v>355</v>
      </c>
      <c r="H169" s="193"/>
    </row>
    <row r="170" spans="1:9" s="215" customFormat="1" x14ac:dyDescent="0.25">
      <c r="A170" s="239"/>
      <c r="B170" s="239"/>
      <c r="C170" s="239"/>
      <c r="D170" s="194"/>
      <c r="E170" s="194"/>
      <c r="F170" s="301"/>
      <c r="H170" s="193"/>
    </row>
    <row r="171" spans="1:9" s="215" customFormat="1" x14ac:dyDescent="0.25">
      <c r="A171" s="239" t="str">
        <f>IFERROR(VLOOKUP(#REF!,'Comments Feeder'!$B:$W,18,FALSE),"")</f>
        <v/>
      </c>
      <c r="B171" s="239" t="str">
        <f>IFERROR(VLOOKUP(F169,'Comments Feeder'!$B:$W,21,FALSE),"")</f>
        <v/>
      </c>
      <c r="C171" s="239" t="str">
        <f>IFERROR(VLOOKUP(F167,'Comments Feeder'!$B:$W,23,FALSE),"")</f>
        <v/>
      </c>
      <c r="D171" s="194" t="str">
        <f>IFERROR(VLOOKUP(F166,'Comments Feeder'!$B:$W,24,FALSE),"")</f>
        <v/>
      </c>
      <c r="E171" s="194" t="str">
        <f>IFERROR(VLOOKUP(F166,'Comments Feeder'!$B:$W,25,FALSE),"")</f>
        <v/>
      </c>
      <c r="F171" s="301" t="s">
        <v>356</v>
      </c>
      <c r="H171" s="193"/>
    </row>
    <row r="172" spans="1:9" s="215" customFormat="1" ht="13.5" thickBot="1" x14ac:dyDescent="0.3">
      <c r="A172" s="304" t="str">
        <f>IFERROR(VLOOKUP(F171,'Comments Feeder'!$B:$W,18,FALSE),"")</f>
        <v/>
      </c>
      <c r="B172" s="304" t="str">
        <f>IFERROR(VLOOKUP(#REF!,'Comments Feeder'!$B:$W,21,FALSE),"")</f>
        <v/>
      </c>
      <c r="C172" s="304" t="str">
        <f>IFERROR(VLOOKUP(F169,'Comments Feeder'!$B:$W,23,FALSE),"")</f>
        <v/>
      </c>
      <c r="D172" s="305" t="str">
        <f>IFERROR(VLOOKUP(F167,'Comments Feeder'!$B:$W,24,FALSE),"")</f>
        <v/>
      </c>
      <c r="E172" s="305" t="str">
        <f>IFERROR(VLOOKUP(F167,'Comments Feeder'!$B:$W,25,FALSE),"")</f>
        <v/>
      </c>
      <c r="F172" s="218"/>
      <c r="H172" s="193"/>
    </row>
    <row r="173" spans="1:9" s="221" customFormat="1" ht="13" x14ac:dyDescent="0.25">
      <c r="A173" s="239" t="str">
        <f>IFERROR(VLOOKUP(#REF!,'Comments Feeder'!$B:$W,18,FALSE),"")</f>
        <v/>
      </c>
      <c r="B173" s="239" t="str">
        <f>IFERROR(VLOOKUP(#REF!,'Comments Feeder'!$B:$W,21,FALSE),"")</f>
        <v/>
      </c>
      <c r="C173" s="239" t="str">
        <f>IFERROR(VLOOKUP(#REF!,'Comments Feeder'!$B:$W,23,FALSE),"")</f>
        <v/>
      </c>
      <c r="D173" s="194" t="str">
        <f>IFERROR(VLOOKUP(#REF!,'Comments Feeder'!$B:$W,24,FALSE),"")</f>
        <v/>
      </c>
      <c r="E173" s="194" t="str">
        <f>IFERROR(VLOOKUP(#REF!,'Comments Feeder'!$B:$W,25,FALSE),"")</f>
        <v/>
      </c>
      <c r="F173" s="214" t="s">
        <v>63</v>
      </c>
      <c r="H173" s="222"/>
    </row>
    <row r="174" spans="1:9" s="221" customFormat="1" x14ac:dyDescent="0.25">
      <c r="A174" s="239">
        <f>IFERROR(VLOOKUP(F173,'Comments Feeder'!$B:$W,18,FALSE),"")</f>
        <v>-139</v>
      </c>
      <c r="B174" s="239" t="str">
        <f>IFERROR(VLOOKUP(#REF!,'Comments Feeder'!$B:$W,21,FALSE),"")</f>
        <v/>
      </c>
      <c r="C174" s="239" t="str">
        <f>IFERROR(VLOOKUP(#REF!,'Comments Feeder'!$B:$W,23,FALSE),"")</f>
        <v/>
      </c>
      <c r="D174" s="194" t="str">
        <f>IFERROR(VLOOKUP(#REF!,'Comments Feeder'!$B:$W,24,FALSE),"")</f>
        <v/>
      </c>
      <c r="E174" s="194" t="str">
        <f>IFERROR(VLOOKUP(#REF!,'Comments Feeder'!$B:$W,25,FALSE),"")</f>
        <v/>
      </c>
      <c r="F174" s="301" t="s">
        <v>357</v>
      </c>
      <c r="H174" s="222"/>
    </row>
    <row r="175" spans="1:9" s="221" customFormat="1" x14ac:dyDescent="0.25">
      <c r="A175" s="239" t="str">
        <f>IFERROR(VLOOKUP(F174,'Comments Feeder'!$B:$W,18,FALSE),"")</f>
        <v/>
      </c>
      <c r="B175" s="239"/>
      <c r="C175" s="239" t="str">
        <f>IFERROR(VLOOKUP(#REF!,'Comments Feeder'!$B:$W,23,FALSE),"")</f>
        <v/>
      </c>
      <c r="D175" s="194" t="str">
        <f>IFERROR(VLOOKUP(#REF!,'Comments Feeder'!$B:$W,24,FALSE),"")</f>
        <v/>
      </c>
      <c r="E175" s="194" t="str">
        <f>IFERROR(VLOOKUP(#REF!,'Comments Feeder'!$B:$W,25,FALSE),"")</f>
        <v/>
      </c>
      <c r="F175" s="223" t="s">
        <v>358</v>
      </c>
      <c r="H175" s="222"/>
    </row>
    <row r="176" spans="1:9" s="221" customFormat="1" x14ac:dyDescent="0.25">
      <c r="A176" s="239" t="str">
        <f>IFERROR(VLOOKUP(F175,'Comments Feeder'!$B:$W,18,FALSE),"")</f>
        <v/>
      </c>
      <c r="B176" s="239" t="str">
        <f>IFERROR(VLOOKUP(F174,'Comments Feeder'!$B:$W,21,FALSE),"")</f>
        <v/>
      </c>
      <c r="C176" s="239" t="str">
        <f>IFERROR(VLOOKUP(F173,'Comments Feeder'!$B:$W,23,FALSE),"")</f>
        <v/>
      </c>
      <c r="D176" s="194" t="str">
        <f>IFERROR(VLOOKUP(#REF!,'Comments Feeder'!$B:$W,24,FALSE),"")</f>
        <v/>
      </c>
      <c r="E176" s="194" t="str">
        <f>IFERROR(VLOOKUP(#REF!,'Comments Feeder'!$B:$W,25,FALSE),"")</f>
        <v/>
      </c>
      <c r="F176" s="216"/>
      <c r="H176" s="222"/>
    </row>
    <row r="177" spans="1:9" s="221" customFormat="1" x14ac:dyDescent="0.25">
      <c r="A177" s="239" t="str">
        <f>IFERROR(VLOOKUP(F176,'Comments Feeder'!$B:$W,18,FALSE),"")</f>
        <v/>
      </c>
      <c r="B177" s="239" t="str">
        <f>IFERROR(VLOOKUP(F175,'Comments Feeder'!$B:$W,21,FALSE),"")</f>
        <v/>
      </c>
      <c r="C177" s="239" t="str">
        <f>IFERROR(VLOOKUP(F174,'Comments Feeder'!$B:$W,23,FALSE),"")</f>
        <v/>
      </c>
      <c r="D177" s="194" t="str">
        <f>IFERROR(VLOOKUP(F173,'Comments Feeder'!$B:$W,24,FALSE),"")</f>
        <v/>
      </c>
      <c r="E177" s="194" t="str">
        <f>IFERROR(VLOOKUP(F173,'Comments Feeder'!$B:$W,25,FALSE),"")</f>
        <v/>
      </c>
      <c r="F177" s="196"/>
      <c r="H177" s="222"/>
    </row>
    <row r="178" spans="1:9" s="738" customFormat="1" ht="13.5" thickBot="1" x14ac:dyDescent="0.3">
      <c r="A178" s="739" t="str">
        <f>IFERROR(VLOOKUP(F177,'Comments Feeder'!$B:$W,18,FALSE),"")</f>
        <v/>
      </c>
      <c r="B178" s="739" t="str">
        <f>IFERROR(VLOOKUP(F176,'Comments Feeder'!$B:$W,21,FALSE),"")</f>
        <v/>
      </c>
      <c r="C178" s="739" t="str">
        <f>IFERROR(VLOOKUP(F175,'Comments Feeder'!$B:$W,23,FALSE),"")</f>
        <v/>
      </c>
      <c r="D178" s="740" t="str">
        <f>IFERROR(VLOOKUP(F174,'Comments Feeder'!$B:$W,24,FALSE),"")</f>
        <v/>
      </c>
      <c r="E178" s="740" t="str">
        <f>IFERROR(VLOOKUP(F174,'Comments Feeder'!$B:$W,25,FALSE),"")</f>
        <v/>
      </c>
      <c r="F178" s="218"/>
      <c r="H178" s="741"/>
    </row>
    <row r="179" spans="1:9" s="221" customFormat="1" ht="13" x14ac:dyDescent="0.25">
      <c r="A179" s="742" t="str">
        <f>IFERROR(VLOOKUP(#REF!,'Comments Feeder'!$B:$W,18,FALSE),"")</f>
        <v/>
      </c>
      <c r="B179" s="742" t="str">
        <f>IFERROR(VLOOKUP(#REF!,'Comments Feeder'!$B:$W,21,FALSE),"")</f>
        <v/>
      </c>
      <c r="C179" s="742" t="str">
        <f>IFERROR(VLOOKUP(#REF!,'Comments Feeder'!$B:$W,23,FALSE),"")</f>
        <v/>
      </c>
      <c r="D179" s="743" t="str">
        <f>IFERROR(VLOOKUP(#REF!,'Comments Feeder'!$B:$W,24,FALSE),"")</f>
        <v/>
      </c>
      <c r="E179" s="743" t="str">
        <f>IFERROR(VLOOKUP(#REF!,'Comments Feeder'!$B:$W,25,FALSE),"")</f>
        <v/>
      </c>
      <c r="F179" s="214" t="s">
        <v>64</v>
      </c>
      <c r="G179" s="738"/>
      <c r="H179" s="741"/>
      <c r="I179" s="738"/>
    </row>
    <row r="180" spans="1:9" s="221" customFormat="1" x14ac:dyDescent="0.25">
      <c r="A180" s="742">
        <f>IFERROR(VLOOKUP(F179,'Comments Feeder'!$B:$W,18,FALSE),"")</f>
        <v>35</v>
      </c>
      <c r="B180" s="742" t="str">
        <f>IFERROR(VLOOKUP(#REF!,'Comments Feeder'!$B:$W,21,FALSE),"")</f>
        <v/>
      </c>
      <c r="C180" s="742" t="str">
        <f>IFERROR(VLOOKUP(#REF!,'Comments Feeder'!$B:$W,23,FALSE),"")</f>
        <v/>
      </c>
      <c r="D180" s="743" t="str">
        <f>IFERROR(VLOOKUP(#REF!,'Comments Feeder'!$B:$W,24,FALSE),"")</f>
        <v/>
      </c>
      <c r="E180" s="743" t="str">
        <f>IFERROR(VLOOKUP(#REF!,'Comments Feeder'!$B:$W,25,FALSE),"")</f>
        <v/>
      </c>
      <c r="F180" s="301" t="s">
        <v>359</v>
      </c>
      <c r="G180" s="738"/>
      <c r="H180" s="741"/>
      <c r="I180" s="738"/>
    </row>
    <row r="181" spans="1:9" s="221" customFormat="1" ht="25" x14ac:dyDescent="0.25">
      <c r="A181" s="742" t="str">
        <f>IFERROR(VLOOKUP(#REF!,'Comments Feeder'!$B:$W,18,FALSE),"")</f>
        <v/>
      </c>
      <c r="B181" s="742">
        <f>IFERROR(VLOOKUP(F179,'Comments Feeder'!$B:$W,21,FALSE),"")</f>
        <v>69</v>
      </c>
      <c r="C181" s="742" t="str">
        <f>IFERROR(VLOOKUP(#REF!,'Comments Feeder'!$B:$W,23,FALSE),"")</f>
        <v/>
      </c>
      <c r="D181" s="743" t="str">
        <f>IFERROR(VLOOKUP(#REF!,'Comments Feeder'!$B:$W,24,FALSE),"")</f>
        <v/>
      </c>
      <c r="E181" s="743" t="str">
        <f>IFERROR(VLOOKUP(#REF!,'Comments Feeder'!$B:$W,25,FALSE),"")</f>
        <v/>
      </c>
      <c r="F181" s="744" t="s">
        <v>360</v>
      </c>
      <c r="G181" s="738"/>
      <c r="H181" s="741"/>
      <c r="I181" s="738"/>
    </row>
    <row r="182" spans="1:9" s="221" customFormat="1" ht="13" x14ac:dyDescent="0.25">
      <c r="A182" s="742" t="str">
        <f>IFERROR(VLOOKUP(F181,'Comments Feeder'!$B:$W,18,FALSE),"")</f>
        <v/>
      </c>
      <c r="B182" s="742" t="str">
        <f>IFERROR(VLOOKUP(#REF!,'Comments Feeder'!$B:$W,21,FALSE),"")</f>
        <v/>
      </c>
      <c r="C182" s="742" t="str">
        <f>IFERROR(VLOOKUP(F179,'Comments Feeder'!$B:$W,23,FALSE),"")</f>
        <v/>
      </c>
      <c r="D182" s="743" t="str">
        <f>IFERROR(VLOOKUP(#REF!,'Comments Feeder'!$B:$W,24,FALSE),"")</f>
        <v/>
      </c>
      <c r="E182" s="743" t="str">
        <f>IFERROR(VLOOKUP(#REF!,'Comments Feeder'!$B:$W,25,FALSE),"")</f>
        <v/>
      </c>
      <c r="F182" s="316" t="s">
        <v>361</v>
      </c>
      <c r="G182" s="738"/>
      <c r="H182" s="741"/>
      <c r="I182" s="738"/>
    </row>
    <row r="183" spans="1:9" s="221" customFormat="1" x14ac:dyDescent="0.25">
      <c r="A183" s="742" t="str">
        <f>IFERROR(VLOOKUP(F182,'Comments Feeder'!$B:$W,18,FALSE),"")</f>
        <v/>
      </c>
      <c r="B183" s="742" t="str">
        <f>IFERROR(VLOOKUP(F181,'Comments Feeder'!$B:$W,21,FALSE),"")</f>
        <v/>
      </c>
      <c r="C183" s="742" t="str">
        <f>IFERROR(VLOOKUP(#REF!,'Comments Feeder'!$B:$W,23,FALSE),"")</f>
        <v/>
      </c>
      <c r="D183" s="743" t="str">
        <f>IFERROR(VLOOKUP(F179,'Comments Feeder'!$B:$W,24,FALSE),"")</f>
        <v/>
      </c>
      <c r="E183" s="743" t="str">
        <f>IFERROR(VLOOKUP(F179,'Comments Feeder'!$B:$W,25,FALSE),"")</f>
        <v/>
      </c>
      <c r="F183" s="316"/>
      <c r="G183" s="738"/>
      <c r="H183" s="741"/>
      <c r="I183" s="738"/>
    </row>
    <row r="184" spans="1:9" s="224" customFormat="1" ht="16.5" customHeight="1" thickBot="1" x14ac:dyDescent="0.3">
      <c r="A184" s="304" t="str">
        <f>IFERROR(VLOOKUP(F177,'Comments Feeder'!$B:$W,18,FALSE),"")</f>
        <v/>
      </c>
      <c r="B184" s="304" t="str">
        <f>IFERROR(VLOOKUP(F176,'Comments Feeder'!$B:$W,21,FALSE),"")</f>
        <v/>
      </c>
      <c r="C184" s="304" t="str">
        <f>IFERROR(VLOOKUP(F175,'Comments Feeder'!$B:$W,23,FALSE),"")</f>
        <v/>
      </c>
      <c r="D184" s="305" t="str">
        <f>IFERROR(VLOOKUP(F174,'Comments Feeder'!$B:$W,24,FALSE),"")</f>
        <v/>
      </c>
      <c r="E184" s="305" t="str">
        <f>IFERROR(VLOOKUP(F174,'Comments Feeder'!$B:$W,25,FALSE),"")</f>
        <v/>
      </c>
      <c r="F184" s="218"/>
      <c r="H184" s="183"/>
    </row>
    <row r="185" spans="1:9" s="221" customFormat="1" ht="13" x14ac:dyDescent="0.25">
      <c r="A185" s="239" t="str">
        <f>IFERROR(VLOOKUP(#REF!,'Comments Feeder'!$B:$W,18,FALSE),"")</f>
        <v/>
      </c>
      <c r="B185" s="239" t="str">
        <f>IFERROR(VLOOKUP(#REF!,'Comments Feeder'!$B:$W,21,FALSE),"")</f>
        <v/>
      </c>
      <c r="C185" s="239" t="str">
        <f>IFERROR(VLOOKUP(#REF!,'Comments Feeder'!$B:$W,23,FALSE),"")</f>
        <v/>
      </c>
      <c r="D185" s="194" t="str">
        <f>IFERROR(VLOOKUP(#REF!,'Comments Feeder'!$B:$W,24,FALSE),"")</f>
        <v/>
      </c>
      <c r="E185" s="194" t="str">
        <f>IFERROR(VLOOKUP(#REF!,'Comments Feeder'!$B:$W,25,FALSE),"")</f>
        <v/>
      </c>
      <c r="F185" s="226" t="s">
        <v>65</v>
      </c>
      <c r="H185" s="222"/>
    </row>
    <row r="186" spans="1:9" s="221" customFormat="1" x14ac:dyDescent="0.25">
      <c r="A186" s="239">
        <f>IFERROR(VLOOKUP(F185,'Comments Feeder'!$B:$W,18,FALSE),"")</f>
        <v>-211</v>
      </c>
      <c r="B186" s="239" t="str">
        <f>IFERROR(VLOOKUP(#REF!,'Comments Feeder'!$B:$W,21,FALSE),"")</f>
        <v/>
      </c>
      <c r="C186" s="239" t="str">
        <f>IFERROR(VLOOKUP(#REF!,'Comments Feeder'!$B:$W,23,FALSE),"")</f>
        <v/>
      </c>
      <c r="D186" s="194" t="str">
        <f>IFERROR(VLOOKUP(#REF!,'Comments Feeder'!$B:$W,24,FALSE),"")</f>
        <v/>
      </c>
      <c r="E186" s="194" t="str">
        <f>IFERROR(VLOOKUP(#REF!,'Comments Feeder'!$B:$W,25,FALSE),"")</f>
        <v/>
      </c>
      <c r="H186" s="222"/>
    </row>
    <row r="187" spans="1:9" s="221" customFormat="1" x14ac:dyDescent="0.25">
      <c r="A187" s="239" t="str">
        <f>IFERROR(VLOOKUP(F180,'Comments Feeder'!$B:$W,18,FALSE),"")</f>
        <v/>
      </c>
      <c r="B187" s="239">
        <f>+B181</f>
        <v>69</v>
      </c>
      <c r="C187" s="239" t="str">
        <f>IFERROR(VLOOKUP(#REF!,'Comments Feeder'!$B:$W,23,FALSE),"")</f>
        <v/>
      </c>
      <c r="D187" s="194" t="str">
        <f>IFERROR(VLOOKUP(#REF!,'Comments Feeder'!$B:$W,24,FALSE),"")</f>
        <v/>
      </c>
      <c r="E187" s="194" t="str">
        <f>IFERROR(VLOOKUP(#REF!,'Comments Feeder'!$B:$W,25,FALSE),"")</f>
        <v/>
      </c>
      <c r="F187" s="302"/>
      <c r="H187" s="222"/>
    </row>
    <row r="188" spans="1:9" s="221" customFormat="1" ht="18.75" customHeight="1" x14ac:dyDescent="0.25">
      <c r="A188" s="239" t="str">
        <f>IFERROR(VLOOKUP(F187,'Comments Feeder'!$B:$W,18,FALSE),"")</f>
        <v/>
      </c>
      <c r="B188" s="239" t="str">
        <f>IFERROR(VLOOKUP(F180,'Comments Feeder'!$B:$W,21,FALSE),"")</f>
        <v/>
      </c>
      <c r="C188" s="239" t="str">
        <f>IFERROR(VLOOKUP(F185,'Comments Feeder'!$B:$W,23,FALSE),"")</f>
        <v/>
      </c>
      <c r="D188" s="194" t="str">
        <f>IFERROR(VLOOKUP(#REF!,'Comments Feeder'!$B:$W,24,FALSE),"")</f>
        <v/>
      </c>
      <c r="E188" s="194" t="str">
        <f>IFERROR(VLOOKUP(#REF!,'Comments Feeder'!$B:$W,25,FALSE),"")</f>
        <v/>
      </c>
      <c r="F188" s="204"/>
      <c r="H188" s="222"/>
    </row>
    <row r="189" spans="1:9" s="221" customFormat="1" ht="18.75" customHeight="1" x14ac:dyDescent="0.25">
      <c r="A189" s="239" t="str">
        <f>IFERROR(VLOOKUP(F188,'Comments Feeder'!$B:$W,18,FALSE),"")</f>
        <v/>
      </c>
      <c r="B189" s="239" t="str">
        <f>IFERROR(VLOOKUP(F187,'Comments Feeder'!$B:$W,21,FALSE),"")</f>
        <v/>
      </c>
      <c r="C189" s="239" t="str">
        <f>IFERROR(VLOOKUP(F180,'Comments Feeder'!$B:$W,23,FALSE),"")</f>
        <v/>
      </c>
      <c r="D189" s="194" t="str">
        <f>IFERROR(VLOOKUP(F185,'Comments Feeder'!$B:$W,24,FALSE),"")</f>
        <v/>
      </c>
      <c r="E189" s="194" t="str">
        <f>IFERROR(VLOOKUP(F185,'Comments Feeder'!$B:$W,25,FALSE),"")</f>
        <v/>
      </c>
      <c r="F189" s="227"/>
      <c r="H189" s="222"/>
    </row>
    <row r="190" spans="1:9" s="224" customFormat="1" ht="16.5" customHeight="1" thickBot="1" x14ac:dyDescent="0.3">
      <c r="A190" s="304" t="str">
        <f>IFERROR(VLOOKUP(F189,'Comments Feeder'!$B:$W,18,FALSE),"")</f>
        <v/>
      </c>
      <c r="B190" s="304" t="str">
        <f>IFERROR(VLOOKUP(F188,'Comments Feeder'!$B:$W,21,FALSE),"")</f>
        <v/>
      </c>
      <c r="C190" s="304" t="str">
        <f>IFERROR(VLOOKUP(F187,'Comments Feeder'!$B:$W,23,FALSE),"")</f>
        <v/>
      </c>
      <c r="D190" s="305" t="str">
        <f>IFERROR(VLOOKUP(F180,'Comments Feeder'!$B:$W,24,FALSE),"")</f>
        <v/>
      </c>
      <c r="E190" s="305" t="str">
        <f>IFERROR(VLOOKUP(F180,'Comments Feeder'!$B:$W,25,FALSE),"")</f>
        <v/>
      </c>
      <c r="F190" s="225"/>
      <c r="H190" s="183"/>
    </row>
    <row r="191" spans="1:9" s="224" customFormat="1" x14ac:dyDescent="0.25">
      <c r="A191" s="236"/>
      <c r="B191" s="236"/>
      <c r="C191" s="228"/>
      <c r="D191" s="228"/>
      <c r="E191" s="228"/>
      <c r="H191" s="183"/>
    </row>
    <row r="192" spans="1:9" ht="15.5" x14ac:dyDescent="0.25">
      <c r="A192" s="832" t="s">
        <v>362</v>
      </c>
      <c r="B192" s="833"/>
      <c r="C192" s="833"/>
      <c r="D192" s="833"/>
      <c r="E192" s="833"/>
      <c r="F192" s="834"/>
    </row>
    <row r="193" spans="1:8" ht="13" thickBot="1" x14ac:dyDescent="0.3">
      <c r="A193" s="235"/>
      <c r="F193" s="211"/>
    </row>
    <row r="194" spans="1:8" ht="78.5" thickBot="1" x14ac:dyDescent="0.3">
      <c r="A194" s="244" t="str">
        <f>A165</f>
        <v>Actual Variance at 30 September 2024         £'000</v>
      </c>
      <c r="B194" s="245" t="str">
        <f>B165</f>
        <v>Projected Outturn Variance at 30 September 2024         £'000</v>
      </c>
      <c r="C194" s="246" t="str">
        <f>C165</f>
        <v>Variance to last month's Probable Outturn   £'000</v>
      </c>
      <c r="D194" s="246" t="str">
        <f>D165</f>
        <v>Outturn Variance @previous quarter  £'000</v>
      </c>
      <c r="E194" s="246" t="str">
        <f>E165</f>
        <v>Outturn Variance from previous quarter £'000</v>
      </c>
      <c r="F194" s="212"/>
    </row>
    <row r="195" spans="1:8" ht="13" x14ac:dyDescent="0.25">
      <c r="A195" s="239" t="str">
        <f>IFERROR(VLOOKUP(F194,'Comments Feeder'!$B:$W,18,FALSE),"")</f>
        <v/>
      </c>
      <c r="B195" s="837" t="s">
        <v>363</v>
      </c>
      <c r="C195" s="239" t="str">
        <f>IFERROR(VLOOKUP(F192,'Comments Feeder'!$B:$W,23,FALSE),"")</f>
        <v/>
      </c>
      <c r="D195" s="194" t="str">
        <f>IFERROR(VLOOKUP(F191,'Comments Feeder'!$B:$W,24,FALSE),"")</f>
        <v/>
      </c>
      <c r="E195" s="194" t="str">
        <f>IFERROR(VLOOKUP(F191,'Comments Feeder'!$B:$W,25,FALSE),"")</f>
        <v/>
      </c>
      <c r="F195" s="214" t="s">
        <v>66</v>
      </c>
    </row>
    <row r="196" spans="1:8" ht="27.75" customHeight="1" x14ac:dyDescent="0.25">
      <c r="A196" s="239">
        <f>IFERROR(VLOOKUP(F195,'Comments Feeder'!$B:$W,18,FALSE),"")</f>
        <v>135</v>
      </c>
      <c r="B196" s="838"/>
      <c r="C196" s="239" t="str">
        <f>IFERROR(VLOOKUP(F193,'Comments Feeder'!$B:$W,23,FALSE),"")</f>
        <v/>
      </c>
      <c r="D196" s="194" t="str">
        <f>IFERROR(VLOOKUP(F192,'Comments Feeder'!$B:$W,24,FALSE),"")</f>
        <v/>
      </c>
      <c r="E196" s="194" t="str">
        <f>IFERROR(VLOOKUP(F192,'Comments Feeder'!$B:$W,25,FALSE),"")</f>
        <v/>
      </c>
      <c r="F196" s="460" t="s">
        <v>364</v>
      </c>
    </row>
    <row r="197" spans="1:8" hidden="1" x14ac:dyDescent="0.25">
      <c r="A197" s="239" t="str">
        <f>IFERROR(VLOOKUP(F196,'Comments Feeder'!$B:$W,18,FALSE),"")</f>
        <v/>
      </c>
      <c r="B197" s="239">
        <f>IFERROR(VLOOKUP(F195,'Comments Feeder'!$B:$W,21,FALSE),"")</f>
        <v>0</v>
      </c>
      <c r="C197" s="239" t="str">
        <f>IFERROR(VLOOKUP(F194,'Comments Feeder'!$B:$W,23,FALSE),"")</f>
        <v/>
      </c>
      <c r="D197" s="194" t="str">
        <f>IFERROR(VLOOKUP(F193,'Comments Feeder'!$B:$W,24,FALSE),"")</f>
        <v/>
      </c>
      <c r="E197" s="194" t="str">
        <f>IFERROR(VLOOKUP(F193,'Comments Feeder'!$B:$W,25,FALSE),"")</f>
        <v/>
      </c>
      <c r="F197" s="583"/>
    </row>
    <row r="198" spans="1:8" hidden="1" x14ac:dyDescent="0.25">
      <c r="A198" s="239" t="str">
        <f>IFERROR(VLOOKUP(F197,'Comments Feeder'!$B:$W,18,FALSE),"")</f>
        <v/>
      </c>
      <c r="B198" s="239" t="str">
        <f>IFERROR(VLOOKUP(F196,'Comments Feeder'!$B:$W,21,FALSE),"")</f>
        <v/>
      </c>
      <c r="C198" s="239" t="str">
        <f>IFERROR(VLOOKUP(F195,'Comments Feeder'!$B:$W,23,FALSE),"")</f>
        <v/>
      </c>
      <c r="D198" s="194" t="str">
        <f>IFERROR(VLOOKUP(F194,'Comments Feeder'!$B:$W,24,FALSE),"")</f>
        <v/>
      </c>
      <c r="E198" s="194" t="str">
        <f>IFERROR(VLOOKUP(F194,'Comments Feeder'!$B:$W,25,FALSE),"")</f>
        <v/>
      </c>
      <c r="F198" s="196"/>
      <c r="H198" s="182"/>
    </row>
    <row r="199" spans="1:8" hidden="1" x14ac:dyDescent="0.25">
      <c r="A199" s="239" t="str">
        <f>IFERROR(VLOOKUP(F198,'Comments Feeder'!$B:$W,18,FALSE),"")</f>
        <v/>
      </c>
      <c r="B199" s="239" t="str">
        <f>IFERROR(VLOOKUP(F197,'Comments Feeder'!$B:$W,21,FALSE),"")</f>
        <v/>
      </c>
      <c r="C199" s="239" t="str">
        <f>IFERROR(VLOOKUP(F196,'Comments Feeder'!$B:$W,23,FALSE),"")</f>
        <v/>
      </c>
      <c r="D199" s="194" t="str">
        <f>IFERROR(VLOOKUP(F195,'Comments Feeder'!$B:$W,24,FALSE),"")</f>
        <v/>
      </c>
      <c r="E199" s="194" t="str">
        <f>IFERROR(VLOOKUP(F195,'Comments Feeder'!$B:$W,25,FALSE),"")</f>
        <v/>
      </c>
      <c r="F199" s="196"/>
      <c r="H199" s="182"/>
    </row>
    <row r="200" spans="1:8" ht="13" x14ac:dyDescent="0.25">
      <c r="A200" s="780" t="str">
        <f>IFERROR(VLOOKUP(F199,'Comments Feeder'!$B:$W,18,FALSE),"")</f>
        <v/>
      </c>
      <c r="B200" s="780" t="str">
        <f>IFERROR(VLOOKUP(F198,'Comments Feeder'!$B:$W,21,FALSE),"")</f>
        <v/>
      </c>
      <c r="C200" s="780" t="str">
        <f>IFERROR(VLOOKUP(F197,'Comments Feeder'!$B:$W,23,FALSE),"")</f>
        <v/>
      </c>
      <c r="D200" s="781" t="str">
        <f>IFERROR(VLOOKUP(F196,'Comments Feeder'!$B:$W,24,FALSE),"")</f>
        <v/>
      </c>
      <c r="E200" s="781" t="str">
        <f>IFERROR(VLOOKUP(F196,'Comments Feeder'!$B:$W,25,FALSE),"")</f>
        <v/>
      </c>
      <c r="F200" s="782"/>
      <c r="H200" s="182"/>
    </row>
    <row r="201" spans="1:8" ht="13" x14ac:dyDescent="0.25">
      <c r="A201" s="239" t="str">
        <f>IFERROR(VLOOKUP(F200,'Comments Feeder'!$B:$W,18,FALSE),"")</f>
        <v/>
      </c>
      <c r="B201" s="775" t="s">
        <v>365</v>
      </c>
      <c r="C201" s="239" t="str">
        <f>IFERROR(VLOOKUP(F198,'Comments Feeder'!$B:$W,23,FALSE),"")</f>
        <v/>
      </c>
      <c r="D201" s="194" t="str">
        <f>IFERROR(VLOOKUP(F197,'Comments Feeder'!$B:$W,24,FALSE),"")</f>
        <v/>
      </c>
      <c r="E201" s="194" t="str">
        <f>IFERROR(VLOOKUP(F197,'Comments Feeder'!$B:$W,25,FALSE),"")</f>
        <v/>
      </c>
      <c r="F201" s="779" t="s">
        <v>67</v>
      </c>
      <c r="H201" s="182"/>
    </row>
    <row r="202" spans="1:8" ht="30.65" customHeight="1" x14ac:dyDescent="0.25">
      <c r="A202" s="239">
        <f>IFERROR(VLOOKUP(F201,'Comments Feeder'!$B:$W,18,FALSE),"")</f>
        <v>-11</v>
      </c>
      <c r="B202" s="239" t="str">
        <f>IFERROR(VLOOKUP(F200,'Comments Feeder'!$B:$W,21,FALSE),"")</f>
        <v/>
      </c>
      <c r="C202" s="239" t="str">
        <f>IFERROR(VLOOKUP(F199,'Comments Feeder'!$B:$W,23,FALSE),"")</f>
        <v/>
      </c>
      <c r="D202" s="194" t="str">
        <f>IFERROR(VLOOKUP(F198,'Comments Feeder'!$B:$W,24,FALSE),"")</f>
        <v/>
      </c>
      <c r="E202" s="194" t="str">
        <f>IFERROR(VLOOKUP(F198,'Comments Feeder'!$B:$W,25,FALSE),"")</f>
        <v/>
      </c>
      <c r="F202" s="597" t="s">
        <v>366</v>
      </c>
      <c r="H202" s="182"/>
    </row>
    <row r="203" spans="1:8" hidden="1" x14ac:dyDescent="0.25">
      <c r="A203" s="239" t="str">
        <f>IFERROR(VLOOKUP(F202,'Comments Feeder'!$B:$W,18,FALSE),"")</f>
        <v/>
      </c>
      <c r="B203" s="239">
        <f>IFERROR(VLOOKUP(F201,'Comments Feeder'!$B:$W,21,FALSE),"")</f>
        <v>0</v>
      </c>
      <c r="C203" s="239" t="str">
        <f>IFERROR(VLOOKUP(F200,'Comments Feeder'!$B:$W,23,FALSE),"")</f>
        <v/>
      </c>
      <c r="D203" s="194" t="str">
        <f>IFERROR(VLOOKUP(F199,'Comments Feeder'!$B:$W,24,FALSE),"")</f>
        <v/>
      </c>
      <c r="E203" s="194" t="str">
        <f>IFERROR(VLOOKUP(F199,'Comments Feeder'!$B:$W,25,FALSE),"")</f>
        <v/>
      </c>
      <c r="F203" s="196"/>
      <c r="H203" s="182"/>
    </row>
    <row r="204" spans="1:8" hidden="1" x14ac:dyDescent="0.25">
      <c r="A204" s="239" t="str">
        <f>IFERROR(VLOOKUP(F203,'Comments Feeder'!$B:$W,18,FALSE),"")</f>
        <v/>
      </c>
      <c r="B204" s="239" t="str">
        <f>IFERROR(VLOOKUP(F202,'Comments Feeder'!$B:$W,21,FALSE),"")</f>
        <v/>
      </c>
      <c r="C204" s="239" t="str">
        <f>IFERROR(VLOOKUP(F201,'Comments Feeder'!$B:$W,23,FALSE),"")</f>
        <v/>
      </c>
      <c r="D204" s="194" t="str">
        <f>IFERROR(VLOOKUP(F200,'Comments Feeder'!$B:$W,24,FALSE),"")</f>
        <v/>
      </c>
      <c r="E204" s="194" t="str">
        <f>IFERROR(VLOOKUP(F200,'Comments Feeder'!$B:$W,25,FALSE),"")</f>
        <v/>
      </c>
      <c r="F204" s="229"/>
      <c r="H204" s="182"/>
    </row>
    <row r="205" spans="1:8" hidden="1" x14ac:dyDescent="0.25">
      <c r="A205" s="239" t="str">
        <f>IFERROR(VLOOKUP(F204,'Comments Feeder'!$B:$W,18,FALSE),"")</f>
        <v/>
      </c>
      <c r="B205" s="239" t="str">
        <f>IFERROR(VLOOKUP(F203,'Comments Feeder'!$B:$W,21,FALSE),"")</f>
        <v/>
      </c>
      <c r="C205" s="239" t="str">
        <f>IFERROR(VLOOKUP(F202,'Comments Feeder'!$B:$W,23,FALSE),"")</f>
        <v/>
      </c>
      <c r="D205" s="194" t="str">
        <f>IFERROR(VLOOKUP(F201,'Comments Feeder'!$B:$W,24,FALSE),"")</f>
        <v/>
      </c>
      <c r="E205" s="194" t="str">
        <f>IFERROR(VLOOKUP(F201,'Comments Feeder'!$B:$W,25,FALSE),"")</f>
        <v/>
      </c>
      <c r="F205" s="217"/>
      <c r="H205" s="182"/>
    </row>
    <row r="206" spans="1:8" ht="13" x14ac:dyDescent="0.25">
      <c r="A206" s="780" t="str">
        <f>IFERROR(VLOOKUP(F205,'Comments Feeder'!$B:$W,18,FALSE),"")</f>
        <v/>
      </c>
      <c r="B206" s="780" t="str">
        <f>IFERROR(VLOOKUP(F204,'Comments Feeder'!$B:$W,21,FALSE),"")</f>
        <v/>
      </c>
      <c r="C206" s="780" t="str">
        <f>IFERROR(VLOOKUP(F203,'Comments Feeder'!$B:$W,23,FALSE),"")</f>
        <v/>
      </c>
      <c r="D206" s="781" t="str">
        <f>IFERROR(VLOOKUP(F202,'Comments Feeder'!$B:$W,24,FALSE),"")</f>
        <v/>
      </c>
      <c r="E206" s="781" t="str">
        <f>IFERROR(VLOOKUP(F202,'Comments Feeder'!$B:$W,25,FALSE),"")</f>
        <v/>
      </c>
      <c r="F206" s="782"/>
      <c r="H206" s="182"/>
    </row>
    <row r="207" spans="1:8" ht="13" x14ac:dyDescent="0.25">
      <c r="A207" s="239" t="str">
        <f>IFERROR(VLOOKUP(F206,'Comments Feeder'!$B:$W,18,FALSE),"")</f>
        <v/>
      </c>
      <c r="B207" s="239" t="str">
        <f>IFERROR(VLOOKUP(F205,'Comments Feeder'!$B:$W,21,FALSE),"")</f>
        <v/>
      </c>
      <c r="C207" s="239" t="str">
        <f>IFERROR(VLOOKUP(F204,'Comments Feeder'!$B:$W,23,FALSE),"")</f>
        <v/>
      </c>
      <c r="D207" s="194" t="str">
        <f>IFERROR(VLOOKUP(F203,'Comments Feeder'!$B:$W,24,FALSE),"")</f>
        <v/>
      </c>
      <c r="E207" s="194" t="str">
        <f>IFERROR(VLOOKUP(F203,'Comments Feeder'!$B:$W,25,FALSE),"")</f>
        <v/>
      </c>
      <c r="F207" s="779" t="s">
        <v>68</v>
      </c>
      <c r="H207" s="182"/>
    </row>
    <row r="208" spans="1:8" ht="27" customHeight="1" x14ac:dyDescent="0.25">
      <c r="A208" s="239">
        <f>IFERROR(VLOOKUP(F207,'Comments Feeder'!$B:$W,18,FALSE),"")</f>
        <v>-35</v>
      </c>
      <c r="B208" s="775" t="s">
        <v>367</v>
      </c>
      <c r="C208" s="239" t="str">
        <f>IFERROR(VLOOKUP(F205,'Comments Feeder'!$B:$W,23,FALSE),"")</f>
        <v/>
      </c>
      <c r="D208" s="194" t="str">
        <f>IFERROR(VLOOKUP(F204,'Comments Feeder'!$B:$W,24,FALSE),"")</f>
        <v/>
      </c>
      <c r="E208" s="194" t="str">
        <f>IFERROR(VLOOKUP(F204,'Comments Feeder'!$B:$W,25,FALSE),"")</f>
        <v/>
      </c>
      <c r="F208" s="598" t="s">
        <v>368</v>
      </c>
      <c r="H208" s="182"/>
    </row>
    <row r="209" spans="1:8" hidden="1" x14ac:dyDescent="0.25">
      <c r="A209" s="239" t="str">
        <f>IFERROR(VLOOKUP(F208,'Comments Feeder'!$B:$W,18,FALSE),"")</f>
        <v/>
      </c>
      <c r="B209" s="239">
        <f>IFERROR(VLOOKUP(F207,'Comments Feeder'!$B:$W,21,FALSE),"")</f>
        <v>0</v>
      </c>
      <c r="C209" s="239" t="str">
        <f>IFERROR(VLOOKUP(F206,'Comments Feeder'!$B:$W,23,FALSE),"")</f>
        <v/>
      </c>
      <c r="D209" s="194" t="str">
        <f>IFERROR(VLOOKUP(F205,'Comments Feeder'!$B:$W,24,FALSE),"")</f>
        <v/>
      </c>
      <c r="E209" s="194" t="str">
        <f>IFERROR(VLOOKUP(F205,'Comments Feeder'!$B:$W,25,FALSE),"")</f>
        <v/>
      </c>
      <c r="F209" s="316"/>
      <c r="G209" s="317" t="s">
        <v>369</v>
      </c>
      <c r="H209" s="182"/>
    </row>
    <row r="210" spans="1:8" hidden="1" x14ac:dyDescent="0.25">
      <c r="A210" s="239" t="str">
        <f>IFERROR(VLOOKUP(F209,'Comments Feeder'!$B:$W,18,FALSE),"")</f>
        <v/>
      </c>
      <c r="B210" s="239" t="str">
        <f>IFERROR(VLOOKUP(F208,'Comments Feeder'!$B:$W,21,FALSE),"")</f>
        <v/>
      </c>
      <c r="C210" s="239" t="str">
        <f>IFERROR(VLOOKUP(F207,'Comments Feeder'!$B:$W,23,FALSE),"")</f>
        <v/>
      </c>
      <c r="D210" s="194" t="str">
        <f>IFERROR(VLOOKUP(F206,'Comments Feeder'!$B:$W,24,FALSE),"")</f>
        <v/>
      </c>
      <c r="E210" s="194" t="str">
        <f>IFERROR(VLOOKUP(F206,'Comments Feeder'!$B:$W,25,FALSE),"")</f>
        <v/>
      </c>
      <c r="F210" s="196"/>
      <c r="H210" s="182"/>
    </row>
    <row r="211" spans="1:8" hidden="1" x14ac:dyDescent="0.25">
      <c r="A211" s="239" t="str">
        <f>IFERROR(VLOOKUP(F210,'Comments Feeder'!$B:$W,18,FALSE),"")</f>
        <v/>
      </c>
      <c r="B211" s="239" t="str">
        <f>IFERROR(VLOOKUP(F209,'Comments Feeder'!$B:$W,21,FALSE),"")</f>
        <v/>
      </c>
      <c r="C211" s="239" t="str">
        <f>IFERROR(VLOOKUP(F208,'Comments Feeder'!$B:$W,23,FALSE),"")</f>
        <v/>
      </c>
      <c r="D211" s="194" t="str">
        <f>IFERROR(VLOOKUP(F207,'Comments Feeder'!$B:$W,24,FALSE),"")</f>
        <v/>
      </c>
      <c r="E211" s="194" t="str">
        <f>IFERROR(VLOOKUP(F207,'Comments Feeder'!$B:$W,25,FALSE),"")</f>
        <v/>
      </c>
      <c r="F211" s="196"/>
      <c r="H211" s="182"/>
    </row>
    <row r="212" spans="1:8" ht="13" x14ac:dyDescent="0.25">
      <c r="A212" s="780" t="str">
        <f>IFERROR(VLOOKUP(F211,'Comments Feeder'!$B:$W,18,FALSE),"")</f>
        <v/>
      </c>
      <c r="B212" s="780" t="str">
        <f>IFERROR(VLOOKUP(F210,'Comments Feeder'!$B:$W,21,FALSE),"")</f>
        <v/>
      </c>
      <c r="C212" s="780" t="str">
        <f>IFERROR(VLOOKUP(F209,'Comments Feeder'!$B:$W,23,FALSE),"")</f>
        <v/>
      </c>
      <c r="D212" s="781" t="str">
        <f>IFERROR(VLOOKUP(F208,'Comments Feeder'!$B:$W,24,FALSE),"")</f>
        <v/>
      </c>
      <c r="E212" s="781" t="str">
        <f>IFERROR(VLOOKUP(F208,'Comments Feeder'!$B:$W,25,FALSE),"")</f>
        <v/>
      </c>
      <c r="F212" s="782"/>
      <c r="H212" s="182"/>
    </row>
    <row r="213" spans="1:8" ht="13" x14ac:dyDescent="0.25">
      <c r="A213" s="239" t="str">
        <f>IFERROR(VLOOKUP(F212,'Comments Feeder'!$B:$W,18,FALSE),"")</f>
        <v/>
      </c>
      <c r="B213" s="239" t="str">
        <f>IFERROR(VLOOKUP(F211,'Comments Feeder'!$B:$W,21,FALSE),"")</f>
        <v/>
      </c>
      <c r="C213" s="239" t="str">
        <f>IFERROR(VLOOKUP(F210,'Comments Feeder'!$B:$W,23,FALSE),"")</f>
        <v/>
      </c>
      <c r="D213" s="194" t="str">
        <f>IFERROR(VLOOKUP(F209,'Comments Feeder'!$B:$W,24,FALSE),"")</f>
        <v/>
      </c>
      <c r="E213" s="194" t="str">
        <f>IFERROR(VLOOKUP(F209,'Comments Feeder'!$B:$W,25,FALSE),"")</f>
        <v/>
      </c>
      <c r="F213" s="779" t="s">
        <v>69</v>
      </c>
      <c r="H213" s="182"/>
    </row>
    <row r="214" spans="1:8" ht="27" customHeight="1" x14ac:dyDescent="0.25">
      <c r="A214" s="239">
        <f>IFERROR(VLOOKUP(F213,'Comments Feeder'!$B:$W,18,FALSE),"")</f>
        <v>-78</v>
      </c>
      <c r="B214" s="775" t="s">
        <v>367</v>
      </c>
      <c r="C214" s="239" t="str">
        <f>IFERROR(VLOOKUP(F211,'Comments Feeder'!$B:$W,23,FALSE),"")</f>
        <v/>
      </c>
      <c r="D214" s="194" t="str">
        <f>IFERROR(VLOOKUP(F210,'Comments Feeder'!$B:$W,24,FALSE),"")</f>
        <v/>
      </c>
      <c r="E214" s="194" t="str">
        <f>IFERROR(VLOOKUP(F210,'Comments Feeder'!$B:$W,25,FALSE),"")</f>
        <v/>
      </c>
      <c r="F214" s="599" t="s">
        <v>370</v>
      </c>
      <c r="H214" s="182"/>
    </row>
    <row r="215" spans="1:8" hidden="1" x14ac:dyDescent="0.25">
      <c r="A215" s="239" t="str">
        <f>IFERROR(VLOOKUP(F214,'Comments Feeder'!$B:$W,18,FALSE),"")</f>
        <v/>
      </c>
      <c r="B215" s="239">
        <f>IFERROR(VLOOKUP(F213,'Comments Feeder'!$B:$W,21,FALSE),"")</f>
        <v>0</v>
      </c>
      <c r="C215" s="239" t="str">
        <f>IFERROR(VLOOKUP(F212,'Comments Feeder'!$B:$W,23,FALSE),"")</f>
        <v/>
      </c>
      <c r="D215" s="194" t="str">
        <f>IFERROR(VLOOKUP(F211,'Comments Feeder'!$B:$W,24,FALSE),"")</f>
        <v/>
      </c>
      <c r="E215" s="194" t="str">
        <f>IFERROR(VLOOKUP(F211,'Comments Feeder'!$B:$W,25,FALSE),"")</f>
        <v/>
      </c>
      <c r="F215" s="583"/>
      <c r="H215" s="182"/>
    </row>
    <row r="216" spans="1:8" hidden="1" x14ac:dyDescent="0.25">
      <c r="A216" s="239" t="str">
        <f>IFERROR(VLOOKUP(F215,'Comments Feeder'!$B:$W,18,FALSE),"")</f>
        <v/>
      </c>
      <c r="B216" s="239" t="str">
        <f>IFERROR(VLOOKUP(F214,'Comments Feeder'!$B:$W,21,FALSE),"")</f>
        <v/>
      </c>
      <c r="C216" s="239" t="str">
        <f>IFERROR(VLOOKUP(F213,'Comments Feeder'!$B:$W,23,FALSE),"")</f>
        <v/>
      </c>
      <c r="D216" s="194" t="str">
        <f>IFERROR(VLOOKUP(F212,'Comments Feeder'!$B:$W,24,FALSE),"")</f>
        <v/>
      </c>
      <c r="E216" s="194" t="str">
        <f>IFERROR(VLOOKUP(F212,'Comments Feeder'!$B:$W,25,FALSE),"")</f>
        <v/>
      </c>
      <c r="F216" s="216"/>
      <c r="H216" s="182"/>
    </row>
    <row r="217" spans="1:8" hidden="1" x14ac:dyDescent="0.25">
      <c r="A217" s="239" t="str">
        <f>IFERROR(VLOOKUP(F216,'Comments Feeder'!$B:$W,18,FALSE),"")</f>
        <v/>
      </c>
      <c r="B217" s="239" t="str">
        <f>IFERROR(VLOOKUP(F215,'Comments Feeder'!$B:$W,21,FALSE),"")</f>
        <v/>
      </c>
      <c r="C217" s="239" t="str">
        <f>IFERROR(VLOOKUP(F214,'Comments Feeder'!$B:$W,23,FALSE),"")</f>
        <v/>
      </c>
      <c r="D217" s="194" t="str">
        <f>IFERROR(VLOOKUP(F213,'Comments Feeder'!$B:$W,24,FALSE),"")</f>
        <v/>
      </c>
      <c r="E217" s="194" t="str">
        <f>IFERROR(VLOOKUP(F213,'Comments Feeder'!$B:$W,25,FALSE),"")</f>
        <v/>
      </c>
      <c r="F217" s="196"/>
      <c r="H217" s="182"/>
    </row>
    <row r="218" spans="1:8" ht="13" x14ac:dyDescent="0.25">
      <c r="A218" s="780" t="str">
        <f>IFERROR(VLOOKUP(F217,'Comments Feeder'!$B:$W,18,FALSE),"")</f>
        <v/>
      </c>
      <c r="B218" s="780" t="str">
        <f>IFERROR(VLOOKUP(F216,'Comments Feeder'!$B:$W,21,FALSE),"")</f>
        <v/>
      </c>
      <c r="C218" s="780" t="str">
        <f>IFERROR(VLOOKUP(F215,'Comments Feeder'!$B:$W,23,FALSE),"")</f>
        <v/>
      </c>
      <c r="D218" s="781" t="str">
        <f>IFERROR(VLOOKUP(F214,'Comments Feeder'!$B:$W,24,FALSE),"")</f>
        <v/>
      </c>
      <c r="E218" s="781" t="str">
        <f>IFERROR(VLOOKUP(F214,'Comments Feeder'!$B:$W,25,FALSE),"")</f>
        <v/>
      </c>
      <c r="F218" s="782"/>
      <c r="H218" s="182"/>
    </row>
    <row r="219" spans="1:8" ht="64.75" customHeight="1" x14ac:dyDescent="0.25">
      <c r="A219" s="239">
        <f>A196+A202+A208+A214</f>
        <v>11</v>
      </c>
      <c r="B219" s="783">
        <v>0</v>
      </c>
      <c r="C219" s="239"/>
      <c r="D219" s="194"/>
      <c r="E219" s="194"/>
      <c r="F219" s="779" t="s">
        <v>371</v>
      </c>
      <c r="H219" s="182"/>
    </row>
    <row r="220" spans="1:8" ht="13.5" thickBot="1" x14ac:dyDescent="0.3">
      <c r="A220" s="776"/>
      <c r="B220" s="776"/>
      <c r="C220" s="776"/>
      <c r="D220" s="777"/>
      <c r="E220" s="777"/>
      <c r="F220" s="778"/>
      <c r="H220" s="182"/>
    </row>
    <row r="221" spans="1:8" ht="13" x14ac:dyDescent="0.25">
      <c r="A221" s="239" t="str">
        <f>IFERROR(VLOOKUP(F218,'Comments Feeder'!$B:$W,18,FALSE),"")</f>
        <v/>
      </c>
      <c r="B221" s="239" t="str">
        <f>IFERROR(VLOOKUP(F217,'Comments Feeder'!$B:$W,21,FALSE),"")</f>
        <v/>
      </c>
      <c r="C221" s="239" t="str">
        <f>IFERROR(VLOOKUP(F216,'Comments Feeder'!$B:$W,23,FALSE),"")</f>
        <v/>
      </c>
      <c r="D221" s="194" t="str">
        <f>IFERROR(VLOOKUP(F215,'Comments Feeder'!$B:$W,24,FALSE),"")</f>
        <v/>
      </c>
      <c r="E221" s="194" t="str">
        <f>IFERROR(VLOOKUP(F215,'Comments Feeder'!$B:$W,25,FALSE),"")</f>
        <v/>
      </c>
      <c r="F221" s="214" t="s">
        <v>70</v>
      </c>
      <c r="H221" s="182"/>
    </row>
    <row r="222" spans="1:8" ht="38.5" x14ac:dyDescent="0.25">
      <c r="A222" s="239">
        <f>IFERROR(VLOOKUP(F221,'Comments Feeder'!$B:$W,18,FALSE),"")</f>
        <v>-75</v>
      </c>
      <c r="B222" s="239" t="str">
        <f>IFERROR(VLOOKUP(F218,'Comments Feeder'!$B:$W,21,FALSE),"")</f>
        <v/>
      </c>
      <c r="C222" s="239" t="str">
        <f>IFERROR(VLOOKUP(F217,'Comments Feeder'!$B:$W,23,FALSE),"")</f>
        <v/>
      </c>
      <c r="D222" s="194" t="str">
        <f>IFERROR(VLOOKUP(F216,'Comments Feeder'!$B:$W,24,FALSE),"")</f>
        <v/>
      </c>
      <c r="E222" s="194" t="str">
        <f>IFERROR(VLOOKUP(F216,'Comments Feeder'!$B:$W,25,FALSE),"")</f>
        <v/>
      </c>
      <c r="F222" s="621" t="s">
        <v>372</v>
      </c>
      <c r="H222" s="182"/>
    </row>
    <row r="223" spans="1:8" x14ac:dyDescent="0.25">
      <c r="A223" s="239" t="str">
        <f>IFERROR(VLOOKUP(F222,'Comments Feeder'!$B:$W,18,FALSE),"")</f>
        <v/>
      </c>
      <c r="B223" s="775">
        <f>IFERROR(VLOOKUP(F221,'Comments Feeder'!$B:$W,21,FALSE),"")</f>
        <v>150</v>
      </c>
      <c r="C223" s="239" t="str">
        <f>IFERROR(VLOOKUP(F218,'Comments Feeder'!$B:$W,23,FALSE),"")</f>
        <v/>
      </c>
      <c r="D223" s="194" t="str">
        <f>IFERROR(VLOOKUP(F217,'Comments Feeder'!$B:$W,24,FALSE),"")</f>
        <v/>
      </c>
      <c r="E223" s="194" t="str">
        <f>IFERROR(VLOOKUP(F217,'Comments Feeder'!$B:$W,25,FALSE),"")</f>
        <v/>
      </c>
      <c r="F223" s="583"/>
      <c r="H223" s="182"/>
    </row>
    <row r="224" spans="1:8" ht="70.5" customHeight="1" x14ac:dyDescent="0.25">
      <c r="A224" s="239" t="str">
        <f>IFERROR(VLOOKUP(F223,'Comments Feeder'!$B:$W,18,FALSE),"")</f>
        <v/>
      </c>
      <c r="B224" s="239" t="str">
        <f>IFERROR(VLOOKUP(F222,'Comments Feeder'!$B:$W,21,FALSE),"")</f>
        <v/>
      </c>
      <c r="C224" s="239" t="str">
        <f>IFERROR(VLOOKUP(F221,'Comments Feeder'!$B:$W,23,FALSE),"")</f>
        <v/>
      </c>
      <c r="D224" s="194" t="str">
        <f>IFERROR(VLOOKUP(F218,'Comments Feeder'!$B:$W,24,FALSE),"")</f>
        <v/>
      </c>
      <c r="E224" s="194" t="str">
        <f>IFERROR(VLOOKUP(F218,'Comments Feeder'!$B:$W,25,FALSE),"")</f>
        <v/>
      </c>
      <c r="F224" s="318" t="s">
        <v>373</v>
      </c>
      <c r="H224" s="182"/>
    </row>
    <row r="225" spans="1:8" x14ac:dyDescent="0.25">
      <c r="A225" s="239" t="str">
        <f>IFERROR(VLOOKUP(F224,'Comments Feeder'!$B:$W,18,FALSE),"")</f>
        <v/>
      </c>
      <c r="B225" s="239" t="str">
        <f>IFERROR(VLOOKUP(F223,'Comments Feeder'!$B:$W,21,FALSE),"")</f>
        <v/>
      </c>
      <c r="C225" s="239" t="str">
        <f>IFERROR(VLOOKUP(F222,'Comments Feeder'!$B:$W,23,FALSE),"")</f>
        <v/>
      </c>
      <c r="D225" s="194" t="str">
        <f>IFERROR(VLOOKUP(F221,'Comments Feeder'!$B:$W,24,FALSE),"")</f>
        <v/>
      </c>
      <c r="E225" s="194" t="str">
        <f>IFERROR(VLOOKUP(F221,'Comments Feeder'!$B:$W,25,FALSE),"")</f>
        <v/>
      </c>
      <c r="F225" s="196"/>
      <c r="H225" s="182"/>
    </row>
    <row r="226" spans="1:8" ht="13.5" thickBot="1" x14ac:dyDescent="0.3">
      <c r="A226" s="304" t="str">
        <f>IFERROR(VLOOKUP(F217,'Comments Feeder'!$B:$W,18,FALSE),"")</f>
        <v/>
      </c>
      <c r="B226" s="304" t="str">
        <f>IFERROR(VLOOKUP(F216,'Comments Feeder'!$B:$W,21,FALSE),"")</f>
        <v/>
      </c>
      <c r="C226" s="304" t="str">
        <f>IFERROR(VLOOKUP(F215,'Comments Feeder'!$B:$W,23,FALSE),"")</f>
        <v/>
      </c>
      <c r="D226" s="305" t="str">
        <f>IFERROR(VLOOKUP(F214,'Comments Feeder'!$B:$W,24,FALSE),"")</f>
        <v/>
      </c>
      <c r="E226" s="305" t="str">
        <f>IFERROR(VLOOKUP(F214,'Comments Feeder'!$B:$W,25,FALSE),"")</f>
        <v/>
      </c>
      <c r="F226" s="218"/>
      <c r="H226" s="182"/>
    </row>
    <row r="227" spans="1:8" ht="13" x14ac:dyDescent="0.25">
      <c r="A227" s="239" t="str">
        <f>IFERROR(VLOOKUP(F226,'Comments Feeder'!$B:$W,18,FALSE),"")</f>
        <v/>
      </c>
      <c r="B227" s="239" t="str">
        <f>IFERROR(VLOOKUP(F217,'Comments Feeder'!$B:$W,21,FALSE),"")</f>
        <v/>
      </c>
      <c r="C227" s="239" t="str">
        <f>IFERROR(VLOOKUP(F216,'Comments Feeder'!$B:$W,23,FALSE),"")</f>
        <v/>
      </c>
      <c r="D227" s="194" t="str">
        <f>IFERROR(VLOOKUP(F215,'Comments Feeder'!$B:$W,24,FALSE),"")</f>
        <v/>
      </c>
      <c r="E227" s="194" t="str">
        <f>IFERROR(VLOOKUP(F215,'Comments Feeder'!$B:$W,25,FALSE),"")</f>
        <v/>
      </c>
      <c r="F227" s="226" t="s">
        <v>374</v>
      </c>
      <c r="H227" s="182"/>
    </row>
    <row r="228" spans="1:8" x14ac:dyDescent="0.25">
      <c r="A228" s="239" t="str">
        <f>IFERROR(VLOOKUP(F227,'Comments Feeder'!$B:$W,18,FALSE),"")</f>
        <v/>
      </c>
      <c r="B228" s="239" t="str">
        <f>IFERROR(VLOOKUP(F226,'Comments Feeder'!$B:$W,21,FALSE),"")</f>
        <v/>
      </c>
      <c r="C228" s="239" t="str">
        <f>IFERROR(VLOOKUP(F217,'Comments Feeder'!$B:$W,23,FALSE),"")</f>
        <v/>
      </c>
      <c r="D228" s="194" t="str">
        <f>IFERROR(VLOOKUP(F216,'Comments Feeder'!$B:$W,24,FALSE),"")</f>
        <v/>
      </c>
      <c r="E228" s="194" t="str">
        <f>IFERROR(VLOOKUP(F216,'Comments Feeder'!$B:$W,25,FALSE),"")</f>
        <v/>
      </c>
      <c r="F228" s="461"/>
      <c r="H228" s="182"/>
    </row>
    <row r="229" spans="1:8" x14ac:dyDescent="0.25">
      <c r="A229" s="239">
        <f>A222+A219</f>
        <v>-64</v>
      </c>
      <c r="B229" s="775">
        <f>B223+B219</f>
        <v>150</v>
      </c>
      <c r="C229" s="239" t="str">
        <f>IFERROR(VLOOKUP(F226,'Comments Feeder'!$B:$W,23,FALSE),"")</f>
        <v/>
      </c>
      <c r="D229" s="194" t="str">
        <f>IFERROR(VLOOKUP(F217,'Comments Feeder'!$B:$W,24,FALSE),"")</f>
        <v/>
      </c>
      <c r="E229" s="194" t="str">
        <f>IFERROR(VLOOKUP(F217,'Comments Feeder'!$B:$W,25,FALSE),"")</f>
        <v/>
      </c>
      <c r="F229" s="583"/>
      <c r="H229" s="182"/>
    </row>
    <row r="230" spans="1:8" x14ac:dyDescent="0.25">
      <c r="A230" s="239" t="str">
        <f>IFERROR(VLOOKUP(F229,'Comments Feeder'!$B:$W,18,FALSE),"")</f>
        <v/>
      </c>
      <c r="B230" s="239" t="str">
        <f>IFERROR(VLOOKUP(F228,'Comments Feeder'!$B:$W,21,FALSE),"")</f>
        <v/>
      </c>
      <c r="C230" s="239" t="str">
        <f>IFERROR(VLOOKUP(F227,'Comments Feeder'!$B:$W,23,FALSE),"")</f>
        <v/>
      </c>
      <c r="D230" s="194" t="str">
        <f>IFERROR(VLOOKUP(F226,'Comments Feeder'!$B:$W,24,FALSE),"")</f>
        <v/>
      </c>
      <c r="E230" s="194" t="str">
        <f>IFERROR(VLOOKUP(F226,'Comments Feeder'!$B:$W,25,FALSE),"")</f>
        <v/>
      </c>
      <c r="F230" s="204"/>
      <c r="H230" s="182"/>
    </row>
    <row r="231" spans="1:8" x14ac:dyDescent="0.25">
      <c r="A231" s="239" t="str">
        <f>IFERROR(VLOOKUP(F230,'Comments Feeder'!$B:$W,18,FALSE),"")</f>
        <v/>
      </c>
      <c r="B231" s="239" t="str">
        <f>IFERROR(VLOOKUP(F229,'Comments Feeder'!$B:$W,21,FALSE),"")</f>
        <v/>
      </c>
      <c r="C231" s="239" t="str">
        <f>IFERROR(VLOOKUP(F228,'Comments Feeder'!$B:$W,23,FALSE),"")</f>
        <v/>
      </c>
      <c r="D231" s="194" t="str">
        <f>IFERROR(VLOOKUP(F227,'Comments Feeder'!$B:$W,24,FALSE),"")</f>
        <v/>
      </c>
      <c r="E231" s="194" t="str">
        <f>IFERROR(VLOOKUP(F227,'Comments Feeder'!$B:$W,25,FALSE),"")</f>
        <v/>
      </c>
      <c r="F231" s="227"/>
      <c r="H231" s="182"/>
    </row>
    <row r="232" spans="1:8" ht="13.5" thickBot="1" x14ac:dyDescent="0.3">
      <c r="A232" s="304" t="str">
        <f>IFERROR(VLOOKUP(F231,'Comments Feeder'!$B:$W,18,FALSE),"")</f>
        <v/>
      </c>
      <c r="B232" s="304" t="str">
        <f>IFERROR(VLOOKUP(F230,'Comments Feeder'!$B:$W,21,FALSE),"")</f>
        <v/>
      </c>
      <c r="C232" s="304" t="str">
        <f>IFERROR(VLOOKUP(F229,'Comments Feeder'!$B:$W,23,FALSE),"")</f>
        <v/>
      </c>
      <c r="D232" s="305" t="str">
        <f>IFERROR(VLOOKUP(F228,'Comments Feeder'!$B:$W,24,FALSE),"")</f>
        <v/>
      </c>
      <c r="E232" s="305" t="str">
        <f>IFERROR(VLOOKUP(F228,'Comments Feeder'!$B:$W,25,FALSE),"")</f>
        <v/>
      </c>
      <c r="F232" s="225"/>
      <c r="H232" s="182"/>
    </row>
    <row r="234" spans="1:8" ht="15.75" customHeight="1" x14ac:dyDescent="0.25">
      <c r="A234" s="832" t="s">
        <v>375</v>
      </c>
      <c r="B234" s="833"/>
      <c r="C234" s="833"/>
      <c r="D234" s="833"/>
      <c r="E234" s="833"/>
      <c r="F234" s="834"/>
    </row>
    <row r="235" spans="1:8" ht="13" thickBot="1" x14ac:dyDescent="0.3">
      <c r="A235" s="235"/>
      <c r="F235" s="211"/>
    </row>
    <row r="236" spans="1:8" ht="78.5" thickBot="1" x14ac:dyDescent="0.3">
      <c r="A236" s="244" t="str">
        <f>A194</f>
        <v>Actual Variance at 30 September 2024         £'000</v>
      </c>
      <c r="B236" s="245" t="str">
        <f>B194</f>
        <v>Projected Outturn Variance at 30 September 2024         £'000</v>
      </c>
      <c r="C236" s="246" t="str">
        <f>C194</f>
        <v>Variance to last month's Probable Outturn   £'000</v>
      </c>
      <c r="D236" s="246" t="str">
        <f>D194</f>
        <v>Outturn Variance @previous quarter  £'000</v>
      </c>
      <c r="E236" s="246" t="str">
        <f>E194</f>
        <v>Outturn Variance from previous quarter £'000</v>
      </c>
      <c r="F236" s="212"/>
    </row>
    <row r="237" spans="1:8" ht="13" x14ac:dyDescent="0.25">
      <c r="A237" s="239" t="str">
        <f>IFERROR(VLOOKUP(F236,'Comments Feeder'!$B:$W,18,FALSE),"")</f>
        <v/>
      </c>
      <c r="B237" s="239" t="str">
        <f>IFERROR(VLOOKUP(F235,'Comments Feeder'!$B:$W,21,FALSE),"")</f>
        <v/>
      </c>
      <c r="C237" s="239" t="str">
        <f>IFERROR(VLOOKUP(F234,'Comments Feeder'!$B:$W,23,FALSE),"")</f>
        <v/>
      </c>
      <c r="D237" s="194" t="str">
        <f>IFERROR(VLOOKUP(F233,'Comments Feeder'!$B:$W,24,FALSE),"")</f>
        <v/>
      </c>
      <c r="E237" s="194" t="str">
        <f>IFERROR(VLOOKUP(F233,'Comments Feeder'!$B:$W,25,FALSE),"")</f>
        <v/>
      </c>
      <c r="F237" s="214" t="s">
        <v>73</v>
      </c>
    </row>
    <row r="238" spans="1:8" x14ac:dyDescent="0.25">
      <c r="A238" s="239">
        <f>IFERROR(VLOOKUP(F237,'Comments Feeder'!$B:$W,18,FALSE),"")</f>
        <v>-4</v>
      </c>
      <c r="B238" s="239" t="str">
        <f>IFERROR(VLOOKUP(F236,'Comments Feeder'!$B:$W,21,FALSE),"")</f>
        <v/>
      </c>
      <c r="C238" s="239" t="str">
        <f>IFERROR(VLOOKUP(F235,'Comments Feeder'!$B:$W,23,FALSE),"")</f>
        <v/>
      </c>
      <c r="D238" s="194" t="str">
        <f>IFERROR(VLOOKUP(F234,'Comments Feeder'!$B:$W,24,FALSE),"")</f>
        <v/>
      </c>
      <c r="E238" s="194" t="str">
        <f>IFERROR(VLOOKUP(F234,'Comments Feeder'!$B:$W,25,FALSE),"")</f>
        <v/>
      </c>
      <c r="F238" s="301" t="s">
        <v>376</v>
      </c>
    </row>
    <row r="239" spans="1:8" x14ac:dyDescent="0.25">
      <c r="A239" s="239" t="str">
        <f>IFERROR(VLOOKUP(F238,'Comments Feeder'!$B:$W,18,FALSE),"")</f>
        <v/>
      </c>
      <c r="B239" s="239">
        <f>IFERROR(VLOOKUP(F237,'Comments Feeder'!$B:$W,21,FALSE),"")</f>
        <v>0</v>
      </c>
      <c r="C239" s="239" t="str">
        <f>IFERROR(VLOOKUP(F236,'Comments Feeder'!$B:$W,23,FALSE),"")</f>
        <v/>
      </c>
      <c r="D239" s="194" t="str">
        <f>IFERROR(VLOOKUP(F235,'Comments Feeder'!$B:$W,24,FALSE),"")</f>
        <v/>
      </c>
      <c r="E239" s="194" t="str">
        <f>IFERROR(VLOOKUP(F235,'Comments Feeder'!$B:$W,25,FALSE),"")</f>
        <v/>
      </c>
      <c r="F239" s="301"/>
    </row>
    <row r="240" spans="1:8" x14ac:dyDescent="0.25">
      <c r="A240" s="239" t="str">
        <f>IFERROR(VLOOKUP(F239,'Comments Feeder'!$B:$W,18,FALSE),"")</f>
        <v/>
      </c>
      <c r="B240" s="239" t="str">
        <f>IFERROR(VLOOKUP(F238,'Comments Feeder'!$B:$W,21,FALSE),"")</f>
        <v/>
      </c>
      <c r="C240" s="239" t="str">
        <f>IFERROR(VLOOKUP(F237,'Comments Feeder'!$B:$W,23,FALSE),"")</f>
        <v/>
      </c>
      <c r="D240" s="194" t="str">
        <f>IFERROR(VLOOKUP(F236,'Comments Feeder'!$B:$W,24,FALSE),"")</f>
        <v/>
      </c>
      <c r="E240" s="194" t="str">
        <f>IFERROR(VLOOKUP(F236,'Comments Feeder'!$B:$W,25,FALSE),"")</f>
        <v/>
      </c>
      <c r="F240" s="217" t="s">
        <v>377</v>
      </c>
    </row>
    <row r="241" spans="1:6" x14ac:dyDescent="0.25">
      <c r="A241" s="239" t="str">
        <f>IFERROR(VLOOKUP(F240,'Comments Feeder'!$B:$W,18,FALSE),"")</f>
        <v/>
      </c>
      <c r="B241" s="239" t="str">
        <f>IFERROR(VLOOKUP(F239,'Comments Feeder'!$B:$W,21,FALSE),"")</f>
        <v/>
      </c>
      <c r="C241" s="239" t="str">
        <f>IFERROR(VLOOKUP(F238,'Comments Feeder'!$B:$W,23,FALSE),"")</f>
        <v/>
      </c>
      <c r="D241" s="194" t="str">
        <f>IFERROR(VLOOKUP(F237,'Comments Feeder'!$B:$W,24,FALSE),"")</f>
        <v/>
      </c>
      <c r="E241" s="194" t="str">
        <f>IFERROR(VLOOKUP(F237,'Comments Feeder'!$B:$W,25,FALSE),"")</f>
        <v/>
      </c>
      <c r="F241" s="196"/>
    </row>
    <row r="242" spans="1:6" ht="13.5" thickBot="1" x14ac:dyDescent="0.3">
      <c r="A242" s="304" t="str">
        <f>IFERROR(VLOOKUP(F241,'Comments Feeder'!$B:$W,18,FALSE),"")</f>
        <v/>
      </c>
      <c r="B242" s="304" t="str">
        <f>IFERROR(VLOOKUP(F240,'Comments Feeder'!$B:$W,21,FALSE),"")</f>
        <v/>
      </c>
      <c r="C242" s="304" t="str">
        <f>IFERROR(VLOOKUP(F245,'Comments Feeder'!$B:$W,23,FALSE),"")</f>
        <v/>
      </c>
      <c r="D242" s="305" t="str">
        <f>IFERROR(VLOOKUP(F238,'Comments Feeder'!$B:$W,24,FALSE),"")</f>
        <v/>
      </c>
      <c r="E242" s="305" t="str">
        <f>IFERROR(VLOOKUP(F238,'Comments Feeder'!$B:$W,25,FALSE),"")</f>
        <v/>
      </c>
      <c r="F242" s="218"/>
    </row>
    <row r="243" spans="1:6" ht="13" x14ac:dyDescent="0.25">
      <c r="A243" s="239" t="str">
        <f>IFERROR(VLOOKUP(F242,'Comments Feeder'!$B:$W,18,FALSE),"")</f>
        <v/>
      </c>
      <c r="B243" s="239" t="str">
        <f>IFERROR(VLOOKUP(F241,'Comments Feeder'!$B:$W,21,FALSE),"")</f>
        <v/>
      </c>
      <c r="C243" s="239" t="str">
        <f>IFERROR(VLOOKUP(F240,'Comments Feeder'!$B:$W,23,FALSE),"")</f>
        <v/>
      </c>
      <c r="D243" s="194" t="str">
        <f>IFERROR(VLOOKUP(F245,'Comments Feeder'!$B:$W,24,FALSE),"")</f>
        <v/>
      </c>
      <c r="E243" s="194" t="str">
        <f>IFERROR(VLOOKUP(F245,'Comments Feeder'!$B:$W,25,FALSE),"")</f>
        <v/>
      </c>
      <c r="F243" s="214" t="s">
        <v>74</v>
      </c>
    </row>
    <row r="244" spans="1:6" x14ac:dyDescent="0.25">
      <c r="A244" s="239">
        <f>IFERROR(VLOOKUP(F243,'Comments Feeder'!$B:$W,18,FALSE),"")</f>
        <v>-32</v>
      </c>
      <c r="B244" s="239" t="str">
        <f>IFERROR(VLOOKUP(F242,'Comments Feeder'!$B:$W,21,FALSE),"")</f>
        <v/>
      </c>
      <c r="C244" s="239" t="str">
        <f>IFERROR(VLOOKUP(F241,'Comments Feeder'!$B:$W,23,FALSE),"")</f>
        <v/>
      </c>
      <c r="D244" s="194" t="str">
        <f>IFERROR(VLOOKUP(F240,'Comments Feeder'!$B:$W,24,FALSE),"")</f>
        <v/>
      </c>
      <c r="E244" s="194" t="str">
        <f>IFERROR(VLOOKUP(F240,'Comments Feeder'!$B:$W,25,FALSE),"")</f>
        <v/>
      </c>
      <c r="F244" s="219" t="s">
        <v>378</v>
      </c>
    </row>
    <row r="245" spans="1:6" x14ac:dyDescent="0.25">
      <c r="A245" s="239" t="str">
        <f>IFERROR(VLOOKUP(F244,'Comments Feeder'!$B:$W,18,FALSE),"")</f>
        <v/>
      </c>
      <c r="B245" s="239">
        <f>IFERROR(VLOOKUP(F243,'Comments Feeder'!$B:$W,21,FALSE),"")</f>
        <v>-34</v>
      </c>
      <c r="C245" s="239" t="str">
        <f>IFERROR(VLOOKUP(F242,'Comments Feeder'!$B:$W,23,FALSE),"")</f>
        <v/>
      </c>
      <c r="D245" s="194" t="str">
        <f>IFERROR(VLOOKUP(F241,'Comments Feeder'!$B:$W,24,FALSE),"")</f>
        <v/>
      </c>
      <c r="E245" s="194" t="str">
        <f>IFERROR(VLOOKUP(F241,'Comments Feeder'!$B:$W,25,FALSE),"")</f>
        <v/>
      </c>
      <c r="F245" s="316" t="s">
        <v>379</v>
      </c>
    </row>
    <row r="246" spans="1:6" x14ac:dyDescent="0.25">
      <c r="A246" s="239" t="str">
        <f>IFERROR(VLOOKUP(F245,'Comments Feeder'!$B:$W,18,FALSE),"")</f>
        <v/>
      </c>
      <c r="B246" s="239" t="str">
        <f>IFERROR(VLOOKUP(F244,'Comments Feeder'!$B:$W,21,FALSE),"")</f>
        <v/>
      </c>
      <c r="C246" s="239" t="str">
        <f>IFERROR(VLOOKUP(F243,'Comments Feeder'!$B:$W,23,FALSE),"")</f>
        <v/>
      </c>
      <c r="D246" s="194" t="str">
        <f>IFERROR(VLOOKUP(F242,'Comments Feeder'!$B:$W,24,FALSE),"")</f>
        <v/>
      </c>
      <c r="E246" s="194" t="str">
        <f>IFERROR(VLOOKUP(F242,'Comments Feeder'!$B:$W,25,FALSE),"")</f>
        <v/>
      </c>
      <c r="F246" s="220"/>
    </row>
    <row r="247" spans="1:6" x14ac:dyDescent="0.25">
      <c r="A247" s="239" t="str">
        <f>IFERROR(VLOOKUP(F246,'Comments Feeder'!$B:$W,18,FALSE),"")</f>
        <v/>
      </c>
      <c r="B247" s="239" t="str">
        <f>IFERROR(VLOOKUP(F245,'Comments Feeder'!$B:$W,21,FALSE),"")</f>
        <v/>
      </c>
      <c r="C247" s="239" t="str">
        <f>IFERROR(VLOOKUP(F244,'Comments Feeder'!$B:$W,23,FALSE),"")</f>
        <v/>
      </c>
      <c r="D247" s="194" t="str">
        <f>IFERROR(VLOOKUP(F243,'Comments Feeder'!$B:$W,24,FALSE),"")</f>
        <v/>
      </c>
      <c r="E247" s="194" t="str">
        <f>IFERROR(VLOOKUP(F243,'Comments Feeder'!$B:$W,25,FALSE),"")</f>
        <v/>
      </c>
      <c r="F247" s="217"/>
    </row>
    <row r="248" spans="1:6" ht="13.5" thickBot="1" x14ac:dyDescent="0.3">
      <c r="A248" s="304" t="str">
        <f>IFERROR(VLOOKUP(F247,'Comments Feeder'!$B:$W,18,FALSE),"")</f>
        <v/>
      </c>
      <c r="B248" s="304" t="str">
        <f>IFERROR(VLOOKUP(F246,'Comments Feeder'!$B:$W,21,FALSE),"")</f>
        <v/>
      </c>
      <c r="C248" s="304" t="str">
        <f>IFERROR(VLOOKUP(#REF!,'Comments Feeder'!$B:$W,23,FALSE),"")</f>
        <v/>
      </c>
      <c r="D248" s="305" t="str">
        <f>IFERROR(VLOOKUP(F244,'Comments Feeder'!$B:$W,24,FALSE),"")</f>
        <v/>
      </c>
      <c r="E248" s="305" t="str">
        <f>IFERROR(VLOOKUP(F244,'Comments Feeder'!$B:$W,25,FALSE),"")</f>
        <v/>
      </c>
      <c r="F248" s="218"/>
    </row>
    <row r="249" spans="1:6" ht="13" x14ac:dyDescent="0.25">
      <c r="A249" s="239" t="str">
        <f>IFERROR(VLOOKUP(F248,'Comments Feeder'!$B:$W,18,FALSE),"")</f>
        <v/>
      </c>
      <c r="B249" s="239" t="str">
        <f>IFERROR(VLOOKUP(F247,'Comments Feeder'!$B:$W,21,FALSE),"")</f>
        <v/>
      </c>
      <c r="C249" s="239" t="str">
        <f>IFERROR(VLOOKUP(F246,'Comments Feeder'!$B:$W,23,FALSE),"")</f>
        <v/>
      </c>
      <c r="D249" s="194" t="str">
        <f>IFERROR(VLOOKUP(#REF!,'Comments Feeder'!$B:$W,24,FALSE),"")</f>
        <v/>
      </c>
      <c r="E249" s="194" t="str">
        <f>IFERROR(VLOOKUP(#REF!,'Comments Feeder'!$B:$W,25,FALSE),"")</f>
        <v/>
      </c>
      <c r="F249" s="214" t="s">
        <v>75</v>
      </c>
    </row>
    <row r="250" spans="1:6" x14ac:dyDescent="0.25">
      <c r="A250" s="239">
        <f>IFERROR(VLOOKUP(F249,'Comments Feeder'!$B:$W,18,FALSE),"")</f>
        <v>-5</v>
      </c>
      <c r="B250" s="239" t="str">
        <f>IFERROR(VLOOKUP(F248,'Comments Feeder'!$B:$W,21,FALSE),"")</f>
        <v/>
      </c>
      <c r="C250" s="239" t="str">
        <f>IFERROR(VLOOKUP(F247,'Comments Feeder'!$B:$W,23,FALSE),"")</f>
        <v/>
      </c>
      <c r="D250" s="194" t="str">
        <f>IFERROR(VLOOKUP(F246,'Comments Feeder'!$B:$W,24,FALSE),"")</f>
        <v/>
      </c>
      <c r="E250" s="194" t="str">
        <f>IFERROR(VLOOKUP(F246,'Comments Feeder'!$B:$W,25,FALSE),"")</f>
        <v/>
      </c>
      <c r="F250" s="625" t="s">
        <v>380</v>
      </c>
    </row>
    <row r="251" spans="1:6" x14ac:dyDescent="0.25">
      <c r="A251" s="239" t="str">
        <f>IFERROR(VLOOKUP(F251,'Comments Feeder'!$B:$W,18,FALSE),"")</f>
        <v/>
      </c>
      <c r="B251" s="239">
        <f>IFERROR(VLOOKUP(F249,'Comments Feeder'!$B:$W,21,FALSE),"")</f>
        <v>0</v>
      </c>
      <c r="C251" s="239" t="str">
        <f>IFERROR(VLOOKUP(F248,'Comments Feeder'!$B:$W,23,FALSE),"")</f>
        <v/>
      </c>
      <c r="D251" s="194" t="str">
        <f>IFERROR(VLOOKUP(F247,'Comments Feeder'!$B:$W,24,FALSE),"")</f>
        <v/>
      </c>
      <c r="E251" s="194" t="str">
        <f>IFERROR(VLOOKUP(F247,'Comments Feeder'!$B:$W,25,FALSE),"")</f>
        <v/>
      </c>
      <c r="F251" s="598"/>
    </row>
    <row r="252" spans="1:6" ht="14.5" x14ac:dyDescent="0.35">
      <c r="A252" s="239" t="str">
        <f>IFERROR(VLOOKUP(#REF!,'Comments Feeder'!$B:$W,18,FALSE),"")</f>
        <v/>
      </c>
      <c r="B252" s="239" t="str">
        <f>IFERROR(VLOOKUP(F251,'Comments Feeder'!$B:$W,21,FALSE),"")</f>
        <v/>
      </c>
      <c r="C252" s="239" t="str">
        <f>IFERROR(VLOOKUP(F249,'Comments Feeder'!$B:$W,23,FALSE),"")</f>
        <v/>
      </c>
      <c r="D252" s="194" t="str">
        <f>IFERROR(VLOOKUP(F248,'Comments Feeder'!$B:$W,24,FALSE),"")</f>
        <v/>
      </c>
      <c r="E252" s="194" t="str">
        <f>IFERROR(VLOOKUP(F248,'Comments Feeder'!$B:$W,25,FALSE),"")</f>
        <v/>
      </c>
      <c r="F252" s="818" t="s">
        <v>377</v>
      </c>
    </row>
    <row r="253" spans="1:6" x14ac:dyDescent="0.25">
      <c r="A253" s="239" t="str">
        <f>IFERROR(VLOOKUP(F252,'Comments Feeder'!$B:$W,18,FALSE),"")</f>
        <v/>
      </c>
      <c r="B253" s="239" t="str">
        <f>IFERROR(VLOOKUP(#REF!,'Comments Feeder'!$B:$W,21,FALSE),"")</f>
        <v/>
      </c>
      <c r="C253" s="239" t="str">
        <f>IFERROR(VLOOKUP(F251,'Comments Feeder'!$B:$W,23,FALSE),"")</f>
        <v/>
      </c>
      <c r="D253" s="194" t="str">
        <f>IFERROR(VLOOKUP(F249,'Comments Feeder'!$B:$W,24,FALSE),"")</f>
        <v/>
      </c>
      <c r="E253" s="194" t="str">
        <f>IFERROR(VLOOKUP(F249,'Comments Feeder'!$B:$W,25,FALSE),"")</f>
        <v/>
      </c>
      <c r="F253" s="196"/>
    </row>
    <row r="254" spans="1:6" ht="13.5" thickBot="1" x14ac:dyDescent="0.3">
      <c r="A254" s="304" t="str">
        <f>IFERROR(VLOOKUP(F253,'Comments Feeder'!$B:$W,18,FALSE),"")</f>
        <v/>
      </c>
      <c r="B254" s="304" t="str">
        <f>IFERROR(VLOOKUP(F252,'Comments Feeder'!$B:$W,21,FALSE),"")</f>
        <v/>
      </c>
      <c r="C254" s="304" t="str">
        <f>IFERROR(VLOOKUP(#REF!,'Comments Feeder'!$B:$W,23,FALSE),"")</f>
        <v/>
      </c>
      <c r="D254" s="305" t="str">
        <f>IFERROR(VLOOKUP(F251,'Comments Feeder'!$B:$W,24,FALSE),"")</f>
        <v/>
      </c>
      <c r="E254" s="305" t="str">
        <f>IFERROR(VLOOKUP(F251,'Comments Feeder'!$B:$W,25,FALSE),"")</f>
        <v/>
      </c>
      <c r="F254" s="218"/>
    </row>
    <row r="255" spans="1:6" ht="13" x14ac:dyDescent="0.25">
      <c r="A255" s="239" t="str">
        <f>IFERROR(VLOOKUP(F254,'Comments Feeder'!$B:$W,18,FALSE),"")</f>
        <v/>
      </c>
      <c r="B255" s="239" t="str">
        <f>IFERROR(VLOOKUP(F253,'Comments Feeder'!$B:$W,21,FALSE),"")</f>
        <v/>
      </c>
      <c r="C255" s="239" t="str">
        <f>IFERROR(VLOOKUP(F252,'Comments Feeder'!$B:$W,23,FALSE),"")</f>
        <v/>
      </c>
      <c r="D255" s="194" t="str">
        <f>IFERROR(VLOOKUP(#REF!,'Comments Feeder'!$B:$W,24,FALSE),"")</f>
        <v/>
      </c>
      <c r="E255" s="194" t="str">
        <f>IFERROR(VLOOKUP(#REF!,'Comments Feeder'!$B:$W,25,FALSE),"")</f>
        <v/>
      </c>
      <c r="F255" s="226" t="s">
        <v>76</v>
      </c>
    </row>
    <row r="256" spans="1:6" x14ac:dyDescent="0.25">
      <c r="A256" s="239">
        <f>IFERROR(VLOOKUP(F255,'Comments Feeder'!$B:$W,18,FALSE),"")</f>
        <v>-41</v>
      </c>
      <c r="B256" s="239" t="str">
        <f>IFERROR(VLOOKUP(F254,'Comments Feeder'!$B:$W,21,FALSE),"")</f>
        <v/>
      </c>
      <c r="C256" s="239" t="str">
        <f>IFERROR(VLOOKUP(F253,'Comments Feeder'!$B:$W,23,FALSE),"")</f>
        <v/>
      </c>
      <c r="D256" s="194" t="str">
        <f>IFERROR(VLOOKUP(F252,'Comments Feeder'!$B:$W,24,FALSE),"")</f>
        <v/>
      </c>
      <c r="E256" s="194" t="str">
        <f>IFERROR(VLOOKUP(F252,'Comments Feeder'!$B:$W,25,FALSE),"")</f>
        <v/>
      </c>
      <c r="F256" s="302"/>
    </row>
    <row r="257" spans="1:8" x14ac:dyDescent="0.25">
      <c r="A257" s="239" t="str">
        <f>IFERROR(VLOOKUP(F256,'Comments Feeder'!$B:$W,18,FALSE),"")</f>
        <v/>
      </c>
      <c r="B257" s="239">
        <f>IFERROR(VLOOKUP(F255,'Comments Feeder'!$B:$W,21,FALSE),"")</f>
        <v>-34</v>
      </c>
      <c r="C257" s="239" t="str">
        <f>IFERROR(VLOOKUP(F254,'Comments Feeder'!$B:$W,23,FALSE),"")</f>
        <v/>
      </c>
      <c r="D257" s="194" t="str">
        <f>IFERROR(VLOOKUP(F253,'Comments Feeder'!$B:$W,24,FALSE),"")</f>
        <v/>
      </c>
      <c r="E257" s="194" t="str">
        <f>IFERROR(VLOOKUP(F253,'Comments Feeder'!$B:$W,25,FALSE),"")</f>
        <v/>
      </c>
      <c r="F257" s="302" t="s">
        <v>381</v>
      </c>
    </row>
    <row r="258" spans="1:8" x14ac:dyDescent="0.25">
      <c r="A258" s="239" t="str">
        <f>IFERROR(VLOOKUP(F257,'Comments Feeder'!$B:$W,18,FALSE),"")</f>
        <v/>
      </c>
      <c r="B258" s="239" t="str">
        <f>IFERROR(VLOOKUP(F256,'Comments Feeder'!$B:$W,21,FALSE),"")</f>
        <v/>
      </c>
      <c r="C258" s="239" t="str">
        <f>IFERROR(VLOOKUP(F255,'Comments Feeder'!$B:$W,23,FALSE),"")</f>
        <v/>
      </c>
      <c r="D258" s="194" t="str">
        <f>IFERROR(VLOOKUP(F254,'Comments Feeder'!$B:$W,24,FALSE),"")</f>
        <v/>
      </c>
      <c r="E258" s="194" t="str">
        <f>IFERROR(VLOOKUP(F254,'Comments Feeder'!$B:$W,25,FALSE),"")</f>
        <v/>
      </c>
      <c r="F258" s="204"/>
    </row>
    <row r="259" spans="1:8" x14ac:dyDescent="0.25">
      <c r="A259" s="239" t="str">
        <f>IFERROR(VLOOKUP(F258,'Comments Feeder'!$B:$W,18,FALSE),"")</f>
        <v/>
      </c>
      <c r="B259" s="239" t="str">
        <f>IFERROR(VLOOKUP(F257,'Comments Feeder'!$B:$W,21,FALSE),"")</f>
        <v/>
      </c>
      <c r="C259" s="239" t="str">
        <f>IFERROR(VLOOKUP(F256,'Comments Feeder'!$B:$W,23,FALSE),"")</f>
        <v/>
      </c>
      <c r="D259" s="194" t="str">
        <f>IFERROR(VLOOKUP(F255,'Comments Feeder'!$B:$W,24,FALSE),"")</f>
        <v/>
      </c>
      <c r="E259" s="194" t="str">
        <f>IFERROR(VLOOKUP(F255,'Comments Feeder'!$B:$W,25,FALSE),"")</f>
        <v/>
      </c>
      <c r="F259" s="227"/>
    </row>
    <row r="260" spans="1:8" ht="13.5" thickBot="1" x14ac:dyDescent="0.3">
      <c r="A260" s="304" t="str">
        <f>IFERROR(VLOOKUP(F259,'Comments Feeder'!$B:$W,18,FALSE),"")</f>
        <v/>
      </c>
      <c r="B260" s="304" t="str">
        <f>IFERROR(VLOOKUP(F258,'Comments Feeder'!$B:$W,21,FALSE),"")</f>
        <v/>
      </c>
      <c r="C260" s="304" t="str">
        <f>IFERROR(VLOOKUP(F257,'Comments Feeder'!$B:$W,23,FALSE),"")</f>
        <v/>
      </c>
      <c r="D260" s="305" t="str">
        <f>IFERROR(VLOOKUP(F256,'Comments Feeder'!$B:$W,24,FALSE),"")</f>
        <v/>
      </c>
      <c r="E260" s="305" t="str">
        <f>IFERROR(VLOOKUP(F256,'Comments Feeder'!$B:$W,25,FALSE),"")</f>
        <v/>
      </c>
      <c r="F260" s="225"/>
    </row>
    <row r="262" spans="1:8" ht="15.5" x14ac:dyDescent="0.25">
      <c r="A262" s="832" t="s">
        <v>382</v>
      </c>
      <c r="B262" s="833"/>
      <c r="C262" s="833"/>
      <c r="D262" s="833"/>
      <c r="E262" s="833"/>
      <c r="F262" s="834"/>
      <c r="H262" s="182"/>
    </row>
    <row r="263" spans="1:8" ht="13" thickBot="1" x14ac:dyDescent="0.3">
      <c r="A263" s="235"/>
      <c r="F263" s="211"/>
      <c r="H263" s="182"/>
    </row>
    <row r="264" spans="1:8" ht="78.5" thickBot="1" x14ac:dyDescent="0.3">
      <c r="A264" s="244" t="str">
        <f>A236</f>
        <v>Actual Variance at 30 September 2024         £'000</v>
      </c>
      <c r="B264" s="245" t="str">
        <f>B236</f>
        <v>Projected Outturn Variance at 30 September 2024         £'000</v>
      </c>
      <c r="C264" s="246" t="str">
        <f t="shared" ref="C264:E264" si="3">C236</f>
        <v>Variance to last month's Probable Outturn   £'000</v>
      </c>
      <c r="D264" s="246" t="str">
        <f t="shared" si="3"/>
        <v>Outturn Variance @previous quarter  £'000</v>
      </c>
      <c r="E264" s="246" t="str">
        <f t="shared" si="3"/>
        <v>Outturn Variance from previous quarter £'000</v>
      </c>
      <c r="F264" s="212"/>
      <c r="H264" s="182"/>
    </row>
    <row r="265" spans="1:8" ht="13" x14ac:dyDescent="0.25">
      <c r="A265" s="239" t="str">
        <f>IFERROR(VLOOKUP(F264,'Comments Feeder'!$B:$W,18,FALSE),"")</f>
        <v/>
      </c>
      <c r="B265" s="239" t="str">
        <f>IFERROR(VLOOKUP(F263,'Comments Feeder'!$B:$W,21,FALSE),"")</f>
        <v/>
      </c>
      <c r="C265" s="239" t="str">
        <f>IFERROR(VLOOKUP(F262,'Comments Feeder'!$B:$W,23,FALSE),"")</f>
        <v/>
      </c>
      <c r="D265" s="194" t="str">
        <f>IFERROR(VLOOKUP(F261,'Comments Feeder'!$B:$W,24,FALSE),"")</f>
        <v/>
      </c>
      <c r="E265" s="194" t="str">
        <f>IFERROR(VLOOKUP(F261,'Comments Feeder'!$B:$W,25,FALSE),"")</f>
        <v/>
      </c>
      <c r="F265" s="214" t="s">
        <v>36</v>
      </c>
      <c r="H265" s="182"/>
    </row>
    <row r="266" spans="1:8" x14ac:dyDescent="0.25">
      <c r="A266" s="239">
        <f>IFERROR(VLOOKUP(F265,'Comments Feeder'!$B:$W,18,FALSE),"")</f>
        <v>-387</v>
      </c>
      <c r="B266" s="239" t="str">
        <f>IFERROR(VLOOKUP(F264,'Comments Feeder'!$B:$W,21,FALSE),"")</f>
        <v/>
      </c>
      <c r="C266" s="239" t="str">
        <f>IFERROR(VLOOKUP(F263,'Comments Feeder'!$B:$W,23,FALSE),"")</f>
        <v/>
      </c>
      <c r="D266" s="194" t="str">
        <f>IFERROR(VLOOKUP(F262,'Comments Feeder'!$B:$W,24,FALSE),"")</f>
        <v/>
      </c>
      <c r="E266" s="194" t="str">
        <f>IFERROR(VLOOKUP(F262,'Comments Feeder'!$B:$W,25,FALSE),"")</f>
        <v/>
      </c>
      <c r="F266" s="770" t="s">
        <v>383</v>
      </c>
      <c r="H266" s="182"/>
    </row>
    <row r="267" spans="1:8" ht="14.5" x14ac:dyDescent="0.25">
      <c r="A267" s="239" t="str">
        <f>IFERROR(VLOOKUP(F266,'Comments Feeder'!$B:$W,18,FALSE),"")</f>
        <v/>
      </c>
      <c r="B267" s="239">
        <v>-100</v>
      </c>
      <c r="C267" s="239" t="str">
        <f>IFERROR(VLOOKUP(F264,'Comments Feeder'!$B:$W,23,FALSE),"")</f>
        <v/>
      </c>
      <c r="D267" s="194" t="str">
        <f>IFERROR(VLOOKUP(F263,'Comments Feeder'!$B:$W,24,FALSE),"")</f>
        <v/>
      </c>
      <c r="E267" s="194" t="str">
        <f>IFERROR(VLOOKUP(F263,'Comments Feeder'!$B:$W,25,FALSE),"")</f>
        <v/>
      </c>
      <c r="F267" s="770" t="s">
        <v>384</v>
      </c>
      <c r="H267" s="182"/>
    </row>
    <row r="268" spans="1:8" ht="14.5" x14ac:dyDescent="0.25">
      <c r="A268" s="239"/>
      <c r="B268" s="239"/>
      <c r="C268" s="239"/>
      <c r="D268" s="194"/>
      <c r="E268" s="194"/>
      <c r="F268" s="770" t="s">
        <v>385</v>
      </c>
      <c r="H268" s="182"/>
    </row>
    <row r="269" spans="1:8" ht="14.5" x14ac:dyDescent="0.25">
      <c r="A269" s="239"/>
      <c r="B269" s="239"/>
      <c r="C269" s="239"/>
      <c r="D269" s="194"/>
      <c r="E269" s="194"/>
      <c r="F269" s="770" t="s">
        <v>386</v>
      </c>
      <c r="H269" s="182"/>
    </row>
    <row r="270" spans="1:8" ht="14.5" x14ac:dyDescent="0.25">
      <c r="A270" s="239"/>
      <c r="B270" s="239"/>
      <c r="C270" s="239"/>
      <c r="D270" s="194"/>
      <c r="E270" s="194"/>
      <c r="F270" s="770" t="s">
        <v>387</v>
      </c>
      <c r="H270" s="182"/>
    </row>
    <row r="271" spans="1:8" ht="14.5" x14ac:dyDescent="0.25">
      <c r="A271" s="239"/>
      <c r="B271" s="239"/>
      <c r="C271" s="239"/>
      <c r="D271" s="194"/>
      <c r="E271" s="194"/>
      <c r="F271" s="770" t="s">
        <v>388</v>
      </c>
      <c r="H271" s="182"/>
    </row>
    <row r="272" spans="1:8" x14ac:dyDescent="0.25">
      <c r="A272" s="239" t="str">
        <f>IFERROR(VLOOKUP(F267,'Comments Feeder'!$B:$W,18,FALSE),"")</f>
        <v/>
      </c>
      <c r="B272" s="239" t="str">
        <f>IFERROR(VLOOKUP(F266,'Comments Feeder'!$B:$W,21,FALSE),"")</f>
        <v/>
      </c>
      <c r="C272" s="239" t="str">
        <f>IFERROR(VLOOKUP(F265,'Comments Feeder'!$B:$W,23,FALSE),"")</f>
        <v/>
      </c>
      <c r="D272" s="194" t="str">
        <f>IFERROR(VLOOKUP(F264,'Comments Feeder'!$B:$W,24,FALSE),"")</f>
        <v/>
      </c>
      <c r="E272" s="194" t="str">
        <f>IFERROR(VLOOKUP(F264,'Comments Feeder'!$B:$W,25,FALSE),"")</f>
        <v/>
      </c>
      <c r="F272" s="799" t="s">
        <v>389</v>
      </c>
      <c r="H272" s="182"/>
    </row>
    <row r="273" spans="1:8" x14ac:dyDescent="0.25">
      <c r="A273" s="239"/>
      <c r="B273" s="239"/>
      <c r="C273" s="239"/>
      <c r="D273" s="194"/>
      <c r="E273" s="194"/>
      <c r="F273" s="809" t="s">
        <v>390</v>
      </c>
      <c r="H273" s="182"/>
    </row>
    <row r="274" spans="1:8" x14ac:dyDescent="0.25">
      <c r="A274" s="239"/>
      <c r="B274" s="239"/>
      <c r="C274" s="239"/>
      <c r="D274" s="194"/>
      <c r="E274" s="194"/>
      <c r="F274" s="809" t="s">
        <v>391</v>
      </c>
      <c r="H274" s="182"/>
    </row>
    <row r="275" spans="1:8" x14ac:dyDescent="0.25">
      <c r="A275" s="239" t="str">
        <f>IFERROR(VLOOKUP(F272,'Comments Feeder'!$B:$W,18,FALSE),"")</f>
        <v/>
      </c>
      <c r="B275" s="239" t="str">
        <f>IFERROR(VLOOKUP(F267,'Comments Feeder'!$B:$W,21,FALSE),"")</f>
        <v/>
      </c>
      <c r="C275" s="239" t="str">
        <f>IFERROR(VLOOKUP(F266,'Comments Feeder'!$B:$W,23,FALSE),"")</f>
        <v/>
      </c>
      <c r="D275" s="194" t="str">
        <f>IFERROR(VLOOKUP(F265,'Comments Feeder'!$B:$W,24,FALSE),"")</f>
        <v/>
      </c>
      <c r="E275" s="194" t="str">
        <f>IFERROR(VLOOKUP(F265,'Comments Feeder'!$B:$W,25,FALSE),"")</f>
        <v/>
      </c>
      <c r="F275" s="800" t="s">
        <v>392</v>
      </c>
      <c r="H275" s="182"/>
    </row>
    <row r="276" spans="1:8" x14ac:dyDescent="0.25">
      <c r="A276" s="239"/>
      <c r="B276" s="239"/>
      <c r="C276" s="239"/>
      <c r="D276" s="194"/>
      <c r="E276" s="194"/>
      <c r="F276" s="809" t="s">
        <v>393</v>
      </c>
      <c r="H276" s="182"/>
    </row>
    <row r="277" spans="1:8" x14ac:dyDescent="0.25">
      <c r="A277" s="239"/>
      <c r="B277" s="239"/>
      <c r="C277" s="239"/>
      <c r="D277" s="194"/>
      <c r="E277" s="194"/>
      <c r="F277" s="809" t="s">
        <v>394</v>
      </c>
      <c r="H277" s="182"/>
    </row>
    <row r="278" spans="1:8" x14ac:dyDescent="0.25">
      <c r="A278" s="239"/>
      <c r="B278" s="239"/>
      <c r="C278" s="239"/>
      <c r="D278" s="194"/>
      <c r="E278" s="194"/>
      <c r="F278" s="816" t="s">
        <v>395</v>
      </c>
      <c r="H278" s="182"/>
    </row>
    <row r="279" spans="1:8" x14ac:dyDescent="0.25">
      <c r="A279" s="239"/>
      <c r="B279" s="239"/>
      <c r="C279" s="239"/>
      <c r="D279" s="194"/>
      <c r="E279" s="194"/>
      <c r="F279" s="816" t="s">
        <v>396</v>
      </c>
      <c r="H279" s="182"/>
    </row>
    <row r="280" spans="1:8" ht="13" x14ac:dyDescent="0.25">
      <c r="A280" s="304" t="str">
        <f>IFERROR(VLOOKUP(F275,'Comments Feeder'!$B:$W,18,FALSE),"")</f>
        <v/>
      </c>
      <c r="B280" s="304" t="str">
        <f>IFERROR(VLOOKUP(F272,'Comments Feeder'!$B:$W,21,FALSE),"")</f>
        <v/>
      </c>
      <c r="C280" s="304" t="str">
        <f>IFERROR(VLOOKUP(F267,'Comments Feeder'!$B:$W,23,FALSE),"")</f>
        <v/>
      </c>
      <c r="D280" s="305" t="str">
        <f>IFERROR(VLOOKUP(F266,'Comments Feeder'!$B:$W,24,FALSE),"")</f>
        <v/>
      </c>
      <c r="E280" s="305" t="str">
        <f>IFERROR(VLOOKUP(F266,'Comments Feeder'!$B:$W,25,FALSE),"")</f>
        <v/>
      </c>
      <c r="F280" s="218"/>
      <c r="H280" s="182"/>
    </row>
    <row r="281" spans="1:8" ht="13" x14ac:dyDescent="0.25">
      <c r="A281" s="239" t="str">
        <f>IFERROR(VLOOKUP(F280,'Comments Feeder'!$B:$W,18,FALSE),"")</f>
        <v/>
      </c>
      <c r="B281" s="239" t="str">
        <f>IFERROR(VLOOKUP(F275,'Comments Feeder'!$B:$W,21,FALSE),"")</f>
        <v/>
      </c>
      <c r="C281" s="239" t="str">
        <f>IFERROR(VLOOKUP(F272,'Comments Feeder'!$B:$W,23,FALSE),"")</f>
        <v/>
      </c>
      <c r="D281" s="194" t="str">
        <f>IFERROR(VLOOKUP(F267,'Comments Feeder'!$B:$W,24,FALSE),"")</f>
        <v/>
      </c>
      <c r="E281" s="194" t="str">
        <f>IFERROR(VLOOKUP(F267,'Comments Feeder'!$B:$W,25,FALSE),"")</f>
        <v/>
      </c>
      <c r="F281" s="214" t="s">
        <v>38</v>
      </c>
      <c r="H281" s="182"/>
    </row>
    <row r="282" spans="1:8" ht="13" x14ac:dyDescent="0.25">
      <c r="A282" s="239"/>
      <c r="B282" s="239"/>
      <c r="C282" s="239"/>
      <c r="D282" s="194"/>
      <c r="E282" s="194"/>
      <c r="F282" s="779" t="s">
        <v>5745</v>
      </c>
      <c r="H282" s="182"/>
    </row>
    <row r="283" spans="1:8" x14ac:dyDescent="0.25">
      <c r="A283" s="239">
        <f>IFERROR(VLOOKUP(F281,'Comments Feeder'!$B:$W,18,FALSE),"")</f>
        <v>267</v>
      </c>
      <c r="B283" s="239" t="str">
        <f>IFERROR(VLOOKUP(F280,'Comments Feeder'!$B:$W,21,FALSE),"")</f>
        <v/>
      </c>
      <c r="C283" s="239" t="str">
        <f>IFERROR(VLOOKUP(F275,'Comments Feeder'!$B:$W,23,FALSE),"")</f>
        <v/>
      </c>
      <c r="D283" s="194" t="str">
        <f>IFERROR(VLOOKUP(F272,'Comments Feeder'!$B:$W,24,FALSE),"")</f>
        <v/>
      </c>
      <c r="E283" s="194" t="str">
        <f>IFERROR(VLOOKUP(F272,'Comments Feeder'!$B:$W,25,FALSE),"")</f>
        <v/>
      </c>
      <c r="F283" s="801" t="s">
        <v>397</v>
      </c>
      <c r="H283" s="182"/>
    </row>
    <row r="284" spans="1:8" x14ac:dyDescent="0.25">
      <c r="A284" s="239"/>
      <c r="B284" s="239" t="str">
        <f>IFERROR(VLOOKUP(F272,'Comments Feeder'!$B:$W,21,FALSE),"")</f>
        <v/>
      </c>
      <c r="C284" s="239"/>
      <c r="D284" s="194"/>
      <c r="E284" s="194"/>
      <c r="F284" s="770" t="s">
        <v>398</v>
      </c>
      <c r="H284" s="182"/>
    </row>
    <row r="285" spans="1:8" x14ac:dyDescent="0.25">
      <c r="A285" s="239"/>
      <c r="B285" s="239"/>
      <c r="C285" s="239"/>
      <c r="D285" s="194"/>
      <c r="E285" s="194"/>
      <c r="F285" s="770" t="s">
        <v>399</v>
      </c>
      <c r="H285" s="182"/>
    </row>
    <row r="286" spans="1:8" x14ac:dyDescent="0.25">
      <c r="A286" s="239"/>
      <c r="B286" s="239"/>
      <c r="C286" s="239"/>
      <c r="D286" s="194"/>
      <c r="E286" s="194"/>
      <c r="F286" s="770" t="s">
        <v>400</v>
      </c>
      <c r="H286" s="182"/>
    </row>
    <row r="287" spans="1:8" ht="14.5" x14ac:dyDescent="0.35">
      <c r="A287" s="239" t="str">
        <f>IFERROR(VLOOKUP(F283,'Comments Feeder'!$B:$W,18,FALSE),"")</f>
        <v/>
      </c>
      <c r="B287" s="239">
        <v>0</v>
      </c>
      <c r="C287" s="239" t="str">
        <f>IFERROR(VLOOKUP(F280,'Comments Feeder'!$B:$W,23,FALSE),"")</f>
        <v/>
      </c>
      <c r="D287" s="194" t="str">
        <f>IFERROR(VLOOKUP(F275,'Comments Feeder'!$B:$W,24,FALSE),"")</f>
        <v/>
      </c>
      <c r="E287" s="194" t="str">
        <f>IFERROR(VLOOKUP(F275,'Comments Feeder'!$B:$W,25,FALSE),"")</f>
        <v/>
      </c>
      <c r="F287" s="809" t="s">
        <v>401</v>
      </c>
      <c r="H287" s="182"/>
    </row>
    <row r="288" spans="1:8" ht="13" x14ac:dyDescent="0.25">
      <c r="A288" s="239" t="str">
        <f>IFERROR(VLOOKUP(F287,'Comments Feeder'!$B:$W,18,FALSE),"")</f>
        <v/>
      </c>
      <c r="B288" s="239" t="str">
        <f>IFERROR(VLOOKUP(F283,'Comments Feeder'!$B:$W,21,FALSE),"")</f>
        <v/>
      </c>
      <c r="C288" s="239" t="str">
        <f>IFERROR(VLOOKUP(F281,'Comments Feeder'!$B:$W,23,FALSE),"")</f>
        <v/>
      </c>
      <c r="D288" s="194" t="str">
        <f>IFERROR(VLOOKUP(F280,'Comments Feeder'!$B:$W,24,FALSE),"")</f>
        <v/>
      </c>
      <c r="E288" s="194" t="str">
        <f>IFERROR(VLOOKUP(F280,'Comments Feeder'!$B:$W,25,FALSE),"")</f>
        <v/>
      </c>
      <c r="F288" s="830" t="s">
        <v>5743</v>
      </c>
      <c r="H288" s="182"/>
    </row>
    <row r="289" spans="1:8" x14ac:dyDescent="0.25">
      <c r="A289" s="239" t="str">
        <f>IFERROR(VLOOKUP(F288,'Comments Feeder'!$B:$W,18,FALSE),"")</f>
        <v/>
      </c>
      <c r="B289" s="239" t="str">
        <f>IFERROR(VLOOKUP(F287,'Comments Feeder'!$B:$W,21,FALSE),"")</f>
        <v/>
      </c>
      <c r="C289" s="239" t="str">
        <f>IFERROR(VLOOKUP(F283,'Comments Feeder'!$B:$W,23,FALSE),"")</f>
        <v/>
      </c>
      <c r="D289" s="194" t="str">
        <f>IFERROR(VLOOKUP(F281,'Comments Feeder'!$B:$W,24,FALSE),"")</f>
        <v/>
      </c>
      <c r="E289" s="194" t="str">
        <f>IFERROR(VLOOKUP(F281,'Comments Feeder'!$B:$W,25,FALSE),"")</f>
        <v/>
      </c>
      <c r="F289" s="196" t="s">
        <v>5744</v>
      </c>
      <c r="H289" s="182"/>
    </row>
    <row r="290" spans="1:8" ht="13.5" thickBot="1" x14ac:dyDescent="0.3">
      <c r="A290" s="304">
        <f>IFERROR(VLOOKUP(F289,'Comments Feeder'!$B:$W,18,FALSE),"")</f>
        <v>721</v>
      </c>
      <c r="B290" s="304" t="str">
        <f>IFERROR(VLOOKUP(F288,'Comments Feeder'!$B:$W,21,FALSE),"")</f>
        <v/>
      </c>
      <c r="C290" s="304" t="str">
        <f>IFERROR(VLOOKUP(F287,'Comments Feeder'!$B:$W,23,FALSE),"")</f>
        <v/>
      </c>
      <c r="D290" s="305" t="str">
        <f>IFERROR(VLOOKUP(F283,'Comments Feeder'!$B:$W,24,FALSE),"")</f>
        <v/>
      </c>
      <c r="E290" s="305" t="str">
        <f>IFERROR(VLOOKUP(F283,'Comments Feeder'!$B:$W,25,FALSE),"")</f>
        <v/>
      </c>
      <c r="F290" s="218"/>
      <c r="H290" s="182"/>
    </row>
    <row r="291" spans="1:8" ht="13" x14ac:dyDescent="0.25">
      <c r="A291" s="239" t="str">
        <f>IFERROR(VLOOKUP(F290,'Comments Feeder'!$B:$W,18,FALSE),"")</f>
        <v/>
      </c>
      <c r="B291" s="239">
        <f>IFERROR(VLOOKUP(F289,'Comments Feeder'!$B:$W,21,FALSE),"")</f>
        <v>0</v>
      </c>
      <c r="C291" s="239" t="str">
        <f>IFERROR(VLOOKUP(F288,'Comments Feeder'!$B:$W,23,FALSE),"")</f>
        <v/>
      </c>
      <c r="D291" s="194" t="str">
        <f>IFERROR(VLOOKUP(F287,'Comments Feeder'!$B:$W,24,FALSE),"")</f>
        <v/>
      </c>
      <c r="E291" s="194" t="str">
        <f>IFERROR(VLOOKUP(F287,'Comments Feeder'!$B:$W,25,FALSE),"")</f>
        <v/>
      </c>
      <c r="F291" s="214" t="s">
        <v>37</v>
      </c>
      <c r="H291" s="182"/>
    </row>
    <row r="292" spans="1:8" x14ac:dyDescent="0.25">
      <c r="A292" s="239">
        <f>IFERROR(VLOOKUP(F291,'Comments Feeder'!$B:$W,18,FALSE),"")</f>
        <v>-17</v>
      </c>
      <c r="B292" s="239" t="str">
        <f>IFERROR(VLOOKUP(F290,'Comments Feeder'!$B:$W,21,FALSE),"")</f>
        <v/>
      </c>
      <c r="C292" s="239" t="str">
        <f>IFERROR(VLOOKUP(F289,'Comments Feeder'!$B:$W,23,FALSE),"")</f>
        <v/>
      </c>
      <c r="D292" s="194" t="str">
        <f>IFERROR(VLOOKUP(F288,'Comments Feeder'!$B:$W,24,FALSE),"")</f>
        <v/>
      </c>
      <c r="E292" s="194" t="str">
        <f>IFERROR(VLOOKUP(F288,'Comments Feeder'!$B:$W,25,FALSE),"")</f>
        <v/>
      </c>
      <c r="F292" s="770" t="s">
        <v>402</v>
      </c>
      <c r="H292" s="182"/>
    </row>
    <row r="293" spans="1:8" x14ac:dyDescent="0.25">
      <c r="A293" s="239" t="str">
        <f>IFERROR(VLOOKUP(F292,'Comments Feeder'!$B:$W,18,FALSE),"")</f>
        <v/>
      </c>
      <c r="B293" s="239">
        <f>IFERROR(VLOOKUP(F291,'Comments Feeder'!$B:$W,21,FALSE),"")</f>
        <v>-35</v>
      </c>
      <c r="C293" s="239" t="str">
        <f>IFERROR(VLOOKUP(F290,'Comments Feeder'!$B:$W,23,FALSE),"")</f>
        <v/>
      </c>
      <c r="D293" s="194" t="str">
        <f>IFERROR(VLOOKUP(F289,'Comments Feeder'!$B:$W,24,FALSE),"")</f>
        <v/>
      </c>
      <c r="E293" s="194" t="str">
        <f>IFERROR(VLOOKUP(F289,'Comments Feeder'!$B:$W,25,FALSE),"")</f>
        <v/>
      </c>
      <c r="F293" s="583"/>
      <c r="H293" s="182"/>
    </row>
    <row r="294" spans="1:8" x14ac:dyDescent="0.25">
      <c r="A294" s="239" t="str">
        <f>IFERROR(VLOOKUP(F293,'Comments Feeder'!$B:$W,18,FALSE),"")</f>
        <v/>
      </c>
      <c r="B294" s="239" t="str">
        <f>IFERROR(VLOOKUP(F292,'Comments Feeder'!$B:$W,21,FALSE),"")</f>
        <v/>
      </c>
      <c r="C294" s="239" t="str">
        <f>IFERROR(VLOOKUP(F291,'Comments Feeder'!$B:$W,23,FALSE),"")</f>
        <v/>
      </c>
      <c r="D294" s="194" t="str">
        <f>IFERROR(VLOOKUP(F290,'Comments Feeder'!$B:$W,24,FALSE),"")</f>
        <v/>
      </c>
      <c r="E294" s="194" t="str">
        <f>IFERROR(VLOOKUP(F290,'Comments Feeder'!$B:$W,25,FALSE),"")</f>
        <v/>
      </c>
      <c r="F294" s="196"/>
      <c r="H294" s="182"/>
    </row>
    <row r="295" spans="1:8" x14ac:dyDescent="0.25">
      <c r="A295" s="239" t="str">
        <f>IFERROR(VLOOKUP(F294,'Comments Feeder'!$B:$W,18,FALSE),"")</f>
        <v/>
      </c>
      <c r="B295" s="239" t="str">
        <f>IFERROR(VLOOKUP(F293,'Comments Feeder'!$B:$W,21,FALSE),"")</f>
        <v/>
      </c>
      <c r="C295" s="239" t="str">
        <f>IFERROR(VLOOKUP(F292,'Comments Feeder'!$B:$W,23,FALSE),"")</f>
        <v/>
      </c>
      <c r="D295" s="194" t="str">
        <f>IFERROR(VLOOKUP(F291,'Comments Feeder'!$B:$W,24,FALSE),"")</f>
        <v/>
      </c>
      <c r="E295" s="194" t="str">
        <f>IFERROR(VLOOKUP(F291,'Comments Feeder'!$B:$W,25,FALSE),"")</f>
        <v/>
      </c>
      <c r="F295" s="196"/>
      <c r="H295" s="182"/>
    </row>
    <row r="296" spans="1:8" ht="13.5" thickBot="1" x14ac:dyDescent="0.3">
      <c r="A296" s="218" t="str">
        <f>IFERROR(VLOOKUP(F295,'Comments Feeder'!$B:$W,18,FALSE),"")</f>
        <v/>
      </c>
      <c r="B296" s="218" t="str">
        <f>IFERROR(VLOOKUP(F294,'Comments Feeder'!$B:$W,21,FALSE),"")</f>
        <v/>
      </c>
      <c r="C296" s="304" t="str">
        <f>IFERROR(VLOOKUP(F293,'Comments Feeder'!$B:$W,23,FALSE),"")</f>
        <v/>
      </c>
      <c r="D296" s="305" t="str">
        <f>IFERROR(VLOOKUP(F292,'Comments Feeder'!$B:$W,24,FALSE),"")</f>
        <v/>
      </c>
      <c r="E296" s="305" t="str">
        <f>IFERROR(VLOOKUP(F292,'Comments Feeder'!$B:$W,25,FALSE),"")</f>
        <v/>
      </c>
      <c r="F296" s="218"/>
      <c r="H296" s="182"/>
    </row>
    <row r="297" spans="1:8" ht="13" x14ac:dyDescent="0.25">
      <c r="A297" s="239" t="str">
        <f>IFERROR(VLOOKUP(F280,'Comments Feeder'!$B:$W,18,FALSE),"")</f>
        <v/>
      </c>
      <c r="B297" s="239" t="str">
        <f>IFERROR(VLOOKUP(F275,'Comments Feeder'!$B:$W,21,FALSE),"")</f>
        <v/>
      </c>
      <c r="C297" s="239"/>
      <c r="D297" s="194"/>
      <c r="E297" s="194"/>
      <c r="F297" s="214" t="s">
        <v>39</v>
      </c>
      <c r="H297" s="182"/>
    </row>
    <row r="298" spans="1:8" x14ac:dyDescent="0.25">
      <c r="A298" s="239">
        <f>IFERROR(VLOOKUP(F297,'Comments Feeder'!$B:$W,18,FALSE),"")</f>
        <v>723</v>
      </c>
      <c r="B298" s="239" t="str">
        <f>IFERROR(VLOOKUP(F280,'Comments Feeder'!$B:$W,21,FALSE),"")</f>
        <v/>
      </c>
      <c r="C298" s="239"/>
      <c r="D298" s="194"/>
      <c r="E298" s="194"/>
      <c r="F298" s="596" t="s">
        <v>403</v>
      </c>
      <c r="H298" s="182"/>
    </row>
    <row r="299" spans="1:8" x14ac:dyDescent="0.25">
      <c r="A299" s="239"/>
      <c r="B299" s="239">
        <f>IFERROR(VLOOKUP(F297,'Comments Feeder'!$B:$W,21,FALSE),"")</f>
        <v>1897</v>
      </c>
      <c r="C299" s="239"/>
      <c r="D299" s="194"/>
      <c r="E299" s="194"/>
      <c r="F299" s="596" t="s">
        <v>404</v>
      </c>
      <c r="H299" s="182"/>
    </row>
    <row r="300" spans="1:8" x14ac:dyDescent="0.25">
      <c r="A300" s="239"/>
      <c r="B300" s="239"/>
      <c r="C300" s="239"/>
      <c r="D300" s="194"/>
      <c r="E300" s="194"/>
      <c r="F300" s="817" t="s">
        <v>405</v>
      </c>
      <c r="H300" s="182"/>
    </row>
    <row r="301" spans="1:8" ht="14.5" x14ac:dyDescent="0.35">
      <c r="A301" s="239"/>
      <c r="B301" s="239"/>
      <c r="C301" s="239"/>
      <c r="D301" s="194"/>
      <c r="E301" s="194"/>
      <c r="F301" s="810" t="s">
        <v>406</v>
      </c>
      <c r="H301" s="182"/>
    </row>
    <row r="302" spans="1:8" x14ac:dyDescent="0.25">
      <c r="A302" s="239"/>
      <c r="B302" s="239"/>
      <c r="C302" s="239"/>
      <c r="D302" s="194"/>
      <c r="E302" s="194"/>
      <c r="F302" s="596"/>
      <c r="H302" s="182"/>
    </row>
    <row r="303" spans="1:8" ht="13.5" thickBot="1" x14ac:dyDescent="0.3">
      <c r="A303" s="218" t="str">
        <f>IFERROR(VLOOKUP(#REF!,'Comments Feeder'!$B:$W,18,FALSE),"")</f>
        <v/>
      </c>
      <c r="B303" s="218" t="str">
        <f>IFERROR(VLOOKUP(#REF!,'Comments Feeder'!$B:$W,21,FALSE),"")</f>
        <v/>
      </c>
      <c r="C303" s="304"/>
      <c r="D303" s="305"/>
      <c r="E303" s="305"/>
      <c r="F303" s="218"/>
      <c r="H303" s="182"/>
    </row>
    <row r="304" spans="1:8" ht="13" x14ac:dyDescent="0.25">
      <c r="A304" s="239" t="str">
        <f>IFERROR(VLOOKUP(F290,'Comments Feeder'!$B:$W,18,FALSE),"")</f>
        <v/>
      </c>
      <c r="B304" s="239">
        <f>IFERROR(VLOOKUP(F289,'Comments Feeder'!$B:$W,21,FALSE),"")</f>
        <v>0</v>
      </c>
      <c r="C304" s="239"/>
      <c r="D304" s="194"/>
      <c r="E304" s="194"/>
      <c r="F304" s="214" t="s">
        <v>40</v>
      </c>
      <c r="H304" s="182"/>
    </row>
    <row r="305" spans="1:8" x14ac:dyDescent="0.25">
      <c r="A305" s="239">
        <f>IFERROR(VLOOKUP(F304,'Comments Feeder'!$B:$W,18,FALSE),"")</f>
        <v>297</v>
      </c>
      <c r="B305" s="239" t="str">
        <f>IFERROR(VLOOKUP(F290,'Comments Feeder'!$B:$W,21,FALSE),"")</f>
        <v/>
      </c>
      <c r="C305" s="239"/>
      <c r="D305" s="194"/>
      <c r="E305" s="194"/>
      <c r="F305" s="596" t="s">
        <v>407</v>
      </c>
      <c r="H305" s="182"/>
    </row>
    <row r="306" spans="1:8" x14ac:dyDescent="0.25">
      <c r="A306" s="239" t="str">
        <f>IFERROR(VLOOKUP(F305,'Comments Feeder'!$B:$W,18,FALSE),"")</f>
        <v/>
      </c>
      <c r="B306" s="239">
        <v>0</v>
      </c>
      <c r="C306" s="239"/>
      <c r="D306" s="194"/>
      <c r="E306" s="194"/>
      <c r="F306" s="596" t="s">
        <v>408</v>
      </c>
      <c r="H306" s="182"/>
    </row>
    <row r="307" spans="1:8" x14ac:dyDescent="0.25">
      <c r="A307" s="239"/>
      <c r="B307" s="239"/>
      <c r="C307" s="239"/>
      <c r="D307" s="194"/>
      <c r="E307" s="194"/>
      <c r="F307" s="596" t="s">
        <v>409</v>
      </c>
      <c r="H307" s="182"/>
    </row>
    <row r="308" spans="1:8" x14ac:dyDescent="0.25">
      <c r="A308" s="239"/>
      <c r="B308" s="239"/>
      <c r="C308" s="239"/>
      <c r="D308" s="194"/>
      <c r="E308" s="194"/>
      <c r="F308" s="596" t="s">
        <v>410</v>
      </c>
      <c r="H308" s="182"/>
    </row>
    <row r="309" spans="1:8" x14ac:dyDescent="0.25">
      <c r="A309" s="239" t="str">
        <f>IFERROR(VLOOKUP(F306,'Comments Feeder'!$B:$W,18,FALSE),"")</f>
        <v/>
      </c>
      <c r="B309" s="239" t="str">
        <f>IFERROR(VLOOKUP(F305,'Comments Feeder'!$B:$W,21,FALSE),"")</f>
        <v/>
      </c>
      <c r="C309" s="239"/>
      <c r="D309" s="194"/>
      <c r="E309" s="194"/>
      <c r="F309" s="462"/>
      <c r="H309" s="182"/>
    </row>
    <row r="310" spans="1:8" ht="13" x14ac:dyDescent="0.25">
      <c r="A310" s="239" t="str">
        <f>IFERROR(VLOOKUP(F309,'Comments Feeder'!$B:$W,18,FALSE),"")</f>
        <v/>
      </c>
      <c r="B310" s="239" t="str">
        <f>IFERROR(VLOOKUP(F306,'Comments Feeder'!$B:$W,21,FALSE),"")</f>
        <v/>
      </c>
      <c r="C310" s="239"/>
      <c r="D310" s="194"/>
      <c r="E310" s="194"/>
      <c r="F310" s="457"/>
      <c r="H310" s="182"/>
    </row>
    <row r="311" spans="1:8" ht="13.5" thickBot="1" x14ac:dyDescent="0.3">
      <c r="A311" s="218" t="str">
        <f>IFERROR(VLOOKUP(F310,'Comments Feeder'!$B:$W,18,FALSE),"")</f>
        <v/>
      </c>
      <c r="B311" s="218" t="str">
        <f>IFERROR(VLOOKUP(F309,'Comments Feeder'!$B:$W,21,FALSE),"")</f>
        <v/>
      </c>
      <c r="C311" s="304"/>
      <c r="D311" s="305"/>
      <c r="E311" s="305"/>
      <c r="F311" s="218"/>
      <c r="H311" s="182"/>
    </row>
    <row r="312" spans="1:8" ht="13" x14ac:dyDescent="0.25">
      <c r="A312" s="239" t="str">
        <f>IFERROR(VLOOKUP(F296,'Comments Feeder'!$B:$W,18,FALSE),"")</f>
        <v/>
      </c>
      <c r="B312" s="239" t="str">
        <f>IFERROR(VLOOKUP(F295,'Comments Feeder'!$B:$W,21,FALSE),"")</f>
        <v/>
      </c>
      <c r="C312" s="239"/>
      <c r="D312" s="194"/>
      <c r="E312" s="194"/>
      <c r="F312" s="214" t="s">
        <v>41</v>
      </c>
      <c r="H312" s="182"/>
    </row>
    <row r="313" spans="1:8" x14ac:dyDescent="0.25">
      <c r="A313" s="239">
        <f>IFERROR(VLOOKUP(F312,'Comments Feeder'!$B:$W,18,FALSE),"")</f>
        <v>0</v>
      </c>
      <c r="B313" s="239" t="str">
        <f>IFERROR(VLOOKUP(F296,'Comments Feeder'!$B:$W,21,FALSE),"")</f>
        <v/>
      </c>
      <c r="C313" s="239"/>
      <c r="D313" s="194"/>
      <c r="E313" s="194"/>
      <c r="F313" s="596" t="s">
        <v>411</v>
      </c>
      <c r="H313" s="182"/>
    </row>
    <row r="314" spans="1:8" x14ac:dyDescent="0.25">
      <c r="A314" s="239" t="str">
        <f>IFERROR(VLOOKUP(F313,'Comments Feeder'!$B:$W,18,FALSE),"")</f>
        <v/>
      </c>
      <c r="B314" s="239">
        <f>IFERROR(VLOOKUP(F312,'Comments Feeder'!$B:$W,21,FALSE),"")</f>
        <v>0</v>
      </c>
      <c r="C314" s="239"/>
      <c r="D314" s="194"/>
      <c r="E314" s="194"/>
      <c r="F314" s="462"/>
      <c r="H314" s="182"/>
    </row>
    <row r="315" spans="1:8" x14ac:dyDescent="0.25">
      <c r="A315" s="239" t="str">
        <f>IFERROR(VLOOKUP(F314,'Comments Feeder'!$B:$W,18,FALSE),"")</f>
        <v/>
      </c>
      <c r="B315" s="239" t="str">
        <f>IFERROR(VLOOKUP(F313,'Comments Feeder'!$B:$W,21,FALSE),"")</f>
        <v/>
      </c>
      <c r="C315" s="239"/>
      <c r="D315" s="194"/>
      <c r="E315" s="194"/>
      <c r="F315" s="462"/>
      <c r="H315" s="182"/>
    </row>
    <row r="316" spans="1:8" ht="13" x14ac:dyDescent="0.25">
      <c r="A316" s="239" t="str">
        <f>IFERROR(VLOOKUP(F315,'Comments Feeder'!$B:$W,18,FALSE),"")</f>
        <v/>
      </c>
      <c r="B316" s="239" t="str">
        <f>IFERROR(VLOOKUP(F314,'Comments Feeder'!$B:$W,21,FALSE),"")</f>
        <v/>
      </c>
      <c r="C316" s="239"/>
      <c r="D316" s="194"/>
      <c r="E316" s="194"/>
      <c r="F316" s="457"/>
      <c r="H316" s="182"/>
    </row>
    <row r="317" spans="1:8" ht="13.5" thickBot="1" x14ac:dyDescent="0.3">
      <c r="A317" s="218" t="str">
        <f>IFERROR(VLOOKUP(F316,'Comments Feeder'!$B:$W,18,FALSE),"")</f>
        <v/>
      </c>
      <c r="B317" s="218" t="str">
        <f>IFERROR(VLOOKUP(F315,'Comments Feeder'!$B:$W,21,FALSE),"")</f>
        <v/>
      </c>
      <c r="C317" s="304"/>
      <c r="D317" s="305"/>
      <c r="E317" s="305"/>
      <c r="F317" s="218"/>
      <c r="H317" s="182"/>
    </row>
    <row r="318" spans="1:8" ht="13" x14ac:dyDescent="0.25">
      <c r="A318" s="239" t="str">
        <f>IFERROR(VLOOKUP(F317,'Comments Feeder'!$B:$W,18,FALSE),"")</f>
        <v/>
      </c>
      <c r="B318" s="239" t="str">
        <f>IFERROR(VLOOKUP(F316,'Comments Feeder'!$B:$W,21,FALSE),"")</f>
        <v/>
      </c>
      <c r="C318" s="239" t="str">
        <f>IFERROR(VLOOKUP(F294,'Comments Feeder'!$B:$W,23,FALSE),"")</f>
        <v/>
      </c>
      <c r="D318" s="194" t="str">
        <f>IFERROR(VLOOKUP(F293,'Comments Feeder'!$B:$W,24,FALSE),"")</f>
        <v/>
      </c>
      <c r="E318" s="194" t="str">
        <f>IFERROR(VLOOKUP(F293,'Comments Feeder'!$B:$W,25,FALSE),"")</f>
        <v/>
      </c>
      <c r="F318" s="214" t="s">
        <v>43</v>
      </c>
      <c r="H318" s="182"/>
    </row>
    <row r="319" spans="1:8" x14ac:dyDescent="0.25">
      <c r="A319" s="239">
        <f>IFERROR(VLOOKUP(F318,'Comments Feeder'!$B:$W,18,FALSE),"")</f>
        <v>883</v>
      </c>
      <c r="B319" s="239" t="str">
        <f>IFERROR(VLOOKUP(F317,'Comments Feeder'!$B:$W,21,FALSE),"")</f>
        <v/>
      </c>
      <c r="C319" s="239" t="str">
        <f>IFERROR(VLOOKUP(F295,'Comments Feeder'!$B:$W,23,FALSE),"")</f>
        <v/>
      </c>
      <c r="D319" s="194" t="str">
        <f>IFERROR(VLOOKUP(F294,'Comments Feeder'!$B:$W,24,FALSE),"")</f>
        <v/>
      </c>
      <c r="E319" s="194" t="str">
        <f>IFERROR(VLOOKUP(F294,'Comments Feeder'!$B:$W,25,FALSE),"")</f>
        <v/>
      </c>
      <c r="F319" s="596"/>
      <c r="H319" s="182"/>
    </row>
    <row r="320" spans="1:8" x14ac:dyDescent="0.25">
      <c r="A320" s="239" t="str">
        <f>IFERROR(VLOOKUP(F319,'Comments Feeder'!$B:$W,18,FALSE),"")</f>
        <v/>
      </c>
      <c r="B320" s="239">
        <f>+B299+B293+B267</f>
        <v>1762</v>
      </c>
      <c r="C320" s="239" t="str">
        <f>IFERROR(VLOOKUP(F296,'Comments Feeder'!$B:$W,23,FALSE),"")</f>
        <v/>
      </c>
      <c r="D320" s="194" t="str">
        <f>IFERROR(VLOOKUP(F295,'Comments Feeder'!$B:$W,24,FALSE),"")</f>
        <v/>
      </c>
      <c r="E320" s="194" t="str">
        <f>IFERROR(VLOOKUP(F295,'Comments Feeder'!$B:$W,25,FALSE),"")</f>
        <v/>
      </c>
      <c r="F320" s="318"/>
      <c r="H320" s="182"/>
    </row>
    <row r="321" spans="1:9" x14ac:dyDescent="0.25">
      <c r="A321" s="239" t="str">
        <f>IFERROR(VLOOKUP(F320,'Comments Feeder'!$B:$W,18,FALSE),"")</f>
        <v/>
      </c>
      <c r="B321" s="239" t="str">
        <f>IFERROR(VLOOKUP(F319,'Comments Feeder'!$B:$W,21,FALSE),"")</f>
        <v/>
      </c>
      <c r="C321" s="239" t="str">
        <f>IFERROR(VLOOKUP(F318,'Comments Feeder'!$B:$W,23,FALSE),"")</f>
        <v/>
      </c>
      <c r="D321" s="194" t="str">
        <f>IFERROR(VLOOKUP(F296,'Comments Feeder'!$B:$W,24,FALSE),"")</f>
        <v/>
      </c>
      <c r="E321" s="194" t="str">
        <f>IFERROR(VLOOKUP(F296,'Comments Feeder'!$B:$W,25,FALSE),"")</f>
        <v/>
      </c>
      <c r="F321" s="196"/>
      <c r="H321" s="182"/>
    </row>
    <row r="322" spans="1:9" x14ac:dyDescent="0.25">
      <c r="A322" s="239" t="str">
        <f>IFERROR(VLOOKUP(F321,'Comments Feeder'!$B:$W,18,FALSE),"")</f>
        <v/>
      </c>
      <c r="B322" s="239" t="str">
        <f>IFERROR(VLOOKUP(F320,'Comments Feeder'!$B:$W,21,FALSE),"")</f>
        <v/>
      </c>
      <c r="C322" s="239" t="str">
        <f>IFERROR(VLOOKUP(F319,'Comments Feeder'!$B:$W,23,FALSE),"")</f>
        <v/>
      </c>
      <c r="D322" s="194" t="str">
        <f>IFERROR(VLOOKUP(F318,'Comments Feeder'!$B:$W,24,FALSE),"")</f>
        <v/>
      </c>
      <c r="E322" s="194" t="str">
        <f>IFERROR(VLOOKUP(F318,'Comments Feeder'!$B:$W,25,FALSE),"")</f>
        <v/>
      </c>
      <c r="F322" s="196"/>
      <c r="H322" s="182"/>
    </row>
    <row r="323" spans="1:9" ht="13.5" thickBot="1" x14ac:dyDescent="0.3">
      <c r="A323" s="304" t="str">
        <f>IFERROR(VLOOKUP(F322,'Comments Feeder'!$B:$W,18,FALSE),"")</f>
        <v/>
      </c>
      <c r="B323" s="304" t="str">
        <f>IFERROR(VLOOKUP(F321,'Comments Feeder'!$B:$W,21,FALSE),"")</f>
        <v/>
      </c>
      <c r="C323" s="304" t="str">
        <f>IFERROR(VLOOKUP(F320,'Comments Feeder'!$B:$W,23,FALSE),"")</f>
        <v/>
      </c>
      <c r="D323" s="305" t="str">
        <f>IFERROR(VLOOKUP(F319,'Comments Feeder'!$B:$W,24,FALSE),"")</f>
        <v/>
      </c>
      <c r="E323" s="305" t="str">
        <f>IFERROR(VLOOKUP(F319,'Comments Feeder'!$B:$W,25,FALSE),"")</f>
        <v/>
      </c>
      <c r="F323" s="218"/>
      <c r="H323" s="182"/>
    </row>
    <row r="324" spans="1:9" s="192" customFormat="1" x14ac:dyDescent="0.25">
      <c r="A324" s="242"/>
      <c r="B324" s="242"/>
      <c r="C324" s="199"/>
      <c r="D324" s="200"/>
      <c r="E324" s="201"/>
      <c r="F324" s="202"/>
      <c r="G324" s="203"/>
      <c r="H324" s="183"/>
      <c r="I324" s="182"/>
    </row>
    <row r="325" spans="1:9" ht="18" customHeight="1" x14ac:dyDescent="0.25">
      <c r="A325" s="243" t="s">
        <v>412</v>
      </c>
      <c r="B325" s="234"/>
      <c r="F325" s="187"/>
    </row>
    <row r="326" spans="1:9" ht="13" thickBot="1" x14ac:dyDescent="0.3">
      <c r="F326" s="187"/>
    </row>
    <row r="327" spans="1:9" ht="78.5" thickBot="1" x14ac:dyDescent="0.3">
      <c r="A327" s="244" t="str">
        <f>A5</f>
        <v>Actual Variance at 30 September 2024         £'000</v>
      </c>
      <c r="B327" s="245" t="str">
        <f>B5</f>
        <v>Projected Outturn Variance at 30 September 2024         £'000</v>
      </c>
      <c r="C327" s="245" t="str">
        <f>C5</f>
        <v>Variance to last month's Probable Outturn   £'000</v>
      </c>
      <c r="D327" s="245" t="str">
        <f>D5</f>
        <v>Outturn Variance @previous quarter  £'000</v>
      </c>
      <c r="E327" s="245" t="str">
        <f>E5</f>
        <v>Outturn Variance from previous quarter £'000</v>
      </c>
      <c r="F327" s="189"/>
    </row>
    <row r="328" spans="1:9" ht="13" x14ac:dyDescent="0.25">
      <c r="A328" s="239" t="str">
        <f>IFERROR(VLOOKUP(#REF!,'Comments Feeder'!$B:$W,18,FALSE),"")</f>
        <v/>
      </c>
      <c r="B328" s="239" t="str">
        <f>IFERROR(VLOOKUP(#REF!,'Comments Feeder'!$B:$W,21,FALSE),"")</f>
        <v/>
      </c>
      <c r="C328" s="239" t="str">
        <f>IFERROR(VLOOKUP(#REF!,'Comments Feeder'!$B:$W,23,FALSE),"")</f>
        <v/>
      </c>
      <c r="D328" s="194" t="str">
        <f>IFERROR(VLOOKUP(#REF!,'Comments Feeder'!$B:$W,24,FALSE),"")</f>
        <v/>
      </c>
      <c r="E328" s="194" t="str">
        <f>IFERROR(VLOOKUP(#REF!,'Comments Feeder'!$B:$W,25,FALSE),"")</f>
        <v/>
      </c>
      <c r="F328" s="189" t="s">
        <v>44</v>
      </c>
    </row>
    <row r="329" spans="1:9" s="192" customFormat="1" ht="54" customHeight="1" x14ac:dyDescent="0.25">
      <c r="A329" s="239">
        <f>IFERROR(VLOOKUP(F328,'Comments Feeder'!$B:$W,18,FALSE),"")</f>
        <v>-151</v>
      </c>
      <c r="B329" s="239" t="str">
        <f>IFERROR(VLOOKUP(#REF!,'Comments Feeder'!$B:$W,21,FALSE),"")</f>
        <v/>
      </c>
      <c r="C329" s="239" t="str">
        <f>IFERROR(VLOOKUP(#REF!,'Comments Feeder'!$B:$W,23,FALSE),"")</f>
        <v/>
      </c>
      <c r="D329" s="194" t="str">
        <f>IFERROR(VLOOKUP(#REF!,'Comments Feeder'!$B:$W,24,FALSE),"")</f>
        <v/>
      </c>
      <c r="E329" s="194" t="str">
        <f>IFERROR(VLOOKUP(#REF!,'Comments Feeder'!$B:$W,25,FALSE),"")</f>
        <v/>
      </c>
      <c r="F329" s="768" t="s">
        <v>413</v>
      </c>
      <c r="H329" s="193"/>
    </row>
    <row r="330" spans="1:9" s="192" customFormat="1" ht="25" x14ac:dyDescent="0.25">
      <c r="A330" s="239" t="str">
        <f>IFERROR(VLOOKUP(F329,'Comments Feeder'!$B:$W,18,FALSE),"")</f>
        <v/>
      </c>
      <c r="B330" s="239">
        <f>IFERROR(VLOOKUP(F328,'Comments Feeder'!$B:$W,21,FALSE),"")</f>
        <v>10</v>
      </c>
      <c r="C330" s="239" t="str">
        <f>IFERROR(VLOOKUP(#REF!,'Comments Feeder'!$B:$W,23,FALSE),"")</f>
        <v/>
      </c>
      <c r="D330" s="194" t="str">
        <f>IFERROR(VLOOKUP(#REF!,'Comments Feeder'!$B:$W,24,FALSE),"")</f>
        <v/>
      </c>
      <c r="E330" s="194" t="str">
        <f>IFERROR(VLOOKUP(#REF!,'Comments Feeder'!$B:$W,25,FALSE),"")</f>
        <v/>
      </c>
      <c r="F330" s="802" t="s">
        <v>414</v>
      </c>
      <c r="H330" s="193"/>
    </row>
    <row r="331" spans="1:9" s="192" customFormat="1" x14ac:dyDescent="0.25">
      <c r="A331" s="239" t="str">
        <f>IFERROR(VLOOKUP(#REF!,'Comments Feeder'!$B:$W,18,FALSE),"")</f>
        <v/>
      </c>
      <c r="B331" s="239" t="str">
        <f>IFERROR(VLOOKUP(F329,'Comments Feeder'!$B:$W,21,FALSE),"")</f>
        <v/>
      </c>
      <c r="C331" s="239" t="str">
        <f>IFERROR(VLOOKUP(F328,'Comments Feeder'!$B:$W,23,FALSE),"")</f>
        <v/>
      </c>
      <c r="D331" s="194" t="str">
        <f>IFERROR(VLOOKUP(#REF!,'Comments Feeder'!$B:$W,24,FALSE),"")</f>
        <v/>
      </c>
      <c r="E331" s="194" t="str">
        <f>IFERROR(VLOOKUP(#REF!,'Comments Feeder'!$B:$W,25,FALSE),"")</f>
        <v/>
      </c>
      <c r="F331" s="204"/>
      <c r="H331" s="193"/>
    </row>
    <row r="332" spans="1:9" ht="13.5" thickBot="1" x14ac:dyDescent="0.3">
      <c r="A332" s="304" t="str">
        <f>IFERROR(VLOOKUP(F331,'Comments Feeder'!$B:$W,18,FALSE),"")</f>
        <v/>
      </c>
      <c r="B332" s="304" t="str">
        <f>IFERROR(VLOOKUP(#REF!,'Comments Feeder'!$B:$W,21,FALSE),"")</f>
        <v/>
      </c>
      <c r="C332" s="304" t="str">
        <f>IFERROR(VLOOKUP(F329,'Comments Feeder'!$B:$W,23,FALSE),"")</f>
        <v/>
      </c>
      <c r="D332" s="305" t="str">
        <f>IFERROR(VLOOKUP(F328,'Comments Feeder'!$B:$W,24,FALSE),"")</f>
        <v/>
      </c>
      <c r="E332" s="305" t="str">
        <f>IFERROR(VLOOKUP(F328,'Comments Feeder'!$B:$W,25,FALSE),"")</f>
        <v/>
      </c>
      <c r="F332" s="205"/>
      <c r="H332" s="193"/>
    </row>
    <row r="333" spans="1:9" ht="13" hidden="1" x14ac:dyDescent="0.25">
      <c r="A333" s="239" t="str">
        <f>IFERROR(VLOOKUP(F332,'Comments Feeder'!$B:$W,18,FALSE),"")</f>
        <v/>
      </c>
      <c r="B333" s="239" t="str">
        <f>IFERROR(VLOOKUP(F331,'Comments Feeder'!$B:$W,21,FALSE),"")</f>
        <v/>
      </c>
      <c r="C333" s="239" t="str">
        <f>IFERROR(VLOOKUP(#REF!,'Comments Feeder'!$B:$W,23,FALSE),"")</f>
        <v/>
      </c>
      <c r="D333" s="194" t="str">
        <f>IFERROR(VLOOKUP(F329,'Comments Feeder'!$B:$W,24,FALSE),"")</f>
        <v/>
      </c>
      <c r="E333" s="194" t="str">
        <f>IFERROR(VLOOKUP(F329,'Comments Feeder'!$B:$W,25,FALSE),"")</f>
        <v/>
      </c>
      <c r="F333" s="189" t="s">
        <v>45</v>
      </c>
    </row>
    <row r="334" spans="1:9" s="192" customFormat="1" ht="38.25" hidden="1" customHeight="1" x14ac:dyDescent="0.25">
      <c r="A334" s="239">
        <f>IFERROR(VLOOKUP(F333,'Comments Feeder'!$B:$W,18,FALSE),"")</f>
        <v>-151</v>
      </c>
      <c r="B334" s="239" t="str">
        <f>IFERROR(VLOOKUP(F332,'Comments Feeder'!$B:$W,21,FALSE),"")</f>
        <v/>
      </c>
      <c r="C334" s="239" t="str">
        <f>IFERROR(VLOOKUP(F331,'Comments Feeder'!$B:$W,23,FALSE),"")</f>
        <v/>
      </c>
      <c r="D334" s="194" t="str">
        <f>IFERROR(VLOOKUP(#REF!,'Comments Feeder'!$B:$W,24,FALSE),"")</f>
        <v/>
      </c>
      <c r="E334" s="194" t="str">
        <f>IFERROR(VLOOKUP(#REF!,'Comments Feeder'!$B:$W,25,FALSE),"")</f>
        <v/>
      </c>
      <c r="F334" s="596"/>
      <c r="H334" s="193"/>
    </row>
    <row r="335" spans="1:9" s="192" customFormat="1" ht="33.75" hidden="1" customHeight="1" x14ac:dyDescent="0.25">
      <c r="A335" s="239" t="str">
        <f>IFERROR(VLOOKUP(F334,'Comments Feeder'!$B:$W,18,FALSE),"")</f>
        <v/>
      </c>
      <c r="B335" s="239">
        <f>IFERROR(VLOOKUP(F333,'Comments Feeder'!$B:$W,21,FALSE),"")</f>
        <v>10</v>
      </c>
      <c r="C335" s="239" t="str">
        <f>IFERROR(VLOOKUP(F332,'Comments Feeder'!$B:$W,23,FALSE),"")</f>
        <v/>
      </c>
      <c r="D335" s="194" t="str">
        <f>IFERROR(VLOOKUP(F331,'Comments Feeder'!$B:$W,24,FALSE),"")</f>
        <v/>
      </c>
      <c r="E335" s="194" t="str">
        <f>IFERROR(VLOOKUP(F331,'Comments Feeder'!$B:$W,25,FALSE),"")</f>
        <v/>
      </c>
      <c r="H335" s="193"/>
    </row>
    <row r="336" spans="1:9" s="192" customFormat="1" hidden="1" x14ac:dyDescent="0.25">
      <c r="A336" s="239" t="str">
        <f>IFERROR(VLOOKUP(F330,'Comments Feeder'!$B:$W,18,FALSE),"")</f>
        <v/>
      </c>
      <c r="B336" s="239" t="str">
        <f>IFERROR(VLOOKUP(F334,'Comments Feeder'!$B:$W,21,FALSE),"")</f>
        <v/>
      </c>
      <c r="C336" s="239" t="str">
        <f>IFERROR(VLOOKUP(F333,'Comments Feeder'!$B:$W,23,FALSE),"")</f>
        <v/>
      </c>
      <c r="D336" s="194" t="str">
        <f>IFERROR(VLOOKUP(F332,'Comments Feeder'!$B:$W,24,FALSE),"")</f>
        <v/>
      </c>
      <c r="E336" s="194" t="str">
        <f>IFERROR(VLOOKUP(F332,'Comments Feeder'!$B:$W,25,FALSE),"")</f>
        <v/>
      </c>
      <c r="F336" s="204"/>
      <c r="H336" s="193"/>
    </row>
    <row r="337" spans="1:8" ht="13.5" hidden="1" thickBot="1" x14ac:dyDescent="0.3">
      <c r="A337" s="304" t="str">
        <f>IFERROR(VLOOKUP(F336,'Comments Feeder'!$B:$W,18,FALSE),"")</f>
        <v/>
      </c>
      <c r="B337" s="304" t="str">
        <f>IFERROR(VLOOKUP(F330,'Comments Feeder'!$B:$W,21,FALSE),"")</f>
        <v/>
      </c>
      <c r="C337" s="304" t="str">
        <f>IFERROR(VLOOKUP(F334,'Comments Feeder'!$B:$W,23,FALSE),"")</f>
        <v/>
      </c>
      <c r="D337" s="305" t="str">
        <f>IFERROR(VLOOKUP(F333,'Comments Feeder'!$B:$W,24,FALSE),"")</f>
        <v/>
      </c>
      <c r="E337" s="305" t="str">
        <f>IFERROR(VLOOKUP(F333,'Comments Feeder'!$B:$W,25,FALSE),"")</f>
        <v/>
      </c>
      <c r="F337" s="205"/>
      <c r="H337" s="182"/>
    </row>
    <row r="338" spans="1:8" ht="13" hidden="1" x14ac:dyDescent="0.25">
      <c r="A338" s="296"/>
      <c r="B338" s="297"/>
      <c r="C338" s="298"/>
      <c r="D338" s="299"/>
      <c r="E338" s="299"/>
      <c r="F338" s="300"/>
      <c r="H338" s="182"/>
    </row>
    <row r="339" spans="1:8" ht="15.5" x14ac:dyDescent="0.25">
      <c r="A339" s="832" t="s">
        <v>415</v>
      </c>
      <c r="B339" s="833"/>
      <c r="C339" s="833"/>
      <c r="D339" s="833"/>
      <c r="E339" s="833"/>
      <c r="F339" s="834"/>
      <c r="H339" s="182"/>
    </row>
    <row r="340" spans="1:8" ht="13" thickBot="1" x14ac:dyDescent="0.3">
      <c r="A340" s="235"/>
      <c r="F340" s="211"/>
      <c r="H340" s="182"/>
    </row>
    <row r="341" spans="1:8" ht="78.5" thickBot="1" x14ac:dyDescent="0.3">
      <c r="A341" s="244" t="str">
        <f>A264</f>
        <v>Actual Variance at 30 September 2024         £'000</v>
      </c>
      <c r="B341" s="245" t="str">
        <f>B264</f>
        <v>Projected Outturn Variance at 30 September 2024         £'000</v>
      </c>
      <c r="C341" s="246" t="str">
        <f>C264</f>
        <v>Variance to last month's Probable Outturn   £'000</v>
      </c>
      <c r="D341" s="246" t="str">
        <f>D264</f>
        <v>Outturn Variance @previous quarter  £'000</v>
      </c>
      <c r="E341" s="246" t="str">
        <f>E264</f>
        <v>Outturn Variance from previous quarter £'000</v>
      </c>
      <c r="F341" s="212"/>
      <c r="H341" s="182"/>
    </row>
    <row r="342" spans="1:8" ht="13" x14ac:dyDescent="0.25">
      <c r="A342" s="239" t="str">
        <f>IFERROR(VLOOKUP(F341,'Comments Feeder'!$B:$W,18,FALSE),"")</f>
        <v/>
      </c>
      <c r="B342" s="239" t="str">
        <f>IFERROR(VLOOKUP(F340,'Comments Feeder'!$B:$W,21,FALSE),"")</f>
        <v/>
      </c>
      <c r="C342" s="239" t="str">
        <f>IFERROR(VLOOKUP(F339,'Comments Feeder'!$B:$W,23,FALSE),"")</f>
        <v/>
      </c>
      <c r="D342" s="194" t="str">
        <f>IFERROR(VLOOKUP(F338,'Comments Feeder'!$B:$W,24,FALSE),"")</f>
        <v/>
      </c>
      <c r="E342" s="194" t="str">
        <f>IFERROR(VLOOKUP(F338,'Comments Feeder'!$B:$W,25,FALSE),"")</f>
        <v/>
      </c>
      <c r="F342" s="214" t="s">
        <v>77</v>
      </c>
      <c r="H342" s="182"/>
    </row>
    <row r="343" spans="1:8" ht="26.25" customHeight="1" x14ac:dyDescent="0.25">
      <c r="A343" s="239">
        <f>IFERROR(VLOOKUP(F342,'Comments Feeder'!$B:$W,18,FALSE),"")</f>
        <v>41</v>
      </c>
      <c r="B343" s="239" t="str">
        <f>IFERROR(VLOOKUP(F341,'Comments Feeder'!$B:$W,21,FALSE),"")</f>
        <v/>
      </c>
      <c r="C343" s="239" t="str">
        <f>IFERROR(VLOOKUP(F340,'Comments Feeder'!$B:$W,23,FALSE),"")</f>
        <v/>
      </c>
      <c r="D343" s="194" t="str">
        <f>IFERROR(VLOOKUP(F339,'Comments Feeder'!$B:$W,24,FALSE),"")</f>
        <v/>
      </c>
      <c r="E343" s="194" t="str">
        <f>IFERROR(VLOOKUP(F339,'Comments Feeder'!$B:$W,25,FALSE),"")</f>
        <v/>
      </c>
      <c r="F343" s="583" t="s">
        <v>416</v>
      </c>
      <c r="H343" s="182"/>
    </row>
    <row r="344" spans="1:8" x14ac:dyDescent="0.25">
      <c r="A344" s="239" t="str">
        <f>IFERROR(VLOOKUP(F343,'Comments Feeder'!$B:$W,18,FALSE),"")</f>
        <v/>
      </c>
      <c r="B344" s="239">
        <f>IFERROR(VLOOKUP(F342,'Comments Feeder'!$B:$W,21,FALSE),"")</f>
        <v>-140</v>
      </c>
      <c r="C344" s="239" t="str">
        <f>IFERROR(VLOOKUP(F341,'Comments Feeder'!$B:$W,23,FALSE),"")</f>
        <v/>
      </c>
      <c r="D344" s="194" t="str">
        <f>IFERROR(VLOOKUP(F340,'Comments Feeder'!$B:$W,24,FALSE),"")</f>
        <v/>
      </c>
      <c r="E344" s="194" t="str">
        <f>IFERROR(VLOOKUP(F340,'Comments Feeder'!$B:$W,25,FALSE),"")</f>
        <v/>
      </c>
      <c r="F344" s="398"/>
      <c r="H344" s="182"/>
    </row>
    <row r="345" spans="1:8" x14ac:dyDescent="0.25">
      <c r="A345" s="239" t="str">
        <f>IFERROR(VLOOKUP(F344,'Comments Feeder'!$B:$W,18,FALSE),"")</f>
        <v/>
      </c>
      <c r="B345" s="239" t="str">
        <f>IFERROR(VLOOKUP(F343,'Comments Feeder'!$B:$W,21,FALSE),"")</f>
        <v/>
      </c>
      <c r="C345" s="239" t="str">
        <f>IFERROR(VLOOKUP(F342,'Comments Feeder'!$B:$W,23,FALSE),"")</f>
        <v/>
      </c>
      <c r="D345" s="194" t="str">
        <f>IFERROR(VLOOKUP(F341,'Comments Feeder'!$B:$W,24,FALSE),"")</f>
        <v/>
      </c>
      <c r="E345" s="194" t="str">
        <f>IFERROR(VLOOKUP(F341,'Comments Feeder'!$B:$W,25,FALSE),"")</f>
        <v/>
      </c>
      <c r="F345" s="803" t="s">
        <v>417</v>
      </c>
      <c r="H345" s="182"/>
    </row>
    <row r="346" spans="1:8" x14ac:dyDescent="0.25">
      <c r="A346" s="239" t="str">
        <f>IFERROR(VLOOKUP(F345,'Comments Feeder'!$B:$W,18,FALSE),"")</f>
        <v/>
      </c>
      <c r="B346" s="239" t="str">
        <f>IFERROR(VLOOKUP(F344,'Comments Feeder'!$B:$W,21,FALSE),"")</f>
        <v/>
      </c>
      <c r="C346" s="239" t="str">
        <f>IFERROR(VLOOKUP(F343,'Comments Feeder'!$B:$W,23,FALSE),"")</f>
        <v/>
      </c>
      <c r="D346" s="194" t="str">
        <f>IFERROR(VLOOKUP(F342,'Comments Feeder'!$B:$W,24,FALSE),"")</f>
        <v/>
      </c>
      <c r="E346" s="194" t="str">
        <f>IFERROR(VLOOKUP(F342,'Comments Feeder'!$B:$W,25,FALSE),"")</f>
        <v/>
      </c>
      <c r="F346" s="196"/>
      <c r="H346" s="182"/>
    </row>
    <row r="347" spans="1:8" ht="13.5" thickBot="1" x14ac:dyDescent="0.3">
      <c r="A347" s="304" t="str">
        <f>IFERROR(VLOOKUP(F346,'Comments Feeder'!$B:$W,18,FALSE),"")</f>
        <v/>
      </c>
      <c r="B347" s="304" t="str">
        <f>IFERROR(VLOOKUP(F345,'Comments Feeder'!$B:$W,21,FALSE),"")</f>
        <v/>
      </c>
      <c r="C347" s="304" t="str">
        <f>IFERROR(VLOOKUP(F344,'Comments Feeder'!$B:$W,23,FALSE),"")</f>
        <v/>
      </c>
      <c r="D347" s="305" t="str">
        <f>IFERROR(VLOOKUP(F343,'Comments Feeder'!$B:$W,24,FALSE),"")</f>
        <v/>
      </c>
      <c r="E347" s="305" t="str">
        <f>IFERROR(VLOOKUP(F343,'Comments Feeder'!$B:$W,25,FALSE),"")</f>
        <v/>
      </c>
      <c r="F347" s="218"/>
      <c r="H347" s="182"/>
    </row>
    <row r="348" spans="1:8" ht="13" x14ac:dyDescent="0.25">
      <c r="A348" s="239" t="str">
        <f>IFERROR(VLOOKUP(F347,'Comments Feeder'!$B:$W,18,FALSE),"")</f>
        <v/>
      </c>
      <c r="B348" s="239" t="str">
        <f>IFERROR(VLOOKUP(F346,'Comments Feeder'!$B:$W,21,FALSE),"")</f>
        <v/>
      </c>
      <c r="C348" s="239" t="str">
        <f>IFERROR(VLOOKUP(F345,'Comments Feeder'!$B:$W,23,FALSE),"")</f>
        <v/>
      </c>
      <c r="D348" s="194" t="str">
        <f>IFERROR(VLOOKUP(F344,'Comments Feeder'!$B:$W,24,FALSE),"")</f>
        <v/>
      </c>
      <c r="E348" s="194" t="str">
        <f>IFERROR(VLOOKUP(F344,'Comments Feeder'!$B:$W,25,FALSE),"")</f>
        <v/>
      </c>
      <c r="F348" s="214" t="s">
        <v>78</v>
      </c>
      <c r="H348" s="182"/>
    </row>
    <row r="349" spans="1:8" ht="28.5" customHeight="1" x14ac:dyDescent="0.25">
      <c r="A349" s="239">
        <f>IFERROR(VLOOKUP(F348,'Comments Feeder'!$B:$W,18,FALSE),"")</f>
        <v>-21</v>
      </c>
      <c r="B349" s="239" t="str">
        <f>IFERROR(VLOOKUP(F347,'Comments Feeder'!$B:$W,21,FALSE),"")</f>
        <v/>
      </c>
      <c r="C349" s="239" t="str">
        <f>IFERROR(VLOOKUP(F346,'Comments Feeder'!$B:$W,23,FALSE),"")</f>
        <v/>
      </c>
      <c r="D349" s="194" t="str">
        <f>IFERROR(VLOOKUP(F345,'Comments Feeder'!$B:$W,24,FALSE),"")</f>
        <v/>
      </c>
      <c r="E349" s="194" t="str">
        <f>IFERROR(VLOOKUP(F345,'Comments Feeder'!$B:$W,25,FALSE),"")</f>
        <v/>
      </c>
      <c r="F349" s="622" t="s">
        <v>418</v>
      </c>
      <c r="H349" s="182"/>
    </row>
    <row r="350" spans="1:8" x14ac:dyDescent="0.25">
      <c r="A350" s="239" t="str">
        <f>IFERROR(VLOOKUP(F349,'Comments Feeder'!$B:$W,18,FALSE),"")</f>
        <v/>
      </c>
      <c r="B350" s="239">
        <f>IFERROR(VLOOKUP(F348,'Comments Feeder'!$B:$W,21,FALSE),"")</f>
        <v>0</v>
      </c>
      <c r="C350" s="239" t="str">
        <f>IFERROR(VLOOKUP(F347,'Comments Feeder'!$B:$W,23,FALSE),"")</f>
        <v/>
      </c>
      <c r="D350" s="194" t="str">
        <f>IFERROR(VLOOKUP(F346,'Comments Feeder'!$B:$W,24,FALSE),"")</f>
        <v/>
      </c>
      <c r="E350" s="194" t="str">
        <f>IFERROR(VLOOKUP(F346,'Comments Feeder'!$B:$W,25,FALSE),"")</f>
        <v/>
      </c>
      <c r="F350" s="593"/>
      <c r="H350" s="182"/>
    </row>
    <row r="351" spans="1:8" x14ac:dyDescent="0.25">
      <c r="A351" s="239" t="str">
        <f>IFERROR(VLOOKUP(F350,'Comments Feeder'!$B:$W,18,FALSE),"")</f>
        <v/>
      </c>
      <c r="B351" s="239" t="str">
        <f>IFERROR(VLOOKUP(F349,'Comments Feeder'!$B:$W,21,FALSE),"")</f>
        <v/>
      </c>
      <c r="C351" s="239" t="str">
        <f>IFERROR(VLOOKUP(F348,'Comments Feeder'!$B:$W,23,FALSE),"")</f>
        <v/>
      </c>
      <c r="D351" s="194" t="str">
        <f>IFERROR(VLOOKUP(F347,'Comments Feeder'!$B:$W,24,FALSE),"")</f>
        <v/>
      </c>
      <c r="E351" s="194" t="str">
        <f>IFERROR(VLOOKUP(F347,'Comments Feeder'!$B:$W,25,FALSE),"")</f>
        <v/>
      </c>
      <c r="F351" s="583" t="s">
        <v>419</v>
      </c>
      <c r="H351" s="182"/>
    </row>
    <row r="352" spans="1:8" x14ac:dyDescent="0.25">
      <c r="A352" s="239" t="str">
        <f>IFERROR(VLOOKUP(F351,'Comments Feeder'!$B:$W,18,FALSE),"")</f>
        <v/>
      </c>
      <c r="B352" s="239" t="str">
        <f>IFERROR(VLOOKUP(F350,'Comments Feeder'!$B:$W,21,FALSE),"")</f>
        <v/>
      </c>
      <c r="C352" s="239" t="str">
        <f>IFERROR(VLOOKUP(F349,'Comments Feeder'!$B:$W,23,FALSE),"")</f>
        <v/>
      </c>
      <c r="D352" s="194" t="str">
        <f>IFERROR(VLOOKUP(F348,'Comments Feeder'!$B:$W,24,FALSE),"")</f>
        <v/>
      </c>
      <c r="E352" s="194" t="str">
        <f>IFERROR(VLOOKUP(F348,'Comments Feeder'!$B:$W,25,FALSE),"")</f>
        <v/>
      </c>
      <c r="F352" s="196"/>
      <c r="H352" s="182"/>
    </row>
    <row r="353" spans="1:8" ht="13.5" thickBot="1" x14ac:dyDescent="0.3">
      <c r="A353" s="304" t="str">
        <f>IFERROR(VLOOKUP(F352,'Comments Feeder'!$B:$W,18,FALSE),"")</f>
        <v/>
      </c>
      <c r="B353" s="304" t="str">
        <f>IFERROR(VLOOKUP(F351,'Comments Feeder'!$B:$W,21,FALSE),"")</f>
        <v/>
      </c>
      <c r="C353" s="304" t="str">
        <f>IFERROR(VLOOKUP(F350,'Comments Feeder'!$B:$W,23,FALSE),"")</f>
        <v/>
      </c>
      <c r="D353" s="305" t="str">
        <f>IFERROR(VLOOKUP(F349,'Comments Feeder'!$B:$W,24,FALSE),"")</f>
        <v/>
      </c>
      <c r="E353" s="305" t="str">
        <f>IFERROR(VLOOKUP(F349,'Comments Feeder'!$B:$W,25,FALSE),"")</f>
        <v/>
      </c>
      <c r="F353" s="218"/>
      <c r="H353" s="182"/>
    </row>
    <row r="354" spans="1:8" ht="13" x14ac:dyDescent="0.25">
      <c r="A354" s="239" t="str">
        <f>IFERROR(VLOOKUP(F353,'Comments Feeder'!$B:$W,18,FALSE),"")</f>
        <v/>
      </c>
      <c r="B354" s="239" t="str">
        <f>IFERROR(VLOOKUP(F352,'Comments Feeder'!$B:$W,21,FALSE),"")</f>
        <v/>
      </c>
      <c r="C354" s="239" t="str">
        <f>IFERROR(VLOOKUP(F351,'Comments Feeder'!$B:$W,23,FALSE),"")</f>
        <v/>
      </c>
      <c r="D354" s="194" t="str">
        <f>IFERROR(VLOOKUP(F350,'Comments Feeder'!$B:$W,24,FALSE),"")</f>
        <v/>
      </c>
      <c r="E354" s="592" t="str">
        <f>IFERROR(VLOOKUP(F350,'Comments Feeder'!$B:$W,25,FALSE),"")</f>
        <v/>
      </c>
      <c r="F354" s="214" t="s">
        <v>79</v>
      </c>
      <c r="H354" s="182"/>
    </row>
    <row r="355" spans="1:8" ht="39.75" customHeight="1" x14ac:dyDescent="0.25">
      <c r="A355" s="239">
        <f>IFERROR(VLOOKUP(F354,'Comments Feeder'!$B:$W,18,FALSE),"")</f>
        <v>38</v>
      </c>
      <c r="B355" s="239" t="str">
        <f>IFERROR(VLOOKUP(F353,'Comments Feeder'!$B:$W,21,FALSE),"")</f>
        <v/>
      </c>
      <c r="C355" s="239" t="str">
        <f>IFERROR(VLOOKUP(F352,'Comments Feeder'!$B:$W,23,FALSE),"")</f>
        <v/>
      </c>
      <c r="D355" s="194" t="str">
        <f>IFERROR(VLOOKUP(F351,'Comments Feeder'!$B:$W,24,FALSE),"")</f>
        <v/>
      </c>
      <c r="E355" s="592" t="str">
        <f>IFERROR(VLOOKUP(F351,'Comments Feeder'!$B:$W,25,FALSE),"")</f>
        <v/>
      </c>
      <c r="F355" s="623" t="s">
        <v>420</v>
      </c>
      <c r="H355" s="182"/>
    </row>
    <row r="356" spans="1:8" x14ac:dyDescent="0.25">
      <c r="A356" s="239" t="str">
        <f>IFERROR(VLOOKUP(F355,'Comments Feeder'!$B:$W,18,FALSE),"")</f>
        <v/>
      </c>
      <c r="B356" s="239">
        <f>IFERROR(VLOOKUP(F354,'Comments Feeder'!$B:$W,21,FALSE),"")</f>
        <v>97</v>
      </c>
      <c r="C356" s="239" t="str">
        <f>IFERROR(VLOOKUP(F353,'Comments Feeder'!$B:$W,23,FALSE),"")</f>
        <v/>
      </c>
      <c r="D356" s="194" t="str">
        <f>IFERROR(VLOOKUP(F352,'Comments Feeder'!$B:$W,24,FALSE),"")</f>
        <v/>
      </c>
      <c r="E356" s="592" t="str">
        <f>IFERROR(VLOOKUP(F352,'Comments Feeder'!$B:$W,25,FALSE),"")</f>
        <v/>
      </c>
      <c r="F356" s="583" t="s">
        <v>421</v>
      </c>
      <c r="H356" s="182"/>
    </row>
    <row r="357" spans="1:8" x14ac:dyDescent="0.25">
      <c r="A357" s="239" t="str">
        <f>IFERROR(VLOOKUP(F356,'Comments Feeder'!$B:$W,18,FALSE),"")</f>
        <v/>
      </c>
      <c r="B357" s="239" t="str">
        <f>IFERROR(VLOOKUP(F355,'Comments Feeder'!$B:$W,21,FALSE),"")</f>
        <v/>
      </c>
      <c r="C357" s="239" t="str">
        <f>IFERROR(VLOOKUP(F354,'Comments Feeder'!$B:$W,23,FALSE),"")</f>
        <v/>
      </c>
      <c r="D357" s="194" t="str">
        <f>IFERROR(VLOOKUP(F353,'Comments Feeder'!$B:$W,24,FALSE),"")</f>
        <v/>
      </c>
      <c r="E357" s="592" t="str">
        <f>IFERROR(VLOOKUP(F353,'Comments Feeder'!$B:$W,25,FALSE),"")</f>
        <v/>
      </c>
      <c r="F357" s="583"/>
      <c r="H357" s="182"/>
    </row>
    <row r="358" spans="1:8" ht="13" thickBot="1" x14ac:dyDescent="0.3">
      <c r="A358" s="239" t="str">
        <f>IFERROR(VLOOKUP(F357,'Comments Feeder'!$B:$W,18,FALSE),"")</f>
        <v/>
      </c>
      <c r="B358" s="239" t="str">
        <f>IFERROR(VLOOKUP(F356,'Comments Feeder'!$B:$W,21,FALSE),"")</f>
        <v/>
      </c>
      <c r="C358" s="239" t="str">
        <f>IFERROR(VLOOKUP(F355,'Comments Feeder'!$B:$W,23,FALSE),"")</f>
        <v/>
      </c>
      <c r="D358" s="194" t="str">
        <f>IFERROR(VLOOKUP(F354,'Comments Feeder'!$B:$W,24,FALSE),"")</f>
        <v/>
      </c>
      <c r="E358" s="592" t="str">
        <f>IFERROR(VLOOKUP(F354,'Comments Feeder'!$B:$W,25,FALSE),"")</f>
        <v/>
      </c>
      <c r="F358" s="624"/>
      <c r="H358" s="182"/>
    </row>
    <row r="359" spans="1:8" ht="13.5" thickBot="1" x14ac:dyDescent="0.3">
      <c r="A359" s="304" t="str">
        <f>IFERROR(VLOOKUP(F358,'Comments Feeder'!$B:$W,18,FALSE),"")</f>
        <v/>
      </c>
      <c r="B359" s="304" t="str">
        <f>IFERROR(VLOOKUP(F357,'Comments Feeder'!$B:$W,21,FALSE),"")</f>
        <v/>
      </c>
      <c r="C359" s="304" t="str">
        <f>IFERROR(VLOOKUP(F356,'Comments Feeder'!$B:$W,23,FALSE),"")</f>
        <v/>
      </c>
      <c r="D359" s="305" t="str">
        <f>IFERROR(VLOOKUP(F355,'Comments Feeder'!$B:$W,24,FALSE),"")</f>
        <v/>
      </c>
      <c r="E359" s="305" t="str">
        <f>IFERROR(VLOOKUP(F355,'Comments Feeder'!$B:$W,25,FALSE),"")</f>
        <v/>
      </c>
      <c r="F359" s="218"/>
      <c r="H359" s="182"/>
    </row>
    <row r="360" spans="1:8" ht="13" x14ac:dyDescent="0.25">
      <c r="A360" s="239" t="str">
        <f>IFERROR(VLOOKUP(F359,'Comments Feeder'!$B:$W,18,FALSE),"")</f>
        <v/>
      </c>
      <c r="B360" s="239" t="str">
        <f>IFERROR(VLOOKUP(F358,'Comments Feeder'!$B:$W,21,FALSE),"")</f>
        <v/>
      </c>
      <c r="C360" s="239" t="str">
        <f>IFERROR(VLOOKUP(F357,'Comments Feeder'!$B:$W,23,FALSE),"")</f>
        <v/>
      </c>
      <c r="D360" s="194" t="str">
        <f>IFERROR(VLOOKUP(F356,'Comments Feeder'!$B:$W,24,FALSE),"")</f>
        <v/>
      </c>
      <c r="E360" s="592" t="str">
        <f>IFERROR(VLOOKUP(F356,'Comments Feeder'!$B:$W,25,FALSE),"")</f>
        <v/>
      </c>
      <c r="F360" s="214" t="s">
        <v>80</v>
      </c>
      <c r="H360" s="182"/>
    </row>
    <row r="361" spans="1:8" x14ac:dyDescent="0.25">
      <c r="A361" s="239">
        <f>IFERROR(VLOOKUP(F360,'Comments Feeder'!$B:$W,18,FALSE),"")</f>
        <v>58</v>
      </c>
      <c r="B361" s="239" t="str">
        <f>IFERROR(VLOOKUP(F359,'Comments Feeder'!$B:$W,21,FALSE),"")</f>
        <v/>
      </c>
      <c r="C361" s="239" t="str">
        <f>IFERROR(VLOOKUP(F358,'Comments Feeder'!$B:$W,23,FALSE),"")</f>
        <v/>
      </c>
      <c r="D361" s="194" t="str">
        <f>IFERROR(VLOOKUP(F357,'Comments Feeder'!$B:$W,24,FALSE),"")</f>
        <v/>
      </c>
      <c r="E361" s="592" t="str">
        <f>IFERROR(VLOOKUP(F357,'Comments Feeder'!$B:$W,25,FALSE),"")</f>
        <v/>
      </c>
      <c r="F361" s="210"/>
      <c r="H361" s="182"/>
    </row>
    <row r="362" spans="1:8" x14ac:dyDescent="0.25">
      <c r="A362" s="239" t="str">
        <f>IFERROR(VLOOKUP(F361,'Comments Feeder'!$B:$W,18,FALSE),"")</f>
        <v/>
      </c>
      <c r="B362" s="239">
        <f>IFERROR(VLOOKUP(F360,'Comments Feeder'!$B:$W,21,FALSE),"")</f>
        <v>-43</v>
      </c>
      <c r="C362" s="239" t="str">
        <f>IFERROR(VLOOKUP(F359,'Comments Feeder'!$B:$W,23,FALSE),"")</f>
        <v/>
      </c>
      <c r="D362" s="194" t="str">
        <f>IFERROR(VLOOKUP(F358,'Comments Feeder'!$B:$W,24,FALSE),"")</f>
        <v/>
      </c>
      <c r="E362" s="592" t="str">
        <f>IFERROR(VLOOKUP(F358,'Comments Feeder'!$B:$W,25,FALSE),"")</f>
        <v/>
      </c>
      <c r="F362" s="594" t="s">
        <v>422</v>
      </c>
      <c r="H362" s="182"/>
    </row>
    <row r="363" spans="1:8" x14ac:dyDescent="0.25">
      <c r="A363" s="239" t="str">
        <f>IFERROR(VLOOKUP(F362,'Comments Feeder'!$B:$W,18,FALSE),"")</f>
        <v/>
      </c>
      <c r="B363" s="239" t="str">
        <f>IFERROR(VLOOKUP(F361,'Comments Feeder'!$B:$W,21,FALSE),"")</f>
        <v/>
      </c>
      <c r="C363" s="239" t="str">
        <f>IFERROR(VLOOKUP(F360,'Comments Feeder'!$B:$W,23,FALSE),"")</f>
        <v/>
      </c>
      <c r="D363" s="194" t="str">
        <f>IFERROR(VLOOKUP(F359,'Comments Feeder'!$B:$W,24,FALSE),"")</f>
        <v/>
      </c>
      <c r="E363" s="592" t="str">
        <f>IFERROR(VLOOKUP(F359,'Comments Feeder'!$B:$W,25,FALSE),"")</f>
        <v/>
      </c>
      <c r="F363" s="583"/>
      <c r="H363" s="182"/>
    </row>
    <row r="364" spans="1:8" ht="13" thickBot="1" x14ac:dyDescent="0.3">
      <c r="A364" s="239" t="str">
        <f>IFERROR(VLOOKUP(F363,'Comments Feeder'!$B:$W,18,FALSE),"")</f>
        <v/>
      </c>
      <c r="B364" s="239" t="str">
        <f>IFERROR(VLOOKUP(F362,'Comments Feeder'!$B:$W,21,FALSE),"")</f>
        <v/>
      </c>
      <c r="C364" s="239" t="str">
        <f>IFERROR(VLOOKUP(F361,'Comments Feeder'!$B:$W,23,FALSE),"")</f>
        <v/>
      </c>
      <c r="D364" s="194" t="str">
        <f>IFERROR(VLOOKUP(F360,'Comments Feeder'!$B:$W,24,FALSE),"")</f>
        <v/>
      </c>
      <c r="E364" s="592" t="str">
        <f>IFERROR(VLOOKUP(F360,'Comments Feeder'!$B:$W,25,FALSE),"")</f>
        <v/>
      </c>
      <c r="F364" s="624"/>
      <c r="H364" s="182"/>
    </row>
    <row r="365" spans="1:8" ht="13.5" thickBot="1" x14ac:dyDescent="0.3">
      <c r="A365" s="304" t="str">
        <f>IFERROR(VLOOKUP(F364,'Comments Feeder'!$B:$W,18,FALSE),"")</f>
        <v/>
      </c>
      <c r="B365" s="304" t="str">
        <f>IFERROR(VLOOKUP(F363,'Comments Feeder'!$B:$W,21,FALSE),"")</f>
        <v/>
      </c>
      <c r="C365" s="304" t="str">
        <f>IFERROR(VLOOKUP(F362,'Comments Feeder'!$B:$W,23,FALSE),"")</f>
        <v/>
      </c>
      <c r="D365" s="305" t="str">
        <f>IFERROR(VLOOKUP(F361,'Comments Feeder'!$B:$W,24,FALSE),"")</f>
        <v/>
      </c>
      <c r="E365" s="305" t="str">
        <f>IFERROR(VLOOKUP(F361,'Comments Feeder'!$B:$W,25,FALSE),"")</f>
        <v/>
      </c>
      <c r="F365" s="218"/>
      <c r="H365" s="182"/>
    </row>
    <row r="367" spans="1:8" ht="15.5" x14ac:dyDescent="0.25">
      <c r="A367" s="832" t="s">
        <v>423</v>
      </c>
      <c r="B367" s="833"/>
      <c r="C367" s="833"/>
      <c r="D367" s="833"/>
      <c r="E367" s="833"/>
      <c r="F367" s="834"/>
      <c r="H367" s="182"/>
    </row>
    <row r="368" spans="1:8" ht="13" thickBot="1" x14ac:dyDescent="0.3">
      <c r="A368" s="235"/>
      <c r="F368" s="211"/>
      <c r="H368" s="182"/>
    </row>
    <row r="369" spans="1:8" ht="78.5" thickBot="1" x14ac:dyDescent="0.3">
      <c r="A369" s="244" t="str">
        <f>A341</f>
        <v>Actual Variance at 30 September 2024         £'000</v>
      </c>
      <c r="B369" s="245" t="str">
        <f>B341</f>
        <v>Projected Outturn Variance at 30 September 2024         £'000</v>
      </c>
      <c r="C369" s="246" t="str">
        <f>C341</f>
        <v>Variance to last month's Probable Outturn   £'000</v>
      </c>
      <c r="D369" s="246" t="str">
        <f>D341</f>
        <v>Outturn Variance @previous quarter  £'000</v>
      </c>
      <c r="E369" s="246" t="str">
        <f>E341</f>
        <v>Outturn Variance from previous quarter £'000</v>
      </c>
      <c r="F369" s="212"/>
      <c r="H369" s="182"/>
    </row>
    <row r="370" spans="1:8" ht="13" x14ac:dyDescent="0.25">
      <c r="A370" s="239" t="str">
        <f>IFERROR(VLOOKUP(F369,'Comments Feeder'!$B:$W,18,FALSE),"")</f>
        <v/>
      </c>
      <c r="B370" s="239" t="str">
        <f>IFERROR(VLOOKUP(F368,'Comments Feeder'!$B:$W,21,FALSE),"")</f>
        <v/>
      </c>
      <c r="C370" s="239" t="str">
        <f>IFERROR(VLOOKUP(F367,'Comments Feeder'!$B:$W,23,FALSE),"")</f>
        <v/>
      </c>
      <c r="D370" s="194" t="str">
        <f>IFERROR(VLOOKUP(F366,'Comments Feeder'!$B:$W,24,FALSE),"")</f>
        <v/>
      </c>
      <c r="E370" s="194" t="str">
        <f>IFERROR(VLOOKUP(F366,'Comments Feeder'!$B:$W,25,FALSE),"")</f>
        <v/>
      </c>
      <c r="F370" s="214" t="s">
        <v>82</v>
      </c>
      <c r="H370" s="182"/>
    </row>
    <row r="371" spans="1:8" ht="45.65" customHeight="1" x14ac:dyDescent="0.25">
      <c r="A371" s="239">
        <f>IFERROR(VLOOKUP(F370,'Comments Feeder'!$B:$W,18,FALSE),"")</f>
        <v>-499</v>
      </c>
      <c r="B371" s="239">
        <v>-500</v>
      </c>
      <c r="C371" s="239" t="str">
        <f>IFERROR(VLOOKUP(F368,'Comments Feeder'!$B:$W,23,FALSE),"")</f>
        <v/>
      </c>
      <c r="D371" s="194" t="str">
        <f>IFERROR(VLOOKUP(F367,'Comments Feeder'!$B:$W,24,FALSE),"")</f>
        <v/>
      </c>
      <c r="E371" s="194" t="str">
        <f>IFERROR(VLOOKUP(F367,'Comments Feeder'!$B:$W,25,FALSE),"")</f>
        <v/>
      </c>
      <c r="F371" s="301" t="s">
        <v>424</v>
      </c>
      <c r="H371" s="182"/>
    </row>
    <row r="372" spans="1:8" x14ac:dyDescent="0.25">
      <c r="A372" s="239" t="str">
        <f>IFERROR(VLOOKUP(F371,'Comments Feeder'!$B:$W,18,FALSE),"")</f>
        <v/>
      </c>
      <c r="B372" s="239">
        <f>IFERROR(VLOOKUP(F370,'Comments Feeder'!$B:$W,21,FALSE),"")</f>
        <v>0</v>
      </c>
      <c r="C372" s="239" t="str">
        <f>IFERROR(VLOOKUP(F369,'Comments Feeder'!$B:$W,23,FALSE),"")</f>
        <v/>
      </c>
      <c r="D372" s="194" t="str">
        <f>IFERROR(VLOOKUP(F368,'Comments Feeder'!$B:$W,24,FALSE),"")</f>
        <v/>
      </c>
      <c r="E372" s="194" t="str">
        <f>IFERROR(VLOOKUP(F368,'Comments Feeder'!$B:$W,25,FALSE),"")</f>
        <v/>
      </c>
      <c r="F372" s="216"/>
      <c r="H372" s="182"/>
    </row>
    <row r="373" spans="1:8" x14ac:dyDescent="0.25">
      <c r="A373" s="239" t="str">
        <f>IFERROR(VLOOKUP(F372,'Comments Feeder'!$B:$W,18,FALSE),"")</f>
        <v/>
      </c>
      <c r="B373" s="239" t="str">
        <f>IFERROR(VLOOKUP(F371,'Comments Feeder'!$B:$W,21,FALSE),"")</f>
        <v/>
      </c>
      <c r="C373" s="239" t="str">
        <f>IFERROR(VLOOKUP(F370,'Comments Feeder'!$B:$W,23,FALSE),"")</f>
        <v/>
      </c>
      <c r="D373" s="194" t="str">
        <f>IFERROR(VLOOKUP(F369,'Comments Feeder'!$B:$W,24,FALSE),"")</f>
        <v/>
      </c>
      <c r="E373" s="194" t="str">
        <f>IFERROR(VLOOKUP(F369,'Comments Feeder'!$B:$W,25,FALSE),"")</f>
        <v/>
      </c>
      <c r="F373" s="217"/>
      <c r="H373" s="182"/>
    </row>
    <row r="374" spans="1:8" x14ac:dyDescent="0.25">
      <c r="A374" s="239" t="str">
        <f>IFERROR(VLOOKUP(F373,'Comments Feeder'!$B:$W,18,FALSE),"")</f>
        <v/>
      </c>
      <c r="B374" s="239" t="str">
        <f>IFERROR(VLOOKUP(F372,'Comments Feeder'!$B:$W,21,FALSE),"")</f>
        <v/>
      </c>
      <c r="C374" s="239" t="str">
        <f>IFERROR(VLOOKUP(F371,'Comments Feeder'!$B:$W,23,FALSE),"")</f>
        <v/>
      </c>
      <c r="D374" s="194" t="str">
        <f>IFERROR(VLOOKUP(F370,'Comments Feeder'!$B:$W,24,FALSE),"")</f>
        <v/>
      </c>
      <c r="E374" s="194" t="str">
        <f>IFERROR(VLOOKUP(F370,'Comments Feeder'!$B:$W,25,FALSE),"")</f>
        <v/>
      </c>
      <c r="F374" s="196"/>
      <c r="H374" s="182"/>
    </row>
    <row r="375" spans="1:8" ht="13.5" thickBot="1" x14ac:dyDescent="0.3">
      <c r="A375" s="304" t="str">
        <f>IFERROR(VLOOKUP(F374,'Comments Feeder'!$B:$W,18,FALSE),"")</f>
        <v/>
      </c>
      <c r="B375" s="304" t="str">
        <f>IFERROR(VLOOKUP(F373,'Comments Feeder'!$B:$W,21,FALSE),"")</f>
        <v/>
      </c>
      <c r="C375" s="304" t="str">
        <f>IFERROR(VLOOKUP(F372,'Comments Feeder'!$B:$W,23,FALSE),"")</f>
        <v/>
      </c>
      <c r="D375" s="305" t="str">
        <f>IFERROR(VLOOKUP(F371,'Comments Feeder'!$B:$W,24,FALSE),"")</f>
        <v/>
      </c>
      <c r="E375" s="305" t="str">
        <f>IFERROR(VLOOKUP(F371,'Comments Feeder'!$B:$W,25,FALSE),"")</f>
        <v/>
      </c>
      <c r="F375" s="218"/>
      <c r="H375" s="182"/>
    </row>
    <row r="376" spans="1:8" ht="13" x14ac:dyDescent="0.25">
      <c r="A376" s="239" t="str">
        <f>IFERROR(VLOOKUP(F375,'Comments Feeder'!$B:$W,18,FALSE),"")</f>
        <v/>
      </c>
      <c r="B376" s="239" t="str">
        <f>IFERROR(VLOOKUP(F374,'Comments Feeder'!$B:$W,21,FALSE),"")</f>
        <v/>
      </c>
      <c r="C376" s="239" t="str">
        <f>IFERROR(VLOOKUP(F373,'Comments Feeder'!$B:$W,23,FALSE),"")</f>
        <v/>
      </c>
      <c r="D376" s="194" t="str">
        <f>IFERROR(VLOOKUP(F372,'Comments Feeder'!$B:$W,24,FALSE),"")</f>
        <v/>
      </c>
      <c r="E376" s="194" t="str">
        <f>IFERROR(VLOOKUP(F372,'Comments Feeder'!$B:$W,25,FALSE),"")</f>
        <v/>
      </c>
      <c r="F376" s="214" t="s">
        <v>83</v>
      </c>
      <c r="H376" s="182"/>
    </row>
    <row r="377" spans="1:8" ht="67.5" customHeight="1" x14ac:dyDescent="0.25">
      <c r="A377" s="239">
        <f>IFERROR(VLOOKUP(F376,'Comments Feeder'!$B:$W,18,FALSE),"")</f>
        <v>-382</v>
      </c>
      <c r="B377" s="239">
        <v>-200</v>
      </c>
      <c r="C377" s="239" t="str">
        <f>IFERROR(VLOOKUP(F374,'Comments Feeder'!$B:$W,23,FALSE),"")</f>
        <v/>
      </c>
      <c r="D377" s="194" t="str">
        <f>IFERROR(VLOOKUP(F373,'Comments Feeder'!$B:$W,24,FALSE),"")</f>
        <v/>
      </c>
      <c r="E377" s="194" t="str">
        <f>IFERROR(VLOOKUP(F373,'Comments Feeder'!$B:$W,25,FALSE),"")</f>
        <v/>
      </c>
      <c r="F377" s="301" t="s">
        <v>425</v>
      </c>
      <c r="H377" s="182"/>
    </row>
    <row r="378" spans="1:8" x14ac:dyDescent="0.25">
      <c r="A378" s="239" t="str">
        <f>IFERROR(VLOOKUP(F377,'Comments Feeder'!$B:$W,18,FALSE),"")</f>
        <v/>
      </c>
      <c r="B378" s="239">
        <f>IFERROR(VLOOKUP(F376,'Comments Feeder'!$B:$W,21,FALSE),"")</f>
        <v>0</v>
      </c>
      <c r="C378" s="239" t="str">
        <f>IFERROR(VLOOKUP(F375,'Comments Feeder'!$B:$W,23,FALSE),"")</f>
        <v/>
      </c>
      <c r="D378" s="194" t="str">
        <f>IFERROR(VLOOKUP(F374,'Comments Feeder'!$B:$W,24,FALSE),"")</f>
        <v/>
      </c>
      <c r="E378" s="194" t="str">
        <f>IFERROR(VLOOKUP(F374,'Comments Feeder'!$B:$W,25,FALSE),"")</f>
        <v/>
      </c>
      <c r="F378" s="216"/>
      <c r="H378" s="182"/>
    </row>
    <row r="379" spans="1:8" x14ac:dyDescent="0.25">
      <c r="A379" s="239" t="str">
        <f>IFERROR(VLOOKUP(F378,'Comments Feeder'!$B:$W,18,FALSE),"")</f>
        <v/>
      </c>
      <c r="B379" s="239" t="str">
        <f>IFERROR(VLOOKUP(F377,'Comments Feeder'!$B:$W,21,FALSE),"")</f>
        <v/>
      </c>
      <c r="C379" s="239" t="str">
        <f>IFERROR(VLOOKUP(F376,'Comments Feeder'!$B:$W,23,FALSE),"")</f>
        <v/>
      </c>
      <c r="D379" s="194" t="str">
        <f>IFERROR(VLOOKUP(F375,'Comments Feeder'!$B:$W,24,FALSE),"")</f>
        <v/>
      </c>
      <c r="E379" s="194" t="str">
        <f>IFERROR(VLOOKUP(F375,'Comments Feeder'!$B:$W,25,FALSE),"")</f>
        <v/>
      </c>
      <c r="F379" s="217"/>
      <c r="H379" s="182"/>
    </row>
    <row r="380" spans="1:8" x14ac:dyDescent="0.25">
      <c r="A380" s="239" t="str">
        <f>IFERROR(VLOOKUP(F379,'Comments Feeder'!$B:$W,18,FALSE),"")</f>
        <v/>
      </c>
      <c r="B380" s="239" t="str">
        <f>IFERROR(VLOOKUP(F378,'Comments Feeder'!$B:$W,21,FALSE),"")</f>
        <v/>
      </c>
      <c r="C380" s="239" t="str">
        <f>IFERROR(VLOOKUP(F377,'Comments Feeder'!$B:$W,23,FALSE),"")</f>
        <v/>
      </c>
      <c r="D380" s="194" t="str">
        <f>IFERROR(VLOOKUP(F376,'Comments Feeder'!$B:$W,24,FALSE),"")</f>
        <v/>
      </c>
      <c r="E380" s="194" t="str">
        <f>IFERROR(VLOOKUP(F376,'Comments Feeder'!$B:$W,25,FALSE),"")</f>
        <v/>
      </c>
      <c r="F380" s="196"/>
      <c r="H380" s="182"/>
    </row>
    <row r="381" spans="1:8" ht="13.5" thickBot="1" x14ac:dyDescent="0.3">
      <c r="A381" s="304" t="str">
        <f>IFERROR(VLOOKUP(F380,'Comments Feeder'!$B:$W,18,FALSE),"")</f>
        <v/>
      </c>
      <c r="B381" s="304" t="str">
        <f>IFERROR(VLOOKUP(F379,'Comments Feeder'!$B:$W,21,FALSE),"")</f>
        <v/>
      </c>
      <c r="C381" s="304" t="str">
        <f>IFERROR(VLOOKUP(F378,'Comments Feeder'!$B:$W,23,FALSE),"")</f>
        <v/>
      </c>
      <c r="D381" s="305" t="str">
        <f>IFERROR(VLOOKUP(F377,'Comments Feeder'!$B:$W,24,FALSE),"")</f>
        <v/>
      </c>
      <c r="E381" s="305" t="str">
        <f>IFERROR(VLOOKUP(F377,'Comments Feeder'!$B:$W,25,FALSE),"")</f>
        <v/>
      </c>
      <c r="F381" s="218"/>
      <c r="H381" s="182"/>
    </row>
    <row r="382" spans="1:8" ht="13" x14ac:dyDescent="0.25">
      <c r="A382" s="239" t="str">
        <f>IFERROR(VLOOKUP(F381,'Comments Feeder'!$B:$W,18,FALSE),"")</f>
        <v/>
      </c>
      <c r="B382" s="239" t="str">
        <f>IFERROR(VLOOKUP(F380,'Comments Feeder'!$B:$W,21,FALSE),"")</f>
        <v/>
      </c>
      <c r="C382" s="239" t="str">
        <f>IFERROR(VLOOKUP(F379,'Comments Feeder'!$B:$W,23,FALSE),"")</f>
        <v/>
      </c>
      <c r="D382" s="194" t="str">
        <f>IFERROR(VLOOKUP(F378,'Comments Feeder'!$B:$W,24,FALSE),"")</f>
        <v/>
      </c>
      <c r="E382" s="194" t="str">
        <f>IFERROR(VLOOKUP(F378,'Comments Feeder'!$B:$W,25,FALSE),"")</f>
        <v/>
      </c>
      <c r="F382" s="214" t="s">
        <v>84</v>
      </c>
      <c r="H382" s="182"/>
    </row>
    <row r="383" spans="1:8" ht="29.25" customHeight="1" x14ac:dyDescent="0.25">
      <c r="A383" s="239">
        <f>IFERROR(VLOOKUP(F382,'Comments Feeder'!$B:$W,18,FALSE),"")</f>
        <v>-27</v>
      </c>
      <c r="B383" s="239" t="str">
        <f>IFERROR(VLOOKUP(F381,'Comments Feeder'!$B:$W,21,FALSE),"")</f>
        <v/>
      </c>
      <c r="C383" s="239" t="str">
        <f>IFERROR(VLOOKUP(F380,'Comments Feeder'!$B:$W,23,FALSE),"")</f>
        <v/>
      </c>
      <c r="D383" s="194" t="str">
        <f>IFERROR(VLOOKUP(F379,'Comments Feeder'!$B:$W,24,FALSE),"")</f>
        <v/>
      </c>
      <c r="E383" s="194" t="str">
        <f>IFERROR(VLOOKUP(F379,'Comments Feeder'!$B:$W,25,FALSE),"")</f>
        <v/>
      </c>
      <c r="F383" s="210"/>
      <c r="H383" s="182"/>
    </row>
    <row r="384" spans="1:8" x14ac:dyDescent="0.25">
      <c r="A384" s="239" t="str">
        <f>IFERROR(VLOOKUP(F383,'Comments Feeder'!$B:$W,18,FALSE),"")</f>
        <v/>
      </c>
      <c r="B384" s="239">
        <f>IFERROR(VLOOKUP(F382,'Comments Feeder'!$B:$W,21,FALSE),"")</f>
        <v>0</v>
      </c>
      <c r="C384" s="239" t="str">
        <f>IFERROR(VLOOKUP(F381,'Comments Feeder'!$B:$W,23,FALSE),"")</f>
        <v/>
      </c>
      <c r="D384" s="194" t="str">
        <f>IFERROR(VLOOKUP(F380,'Comments Feeder'!$B:$W,24,FALSE),"")</f>
        <v/>
      </c>
      <c r="E384" s="194" t="str">
        <f>IFERROR(VLOOKUP(F380,'Comments Feeder'!$B:$W,25,FALSE),"")</f>
        <v/>
      </c>
      <c r="F384" s="216"/>
      <c r="H384" s="182"/>
    </row>
    <row r="385" spans="1:8" x14ac:dyDescent="0.25">
      <c r="A385" s="239" t="str">
        <f>IFERROR(VLOOKUP(F384,'Comments Feeder'!$B:$W,18,FALSE),"")</f>
        <v/>
      </c>
      <c r="B385" s="239" t="str">
        <f>IFERROR(VLOOKUP(F383,'Comments Feeder'!$B:$W,21,FALSE),"")</f>
        <v/>
      </c>
      <c r="C385" s="239" t="str">
        <f>IFERROR(VLOOKUP(F382,'Comments Feeder'!$B:$W,23,FALSE),"")</f>
        <v/>
      </c>
      <c r="D385" s="194" t="str">
        <f>IFERROR(VLOOKUP(F381,'Comments Feeder'!$B:$W,24,FALSE),"")</f>
        <v/>
      </c>
      <c r="E385" s="194" t="str">
        <f>IFERROR(VLOOKUP(F381,'Comments Feeder'!$B:$W,25,FALSE),"")</f>
        <v/>
      </c>
      <c r="F385" s="217"/>
      <c r="H385" s="182"/>
    </row>
    <row r="386" spans="1:8" x14ac:dyDescent="0.25">
      <c r="A386" s="239" t="str">
        <f>IFERROR(VLOOKUP(F385,'Comments Feeder'!$B:$W,18,FALSE),"")</f>
        <v/>
      </c>
      <c r="B386" s="239" t="str">
        <f>IFERROR(VLOOKUP(F384,'Comments Feeder'!$B:$W,21,FALSE),"")</f>
        <v/>
      </c>
      <c r="C386" s="239" t="str">
        <f>IFERROR(VLOOKUP(F383,'Comments Feeder'!$B:$W,23,FALSE),"")</f>
        <v/>
      </c>
      <c r="D386" s="194" t="str">
        <f>IFERROR(VLOOKUP(F382,'Comments Feeder'!$B:$W,24,FALSE),"")</f>
        <v/>
      </c>
      <c r="E386" s="194" t="str">
        <f>IFERROR(VLOOKUP(F382,'Comments Feeder'!$B:$W,25,FALSE),"")</f>
        <v/>
      </c>
      <c r="F386" s="196"/>
      <c r="H386" s="182"/>
    </row>
    <row r="387" spans="1:8" ht="13.5" thickBot="1" x14ac:dyDescent="0.3">
      <c r="A387" s="304" t="str">
        <f>IFERROR(VLOOKUP(F386,'Comments Feeder'!$B:$W,18,FALSE),"")</f>
        <v/>
      </c>
      <c r="B387" s="304" t="str">
        <f>IFERROR(VLOOKUP(F385,'Comments Feeder'!$B:$W,21,FALSE),"")</f>
        <v/>
      </c>
      <c r="C387" s="304" t="str">
        <f>IFERROR(VLOOKUP(F384,'Comments Feeder'!$B:$W,23,FALSE),"")</f>
        <v/>
      </c>
      <c r="D387" s="305" t="str">
        <f>IFERROR(VLOOKUP(F383,'Comments Feeder'!$B:$W,24,FALSE),"")</f>
        <v/>
      </c>
      <c r="E387" s="305" t="str">
        <f>IFERROR(VLOOKUP(F383,'Comments Feeder'!$B:$W,25,FALSE),"")</f>
        <v/>
      </c>
      <c r="F387" s="218"/>
      <c r="H387" s="182"/>
    </row>
    <row r="388" spans="1:8" ht="13" x14ac:dyDescent="0.25">
      <c r="A388" s="239" t="str">
        <f>IFERROR(VLOOKUP(F387,'Comments Feeder'!$B:$W,18,FALSE),"")</f>
        <v/>
      </c>
      <c r="B388" s="239" t="str">
        <f>IFERROR(VLOOKUP(F386,'Comments Feeder'!$B:$W,21,FALSE),"")</f>
        <v/>
      </c>
      <c r="C388" s="239" t="str">
        <f>IFERROR(VLOOKUP(F385,'Comments Feeder'!$B:$W,23,FALSE),"")</f>
        <v/>
      </c>
      <c r="D388" s="194" t="str">
        <f>IFERROR(VLOOKUP(F384,'Comments Feeder'!$B:$W,24,FALSE),"")</f>
        <v/>
      </c>
      <c r="E388" s="194" t="str">
        <f>IFERROR(VLOOKUP(F384,'Comments Feeder'!$B:$W,25,FALSE),"")</f>
        <v/>
      </c>
      <c r="F388" s="214" t="s">
        <v>85</v>
      </c>
      <c r="H388" s="182"/>
    </row>
    <row r="389" spans="1:8" ht="28.5" customHeight="1" x14ac:dyDescent="0.25">
      <c r="A389" s="239">
        <f>IFERROR(VLOOKUP(F388,'Comments Feeder'!$B:$W,18,FALSE),"")</f>
        <v>-66</v>
      </c>
      <c r="B389" s="239" t="str">
        <f>IFERROR(VLOOKUP(F387,'Comments Feeder'!$B:$W,21,FALSE),"")</f>
        <v/>
      </c>
      <c r="C389" s="239" t="str">
        <f>IFERROR(VLOOKUP(F386,'Comments Feeder'!$B:$W,23,FALSE),"")</f>
        <v/>
      </c>
      <c r="D389" s="194" t="str">
        <f>IFERROR(VLOOKUP(F385,'Comments Feeder'!$B:$W,24,FALSE),"")</f>
        <v/>
      </c>
      <c r="E389" s="194" t="str">
        <f>IFERROR(VLOOKUP(F385,'Comments Feeder'!$B:$W,25,FALSE),"")</f>
        <v/>
      </c>
      <c r="F389" s="210"/>
      <c r="H389" s="182"/>
    </row>
    <row r="390" spans="1:8" x14ac:dyDescent="0.25">
      <c r="A390" s="239" t="str">
        <f>IFERROR(VLOOKUP(F389,'Comments Feeder'!$B:$W,18,FALSE),"")</f>
        <v/>
      </c>
      <c r="B390" s="239">
        <f>IFERROR(VLOOKUP(F388,'Comments Feeder'!$B:$W,21,FALSE),"")</f>
        <v>0</v>
      </c>
      <c r="C390" s="239" t="str">
        <f>IFERROR(VLOOKUP(F387,'Comments Feeder'!$B:$W,23,FALSE),"")</f>
        <v/>
      </c>
      <c r="D390" s="194" t="str">
        <f>IFERROR(VLOOKUP(F386,'Comments Feeder'!$B:$W,24,FALSE),"")</f>
        <v/>
      </c>
      <c r="E390" s="194" t="str">
        <f>IFERROR(VLOOKUP(F386,'Comments Feeder'!$B:$W,25,FALSE),"")</f>
        <v/>
      </c>
      <c r="F390" s="216"/>
      <c r="H390" s="182"/>
    </row>
    <row r="391" spans="1:8" x14ac:dyDescent="0.25">
      <c r="A391" s="239" t="str">
        <f>IFERROR(VLOOKUP(F390,'Comments Feeder'!$B:$W,18,FALSE),"")</f>
        <v/>
      </c>
      <c r="B391" s="239" t="str">
        <f>IFERROR(VLOOKUP(F389,'Comments Feeder'!$B:$W,21,FALSE),"")</f>
        <v/>
      </c>
      <c r="C391" s="239" t="str">
        <f>IFERROR(VLOOKUP(F388,'Comments Feeder'!$B:$W,23,FALSE),"")</f>
        <v/>
      </c>
      <c r="D391" s="194" t="str">
        <f>IFERROR(VLOOKUP(F387,'Comments Feeder'!$B:$W,24,FALSE),"")</f>
        <v/>
      </c>
      <c r="E391" s="194" t="str">
        <f>IFERROR(VLOOKUP(F387,'Comments Feeder'!$B:$W,25,FALSE),"")</f>
        <v/>
      </c>
      <c r="F391" s="217"/>
      <c r="H391" s="182"/>
    </row>
    <row r="392" spans="1:8" x14ac:dyDescent="0.25">
      <c r="A392" s="239" t="str">
        <f>IFERROR(VLOOKUP(F391,'Comments Feeder'!$B:$W,18,FALSE),"")</f>
        <v/>
      </c>
      <c r="B392" s="239" t="str">
        <f>IFERROR(VLOOKUP(F390,'Comments Feeder'!$B:$W,21,FALSE),"")</f>
        <v/>
      </c>
      <c r="C392" s="239" t="str">
        <f>IFERROR(VLOOKUP(F389,'Comments Feeder'!$B:$W,23,FALSE),"")</f>
        <v/>
      </c>
      <c r="D392" s="194" t="str">
        <f>IFERROR(VLOOKUP(F388,'Comments Feeder'!$B:$W,24,FALSE),"")</f>
        <v/>
      </c>
      <c r="E392" s="194" t="str">
        <f>IFERROR(VLOOKUP(F388,'Comments Feeder'!$B:$W,25,FALSE),"")</f>
        <v/>
      </c>
      <c r="F392" s="196"/>
      <c r="H392" s="182"/>
    </row>
    <row r="393" spans="1:8" ht="13.5" thickBot="1" x14ac:dyDescent="0.3">
      <c r="A393" s="304" t="str">
        <f>IFERROR(VLOOKUP(F392,'Comments Feeder'!$B:$W,18,FALSE),"")</f>
        <v/>
      </c>
      <c r="B393" s="304" t="str">
        <f>IFERROR(VLOOKUP(F391,'Comments Feeder'!$B:$W,21,FALSE),"")</f>
        <v/>
      </c>
      <c r="C393" s="304" t="str">
        <f>IFERROR(VLOOKUP(F390,'Comments Feeder'!$B:$W,23,FALSE),"")</f>
        <v/>
      </c>
      <c r="D393" s="305" t="str">
        <f>IFERROR(VLOOKUP(F389,'Comments Feeder'!$B:$W,24,FALSE),"")</f>
        <v/>
      </c>
      <c r="E393" s="305" t="str">
        <f>IFERROR(VLOOKUP(F389,'Comments Feeder'!$B:$W,25,FALSE),"")</f>
        <v/>
      </c>
      <c r="F393" s="218"/>
      <c r="H393" s="182"/>
    </row>
    <row r="394" spans="1:8" ht="13" x14ac:dyDescent="0.25">
      <c r="A394" s="239" t="str">
        <f>IFERROR(VLOOKUP(F393,'Comments Feeder'!$B:$W,18,FALSE),"")</f>
        <v/>
      </c>
      <c r="B394" s="239" t="str">
        <f>IFERROR(VLOOKUP(F392,'Comments Feeder'!$B:$W,21,FALSE),"")</f>
        <v/>
      </c>
      <c r="C394" s="239" t="str">
        <f>IFERROR(VLOOKUP(F391,'Comments Feeder'!$B:$W,23,FALSE),"")</f>
        <v/>
      </c>
      <c r="D394" s="194" t="str">
        <f>IFERROR(VLOOKUP(F390,'Comments Feeder'!$B:$W,24,FALSE),"")</f>
        <v/>
      </c>
      <c r="E394" s="194" t="str">
        <f>IFERROR(VLOOKUP(F390,'Comments Feeder'!$B:$W,25,FALSE),"")</f>
        <v/>
      </c>
      <c r="F394" s="214" t="s">
        <v>86</v>
      </c>
      <c r="H394" s="182"/>
    </row>
    <row r="395" spans="1:8" ht="28.5" customHeight="1" x14ac:dyDescent="0.25">
      <c r="A395" s="239">
        <f>IFERROR(VLOOKUP(F394,'Comments Feeder'!$B:$W,18,FALSE),"")</f>
        <v>-6</v>
      </c>
      <c r="B395" s="239" t="str">
        <f>IFERROR(VLOOKUP(F393,'Comments Feeder'!$B:$W,21,FALSE),"")</f>
        <v/>
      </c>
      <c r="C395" s="239" t="str">
        <f>IFERROR(VLOOKUP(F392,'Comments Feeder'!$B:$W,23,FALSE),"")</f>
        <v/>
      </c>
      <c r="D395" s="194" t="str">
        <f>IFERROR(VLOOKUP(F391,'Comments Feeder'!$B:$W,24,FALSE),"")</f>
        <v/>
      </c>
      <c r="E395" s="194" t="str">
        <f>IFERROR(VLOOKUP(F391,'Comments Feeder'!$B:$W,25,FALSE),"")</f>
        <v/>
      </c>
      <c r="F395" s="210"/>
      <c r="H395" s="182"/>
    </row>
    <row r="396" spans="1:8" x14ac:dyDescent="0.25">
      <c r="A396" s="239" t="str">
        <f>IFERROR(VLOOKUP(F395,'Comments Feeder'!$B:$W,18,FALSE),"")</f>
        <v/>
      </c>
      <c r="B396" s="239">
        <f>IFERROR(VLOOKUP(F394,'Comments Feeder'!$B:$W,21,FALSE),"")</f>
        <v>0</v>
      </c>
      <c r="C396" s="239" t="str">
        <f>IFERROR(VLOOKUP(F393,'Comments Feeder'!$B:$W,23,FALSE),"")</f>
        <v/>
      </c>
      <c r="D396" s="194" t="str">
        <f>IFERROR(VLOOKUP(F392,'Comments Feeder'!$B:$W,24,FALSE),"")</f>
        <v/>
      </c>
      <c r="E396" s="194" t="str">
        <f>IFERROR(VLOOKUP(F392,'Comments Feeder'!$B:$W,25,FALSE),"")</f>
        <v/>
      </c>
      <c r="F396" s="216"/>
      <c r="H396" s="182"/>
    </row>
    <row r="397" spans="1:8" x14ac:dyDescent="0.25">
      <c r="A397" s="239" t="str">
        <f>IFERROR(VLOOKUP(F396,'Comments Feeder'!$B:$W,18,FALSE),"")</f>
        <v/>
      </c>
      <c r="B397" s="239" t="str">
        <f>IFERROR(VLOOKUP(F395,'Comments Feeder'!$B:$W,21,FALSE),"")</f>
        <v/>
      </c>
      <c r="C397" s="239" t="str">
        <f>IFERROR(VLOOKUP(F394,'Comments Feeder'!$B:$W,23,FALSE),"")</f>
        <v/>
      </c>
      <c r="D397" s="194" t="str">
        <f>IFERROR(VLOOKUP(F393,'Comments Feeder'!$B:$W,24,FALSE),"")</f>
        <v/>
      </c>
      <c r="E397" s="194" t="str">
        <f>IFERROR(VLOOKUP(F393,'Comments Feeder'!$B:$W,25,FALSE),"")</f>
        <v/>
      </c>
      <c r="F397" s="217"/>
      <c r="H397" s="182"/>
    </row>
    <row r="398" spans="1:8" x14ac:dyDescent="0.25">
      <c r="A398" s="239" t="str">
        <f>IFERROR(VLOOKUP(F397,'Comments Feeder'!$B:$W,18,FALSE),"")</f>
        <v/>
      </c>
      <c r="B398" s="239" t="str">
        <f>IFERROR(VLOOKUP(F396,'Comments Feeder'!$B:$W,21,FALSE),"")</f>
        <v/>
      </c>
      <c r="C398" s="239" t="str">
        <f>IFERROR(VLOOKUP(F395,'Comments Feeder'!$B:$W,23,FALSE),"")</f>
        <v/>
      </c>
      <c r="D398" s="194" t="str">
        <f>IFERROR(VLOOKUP(F394,'Comments Feeder'!$B:$W,24,FALSE),"")</f>
        <v/>
      </c>
      <c r="E398" s="194" t="str">
        <f>IFERROR(VLOOKUP(F394,'Comments Feeder'!$B:$W,25,FALSE),"")</f>
        <v/>
      </c>
      <c r="F398" s="196"/>
      <c r="H398" s="182"/>
    </row>
    <row r="399" spans="1:8" ht="13.5" thickBot="1" x14ac:dyDescent="0.3">
      <c r="A399" s="218" t="str">
        <f>IFERROR(VLOOKUP(F398,'Comments Feeder'!$B:$W,18,FALSE),"")</f>
        <v/>
      </c>
      <c r="B399" s="218" t="str">
        <f>IFERROR(VLOOKUP(F397,'Comments Feeder'!$B:$W,21,FALSE),"")</f>
        <v/>
      </c>
      <c r="C399" s="304" t="str">
        <f>IFERROR(VLOOKUP(F396,'Comments Feeder'!$B:$W,23,FALSE),"")</f>
        <v/>
      </c>
      <c r="D399" s="305" t="str">
        <f>IFERROR(VLOOKUP(F395,'Comments Feeder'!$B:$W,24,FALSE),"")</f>
        <v/>
      </c>
      <c r="E399" s="305" t="str">
        <f>IFERROR(VLOOKUP(F395,'Comments Feeder'!$B:$W,25,FALSE),"")</f>
        <v/>
      </c>
      <c r="F399" s="218"/>
      <c r="H399" s="182"/>
    </row>
    <row r="400" spans="1:8" ht="13" x14ac:dyDescent="0.25">
      <c r="A400" s="239" t="str">
        <f>IFERROR(VLOOKUP(F399,'Comments Feeder'!$B:$W,18,FALSE),"")</f>
        <v/>
      </c>
      <c r="B400" s="239" t="str">
        <f>IFERROR(VLOOKUP(F398,'Comments Feeder'!$B:$W,21,FALSE),"")</f>
        <v/>
      </c>
      <c r="C400" s="239"/>
      <c r="D400" s="194"/>
      <c r="E400" s="194"/>
      <c r="F400" s="214" t="s">
        <v>87</v>
      </c>
      <c r="H400" s="182"/>
    </row>
    <row r="401" spans="1:8" ht="29.25" customHeight="1" x14ac:dyDescent="0.25">
      <c r="A401" s="239">
        <f>IFERROR(VLOOKUP(F400,'Comments Feeder'!$B:$W,18,FALSE),"")</f>
        <v>0</v>
      </c>
      <c r="B401" s="239" t="str">
        <f>IFERROR(VLOOKUP(F399,'Comments Feeder'!$B:$W,21,FALSE),"")</f>
        <v/>
      </c>
      <c r="C401" s="239"/>
      <c r="D401" s="194"/>
      <c r="E401" s="194"/>
      <c r="F401" s="210"/>
      <c r="H401" s="182"/>
    </row>
    <row r="402" spans="1:8" x14ac:dyDescent="0.25">
      <c r="A402" s="239" t="str">
        <f>IFERROR(VLOOKUP(F401,'Comments Feeder'!$B:$W,18,FALSE),"")</f>
        <v/>
      </c>
      <c r="B402" s="239">
        <f>IFERROR(VLOOKUP(F400,'Comments Feeder'!$B:$W,21,FALSE),"")</f>
        <v>0</v>
      </c>
      <c r="C402" s="239"/>
      <c r="D402" s="194"/>
      <c r="E402" s="194"/>
      <c r="F402" s="216"/>
      <c r="H402" s="182"/>
    </row>
    <row r="403" spans="1:8" x14ac:dyDescent="0.25">
      <c r="A403" s="239" t="str">
        <f>IFERROR(VLOOKUP(F402,'Comments Feeder'!$B:$W,18,FALSE),"")</f>
        <v/>
      </c>
      <c r="B403" s="239" t="str">
        <f>IFERROR(VLOOKUP(F401,'Comments Feeder'!$B:$W,21,FALSE),"")</f>
        <v/>
      </c>
      <c r="C403" s="239"/>
      <c r="D403" s="194"/>
      <c r="E403" s="194"/>
      <c r="F403" s="217"/>
      <c r="H403" s="182"/>
    </row>
    <row r="404" spans="1:8" x14ac:dyDescent="0.25">
      <c r="A404" s="239" t="str">
        <f>IFERROR(VLOOKUP(F403,'Comments Feeder'!$B:$W,18,FALSE),"")</f>
        <v/>
      </c>
      <c r="B404" s="239" t="str">
        <f>IFERROR(VLOOKUP(F402,'Comments Feeder'!$B:$W,21,FALSE),"")</f>
        <v/>
      </c>
      <c r="C404" s="239"/>
      <c r="D404" s="194"/>
      <c r="E404" s="194"/>
      <c r="F404" s="196"/>
      <c r="H404" s="182"/>
    </row>
    <row r="405" spans="1:8" ht="13.5" thickBot="1" x14ac:dyDescent="0.3">
      <c r="A405" s="218" t="str">
        <f>IFERROR(VLOOKUP(F404,'Comments Feeder'!$B:$W,18,FALSE),"")</f>
        <v/>
      </c>
      <c r="B405" s="218" t="str">
        <f>IFERROR(VLOOKUP(F403,'Comments Feeder'!$B:$W,21,FALSE),"")</f>
        <v/>
      </c>
      <c r="C405" s="304"/>
      <c r="D405" s="305"/>
      <c r="E405" s="305"/>
      <c r="F405" s="218"/>
      <c r="H405" s="182"/>
    </row>
    <row r="406" spans="1:8" ht="13" x14ac:dyDescent="0.25">
      <c r="A406" s="239" t="str">
        <f>IFERROR(VLOOKUP(F405,'Comments Feeder'!$B:$W,18,FALSE),"")</f>
        <v/>
      </c>
      <c r="B406" s="239" t="str">
        <f>IFERROR(VLOOKUP(F398,'Comments Feeder'!$B:$W,21,FALSE),"")</f>
        <v/>
      </c>
      <c r="C406" s="239" t="str">
        <f>IFERROR(VLOOKUP(F397,'Comments Feeder'!$B:$W,23,FALSE),"")</f>
        <v/>
      </c>
      <c r="D406" s="194" t="str">
        <f>IFERROR(VLOOKUP(F396,'Comments Feeder'!$B:$W,24,FALSE),"")</f>
        <v/>
      </c>
      <c r="E406" s="194" t="str">
        <f>IFERROR(VLOOKUP(F396,'Comments Feeder'!$B:$W,25,FALSE),"")</f>
        <v/>
      </c>
      <c r="F406" s="214" t="s">
        <v>88</v>
      </c>
      <c r="H406" s="182"/>
    </row>
    <row r="407" spans="1:8" ht="28.5" customHeight="1" x14ac:dyDescent="0.25">
      <c r="A407" s="239">
        <f>IFERROR(VLOOKUP(F406,'Comments Feeder'!$B:$W,18,FALSE),"")</f>
        <v>1</v>
      </c>
      <c r="B407" s="239" t="str">
        <f>IFERROR(VLOOKUP(F399,'Comments Feeder'!$B:$W,21,FALSE),"")</f>
        <v/>
      </c>
      <c r="C407" s="239" t="str">
        <f>IFERROR(VLOOKUP(F398,'Comments Feeder'!$B:$W,23,FALSE),"")</f>
        <v/>
      </c>
      <c r="D407" s="194" t="str">
        <f>IFERROR(VLOOKUP(F397,'Comments Feeder'!$B:$W,24,FALSE),"")</f>
        <v/>
      </c>
      <c r="E407" s="194" t="str">
        <f>IFERROR(VLOOKUP(F397,'Comments Feeder'!$B:$W,25,FALSE),"")</f>
        <v/>
      </c>
      <c r="F407" s="210"/>
      <c r="H407" s="182"/>
    </row>
    <row r="408" spans="1:8" x14ac:dyDescent="0.25">
      <c r="A408" s="239" t="str">
        <f>IFERROR(VLOOKUP(F407,'Comments Feeder'!$B:$W,18,FALSE),"")</f>
        <v/>
      </c>
      <c r="B408" s="239">
        <f>IFERROR(VLOOKUP(F406,'Comments Feeder'!$B:$W,21,FALSE),"")</f>
        <v>0</v>
      </c>
      <c r="C408" s="239" t="str">
        <f>IFERROR(VLOOKUP(F399,'Comments Feeder'!$B:$W,23,FALSE),"")</f>
        <v/>
      </c>
      <c r="D408" s="194" t="str">
        <f>IFERROR(VLOOKUP(F398,'Comments Feeder'!$B:$W,24,FALSE),"")</f>
        <v/>
      </c>
      <c r="E408" s="194" t="str">
        <f>IFERROR(VLOOKUP(F398,'Comments Feeder'!$B:$W,25,FALSE),"")</f>
        <v/>
      </c>
      <c r="F408" s="216"/>
      <c r="H408" s="182"/>
    </row>
    <row r="409" spans="1:8" x14ac:dyDescent="0.25">
      <c r="A409" s="239" t="str">
        <f>IFERROR(VLOOKUP(F408,'Comments Feeder'!$B:$W,18,FALSE),"")</f>
        <v/>
      </c>
      <c r="B409" s="239" t="str">
        <f>IFERROR(VLOOKUP(F407,'Comments Feeder'!$B:$W,21,FALSE),"")</f>
        <v/>
      </c>
      <c r="C409" s="239" t="str">
        <f>IFERROR(VLOOKUP(F406,'Comments Feeder'!$B:$W,23,FALSE),"")</f>
        <v/>
      </c>
      <c r="D409" s="194" t="str">
        <f>IFERROR(VLOOKUP(F399,'Comments Feeder'!$B:$W,24,FALSE),"")</f>
        <v/>
      </c>
      <c r="E409" s="194" t="str">
        <f>IFERROR(VLOOKUP(F399,'Comments Feeder'!$B:$W,25,FALSE),"")</f>
        <v/>
      </c>
      <c r="F409" s="217"/>
      <c r="H409" s="182"/>
    </row>
    <row r="410" spans="1:8" x14ac:dyDescent="0.25">
      <c r="A410" s="239" t="str">
        <f>IFERROR(VLOOKUP(F409,'Comments Feeder'!$B:$W,18,FALSE),"")</f>
        <v/>
      </c>
      <c r="B410" s="239" t="str">
        <f>IFERROR(VLOOKUP(F408,'Comments Feeder'!$B:$W,21,FALSE),"")</f>
        <v/>
      </c>
      <c r="C410" s="239" t="str">
        <f>IFERROR(VLOOKUP(F407,'Comments Feeder'!$B:$W,23,FALSE),"")</f>
        <v/>
      </c>
      <c r="D410" s="194" t="str">
        <f>IFERROR(VLOOKUP(F406,'Comments Feeder'!$B:$W,24,FALSE),"")</f>
        <v/>
      </c>
      <c r="E410" s="194" t="str">
        <f>IFERROR(VLOOKUP(F406,'Comments Feeder'!$B:$W,25,FALSE),"")</f>
        <v/>
      </c>
      <c r="F410" s="196"/>
      <c r="H410" s="182"/>
    </row>
    <row r="411" spans="1:8" ht="13.5" thickBot="1" x14ac:dyDescent="0.3">
      <c r="A411" s="304" t="str">
        <f>IFERROR(VLOOKUP(F410,'Comments Feeder'!$B:$W,18,FALSE),"")</f>
        <v/>
      </c>
      <c r="B411" s="304" t="str">
        <f>IFERROR(VLOOKUP(F409,'Comments Feeder'!$B:$W,21,FALSE),"")</f>
        <v/>
      </c>
      <c r="C411" s="304" t="str">
        <f>IFERROR(VLOOKUP(F408,'Comments Feeder'!$B:$W,23,FALSE),"")</f>
        <v/>
      </c>
      <c r="D411" s="305" t="str">
        <f>IFERROR(VLOOKUP(F407,'Comments Feeder'!$B:$W,24,FALSE),"")</f>
        <v/>
      </c>
      <c r="E411" s="305" t="str">
        <f>IFERROR(VLOOKUP(F407,'Comments Feeder'!$B:$W,25,FALSE),"")</f>
        <v/>
      </c>
      <c r="F411" s="218"/>
      <c r="H411" s="182"/>
    </row>
    <row r="412" spans="1:8" ht="13" x14ac:dyDescent="0.25">
      <c r="A412" s="239" t="str">
        <f>IFERROR(VLOOKUP(F411,'Comments Feeder'!$B:$W,18,FALSE),"")</f>
        <v/>
      </c>
      <c r="B412" s="239" t="str">
        <f>IFERROR(VLOOKUP(F410,'Comments Feeder'!$B:$W,21,FALSE),"")</f>
        <v/>
      </c>
      <c r="C412" s="239" t="str">
        <f>IFERROR(VLOOKUP(F409,'Comments Feeder'!$B:$W,23,FALSE),"")</f>
        <v/>
      </c>
      <c r="D412" s="194" t="str">
        <f>IFERROR(VLOOKUP(F408,'Comments Feeder'!$B:$W,24,FALSE),"")</f>
        <v/>
      </c>
      <c r="E412" s="194" t="str">
        <f>IFERROR(VLOOKUP(F408,'Comments Feeder'!$B:$W,25,FALSE),"")</f>
        <v/>
      </c>
      <c r="F412" s="214" t="s">
        <v>89</v>
      </c>
      <c r="H412" s="182"/>
    </row>
    <row r="413" spans="1:8" ht="28.5" customHeight="1" x14ac:dyDescent="0.25">
      <c r="A413" s="239">
        <f>IFERROR(VLOOKUP(F412,'Comments Feeder'!$B:$W,18,FALSE),"")</f>
        <v>-25</v>
      </c>
      <c r="B413" s="239" t="str">
        <f>IFERROR(VLOOKUP(F411,'Comments Feeder'!$B:$W,21,FALSE),"")</f>
        <v/>
      </c>
      <c r="C413" s="239" t="str">
        <f>IFERROR(VLOOKUP(F410,'Comments Feeder'!$B:$W,23,FALSE),"")</f>
        <v/>
      </c>
      <c r="D413" s="194" t="str">
        <f>IFERROR(VLOOKUP(F409,'Comments Feeder'!$B:$W,24,FALSE),"")</f>
        <v/>
      </c>
      <c r="E413" s="194" t="str">
        <f>IFERROR(VLOOKUP(F409,'Comments Feeder'!$B:$W,25,FALSE),"")</f>
        <v/>
      </c>
      <c r="F413" s="210"/>
      <c r="H413" s="182"/>
    </row>
    <row r="414" spans="1:8" x14ac:dyDescent="0.25">
      <c r="A414" s="239" t="str">
        <f>IFERROR(VLOOKUP(F413,'Comments Feeder'!$B:$W,18,FALSE),"")</f>
        <v/>
      </c>
      <c r="B414" s="239">
        <f>IFERROR(VLOOKUP(F412,'Comments Feeder'!$B:$W,21,FALSE),"")</f>
        <v>0</v>
      </c>
      <c r="C414" s="239" t="str">
        <f>IFERROR(VLOOKUP(F411,'Comments Feeder'!$B:$W,23,FALSE),"")</f>
        <v/>
      </c>
      <c r="D414" s="194" t="str">
        <f>IFERROR(VLOOKUP(F410,'Comments Feeder'!$B:$W,24,FALSE),"")</f>
        <v/>
      </c>
      <c r="E414" s="194" t="str">
        <f>IFERROR(VLOOKUP(F410,'Comments Feeder'!$B:$W,25,FALSE),"")</f>
        <v/>
      </c>
      <c r="F414" s="216"/>
      <c r="H414" s="182"/>
    </row>
    <row r="415" spans="1:8" x14ac:dyDescent="0.25">
      <c r="A415" s="239" t="str">
        <f>IFERROR(VLOOKUP(F414,'Comments Feeder'!$B:$W,18,FALSE),"")</f>
        <v/>
      </c>
      <c r="B415" s="239" t="str">
        <f>IFERROR(VLOOKUP(F413,'Comments Feeder'!$B:$W,21,FALSE),"")</f>
        <v/>
      </c>
      <c r="C415" s="239" t="str">
        <f>IFERROR(VLOOKUP(F412,'Comments Feeder'!$B:$W,23,FALSE),"")</f>
        <v/>
      </c>
      <c r="D415" s="194" t="str">
        <f>IFERROR(VLOOKUP(F411,'Comments Feeder'!$B:$W,24,FALSE),"")</f>
        <v/>
      </c>
      <c r="E415" s="194" t="str">
        <f>IFERROR(VLOOKUP(F411,'Comments Feeder'!$B:$W,25,FALSE),"")</f>
        <v/>
      </c>
      <c r="F415" s="217"/>
      <c r="H415" s="182"/>
    </row>
    <row r="416" spans="1:8" x14ac:dyDescent="0.25">
      <c r="A416" s="239" t="str">
        <f>IFERROR(VLOOKUP(F415,'Comments Feeder'!$B:$W,18,FALSE),"")</f>
        <v/>
      </c>
      <c r="B416" s="239" t="str">
        <f>IFERROR(VLOOKUP(F414,'Comments Feeder'!$B:$W,21,FALSE),"")</f>
        <v/>
      </c>
      <c r="C416" s="239" t="str">
        <f>IFERROR(VLOOKUP(F413,'Comments Feeder'!$B:$W,23,FALSE),"")</f>
        <v/>
      </c>
      <c r="D416" s="194" t="str">
        <f>IFERROR(VLOOKUP(F412,'Comments Feeder'!$B:$W,24,FALSE),"")</f>
        <v/>
      </c>
      <c r="E416" s="194" t="str">
        <f>IFERROR(VLOOKUP(F412,'Comments Feeder'!$B:$W,25,FALSE),"")</f>
        <v/>
      </c>
      <c r="F416" s="196"/>
      <c r="H416" s="182"/>
    </row>
    <row r="417" spans="1:8" ht="13.5" thickBot="1" x14ac:dyDescent="0.3">
      <c r="A417" s="304" t="str">
        <f>IFERROR(VLOOKUP(F416,'Comments Feeder'!$B:$W,18,FALSE),"")</f>
        <v/>
      </c>
      <c r="B417" s="304" t="str">
        <f>IFERROR(VLOOKUP(F415,'Comments Feeder'!$B:$W,21,FALSE),"")</f>
        <v/>
      </c>
      <c r="C417" s="304" t="str">
        <f>IFERROR(VLOOKUP(F414,'Comments Feeder'!$B:$W,23,FALSE),"")</f>
        <v/>
      </c>
      <c r="D417" s="305" t="str">
        <f>IFERROR(VLOOKUP(F413,'Comments Feeder'!$B:$W,24,FALSE),"")</f>
        <v/>
      </c>
      <c r="E417" s="305" t="str">
        <f>IFERROR(VLOOKUP(F413,'Comments Feeder'!$B:$W,25,FALSE),"")</f>
        <v/>
      </c>
      <c r="F417" s="218"/>
      <c r="H417" s="182"/>
    </row>
    <row r="418" spans="1:8" ht="13" x14ac:dyDescent="0.25">
      <c r="A418" s="239" t="str">
        <f>IFERROR(VLOOKUP(F417,'Comments Feeder'!$B:$W,18,FALSE),"")</f>
        <v/>
      </c>
      <c r="B418" s="239" t="str">
        <f>IFERROR(VLOOKUP(F416,'Comments Feeder'!$B:$W,21,FALSE),"")</f>
        <v/>
      </c>
      <c r="C418" s="239" t="str">
        <f>IFERROR(VLOOKUP(F415,'Comments Feeder'!$B:$W,23,FALSE),"")</f>
        <v/>
      </c>
      <c r="D418" s="194" t="str">
        <f>IFERROR(VLOOKUP(F414,'Comments Feeder'!$B:$W,24,FALSE),"")</f>
        <v/>
      </c>
      <c r="E418" s="194" t="str">
        <f>IFERROR(VLOOKUP(F414,'Comments Feeder'!$B:$W,25,FALSE),"")</f>
        <v/>
      </c>
      <c r="F418" s="214" t="s">
        <v>90</v>
      </c>
      <c r="H418" s="182"/>
    </row>
    <row r="419" spans="1:8" ht="28.5" customHeight="1" x14ac:dyDescent="0.25">
      <c r="A419" s="239">
        <f>IFERROR(VLOOKUP(F418,'Comments Feeder'!$B:$W,18,FALSE),"")</f>
        <v>378</v>
      </c>
      <c r="B419" s="239" t="str">
        <f>IFERROR(VLOOKUP(F417,'Comments Feeder'!$B:$W,21,FALSE),"")</f>
        <v/>
      </c>
      <c r="C419" s="239" t="str">
        <f>IFERROR(VLOOKUP(F416,'Comments Feeder'!$B:$W,23,FALSE),"")</f>
        <v/>
      </c>
      <c r="D419" s="194" t="str">
        <f>IFERROR(VLOOKUP(F415,'Comments Feeder'!$B:$W,24,FALSE),"")</f>
        <v/>
      </c>
      <c r="E419" s="194" t="str">
        <f>IFERROR(VLOOKUP(F415,'Comments Feeder'!$B:$W,25,FALSE),"")</f>
        <v/>
      </c>
      <c r="F419" s="210"/>
      <c r="H419" s="182"/>
    </row>
    <row r="420" spans="1:8" x14ac:dyDescent="0.25">
      <c r="A420" s="239" t="str">
        <f>IFERROR(VLOOKUP(F419,'Comments Feeder'!$B:$W,18,FALSE),"")</f>
        <v/>
      </c>
      <c r="B420" s="239">
        <f>IFERROR(VLOOKUP(F418,'Comments Feeder'!$B:$W,21,FALSE),"")</f>
        <v>0</v>
      </c>
      <c r="C420" s="239" t="str">
        <f>IFERROR(VLOOKUP(F417,'Comments Feeder'!$B:$W,23,FALSE),"")</f>
        <v/>
      </c>
      <c r="D420" s="194" t="str">
        <f>IFERROR(VLOOKUP(F416,'Comments Feeder'!$B:$W,24,FALSE),"")</f>
        <v/>
      </c>
      <c r="E420" s="194" t="str">
        <f>IFERROR(VLOOKUP(F416,'Comments Feeder'!$B:$W,25,FALSE),"")</f>
        <v/>
      </c>
      <c r="F420" s="216"/>
      <c r="H420" s="182"/>
    </row>
    <row r="421" spans="1:8" x14ac:dyDescent="0.25">
      <c r="A421" s="239" t="str">
        <f>IFERROR(VLOOKUP(F420,'Comments Feeder'!$B:$W,18,FALSE),"")</f>
        <v/>
      </c>
      <c r="B421" s="239" t="str">
        <f>IFERROR(VLOOKUP(F419,'Comments Feeder'!$B:$W,21,FALSE),"")</f>
        <v/>
      </c>
      <c r="C421" s="239" t="str">
        <f>IFERROR(VLOOKUP(F418,'Comments Feeder'!$B:$W,23,FALSE),"")</f>
        <v/>
      </c>
      <c r="D421" s="194" t="str">
        <f>IFERROR(VLOOKUP(F417,'Comments Feeder'!$B:$W,24,FALSE),"")</f>
        <v/>
      </c>
      <c r="E421" s="194" t="str">
        <f>IFERROR(VLOOKUP(F417,'Comments Feeder'!$B:$W,25,FALSE),"")</f>
        <v/>
      </c>
      <c r="F421" s="217"/>
      <c r="H421" s="182"/>
    </row>
    <row r="422" spans="1:8" x14ac:dyDescent="0.25">
      <c r="A422" s="239" t="str">
        <f>IFERROR(VLOOKUP(F421,'Comments Feeder'!$B:$W,18,FALSE),"")</f>
        <v/>
      </c>
      <c r="B422" s="239" t="str">
        <f>IFERROR(VLOOKUP(F420,'Comments Feeder'!$B:$W,21,FALSE),"")</f>
        <v/>
      </c>
      <c r="C422" s="239" t="str">
        <f>IFERROR(VLOOKUP(F419,'Comments Feeder'!$B:$W,23,FALSE),"")</f>
        <v/>
      </c>
      <c r="D422" s="194" t="str">
        <f>IFERROR(VLOOKUP(F418,'Comments Feeder'!$B:$W,24,FALSE),"")</f>
        <v/>
      </c>
      <c r="E422" s="194" t="str">
        <f>IFERROR(VLOOKUP(F418,'Comments Feeder'!$B:$W,25,FALSE),"")</f>
        <v/>
      </c>
      <c r="F422" s="196"/>
      <c r="H422" s="182"/>
    </row>
    <row r="423" spans="1:8" ht="13.5" thickBot="1" x14ac:dyDescent="0.3">
      <c r="A423" s="304" t="str">
        <f>IFERROR(VLOOKUP(F422,'Comments Feeder'!$B:$W,18,FALSE),"")</f>
        <v/>
      </c>
      <c r="B423" s="304" t="str">
        <f>IFERROR(VLOOKUP(F421,'Comments Feeder'!$B:$W,21,FALSE),"")</f>
        <v/>
      </c>
      <c r="C423" s="304" t="str">
        <f>IFERROR(VLOOKUP(F420,'Comments Feeder'!$B:$W,23,FALSE),"")</f>
        <v/>
      </c>
      <c r="D423" s="305" t="str">
        <f>IFERROR(VLOOKUP(F419,'Comments Feeder'!$B:$W,24,FALSE),"")</f>
        <v/>
      </c>
      <c r="E423" s="305" t="str">
        <f>IFERROR(VLOOKUP(F419,'Comments Feeder'!$B:$W,25,FALSE),"")</f>
        <v/>
      </c>
      <c r="F423" s="218"/>
      <c r="H423" s="182"/>
    </row>
    <row r="424" spans="1:8" ht="13" x14ac:dyDescent="0.25">
      <c r="A424" s="239" t="str">
        <f>IFERROR(VLOOKUP(F423,'Comments Feeder'!$B:$W,18,FALSE),"")</f>
        <v/>
      </c>
      <c r="B424" s="239" t="str">
        <f>IFERROR(VLOOKUP(F422,'Comments Feeder'!$B:$W,21,FALSE),"")</f>
        <v/>
      </c>
      <c r="C424" s="239" t="str">
        <f>IFERROR(VLOOKUP(F421,'Comments Feeder'!$B:$W,23,FALSE),"")</f>
        <v/>
      </c>
      <c r="D424" s="194" t="str">
        <f>IFERROR(VLOOKUP(F420,'Comments Feeder'!$B:$W,24,FALSE),"")</f>
        <v/>
      </c>
      <c r="E424" s="194" t="str">
        <f>IFERROR(VLOOKUP(F420,'Comments Feeder'!$B:$W,25,FALSE),"")</f>
        <v/>
      </c>
      <c r="F424" s="214" t="s">
        <v>91</v>
      </c>
      <c r="H424" s="182"/>
    </row>
    <row r="425" spans="1:8" ht="28.5" customHeight="1" x14ac:dyDescent="0.25">
      <c r="A425" s="239">
        <f>IFERROR(VLOOKUP(F424,'Comments Feeder'!$B:$W,18,FALSE),"")</f>
        <v>314</v>
      </c>
      <c r="B425" s="239" t="str">
        <f>IFERROR(VLOOKUP(F423,'Comments Feeder'!$B:$W,21,FALSE),"")</f>
        <v/>
      </c>
      <c r="C425" s="239" t="str">
        <f>IFERROR(VLOOKUP(F422,'Comments Feeder'!$B:$W,23,FALSE),"")</f>
        <v/>
      </c>
      <c r="D425" s="194" t="str">
        <f>IFERROR(VLOOKUP(F421,'Comments Feeder'!$B:$W,24,FALSE),"")</f>
        <v/>
      </c>
      <c r="E425" s="194" t="str">
        <f>IFERROR(VLOOKUP(F421,'Comments Feeder'!$B:$W,25,FALSE),"")</f>
        <v/>
      </c>
      <c r="F425" s="301"/>
      <c r="H425" s="182"/>
    </row>
    <row r="426" spans="1:8" x14ac:dyDescent="0.25">
      <c r="A426" s="239" t="str">
        <f>IFERROR(VLOOKUP(F425,'Comments Feeder'!$B:$W,18,FALSE),"")</f>
        <v/>
      </c>
      <c r="B426" s="239">
        <f>IFERROR(VLOOKUP(F424,'Comments Feeder'!$B:$W,21,FALSE),"")</f>
        <v>0</v>
      </c>
      <c r="C426" s="239" t="str">
        <f>IFERROR(VLOOKUP(F423,'Comments Feeder'!$B:$W,23,FALSE),"")</f>
        <v/>
      </c>
      <c r="D426" s="194" t="str">
        <f>IFERROR(VLOOKUP(F422,'Comments Feeder'!$B:$W,24,FALSE),"")</f>
        <v/>
      </c>
      <c r="E426" s="194" t="str">
        <f>IFERROR(VLOOKUP(F422,'Comments Feeder'!$B:$W,25,FALSE),"")</f>
        <v/>
      </c>
      <c r="F426" s="216"/>
      <c r="H426" s="182"/>
    </row>
    <row r="427" spans="1:8" x14ac:dyDescent="0.25">
      <c r="A427" s="239" t="str">
        <f>IFERROR(VLOOKUP(F426,'Comments Feeder'!$B:$W,18,FALSE),"")</f>
        <v/>
      </c>
      <c r="B427" s="239" t="str">
        <f>IFERROR(VLOOKUP(F425,'Comments Feeder'!$B:$W,21,FALSE),"")</f>
        <v/>
      </c>
      <c r="C427" s="239" t="str">
        <f>IFERROR(VLOOKUP(F424,'Comments Feeder'!$B:$W,23,FALSE),"")</f>
        <v/>
      </c>
      <c r="D427" s="194" t="str">
        <f>IFERROR(VLOOKUP(F423,'Comments Feeder'!$B:$W,24,FALSE),"")</f>
        <v/>
      </c>
      <c r="E427" s="194" t="str">
        <f>IFERROR(VLOOKUP(F423,'Comments Feeder'!$B:$W,25,FALSE),"")</f>
        <v/>
      </c>
      <c r="F427" s="217"/>
      <c r="H427" s="182"/>
    </row>
    <row r="428" spans="1:8" x14ac:dyDescent="0.25">
      <c r="A428" s="239" t="str">
        <f>IFERROR(VLOOKUP(F427,'Comments Feeder'!$B:$W,18,FALSE),"")</f>
        <v/>
      </c>
      <c r="B428" s="239" t="str">
        <f>IFERROR(VLOOKUP(F426,'Comments Feeder'!$B:$W,21,FALSE),"")</f>
        <v/>
      </c>
      <c r="C428" s="239" t="str">
        <f>IFERROR(VLOOKUP(F425,'Comments Feeder'!$B:$W,23,FALSE),"")</f>
        <v/>
      </c>
      <c r="D428" s="194" t="str">
        <f>IFERROR(VLOOKUP(F424,'Comments Feeder'!$B:$W,24,FALSE),"")</f>
        <v/>
      </c>
      <c r="E428" s="194" t="str">
        <f>IFERROR(VLOOKUP(F424,'Comments Feeder'!$B:$W,25,FALSE),"")</f>
        <v/>
      </c>
      <c r="F428" s="196"/>
      <c r="H428" s="182"/>
    </row>
    <row r="429" spans="1:8" ht="13.5" thickBot="1" x14ac:dyDescent="0.3">
      <c r="A429" s="304" t="str">
        <f>IFERROR(VLOOKUP(F428,'Comments Feeder'!$B:$W,18,FALSE),"")</f>
        <v/>
      </c>
      <c r="B429" s="304" t="str">
        <f>IFERROR(VLOOKUP(F427,'Comments Feeder'!$B:$W,21,FALSE),"")</f>
        <v/>
      </c>
      <c r="C429" s="304" t="str">
        <f>IFERROR(VLOOKUP(F426,'Comments Feeder'!$B:$W,23,FALSE),"")</f>
        <v/>
      </c>
      <c r="D429" s="305" t="str">
        <f>IFERROR(VLOOKUP(F425,'Comments Feeder'!$B:$W,24,FALSE),"")</f>
        <v/>
      </c>
      <c r="E429" s="305" t="str">
        <f>IFERROR(VLOOKUP(F425,'Comments Feeder'!$B:$W,25,FALSE),"")</f>
        <v/>
      </c>
      <c r="F429" s="218"/>
      <c r="H429" s="182"/>
    </row>
    <row r="430" spans="1:8" ht="13" x14ac:dyDescent="0.25">
      <c r="A430" s="239" t="str">
        <f>IFERROR(VLOOKUP(F429,'Comments Feeder'!$B:$W,18,FALSE),"")</f>
        <v/>
      </c>
      <c r="B430" s="239" t="str">
        <f>IFERROR(VLOOKUP(F428,'Comments Feeder'!$B:$W,21,FALSE),"")</f>
        <v/>
      </c>
      <c r="C430" s="239" t="str">
        <f>IFERROR(VLOOKUP(F427,'Comments Feeder'!$B:$W,23,FALSE),"")</f>
        <v/>
      </c>
      <c r="D430" s="194" t="str">
        <f>IFERROR(VLOOKUP(F426,'Comments Feeder'!$B:$W,24,FALSE),"")</f>
        <v/>
      </c>
      <c r="E430" s="194" t="str">
        <f>IFERROR(VLOOKUP(F426,'Comments Feeder'!$B:$W,25,FALSE),"")</f>
        <v/>
      </c>
      <c r="F430" s="214" t="s">
        <v>92</v>
      </c>
      <c r="H430" s="182"/>
    </row>
    <row r="431" spans="1:8" x14ac:dyDescent="0.25">
      <c r="A431" s="239">
        <f>IFERROR(VLOOKUP(F430,'Comments Feeder'!$B:$W,18,FALSE),"")</f>
        <v>-312</v>
      </c>
      <c r="B431" s="239" t="str">
        <f>IFERROR(VLOOKUP(F429,'Comments Feeder'!$B:$W,21,FALSE),"")</f>
        <v/>
      </c>
      <c r="C431" s="239" t="str">
        <f>IFERROR(VLOOKUP(F428,'Comments Feeder'!$B:$W,23,FALSE),"")</f>
        <v/>
      </c>
      <c r="D431" s="194" t="str">
        <f>IFERROR(VLOOKUP(F427,'Comments Feeder'!$B:$W,24,FALSE),"")</f>
        <v/>
      </c>
      <c r="E431" s="194" t="str">
        <f>IFERROR(VLOOKUP(F427,'Comments Feeder'!$B:$W,25,FALSE),"")</f>
        <v/>
      </c>
      <c r="F431" s="210"/>
      <c r="H431" s="182"/>
    </row>
    <row r="432" spans="1:8" x14ac:dyDescent="0.25">
      <c r="A432" s="239" t="str">
        <f>IFERROR(VLOOKUP(F431,'Comments Feeder'!$B:$W,18,FALSE),"")</f>
        <v/>
      </c>
      <c r="B432" s="239">
        <f>IFERROR(VLOOKUP(F430,'Comments Feeder'!$B:$W,21,FALSE),"")</f>
        <v>0</v>
      </c>
      <c r="C432" s="239" t="str">
        <f>IFERROR(VLOOKUP(F429,'Comments Feeder'!$B:$W,23,FALSE),"")</f>
        <v/>
      </c>
      <c r="D432" s="194" t="str">
        <f>IFERROR(VLOOKUP(F428,'Comments Feeder'!$B:$W,24,FALSE),"")</f>
        <v/>
      </c>
      <c r="E432" s="194" t="str">
        <f>IFERROR(VLOOKUP(F428,'Comments Feeder'!$B:$W,25,FALSE),"")</f>
        <v/>
      </c>
      <c r="F432" s="216"/>
      <c r="H432" s="182"/>
    </row>
    <row r="433" spans="1:8" x14ac:dyDescent="0.25">
      <c r="A433" s="239" t="str">
        <f>IFERROR(VLOOKUP(F432,'Comments Feeder'!$B:$W,18,FALSE),"")</f>
        <v/>
      </c>
      <c r="B433" s="239" t="str">
        <f>IFERROR(VLOOKUP(F431,'Comments Feeder'!$B:$W,21,FALSE),"")</f>
        <v/>
      </c>
      <c r="C433" s="239" t="str">
        <f>IFERROR(VLOOKUP(F430,'Comments Feeder'!$B:$W,23,FALSE),"")</f>
        <v/>
      </c>
      <c r="D433" s="194" t="str">
        <f>IFERROR(VLOOKUP(F429,'Comments Feeder'!$B:$W,24,FALSE),"")</f>
        <v/>
      </c>
      <c r="E433" s="194" t="str">
        <f>IFERROR(VLOOKUP(F429,'Comments Feeder'!$B:$W,25,FALSE),"")</f>
        <v/>
      </c>
      <c r="F433" s="217"/>
      <c r="H433" s="182"/>
    </row>
    <row r="434" spans="1:8" x14ac:dyDescent="0.25">
      <c r="A434" s="239" t="str">
        <f>IFERROR(VLOOKUP(F433,'Comments Feeder'!$B:$W,18,FALSE),"")</f>
        <v/>
      </c>
      <c r="B434" s="239" t="str">
        <f>IFERROR(VLOOKUP(F432,'Comments Feeder'!$B:$W,21,FALSE),"")</f>
        <v/>
      </c>
      <c r="C434" s="239" t="str">
        <f>IFERROR(VLOOKUP(F431,'Comments Feeder'!$B:$W,23,FALSE),"")</f>
        <v/>
      </c>
      <c r="D434" s="194" t="str">
        <f>IFERROR(VLOOKUP(F430,'Comments Feeder'!$B:$W,24,FALSE),"")</f>
        <v/>
      </c>
      <c r="E434" s="194" t="str">
        <f>IFERROR(VLOOKUP(F430,'Comments Feeder'!$B:$W,25,FALSE),"")</f>
        <v/>
      </c>
      <c r="F434" s="196"/>
      <c r="H434" s="182"/>
    </row>
    <row r="435" spans="1:8" ht="13.5" thickBot="1" x14ac:dyDescent="0.3">
      <c r="A435" s="304" t="str">
        <f>IFERROR(VLOOKUP(F434,'Comments Feeder'!$B:$W,18,FALSE),"")</f>
        <v/>
      </c>
      <c r="B435" s="304" t="str">
        <f>IFERROR(VLOOKUP(F433,'Comments Feeder'!$B:$W,21,FALSE),"")</f>
        <v/>
      </c>
      <c r="C435" s="304" t="str">
        <f>IFERROR(VLOOKUP(F432,'Comments Feeder'!$B:$W,23,FALSE),"")</f>
        <v/>
      </c>
      <c r="D435" s="305" t="str">
        <f>IFERROR(VLOOKUP(F431,'Comments Feeder'!$B:$W,24,FALSE),"")</f>
        <v/>
      </c>
      <c r="E435" s="305" t="str">
        <f>IFERROR(VLOOKUP(F431,'Comments Feeder'!$B:$W,25,FALSE),"")</f>
        <v/>
      </c>
      <c r="F435" s="218"/>
      <c r="H435" s="182"/>
    </row>
    <row r="437" spans="1:8" ht="15.5" x14ac:dyDescent="0.25">
      <c r="A437" s="832" t="s">
        <v>426</v>
      </c>
      <c r="B437" s="833"/>
      <c r="C437" s="833"/>
      <c r="D437" s="833"/>
      <c r="E437" s="833"/>
      <c r="F437" s="833"/>
      <c r="H437" s="182"/>
    </row>
    <row r="438" spans="1:8" ht="13" thickBot="1" x14ac:dyDescent="0.3">
      <c r="A438" s="235"/>
      <c r="H438" s="182"/>
    </row>
    <row r="439" spans="1:8" ht="78.5" thickBot="1" x14ac:dyDescent="0.3">
      <c r="A439" s="244" t="str">
        <f>A369</f>
        <v>Actual Variance at 30 September 2024         £'000</v>
      </c>
      <c r="B439" s="245" t="str">
        <f>B369</f>
        <v>Projected Outturn Variance at 30 September 2024         £'000</v>
      </c>
      <c r="C439" s="246" t="str">
        <f t="shared" ref="C439:E439" si="4">C369</f>
        <v>Variance to last month's Probable Outturn   £'000</v>
      </c>
      <c r="D439" s="246" t="str">
        <f t="shared" si="4"/>
        <v>Outturn Variance @previous quarter  £'000</v>
      </c>
      <c r="E439" s="246" t="str">
        <f t="shared" si="4"/>
        <v>Outturn Variance from previous quarter £'000</v>
      </c>
      <c r="F439" s="212"/>
      <c r="H439" s="182"/>
    </row>
    <row r="440" spans="1:8" ht="13" x14ac:dyDescent="0.25">
      <c r="A440" s="239" t="str">
        <f>IFERROR(VLOOKUP(F439,'Comments Feeder'!$B:$W,18,FALSE),"")</f>
        <v/>
      </c>
      <c r="B440" s="239" t="str">
        <f>IFERROR(VLOOKUP(F438,'Comments Feeder'!$B:$W,21,FALSE),"")</f>
        <v/>
      </c>
      <c r="C440" s="239" t="str">
        <f>IFERROR(VLOOKUP(F437,'Comments Feeder'!$B:$W,23,FALSE),"")</f>
        <v/>
      </c>
      <c r="D440" s="194" t="str">
        <f>IFERROR(VLOOKUP(F436,'Comments Feeder'!$B:$W,24,FALSE),"")</f>
        <v/>
      </c>
      <c r="E440" s="194" t="str">
        <f>IFERROR(VLOOKUP(F436,'Comments Feeder'!$B:$W,25,FALSE),"")</f>
        <v/>
      </c>
      <c r="F440" s="214" t="s">
        <v>101</v>
      </c>
      <c r="H440" s="182"/>
    </row>
    <row r="441" spans="1:8" x14ac:dyDescent="0.25">
      <c r="A441" s="239">
        <f>IFERROR(VLOOKUP(F440,'Comments Feeder'!$B:$W,18,FALSE),"")</f>
        <v>117</v>
      </c>
      <c r="B441" s="239" t="str">
        <f>IFERROR(VLOOKUP(F439,'Comments Feeder'!$B:$W,21,FALSE),"")</f>
        <v/>
      </c>
      <c r="C441" s="239" t="str">
        <f>IFERROR(VLOOKUP(F438,'Comments Feeder'!$B:$W,23,FALSE),"")</f>
        <v/>
      </c>
      <c r="D441" s="194" t="str">
        <f>IFERROR(VLOOKUP(F437,'Comments Feeder'!$B:$W,24,FALSE),"")</f>
        <v/>
      </c>
      <c r="E441" s="194" t="str">
        <f>IFERROR(VLOOKUP(F437,'Comments Feeder'!$B:$W,25,FALSE),"")</f>
        <v/>
      </c>
      <c r="F441" s="301" t="s">
        <v>427</v>
      </c>
      <c r="H441" s="182"/>
    </row>
    <row r="442" spans="1:8" x14ac:dyDescent="0.25">
      <c r="A442" s="239" t="str">
        <f>IFERROR(VLOOKUP(F441,'Comments Feeder'!$B:$W,18,FALSE),"")</f>
        <v/>
      </c>
      <c r="B442" s="239">
        <f>IFERROR(VLOOKUP(F440,'Comments Feeder'!$B:$W,21,FALSE),"")</f>
        <v>131</v>
      </c>
      <c r="C442" s="239" t="str">
        <f>IFERROR(VLOOKUP(F439,'Comments Feeder'!$B:$W,23,FALSE),"")</f>
        <v/>
      </c>
      <c r="D442" s="194" t="str">
        <f>IFERROR(VLOOKUP(F438,'Comments Feeder'!$B:$W,24,FALSE),"")</f>
        <v/>
      </c>
      <c r="E442" s="194" t="str">
        <f>IFERROR(VLOOKUP(F438,'Comments Feeder'!$B:$W,25,FALSE),"")</f>
        <v/>
      </c>
      <c r="F442" s="216"/>
      <c r="H442" s="182"/>
    </row>
    <row r="443" spans="1:8" x14ac:dyDescent="0.25">
      <c r="A443" s="239" t="str">
        <f>IFERROR(VLOOKUP(F442,'Comments Feeder'!$B:$W,18,FALSE),"")</f>
        <v/>
      </c>
      <c r="B443" s="239" t="str">
        <f>IFERROR(VLOOKUP(F441,'Comments Feeder'!$B:$W,21,FALSE),"")</f>
        <v/>
      </c>
      <c r="C443" s="239" t="str">
        <f>IFERROR(VLOOKUP(F440,'Comments Feeder'!$B:$W,23,FALSE),"")</f>
        <v/>
      </c>
      <c r="D443" s="194" t="str">
        <f>IFERROR(VLOOKUP(F439,'Comments Feeder'!$B:$W,24,FALSE),"")</f>
        <v/>
      </c>
      <c r="E443" s="194" t="str">
        <f>IFERROR(VLOOKUP(F439,'Comments Feeder'!$B:$W,25,FALSE),"")</f>
        <v/>
      </c>
      <c r="F443" s="216" t="s">
        <v>428</v>
      </c>
      <c r="H443" s="182"/>
    </row>
    <row r="444" spans="1:8" x14ac:dyDescent="0.25">
      <c r="A444" s="239" t="str">
        <f>IFERROR(VLOOKUP(F443,'Comments Feeder'!$B:$W,18,FALSE),"")</f>
        <v/>
      </c>
      <c r="B444" s="239" t="str">
        <f>IFERROR(VLOOKUP(F442,'Comments Feeder'!$B:$W,21,FALSE),"")</f>
        <v/>
      </c>
      <c r="C444" s="239" t="str">
        <f>IFERROR(VLOOKUP(F441,'Comments Feeder'!$B:$W,23,FALSE),"")</f>
        <v/>
      </c>
      <c r="D444" s="194" t="str">
        <f>IFERROR(VLOOKUP(F440,'Comments Feeder'!$B:$W,24,FALSE),"")</f>
        <v/>
      </c>
      <c r="E444" s="194" t="str">
        <f>IFERROR(VLOOKUP(F440,'Comments Feeder'!$B:$W,25,FALSE),"")</f>
        <v/>
      </c>
      <c r="F444" s="196"/>
      <c r="H444" s="182"/>
    </row>
    <row r="445" spans="1:8" ht="13.5" thickBot="1" x14ac:dyDescent="0.3">
      <c r="A445" s="304" t="str">
        <f>IFERROR(VLOOKUP(F444,'Comments Feeder'!$B:$W,18,FALSE),"")</f>
        <v/>
      </c>
      <c r="B445" s="304" t="str">
        <f>IFERROR(VLOOKUP(F443,'Comments Feeder'!$B:$W,21,FALSE),"")</f>
        <v/>
      </c>
      <c r="C445" s="304" t="str">
        <f>IFERROR(VLOOKUP(F442,'Comments Feeder'!$B:$W,23,FALSE),"")</f>
        <v/>
      </c>
      <c r="D445" s="305" t="str">
        <f>IFERROR(VLOOKUP(F441,'Comments Feeder'!$B:$W,24,FALSE),"")</f>
        <v/>
      </c>
      <c r="E445" s="305" t="str">
        <f>IFERROR(VLOOKUP(F441,'Comments Feeder'!$B:$W,25,FALSE),"")</f>
        <v/>
      </c>
      <c r="F445" s="218"/>
      <c r="H445" s="182"/>
    </row>
    <row r="446" spans="1:8" ht="13" x14ac:dyDescent="0.25">
      <c r="A446" s="239" t="str">
        <f>IFERROR(VLOOKUP(F445,'Comments Feeder'!$B:$W,18,FALSE),"")</f>
        <v/>
      </c>
      <c r="B446" s="239" t="str">
        <f>IFERROR(VLOOKUP(F444,'Comments Feeder'!$B:$W,21,FALSE),"")</f>
        <v/>
      </c>
      <c r="C446" s="239" t="str">
        <f>IFERROR(VLOOKUP(F443,'Comments Feeder'!$B:$W,23,FALSE),"")</f>
        <v/>
      </c>
      <c r="D446" s="194" t="str">
        <f>IFERROR(VLOOKUP(F442,'Comments Feeder'!$B:$W,24,FALSE),"")</f>
        <v/>
      </c>
      <c r="E446" s="194" t="str">
        <f>IFERROR(VLOOKUP(F442,'Comments Feeder'!$B:$W,25,FALSE),"")</f>
        <v/>
      </c>
      <c r="F446" s="214" t="s">
        <v>102</v>
      </c>
      <c r="H446" s="182"/>
    </row>
    <row r="447" spans="1:8" ht="27.75" customHeight="1" x14ac:dyDescent="0.25">
      <c r="A447" s="239">
        <f>IFERROR(VLOOKUP(F446,'Comments Feeder'!$B:$W,18,FALSE),"")</f>
        <v>29</v>
      </c>
      <c r="B447" s="239" t="str">
        <f>IFERROR(VLOOKUP(F445,'Comments Feeder'!$B:$W,21,FALSE),"")</f>
        <v/>
      </c>
      <c r="C447" s="239" t="str">
        <f>IFERROR(VLOOKUP(F444,'Comments Feeder'!$B:$W,23,FALSE),"")</f>
        <v/>
      </c>
      <c r="D447" s="194" t="str">
        <f>IFERROR(VLOOKUP(F443,'Comments Feeder'!$B:$W,24,FALSE),"")</f>
        <v/>
      </c>
      <c r="E447" s="194" t="str">
        <f>IFERROR(VLOOKUP(F443,'Comments Feeder'!$B:$W,25,FALSE),"")</f>
        <v/>
      </c>
      <c r="F447" s="460" t="s">
        <v>429</v>
      </c>
      <c r="H447" s="182"/>
    </row>
    <row r="448" spans="1:8" x14ac:dyDescent="0.25">
      <c r="A448" s="239" t="str">
        <f>IFERROR(VLOOKUP(F447,'Comments Feeder'!$B:$W,18,FALSE),"")</f>
        <v/>
      </c>
      <c r="B448" s="239">
        <f>IFERROR(VLOOKUP(F446,'Comments Feeder'!$B:$W,21,FALSE),"")</f>
        <v>75</v>
      </c>
      <c r="C448" s="239" t="str">
        <f>IFERROR(VLOOKUP(F445,'Comments Feeder'!$B:$W,23,FALSE),"")</f>
        <v/>
      </c>
      <c r="D448" s="194" t="str">
        <f>IFERROR(VLOOKUP(F444,'Comments Feeder'!$B:$W,24,FALSE),"")</f>
        <v/>
      </c>
      <c r="E448" s="194" t="str">
        <f>IFERROR(VLOOKUP(F444,'Comments Feeder'!$B:$W,25,FALSE),"")</f>
        <v/>
      </c>
      <c r="F448" s="583" t="s">
        <v>430</v>
      </c>
      <c r="H448" s="182"/>
    </row>
    <row r="449" spans="1:8" x14ac:dyDescent="0.25">
      <c r="A449" s="239" t="str">
        <f>IFERROR(VLOOKUP(F448,'Comments Feeder'!$B:$W,18,FALSE),"")</f>
        <v/>
      </c>
      <c r="B449" s="239" t="str">
        <f>IFERROR(VLOOKUP(F447,'Comments Feeder'!$B:$W,21,FALSE),"")</f>
        <v/>
      </c>
      <c r="C449" s="239" t="str">
        <f>IFERROR(VLOOKUP(F446,'Comments Feeder'!$B:$W,23,FALSE),"")</f>
        <v/>
      </c>
      <c r="D449" s="194" t="str">
        <f>IFERROR(VLOOKUP(F445,'Comments Feeder'!$B:$W,24,FALSE),"")</f>
        <v/>
      </c>
      <c r="E449" s="194" t="str">
        <f>IFERROR(VLOOKUP(F445,'Comments Feeder'!$B:$W,25,FALSE),"")</f>
        <v/>
      </c>
      <c r="F449" s="217"/>
      <c r="H449" s="182"/>
    </row>
    <row r="450" spans="1:8" x14ac:dyDescent="0.25">
      <c r="A450" s="239" t="str">
        <f>IFERROR(VLOOKUP(F449,'Comments Feeder'!$B:$W,18,FALSE),"")</f>
        <v/>
      </c>
      <c r="B450" s="239" t="str">
        <f>IFERROR(VLOOKUP(F448,'Comments Feeder'!$B:$W,21,FALSE),"")</f>
        <v/>
      </c>
      <c r="C450" s="239" t="str">
        <f>IFERROR(VLOOKUP(F447,'Comments Feeder'!$B:$W,23,FALSE),"")</f>
        <v/>
      </c>
      <c r="D450" s="194" t="str">
        <f>IFERROR(VLOOKUP(F446,'Comments Feeder'!$B:$W,24,FALSE),"")</f>
        <v/>
      </c>
      <c r="E450" s="194" t="str">
        <f>IFERROR(VLOOKUP(F446,'Comments Feeder'!$B:$W,25,FALSE),"")</f>
        <v/>
      </c>
      <c r="F450" s="196"/>
      <c r="H450" s="182"/>
    </row>
    <row r="451" spans="1:8" ht="13.5" thickBot="1" x14ac:dyDescent="0.3">
      <c r="A451" s="304" t="str">
        <f>IFERROR(VLOOKUP(F450,'Comments Feeder'!$B:$W,18,FALSE),"")</f>
        <v/>
      </c>
      <c r="B451" s="304" t="str">
        <f>IFERROR(VLOOKUP(F449,'Comments Feeder'!$B:$W,21,FALSE),"")</f>
        <v/>
      </c>
      <c r="C451" s="304" t="str">
        <f>IFERROR(VLOOKUP(F448,'Comments Feeder'!$B:$W,23,FALSE),"")</f>
        <v/>
      </c>
      <c r="D451" s="305" t="str">
        <f>IFERROR(VLOOKUP(F447,'Comments Feeder'!$B:$W,24,FALSE),"")</f>
        <v/>
      </c>
      <c r="E451" s="305" t="str">
        <f>IFERROR(VLOOKUP(F447,'Comments Feeder'!$B:$W,25,FALSE),"")</f>
        <v/>
      </c>
      <c r="F451" s="218"/>
      <c r="H451" s="182"/>
    </row>
    <row r="452" spans="1:8" ht="13" x14ac:dyDescent="0.25">
      <c r="A452" s="239" t="str">
        <f>IFERROR(VLOOKUP(F451,'Comments Feeder'!$B:$W,18,FALSE),"")</f>
        <v/>
      </c>
      <c r="B452" s="239" t="str">
        <f>IFERROR(VLOOKUP(F450,'Comments Feeder'!$B:$W,21,FALSE),"")</f>
        <v/>
      </c>
      <c r="C452" s="239" t="str">
        <f>IFERROR(VLOOKUP(F449,'Comments Feeder'!$B:$W,23,FALSE),"")</f>
        <v/>
      </c>
      <c r="D452" s="194" t="str">
        <f>IFERROR(VLOOKUP(F448,'Comments Feeder'!$B:$W,24,FALSE),"")</f>
        <v/>
      </c>
      <c r="E452" s="194" t="str">
        <f>IFERROR(VLOOKUP(F448,'Comments Feeder'!$B:$W,25,FALSE),"")</f>
        <v/>
      </c>
      <c r="F452" s="214" t="s">
        <v>103</v>
      </c>
      <c r="H452" s="182"/>
    </row>
    <row r="453" spans="1:8" ht="42.65" customHeight="1" x14ac:dyDescent="0.25">
      <c r="A453" s="239">
        <f>IFERROR(VLOOKUP(F452,'Comments Feeder'!$B:$W,18,FALSE),"")</f>
        <v>61</v>
      </c>
      <c r="B453" s="239" t="str">
        <f>IFERROR(VLOOKUP(F451,'Comments Feeder'!$B:$W,21,FALSE),"")</f>
        <v/>
      </c>
      <c r="C453" s="239" t="str">
        <f>IFERROR(VLOOKUP(F450,'Comments Feeder'!$B:$W,23,FALSE),"")</f>
        <v/>
      </c>
      <c r="D453" s="194" t="str">
        <f>IFERROR(VLOOKUP(F449,'Comments Feeder'!$B:$W,24,FALSE),"")</f>
        <v/>
      </c>
      <c r="E453" s="194" t="str">
        <f>IFERROR(VLOOKUP(F449,'Comments Feeder'!$B:$W,25,FALSE),"")</f>
        <v/>
      </c>
      <c r="F453" s="460" t="s">
        <v>431</v>
      </c>
      <c r="H453" s="182"/>
    </row>
    <row r="454" spans="1:8" x14ac:dyDescent="0.25">
      <c r="A454" s="239" t="str">
        <f>IFERROR(VLOOKUP(F453,'Comments Feeder'!$B:$W,18,FALSE),"")</f>
        <v/>
      </c>
      <c r="B454" s="239">
        <f>IFERROR(VLOOKUP(F452,'Comments Feeder'!$B:$W,21,FALSE),"")</f>
        <v>0</v>
      </c>
      <c r="C454" s="239" t="str">
        <f>IFERROR(VLOOKUP(F451,'Comments Feeder'!$B:$W,23,FALSE),"")</f>
        <v/>
      </c>
      <c r="D454" s="194" t="str">
        <f>IFERROR(VLOOKUP(F450,'Comments Feeder'!$B:$W,24,FALSE),"")</f>
        <v/>
      </c>
      <c r="E454" s="194" t="str">
        <f>IFERROR(VLOOKUP(F450,'Comments Feeder'!$B:$W,25,FALSE),"")</f>
        <v/>
      </c>
      <c r="F454" s="804" t="s">
        <v>432</v>
      </c>
      <c r="H454" s="182"/>
    </row>
    <row r="455" spans="1:8" x14ac:dyDescent="0.25">
      <c r="A455" s="239" t="str">
        <f>IFERROR(VLOOKUP(F454,'Comments Feeder'!$B:$W,18,FALSE),"")</f>
        <v/>
      </c>
      <c r="B455" s="239" t="str">
        <f>IFERROR(VLOOKUP(F453,'Comments Feeder'!$B:$W,21,FALSE),"")</f>
        <v/>
      </c>
      <c r="C455" s="239" t="str">
        <f>IFERROR(VLOOKUP(F452,'Comments Feeder'!$B:$W,23,FALSE),"")</f>
        <v/>
      </c>
      <c r="D455" s="194" t="str">
        <f>IFERROR(VLOOKUP(F451,'Comments Feeder'!$B:$W,24,FALSE),"")</f>
        <v/>
      </c>
      <c r="E455" s="194" t="str">
        <f>IFERROR(VLOOKUP(F451,'Comments Feeder'!$B:$W,25,FALSE),"")</f>
        <v/>
      </c>
      <c r="F455" s="217" t="s">
        <v>433</v>
      </c>
      <c r="H455" s="182"/>
    </row>
    <row r="456" spans="1:8" x14ac:dyDescent="0.25">
      <c r="A456" s="239" t="str">
        <f>IFERROR(VLOOKUP(F455,'Comments Feeder'!$B:$W,18,FALSE),"")</f>
        <v/>
      </c>
      <c r="B456" s="239" t="str">
        <f>IFERROR(VLOOKUP(F454,'Comments Feeder'!$B:$W,21,FALSE),"")</f>
        <v/>
      </c>
      <c r="C456" s="239" t="str">
        <f>IFERROR(VLOOKUP(F453,'Comments Feeder'!$B:$W,23,FALSE),"")</f>
        <v/>
      </c>
      <c r="D456" s="194" t="str">
        <f>IFERROR(VLOOKUP(F452,'Comments Feeder'!$B:$W,24,FALSE),"")</f>
        <v/>
      </c>
      <c r="E456" s="194" t="str">
        <f>IFERROR(VLOOKUP(F452,'Comments Feeder'!$B:$W,25,FALSE),"")</f>
        <v/>
      </c>
      <c r="F456" s="196"/>
      <c r="H456" s="182"/>
    </row>
    <row r="457" spans="1:8" ht="13.5" thickBot="1" x14ac:dyDescent="0.3">
      <c r="A457" s="304" t="str">
        <f>IFERROR(VLOOKUP(F456,'Comments Feeder'!$B:$W,18,FALSE),"")</f>
        <v/>
      </c>
      <c r="B457" s="304" t="str">
        <f>IFERROR(VLOOKUP(F455,'Comments Feeder'!$B:$W,21,FALSE),"")</f>
        <v/>
      </c>
      <c r="C457" s="304" t="str">
        <f>IFERROR(VLOOKUP(F454,'Comments Feeder'!$B:$W,23,FALSE),"")</f>
        <v/>
      </c>
      <c r="D457" s="305" t="str">
        <f>IFERROR(VLOOKUP(F453,'Comments Feeder'!$B:$W,24,FALSE),"")</f>
        <v/>
      </c>
      <c r="E457" s="305" t="str">
        <f>IFERROR(VLOOKUP(F453,'Comments Feeder'!$B:$W,25,FALSE),"")</f>
        <v/>
      </c>
      <c r="F457" s="218"/>
      <c r="H457" s="182"/>
    </row>
    <row r="458" spans="1:8" ht="13" x14ac:dyDescent="0.25">
      <c r="A458" s="239" t="str">
        <f>IFERROR(VLOOKUP(F457,'Comments Feeder'!$B:$W,18,FALSE),"")</f>
        <v/>
      </c>
      <c r="B458" s="239" t="str">
        <f>IFERROR(VLOOKUP(F456,'Comments Feeder'!$B:$W,21,FALSE),"")</f>
        <v/>
      </c>
      <c r="C458" s="239" t="str">
        <f>IFERROR(VLOOKUP(F455,'Comments Feeder'!$B:$W,23,FALSE),"")</f>
        <v/>
      </c>
      <c r="D458" s="194" t="str">
        <f>IFERROR(VLOOKUP(F454,'Comments Feeder'!$B:$W,24,FALSE),"")</f>
        <v/>
      </c>
      <c r="E458" s="194" t="str">
        <f>IFERROR(VLOOKUP(F454,'Comments Feeder'!$B:$W,25,FALSE),"")</f>
        <v/>
      </c>
      <c r="F458" s="214" t="s">
        <v>104</v>
      </c>
      <c r="H458" s="182"/>
    </row>
    <row r="459" spans="1:8" ht="28.5" customHeight="1" x14ac:dyDescent="0.25">
      <c r="A459" s="239">
        <f>IFERROR(VLOOKUP(F458,'Comments Feeder'!$B:$W,18,FALSE),"")</f>
        <v>58</v>
      </c>
      <c r="B459" s="239" t="str">
        <f>IFERROR(VLOOKUP(F457,'Comments Feeder'!$B:$W,21,FALSE),"")</f>
        <v/>
      </c>
      <c r="C459" s="239" t="str">
        <f>IFERROR(VLOOKUP(F456,'Comments Feeder'!$B:$W,23,FALSE),"")</f>
        <v/>
      </c>
      <c r="D459" s="194" t="str">
        <f>IFERROR(VLOOKUP(F455,'Comments Feeder'!$B:$W,24,FALSE),"")</f>
        <v/>
      </c>
      <c r="E459" s="194" t="str">
        <f>IFERROR(VLOOKUP(F455,'Comments Feeder'!$B:$W,25,FALSE),"")</f>
        <v/>
      </c>
      <c r="F459" s="460" t="s">
        <v>434</v>
      </c>
      <c r="H459" s="182"/>
    </row>
    <row r="460" spans="1:8" x14ac:dyDescent="0.25">
      <c r="A460" s="239" t="str">
        <f>IFERROR(VLOOKUP(F459,'Comments Feeder'!$B:$W,18,FALSE),"")</f>
        <v/>
      </c>
      <c r="B460" s="239">
        <f>IFERROR(VLOOKUP(F458,'Comments Feeder'!$B:$W,21,FALSE),"")</f>
        <v>120</v>
      </c>
      <c r="C460" s="239" t="str">
        <f>IFERROR(VLOOKUP(F457,'Comments Feeder'!$B:$W,23,FALSE),"")</f>
        <v/>
      </c>
      <c r="D460" s="194" t="str">
        <f>IFERROR(VLOOKUP(F456,'Comments Feeder'!$B:$W,24,FALSE),"")</f>
        <v/>
      </c>
      <c r="E460" s="194" t="str">
        <f>IFERROR(VLOOKUP(F456,'Comments Feeder'!$B:$W,25,FALSE),"")</f>
        <v/>
      </c>
      <c r="F460" s="805" t="s">
        <v>435</v>
      </c>
      <c r="H460" s="182"/>
    </row>
    <row r="461" spans="1:8" x14ac:dyDescent="0.25">
      <c r="A461" s="239" t="str">
        <f>IFERROR(VLOOKUP(F460,'Comments Feeder'!$B:$W,18,FALSE),"")</f>
        <v/>
      </c>
      <c r="B461" s="239" t="str">
        <f>IFERROR(VLOOKUP(F459,'Comments Feeder'!$B:$W,21,FALSE),"")</f>
        <v/>
      </c>
      <c r="C461" s="239" t="str">
        <f>IFERROR(VLOOKUP(F458,'Comments Feeder'!$B:$W,23,FALSE),"")</f>
        <v/>
      </c>
      <c r="D461" s="194" t="str">
        <f>IFERROR(VLOOKUP(F457,'Comments Feeder'!$B:$W,24,FALSE),"")</f>
        <v/>
      </c>
      <c r="E461" s="194" t="str">
        <f>IFERROR(VLOOKUP(F457,'Comments Feeder'!$B:$W,25,FALSE),"")</f>
        <v/>
      </c>
      <c r="F461" s="594"/>
      <c r="H461" s="182"/>
    </row>
    <row r="462" spans="1:8" x14ac:dyDescent="0.25">
      <c r="A462" s="239" t="str">
        <f>IFERROR(VLOOKUP(F461,'Comments Feeder'!$B:$W,18,FALSE),"")</f>
        <v/>
      </c>
      <c r="B462" s="239" t="str">
        <f>IFERROR(VLOOKUP(F460,'Comments Feeder'!$B:$W,21,FALSE),"")</f>
        <v/>
      </c>
      <c r="C462" s="239" t="str">
        <f>IFERROR(VLOOKUP(F459,'Comments Feeder'!$B:$W,23,FALSE),"")</f>
        <v/>
      </c>
      <c r="D462" s="194" t="str">
        <f>IFERROR(VLOOKUP(F458,'Comments Feeder'!$B:$W,24,FALSE),"")</f>
        <v/>
      </c>
      <c r="E462" s="194" t="str">
        <f>IFERROR(VLOOKUP(F458,'Comments Feeder'!$B:$W,25,FALSE),"")</f>
        <v/>
      </c>
      <c r="F462" s="196"/>
      <c r="H462" s="182"/>
    </row>
    <row r="463" spans="1:8" ht="13.5" thickBot="1" x14ac:dyDescent="0.3">
      <c r="A463" s="304" t="str">
        <f>IFERROR(VLOOKUP(F462,'Comments Feeder'!$B:$W,18,FALSE),"")</f>
        <v/>
      </c>
      <c r="B463" s="304" t="str">
        <f>IFERROR(VLOOKUP(F461,'Comments Feeder'!$B:$W,21,FALSE),"")</f>
        <v/>
      </c>
      <c r="C463" s="304" t="str">
        <f>IFERROR(VLOOKUP(F460,'Comments Feeder'!$B:$W,23,FALSE),"")</f>
        <v/>
      </c>
      <c r="D463" s="305" t="str">
        <f>IFERROR(VLOOKUP(F459,'Comments Feeder'!$B:$W,24,FALSE),"")</f>
        <v/>
      </c>
      <c r="E463" s="305" t="str">
        <f>IFERROR(VLOOKUP(F459,'Comments Feeder'!$B:$W,25,FALSE),"")</f>
        <v/>
      </c>
      <c r="F463" s="218"/>
      <c r="H463" s="182"/>
    </row>
    <row r="464" spans="1:8" ht="13" x14ac:dyDescent="0.25">
      <c r="A464" s="239" t="str">
        <f>IFERROR(VLOOKUP(F463,'Comments Feeder'!$B:$W,18,FALSE),"")</f>
        <v/>
      </c>
      <c r="B464" s="239" t="str">
        <f>IFERROR(VLOOKUP(F462,'Comments Feeder'!$B:$W,21,FALSE),"")</f>
        <v/>
      </c>
      <c r="C464" s="239" t="str">
        <f>IFERROR(VLOOKUP(F461,'Comments Feeder'!$B:$W,23,FALSE),"")</f>
        <v/>
      </c>
      <c r="D464" s="194" t="str">
        <f>IFERROR(VLOOKUP(F460,'Comments Feeder'!$B:$W,24,FALSE),"")</f>
        <v/>
      </c>
      <c r="E464" s="194" t="str">
        <f>IFERROR(VLOOKUP(F460,'Comments Feeder'!$B:$W,25,FALSE),"")</f>
        <v/>
      </c>
      <c r="F464" s="214" t="s">
        <v>105</v>
      </c>
      <c r="H464" s="182"/>
    </row>
    <row r="465" spans="1:8" ht="28.5" customHeight="1" x14ac:dyDescent="0.25">
      <c r="A465" s="239">
        <f>IFERROR(VLOOKUP(F464,'Comments Feeder'!$B:$W,18,FALSE),"")</f>
        <v>205</v>
      </c>
      <c r="B465" s="239" t="str">
        <f>IFERROR(VLOOKUP(F463,'Comments Feeder'!$B:$W,21,FALSE),"")</f>
        <v/>
      </c>
      <c r="C465" s="239" t="str">
        <f>IFERROR(VLOOKUP(F462,'Comments Feeder'!$B:$W,23,FALSE),"")</f>
        <v/>
      </c>
      <c r="D465" s="194" t="str">
        <f>IFERROR(VLOOKUP(F461,'Comments Feeder'!$B:$W,24,FALSE),"")</f>
        <v/>
      </c>
      <c r="E465" s="194" t="str">
        <f>IFERROR(VLOOKUP(F461,'Comments Feeder'!$B:$W,25,FALSE),"")</f>
        <v/>
      </c>
      <c r="F465" s="318" t="s">
        <v>436</v>
      </c>
      <c r="H465" s="182"/>
    </row>
    <row r="466" spans="1:8" x14ac:dyDescent="0.25">
      <c r="A466" s="239" t="str">
        <f>IFERROR(VLOOKUP(#REF!,'Comments Feeder'!$B:$W,18,FALSE),"")</f>
        <v/>
      </c>
      <c r="B466" s="239">
        <f>IFERROR(VLOOKUP(F464,'Comments Feeder'!$B:$W,21,FALSE),"")</f>
        <v>-90</v>
      </c>
      <c r="C466" s="239" t="str">
        <f>IFERROR(VLOOKUP(F463,'Comments Feeder'!$B:$W,23,FALSE),"")</f>
        <v/>
      </c>
      <c r="D466" s="194" t="str">
        <f>IFERROR(VLOOKUP(F462,'Comments Feeder'!$B:$W,24,FALSE),"")</f>
        <v/>
      </c>
      <c r="E466" s="194" t="str">
        <f>IFERROR(VLOOKUP(F462,'Comments Feeder'!$B:$W,25,FALSE),"")</f>
        <v/>
      </c>
      <c r="F466" s="318" t="s">
        <v>437</v>
      </c>
      <c r="H466" s="182"/>
    </row>
    <row r="467" spans="1:8" x14ac:dyDescent="0.25">
      <c r="A467" s="239" t="str">
        <f>IFERROR(VLOOKUP(F465,'Comments Feeder'!$B:$W,18,FALSE),"")</f>
        <v/>
      </c>
      <c r="B467" s="239" t="str">
        <f>IFERROR(VLOOKUP(#REF!,'Comments Feeder'!$B:$W,21,FALSE),"")</f>
        <v/>
      </c>
      <c r="C467" s="239" t="str">
        <f>IFERROR(VLOOKUP(F464,'Comments Feeder'!$B:$W,23,FALSE),"")</f>
        <v/>
      </c>
      <c r="D467" s="194" t="str">
        <f>IFERROR(VLOOKUP(F463,'Comments Feeder'!$B:$W,24,FALSE),"")</f>
        <v/>
      </c>
      <c r="E467" s="194" t="str">
        <f>IFERROR(VLOOKUP(F463,'Comments Feeder'!$B:$W,25,FALSE),"")</f>
        <v/>
      </c>
      <c r="F467" s="316" t="s">
        <v>438</v>
      </c>
      <c r="H467" s="182"/>
    </row>
    <row r="468" spans="1:8" x14ac:dyDescent="0.25">
      <c r="A468" s="239" t="str">
        <f>IFERROR(VLOOKUP(F467,'Comments Feeder'!$B:$W,18,FALSE),"")</f>
        <v/>
      </c>
      <c r="B468" s="239" t="str">
        <f>IFERROR(VLOOKUP(F465,'Comments Feeder'!$B:$W,21,FALSE),"")</f>
        <v/>
      </c>
      <c r="C468" s="239" t="str">
        <f>IFERROR(VLOOKUP(#REF!,'Comments Feeder'!$B:$W,23,FALSE),"")</f>
        <v/>
      </c>
      <c r="D468" s="194" t="str">
        <f>IFERROR(VLOOKUP(F464,'Comments Feeder'!$B:$W,24,FALSE),"")</f>
        <v/>
      </c>
      <c r="E468" s="194" t="str">
        <f>IFERROR(VLOOKUP(F464,'Comments Feeder'!$B:$W,25,FALSE),"")</f>
        <v/>
      </c>
      <c r="F468" s="196"/>
      <c r="H468" s="182"/>
    </row>
    <row r="469" spans="1:8" ht="13.5" thickBot="1" x14ac:dyDescent="0.3">
      <c r="A469" s="304" t="str">
        <f>IFERROR(VLOOKUP(F468,'Comments Feeder'!$B:$W,18,FALSE),"")</f>
        <v/>
      </c>
      <c r="B469" s="304" t="str">
        <f>IFERROR(VLOOKUP(F467,'Comments Feeder'!$B:$W,21,FALSE),"")</f>
        <v/>
      </c>
      <c r="C469" s="304" t="str">
        <f>IFERROR(VLOOKUP(F465,'Comments Feeder'!$B:$W,23,FALSE),"")</f>
        <v/>
      </c>
      <c r="D469" s="305" t="str">
        <f>IFERROR(VLOOKUP(#REF!,'Comments Feeder'!$B:$W,24,FALSE),"")</f>
        <v/>
      </c>
      <c r="E469" s="305" t="str">
        <f>IFERROR(VLOOKUP(#REF!,'Comments Feeder'!$B:$W,25,FALSE),"")</f>
        <v/>
      </c>
      <c r="F469" s="218"/>
      <c r="H469" s="182"/>
    </row>
    <row r="470" spans="1:8" ht="13" x14ac:dyDescent="0.25">
      <c r="A470" s="239" t="str">
        <f>IFERROR(VLOOKUP(F469,'Comments Feeder'!$B:$W,18,FALSE),"")</f>
        <v/>
      </c>
      <c r="B470" s="239" t="str">
        <f>IFERROR(VLOOKUP(F468,'Comments Feeder'!$B:$W,21,FALSE),"")</f>
        <v/>
      </c>
      <c r="C470" s="239" t="str">
        <f>IFERROR(VLOOKUP(F467,'Comments Feeder'!$B:$W,23,FALSE),"")</f>
        <v/>
      </c>
      <c r="D470" s="194" t="str">
        <f>IFERROR(VLOOKUP(F465,'Comments Feeder'!$B:$W,24,FALSE),"")</f>
        <v/>
      </c>
      <c r="E470" s="194" t="str">
        <f>IFERROR(VLOOKUP(F465,'Comments Feeder'!$B:$W,25,FALSE),"")</f>
        <v/>
      </c>
      <c r="F470" s="214" t="s">
        <v>106</v>
      </c>
      <c r="H470" s="182"/>
    </row>
    <row r="471" spans="1:8" ht="28.5" customHeight="1" x14ac:dyDescent="0.25">
      <c r="A471" s="239">
        <f>IFERROR(VLOOKUP(F470,'Comments Feeder'!$B:$W,18,FALSE),"")</f>
        <v>41</v>
      </c>
      <c r="B471" s="239" t="str">
        <f>IFERROR(VLOOKUP(F469,'Comments Feeder'!$B:$W,21,FALSE),"")</f>
        <v/>
      </c>
      <c r="C471" s="239" t="str">
        <f>IFERROR(VLOOKUP(F468,'Comments Feeder'!$B:$W,23,FALSE),"")</f>
        <v/>
      </c>
      <c r="D471" s="194" t="str">
        <f>IFERROR(VLOOKUP(F467,'Comments Feeder'!$B:$W,24,FALSE),"")</f>
        <v/>
      </c>
      <c r="E471" s="194" t="str">
        <f>IFERROR(VLOOKUP(F467,'Comments Feeder'!$B:$W,25,FALSE),"")</f>
        <v/>
      </c>
      <c r="F471" s="460" t="s">
        <v>439</v>
      </c>
      <c r="H471" s="182"/>
    </row>
    <row r="472" spans="1:8" x14ac:dyDescent="0.25">
      <c r="A472" s="239" t="str">
        <f>IFERROR(VLOOKUP(F471,'Comments Feeder'!$B:$W,18,FALSE),"")</f>
        <v/>
      </c>
      <c r="B472" s="239">
        <v>70</v>
      </c>
      <c r="C472" s="239" t="str">
        <f>IFERROR(VLOOKUP(F469,'Comments Feeder'!$B:$W,23,FALSE),"")</f>
        <v/>
      </c>
      <c r="D472" s="194" t="str">
        <f>IFERROR(VLOOKUP(F468,'Comments Feeder'!$B:$W,24,FALSE),"")</f>
        <v/>
      </c>
      <c r="E472" s="194" t="str">
        <f>IFERROR(VLOOKUP(F468,'Comments Feeder'!$B:$W,25,FALSE),"")</f>
        <v/>
      </c>
      <c r="F472" s="216" t="s">
        <v>440</v>
      </c>
      <c r="H472" s="182"/>
    </row>
    <row r="473" spans="1:8" x14ac:dyDescent="0.25">
      <c r="A473" s="239" t="str">
        <f>IFERROR(VLOOKUP(F472,'Comments Feeder'!$B:$W,18,FALSE),"")</f>
        <v/>
      </c>
      <c r="B473" s="239" t="str">
        <f>IFERROR(VLOOKUP(F471,'Comments Feeder'!$B:$W,21,FALSE),"")</f>
        <v/>
      </c>
      <c r="C473" s="239" t="str">
        <f>IFERROR(VLOOKUP(F470,'Comments Feeder'!$B:$W,23,FALSE),"")</f>
        <v/>
      </c>
      <c r="D473" s="194" t="str">
        <f>IFERROR(VLOOKUP(F469,'Comments Feeder'!$B:$W,24,FALSE),"")</f>
        <v/>
      </c>
      <c r="E473" s="194" t="str">
        <f>IFERROR(VLOOKUP(F469,'Comments Feeder'!$B:$W,25,FALSE),"")</f>
        <v/>
      </c>
      <c r="F473" s="217"/>
      <c r="H473" s="182"/>
    </row>
    <row r="474" spans="1:8" x14ac:dyDescent="0.25">
      <c r="A474" s="239" t="str">
        <f>IFERROR(VLOOKUP(F473,'Comments Feeder'!$B:$W,18,FALSE),"")</f>
        <v/>
      </c>
      <c r="B474" s="239" t="str">
        <f>IFERROR(VLOOKUP(F472,'Comments Feeder'!$B:$W,21,FALSE),"")</f>
        <v/>
      </c>
      <c r="C474" s="239" t="str">
        <f>IFERROR(VLOOKUP(F471,'Comments Feeder'!$B:$W,23,FALSE),"")</f>
        <v/>
      </c>
      <c r="D474" s="194" t="str">
        <f>IFERROR(VLOOKUP(F470,'Comments Feeder'!$B:$W,24,FALSE),"")</f>
        <v/>
      </c>
      <c r="E474" s="194" t="str">
        <f>IFERROR(VLOOKUP(F470,'Comments Feeder'!$B:$W,25,FALSE),"")</f>
        <v/>
      </c>
      <c r="F474" s="196"/>
      <c r="H474" s="182"/>
    </row>
    <row r="475" spans="1:8" ht="13.5" thickBot="1" x14ac:dyDescent="0.3">
      <c r="A475" s="304" t="str">
        <f>IFERROR(VLOOKUP(F474,'Comments Feeder'!$B:$W,18,FALSE),"")</f>
        <v/>
      </c>
      <c r="B475" s="304" t="str">
        <f>IFERROR(VLOOKUP(F473,'Comments Feeder'!$B:$W,21,FALSE),"")</f>
        <v/>
      </c>
      <c r="C475" s="304" t="str">
        <f>IFERROR(VLOOKUP(F472,'Comments Feeder'!$B:$W,23,FALSE),"")</f>
        <v/>
      </c>
      <c r="D475" s="305" t="str">
        <f>IFERROR(VLOOKUP(F471,'Comments Feeder'!$B:$W,24,FALSE),"")</f>
        <v/>
      </c>
      <c r="E475" s="305" t="str">
        <f>IFERROR(VLOOKUP(F471,'Comments Feeder'!$B:$W,25,FALSE),"")</f>
        <v/>
      </c>
      <c r="F475" s="218"/>
      <c r="H475" s="182"/>
    </row>
    <row r="476" spans="1:8" ht="13" x14ac:dyDescent="0.25">
      <c r="A476" s="239" t="str">
        <f>IFERROR(VLOOKUP(F475,'Comments Feeder'!$B:$W,18,FALSE),"")</f>
        <v/>
      </c>
      <c r="B476" s="239" t="str">
        <f>IFERROR(VLOOKUP(#REF!,'Comments Feeder'!$B:$W,21,FALSE),"")</f>
        <v/>
      </c>
      <c r="C476" s="239" t="str">
        <f>IFERROR(VLOOKUP(#REF!,'Comments Feeder'!$B:$W,23,FALSE),"")</f>
        <v/>
      </c>
      <c r="D476" s="194" t="str">
        <f>IFERROR(VLOOKUP(#REF!,'Comments Feeder'!$B:$W,24,FALSE),"")</f>
        <v/>
      </c>
      <c r="E476" s="194" t="str">
        <f>IFERROR(VLOOKUP(#REF!,'Comments Feeder'!$B:$W,25,FALSE),"")</f>
        <v/>
      </c>
      <c r="F476" s="214" t="s">
        <v>107</v>
      </c>
      <c r="H476" s="182"/>
    </row>
    <row r="477" spans="1:8" x14ac:dyDescent="0.25">
      <c r="A477" s="239">
        <f>IFERROR(VLOOKUP(F476,'Comments Feeder'!$B:$W,18,FALSE),"")</f>
        <v>511</v>
      </c>
      <c r="B477" s="239" t="str">
        <f>IFERROR(VLOOKUP(#REF!,'Comments Feeder'!$B:$W,21,FALSE),"")</f>
        <v/>
      </c>
      <c r="C477" s="239" t="str">
        <f>IFERROR(VLOOKUP(#REF!,'Comments Feeder'!$B:$W,23,FALSE),"")</f>
        <v/>
      </c>
      <c r="D477" s="194" t="str">
        <f>IFERROR(VLOOKUP(#REF!,'Comments Feeder'!$B:$W,24,FALSE),"")</f>
        <v/>
      </c>
      <c r="E477" s="194" t="str">
        <f>IFERROR(VLOOKUP(#REF!,'Comments Feeder'!$B:$W,25,FALSE),"")</f>
        <v/>
      </c>
      <c r="F477" s="230"/>
      <c r="H477" s="182"/>
    </row>
    <row r="478" spans="1:8" x14ac:dyDescent="0.25">
      <c r="A478" s="239" t="str">
        <f>IFERROR(VLOOKUP(F477,'Comments Feeder'!$B:$W,18,FALSE),"")</f>
        <v/>
      </c>
      <c r="B478" s="239">
        <v>306</v>
      </c>
      <c r="C478" s="239" t="str">
        <f>IFERROR(VLOOKUP(#REF!,'Comments Feeder'!$B:$W,23,FALSE),"")</f>
        <v/>
      </c>
      <c r="D478" s="194" t="str">
        <f>IFERROR(VLOOKUP(#REF!,'Comments Feeder'!$B:$W,24,FALSE),"")</f>
        <v/>
      </c>
      <c r="E478" s="194" t="str">
        <f>IFERROR(VLOOKUP(#REF!,'Comments Feeder'!$B:$W,25,FALSE),"")</f>
        <v/>
      </c>
      <c r="F478" s="216" t="s">
        <v>441</v>
      </c>
      <c r="H478" s="182"/>
    </row>
    <row r="479" spans="1:8" x14ac:dyDescent="0.25">
      <c r="A479" s="239" t="str">
        <f>IFERROR(VLOOKUP(F478,'Comments Feeder'!$B:$W,18,FALSE),"")</f>
        <v/>
      </c>
      <c r="B479" s="239" t="str">
        <f>IFERROR(VLOOKUP(F477,'Comments Feeder'!$B:$W,21,FALSE),"")</f>
        <v/>
      </c>
      <c r="C479" s="239" t="str">
        <f>IFERROR(VLOOKUP(F476,'Comments Feeder'!$B:$W,23,FALSE),"")</f>
        <v/>
      </c>
      <c r="D479" s="194" t="str">
        <f>IFERROR(VLOOKUP(#REF!,'Comments Feeder'!$B:$W,24,FALSE),"")</f>
        <v/>
      </c>
      <c r="E479" s="194" t="str">
        <f>IFERROR(VLOOKUP(#REF!,'Comments Feeder'!$B:$W,25,FALSE),"")</f>
        <v/>
      </c>
      <c r="F479" s="217"/>
      <c r="H479" s="182"/>
    </row>
    <row r="480" spans="1:8" x14ac:dyDescent="0.25">
      <c r="A480" s="239" t="str">
        <f>IFERROR(VLOOKUP(F479,'Comments Feeder'!$B:$W,18,FALSE),"")</f>
        <v/>
      </c>
      <c r="B480" s="239" t="str">
        <f>IFERROR(VLOOKUP(F478,'Comments Feeder'!$B:$W,21,FALSE),"")</f>
        <v/>
      </c>
      <c r="C480" s="239" t="str">
        <f>IFERROR(VLOOKUP(F477,'Comments Feeder'!$B:$W,23,FALSE),"")</f>
        <v/>
      </c>
      <c r="D480" s="194" t="str">
        <f>IFERROR(VLOOKUP(F476,'Comments Feeder'!$B:$W,24,FALSE),"")</f>
        <v/>
      </c>
      <c r="E480" s="194" t="str">
        <f>IFERROR(VLOOKUP(F476,'Comments Feeder'!$B:$W,25,FALSE),"")</f>
        <v/>
      </c>
      <c r="F480" s="196"/>
      <c r="H480" s="182"/>
    </row>
    <row r="481" spans="1:9" ht="13.5" thickBot="1" x14ac:dyDescent="0.3">
      <c r="A481" s="304" t="str">
        <f>IFERROR(VLOOKUP(F480,'Comments Feeder'!$B:$W,18,FALSE),"")</f>
        <v/>
      </c>
      <c r="B481" s="304" t="str">
        <f>IFERROR(VLOOKUP(F479,'Comments Feeder'!$B:$W,21,FALSE),"")</f>
        <v/>
      </c>
      <c r="C481" s="304" t="str">
        <f>IFERROR(VLOOKUP(F478,'Comments Feeder'!$B:$W,23,FALSE),"")</f>
        <v/>
      </c>
      <c r="D481" s="305" t="str">
        <f>IFERROR(VLOOKUP(F477,'Comments Feeder'!$B:$W,24,FALSE),"")</f>
        <v/>
      </c>
      <c r="E481" s="305" t="str">
        <f>IFERROR(VLOOKUP(F477,'Comments Feeder'!$B:$W,25,FALSE),"")</f>
        <v/>
      </c>
      <c r="F481" s="218"/>
      <c r="H481" s="182"/>
    </row>
    <row r="482" spans="1:9" x14ac:dyDescent="0.25">
      <c r="A482" s="303"/>
      <c r="B482" s="303"/>
      <c r="C482" s="745"/>
      <c r="D482" s="745"/>
      <c r="E482" s="745"/>
      <c r="F482" s="317"/>
      <c r="G482" s="317"/>
      <c r="H482" s="746"/>
      <c r="I482" s="317"/>
    </row>
    <row r="483" spans="1:9" ht="15.75" customHeight="1" x14ac:dyDescent="0.25">
      <c r="A483" s="832" t="s">
        <v>81</v>
      </c>
      <c r="B483" s="833"/>
      <c r="C483" s="833"/>
      <c r="D483" s="833"/>
      <c r="E483" s="833"/>
      <c r="F483" s="834"/>
      <c r="G483" s="317"/>
      <c r="H483" s="317"/>
      <c r="I483" s="317"/>
    </row>
    <row r="484" spans="1:9" ht="13" thickBot="1" x14ac:dyDescent="0.3">
      <c r="A484" s="747"/>
      <c r="B484" s="303"/>
      <c r="C484" s="745"/>
      <c r="D484" s="745"/>
      <c r="E484" s="745"/>
      <c r="F484" s="748"/>
      <c r="G484" s="317"/>
      <c r="H484" s="317"/>
      <c r="I484" s="317"/>
    </row>
    <row r="485" spans="1:9" ht="78.5" thickBot="1" x14ac:dyDescent="0.3">
      <c r="A485" s="244" t="str">
        <f>A439</f>
        <v>Actual Variance at 30 September 2024         £'000</v>
      </c>
      <c r="B485" s="245" t="str">
        <f>B417</f>
        <v/>
      </c>
      <c r="C485" s="246" t="str">
        <f>C417</f>
        <v/>
      </c>
      <c r="D485" s="246" t="str">
        <f>D417</f>
        <v/>
      </c>
      <c r="E485" s="246" t="str">
        <f>E417</f>
        <v/>
      </c>
      <c r="F485" s="212"/>
      <c r="G485" s="317"/>
      <c r="H485" s="317"/>
      <c r="I485" s="317"/>
    </row>
    <row r="486" spans="1:9" ht="13" x14ac:dyDescent="0.25">
      <c r="A486" s="742" t="str">
        <f>IFERROR(VLOOKUP(F485,'Comments Feeder'!$B:$W,18,FALSE),"")</f>
        <v/>
      </c>
      <c r="B486" s="742" t="str">
        <f>IFERROR(VLOOKUP(F484,'Comments Feeder'!$B:$W,21,FALSE),"")</f>
        <v/>
      </c>
      <c r="C486" s="742" t="str">
        <f>IFERROR(VLOOKUP(F483,'Comments Feeder'!$B:$W,23,FALSE),"")</f>
        <v/>
      </c>
      <c r="D486" s="743" t="str">
        <f>IFERROR(VLOOKUP(F482,'Comments Feeder'!$B:$W,24,FALSE),"")</f>
        <v/>
      </c>
      <c r="E486" s="743" t="str">
        <f>IFERROR(VLOOKUP(F482,'Comments Feeder'!$B:$W,25,FALSE),"")</f>
        <v/>
      </c>
      <c r="F486" s="214" t="s">
        <v>108</v>
      </c>
      <c r="G486" s="317"/>
      <c r="H486" s="317"/>
      <c r="I486" s="317"/>
    </row>
    <row r="487" spans="1:9" x14ac:dyDescent="0.25">
      <c r="A487" s="742">
        <f>IFERROR(VLOOKUP(F486,'Comments Feeder'!$B:$W,18,FALSE),"")</f>
        <v>99</v>
      </c>
      <c r="B487" s="742">
        <v>60</v>
      </c>
      <c r="C487" s="742" t="str">
        <f>IFERROR(VLOOKUP(F484,'Comments Feeder'!$B:$W,23,FALSE),"")</f>
        <v/>
      </c>
      <c r="D487" s="743" t="str">
        <f>IFERROR(VLOOKUP(F483,'Comments Feeder'!$B:$W,24,FALSE),"")</f>
        <v/>
      </c>
      <c r="E487" s="743" t="str">
        <f>IFERROR(VLOOKUP(F483,'Comments Feeder'!$B:$W,25,FALSE),"")</f>
        <v/>
      </c>
      <c r="F487" s="594" t="s">
        <v>442</v>
      </c>
      <c r="G487" s="317"/>
      <c r="H487" s="317"/>
      <c r="I487" s="317"/>
    </row>
    <row r="488" spans="1:9" x14ac:dyDescent="0.25">
      <c r="A488" s="742"/>
      <c r="B488" s="742"/>
      <c r="C488" s="742"/>
      <c r="D488" s="743"/>
      <c r="E488" s="743"/>
      <c r="F488" s="594" t="s">
        <v>443</v>
      </c>
      <c r="G488" s="317"/>
      <c r="H488" s="317"/>
      <c r="I488" s="317"/>
    </row>
    <row r="489" spans="1:9" x14ac:dyDescent="0.25">
      <c r="A489" s="742" t="str">
        <f>IFERROR(VLOOKUP(F487,'Comments Feeder'!$B:$W,18,FALSE),"")</f>
        <v/>
      </c>
      <c r="B489" s="742">
        <f>IFERROR(VLOOKUP(F486,'Comments Feeder'!$B:$W,21,FALSE),"")</f>
        <v>0</v>
      </c>
      <c r="C489" s="742" t="str">
        <f>IFERROR(VLOOKUP(F485,'Comments Feeder'!$B:$W,23,FALSE),"")</f>
        <v/>
      </c>
      <c r="D489" s="743" t="str">
        <f>IFERROR(VLOOKUP(F484,'Comments Feeder'!$B:$W,24,FALSE),"")</f>
        <v/>
      </c>
      <c r="E489" s="743" t="str">
        <f>IFERROR(VLOOKUP(F484,'Comments Feeder'!$B:$W,25,FALSE),"")</f>
        <v/>
      </c>
      <c r="F489" s="771" t="s">
        <v>444</v>
      </c>
      <c r="G489" s="317"/>
      <c r="H489" s="317"/>
      <c r="I489" s="317"/>
    </row>
    <row r="490" spans="1:9" x14ac:dyDescent="0.25">
      <c r="A490" s="742" t="str">
        <f>IFERROR(VLOOKUP(F489,'Comments Feeder'!$B:$W,18,FALSE),"")</f>
        <v/>
      </c>
      <c r="B490" s="742" t="str">
        <f>IFERROR(VLOOKUP(F487,'Comments Feeder'!$B:$W,21,FALSE),"")</f>
        <v/>
      </c>
      <c r="C490" s="742" t="str">
        <f>IFERROR(VLOOKUP(F486,'Comments Feeder'!$B:$W,23,FALSE),"")</f>
        <v/>
      </c>
      <c r="D490" s="743" t="str">
        <f>IFERROR(VLOOKUP(F485,'Comments Feeder'!$B:$W,24,FALSE),"")</f>
        <v/>
      </c>
      <c r="E490" s="743" t="str">
        <f>IFERROR(VLOOKUP(F485,'Comments Feeder'!$B:$W,25,FALSE),"")</f>
        <v/>
      </c>
      <c r="F490" s="771"/>
      <c r="G490" s="317"/>
      <c r="H490" s="317"/>
      <c r="I490" s="317"/>
    </row>
    <row r="491" spans="1:9" x14ac:dyDescent="0.25">
      <c r="A491" s="742" t="str">
        <f>IFERROR(VLOOKUP(F490,'Comments Feeder'!$B:$W,18,FALSE),"")</f>
        <v/>
      </c>
      <c r="B491" s="742" t="str">
        <f>IFERROR(VLOOKUP(F489,'Comments Feeder'!$B:$W,21,FALSE),"")</f>
        <v/>
      </c>
      <c r="C491" s="742" t="str">
        <f>IFERROR(VLOOKUP(F487,'Comments Feeder'!$B:$W,23,FALSE),"")</f>
        <v/>
      </c>
      <c r="D491" s="743" t="str">
        <f>IFERROR(VLOOKUP(F486,'Comments Feeder'!$B:$W,24,FALSE),"")</f>
        <v/>
      </c>
      <c r="E491" s="743" t="str">
        <f>IFERROR(VLOOKUP(F486,'Comments Feeder'!$B:$W,25,FALSE),"")</f>
        <v/>
      </c>
      <c r="F491" s="316" t="s">
        <v>445</v>
      </c>
      <c r="G491" s="317"/>
      <c r="H491" s="317"/>
      <c r="I491" s="317"/>
    </row>
    <row r="492" spans="1:9" ht="13.5" thickBot="1" x14ac:dyDescent="0.3">
      <c r="A492" s="739" t="str">
        <f>IFERROR(VLOOKUP(F491,'Comments Feeder'!$B:$W,18,FALSE),"")</f>
        <v/>
      </c>
      <c r="B492" s="739" t="str">
        <f>IFERROR(VLOOKUP(F490,'Comments Feeder'!$B:$W,21,FALSE),"")</f>
        <v/>
      </c>
      <c r="C492" s="739" t="str">
        <f>IFERROR(VLOOKUP(F489,'Comments Feeder'!$B:$W,23,FALSE),"")</f>
        <v/>
      </c>
      <c r="D492" s="740" t="str">
        <f>IFERROR(VLOOKUP(F487,'Comments Feeder'!$B:$W,24,FALSE),"")</f>
        <v/>
      </c>
      <c r="E492" s="740" t="str">
        <f>IFERROR(VLOOKUP(F487,'Comments Feeder'!$B:$W,25,FALSE),"")</f>
        <v/>
      </c>
      <c r="F492" s="218"/>
      <c r="G492" s="317"/>
      <c r="H492" s="317"/>
      <c r="I492" s="317"/>
    </row>
    <row r="493" spans="1:9" ht="13" x14ac:dyDescent="0.25">
      <c r="A493" s="742" t="str">
        <f>IFERROR(VLOOKUP(F492,'Comments Feeder'!$B:$W,18,FALSE),"")</f>
        <v/>
      </c>
      <c r="B493" s="742" t="str">
        <f>IFERROR(VLOOKUP(F491,'Comments Feeder'!$B:$W,21,FALSE),"")</f>
        <v/>
      </c>
      <c r="C493" s="742" t="str">
        <f>IFERROR(VLOOKUP(F490,'Comments Feeder'!$B:$W,23,FALSE),"")</f>
        <v/>
      </c>
      <c r="D493" s="743" t="str">
        <f>IFERROR(VLOOKUP(F489,'Comments Feeder'!$B:$W,24,FALSE),"")</f>
        <v/>
      </c>
      <c r="E493" s="743" t="str">
        <f>IFERROR(VLOOKUP(F489,'Comments Feeder'!$B:$W,25,FALSE),"")</f>
        <v/>
      </c>
      <c r="F493" s="214" t="s">
        <v>109</v>
      </c>
      <c r="G493" s="317"/>
      <c r="H493" s="317"/>
      <c r="I493" s="317"/>
    </row>
    <row r="494" spans="1:9" ht="12.75" customHeight="1" x14ac:dyDescent="0.25">
      <c r="A494" s="742">
        <f>IFERROR(VLOOKUP(F493,'Comments Feeder'!$B:$W,18,FALSE),"")</f>
        <v>-2</v>
      </c>
      <c r="B494" s="742" t="str">
        <f>IFERROR(VLOOKUP(F492,'Comments Feeder'!$B:$W,21,FALSE),"")</f>
        <v/>
      </c>
      <c r="C494" s="742" t="str">
        <f>IFERROR(VLOOKUP(F491,'Comments Feeder'!$B:$W,23,FALSE),"")</f>
        <v/>
      </c>
      <c r="D494" s="743" t="str">
        <f>IFERROR(VLOOKUP(F490,'Comments Feeder'!$B:$W,24,FALSE),"")</f>
        <v/>
      </c>
      <c r="E494" s="743" t="str">
        <f>IFERROR(VLOOKUP(F490,'Comments Feeder'!$B:$W,25,FALSE),"")</f>
        <v/>
      </c>
      <c r="F494" s="749"/>
      <c r="G494" s="317"/>
      <c r="H494" s="317"/>
      <c r="I494" s="317"/>
    </row>
    <row r="495" spans="1:9" x14ac:dyDescent="0.25">
      <c r="A495" s="742" t="str">
        <f>IFERROR(VLOOKUP(F494,'Comments Feeder'!$B:$W,18,FALSE),"")</f>
        <v/>
      </c>
      <c r="B495" s="742">
        <f>IFERROR(VLOOKUP(F493,'Comments Feeder'!$B:$W,21,FALSE),"")</f>
        <v>0</v>
      </c>
      <c r="C495" s="742" t="str">
        <f>IFERROR(VLOOKUP(F492,'Comments Feeder'!$B:$W,23,FALSE),"")</f>
        <v/>
      </c>
      <c r="D495" s="743" t="str">
        <f>IFERROR(VLOOKUP(F491,'Comments Feeder'!$B:$W,24,FALSE),"")</f>
        <v/>
      </c>
      <c r="E495" s="743" t="str">
        <f>IFERROR(VLOOKUP(F491,'Comments Feeder'!$B:$W,25,FALSE),"")</f>
        <v/>
      </c>
      <c r="F495" s="316" t="s">
        <v>298</v>
      </c>
      <c r="G495" s="317"/>
      <c r="H495" s="317"/>
      <c r="I495" s="317"/>
    </row>
    <row r="496" spans="1:9" x14ac:dyDescent="0.25">
      <c r="A496" s="742" t="str">
        <f>IFERROR(VLOOKUP(F495,'Comments Feeder'!$B:$W,18,FALSE),"")</f>
        <v/>
      </c>
      <c r="B496" s="742" t="str">
        <f>IFERROR(VLOOKUP(F494,'Comments Feeder'!$B:$W,21,FALSE),"")</f>
        <v/>
      </c>
      <c r="C496" s="742" t="str">
        <f>IFERROR(VLOOKUP(F493,'Comments Feeder'!$B:$W,23,FALSE),"")</f>
        <v/>
      </c>
      <c r="D496" s="743" t="str">
        <f>IFERROR(VLOOKUP(F492,'Comments Feeder'!$B:$W,24,FALSE),"")</f>
        <v/>
      </c>
      <c r="E496" s="743" t="str">
        <f>IFERROR(VLOOKUP(F492,'Comments Feeder'!$B:$W,25,FALSE),"")</f>
        <v/>
      </c>
      <c r="F496" s="316"/>
      <c r="G496" s="317"/>
      <c r="H496" s="317"/>
      <c r="I496" s="317"/>
    </row>
    <row r="497" spans="1:9" x14ac:dyDescent="0.25">
      <c r="A497" s="742" t="str">
        <f>IFERROR(VLOOKUP(F496,'Comments Feeder'!$B:$W,18,FALSE),"")</f>
        <v/>
      </c>
      <c r="B497" s="742" t="str">
        <f>IFERROR(VLOOKUP(F495,'Comments Feeder'!$B:$W,21,FALSE),"")</f>
        <v/>
      </c>
      <c r="C497" s="742" t="str">
        <f>IFERROR(VLOOKUP(F494,'Comments Feeder'!$B:$W,23,FALSE),"")</f>
        <v/>
      </c>
      <c r="D497" s="743" t="str">
        <f>IFERROR(VLOOKUP(F493,'Comments Feeder'!$B:$W,24,FALSE),"")</f>
        <v/>
      </c>
      <c r="E497" s="743" t="str">
        <f>IFERROR(VLOOKUP(F493,'Comments Feeder'!$B:$W,25,FALSE),"")</f>
        <v/>
      </c>
      <c r="F497" s="316"/>
      <c r="G497" s="317"/>
      <c r="H497" s="317"/>
      <c r="I497" s="317"/>
    </row>
    <row r="498" spans="1:9" ht="13.5" thickBot="1" x14ac:dyDescent="0.3">
      <c r="A498" s="739" t="str">
        <f>IFERROR(VLOOKUP(F497,'Comments Feeder'!$B:$W,18,FALSE),"")</f>
        <v/>
      </c>
      <c r="B498" s="739" t="str">
        <f>IFERROR(VLOOKUP(F496,'Comments Feeder'!$B:$W,21,FALSE),"")</f>
        <v/>
      </c>
      <c r="C498" s="739" t="str">
        <f>IFERROR(VLOOKUP(F495,'Comments Feeder'!$B:$W,23,FALSE),"")</f>
        <v/>
      </c>
      <c r="D498" s="740" t="str">
        <f>IFERROR(VLOOKUP(F494,'Comments Feeder'!$B:$W,24,FALSE),"")</f>
        <v/>
      </c>
      <c r="E498" s="740" t="str">
        <f>IFERROR(VLOOKUP(F494,'Comments Feeder'!$B:$W,25,FALSE),"")</f>
        <v/>
      </c>
      <c r="F498" s="218"/>
      <c r="G498" s="317"/>
      <c r="H498" s="317"/>
      <c r="I498" s="317"/>
    </row>
    <row r="499" spans="1:9" ht="13" x14ac:dyDescent="0.25">
      <c r="A499" s="742" t="str">
        <f>IFERROR(VLOOKUP(F498,'Comments Feeder'!$B:$W,18,FALSE),"")</f>
        <v/>
      </c>
      <c r="B499" s="742" t="str">
        <f>IFERROR(VLOOKUP(F497,'Comments Feeder'!$B:$W,21,FALSE),"")</f>
        <v/>
      </c>
      <c r="C499" s="742" t="str">
        <f>IFERROR(VLOOKUP(F496,'Comments Feeder'!$B:$W,23,FALSE),"")</f>
        <v/>
      </c>
      <c r="D499" s="743" t="str">
        <f>IFERROR(VLOOKUP(F495,'Comments Feeder'!$B:$W,24,FALSE),"")</f>
        <v/>
      </c>
      <c r="E499" s="743" t="str">
        <f>IFERROR(VLOOKUP(F495,'Comments Feeder'!$B:$W,25,FALSE),"")</f>
        <v/>
      </c>
      <c r="F499" s="214" t="s">
        <v>110</v>
      </c>
      <c r="G499" s="317"/>
      <c r="H499" s="317"/>
      <c r="I499" s="317"/>
    </row>
    <row r="500" spans="1:9" ht="12.75" customHeight="1" x14ac:dyDescent="0.25">
      <c r="A500" s="742">
        <f>IFERROR(VLOOKUP(F499,'Comments Feeder'!$B:$W,18,FALSE),"")</f>
        <v>97</v>
      </c>
      <c r="B500" s="742">
        <v>60</v>
      </c>
      <c r="C500" s="742" t="str">
        <f>IFERROR(VLOOKUP(F497,'Comments Feeder'!$B:$W,23,FALSE),"")</f>
        <v/>
      </c>
      <c r="D500" s="743" t="str">
        <f>IFERROR(VLOOKUP(F496,'Comments Feeder'!$B:$W,24,FALSE),"")</f>
        <v/>
      </c>
      <c r="E500" s="743" t="str">
        <f>IFERROR(VLOOKUP(F496,'Comments Feeder'!$B:$W,25,FALSE),"")</f>
        <v/>
      </c>
      <c r="F500" s="749"/>
      <c r="G500" s="317"/>
      <c r="H500" s="317"/>
      <c r="I500" s="317"/>
    </row>
    <row r="501" spans="1:9" x14ac:dyDescent="0.25">
      <c r="A501" s="742" t="str">
        <f>IFERROR(VLOOKUP(F500,'Comments Feeder'!$B:$W,18,FALSE),"")</f>
        <v/>
      </c>
      <c r="B501" s="742">
        <f>IFERROR(VLOOKUP(F499,'Comments Feeder'!$B:$W,21,FALSE),"")</f>
        <v>0</v>
      </c>
      <c r="C501" s="742" t="str">
        <f>IFERROR(VLOOKUP(F498,'Comments Feeder'!$B:$W,23,FALSE),"")</f>
        <v/>
      </c>
      <c r="D501" s="743" t="str">
        <f>IFERROR(VLOOKUP(F497,'Comments Feeder'!$B:$W,24,FALSE),"")</f>
        <v/>
      </c>
      <c r="E501" s="743" t="str">
        <f>IFERROR(VLOOKUP(F497,'Comments Feeder'!$B:$W,25,FALSE),"")</f>
        <v/>
      </c>
      <c r="F501" s="594" t="s">
        <v>446</v>
      </c>
      <c r="G501" s="317"/>
      <c r="H501" s="317"/>
      <c r="I501" s="317"/>
    </row>
    <row r="502" spans="1:9" x14ac:dyDescent="0.25">
      <c r="A502" s="742" t="str">
        <f>IFERROR(VLOOKUP(F501,'Comments Feeder'!$B:$W,18,FALSE),"")</f>
        <v/>
      </c>
      <c r="B502" s="742" t="str">
        <f>IFERROR(VLOOKUP(F500,'Comments Feeder'!$B:$W,21,FALSE),"")</f>
        <v/>
      </c>
      <c r="C502" s="742" t="str">
        <f>IFERROR(VLOOKUP(F499,'Comments Feeder'!$B:$W,23,FALSE),"")</f>
        <v/>
      </c>
      <c r="D502" s="743" t="str">
        <f>IFERROR(VLOOKUP(F498,'Comments Feeder'!$B:$W,24,FALSE),"")</f>
        <v/>
      </c>
      <c r="E502" s="743" t="str">
        <f>IFERROR(VLOOKUP(F498,'Comments Feeder'!$B:$W,25,FALSE),"")</f>
        <v/>
      </c>
      <c r="F502" s="316"/>
      <c r="G502" s="317"/>
      <c r="H502" s="317"/>
      <c r="I502" s="317"/>
    </row>
    <row r="503" spans="1:9" x14ac:dyDescent="0.25">
      <c r="A503" s="742" t="str">
        <f>IFERROR(VLOOKUP(F502,'Comments Feeder'!$B:$W,18,FALSE),"")</f>
        <v/>
      </c>
      <c r="B503" s="742" t="str">
        <f>IFERROR(VLOOKUP(F501,'Comments Feeder'!$B:$W,21,FALSE),"")</f>
        <v/>
      </c>
      <c r="C503" s="742" t="str">
        <f>IFERROR(VLOOKUP(F500,'Comments Feeder'!$B:$W,23,FALSE),"")</f>
        <v/>
      </c>
      <c r="D503" s="743" t="str">
        <f>IFERROR(VLOOKUP(F499,'Comments Feeder'!$B:$W,24,FALSE),"")</f>
        <v/>
      </c>
      <c r="E503" s="743" t="str">
        <f>IFERROR(VLOOKUP(F499,'Comments Feeder'!$B:$W,25,FALSE),"")</f>
        <v/>
      </c>
      <c r="F503" s="316"/>
      <c r="G503" s="317"/>
      <c r="H503" s="317"/>
      <c r="I503" s="317"/>
    </row>
    <row r="504" spans="1:9" ht="13.5" thickBot="1" x14ac:dyDescent="0.3">
      <c r="A504" s="739" t="str">
        <f>IFERROR(VLOOKUP(F503,'Comments Feeder'!$B:$W,18,FALSE),"")</f>
        <v/>
      </c>
      <c r="B504" s="739" t="str">
        <f>IFERROR(VLOOKUP(F502,'Comments Feeder'!$B:$W,21,FALSE),"")</f>
        <v/>
      </c>
      <c r="C504" s="739" t="str">
        <f>IFERROR(VLOOKUP(F501,'Comments Feeder'!$B:$W,23,FALSE),"")</f>
        <v/>
      </c>
      <c r="D504" s="740" t="str">
        <f>IFERROR(VLOOKUP(F500,'Comments Feeder'!$B:$W,24,FALSE),"")</f>
        <v/>
      </c>
      <c r="E504" s="740" t="str">
        <f>IFERROR(VLOOKUP(F500,'Comments Feeder'!$B:$W,25,FALSE),"")</f>
        <v/>
      </c>
      <c r="F504" s="218"/>
      <c r="G504" s="317"/>
      <c r="H504" s="317"/>
      <c r="I504" s="317"/>
    </row>
    <row r="506" spans="1:9" ht="15.5" x14ac:dyDescent="0.25">
      <c r="A506" s="832" t="s">
        <v>447</v>
      </c>
      <c r="B506" s="833"/>
      <c r="C506" s="833"/>
      <c r="D506" s="833"/>
      <c r="E506" s="833"/>
      <c r="F506" s="834"/>
      <c r="H506" s="182"/>
    </row>
    <row r="507" spans="1:9" ht="13" thickBot="1" x14ac:dyDescent="0.3">
      <c r="A507" s="235"/>
      <c r="F507" s="211"/>
      <c r="H507" s="182"/>
    </row>
    <row r="508" spans="1:9" ht="78.5" thickBot="1" x14ac:dyDescent="0.3">
      <c r="A508" s="244" t="str">
        <f>A439</f>
        <v>Actual Variance at 30 September 2024         £'000</v>
      </c>
      <c r="B508" s="245" t="str">
        <f>B439</f>
        <v>Projected Outturn Variance at 30 September 2024         £'000</v>
      </c>
      <c r="C508" s="246" t="str">
        <f t="shared" ref="C508:E508" si="5">C439</f>
        <v>Variance to last month's Probable Outturn   £'000</v>
      </c>
      <c r="D508" s="246" t="str">
        <f t="shared" si="5"/>
        <v>Outturn Variance @previous quarter  £'000</v>
      </c>
      <c r="E508" s="246" t="str">
        <f t="shared" si="5"/>
        <v>Outturn Variance from previous quarter £'000</v>
      </c>
      <c r="F508" s="212"/>
      <c r="H508" s="182"/>
    </row>
    <row r="509" spans="1:9" ht="13" x14ac:dyDescent="0.25">
      <c r="A509" s="239" t="str">
        <f>IFERROR(VLOOKUP(F508,'Comments Feeder'!$B:$W,18,FALSE),"")</f>
        <v/>
      </c>
      <c r="B509" s="239" t="str">
        <f>IFERROR(VLOOKUP(F507,'Comments Feeder'!$B:$W,21,FALSE),"")</f>
        <v/>
      </c>
      <c r="C509" s="239" t="str">
        <f>IFERROR(VLOOKUP(F506,'Comments Feeder'!$B:$W,23,FALSE),"")</f>
        <v/>
      </c>
      <c r="D509" s="194" t="str">
        <f>IFERROR(VLOOKUP(F505,'Comments Feeder'!$B:$W,24,FALSE),"")</f>
        <v/>
      </c>
      <c r="E509" s="194" t="str">
        <f>IFERROR(VLOOKUP(F505,'Comments Feeder'!$B:$W,25,FALSE),"")</f>
        <v/>
      </c>
      <c r="F509" s="214" t="s">
        <v>111</v>
      </c>
      <c r="H509" s="182"/>
    </row>
    <row r="510" spans="1:9" x14ac:dyDescent="0.25">
      <c r="A510" s="239">
        <f>IFERROR(VLOOKUP(F509,'Comments Feeder'!$B:$W,18,FALSE),"")</f>
        <v>-25</v>
      </c>
      <c r="B510" s="239" t="str">
        <f>IFERROR(VLOOKUP(F508,'Comments Feeder'!$B:$W,21,FALSE),"")</f>
        <v/>
      </c>
      <c r="C510" s="239" t="str">
        <f>IFERROR(VLOOKUP(F507,'Comments Feeder'!$B:$W,23,FALSE),"")</f>
        <v/>
      </c>
      <c r="D510" s="194" t="str">
        <f>IFERROR(VLOOKUP(F506,'Comments Feeder'!$B:$W,24,FALSE),"")</f>
        <v/>
      </c>
      <c r="E510" s="194" t="str">
        <f>IFERROR(VLOOKUP(F506,'Comments Feeder'!$B:$W,25,FALSE),"")</f>
        <v/>
      </c>
      <c r="F510" s="460" t="s">
        <v>448</v>
      </c>
      <c r="H510" s="182"/>
    </row>
    <row r="511" spans="1:9" x14ac:dyDescent="0.25">
      <c r="A511" s="239" t="str">
        <f>IFERROR(VLOOKUP(F510,'Comments Feeder'!$B:$W,18,FALSE),"")</f>
        <v/>
      </c>
      <c r="B511" s="239">
        <v>-4</v>
      </c>
      <c r="C511" s="239" t="str">
        <f>IFERROR(VLOOKUP(F508,'Comments Feeder'!$B:$W,23,FALSE),"")</f>
        <v/>
      </c>
      <c r="D511" s="194" t="str">
        <f>IFERROR(VLOOKUP(F507,'Comments Feeder'!$B:$W,24,FALSE),"")</f>
        <v/>
      </c>
      <c r="E511" s="194" t="str">
        <f>IFERROR(VLOOKUP(F507,'Comments Feeder'!$B:$W,25,FALSE),"")</f>
        <v/>
      </c>
      <c r="F511" s="583" t="s">
        <v>449</v>
      </c>
      <c r="H511" s="182"/>
    </row>
    <row r="512" spans="1:9" x14ac:dyDescent="0.25">
      <c r="A512" s="239" t="str">
        <f>IFERROR(VLOOKUP(F511,'Comments Feeder'!$B:$W,18,FALSE),"")</f>
        <v/>
      </c>
      <c r="B512" s="239" t="str">
        <f>IFERROR(VLOOKUP(F510,'Comments Feeder'!$B:$W,21,FALSE),"")</f>
        <v/>
      </c>
      <c r="C512" s="239" t="str">
        <f>IFERROR(VLOOKUP(F509,'Comments Feeder'!$B:$W,23,FALSE),"")</f>
        <v/>
      </c>
      <c r="D512" s="194" t="str">
        <f>IFERROR(VLOOKUP(F508,'Comments Feeder'!$B:$W,24,FALSE),"")</f>
        <v/>
      </c>
      <c r="E512" s="194" t="str">
        <f>IFERROR(VLOOKUP(F508,'Comments Feeder'!$B:$W,25,FALSE),"")</f>
        <v/>
      </c>
      <c r="F512" s="217"/>
      <c r="H512" s="182"/>
    </row>
    <row r="513" spans="1:8" x14ac:dyDescent="0.25">
      <c r="A513" s="239" t="str">
        <f>IFERROR(VLOOKUP(F512,'Comments Feeder'!$B:$W,18,FALSE),"")</f>
        <v/>
      </c>
      <c r="B513" s="239" t="str">
        <f>IFERROR(VLOOKUP(F511,'Comments Feeder'!$B:$W,21,FALSE),"")</f>
        <v/>
      </c>
      <c r="C513" s="239" t="str">
        <f>IFERROR(VLOOKUP(F510,'Comments Feeder'!$B:$W,23,FALSE),"")</f>
        <v/>
      </c>
      <c r="D513" s="194" t="str">
        <f>IFERROR(VLOOKUP(F509,'Comments Feeder'!$B:$W,24,FALSE),"")</f>
        <v/>
      </c>
      <c r="E513" s="194" t="str">
        <f>IFERROR(VLOOKUP(F509,'Comments Feeder'!$B:$W,25,FALSE),"")</f>
        <v/>
      </c>
      <c r="F513" s="196"/>
      <c r="H513" s="182"/>
    </row>
    <row r="514" spans="1:8" ht="13.5" thickBot="1" x14ac:dyDescent="0.3">
      <c r="A514" s="304" t="str">
        <f>IFERROR(VLOOKUP(F513,'Comments Feeder'!$B:$W,18,FALSE),"")</f>
        <v/>
      </c>
      <c r="B514" s="304" t="str">
        <f>IFERROR(VLOOKUP(F512,'Comments Feeder'!$B:$W,21,FALSE),"")</f>
        <v/>
      </c>
      <c r="C514" s="304" t="str">
        <f>IFERROR(VLOOKUP(F511,'Comments Feeder'!$B:$W,23,FALSE),"")</f>
        <v/>
      </c>
      <c r="D514" s="305" t="str">
        <f>IFERROR(VLOOKUP(F510,'Comments Feeder'!$B:$W,24,FALSE),"")</f>
        <v/>
      </c>
      <c r="E514" s="305" t="str">
        <f>IFERROR(VLOOKUP(F510,'Comments Feeder'!$B:$W,25,FALSE),"")</f>
        <v/>
      </c>
      <c r="F514" s="218"/>
      <c r="H514" s="182"/>
    </row>
    <row r="515" spans="1:8" ht="13" x14ac:dyDescent="0.25">
      <c r="A515" s="239" t="str">
        <f>IFERROR(VLOOKUP(F514,'Comments Feeder'!$B:$W,18,FALSE),"")</f>
        <v/>
      </c>
      <c r="B515" s="239" t="str">
        <f>IFERROR(VLOOKUP(F513,'Comments Feeder'!$B:$W,21,FALSE),"")</f>
        <v/>
      </c>
      <c r="C515" s="239" t="str">
        <f>IFERROR(VLOOKUP(F512,'Comments Feeder'!$B:$W,23,FALSE),"")</f>
        <v/>
      </c>
      <c r="D515" s="194" t="str">
        <f>IFERROR(VLOOKUP(F511,'Comments Feeder'!$B:$W,24,FALSE),"")</f>
        <v/>
      </c>
      <c r="E515" s="194" t="str">
        <f>IFERROR(VLOOKUP(F511,'Comments Feeder'!$B:$W,25,FALSE),"")</f>
        <v/>
      </c>
      <c r="F515" s="214" t="s">
        <v>112</v>
      </c>
      <c r="H515" s="182"/>
    </row>
    <row r="516" spans="1:8" ht="30.75" customHeight="1" x14ac:dyDescent="0.25">
      <c r="A516" s="239">
        <f>IFERROR(VLOOKUP(F515,'Comments Feeder'!$B:$W,18,FALSE),"")</f>
        <v>97</v>
      </c>
      <c r="B516" s="239" t="str">
        <f>IFERROR(VLOOKUP(F514,'Comments Feeder'!$B:$W,21,FALSE),"")</f>
        <v/>
      </c>
      <c r="C516" s="239" t="str">
        <f>IFERROR(VLOOKUP(F513,'Comments Feeder'!$B:$W,23,FALSE),"")</f>
        <v/>
      </c>
      <c r="D516" s="194" t="str">
        <f>IFERROR(VLOOKUP(F512,'Comments Feeder'!$B:$W,24,FALSE),"")</f>
        <v/>
      </c>
      <c r="E516" s="194" t="str">
        <f>IFERROR(VLOOKUP(F512,'Comments Feeder'!$B:$W,25,FALSE),"")</f>
        <v/>
      </c>
      <c r="F516" s="460" t="s">
        <v>450</v>
      </c>
      <c r="H516" s="182"/>
    </row>
    <row r="517" spans="1:8" x14ac:dyDescent="0.25">
      <c r="A517" s="239" t="str">
        <f>IFERROR(VLOOKUP(F516,'Comments Feeder'!$B:$W,18,FALSE),"")</f>
        <v/>
      </c>
      <c r="B517" s="239">
        <v>68</v>
      </c>
      <c r="C517" s="239" t="str">
        <f>IFERROR(VLOOKUP(F514,'Comments Feeder'!$B:$W,23,FALSE),"")</f>
        <v/>
      </c>
      <c r="D517" s="194" t="str">
        <f>IFERROR(VLOOKUP(F513,'Comments Feeder'!$B:$W,24,FALSE),"")</f>
        <v/>
      </c>
      <c r="E517" s="194" t="str">
        <f>IFERROR(VLOOKUP(F513,'Comments Feeder'!$B:$W,25,FALSE),"")</f>
        <v/>
      </c>
      <c r="F517" s="593" t="s">
        <v>451</v>
      </c>
      <c r="H517" s="182"/>
    </row>
    <row r="518" spans="1:8" x14ac:dyDescent="0.25">
      <c r="A518" s="239" t="str">
        <f>IFERROR(VLOOKUP(F517,'Comments Feeder'!$B:$W,18,FALSE),"")</f>
        <v/>
      </c>
      <c r="B518" s="239" t="str">
        <f>IFERROR(VLOOKUP(F516,'Comments Feeder'!$B:$W,21,FALSE),"")</f>
        <v/>
      </c>
      <c r="C518" s="239" t="str">
        <f>IFERROR(VLOOKUP(F515,'Comments Feeder'!$B:$W,23,FALSE),"")</f>
        <v/>
      </c>
      <c r="D518" s="194" t="str">
        <f>IFERROR(VLOOKUP(F514,'Comments Feeder'!$B:$W,24,FALSE),"")</f>
        <v/>
      </c>
      <c r="E518" s="194" t="str">
        <f>IFERROR(VLOOKUP(F514,'Comments Feeder'!$B:$W,25,FALSE),"")</f>
        <v/>
      </c>
      <c r="F518" s="316" t="s">
        <v>452</v>
      </c>
      <c r="H518" s="182"/>
    </row>
    <row r="519" spans="1:8" x14ac:dyDescent="0.25">
      <c r="A519" s="239" t="str">
        <f>IFERROR(VLOOKUP(F518,'Comments Feeder'!$B:$W,18,FALSE),"")</f>
        <v/>
      </c>
      <c r="B519" s="239" t="str">
        <f>IFERROR(VLOOKUP(F517,'Comments Feeder'!$B:$W,21,FALSE),"")</f>
        <v/>
      </c>
      <c r="C519" s="239" t="str">
        <f>IFERROR(VLOOKUP(F516,'Comments Feeder'!$B:$W,23,FALSE),"")</f>
        <v/>
      </c>
      <c r="D519" s="194" t="str">
        <f>IFERROR(VLOOKUP(F515,'Comments Feeder'!$B:$W,24,FALSE),"")</f>
        <v/>
      </c>
      <c r="E519" s="194" t="str">
        <f>IFERROR(VLOOKUP(F515,'Comments Feeder'!$B:$W,25,FALSE),"")</f>
        <v/>
      </c>
      <c r="F519" s="196"/>
      <c r="H519" s="182"/>
    </row>
    <row r="520" spans="1:8" ht="13.5" thickBot="1" x14ac:dyDescent="0.3">
      <c r="A520" s="304" t="str">
        <f>IFERROR(VLOOKUP(F519,'Comments Feeder'!$B:$W,18,FALSE),"")</f>
        <v/>
      </c>
      <c r="B520" s="304" t="str">
        <f>IFERROR(VLOOKUP(F518,'Comments Feeder'!$B:$W,21,FALSE),"")</f>
        <v/>
      </c>
      <c r="C520" s="304" t="str">
        <f>IFERROR(VLOOKUP(F517,'Comments Feeder'!$B:$W,23,FALSE),"")</f>
        <v/>
      </c>
      <c r="D520" s="305" t="str">
        <f>IFERROR(VLOOKUP(F516,'Comments Feeder'!$B:$W,24,FALSE),"")</f>
        <v/>
      </c>
      <c r="E520" s="305" t="str">
        <f>IFERROR(VLOOKUP(F516,'Comments Feeder'!$B:$W,25,FALSE),"")</f>
        <v/>
      </c>
      <c r="F520" s="218"/>
      <c r="H520" s="182"/>
    </row>
    <row r="521" spans="1:8" ht="13" x14ac:dyDescent="0.25">
      <c r="A521" s="239" t="str">
        <f>IFERROR(VLOOKUP(F520,'Comments Feeder'!$B:$W,18,FALSE),"")</f>
        <v/>
      </c>
      <c r="B521" s="239" t="str">
        <f>IFERROR(VLOOKUP(F519,'Comments Feeder'!$B:$W,21,FALSE),"")</f>
        <v/>
      </c>
      <c r="C521" s="239" t="str">
        <f>IFERROR(VLOOKUP(F518,'Comments Feeder'!$B:$W,23,FALSE),"")</f>
        <v/>
      </c>
      <c r="D521" s="194" t="str">
        <f>IFERROR(VLOOKUP(F517,'Comments Feeder'!$B:$W,24,FALSE),"")</f>
        <v/>
      </c>
      <c r="E521" s="194" t="str">
        <f>IFERROR(VLOOKUP(F517,'Comments Feeder'!$B:$W,25,FALSE),"")</f>
        <v/>
      </c>
      <c r="F521" s="214" t="s">
        <v>113</v>
      </c>
      <c r="H521" s="182"/>
    </row>
    <row r="522" spans="1:8" ht="29.25" customHeight="1" x14ac:dyDescent="0.25">
      <c r="A522" s="239">
        <f>IFERROR(VLOOKUP(F521,'Comments Feeder'!$B:$W,18,FALSE),"")</f>
        <v>31</v>
      </c>
      <c r="B522" s="239" t="str">
        <f>IFERROR(VLOOKUP(F520,'Comments Feeder'!$B:$W,21,FALSE),"")</f>
        <v/>
      </c>
      <c r="C522" s="239" t="str">
        <f>IFERROR(VLOOKUP(F519,'Comments Feeder'!$B:$W,23,FALSE),"")</f>
        <v/>
      </c>
      <c r="D522" s="194" t="str">
        <f>IFERROR(VLOOKUP(F518,'Comments Feeder'!$B:$W,24,FALSE),"")</f>
        <v/>
      </c>
      <c r="E522" s="194" t="str">
        <f>IFERROR(VLOOKUP(F518,'Comments Feeder'!$B:$W,25,FALSE),"")</f>
        <v/>
      </c>
      <c r="F522" s="460" t="s">
        <v>453</v>
      </c>
      <c r="H522" s="182"/>
    </row>
    <row r="523" spans="1:8" x14ac:dyDescent="0.25">
      <c r="A523" s="239" t="str">
        <f>IFERROR(VLOOKUP(F522,'Comments Feeder'!$B:$W,18,FALSE),"")</f>
        <v/>
      </c>
      <c r="B523" s="239">
        <v>62</v>
      </c>
      <c r="C523" s="239" t="str">
        <f>IFERROR(VLOOKUP(F520,'Comments Feeder'!$B:$W,23,FALSE),"")</f>
        <v/>
      </c>
      <c r="D523" s="194" t="str">
        <f>IFERROR(VLOOKUP(F519,'Comments Feeder'!$B:$W,24,FALSE),"")</f>
        <v/>
      </c>
      <c r="E523" s="194" t="str">
        <f>IFERROR(VLOOKUP(F519,'Comments Feeder'!$B:$W,25,FALSE),"")</f>
        <v/>
      </c>
      <c r="F523" s="806" t="s">
        <v>454</v>
      </c>
      <c r="H523" s="182"/>
    </row>
    <row r="524" spans="1:8" x14ac:dyDescent="0.25">
      <c r="A524" s="239" t="str">
        <f>IFERROR(VLOOKUP(F523,'Comments Feeder'!$B:$W,18,FALSE),"")</f>
        <v/>
      </c>
      <c r="B524" s="239" t="str">
        <f>IFERROR(VLOOKUP(F522,'Comments Feeder'!$B:$W,21,FALSE),"")</f>
        <v/>
      </c>
      <c r="C524" s="239" t="str">
        <f>IFERROR(VLOOKUP(F521,'Comments Feeder'!$B:$W,23,FALSE),"")</f>
        <v/>
      </c>
      <c r="D524" s="194" t="str">
        <f>IFERROR(VLOOKUP(F520,'Comments Feeder'!$B:$W,24,FALSE),"")</f>
        <v/>
      </c>
      <c r="E524" s="194" t="str">
        <f>IFERROR(VLOOKUP(F520,'Comments Feeder'!$B:$W,25,FALSE),"")</f>
        <v/>
      </c>
      <c r="F524" s="217"/>
      <c r="H524" s="182"/>
    </row>
    <row r="525" spans="1:8" x14ac:dyDescent="0.25">
      <c r="A525" s="239" t="str">
        <f>IFERROR(VLOOKUP(F524,'Comments Feeder'!$B:$W,18,FALSE),"")</f>
        <v/>
      </c>
      <c r="B525" s="239" t="str">
        <f>IFERROR(VLOOKUP(F523,'Comments Feeder'!$B:$W,21,FALSE),"")</f>
        <v/>
      </c>
      <c r="C525" s="239" t="str">
        <f>IFERROR(VLOOKUP(F522,'Comments Feeder'!$B:$W,23,FALSE),"")</f>
        <v/>
      </c>
      <c r="D525" s="194" t="str">
        <f>IFERROR(VLOOKUP(F521,'Comments Feeder'!$B:$W,24,FALSE),"")</f>
        <v/>
      </c>
      <c r="E525" s="194" t="str">
        <f>IFERROR(VLOOKUP(F521,'Comments Feeder'!$B:$W,25,FALSE),"")</f>
        <v/>
      </c>
      <c r="F525" s="196"/>
      <c r="H525" s="182"/>
    </row>
    <row r="526" spans="1:8" ht="13" x14ac:dyDescent="0.25">
      <c r="A526" s="304" t="str">
        <f>IFERROR(VLOOKUP(F525,'Comments Feeder'!$B:$W,18,FALSE),"")</f>
        <v/>
      </c>
      <c r="B526" s="304" t="str">
        <f>IFERROR(VLOOKUP(F524,'Comments Feeder'!$B:$W,21,FALSE),"")</f>
        <v/>
      </c>
      <c r="C526" s="304" t="str">
        <f>IFERROR(VLOOKUP(F523,'Comments Feeder'!$B:$W,23,FALSE),"")</f>
        <v/>
      </c>
      <c r="D526" s="305" t="str">
        <f>IFERROR(VLOOKUP(F522,'Comments Feeder'!$B:$W,24,FALSE),"")</f>
        <v/>
      </c>
      <c r="E526" s="305" t="str">
        <f>IFERROR(VLOOKUP(F522,'Comments Feeder'!$B:$W,25,FALSE),"")</f>
        <v/>
      </c>
      <c r="F526" s="218"/>
      <c r="H526" s="182"/>
    </row>
    <row r="527" spans="1:8" ht="13" x14ac:dyDescent="0.25">
      <c r="A527" s="239" t="str">
        <f>IFERROR(VLOOKUP(F526,'Comments Feeder'!$B:$W,18,FALSE),"")</f>
        <v/>
      </c>
      <c r="B527" s="239" t="str">
        <f>IFERROR(VLOOKUP(F525,'Comments Feeder'!$B:$W,21,FALSE),"")</f>
        <v/>
      </c>
      <c r="C527" s="239" t="str">
        <f>IFERROR(VLOOKUP(F524,'Comments Feeder'!$B:$W,23,FALSE),"")</f>
        <v/>
      </c>
      <c r="D527" s="194" t="str">
        <f>IFERROR(VLOOKUP(F523,'Comments Feeder'!$B:$W,24,FALSE),"")</f>
        <v/>
      </c>
      <c r="E527" s="194" t="str">
        <f>IFERROR(VLOOKUP(F523,'Comments Feeder'!$B:$W,25,FALSE),"")</f>
        <v/>
      </c>
      <c r="F527" s="214" t="s">
        <v>177</v>
      </c>
      <c r="H527" s="182"/>
    </row>
    <row r="528" spans="1:8" ht="58.4" customHeight="1" x14ac:dyDescent="0.25">
      <c r="A528" s="239" t="str">
        <f>IFERROR(VLOOKUP(F527,'Comments Feeder'!$B:$W,18,FALSE),"")</f>
        <v/>
      </c>
      <c r="B528" s="239" t="str">
        <f>IFERROR(VLOOKUP(F526,'Comments Feeder'!$B:$W,21,FALSE),"")</f>
        <v/>
      </c>
      <c r="C528" s="239" t="str">
        <f>IFERROR(VLOOKUP(F525,'Comments Feeder'!$B:$W,23,FALSE),"")</f>
        <v/>
      </c>
      <c r="D528" s="194" t="str">
        <f>IFERROR(VLOOKUP(F524,'Comments Feeder'!$B:$W,24,FALSE),"")</f>
        <v/>
      </c>
      <c r="E528" s="194" t="str">
        <f>IFERROR(VLOOKUP(F524,'Comments Feeder'!$B:$W,25,FALSE),"")</f>
        <v/>
      </c>
      <c r="F528" s="460"/>
      <c r="H528" s="182"/>
    </row>
    <row r="529" spans="1:8" x14ac:dyDescent="0.25">
      <c r="A529" s="239" t="str">
        <f>IFERROR(VLOOKUP(F528,'Comments Feeder'!$B:$W,18,FALSE),"")</f>
        <v/>
      </c>
      <c r="B529" s="239" t="str">
        <f>IFERROR(VLOOKUP(F527,'Comments Feeder'!$B:$W,21,FALSE),"")</f>
        <v/>
      </c>
      <c r="C529" s="239" t="str">
        <f>IFERROR(VLOOKUP(F526,'Comments Feeder'!$B:$W,23,FALSE),"")</f>
        <v/>
      </c>
      <c r="D529" s="194" t="str">
        <f>IFERROR(VLOOKUP(F525,'Comments Feeder'!$B:$W,24,FALSE),"")</f>
        <v/>
      </c>
      <c r="E529" s="194" t="str">
        <f>IFERROR(VLOOKUP(F525,'Comments Feeder'!$B:$W,25,FALSE),"")</f>
        <v/>
      </c>
      <c r="F529" s="460"/>
      <c r="H529" s="182"/>
    </row>
    <row r="530" spans="1:8" x14ac:dyDescent="0.25">
      <c r="A530" s="239" t="str">
        <f>IFERROR(VLOOKUP(F529,'Comments Feeder'!$B:$W,18,FALSE),"")</f>
        <v/>
      </c>
      <c r="B530" s="239" t="str">
        <f>IFERROR(VLOOKUP(F528,'Comments Feeder'!$B:$W,21,FALSE),"")</f>
        <v/>
      </c>
      <c r="C530" s="239" t="str">
        <f>IFERROR(VLOOKUP(F527,'Comments Feeder'!$B:$W,23,FALSE),"")</f>
        <v/>
      </c>
      <c r="D530" s="194" t="str">
        <f>IFERROR(VLOOKUP(F526,'Comments Feeder'!$B:$W,24,FALSE),"")</f>
        <v/>
      </c>
      <c r="E530" s="194" t="str">
        <f>IFERROR(VLOOKUP(F526,'Comments Feeder'!$B:$W,25,FALSE),"")</f>
        <v/>
      </c>
      <c r="F530" s="460"/>
      <c r="H530" s="182"/>
    </row>
    <row r="531" spans="1:8" x14ac:dyDescent="0.25">
      <c r="A531" s="239" t="str">
        <f>IFERROR(VLOOKUP(#REF!,'Comments Feeder'!$B:$W,18,FALSE),"")</f>
        <v/>
      </c>
      <c r="B531" s="239" t="str">
        <f>IFERROR(VLOOKUP(F529,'Comments Feeder'!$B:$W,21,FALSE),"")</f>
        <v/>
      </c>
      <c r="C531" s="239" t="str">
        <f>IFERROR(VLOOKUP(F528,'Comments Feeder'!$B:$W,23,FALSE),"")</f>
        <v/>
      </c>
      <c r="D531" s="194" t="str">
        <f>IFERROR(VLOOKUP(F527,'Comments Feeder'!$B:$W,24,FALSE),"")</f>
        <v/>
      </c>
      <c r="E531" s="194" t="str">
        <f>IFERROR(VLOOKUP(F527,'Comments Feeder'!$B:$W,25,FALSE),"")</f>
        <v/>
      </c>
      <c r="F531" s="316"/>
      <c r="H531" s="182"/>
    </row>
    <row r="532" spans="1:8" ht="13.5" thickBot="1" x14ac:dyDescent="0.3">
      <c r="A532" s="304" t="str">
        <f>IFERROR(VLOOKUP(#REF!,'Comments Feeder'!$B:$W,18,FALSE),"")</f>
        <v/>
      </c>
      <c r="B532" s="304" t="str">
        <f>IFERROR(VLOOKUP(F531,'Comments Feeder'!$B:$W,21,FALSE),"")</f>
        <v/>
      </c>
      <c r="C532" s="304" t="str">
        <f>IFERROR(VLOOKUP(#REF!,'Comments Feeder'!$B:$W,23,FALSE),"")</f>
        <v/>
      </c>
      <c r="D532" s="305" t="str">
        <f>IFERROR(VLOOKUP(F529,'Comments Feeder'!$B:$W,24,FALSE),"")</f>
        <v/>
      </c>
      <c r="E532" s="305" t="str">
        <f>IFERROR(VLOOKUP(F529,'Comments Feeder'!$B:$W,25,FALSE),"")</f>
        <v/>
      </c>
      <c r="F532" s="218"/>
      <c r="H532" s="182"/>
    </row>
    <row r="533" spans="1:8" ht="13" x14ac:dyDescent="0.25">
      <c r="A533" s="239" t="str">
        <f>IFERROR(VLOOKUP(F532,'Comments Feeder'!$B:$W,18,FALSE),"")</f>
        <v/>
      </c>
      <c r="B533" s="239" t="str">
        <f>IFERROR(VLOOKUP(#REF!,'Comments Feeder'!$B:$W,21,FALSE),"")</f>
        <v/>
      </c>
      <c r="C533" s="239" t="str">
        <f>IFERROR(VLOOKUP(F531,'Comments Feeder'!$B:$W,23,FALSE),"")</f>
        <v/>
      </c>
      <c r="D533" s="194" t="str">
        <f>IFERROR(VLOOKUP(#REF!,'Comments Feeder'!$B:$W,24,FALSE),"")</f>
        <v/>
      </c>
      <c r="E533" s="194" t="str">
        <f>IFERROR(VLOOKUP(#REF!,'Comments Feeder'!$B:$W,25,FALSE),"")</f>
        <v/>
      </c>
      <c r="F533" s="214" t="s">
        <v>178</v>
      </c>
      <c r="H533" s="182"/>
    </row>
    <row r="534" spans="1:8" ht="28.5" customHeight="1" x14ac:dyDescent="0.25">
      <c r="A534" s="239" t="str">
        <f>IFERROR(VLOOKUP(F533,'Comments Feeder'!$B:$W,18,FALSE),"")</f>
        <v/>
      </c>
      <c r="B534" s="239" t="str">
        <f>IFERROR(VLOOKUP(F532,'Comments Feeder'!$B:$W,21,FALSE),"")</f>
        <v/>
      </c>
      <c r="C534" s="239" t="str">
        <f>IFERROR(VLOOKUP(#REF!,'Comments Feeder'!$B:$W,23,FALSE),"")</f>
        <v/>
      </c>
      <c r="D534" s="194" t="str">
        <f>IFERROR(VLOOKUP(F531,'Comments Feeder'!$B:$W,24,FALSE),"")</f>
        <v/>
      </c>
      <c r="E534" s="194" t="str">
        <f>IFERROR(VLOOKUP(F531,'Comments Feeder'!$B:$W,25,FALSE),"")</f>
        <v/>
      </c>
      <c r="F534" s="460"/>
      <c r="H534" s="182"/>
    </row>
    <row r="535" spans="1:8" x14ac:dyDescent="0.25">
      <c r="A535" s="239" t="str">
        <f>IFERROR(VLOOKUP(F534,'Comments Feeder'!$B:$W,18,FALSE),"")</f>
        <v/>
      </c>
      <c r="B535" s="239" t="str">
        <f>IFERROR(VLOOKUP(F533,'Comments Feeder'!$B:$W,21,FALSE),"")</f>
        <v/>
      </c>
      <c r="C535" s="239" t="str">
        <f>IFERROR(VLOOKUP(F532,'Comments Feeder'!$B:$W,23,FALSE),"")</f>
        <v/>
      </c>
      <c r="D535" s="194" t="str">
        <f>IFERROR(VLOOKUP(#REF!,'Comments Feeder'!$B:$W,24,FALSE),"")</f>
        <v/>
      </c>
      <c r="E535" s="194" t="str">
        <f>IFERROR(VLOOKUP(#REF!,'Comments Feeder'!$B:$W,25,FALSE),"")</f>
        <v/>
      </c>
      <c r="F535" s="216" t="s">
        <v>369</v>
      </c>
      <c r="H535" s="182"/>
    </row>
    <row r="536" spans="1:8" x14ac:dyDescent="0.25">
      <c r="A536" s="239" t="str">
        <f>IFERROR(VLOOKUP(F535,'Comments Feeder'!$B:$W,18,FALSE),"")</f>
        <v/>
      </c>
      <c r="B536" s="239" t="str">
        <f>IFERROR(VLOOKUP(F534,'Comments Feeder'!$B:$W,21,FALSE),"")</f>
        <v/>
      </c>
      <c r="C536" s="239" t="str">
        <f>IFERROR(VLOOKUP(F533,'Comments Feeder'!$B:$W,23,FALSE),"")</f>
        <v/>
      </c>
      <c r="D536" s="194" t="str">
        <f>IFERROR(VLOOKUP(F532,'Comments Feeder'!$B:$W,24,FALSE),"")</f>
        <v/>
      </c>
      <c r="E536" s="194" t="str">
        <f>IFERROR(VLOOKUP(F532,'Comments Feeder'!$B:$W,25,FALSE),"")</f>
        <v/>
      </c>
      <c r="F536" s="217"/>
      <c r="H536" s="182"/>
    </row>
    <row r="537" spans="1:8" x14ac:dyDescent="0.25">
      <c r="A537" s="239" t="str">
        <f>IFERROR(VLOOKUP(F536,'Comments Feeder'!$B:$W,18,FALSE),"")</f>
        <v/>
      </c>
      <c r="B537" s="239" t="str">
        <f>IFERROR(VLOOKUP(F535,'Comments Feeder'!$B:$W,21,FALSE),"")</f>
        <v/>
      </c>
      <c r="C537" s="239" t="str">
        <f>IFERROR(VLOOKUP(F534,'Comments Feeder'!$B:$W,23,FALSE),"")</f>
        <v/>
      </c>
      <c r="D537" s="194" t="str">
        <f>IFERROR(VLOOKUP(F533,'Comments Feeder'!$B:$W,24,FALSE),"")</f>
        <v/>
      </c>
      <c r="E537" s="194" t="str">
        <f>IFERROR(VLOOKUP(F533,'Comments Feeder'!$B:$W,25,FALSE),"")</f>
        <v/>
      </c>
      <c r="F537" s="196"/>
      <c r="H537" s="182"/>
    </row>
    <row r="538" spans="1:8" ht="13.5" thickBot="1" x14ac:dyDescent="0.3">
      <c r="A538" s="304" t="str">
        <f>IFERROR(VLOOKUP(F537,'Comments Feeder'!$B:$W,18,FALSE),"")</f>
        <v/>
      </c>
      <c r="B538" s="304" t="str">
        <f>IFERROR(VLOOKUP(F536,'Comments Feeder'!$B:$W,21,FALSE),"")</f>
        <v/>
      </c>
      <c r="C538" s="304" t="str">
        <f>IFERROR(VLOOKUP(F535,'Comments Feeder'!$B:$W,23,FALSE),"")</f>
        <v/>
      </c>
      <c r="D538" s="305" t="str">
        <f>IFERROR(VLOOKUP(F534,'Comments Feeder'!$B:$W,24,FALSE),"")</f>
        <v/>
      </c>
      <c r="E538" s="305" t="str">
        <f>IFERROR(VLOOKUP(F534,'Comments Feeder'!$B:$W,25,FALSE),"")</f>
        <v/>
      </c>
      <c r="F538" s="218"/>
      <c r="H538" s="182"/>
    </row>
    <row r="539" spans="1:8" ht="13" x14ac:dyDescent="0.25">
      <c r="A539" s="239" t="str">
        <f>IFERROR(VLOOKUP(F538,'Comments Feeder'!$B:$W,18,FALSE),"")</f>
        <v/>
      </c>
      <c r="B539" s="239" t="str">
        <f>IFERROR(VLOOKUP(F531,'Comments Feeder'!$B:$W,21,FALSE),"")</f>
        <v/>
      </c>
      <c r="C539" s="239" t="str">
        <f>IFERROR(VLOOKUP(#REF!,'Comments Feeder'!$B:$W,23,FALSE),"")</f>
        <v/>
      </c>
      <c r="D539" s="194" t="str">
        <f>IFERROR(VLOOKUP(F529,'Comments Feeder'!$B:$W,24,FALSE),"")</f>
        <v/>
      </c>
      <c r="E539" s="194" t="str">
        <f>IFERROR(VLOOKUP(F529,'Comments Feeder'!$B:$W,25,FALSE),"")</f>
        <v/>
      </c>
      <c r="F539" s="214" t="s">
        <v>114</v>
      </c>
      <c r="H539" s="182"/>
    </row>
    <row r="540" spans="1:8" x14ac:dyDescent="0.25">
      <c r="A540" s="239">
        <f>IFERROR(VLOOKUP(F539,'Comments Feeder'!$B:$W,18,FALSE),"")</f>
        <v>103</v>
      </c>
      <c r="B540" s="239" t="str">
        <f>IFERROR(VLOOKUP(#REF!,'Comments Feeder'!$B:$W,21,FALSE),"")</f>
        <v/>
      </c>
      <c r="C540" s="239" t="str">
        <f>IFERROR(VLOOKUP(F531,'Comments Feeder'!$B:$W,23,FALSE),"")</f>
        <v/>
      </c>
      <c r="D540" s="194" t="str">
        <f>IFERROR(VLOOKUP(#REF!,'Comments Feeder'!$B:$W,24,FALSE),"")</f>
        <v/>
      </c>
      <c r="E540" s="194" t="str">
        <f>IFERROR(VLOOKUP(#REF!,'Comments Feeder'!$B:$W,25,FALSE),"")</f>
        <v/>
      </c>
      <c r="F540" s="210"/>
      <c r="H540" s="182"/>
    </row>
    <row r="541" spans="1:8" x14ac:dyDescent="0.25">
      <c r="A541" s="239" t="str">
        <f>IFERROR(VLOOKUP(F540,'Comments Feeder'!$B:$W,18,FALSE),"")</f>
        <v/>
      </c>
      <c r="B541" s="239">
        <f>IFERROR(VLOOKUP(F539,'Comments Feeder'!$B:$W,21,FALSE),"")</f>
        <v>107</v>
      </c>
      <c r="C541" s="239" t="str">
        <f>IFERROR(VLOOKUP(#REF!,'Comments Feeder'!$B:$W,23,FALSE),"")</f>
        <v/>
      </c>
      <c r="D541" s="194" t="str">
        <f>IFERROR(VLOOKUP(F531,'Comments Feeder'!$B:$W,24,FALSE),"")</f>
        <v/>
      </c>
      <c r="E541" s="194" t="str">
        <f>IFERROR(VLOOKUP(F531,'Comments Feeder'!$B:$W,25,FALSE),"")</f>
        <v/>
      </c>
      <c r="F541" s="216"/>
      <c r="H541" s="182"/>
    </row>
    <row r="542" spans="1:8" x14ac:dyDescent="0.25">
      <c r="A542" s="239" t="str">
        <f>IFERROR(VLOOKUP(F541,'Comments Feeder'!$B:$W,18,FALSE),"")</f>
        <v/>
      </c>
      <c r="B542" s="239" t="str">
        <f>IFERROR(VLOOKUP(F540,'Comments Feeder'!$B:$W,21,FALSE),"")</f>
        <v/>
      </c>
      <c r="C542" s="239" t="str">
        <f>IFERROR(VLOOKUP(F539,'Comments Feeder'!$B:$W,23,FALSE),"")</f>
        <v/>
      </c>
      <c r="D542" s="194" t="str">
        <f>IFERROR(VLOOKUP(#REF!,'Comments Feeder'!$B:$W,24,FALSE),"")</f>
        <v/>
      </c>
      <c r="E542" s="194" t="str">
        <f>IFERROR(VLOOKUP(#REF!,'Comments Feeder'!$B:$W,25,FALSE),"")</f>
        <v/>
      </c>
      <c r="F542" s="217"/>
      <c r="H542" s="182"/>
    </row>
    <row r="543" spans="1:8" x14ac:dyDescent="0.25">
      <c r="A543" s="239" t="str">
        <f>IFERROR(VLOOKUP(F542,'Comments Feeder'!$B:$W,18,FALSE),"")</f>
        <v/>
      </c>
      <c r="B543" s="239" t="str">
        <f>IFERROR(VLOOKUP(F541,'Comments Feeder'!$B:$W,21,FALSE),"")</f>
        <v/>
      </c>
      <c r="C543" s="239" t="str">
        <f>IFERROR(VLOOKUP(F540,'Comments Feeder'!$B:$W,23,FALSE),"")</f>
        <v/>
      </c>
      <c r="D543" s="194" t="str">
        <f>IFERROR(VLOOKUP(F539,'Comments Feeder'!$B:$W,24,FALSE),"")</f>
        <v/>
      </c>
      <c r="E543" s="194" t="str">
        <f>IFERROR(VLOOKUP(F539,'Comments Feeder'!$B:$W,25,FALSE),"")</f>
        <v/>
      </c>
      <c r="F543" s="196"/>
      <c r="H543" s="182"/>
    </row>
    <row r="544" spans="1:8" ht="13.5" thickBot="1" x14ac:dyDescent="0.3">
      <c r="A544" s="304" t="str">
        <f>IFERROR(VLOOKUP(F543,'Comments Feeder'!$B:$W,18,FALSE),"")</f>
        <v/>
      </c>
      <c r="B544" s="304" t="str">
        <f>IFERROR(VLOOKUP(F542,'Comments Feeder'!$B:$W,21,FALSE),"")</f>
        <v/>
      </c>
      <c r="C544" s="304" t="str">
        <f>IFERROR(VLOOKUP(F541,'Comments Feeder'!$B:$W,23,FALSE),"")</f>
        <v/>
      </c>
      <c r="D544" s="305" t="str">
        <f>IFERROR(VLOOKUP(F540,'Comments Feeder'!$B:$W,24,FALSE),"")</f>
        <v/>
      </c>
      <c r="E544" s="305" t="str">
        <f>IFERROR(VLOOKUP(F540,'Comments Feeder'!$B:$W,25,FALSE),"")</f>
        <v/>
      </c>
      <c r="F544" s="218"/>
      <c r="H544" s="182"/>
    </row>
  </sheetData>
  <customSheetViews>
    <customSheetView guid="{903669DD-1133-45D2-B108-C6B5BEA5EB61}" scale="90" hiddenColumns="1">
      <pane ySplit="1" topLeftCell="A236" activePane="bottomLeft" state="frozen"/>
      <selection pane="bottomLeft" activeCell="F311" sqref="F311"/>
      <pageMargins left="0" right="0" top="0" bottom="0" header="0" footer="0"/>
      <pageSetup paperSize="9" orientation="portrait" verticalDpi="0" r:id="rId1"/>
    </customSheetView>
    <customSheetView guid="{7910FD81-BFE7-4CD5-939B-3D7A1CA9601A}" scale="80" hiddenColumns="1">
      <selection activeCell="F474" sqref="F474"/>
      <pageMargins left="0" right="0" top="0" bottom="0" header="0" footer="0"/>
      <pageSetup paperSize="9" orientation="portrait" verticalDpi="0" r:id="rId2"/>
    </customSheetView>
    <customSheetView guid="{051C2D13-0D3D-44C3-A7DB-A0EAFBF115F0}" scale="96" hiddenColumns="1">
      <pane ySplit="1" topLeftCell="A79" activePane="bottomLeft" state="frozen"/>
      <selection pane="bottomLeft" activeCell="H94" sqref="H94"/>
      <pageMargins left="0" right="0" top="0" bottom="0" header="0" footer="0"/>
      <pageSetup paperSize="9" orientation="portrait" verticalDpi="0" r:id="rId3"/>
    </customSheetView>
    <customSheetView guid="{9C479752-7F2F-4739-B52F-47A06FE05EF0}" scale="90" hiddenColumns="1" topLeftCell="A46">
      <selection activeCell="F242" sqref="F242"/>
      <pageMargins left="0" right="0" top="0" bottom="0" header="0" footer="0"/>
      <pageSetup paperSize="9" orientation="portrait" verticalDpi="0" r:id="rId4"/>
    </customSheetView>
    <customSheetView guid="{A0809A10-8F40-4AD2-8943-60E412AED428}" hiddenColumns="1">
      <pane ySplit="1" topLeftCell="A164" activePane="bottomLeft" state="frozen"/>
      <selection pane="bottomLeft" activeCell="F193" sqref="F193"/>
      <pageMargins left="0" right="0" top="0" bottom="0" header="0" footer="0"/>
      <pageSetup paperSize="9" orientation="portrait" verticalDpi="0" r:id="rId5"/>
    </customSheetView>
    <customSheetView guid="{3E006852-BD2D-4884-A2A1-BFAEAE24582F}" scale="80" hiddenColumns="1">
      <pane ySplit="1" topLeftCell="A426" activePane="bottomLeft" state="frozen"/>
      <selection pane="bottomLeft" activeCell="B444" sqref="B444"/>
      <pageMargins left="0" right="0" top="0" bottom="0" header="0" footer="0"/>
      <pageSetup paperSize="9" orientation="portrait" verticalDpi="0" r:id="rId6"/>
    </customSheetView>
    <customSheetView guid="{28ADD64E-1C54-4CF2-8A6A-391E4DF6D903}" scale="80" hiddenColumns="1">
      <pane ySplit="1" topLeftCell="A2" activePane="bottomLeft" state="frozen"/>
      <selection pane="bottomLeft" activeCell="F137" sqref="F137"/>
      <pageMargins left="0" right="0" top="0" bottom="0" header="0" footer="0"/>
      <pageSetup paperSize="9" orientation="portrait" verticalDpi="0" r:id="rId7"/>
    </customSheetView>
    <customSheetView guid="{B5B78BF3-B1F8-4BBA-8E40-E18C6034B566}" scale="90" hiddenColumns="1" topLeftCell="A301">
      <selection activeCell="F310" sqref="F310"/>
      <pageMargins left="0" right="0" top="0" bottom="0" header="0" footer="0"/>
      <pageSetup paperSize="9" orientation="portrait" verticalDpi="0" r:id="rId8"/>
    </customSheetView>
    <customSheetView guid="{2F5D2611-A2AC-4668-B979-0EE258BE5F1F}" scale="80" hiddenRows="1" hiddenColumns="1">
      <pane ySplit="1" topLeftCell="A429" activePane="bottomLeft" state="frozen"/>
      <selection pane="bottomLeft" activeCell="G449" sqref="G449"/>
      <pageMargins left="0" right="0" top="0" bottom="0" header="0" footer="0"/>
      <pageSetup paperSize="9" orientation="portrait" verticalDpi="0" r:id="rId9"/>
    </customSheetView>
    <customSheetView guid="{2EE8538C-E3AE-40C6-B22A-073EBF96300A}" scale="85" hiddenColumns="1">
      <pane ySplit="1" topLeftCell="A178" activePane="bottomLeft" state="frozen"/>
      <selection pane="bottomLeft" activeCell="F182" sqref="F182"/>
      <pageMargins left="0" right="0" top="0" bottom="0" header="0" footer="0"/>
      <pageSetup paperSize="9" orientation="portrait" verticalDpi="0" r:id="rId10"/>
    </customSheetView>
    <customSheetView guid="{E4F22399-07D5-465E-AFB1-A36259E00328}" scale="90" hiddenColumns="1">
      <pane ySplit="1" topLeftCell="A236" activePane="bottomLeft" state="frozen"/>
      <selection pane="bottomLeft" activeCell="F311" sqref="F311"/>
      <pageMargins left="0" right="0" top="0" bottom="0" header="0" footer="0"/>
      <pageSetup paperSize="9" orientation="portrait" verticalDpi="0" r:id="rId11"/>
    </customSheetView>
  </customSheetViews>
  <mergeCells count="12">
    <mergeCell ref="A367:F367"/>
    <mergeCell ref="A437:F437"/>
    <mergeCell ref="A506:F506"/>
    <mergeCell ref="A1:F1"/>
    <mergeCell ref="A163:F163"/>
    <mergeCell ref="A192:F192"/>
    <mergeCell ref="A234:F234"/>
    <mergeCell ref="A262:F262"/>
    <mergeCell ref="A339:F339"/>
    <mergeCell ref="A108:F108"/>
    <mergeCell ref="A483:F483"/>
    <mergeCell ref="B195:B196"/>
  </mergeCells>
  <pageMargins left="0.7" right="0.7" top="0.75" bottom="0.75" header="0.3" footer="0.3"/>
  <pageSetup paperSize="9" orientation="portrait"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BL91"/>
  <sheetViews>
    <sheetView zoomScaleNormal="80" workbookViewId="0">
      <pane xSplit="3" ySplit="2" topLeftCell="J12" activePane="bottomRight" state="frozen"/>
      <selection pane="topRight" activeCell="D1" sqref="D1"/>
      <selection pane="bottomLeft" activeCell="A3" sqref="A3"/>
      <selection pane="bottomRight" activeCell="J12" sqref="J12"/>
    </sheetView>
  </sheetViews>
  <sheetFormatPr defaultRowHeight="12.5" x14ac:dyDescent="0.25"/>
  <cols>
    <col min="1" max="1" width="51.54296875" customWidth="1"/>
    <col min="5" max="5" width="11.453125" customWidth="1"/>
    <col min="6" max="6" width="9.1796875" customWidth="1"/>
    <col min="7" max="8" width="8.54296875" customWidth="1"/>
    <col min="9" max="25" width="9.453125" customWidth="1"/>
    <col min="26" max="64" width="8.54296875" customWidth="1"/>
  </cols>
  <sheetData>
    <row r="1" spans="1:64" ht="45" customHeight="1" thickBot="1" x14ac:dyDescent="0.35">
      <c r="A1" s="247"/>
      <c r="B1" s="248"/>
      <c r="C1" s="249"/>
      <c r="D1" s="250"/>
      <c r="E1" s="839" t="s">
        <v>455</v>
      </c>
      <c r="F1" s="840"/>
      <c r="G1" s="840"/>
      <c r="H1" s="840"/>
      <c r="I1" s="840"/>
      <c r="J1" s="840"/>
      <c r="K1" s="840"/>
      <c r="L1" s="840"/>
      <c r="M1" s="840"/>
      <c r="N1" s="840"/>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row>
    <row r="2" spans="1:64" ht="98.25" customHeight="1" thickBot="1" x14ac:dyDescent="0.3">
      <c r="A2" s="251" t="s">
        <v>456</v>
      </c>
      <c r="B2" s="252" t="s">
        <v>457</v>
      </c>
      <c r="C2" s="253" t="s">
        <v>458</v>
      </c>
      <c r="D2" s="254"/>
      <c r="E2" s="601"/>
      <c r="F2" s="601"/>
      <c r="G2" s="601"/>
      <c r="H2" s="601"/>
      <c r="I2" s="601"/>
      <c r="J2" s="601"/>
      <c r="K2" s="255"/>
      <c r="L2" s="255"/>
      <c r="M2" s="255"/>
      <c r="N2" s="255"/>
      <c r="O2" s="255"/>
      <c r="P2" s="255"/>
      <c r="Q2" s="255"/>
      <c r="R2" s="255"/>
      <c r="S2" s="255"/>
      <c r="T2" s="255"/>
      <c r="U2" s="255"/>
      <c r="V2" s="255"/>
      <c r="W2" s="255"/>
      <c r="X2" s="255"/>
      <c r="Y2" s="377"/>
      <c r="Z2" s="255"/>
      <c r="AA2" s="255"/>
      <c r="AB2" s="255"/>
      <c r="AC2" s="377"/>
      <c r="AD2" s="255"/>
      <c r="AE2" s="255"/>
      <c r="AF2" s="255"/>
      <c r="AG2" s="255"/>
      <c r="AH2" s="377"/>
      <c r="AI2" s="255"/>
      <c r="AJ2" s="255"/>
      <c r="AK2" s="255"/>
      <c r="AL2" s="255"/>
      <c r="AM2" s="377"/>
      <c r="AN2" s="377"/>
      <c r="AO2" s="255"/>
      <c r="AP2" s="255"/>
      <c r="AQ2" s="255"/>
      <c r="AR2" s="255"/>
      <c r="AS2" s="377"/>
      <c r="AT2" s="377"/>
      <c r="AU2" s="255"/>
      <c r="AV2" s="377"/>
      <c r="AW2" s="255"/>
      <c r="AX2" s="255"/>
      <c r="AY2" s="255"/>
      <c r="AZ2" s="255"/>
      <c r="BA2" s="377"/>
      <c r="BB2" s="377"/>
      <c r="BC2" s="255"/>
      <c r="BD2" s="377"/>
      <c r="BE2" s="255"/>
      <c r="BF2" s="255"/>
      <c r="BG2" s="255"/>
      <c r="BH2" s="255"/>
      <c r="BI2" s="255"/>
      <c r="BJ2" s="255"/>
      <c r="BK2" s="255"/>
      <c r="BL2" s="255"/>
    </row>
    <row r="3" spans="1:64" ht="13" x14ac:dyDescent="0.3">
      <c r="A3" s="256"/>
      <c r="B3" s="257" t="s">
        <v>34</v>
      </c>
      <c r="C3" s="258" t="s">
        <v>34</v>
      </c>
      <c r="D3" s="259"/>
      <c r="E3" s="386" t="s">
        <v>34</v>
      </c>
      <c r="F3" s="386" t="s">
        <v>34</v>
      </c>
      <c r="G3" s="386" t="s">
        <v>34</v>
      </c>
      <c r="H3" s="391" t="s">
        <v>34</v>
      </c>
      <c r="I3" s="261" t="s">
        <v>34</v>
      </c>
      <c r="J3" s="602" t="s">
        <v>34</v>
      </c>
      <c r="K3" s="260" t="s">
        <v>34</v>
      </c>
      <c r="L3" s="260" t="s">
        <v>34</v>
      </c>
      <c r="M3" s="260" t="s">
        <v>34</v>
      </c>
      <c r="N3" s="260" t="s">
        <v>34</v>
      </c>
      <c r="O3" s="260" t="s">
        <v>34</v>
      </c>
      <c r="P3" s="260" t="s">
        <v>34</v>
      </c>
      <c r="Q3" s="260" t="s">
        <v>34</v>
      </c>
      <c r="R3" s="260" t="s">
        <v>34</v>
      </c>
      <c r="S3" s="260" t="s">
        <v>34</v>
      </c>
      <c r="T3" s="260" t="s">
        <v>34</v>
      </c>
      <c r="U3" s="260" t="s">
        <v>34</v>
      </c>
      <c r="V3" s="260" t="s">
        <v>34</v>
      </c>
      <c r="W3" s="260" t="s">
        <v>34</v>
      </c>
      <c r="X3" s="260" t="s">
        <v>34</v>
      </c>
      <c r="Y3" s="260" t="s">
        <v>34</v>
      </c>
      <c r="Z3" s="260" t="s">
        <v>34</v>
      </c>
      <c r="AA3" s="260" t="s">
        <v>34</v>
      </c>
      <c r="AB3" s="260" t="s">
        <v>34</v>
      </c>
      <c r="AC3" s="260" t="s">
        <v>34</v>
      </c>
      <c r="AD3" s="260" t="s">
        <v>34</v>
      </c>
      <c r="AE3" s="260" t="s">
        <v>34</v>
      </c>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row>
    <row r="4" spans="1:64" ht="15" customHeight="1" x14ac:dyDescent="0.3">
      <c r="A4" s="31" t="s">
        <v>94</v>
      </c>
      <c r="B4" s="290">
        <f>IF(ISNA(VLOOKUP(A4,'Comments Feeder'!B:L,11,FALSE)),0,VLOOKUP(A4,'Comments Feeder'!B:L,11,FALSE))</f>
        <v>0</v>
      </c>
      <c r="C4" s="290">
        <f>B4-SUM(E4:AB4)</f>
        <v>0</v>
      </c>
      <c r="D4" s="262"/>
      <c r="E4" s="308"/>
      <c r="F4" s="266"/>
      <c r="G4" s="266"/>
      <c r="H4" s="387"/>
      <c r="I4" s="266"/>
      <c r="J4" s="521"/>
      <c r="K4" s="266"/>
      <c r="L4" s="266"/>
      <c r="M4" s="266"/>
      <c r="N4" s="266"/>
      <c r="O4" s="270"/>
      <c r="P4" s="270"/>
      <c r="Q4" s="270"/>
      <c r="R4" s="270"/>
      <c r="S4" s="270"/>
      <c r="T4" s="270"/>
      <c r="U4" s="270"/>
      <c r="V4" s="270"/>
      <c r="W4" s="308"/>
      <c r="X4" s="308"/>
      <c r="Y4" s="378"/>
      <c r="Z4" s="270"/>
      <c r="AA4" s="308"/>
      <c r="AB4" s="308"/>
      <c r="AC4" s="378"/>
      <c r="AD4" s="270"/>
      <c r="AE4" s="308"/>
      <c r="AF4" s="308"/>
      <c r="AG4" s="308"/>
      <c r="AH4" s="378"/>
      <c r="AI4" s="270"/>
      <c r="AJ4" s="308"/>
      <c r="AK4" s="308"/>
      <c r="AL4" s="308"/>
      <c r="AM4" s="378"/>
      <c r="AN4" s="378"/>
      <c r="AO4" s="270"/>
      <c r="AP4" s="308"/>
      <c r="AQ4" s="308"/>
      <c r="AR4" s="308"/>
      <c r="AS4" s="378"/>
      <c r="AT4" s="378"/>
      <c r="AU4" s="270"/>
      <c r="AV4" s="378"/>
      <c r="AW4" s="270"/>
      <c r="AX4" s="308"/>
      <c r="AY4" s="308"/>
      <c r="AZ4" s="308"/>
      <c r="BA4" s="378"/>
      <c r="BB4" s="378"/>
      <c r="BC4" s="270"/>
      <c r="BD4" s="378"/>
      <c r="BE4" s="270"/>
      <c r="BF4" s="308"/>
      <c r="BG4" s="308"/>
      <c r="BH4" s="308"/>
      <c r="BI4" s="308"/>
      <c r="BJ4" s="308"/>
      <c r="BK4" s="308"/>
      <c r="BL4" s="308"/>
    </row>
    <row r="5" spans="1:64" ht="15" customHeight="1" x14ac:dyDescent="0.3">
      <c r="A5" s="31" t="s">
        <v>95</v>
      </c>
      <c r="B5" s="290">
        <f>IF(ISNA(VLOOKUP(A5,'Comments Feeder'!B:L,11,FALSE)),0,VLOOKUP(A5,'Comments Feeder'!B:L,11,FALSE))</f>
        <v>0</v>
      </c>
      <c r="C5" s="290">
        <f>B5-SUM(E5:AB5)</f>
        <v>0</v>
      </c>
      <c r="D5" s="262"/>
      <c r="E5" s="308"/>
      <c r="F5" s="266"/>
      <c r="G5" s="266"/>
      <c r="H5" s="263"/>
      <c r="I5" s="266"/>
      <c r="J5" s="521"/>
      <c r="K5" s="266"/>
      <c r="L5" s="266"/>
      <c r="M5" s="266"/>
      <c r="N5" s="266"/>
      <c r="O5" s="270"/>
      <c r="P5" s="270"/>
      <c r="Q5" s="270"/>
      <c r="R5" s="270"/>
      <c r="S5" s="270"/>
      <c r="T5" s="270"/>
      <c r="U5" s="270"/>
      <c r="V5" s="270"/>
      <c r="W5" s="270"/>
      <c r="X5" s="308"/>
      <c r="Y5" s="378"/>
      <c r="Z5" s="270"/>
      <c r="AA5" s="270"/>
      <c r="AB5" s="308"/>
      <c r="AC5" s="378"/>
      <c r="AD5" s="270"/>
      <c r="AE5" s="270"/>
      <c r="AF5" s="270"/>
      <c r="AG5" s="308"/>
      <c r="AH5" s="378"/>
      <c r="AI5" s="270"/>
      <c r="AJ5" s="270"/>
      <c r="AK5" s="270"/>
      <c r="AL5" s="308"/>
      <c r="AM5" s="378"/>
      <c r="AN5" s="378"/>
      <c r="AO5" s="270"/>
      <c r="AP5" s="270"/>
      <c r="AQ5" s="270"/>
      <c r="AR5" s="308"/>
      <c r="AS5" s="378"/>
      <c r="AT5" s="378"/>
      <c r="AU5" s="270"/>
      <c r="AV5" s="378"/>
      <c r="AW5" s="270"/>
      <c r="AX5" s="270"/>
      <c r="AY5" s="270"/>
      <c r="AZ5" s="308"/>
      <c r="BA5" s="378"/>
      <c r="BB5" s="378"/>
      <c r="BC5" s="270"/>
      <c r="BD5" s="378"/>
      <c r="BE5" s="270"/>
      <c r="BF5" s="270"/>
      <c r="BG5" s="270"/>
      <c r="BH5" s="270"/>
      <c r="BI5" s="270"/>
      <c r="BJ5" s="270"/>
      <c r="BK5" s="270"/>
      <c r="BL5" s="270"/>
    </row>
    <row r="6" spans="1:64" ht="15" customHeight="1" x14ac:dyDescent="0.3">
      <c r="A6" s="31" t="s">
        <v>96</v>
      </c>
      <c r="B6" s="290">
        <f>IF(ISNA(VLOOKUP(A6,'Comments Feeder'!B:L,11,FALSE)),0,VLOOKUP(A6,'Comments Feeder'!B:L,11,FALSE))</f>
        <v>0</v>
      </c>
      <c r="C6" s="290">
        <f>B6-SUM(E6:AB6)</f>
        <v>0</v>
      </c>
      <c r="D6" s="262"/>
      <c r="E6" s="308"/>
      <c r="F6" s="308"/>
      <c r="G6" s="266"/>
      <c r="H6" s="263"/>
      <c r="I6" s="266"/>
      <c r="J6" s="521"/>
      <c r="K6" s="266"/>
      <c r="L6" s="266"/>
      <c r="M6" s="266"/>
      <c r="N6" s="266"/>
      <c r="O6" s="270"/>
      <c r="P6" s="270"/>
      <c r="Q6" s="270"/>
      <c r="R6" s="270"/>
      <c r="S6" s="270"/>
      <c r="T6" s="270"/>
      <c r="U6" s="270"/>
      <c r="V6" s="270"/>
      <c r="W6" s="270"/>
      <c r="X6" s="308"/>
      <c r="Y6" s="378"/>
      <c r="Z6" s="270"/>
      <c r="AA6" s="270"/>
      <c r="AB6" s="308"/>
      <c r="AC6" s="378"/>
      <c r="AD6" s="270"/>
      <c r="AE6" s="270"/>
      <c r="AF6" s="270"/>
      <c r="AG6" s="308"/>
      <c r="AH6" s="378"/>
      <c r="AI6" s="270"/>
      <c r="AJ6" s="270"/>
      <c r="AK6" s="270"/>
      <c r="AL6" s="308"/>
      <c r="AM6" s="378"/>
      <c r="AN6" s="378"/>
      <c r="AO6" s="270"/>
      <c r="AP6" s="270"/>
      <c r="AQ6" s="270"/>
      <c r="AR6" s="308"/>
      <c r="AS6" s="378"/>
      <c r="AT6" s="378"/>
      <c r="AU6" s="270"/>
      <c r="AV6" s="378"/>
      <c r="AW6" s="270"/>
      <c r="AX6" s="270"/>
      <c r="AY6" s="270"/>
      <c r="AZ6" s="308"/>
      <c r="BA6" s="378"/>
      <c r="BB6" s="378"/>
      <c r="BC6" s="270"/>
      <c r="BD6" s="378"/>
      <c r="BE6" s="270"/>
      <c r="BF6" s="270"/>
      <c r="BG6" s="270"/>
      <c r="BH6" s="270"/>
      <c r="BI6" s="270"/>
      <c r="BJ6" s="270"/>
      <c r="BK6" s="270"/>
      <c r="BL6" s="270"/>
    </row>
    <row r="7" spans="1:64" ht="15" customHeight="1" x14ac:dyDescent="0.3">
      <c r="A7" s="31" t="s">
        <v>97</v>
      </c>
      <c r="B7" s="290">
        <f>IF(ISNA(VLOOKUP(A7,'Comments Feeder'!B:L,11,FALSE)),0,VLOOKUP(A7,'Comments Feeder'!B:L,11,FALSE))</f>
        <v>0</v>
      </c>
      <c r="C7" s="290">
        <f>B7-SUM(E7:AB7)</f>
        <v>0</v>
      </c>
      <c r="D7" s="264"/>
      <c r="E7" s="308"/>
      <c r="F7" s="266"/>
      <c r="G7" s="266"/>
      <c r="H7" s="263"/>
      <c r="I7" s="266"/>
      <c r="J7" s="521"/>
      <c r="K7" s="266"/>
      <c r="L7" s="266"/>
      <c r="M7" s="266"/>
      <c r="N7" s="266"/>
      <c r="O7" s="270"/>
      <c r="P7" s="270"/>
      <c r="Q7" s="270"/>
      <c r="R7" s="270"/>
      <c r="S7" s="270"/>
      <c r="T7" s="270"/>
      <c r="U7" s="270"/>
      <c r="V7" s="270"/>
      <c r="W7" s="270"/>
      <c r="X7" s="270"/>
      <c r="Y7" s="264"/>
      <c r="Z7" s="270"/>
      <c r="AA7" s="270"/>
      <c r="AB7" s="270"/>
      <c r="AC7" s="264"/>
      <c r="AD7" s="270"/>
      <c r="AE7" s="270"/>
      <c r="AF7" s="270"/>
      <c r="AG7" s="270"/>
      <c r="AH7" s="264"/>
      <c r="AI7" s="270"/>
      <c r="AJ7" s="270"/>
      <c r="AK7" s="270"/>
      <c r="AL7" s="270"/>
      <c r="AM7" s="264"/>
      <c r="AN7" s="264"/>
      <c r="AO7" s="270"/>
      <c r="AP7" s="270"/>
      <c r="AQ7" s="270"/>
      <c r="AR7" s="270"/>
      <c r="AS7" s="264"/>
      <c r="AT7" s="264"/>
      <c r="AU7" s="270"/>
      <c r="AV7" s="264"/>
      <c r="AW7" s="270"/>
      <c r="AX7" s="270"/>
      <c r="AY7" s="270"/>
      <c r="AZ7" s="270"/>
      <c r="BA7" s="264"/>
      <c r="BB7" s="264"/>
      <c r="BC7" s="270"/>
      <c r="BD7" s="264"/>
      <c r="BE7" s="270"/>
      <c r="BF7" s="270"/>
      <c r="BG7" s="270"/>
      <c r="BH7" s="270"/>
      <c r="BI7" s="270"/>
      <c r="BJ7" s="270"/>
      <c r="BK7" s="270"/>
      <c r="BL7" s="270"/>
    </row>
    <row r="8" spans="1:64" ht="15" customHeight="1" x14ac:dyDescent="0.3">
      <c r="A8" s="31" t="s">
        <v>98</v>
      </c>
      <c r="B8" s="290">
        <f>IF(ISNA(VLOOKUP(A8,'Comments Feeder'!B:L,11,FALSE)),0,VLOOKUP(A8,'Comments Feeder'!B:L,11,FALSE))</f>
        <v>0</v>
      </c>
      <c r="C8" s="290">
        <f>B8-SUM(E8:AB8)</f>
        <v>0</v>
      </c>
      <c r="D8" s="262"/>
      <c r="E8" s="308"/>
      <c r="F8" s="266"/>
      <c r="G8" s="266"/>
      <c r="H8" s="263"/>
      <c r="I8" s="266"/>
      <c r="J8" s="521"/>
      <c r="K8" s="266"/>
      <c r="L8" s="266"/>
      <c r="M8" s="266"/>
      <c r="N8" s="266"/>
      <c r="O8" s="270"/>
      <c r="P8" s="270"/>
      <c r="Q8" s="270"/>
      <c r="R8" s="270"/>
      <c r="S8" s="270"/>
      <c r="T8" s="270"/>
      <c r="U8" s="270"/>
      <c r="V8" s="270"/>
      <c r="W8" s="270"/>
      <c r="X8" s="270"/>
      <c r="Y8" s="264"/>
      <c r="Z8" s="270"/>
      <c r="AA8" s="270"/>
      <c r="AB8" s="270"/>
      <c r="AC8" s="264"/>
      <c r="AD8" s="270"/>
      <c r="AE8" s="270"/>
      <c r="AF8" s="270"/>
      <c r="AG8" s="270"/>
      <c r="AH8" s="264"/>
      <c r="AI8" s="270"/>
      <c r="AJ8" s="270"/>
      <c r="AK8" s="270"/>
      <c r="AL8" s="270"/>
      <c r="AM8" s="264"/>
      <c r="AN8" s="264"/>
      <c r="AO8" s="270"/>
      <c r="AP8" s="270"/>
      <c r="AQ8" s="270"/>
      <c r="AR8" s="270"/>
      <c r="AS8" s="264"/>
      <c r="AT8" s="264"/>
      <c r="AU8" s="270"/>
      <c r="AV8" s="264"/>
      <c r="AW8" s="270"/>
      <c r="AX8" s="270"/>
      <c r="AY8" s="270"/>
      <c r="AZ8" s="270"/>
      <c r="BA8" s="264"/>
      <c r="BB8" s="264"/>
      <c r="BC8" s="270"/>
      <c r="BD8" s="264"/>
      <c r="BE8" s="270"/>
      <c r="BF8" s="270"/>
      <c r="BG8" s="270"/>
      <c r="BH8" s="270"/>
      <c r="BI8" s="270"/>
      <c r="BJ8" s="270"/>
      <c r="BK8" s="270"/>
      <c r="BL8" s="270"/>
    </row>
    <row r="9" spans="1:64" ht="15" customHeight="1" x14ac:dyDescent="0.3">
      <c r="A9" s="32" t="s">
        <v>100</v>
      </c>
      <c r="B9" s="291">
        <f>IF(ISNA(VLOOKUP(A9,'Comments Feeder'!B:L,11,FALSE)),0,VLOOKUP(A9,'Comments Feeder'!B:L,11,FALSE))</f>
        <v>0</v>
      </c>
      <c r="C9" s="291">
        <f>SUM(C4:C8)</f>
        <v>0</v>
      </c>
      <c r="D9" s="264"/>
      <c r="E9" s="309">
        <f>SUM(E4:E8)</f>
        <v>0</v>
      </c>
      <c r="F9" s="309">
        <f t="shared" ref="F9:U9" si="0">SUM(F4:F8)</f>
        <v>0</v>
      </c>
      <c r="G9" s="379">
        <f t="shared" si="0"/>
        <v>0</v>
      </c>
      <c r="H9" s="309">
        <f t="shared" si="0"/>
        <v>0</v>
      </c>
      <c r="I9" s="518">
        <f t="shared" si="0"/>
        <v>0</v>
      </c>
      <c r="J9" s="518">
        <f t="shared" si="0"/>
        <v>0</v>
      </c>
      <c r="K9" s="309">
        <f t="shared" si="0"/>
        <v>0</v>
      </c>
      <c r="L9" s="309">
        <f t="shared" si="0"/>
        <v>0</v>
      </c>
      <c r="M9" s="309">
        <f t="shared" si="0"/>
        <v>0</v>
      </c>
      <c r="N9" s="309">
        <f t="shared" si="0"/>
        <v>0</v>
      </c>
      <c r="O9" s="309">
        <f t="shared" si="0"/>
        <v>0</v>
      </c>
      <c r="P9" s="309">
        <f t="shared" si="0"/>
        <v>0</v>
      </c>
      <c r="Q9" s="309">
        <f t="shared" si="0"/>
        <v>0</v>
      </c>
      <c r="R9" s="309">
        <f t="shared" si="0"/>
        <v>0</v>
      </c>
      <c r="S9" s="309">
        <f t="shared" si="0"/>
        <v>0</v>
      </c>
      <c r="T9" s="309">
        <f t="shared" si="0"/>
        <v>0</v>
      </c>
      <c r="U9" s="309">
        <f t="shared" si="0"/>
        <v>0</v>
      </c>
      <c r="V9" s="309">
        <f>SUM(V4:V8)</f>
        <v>0</v>
      </c>
      <c r="W9" s="309">
        <f t="shared" ref="W9:BH9" si="1">SUM(W4:W8)</f>
        <v>0</v>
      </c>
      <c r="X9" s="309">
        <f t="shared" si="1"/>
        <v>0</v>
      </c>
      <c r="Y9" s="309">
        <f t="shared" si="1"/>
        <v>0</v>
      </c>
      <c r="Z9" s="309">
        <f t="shared" si="1"/>
        <v>0</v>
      </c>
      <c r="AA9" s="309">
        <f t="shared" si="1"/>
        <v>0</v>
      </c>
      <c r="AB9" s="309">
        <f t="shared" si="1"/>
        <v>0</v>
      </c>
      <c r="AC9" s="309">
        <f t="shared" si="1"/>
        <v>0</v>
      </c>
      <c r="AD9" s="309">
        <f t="shared" si="1"/>
        <v>0</v>
      </c>
      <c r="AE9" s="309">
        <f t="shared" si="1"/>
        <v>0</v>
      </c>
      <c r="AF9" s="309">
        <f t="shared" si="1"/>
        <v>0</v>
      </c>
      <c r="AG9" s="309">
        <f t="shared" si="1"/>
        <v>0</v>
      </c>
      <c r="AH9" s="309">
        <f t="shared" si="1"/>
        <v>0</v>
      </c>
      <c r="AI9" s="309">
        <f t="shared" si="1"/>
        <v>0</v>
      </c>
      <c r="AJ9" s="309">
        <f t="shared" si="1"/>
        <v>0</v>
      </c>
      <c r="AK9" s="309">
        <f t="shared" si="1"/>
        <v>0</v>
      </c>
      <c r="AL9" s="309">
        <f t="shared" si="1"/>
        <v>0</v>
      </c>
      <c r="AM9" s="309">
        <f t="shared" si="1"/>
        <v>0</v>
      </c>
      <c r="AN9" s="309">
        <f t="shared" si="1"/>
        <v>0</v>
      </c>
      <c r="AO9" s="309">
        <f t="shared" si="1"/>
        <v>0</v>
      </c>
      <c r="AP9" s="309">
        <f t="shared" si="1"/>
        <v>0</v>
      </c>
      <c r="AQ9" s="309">
        <f t="shared" si="1"/>
        <v>0</v>
      </c>
      <c r="AR9" s="309">
        <f t="shared" si="1"/>
        <v>0</v>
      </c>
      <c r="AS9" s="309">
        <f t="shared" si="1"/>
        <v>0</v>
      </c>
      <c r="AT9" s="309">
        <f t="shared" si="1"/>
        <v>0</v>
      </c>
      <c r="AU9" s="309">
        <f t="shared" si="1"/>
        <v>0</v>
      </c>
      <c r="AV9" s="309">
        <f t="shared" si="1"/>
        <v>0</v>
      </c>
      <c r="AW9" s="309">
        <f t="shared" si="1"/>
        <v>0</v>
      </c>
      <c r="AX9" s="309">
        <f t="shared" si="1"/>
        <v>0</v>
      </c>
      <c r="AY9" s="309">
        <f t="shared" si="1"/>
        <v>0</v>
      </c>
      <c r="AZ9" s="309">
        <f t="shared" si="1"/>
        <v>0</v>
      </c>
      <c r="BA9" s="309">
        <f t="shared" si="1"/>
        <v>0</v>
      </c>
      <c r="BB9" s="309">
        <f t="shared" si="1"/>
        <v>0</v>
      </c>
      <c r="BC9" s="309">
        <f t="shared" si="1"/>
        <v>0</v>
      </c>
      <c r="BD9" s="309">
        <f t="shared" si="1"/>
        <v>0</v>
      </c>
      <c r="BE9" s="309">
        <f t="shared" si="1"/>
        <v>0</v>
      </c>
      <c r="BF9" s="309">
        <f t="shared" si="1"/>
        <v>0</v>
      </c>
      <c r="BG9" s="309">
        <f t="shared" si="1"/>
        <v>0</v>
      </c>
      <c r="BH9" s="309">
        <f t="shared" si="1"/>
        <v>0</v>
      </c>
      <c r="BI9" s="309"/>
      <c r="BJ9" s="309"/>
      <c r="BK9" s="309"/>
      <c r="BL9" s="309"/>
    </row>
    <row r="10" spans="1:64" ht="15" customHeight="1" x14ac:dyDescent="0.3">
      <c r="A10" s="31" t="s">
        <v>46</v>
      </c>
      <c r="B10" s="290">
        <f>IF(ISNA(VLOOKUP(A10,'Comments Feeder'!B:L,11,FALSE)),0,VLOOKUP(A10,'Comments Feeder'!B:L,11,FALSE))</f>
        <v>0</v>
      </c>
      <c r="C10" s="290">
        <f t="shared" ref="C10:C16" si="2">B10-SUM(E10:AB10)</f>
        <v>0</v>
      </c>
      <c r="D10" s="262"/>
      <c r="E10" s="308"/>
      <c r="F10" s="308"/>
      <c r="G10" s="378"/>
      <c r="H10" s="308"/>
      <c r="I10" s="519"/>
      <c r="J10" s="603"/>
      <c r="K10" s="270"/>
      <c r="L10" s="269"/>
      <c r="M10" s="270"/>
      <c r="N10" s="270"/>
      <c r="O10" s="270"/>
      <c r="P10" s="270"/>
      <c r="Q10" s="270"/>
      <c r="R10" s="270"/>
      <c r="S10" s="270"/>
      <c r="T10" s="270"/>
      <c r="U10" s="270"/>
      <c r="V10" s="270"/>
      <c r="W10" s="270"/>
      <c r="X10" s="270"/>
      <c r="Y10" s="264"/>
      <c r="Z10" s="270"/>
      <c r="AA10" s="270"/>
      <c r="AB10" s="270"/>
      <c r="AC10" s="264"/>
      <c r="AD10" s="270"/>
      <c r="AE10" s="270"/>
      <c r="AF10" s="270"/>
      <c r="AG10" s="270"/>
      <c r="AH10" s="264"/>
      <c r="AI10" s="270"/>
      <c r="AJ10" s="270"/>
      <c r="AK10" s="270"/>
      <c r="AL10" s="270"/>
      <c r="AM10" s="264"/>
      <c r="AN10" s="264"/>
      <c r="AO10" s="270"/>
      <c r="AP10" s="270"/>
      <c r="AQ10" s="270"/>
      <c r="AR10" s="270"/>
      <c r="AS10" s="264"/>
      <c r="AT10" s="264"/>
      <c r="AU10" s="270"/>
      <c r="AV10" s="264"/>
      <c r="AW10" s="270"/>
      <c r="AX10" s="270"/>
      <c r="AY10" s="270"/>
      <c r="AZ10" s="270"/>
      <c r="BA10" s="264"/>
      <c r="BB10" s="264"/>
      <c r="BC10" s="270"/>
      <c r="BD10" s="264"/>
      <c r="BE10" s="270"/>
      <c r="BF10" s="270"/>
      <c r="BG10" s="270"/>
      <c r="BH10" s="270"/>
      <c r="BI10" s="270"/>
      <c r="BJ10" s="270"/>
      <c r="BK10" s="270"/>
      <c r="BL10" s="270"/>
    </row>
    <row r="11" spans="1:64" ht="15" customHeight="1" x14ac:dyDescent="0.3">
      <c r="A11" s="31" t="s">
        <v>459</v>
      </c>
      <c r="B11" s="290">
        <f>IF(ISNA(VLOOKUP(A11,'Comments Feeder'!B:L,11,FALSE)),0,VLOOKUP(A11,'Comments Feeder'!B:L,11,FALSE))</f>
        <v>0</v>
      </c>
      <c r="C11" s="290">
        <f t="shared" si="2"/>
        <v>0</v>
      </c>
      <c r="D11" s="262"/>
      <c r="E11" s="308"/>
      <c r="F11" s="308"/>
      <c r="G11" s="308"/>
      <c r="H11" s="264"/>
      <c r="I11" s="270"/>
      <c r="J11" s="603"/>
      <c r="K11" s="270"/>
      <c r="L11" s="270"/>
      <c r="M11" s="270"/>
      <c r="N11" s="270"/>
      <c r="O11" s="270"/>
      <c r="P11" s="270"/>
      <c r="Q11" s="270"/>
      <c r="R11" s="270"/>
      <c r="S11" s="270"/>
      <c r="T11" s="270"/>
      <c r="U11" s="270"/>
      <c r="V11" s="270"/>
      <c r="W11" s="270"/>
      <c r="X11" s="270"/>
      <c r="Y11" s="264"/>
      <c r="Z11" s="270"/>
      <c r="AA11" s="270"/>
      <c r="AB11" s="270"/>
      <c r="AC11" s="264"/>
      <c r="AD11" s="270"/>
      <c r="AE11" s="270"/>
      <c r="AF11" s="270"/>
      <c r="AG11" s="270"/>
      <c r="AH11" s="264"/>
      <c r="AI11" s="270"/>
      <c r="AJ11" s="270"/>
      <c r="AK11" s="270"/>
      <c r="AL11" s="270"/>
      <c r="AM11" s="264"/>
      <c r="AN11" s="264"/>
      <c r="AO11" s="270"/>
      <c r="AP11" s="270"/>
      <c r="AQ11" s="270"/>
      <c r="AR11" s="270"/>
      <c r="AS11" s="264"/>
      <c r="AT11" s="264"/>
      <c r="AU11" s="270"/>
      <c r="AV11" s="264"/>
      <c r="AW11" s="270"/>
      <c r="AX11" s="270"/>
      <c r="AY11" s="270"/>
      <c r="AZ11" s="270"/>
      <c r="BA11" s="264"/>
      <c r="BB11" s="264"/>
      <c r="BC11" s="270"/>
      <c r="BD11" s="264"/>
      <c r="BE11" s="270"/>
      <c r="BF11" s="270"/>
      <c r="BG11" s="270"/>
      <c r="BH11" s="270"/>
      <c r="BI11" s="270"/>
      <c r="BJ11" s="270"/>
      <c r="BK11" s="270"/>
      <c r="BL11" s="270"/>
    </row>
    <row r="12" spans="1:64" ht="15" customHeight="1" x14ac:dyDescent="0.3">
      <c r="A12" s="31" t="s">
        <v>48</v>
      </c>
      <c r="B12" s="290">
        <f>IF(ISNA(VLOOKUP(A12,'Comments Feeder'!B:L,11,FALSE)),0,VLOOKUP(A12,'Comments Feeder'!B:L,11,FALSE))</f>
        <v>0</v>
      </c>
      <c r="C12" s="290">
        <f t="shared" si="2"/>
        <v>0</v>
      </c>
      <c r="D12" s="262"/>
      <c r="E12" s="308"/>
      <c r="F12" s="308"/>
      <c r="G12" s="308"/>
      <c r="H12" s="264"/>
      <c r="I12" s="270"/>
      <c r="J12" s="603"/>
      <c r="K12" s="270"/>
      <c r="L12" s="270"/>
      <c r="M12" s="270"/>
      <c r="N12" s="270"/>
      <c r="O12" s="270"/>
      <c r="P12" s="270"/>
      <c r="Q12" s="270"/>
      <c r="R12" s="270"/>
      <c r="S12" s="270"/>
      <c r="T12" s="270"/>
      <c r="U12" s="270"/>
      <c r="V12" s="270"/>
      <c r="W12" s="270"/>
      <c r="X12" s="270"/>
      <c r="Y12" s="264"/>
      <c r="Z12" s="270"/>
      <c r="AA12" s="270"/>
      <c r="AB12" s="270"/>
      <c r="AC12" s="264"/>
      <c r="AD12" s="378"/>
      <c r="AE12" s="270"/>
      <c r="AF12" s="270"/>
      <c r="AG12" s="270"/>
      <c r="AH12" s="264"/>
      <c r="AI12" s="378"/>
      <c r="AJ12" s="270"/>
      <c r="AK12" s="270"/>
      <c r="AL12" s="270"/>
      <c r="AM12" s="264"/>
      <c r="AN12" s="264"/>
      <c r="AO12" s="378"/>
      <c r="AP12" s="270"/>
      <c r="AQ12" s="270"/>
      <c r="AR12" s="270"/>
      <c r="AS12" s="264"/>
      <c r="AT12" s="264"/>
      <c r="AU12" s="378"/>
      <c r="AV12" s="264"/>
      <c r="AW12" s="378"/>
      <c r="AX12" s="270"/>
      <c r="AY12" s="270"/>
      <c r="AZ12" s="270"/>
      <c r="BA12" s="264"/>
      <c r="BB12" s="264"/>
      <c r="BC12" s="378"/>
      <c r="BD12" s="264"/>
      <c r="BE12" s="378"/>
      <c r="BF12" s="270"/>
      <c r="BG12" s="270"/>
      <c r="BH12" s="270"/>
      <c r="BI12" s="270"/>
      <c r="BJ12" s="270"/>
      <c r="BK12" s="270"/>
      <c r="BL12" s="270"/>
    </row>
    <row r="13" spans="1:64" ht="15" customHeight="1" x14ac:dyDescent="0.3">
      <c r="A13" s="31" t="s">
        <v>49</v>
      </c>
      <c r="B13" s="290">
        <f>IF(ISNA(VLOOKUP(A13,'Comments Feeder'!B:L,11,FALSE)),0,VLOOKUP(A13,'Comments Feeder'!B:L,11,FALSE))</f>
        <v>0</v>
      </c>
      <c r="C13" s="290">
        <f t="shared" si="2"/>
        <v>0</v>
      </c>
      <c r="D13" s="262"/>
      <c r="E13" s="308"/>
      <c r="F13" s="308"/>
      <c r="G13" s="308"/>
      <c r="H13" s="387"/>
      <c r="I13" s="269"/>
      <c r="J13" s="603"/>
      <c r="K13" s="269"/>
      <c r="L13" s="269"/>
      <c r="M13" s="269"/>
      <c r="N13" s="269"/>
      <c r="O13" s="270"/>
      <c r="P13" s="270"/>
      <c r="Q13" s="270"/>
      <c r="R13" s="270"/>
      <c r="S13" s="270"/>
      <c r="T13" s="270"/>
      <c r="U13" s="270"/>
      <c r="V13" s="270"/>
      <c r="W13" s="270"/>
      <c r="X13" s="270"/>
      <c r="Y13" s="264"/>
      <c r="Z13" s="270"/>
      <c r="AA13" s="270"/>
      <c r="AB13" s="270"/>
      <c r="AC13" s="264"/>
      <c r="AD13" s="270"/>
      <c r="AE13" s="270"/>
      <c r="AF13" s="270"/>
      <c r="AG13" s="270"/>
      <c r="AH13" s="264"/>
      <c r="AI13" s="270"/>
      <c r="AJ13" s="270"/>
      <c r="AK13" s="270"/>
      <c r="AL13" s="270"/>
      <c r="AM13" s="264"/>
      <c r="AN13" s="264"/>
      <c r="AO13" s="270"/>
      <c r="AP13" s="270"/>
      <c r="AQ13" s="270"/>
      <c r="AR13" s="270"/>
      <c r="AS13" s="264"/>
      <c r="AT13" s="264"/>
      <c r="AU13" s="270"/>
      <c r="AV13" s="264"/>
      <c r="AW13" s="270"/>
      <c r="AX13" s="270"/>
      <c r="AY13" s="270"/>
      <c r="AZ13" s="270"/>
      <c r="BA13" s="264"/>
      <c r="BB13" s="264"/>
      <c r="BC13" s="270"/>
      <c r="BD13" s="264"/>
      <c r="BE13" s="270"/>
      <c r="BF13" s="270"/>
      <c r="BG13" s="270"/>
      <c r="BH13" s="270"/>
      <c r="BI13" s="270"/>
      <c r="BJ13" s="270"/>
      <c r="BK13" s="270"/>
      <c r="BL13" s="270"/>
    </row>
    <row r="14" spans="1:64" ht="15" customHeight="1" x14ac:dyDescent="0.3">
      <c r="A14" s="31" t="s">
        <v>50</v>
      </c>
      <c r="B14" s="290">
        <f>IF(ISNA(VLOOKUP(A14,'Comments Feeder'!B:L,11,FALSE)),0,VLOOKUP(A14,'Comments Feeder'!B:L,11,FALSE))</f>
        <v>0</v>
      </c>
      <c r="C14" s="290">
        <f t="shared" si="2"/>
        <v>0</v>
      </c>
      <c r="D14" s="262"/>
      <c r="E14" s="308"/>
      <c r="F14" s="308"/>
      <c r="G14" s="308"/>
      <c r="H14" s="263"/>
      <c r="I14" s="266"/>
      <c r="J14" s="603"/>
      <c r="K14" s="266"/>
      <c r="L14" s="266"/>
      <c r="M14" s="266"/>
      <c r="N14" s="266"/>
      <c r="O14" s="270"/>
      <c r="P14" s="270"/>
      <c r="Q14" s="270"/>
      <c r="R14" s="270"/>
      <c r="S14" s="270"/>
      <c r="T14" s="270"/>
      <c r="U14" s="270"/>
      <c r="V14" s="270"/>
      <c r="W14" s="270"/>
      <c r="X14" s="270"/>
      <c r="Y14" s="264"/>
      <c r="Z14" s="270"/>
      <c r="AA14" s="270"/>
      <c r="AB14" s="270"/>
      <c r="AC14" s="264"/>
      <c r="AD14" s="270"/>
      <c r="AE14" s="270"/>
      <c r="AF14" s="270"/>
      <c r="AG14" s="270"/>
      <c r="AH14" s="264"/>
      <c r="AI14" s="270"/>
      <c r="AJ14" s="270"/>
      <c r="AK14" s="270"/>
      <c r="AL14" s="270"/>
      <c r="AM14" s="264"/>
      <c r="AN14" s="264"/>
      <c r="AO14" s="270"/>
      <c r="AP14" s="270"/>
      <c r="AQ14" s="270"/>
      <c r="AR14" s="270"/>
      <c r="AS14" s="264"/>
      <c r="AT14" s="264"/>
      <c r="AU14" s="270"/>
      <c r="AV14" s="264"/>
      <c r="AW14" s="270"/>
      <c r="AX14" s="270"/>
      <c r="AY14" s="270"/>
      <c r="AZ14" s="270"/>
      <c r="BA14" s="264"/>
      <c r="BB14" s="264"/>
      <c r="BC14" s="270"/>
      <c r="BD14" s="264"/>
      <c r="BE14" s="270"/>
      <c r="BF14" s="270"/>
      <c r="BG14" s="270"/>
      <c r="BH14" s="270"/>
      <c r="BI14" s="270"/>
      <c r="BJ14" s="270"/>
      <c r="BK14" s="270"/>
      <c r="BL14" s="270"/>
    </row>
    <row r="15" spans="1:64" ht="15" customHeight="1" x14ac:dyDescent="0.3">
      <c r="A15" s="31" t="s">
        <v>51</v>
      </c>
      <c r="B15" s="290">
        <f>IF(ISNA(VLOOKUP(A15,'Comments Feeder'!B:L,11,FALSE)),0,VLOOKUP(A15,'Comments Feeder'!B:L,11,FALSE))</f>
        <v>0</v>
      </c>
      <c r="C15" s="290">
        <f t="shared" si="2"/>
        <v>0</v>
      </c>
      <c r="D15" s="264"/>
      <c r="E15" s="308"/>
      <c r="F15" s="308"/>
      <c r="G15" s="308"/>
      <c r="H15" s="388"/>
      <c r="I15" s="270"/>
      <c r="J15" s="603"/>
      <c r="K15" s="270"/>
      <c r="L15" s="270"/>
      <c r="M15" s="270"/>
      <c r="N15" s="270"/>
      <c r="O15" s="270"/>
      <c r="P15" s="270"/>
      <c r="Q15" s="270"/>
      <c r="R15" s="270"/>
      <c r="S15" s="270"/>
      <c r="T15" s="270"/>
      <c r="U15" s="270"/>
      <c r="V15" s="270"/>
      <c r="W15" s="270"/>
      <c r="X15" s="270"/>
      <c r="Y15" s="264"/>
      <c r="Z15" s="270"/>
      <c r="AA15" s="270"/>
      <c r="AB15" s="270"/>
      <c r="AC15" s="264"/>
      <c r="AD15" s="270"/>
      <c r="AE15" s="270"/>
      <c r="AF15" s="270"/>
      <c r="AG15" s="270"/>
      <c r="AH15" s="264"/>
      <c r="AI15" s="270"/>
      <c r="AJ15" s="270"/>
      <c r="AK15" s="270"/>
      <c r="AL15" s="270"/>
      <c r="AM15" s="264"/>
      <c r="AN15" s="264"/>
      <c r="AO15" s="270"/>
      <c r="AP15" s="270"/>
      <c r="AQ15" s="270"/>
      <c r="AR15" s="270"/>
      <c r="AS15" s="264"/>
      <c r="AT15" s="264"/>
      <c r="AU15" s="270"/>
      <c r="AV15" s="264"/>
      <c r="AW15" s="270"/>
      <c r="AX15" s="270"/>
      <c r="AY15" s="270"/>
      <c r="AZ15" s="270"/>
      <c r="BA15" s="264"/>
      <c r="BB15" s="264"/>
      <c r="BC15" s="270"/>
      <c r="BD15" s="264"/>
      <c r="BE15" s="270"/>
      <c r="BF15" s="270"/>
      <c r="BG15" s="270"/>
      <c r="BH15" s="270"/>
      <c r="BI15" s="270"/>
      <c r="BJ15" s="270"/>
      <c r="BK15" s="270"/>
      <c r="BL15" s="270"/>
    </row>
    <row r="16" spans="1:64" ht="15" customHeight="1" x14ac:dyDescent="0.3">
      <c r="A16" s="31" t="s">
        <v>52</v>
      </c>
      <c r="B16" s="290">
        <f>IF(ISNA(VLOOKUP(A16,'Comments Feeder'!B:L,11,FALSE)),0,VLOOKUP(A16,'Comments Feeder'!B:L,11,FALSE))</f>
        <v>0</v>
      </c>
      <c r="C16" s="290">
        <f t="shared" si="2"/>
        <v>0</v>
      </c>
      <c r="D16" s="262"/>
      <c r="E16" s="308"/>
      <c r="F16" s="308"/>
      <c r="G16" s="308"/>
      <c r="H16" s="262"/>
      <c r="I16" s="269"/>
      <c r="J16" s="603"/>
      <c r="K16" s="269"/>
      <c r="L16" s="269"/>
      <c r="M16" s="269"/>
      <c r="N16" s="269"/>
      <c r="O16" s="270"/>
      <c r="P16" s="270"/>
      <c r="Q16" s="270"/>
      <c r="R16" s="270"/>
      <c r="S16" s="270"/>
      <c r="T16" s="270"/>
      <c r="U16" s="270"/>
      <c r="V16" s="270"/>
      <c r="W16" s="270"/>
      <c r="X16" s="270"/>
      <c r="Y16" s="264"/>
      <c r="Z16" s="270"/>
      <c r="AA16" s="270"/>
      <c r="AB16" s="270"/>
      <c r="AC16" s="264"/>
      <c r="AD16" s="270"/>
      <c r="AE16" s="270"/>
      <c r="AF16" s="270"/>
      <c r="AG16" s="270"/>
      <c r="AH16" s="264"/>
      <c r="AI16" s="270"/>
      <c r="AJ16" s="270"/>
      <c r="AK16" s="270"/>
      <c r="AL16" s="270"/>
      <c r="AM16" s="264"/>
      <c r="AN16" s="264"/>
      <c r="AO16" s="270"/>
      <c r="AP16" s="270"/>
      <c r="AQ16" s="270"/>
      <c r="AR16" s="270"/>
      <c r="AS16" s="264"/>
      <c r="AT16" s="264"/>
      <c r="AU16" s="270"/>
      <c r="AV16" s="264"/>
      <c r="AW16" s="270"/>
      <c r="AX16" s="270"/>
      <c r="AY16" s="270"/>
      <c r="AZ16" s="270"/>
      <c r="BA16" s="264"/>
      <c r="BB16" s="264"/>
      <c r="BC16" s="270"/>
      <c r="BD16" s="264"/>
      <c r="BE16" s="270"/>
      <c r="BF16" s="270"/>
      <c r="BG16" s="270"/>
      <c r="BH16" s="270"/>
      <c r="BI16" s="270"/>
      <c r="BJ16" s="270"/>
      <c r="BK16" s="270"/>
      <c r="BL16" s="270"/>
    </row>
    <row r="17" spans="1:64" ht="15" customHeight="1" x14ac:dyDescent="0.3">
      <c r="A17" s="31" t="s">
        <v>53</v>
      </c>
      <c r="B17" s="290">
        <f>IF(ISNA(VLOOKUP(A17,'Comments Feeder'!B:L,11,FALSE)),0,VLOOKUP(A17,'Comments Feeder'!B:L,11,FALSE))</f>
        <v>0</v>
      </c>
      <c r="C17" s="290">
        <f>B17-SUM(E17:AG17)</f>
        <v>0</v>
      </c>
      <c r="D17" s="262"/>
      <c r="E17" s="308"/>
      <c r="F17" s="308"/>
      <c r="G17" s="308"/>
      <c r="H17" s="262"/>
      <c r="I17" s="269"/>
      <c r="J17" s="603"/>
      <c r="K17" s="269"/>
      <c r="L17" s="269"/>
      <c r="M17" s="269"/>
      <c r="N17" s="269"/>
      <c r="O17" s="270"/>
      <c r="P17" s="270"/>
      <c r="Q17" s="270"/>
      <c r="R17" s="270"/>
      <c r="S17" s="270"/>
      <c r="T17" s="270"/>
      <c r="U17" s="270"/>
      <c r="V17" s="270"/>
      <c r="W17" s="270"/>
      <c r="X17" s="270"/>
      <c r="Y17" s="264"/>
      <c r="Z17" s="270"/>
      <c r="AA17" s="270"/>
      <c r="AB17" s="270"/>
      <c r="AC17" s="264"/>
      <c r="AD17" s="270"/>
      <c r="AE17" s="378"/>
      <c r="AF17" s="270"/>
      <c r="AG17" s="270"/>
      <c r="AH17" s="264"/>
      <c r="AI17" s="270"/>
      <c r="AJ17" s="378"/>
      <c r="AK17" s="270"/>
      <c r="AL17" s="270"/>
      <c r="AM17" s="264"/>
      <c r="AN17" s="264"/>
      <c r="AO17" s="270"/>
      <c r="AP17" s="378"/>
      <c r="AQ17" s="270"/>
      <c r="AR17" s="270"/>
      <c r="AS17" s="264"/>
      <c r="AT17" s="264"/>
      <c r="AU17" s="270"/>
      <c r="AV17" s="264"/>
      <c r="AW17" s="270"/>
      <c r="AX17" s="378"/>
      <c r="AY17" s="270"/>
      <c r="AZ17" s="270"/>
      <c r="BA17" s="264"/>
      <c r="BB17" s="264"/>
      <c r="BC17" s="270"/>
      <c r="BD17" s="264"/>
      <c r="BE17" s="270"/>
      <c r="BF17" s="378"/>
      <c r="BG17" s="378"/>
      <c r="BH17" s="378"/>
      <c r="BI17" s="378"/>
      <c r="BJ17" s="378"/>
      <c r="BK17" s="378"/>
      <c r="BL17" s="378"/>
    </row>
    <row r="18" spans="1:64" ht="15" customHeight="1" x14ac:dyDescent="0.3">
      <c r="A18" s="31" t="s">
        <v>54</v>
      </c>
      <c r="B18" s="290">
        <f>IF(ISNA(VLOOKUP(A18,'Comments Feeder'!B:L,11,FALSE)),0,VLOOKUP(A18,'Comments Feeder'!B:L,11,FALSE))</f>
        <v>0</v>
      </c>
      <c r="C18" s="290">
        <f>B18-SUM(E18:AB18)</f>
        <v>0</v>
      </c>
      <c r="D18" s="262"/>
      <c r="E18" s="308"/>
      <c r="F18" s="308"/>
      <c r="G18" s="269"/>
      <c r="H18" s="262"/>
      <c r="I18" s="269"/>
      <c r="J18" s="603"/>
      <c r="K18" s="269"/>
      <c r="L18" s="269"/>
      <c r="M18" s="269"/>
      <c r="N18" s="269"/>
      <c r="O18" s="270"/>
      <c r="P18" s="270"/>
      <c r="Q18" s="270"/>
      <c r="R18" s="270"/>
      <c r="S18" s="270"/>
      <c r="T18" s="270"/>
      <c r="U18" s="270"/>
      <c r="V18" s="270"/>
      <c r="W18" s="270"/>
      <c r="X18" s="270"/>
      <c r="Y18" s="264"/>
      <c r="Z18" s="270"/>
      <c r="AA18" s="270"/>
      <c r="AB18" s="270"/>
      <c r="AC18" s="264"/>
      <c r="AD18" s="270"/>
      <c r="AE18" s="270"/>
      <c r="AF18" s="270"/>
      <c r="AG18" s="270"/>
      <c r="AH18" s="264"/>
      <c r="AI18" s="270"/>
      <c r="AJ18" s="270"/>
      <c r="AK18" s="270"/>
      <c r="AL18" s="270"/>
      <c r="AM18" s="264"/>
      <c r="AN18" s="264"/>
      <c r="AO18" s="270"/>
      <c r="AP18" s="270"/>
      <c r="AQ18" s="270"/>
      <c r="AR18" s="270"/>
      <c r="AS18" s="264"/>
      <c r="AT18" s="264"/>
      <c r="AU18" s="270"/>
      <c r="AV18" s="264"/>
      <c r="AW18" s="270"/>
      <c r="AX18" s="270"/>
      <c r="AY18" s="270"/>
      <c r="AZ18" s="270"/>
      <c r="BA18" s="264"/>
      <c r="BB18" s="264"/>
      <c r="BC18" s="270"/>
      <c r="BD18" s="264"/>
      <c r="BE18" s="270"/>
      <c r="BF18" s="270"/>
      <c r="BG18" s="270"/>
      <c r="BH18" s="270"/>
      <c r="BI18" s="270"/>
      <c r="BJ18" s="270"/>
      <c r="BK18" s="270"/>
      <c r="BL18" s="270"/>
    </row>
    <row r="19" spans="1:64" ht="15" customHeight="1" x14ac:dyDescent="0.3">
      <c r="A19" s="32" t="s">
        <v>55</v>
      </c>
      <c r="B19" s="290">
        <f>IF(ISNA(VLOOKUP(A19,'Comments Feeder'!B:L,11,FALSE)),0,VLOOKUP(A19,'Comments Feeder'!B:L,11,FALSE))</f>
        <v>0</v>
      </c>
      <c r="C19" s="291">
        <f>SUM(C10:C18)</f>
        <v>0</v>
      </c>
      <c r="D19" s="264"/>
      <c r="E19" s="309">
        <f t="shared" ref="E19:AE19" si="3">SUM(E10:E18)</f>
        <v>0</v>
      </c>
      <c r="F19" s="309">
        <f t="shared" si="3"/>
        <v>0</v>
      </c>
      <c r="G19" s="379">
        <f t="shared" si="3"/>
        <v>0</v>
      </c>
      <c r="H19" s="309">
        <f t="shared" si="3"/>
        <v>0</v>
      </c>
      <c r="I19" s="520">
        <f t="shared" si="3"/>
        <v>0</v>
      </c>
      <c r="J19" s="520">
        <f t="shared" si="3"/>
        <v>0</v>
      </c>
      <c r="K19" s="310">
        <f t="shared" si="3"/>
        <v>0</v>
      </c>
      <c r="L19" s="310">
        <f t="shared" si="3"/>
        <v>0</v>
      </c>
      <c r="M19" s="310">
        <f t="shared" si="3"/>
        <v>0</v>
      </c>
      <c r="N19" s="310">
        <f t="shared" si="3"/>
        <v>0</v>
      </c>
      <c r="O19" s="310">
        <f t="shared" si="3"/>
        <v>0</v>
      </c>
      <c r="P19" s="310">
        <f t="shared" si="3"/>
        <v>0</v>
      </c>
      <c r="Q19" s="310">
        <f t="shared" si="3"/>
        <v>0</v>
      </c>
      <c r="R19" s="310">
        <f t="shared" si="3"/>
        <v>0</v>
      </c>
      <c r="S19" s="310">
        <f t="shared" si="3"/>
        <v>0</v>
      </c>
      <c r="T19" s="310">
        <f t="shared" si="3"/>
        <v>0</v>
      </c>
      <c r="U19" s="310">
        <f t="shared" si="3"/>
        <v>0</v>
      </c>
      <c r="V19" s="310">
        <f t="shared" si="3"/>
        <v>0</v>
      </c>
      <c r="W19" s="310">
        <f t="shared" si="3"/>
        <v>0</v>
      </c>
      <c r="X19" s="310">
        <f t="shared" si="3"/>
        <v>0</v>
      </c>
      <c r="Y19" s="380">
        <f t="shared" si="3"/>
        <v>0</v>
      </c>
      <c r="Z19" s="310">
        <f t="shared" si="3"/>
        <v>0</v>
      </c>
      <c r="AA19" s="310">
        <f t="shared" si="3"/>
        <v>0</v>
      </c>
      <c r="AB19" s="310">
        <f t="shared" si="3"/>
        <v>0</v>
      </c>
      <c r="AC19" s="310">
        <f t="shared" si="3"/>
        <v>0</v>
      </c>
      <c r="AD19" s="310">
        <f t="shared" si="3"/>
        <v>0</v>
      </c>
      <c r="AE19" s="310">
        <f t="shared" si="3"/>
        <v>0</v>
      </c>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row>
    <row r="20" spans="1:64" ht="15" customHeight="1" thickBot="1" x14ac:dyDescent="0.35">
      <c r="A20" s="53" t="s">
        <v>460</v>
      </c>
      <c r="B20" s="290">
        <f>B9+B19</f>
        <v>0</v>
      </c>
      <c r="C20" s="291">
        <f>C9+C19</f>
        <v>0</v>
      </c>
      <c r="D20" s="262"/>
      <c r="E20" s="392">
        <f>E19+E9</f>
        <v>0</v>
      </c>
      <c r="F20" s="392">
        <f t="shared" ref="F20:AF20" si="4">F19+F9</f>
        <v>0</v>
      </c>
      <c r="G20" s="392">
        <f t="shared" si="4"/>
        <v>0</v>
      </c>
      <c r="H20" s="392">
        <f t="shared" si="4"/>
        <v>0</v>
      </c>
      <c r="I20" s="392">
        <f t="shared" si="4"/>
        <v>0</v>
      </c>
      <c r="J20" s="604">
        <f t="shared" si="4"/>
        <v>0</v>
      </c>
      <c r="K20" s="392">
        <f t="shared" si="4"/>
        <v>0</v>
      </c>
      <c r="L20" s="306">
        <f t="shared" si="4"/>
        <v>0</v>
      </c>
      <c r="M20" s="306">
        <f t="shared" si="4"/>
        <v>0</v>
      </c>
      <c r="N20" s="306">
        <f t="shared" si="4"/>
        <v>0</v>
      </c>
      <c r="O20" s="306">
        <f t="shared" si="4"/>
        <v>0</v>
      </c>
      <c r="P20" s="306">
        <f t="shared" si="4"/>
        <v>0</v>
      </c>
      <c r="Q20" s="306">
        <f t="shared" si="4"/>
        <v>0</v>
      </c>
      <c r="R20" s="306">
        <f t="shared" si="4"/>
        <v>0</v>
      </c>
      <c r="S20" s="306">
        <f t="shared" si="4"/>
        <v>0</v>
      </c>
      <c r="T20" s="306">
        <f t="shared" si="4"/>
        <v>0</v>
      </c>
      <c r="U20" s="306">
        <f t="shared" si="4"/>
        <v>0</v>
      </c>
      <c r="V20" s="306">
        <f t="shared" si="4"/>
        <v>0</v>
      </c>
      <c r="W20" s="306">
        <f t="shared" si="4"/>
        <v>0</v>
      </c>
      <c r="X20" s="306">
        <f t="shared" si="4"/>
        <v>0</v>
      </c>
      <c r="Y20" s="306">
        <f t="shared" si="4"/>
        <v>0</v>
      </c>
      <c r="Z20" s="306">
        <f t="shared" si="4"/>
        <v>0</v>
      </c>
      <c r="AA20" s="306">
        <f t="shared" si="4"/>
        <v>0</v>
      </c>
      <c r="AB20" s="306">
        <f t="shared" si="4"/>
        <v>0</v>
      </c>
      <c r="AC20" s="306">
        <f t="shared" si="4"/>
        <v>0</v>
      </c>
      <c r="AD20" s="306">
        <f t="shared" si="4"/>
        <v>0</v>
      </c>
      <c r="AE20" s="306">
        <f t="shared" si="4"/>
        <v>0</v>
      </c>
      <c r="AF20" s="306">
        <f t="shared" si="4"/>
        <v>0</v>
      </c>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row>
    <row r="21" spans="1:64" ht="15" customHeight="1" thickTop="1" x14ac:dyDescent="0.3">
      <c r="A21" s="31" t="s">
        <v>57</v>
      </c>
      <c r="B21" s="290">
        <f>IF(ISNA(VLOOKUP(A21,'Comments Feeder'!B:L,11,FALSE)),0,VLOOKUP(A21,'Comments Feeder'!B:L,11,FALSE))</f>
        <v>0</v>
      </c>
      <c r="C21" s="291">
        <f>B21-SUM(E21:AB21)</f>
        <v>0</v>
      </c>
      <c r="D21" s="262"/>
      <c r="E21" s="309"/>
      <c r="F21" s="309"/>
      <c r="G21" s="309"/>
      <c r="H21" s="584"/>
      <c r="I21" s="584"/>
      <c r="J21" s="605"/>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row>
    <row r="22" spans="1:64" ht="15" customHeight="1" x14ac:dyDescent="0.3">
      <c r="A22" s="31" t="s">
        <v>58</v>
      </c>
      <c r="B22" s="290">
        <f>IF(ISNA(VLOOKUP(A22,'Comments Feeder'!B:L,11,FALSE)),0,VLOOKUP(A22,'Comments Feeder'!B:L,11,FALSE))</f>
        <v>0</v>
      </c>
      <c r="C22" s="291">
        <f>B22-SUM(E22:AB22)</f>
        <v>0</v>
      </c>
      <c r="D22" s="262"/>
      <c r="E22" s="308"/>
      <c r="F22" s="309"/>
      <c r="G22" s="309"/>
      <c r="H22" s="309"/>
      <c r="I22" s="309"/>
      <c r="J22" s="518"/>
      <c r="K22" s="309"/>
      <c r="L22" s="309"/>
      <c r="M22" s="309"/>
      <c r="N22" s="309"/>
      <c r="O22" s="309"/>
      <c r="P22" s="309"/>
      <c r="Q22" s="309"/>
      <c r="R22" s="309"/>
      <c r="S22" s="309"/>
      <c r="T22" s="309"/>
      <c r="U22" s="309"/>
      <c r="V22" s="309"/>
      <c r="W22" s="309"/>
      <c r="X22" s="309"/>
      <c r="Y22" s="309"/>
      <c r="Z22" s="309"/>
      <c r="AA22" s="309"/>
      <c r="AB22" s="309"/>
      <c r="AC22" s="309"/>
      <c r="AD22" s="309"/>
      <c r="AE22" s="309"/>
      <c r="AF22" s="308"/>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row>
    <row r="23" spans="1:64" ht="15" customHeight="1" x14ac:dyDescent="0.3">
      <c r="A23" s="31" t="s">
        <v>59</v>
      </c>
      <c r="B23" s="290">
        <f>IF(ISNA(VLOOKUP(A23,'Comments Feeder'!B:L,11,FALSE)),0,VLOOKUP(A23,'Comments Feeder'!B:L,11,FALSE))</f>
        <v>0</v>
      </c>
      <c r="C23" s="291">
        <f>B23-SUM(E23:AB23)</f>
        <v>0</v>
      </c>
      <c r="D23" s="262"/>
      <c r="E23" s="309"/>
      <c r="F23" s="309"/>
      <c r="G23" s="309"/>
      <c r="H23" s="309"/>
      <c r="I23" s="309"/>
      <c r="J23" s="518"/>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row>
    <row r="24" spans="1:64" ht="15" customHeight="1" x14ac:dyDescent="0.3">
      <c r="A24" s="31" t="s">
        <v>60</v>
      </c>
      <c r="B24" s="290">
        <f>IF(ISNA(VLOOKUP(A24,'Comments Feeder'!B:L,11,FALSE)),0,VLOOKUP(A24,'Comments Feeder'!B:L,11,FALSE))</f>
        <v>0</v>
      </c>
      <c r="C24" s="291"/>
      <c r="D24" s="262"/>
      <c r="E24" s="309"/>
      <c r="F24" s="309"/>
      <c r="G24" s="309"/>
      <c r="H24" s="309"/>
      <c r="I24" s="309"/>
      <c r="J24" s="518"/>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row>
    <row r="25" spans="1:64" ht="15" customHeight="1" x14ac:dyDescent="0.3">
      <c r="A25" s="32" t="s">
        <v>61</v>
      </c>
      <c r="B25" s="291">
        <f>IF(ISNA(VLOOKUP(A25,'Comments Feeder'!B:L,11,FALSE)),0,VLOOKUP(A25,'Comments Feeder'!B:L,11,FALSE))</f>
        <v>0</v>
      </c>
      <c r="C25" s="291">
        <f>SUM(C21:C24)</f>
        <v>0</v>
      </c>
      <c r="D25" s="262"/>
      <c r="E25" s="309">
        <f>SUM(E21:E24)</f>
        <v>0</v>
      </c>
      <c r="F25" s="309">
        <f t="shared" ref="F25:AM25" si="5">SUM(F21:F24)</f>
        <v>0</v>
      </c>
      <c r="G25" s="309">
        <f t="shared" si="5"/>
        <v>0</v>
      </c>
      <c r="H25" s="309">
        <f t="shared" si="5"/>
        <v>0</v>
      </c>
      <c r="I25" s="309">
        <f t="shared" si="5"/>
        <v>0</v>
      </c>
      <c r="J25" s="518">
        <f t="shared" si="5"/>
        <v>0</v>
      </c>
      <c r="K25" s="309">
        <f t="shared" si="5"/>
        <v>0</v>
      </c>
      <c r="L25" s="309">
        <f t="shared" si="5"/>
        <v>0</v>
      </c>
      <c r="M25" s="309">
        <f t="shared" si="5"/>
        <v>0</v>
      </c>
      <c r="N25" s="309">
        <f t="shared" si="5"/>
        <v>0</v>
      </c>
      <c r="O25" s="309">
        <f t="shared" si="5"/>
        <v>0</v>
      </c>
      <c r="P25" s="309">
        <f t="shared" si="5"/>
        <v>0</v>
      </c>
      <c r="Q25" s="309">
        <f t="shared" si="5"/>
        <v>0</v>
      </c>
      <c r="R25" s="309">
        <f t="shared" si="5"/>
        <v>0</v>
      </c>
      <c r="S25" s="309">
        <f t="shared" si="5"/>
        <v>0</v>
      </c>
      <c r="T25" s="309">
        <f t="shared" si="5"/>
        <v>0</v>
      </c>
      <c r="U25" s="309">
        <f t="shared" si="5"/>
        <v>0</v>
      </c>
      <c r="V25" s="309">
        <f t="shared" si="5"/>
        <v>0</v>
      </c>
      <c r="W25" s="309">
        <f t="shared" si="5"/>
        <v>0</v>
      </c>
      <c r="X25" s="309">
        <f t="shared" si="5"/>
        <v>0</v>
      </c>
      <c r="Y25" s="309">
        <f t="shared" si="5"/>
        <v>0</v>
      </c>
      <c r="Z25" s="309">
        <f t="shared" si="5"/>
        <v>0</v>
      </c>
      <c r="AA25" s="309">
        <f t="shared" si="5"/>
        <v>0</v>
      </c>
      <c r="AB25" s="309">
        <f t="shared" si="5"/>
        <v>0</v>
      </c>
      <c r="AC25" s="309">
        <f t="shared" si="5"/>
        <v>0</v>
      </c>
      <c r="AD25" s="309">
        <f t="shared" si="5"/>
        <v>0</v>
      </c>
      <c r="AE25" s="309">
        <f t="shared" si="5"/>
        <v>0</v>
      </c>
      <c r="AF25" s="309">
        <f t="shared" si="5"/>
        <v>0</v>
      </c>
      <c r="AG25" s="309">
        <f t="shared" si="5"/>
        <v>0</v>
      </c>
      <c r="AH25" s="309">
        <f t="shared" si="5"/>
        <v>0</v>
      </c>
      <c r="AI25" s="309">
        <f t="shared" si="5"/>
        <v>0</v>
      </c>
      <c r="AJ25" s="309">
        <f t="shared" si="5"/>
        <v>0</v>
      </c>
      <c r="AK25" s="309">
        <f t="shared" si="5"/>
        <v>0</v>
      </c>
      <c r="AL25" s="309">
        <f t="shared" si="5"/>
        <v>0</v>
      </c>
      <c r="AM25" s="309">
        <f t="shared" si="5"/>
        <v>0</v>
      </c>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row>
    <row r="26" spans="1:64" ht="15" customHeight="1" x14ac:dyDescent="0.3">
      <c r="A26" s="31" t="s">
        <v>62</v>
      </c>
      <c r="B26" s="290">
        <f>IF(ISNA(VLOOKUP(A26,'Comments Feeder'!B:L,11,FALSE)),0,VLOOKUP(A26,'Comments Feeder'!B:L,11,FALSE))</f>
        <v>0</v>
      </c>
      <c r="C26" s="290">
        <f>B26-SUM(E26:AM26)</f>
        <v>0</v>
      </c>
      <c r="D26" s="262"/>
      <c r="E26" s="308"/>
      <c r="F26" s="308"/>
      <c r="G26" s="308"/>
      <c r="H26" s="308"/>
      <c r="I26" s="308"/>
      <c r="J26" s="519"/>
      <c r="K26" s="269"/>
      <c r="L26" s="269"/>
      <c r="M26" s="269"/>
      <c r="N26" s="269"/>
      <c r="O26" s="270"/>
      <c r="P26" s="270"/>
      <c r="Q26" s="270"/>
      <c r="R26" s="270"/>
      <c r="S26" s="270"/>
      <c r="T26" s="270"/>
      <c r="U26" s="270"/>
      <c r="V26" s="270"/>
      <c r="W26" s="270"/>
      <c r="X26" s="270"/>
      <c r="Y26" s="264"/>
      <c r="Z26" s="270"/>
      <c r="AA26" s="270"/>
      <c r="AB26" s="270"/>
      <c r="AC26" s="264"/>
      <c r="AD26" s="270"/>
      <c r="AE26" s="270"/>
      <c r="AF26" s="270"/>
      <c r="AG26" s="308"/>
      <c r="AH26" s="264"/>
      <c r="AI26" s="270"/>
      <c r="AJ26" s="270"/>
      <c r="AK26" s="270"/>
      <c r="AL26" s="270"/>
      <c r="AM26" s="264"/>
      <c r="AN26" s="264"/>
      <c r="AO26" s="270"/>
      <c r="AP26" s="270"/>
      <c r="AQ26" s="270"/>
      <c r="AR26" s="270"/>
      <c r="AS26" s="264"/>
      <c r="AT26" s="264"/>
      <c r="AU26" s="270"/>
      <c r="AV26" s="264"/>
      <c r="AW26" s="270"/>
      <c r="AX26" s="270"/>
      <c r="AY26" s="270"/>
      <c r="AZ26" s="270"/>
      <c r="BA26" s="264"/>
      <c r="BB26" s="264"/>
      <c r="BC26" s="270"/>
      <c r="BD26" s="264"/>
      <c r="BE26" s="270"/>
      <c r="BF26" s="270"/>
      <c r="BG26" s="270"/>
      <c r="BH26" s="270"/>
      <c r="BI26" s="270"/>
      <c r="BJ26" s="270"/>
      <c r="BK26" s="270"/>
      <c r="BL26" s="270"/>
    </row>
    <row r="27" spans="1:64" ht="15" customHeight="1" x14ac:dyDescent="0.3">
      <c r="A27" s="31" t="s">
        <v>63</v>
      </c>
      <c r="B27" s="290">
        <f>IF(ISNA(VLOOKUP(A27,'Comments Feeder'!B:L,11,FALSE)),0,VLOOKUP(A27,'Comments Feeder'!B:L,11,FALSE))</f>
        <v>0</v>
      </c>
      <c r="C27" s="290">
        <f>B27-SUM(E27:AM27)</f>
        <v>0</v>
      </c>
      <c r="D27" s="271"/>
      <c r="E27" s="269"/>
      <c r="F27" s="309"/>
      <c r="G27" s="308"/>
      <c r="H27" s="272"/>
      <c r="I27" s="265"/>
      <c r="J27" s="606"/>
      <c r="K27" s="265"/>
      <c r="L27" s="265"/>
      <c r="M27" s="265"/>
      <c r="N27" s="268"/>
      <c r="O27" s="270"/>
      <c r="P27" s="270"/>
      <c r="Q27" s="270"/>
      <c r="R27" s="270"/>
      <c r="S27" s="270"/>
      <c r="T27" s="270"/>
      <c r="U27" s="270"/>
      <c r="V27" s="270"/>
      <c r="W27" s="270"/>
      <c r="X27" s="270"/>
      <c r="Y27" s="264"/>
      <c r="Z27" s="270"/>
      <c r="AA27" s="270"/>
      <c r="AB27" s="270"/>
      <c r="AC27" s="264"/>
      <c r="AD27" s="270"/>
      <c r="AE27" s="270"/>
      <c r="AF27" s="270"/>
      <c r="AG27" s="308"/>
      <c r="AH27" s="264"/>
      <c r="AI27" s="270"/>
      <c r="AJ27" s="270"/>
      <c r="AK27" s="270"/>
      <c r="AL27" s="270"/>
      <c r="AM27" s="264"/>
      <c r="AN27" s="264"/>
      <c r="AO27" s="270"/>
      <c r="AP27" s="270"/>
      <c r="AQ27" s="270"/>
      <c r="AR27" s="270"/>
      <c r="AS27" s="264"/>
      <c r="AT27" s="264"/>
      <c r="AU27" s="270"/>
      <c r="AV27" s="264"/>
      <c r="AW27" s="270"/>
      <c r="AX27" s="270"/>
      <c r="AY27" s="270"/>
      <c r="AZ27" s="270"/>
      <c r="BA27" s="264"/>
      <c r="BB27" s="264"/>
      <c r="BC27" s="270"/>
      <c r="BD27" s="264"/>
      <c r="BE27" s="270"/>
      <c r="BF27" s="270"/>
      <c r="BG27" s="270"/>
      <c r="BH27" s="270"/>
      <c r="BI27" s="270"/>
      <c r="BJ27" s="270"/>
      <c r="BK27" s="270"/>
      <c r="BL27" s="270"/>
    </row>
    <row r="28" spans="1:64" ht="15" customHeight="1" x14ac:dyDescent="0.3">
      <c r="A28" s="32" t="s">
        <v>65</v>
      </c>
      <c r="B28" s="291">
        <f>IF(ISNA(VLOOKUP(A28,'Comments Feeder'!B:L,11,FALSE)),0,VLOOKUP(A28,'Comments Feeder'!B:L,11,FALSE))</f>
        <v>0</v>
      </c>
      <c r="C28" s="291">
        <f>SUM(C26:C27)</f>
        <v>0</v>
      </c>
      <c r="D28" s="264"/>
      <c r="E28" s="309">
        <f t="shared" ref="E28:AO28" si="6">SUM(E26:E27)</f>
        <v>0</v>
      </c>
      <c r="F28" s="309">
        <f t="shared" si="6"/>
        <v>0</v>
      </c>
      <c r="G28" s="309">
        <f t="shared" si="6"/>
        <v>0</v>
      </c>
      <c r="H28" s="309">
        <f t="shared" si="6"/>
        <v>0</v>
      </c>
      <c r="I28" s="309">
        <f t="shared" si="6"/>
        <v>0</v>
      </c>
      <c r="J28" s="518">
        <f t="shared" si="6"/>
        <v>0</v>
      </c>
      <c r="K28" s="309">
        <f t="shared" si="6"/>
        <v>0</v>
      </c>
      <c r="L28" s="267">
        <f t="shared" si="6"/>
        <v>0</v>
      </c>
      <c r="M28" s="267">
        <f t="shared" si="6"/>
        <v>0</v>
      </c>
      <c r="N28" s="267">
        <f t="shared" si="6"/>
        <v>0</v>
      </c>
      <c r="O28" s="267">
        <f t="shared" si="6"/>
        <v>0</v>
      </c>
      <c r="P28" s="267">
        <f t="shared" si="6"/>
        <v>0</v>
      </c>
      <c r="Q28" s="267">
        <f t="shared" si="6"/>
        <v>0</v>
      </c>
      <c r="R28" s="267">
        <f t="shared" si="6"/>
        <v>0</v>
      </c>
      <c r="S28" s="267">
        <f t="shared" si="6"/>
        <v>0</v>
      </c>
      <c r="T28" s="267">
        <f t="shared" si="6"/>
        <v>0</v>
      </c>
      <c r="U28" s="267">
        <f t="shared" si="6"/>
        <v>0</v>
      </c>
      <c r="V28" s="267">
        <f t="shared" si="6"/>
        <v>0</v>
      </c>
      <c r="W28" s="267">
        <f t="shared" si="6"/>
        <v>0</v>
      </c>
      <c r="X28" s="267">
        <f t="shared" si="6"/>
        <v>0</v>
      </c>
      <c r="Y28" s="267">
        <f t="shared" si="6"/>
        <v>0</v>
      </c>
      <c r="Z28" s="267">
        <f t="shared" si="6"/>
        <v>0</v>
      </c>
      <c r="AA28" s="267">
        <f t="shared" si="6"/>
        <v>0</v>
      </c>
      <c r="AB28" s="267">
        <f t="shared" si="6"/>
        <v>0</v>
      </c>
      <c r="AC28" s="267">
        <f t="shared" si="6"/>
        <v>0</v>
      </c>
      <c r="AD28" s="267">
        <f t="shared" si="6"/>
        <v>0</v>
      </c>
      <c r="AE28" s="267">
        <f t="shared" si="6"/>
        <v>0</v>
      </c>
      <c r="AF28" s="267">
        <f t="shared" si="6"/>
        <v>0</v>
      </c>
      <c r="AG28" s="309">
        <f t="shared" si="6"/>
        <v>0</v>
      </c>
      <c r="AH28" s="267">
        <f t="shared" si="6"/>
        <v>0</v>
      </c>
      <c r="AI28" s="267">
        <f t="shared" si="6"/>
        <v>0</v>
      </c>
      <c r="AJ28" s="267">
        <f t="shared" si="6"/>
        <v>0</v>
      </c>
      <c r="AK28" s="267">
        <f t="shared" si="6"/>
        <v>0</v>
      </c>
      <c r="AL28" s="267">
        <f t="shared" si="6"/>
        <v>0</v>
      </c>
      <c r="AM28" s="267">
        <f t="shared" si="6"/>
        <v>0</v>
      </c>
      <c r="AN28" s="267">
        <f t="shared" si="6"/>
        <v>0</v>
      </c>
      <c r="AO28" s="267">
        <f t="shared" si="6"/>
        <v>0</v>
      </c>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row>
    <row r="29" spans="1:64" ht="15" customHeight="1" x14ac:dyDescent="0.3">
      <c r="A29" s="31" t="s">
        <v>66</v>
      </c>
      <c r="B29" s="290">
        <f>IF(ISNA(VLOOKUP(A29,'Comments Feeder'!B:L,11,FALSE)),0,VLOOKUP(A29,'Comments Feeder'!B:L,11,FALSE))</f>
        <v>0</v>
      </c>
      <c r="C29" s="290">
        <f>B29-SUM(E29:AB29)</f>
        <v>0</v>
      </c>
      <c r="D29" s="262"/>
      <c r="E29" s="388"/>
      <c r="F29" s="308"/>
      <c r="G29" s="378"/>
      <c r="H29" s="266"/>
      <c r="I29" s="519"/>
      <c r="J29" s="519"/>
      <c r="K29" s="266"/>
      <c r="L29" s="266"/>
      <c r="M29" s="266"/>
      <c r="N29" s="266"/>
      <c r="O29" s="270"/>
      <c r="P29" s="270"/>
      <c r="Q29" s="270"/>
      <c r="R29" s="270"/>
      <c r="S29" s="270"/>
      <c r="T29" s="270"/>
      <c r="U29" s="270"/>
      <c r="V29" s="270"/>
      <c r="W29" s="270"/>
      <c r="X29" s="270"/>
      <c r="Y29" s="264"/>
      <c r="Z29" s="270"/>
      <c r="AA29" s="270"/>
      <c r="AB29" s="270"/>
      <c r="AC29" s="264"/>
      <c r="AD29" s="270"/>
      <c r="AE29" s="270"/>
      <c r="AF29" s="270"/>
      <c r="AG29" s="270"/>
      <c r="AH29" s="264"/>
      <c r="AI29" s="270"/>
      <c r="AJ29" s="270"/>
      <c r="AK29" s="270"/>
      <c r="AL29" s="270"/>
      <c r="AM29" s="264"/>
      <c r="AN29" s="264"/>
      <c r="AO29" s="270"/>
      <c r="AP29" s="270"/>
      <c r="AQ29" s="270"/>
      <c r="AR29" s="270"/>
      <c r="AS29" s="264"/>
      <c r="AT29" s="264"/>
      <c r="AU29" s="270"/>
      <c r="AV29" s="264"/>
      <c r="AW29" s="270"/>
      <c r="AX29" s="270"/>
      <c r="AY29" s="270"/>
      <c r="AZ29" s="270"/>
      <c r="BA29" s="264"/>
      <c r="BB29" s="264"/>
      <c r="BC29" s="270"/>
      <c r="BD29" s="264"/>
      <c r="BE29" s="270"/>
      <c r="BF29" s="270"/>
      <c r="BG29" s="270"/>
      <c r="BH29" s="270"/>
      <c r="BI29" s="270"/>
      <c r="BJ29" s="270"/>
      <c r="BK29" s="270"/>
      <c r="BL29" s="270"/>
    </row>
    <row r="30" spans="1:64" ht="15" customHeight="1" x14ac:dyDescent="0.3">
      <c r="A30" s="31" t="s">
        <v>67</v>
      </c>
      <c r="B30" s="290">
        <f>IF(ISNA(VLOOKUP(A30,'Comments Feeder'!B:L,11,FALSE)),0,VLOOKUP(A30,'Comments Feeder'!B:L,11,FALSE))</f>
        <v>0</v>
      </c>
      <c r="C30" s="290">
        <f>B30-SUM(E30:AB30)</f>
        <v>0</v>
      </c>
      <c r="D30" s="262"/>
      <c r="E30" s="388"/>
      <c r="F30" s="266"/>
      <c r="G30" s="263"/>
      <c r="H30" s="266"/>
      <c r="I30" s="521"/>
      <c r="J30" s="519"/>
      <c r="K30" s="266"/>
      <c r="L30" s="266"/>
      <c r="M30" s="266"/>
      <c r="N30" s="266"/>
      <c r="O30" s="270"/>
      <c r="P30" s="270"/>
      <c r="Q30" s="270"/>
      <c r="R30" s="270"/>
      <c r="S30" s="270"/>
      <c r="T30" s="270"/>
      <c r="U30" s="270"/>
      <c r="V30" s="270"/>
      <c r="W30" s="270"/>
      <c r="X30" s="270"/>
      <c r="Y30" s="264"/>
      <c r="Z30" s="270"/>
      <c r="AA30" s="270"/>
      <c r="AB30" s="270"/>
      <c r="AC30" s="264"/>
      <c r="AD30" s="270"/>
      <c r="AE30" s="270"/>
      <c r="AF30" s="270"/>
      <c r="AG30" s="270"/>
      <c r="AH30" s="308"/>
      <c r="AI30" s="308"/>
      <c r="AJ30" s="308"/>
      <c r="AK30" s="308"/>
      <c r="AL30" s="308"/>
      <c r="AM30" s="264"/>
      <c r="AN30" s="308"/>
      <c r="AO30" s="308"/>
      <c r="AP30" s="308"/>
      <c r="AQ30" s="308"/>
      <c r="AR30" s="308"/>
      <c r="AS30" s="264"/>
      <c r="AT30" s="308"/>
      <c r="AU30" s="308"/>
      <c r="AV30" s="308"/>
      <c r="AW30" s="308"/>
      <c r="AX30" s="308"/>
      <c r="AY30" s="308"/>
      <c r="AZ30" s="308"/>
      <c r="BA30" s="264"/>
      <c r="BB30" s="308"/>
      <c r="BC30" s="308"/>
      <c r="BD30" s="308"/>
      <c r="BE30" s="308"/>
      <c r="BF30" s="308"/>
      <c r="BG30" s="308"/>
      <c r="BH30" s="308"/>
      <c r="BI30" s="308"/>
      <c r="BJ30" s="308"/>
      <c r="BK30" s="308"/>
      <c r="BL30" s="308"/>
    </row>
    <row r="31" spans="1:64" ht="15" customHeight="1" x14ac:dyDescent="0.3">
      <c r="A31" s="31" t="s">
        <v>68</v>
      </c>
      <c r="B31" s="290">
        <f>IF(ISNA(VLOOKUP(A31,'Comments Feeder'!B:L,11,FALSE)),0,VLOOKUP(A31,'Comments Feeder'!B:L,11,FALSE))</f>
        <v>0</v>
      </c>
      <c r="C31" s="290">
        <f>B31-SUM(E31:AB31)</f>
        <v>0</v>
      </c>
      <c r="D31" s="262"/>
      <c r="E31" s="388"/>
      <c r="F31" s="266"/>
      <c r="G31" s="263"/>
      <c r="H31" s="266"/>
      <c r="I31" s="521"/>
      <c r="J31" s="519"/>
      <c r="K31" s="266"/>
      <c r="L31" s="266"/>
      <c r="M31" s="266"/>
      <c r="N31" s="266"/>
      <c r="O31" s="270"/>
      <c r="P31" s="270"/>
      <c r="Q31" s="270"/>
      <c r="R31" s="270"/>
      <c r="S31" s="270"/>
      <c r="T31" s="270"/>
      <c r="U31" s="270"/>
      <c r="V31" s="270"/>
      <c r="W31" s="270"/>
      <c r="X31" s="270"/>
      <c r="Y31" s="264"/>
      <c r="Z31" s="270"/>
      <c r="AA31" s="270"/>
      <c r="AB31" s="270"/>
      <c r="AC31" s="264"/>
      <c r="AD31" s="270"/>
      <c r="AE31" s="270"/>
      <c r="AF31" s="270"/>
      <c r="AG31" s="270"/>
      <c r="AH31" s="264"/>
      <c r="AI31" s="270"/>
      <c r="AJ31" s="270"/>
      <c r="AK31" s="270"/>
      <c r="AL31" s="270"/>
      <c r="AM31" s="264"/>
      <c r="AN31" s="264"/>
      <c r="AO31" s="270"/>
      <c r="AP31" s="270"/>
      <c r="AQ31" s="270"/>
      <c r="AR31" s="270"/>
      <c r="AS31" s="264"/>
      <c r="AT31" s="264"/>
      <c r="AU31" s="270"/>
      <c r="AV31" s="264"/>
      <c r="AW31" s="270"/>
      <c r="AX31" s="270"/>
      <c r="AY31" s="270"/>
      <c r="AZ31" s="270"/>
      <c r="BA31" s="264"/>
      <c r="BB31" s="264"/>
      <c r="BC31" s="270"/>
      <c r="BD31" s="264"/>
      <c r="BE31" s="270"/>
      <c r="BF31" s="270"/>
      <c r="BG31" s="270"/>
      <c r="BH31" s="270"/>
      <c r="BI31" s="270"/>
      <c r="BJ31" s="270"/>
      <c r="BK31" s="270"/>
      <c r="BL31" s="270"/>
    </row>
    <row r="32" spans="1:64" ht="15" customHeight="1" x14ac:dyDescent="0.3">
      <c r="A32" s="31" t="s">
        <v>69</v>
      </c>
      <c r="B32" s="290">
        <f>IF(ISNA(VLOOKUP(A32,'Comments Feeder'!B:L,11,FALSE)),0,VLOOKUP(A32,'Comments Feeder'!B:L,11,FALSE))</f>
        <v>0</v>
      </c>
      <c r="C32" s="290">
        <f>B32-SUM(E32:AB32)</f>
        <v>0</v>
      </c>
      <c r="D32" s="262"/>
      <c r="E32" s="388"/>
      <c r="F32" s="266"/>
      <c r="G32" s="263"/>
      <c r="H32" s="266"/>
      <c r="I32" s="519"/>
      <c r="J32" s="519"/>
      <c r="K32" s="266"/>
      <c r="L32" s="266"/>
      <c r="M32" s="266"/>
      <c r="N32" s="266"/>
      <c r="O32" s="270"/>
      <c r="P32" s="270"/>
      <c r="Q32" s="270"/>
      <c r="R32" s="270"/>
      <c r="S32" s="270"/>
      <c r="T32" s="270"/>
      <c r="U32" s="270"/>
      <c r="V32" s="270"/>
      <c r="W32" s="270"/>
      <c r="X32" s="270"/>
      <c r="Y32" s="264"/>
      <c r="Z32" s="270"/>
      <c r="AA32" s="270"/>
      <c r="AB32" s="270"/>
      <c r="AC32" s="264"/>
      <c r="AD32" s="270"/>
      <c r="AE32" s="270"/>
      <c r="AF32" s="270"/>
      <c r="AG32" s="270"/>
      <c r="AH32" s="264"/>
      <c r="AI32" s="270"/>
      <c r="AJ32" s="270"/>
      <c r="AK32" s="270"/>
      <c r="AL32" s="270"/>
      <c r="AM32" s="264"/>
      <c r="AN32" s="264"/>
      <c r="AO32" s="270"/>
      <c r="AP32" s="270"/>
      <c r="AQ32" s="270"/>
      <c r="AR32" s="270"/>
      <c r="AS32" s="264"/>
      <c r="AT32" s="264"/>
      <c r="AU32" s="270"/>
      <c r="AV32" s="264"/>
      <c r="AW32" s="270"/>
      <c r="AX32" s="270"/>
      <c r="AY32" s="270"/>
      <c r="AZ32" s="270"/>
      <c r="BA32" s="264"/>
      <c r="BB32" s="264"/>
      <c r="BC32" s="270"/>
      <c r="BD32" s="264"/>
      <c r="BE32" s="270"/>
      <c r="BF32" s="270"/>
      <c r="BG32" s="270"/>
      <c r="BH32" s="270"/>
      <c r="BI32" s="270"/>
      <c r="BJ32" s="270"/>
      <c r="BK32" s="270"/>
      <c r="BL32" s="270"/>
    </row>
    <row r="33" spans="1:64" ht="15" customHeight="1" x14ac:dyDescent="0.3">
      <c r="A33" s="32" t="s">
        <v>71</v>
      </c>
      <c r="B33" s="291">
        <f>IF(ISNA(VLOOKUP(A33,'Comments Feeder'!B:L,11,FALSE)),0,VLOOKUP(A33,'Comments Feeder'!B:L,11,FALSE))</f>
        <v>0</v>
      </c>
      <c r="C33" s="291">
        <f>SUM(C29:C32)</f>
        <v>0</v>
      </c>
      <c r="D33" s="262"/>
      <c r="E33" s="309">
        <f>SUM(E29:E32)</f>
        <v>0</v>
      </c>
      <c r="F33" s="309">
        <f t="shared" ref="F33:AN33" si="7">SUM(F29:F32)</f>
        <v>0</v>
      </c>
      <c r="G33" s="309">
        <f t="shared" si="7"/>
        <v>0</v>
      </c>
      <c r="H33" s="309">
        <f t="shared" si="7"/>
        <v>0</v>
      </c>
      <c r="I33" s="309">
        <f t="shared" si="7"/>
        <v>0</v>
      </c>
      <c r="J33" s="518">
        <f t="shared" si="7"/>
        <v>0</v>
      </c>
      <c r="K33" s="309">
        <f t="shared" si="7"/>
        <v>0</v>
      </c>
      <c r="L33" s="311">
        <f t="shared" si="7"/>
        <v>0</v>
      </c>
      <c r="M33" s="311">
        <f t="shared" si="7"/>
        <v>0</v>
      </c>
      <c r="N33" s="311">
        <f t="shared" si="7"/>
        <v>0</v>
      </c>
      <c r="O33" s="311">
        <f t="shared" si="7"/>
        <v>0</v>
      </c>
      <c r="P33" s="311">
        <f t="shared" si="7"/>
        <v>0</v>
      </c>
      <c r="Q33" s="311">
        <f t="shared" si="7"/>
        <v>0</v>
      </c>
      <c r="R33" s="311">
        <f t="shared" si="7"/>
        <v>0</v>
      </c>
      <c r="S33" s="311">
        <f t="shared" si="7"/>
        <v>0</v>
      </c>
      <c r="T33" s="311">
        <f t="shared" si="7"/>
        <v>0</v>
      </c>
      <c r="U33" s="311">
        <f t="shared" si="7"/>
        <v>0</v>
      </c>
      <c r="V33" s="311">
        <f t="shared" si="7"/>
        <v>0</v>
      </c>
      <c r="W33" s="311">
        <f t="shared" si="7"/>
        <v>0</v>
      </c>
      <c r="X33" s="311">
        <f t="shared" si="7"/>
        <v>0</v>
      </c>
      <c r="Y33" s="381">
        <f t="shared" si="7"/>
        <v>0</v>
      </c>
      <c r="Z33" s="381">
        <f t="shared" si="7"/>
        <v>0</v>
      </c>
      <c r="AA33" s="381">
        <f t="shared" si="7"/>
        <v>0</v>
      </c>
      <c r="AB33" s="381">
        <f t="shared" si="7"/>
        <v>0</v>
      </c>
      <c r="AC33" s="381">
        <f t="shared" si="7"/>
        <v>0</v>
      </c>
      <c r="AD33" s="381">
        <f t="shared" si="7"/>
        <v>0</v>
      </c>
      <c r="AE33" s="381">
        <f t="shared" si="7"/>
        <v>0</v>
      </c>
      <c r="AF33" s="381">
        <f t="shared" si="7"/>
        <v>0</v>
      </c>
      <c r="AG33" s="381">
        <f t="shared" si="7"/>
        <v>0</v>
      </c>
      <c r="AH33" s="309">
        <f t="shared" si="7"/>
        <v>0</v>
      </c>
      <c r="AI33" s="309">
        <f t="shared" si="7"/>
        <v>0</v>
      </c>
      <c r="AJ33" s="309">
        <f t="shared" si="7"/>
        <v>0</v>
      </c>
      <c r="AK33" s="309">
        <f t="shared" si="7"/>
        <v>0</v>
      </c>
      <c r="AL33" s="309">
        <f t="shared" si="7"/>
        <v>0</v>
      </c>
      <c r="AM33" s="381">
        <f t="shared" si="7"/>
        <v>0</v>
      </c>
      <c r="AN33" s="309">
        <f t="shared" si="7"/>
        <v>0</v>
      </c>
      <c r="AO33" s="309"/>
      <c r="AP33" s="309"/>
      <c r="AQ33" s="309"/>
      <c r="AR33" s="309"/>
      <c r="AS33" s="381"/>
      <c r="AT33" s="309"/>
      <c r="AU33" s="309"/>
      <c r="AV33" s="309"/>
      <c r="AW33" s="309"/>
      <c r="AX33" s="309"/>
      <c r="AY33" s="309"/>
      <c r="AZ33" s="309"/>
      <c r="BA33" s="381"/>
      <c r="BB33" s="309"/>
      <c r="BC33" s="309"/>
      <c r="BD33" s="309"/>
      <c r="BE33" s="309"/>
      <c r="BF33" s="309"/>
      <c r="BG33" s="309"/>
      <c r="BH33" s="309"/>
      <c r="BI33" s="309"/>
      <c r="BJ33" s="309"/>
      <c r="BK33" s="309"/>
      <c r="BL33" s="309"/>
    </row>
    <row r="34" spans="1:64" ht="15" customHeight="1" thickBot="1" x14ac:dyDescent="0.35">
      <c r="A34" s="53" t="s">
        <v>72</v>
      </c>
      <c r="B34" s="291">
        <f>IF(ISNA(VLOOKUP(A34,'Comments Feeder'!B:L,11,FALSE)),0,VLOOKUP(A34,'Comments Feeder'!B:L,11,FALSE))</f>
        <v>0</v>
      </c>
      <c r="C34" s="291">
        <f>C25+C28+C33</f>
        <v>0</v>
      </c>
      <c r="D34" s="262"/>
      <c r="E34" s="589">
        <f>SUM(E25+E33+E28)</f>
        <v>0</v>
      </c>
      <c r="F34" s="589">
        <f t="shared" ref="F34:BH34" si="8">SUM(F25+F33+F28)</f>
        <v>0</v>
      </c>
      <c r="G34" s="589">
        <f t="shared" si="8"/>
        <v>0</v>
      </c>
      <c r="H34" s="589">
        <f t="shared" si="8"/>
        <v>0</v>
      </c>
      <c r="I34" s="392">
        <f t="shared" si="8"/>
        <v>0</v>
      </c>
      <c r="J34" s="607">
        <f t="shared" si="8"/>
        <v>0</v>
      </c>
      <c r="K34" s="589">
        <f t="shared" si="8"/>
        <v>0</v>
      </c>
      <c r="L34" s="589">
        <f t="shared" si="8"/>
        <v>0</v>
      </c>
      <c r="M34" s="589">
        <f t="shared" si="8"/>
        <v>0</v>
      </c>
      <c r="N34" s="589">
        <f t="shared" si="8"/>
        <v>0</v>
      </c>
      <c r="O34" s="589">
        <f t="shared" si="8"/>
        <v>0</v>
      </c>
      <c r="P34" s="589">
        <f t="shared" si="8"/>
        <v>0</v>
      </c>
      <c r="Q34" s="589">
        <f t="shared" si="8"/>
        <v>0</v>
      </c>
      <c r="R34" s="589">
        <f t="shared" si="8"/>
        <v>0</v>
      </c>
      <c r="S34" s="589">
        <f t="shared" si="8"/>
        <v>0</v>
      </c>
      <c r="T34" s="589">
        <f t="shared" si="8"/>
        <v>0</v>
      </c>
      <c r="U34" s="589">
        <f t="shared" si="8"/>
        <v>0</v>
      </c>
      <c r="V34" s="589">
        <f t="shared" si="8"/>
        <v>0</v>
      </c>
      <c r="W34" s="589">
        <f t="shared" si="8"/>
        <v>0</v>
      </c>
      <c r="X34" s="589">
        <f t="shared" si="8"/>
        <v>0</v>
      </c>
      <c r="Y34" s="589">
        <f t="shared" si="8"/>
        <v>0</v>
      </c>
      <c r="Z34" s="589">
        <f t="shared" si="8"/>
        <v>0</v>
      </c>
      <c r="AA34" s="589">
        <f t="shared" si="8"/>
        <v>0</v>
      </c>
      <c r="AB34" s="589">
        <f t="shared" si="8"/>
        <v>0</v>
      </c>
      <c r="AC34" s="589">
        <f t="shared" si="8"/>
        <v>0</v>
      </c>
      <c r="AD34" s="589">
        <f t="shared" si="8"/>
        <v>0</v>
      </c>
      <c r="AE34" s="589">
        <f t="shared" si="8"/>
        <v>0</v>
      </c>
      <c r="AF34" s="589">
        <f t="shared" si="8"/>
        <v>0</v>
      </c>
      <c r="AG34" s="589">
        <f t="shared" si="8"/>
        <v>0</v>
      </c>
      <c r="AH34" s="589">
        <f t="shared" si="8"/>
        <v>0</v>
      </c>
      <c r="AI34" s="589">
        <f t="shared" si="8"/>
        <v>0</v>
      </c>
      <c r="AJ34" s="589">
        <f t="shared" si="8"/>
        <v>0</v>
      </c>
      <c r="AK34" s="589">
        <f t="shared" si="8"/>
        <v>0</v>
      </c>
      <c r="AL34" s="589">
        <f t="shared" si="8"/>
        <v>0</v>
      </c>
      <c r="AM34" s="589">
        <f t="shared" si="8"/>
        <v>0</v>
      </c>
      <c r="AN34" s="589">
        <f t="shared" si="8"/>
        <v>0</v>
      </c>
      <c r="AO34" s="589">
        <f t="shared" si="8"/>
        <v>0</v>
      </c>
      <c r="AP34" s="589">
        <f t="shared" si="8"/>
        <v>0</v>
      </c>
      <c r="AQ34" s="589">
        <f t="shared" si="8"/>
        <v>0</v>
      </c>
      <c r="AR34" s="589">
        <f t="shared" si="8"/>
        <v>0</v>
      </c>
      <c r="AS34" s="589">
        <f t="shared" si="8"/>
        <v>0</v>
      </c>
      <c r="AT34" s="589">
        <f t="shared" si="8"/>
        <v>0</v>
      </c>
      <c r="AU34" s="589">
        <f t="shared" si="8"/>
        <v>0</v>
      </c>
      <c r="AV34" s="589">
        <f t="shared" si="8"/>
        <v>0</v>
      </c>
      <c r="AW34" s="589">
        <f t="shared" si="8"/>
        <v>0</v>
      </c>
      <c r="AX34" s="589">
        <f t="shared" si="8"/>
        <v>0</v>
      </c>
      <c r="AY34" s="589">
        <f t="shared" si="8"/>
        <v>0</v>
      </c>
      <c r="AZ34" s="589">
        <f t="shared" si="8"/>
        <v>0</v>
      </c>
      <c r="BA34" s="589">
        <f t="shared" si="8"/>
        <v>0</v>
      </c>
      <c r="BB34" s="589">
        <f t="shared" si="8"/>
        <v>0</v>
      </c>
      <c r="BC34" s="589">
        <f t="shared" si="8"/>
        <v>0</v>
      </c>
      <c r="BD34" s="589">
        <f t="shared" si="8"/>
        <v>0</v>
      </c>
      <c r="BE34" s="589">
        <f t="shared" si="8"/>
        <v>0</v>
      </c>
      <c r="BF34" s="589">
        <f t="shared" si="8"/>
        <v>0</v>
      </c>
      <c r="BG34" s="589">
        <f t="shared" si="8"/>
        <v>0</v>
      </c>
      <c r="BH34" s="589">
        <f t="shared" si="8"/>
        <v>0</v>
      </c>
      <c r="BI34" s="589"/>
      <c r="BJ34" s="589"/>
      <c r="BK34" s="589"/>
      <c r="BL34" s="589"/>
    </row>
    <row r="35" spans="1:64" ht="15" customHeight="1" thickTop="1" x14ac:dyDescent="0.3">
      <c r="A35" s="31" t="s">
        <v>73</v>
      </c>
      <c r="B35" s="290">
        <f>IF(ISNA(VLOOKUP(A35,'Comments Feeder'!B:L,11,FALSE)),0,VLOOKUP(A35,'Comments Feeder'!B:L,11,FALSE))</f>
        <v>0</v>
      </c>
      <c r="C35" s="290">
        <f>B35-SUM(E35:AB35)</f>
        <v>0</v>
      </c>
      <c r="D35" s="262"/>
      <c r="E35" s="378"/>
      <c r="F35" s="266"/>
      <c r="G35" s="266"/>
      <c r="H35" s="263"/>
      <c r="I35" s="266"/>
      <c r="J35" s="521"/>
      <c r="K35" s="266"/>
      <c r="L35" s="266"/>
      <c r="M35" s="266"/>
      <c r="N35" s="266"/>
      <c r="O35" s="270"/>
      <c r="P35" s="270"/>
      <c r="Q35" s="270"/>
      <c r="R35" s="270"/>
      <c r="S35" s="270"/>
      <c r="T35" s="270"/>
      <c r="U35" s="270"/>
      <c r="V35" s="270"/>
      <c r="W35" s="270"/>
      <c r="X35" s="270"/>
      <c r="Y35" s="264"/>
      <c r="Z35" s="270"/>
      <c r="AA35" s="270"/>
      <c r="AB35" s="270"/>
      <c r="AC35" s="264"/>
      <c r="AD35" s="270"/>
      <c r="AE35" s="270"/>
      <c r="AF35" s="270"/>
      <c r="AG35" s="270"/>
      <c r="AH35" s="264"/>
      <c r="AI35" s="270"/>
      <c r="AJ35" s="270"/>
      <c r="AK35" s="270"/>
      <c r="AL35" s="270"/>
      <c r="AM35" s="264"/>
      <c r="AN35" s="264"/>
      <c r="AO35" s="270"/>
      <c r="AP35" s="270"/>
      <c r="AQ35" s="270"/>
      <c r="AR35" s="270"/>
      <c r="AS35" s="264"/>
      <c r="AT35" s="264"/>
      <c r="AU35" s="270"/>
      <c r="AV35" s="264"/>
      <c r="AW35" s="270"/>
      <c r="AX35" s="270"/>
      <c r="AY35" s="270"/>
      <c r="AZ35" s="270"/>
      <c r="BA35" s="264"/>
      <c r="BB35" s="264"/>
      <c r="BC35" s="270"/>
      <c r="BD35" s="264"/>
      <c r="BE35" s="270"/>
      <c r="BF35" s="270"/>
      <c r="BG35" s="270"/>
      <c r="BH35" s="270"/>
      <c r="BI35" s="270"/>
      <c r="BJ35" s="270"/>
      <c r="BK35" s="270"/>
      <c r="BL35" s="270"/>
    </row>
    <row r="36" spans="1:64" ht="15" customHeight="1" x14ac:dyDescent="0.3">
      <c r="A36" s="31" t="s">
        <v>74</v>
      </c>
      <c r="B36" s="290">
        <f>IF(ISNA(VLOOKUP(A36,'Comments Feeder'!B:L,11,FALSE)),0,VLOOKUP(A36,'Comments Feeder'!B:L,11,FALSE))</f>
        <v>0</v>
      </c>
      <c r="C36" s="290">
        <f>B36-SUM(E36:AM36)</f>
        <v>0</v>
      </c>
      <c r="D36" s="262"/>
      <c r="E36" s="378"/>
      <c r="F36" s="266"/>
      <c r="G36" s="266"/>
      <c r="H36" s="263"/>
      <c r="I36" s="266"/>
      <c r="J36" s="519"/>
      <c r="K36" s="308"/>
      <c r="L36" s="266"/>
      <c r="M36" s="266"/>
      <c r="N36" s="266"/>
      <c r="O36" s="270"/>
      <c r="P36" s="270"/>
      <c r="Q36" s="270"/>
      <c r="R36" s="270"/>
      <c r="S36" s="270"/>
      <c r="T36" s="270"/>
      <c r="U36" s="270"/>
      <c r="V36" s="270"/>
      <c r="W36" s="270"/>
      <c r="X36" s="270"/>
      <c r="Y36" s="264"/>
      <c r="Z36" s="270"/>
      <c r="AA36" s="270"/>
      <c r="AB36" s="270"/>
      <c r="AC36" s="264"/>
      <c r="AD36" s="270"/>
      <c r="AE36" s="270"/>
      <c r="AF36" s="270"/>
      <c r="AG36" s="270"/>
      <c r="AH36" s="264"/>
      <c r="AI36" s="270"/>
      <c r="AJ36" s="308"/>
      <c r="AK36" s="308"/>
      <c r="AL36" s="270"/>
      <c r="AM36" s="264"/>
      <c r="AN36" s="264"/>
      <c r="AO36" s="270"/>
      <c r="AP36" s="308"/>
      <c r="AQ36" s="308"/>
      <c r="AR36" s="270"/>
      <c r="AS36" s="264"/>
      <c r="AT36" s="264"/>
      <c r="AU36" s="270"/>
      <c r="AV36" s="264"/>
      <c r="AW36" s="270"/>
      <c r="AX36" s="308"/>
      <c r="AY36" s="308"/>
      <c r="AZ36" s="270"/>
      <c r="BA36" s="264"/>
      <c r="BB36" s="264"/>
      <c r="BC36" s="270"/>
      <c r="BD36" s="264"/>
      <c r="BE36" s="270"/>
      <c r="BF36" s="308"/>
      <c r="BG36" s="308"/>
      <c r="BH36" s="308"/>
      <c r="BI36" s="308"/>
      <c r="BJ36" s="308"/>
      <c r="BK36" s="308"/>
      <c r="BL36" s="308"/>
    </row>
    <row r="37" spans="1:64" ht="15" customHeight="1" x14ac:dyDescent="0.3">
      <c r="A37" s="31" t="s">
        <v>75</v>
      </c>
      <c r="B37" s="290">
        <f>IF(ISNA(VLOOKUP(A37,'Comments Feeder'!B:L,11,FALSE)),0,VLOOKUP(A37,'Comments Feeder'!B:L,11,FALSE))</f>
        <v>0</v>
      </c>
      <c r="C37" s="290">
        <f>B37-SUM(E37:AN37)</f>
        <v>0</v>
      </c>
      <c r="D37" s="262"/>
      <c r="E37" s="378"/>
      <c r="F37" s="266"/>
      <c r="G37" s="266"/>
      <c r="H37" s="308"/>
      <c r="I37" s="308"/>
      <c r="J37" s="519"/>
      <c r="K37" s="308"/>
      <c r="L37" s="266"/>
      <c r="M37" s="266"/>
      <c r="N37" s="266"/>
      <c r="O37" s="270"/>
      <c r="P37" s="270"/>
      <c r="Q37" s="270"/>
      <c r="R37" s="270"/>
      <c r="S37" s="270"/>
      <c r="T37" s="270"/>
      <c r="U37" s="270"/>
      <c r="V37" s="270"/>
      <c r="W37" s="270"/>
      <c r="X37" s="270"/>
      <c r="Y37" s="264"/>
      <c r="Z37" s="270"/>
      <c r="AA37" s="270"/>
      <c r="AB37" s="270"/>
      <c r="AC37" s="264"/>
      <c r="AD37" s="270"/>
      <c r="AE37" s="270"/>
      <c r="AF37" s="270"/>
      <c r="AG37" s="270"/>
      <c r="AH37" s="264"/>
      <c r="AI37" s="270"/>
      <c r="AJ37" s="270"/>
      <c r="AK37" s="308"/>
      <c r="AL37" s="270"/>
      <c r="AM37" s="264"/>
      <c r="AN37" s="264"/>
      <c r="AO37" s="270"/>
      <c r="AP37" s="270"/>
      <c r="AQ37" s="308"/>
      <c r="AR37" s="270"/>
      <c r="AS37" s="264"/>
      <c r="AT37" s="264"/>
      <c r="AU37" s="270"/>
      <c r="AV37" s="264"/>
      <c r="AW37" s="270"/>
      <c r="AX37" s="270"/>
      <c r="AY37" s="308"/>
      <c r="AZ37" s="270"/>
      <c r="BA37" s="264"/>
      <c r="BB37" s="264"/>
      <c r="BC37" s="270"/>
      <c r="BD37" s="264"/>
      <c r="BE37" s="270"/>
      <c r="BF37" s="270"/>
      <c r="BG37" s="270"/>
      <c r="BH37" s="270"/>
      <c r="BI37" s="270"/>
      <c r="BJ37" s="270"/>
      <c r="BK37" s="270"/>
      <c r="BL37" s="270"/>
    </row>
    <row r="38" spans="1:64" ht="15" customHeight="1" x14ac:dyDescent="0.3">
      <c r="A38" s="32" t="s">
        <v>76</v>
      </c>
      <c r="B38" s="291">
        <f>IF(ISNA(VLOOKUP(A38,'Comments Feeder'!B:L,11,FALSE)),0,VLOOKUP(A38,'Comments Feeder'!B:L,11,FALSE))</f>
        <v>0</v>
      </c>
      <c r="C38" s="290">
        <f>SUM(C35:C37)</f>
        <v>0</v>
      </c>
      <c r="D38" s="262"/>
      <c r="E38" s="379">
        <f>SUM(E35:E37)</f>
        <v>0</v>
      </c>
      <c r="F38" s="266">
        <f t="shared" ref="F38:AM38" si="9">SUM(F35:F37)</f>
        <v>0</v>
      </c>
      <c r="G38" s="266">
        <f t="shared" si="9"/>
        <v>0</v>
      </c>
      <c r="H38" s="309">
        <f t="shared" si="9"/>
        <v>0</v>
      </c>
      <c r="I38" s="309">
        <f t="shared" si="9"/>
        <v>0</v>
      </c>
      <c r="J38" s="518">
        <f t="shared" si="9"/>
        <v>0</v>
      </c>
      <c r="K38" s="309">
        <f t="shared" si="9"/>
        <v>0</v>
      </c>
      <c r="L38" s="312">
        <f t="shared" si="9"/>
        <v>0</v>
      </c>
      <c r="M38" s="312">
        <f t="shared" si="9"/>
        <v>0</v>
      </c>
      <c r="N38" s="312">
        <f t="shared" si="9"/>
        <v>0</v>
      </c>
      <c r="O38" s="312">
        <f t="shared" si="9"/>
        <v>0</v>
      </c>
      <c r="P38" s="312">
        <f t="shared" si="9"/>
        <v>0</v>
      </c>
      <c r="Q38" s="312">
        <f t="shared" si="9"/>
        <v>0</v>
      </c>
      <c r="R38" s="312">
        <f t="shared" si="9"/>
        <v>0</v>
      </c>
      <c r="S38" s="312">
        <f t="shared" si="9"/>
        <v>0</v>
      </c>
      <c r="T38" s="312">
        <f t="shared" si="9"/>
        <v>0</v>
      </c>
      <c r="U38" s="312">
        <f t="shared" si="9"/>
        <v>0</v>
      </c>
      <c r="V38" s="312">
        <f t="shared" si="9"/>
        <v>0</v>
      </c>
      <c r="W38" s="312">
        <f t="shared" si="9"/>
        <v>0</v>
      </c>
      <c r="X38" s="312">
        <f t="shared" si="9"/>
        <v>0</v>
      </c>
      <c r="Y38" s="312">
        <f t="shared" si="9"/>
        <v>0</v>
      </c>
      <c r="Z38" s="312">
        <f t="shared" si="9"/>
        <v>0</v>
      </c>
      <c r="AA38" s="312">
        <f t="shared" si="9"/>
        <v>0</v>
      </c>
      <c r="AB38" s="312">
        <f t="shared" si="9"/>
        <v>0</v>
      </c>
      <c r="AC38" s="312">
        <f t="shared" si="9"/>
        <v>0</v>
      </c>
      <c r="AD38" s="312">
        <f t="shared" si="9"/>
        <v>0</v>
      </c>
      <c r="AE38" s="312">
        <f t="shared" si="9"/>
        <v>0</v>
      </c>
      <c r="AF38" s="312">
        <f t="shared" si="9"/>
        <v>0</v>
      </c>
      <c r="AG38" s="312">
        <f t="shared" si="9"/>
        <v>0</v>
      </c>
      <c r="AH38" s="312">
        <f t="shared" si="9"/>
        <v>0</v>
      </c>
      <c r="AI38" s="312">
        <f t="shared" si="9"/>
        <v>0</v>
      </c>
      <c r="AJ38" s="309">
        <f t="shared" si="9"/>
        <v>0</v>
      </c>
      <c r="AK38" s="312">
        <f t="shared" si="9"/>
        <v>0</v>
      </c>
      <c r="AL38" s="312">
        <f t="shared" si="9"/>
        <v>0</v>
      </c>
      <c r="AM38" s="312">
        <f t="shared" si="9"/>
        <v>0</v>
      </c>
      <c r="AN38" s="312"/>
      <c r="AO38" s="312"/>
      <c r="AP38" s="309"/>
      <c r="AQ38" s="312"/>
      <c r="AR38" s="312"/>
      <c r="AS38" s="312"/>
      <c r="AT38" s="312"/>
      <c r="AU38" s="312"/>
      <c r="AV38" s="312"/>
      <c r="AW38" s="312"/>
      <c r="AX38" s="309"/>
      <c r="AY38" s="312"/>
      <c r="AZ38" s="312"/>
      <c r="BA38" s="312"/>
      <c r="BB38" s="312"/>
      <c r="BC38" s="312"/>
      <c r="BD38" s="312"/>
      <c r="BE38" s="312"/>
      <c r="BF38" s="309"/>
      <c r="BG38" s="309"/>
      <c r="BH38" s="309"/>
      <c r="BI38" s="309"/>
      <c r="BJ38" s="309"/>
      <c r="BK38" s="309"/>
      <c r="BL38" s="309"/>
    </row>
    <row r="39" spans="1:64" ht="15" customHeight="1" thickBot="1" x14ac:dyDescent="0.35">
      <c r="A39" s="53" t="s">
        <v>461</v>
      </c>
      <c r="B39" s="291">
        <f>B38</f>
        <v>0</v>
      </c>
      <c r="C39" s="291">
        <f>C38</f>
        <v>0</v>
      </c>
      <c r="D39" s="262"/>
      <c r="E39" s="589">
        <f>E38</f>
        <v>0</v>
      </c>
      <c r="F39" s="392">
        <f t="shared" ref="F39:AI39" si="10">F38</f>
        <v>0</v>
      </c>
      <c r="G39" s="392">
        <f t="shared" si="10"/>
        <v>0</v>
      </c>
      <c r="H39" s="389">
        <f t="shared" si="10"/>
        <v>0</v>
      </c>
      <c r="I39" s="307">
        <f t="shared" si="10"/>
        <v>0</v>
      </c>
      <c r="J39" s="608">
        <f t="shared" si="10"/>
        <v>0</v>
      </c>
      <c r="K39" s="306">
        <f t="shared" si="10"/>
        <v>0</v>
      </c>
      <c r="L39" s="306">
        <f t="shared" si="10"/>
        <v>0</v>
      </c>
      <c r="M39" s="306">
        <f t="shared" si="10"/>
        <v>0</v>
      </c>
      <c r="N39" s="306">
        <f t="shared" si="10"/>
        <v>0</v>
      </c>
      <c r="O39" s="306">
        <f t="shared" si="10"/>
        <v>0</v>
      </c>
      <c r="P39" s="306">
        <f t="shared" si="10"/>
        <v>0</v>
      </c>
      <c r="Q39" s="306">
        <f t="shared" si="10"/>
        <v>0</v>
      </c>
      <c r="R39" s="306">
        <f t="shared" si="10"/>
        <v>0</v>
      </c>
      <c r="S39" s="306">
        <f t="shared" si="10"/>
        <v>0</v>
      </c>
      <c r="T39" s="306">
        <f t="shared" si="10"/>
        <v>0</v>
      </c>
      <c r="U39" s="306">
        <f t="shared" si="10"/>
        <v>0</v>
      </c>
      <c r="V39" s="306">
        <f t="shared" si="10"/>
        <v>0</v>
      </c>
      <c r="W39" s="306">
        <f t="shared" si="10"/>
        <v>0</v>
      </c>
      <c r="X39" s="306">
        <f t="shared" si="10"/>
        <v>0</v>
      </c>
      <c r="Y39" s="306">
        <f t="shared" si="10"/>
        <v>0</v>
      </c>
      <c r="Z39" s="306">
        <f t="shared" si="10"/>
        <v>0</v>
      </c>
      <c r="AA39" s="306">
        <f t="shared" si="10"/>
        <v>0</v>
      </c>
      <c r="AB39" s="306">
        <f t="shared" si="10"/>
        <v>0</v>
      </c>
      <c r="AC39" s="306">
        <f t="shared" si="10"/>
        <v>0</v>
      </c>
      <c r="AD39" s="306">
        <f t="shared" si="10"/>
        <v>0</v>
      </c>
      <c r="AE39" s="306">
        <f t="shared" si="10"/>
        <v>0</v>
      </c>
      <c r="AF39" s="306">
        <f t="shared" si="10"/>
        <v>0</v>
      </c>
      <c r="AG39" s="306">
        <f t="shared" si="10"/>
        <v>0</v>
      </c>
      <c r="AH39" s="306">
        <f t="shared" si="10"/>
        <v>0</v>
      </c>
      <c r="AI39" s="306">
        <f t="shared" si="10"/>
        <v>0</v>
      </c>
      <c r="AJ39" s="306">
        <f>AJ38</f>
        <v>0</v>
      </c>
      <c r="AK39" s="306">
        <f t="shared" ref="AK39:AN39" si="11">AK38</f>
        <v>0</v>
      </c>
      <c r="AL39" s="306">
        <f t="shared" si="11"/>
        <v>0</v>
      </c>
      <c r="AM39" s="306">
        <f t="shared" si="11"/>
        <v>0</v>
      </c>
      <c r="AN39" s="306">
        <f t="shared" si="11"/>
        <v>0</v>
      </c>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row>
    <row r="40" spans="1:64" ht="15" customHeight="1" thickTop="1" x14ac:dyDescent="0.3">
      <c r="A40" s="31" t="s">
        <v>167</v>
      </c>
      <c r="B40" s="290">
        <f>IF(ISNA(VLOOKUP(A40,'Comments Feeder'!B:L,11,FALSE)),0,VLOOKUP(A40,'Comments Feeder'!B:L,11,FALSE))</f>
        <v>0</v>
      </c>
      <c r="C40" s="290">
        <f>B40-SUM(E40:AB40)</f>
        <v>0</v>
      </c>
      <c r="D40" s="262"/>
      <c r="E40" s="378"/>
      <c r="F40" s="265"/>
      <c r="G40" s="265"/>
      <c r="H40" s="272"/>
      <c r="I40" s="265"/>
      <c r="J40" s="606"/>
      <c r="K40" s="265"/>
      <c r="L40" s="265"/>
      <c r="M40" s="265"/>
      <c r="N40" s="265"/>
      <c r="O40" s="270"/>
      <c r="P40" s="270"/>
      <c r="Q40" s="270"/>
      <c r="R40" s="270"/>
      <c r="S40" s="270"/>
      <c r="T40" s="270"/>
      <c r="U40" s="270"/>
      <c r="V40" s="270"/>
      <c r="W40" s="270"/>
      <c r="X40" s="270"/>
      <c r="Y40" s="264"/>
      <c r="Z40" s="270"/>
      <c r="AA40" s="270"/>
      <c r="AB40" s="270"/>
      <c r="AC40" s="264"/>
      <c r="AD40" s="270"/>
      <c r="AE40" s="270"/>
      <c r="AF40" s="270"/>
      <c r="AG40" s="270"/>
      <c r="AH40" s="264"/>
      <c r="AI40" s="270"/>
      <c r="AJ40" s="270"/>
      <c r="AK40" s="270"/>
      <c r="AL40" s="270"/>
      <c r="AM40" s="264"/>
      <c r="AN40" s="264"/>
      <c r="AO40" s="270"/>
      <c r="AP40" s="270"/>
      <c r="AQ40" s="270"/>
      <c r="AR40" s="270"/>
      <c r="AS40" s="264"/>
      <c r="AT40" s="264"/>
      <c r="AU40" s="270"/>
      <c r="AV40" s="264"/>
      <c r="AW40" s="270"/>
      <c r="AX40" s="270"/>
      <c r="AY40" s="270"/>
      <c r="AZ40" s="270"/>
      <c r="BA40" s="264"/>
      <c r="BB40" s="264"/>
      <c r="BC40" s="270"/>
      <c r="BD40" s="264"/>
      <c r="BE40" s="270"/>
      <c r="BF40" s="270"/>
      <c r="BG40" s="270"/>
      <c r="BH40" s="270"/>
      <c r="BI40" s="270"/>
      <c r="BJ40" s="270"/>
      <c r="BK40" s="270"/>
      <c r="BL40" s="270"/>
    </row>
    <row r="41" spans="1:64" ht="15" customHeight="1" x14ac:dyDescent="0.3">
      <c r="A41" s="31" t="s">
        <v>168</v>
      </c>
      <c r="B41" s="290">
        <f>IF(ISNA(VLOOKUP(A41,'Comments Feeder'!B:L,11,FALSE)),0,VLOOKUP(A41,'Comments Feeder'!B:L,11,FALSE))</f>
        <v>0</v>
      </c>
      <c r="C41" s="290">
        <f>B41-SUM(E41:AB41)</f>
        <v>0</v>
      </c>
      <c r="D41" s="262"/>
      <c r="E41" s="378"/>
      <c r="F41" s="308"/>
      <c r="G41" s="265"/>
      <c r="H41" s="378"/>
      <c r="I41" s="308"/>
      <c r="J41" s="606"/>
      <c r="K41" s="308"/>
      <c r="L41" s="308"/>
      <c r="M41" s="265"/>
      <c r="N41" s="265"/>
      <c r="O41" s="270"/>
      <c r="P41" s="270"/>
      <c r="Q41" s="270"/>
      <c r="R41" s="270"/>
      <c r="S41" s="270"/>
      <c r="T41" s="270"/>
      <c r="U41" s="270"/>
      <c r="V41" s="270"/>
      <c r="W41" s="270"/>
      <c r="X41" s="270"/>
      <c r="Y41" s="264"/>
      <c r="Z41" s="270"/>
      <c r="AA41" s="270"/>
      <c r="AB41" s="270"/>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08"/>
      <c r="AZ41" s="308"/>
      <c r="BA41" s="308"/>
      <c r="BB41" s="308"/>
      <c r="BC41" s="308"/>
      <c r="BD41" s="308"/>
      <c r="BE41" s="308"/>
      <c r="BF41" s="308"/>
      <c r="BG41" s="308"/>
      <c r="BH41" s="308"/>
      <c r="BI41" s="308"/>
      <c r="BJ41" s="308"/>
      <c r="BK41" s="308"/>
      <c r="BL41" s="308"/>
    </row>
    <row r="42" spans="1:64" ht="15" customHeight="1" x14ac:dyDescent="0.3">
      <c r="A42" s="31" t="s">
        <v>169</v>
      </c>
      <c r="B42" s="290">
        <f>IF(ISNA(VLOOKUP(A42,'Comments Feeder'!B:L,11,FALSE)),0,VLOOKUP(A42,'Comments Feeder'!B:L,11,FALSE))</f>
        <v>0</v>
      </c>
      <c r="C42" s="290">
        <f>B42-SUM(E42:AB42)</f>
        <v>0</v>
      </c>
      <c r="D42" s="262"/>
      <c r="E42" s="378"/>
      <c r="F42" s="265"/>
      <c r="G42" s="265"/>
      <c r="H42" s="272"/>
      <c r="I42" s="265"/>
      <c r="J42" s="606"/>
      <c r="K42" s="265"/>
      <c r="L42" s="265"/>
      <c r="M42" s="265"/>
      <c r="N42" s="308"/>
      <c r="O42" s="270"/>
      <c r="P42" s="270"/>
      <c r="Q42" s="270"/>
      <c r="R42" s="270"/>
      <c r="S42" s="270"/>
      <c r="T42" s="270"/>
      <c r="U42" s="270"/>
      <c r="V42" s="270"/>
      <c r="W42" s="270"/>
      <c r="X42" s="270"/>
      <c r="Y42" s="264"/>
      <c r="Z42" s="270"/>
      <c r="AA42" s="270"/>
      <c r="AB42" s="270"/>
      <c r="AC42" s="264"/>
      <c r="AD42" s="270"/>
      <c r="AE42" s="270"/>
      <c r="AF42" s="270"/>
      <c r="AG42" s="270"/>
      <c r="AH42" s="264"/>
      <c r="AI42" s="270"/>
      <c r="AJ42" s="270"/>
      <c r="AK42" s="270"/>
      <c r="AL42" s="270"/>
      <c r="AM42" s="264"/>
      <c r="AN42" s="264"/>
      <c r="AO42" s="270"/>
      <c r="AP42" s="270"/>
      <c r="AQ42" s="270"/>
      <c r="AR42" s="270"/>
      <c r="AS42" s="264"/>
      <c r="AT42" s="264"/>
      <c r="AU42" s="270"/>
      <c r="AV42" s="264"/>
      <c r="AW42" s="270"/>
      <c r="AX42" s="270"/>
      <c r="AY42" s="270"/>
      <c r="AZ42" s="270"/>
      <c r="BA42" s="264"/>
      <c r="BB42" s="264"/>
      <c r="BC42" s="270"/>
      <c r="BD42" s="264"/>
      <c r="BE42" s="270"/>
      <c r="BF42" s="270"/>
      <c r="BG42" s="270"/>
      <c r="BH42" s="270"/>
      <c r="BI42" s="270"/>
      <c r="BJ42" s="270"/>
      <c r="BK42" s="270"/>
      <c r="BL42" s="270"/>
    </row>
    <row r="43" spans="1:64" ht="15" customHeight="1" x14ac:dyDescent="0.3">
      <c r="A43" s="31" t="s">
        <v>170</v>
      </c>
      <c r="B43" s="290">
        <f>IF(ISNA(VLOOKUP(A43,'Comments Feeder'!B:L,11,FALSE)),0,VLOOKUP(A43,'Comments Feeder'!B:L,11,FALSE))</f>
        <v>0</v>
      </c>
      <c r="C43" s="290">
        <f>B43-SUM(E43:BM43)</f>
        <v>0</v>
      </c>
      <c r="D43" s="262"/>
      <c r="E43" s="378"/>
      <c r="F43" s="265"/>
      <c r="G43" s="265"/>
      <c r="H43" s="378"/>
      <c r="I43" s="265"/>
      <c r="J43" s="606"/>
      <c r="K43" s="265"/>
      <c r="L43" s="265"/>
      <c r="M43" s="265"/>
      <c r="N43" s="308"/>
      <c r="O43" s="270"/>
      <c r="P43" s="270"/>
      <c r="Q43" s="270"/>
      <c r="R43" s="270"/>
      <c r="S43" s="270"/>
      <c r="T43" s="270"/>
      <c r="U43" s="270"/>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row>
    <row r="44" spans="1:64" ht="15" customHeight="1" x14ac:dyDescent="0.3">
      <c r="A44" s="32" t="s">
        <v>43</v>
      </c>
      <c r="B44" s="291">
        <f>IF(ISNA(VLOOKUP(A44,'Comments Feeder'!B:L,11,FALSE)),0,VLOOKUP(A44,'Comments Feeder'!B:L,11,FALSE))</f>
        <v>0</v>
      </c>
      <c r="C44" s="291">
        <f>SUM(C40:C42)</f>
        <v>0</v>
      </c>
      <c r="D44" s="262"/>
      <c r="E44" s="378">
        <f>SUM(E40:E43)</f>
        <v>0</v>
      </c>
      <c r="F44" s="291">
        <f t="shared" ref="F44:BI44" si="12">SUM(F40:F43)</f>
        <v>0</v>
      </c>
      <c r="G44" s="265">
        <f t="shared" si="12"/>
        <v>0</v>
      </c>
      <c r="H44" s="379">
        <f t="shared" si="12"/>
        <v>0</v>
      </c>
      <c r="I44" s="309">
        <f t="shared" si="12"/>
        <v>0</v>
      </c>
      <c r="J44" s="606">
        <f t="shared" si="12"/>
        <v>0</v>
      </c>
      <c r="K44" s="265">
        <f t="shared" si="12"/>
        <v>0</v>
      </c>
      <c r="L44" s="309">
        <f t="shared" si="12"/>
        <v>0</v>
      </c>
      <c r="M44" s="265">
        <f t="shared" si="12"/>
        <v>0</v>
      </c>
      <c r="N44" s="265">
        <f t="shared" si="12"/>
        <v>0</v>
      </c>
      <c r="O44" s="265">
        <f t="shared" si="12"/>
        <v>0</v>
      </c>
      <c r="P44" s="265">
        <f t="shared" si="12"/>
        <v>0</v>
      </c>
      <c r="Q44" s="265">
        <f t="shared" si="12"/>
        <v>0</v>
      </c>
      <c r="R44" s="265">
        <f t="shared" si="12"/>
        <v>0</v>
      </c>
      <c r="S44" s="265">
        <f t="shared" si="12"/>
        <v>0</v>
      </c>
      <c r="T44" s="265">
        <f t="shared" si="12"/>
        <v>0</v>
      </c>
      <c r="U44" s="265">
        <f t="shared" si="12"/>
        <v>0</v>
      </c>
      <c r="V44" s="265">
        <f t="shared" si="12"/>
        <v>0</v>
      </c>
      <c r="W44" s="265">
        <f t="shared" si="12"/>
        <v>0</v>
      </c>
      <c r="X44" s="265">
        <f t="shared" si="12"/>
        <v>0</v>
      </c>
      <c r="Y44" s="265">
        <f t="shared" si="12"/>
        <v>0</v>
      </c>
      <c r="Z44" s="265">
        <f t="shared" si="12"/>
        <v>0</v>
      </c>
      <c r="AA44" s="265">
        <f t="shared" si="12"/>
        <v>0</v>
      </c>
      <c r="AB44" s="265">
        <f t="shared" si="12"/>
        <v>0</v>
      </c>
      <c r="AC44" s="265">
        <f t="shared" si="12"/>
        <v>0</v>
      </c>
      <c r="AD44" s="265">
        <f t="shared" si="12"/>
        <v>0</v>
      </c>
      <c r="AE44" s="265">
        <f t="shared" si="12"/>
        <v>0</v>
      </c>
      <c r="AF44" s="265">
        <f t="shared" si="12"/>
        <v>0</v>
      </c>
      <c r="AG44" s="265">
        <f t="shared" si="12"/>
        <v>0</v>
      </c>
      <c r="AH44" s="265">
        <f t="shared" si="12"/>
        <v>0</v>
      </c>
      <c r="AI44" s="265">
        <f t="shared" si="12"/>
        <v>0</v>
      </c>
      <c r="AJ44" s="265">
        <f t="shared" si="12"/>
        <v>0</v>
      </c>
      <c r="AK44" s="265">
        <f t="shared" si="12"/>
        <v>0</v>
      </c>
      <c r="AL44" s="309">
        <f t="shared" si="12"/>
        <v>0</v>
      </c>
      <c r="AM44" s="309">
        <f t="shared" si="12"/>
        <v>0</v>
      </c>
      <c r="AN44" s="309">
        <f t="shared" si="12"/>
        <v>0</v>
      </c>
      <c r="AO44" s="309">
        <f t="shared" si="12"/>
        <v>0</v>
      </c>
      <c r="AP44" s="309">
        <f t="shared" si="12"/>
        <v>0</v>
      </c>
      <c r="AQ44" s="309">
        <f t="shared" si="12"/>
        <v>0</v>
      </c>
      <c r="AR44" s="309">
        <f t="shared" si="12"/>
        <v>0</v>
      </c>
      <c r="AS44" s="309">
        <f t="shared" si="12"/>
        <v>0</v>
      </c>
      <c r="AT44" s="309">
        <f t="shared" si="12"/>
        <v>0</v>
      </c>
      <c r="AU44" s="309">
        <f t="shared" si="12"/>
        <v>0</v>
      </c>
      <c r="AV44" s="309">
        <f t="shared" si="12"/>
        <v>0</v>
      </c>
      <c r="AW44" s="309">
        <f t="shared" si="12"/>
        <v>0</v>
      </c>
      <c r="AX44" s="309">
        <f t="shared" si="12"/>
        <v>0</v>
      </c>
      <c r="AY44" s="309">
        <f t="shared" si="12"/>
        <v>0</v>
      </c>
      <c r="AZ44" s="309">
        <f t="shared" si="12"/>
        <v>0</v>
      </c>
      <c r="BA44" s="309">
        <f t="shared" si="12"/>
        <v>0</v>
      </c>
      <c r="BB44" s="309">
        <f t="shared" si="12"/>
        <v>0</v>
      </c>
      <c r="BC44" s="309">
        <f t="shared" si="12"/>
        <v>0</v>
      </c>
      <c r="BD44" s="309">
        <f t="shared" si="12"/>
        <v>0</v>
      </c>
      <c r="BE44" s="309">
        <f t="shared" si="12"/>
        <v>0</v>
      </c>
      <c r="BF44" s="309">
        <f t="shared" si="12"/>
        <v>0</v>
      </c>
      <c r="BG44" s="309">
        <f t="shared" si="12"/>
        <v>0</v>
      </c>
      <c r="BH44" s="309">
        <f t="shared" si="12"/>
        <v>0</v>
      </c>
      <c r="BI44" s="309">
        <f t="shared" si="12"/>
        <v>0</v>
      </c>
      <c r="BJ44" s="309"/>
      <c r="BK44" s="309"/>
      <c r="BL44" s="309"/>
    </row>
    <row r="45" spans="1:64" ht="15" customHeight="1" x14ac:dyDescent="0.3">
      <c r="A45" s="31" t="s">
        <v>171</v>
      </c>
      <c r="B45" s="290">
        <f>IF(ISNA(VLOOKUP(A45,'Comments Feeder'!B:L,11,FALSE)),0,VLOOKUP(A45,'Comments Feeder'!B:L,11,FALSE))</f>
        <v>0</v>
      </c>
      <c r="C45" s="290">
        <f>B45-SUM(E45:AB45)</f>
        <v>0</v>
      </c>
      <c r="D45" s="262"/>
      <c r="E45" s="378"/>
      <c r="F45" s="265"/>
      <c r="G45" s="265"/>
      <c r="H45" s="378"/>
      <c r="I45" s="265"/>
      <c r="J45" s="606"/>
      <c r="K45" s="265"/>
      <c r="L45" s="265"/>
      <c r="M45" s="265"/>
      <c r="N45" s="265"/>
      <c r="O45" s="308"/>
      <c r="P45" s="308"/>
      <c r="Q45" s="308"/>
      <c r="R45" s="308"/>
      <c r="S45" s="308"/>
      <c r="T45" s="308"/>
      <c r="U45" s="308"/>
      <c r="V45" s="308"/>
      <c r="W45" s="308"/>
      <c r="X45" s="308"/>
      <c r="Y45" s="378"/>
      <c r="Z45" s="308"/>
      <c r="AA45" s="308"/>
      <c r="AB45" s="308"/>
      <c r="AC45" s="378"/>
      <c r="AD45" s="308"/>
      <c r="AE45" s="308"/>
      <c r="AF45" s="308"/>
      <c r="AG45" s="308"/>
      <c r="AH45" s="378"/>
      <c r="AI45" s="308"/>
      <c r="AJ45" s="308"/>
      <c r="AK45" s="308"/>
      <c r="AL45" s="308"/>
      <c r="AM45" s="378"/>
      <c r="AN45" s="378"/>
      <c r="AO45" s="308"/>
      <c r="AP45" s="308"/>
      <c r="AQ45" s="308"/>
      <c r="AR45" s="308"/>
      <c r="AS45" s="378"/>
      <c r="AT45" s="378"/>
      <c r="AU45" s="308"/>
      <c r="AV45" s="378"/>
      <c r="AW45" s="308"/>
      <c r="AX45" s="308"/>
      <c r="AY45" s="308"/>
      <c r="AZ45" s="308"/>
      <c r="BA45" s="378"/>
      <c r="BB45" s="378"/>
      <c r="BC45" s="308"/>
      <c r="BD45" s="378"/>
      <c r="BE45" s="308"/>
      <c r="BF45" s="308"/>
      <c r="BG45" s="308"/>
      <c r="BH45" s="308"/>
      <c r="BI45" s="308"/>
      <c r="BJ45" s="308"/>
      <c r="BK45" s="308"/>
      <c r="BL45" s="308"/>
    </row>
    <row r="46" spans="1:64" ht="15" customHeight="1" x14ac:dyDescent="0.3">
      <c r="A46" s="31" t="s">
        <v>44</v>
      </c>
      <c r="B46" s="290">
        <f>IF(ISNA(VLOOKUP(A46,'Comments Feeder'!B:L,11,FALSE)),0,VLOOKUP(A46,'Comments Feeder'!B:L,11,FALSE))</f>
        <v>15</v>
      </c>
      <c r="C46" s="290">
        <f>B46-SUM(E46:AB46)</f>
        <v>15</v>
      </c>
      <c r="D46" s="262"/>
      <c r="E46" s="378"/>
      <c r="F46" s="265"/>
      <c r="G46" s="290"/>
      <c r="H46" s="272"/>
      <c r="I46" s="308"/>
      <c r="J46" s="609"/>
      <c r="K46" s="378"/>
      <c r="L46" s="308"/>
      <c r="M46" s="308"/>
      <c r="N46" s="308"/>
      <c r="O46" s="308"/>
      <c r="P46" s="308"/>
      <c r="Q46" s="308"/>
      <c r="R46" s="270"/>
      <c r="S46" s="270"/>
      <c r="T46" s="270"/>
      <c r="U46" s="270"/>
      <c r="V46" s="270"/>
      <c r="W46" s="270"/>
      <c r="X46" s="270"/>
      <c r="Y46" s="264"/>
      <c r="Z46" s="270"/>
      <c r="AA46" s="270"/>
      <c r="AB46" s="270"/>
      <c r="AC46" s="264"/>
      <c r="AD46" s="270"/>
      <c r="AE46" s="270"/>
      <c r="AF46" s="270"/>
      <c r="AG46" s="270"/>
      <c r="AH46" s="264"/>
      <c r="AI46" s="270"/>
      <c r="AJ46" s="270"/>
      <c r="AK46" s="270"/>
      <c r="AL46" s="270"/>
      <c r="AM46" s="264"/>
      <c r="AN46" s="264"/>
      <c r="AO46" s="270"/>
      <c r="AP46" s="270"/>
      <c r="AQ46" s="270"/>
      <c r="AR46" s="270"/>
      <c r="AS46" s="264"/>
      <c r="AT46" s="264"/>
      <c r="AU46" s="270"/>
      <c r="AV46" s="264"/>
      <c r="AW46" s="270"/>
      <c r="AX46" s="270"/>
      <c r="AY46" s="270"/>
      <c r="AZ46" s="270"/>
      <c r="BA46" s="264"/>
      <c r="BB46" s="264"/>
      <c r="BC46" s="270"/>
      <c r="BD46" s="264"/>
      <c r="BE46" s="270"/>
      <c r="BF46" s="270"/>
      <c r="BG46" s="270"/>
      <c r="BH46" s="270"/>
      <c r="BI46" s="270"/>
      <c r="BJ46" s="270"/>
      <c r="BK46" s="270"/>
      <c r="BL46" s="270"/>
    </row>
    <row r="47" spans="1:64" ht="15" customHeight="1" x14ac:dyDescent="0.3">
      <c r="A47" s="32" t="s">
        <v>172</v>
      </c>
      <c r="B47" s="291">
        <f>IF(ISNA(VLOOKUP(A47,'Comments Feeder'!B:L,11,FALSE)),0,VLOOKUP(A47,'Comments Feeder'!B:L,11,FALSE))</f>
        <v>0</v>
      </c>
      <c r="C47" s="291">
        <f>SUM(C45:C46)</f>
        <v>15</v>
      </c>
      <c r="D47" s="262"/>
      <c r="E47" s="379">
        <f>SUM(E45:E46)</f>
        <v>0</v>
      </c>
      <c r="F47" s="265">
        <f t="shared" ref="F47:Z47" si="13">SUM(F45:F46)</f>
        <v>0</v>
      </c>
      <c r="G47" s="265">
        <f t="shared" si="13"/>
        <v>0</v>
      </c>
      <c r="H47" s="272">
        <f t="shared" si="13"/>
        <v>0</v>
      </c>
      <c r="I47" s="309">
        <f t="shared" si="13"/>
        <v>0</v>
      </c>
      <c r="J47" s="610">
        <f t="shared" si="13"/>
        <v>0</v>
      </c>
      <c r="K47" s="311">
        <f t="shared" si="13"/>
        <v>0</v>
      </c>
      <c r="L47" s="311">
        <f t="shared" si="13"/>
        <v>0</v>
      </c>
      <c r="M47" s="309">
        <f t="shared" si="13"/>
        <v>0</v>
      </c>
      <c r="N47" s="309">
        <f t="shared" si="13"/>
        <v>0</v>
      </c>
      <c r="O47" s="309">
        <f t="shared" si="13"/>
        <v>0</v>
      </c>
      <c r="P47" s="309">
        <f t="shared" si="13"/>
        <v>0</v>
      </c>
      <c r="Q47" s="309">
        <f t="shared" si="13"/>
        <v>0</v>
      </c>
      <c r="R47" s="311">
        <f t="shared" si="13"/>
        <v>0</v>
      </c>
      <c r="S47" s="311">
        <f t="shared" si="13"/>
        <v>0</v>
      </c>
      <c r="T47" s="311">
        <f t="shared" si="13"/>
        <v>0</v>
      </c>
      <c r="U47" s="311">
        <f t="shared" si="13"/>
        <v>0</v>
      </c>
      <c r="V47" s="311">
        <f t="shared" si="13"/>
        <v>0</v>
      </c>
      <c r="W47" s="311">
        <f t="shared" si="13"/>
        <v>0</v>
      </c>
      <c r="X47" s="311">
        <f t="shared" si="13"/>
        <v>0</v>
      </c>
      <c r="Y47" s="381">
        <f t="shared" si="13"/>
        <v>0</v>
      </c>
      <c r="Z47" s="311">
        <f t="shared" si="13"/>
        <v>0</v>
      </c>
      <c r="AA47" s="311"/>
      <c r="AB47" s="311"/>
      <c r="AC47" s="381"/>
      <c r="AD47" s="311"/>
      <c r="AE47" s="311"/>
      <c r="AF47" s="311"/>
      <c r="AG47" s="311"/>
      <c r="AH47" s="381"/>
      <c r="AI47" s="311"/>
      <c r="AJ47" s="311"/>
      <c r="AK47" s="311"/>
      <c r="AL47" s="311"/>
      <c r="AM47" s="381"/>
      <c r="AN47" s="381"/>
      <c r="AO47" s="311"/>
      <c r="AP47" s="311"/>
      <c r="AQ47" s="311"/>
      <c r="AR47" s="311"/>
      <c r="AS47" s="381"/>
      <c r="AT47" s="381"/>
      <c r="AU47" s="311"/>
      <c r="AV47" s="381"/>
      <c r="AW47" s="311"/>
      <c r="AX47" s="311"/>
      <c r="AY47" s="311"/>
      <c r="AZ47" s="311"/>
      <c r="BA47" s="381"/>
      <c r="BB47" s="381"/>
      <c r="BC47" s="311"/>
      <c r="BD47" s="381"/>
      <c r="BE47" s="311"/>
      <c r="BF47" s="311"/>
      <c r="BG47" s="311"/>
      <c r="BH47" s="311"/>
      <c r="BI47" s="311"/>
      <c r="BJ47" s="311"/>
      <c r="BK47" s="311"/>
      <c r="BL47" s="311"/>
    </row>
    <row r="48" spans="1:64" ht="15" customHeight="1" thickBot="1" x14ac:dyDescent="0.35">
      <c r="A48" s="53" t="s">
        <v>462</v>
      </c>
      <c r="B48" s="291">
        <f>B44+B47</f>
        <v>0</v>
      </c>
      <c r="C48" s="291">
        <f>C44+C47</f>
        <v>15</v>
      </c>
      <c r="D48" s="262"/>
      <c r="E48" s="589">
        <f>E44+E47</f>
        <v>0</v>
      </c>
      <c r="F48" s="589">
        <f t="shared" ref="F48:AL48" si="14">F44+F47</f>
        <v>0</v>
      </c>
      <c r="G48" s="589">
        <f t="shared" si="14"/>
        <v>0</v>
      </c>
      <c r="H48" s="589">
        <f t="shared" si="14"/>
        <v>0</v>
      </c>
      <c r="I48" s="392">
        <f t="shared" si="14"/>
        <v>0</v>
      </c>
      <c r="J48" s="607">
        <f t="shared" si="14"/>
        <v>0</v>
      </c>
      <c r="K48" s="589">
        <f t="shared" si="14"/>
        <v>0</v>
      </c>
      <c r="L48" s="589">
        <f t="shared" si="14"/>
        <v>0</v>
      </c>
      <c r="M48" s="589">
        <f t="shared" si="14"/>
        <v>0</v>
      </c>
      <c r="N48" s="589">
        <f t="shared" si="14"/>
        <v>0</v>
      </c>
      <c r="O48" s="589">
        <f t="shared" si="14"/>
        <v>0</v>
      </c>
      <c r="P48" s="589">
        <f t="shared" si="14"/>
        <v>0</v>
      </c>
      <c r="Q48" s="589">
        <f t="shared" si="14"/>
        <v>0</v>
      </c>
      <c r="R48" s="589">
        <f t="shared" si="14"/>
        <v>0</v>
      </c>
      <c r="S48" s="589">
        <f t="shared" si="14"/>
        <v>0</v>
      </c>
      <c r="T48" s="589">
        <f t="shared" si="14"/>
        <v>0</v>
      </c>
      <c r="U48" s="589">
        <f t="shared" si="14"/>
        <v>0</v>
      </c>
      <c r="V48" s="589">
        <f t="shared" si="14"/>
        <v>0</v>
      </c>
      <c r="W48" s="589">
        <f t="shared" si="14"/>
        <v>0</v>
      </c>
      <c r="X48" s="589">
        <f t="shared" si="14"/>
        <v>0</v>
      </c>
      <c r="Y48" s="589">
        <f t="shared" si="14"/>
        <v>0</v>
      </c>
      <c r="Z48" s="589">
        <f t="shared" si="14"/>
        <v>0</v>
      </c>
      <c r="AA48" s="589">
        <f t="shared" si="14"/>
        <v>0</v>
      </c>
      <c r="AB48" s="589">
        <f t="shared" si="14"/>
        <v>0</v>
      </c>
      <c r="AC48" s="589">
        <f t="shared" si="14"/>
        <v>0</v>
      </c>
      <c r="AD48" s="589">
        <f t="shared" si="14"/>
        <v>0</v>
      </c>
      <c r="AE48" s="589">
        <f t="shared" si="14"/>
        <v>0</v>
      </c>
      <c r="AF48" s="589">
        <f t="shared" si="14"/>
        <v>0</v>
      </c>
      <c r="AG48" s="589">
        <f t="shared" si="14"/>
        <v>0</v>
      </c>
      <c r="AH48" s="589">
        <f t="shared" si="14"/>
        <v>0</v>
      </c>
      <c r="AI48" s="589">
        <f t="shared" si="14"/>
        <v>0</v>
      </c>
      <c r="AJ48" s="589">
        <f t="shared" si="14"/>
        <v>0</v>
      </c>
      <c r="AK48" s="589">
        <f t="shared" si="14"/>
        <v>0</v>
      </c>
      <c r="AL48" s="589">
        <f t="shared" si="14"/>
        <v>0</v>
      </c>
      <c r="AM48" s="589">
        <f>AM44+AM47</f>
        <v>0</v>
      </c>
      <c r="AN48" s="589">
        <f t="shared" ref="AN48" si="15">AN44+AN47</f>
        <v>0</v>
      </c>
      <c r="AO48" s="589">
        <f t="shared" ref="AO48" si="16">AO44+AO47</f>
        <v>0</v>
      </c>
      <c r="AP48" s="589">
        <f t="shared" ref="AP48" si="17">AP44+AP47</f>
        <v>0</v>
      </c>
      <c r="AQ48" s="589">
        <f t="shared" ref="AQ48" si="18">AQ44+AQ47</f>
        <v>0</v>
      </c>
      <c r="AR48" s="589">
        <f t="shared" ref="AR48" si="19">AR44+AR47</f>
        <v>0</v>
      </c>
      <c r="AS48" s="589">
        <f t="shared" ref="AS48" si="20">AS44+AS47</f>
        <v>0</v>
      </c>
      <c r="AT48" s="589">
        <f t="shared" ref="AT48" si="21">AT44+AT47</f>
        <v>0</v>
      </c>
      <c r="AU48" s="589">
        <f t="shared" ref="AU48" si="22">AU44+AU47</f>
        <v>0</v>
      </c>
      <c r="AV48" s="589">
        <f t="shared" ref="AV48" si="23">AV44+AV47</f>
        <v>0</v>
      </c>
      <c r="AW48" s="589">
        <f t="shared" ref="AW48" si="24">AW44+AW47</f>
        <v>0</v>
      </c>
      <c r="AX48" s="589">
        <f t="shared" ref="AX48" si="25">AX44+AX47</f>
        <v>0</v>
      </c>
      <c r="AY48" s="589">
        <f t="shared" ref="AY48" si="26">AY44+AY47</f>
        <v>0</v>
      </c>
      <c r="AZ48" s="589">
        <f t="shared" ref="AZ48" si="27">AZ44+AZ47</f>
        <v>0</v>
      </c>
      <c r="BA48" s="589">
        <f t="shared" ref="BA48" si="28">BA44+BA47</f>
        <v>0</v>
      </c>
      <c r="BB48" s="589">
        <f t="shared" ref="BB48" si="29">BB44+BB47</f>
        <v>0</v>
      </c>
      <c r="BC48" s="589">
        <f t="shared" ref="BC48" si="30">BC44+BC47</f>
        <v>0</v>
      </c>
      <c r="BD48" s="589">
        <f t="shared" ref="BD48" si="31">BD44+BD47</f>
        <v>0</v>
      </c>
      <c r="BE48" s="589">
        <f t="shared" ref="BE48" si="32">BE44+BE47</f>
        <v>0</v>
      </c>
      <c r="BF48" s="589">
        <f t="shared" ref="BF48" si="33">BF44+BF47</f>
        <v>0</v>
      </c>
      <c r="BG48" s="589">
        <f t="shared" ref="BG48" si="34">BG44+BG47</f>
        <v>0</v>
      </c>
      <c r="BH48" s="589">
        <f t="shared" ref="BH48" si="35">BH44+BH47</f>
        <v>0</v>
      </c>
      <c r="BI48" s="589">
        <f t="shared" ref="BI48" si="36">BI44+BI47</f>
        <v>0</v>
      </c>
      <c r="BJ48" s="589"/>
      <c r="BK48" s="589"/>
      <c r="BL48" s="589"/>
    </row>
    <row r="49" spans="1:64" ht="15" customHeight="1" thickTop="1" x14ac:dyDescent="0.3">
      <c r="A49" s="31" t="s">
        <v>77</v>
      </c>
      <c r="B49" s="290">
        <f>IF(ISNA(VLOOKUP(A49,'Comments Feeder'!B:L,11,FALSE)),0,VLOOKUP(A49,'Comments Feeder'!B:L,11,FALSE))</f>
        <v>0</v>
      </c>
      <c r="C49" s="290">
        <f>B49-SUM(E49:BH49)</f>
        <v>0</v>
      </c>
      <c r="D49" s="262"/>
      <c r="E49" s="387"/>
      <c r="F49" s="387"/>
      <c r="G49" s="387"/>
      <c r="H49" s="387"/>
      <c r="I49" s="308"/>
      <c r="J49" s="611"/>
      <c r="K49" s="387"/>
      <c r="L49" s="387"/>
      <c r="M49" s="266"/>
      <c r="N49" s="266"/>
      <c r="O49" s="270"/>
      <c r="P49" s="270"/>
      <c r="Q49" s="308"/>
      <c r="R49" s="308"/>
      <c r="S49" s="308"/>
      <c r="T49" s="308"/>
      <c r="U49" s="270"/>
      <c r="V49" s="270"/>
      <c r="W49" s="270"/>
      <c r="X49" s="270"/>
      <c r="Y49" s="378"/>
      <c r="Z49" s="270"/>
      <c r="AA49" s="270"/>
      <c r="AB49" s="270"/>
      <c r="AC49" s="378"/>
      <c r="AD49" s="270"/>
      <c r="AE49" s="270"/>
      <c r="AF49" s="270"/>
      <c r="AG49" s="270"/>
      <c r="AH49" s="378"/>
      <c r="AI49" s="270"/>
      <c r="AJ49" s="270"/>
      <c r="AK49" s="270"/>
      <c r="AL49" s="270"/>
      <c r="AM49" s="378"/>
      <c r="AN49" s="378"/>
      <c r="AO49" s="270"/>
      <c r="AP49" s="270"/>
      <c r="AQ49" s="270"/>
      <c r="AR49" s="270"/>
      <c r="AS49" s="378"/>
      <c r="AT49" s="378"/>
      <c r="AU49" s="270"/>
      <c r="AV49" s="378"/>
      <c r="AW49" s="270"/>
      <c r="AX49" s="270"/>
      <c r="AY49" s="270"/>
      <c r="AZ49" s="270"/>
      <c r="BA49" s="378"/>
      <c r="BB49" s="378"/>
      <c r="BC49" s="270"/>
      <c r="BD49" s="378"/>
      <c r="BE49" s="270"/>
      <c r="BF49" s="270"/>
      <c r="BG49" s="270"/>
      <c r="BH49" s="270"/>
      <c r="BI49" s="270"/>
      <c r="BJ49" s="270"/>
      <c r="BK49" s="270"/>
      <c r="BL49" s="270"/>
    </row>
    <row r="50" spans="1:64" ht="15" customHeight="1" x14ac:dyDescent="0.3">
      <c r="A50" s="31" t="s">
        <v>78</v>
      </c>
      <c r="B50" s="290">
        <f>IF(ISNA(VLOOKUP(A50,'Comments Feeder'!B:L,11,FALSE)),0,VLOOKUP(A50,'Comments Feeder'!B:L,11,FALSE))</f>
        <v>52</v>
      </c>
      <c r="C50" s="290">
        <f>B50-SUM(E50:AB50)</f>
        <v>52</v>
      </c>
      <c r="D50" s="262"/>
      <c r="E50" s="378"/>
      <c r="F50" s="308"/>
      <c r="G50" s="308"/>
      <c r="H50" s="378"/>
      <c r="I50" s="378"/>
      <c r="J50" s="521"/>
      <c r="K50" s="266"/>
      <c r="L50" s="266"/>
      <c r="M50" s="387"/>
      <c r="N50" s="387"/>
      <c r="O50" s="308"/>
      <c r="P50" s="308"/>
      <c r="Q50" s="308"/>
      <c r="R50" s="308"/>
      <c r="S50" s="308"/>
      <c r="T50" s="308"/>
      <c r="U50" s="308"/>
      <c r="V50" s="308"/>
      <c r="W50" s="308"/>
      <c r="X50" s="308"/>
      <c r="Y50" s="378"/>
      <c r="Z50" s="378"/>
      <c r="AA50" s="378"/>
      <c r="AB50" s="308"/>
      <c r="AC50" s="378"/>
      <c r="AD50" s="308"/>
      <c r="AE50" s="308"/>
      <c r="AF50" s="378"/>
      <c r="AG50" s="308"/>
      <c r="AH50" s="378"/>
      <c r="AI50" s="308"/>
      <c r="AJ50" s="308"/>
      <c r="AK50" s="378"/>
      <c r="AL50" s="308"/>
      <c r="AM50" s="378"/>
      <c r="AN50" s="378"/>
      <c r="AO50" s="308"/>
      <c r="AP50" s="308"/>
      <c r="AQ50" s="378"/>
      <c r="AR50" s="308"/>
      <c r="AS50" s="378"/>
      <c r="AT50" s="378"/>
      <c r="AU50" s="308"/>
      <c r="AV50" s="378"/>
      <c r="AW50" s="308"/>
      <c r="AX50" s="308"/>
      <c r="AY50" s="378"/>
      <c r="AZ50" s="308"/>
      <c r="BA50" s="378"/>
      <c r="BB50" s="378"/>
      <c r="BC50" s="308"/>
      <c r="BD50" s="378"/>
      <c r="BE50" s="308"/>
      <c r="BF50" s="308"/>
      <c r="BG50" s="308"/>
      <c r="BH50" s="308"/>
      <c r="BI50" s="308"/>
      <c r="BJ50" s="308"/>
      <c r="BK50" s="308"/>
      <c r="BL50" s="308"/>
    </row>
    <row r="51" spans="1:64" ht="15" customHeight="1" x14ac:dyDescent="0.3">
      <c r="A51" s="31" t="s">
        <v>79</v>
      </c>
      <c r="B51" s="290">
        <f>IF(ISNA(VLOOKUP(A51,'Comments Feeder'!B:L,11,FALSE)),0,VLOOKUP(A51,'Comments Feeder'!B:L,11,FALSE))</f>
        <v>0</v>
      </c>
      <c r="C51" s="290">
        <f>B51-SUM(E51:AB51)</f>
        <v>0</v>
      </c>
      <c r="D51" s="262"/>
      <c r="E51" s="378"/>
      <c r="F51" s="266"/>
      <c r="G51" s="308"/>
      <c r="H51" s="263"/>
      <c r="I51" s="378"/>
      <c r="J51" s="521"/>
      <c r="K51" s="266"/>
      <c r="L51" s="266"/>
      <c r="M51" s="266"/>
      <c r="N51" s="266"/>
      <c r="O51" s="270"/>
      <c r="P51" s="270"/>
      <c r="Q51" s="270"/>
      <c r="R51" s="270"/>
      <c r="S51" s="270"/>
      <c r="T51" s="308"/>
      <c r="U51" s="270"/>
      <c r="V51" s="270"/>
      <c r="W51" s="270"/>
      <c r="X51" s="270"/>
      <c r="Y51" s="308"/>
      <c r="Z51" s="308"/>
      <c r="AA51" s="308"/>
      <c r="AB51" s="270"/>
      <c r="AC51" s="264"/>
      <c r="AD51" s="270"/>
      <c r="AE51" s="270"/>
      <c r="AF51" s="308"/>
      <c r="AG51" s="270"/>
      <c r="AH51" s="264"/>
      <c r="AI51" s="270"/>
      <c r="AJ51" s="270"/>
      <c r="AK51" s="308"/>
      <c r="AL51" s="270"/>
      <c r="AM51" s="264"/>
      <c r="AN51" s="264"/>
      <c r="AO51" s="270"/>
      <c r="AP51" s="270"/>
      <c r="AQ51" s="308"/>
      <c r="AR51" s="270"/>
      <c r="AS51" s="264"/>
      <c r="AT51" s="264"/>
      <c r="AU51" s="270"/>
      <c r="AV51" s="264"/>
      <c r="AW51" s="270"/>
      <c r="AX51" s="270"/>
      <c r="AY51" s="308"/>
      <c r="AZ51" s="270"/>
      <c r="BA51" s="264"/>
      <c r="BB51" s="264"/>
      <c r="BC51" s="270"/>
      <c r="BD51" s="264"/>
      <c r="BE51" s="270"/>
      <c r="BF51" s="270"/>
      <c r="BG51" s="270"/>
      <c r="BH51" s="270"/>
      <c r="BI51" s="270"/>
      <c r="BJ51" s="270"/>
      <c r="BK51" s="270"/>
      <c r="BL51" s="270"/>
    </row>
    <row r="52" spans="1:64" ht="15" customHeight="1" x14ac:dyDescent="0.3">
      <c r="A52" s="32" t="s">
        <v>80</v>
      </c>
      <c r="B52" s="291">
        <f>IF(ISNA(VLOOKUP(A52,'Comments Feeder'!B:L,11,FALSE)),0,VLOOKUP(A52,'Comments Feeder'!B:L,11,FALSE))</f>
        <v>52</v>
      </c>
      <c r="C52" s="291">
        <f>SUM(C49:C51)</f>
        <v>52</v>
      </c>
      <c r="D52" s="271"/>
      <c r="E52" s="379">
        <f>SUM(E49:E51)</f>
        <v>0</v>
      </c>
      <c r="F52" s="309">
        <f t="shared" ref="F52:BH52" si="37">SUM(F49:F51)</f>
        <v>0</v>
      </c>
      <c r="G52" s="309">
        <f t="shared" si="37"/>
        <v>0</v>
      </c>
      <c r="H52" s="309">
        <f t="shared" si="37"/>
        <v>0</v>
      </c>
      <c r="I52" s="309">
        <f t="shared" si="37"/>
        <v>0</v>
      </c>
      <c r="J52" s="518">
        <f t="shared" si="37"/>
        <v>0</v>
      </c>
      <c r="K52" s="309">
        <f t="shared" si="37"/>
        <v>0</v>
      </c>
      <c r="L52" s="309">
        <f t="shared" si="37"/>
        <v>0</v>
      </c>
      <c r="M52" s="265">
        <f t="shared" si="37"/>
        <v>0</v>
      </c>
      <c r="N52" s="265">
        <f t="shared" si="37"/>
        <v>0</v>
      </c>
      <c r="O52" s="309">
        <f t="shared" si="37"/>
        <v>0</v>
      </c>
      <c r="P52" s="309">
        <f t="shared" si="37"/>
        <v>0</v>
      </c>
      <c r="Q52" s="309">
        <f t="shared" si="37"/>
        <v>0</v>
      </c>
      <c r="R52" s="309">
        <f t="shared" si="37"/>
        <v>0</v>
      </c>
      <c r="S52" s="309">
        <f t="shared" si="37"/>
        <v>0</v>
      </c>
      <c r="T52" s="309">
        <f t="shared" si="37"/>
        <v>0</v>
      </c>
      <c r="U52" s="309">
        <f t="shared" si="37"/>
        <v>0</v>
      </c>
      <c r="V52" s="309">
        <f t="shared" si="37"/>
        <v>0</v>
      </c>
      <c r="W52" s="309">
        <f t="shared" si="37"/>
        <v>0</v>
      </c>
      <c r="X52" s="309">
        <f t="shared" si="37"/>
        <v>0</v>
      </c>
      <c r="Y52" s="309">
        <f t="shared" si="37"/>
        <v>0</v>
      </c>
      <c r="Z52" s="309">
        <f t="shared" si="37"/>
        <v>0</v>
      </c>
      <c r="AA52" s="309">
        <f t="shared" si="37"/>
        <v>0</v>
      </c>
      <c r="AB52" s="309">
        <f t="shared" si="37"/>
        <v>0</v>
      </c>
      <c r="AC52" s="309">
        <f t="shared" si="37"/>
        <v>0</v>
      </c>
      <c r="AD52" s="309">
        <f t="shared" si="37"/>
        <v>0</v>
      </c>
      <c r="AE52" s="309">
        <f t="shared" si="37"/>
        <v>0</v>
      </c>
      <c r="AF52" s="309">
        <f t="shared" si="37"/>
        <v>0</v>
      </c>
      <c r="AG52" s="309">
        <f t="shared" si="37"/>
        <v>0</v>
      </c>
      <c r="AH52" s="309">
        <f t="shared" si="37"/>
        <v>0</v>
      </c>
      <c r="AI52" s="309">
        <f t="shared" si="37"/>
        <v>0</v>
      </c>
      <c r="AJ52" s="309">
        <f t="shared" si="37"/>
        <v>0</v>
      </c>
      <c r="AK52" s="309">
        <f t="shared" si="37"/>
        <v>0</v>
      </c>
      <c r="AL52" s="309">
        <f t="shared" si="37"/>
        <v>0</v>
      </c>
      <c r="AM52" s="309">
        <f t="shared" si="37"/>
        <v>0</v>
      </c>
      <c r="AN52" s="309">
        <f t="shared" si="37"/>
        <v>0</v>
      </c>
      <c r="AO52" s="309">
        <f t="shared" si="37"/>
        <v>0</v>
      </c>
      <c r="AP52" s="309">
        <f t="shared" si="37"/>
        <v>0</v>
      </c>
      <c r="AQ52" s="309">
        <f t="shared" si="37"/>
        <v>0</v>
      </c>
      <c r="AR52" s="309">
        <f t="shared" si="37"/>
        <v>0</v>
      </c>
      <c r="AS52" s="309">
        <f t="shared" si="37"/>
        <v>0</v>
      </c>
      <c r="AT52" s="309">
        <f t="shared" si="37"/>
        <v>0</v>
      </c>
      <c r="AU52" s="309">
        <f t="shared" si="37"/>
        <v>0</v>
      </c>
      <c r="AV52" s="309">
        <f t="shared" si="37"/>
        <v>0</v>
      </c>
      <c r="AW52" s="309">
        <f t="shared" si="37"/>
        <v>0</v>
      </c>
      <c r="AX52" s="309">
        <f t="shared" si="37"/>
        <v>0</v>
      </c>
      <c r="AY52" s="309">
        <f t="shared" si="37"/>
        <v>0</v>
      </c>
      <c r="AZ52" s="309">
        <f t="shared" si="37"/>
        <v>0</v>
      </c>
      <c r="BA52" s="309">
        <f t="shared" si="37"/>
        <v>0</v>
      </c>
      <c r="BB52" s="309">
        <f t="shared" si="37"/>
        <v>0</v>
      </c>
      <c r="BC52" s="309">
        <f t="shared" si="37"/>
        <v>0</v>
      </c>
      <c r="BD52" s="309">
        <f t="shared" si="37"/>
        <v>0</v>
      </c>
      <c r="BE52" s="309">
        <f t="shared" si="37"/>
        <v>0</v>
      </c>
      <c r="BF52" s="309">
        <f t="shared" si="37"/>
        <v>0</v>
      </c>
      <c r="BG52" s="309">
        <f t="shared" si="37"/>
        <v>0</v>
      </c>
      <c r="BH52" s="309">
        <f t="shared" si="37"/>
        <v>0</v>
      </c>
      <c r="BI52" s="309"/>
      <c r="BJ52" s="309"/>
      <c r="BK52" s="309"/>
      <c r="BL52" s="309"/>
    </row>
    <row r="53" spans="1:64" ht="15" customHeight="1" x14ac:dyDescent="0.3">
      <c r="A53" s="31" t="s">
        <v>82</v>
      </c>
      <c r="B53" s="290">
        <f>IF(ISNA(VLOOKUP(A53,'Comments Feeder'!B:L,11,FALSE)),0,VLOOKUP(A53,'Comments Feeder'!B:L,11,FALSE))</f>
        <v>0</v>
      </c>
      <c r="C53" s="290">
        <f t="shared" ref="C53:C62" si="38">B53-SUM(E53:AB53)</f>
        <v>0</v>
      </c>
      <c r="D53" s="262"/>
      <c r="E53" s="263"/>
      <c r="F53" s="266"/>
      <c r="G53" s="266"/>
      <c r="H53" s="263"/>
      <c r="I53" s="266"/>
      <c r="J53" s="521"/>
      <c r="K53" s="266"/>
      <c r="L53" s="266"/>
      <c r="M53" s="266"/>
      <c r="N53" s="266"/>
      <c r="O53" s="270"/>
      <c r="P53" s="270"/>
      <c r="Q53" s="270"/>
      <c r="R53" s="270"/>
      <c r="S53" s="270"/>
      <c r="T53" s="270"/>
      <c r="U53" s="270"/>
      <c r="V53" s="270"/>
      <c r="W53" s="270"/>
      <c r="X53" s="270"/>
      <c r="Y53" s="264"/>
      <c r="Z53" s="270"/>
      <c r="AA53" s="270"/>
      <c r="AB53" s="270"/>
      <c r="AC53" s="264"/>
      <c r="AD53" s="270"/>
      <c r="AE53" s="270"/>
      <c r="AF53" s="270"/>
      <c r="AG53" s="270"/>
      <c r="AH53" s="264"/>
      <c r="AI53" s="270"/>
      <c r="AJ53" s="270"/>
      <c r="AK53" s="270"/>
      <c r="AL53" s="270"/>
      <c r="AM53" s="264"/>
      <c r="AN53" s="264"/>
      <c r="AO53" s="270"/>
      <c r="AP53" s="270"/>
      <c r="AQ53" s="270"/>
      <c r="AR53" s="270"/>
      <c r="AS53" s="264"/>
      <c r="AT53" s="264"/>
      <c r="AU53" s="270"/>
      <c r="AV53" s="264"/>
      <c r="AW53" s="270"/>
      <c r="AX53" s="270"/>
      <c r="AY53" s="270"/>
      <c r="AZ53" s="270"/>
      <c r="BA53" s="264"/>
      <c r="BB53" s="264"/>
      <c r="BC53" s="270"/>
      <c r="BD53" s="264"/>
      <c r="BE53" s="270"/>
      <c r="BF53" s="270"/>
      <c r="BG53" s="270"/>
      <c r="BH53" s="270"/>
      <c r="BI53" s="270"/>
      <c r="BJ53" s="270"/>
      <c r="BK53" s="270"/>
      <c r="BL53" s="270"/>
    </row>
    <row r="54" spans="1:64" ht="15" customHeight="1" x14ac:dyDescent="0.3">
      <c r="A54" s="31" t="s">
        <v>83</v>
      </c>
      <c r="B54" s="290">
        <f>IF(ISNA(VLOOKUP(A54,'Comments Feeder'!B:L,11,FALSE)),0,VLOOKUP(A54,'Comments Feeder'!B:L,11,FALSE))</f>
        <v>0</v>
      </c>
      <c r="C54" s="290">
        <f t="shared" si="38"/>
        <v>0</v>
      </c>
      <c r="D54" s="262"/>
      <c r="E54" s="263"/>
      <c r="F54" s="266"/>
      <c r="G54" s="266"/>
      <c r="H54" s="266"/>
      <c r="I54" s="266"/>
      <c r="J54" s="521"/>
      <c r="K54" s="266"/>
      <c r="L54" s="266"/>
      <c r="M54" s="266"/>
      <c r="N54" s="266"/>
      <c r="O54" s="270"/>
      <c r="P54" s="270"/>
      <c r="Q54" s="270"/>
      <c r="R54" s="270"/>
      <c r="S54" s="270"/>
      <c r="T54" s="270"/>
      <c r="U54" s="270"/>
      <c r="V54" s="270"/>
      <c r="W54" s="270"/>
      <c r="X54" s="270"/>
      <c r="Y54" s="264"/>
      <c r="Z54" s="270"/>
      <c r="AA54" s="270"/>
      <c r="AB54" s="270"/>
      <c r="AC54" s="264"/>
      <c r="AD54" s="270"/>
      <c r="AE54" s="270"/>
      <c r="AF54" s="270"/>
      <c r="AG54" s="270"/>
      <c r="AH54" s="264"/>
      <c r="AI54" s="270"/>
      <c r="AJ54" s="270"/>
      <c r="AK54" s="270"/>
      <c r="AL54" s="270"/>
      <c r="AM54" s="264"/>
      <c r="AN54" s="264"/>
      <c r="AO54" s="270"/>
      <c r="AP54" s="270"/>
      <c r="AQ54" s="270"/>
      <c r="AR54" s="270"/>
      <c r="AS54" s="264"/>
      <c r="AT54" s="264"/>
      <c r="AU54" s="270"/>
      <c r="AV54" s="264"/>
      <c r="AW54" s="270"/>
      <c r="AX54" s="270"/>
      <c r="AY54" s="270"/>
      <c r="AZ54" s="270"/>
      <c r="BA54" s="264"/>
      <c r="BB54" s="264"/>
      <c r="BC54" s="270"/>
      <c r="BD54" s="264"/>
      <c r="BE54" s="270"/>
      <c r="BF54" s="270"/>
      <c r="BG54" s="270"/>
      <c r="BH54" s="270"/>
      <c r="BI54" s="270"/>
      <c r="BJ54" s="270"/>
      <c r="BK54" s="270"/>
      <c r="BL54" s="270"/>
    </row>
    <row r="55" spans="1:64" ht="15" customHeight="1" x14ac:dyDescent="0.3">
      <c r="A55" s="31" t="s">
        <v>84</v>
      </c>
      <c r="B55" s="290">
        <f>IF(ISNA(VLOOKUP(A55,'Comments Feeder'!B:L,11,FALSE)),0,VLOOKUP(A55,'Comments Feeder'!B:L,11,FALSE))</f>
        <v>0</v>
      </c>
      <c r="C55" s="290">
        <f t="shared" si="38"/>
        <v>0</v>
      </c>
      <c r="D55" s="262"/>
      <c r="E55" s="266"/>
      <c r="F55" s="266"/>
      <c r="G55" s="266"/>
      <c r="H55" s="266"/>
      <c r="I55" s="266"/>
      <c r="J55" s="521"/>
      <c r="K55" s="266"/>
      <c r="L55" s="266"/>
      <c r="M55" s="266"/>
      <c r="N55" s="266"/>
      <c r="O55" s="270"/>
      <c r="P55" s="270"/>
      <c r="Q55" s="270"/>
      <c r="R55" s="270"/>
      <c r="S55" s="270"/>
      <c r="T55" s="270"/>
      <c r="U55" s="270"/>
      <c r="V55" s="270"/>
      <c r="W55" s="270"/>
      <c r="X55" s="270"/>
      <c r="Y55" s="264"/>
      <c r="Z55" s="270"/>
      <c r="AA55" s="270"/>
      <c r="AB55" s="270"/>
      <c r="AC55" s="264"/>
      <c r="AD55" s="270"/>
      <c r="AE55" s="270"/>
      <c r="AF55" s="270"/>
      <c r="AG55" s="270"/>
      <c r="AH55" s="264"/>
      <c r="AI55" s="270"/>
      <c r="AJ55" s="270"/>
      <c r="AK55" s="270"/>
      <c r="AL55" s="270"/>
      <c r="AM55" s="264"/>
      <c r="AN55" s="264"/>
      <c r="AO55" s="270"/>
      <c r="AP55" s="270"/>
      <c r="AQ55" s="270"/>
      <c r="AR55" s="270"/>
      <c r="AS55" s="264"/>
      <c r="AT55" s="264"/>
      <c r="AU55" s="270"/>
      <c r="AV55" s="264"/>
      <c r="AW55" s="270"/>
      <c r="AX55" s="270"/>
      <c r="AY55" s="270"/>
      <c r="AZ55" s="270"/>
      <c r="BA55" s="264"/>
      <c r="BB55" s="264"/>
      <c r="BC55" s="270"/>
      <c r="BD55" s="264"/>
      <c r="BE55" s="270"/>
      <c r="BF55" s="270"/>
      <c r="BG55" s="270"/>
      <c r="BH55" s="270"/>
      <c r="BI55" s="270"/>
      <c r="BJ55" s="270"/>
      <c r="BK55" s="270"/>
      <c r="BL55" s="270"/>
    </row>
    <row r="56" spans="1:64" ht="15" customHeight="1" x14ac:dyDescent="0.3">
      <c r="A56" s="31" t="s">
        <v>85</v>
      </c>
      <c r="B56" s="290">
        <f>IF(ISNA(VLOOKUP(A56,'Comments Feeder'!B:L,11,FALSE)),0,VLOOKUP(A56,'Comments Feeder'!B:L,11,FALSE))</f>
        <v>0</v>
      </c>
      <c r="C56" s="290">
        <f t="shared" si="38"/>
        <v>0</v>
      </c>
      <c r="D56" s="273"/>
      <c r="E56" s="266"/>
      <c r="F56" s="275"/>
      <c r="G56" s="275"/>
      <c r="H56" s="274"/>
      <c r="I56" s="275"/>
      <c r="J56" s="522"/>
      <c r="K56" s="275"/>
      <c r="L56" s="275"/>
      <c r="M56" s="275"/>
      <c r="N56" s="275"/>
      <c r="O56" s="270"/>
      <c r="P56" s="270"/>
      <c r="Q56" s="270"/>
      <c r="R56" s="270"/>
      <c r="S56" s="270"/>
      <c r="T56" s="270"/>
      <c r="U56" s="270"/>
      <c r="V56" s="270"/>
      <c r="W56" s="270"/>
      <c r="X56" s="270"/>
      <c r="Y56" s="264"/>
      <c r="Z56" s="270"/>
      <c r="AA56" s="270"/>
      <c r="AB56" s="270"/>
      <c r="AC56" s="264"/>
      <c r="AD56" s="270"/>
      <c r="AE56" s="270"/>
      <c r="AF56" s="270"/>
      <c r="AG56" s="270"/>
      <c r="AH56" s="264"/>
      <c r="AI56" s="270"/>
      <c r="AJ56" s="270"/>
      <c r="AK56" s="270"/>
      <c r="AL56" s="270"/>
      <c r="AM56" s="264"/>
      <c r="AN56" s="264"/>
      <c r="AO56" s="270"/>
      <c r="AP56" s="270"/>
      <c r="AQ56" s="270"/>
      <c r="AR56" s="270"/>
      <c r="AS56" s="264"/>
      <c r="AT56" s="264"/>
      <c r="AU56" s="270"/>
      <c r="AV56" s="264"/>
      <c r="AW56" s="270"/>
      <c r="AX56" s="270"/>
      <c r="AY56" s="270"/>
      <c r="AZ56" s="270"/>
      <c r="BA56" s="264"/>
      <c r="BB56" s="264"/>
      <c r="BC56" s="270"/>
      <c r="BD56" s="264"/>
      <c r="BE56" s="270"/>
      <c r="BF56" s="270"/>
      <c r="BG56" s="270"/>
      <c r="BH56" s="270"/>
      <c r="BI56" s="270"/>
      <c r="BJ56" s="270"/>
      <c r="BK56" s="270"/>
      <c r="BL56" s="270"/>
    </row>
    <row r="57" spans="1:64" ht="15" customHeight="1" x14ac:dyDescent="0.3">
      <c r="A57" s="31" t="s">
        <v>86</v>
      </c>
      <c r="B57" s="290">
        <f>IF(ISNA(VLOOKUP(A57,'Comments Feeder'!B:L,11,FALSE)),0,VLOOKUP(A57,'Comments Feeder'!B:L,11,FALSE))</f>
        <v>0</v>
      </c>
      <c r="C57" s="290">
        <f t="shared" si="38"/>
        <v>0</v>
      </c>
      <c r="D57" s="271"/>
      <c r="E57" s="266"/>
      <c r="F57" s="265"/>
      <c r="G57" s="265"/>
      <c r="H57" s="265"/>
      <c r="I57" s="265"/>
      <c r="J57" s="606"/>
      <c r="K57" s="265"/>
      <c r="L57" s="265"/>
      <c r="M57" s="265"/>
      <c r="N57" s="265"/>
      <c r="O57" s="270"/>
      <c r="P57" s="270"/>
      <c r="Q57" s="270"/>
      <c r="R57" s="270"/>
      <c r="S57" s="270"/>
      <c r="T57" s="270"/>
      <c r="U57" s="270"/>
      <c r="V57" s="270"/>
      <c r="W57" s="270"/>
      <c r="X57" s="270"/>
      <c r="Y57" s="264"/>
      <c r="Z57" s="270"/>
      <c r="AA57" s="270"/>
      <c r="AB57" s="270"/>
      <c r="AC57" s="264"/>
      <c r="AD57" s="270"/>
      <c r="AE57" s="270"/>
      <c r="AF57" s="270"/>
      <c r="AG57" s="270"/>
      <c r="AH57" s="264"/>
      <c r="AI57" s="270"/>
      <c r="AJ57" s="270"/>
      <c r="AK57" s="270"/>
      <c r="AL57" s="270"/>
      <c r="AM57" s="264"/>
      <c r="AN57" s="264"/>
      <c r="AO57" s="270"/>
      <c r="AP57" s="270"/>
      <c r="AQ57" s="270"/>
      <c r="AR57" s="270"/>
      <c r="AS57" s="264"/>
      <c r="AT57" s="264"/>
      <c r="AU57" s="270"/>
      <c r="AV57" s="264"/>
      <c r="AW57" s="270"/>
      <c r="AX57" s="270"/>
      <c r="AY57" s="270"/>
      <c r="AZ57" s="270"/>
      <c r="BA57" s="264"/>
      <c r="BB57" s="264"/>
      <c r="BC57" s="270"/>
      <c r="BD57" s="264"/>
      <c r="BE57" s="270"/>
      <c r="BF57" s="270"/>
      <c r="BG57" s="270"/>
      <c r="BH57" s="270"/>
      <c r="BI57" s="270"/>
      <c r="BJ57" s="270"/>
      <c r="BK57" s="270"/>
      <c r="BL57" s="270"/>
    </row>
    <row r="58" spans="1:64" ht="15" customHeight="1" x14ac:dyDescent="0.3">
      <c r="A58" s="31" t="s">
        <v>87</v>
      </c>
      <c r="B58" s="290">
        <f>IF(ISNA(VLOOKUP(A58,'Comments Feeder'!B:L,11,FALSE)),0,VLOOKUP(A58,'Comments Feeder'!B:L,11,FALSE))</f>
        <v>0</v>
      </c>
      <c r="C58" s="290">
        <f t="shared" si="38"/>
        <v>0</v>
      </c>
      <c r="D58" s="262"/>
      <c r="E58" s="266"/>
      <c r="F58" s="267"/>
      <c r="G58" s="267"/>
      <c r="H58" s="267"/>
      <c r="I58" s="267"/>
      <c r="J58" s="606"/>
      <c r="K58" s="267"/>
      <c r="L58" s="267"/>
      <c r="M58" s="267"/>
      <c r="N58" s="267"/>
      <c r="O58" s="270"/>
      <c r="P58" s="270"/>
      <c r="Q58" s="270"/>
      <c r="R58" s="270"/>
      <c r="S58" s="270"/>
      <c r="T58" s="270"/>
      <c r="U58" s="270"/>
      <c r="V58" s="270"/>
      <c r="W58" s="270"/>
      <c r="X58" s="270"/>
      <c r="Y58" s="264"/>
      <c r="Z58" s="270"/>
      <c r="AA58" s="270"/>
      <c r="AB58" s="270"/>
      <c r="AC58" s="264"/>
      <c r="AD58" s="270"/>
      <c r="AE58" s="270"/>
      <c r="AF58" s="270"/>
      <c r="AG58" s="270"/>
      <c r="AH58" s="264"/>
      <c r="AI58" s="270"/>
      <c r="AJ58" s="270"/>
      <c r="AK58" s="270"/>
      <c r="AL58" s="270"/>
      <c r="AM58" s="264"/>
      <c r="AN58" s="264"/>
      <c r="AO58" s="270"/>
      <c r="AP58" s="270"/>
      <c r="AQ58" s="270"/>
      <c r="AR58" s="270"/>
      <c r="AS58" s="264"/>
      <c r="AT58" s="264"/>
      <c r="AU58" s="270"/>
      <c r="AV58" s="264"/>
      <c r="AW58" s="270"/>
      <c r="AX58" s="270"/>
      <c r="AY58" s="270"/>
      <c r="AZ58" s="270"/>
      <c r="BA58" s="264"/>
      <c r="BB58" s="264"/>
      <c r="BC58" s="270"/>
      <c r="BD58" s="264"/>
      <c r="BE58" s="270"/>
      <c r="BF58" s="270"/>
      <c r="BG58" s="270"/>
      <c r="BH58" s="270"/>
      <c r="BI58" s="270"/>
      <c r="BJ58" s="270"/>
      <c r="BK58" s="270"/>
      <c r="BL58" s="270"/>
    </row>
    <row r="59" spans="1:64" ht="15" customHeight="1" x14ac:dyDescent="0.3">
      <c r="A59" s="31" t="s">
        <v>88</v>
      </c>
      <c r="B59" s="290">
        <f>IF(ISNA(VLOOKUP(A59,'Comments Feeder'!B:L,11,FALSE)),0,VLOOKUP(A59,'Comments Feeder'!B:L,11,FALSE))</f>
        <v>0</v>
      </c>
      <c r="C59" s="290">
        <f t="shared" si="38"/>
        <v>0</v>
      </c>
      <c r="D59" s="273"/>
      <c r="E59" s="266"/>
      <c r="F59" s="275"/>
      <c r="G59" s="275"/>
      <c r="H59" s="274"/>
      <c r="I59" s="275"/>
      <c r="J59" s="522"/>
      <c r="K59" s="275"/>
      <c r="L59" s="275"/>
      <c r="M59" s="275"/>
      <c r="N59" s="275"/>
      <c r="O59" s="270"/>
      <c r="P59" s="270"/>
      <c r="Q59" s="270"/>
      <c r="R59" s="270"/>
      <c r="S59" s="270"/>
      <c r="T59" s="270"/>
      <c r="U59" s="270"/>
      <c r="V59" s="270"/>
      <c r="W59" s="270"/>
      <c r="X59" s="270"/>
      <c r="Y59" s="264"/>
      <c r="Z59" s="270"/>
      <c r="AA59" s="270"/>
      <c r="AB59" s="270"/>
      <c r="AC59" s="264"/>
      <c r="AD59" s="270"/>
      <c r="AE59" s="270"/>
      <c r="AF59" s="270"/>
      <c r="AG59" s="270"/>
      <c r="AH59" s="264"/>
      <c r="AI59" s="270"/>
      <c r="AJ59" s="270"/>
      <c r="AK59" s="270"/>
      <c r="AL59" s="270"/>
      <c r="AM59" s="264"/>
      <c r="AN59" s="264"/>
      <c r="AO59" s="270"/>
      <c r="AP59" s="270"/>
      <c r="AQ59" s="270"/>
      <c r="AR59" s="270"/>
      <c r="AS59" s="264"/>
      <c r="AT59" s="264"/>
      <c r="AU59" s="270"/>
      <c r="AV59" s="264"/>
      <c r="AW59" s="270"/>
      <c r="AX59" s="270"/>
      <c r="AY59" s="270"/>
      <c r="AZ59" s="270"/>
      <c r="BA59" s="264"/>
      <c r="BB59" s="264"/>
      <c r="BC59" s="270"/>
      <c r="BD59" s="264"/>
      <c r="BE59" s="270"/>
      <c r="BF59" s="270"/>
      <c r="BG59" s="270"/>
      <c r="BH59" s="270"/>
      <c r="BI59" s="270"/>
      <c r="BJ59" s="270"/>
      <c r="BK59" s="270"/>
      <c r="BL59" s="270"/>
    </row>
    <row r="60" spans="1:64" ht="15" customHeight="1" x14ac:dyDescent="0.3">
      <c r="A60" s="31" t="s">
        <v>89</v>
      </c>
      <c r="B60" s="290">
        <f>IF(ISNA(VLOOKUP(A60,'Comments Feeder'!B:L,11,FALSE)),0,VLOOKUP(A60,'Comments Feeder'!B:L,11,FALSE))</f>
        <v>0</v>
      </c>
      <c r="C60" s="290">
        <f t="shared" si="38"/>
        <v>0</v>
      </c>
      <c r="D60" s="262"/>
      <c r="E60" s="266"/>
      <c r="F60" s="266"/>
      <c r="G60" s="266"/>
      <c r="H60" s="266"/>
      <c r="I60" s="266"/>
      <c r="J60" s="521"/>
      <c r="K60" s="266"/>
      <c r="L60" s="266"/>
      <c r="M60" s="266"/>
      <c r="N60" s="266"/>
      <c r="O60" s="270"/>
      <c r="P60" s="270"/>
      <c r="Q60" s="270"/>
      <c r="R60" s="270"/>
      <c r="S60" s="270"/>
      <c r="T60" s="270"/>
      <c r="U60" s="270"/>
      <c r="V60" s="270"/>
      <c r="W60" s="270"/>
      <c r="X60" s="270"/>
      <c r="Y60" s="264"/>
      <c r="Z60" s="270"/>
      <c r="AA60" s="270"/>
      <c r="AB60" s="270"/>
      <c r="AC60" s="264"/>
      <c r="AD60" s="270"/>
      <c r="AE60" s="270"/>
      <c r="AF60" s="270"/>
      <c r="AG60" s="270"/>
      <c r="AH60" s="264"/>
      <c r="AI60" s="270"/>
      <c r="AJ60" s="270"/>
      <c r="AK60" s="270"/>
      <c r="AL60" s="270"/>
      <c r="AM60" s="264"/>
      <c r="AN60" s="264"/>
      <c r="AO60" s="270"/>
      <c r="AP60" s="270"/>
      <c r="AQ60" s="270"/>
      <c r="AR60" s="270"/>
      <c r="AS60" s="264"/>
      <c r="AT60" s="264"/>
      <c r="AU60" s="270"/>
      <c r="AV60" s="264"/>
      <c r="AW60" s="270"/>
      <c r="AX60" s="270"/>
      <c r="AY60" s="270"/>
      <c r="AZ60" s="270"/>
      <c r="BA60" s="264"/>
      <c r="BB60" s="264"/>
      <c r="BC60" s="270"/>
      <c r="BD60" s="264"/>
      <c r="BE60" s="270"/>
      <c r="BF60" s="270"/>
      <c r="BG60" s="270"/>
      <c r="BH60" s="270"/>
      <c r="BI60" s="270"/>
      <c r="BJ60" s="270"/>
      <c r="BK60" s="270"/>
      <c r="BL60" s="270"/>
    </row>
    <row r="61" spans="1:64" ht="15" customHeight="1" x14ac:dyDescent="0.3">
      <c r="A61" s="31" t="s">
        <v>90</v>
      </c>
      <c r="B61" s="290">
        <f>IF(ISNA(VLOOKUP(A61,'Comments Feeder'!B:L,11,FALSE)),0,VLOOKUP(A61,'Comments Feeder'!B:L,11,FALSE))</f>
        <v>0</v>
      </c>
      <c r="C61" s="290">
        <f t="shared" si="38"/>
        <v>0</v>
      </c>
      <c r="D61" s="262"/>
      <c r="E61" s="266"/>
      <c r="F61" s="266"/>
      <c r="G61" s="266"/>
      <c r="H61" s="266"/>
      <c r="I61" s="266"/>
      <c r="J61" s="521"/>
      <c r="K61" s="266"/>
      <c r="L61" s="266"/>
      <c r="M61" s="266"/>
      <c r="N61" s="266"/>
      <c r="O61" s="270"/>
      <c r="P61" s="270"/>
      <c r="Q61" s="270"/>
      <c r="R61" s="270"/>
      <c r="S61" s="270"/>
      <c r="T61" s="270"/>
      <c r="U61" s="270"/>
      <c r="V61" s="270"/>
      <c r="W61" s="270"/>
      <c r="X61" s="270"/>
      <c r="Y61" s="264"/>
      <c r="Z61" s="270"/>
      <c r="AA61" s="270"/>
      <c r="AB61" s="270"/>
      <c r="AC61" s="264"/>
      <c r="AD61" s="270"/>
      <c r="AE61" s="270"/>
      <c r="AF61" s="270"/>
      <c r="AG61" s="270"/>
      <c r="AH61" s="264"/>
      <c r="AI61" s="270"/>
      <c r="AJ61" s="270"/>
      <c r="AK61" s="270"/>
      <c r="AL61" s="270"/>
      <c r="AM61" s="264"/>
      <c r="AN61" s="264"/>
      <c r="AO61" s="270"/>
      <c r="AP61" s="270"/>
      <c r="AQ61" s="270"/>
      <c r="AR61" s="270"/>
      <c r="AS61" s="264"/>
      <c r="AT61" s="264"/>
      <c r="AU61" s="270"/>
      <c r="AV61" s="264"/>
      <c r="AW61" s="270"/>
      <c r="AX61" s="270"/>
      <c r="AY61" s="270"/>
      <c r="AZ61" s="270"/>
      <c r="BA61" s="264"/>
      <c r="BB61" s="264"/>
      <c r="BC61" s="270"/>
      <c r="BD61" s="264"/>
      <c r="BE61" s="270"/>
      <c r="BF61" s="270"/>
      <c r="BG61" s="270"/>
      <c r="BH61" s="270"/>
      <c r="BI61" s="270"/>
      <c r="BJ61" s="270"/>
      <c r="BK61" s="270"/>
      <c r="BL61" s="270"/>
    </row>
    <row r="62" spans="1:64" ht="15" customHeight="1" x14ac:dyDescent="0.3">
      <c r="A62" s="79" t="s">
        <v>91</v>
      </c>
      <c r="B62" s="290">
        <f>IF(ISNA(VLOOKUP(A62,'Comments Feeder'!B:L,11,FALSE)),0,VLOOKUP(A62,'Comments Feeder'!B:L,11,FALSE))</f>
        <v>0</v>
      </c>
      <c r="C62" s="290">
        <f t="shared" si="38"/>
        <v>0</v>
      </c>
      <c r="D62" s="262"/>
      <c r="E62" s="266"/>
      <c r="F62" s="266"/>
      <c r="G62" s="266"/>
      <c r="H62" s="263"/>
      <c r="I62" s="266"/>
      <c r="J62" s="521"/>
      <c r="K62" s="266"/>
      <c r="L62" s="266"/>
      <c r="M62" s="266"/>
      <c r="N62" s="266"/>
      <c r="O62" s="270"/>
      <c r="P62" s="270"/>
      <c r="Q62" s="270"/>
      <c r="R62" s="270"/>
      <c r="S62" s="270"/>
      <c r="T62" s="270"/>
      <c r="U62" s="270"/>
      <c r="V62" s="270"/>
      <c r="W62" s="270"/>
      <c r="X62" s="270"/>
      <c r="Y62" s="264"/>
      <c r="Z62" s="270"/>
      <c r="AA62" s="270"/>
      <c r="AB62" s="270"/>
      <c r="AC62" s="264"/>
      <c r="AD62" s="270"/>
      <c r="AE62" s="270"/>
      <c r="AF62" s="270"/>
      <c r="AG62" s="270"/>
      <c r="AH62" s="264"/>
      <c r="AI62" s="270"/>
      <c r="AJ62" s="270"/>
      <c r="AK62" s="270"/>
      <c r="AL62" s="270"/>
      <c r="AM62" s="264"/>
      <c r="AN62" s="264"/>
      <c r="AO62" s="270"/>
      <c r="AP62" s="270"/>
      <c r="AQ62" s="270"/>
      <c r="AR62" s="270"/>
      <c r="AS62" s="264"/>
      <c r="AT62" s="264"/>
      <c r="AU62" s="270"/>
      <c r="AV62" s="264"/>
      <c r="AW62" s="270"/>
      <c r="AX62" s="270"/>
      <c r="AY62" s="270"/>
      <c r="AZ62" s="270"/>
      <c r="BA62" s="264"/>
      <c r="BB62" s="264"/>
      <c r="BC62" s="270"/>
      <c r="BD62" s="264"/>
      <c r="BE62" s="270"/>
      <c r="BF62" s="270"/>
      <c r="BG62" s="270"/>
      <c r="BH62" s="270"/>
      <c r="BI62" s="270"/>
      <c r="BJ62" s="270"/>
      <c r="BK62" s="270"/>
      <c r="BL62" s="270"/>
    </row>
    <row r="63" spans="1:64" ht="15" customHeight="1" x14ac:dyDescent="0.3">
      <c r="A63" s="32" t="s">
        <v>92</v>
      </c>
      <c r="B63" s="290">
        <f>IF(ISNA(VLOOKUP(A63,'Comments Feeder'!B:L,11,FALSE)),0,VLOOKUP(A63,'Comments Feeder'!B:L,11,FALSE))</f>
        <v>0</v>
      </c>
      <c r="C63" s="290">
        <f>SUM(C53:C62)</f>
        <v>0</v>
      </c>
      <c r="D63" s="262"/>
      <c r="E63" s="266">
        <f>SUM(E53:E62)</f>
        <v>0</v>
      </c>
      <c r="F63" s="266">
        <f t="shared" ref="F63:S63" si="39">SUM(F53:F62)</f>
        <v>0</v>
      </c>
      <c r="G63" s="266">
        <f t="shared" si="39"/>
        <v>0</v>
      </c>
      <c r="H63" s="263">
        <f t="shared" si="39"/>
        <v>0</v>
      </c>
      <c r="I63" s="312">
        <f t="shared" si="39"/>
        <v>0</v>
      </c>
      <c r="J63" s="612">
        <f t="shared" si="39"/>
        <v>0</v>
      </c>
      <c r="K63" s="312">
        <f t="shared" si="39"/>
        <v>0</v>
      </c>
      <c r="L63" s="312">
        <f t="shared" si="39"/>
        <v>0</v>
      </c>
      <c r="M63" s="312">
        <f t="shared" si="39"/>
        <v>0</v>
      </c>
      <c r="N63" s="312">
        <f t="shared" si="39"/>
        <v>0</v>
      </c>
      <c r="O63" s="312">
        <f t="shared" si="39"/>
        <v>0</v>
      </c>
      <c r="P63" s="312">
        <f t="shared" si="39"/>
        <v>0</v>
      </c>
      <c r="Q63" s="312">
        <f t="shared" si="39"/>
        <v>0</v>
      </c>
      <c r="R63" s="312">
        <f t="shared" si="39"/>
        <v>0</v>
      </c>
      <c r="S63" s="312">
        <f t="shared" si="39"/>
        <v>0</v>
      </c>
      <c r="T63" s="312">
        <f t="shared" ref="T63" si="40">SUM(T53:T62)</f>
        <v>0</v>
      </c>
      <c r="U63" s="312">
        <f t="shared" ref="U63" si="41">SUM(U53:U62)</f>
        <v>0</v>
      </c>
      <c r="V63" s="312">
        <f t="shared" ref="V63" si="42">SUM(V53:V62)</f>
        <v>0</v>
      </c>
      <c r="W63" s="312"/>
      <c r="X63" s="312"/>
      <c r="Y63" s="382"/>
      <c r="Z63" s="312"/>
      <c r="AA63" s="312"/>
      <c r="AB63" s="312"/>
      <c r="AC63" s="382"/>
      <c r="AD63" s="312"/>
      <c r="AE63" s="312"/>
      <c r="AF63" s="312"/>
      <c r="AG63" s="312"/>
      <c r="AH63" s="382"/>
      <c r="AI63" s="312"/>
      <c r="AJ63" s="312"/>
      <c r="AK63" s="312"/>
      <c r="AL63" s="312"/>
      <c r="AM63" s="382"/>
      <c r="AN63" s="382"/>
      <c r="AO63" s="312"/>
      <c r="AP63" s="312"/>
      <c r="AQ63" s="312"/>
      <c r="AR63" s="312"/>
      <c r="AS63" s="382"/>
      <c r="AT63" s="382"/>
      <c r="AU63" s="312"/>
      <c r="AV63" s="382"/>
      <c r="AW63" s="312"/>
      <c r="AX63" s="312"/>
      <c r="AY63" s="312"/>
      <c r="AZ63" s="312"/>
      <c r="BA63" s="382"/>
      <c r="BB63" s="382"/>
      <c r="BC63" s="312"/>
      <c r="BD63" s="382"/>
      <c r="BE63" s="312"/>
      <c r="BF63" s="312"/>
      <c r="BG63" s="312"/>
      <c r="BH63" s="312"/>
      <c r="BI63" s="312"/>
      <c r="BJ63" s="312"/>
      <c r="BK63" s="312"/>
      <c r="BL63" s="312"/>
    </row>
    <row r="64" spans="1:64" ht="15" customHeight="1" thickBot="1" x14ac:dyDescent="0.35">
      <c r="A64" s="53" t="s">
        <v>93</v>
      </c>
      <c r="B64" s="291">
        <f>B52+B63</f>
        <v>52</v>
      </c>
      <c r="C64" s="291">
        <f>C52+C63</f>
        <v>52</v>
      </c>
      <c r="D64" s="264"/>
      <c r="E64" s="393">
        <f>E52+E63</f>
        <v>0</v>
      </c>
      <c r="F64" s="393">
        <f t="shared" ref="F64:BH64" si="43">F52+F63</f>
        <v>0</v>
      </c>
      <c r="G64" s="393">
        <f t="shared" si="43"/>
        <v>0</v>
      </c>
      <c r="H64" s="390">
        <f t="shared" si="43"/>
        <v>0</v>
      </c>
      <c r="I64" s="619">
        <f t="shared" si="43"/>
        <v>0</v>
      </c>
      <c r="J64" s="613">
        <f t="shared" si="43"/>
        <v>0</v>
      </c>
      <c r="K64" s="295">
        <f t="shared" si="43"/>
        <v>0</v>
      </c>
      <c r="L64" s="295">
        <f t="shared" si="43"/>
        <v>0</v>
      </c>
      <c r="M64" s="295">
        <f t="shared" si="43"/>
        <v>0</v>
      </c>
      <c r="N64" s="295">
        <f t="shared" si="43"/>
        <v>0</v>
      </c>
      <c r="O64" s="295">
        <f t="shared" si="43"/>
        <v>0</v>
      </c>
      <c r="P64" s="295">
        <f t="shared" si="43"/>
        <v>0</v>
      </c>
      <c r="Q64" s="295">
        <f t="shared" si="43"/>
        <v>0</v>
      </c>
      <c r="R64" s="295">
        <f t="shared" si="43"/>
        <v>0</v>
      </c>
      <c r="S64" s="295">
        <f t="shared" si="43"/>
        <v>0</v>
      </c>
      <c r="T64" s="295">
        <f t="shared" si="43"/>
        <v>0</v>
      </c>
      <c r="U64" s="295">
        <f t="shared" si="43"/>
        <v>0</v>
      </c>
      <c r="V64" s="295">
        <f t="shared" si="43"/>
        <v>0</v>
      </c>
      <c r="W64" s="295">
        <f t="shared" si="43"/>
        <v>0</v>
      </c>
      <c r="X64" s="295">
        <f t="shared" si="43"/>
        <v>0</v>
      </c>
      <c r="Y64" s="295">
        <f t="shared" si="43"/>
        <v>0</v>
      </c>
      <c r="Z64" s="295">
        <f t="shared" si="43"/>
        <v>0</v>
      </c>
      <c r="AA64" s="295">
        <f t="shared" si="43"/>
        <v>0</v>
      </c>
      <c r="AB64" s="295">
        <f t="shared" si="43"/>
        <v>0</v>
      </c>
      <c r="AC64" s="295">
        <f t="shared" si="43"/>
        <v>0</v>
      </c>
      <c r="AD64" s="295">
        <f t="shared" si="43"/>
        <v>0</v>
      </c>
      <c r="AE64" s="295">
        <f t="shared" si="43"/>
        <v>0</v>
      </c>
      <c r="AF64" s="295">
        <f t="shared" si="43"/>
        <v>0</v>
      </c>
      <c r="AG64" s="295">
        <f t="shared" si="43"/>
        <v>0</v>
      </c>
      <c r="AH64" s="295">
        <f t="shared" si="43"/>
        <v>0</v>
      </c>
      <c r="AI64" s="295">
        <f t="shared" si="43"/>
        <v>0</v>
      </c>
      <c r="AJ64" s="295">
        <f t="shared" si="43"/>
        <v>0</v>
      </c>
      <c r="AK64" s="295">
        <f t="shared" si="43"/>
        <v>0</v>
      </c>
      <c r="AL64" s="295">
        <f t="shared" si="43"/>
        <v>0</v>
      </c>
      <c r="AM64" s="295">
        <f t="shared" si="43"/>
        <v>0</v>
      </c>
      <c r="AN64" s="295">
        <f t="shared" si="43"/>
        <v>0</v>
      </c>
      <c r="AO64" s="295">
        <f t="shared" si="43"/>
        <v>0</v>
      </c>
      <c r="AP64" s="295">
        <f t="shared" si="43"/>
        <v>0</v>
      </c>
      <c r="AQ64" s="295">
        <f t="shared" si="43"/>
        <v>0</v>
      </c>
      <c r="AR64" s="295">
        <f t="shared" si="43"/>
        <v>0</v>
      </c>
      <c r="AS64" s="295">
        <f t="shared" si="43"/>
        <v>0</v>
      </c>
      <c r="AT64" s="295">
        <f t="shared" si="43"/>
        <v>0</v>
      </c>
      <c r="AU64" s="295">
        <f t="shared" si="43"/>
        <v>0</v>
      </c>
      <c r="AV64" s="295">
        <f t="shared" si="43"/>
        <v>0</v>
      </c>
      <c r="AW64" s="295">
        <f t="shared" si="43"/>
        <v>0</v>
      </c>
      <c r="AX64" s="295">
        <f t="shared" si="43"/>
        <v>0</v>
      </c>
      <c r="AY64" s="295">
        <f t="shared" si="43"/>
        <v>0</v>
      </c>
      <c r="AZ64" s="295">
        <f t="shared" si="43"/>
        <v>0</v>
      </c>
      <c r="BA64" s="295">
        <f t="shared" si="43"/>
        <v>0</v>
      </c>
      <c r="BB64" s="295">
        <f t="shared" si="43"/>
        <v>0</v>
      </c>
      <c r="BC64" s="295">
        <f t="shared" si="43"/>
        <v>0</v>
      </c>
      <c r="BD64" s="295">
        <f t="shared" si="43"/>
        <v>0</v>
      </c>
      <c r="BE64" s="295">
        <f t="shared" si="43"/>
        <v>0</v>
      </c>
      <c r="BF64" s="295">
        <f t="shared" si="43"/>
        <v>0</v>
      </c>
      <c r="BG64" s="295">
        <f t="shared" si="43"/>
        <v>0</v>
      </c>
      <c r="BH64" s="295">
        <f t="shared" si="43"/>
        <v>0</v>
      </c>
      <c r="BI64" s="295"/>
      <c r="BJ64" s="295"/>
      <c r="BK64" s="295"/>
      <c r="BL64" s="295"/>
    </row>
    <row r="65" spans="1:64" ht="15" customHeight="1" thickTop="1" x14ac:dyDescent="0.3">
      <c r="A65" s="31" t="s">
        <v>101</v>
      </c>
      <c r="B65" s="290">
        <f>IF(ISNA(VLOOKUP(A65,'Comments Feeder'!B:L,11,FALSE)),0,VLOOKUP(A65,'Comments Feeder'!B:L,11,FALSE))</f>
        <v>0</v>
      </c>
      <c r="C65" s="290">
        <f>B65-SUM(E65:AB65)</f>
        <v>0</v>
      </c>
      <c r="D65" s="273"/>
      <c r="E65" s="387"/>
      <c r="F65" s="308"/>
      <c r="G65" s="313"/>
      <c r="H65" s="292"/>
      <c r="I65" s="313"/>
      <c r="J65" s="614"/>
      <c r="K65" s="313"/>
      <c r="L65" s="313"/>
      <c r="M65" s="313"/>
      <c r="N65" s="313"/>
      <c r="O65" s="293"/>
      <c r="P65" s="293"/>
      <c r="Q65" s="293"/>
      <c r="R65" s="293"/>
      <c r="S65" s="293"/>
      <c r="T65" s="293"/>
      <c r="U65" s="293"/>
      <c r="V65" s="293"/>
      <c r="W65" s="293"/>
      <c r="X65" s="293"/>
      <c r="Y65" s="383"/>
      <c r="Z65" s="293"/>
      <c r="AA65" s="293"/>
      <c r="AB65" s="293"/>
      <c r="AC65" s="383"/>
      <c r="AD65" s="293"/>
      <c r="AE65" s="293"/>
      <c r="AF65" s="293"/>
      <c r="AG65" s="293"/>
      <c r="AH65" s="383"/>
      <c r="AI65" s="293"/>
      <c r="AJ65" s="293"/>
      <c r="AK65" s="293"/>
      <c r="AL65" s="293"/>
      <c r="AM65" s="383"/>
      <c r="AN65" s="383"/>
      <c r="AO65" s="293"/>
      <c r="AP65" s="293"/>
      <c r="AQ65" s="293"/>
      <c r="AR65" s="293"/>
      <c r="AS65" s="383"/>
      <c r="AT65" s="383"/>
      <c r="AU65" s="293"/>
      <c r="AV65" s="383"/>
      <c r="AW65" s="293"/>
      <c r="AX65" s="293"/>
      <c r="AY65" s="293"/>
      <c r="AZ65" s="293"/>
      <c r="BA65" s="383"/>
      <c r="BB65" s="383"/>
      <c r="BC65" s="293"/>
      <c r="BD65" s="383"/>
      <c r="BE65" s="293"/>
      <c r="BF65" s="293"/>
      <c r="BG65" s="293"/>
      <c r="BH65" s="293"/>
      <c r="BI65" s="293"/>
      <c r="BJ65" s="293"/>
      <c r="BK65" s="293"/>
      <c r="BL65" s="293"/>
    </row>
    <row r="66" spans="1:64" ht="15" customHeight="1" x14ac:dyDescent="0.3">
      <c r="A66" s="31" t="s">
        <v>102</v>
      </c>
      <c r="B66" s="290">
        <f>IF(ISNA(VLOOKUP(A66,'Comments Feeder'!B:L,11,FALSE)),0,VLOOKUP(A66,'Comments Feeder'!B:L,11,FALSE))</f>
        <v>0</v>
      </c>
      <c r="C66" s="290">
        <f>B66-SUM(E66:AB66)</f>
        <v>0</v>
      </c>
      <c r="D66" s="262"/>
      <c r="E66" s="387"/>
      <c r="F66" s="266"/>
      <c r="G66" s="266"/>
      <c r="H66" s="266"/>
      <c r="I66" s="266"/>
      <c r="J66" s="521"/>
      <c r="K66" s="266"/>
      <c r="L66" s="266"/>
      <c r="M66" s="266"/>
      <c r="N66" s="266"/>
      <c r="O66" s="270"/>
      <c r="P66" s="270"/>
      <c r="Q66" s="270"/>
      <c r="R66" s="270"/>
      <c r="S66" s="270"/>
      <c r="T66" s="270"/>
      <c r="U66" s="270"/>
      <c r="V66" s="270"/>
      <c r="W66" s="270"/>
      <c r="X66" s="270"/>
      <c r="Y66" s="264"/>
      <c r="Z66" s="270"/>
      <c r="AA66" s="270"/>
      <c r="AB66" s="270"/>
      <c r="AC66" s="264"/>
      <c r="AD66" s="270"/>
      <c r="AE66" s="270"/>
      <c r="AF66" s="270"/>
      <c r="AG66" s="270"/>
      <c r="AH66" s="264"/>
      <c r="AI66" s="270"/>
      <c r="AJ66" s="270"/>
      <c r="AK66" s="270"/>
      <c r="AL66" s="270"/>
      <c r="AM66" s="264"/>
      <c r="AN66" s="264"/>
      <c r="AO66" s="270"/>
      <c r="AP66" s="270"/>
      <c r="AQ66" s="270"/>
      <c r="AR66" s="270"/>
      <c r="AS66" s="264"/>
      <c r="AT66" s="264"/>
      <c r="AU66" s="270"/>
      <c r="AV66" s="264"/>
      <c r="AW66" s="270"/>
      <c r="AX66" s="270"/>
      <c r="AY66" s="270"/>
      <c r="AZ66" s="270"/>
      <c r="BA66" s="264"/>
      <c r="BB66" s="264"/>
      <c r="BC66" s="270"/>
      <c r="BD66" s="264"/>
      <c r="BE66" s="270"/>
      <c r="BF66" s="270"/>
      <c r="BG66" s="270"/>
      <c r="BH66" s="270"/>
      <c r="BI66" s="270"/>
      <c r="BJ66" s="270"/>
      <c r="BK66" s="270"/>
      <c r="BL66" s="270"/>
    </row>
    <row r="67" spans="1:64" ht="15" customHeight="1" x14ac:dyDescent="0.3">
      <c r="A67" s="31" t="s">
        <v>103</v>
      </c>
      <c r="B67" s="290">
        <f>IF(ISNA(VLOOKUP(A67,'Comments Feeder'!B:L,11,FALSE)),0,VLOOKUP(A67,'Comments Feeder'!B:L,11,FALSE))</f>
        <v>0</v>
      </c>
      <c r="C67" s="290">
        <f>B67-SUM(E67:AB67)</f>
        <v>0</v>
      </c>
      <c r="D67" s="262"/>
      <c r="E67" s="387"/>
      <c r="F67" s="266"/>
      <c r="G67" s="266"/>
      <c r="H67" s="266"/>
      <c r="I67" s="266"/>
      <c r="J67" s="521"/>
      <c r="K67" s="266"/>
      <c r="L67" s="266"/>
      <c r="M67" s="266"/>
      <c r="N67" s="266"/>
      <c r="O67" s="270"/>
      <c r="P67" s="270"/>
      <c r="Q67" s="270"/>
      <c r="R67" s="270"/>
      <c r="S67" s="270"/>
      <c r="T67" s="270"/>
      <c r="U67" s="270"/>
      <c r="V67" s="270"/>
      <c r="W67" s="270"/>
      <c r="X67" s="270"/>
      <c r="Y67" s="264"/>
      <c r="Z67" s="270"/>
      <c r="AA67" s="270"/>
      <c r="AB67" s="270"/>
      <c r="AC67" s="264"/>
      <c r="AD67" s="270"/>
      <c r="AE67" s="270"/>
      <c r="AF67" s="270"/>
      <c r="AG67" s="270"/>
      <c r="AH67" s="264"/>
      <c r="AI67" s="270"/>
      <c r="AJ67" s="270"/>
      <c r="AK67" s="270"/>
      <c r="AL67" s="270"/>
      <c r="AM67" s="264"/>
      <c r="AN67" s="264"/>
      <c r="AO67" s="270"/>
      <c r="AP67" s="270"/>
      <c r="AQ67" s="270"/>
      <c r="AR67" s="270"/>
      <c r="AS67" s="264"/>
      <c r="AT67" s="264"/>
      <c r="AU67" s="270"/>
      <c r="AV67" s="264"/>
      <c r="AW67" s="270"/>
      <c r="AX67" s="270"/>
      <c r="AY67" s="270"/>
      <c r="AZ67" s="270"/>
      <c r="BA67" s="264"/>
      <c r="BB67" s="264"/>
      <c r="BC67" s="270"/>
      <c r="BD67" s="264"/>
      <c r="BE67" s="270"/>
      <c r="BF67" s="270"/>
      <c r="BG67" s="270"/>
      <c r="BH67" s="270"/>
      <c r="BI67" s="270"/>
      <c r="BJ67" s="270"/>
      <c r="BK67" s="270"/>
      <c r="BL67" s="270"/>
    </row>
    <row r="68" spans="1:64" ht="15" customHeight="1" x14ac:dyDescent="0.3">
      <c r="A68" s="31" t="s">
        <v>104</v>
      </c>
      <c r="B68" s="290">
        <f>IF(ISNA(VLOOKUP(A68,'Comments Feeder'!B:L,11,FALSE)),0,VLOOKUP(A68,'Comments Feeder'!B:L,11,FALSE))</f>
        <v>0</v>
      </c>
      <c r="C68" s="290">
        <f>B68-SUM(E68:AB68)</f>
        <v>0</v>
      </c>
      <c r="D68" s="262"/>
      <c r="E68" s="387"/>
      <c r="F68" s="308"/>
      <c r="G68" s="308"/>
      <c r="H68" s="266"/>
      <c r="I68" s="266"/>
      <c r="J68" s="521"/>
      <c r="K68" s="266"/>
      <c r="L68" s="266"/>
      <c r="M68" s="266"/>
      <c r="N68" s="266"/>
      <c r="O68" s="270"/>
      <c r="P68" s="270"/>
      <c r="Q68" s="270"/>
      <c r="R68" s="270"/>
      <c r="S68" s="270"/>
      <c r="T68" s="270"/>
      <c r="U68" s="270"/>
      <c r="V68" s="270"/>
      <c r="W68" s="270"/>
      <c r="X68" s="270"/>
      <c r="Y68" s="264"/>
      <c r="Z68" s="270"/>
      <c r="AA68" s="270"/>
      <c r="AB68" s="270"/>
      <c r="AC68" s="264"/>
      <c r="AD68" s="270"/>
      <c r="AE68" s="270"/>
      <c r="AF68" s="270"/>
      <c r="AG68" s="270"/>
      <c r="AH68" s="264"/>
      <c r="AI68" s="270"/>
      <c r="AJ68" s="270"/>
      <c r="AK68" s="270"/>
      <c r="AL68" s="270"/>
      <c r="AM68" s="264"/>
      <c r="AN68" s="264"/>
      <c r="AO68" s="270"/>
      <c r="AP68" s="270"/>
      <c r="AQ68" s="270"/>
      <c r="AR68" s="270"/>
      <c r="AS68" s="264"/>
      <c r="AT68" s="264"/>
      <c r="AU68" s="270"/>
      <c r="AV68" s="264"/>
      <c r="AW68" s="270"/>
      <c r="AX68" s="270"/>
      <c r="AY68" s="270"/>
      <c r="AZ68" s="270"/>
      <c r="BA68" s="264"/>
      <c r="BB68" s="264"/>
      <c r="BC68" s="270"/>
      <c r="BD68" s="264"/>
      <c r="BE68" s="270"/>
      <c r="BF68" s="270"/>
      <c r="BG68" s="270"/>
      <c r="BH68" s="270"/>
      <c r="BI68" s="270"/>
      <c r="BJ68" s="270"/>
      <c r="BK68" s="270"/>
      <c r="BL68" s="270"/>
    </row>
    <row r="69" spans="1:64" ht="15" customHeight="1" x14ac:dyDescent="0.3">
      <c r="A69" s="31" t="s">
        <v>105</v>
      </c>
      <c r="B69" s="290">
        <f>IF(ISNA(VLOOKUP(A69,'Comments Feeder'!B:L,11,FALSE)),0,VLOOKUP(A69,'Comments Feeder'!B:L,11,FALSE))</f>
        <v>0</v>
      </c>
      <c r="C69" s="290">
        <f>B69-SUM(E69:BM69)</f>
        <v>0</v>
      </c>
      <c r="D69" s="262"/>
      <c r="E69" s="387"/>
      <c r="F69" s="308"/>
      <c r="G69" s="308"/>
      <c r="H69" s="266"/>
      <c r="I69" s="266"/>
      <c r="J69" s="521"/>
      <c r="K69" s="266"/>
      <c r="L69" s="266"/>
      <c r="M69" s="266"/>
      <c r="N69" s="266"/>
      <c r="O69" s="270"/>
      <c r="P69" s="270"/>
      <c r="Q69" s="270"/>
      <c r="R69" s="270"/>
      <c r="S69" s="270"/>
      <c r="T69" s="270"/>
      <c r="U69" s="270"/>
      <c r="V69" s="270"/>
      <c r="W69" s="270"/>
      <c r="X69" s="270"/>
      <c r="Y69" s="264"/>
      <c r="Z69" s="270"/>
      <c r="AA69" s="270"/>
      <c r="AB69" s="270"/>
      <c r="AC69" s="264"/>
      <c r="AD69" s="270"/>
      <c r="AE69" s="270"/>
      <c r="AF69" s="270"/>
      <c r="AG69" s="270"/>
      <c r="AH69" s="264"/>
      <c r="AI69" s="270"/>
      <c r="AJ69" s="270"/>
      <c r="AK69" s="270"/>
      <c r="AL69" s="270"/>
      <c r="AM69" s="264"/>
      <c r="AN69" s="264"/>
      <c r="AO69" s="270"/>
      <c r="AP69" s="270"/>
      <c r="AQ69" s="270"/>
      <c r="AR69" s="270"/>
      <c r="AS69" s="264"/>
      <c r="AT69" s="264"/>
      <c r="AU69" s="270"/>
      <c r="AV69" s="264"/>
      <c r="AW69" s="270"/>
      <c r="AX69" s="270"/>
      <c r="AY69" s="270"/>
      <c r="AZ69" s="270"/>
      <c r="BA69" s="264"/>
      <c r="BB69" s="264"/>
      <c r="BC69" s="270"/>
      <c r="BD69" s="264"/>
      <c r="BE69" s="378"/>
      <c r="BF69" s="378"/>
      <c r="BG69" s="378"/>
      <c r="BH69" s="378"/>
      <c r="BI69" s="378"/>
      <c r="BJ69" s="378"/>
      <c r="BK69" s="378"/>
      <c r="BL69" s="378"/>
    </row>
    <row r="70" spans="1:64" ht="15" customHeight="1" x14ac:dyDescent="0.3">
      <c r="A70" s="31" t="s">
        <v>106</v>
      </c>
      <c r="B70" s="290">
        <f>IF(ISNA(VLOOKUP(A70,'Comments Feeder'!B:L,11,FALSE)),0,VLOOKUP(A70,'Comments Feeder'!B:L,11,FALSE))</f>
        <v>0</v>
      </c>
      <c r="C70" s="290">
        <f>B70-SUM(E70:AB70)</f>
        <v>0</v>
      </c>
      <c r="D70" s="262"/>
      <c r="E70" s="388"/>
      <c r="F70" s="266"/>
      <c r="G70" s="266"/>
      <c r="H70" s="266"/>
      <c r="I70" s="266"/>
      <c r="J70" s="521"/>
      <c r="K70" s="266"/>
      <c r="L70" s="266"/>
      <c r="M70" s="266"/>
      <c r="N70" s="266"/>
      <c r="O70" s="270"/>
      <c r="P70" s="270"/>
      <c r="Q70" s="270"/>
      <c r="R70" s="270"/>
      <c r="S70" s="270"/>
      <c r="T70" s="270"/>
      <c r="U70" s="270"/>
      <c r="V70" s="270"/>
      <c r="W70" s="270"/>
      <c r="X70" s="270"/>
      <c r="Y70" s="264"/>
      <c r="Z70" s="270"/>
      <c r="AA70" s="270"/>
      <c r="AB70" s="270"/>
      <c r="AC70" s="264"/>
      <c r="AD70" s="270"/>
      <c r="AE70" s="270"/>
      <c r="AF70" s="270"/>
      <c r="AG70" s="270"/>
      <c r="AH70" s="264"/>
      <c r="AI70" s="270"/>
      <c r="AJ70" s="270"/>
      <c r="AK70" s="270"/>
      <c r="AL70" s="270"/>
      <c r="AM70" s="264"/>
      <c r="AN70" s="264"/>
      <c r="AO70" s="270"/>
      <c r="AP70" s="270"/>
      <c r="AQ70" s="270"/>
      <c r="AR70" s="270"/>
      <c r="AS70" s="264"/>
      <c r="AT70" s="264"/>
      <c r="AU70" s="270"/>
      <c r="AV70" s="264"/>
      <c r="AW70" s="270"/>
      <c r="AX70" s="270"/>
      <c r="AY70" s="270"/>
      <c r="AZ70" s="270"/>
      <c r="BA70" s="264"/>
      <c r="BB70" s="264"/>
      <c r="BC70" s="270"/>
      <c r="BD70" s="264"/>
      <c r="BE70" s="378"/>
      <c r="BF70" s="270"/>
      <c r="BG70" s="270"/>
      <c r="BH70" s="270"/>
      <c r="BI70" s="270"/>
      <c r="BJ70" s="270"/>
      <c r="BK70" s="270"/>
      <c r="BL70" s="270"/>
    </row>
    <row r="71" spans="1:64" ht="15" customHeight="1" x14ac:dyDescent="0.3">
      <c r="A71" s="32" t="s">
        <v>107</v>
      </c>
      <c r="B71" s="291">
        <f>IF(ISNA(VLOOKUP(A71,'Comments Feeder'!B:L,11,FALSE)),0,VLOOKUP(A71,'Comments Feeder'!B:L,11,FALSE))</f>
        <v>0</v>
      </c>
      <c r="C71" s="291">
        <f>SUM(C65:C70)</f>
        <v>0</v>
      </c>
      <c r="D71" s="264"/>
      <c r="E71" s="388">
        <f t="shared" ref="E71:BI71" si="44">SUM(E65:E70)</f>
        <v>0</v>
      </c>
      <c r="F71" s="309">
        <f t="shared" si="44"/>
        <v>0</v>
      </c>
      <c r="G71" s="309">
        <f t="shared" si="44"/>
        <v>0</v>
      </c>
      <c r="H71" s="309">
        <f t="shared" si="44"/>
        <v>0</v>
      </c>
      <c r="I71" s="518">
        <f t="shared" si="44"/>
        <v>0</v>
      </c>
      <c r="J71" s="518">
        <f t="shared" si="44"/>
        <v>0</v>
      </c>
      <c r="K71" s="309">
        <f t="shared" si="44"/>
        <v>0</v>
      </c>
      <c r="L71" s="309">
        <f t="shared" si="44"/>
        <v>0</v>
      </c>
      <c r="M71" s="309">
        <f t="shared" si="44"/>
        <v>0</v>
      </c>
      <c r="N71" s="309">
        <f t="shared" si="44"/>
        <v>0</v>
      </c>
      <c r="O71" s="309">
        <f t="shared" si="44"/>
        <v>0</v>
      </c>
      <c r="P71" s="309">
        <f t="shared" si="44"/>
        <v>0</v>
      </c>
      <c r="Q71" s="309">
        <f t="shared" si="44"/>
        <v>0</v>
      </c>
      <c r="R71" s="309">
        <f t="shared" si="44"/>
        <v>0</v>
      </c>
      <c r="S71" s="309">
        <f t="shared" si="44"/>
        <v>0</v>
      </c>
      <c r="T71" s="309">
        <f t="shared" si="44"/>
        <v>0</v>
      </c>
      <c r="U71" s="309">
        <f t="shared" si="44"/>
        <v>0</v>
      </c>
      <c r="V71" s="309">
        <f t="shared" si="44"/>
        <v>0</v>
      </c>
      <c r="W71" s="309">
        <f t="shared" si="44"/>
        <v>0</v>
      </c>
      <c r="X71" s="309">
        <f t="shared" si="44"/>
        <v>0</v>
      </c>
      <c r="Y71" s="309">
        <f t="shared" si="44"/>
        <v>0</v>
      </c>
      <c r="Z71" s="309">
        <f t="shared" si="44"/>
        <v>0</v>
      </c>
      <c r="AA71" s="309">
        <f t="shared" si="44"/>
        <v>0</v>
      </c>
      <c r="AB71" s="309">
        <f t="shared" si="44"/>
        <v>0</v>
      </c>
      <c r="AC71" s="309">
        <f t="shared" si="44"/>
        <v>0</v>
      </c>
      <c r="AD71" s="309">
        <f t="shared" si="44"/>
        <v>0</v>
      </c>
      <c r="AE71" s="309">
        <f t="shared" si="44"/>
        <v>0</v>
      </c>
      <c r="AF71" s="309">
        <f t="shared" si="44"/>
        <v>0</v>
      </c>
      <c r="AG71" s="309">
        <f t="shared" si="44"/>
        <v>0</v>
      </c>
      <c r="AH71" s="309">
        <f t="shared" si="44"/>
        <v>0</v>
      </c>
      <c r="AI71" s="309">
        <f t="shared" si="44"/>
        <v>0</v>
      </c>
      <c r="AJ71" s="309">
        <f t="shared" si="44"/>
        <v>0</v>
      </c>
      <c r="AK71" s="309">
        <f t="shared" si="44"/>
        <v>0</v>
      </c>
      <c r="AL71" s="309">
        <f t="shared" si="44"/>
        <v>0</v>
      </c>
      <c r="AM71" s="309">
        <f t="shared" si="44"/>
        <v>0</v>
      </c>
      <c r="AN71" s="309">
        <f t="shared" si="44"/>
        <v>0</v>
      </c>
      <c r="AO71" s="309">
        <f t="shared" si="44"/>
        <v>0</v>
      </c>
      <c r="AP71" s="309">
        <f t="shared" si="44"/>
        <v>0</v>
      </c>
      <c r="AQ71" s="309">
        <f t="shared" si="44"/>
        <v>0</v>
      </c>
      <c r="AR71" s="309">
        <f t="shared" si="44"/>
        <v>0</v>
      </c>
      <c r="AS71" s="309">
        <f t="shared" si="44"/>
        <v>0</v>
      </c>
      <c r="AT71" s="309">
        <f t="shared" si="44"/>
        <v>0</v>
      </c>
      <c r="AU71" s="309">
        <f t="shared" si="44"/>
        <v>0</v>
      </c>
      <c r="AV71" s="309">
        <f t="shared" si="44"/>
        <v>0</v>
      </c>
      <c r="AW71" s="309">
        <f t="shared" si="44"/>
        <v>0</v>
      </c>
      <c r="AX71" s="309">
        <f t="shared" si="44"/>
        <v>0</v>
      </c>
      <c r="AY71" s="309">
        <f t="shared" si="44"/>
        <v>0</v>
      </c>
      <c r="AZ71" s="309">
        <f t="shared" si="44"/>
        <v>0</v>
      </c>
      <c r="BA71" s="309">
        <f t="shared" si="44"/>
        <v>0</v>
      </c>
      <c r="BB71" s="309">
        <f t="shared" si="44"/>
        <v>0</v>
      </c>
      <c r="BC71" s="309">
        <f t="shared" si="44"/>
        <v>0</v>
      </c>
      <c r="BD71" s="309">
        <f t="shared" si="44"/>
        <v>0</v>
      </c>
      <c r="BE71" s="309">
        <f t="shared" si="44"/>
        <v>0</v>
      </c>
      <c r="BF71" s="309">
        <f t="shared" si="44"/>
        <v>0</v>
      </c>
      <c r="BG71" s="309">
        <f t="shared" si="44"/>
        <v>0</v>
      </c>
      <c r="BH71" s="309">
        <f t="shared" si="44"/>
        <v>0</v>
      </c>
      <c r="BI71" s="309">
        <f t="shared" si="44"/>
        <v>0</v>
      </c>
      <c r="BJ71" s="309"/>
      <c r="BK71" s="309"/>
      <c r="BL71" s="309"/>
    </row>
    <row r="72" spans="1:64" ht="15" customHeight="1" x14ac:dyDescent="0.3">
      <c r="A72" s="31" t="s">
        <v>111</v>
      </c>
      <c r="B72" s="290">
        <f>IF(ISNA(VLOOKUP(A72,'Comments Feeder'!B:L,11,FALSE)),0,VLOOKUP(A72,'Comments Feeder'!B:L,11,FALSE))</f>
        <v>0</v>
      </c>
      <c r="C72" s="290">
        <f>B72-SUM(E72:AB72)</f>
        <v>0</v>
      </c>
      <c r="D72" s="273"/>
      <c r="E72" s="388"/>
      <c r="F72" s="275"/>
      <c r="G72" s="387"/>
      <c r="H72" s="275"/>
      <c r="I72" s="522"/>
      <c r="J72" s="522"/>
      <c r="K72" s="275"/>
      <c r="L72" s="275"/>
      <c r="M72" s="275"/>
      <c r="N72" s="275"/>
      <c r="O72" s="270"/>
      <c r="P72" s="270"/>
      <c r="Q72" s="270"/>
      <c r="R72" s="270"/>
      <c r="S72" s="270"/>
      <c r="T72" s="270"/>
      <c r="U72" s="308"/>
      <c r="V72" s="308"/>
      <c r="W72" s="308"/>
      <c r="X72" s="308"/>
      <c r="Y72" s="378"/>
      <c r="Z72" s="308"/>
      <c r="AA72" s="308"/>
      <c r="AB72" s="308"/>
      <c r="AC72" s="378"/>
      <c r="AD72" s="308"/>
      <c r="AE72" s="308"/>
      <c r="AF72" s="308"/>
      <c r="AG72" s="308"/>
      <c r="AH72" s="378"/>
      <c r="AI72" s="308"/>
      <c r="AJ72" s="308"/>
      <c r="AK72" s="308"/>
      <c r="AL72" s="308"/>
      <c r="AM72" s="378"/>
      <c r="AN72" s="378"/>
      <c r="AO72" s="308"/>
      <c r="AP72" s="308"/>
      <c r="AQ72" s="308"/>
      <c r="AR72" s="308"/>
      <c r="AS72" s="378"/>
      <c r="AT72" s="378"/>
      <c r="AU72" s="308"/>
      <c r="AV72" s="378"/>
      <c r="AW72" s="308"/>
      <c r="AX72" s="308"/>
      <c r="AY72" s="308"/>
      <c r="AZ72" s="308"/>
      <c r="BA72" s="378"/>
      <c r="BB72" s="378"/>
      <c r="BC72" s="308"/>
      <c r="BD72" s="378"/>
      <c r="BE72" s="308"/>
      <c r="BF72" s="308"/>
      <c r="BG72" s="308"/>
      <c r="BH72" s="308"/>
      <c r="BI72" s="308"/>
      <c r="BJ72" s="308"/>
      <c r="BK72" s="308"/>
      <c r="BL72" s="308"/>
    </row>
    <row r="73" spans="1:64" ht="15" customHeight="1" x14ac:dyDescent="0.3">
      <c r="A73" s="31" t="s">
        <v>112</v>
      </c>
      <c r="B73" s="290">
        <f>IF(ISNA(VLOOKUP(A73,'Comments Feeder'!B:L,11,FALSE)),0,VLOOKUP(A73,'Comments Feeder'!B:L,11,FALSE))</f>
        <v>0</v>
      </c>
      <c r="C73" s="290">
        <f>B73-SUM(E73:AB73)</f>
        <v>0</v>
      </c>
      <c r="D73" s="262"/>
      <c r="E73" s="388"/>
      <c r="F73" s="266"/>
      <c r="G73" s="387"/>
      <c r="H73" s="266"/>
      <c r="I73" s="521"/>
      <c r="J73" s="521"/>
      <c r="K73" s="308"/>
      <c r="L73" s="266"/>
      <c r="M73" s="266"/>
      <c r="N73" s="266"/>
      <c r="O73" s="270"/>
      <c r="P73" s="270"/>
      <c r="Q73" s="270"/>
      <c r="R73" s="270"/>
      <c r="S73" s="270"/>
      <c r="T73" s="270"/>
      <c r="U73" s="308"/>
      <c r="V73" s="308"/>
      <c r="W73" s="308"/>
      <c r="X73" s="308"/>
      <c r="Y73" s="378"/>
      <c r="Z73" s="308"/>
      <c r="AA73" s="308"/>
      <c r="AB73" s="308"/>
      <c r="AC73" s="378"/>
      <c r="AD73" s="308"/>
      <c r="AE73" s="308"/>
      <c r="AF73" s="308"/>
      <c r="AG73" s="308"/>
      <c r="AH73" s="378"/>
      <c r="AI73" s="308"/>
      <c r="AJ73" s="308"/>
      <c r="AK73" s="308"/>
      <c r="AL73" s="308"/>
      <c r="AM73" s="378"/>
      <c r="AN73" s="378"/>
      <c r="AO73" s="308"/>
      <c r="AP73" s="308"/>
      <c r="AQ73" s="308"/>
      <c r="AR73" s="308"/>
      <c r="AS73" s="378"/>
      <c r="AT73" s="378"/>
      <c r="AU73" s="308"/>
      <c r="AV73" s="378"/>
      <c r="AW73" s="308"/>
      <c r="AX73" s="308"/>
      <c r="AY73" s="308"/>
      <c r="AZ73" s="308"/>
      <c r="BA73" s="378"/>
      <c r="BB73" s="378"/>
      <c r="BC73" s="308"/>
      <c r="BD73" s="378"/>
      <c r="BE73" s="308"/>
      <c r="BF73" s="308"/>
      <c r="BG73" s="308"/>
      <c r="BH73" s="308"/>
      <c r="BI73" s="308"/>
      <c r="BJ73" s="308"/>
      <c r="BK73" s="308"/>
      <c r="BL73" s="308"/>
    </row>
    <row r="74" spans="1:64" ht="15" customHeight="1" x14ac:dyDescent="0.3">
      <c r="A74" s="31" t="s">
        <v>113</v>
      </c>
      <c r="B74" s="290">
        <f>IF(ISNA(VLOOKUP(A74,'Comments Feeder'!B:L,11,FALSE)),0,VLOOKUP(A74,'Comments Feeder'!B:L,11,FALSE))</f>
        <v>0</v>
      </c>
      <c r="C74" s="290">
        <f>B74-SUM(E74:AB74)</f>
        <v>0</v>
      </c>
      <c r="D74" s="262"/>
      <c r="E74" s="388"/>
      <c r="F74" s="266"/>
      <c r="G74" s="387"/>
      <c r="H74" s="266"/>
      <c r="I74" s="521"/>
      <c r="J74" s="521"/>
      <c r="K74" s="266"/>
      <c r="L74" s="266"/>
      <c r="M74" s="266"/>
      <c r="N74" s="266"/>
      <c r="O74" s="270"/>
      <c r="P74" s="270"/>
      <c r="Q74" s="270"/>
      <c r="R74" s="270"/>
      <c r="S74" s="270"/>
      <c r="T74" s="270"/>
      <c r="U74" s="308"/>
      <c r="V74" s="308"/>
      <c r="W74" s="308"/>
      <c r="X74" s="308"/>
      <c r="Y74" s="378"/>
      <c r="Z74" s="308"/>
      <c r="AA74" s="308"/>
      <c r="AB74" s="308"/>
      <c r="AC74" s="378"/>
      <c r="AD74" s="308"/>
      <c r="AE74" s="308"/>
      <c r="AF74" s="308"/>
      <c r="AG74" s="308"/>
      <c r="AH74" s="378"/>
      <c r="AI74" s="308"/>
      <c r="AJ74" s="308"/>
      <c r="AK74" s="308"/>
      <c r="AL74" s="308"/>
      <c r="AM74" s="378"/>
      <c r="AN74" s="378"/>
      <c r="AO74" s="308"/>
      <c r="AP74" s="308"/>
      <c r="AQ74" s="308"/>
      <c r="AR74" s="308"/>
      <c r="AS74" s="378"/>
      <c r="AT74" s="378"/>
      <c r="AU74" s="308"/>
      <c r="AV74" s="378"/>
      <c r="AW74" s="308"/>
      <c r="AX74" s="308"/>
      <c r="AY74" s="308"/>
      <c r="AZ74" s="308"/>
      <c r="BA74" s="378"/>
      <c r="BB74" s="378"/>
      <c r="BC74" s="308"/>
      <c r="BD74" s="378"/>
      <c r="BE74" s="308"/>
      <c r="BF74" s="308"/>
      <c r="BG74" s="308"/>
      <c r="BH74" s="308"/>
      <c r="BI74" s="308"/>
      <c r="BJ74" s="308"/>
      <c r="BK74" s="308"/>
      <c r="BL74" s="308"/>
    </row>
    <row r="75" spans="1:64" ht="15" customHeight="1" x14ac:dyDescent="0.3">
      <c r="A75" s="31" t="s">
        <v>177</v>
      </c>
      <c r="B75" s="290">
        <f>IF(ISNA(VLOOKUP(A75,'Comments Feeder'!B:L,11,FALSE)),0,VLOOKUP(A75,'Comments Feeder'!B:L,11,FALSE))</f>
        <v>0</v>
      </c>
      <c r="C75" s="290">
        <f>B75-SUM(E75:AB75)</f>
        <v>0</v>
      </c>
      <c r="D75" s="262"/>
      <c r="E75" s="388"/>
      <c r="F75" s="266"/>
      <c r="G75" s="387"/>
      <c r="H75" s="266"/>
      <c r="I75" s="521"/>
      <c r="J75" s="521"/>
      <c r="K75" s="266"/>
      <c r="L75" s="266"/>
      <c r="M75" s="266"/>
      <c r="N75" s="266"/>
      <c r="O75" s="270"/>
      <c r="P75" s="270"/>
      <c r="Q75" s="270"/>
      <c r="R75" s="270"/>
      <c r="S75" s="270"/>
      <c r="T75" s="270"/>
      <c r="U75" s="308"/>
      <c r="V75" s="308"/>
      <c r="W75" s="308"/>
      <c r="X75" s="308"/>
      <c r="Y75" s="378"/>
      <c r="Z75" s="308"/>
      <c r="AA75" s="308"/>
      <c r="AB75" s="308"/>
      <c r="AC75" s="378"/>
      <c r="AD75" s="308"/>
      <c r="AE75" s="308"/>
      <c r="AF75" s="308"/>
      <c r="AG75" s="308"/>
      <c r="AH75" s="378"/>
      <c r="AI75" s="308"/>
      <c r="AJ75" s="308"/>
      <c r="AK75" s="308"/>
      <c r="AL75" s="308"/>
      <c r="AM75" s="378"/>
      <c r="AN75" s="378"/>
      <c r="AO75" s="308"/>
      <c r="AP75" s="308"/>
      <c r="AQ75" s="308"/>
      <c r="AR75" s="308"/>
      <c r="AS75" s="378"/>
      <c r="AT75" s="378"/>
      <c r="AU75" s="308"/>
      <c r="AV75" s="378"/>
      <c r="AW75" s="308"/>
      <c r="AX75" s="308"/>
      <c r="AY75" s="308"/>
      <c r="AZ75" s="308"/>
      <c r="BA75" s="378"/>
      <c r="BB75" s="378"/>
      <c r="BC75" s="308"/>
      <c r="BD75" s="378"/>
      <c r="BE75" s="308"/>
      <c r="BF75" s="308"/>
      <c r="BG75" s="308"/>
      <c r="BH75" s="308"/>
      <c r="BI75" s="308"/>
      <c r="BJ75" s="308"/>
      <c r="BK75" s="308"/>
      <c r="BL75" s="308"/>
    </row>
    <row r="76" spans="1:64" ht="15" customHeight="1" x14ac:dyDescent="0.3">
      <c r="A76" s="31" t="s">
        <v>178</v>
      </c>
      <c r="B76" s="290">
        <f>IF(ISNA(VLOOKUP(A76,'Comments Feeder'!B:L,11,FALSE)),0,VLOOKUP(A76,'Comments Feeder'!B:L,11,FALSE))</f>
        <v>0</v>
      </c>
      <c r="C76" s="290">
        <f>B76-SUM(E76:AB76)</f>
        <v>0</v>
      </c>
      <c r="D76" s="262"/>
      <c r="E76" s="388"/>
      <c r="F76" s="266"/>
      <c r="G76" s="387"/>
      <c r="H76" s="266"/>
      <c r="I76" s="521"/>
      <c r="J76" s="521"/>
      <c r="K76" s="266"/>
      <c r="L76" s="266"/>
      <c r="M76" s="266"/>
      <c r="N76" s="266"/>
      <c r="O76" s="270"/>
      <c r="P76" s="270"/>
      <c r="Q76" s="270"/>
      <c r="R76" s="270"/>
      <c r="S76" s="270"/>
      <c r="T76" s="270"/>
      <c r="U76" s="308"/>
      <c r="V76" s="308"/>
      <c r="W76" s="308"/>
      <c r="X76" s="308"/>
      <c r="Y76" s="378"/>
      <c r="Z76" s="308"/>
      <c r="AA76" s="308"/>
      <c r="AB76" s="308"/>
      <c r="AC76" s="378"/>
      <c r="AD76" s="308"/>
      <c r="AE76" s="308"/>
      <c r="AF76" s="308"/>
      <c r="AG76" s="308"/>
      <c r="AH76" s="378"/>
      <c r="AI76" s="308"/>
      <c r="AJ76" s="308"/>
      <c r="AK76" s="308"/>
      <c r="AL76" s="308"/>
      <c r="AM76" s="378"/>
      <c r="AN76" s="378"/>
      <c r="AO76" s="308"/>
      <c r="AP76" s="308"/>
      <c r="AQ76" s="308"/>
      <c r="AR76" s="308"/>
      <c r="AS76" s="378"/>
      <c r="AT76" s="378"/>
      <c r="AU76" s="308"/>
      <c r="AV76" s="378"/>
      <c r="AW76" s="308"/>
      <c r="AX76" s="308"/>
      <c r="AY76" s="308"/>
      <c r="AZ76" s="308"/>
      <c r="BA76" s="378"/>
      <c r="BB76" s="378"/>
      <c r="BC76" s="308"/>
      <c r="BD76" s="378"/>
      <c r="BE76" s="308"/>
      <c r="BF76" s="308"/>
      <c r="BG76" s="308"/>
      <c r="BH76" s="308"/>
      <c r="BI76" s="308"/>
      <c r="BJ76" s="308"/>
      <c r="BK76" s="308"/>
      <c r="BL76" s="308"/>
    </row>
    <row r="77" spans="1:64" ht="15" customHeight="1" x14ac:dyDescent="0.3">
      <c r="A77" s="32" t="s">
        <v>114</v>
      </c>
      <c r="B77" s="291">
        <f>IF(ISNA(VLOOKUP(A77,'Comments Feeder'!B:L,11,FALSE)),0,VLOOKUP(A77,'Comments Feeder'!B:L,11,FALSE))</f>
        <v>0</v>
      </c>
      <c r="C77" s="291">
        <f>SUM(C72:C76)</f>
        <v>0</v>
      </c>
      <c r="D77" s="264"/>
      <c r="E77" s="379">
        <f t="shared" ref="E77:F77" si="45">SUM(E72:E76)</f>
        <v>0</v>
      </c>
      <c r="F77" s="379">
        <f t="shared" si="45"/>
        <v>0</v>
      </c>
      <c r="G77" s="379">
        <f>SUM(G72:G76)</f>
        <v>0</v>
      </c>
      <c r="H77" s="379">
        <f t="shared" ref="H77" si="46">SUM(H72:H76)</f>
        <v>0</v>
      </c>
      <c r="I77" s="379">
        <f t="shared" ref="I77" si="47">SUM(I72:I76)</f>
        <v>0</v>
      </c>
      <c r="J77" s="379">
        <f t="shared" ref="J77:K77" si="48">SUM(J72:J76)</f>
        <v>0</v>
      </c>
      <c r="K77" s="379">
        <f t="shared" si="48"/>
        <v>0</v>
      </c>
      <c r="L77" s="379">
        <f t="shared" ref="L77" si="49">SUM(L72:L76)</f>
        <v>0</v>
      </c>
      <c r="M77" s="379">
        <f t="shared" ref="M77" si="50">SUM(M72:M76)</f>
        <v>0</v>
      </c>
      <c r="N77" s="379">
        <f t="shared" ref="N77:O77" si="51">SUM(N72:N76)</f>
        <v>0</v>
      </c>
      <c r="O77" s="379">
        <f t="shared" si="51"/>
        <v>0</v>
      </c>
      <c r="P77" s="379">
        <f t="shared" ref="P77" si="52">SUM(P72:P76)</f>
        <v>0</v>
      </c>
      <c r="Q77" s="379">
        <f t="shared" ref="Q77" si="53">SUM(Q72:Q76)</f>
        <v>0</v>
      </c>
      <c r="R77" s="379">
        <f t="shared" ref="R77:S77" si="54">SUM(R72:R76)</f>
        <v>0</v>
      </c>
      <c r="S77" s="379">
        <f t="shared" si="54"/>
        <v>0</v>
      </c>
      <c r="T77" s="379">
        <f t="shared" ref="T77" si="55">SUM(T72:T76)</f>
        <v>0</v>
      </c>
      <c r="U77" s="379">
        <f t="shared" ref="U77" si="56">SUM(U72:U76)</f>
        <v>0</v>
      </c>
      <c r="V77" s="379">
        <f t="shared" ref="V77:W77" si="57">SUM(V72:V76)</f>
        <v>0</v>
      </c>
      <c r="W77" s="379">
        <f t="shared" si="57"/>
        <v>0</v>
      </c>
      <c r="X77" s="379">
        <f t="shared" ref="X77" si="58">SUM(X72:X76)</f>
        <v>0</v>
      </c>
      <c r="Y77" s="379">
        <f t="shared" ref="Y77" si="59">SUM(Y72:Y76)</f>
        <v>0</v>
      </c>
      <c r="Z77" s="379">
        <f t="shared" ref="Z77:AA77" si="60">SUM(Z72:Z76)</f>
        <v>0</v>
      </c>
      <c r="AA77" s="379">
        <f t="shared" si="60"/>
        <v>0</v>
      </c>
      <c r="AB77" s="379">
        <f t="shared" ref="AB77" si="61">SUM(AB72:AB76)</f>
        <v>0</v>
      </c>
      <c r="AC77" s="379">
        <f t="shared" ref="AC77" si="62">SUM(AC72:AC76)</f>
        <v>0</v>
      </c>
      <c r="AD77" s="379">
        <f t="shared" ref="AD77:AE77" si="63">SUM(AD72:AD76)</f>
        <v>0</v>
      </c>
      <c r="AE77" s="379">
        <f t="shared" si="63"/>
        <v>0</v>
      </c>
      <c r="AF77" s="379">
        <f t="shared" ref="AF77" si="64">SUM(AF72:AF76)</f>
        <v>0</v>
      </c>
      <c r="AG77" s="379">
        <f t="shared" ref="AG77" si="65">SUM(AG72:AG76)</f>
        <v>0</v>
      </c>
      <c r="AH77" s="379">
        <f t="shared" ref="AH77:AI77" si="66">SUM(AH72:AH76)</f>
        <v>0</v>
      </c>
      <c r="AI77" s="379">
        <f t="shared" si="66"/>
        <v>0</v>
      </c>
      <c r="AJ77" s="379">
        <f t="shared" ref="AJ77" si="67">SUM(AJ72:AJ76)</f>
        <v>0</v>
      </c>
      <c r="AK77" s="379">
        <f t="shared" ref="AK77" si="68">SUM(AK72:AK76)</f>
        <v>0</v>
      </c>
      <c r="AL77" s="379">
        <f t="shared" ref="AL77:AM77" si="69">SUM(AL72:AL76)</f>
        <v>0</v>
      </c>
      <c r="AM77" s="379">
        <f t="shared" si="69"/>
        <v>0</v>
      </c>
      <c r="AN77" s="379">
        <f t="shared" ref="AN77" si="70">SUM(AN72:AN76)</f>
        <v>0</v>
      </c>
      <c r="AO77" s="379">
        <f t="shared" ref="AO77" si="71">SUM(AO72:AO76)</f>
        <v>0</v>
      </c>
      <c r="AP77" s="379">
        <f t="shared" ref="AP77:AQ77" si="72">SUM(AP72:AP76)</f>
        <v>0</v>
      </c>
      <c r="AQ77" s="379">
        <f t="shared" si="72"/>
        <v>0</v>
      </c>
      <c r="AR77" s="379">
        <f t="shared" ref="AR77" si="73">SUM(AR72:AR76)</f>
        <v>0</v>
      </c>
      <c r="AS77" s="379">
        <f t="shared" ref="AS77" si="74">SUM(AS72:AS76)</f>
        <v>0</v>
      </c>
      <c r="AT77" s="379">
        <f t="shared" ref="AT77:AU77" si="75">SUM(AT72:AT76)</f>
        <v>0</v>
      </c>
      <c r="AU77" s="379">
        <f t="shared" si="75"/>
        <v>0</v>
      </c>
      <c r="AV77" s="379">
        <f t="shared" ref="AV77" si="76">SUM(AV72:AV76)</f>
        <v>0</v>
      </c>
      <c r="AW77" s="379">
        <f t="shared" ref="AW77" si="77">SUM(AW72:AW76)</f>
        <v>0</v>
      </c>
      <c r="AX77" s="379">
        <f t="shared" ref="AX77:AY77" si="78">SUM(AX72:AX76)</f>
        <v>0</v>
      </c>
      <c r="AY77" s="379">
        <f t="shared" si="78"/>
        <v>0</v>
      </c>
      <c r="AZ77" s="379">
        <f t="shared" ref="AZ77" si="79">SUM(AZ72:AZ76)</f>
        <v>0</v>
      </c>
      <c r="BA77" s="379">
        <f t="shared" ref="BA77" si="80">SUM(BA72:BA76)</f>
        <v>0</v>
      </c>
      <c r="BB77" s="379">
        <f t="shared" ref="BB77:BC77" si="81">SUM(BB72:BB76)</f>
        <v>0</v>
      </c>
      <c r="BC77" s="379">
        <f t="shared" si="81"/>
        <v>0</v>
      </c>
      <c r="BD77" s="379">
        <f t="shared" ref="BD77" si="82">SUM(BD72:BD76)</f>
        <v>0</v>
      </c>
      <c r="BE77" s="379">
        <f t="shared" ref="BE77" si="83">SUM(BE72:BE76)</f>
        <v>0</v>
      </c>
      <c r="BF77" s="379">
        <f t="shared" ref="BF77:BG77" si="84">SUM(BF72:BF76)</f>
        <v>0</v>
      </c>
      <c r="BG77" s="379">
        <f t="shared" si="84"/>
        <v>0</v>
      </c>
      <c r="BH77" s="379">
        <f t="shared" ref="BH77" si="85">SUM(BH72:BH76)</f>
        <v>0</v>
      </c>
      <c r="BI77" s="379">
        <f t="shared" ref="BI77" si="86">SUM(BI72:BI76)</f>
        <v>0</v>
      </c>
      <c r="BJ77" s="379">
        <f t="shared" ref="BJ77:BK77" si="87">SUM(BJ72:BJ76)</f>
        <v>0</v>
      </c>
      <c r="BK77" s="379">
        <f t="shared" si="87"/>
        <v>0</v>
      </c>
      <c r="BL77" s="379">
        <f t="shared" ref="BL77" si="88">SUM(BL72:BL76)</f>
        <v>0</v>
      </c>
    </row>
    <row r="78" spans="1:64" ht="15" customHeight="1" thickBot="1" x14ac:dyDescent="0.35">
      <c r="A78" s="53" t="s">
        <v>463</v>
      </c>
      <c r="B78" s="290">
        <f>B71+B77</f>
        <v>0</v>
      </c>
      <c r="C78" s="291">
        <f>C71+C77</f>
        <v>0</v>
      </c>
      <c r="D78" s="271"/>
      <c r="E78" s="589">
        <f>E71+E77</f>
        <v>0</v>
      </c>
      <c r="F78" s="392">
        <f t="shared" ref="F78:BH78" si="89">F71+F77</f>
        <v>0</v>
      </c>
      <c r="G78" s="392">
        <f t="shared" si="89"/>
        <v>0</v>
      </c>
      <c r="H78" s="392">
        <f t="shared" si="89"/>
        <v>0</v>
      </c>
      <c r="I78" s="307">
        <f t="shared" si="89"/>
        <v>0</v>
      </c>
      <c r="J78" s="604">
        <f t="shared" si="89"/>
        <v>0</v>
      </c>
      <c r="K78" s="307">
        <f t="shared" si="89"/>
        <v>0</v>
      </c>
      <c r="L78" s="307">
        <f t="shared" si="89"/>
        <v>0</v>
      </c>
      <c r="M78" s="307">
        <f t="shared" si="89"/>
        <v>0</v>
      </c>
      <c r="N78" s="307">
        <f t="shared" si="89"/>
        <v>0</v>
      </c>
      <c r="O78" s="307">
        <f t="shared" si="89"/>
        <v>0</v>
      </c>
      <c r="P78" s="307">
        <f t="shared" si="89"/>
        <v>0</v>
      </c>
      <c r="Q78" s="307">
        <f t="shared" si="89"/>
        <v>0</v>
      </c>
      <c r="R78" s="307">
        <f t="shared" si="89"/>
        <v>0</v>
      </c>
      <c r="S78" s="307">
        <f t="shared" si="89"/>
        <v>0</v>
      </c>
      <c r="T78" s="307">
        <f t="shared" si="89"/>
        <v>0</v>
      </c>
      <c r="U78" s="307">
        <f t="shared" si="89"/>
        <v>0</v>
      </c>
      <c r="V78" s="307">
        <f t="shared" si="89"/>
        <v>0</v>
      </c>
      <c r="W78" s="307">
        <f t="shared" si="89"/>
        <v>0</v>
      </c>
      <c r="X78" s="307">
        <f t="shared" si="89"/>
        <v>0</v>
      </c>
      <c r="Y78" s="307">
        <f t="shared" si="89"/>
        <v>0</v>
      </c>
      <c r="Z78" s="307">
        <f t="shared" si="89"/>
        <v>0</v>
      </c>
      <c r="AA78" s="307">
        <f t="shared" si="89"/>
        <v>0</v>
      </c>
      <c r="AB78" s="307">
        <f t="shared" si="89"/>
        <v>0</v>
      </c>
      <c r="AC78" s="307">
        <f t="shared" si="89"/>
        <v>0</v>
      </c>
      <c r="AD78" s="307">
        <f t="shared" si="89"/>
        <v>0</v>
      </c>
      <c r="AE78" s="307">
        <f t="shared" si="89"/>
        <v>0</v>
      </c>
      <c r="AF78" s="307">
        <f t="shared" si="89"/>
        <v>0</v>
      </c>
      <c r="AG78" s="307">
        <f t="shared" si="89"/>
        <v>0</v>
      </c>
      <c r="AH78" s="307">
        <f t="shared" si="89"/>
        <v>0</v>
      </c>
      <c r="AI78" s="307">
        <f t="shared" si="89"/>
        <v>0</v>
      </c>
      <c r="AJ78" s="307">
        <f t="shared" si="89"/>
        <v>0</v>
      </c>
      <c r="AK78" s="307">
        <f t="shared" si="89"/>
        <v>0</v>
      </c>
      <c r="AL78" s="307">
        <f t="shared" si="89"/>
        <v>0</v>
      </c>
      <c r="AM78" s="307">
        <f t="shared" si="89"/>
        <v>0</v>
      </c>
      <c r="AN78" s="307">
        <f t="shared" si="89"/>
        <v>0</v>
      </c>
      <c r="AO78" s="307">
        <f t="shared" si="89"/>
        <v>0</v>
      </c>
      <c r="AP78" s="307">
        <f t="shared" si="89"/>
        <v>0</v>
      </c>
      <c r="AQ78" s="307">
        <f t="shared" si="89"/>
        <v>0</v>
      </c>
      <c r="AR78" s="307">
        <f t="shared" si="89"/>
        <v>0</v>
      </c>
      <c r="AS78" s="307">
        <f t="shared" si="89"/>
        <v>0</v>
      </c>
      <c r="AT78" s="307">
        <f t="shared" si="89"/>
        <v>0</v>
      </c>
      <c r="AU78" s="307">
        <f t="shared" si="89"/>
        <v>0</v>
      </c>
      <c r="AV78" s="307">
        <f t="shared" si="89"/>
        <v>0</v>
      </c>
      <c r="AW78" s="307">
        <f t="shared" si="89"/>
        <v>0</v>
      </c>
      <c r="AX78" s="307">
        <f t="shared" si="89"/>
        <v>0</v>
      </c>
      <c r="AY78" s="307">
        <f t="shared" si="89"/>
        <v>0</v>
      </c>
      <c r="AZ78" s="307">
        <f t="shared" si="89"/>
        <v>0</v>
      </c>
      <c r="BA78" s="307">
        <f t="shared" si="89"/>
        <v>0</v>
      </c>
      <c r="BB78" s="307">
        <f t="shared" si="89"/>
        <v>0</v>
      </c>
      <c r="BC78" s="307">
        <f t="shared" si="89"/>
        <v>0</v>
      </c>
      <c r="BD78" s="307">
        <f t="shared" si="89"/>
        <v>0</v>
      </c>
      <c r="BE78" s="307">
        <f t="shared" si="89"/>
        <v>0</v>
      </c>
      <c r="BF78" s="307">
        <f t="shared" si="89"/>
        <v>0</v>
      </c>
      <c r="BG78" s="307">
        <f t="shared" si="89"/>
        <v>0</v>
      </c>
      <c r="BH78" s="307">
        <f t="shared" si="89"/>
        <v>0</v>
      </c>
      <c r="BI78" s="307"/>
      <c r="BJ78" s="307"/>
      <c r="BK78" s="307"/>
      <c r="BL78" s="307"/>
    </row>
    <row r="79" spans="1:64" ht="15" customHeight="1" thickTop="1" x14ac:dyDescent="0.3">
      <c r="A79" s="256"/>
      <c r="B79" s="276"/>
      <c r="C79" s="277"/>
      <c r="D79" s="278"/>
      <c r="E79" s="279"/>
      <c r="F79" s="279"/>
      <c r="G79" s="279"/>
      <c r="H79" s="384"/>
      <c r="I79" s="279"/>
      <c r="J79" s="615"/>
      <c r="K79" s="279"/>
      <c r="L79" s="279"/>
      <c r="M79" s="279"/>
      <c r="N79" s="279"/>
      <c r="O79" s="270"/>
      <c r="P79" s="270"/>
      <c r="Q79" s="270"/>
      <c r="R79" s="270"/>
      <c r="S79" s="270"/>
      <c r="T79" s="270"/>
      <c r="U79" s="270"/>
      <c r="V79" s="270"/>
      <c r="W79" s="270"/>
      <c r="X79" s="270"/>
      <c r="Y79" s="264"/>
      <c r="Z79" s="270"/>
      <c r="AA79" s="270"/>
      <c r="AB79" s="270"/>
      <c r="AC79" s="264"/>
      <c r="AD79" s="270"/>
      <c r="AE79" s="270"/>
      <c r="AF79" s="270"/>
      <c r="AG79" s="270"/>
      <c r="AH79" s="264"/>
      <c r="AI79" s="270"/>
      <c r="AJ79" s="270"/>
      <c r="AK79" s="270"/>
      <c r="AL79" s="270"/>
      <c r="AM79" s="264"/>
      <c r="AN79" s="264"/>
      <c r="AO79" s="270"/>
      <c r="AP79" s="270"/>
      <c r="AQ79" s="270"/>
      <c r="AR79" s="270"/>
      <c r="AS79" s="264"/>
      <c r="AT79" s="264"/>
      <c r="AU79" s="270"/>
      <c r="AV79" s="264"/>
      <c r="AW79" s="270"/>
      <c r="AX79" s="270"/>
      <c r="AY79" s="270"/>
      <c r="AZ79" s="270"/>
      <c r="BA79" s="264"/>
      <c r="BB79" s="264"/>
      <c r="BC79" s="270"/>
      <c r="BD79" s="264"/>
      <c r="BE79" s="270"/>
      <c r="BF79" s="270"/>
      <c r="BG79" s="270"/>
      <c r="BH79" s="270"/>
      <c r="BI79" s="270"/>
      <c r="BJ79" s="270"/>
      <c r="BK79" s="270"/>
      <c r="BL79" s="270"/>
    </row>
    <row r="80" spans="1:64" ht="15" customHeight="1" x14ac:dyDescent="0.25">
      <c r="A80" s="256"/>
      <c r="B80" s="276"/>
      <c r="C80" s="277"/>
      <c r="D80" s="278"/>
      <c r="E80" s="279"/>
      <c r="F80" s="279"/>
      <c r="G80" s="279"/>
      <c r="H80" s="384"/>
      <c r="I80" s="279"/>
      <c r="J80" s="615"/>
      <c r="K80" s="279"/>
      <c r="L80" s="279"/>
      <c r="M80" s="279"/>
      <c r="N80" s="279"/>
      <c r="O80" s="279"/>
      <c r="P80" s="279"/>
      <c r="Q80" s="279"/>
      <c r="R80" s="279"/>
      <c r="S80" s="279"/>
      <c r="T80" s="279"/>
      <c r="U80" s="279"/>
      <c r="V80" s="279"/>
      <c r="W80" s="279"/>
      <c r="X80" s="279"/>
      <c r="Y80" s="384"/>
      <c r="Z80" s="279"/>
      <c r="AA80" s="279"/>
      <c r="AB80" s="279"/>
      <c r="AC80" s="384"/>
      <c r="AD80" s="279"/>
      <c r="AE80" s="279"/>
      <c r="AF80" s="279"/>
      <c r="AG80" s="279"/>
      <c r="AH80" s="384"/>
      <c r="AI80" s="279"/>
      <c r="AJ80" s="279"/>
      <c r="AK80" s="279"/>
      <c r="AL80" s="279"/>
      <c r="AM80" s="384"/>
      <c r="AN80" s="384"/>
      <c r="AO80" s="279"/>
      <c r="AP80" s="279"/>
      <c r="AQ80" s="279"/>
      <c r="AR80" s="279"/>
      <c r="AS80" s="384"/>
      <c r="AT80" s="384"/>
      <c r="AU80" s="279"/>
      <c r="AV80" s="384"/>
      <c r="AW80" s="279"/>
      <c r="AX80" s="279"/>
      <c r="AY80" s="279"/>
      <c r="AZ80" s="279"/>
      <c r="BA80" s="384"/>
      <c r="BB80" s="384"/>
      <c r="BC80" s="279"/>
      <c r="BD80" s="384"/>
      <c r="BE80" s="279"/>
      <c r="BF80" s="279"/>
      <c r="BG80" s="279"/>
      <c r="BH80" s="279"/>
      <c r="BI80" s="279"/>
      <c r="BJ80" s="279"/>
      <c r="BK80" s="279"/>
      <c r="BL80" s="279"/>
    </row>
    <row r="81" spans="1:64" ht="15" customHeight="1" x14ac:dyDescent="0.25">
      <c r="A81" s="256"/>
      <c r="B81" s="276"/>
      <c r="C81" s="277"/>
      <c r="D81" s="278"/>
      <c r="E81" s="279"/>
      <c r="F81" s="279"/>
      <c r="G81" s="279"/>
      <c r="H81" s="384"/>
      <c r="I81" s="279"/>
      <c r="J81" s="615"/>
      <c r="K81" s="279"/>
      <c r="L81" s="279"/>
      <c r="M81" s="279"/>
      <c r="N81" s="279"/>
      <c r="O81" s="279"/>
      <c r="P81" s="279"/>
      <c r="Q81" s="279"/>
      <c r="R81" s="279"/>
      <c r="S81" s="279"/>
      <c r="T81" s="279"/>
      <c r="U81" s="279"/>
      <c r="V81" s="279"/>
      <c r="W81" s="279"/>
      <c r="X81" s="279"/>
      <c r="Y81" s="384"/>
      <c r="Z81" s="279"/>
      <c r="AA81" s="279"/>
      <c r="AB81" s="279"/>
      <c r="AC81" s="384"/>
      <c r="AD81" s="279"/>
      <c r="AE81" s="279"/>
      <c r="AF81" s="279"/>
      <c r="AG81" s="279"/>
      <c r="AH81" s="384"/>
      <c r="AI81" s="279"/>
      <c r="AJ81" s="279"/>
      <c r="AK81" s="279"/>
      <c r="AL81" s="279"/>
      <c r="AM81" s="384"/>
      <c r="AN81" s="384"/>
      <c r="AO81" s="279"/>
      <c r="AP81" s="279"/>
      <c r="AQ81" s="279"/>
      <c r="AR81" s="279"/>
      <c r="AS81" s="384"/>
      <c r="AT81" s="384"/>
      <c r="AU81" s="279"/>
      <c r="AV81" s="384"/>
      <c r="AW81" s="279"/>
      <c r="AX81" s="279"/>
      <c r="AY81" s="279"/>
      <c r="AZ81" s="279"/>
      <c r="BA81" s="384"/>
      <c r="BB81" s="384"/>
      <c r="BC81" s="279"/>
      <c r="BD81" s="384"/>
      <c r="BE81" s="279"/>
      <c r="BF81" s="279"/>
      <c r="BG81" s="279"/>
      <c r="BH81" s="279"/>
      <c r="BI81" s="279"/>
      <c r="BJ81" s="279"/>
      <c r="BK81" s="279"/>
      <c r="BL81" s="279"/>
    </row>
    <row r="82" spans="1:64" ht="15" customHeight="1" thickBot="1" x14ac:dyDescent="0.35">
      <c r="A82" s="280" t="s">
        <v>464</v>
      </c>
      <c r="B82" s="291">
        <f>B78+B64+B48+B39+B34+B20</f>
        <v>52</v>
      </c>
      <c r="C82" s="524">
        <f>C78+C64+C48+C39+C34+C20</f>
        <v>67</v>
      </c>
      <c r="D82" s="308"/>
      <c r="E82" s="314">
        <f>E78+E64+E48+E39+E34+E20</f>
        <v>0</v>
      </c>
      <c r="F82" s="314">
        <f t="shared" ref="F82:BI82" si="90">F78+F64+F48+F39+F34+F20</f>
        <v>0</v>
      </c>
      <c r="G82" s="314">
        <f t="shared" si="90"/>
        <v>0</v>
      </c>
      <c r="H82" s="314">
        <f t="shared" si="90"/>
        <v>0</v>
      </c>
      <c r="I82" s="314">
        <f t="shared" si="90"/>
        <v>0</v>
      </c>
      <c r="J82" s="616">
        <f t="shared" si="90"/>
        <v>0</v>
      </c>
      <c r="K82" s="314">
        <f t="shared" si="90"/>
        <v>0</v>
      </c>
      <c r="L82" s="314">
        <f t="shared" si="90"/>
        <v>0</v>
      </c>
      <c r="M82" s="314">
        <f t="shared" si="90"/>
        <v>0</v>
      </c>
      <c r="N82" s="314">
        <f t="shared" si="90"/>
        <v>0</v>
      </c>
      <c r="O82" s="314">
        <f t="shared" si="90"/>
        <v>0</v>
      </c>
      <c r="P82" s="314">
        <f t="shared" si="90"/>
        <v>0</v>
      </c>
      <c r="Q82" s="314">
        <f t="shared" si="90"/>
        <v>0</v>
      </c>
      <c r="R82" s="314">
        <f t="shared" si="90"/>
        <v>0</v>
      </c>
      <c r="S82" s="314">
        <f t="shared" si="90"/>
        <v>0</v>
      </c>
      <c r="T82" s="314">
        <f t="shared" si="90"/>
        <v>0</v>
      </c>
      <c r="U82" s="314">
        <f t="shared" si="90"/>
        <v>0</v>
      </c>
      <c r="V82" s="314">
        <f t="shared" si="90"/>
        <v>0</v>
      </c>
      <c r="W82" s="314">
        <f t="shared" si="90"/>
        <v>0</v>
      </c>
      <c r="X82" s="314">
        <f t="shared" si="90"/>
        <v>0</v>
      </c>
      <c r="Y82" s="314">
        <f t="shared" si="90"/>
        <v>0</v>
      </c>
      <c r="Z82" s="314">
        <f t="shared" si="90"/>
        <v>0</v>
      </c>
      <c r="AA82" s="314">
        <f t="shared" si="90"/>
        <v>0</v>
      </c>
      <c r="AB82" s="314">
        <f t="shared" si="90"/>
        <v>0</v>
      </c>
      <c r="AC82" s="314">
        <f t="shared" si="90"/>
        <v>0</v>
      </c>
      <c r="AD82" s="314">
        <f t="shared" si="90"/>
        <v>0</v>
      </c>
      <c r="AE82" s="314">
        <f t="shared" si="90"/>
        <v>0</v>
      </c>
      <c r="AF82" s="314">
        <f t="shared" si="90"/>
        <v>0</v>
      </c>
      <c r="AG82" s="314">
        <f t="shared" si="90"/>
        <v>0</v>
      </c>
      <c r="AH82" s="314">
        <f t="shared" si="90"/>
        <v>0</v>
      </c>
      <c r="AI82" s="314">
        <f t="shared" si="90"/>
        <v>0</v>
      </c>
      <c r="AJ82" s="314">
        <f t="shared" si="90"/>
        <v>0</v>
      </c>
      <c r="AK82" s="314">
        <f t="shared" si="90"/>
        <v>0</v>
      </c>
      <c r="AL82" s="314">
        <f t="shared" si="90"/>
        <v>0</v>
      </c>
      <c r="AM82" s="314">
        <f t="shared" si="90"/>
        <v>0</v>
      </c>
      <c r="AN82" s="314">
        <f t="shared" si="90"/>
        <v>0</v>
      </c>
      <c r="AO82" s="314">
        <f t="shared" si="90"/>
        <v>0</v>
      </c>
      <c r="AP82" s="314">
        <f t="shared" si="90"/>
        <v>0</v>
      </c>
      <c r="AQ82" s="314">
        <f t="shared" si="90"/>
        <v>0</v>
      </c>
      <c r="AR82" s="314">
        <f t="shared" si="90"/>
        <v>0</v>
      </c>
      <c r="AS82" s="314">
        <f t="shared" si="90"/>
        <v>0</v>
      </c>
      <c r="AT82" s="314">
        <f t="shared" si="90"/>
        <v>0</v>
      </c>
      <c r="AU82" s="314">
        <f t="shared" si="90"/>
        <v>0</v>
      </c>
      <c r="AV82" s="314">
        <f t="shared" si="90"/>
        <v>0</v>
      </c>
      <c r="AW82" s="314">
        <f t="shared" si="90"/>
        <v>0</v>
      </c>
      <c r="AX82" s="314">
        <f t="shared" si="90"/>
        <v>0</v>
      </c>
      <c r="AY82" s="314">
        <f t="shared" si="90"/>
        <v>0</v>
      </c>
      <c r="AZ82" s="314">
        <f t="shared" si="90"/>
        <v>0</v>
      </c>
      <c r="BA82" s="314">
        <f t="shared" si="90"/>
        <v>0</v>
      </c>
      <c r="BB82" s="314">
        <f t="shared" si="90"/>
        <v>0</v>
      </c>
      <c r="BC82" s="314">
        <f t="shared" si="90"/>
        <v>0</v>
      </c>
      <c r="BD82" s="314">
        <f t="shared" si="90"/>
        <v>0</v>
      </c>
      <c r="BE82" s="314">
        <f t="shared" si="90"/>
        <v>0</v>
      </c>
      <c r="BF82" s="314">
        <f t="shared" si="90"/>
        <v>0</v>
      </c>
      <c r="BG82" s="314">
        <f t="shared" si="90"/>
        <v>0</v>
      </c>
      <c r="BH82" s="314">
        <f t="shared" si="90"/>
        <v>0</v>
      </c>
      <c r="BI82" s="314">
        <f t="shared" si="90"/>
        <v>0</v>
      </c>
      <c r="BJ82" s="314"/>
      <c r="BK82" s="314"/>
      <c r="BL82" s="314"/>
    </row>
    <row r="83" spans="1:64" ht="15" customHeight="1" thickTop="1" x14ac:dyDescent="0.3">
      <c r="A83" s="256"/>
      <c r="B83" s="281"/>
      <c r="C83" s="282"/>
      <c r="D83" s="283"/>
      <c r="E83" s="285"/>
      <c r="F83" s="285"/>
      <c r="G83" s="285"/>
      <c r="H83" s="284"/>
      <c r="I83" s="285"/>
      <c r="J83" s="523"/>
      <c r="K83" s="285"/>
      <c r="L83" s="285"/>
      <c r="M83" s="285"/>
      <c r="N83" s="285"/>
      <c r="O83" s="285"/>
      <c r="P83" s="285"/>
      <c r="Q83" s="285"/>
      <c r="R83" s="285"/>
      <c r="S83" s="285"/>
      <c r="T83" s="285"/>
      <c r="U83" s="285"/>
      <c r="V83" s="285"/>
      <c r="W83" s="285"/>
      <c r="X83" s="285"/>
      <c r="Y83" s="284"/>
      <c r="Z83" s="285"/>
      <c r="AA83" s="285"/>
      <c r="AB83" s="285"/>
      <c r="AC83" s="284"/>
      <c r="AD83" s="285"/>
      <c r="AE83" s="285"/>
      <c r="AF83" s="285"/>
      <c r="AG83" s="285"/>
      <c r="AH83" s="284"/>
      <c r="AI83" s="285"/>
      <c r="AJ83" s="285"/>
      <c r="AK83" s="285"/>
      <c r="AL83" s="285"/>
      <c r="AM83" s="284"/>
      <c r="AN83" s="284"/>
      <c r="AO83" s="285"/>
      <c r="AP83" s="285"/>
      <c r="AQ83" s="285"/>
      <c r="AR83" s="285"/>
      <c r="AS83" s="284"/>
      <c r="AT83" s="284"/>
      <c r="AU83" s="285"/>
      <c r="AV83" s="284"/>
      <c r="AW83" s="285"/>
      <c r="AX83" s="285"/>
      <c r="AY83" s="285"/>
      <c r="AZ83" s="285"/>
      <c r="BA83" s="284"/>
      <c r="BB83" s="284"/>
      <c r="BC83" s="285"/>
      <c r="BD83" s="284"/>
      <c r="BE83" s="285"/>
      <c r="BF83" s="285"/>
      <c r="BG83" s="285"/>
      <c r="BH83" s="285"/>
      <c r="BI83" s="285"/>
      <c r="BJ83" s="285"/>
      <c r="BK83" s="285"/>
      <c r="BL83" s="285"/>
    </row>
    <row r="84" spans="1:64" ht="15" customHeight="1" x14ac:dyDescent="0.3">
      <c r="A84" s="256"/>
      <c r="B84" s="281"/>
      <c r="C84" s="286"/>
      <c r="D84" s="273"/>
      <c r="E84" s="285"/>
      <c r="F84" s="285"/>
      <c r="G84" s="285"/>
      <c r="H84" s="284"/>
      <c r="I84" s="285"/>
      <c r="J84" s="523"/>
      <c r="K84" s="285"/>
      <c r="L84" s="285"/>
      <c r="M84" s="285"/>
      <c r="N84" s="285"/>
      <c r="O84" s="285"/>
      <c r="P84" s="285"/>
      <c r="Q84" s="285"/>
      <c r="R84" s="285"/>
      <c r="S84" s="285"/>
      <c r="T84" s="285"/>
      <c r="U84" s="285"/>
      <c r="V84" s="285"/>
      <c r="W84" s="285"/>
      <c r="X84" s="285"/>
      <c r="Y84" s="284"/>
      <c r="Z84" s="285"/>
      <c r="AA84" s="285"/>
      <c r="AB84" s="285"/>
      <c r="AC84" s="284"/>
      <c r="AD84" s="285"/>
      <c r="AE84" s="285"/>
      <c r="AF84" s="285"/>
      <c r="AG84" s="285"/>
      <c r="AH84" s="284"/>
      <c r="AI84" s="285"/>
      <c r="AJ84" s="285"/>
      <c r="AK84" s="285"/>
      <c r="AL84" s="285"/>
      <c r="AM84" s="284"/>
      <c r="AN84" s="284"/>
      <c r="AO84" s="285"/>
      <c r="AP84" s="285"/>
      <c r="AQ84" s="285"/>
      <c r="AR84" s="285"/>
      <c r="AS84" s="284"/>
      <c r="AT84" s="284"/>
      <c r="AU84" s="285"/>
      <c r="AV84" s="284"/>
      <c r="AW84" s="285"/>
      <c r="AX84" s="285"/>
      <c r="AY84" s="285"/>
      <c r="AZ84" s="285"/>
      <c r="BA84" s="284"/>
      <c r="BB84" s="284"/>
      <c r="BC84" s="285"/>
      <c r="BD84" s="284"/>
      <c r="BE84" s="285"/>
      <c r="BF84" s="285"/>
      <c r="BG84" s="285"/>
      <c r="BH84" s="285"/>
      <c r="BI84" s="285"/>
      <c r="BJ84" s="285"/>
      <c r="BK84" s="285"/>
      <c r="BL84" s="285"/>
    </row>
    <row r="85" spans="1:64" ht="15" customHeight="1" x14ac:dyDescent="0.3">
      <c r="A85" s="287" t="s">
        <v>135</v>
      </c>
      <c r="B85" s="290">
        <f>VLOOKUP(A85,'Comments Feeder'!B:L,11,FALSE)</f>
        <v>0</v>
      </c>
      <c r="C85" s="290">
        <f>-B85+SUM(E85:AF85)</f>
        <v>0</v>
      </c>
      <c r="D85" s="273"/>
      <c r="E85" s="285"/>
      <c r="F85" s="285"/>
      <c r="G85" s="284"/>
      <c r="H85" s="285"/>
      <c r="I85" s="523"/>
      <c r="J85" s="523"/>
      <c r="K85" s="285"/>
      <c r="L85" s="285"/>
      <c r="M85" s="285"/>
      <c r="N85" s="285"/>
      <c r="O85" s="285"/>
      <c r="P85" s="285"/>
      <c r="Q85" s="285"/>
      <c r="R85" s="285"/>
      <c r="S85" s="285"/>
      <c r="T85" s="285"/>
      <c r="U85" s="285"/>
      <c r="V85" s="285"/>
      <c r="W85" s="285"/>
      <c r="X85" s="285"/>
      <c r="Y85" s="284"/>
      <c r="Z85" s="285"/>
      <c r="AA85" s="285"/>
      <c r="AB85" s="285"/>
      <c r="AC85" s="284"/>
      <c r="AD85" s="285"/>
      <c r="AE85" s="285"/>
      <c r="AF85" s="285"/>
      <c r="AG85" s="285"/>
      <c r="AH85" s="284"/>
      <c r="AI85" s="285"/>
      <c r="AJ85" s="285"/>
      <c r="AK85" s="285"/>
      <c r="AL85" s="285"/>
      <c r="AM85" s="284"/>
      <c r="AN85" s="284"/>
      <c r="AO85" s="285"/>
      <c r="AP85" s="285"/>
      <c r="AQ85" s="285"/>
      <c r="AR85" s="285"/>
      <c r="AS85" s="284"/>
      <c r="AT85" s="284"/>
      <c r="AU85" s="285"/>
      <c r="AV85" s="284"/>
      <c r="AW85" s="285"/>
      <c r="AX85" s="285"/>
      <c r="AY85" s="285"/>
      <c r="AZ85" s="285"/>
      <c r="BA85" s="284"/>
      <c r="BB85" s="284"/>
      <c r="BC85" s="285"/>
      <c r="BD85" s="284"/>
      <c r="BE85" s="285"/>
      <c r="BF85" s="285"/>
      <c r="BG85" s="285"/>
      <c r="BH85" s="285"/>
      <c r="BI85" s="285"/>
      <c r="BJ85" s="285"/>
      <c r="BK85" s="285"/>
      <c r="BL85" s="285"/>
    </row>
    <row r="86" spans="1:64" ht="15" customHeight="1" x14ac:dyDescent="0.3">
      <c r="A86" s="287" t="s">
        <v>465</v>
      </c>
      <c r="B86" s="290">
        <f>VLOOKUP("S48D - Transfers To/From Earmarked Reserves",'Comments Feeder'!B:L,11,FALSE)</f>
        <v>-68</v>
      </c>
      <c r="C86" s="290">
        <f>-B86+SUM(E86:BL86)</f>
        <v>68.217070000000007</v>
      </c>
      <c r="D86" s="273"/>
      <c r="E86" s="308"/>
      <c r="F86" s="308"/>
      <c r="G86" s="378"/>
      <c r="H86" s="308"/>
      <c r="I86" s="519"/>
      <c r="J86" s="519"/>
      <c r="K86" s="308"/>
      <c r="L86" s="308"/>
      <c r="M86" s="308"/>
      <c r="N86" s="308">
        <v>0.21707000000000001</v>
      </c>
      <c r="O86" s="308"/>
      <c r="P86" s="308"/>
      <c r="Q86" s="308"/>
      <c r="R86" s="308"/>
      <c r="S86" s="308"/>
      <c r="T86" s="308"/>
      <c r="U86" s="308"/>
      <c r="V86" s="308"/>
      <c r="W86" s="308"/>
      <c r="X86" s="308"/>
      <c r="Y86" s="378"/>
      <c r="Z86" s="308"/>
      <c r="AA86" s="308"/>
      <c r="AB86" s="308"/>
      <c r="AC86" s="378"/>
      <c r="AD86" s="308"/>
      <c r="AE86" s="308"/>
      <c r="AF86" s="308"/>
      <c r="AG86" s="308"/>
      <c r="AH86" s="378"/>
      <c r="AI86" s="308"/>
      <c r="AJ86" s="308"/>
      <c r="AK86" s="308"/>
      <c r="AL86" s="308"/>
      <c r="AM86" s="378"/>
      <c r="AN86" s="378"/>
      <c r="AO86" s="308"/>
      <c r="AP86" s="308"/>
      <c r="AQ86" s="308"/>
      <c r="AR86" s="308"/>
      <c r="AS86" s="378"/>
      <c r="AT86" s="378"/>
      <c r="AU86" s="308"/>
      <c r="AV86" s="378"/>
      <c r="AW86" s="308"/>
      <c r="AX86" s="308"/>
      <c r="AY86" s="308"/>
      <c r="AZ86" s="308"/>
      <c r="BA86" s="378"/>
      <c r="BB86" s="378"/>
      <c r="BC86" s="308"/>
      <c r="BD86" s="378"/>
      <c r="BE86" s="308"/>
      <c r="BF86" s="308"/>
      <c r="BG86" s="308"/>
      <c r="BH86" s="308"/>
      <c r="BI86" s="308"/>
      <c r="BJ86" s="308"/>
      <c r="BK86" s="308"/>
      <c r="BL86" s="308"/>
    </row>
    <row r="87" spans="1:64" ht="15" customHeight="1" x14ac:dyDescent="0.3">
      <c r="A87" s="287" t="s">
        <v>136</v>
      </c>
      <c r="B87" s="290">
        <f>VLOOKUP("Total Corporate Accounts &amp; Contingencies",'Comments Feeder'!B:L,11,FALSE)</f>
        <v>0</v>
      </c>
      <c r="C87" s="290">
        <f>-B87+SUM(E87:BQ87)</f>
        <v>0</v>
      </c>
      <c r="D87" s="273"/>
      <c r="E87" s="308"/>
      <c r="F87" s="285"/>
      <c r="G87" s="290"/>
      <c r="H87" s="285"/>
      <c r="I87" s="523"/>
      <c r="J87" s="523"/>
      <c r="K87" s="285"/>
      <c r="L87" s="285"/>
      <c r="M87" s="285"/>
      <c r="N87" s="285"/>
      <c r="O87" s="285"/>
      <c r="P87" s="285"/>
      <c r="Q87" s="285"/>
      <c r="R87" s="285"/>
      <c r="S87" s="285"/>
      <c r="T87" s="285"/>
      <c r="U87" s="285"/>
      <c r="V87" s="285"/>
      <c r="W87" s="285"/>
      <c r="X87" s="285"/>
      <c r="Y87" s="378"/>
      <c r="Z87" s="285"/>
      <c r="AA87" s="285"/>
      <c r="AB87" s="285"/>
      <c r="AC87" s="378"/>
      <c r="AD87" s="285"/>
      <c r="AE87" s="285"/>
      <c r="AF87" s="285"/>
      <c r="AG87" s="285"/>
      <c r="AH87" s="378"/>
      <c r="AI87" s="285"/>
      <c r="AJ87" s="285"/>
      <c r="AK87" s="285"/>
      <c r="AL87" s="285"/>
      <c r="AM87" s="378"/>
      <c r="AN87" s="378"/>
      <c r="AO87" s="285"/>
      <c r="AP87" s="285"/>
      <c r="AQ87" s="285"/>
      <c r="AR87" s="285"/>
      <c r="AS87" s="378"/>
      <c r="AT87" s="378"/>
      <c r="AU87" s="285"/>
      <c r="AV87" s="378"/>
      <c r="AW87" s="285"/>
      <c r="AX87" s="285"/>
      <c r="AY87" s="285"/>
      <c r="AZ87" s="285"/>
      <c r="BA87" s="378"/>
      <c r="BB87" s="378"/>
      <c r="BC87" s="285"/>
      <c r="BD87" s="378"/>
      <c r="BE87" s="285"/>
      <c r="BF87" s="285"/>
      <c r="BG87" s="308"/>
      <c r="BH87" s="308"/>
      <c r="BI87" s="308"/>
      <c r="BJ87" s="308"/>
      <c r="BK87" s="308"/>
      <c r="BL87" s="308"/>
    </row>
    <row r="88" spans="1:64" ht="15" customHeight="1" x14ac:dyDescent="0.3">
      <c r="A88" s="287" t="s">
        <v>159</v>
      </c>
      <c r="B88" s="290">
        <f>-VLOOKUP("Total Funding Available",'Comments Feeder'!B:L,11,FALSE)</f>
        <v>0</v>
      </c>
      <c r="C88" s="290">
        <f>-B88+SUM(E88:BQ88)</f>
        <v>0</v>
      </c>
      <c r="D88" s="283"/>
      <c r="E88" s="285"/>
      <c r="F88" s="285"/>
      <c r="G88" s="285"/>
      <c r="H88" s="284"/>
      <c r="I88" s="285"/>
      <c r="J88" s="523"/>
      <c r="K88" s="285"/>
      <c r="L88" s="285"/>
      <c r="M88" s="285"/>
      <c r="N88" s="285"/>
      <c r="O88" s="285"/>
      <c r="P88" s="285"/>
      <c r="Q88" s="285"/>
      <c r="R88" s="285"/>
      <c r="S88" s="285"/>
      <c r="T88" s="285"/>
      <c r="U88" s="285"/>
      <c r="V88" s="285"/>
      <c r="W88" s="285"/>
      <c r="X88" s="285"/>
      <c r="Y88" s="284"/>
      <c r="Z88" s="285"/>
      <c r="AA88" s="285"/>
      <c r="AB88" s="285"/>
      <c r="AC88" s="284"/>
      <c r="AD88" s="285"/>
      <c r="AE88" s="285"/>
      <c r="AF88" s="285"/>
      <c r="AG88" s="285"/>
      <c r="AH88" s="284"/>
      <c r="AI88" s="285"/>
      <c r="AJ88" s="285"/>
      <c r="AK88" s="285"/>
      <c r="AL88" s="285"/>
      <c r="AM88" s="284"/>
      <c r="AN88" s="284"/>
      <c r="AO88" s="285"/>
      <c r="AP88" s="285"/>
      <c r="AQ88" s="285"/>
      <c r="AR88" s="285"/>
      <c r="AS88" s="284"/>
      <c r="AT88" s="284"/>
      <c r="AU88" s="285"/>
      <c r="AV88" s="284"/>
      <c r="AW88" s="285"/>
      <c r="AX88" s="285"/>
      <c r="AY88" s="285"/>
      <c r="AZ88" s="285"/>
      <c r="BA88" s="284"/>
      <c r="BB88" s="284"/>
      <c r="BC88" s="285"/>
      <c r="BD88" s="284"/>
      <c r="BE88" s="285"/>
      <c r="BF88" s="285"/>
      <c r="BG88" s="308"/>
      <c r="BH88" s="285"/>
      <c r="BI88" s="308"/>
      <c r="BJ88" s="285"/>
      <c r="BK88" s="285"/>
      <c r="BL88" s="285"/>
    </row>
    <row r="89" spans="1:64" ht="15" customHeight="1" x14ac:dyDescent="0.3">
      <c r="A89" s="256"/>
      <c r="B89" s="281"/>
      <c r="C89" s="282"/>
      <c r="D89" s="283"/>
      <c r="E89" s="315"/>
      <c r="F89" s="285"/>
      <c r="G89" s="285"/>
      <c r="H89" s="284"/>
      <c r="I89" s="315"/>
      <c r="J89" s="617"/>
      <c r="K89" s="315"/>
      <c r="L89" s="315"/>
      <c r="M89" s="315"/>
      <c r="N89" s="315"/>
      <c r="O89" s="315"/>
      <c r="P89" s="315"/>
      <c r="Q89" s="315"/>
      <c r="R89" s="315"/>
      <c r="S89" s="315"/>
      <c r="T89" s="315"/>
      <c r="U89" s="315"/>
      <c r="V89" s="315"/>
      <c r="W89" s="315"/>
      <c r="X89" s="315"/>
      <c r="Y89" s="385"/>
      <c r="Z89" s="315"/>
      <c r="AA89" s="315"/>
      <c r="AB89" s="315"/>
      <c r="AC89" s="385"/>
      <c r="AD89" s="315"/>
      <c r="AE89" s="315"/>
      <c r="AF89" s="315"/>
      <c r="AG89" s="315"/>
      <c r="AH89" s="385"/>
      <c r="AI89" s="315"/>
      <c r="AJ89" s="315"/>
      <c r="AK89" s="315"/>
      <c r="AL89" s="315"/>
      <c r="AM89" s="385"/>
      <c r="AN89" s="385"/>
      <c r="AO89" s="315"/>
      <c r="AP89" s="315"/>
      <c r="AQ89" s="315"/>
      <c r="AR89" s="315"/>
      <c r="AS89" s="385"/>
      <c r="AT89" s="385"/>
      <c r="AU89" s="315"/>
      <c r="AV89" s="385"/>
      <c r="AW89" s="315"/>
      <c r="AX89" s="315"/>
      <c r="AY89" s="315"/>
      <c r="AZ89" s="315"/>
      <c r="BA89" s="385"/>
      <c r="BB89" s="385"/>
      <c r="BC89" s="315"/>
      <c r="BD89" s="385"/>
      <c r="BE89" s="315"/>
      <c r="BF89" s="315"/>
      <c r="BG89" s="315"/>
      <c r="BH89" s="315"/>
      <c r="BI89" s="315"/>
      <c r="BJ89" s="315"/>
      <c r="BK89" s="315"/>
      <c r="BL89" s="315"/>
    </row>
    <row r="90" spans="1:64" ht="15" customHeight="1" thickBot="1" x14ac:dyDescent="0.35">
      <c r="A90" s="288" t="s">
        <v>466</v>
      </c>
      <c r="B90" s="582">
        <f>B82+B86+B87+B85+B88</f>
        <v>-16</v>
      </c>
      <c r="C90" s="582">
        <f>C82-C86-C87-C85</f>
        <v>-1.2170700000000068</v>
      </c>
      <c r="D90" s="289"/>
      <c r="E90" s="582">
        <f>E82+E86+E87+E85+E88</f>
        <v>0</v>
      </c>
      <c r="F90" s="582">
        <f t="shared" ref="F90:BI90" si="91">F82+F86+F87+F85+F88</f>
        <v>0</v>
      </c>
      <c r="G90" s="582">
        <f t="shared" si="91"/>
        <v>0</v>
      </c>
      <c r="H90" s="582">
        <f t="shared" si="91"/>
        <v>0</v>
      </c>
      <c r="I90" s="620">
        <f t="shared" si="91"/>
        <v>0</v>
      </c>
      <c r="J90" s="618">
        <f t="shared" si="91"/>
        <v>0</v>
      </c>
      <c r="K90" s="582">
        <f t="shared" si="91"/>
        <v>0</v>
      </c>
      <c r="L90" s="582">
        <f t="shared" si="91"/>
        <v>0</v>
      </c>
      <c r="M90" s="582">
        <f t="shared" si="91"/>
        <v>0</v>
      </c>
      <c r="N90" s="582">
        <f t="shared" si="91"/>
        <v>0.21707000000000001</v>
      </c>
      <c r="O90" s="582">
        <f t="shared" si="91"/>
        <v>0</v>
      </c>
      <c r="P90" s="582">
        <f t="shared" si="91"/>
        <v>0</v>
      </c>
      <c r="Q90" s="582">
        <f t="shared" si="91"/>
        <v>0</v>
      </c>
      <c r="R90" s="582">
        <f t="shared" si="91"/>
        <v>0</v>
      </c>
      <c r="S90" s="582">
        <f t="shared" si="91"/>
        <v>0</v>
      </c>
      <c r="T90" s="582">
        <f t="shared" si="91"/>
        <v>0</v>
      </c>
      <c r="U90" s="582">
        <f t="shared" si="91"/>
        <v>0</v>
      </c>
      <c r="V90" s="582">
        <f t="shared" si="91"/>
        <v>0</v>
      </c>
      <c r="W90" s="582">
        <f t="shared" si="91"/>
        <v>0</v>
      </c>
      <c r="X90" s="582">
        <f t="shared" si="91"/>
        <v>0</v>
      </c>
      <c r="Y90" s="582">
        <f t="shared" si="91"/>
        <v>0</v>
      </c>
      <c r="Z90" s="582">
        <f t="shared" si="91"/>
        <v>0</v>
      </c>
      <c r="AA90" s="582">
        <f t="shared" si="91"/>
        <v>0</v>
      </c>
      <c r="AB90" s="582">
        <f t="shared" si="91"/>
        <v>0</v>
      </c>
      <c r="AC90" s="582">
        <f t="shared" si="91"/>
        <v>0</v>
      </c>
      <c r="AD90" s="394">
        <f t="shared" si="91"/>
        <v>0</v>
      </c>
      <c r="AE90" s="394">
        <f t="shared" si="91"/>
        <v>0</v>
      </c>
      <c r="AF90" s="394">
        <f t="shared" si="91"/>
        <v>0</v>
      </c>
      <c r="AG90" s="394">
        <f t="shared" si="91"/>
        <v>0</v>
      </c>
      <c r="AH90" s="394">
        <f t="shared" si="91"/>
        <v>0</v>
      </c>
      <c r="AI90" s="394">
        <f t="shared" si="91"/>
        <v>0</v>
      </c>
      <c r="AJ90" s="394">
        <f t="shared" si="91"/>
        <v>0</v>
      </c>
      <c r="AK90" s="394">
        <f t="shared" si="91"/>
        <v>0</v>
      </c>
      <c r="AL90" s="394">
        <f t="shared" si="91"/>
        <v>0</v>
      </c>
      <c r="AM90" s="394">
        <f t="shared" si="91"/>
        <v>0</v>
      </c>
      <c r="AN90" s="394">
        <f t="shared" si="91"/>
        <v>0</v>
      </c>
      <c r="AO90" s="394">
        <f t="shared" si="91"/>
        <v>0</v>
      </c>
      <c r="AP90" s="394">
        <f t="shared" si="91"/>
        <v>0</v>
      </c>
      <c r="AQ90" s="394">
        <f t="shared" si="91"/>
        <v>0</v>
      </c>
      <c r="AR90" s="394">
        <f t="shared" si="91"/>
        <v>0</v>
      </c>
      <c r="AS90" s="394">
        <f t="shared" si="91"/>
        <v>0</v>
      </c>
      <c r="AT90" s="394">
        <f t="shared" si="91"/>
        <v>0</v>
      </c>
      <c r="AU90" s="394">
        <f t="shared" si="91"/>
        <v>0</v>
      </c>
      <c r="AV90" s="394">
        <f t="shared" si="91"/>
        <v>0</v>
      </c>
      <c r="AW90" s="394">
        <f t="shared" si="91"/>
        <v>0</v>
      </c>
      <c r="AX90" s="394">
        <f t="shared" si="91"/>
        <v>0</v>
      </c>
      <c r="AY90" s="394">
        <f t="shared" si="91"/>
        <v>0</v>
      </c>
      <c r="AZ90" s="394">
        <f t="shared" si="91"/>
        <v>0</v>
      </c>
      <c r="BA90" s="394">
        <f t="shared" si="91"/>
        <v>0</v>
      </c>
      <c r="BB90" s="394">
        <f t="shared" si="91"/>
        <v>0</v>
      </c>
      <c r="BC90" s="394">
        <f t="shared" si="91"/>
        <v>0</v>
      </c>
      <c r="BD90" s="394">
        <f t="shared" si="91"/>
        <v>0</v>
      </c>
      <c r="BE90" s="394">
        <f t="shared" si="91"/>
        <v>0</v>
      </c>
      <c r="BF90" s="394">
        <f t="shared" si="91"/>
        <v>0</v>
      </c>
      <c r="BG90" s="394">
        <f t="shared" si="91"/>
        <v>0</v>
      </c>
      <c r="BH90" s="394">
        <f t="shared" si="91"/>
        <v>0</v>
      </c>
      <c r="BI90" s="394">
        <f t="shared" si="91"/>
        <v>0</v>
      </c>
      <c r="BJ90" s="394"/>
      <c r="BK90" s="394"/>
      <c r="BL90" s="394"/>
    </row>
    <row r="91" spans="1:64" ht="13" thickTop="1" x14ac:dyDescent="0.25"/>
  </sheetData>
  <customSheetViews>
    <customSheetView guid="{903669DD-1133-45D2-B108-C6B5BEA5EB61}">
      <pane xSplit="3" ySplit="2" topLeftCell="D3" activePane="bottomRight" state="frozen"/>
      <selection pane="bottomRight" activeCell="A14" sqref="A14"/>
      <pageMargins left="0" right="0" top="0" bottom="0" header="0" footer="0"/>
    </customSheetView>
    <customSheetView guid="{7910FD81-BFE7-4CD5-939B-3D7A1CA9601A}" hiddenColumns="1">
      <pane xSplit="4" ySplit="3" topLeftCell="E4" activePane="bottomRight" state="frozen"/>
      <selection pane="bottomRight" activeCell="BU84" sqref="BU84"/>
      <pageMargins left="0" right="0" top="0" bottom="0" header="0" footer="0"/>
      <pageSetup orientation="portrait" r:id="rId1"/>
    </customSheetView>
    <customSheetView guid="{051C2D13-0D3D-44C3-A7DB-A0EAFBF115F0}">
      <pane xSplit="3" ySplit="2" topLeftCell="D9" activePane="bottomRight" state="frozen"/>
      <selection pane="bottomRight" activeCell="B6" sqref="B6"/>
      <pageMargins left="0" right="0" top="0" bottom="0" header="0" footer="0"/>
    </customSheetView>
    <customSheetView guid="{9C479752-7F2F-4739-B52F-47A06FE05EF0}" hiddenColumns="1">
      <selection activeCell="F19" sqref="F19"/>
      <pageMargins left="0" right="0" top="0" bottom="0" header="0" footer="0"/>
      <pageSetup paperSize="9" orientation="portrait" verticalDpi="0" r:id="rId2"/>
    </customSheetView>
    <customSheetView guid="{A0809A10-8F40-4AD2-8943-60E412AED428}">
      <pane xSplit="3" ySplit="2" topLeftCell="D3" activePane="bottomRight" state="frozen"/>
      <selection pane="bottomRight" activeCell="B6" sqref="B6"/>
      <pageMargins left="0" right="0" top="0" bottom="0" header="0" footer="0"/>
    </customSheetView>
    <customSheetView guid="{3E006852-BD2D-4884-A2A1-BFAEAE24582F}">
      <pane xSplit="3" ySplit="2" topLeftCell="M3" activePane="bottomRight" state="frozen"/>
      <selection pane="bottomRight" activeCell="B14" sqref="B14"/>
      <pageMargins left="0" right="0" top="0" bottom="0" header="0" footer="0"/>
    </customSheetView>
    <customSheetView guid="{28ADD64E-1C54-4CF2-8A6A-391E4DF6D903}">
      <pane xSplit="3" ySplit="2" topLeftCell="D25" activePane="bottomRight" state="frozen"/>
      <selection pane="bottomRight" activeCell="A39" sqref="A39"/>
      <pageMargins left="0" right="0" top="0" bottom="0" header="0" footer="0"/>
    </customSheetView>
    <customSheetView guid="{B5B78BF3-B1F8-4BBA-8E40-E18C6034B566}" hiddenColumns="1" topLeftCell="A25">
      <selection activeCell="A70" sqref="A70"/>
      <pageMargins left="0" right="0" top="0" bottom="0" header="0" footer="0"/>
      <pageSetup paperSize="9" orientation="portrait" verticalDpi="0" r:id="rId3"/>
    </customSheetView>
    <customSheetView guid="{2F5D2611-A2AC-4668-B979-0EE258BE5F1F}">
      <pane xSplit="3" ySplit="2" topLeftCell="D3" activePane="bottomRight" state="frozen"/>
      <selection pane="bottomRight" activeCell="F5" sqref="F5"/>
      <pageMargins left="0" right="0" top="0" bottom="0" header="0" footer="0"/>
    </customSheetView>
    <customSheetView guid="{2EE8538C-E3AE-40C6-B22A-073EBF96300A}">
      <pane xSplit="3" ySplit="2" topLeftCell="J3" activePane="bottomRight" state="frozen"/>
      <selection pane="bottomRight" activeCell="AB2" sqref="AB2"/>
      <pageMargins left="0" right="0" top="0" bottom="0" header="0" footer="0"/>
      <pageSetup paperSize="9" orientation="portrait" verticalDpi="0" r:id="rId4"/>
    </customSheetView>
    <customSheetView guid="{E4F22399-07D5-465E-AFB1-A36259E00328}">
      <pane xSplit="3" ySplit="2" topLeftCell="D3" activePane="bottomRight" state="frozen"/>
      <selection pane="bottomRight" activeCell="A14" sqref="A14"/>
      <pageMargins left="0" right="0" top="0" bottom="0" header="0" footer="0"/>
    </customSheetView>
  </customSheetViews>
  <mergeCells count="1">
    <mergeCell ref="E1:N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AF147"/>
  <sheetViews>
    <sheetView workbookViewId="0">
      <pane xSplit="2" ySplit="3" topLeftCell="C4" activePane="bottomRight" state="frozen"/>
      <selection pane="topRight" activeCell="B110" sqref="B110"/>
      <selection pane="bottomLeft" activeCell="B110" sqref="B110"/>
      <selection pane="bottomRight" activeCell="B110" sqref="B110"/>
    </sheetView>
  </sheetViews>
  <sheetFormatPr defaultColWidth="9.453125" defaultRowHeight="12.5" outlineLevelRow="2" outlineLevelCol="1" x14ac:dyDescent="0.25"/>
  <cols>
    <col min="1" max="1" width="1.54296875" customWidth="1"/>
    <col min="2" max="2" width="55.453125" style="1" customWidth="1"/>
    <col min="3" max="4" width="13.54296875" customWidth="1"/>
    <col min="5" max="5" width="13.54296875" hidden="1" customWidth="1" outlineLevel="1"/>
    <col min="6" max="6" width="13.54296875" style="1" hidden="1" customWidth="1" outlineLevel="1"/>
    <col min="7" max="11" width="13.54296875" hidden="1" customWidth="1" outlineLevel="1"/>
    <col min="12" max="12" width="13.54296875" customWidth="1" collapsed="1"/>
    <col min="13" max="13" width="13.54296875" customWidth="1" outlineLevel="1"/>
    <col min="14" max="14" width="13.54296875" customWidth="1"/>
    <col min="15" max="16" width="13.54296875" hidden="1" customWidth="1" outlineLevel="1"/>
    <col min="17" max="17" width="13.54296875" customWidth="1" collapsed="1"/>
    <col min="18" max="20" width="13.54296875" customWidth="1" outlineLevel="1"/>
    <col min="21" max="22" width="13.54296875" customWidth="1"/>
    <col min="23" max="26" width="13.54296875" customWidth="1" outlineLevel="1"/>
    <col min="27" max="27" width="1.54296875" customWidth="1"/>
    <col min="28" max="32" width="13.54296875" customWidth="1" outlineLevel="1"/>
    <col min="33" max="33" width="1.54296875" customWidth="1"/>
    <col min="34" max="43" width="11.54296875" customWidth="1"/>
  </cols>
  <sheetData>
    <row r="1" spans="2:32" s="6" customFormat="1" ht="18.5" thickBot="1" x14ac:dyDescent="0.45">
      <c r="B1" s="17"/>
      <c r="D1" s="18" t="s">
        <v>0</v>
      </c>
      <c r="F1" s="17"/>
    </row>
    <row r="2" spans="2:32"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48" t="s">
        <v>25</v>
      </c>
      <c r="X2" s="48" t="s">
        <v>26</v>
      </c>
      <c r="Y2" s="48" t="s">
        <v>27</v>
      </c>
      <c r="Z2" s="48" t="s">
        <v>28</v>
      </c>
      <c r="AA2" s="60"/>
      <c r="AB2" s="48" t="s">
        <v>29</v>
      </c>
      <c r="AC2" s="48" t="s">
        <v>30</v>
      </c>
      <c r="AD2" s="48" t="s">
        <v>31</v>
      </c>
      <c r="AE2" s="48" t="s">
        <v>32</v>
      </c>
      <c r="AF2" s="48" t="s">
        <v>33</v>
      </c>
    </row>
    <row r="3" spans="2:32"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55" t="s">
        <v>34</v>
      </c>
      <c r="X3" s="55" t="s">
        <v>34</v>
      </c>
      <c r="Y3" s="55" t="s">
        <v>34</v>
      </c>
      <c r="Z3" s="26" t="s">
        <v>34</v>
      </c>
      <c r="AA3" s="60"/>
      <c r="AB3" s="96" t="s">
        <v>34</v>
      </c>
      <c r="AC3" s="55" t="s">
        <v>34</v>
      </c>
      <c r="AD3" s="55" t="s">
        <v>34</v>
      </c>
      <c r="AE3" s="55" t="s">
        <v>34</v>
      </c>
      <c r="AF3" s="97" t="s">
        <v>34</v>
      </c>
    </row>
    <row r="4" spans="2:32" ht="13" x14ac:dyDescent="0.3">
      <c r="B4" s="29"/>
      <c r="C4" s="36"/>
      <c r="D4" s="36"/>
      <c r="E4" s="22"/>
      <c r="F4" s="22"/>
      <c r="G4" s="22"/>
      <c r="H4" s="22"/>
      <c r="I4" s="22"/>
      <c r="J4" s="22"/>
      <c r="K4" s="22"/>
      <c r="L4" s="36"/>
      <c r="M4" s="36"/>
      <c r="N4" s="36"/>
      <c r="O4" s="36"/>
      <c r="P4" s="36"/>
      <c r="Q4" s="36"/>
      <c r="R4" s="36"/>
      <c r="S4" s="36"/>
      <c r="T4" s="36"/>
      <c r="U4" s="58"/>
      <c r="V4" s="36"/>
      <c r="W4" s="36"/>
      <c r="X4" s="36"/>
      <c r="Y4" s="36"/>
      <c r="Z4" s="40"/>
      <c r="AA4" s="60"/>
      <c r="AB4" s="98"/>
      <c r="AC4" s="36"/>
      <c r="AD4" s="36"/>
      <c r="AE4" s="36"/>
      <c r="AF4" s="99"/>
    </row>
    <row r="5" spans="2:32" ht="13" outlineLevel="2" x14ac:dyDescent="0.3">
      <c r="B5" s="31" t="s">
        <v>167</v>
      </c>
      <c r="C5" s="33">
        <v>812</v>
      </c>
      <c r="D5" s="33">
        <v>723</v>
      </c>
      <c r="E5" s="23">
        <v>0</v>
      </c>
      <c r="F5" s="23">
        <v>0</v>
      </c>
      <c r="G5" s="23">
        <v>-15</v>
      </c>
      <c r="H5" s="23">
        <v>0</v>
      </c>
      <c r="I5" s="23">
        <v>-74</v>
      </c>
      <c r="J5" s="23">
        <v>0</v>
      </c>
      <c r="K5" s="23">
        <f t="shared" ref="K5:K68" si="0">SUM(E5:J5)</f>
        <v>-89</v>
      </c>
      <c r="L5" s="33">
        <f t="shared" ref="L5:L68" si="1">N5-D5</f>
        <v>0</v>
      </c>
      <c r="M5" s="33">
        <f t="shared" ref="M5:M68" si="2">N5-C5</f>
        <v>-89</v>
      </c>
      <c r="N5" s="33">
        <v>723</v>
      </c>
      <c r="O5" s="33">
        <v>1089</v>
      </c>
      <c r="P5" s="33">
        <v>-475</v>
      </c>
      <c r="Q5" s="33">
        <v>614</v>
      </c>
      <c r="R5" s="33">
        <v>723</v>
      </c>
      <c r="S5" s="33">
        <f t="shared" ref="S5:S68" si="3">Q5-R5</f>
        <v>-109</v>
      </c>
      <c r="T5" s="38">
        <f t="shared" ref="T5:T68" si="4">IFERROR((Q5/N5)*100%,"∞")</f>
        <v>0.84923928077455046</v>
      </c>
      <c r="U5" s="59">
        <f t="shared" ref="U5:U68" si="5">N5+V5</f>
        <v>723</v>
      </c>
      <c r="V5" s="33">
        <v>0</v>
      </c>
      <c r="W5" s="33">
        <v>0</v>
      </c>
      <c r="X5" s="33"/>
      <c r="Y5" s="33"/>
      <c r="Z5" s="42"/>
      <c r="AA5" s="60"/>
      <c r="AB5" s="105"/>
      <c r="AC5" s="93"/>
      <c r="AD5" s="33">
        <f t="shared" ref="AD5:AD68" si="6">SUM(AB5:AC5)</f>
        <v>0</v>
      </c>
      <c r="AE5" s="33">
        <f t="shared" ref="AE5:AE68" si="7">Q5+AD5</f>
        <v>614</v>
      </c>
      <c r="AF5" s="101">
        <f t="shared" ref="AF5:AF68" si="8">AE5-N5</f>
        <v>-109</v>
      </c>
    </row>
    <row r="6" spans="2:32" ht="13" outlineLevel="2" x14ac:dyDescent="0.3">
      <c r="B6" s="31" t="s">
        <v>168</v>
      </c>
      <c r="C6" s="33">
        <v>4611</v>
      </c>
      <c r="D6" s="33">
        <v>1733</v>
      </c>
      <c r="E6" s="23">
        <v>-2762</v>
      </c>
      <c r="F6" s="23">
        <v>1530</v>
      </c>
      <c r="G6" s="23">
        <v>-56</v>
      </c>
      <c r="H6" s="23">
        <v>17</v>
      </c>
      <c r="I6" s="23">
        <v>-60</v>
      </c>
      <c r="J6" s="23">
        <v>-15</v>
      </c>
      <c r="K6" s="23">
        <f t="shared" si="0"/>
        <v>-1346</v>
      </c>
      <c r="L6" s="33">
        <f t="shared" si="1"/>
        <v>1515</v>
      </c>
      <c r="M6" s="33">
        <f t="shared" si="2"/>
        <v>-1363</v>
      </c>
      <c r="N6" s="33">
        <v>3248</v>
      </c>
      <c r="O6" s="33">
        <v>10536</v>
      </c>
      <c r="P6" s="33">
        <v>-7840</v>
      </c>
      <c r="Q6" s="33">
        <v>2697</v>
      </c>
      <c r="R6" s="33">
        <v>3248</v>
      </c>
      <c r="S6" s="33">
        <f t="shared" si="3"/>
        <v>-551</v>
      </c>
      <c r="T6" s="38">
        <f t="shared" si="4"/>
        <v>0.8303571428571429</v>
      </c>
      <c r="U6" s="59">
        <f t="shared" si="5"/>
        <v>2778</v>
      </c>
      <c r="V6" s="33">
        <v>-470</v>
      </c>
      <c r="W6" s="33">
        <v>-470</v>
      </c>
      <c r="X6" s="33"/>
      <c r="Y6" s="33"/>
      <c r="Z6" s="42"/>
      <c r="AA6" s="60"/>
      <c r="AB6" s="105"/>
      <c r="AC6" s="93"/>
      <c r="AD6" s="33">
        <f t="shared" si="6"/>
        <v>0</v>
      </c>
      <c r="AE6" s="33">
        <f t="shared" si="7"/>
        <v>2697</v>
      </c>
      <c r="AF6" s="101">
        <f t="shared" si="8"/>
        <v>-551</v>
      </c>
    </row>
    <row r="7" spans="2:32" ht="13" outlineLevel="2" x14ac:dyDescent="0.3">
      <c r="B7" s="31" t="s">
        <v>169</v>
      </c>
      <c r="C7" s="33">
        <v>-986</v>
      </c>
      <c r="D7" s="33">
        <v>52</v>
      </c>
      <c r="E7" s="23">
        <v>0</v>
      </c>
      <c r="F7" s="23">
        <v>0</v>
      </c>
      <c r="G7" s="23">
        <v>-1</v>
      </c>
      <c r="H7" s="23">
        <v>0</v>
      </c>
      <c r="I7" s="23">
        <v>1039</v>
      </c>
      <c r="J7" s="23">
        <v>0</v>
      </c>
      <c r="K7" s="23">
        <f t="shared" si="0"/>
        <v>1038</v>
      </c>
      <c r="L7" s="33">
        <f t="shared" si="1"/>
        <v>0</v>
      </c>
      <c r="M7" s="33">
        <f t="shared" si="2"/>
        <v>1038</v>
      </c>
      <c r="N7" s="33">
        <v>52</v>
      </c>
      <c r="O7" s="33">
        <v>55</v>
      </c>
      <c r="P7" s="33">
        <v>0</v>
      </c>
      <c r="Q7" s="33">
        <v>55</v>
      </c>
      <c r="R7" s="33">
        <v>52</v>
      </c>
      <c r="S7" s="33">
        <f t="shared" si="3"/>
        <v>3</v>
      </c>
      <c r="T7" s="38">
        <f t="shared" si="4"/>
        <v>1.0576923076923077</v>
      </c>
      <c r="U7" s="59">
        <f t="shared" si="5"/>
        <v>52</v>
      </c>
      <c r="V7" s="33">
        <v>0</v>
      </c>
      <c r="W7" s="33">
        <v>0</v>
      </c>
      <c r="X7" s="33"/>
      <c r="Y7" s="33"/>
      <c r="Z7" s="42"/>
      <c r="AA7" s="60"/>
      <c r="AB7" s="105"/>
      <c r="AC7" s="93"/>
      <c r="AD7" s="33">
        <f t="shared" si="6"/>
        <v>0</v>
      </c>
      <c r="AE7" s="33">
        <f t="shared" si="7"/>
        <v>55</v>
      </c>
      <c r="AF7" s="101">
        <f t="shared" si="8"/>
        <v>3</v>
      </c>
    </row>
    <row r="8" spans="2:32" ht="13" outlineLevel="2" x14ac:dyDescent="0.3">
      <c r="B8" s="31" t="s">
        <v>170</v>
      </c>
      <c r="C8" s="33">
        <v>121</v>
      </c>
      <c r="D8" s="33">
        <v>159</v>
      </c>
      <c r="E8" s="23">
        <v>0</v>
      </c>
      <c r="F8" s="23">
        <v>0</v>
      </c>
      <c r="G8" s="23">
        <v>-4</v>
      </c>
      <c r="H8" s="23">
        <v>0</v>
      </c>
      <c r="I8" s="23">
        <v>42</v>
      </c>
      <c r="J8" s="23">
        <v>0</v>
      </c>
      <c r="K8" s="23">
        <f t="shared" si="0"/>
        <v>38</v>
      </c>
      <c r="L8" s="33">
        <f t="shared" si="1"/>
        <v>0</v>
      </c>
      <c r="M8" s="33">
        <f t="shared" si="2"/>
        <v>38</v>
      </c>
      <c r="N8" s="33">
        <v>159</v>
      </c>
      <c r="O8" s="33">
        <v>484</v>
      </c>
      <c r="P8" s="33">
        <v>-254</v>
      </c>
      <c r="Q8" s="33">
        <v>230</v>
      </c>
      <c r="R8" s="33">
        <v>159</v>
      </c>
      <c r="S8" s="33">
        <f t="shared" si="3"/>
        <v>71</v>
      </c>
      <c r="T8" s="38">
        <f t="shared" si="4"/>
        <v>1.4465408805031446</v>
      </c>
      <c r="U8" s="59">
        <f t="shared" si="5"/>
        <v>159</v>
      </c>
      <c r="V8" s="33">
        <v>0</v>
      </c>
      <c r="W8" s="33">
        <v>0</v>
      </c>
      <c r="X8" s="33"/>
      <c r="Y8" s="33"/>
      <c r="Z8" s="42"/>
      <c r="AA8" s="60"/>
      <c r="AB8" s="105"/>
      <c r="AC8" s="93"/>
      <c r="AD8" s="33">
        <f t="shared" si="6"/>
        <v>0</v>
      </c>
      <c r="AE8" s="33">
        <f t="shared" si="7"/>
        <v>230</v>
      </c>
      <c r="AF8" s="101">
        <f t="shared" si="8"/>
        <v>71</v>
      </c>
    </row>
    <row r="9" spans="2:32" ht="13" outlineLevel="1" x14ac:dyDescent="0.3">
      <c r="B9" s="32" t="s">
        <v>43</v>
      </c>
      <c r="C9" s="34">
        <f t="shared" ref="C9:J9" si="9">SUBTOTAL(9,C5:C8)</f>
        <v>4558</v>
      </c>
      <c r="D9" s="34">
        <f t="shared" si="9"/>
        <v>2667</v>
      </c>
      <c r="E9" s="24">
        <f t="shared" si="9"/>
        <v>-2762</v>
      </c>
      <c r="F9" s="24">
        <f t="shared" si="9"/>
        <v>1530</v>
      </c>
      <c r="G9" s="24">
        <f t="shared" si="9"/>
        <v>-76</v>
      </c>
      <c r="H9" s="24">
        <f t="shared" si="9"/>
        <v>17</v>
      </c>
      <c r="I9" s="24">
        <f t="shared" si="9"/>
        <v>947</v>
      </c>
      <c r="J9" s="24">
        <f t="shared" si="9"/>
        <v>-15</v>
      </c>
      <c r="K9" s="24">
        <f>SUM(E9:J9)</f>
        <v>-359</v>
      </c>
      <c r="L9" s="34">
        <f t="shared" si="1"/>
        <v>1515</v>
      </c>
      <c r="M9" s="34">
        <f t="shared" si="2"/>
        <v>-376</v>
      </c>
      <c r="N9" s="34">
        <f>SUBTOTAL(9,N5:N8)</f>
        <v>4182</v>
      </c>
      <c r="O9" s="34">
        <f>SUBTOTAL(9,O5:O8)</f>
        <v>12164</v>
      </c>
      <c r="P9" s="34">
        <f>SUBTOTAL(9,P5:P8)</f>
        <v>-8569</v>
      </c>
      <c r="Q9" s="34">
        <f>SUBTOTAL(9,Q5:Q8)</f>
        <v>3596</v>
      </c>
      <c r="R9" s="34">
        <f>SUBTOTAL(9,R5:R8)</f>
        <v>4182</v>
      </c>
      <c r="S9" s="34">
        <f>Q9-R9</f>
        <v>-586</v>
      </c>
      <c r="T9" s="38">
        <f>IFERROR((Q9/N9)*100%,"∞")</f>
        <v>0.8598756575801052</v>
      </c>
      <c r="U9" s="59">
        <f>N9+V9</f>
        <v>3712</v>
      </c>
      <c r="V9" s="34">
        <f>SUBTOTAL(9,V5:V8)</f>
        <v>-470</v>
      </c>
      <c r="W9" s="34">
        <f>SUBTOTAL(9,W5:W8)</f>
        <v>-470</v>
      </c>
      <c r="X9" s="34"/>
      <c r="Y9" s="34"/>
      <c r="Z9" s="41"/>
      <c r="AA9" s="60"/>
      <c r="AB9" s="102">
        <f>SUBTOTAL(9,AB1:AB8)</f>
        <v>0</v>
      </c>
      <c r="AC9" s="34">
        <f>SUBTOTAL(9,AC1:AC8)</f>
        <v>0</v>
      </c>
      <c r="AD9" s="34"/>
      <c r="AE9" s="34"/>
      <c r="AF9" s="103"/>
    </row>
    <row r="10" spans="2:32" ht="13" outlineLevel="2" x14ac:dyDescent="0.3">
      <c r="B10" s="31" t="s">
        <v>171</v>
      </c>
      <c r="C10" s="33">
        <v>544</v>
      </c>
      <c r="D10" s="33">
        <v>512</v>
      </c>
      <c r="E10" s="23">
        <v>0</v>
      </c>
      <c r="F10" s="23">
        <v>-147</v>
      </c>
      <c r="G10" s="23">
        <v>-32</v>
      </c>
      <c r="H10" s="23">
        <v>0</v>
      </c>
      <c r="I10" s="23">
        <v>0</v>
      </c>
      <c r="J10" s="23">
        <v>-15</v>
      </c>
      <c r="K10" s="23">
        <f t="shared" si="0"/>
        <v>-194</v>
      </c>
      <c r="L10" s="33">
        <f t="shared" si="1"/>
        <v>-162</v>
      </c>
      <c r="M10" s="33">
        <f t="shared" si="2"/>
        <v>-194</v>
      </c>
      <c r="N10" s="33">
        <v>350</v>
      </c>
      <c r="O10" s="33">
        <v>2561</v>
      </c>
      <c r="P10" s="33">
        <v>-2145</v>
      </c>
      <c r="Q10" s="33">
        <v>417</v>
      </c>
      <c r="R10" s="33">
        <v>350</v>
      </c>
      <c r="S10" s="33">
        <f t="shared" si="3"/>
        <v>67</v>
      </c>
      <c r="T10" s="38">
        <f t="shared" si="4"/>
        <v>1.1914285714285715</v>
      </c>
      <c r="U10" s="59">
        <f t="shared" si="5"/>
        <v>508</v>
      </c>
      <c r="V10" s="33">
        <v>158</v>
      </c>
      <c r="W10" s="33">
        <v>158</v>
      </c>
      <c r="X10" s="33"/>
      <c r="Y10" s="33"/>
      <c r="Z10" s="42"/>
      <c r="AA10" s="60"/>
      <c r="AB10" s="105"/>
      <c r="AC10" s="93"/>
      <c r="AD10" s="33">
        <f t="shared" si="6"/>
        <v>0</v>
      </c>
      <c r="AE10" s="33">
        <f t="shared" si="7"/>
        <v>417</v>
      </c>
      <c r="AF10" s="101">
        <f t="shared" si="8"/>
        <v>67</v>
      </c>
    </row>
    <row r="11" spans="2:32" ht="13" outlineLevel="2" x14ac:dyDescent="0.3">
      <c r="B11" s="31" t="s">
        <v>44</v>
      </c>
      <c r="C11" s="33">
        <v>815</v>
      </c>
      <c r="D11" s="33">
        <v>849</v>
      </c>
      <c r="E11" s="23">
        <v>45</v>
      </c>
      <c r="F11" s="23">
        <v>89</v>
      </c>
      <c r="G11" s="23">
        <v>-28</v>
      </c>
      <c r="H11" s="23">
        <v>0</v>
      </c>
      <c r="I11" s="23">
        <v>18</v>
      </c>
      <c r="J11" s="23">
        <v>0</v>
      </c>
      <c r="K11" s="23">
        <f t="shared" si="0"/>
        <v>124</v>
      </c>
      <c r="L11" s="33">
        <f t="shared" si="1"/>
        <v>90</v>
      </c>
      <c r="M11" s="33">
        <f t="shared" si="2"/>
        <v>124</v>
      </c>
      <c r="N11" s="33">
        <v>939</v>
      </c>
      <c r="O11" s="33">
        <v>1859</v>
      </c>
      <c r="P11" s="33">
        <v>-960</v>
      </c>
      <c r="Q11" s="33">
        <v>899</v>
      </c>
      <c r="R11" s="33">
        <v>939</v>
      </c>
      <c r="S11" s="33">
        <f t="shared" si="3"/>
        <v>-40</v>
      </c>
      <c r="T11" s="38">
        <f t="shared" si="4"/>
        <v>0.95740149094781679</v>
      </c>
      <c r="U11" s="59">
        <f t="shared" si="5"/>
        <v>915</v>
      </c>
      <c r="V11" s="33">
        <v>-24</v>
      </c>
      <c r="W11" s="33">
        <v>-24</v>
      </c>
      <c r="X11" s="33"/>
      <c r="Y11" s="33"/>
      <c r="Z11" s="42"/>
      <c r="AA11" s="60"/>
      <c r="AB11" s="105"/>
      <c r="AC11" s="93"/>
      <c r="AD11" s="33">
        <f t="shared" si="6"/>
        <v>0</v>
      </c>
      <c r="AE11" s="33">
        <f t="shared" si="7"/>
        <v>899</v>
      </c>
      <c r="AF11" s="101">
        <f t="shared" si="8"/>
        <v>-40</v>
      </c>
    </row>
    <row r="12" spans="2:32" ht="13" outlineLevel="1" x14ac:dyDescent="0.3">
      <c r="B12" s="32" t="s">
        <v>172</v>
      </c>
      <c r="C12" s="34">
        <f t="shared" ref="C12:J12" si="10">SUBTOTAL(9,C10:C11)</f>
        <v>1359</v>
      </c>
      <c r="D12" s="34">
        <f t="shared" si="10"/>
        <v>1361</v>
      </c>
      <c r="E12" s="24">
        <f t="shared" si="10"/>
        <v>45</v>
      </c>
      <c r="F12" s="24">
        <f t="shared" si="10"/>
        <v>-58</v>
      </c>
      <c r="G12" s="24">
        <f t="shared" si="10"/>
        <v>-60</v>
      </c>
      <c r="H12" s="24">
        <f t="shared" si="10"/>
        <v>0</v>
      </c>
      <c r="I12" s="24">
        <f t="shared" si="10"/>
        <v>18</v>
      </c>
      <c r="J12" s="24">
        <f t="shared" si="10"/>
        <v>-15</v>
      </c>
      <c r="K12" s="24">
        <f>SUM(E12:J12)</f>
        <v>-70</v>
      </c>
      <c r="L12" s="34">
        <f t="shared" si="1"/>
        <v>-72</v>
      </c>
      <c r="M12" s="34">
        <f t="shared" si="2"/>
        <v>-70</v>
      </c>
      <c r="N12" s="34">
        <f>SUBTOTAL(9,N10:N11)</f>
        <v>1289</v>
      </c>
      <c r="O12" s="34">
        <f>SUBTOTAL(9,O10:O11)</f>
        <v>4420</v>
      </c>
      <c r="P12" s="34">
        <f>SUBTOTAL(9,P10:P11)</f>
        <v>-3105</v>
      </c>
      <c r="Q12" s="34">
        <f>SUBTOTAL(9,Q10:Q11)</f>
        <v>1316</v>
      </c>
      <c r="R12" s="34">
        <f>SUBTOTAL(9,R10:R11)</f>
        <v>1289</v>
      </c>
      <c r="S12" s="34">
        <f>Q12-R12</f>
        <v>27</v>
      </c>
      <c r="T12" s="38">
        <f>IFERROR((Q12/N12)*100%,"∞")</f>
        <v>1.0209464701318851</v>
      </c>
      <c r="U12" s="59">
        <f>N12+V12</f>
        <v>1423</v>
      </c>
      <c r="V12" s="34">
        <f>SUBTOTAL(9,V10:V11)</f>
        <v>134</v>
      </c>
      <c r="W12" s="34">
        <f>SUBTOTAL(9,W10:W11)</f>
        <v>134</v>
      </c>
      <c r="X12" s="34"/>
      <c r="Y12" s="34"/>
      <c r="Z12" s="41"/>
      <c r="AA12" s="60"/>
      <c r="AB12" s="102">
        <f>SUBTOTAL(9,AB1:AB11)</f>
        <v>0</v>
      </c>
      <c r="AC12" s="34">
        <f>SUBTOTAL(9,AC1:AC11)</f>
        <v>0</v>
      </c>
      <c r="AD12" s="34"/>
      <c r="AE12" s="34"/>
      <c r="AF12" s="103"/>
    </row>
    <row r="13" spans="2:32" ht="13" outlineLevel="2" x14ac:dyDescent="0.3">
      <c r="B13" s="31" t="s">
        <v>46</v>
      </c>
      <c r="C13" s="33">
        <v>1088</v>
      </c>
      <c r="D13" s="33">
        <v>1315</v>
      </c>
      <c r="E13" s="23">
        <v>261</v>
      </c>
      <c r="F13" s="23">
        <v>45</v>
      </c>
      <c r="G13" s="23">
        <v>-7</v>
      </c>
      <c r="H13" s="23">
        <v>0</v>
      </c>
      <c r="I13" s="23">
        <v>-26</v>
      </c>
      <c r="J13" s="23">
        <v>0</v>
      </c>
      <c r="K13" s="23">
        <f t="shared" si="0"/>
        <v>273</v>
      </c>
      <c r="L13" s="33">
        <f t="shared" si="1"/>
        <v>45</v>
      </c>
      <c r="M13" s="33">
        <f t="shared" si="2"/>
        <v>272</v>
      </c>
      <c r="N13" s="33">
        <v>1360</v>
      </c>
      <c r="O13" s="33">
        <v>1512</v>
      </c>
      <c r="P13" s="33">
        <v>-137</v>
      </c>
      <c r="Q13" s="33">
        <v>1374</v>
      </c>
      <c r="R13" s="33">
        <v>1360</v>
      </c>
      <c r="S13" s="33">
        <f t="shared" si="3"/>
        <v>14</v>
      </c>
      <c r="T13" s="38">
        <f t="shared" si="4"/>
        <v>1.0102941176470588</v>
      </c>
      <c r="U13" s="59">
        <f t="shared" si="5"/>
        <v>1483</v>
      </c>
      <c r="V13" s="33">
        <v>123</v>
      </c>
      <c r="W13" s="33">
        <v>123</v>
      </c>
      <c r="X13" s="33"/>
      <c r="Y13" s="33"/>
      <c r="Z13" s="42"/>
      <c r="AA13" s="60"/>
      <c r="AB13" s="105"/>
      <c r="AC13" s="93"/>
      <c r="AD13" s="33">
        <f t="shared" si="6"/>
        <v>0</v>
      </c>
      <c r="AE13" s="33">
        <f t="shared" si="7"/>
        <v>1374</v>
      </c>
      <c r="AF13" s="101">
        <f t="shared" si="8"/>
        <v>14</v>
      </c>
    </row>
    <row r="14" spans="2:32" ht="13" outlineLevel="2" x14ac:dyDescent="0.3">
      <c r="B14" s="31" t="s">
        <v>173</v>
      </c>
      <c r="C14" s="33">
        <v>0</v>
      </c>
      <c r="D14" s="33">
        <v>0</v>
      </c>
      <c r="E14" s="23">
        <v>0</v>
      </c>
      <c r="F14" s="23">
        <v>0</v>
      </c>
      <c r="G14" s="23">
        <v>0</v>
      </c>
      <c r="H14" s="23">
        <v>0</v>
      </c>
      <c r="I14" s="23">
        <v>0</v>
      </c>
      <c r="J14" s="23">
        <v>0</v>
      </c>
      <c r="K14" s="23">
        <f t="shared" si="0"/>
        <v>0</v>
      </c>
      <c r="L14" s="33">
        <f t="shared" si="1"/>
        <v>0</v>
      </c>
      <c r="M14" s="33">
        <f t="shared" si="2"/>
        <v>0</v>
      </c>
      <c r="N14" s="33">
        <v>0</v>
      </c>
      <c r="O14" s="33">
        <v>0</v>
      </c>
      <c r="P14" s="33">
        <v>0</v>
      </c>
      <c r="Q14" s="33">
        <v>0</v>
      </c>
      <c r="R14" s="33">
        <v>0</v>
      </c>
      <c r="S14" s="33">
        <f t="shared" si="3"/>
        <v>0</v>
      </c>
      <c r="T14" s="38" t="str">
        <f t="shared" si="4"/>
        <v>∞</v>
      </c>
      <c r="U14" s="59">
        <f t="shared" si="5"/>
        <v>0</v>
      </c>
      <c r="V14" s="33">
        <v>0</v>
      </c>
      <c r="W14" s="33">
        <v>0</v>
      </c>
      <c r="X14" s="33"/>
      <c r="Y14" s="33"/>
      <c r="Z14" s="42"/>
      <c r="AA14" s="60"/>
      <c r="AB14" s="105"/>
      <c r="AC14" s="93"/>
      <c r="AD14" s="33">
        <f t="shared" si="6"/>
        <v>0</v>
      </c>
      <c r="AE14" s="33">
        <f t="shared" si="7"/>
        <v>0</v>
      </c>
      <c r="AF14" s="101">
        <f t="shared" si="8"/>
        <v>0</v>
      </c>
    </row>
    <row r="15" spans="2:32" ht="13" outlineLevel="2" x14ac:dyDescent="0.3">
      <c r="B15" s="31" t="s">
        <v>47</v>
      </c>
      <c r="C15" s="33">
        <v>185</v>
      </c>
      <c r="D15" s="33">
        <v>181</v>
      </c>
      <c r="E15" s="23">
        <v>0</v>
      </c>
      <c r="F15" s="23">
        <v>2</v>
      </c>
      <c r="G15" s="23">
        <v>-4</v>
      </c>
      <c r="H15" s="23">
        <v>0</v>
      </c>
      <c r="I15" s="23">
        <v>0</v>
      </c>
      <c r="J15" s="23">
        <v>0</v>
      </c>
      <c r="K15" s="23">
        <f t="shared" si="0"/>
        <v>-2</v>
      </c>
      <c r="L15" s="33">
        <f t="shared" si="1"/>
        <v>3</v>
      </c>
      <c r="M15" s="33">
        <f t="shared" si="2"/>
        <v>-1</v>
      </c>
      <c r="N15" s="33">
        <v>184</v>
      </c>
      <c r="O15" s="33">
        <v>297</v>
      </c>
      <c r="P15" s="33">
        <v>-141</v>
      </c>
      <c r="Q15" s="33">
        <v>156</v>
      </c>
      <c r="R15" s="33">
        <v>184</v>
      </c>
      <c r="S15" s="33">
        <f t="shared" si="3"/>
        <v>-28</v>
      </c>
      <c r="T15" s="38">
        <f t="shared" si="4"/>
        <v>0.84782608695652173</v>
      </c>
      <c r="U15" s="59">
        <f t="shared" si="5"/>
        <v>206</v>
      </c>
      <c r="V15" s="33">
        <v>22</v>
      </c>
      <c r="W15" s="33">
        <v>22</v>
      </c>
      <c r="X15" s="33"/>
      <c r="Y15" s="33"/>
      <c r="Z15" s="42"/>
      <c r="AA15" s="60"/>
      <c r="AB15" s="105"/>
      <c r="AC15" s="93"/>
      <c r="AD15" s="33">
        <f t="shared" si="6"/>
        <v>0</v>
      </c>
      <c r="AE15" s="33">
        <f t="shared" si="7"/>
        <v>156</v>
      </c>
      <c r="AF15" s="101">
        <f t="shared" si="8"/>
        <v>-28</v>
      </c>
    </row>
    <row r="16" spans="2:32" ht="13" outlineLevel="2" x14ac:dyDescent="0.3">
      <c r="B16" s="31" t="s">
        <v>48</v>
      </c>
      <c r="C16" s="33">
        <v>365</v>
      </c>
      <c r="D16" s="33">
        <v>362</v>
      </c>
      <c r="E16" s="23">
        <v>0</v>
      </c>
      <c r="F16" s="23">
        <v>0</v>
      </c>
      <c r="G16" s="23">
        <v>-2</v>
      </c>
      <c r="H16" s="23">
        <v>0</v>
      </c>
      <c r="I16" s="23">
        <v>0</v>
      </c>
      <c r="J16" s="23">
        <v>0</v>
      </c>
      <c r="K16" s="23">
        <f t="shared" si="0"/>
        <v>-2</v>
      </c>
      <c r="L16" s="33">
        <f t="shared" si="1"/>
        <v>0</v>
      </c>
      <c r="M16" s="33">
        <f t="shared" si="2"/>
        <v>-3</v>
      </c>
      <c r="N16" s="33">
        <v>362</v>
      </c>
      <c r="O16" s="33">
        <v>386</v>
      </c>
      <c r="P16" s="33">
        <v>-44</v>
      </c>
      <c r="Q16" s="33">
        <v>342</v>
      </c>
      <c r="R16" s="33">
        <v>362</v>
      </c>
      <c r="S16" s="33">
        <f t="shared" si="3"/>
        <v>-20</v>
      </c>
      <c r="T16" s="38">
        <f t="shared" si="4"/>
        <v>0.94475138121546964</v>
      </c>
      <c r="U16" s="59">
        <f t="shared" si="5"/>
        <v>338</v>
      </c>
      <c r="V16" s="33">
        <v>-24</v>
      </c>
      <c r="W16" s="33">
        <v>-24</v>
      </c>
      <c r="X16" s="33"/>
      <c r="Y16" s="33"/>
      <c r="Z16" s="42"/>
      <c r="AA16" s="60"/>
      <c r="AB16" s="105"/>
      <c r="AC16" s="93"/>
      <c r="AD16" s="33">
        <f t="shared" si="6"/>
        <v>0</v>
      </c>
      <c r="AE16" s="33">
        <f t="shared" si="7"/>
        <v>342</v>
      </c>
      <c r="AF16" s="101">
        <f t="shared" si="8"/>
        <v>-20</v>
      </c>
    </row>
    <row r="17" spans="2:32" ht="13" outlineLevel="2" x14ac:dyDescent="0.3">
      <c r="B17" s="31" t="s">
        <v>49</v>
      </c>
      <c r="C17" s="33">
        <v>519</v>
      </c>
      <c r="D17" s="33">
        <v>502</v>
      </c>
      <c r="E17" s="23">
        <v>-14</v>
      </c>
      <c r="F17" s="23">
        <v>0</v>
      </c>
      <c r="G17" s="23">
        <v>-3</v>
      </c>
      <c r="H17" s="23">
        <v>0</v>
      </c>
      <c r="I17" s="23">
        <v>0</v>
      </c>
      <c r="J17" s="23">
        <v>0</v>
      </c>
      <c r="K17" s="23">
        <f t="shared" si="0"/>
        <v>-17</v>
      </c>
      <c r="L17" s="33">
        <f t="shared" si="1"/>
        <v>0</v>
      </c>
      <c r="M17" s="33">
        <f t="shared" si="2"/>
        <v>-17</v>
      </c>
      <c r="N17" s="33">
        <v>502</v>
      </c>
      <c r="O17" s="33">
        <v>805</v>
      </c>
      <c r="P17" s="33">
        <v>-341</v>
      </c>
      <c r="Q17" s="33">
        <v>464</v>
      </c>
      <c r="R17" s="33">
        <v>502</v>
      </c>
      <c r="S17" s="33">
        <f t="shared" si="3"/>
        <v>-38</v>
      </c>
      <c r="T17" s="38">
        <f t="shared" si="4"/>
        <v>0.92430278884462147</v>
      </c>
      <c r="U17" s="59">
        <f t="shared" si="5"/>
        <v>460</v>
      </c>
      <c r="V17" s="33">
        <v>-42</v>
      </c>
      <c r="W17" s="33">
        <v>-42</v>
      </c>
      <c r="X17" s="33"/>
      <c r="Y17" s="33"/>
      <c r="Z17" s="42"/>
      <c r="AA17" s="60"/>
      <c r="AB17" s="105"/>
      <c r="AC17" s="93"/>
      <c r="AD17" s="33">
        <f t="shared" si="6"/>
        <v>0</v>
      </c>
      <c r="AE17" s="33">
        <f t="shared" si="7"/>
        <v>464</v>
      </c>
      <c r="AF17" s="101">
        <f t="shared" si="8"/>
        <v>-38</v>
      </c>
    </row>
    <row r="18" spans="2:32" ht="13" outlineLevel="2" x14ac:dyDescent="0.3">
      <c r="B18" s="31" t="s">
        <v>50</v>
      </c>
      <c r="C18" s="33">
        <v>389</v>
      </c>
      <c r="D18" s="33">
        <v>386</v>
      </c>
      <c r="E18" s="23">
        <v>0</v>
      </c>
      <c r="F18" s="23">
        <v>0</v>
      </c>
      <c r="G18" s="23">
        <v>-3</v>
      </c>
      <c r="H18" s="23">
        <v>0</v>
      </c>
      <c r="I18" s="23">
        <v>0</v>
      </c>
      <c r="J18" s="23">
        <v>-30</v>
      </c>
      <c r="K18" s="23">
        <f t="shared" si="0"/>
        <v>-33</v>
      </c>
      <c r="L18" s="33">
        <f t="shared" si="1"/>
        <v>-30</v>
      </c>
      <c r="M18" s="33">
        <f t="shared" si="2"/>
        <v>-33</v>
      </c>
      <c r="N18" s="33">
        <v>356</v>
      </c>
      <c r="O18" s="33">
        <v>400</v>
      </c>
      <c r="P18" s="33">
        <v>-80</v>
      </c>
      <c r="Q18" s="33">
        <v>320</v>
      </c>
      <c r="R18" s="33">
        <v>356</v>
      </c>
      <c r="S18" s="33">
        <f t="shared" si="3"/>
        <v>-36</v>
      </c>
      <c r="T18" s="38">
        <f t="shared" si="4"/>
        <v>0.898876404494382</v>
      </c>
      <c r="U18" s="59">
        <f t="shared" si="5"/>
        <v>370</v>
      </c>
      <c r="V18" s="33">
        <v>14</v>
      </c>
      <c r="W18" s="33">
        <v>14</v>
      </c>
      <c r="X18" s="33"/>
      <c r="Y18" s="33"/>
      <c r="Z18" s="42"/>
      <c r="AA18" s="60"/>
      <c r="AB18" s="105"/>
      <c r="AC18" s="93"/>
      <c r="AD18" s="33">
        <f t="shared" si="6"/>
        <v>0</v>
      </c>
      <c r="AE18" s="33">
        <f t="shared" si="7"/>
        <v>320</v>
      </c>
      <c r="AF18" s="101">
        <f t="shared" si="8"/>
        <v>-36</v>
      </c>
    </row>
    <row r="19" spans="2:32" ht="13" outlineLevel="2" x14ac:dyDescent="0.3">
      <c r="B19" s="31" t="s">
        <v>51</v>
      </c>
      <c r="C19" s="33">
        <v>1303</v>
      </c>
      <c r="D19" s="33">
        <v>1270</v>
      </c>
      <c r="E19" s="23">
        <v>-15</v>
      </c>
      <c r="F19" s="23">
        <v>0</v>
      </c>
      <c r="G19" s="23">
        <v>-17</v>
      </c>
      <c r="H19" s="23">
        <v>0</v>
      </c>
      <c r="I19" s="23">
        <v>0</v>
      </c>
      <c r="J19" s="23">
        <v>0</v>
      </c>
      <c r="K19" s="23">
        <f t="shared" si="0"/>
        <v>-32</v>
      </c>
      <c r="L19" s="33">
        <f t="shared" si="1"/>
        <v>0</v>
      </c>
      <c r="M19" s="33">
        <f t="shared" si="2"/>
        <v>-33</v>
      </c>
      <c r="N19" s="33">
        <v>1270</v>
      </c>
      <c r="O19" s="33">
        <v>1614</v>
      </c>
      <c r="P19" s="33">
        <v>-647</v>
      </c>
      <c r="Q19" s="33">
        <v>968</v>
      </c>
      <c r="R19" s="33">
        <v>1270</v>
      </c>
      <c r="S19" s="33">
        <f t="shared" si="3"/>
        <v>-302</v>
      </c>
      <c r="T19" s="38">
        <f t="shared" si="4"/>
        <v>0.76220472440944886</v>
      </c>
      <c r="U19" s="59">
        <f t="shared" si="5"/>
        <v>1029</v>
      </c>
      <c r="V19" s="33">
        <v>-241</v>
      </c>
      <c r="W19" s="33">
        <v>-241</v>
      </c>
      <c r="X19" s="33"/>
      <c r="Y19" s="33"/>
      <c r="Z19" s="42"/>
      <c r="AA19" s="60"/>
      <c r="AB19" s="105"/>
      <c r="AC19" s="93"/>
      <c r="AD19" s="33">
        <f t="shared" si="6"/>
        <v>0</v>
      </c>
      <c r="AE19" s="33">
        <f t="shared" si="7"/>
        <v>968</v>
      </c>
      <c r="AF19" s="101">
        <f t="shared" si="8"/>
        <v>-302</v>
      </c>
    </row>
    <row r="20" spans="2:32" ht="13" outlineLevel="2" x14ac:dyDescent="0.3">
      <c r="B20" s="31" t="s">
        <v>52</v>
      </c>
      <c r="C20" s="33">
        <v>516</v>
      </c>
      <c r="D20" s="33">
        <v>532</v>
      </c>
      <c r="E20" s="23">
        <v>0</v>
      </c>
      <c r="F20" s="23">
        <v>0</v>
      </c>
      <c r="G20" s="23">
        <v>-7</v>
      </c>
      <c r="H20" s="23">
        <v>0</v>
      </c>
      <c r="I20" s="23">
        <v>22</v>
      </c>
      <c r="J20" s="23">
        <v>0</v>
      </c>
      <c r="K20" s="23">
        <f t="shared" si="0"/>
        <v>15</v>
      </c>
      <c r="L20" s="33">
        <f t="shared" si="1"/>
        <v>0</v>
      </c>
      <c r="M20" s="33">
        <f t="shared" si="2"/>
        <v>16</v>
      </c>
      <c r="N20" s="33">
        <v>532</v>
      </c>
      <c r="O20" s="33">
        <v>995</v>
      </c>
      <c r="P20" s="33">
        <v>-617</v>
      </c>
      <c r="Q20" s="33">
        <v>379</v>
      </c>
      <c r="R20" s="33">
        <v>532</v>
      </c>
      <c r="S20" s="33">
        <f t="shared" si="3"/>
        <v>-153</v>
      </c>
      <c r="T20" s="38">
        <f t="shared" si="4"/>
        <v>0.71240601503759393</v>
      </c>
      <c r="U20" s="59">
        <f t="shared" si="5"/>
        <v>420</v>
      </c>
      <c r="V20" s="33">
        <v>-112</v>
      </c>
      <c r="W20" s="33">
        <v>-112</v>
      </c>
      <c r="X20" s="33"/>
      <c r="Y20" s="33"/>
      <c r="Z20" s="42"/>
      <c r="AA20" s="60"/>
      <c r="AB20" s="105"/>
      <c r="AC20" s="93"/>
      <c r="AD20" s="33">
        <f t="shared" si="6"/>
        <v>0</v>
      </c>
      <c r="AE20" s="33">
        <f t="shared" si="7"/>
        <v>379</v>
      </c>
      <c r="AF20" s="101">
        <f t="shared" si="8"/>
        <v>-153</v>
      </c>
    </row>
    <row r="21" spans="2:32" ht="13" outlineLevel="2" x14ac:dyDescent="0.3">
      <c r="B21" s="31" t="s">
        <v>53</v>
      </c>
      <c r="C21" s="33">
        <v>1456</v>
      </c>
      <c r="D21" s="33">
        <v>1481</v>
      </c>
      <c r="E21" s="23">
        <v>0</v>
      </c>
      <c r="F21" s="23">
        <v>-57</v>
      </c>
      <c r="G21" s="23">
        <v>-2</v>
      </c>
      <c r="H21" s="23">
        <v>0</v>
      </c>
      <c r="I21" s="23">
        <v>27</v>
      </c>
      <c r="J21" s="23">
        <v>-15</v>
      </c>
      <c r="K21" s="23">
        <f t="shared" si="0"/>
        <v>-47</v>
      </c>
      <c r="L21" s="33">
        <f t="shared" si="1"/>
        <v>-72</v>
      </c>
      <c r="M21" s="33">
        <f t="shared" si="2"/>
        <v>-47</v>
      </c>
      <c r="N21" s="33">
        <v>1409</v>
      </c>
      <c r="O21" s="33">
        <v>1299</v>
      </c>
      <c r="P21" s="33">
        <v>-104</v>
      </c>
      <c r="Q21" s="33">
        <v>1195</v>
      </c>
      <c r="R21" s="33">
        <v>1409</v>
      </c>
      <c r="S21" s="33">
        <f t="shared" si="3"/>
        <v>-214</v>
      </c>
      <c r="T21" s="38">
        <f t="shared" si="4"/>
        <v>0.84811923349893537</v>
      </c>
      <c r="U21" s="59">
        <f t="shared" si="5"/>
        <v>1259</v>
      </c>
      <c r="V21" s="33">
        <v>-150</v>
      </c>
      <c r="W21" s="33">
        <v>-150</v>
      </c>
      <c r="X21" s="33"/>
      <c r="Y21" s="33"/>
      <c r="Z21" s="42"/>
      <c r="AA21" s="60"/>
      <c r="AB21" s="105"/>
      <c r="AC21" s="93"/>
      <c r="AD21" s="33">
        <f t="shared" si="6"/>
        <v>0</v>
      </c>
      <c r="AE21" s="33">
        <f t="shared" si="7"/>
        <v>1195</v>
      </c>
      <c r="AF21" s="101">
        <f t="shared" si="8"/>
        <v>-214</v>
      </c>
    </row>
    <row r="22" spans="2:32" ht="13" outlineLevel="2" x14ac:dyDescent="0.3">
      <c r="B22" s="31" t="s">
        <v>54</v>
      </c>
      <c r="C22" s="33">
        <v>0</v>
      </c>
      <c r="D22" s="33">
        <v>-13</v>
      </c>
      <c r="E22" s="23">
        <v>0</v>
      </c>
      <c r="F22" s="23">
        <v>0</v>
      </c>
      <c r="G22" s="23">
        <v>-13</v>
      </c>
      <c r="H22" s="23">
        <v>0</v>
      </c>
      <c r="I22" s="23">
        <v>0</v>
      </c>
      <c r="J22" s="23">
        <v>0</v>
      </c>
      <c r="K22" s="23">
        <f t="shared" si="0"/>
        <v>-13</v>
      </c>
      <c r="L22" s="33">
        <f t="shared" si="1"/>
        <v>0</v>
      </c>
      <c r="M22" s="33">
        <f t="shared" si="2"/>
        <v>-13</v>
      </c>
      <c r="N22" s="33">
        <v>-13</v>
      </c>
      <c r="O22" s="33">
        <v>1461</v>
      </c>
      <c r="P22" s="33">
        <v>-1451</v>
      </c>
      <c r="Q22" s="33">
        <v>10</v>
      </c>
      <c r="R22" s="33">
        <v>-13</v>
      </c>
      <c r="S22" s="33">
        <f t="shared" si="3"/>
        <v>23</v>
      </c>
      <c r="T22" s="38">
        <f t="shared" si="4"/>
        <v>-0.76923076923076927</v>
      </c>
      <c r="U22" s="59">
        <f t="shared" si="5"/>
        <v>9</v>
      </c>
      <c r="V22" s="33">
        <v>22</v>
      </c>
      <c r="W22" s="33">
        <v>22</v>
      </c>
      <c r="X22" s="33"/>
      <c r="Y22" s="33"/>
      <c r="Z22" s="42"/>
      <c r="AA22" s="60"/>
      <c r="AB22" s="105"/>
      <c r="AC22" s="93"/>
      <c r="AD22" s="33">
        <f t="shared" si="6"/>
        <v>0</v>
      </c>
      <c r="AE22" s="33">
        <f t="shared" si="7"/>
        <v>10</v>
      </c>
      <c r="AF22" s="101">
        <f t="shared" si="8"/>
        <v>23</v>
      </c>
    </row>
    <row r="23" spans="2:32" ht="13" outlineLevel="1" x14ac:dyDescent="0.3">
      <c r="B23" s="32" t="s">
        <v>55</v>
      </c>
      <c r="C23" s="34">
        <f t="shared" ref="C23:J23" si="11">SUBTOTAL(9,C13:C22)</f>
        <v>5821</v>
      </c>
      <c r="D23" s="34">
        <f t="shared" si="11"/>
        <v>6016</v>
      </c>
      <c r="E23" s="24">
        <f t="shared" si="11"/>
        <v>232</v>
      </c>
      <c r="F23" s="24">
        <f t="shared" si="11"/>
        <v>-10</v>
      </c>
      <c r="G23" s="24">
        <f t="shared" si="11"/>
        <v>-58</v>
      </c>
      <c r="H23" s="24">
        <f t="shared" si="11"/>
        <v>0</v>
      </c>
      <c r="I23" s="24">
        <f t="shared" si="11"/>
        <v>23</v>
      </c>
      <c r="J23" s="24">
        <f t="shared" si="11"/>
        <v>-45</v>
      </c>
      <c r="K23" s="24">
        <f>SUM(E23:J23)</f>
        <v>142</v>
      </c>
      <c r="L23" s="34">
        <f t="shared" si="1"/>
        <v>-54</v>
      </c>
      <c r="M23" s="34">
        <f t="shared" si="2"/>
        <v>141</v>
      </c>
      <c r="N23" s="34">
        <f>SUBTOTAL(9,N13:N22)</f>
        <v>5962</v>
      </c>
      <c r="O23" s="34">
        <f>SUBTOTAL(9,O13:O22)</f>
        <v>8769</v>
      </c>
      <c r="P23" s="34">
        <f>SUBTOTAL(9,P13:P22)</f>
        <v>-3562</v>
      </c>
      <c r="Q23" s="34">
        <f>SUBTOTAL(9,Q13:Q22)</f>
        <v>5208</v>
      </c>
      <c r="R23" s="34">
        <f>SUBTOTAL(9,R13:R22)</f>
        <v>5962</v>
      </c>
      <c r="S23" s="34">
        <f>Q23-R23</f>
        <v>-754</v>
      </c>
      <c r="T23" s="38">
        <f>IFERROR((Q23/N23)*100%,"∞")</f>
        <v>0.8735323716873532</v>
      </c>
      <c r="U23" s="59">
        <f>N23+V23</f>
        <v>5574</v>
      </c>
      <c r="V23" s="34">
        <f>SUBTOTAL(9,V13:V22)</f>
        <v>-388</v>
      </c>
      <c r="W23" s="34">
        <f>SUBTOTAL(9,W13:W22)</f>
        <v>-388</v>
      </c>
      <c r="X23" s="34"/>
      <c r="Y23" s="34"/>
      <c r="Z23" s="41"/>
      <c r="AA23" s="60"/>
      <c r="AB23" s="102">
        <f>SUBTOTAL(9,AB1:AB22)</f>
        <v>0</v>
      </c>
      <c r="AC23" s="34">
        <f>SUBTOTAL(9,AC1:AC22)</f>
        <v>0</v>
      </c>
      <c r="AD23" s="34"/>
      <c r="AE23" s="34"/>
      <c r="AF23" s="103"/>
    </row>
    <row r="24" spans="2:32" ht="13.5" customHeight="1" thickBot="1" x14ac:dyDescent="0.35">
      <c r="B24" s="53" t="s">
        <v>56</v>
      </c>
      <c r="C24" s="35">
        <f t="shared" ref="C24:J24" si="12">SUBTOTAL(9,C5:C23)</f>
        <v>11738</v>
      </c>
      <c r="D24" s="35">
        <f t="shared" si="12"/>
        <v>10044</v>
      </c>
      <c r="E24" s="25">
        <f t="shared" si="12"/>
        <v>-2485</v>
      </c>
      <c r="F24" s="25">
        <f t="shared" si="12"/>
        <v>1462</v>
      </c>
      <c r="G24" s="25">
        <f t="shared" si="12"/>
        <v>-194</v>
      </c>
      <c r="H24" s="25">
        <f t="shared" si="12"/>
        <v>17</v>
      </c>
      <c r="I24" s="25">
        <f t="shared" si="12"/>
        <v>988</v>
      </c>
      <c r="J24" s="25">
        <f t="shared" si="12"/>
        <v>-75</v>
      </c>
      <c r="K24" s="25">
        <f>SUM(E24:J24)</f>
        <v>-287</v>
      </c>
      <c r="L24" s="35">
        <f t="shared" si="1"/>
        <v>1389</v>
      </c>
      <c r="M24" s="35">
        <f t="shared" si="2"/>
        <v>-305</v>
      </c>
      <c r="N24" s="35">
        <f>SUBTOTAL(9,N5:N23)</f>
        <v>11433</v>
      </c>
      <c r="O24" s="35">
        <f>SUBTOTAL(9,O5:O23)</f>
        <v>25353</v>
      </c>
      <c r="P24" s="35">
        <f>SUBTOTAL(9,P5:P23)</f>
        <v>-15236</v>
      </c>
      <c r="Q24" s="35">
        <f>SUBTOTAL(9,Q5:Q23)</f>
        <v>10120</v>
      </c>
      <c r="R24" s="35">
        <f>SUBTOTAL(9,R5:R23)</f>
        <v>11433</v>
      </c>
      <c r="S24" s="35">
        <f>Q24-R24</f>
        <v>-1313</v>
      </c>
      <c r="T24" s="39">
        <f>IFERROR((Q24/N24)*100%,"∞")</f>
        <v>0.88515700166185607</v>
      </c>
      <c r="U24" s="54">
        <f>N24+V24</f>
        <v>10709</v>
      </c>
      <c r="V24" s="35">
        <f>SUBTOTAL(9,V5:V23)</f>
        <v>-724</v>
      </c>
      <c r="W24" s="35">
        <f>SUBTOTAL(9,W5:W23)</f>
        <v>-724</v>
      </c>
      <c r="X24" s="35"/>
      <c r="Y24" s="35"/>
      <c r="Z24" s="43"/>
      <c r="AA24" s="60"/>
      <c r="AB24" s="104">
        <f>SUBTOTAL(9,AB1:AB23)</f>
        <v>0</v>
      </c>
      <c r="AC24" s="104">
        <f>SUBTOTAL(9,AC1:AC23)</f>
        <v>0</v>
      </c>
      <c r="AD24" s="35">
        <f>SUM(AB24:AC24)</f>
        <v>0</v>
      </c>
      <c r="AE24" s="35">
        <f>Q24+AD24</f>
        <v>10120</v>
      </c>
      <c r="AF24" s="43">
        <f>AE24-N24</f>
        <v>-1313</v>
      </c>
    </row>
    <row r="25" spans="2:32" ht="13.5" outlineLevel="2" thickTop="1" x14ac:dyDescent="0.3">
      <c r="B25" s="31" t="s">
        <v>57</v>
      </c>
      <c r="C25" s="33">
        <v>2381</v>
      </c>
      <c r="D25" s="33">
        <v>1420</v>
      </c>
      <c r="E25" s="23">
        <v>0</v>
      </c>
      <c r="F25" s="23">
        <v>100</v>
      </c>
      <c r="G25" s="23">
        <v>-26</v>
      </c>
      <c r="H25" s="23">
        <v>0</v>
      </c>
      <c r="I25" s="23">
        <v>-935</v>
      </c>
      <c r="J25" s="23">
        <v>0</v>
      </c>
      <c r="K25" s="23">
        <f t="shared" si="0"/>
        <v>-861</v>
      </c>
      <c r="L25" s="33">
        <f t="shared" si="1"/>
        <v>100</v>
      </c>
      <c r="M25" s="33">
        <f t="shared" si="2"/>
        <v>-861</v>
      </c>
      <c r="N25" s="33">
        <v>1520</v>
      </c>
      <c r="O25" s="33">
        <v>2679</v>
      </c>
      <c r="P25" s="33">
        <v>-1454</v>
      </c>
      <c r="Q25" s="33">
        <v>1224</v>
      </c>
      <c r="R25" s="33">
        <v>1520</v>
      </c>
      <c r="S25" s="33">
        <f t="shared" si="3"/>
        <v>-296</v>
      </c>
      <c r="T25" s="38">
        <f t="shared" si="4"/>
        <v>0.80526315789473679</v>
      </c>
      <c r="U25" s="59">
        <f t="shared" si="5"/>
        <v>1677</v>
      </c>
      <c r="V25" s="33">
        <v>157</v>
      </c>
      <c r="W25" s="33">
        <v>157</v>
      </c>
      <c r="X25" s="33"/>
      <c r="Y25" s="33"/>
      <c r="Z25" s="42"/>
      <c r="AA25" s="60"/>
      <c r="AB25" s="105"/>
      <c r="AC25" s="93"/>
      <c r="AD25" s="33">
        <f t="shared" si="6"/>
        <v>0</v>
      </c>
      <c r="AE25" s="33">
        <f t="shared" si="7"/>
        <v>1224</v>
      </c>
      <c r="AF25" s="101">
        <f t="shared" si="8"/>
        <v>-296</v>
      </c>
    </row>
    <row r="26" spans="2:32" ht="13" outlineLevel="2" x14ac:dyDescent="0.3">
      <c r="B26" s="31" t="s">
        <v>58</v>
      </c>
      <c r="C26" s="33">
        <v>-8277</v>
      </c>
      <c r="D26" s="33">
        <v>-8369</v>
      </c>
      <c r="E26" s="23">
        <v>-1</v>
      </c>
      <c r="F26" s="23">
        <v>0</v>
      </c>
      <c r="G26" s="23">
        <v>-20</v>
      </c>
      <c r="H26" s="23">
        <v>0</v>
      </c>
      <c r="I26" s="23">
        <v>-72</v>
      </c>
      <c r="J26" s="23">
        <v>-30</v>
      </c>
      <c r="K26" s="23">
        <f t="shared" si="0"/>
        <v>-123</v>
      </c>
      <c r="L26" s="33">
        <f t="shared" si="1"/>
        <v>-30</v>
      </c>
      <c r="M26" s="33">
        <f t="shared" si="2"/>
        <v>-122</v>
      </c>
      <c r="N26" s="33">
        <v>-8399</v>
      </c>
      <c r="O26" s="33">
        <v>2218</v>
      </c>
      <c r="P26" s="33">
        <v>-13231</v>
      </c>
      <c r="Q26" s="33">
        <v>-11013</v>
      </c>
      <c r="R26" s="33">
        <v>-8399</v>
      </c>
      <c r="S26" s="33">
        <f t="shared" si="3"/>
        <v>-2614</v>
      </c>
      <c r="T26" s="38">
        <f t="shared" si="4"/>
        <v>1.3112275270865579</v>
      </c>
      <c r="U26" s="59">
        <f t="shared" si="5"/>
        <v>-8399</v>
      </c>
      <c r="V26" s="33">
        <v>0</v>
      </c>
      <c r="W26" s="33">
        <v>0</v>
      </c>
      <c r="X26" s="33"/>
      <c r="Y26" s="33"/>
      <c r="Z26" s="42"/>
      <c r="AA26" s="60"/>
      <c r="AB26" s="105"/>
      <c r="AC26" s="93"/>
      <c r="AD26" s="33">
        <f t="shared" si="6"/>
        <v>0</v>
      </c>
      <c r="AE26" s="33">
        <f t="shared" si="7"/>
        <v>-11013</v>
      </c>
      <c r="AF26" s="101">
        <f t="shared" si="8"/>
        <v>-2614</v>
      </c>
    </row>
    <row r="27" spans="2:32" ht="13" outlineLevel="2" x14ac:dyDescent="0.3">
      <c r="B27" s="31" t="s">
        <v>59</v>
      </c>
      <c r="C27" s="33">
        <v>287</v>
      </c>
      <c r="D27" s="33">
        <v>207</v>
      </c>
      <c r="E27" s="23">
        <v>0</v>
      </c>
      <c r="F27" s="23">
        <v>0</v>
      </c>
      <c r="G27" s="23">
        <v>-2</v>
      </c>
      <c r="H27" s="23">
        <v>0</v>
      </c>
      <c r="I27" s="23">
        <v>-78</v>
      </c>
      <c r="J27" s="23">
        <v>0</v>
      </c>
      <c r="K27" s="23">
        <f t="shared" si="0"/>
        <v>-80</v>
      </c>
      <c r="L27" s="33">
        <f t="shared" si="1"/>
        <v>0</v>
      </c>
      <c r="M27" s="33">
        <f t="shared" si="2"/>
        <v>-80</v>
      </c>
      <c r="N27" s="33">
        <v>207</v>
      </c>
      <c r="O27" s="33">
        <v>131</v>
      </c>
      <c r="P27" s="33">
        <v>0</v>
      </c>
      <c r="Q27" s="33">
        <v>131</v>
      </c>
      <c r="R27" s="33">
        <v>207</v>
      </c>
      <c r="S27" s="33">
        <f t="shared" si="3"/>
        <v>-76</v>
      </c>
      <c r="T27" s="38">
        <f t="shared" si="4"/>
        <v>0.63285024154589375</v>
      </c>
      <c r="U27" s="59">
        <f t="shared" si="5"/>
        <v>207</v>
      </c>
      <c r="V27" s="33">
        <v>0</v>
      </c>
      <c r="W27" s="33">
        <v>0</v>
      </c>
      <c r="X27" s="33"/>
      <c r="Y27" s="33"/>
      <c r="Z27" s="42"/>
      <c r="AA27" s="60"/>
      <c r="AB27" s="105"/>
      <c r="AC27" s="93"/>
      <c r="AD27" s="33">
        <f t="shared" si="6"/>
        <v>0</v>
      </c>
      <c r="AE27" s="33">
        <f t="shared" si="7"/>
        <v>131</v>
      </c>
      <c r="AF27" s="101">
        <f t="shared" si="8"/>
        <v>-76</v>
      </c>
    </row>
    <row r="28" spans="2:32" ht="13" outlineLevel="2" x14ac:dyDescent="0.3">
      <c r="B28" s="31" t="s">
        <v>60</v>
      </c>
      <c r="C28" s="33">
        <v>0</v>
      </c>
      <c r="D28" s="33">
        <v>0</v>
      </c>
      <c r="E28" s="23">
        <v>0</v>
      </c>
      <c r="F28" s="23">
        <v>0</v>
      </c>
      <c r="G28" s="23">
        <v>0</v>
      </c>
      <c r="H28" s="23">
        <v>0</v>
      </c>
      <c r="I28" s="23">
        <v>0</v>
      </c>
      <c r="J28" s="23">
        <v>0</v>
      </c>
      <c r="K28" s="23">
        <f t="shared" si="0"/>
        <v>0</v>
      </c>
      <c r="L28" s="33">
        <f t="shared" si="1"/>
        <v>0</v>
      </c>
      <c r="M28" s="33">
        <f t="shared" si="2"/>
        <v>0</v>
      </c>
      <c r="N28" s="33">
        <v>0</v>
      </c>
      <c r="O28" s="33">
        <v>-1</v>
      </c>
      <c r="P28" s="33">
        <v>-11</v>
      </c>
      <c r="Q28" s="33">
        <v>-12</v>
      </c>
      <c r="R28" s="33">
        <v>0</v>
      </c>
      <c r="S28" s="33">
        <f t="shared" si="3"/>
        <v>-12</v>
      </c>
      <c r="T28" s="38" t="str">
        <f t="shared" si="4"/>
        <v>∞</v>
      </c>
      <c r="U28" s="59">
        <f t="shared" si="5"/>
        <v>0</v>
      </c>
      <c r="V28" s="33">
        <v>0</v>
      </c>
      <c r="W28" s="33">
        <v>0</v>
      </c>
      <c r="X28" s="33"/>
      <c r="Y28" s="33"/>
      <c r="Z28" s="42"/>
      <c r="AA28" s="60"/>
      <c r="AB28" s="105"/>
      <c r="AC28" s="93"/>
      <c r="AD28" s="33">
        <f t="shared" si="6"/>
        <v>0</v>
      </c>
      <c r="AE28" s="33">
        <f t="shared" si="7"/>
        <v>-12</v>
      </c>
      <c r="AF28" s="101">
        <f t="shared" si="8"/>
        <v>-12</v>
      </c>
    </row>
    <row r="29" spans="2:32" ht="13" outlineLevel="1" x14ac:dyDescent="0.3">
      <c r="B29" s="32" t="s">
        <v>61</v>
      </c>
      <c r="C29" s="34">
        <f t="shared" ref="C29:J29" si="13">SUBTOTAL(9,C25:C28)</f>
        <v>-5609</v>
      </c>
      <c r="D29" s="34">
        <f t="shared" si="13"/>
        <v>-6742</v>
      </c>
      <c r="E29" s="24">
        <f t="shared" si="13"/>
        <v>-1</v>
      </c>
      <c r="F29" s="24">
        <f t="shared" si="13"/>
        <v>100</v>
      </c>
      <c r="G29" s="24">
        <f t="shared" si="13"/>
        <v>-48</v>
      </c>
      <c r="H29" s="24">
        <f t="shared" si="13"/>
        <v>0</v>
      </c>
      <c r="I29" s="24">
        <f t="shared" si="13"/>
        <v>-1085</v>
      </c>
      <c r="J29" s="24">
        <f t="shared" si="13"/>
        <v>-30</v>
      </c>
      <c r="K29" s="24">
        <f>SUM(E29:J29)</f>
        <v>-1064</v>
      </c>
      <c r="L29" s="34">
        <f t="shared" si="1"/>
        <v>70</v>
      </c>
      <c r="M29" s="34">
        <f t="shared" si="2"/>
        <v>-1063</v>
      </c>
      <c r="N29" s="34">
        <f>SUBTOTAL(9,N25:N28)</f>
        <v>-6672</v>
      </c>
      <c r="O29" s="34">
        <f>SUBTOTAL(9,O25:O28)</f>
        <v>5027</v>
      </c>
      <c r="P29" s="34">
        <f>SUBTOTAL(9,P25:P28)</f>
        <v>-14696</v>
      </c>
      <c r="Q29" s="34">
        <f>SUBTOTAL(9,Q25:Q28)</f>
        <v>-9670</v>
      </c>
      <c r="R29" s="34">
        <f>SUBTOTAL(9,R25:R28)</f>
        <v>-6672</v>
      </c>
      <c r="S29" s="34">
        <f>Q29-R29</f>
        <v>-2998</v>
      </c>
      <c r="T29" s="38">
        <f>IFERROR((Q29/N29)*100%,"∞")</f>
        <v>1.4493405275779376</v>
      </c>
      <c r="U29" s="59">
        <f>N29+V29</f>
        <v>-6515</v>
      </c>
      <c r="V29" s="34">
        <f>SUBTOTAL(9,V25:V28)</f>
        <v>157</v>
      </c>
      <c r="W29" s="34">
        <f>SUBTOTAL(9,W25:W28)</f>
        <v>157</v>
      </c>
      <c r="X29" s="34"/>
      <c r="Y29" s="34"/>
      <c r="Z29" s="41"/>
      <c r="AA29" s="60"/>
      <c r="AB29" s="102">
        <f>SUBTOTAL(9,AB1:AB28)</f>
        <v>0</v>
      </c>
      <c r="AC29" s="34">
        <f>SUBTOTAL(9,AC1:AC28)</f>
        <v>0</v>
      </c>
      <c r="AD29" s="34"/>
      <c r="AE29" s="34"/>
      <c r="AF29" s="103"/>
    </row>
    <row r="30" spans="2:32" ht="13" outlineLevel="2" x14ac:dyDescent="0.3">
      <c r="B30" s="31" t="s">
        <v>62</v>
      </c>
      <c r="C30" s="33">
        <v>251</v>
      </c>
      <c r="D30" s="33">
        <v>359</v>
      </c>
      <c r="E30" s="23">
        <v>11</v>
      </c>
      <c r="F30" s="23">
        <v>254</v>
      </c>
      <c r="G30" s="23">
        <v>19</v>
      </c>
      <c r="H30" s="23">
        <v>0</v>
      </c>
      <c r="I30" s="23">
        <v>79</v>
      </c>
      <c r="J30" s="23">
        <v>0</v>
      </c>
      <c r="K30" s="23">
        <f t="shared" si="0"/>
        <v>363</v>
      </c>
      <c r="L30" s="33">
        <f t="shared" si="1"/>
        <v>254</v>
      </c>
      <c r="M30" s="33">
        <f t="shared" si="2"/>
        <v>362</v>
      </c>
      <c r="N30" s="33">
        <v>613</v>
      </c>
      <c r="O30" s="33">
        <v>1154</v>
      </c>
      <c r="P30" s="33">
        <v>-471</v>
      </c>
      <c r="Q30" s="33">
        <v>683</v>
      </c>
      <c r="R30" s="33">
        <v>613</v>
      </c>
      <c r="S30" s="33">
        <f t="shared" si="3"/>
        <v>70</v>
      </c>
      <c r="T30" s="38">
        <f t="shared" si="4"/>
        <v>1.1141924959216967</v>
      </c>
      <c r="U30" s="59">
        <f t="shared" si="5"/>
        <v>613</v>
      </c>
      <c r="V30" s="33">
        <v>0</v>
      </c>
      <c r="W30" s="33">
        <v>0</v>
      </c>
      <c r="X30" s="33"/>
      <c r="Y30" s="33"/>
      <c r="Z30" s="42"/>
      <c r="AA30" s="60"/>
      <c r="AB30" s="105"/>
      <c r="AC30" s="93"/>
      <c r="AD30" s="33">
        <f t="shared" si="6"/>
        <v>0</v>
      </c>
      <c r="AE30" s="33">
        <f t="shared" si="7"/>
        <v>683</v>
      </c>
      <c r="AF30" s="101">
        <f t="shared" si="8"/>
        <v>70</v>
      </c>
    </row>
    <row r="31" spans="2:32" ht="13" outlineLevel="2" x14ac:dyDescent="0.3">
      <c r="B31" s="31" t="s">
        <v>63</v>
      </c>
      <c r="C31" s="33">
        <v>355</v>
      </c>
      <c r="D31" s="33">
        <v>396</v>
      </c>
      <c r="E31" s="23">
        <v>0</v>
      </c>
      <c r="F31" s="23">
        <v>0</v>
      </c>
      <c r="G31" s="23">
        <v>-16</v>
      </c>
      <c r="H31" s="23">
        <v>0</v>
      </c>
      <c r="I31" s="23">
        <v>57</v>
      </c>
      <c r="J31" s="23">
        <v>0</v>
      </c>
      <c r="K31" s="23">
        <f t="shared" si="0"/>
        <v>41</v>
      </c>
      <c r="L31" s="33">
        <f t="shared" si="1"/>
        <v>0</v>
      </c>
      <c r="M31" s="33">
        <f t="shared" si="2"/>
        <v>41</v>
      </c>
      <c r="N31" s="33">
        <v>396</v>
      </c>
      <c r="O31" s="33">
        <v>377</v>
      </c>
      <c r="P31" s="33">
        <v>-9</v>
      </c>
      <c r="Q31" s="33">
        <v>367</v>
      </c>
      <c r="R31" s="33">
        <v>396</v>
      </c>
      <c r="S31" s="33">
        <f t="shared" si="3"/>
        <v>-29</v>
      </c>
      <c r="T31" s="38">
        <f t="shared" si="4"/>
        <v>0.9267676767676768</v>
      </c>
      <c r="U31" s="59">
        <f t="shared" si="5"/>
        <v>396</v>
      </c>
      <c r="V31" s="33">
        <v>0</v>
      </c>
      <c r="W31" s="33">
        <v>0</v>
      </c>
      <c r="X31" s="33"/>
      <c r="Y31" s="33"/>
      <c r="Z31" s="42"/>
      <c r="AA31" s="60"/>
      <c r="AB31" s="105"/>
      <c r="AC31" s="93"/>
      <c r="AD31" s="33">
        <f t="shared" si="6"/>
        <v>0</v>
      </c>
      <c r="AE31" s="33">
        <f t="shared" si="7"/>
        <v>367</v>
      </c>
      <c r="AF31" s="101">
        <f t="shared" si="8"/>
        <v>-29</v>
      </c>
    </row>
    <row r="32" spans="2:32" ht="13" outlineLevel="1" x14ac:dyDescent="0.3">
      <c r="B32" s="32" t="s">
        <v>65</v>
      </c>
      <c r="C32" s="34">
        <f t="shared" ref="C32:J32" si="14">SUBTOTAL(9,C30:C31)</f>
        <v>606</v>
      </c>
      <c r="D32" s="34">
        <f t="shared" si="14"/>
        <v>755</v>
      </c>
      <c r="E32" s="24">
        <f t="shared" si="14"/>
        <v>11</v>
      </c>
      <c r="F32" s="24">
        <f t="shared" si="14"/>
        <v>254</v>
      </c>
      <c r="G32" s="24">
        <f t="shared" si="14"/>
        <v>3</v>
      </c>
      <c r="H32" s="24">
        <f t="shared" si="14"/>
        <v>0</v>
      </c>
      <c r="I32" s="24">
        <f t="shared" si="14"/>
        <v>136</v>
      </c>
      <c r="J32" s="24">
        <f t="shared" si="14"/>
        <v>0</v>
      </c>
      <c r="K32" s="24">
        <f>SUM(E32:J32)</f>
        <v>404</v>
      </c>
      <c r="L32" s="34">
        <f t="shared" si="1"/>
        <v>254</v>
      </c>
      <c r="M32" s="34">
        <f t="shared" si="2"/>
        <v>403</v>
      </c>
      <c r="N32" s="34">
        <f>SUBTOTAL(9,N30:N31)</f>
        <v>1009</v>
      </c>
      <c r="O32" s="34">
        <f>SUBTOTAL(9,O30:O31)</f>
        <v>1531</v>
      </c>
      <c r="P32" s="34">
        <f>SUBTOTAL(9,P30:P31)</f>
        <v>-480</v>
      </c>
      <c r="Q32" s="34">
        <f>SUBTOTAL(9,Q30:Q31)</f>
        <v>1050</v>
      </c>
      <c r="R32" s="34">
        <f>SUBTOTAL(9,R30:R31)</f>
        <v>1009</v>
      </c>
      <c r="S32" s="34">
        <f>Q32-R32</f>
        <v>41</v>
      </c>
      <c r="T32" s="38">
        <f>IFERROR((Q32/N32)*100%,"∞")</f>
        <v>1.0406342913776017</v>
      </c>
      <c r="U32" s="59">
        <f>N32+V32</f>
        <v>1009</v>
      </c>
      <c r="V32" s="34">
        <f>SUBTOTAL(9,V30:V31)</f>
        <v>0</v>
      </c>
      <c r="W32" s="34">
        <f>SUBTOTAL(9,W30:W31)</f>
        <v>0</v>
      </c>
      <c r="X32" s="34"/>
      <c r="Y32" s="34"/>
      <c r="Z32" s="41"/>
      <c r="AA32" s="60"/>
      <c r="AB32" s="102">
        <f>SUBTOTAL(9,AB1:AB31)</f>
        <v>0</v>
      </c>
      <c r="AC32" s="34">
        <f>SUBTOTAL(9,AC1:AC31)</f>
        <v>0</v>
      </c>
      <c r="AD32" s="34"/>
      <c r="AE32" s="34"/>
      <c r="AF32" s="103"/>
    </row>
    <row r="33" spans="2:32" ht="13" outlineLevel="2" x14ac:dyDescent="0.3">
      <c r="B33" s="31" t="s">
        <v>66</v>
      </c>
      <c r="C33" s="33">
        <v>-552</v>
      </c>
      <c r="D33" s="33">
        <v>-668</v>
      </c>
      <c r="E33" s="23">
        <v>0</v>
      </c>
      <c r="F33" s="23">
        <v>0</v>
      </c>
      <c r="G33" s="23">
        <v>-25</v>
      </c>
      <c r="H33" s="23">
        <v>0</v>
      </c>
      <c r="I33" s="23">
        <v>-90</v>
      </c>
      <c r="J33" s="23">
        <v>0</v>
      </c>
      <c r="K33" s="23">
        <f t="shared" si="0"/>
        <v>-115</v>
      </c>
      <c r="L33" s="33">
        <f t="shared" si="1"/>
        <v>0</v>
      </c>
      <c r="M33" s="33">
        <f t="shared" si="2"/>
        <v>-116</v>
      </c>
      <c r="N33" s="33">
        <v>-668</v>
      </c>
      <c r="O33" s="33">
        <v>1163</v>
      </c>
      <c r="P33" s="33">
        <v>-1876</v>
      </c>
      <c r="Q33" s="33">
        <v>-712</v>
      </c>
      <c r="R33" s="33">
        <v>-668</v>
      </c>
      <c r="S33" s="33">
        <f t="shared" si="3"/>
        <v>-44</v>
      </c>
      <c r="T33" s="38">
        <f t="shared" si="4"/>
        <v>1.0658682634730539</v>
      </c>
      <c r="U33" s="59">
        <f t="shared" si="5"/>
        <v>-757</v>
      </c>
      <c r="V33" s="33">
        <v>-89</v>
      </c>
      <c r="W33" s="33">
        <v>-89</v>
      </c>
      <c r="X33" s="33"/>
      <c r="Y33" s="33"/>
      <c r="Z33" s="42"/>
      <c r="AA33" s="60"/>
      <c r="AB33" s="105"/>
      <c r="AC33" s="93"/>
      <c r="AD33" s="33">
        <f t="shared" si="6"/>
        <v>0</v>
      </c>
      <c r="AE33" s="33">
        <f t="shared" si="7"/>
        <v>-712</v>
      </c>
      <c r="AF33" s="101">
        <f t="shared" si="8"/>
        <v>-44</v>
      </c>
    </row>
    <row r="34" spans="2:32" ht="13" outlineLevel="2" x14ac:dyDescent="0.3">
      <c r="B34" s="31" t="s">
        <v>67</v>
      </c>
      <c r="C34" s="33">
        <v>170</v>
      </c>
      <c r="D34" s="33">
        <v>131</v>
      </c>
      <c r="E34" s="23">
        <v>0</v>
      </c>
      <c r="F34" s="23">
        <v>-8</v>
      </c>
      <c r="G34" s="23">
        <v>-5</v>
      </c>
      <c r="H34" s="23">
        <v>0</v>
      </c>
      <c r="I34" s="23">
        <v>-34</v>
      </c>
      <c r="J34" s="23">
        <v>0</v>
      </c>
      <c r="K34" s="23">
        <f t="shared" si="0"/>
        <v>-47</v>
      </c>
      <c r="L34" s="33">
        <f t="shared" si="1"/>
        <v>-8</v>
      </c>
      <c r="M34" s="33">
        <f t="shared" si="2"/>
        <v>-47</v>
      </c>
      <c r="N34" s="33">
        <v>123</v>
      </c>
      <c r="O34" s="33">
        <v>144</v>
      </c>
      <c r="P34" s="33">
        <v>-35</v>
      </c>
      <c r="Q34" s="33">
        <v>109</v>
      </c>
      <c r="R34" s="33">
        <v>123</v>
      </c>
      <c r="S34" s="33">
        <f t="shared" si="3"/>
        <v>-14</v>
      </c>
      <c r="T34" s="38">
        <f t="shared" si="4"/>
        <v>0.88617886178861793</v>
      </c>
      <c r="U34" s="59">
        <f t="shared" si="5"/>
        <v>123</v>
      </c>
      <c r="V34" s="33">
        <v>0</v>
      </c>
      <c r="W34" s="33">
        <v>0</v>
      </c>
      <c r="X34" s="33"/>
      <c r="Y34" s="33"/>
      <c r="Z34" s="42"/>
      <c r="AA34" s="60"/>
      <c r="AB34" s="105"/>
      <c r="AC34" s="93"/>
      <c r="AD34" s="33">
        <f t="shared" si="6"/>
        <v>0</v>
      </c>
      <c r="AE34" s="33">
        <f t="shared" si="7"/>
        <v>109</v>
      </c>
      <c r="AF34" s="101">
        <f t="shared" si="8"/>
        <v>-14</v>
      </c>
    </row>
    <row r="35" spans="2:32"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17</v>
      </c>
      <c r="P35" s="33">
        <v>-223</v>
      </c>
      <c r="Q35" s="33">
        <v>-207</v>
      </c>
      <c r="R35" s="33">
        <v>-192</v>
      </c>
      <c r="S35" s="33">
        <f t="shared" si="3"/>
        <v>-15</v>
      </c>
      <c r="T35" s="38">
        <f t="shared" si="4"/>
        <v>1.078125</v>
      </c>
      <c r="U35" s="59">
        <f t="shared" si="5"/>
        <v>-200</v>
      </c>
      <c r="V35" s="33">
        <v>-8</v>
      </c>
      <c r="W35" s="33">
        <v>-8</v>
      </c>
      <c r="X35" s="33"/>
      <c r="Y35" s="33"/>
      <c r="Z35" s="42"/>
      <c r="AA35" s="60"/>
      <c r="AB35" s="105"/>
      <c r="AC35" s="93"/>
      <c r="AD35" s="33">
        <f t="shared" si="6"/>
        <v>0</v>
      </c>
      <c r="AE35" s="33">
        <f t="shared" si="7"/>
        <v>-207</v>
      </c>
      <c r="AF35" s="101">
        <f t="shared" si="8"/>
        <v>-15</v>
      </c>
    </row>
    <row r="36" spans="2:32" ht="13" outlineLevel="2" x14ac:dyDescent="0.3">
      <c r="B36" s="31" t="s">
        <v>69</v>
      </c>
      <c r="C36" s="33">
        <v>951</v>
      </c>
      <c r="D36" s="33">
        <v>1135</v>
      </c>
      <c r="E36" s="23">
        <v>0</v>
      </c>
      <c r="F36" s="23">
        <v>40</v>
      </c>
      <c r="G36" s="23">
        <v>-23</v>
      </c>
      <c r="H36" s="23">
        <v>0</v>
      </c>
      <c r="I36" s="23">
        <v>207</v>
      </c>
      <c r="J36" s="23">
        <v>15</v>
      </c>
      <c r="K36" s="23">
        <f t="shared" si="0"/>
        <v>239</v>
      </c>
      <c r="L36" s="33">
        <f t="shared" si="1"/>
        <v>55</v>
      </c>
      <c r="M36" s="33">
        <f t="shared" si="2"/>
        <v>239</v>
      </c>
      <c r="N36" s="33">
        <v>1190</v>
      </c>
      <c r="O36" s="33">
        <v>1280</v>
      </c>
      <c r="P36" s="33">
        <v>-208</v>
      </c>
      <c r="Q36" s="33">
        <v>1072</v>
      </c>
      <c r="R36" s="33">
        <v>1190</v>
      </c>
      <c r="S36" s="33">
        <f t="shared" si="3"/>
        <v>-118</v>
      </c>
      <c r="T36" s="38">
        <f t="shared" si="4"/>
        <v>0.9008403361344538</v>
      </c>
      <c r="U36" s="59">
        <f t="shared" si="5"/>
        <v>1097</v>
      </c>
      <c r="V36" s="33">
        <v>-93</v>
      </c>
      <c r="W36" s="33">
        <v>-93</v>
      </c>
      <c r="X36" s="33"/>
      <c r="Y36" s="33"/>
      <c r="Z36" s="42"/>
      <c r="AA36" s="60"/>
      <c r="AB36" s="105"/>
      <c r="AC36" s="93"/>
      <c r="AD36" s="33">
        <f t="shared" si="6"/>
        <v>0</v>
      </c>
      <c r="AE36" s="33">
        <f t="shared" si="7"/>
        <v>1072</v>
      </c>
      <c r="AF36" s="101">
        <f t="shared" si="8"/>
        <v>-118</v>
      </c>
    </row>
    <row r="37" spans="2:32" ht="13" outlineLevel="1" x14ac:dyDescent="0.3">
      <c r="B37" s="32" t="s">
        <v>71</v>
      </c>
      <c r="C37" s="34">
        <f t="shared" ref="C37:J37" si="15">SUBTOTAL(9,C33:C36)</f>
        <v>377</v>
      </c>
      <c r="D37" s="34">
        <f t="shared" si="15"/>
        <v>406</v>
      </c>
      <c r="E37" s="24">
        <f t="shared" si="15"/>
        <v>0</v>
      </c>
      <c r="F37" s="24">
        <f t="shared" si="15"/>
        <v>32</v>
      </c>
      <c r="G37" s="24">
        <f t="shared" si="15"/>
        <v>-53</v>
      </c>
      <c r="H37" s="24">
        <f t="shared" si="15"/>
        <v>0</v>
      </c>
      <c r="I37" s="24">
        <f t="shared" si="15"/>
        <v>83</v>
      </c>
      <c r="J37" s="24">
        <f t="shared" si="15"/>
        <v>15</v>
      </c>
      <c r="K37" s="24">
        <f>SUM(E37:J37)</f>
        <v>77</v>
      </c>
      <c r="L37" s="34">
        <f t="shared" si="1"/>
        <v>47</v>
      </c>
      <c r="M37" s="34">
        <f t="shared" si="2"/>
        <v>76</v>
      </c>
      <c r="N37" s="34">
        <f>SUBTOTAL(9,N33:N36)</f>
        <v>453</v>
      </c>
      <c r="O37" s="34">
        <f>SUBTOTAL(9,O33:O36)</f>
        <v>2604</v>
      </c>
      <c r="P37" s="34">
        <f>SUBTOTAL(9,P33:P36)</f>
        <v>-2342</v>
      </c>
      <c r="Q37" s="34">
        <f>SUBTOTAL(9,Q33:Q36)</f>
        <v>262</v>
      </c>
      <c r="R37" s="34">
        <f>SUBTOTAL(9,R33:R36)</f>
        <v>453</v>
      </c>
      <c r="S37" s="34">
        <f>Q37-R37</f>
        <v>-191</v>
      </c>
      <c r="T37" s="38">
        <f>IFERROR((Q37/N37)*100%,"∞")</f>
        <v>0.57836644591611475</v>
      </c>
      <c r="U37" s="59">
        <f>N37+V37</f>
        <v>263</v>
      </c>
      <c r="V37" s="34">
        <f>SUBTOTAL(9,V33:V36)</f>
        <v>-190</v>
      </c>
      <c r="W37" s="34">
        <f>SUBTOTAL(9,W33:W36)</f>
        <v>-190</v>
      </c>
      <c r="X37" s="34"/>
      <c r="Y37" s="34"/>
      <c r="Z37" s="41"/>
      <c r="AA37" s="60"/>
      <c r="AB37" s="102">
        <f>SUBTOTAL(9,AB1:AB36)</f>
        <v>0</v>
      </c>
      <c r="AC37" s="34">
        <f>SUBTOTAL(9,AC1:AC36)</f>
        <v>0</v>
      </c>
      <c r="AD37" s="34"/>
      <c r="AE37" s="34"/>
      <c r="AF37" s="103"/>
    </row>
    <row r="38" spans="2:32" ht="13.5" customHeight="1" thickBot="1" x14ac:dyDescent="0.35">
      <c r="B38" s="53" t="s">
        <v>72</v>
      </c>
      <c r="C38" s="35">
        <f t="shared" ref="C38:J38" si="16">SUBTOTAL(9,C25:C37)</f>
        <v>-4626</v>
      </c>
      <c r="D38" s="35">
        <f t="shared" si="16"/>
        <v>-5581</v>
      </c>
      <c r="E38" s="25">
        <f t="shared" si="16"/>
        <v>10</v>
      </c>
      <c r="F38" s="25">
        <f t="shared" si="16"/>
        <v>386</v>
      </c>
      <c r="G38" s="25">
        <f t="shared" si="16"/>
        <v>-98</v>
      </c>
      <c r="H38" s="25">
        <f t="shared" si="16"/>
        <v>0</v>
      </c>
      <c r="I38" s="25">
        <f t="shared" si="16"/>
        <v>-866</v>
      </c>
      <c r="J38" s="25">
        <f t="shared" si="16"/>
        <v>-15</v>
      </c>
      <c r="K38" s="25">
        <f>SUM(E38:J38)</f>
        <v>-583</v>
      </c>
      <c r="L38" s="35">
        <f t="shared" si="1"/>
        <v>371</v>
      </c>
      <c r="M38" s="35">
        <f t="shared" si="2"/>
        <v>-584</v>
      </c>
      <c r="N38" s="35">
        <f>SUBTOTAL(9,N25:N37)</f>
        <v>-5210</v>
      </c>
      <c r="O38" s="35">
        <f>SUBTOTAL(9,O25:O37)</f>
        <v>9162</v>
      </c>
      <c r="P38" s="35">
        <f>SUBTOTAL(9,P25:P37)</f>
        <v>-17518</v>
      </c>
      <c r="Q38" s="35">
        <f>SUBTOTAL(9,Q25:Q37)</f>
        <v>-8358</v>
      </c>
      <c r="R38" s="35">
        <f>SUBTOTAL(9,R25:R37)</f>
        <v>-5210</v>
      </c>
      <c r="S38" s="35">
        <f>Q38-R38</f>
        <v>-3148</v>
      </c>
      <c r="T38" s="39">
        <f>IFERROR((Q38/N38)*100%,"∞")</f>
        <v>1.6042226487523992</v>
      </c>
      <c r="U38" s="54">
        <f>N38+V38</f>
        <v>-5243</v>
      </c>
      <c r="V38" s="35">
        <f>SUBTOTAL(9,V25:V37)</f>
        <v>-33</v>
      </c>
      <c r="W38" s="35">
        <f>SUBTOTAL(9,W25:W37)</f>
        <v>-33</v>
      </c>
      <c r="X38" s="35"/>
      <c r="Y38" s="35"/>
      <c r="Z38" s="43"/>
      <c r="AA38" s="60"/>
      <c r="AB38" s="104">
        <f>SUBTOTAL(9,AB1:AB37)</f>
        <v>0</v>
      </c>
      <c r="AC38" s="104">
        <f>SUBTOTAL(9,AC1:AC37)</f>
        <v>0</v>
      </c>
      <c r="AD38" s="35">
        <f>SUM(AB38:AC38)</f>
        <v>0</v>
      </c>
      <c r="AE38" s="35">
        <f>Q38+AD38</f>
        <v>-8358</v>
      </c>
      <c r="AF38" s="43">
        <f>AE38-N38</f>
        <v>-3148</v>
      </c>
    </row>
    <row r="39" spans="2:32" ht="13.5" outlineLevel="2" thickTop="1" x14ac:dyDescent="0.3">
      <c r="B39" s="31" t="s">
        <v>73</v>
      </c>
      <c r="C39" s="33">
        <v>226</v>
      </c>
      <c r="D39" s="33">
        <v>163</v>
      </c>
      <c r="E39" s="23">
        <v>0</v>
      </c>
      <c r="F39" s="23">
        <v>0</v>
      </c>
      <c r="G39" s="23">
        <v>-4</v>
      </c>
      <c r="H39" s="23">
        <v>0</v>
      </c>
      <c r="I39" s="23">
        <v>-60</v>
      </c>
      <c r="J39" s="23">
        <v>0</v>
      </c>
      <c r="K39" s="23">
        <f t="shared" si="0"/>
        <v>-64</v>
      </c>
      <c r="L39" s="33">
        <f t="shared" si="1"/>
        <v>0</v>
      </c>
      <c r="M39" s="33">
        <f t="shared" si="2"/>
        <v>-63</v>
      </c>
      <c r="N39" s="33">
        <v>163</v>
      </c>
      <c r="O39" s="33">
        <v>125</v>
      </c>
      <c r="P39" s="33">
        <v>0</v>
      </c>
      <c r="Q39" s="33">
        <v>125</v>
      </c>
      <c r="R39" s="33">
        <v>163</v>
      </c>
      <c r="S39" s="33">
        <f t="shared" si="3"/>
        <v>-38</v>
      </c>
      <c r="T39" s="38">
        <f t="shared" si="4"/>
        <v>0.76687116564417179</v>
      </c>
      <c r="U39" s="59">
        <f t="shared" si="5"/>
        <v>125</v>
      </c>
      <c r="V39" s="33">
        <v>-38</v>
      </c>
      <c r="W39" s="33">
        <v>-38</v>
      </c>
      <c r="X39" s="33"/>
      <c r="Y39" s="33"/>
      <c r="Z39" s="42"/>
      <c r="AA39" s="60"/>
      <c r="AB39" s="105"/>
      <c r="AC39" s="93"/>
      <c r="AD39" s="33">
        <f t="shared" si="6"/>
        <v>0</v>
      </c>
      <c r="AE39" s="33">
        <f t="shared" si="7"/>
        <v>125</v>
      </c>
      <c r="AF39" s="101">
        <f t="shared" si="8"/>
        <v>-38</v>
      </c>
    </row>
    <row r="40" spans="2:32" ht="13" outlineLevel="2" x14ac:dyDescent="0.3">
      <c r="B40" s="31" t="s">
        <v>74</v>
      </c>
      <c r="C40" s="33">
        <v>387</v>
      </c>
      <c r="D40" s="33">
        <v>378</v>
      </c>
      <c r="E40" s="23">
        <v>0</v>
      </c>
      <c r="F40" s="23">
        <v>17</v>
      </c>
      <c r="G40" s="23">
        <v>-9</v>
      </c>
      <c r="H40" s="23">
        <v>0</v>
      </c>
      <c r="I40" s="23">
        <v>0</v>
      </c>
      <c r="J40" s="23">
        <v>0</v>
      </c>
      <c r="K40" s="23">
        <f t="shared" si="0"/>
        <v>8</v>
      </c>
      <c r="L40" s="33">
        <f t="shared" si="1"/>
        <v>17</v>
      </c>
      <c r="M40" s="33">
        <f t="shared" si="2"/>
        <v>8</v>
      </c>
      <c r="N40" s="33">
        <v>395</v>
      </c>
      <c r="O40" s="33">
        <v>566</v>
      </c>
      <c r="P40" s="33">
        <v>-191</v>
      </c>
      <c r="Q40" s="33">
        <v>376</v>
      </c>
      <c r="R40" s="33">
        <v>395</v>
      </c>
      <c r="S40" s="33">
        <f t="shared" si="3"/>
        <v>-19</v>
      </c>
      <c r="T40" s="38">
        <f t="shared" si="4"/>
        <v>0.95189873417721516</v>
      </c>
      <c r="U40" s="59">
        <f t="shared" si="5"/>
        <v>414</v>
      </c>
      <c r="V40" s="33">
        <v>19</v>
      </c>
      <c r="W40" s="33">
        <v>19</v>
      </c>
      <c r="X40" s="33"/>
      <c r="Y40" s="33"/>
      <c r="Z40" s="42"/>
      <c r="AA40" s="60"/>
      <c r="AB40" s="105"/>
      <c r="AC40" s="93"/>
      <c r="AD40" s="33">
        <f t="shared" si="6"/>
        <v>0</v>
      </c>
      <c r="AE40" s="33">
        <f t="shared" si="7"/>
        <v>376</v>
      </c>
      <c r="AF40" s="101">
        <f t="shared" si="8"/>
        <v>-19</v>
      </c>
    </row>
    <row r="41" spans="2:32" ht="13" outlineLevel="2" x14ac:dyDescent="0.3">
      <c r="B41" s="31" t="s">
        <v>75</v>
      </c>
      <c r="C41" s="33">
        <v>258</v>
      </c>
      <c r="D41" s="33">
        <v>254</v>
      </c>
      <c r="E41" s="23">
        <v>0</v>
      </c>
      <c r="F41" s="23">
        <v>115</v>
      </c>
      <c r="G41" s="23">
        <v>-4</v>
      </c>
      <c r="H41" s="23">
        <v>0</v>
      </c>
      <c r="I41" s="23">
        <v>0</v>
      </c>
      <c r="J41" s="23">
        <v>0</v>
      </c>
      <c r="K41" s="23">
        <f t="shared" si="0"/>
        <v>111</v>
      </c>
      <c r="L41" s="33">
        <f t="shared" si="1"/>
        <v>116</v>
      </c>
      <c r="M41" s="33">
        <f t="shared" si="2"/>
        <v>112</v>
      </c>
      <c r="N41" s="33">
        <v>370</v>
      </c>
      <c r="O41" s="33">
        <v>348</v>
      </c>
      <c r="P41" s="33">
        <v>-86</v>
      </c>
      <c r="Q41" s="33">
        <v>262</v>
      </c>
      <c r="R41" s="33">
        <v>370</v>
      </c>
      <c r="S41" s="33">
        <f t="shared" si="3"/>
        <v>-108</v>
      </c>
      <c r="T41" s="38">
        <f t="shared" si="4"/>
        <v>0.70810810810810809</v>
      </c>
      <c r="U41" s="59">
        <f t="shared" si="5"/>
        <v>258</v>
      </c>
      <c r="V41" s="33">
        <v>-112</v>
      </c>
      <c r="W41" s="33">
        <v>-112</v>
      </c>
      <c r="X41" s="33"/>
      <c r="Y41" s="33"/>
      <c r="Z41" s="42"/>
      <c r="AA41" s="60"/>
      <c r="AB41" s="105"/>
      <c r="AC41" s="93"/>
      <c r="AD41" s="33">
        <f t="shared" si="6"/>
        <v>0</v>
      </c>
      <c r="AE41" s="33">
        <f t="shared" si="7"/>
        <v>262</v>
      </c>
      <c r="AF41" s="101">
        <f t="shared" si="8"/>
        <v>-108</v>
      </c>
    </row>
    <row r="42" spans="2:32" ht="13" outlineLevel="1" x14ac:dyDescent="0.3">
      <c r="B42" s="32" t="s">
        <v>76</v>
      </c>
      <c r="C42" s="34">
        <f t="shared" ref="C42:J42" si="17">SUBTOTAL(9,C39:C41)</f>
        <v>871</v>
      </c>
      <c r="D42" s="34">
        <f t="shared" si="17"/>
        <v>795</v>
      </c>
      <c r="E42" s="24">
        <f t="shared" si="17"/>
        <v>0</v>
      </c>
      <c r="F42" s="24">
        <f t="shared" si="17"/>
        <v>132</v>
      </c>
      <c r="G42" s="24">
        <f t="shared" si="17"/>
        <v>-17</v>
      </c>
      <c r="H42" s="24">
        <f t="shared" si="17"/>
        <v>0</v>
      </c>
      <c r="I42" s="24">
        <f t="shared" si="17"/>
        <v>-60</v>
      </c>
      <c r="J42" s="24">
        <f t="shared" si="17"/>
        <v>0</v>
      </c>
      <c r="K42" s="24">
        <f>SUM(E42:J42)</f>
        <v>55</v>
      </c>
      <c r="L42" s="34">
        <f t="shared" si="1"/>
        <v>133</v>
      </c>
      <c r="M42" s="34">
        <f t="shared" si="2"/>
        <v>57</v>
      </c>
      <c r="N42" s="34">
        <f>SUBTOTAL(9,N39:N41)</f>
        <v>928</v>
      </c>
      <c r="O42" s="34">
        <f>SUBTOTAL(9,O39:O41)</f>
        <v>1039</v>
      </c>
      <c r="P42" s="34">
        <f>SUBTOTAL(9,P39:P41)</f>
        <v>-277</v>
      </c>
      <c r="Q42" s="34">
        <f>SUBTOTAL(9,Q39:Q41)</f>
        <v>763</v>
      </c>
      <c r="R42" s="34">
        <f>SUBTOTAL(9,R39:R41)</f>
        <v>928</v>
      </c>
      <c r="S42" s="34">
        <f>Q42-R42</f>
        <v>-165</v>
      </c>
      <c r="T42" s="38">
        <f>IFERROR((Q42/N42)*100%,"∞")</f>
        <v>0.82219827586206895</v>
      </c>
      <c r="U42" s="59">
        <f>N42+V42</f>
        <v>797</v>
      </c>
      <c r="V42" s="34">
        <f>SUBTOTAL(9,V39:V41)</f>
        <v>-131</v>
      </c>
      <c r="W42" s="34">
        <f>SUBTOTAL(9,W39:W41)</f>
        <v>-131</v>
      </c>
      <c r="X42" s="34"/>
      <c r="Y42" s="34"/>
      <c r="Z42" s="41"/>
      <c r="AA42" s="60"/>
      <c r="AB42" s="102">
        <f>SUBTOTAL(9,AB1:AB41)</f>
        <v>0</v>
      </c>
      <c r="AC42" s="34">
        <f>SUBTOTAL(9,AC1:AC41)</f>
        <v>0</v>
      </c>
      <c r="AD42" s="34"/>
      <c r="AE42" s="34"/>
      <c r="AF42" s="103"/>
    </row>
    <row r="43" spans="2:32" ht="13" outlineLevel="2" x14ac:dyDescent="0.3">
      <c r="B43" s="31" t="s">
        <v>77</v>
      </c>
      <c r="C43" s="33">
        <v>463</v>
      </c>
      <c r="D43" s="33">
        <v>216</v>
      </c>
      <c r="E43" s="23">
        <v>-156</v>
      </c>
      <c r="F43" s="23">
        <v>1</v>
      </c>
      <c r="G43" s="23">
        <v>-7</v>
      </c>
      <c r="H43" s="23">
        <v>0</v>
      </c>
      <c r="I43" s="23">
        <v>-83</v>
      </c>
      <c r="J43" s="23">
        <v>0</v>
      </c>
      <c r="K43" s="23">
        <f t="shared" si="0"/>
        <v>-245</v>
      </c>
      <c r="L43" s="33">
        <f t="shared" si="1"/>
        <v>1</v>
      </c>
      <c r="M43" s="33">
        <f t="shared" si="2"/>
        <v>-246</v>
      </c>
      <c r="N43" s="33">
        <v>217</v>
      </c>
      <c r="O43" s="33">
        <v>404</v>
      </c>
      <c r="P43" s="33">
        <v>-272</v>
      </c>
      <c r="Q43" s="33">
        <v>132</v>
      </c>
      <c r="R43" s="33">
        <v>217</v>
      </c>
      <c r="S43" s="33">
        <f t="shared" si="3"/>
        <v>-85</v>
      </c>
      <c r="T43" s="38">
        <f t="shared" si="4"/>
        <v>0.60829493087557607</v>
      </c>
      <c r="U43" s="59">
        <f t="shared" si="5"/>
        <v>155</v>
      </c>
      <c r="V43" s="33">
        <v>-62</v>
      </c>
      <c r="W43" s="33">
        <v>-62</v>
      </c>
      <c r="X43" s="33"/>
      <c r="Y43" s="33"/>
      <c r="Z43" s="42"/>
      <c r="AA43" s="60"/>
      <c r="AB43" s="105"/>
      <c r="AC43" s="93"/>
      <c r="AD43" s="33">
        <f t="shared" si="6"/>
        <v>0</v>
      </c>
      <c r="AE43" s="33">
        <f t="shared" si="7"/>
        <v>132</v>
      </c>
      <c r="AF43" s="101">
        <f t="shared" si="8"/>
        <v>-85</v>
      </c>
    </row>
    <row r="44" spans="2:32" ht="13" outlineLevel="2" x14ac:dyDescent="0.3">
      <c r="B44" s="31" t="s">
        <v>78</v>
      </c>
      <c r="C44" s="33">
        <v>305</v>
      </c>
      <c r="D44" s="33">
        <v>282</v>
      </c>
      <c r="E44" s="23">
        <v>-4</v>
      </c>
      <c r="F44" s="23">
        <v>99</v>
      </c>
      <c r="G44" s="23">
        <v>-4</v>
      </c>
      <c r="H44" s="23">
        <v>0</v>
      </c>
      <c r="I44" s="23">
        <v>-15</v>
      </c>
      <c r="J44" s="23">
        <v>0</v>
      </c>
      <c r="K44" s="23">
        <f t="shared" si="0"/>
        <v>76</v>
      </c>
      <c r="L44" s="33">
        <f t="shared" si="1"/>
        <v>98</v>
      </c>
      <c r="M44" s="33">
        <f t="shared" si="2"/>
        <v>75</v>
      </c>
      <c r="N44" s="33">
        <v>380</v>
      </c>
      <c r="O44" s="33">
        <v>481</v>
      </c>
      <c r="P44" s="33">
        <v>-99</v>
      </c>
      <c r="Q44" s="33">
        <v>382</v>
      </c>
      <c r="R44" s="33">
        <v>380</v>
      </c>
      <c r="S44" s="33">
        <f t="shared" si="3"/>
        <v>2</v>
      </c>
      <c r="T44" s="38">
        <f t="shared" si="4"/>
        <v>1.0052631578947369</v>
      </c>
      <c r="U44" s="59">
        <f t="shared" si="5"/>
        <v>380</v>
      </c>
      <c r="V44" s="33">
        <v>0</v>
      </c>
      <c r="W44" s="33">
        <v>0</v>
      </c>
      <c r="X44" s="33"/>
      <c r="Y44" s="33"/>
      <c r="Z44" s="42"/>
      <c r="AA44" s="60"/>
      <c r="AB44" s="105"/>
      <c r="AC44" s="93"/>
      <c r="AD44" s="33">
        <f t="shared" si="6"/>
        <v>0</v>
      </c>
      <c r="AE44" s="33">
        <f t="shared" si="7"/>
        <v>382</v>
      </c>
      <c r="AF44" s="101">
        <f t="shared" si="8"/>
        <v>2</v>
      </c>
    </row>
    <row r="45" spans="2:32" ht="13" outlineLevel="2" x14ac:dyDescent="0.3">
      <c r="B45" s="31" t="s">
        <v>79</v>
      </c>
      <c r="C45" s="33">
        <v>279</v>
      </c>
      <c r="D45" s="33">
        <v>317</v>
      </c>
      <c r="E45" s="23">
        <v>36</v>
      </c>
      <c r="F45" s="23">
        <v>27</v>
      </c>
      <c r="G45" s="23">
        <v>-7</v>
      </c>
      <c r="H45" s="23">
        <v>0</v>
      </c>
      <c r="I45" s="23">
        <v>10</v>
      </c>
      <c r="J45" s="23">
        <v>0</v>
      </c>
      <c r="K45" s="23">
        <f t="shared" si="0"/>
        <v>66</v>
      </c>
      <c r="L45" s="33">
        <f t="shared" si="1"/>
        <v>27</v>
      </c>
      <c r="M45" s="33">
        <f t="shared" si="2"/>
        <v>65</v>
      </c>
      <c r="N45" s="33">
        <v>344</v>
      </c>
      <c r="O45" s="33">
        <v>764</v>
      </c>
      <c r="P45" s="33">
        <v>-426</v>
      </c>
      <c r="Q45" s="33">
        <v>338</v>
      </c>
      <c r="R45" s="33">
        <v>344</v>
      </c>
      <c r="S45" s="33">
        <f t="shared" si="3"/>
        <v>-6</v>
      </c>
      <c r="T45" s="38">
        <f t="shared" si="4"/>
        <v>0.98255813953488369</v>
      </c>
      <c r="U45" s="59">
        <f t="shared" si="5"/>
        <v>337</v>
      </c>
      <c r="V45" s="33">
        <v>-7</v>
      </c>
      <c r="W45" s="33">
        <v>-7</v>
      </c>
      <c r="X45" s="33"/>
      <c r="Y45" s="33"/>
      <c r="Z45" s="42"/>
      <c r="AA45" s="60"/>
      <c r="AB45" s="105"/>
      <c r="AC45" s="93"/>
      <c r="AD45" s="33">
        <f t="shared" si="6"/>
        <v>0</v>
      </c>
      <c r="AE45" s="33">
        <f t="shared" si="7"/>
        <v>338</v>
      </c>
      <c r="AF45" s="101">
        <f t="shared" si="8"/>
        <v>-6</v>
      </c>
    </row>
    <row r="46" spans="2:32" ht="13" outlineLevel="1" x14ac:dyDescent="0.3">
      <c r="B46" s="32" t="s">
        <v>80</v>
      </c>
      <c r="C46" s="34">
        <f t="shared" ref="C46:J46" si="18">SUBTOTAL(9,C43:C45)</f>
        <v>1047</v>
      </c>
      <c r="D46" s="34">
        <f t="shared" si="18"/>
        <v>815</v>
      </c>
      <c r="E46" s="24">
        <f t="shared" si="18"/>
        <v>-124</v>
      </c>
      <c r="F46" s="24">
        <f t="shared" si="18"/>
        <v>127</v>
      </c>
      <c r="G46" s="24">
        <f t="shared" si="18"/>
        <v>-18</v>
      </c>
      <c r="H46" s="24">
        <f t="shared" si="18"/>
        <v>0</v>
      </c>
      <c r="I46" s="24">
        <f t="shared" si="18"/>
        <v>-88</v>
      </c>
      <c r="J46" s="24">
        <f t="shared" si="18"/>
        <v>0</v>
      </c>
      <c r="K46" s="24">
        <f>SUM(E46:J46)</f>
        <v>-103</v>
      </c>
      <c r="L46" s="34">
        <f t="shared" si="1"/>
        <v>126</v>
      </c>
      <c r="M46" s="34">
        <f t="shared" si="2"/>
        <v>-106</v>
      </c>
      <c r="N46" s="34">
        <f>SUBTOTAL(9,N43:N45)</f>
        <v>941</v>
      </c>
      <c r="O46" s="34">
        <f>SUBTOTAL(9,O43:O45)</f>
        <v>1649</v>
      </c>
      <c r="P46" s="34">
        <f>SUBTOTAL(9,P43:P45)</f>
        <v>-797</v>
      </c>
      <c r="Q46" s="34">
        <f>SUBTOTAL(9,Q43:Q45)</f>
        <v>852</v>
      </c>
      <c r="R46" s="34">
        <f>SUBTOTAL(9,R43:R45)</f>
        <v>941</v>
      </c>
      <c r="S46" s="34">
        <f>Q46-R46</f>
        <v>-89</v>
      </c>
      <c r="T46" s="38">
        <f>IFERROR((Q46/N46)*100%,"∞")</f>
        <v>0.9054197662061636</v>
      </c>
      <c r="U46" s="59">
        <f>N46+V46</f>
        <v>872</v>
      </c>
      <c r="V46" s="34">
        <f>SUBTOTAL(9,V43:V45)</f>
        <v>-69</v>
      </c>
      <c r="W46" s="34">
        <f>SUBTOTAL(9,W43:W45)</f>
        <v>-69</v>
      </c>
      <c r="X46" s="34"/>
      <c r="Y46" s="34"/>
      <c r="Z46" s="41"/>
      <c r="AA46" s="60"/>
      <c r="AB46" s="102">
        <f>SUBTOTAL(9,AB1:AB45)</f>
        <v>0</v>
      </c>
      <c r="AC46" s="34">
        <f>SUBTOTAL(9,AC1:AC45)</f>
        <v>0</v>
      </c>
      <c r="AD46" s="34"/>
      <c r="AE46" s="34"/>
      <c r="AF46" s="103"/>
    </row>
    <row r="47" spans="2:32" ht="13.5" customHeight="1" thickBot="1" x14ac:dyDescent="0.35">
      <c r="B47" s="53" t="s">
        <v>81</v>
      </c>
      <c r="C47" s="35">
        <f t="shared" ref="C47:J47" si="19">SUBTOTAL(9,C39:C46)</f>
        <v>1918</v>
      </c>
      <c r="D47" s="35">
        <f t="shared" si="19"/>
        <v>1610</v>
      </c>
      <c r="E47" s="25">
        <f t="shared" si="19"/>
        <v>-124</v>
      </c>
      <c r="F47" s="25">
        <f t="shared" si="19"/>
        <v>259</v>
      </c>
      <c r="G47" s="25">
        <f t="shared" si="19"/>
        <v>-35</v>
      </c>
      <c r="H47" s="25">
        <f t="shared" si="19"/>
        <v>0</v>
      </c>
      <c r="I47" s="25">
        <f t="shared" si="19"/>
        <v>-148</v>
      </c>
      <c r="J47" s="25">
        <f t="shared" si="19"/>
        <v>0</v>
      </c>
      <c r="K47" s="25">
        <f>SUM(E47:J47)</f>
        <v>-48</v>
      </c>
      <c r="L47" s="35">
        <f t="shared" si="1"/>
        <v>259</v>
      </c>
      <c r="M47" s="35">
        <f t="shared" si="2"/>
        <v>-49</v>
      </c>
      <c r="N47" s="35">
        <f>SUBTOTAL(9,N39:N46)</f>
        <v>1869</v>
      </c>
      <c r="O47" s="35">
        <f>SUBTOTAL(9,O39:O46)</f>
        <v>2688</v>
      </c>
      <c r="P47" s="35">
        <f>SUBTOTAL(9,P39:P46)</f>
        <v>-1074</v>
      </c>
      <c r="Q47" s="35">
        <f>SUBTOTAL(9,Q39:Q46)</f>
        <v>1615</v>
      </c>
      <c r="R47" s="35">
        <f>SUBTOTAL(9,R39:R46)</f>
        <v>1869</v>
      </c>
      <c r="S47" s="35">
        <f>Q47-R47</f>
        <v>-254</v>
      </c>
      <c r="T47" s="39">
        <f>IFERROR((Q47/N47)*100%,"∞")</f>
        <v>0.86409844836811134</v>
      </c>
      <c r="U47" s="54">
        <f>N47+V47</f>
        <v>1669</v>
      </c>
      <c r="V47" s="35">
        <f>SUBTOTAL(9,V39:V46)</f>
        <v>-200</v>
      </c>
      <c r="W47" s="35">
        <f>SUBTOTAL(9,W39:W46)</f>
        <v>-200</v>
      </c>
      <c r="X47" s="35"/>
      <c r="Y47" s="35"/>
      <c r="Z47" s="43"/>
      <c r="AA47" s="60"/>
      <c r="AB47" s="104">
        <f>SUBTOTAL(9,AB1:AB46)</f>
        <v>0</v>
      </c>
      <c r="AC47" s="104">
        <f>SUBTOTAL(9,AC1:AC46)</f>
        <v>0</v>
      </c>
      <c r="AD47" s="35">
        <f>SUM(AB47:AC47)</f>
        <v>0</v>
      </c>
      <c r="AE47" s="35">
        <f>Q47+AD47</f>
        <v>1615</v>
      </c>
      <c r="AF47" s="43">
        <f>AE47-N47</f>
        <v>-254</v>
      </c>
    </row>
    <row r="48" spans="2:32" ht="13.5" outlineLevel="2" thickTop="1" x14ac:dyDescent="0.3">
      <c r="B48" s="31" t="s">
        <v>82</v>
      </c>
      <c r="C48" s="33">
        <v>-677</v>
      </c>
      <c r="D48" s="33">
        <v>-677</v>
      </c>
      <c r="E48" s="23">
        <v>0</v>
      </c>
      <c r="F48" s="23">
        <v>0</v>
      </c>
      <c r="G48" s="23">
        <v>0</v>
      </c>
      <c r="H48" s="23">
        <v>0</v>
      </c>
      <c r="I48" s="23">
        <v>0</v>
      </c>
      <c r="J48" s="23">
        <v>0</v>
      </c>
      <c r="K48" s="23">
        <f t="shared" si="0"/>
        <v>0</v>
      </c>
      <c r="L48" s="33">
        <f t="shared" si="1"/>
        <v>0</v>
      </c>
      <c r="M48" s="33">
        <f t="shared" si="2"/>
        <v>0</v>
      </c>
      <c r="N48" s="33">
        <v>-677</v>
      </c>
      <c r="O48" s="33">
        <v>4758</v>
      </c>
      <c r="P48" s="33">
        <v>-5683</v>
      </c>
      <c r="Q48" s="33">
        <v>-925</v>
      </c>
      <c r="R48" s="33">
        <v>-677</v>
      </c>
      <c r="S48" s="33">
        <f t="shared" si="3"/>
        <v>-248</v>
      </c>
      <c r="T48" s="38">
        <f t="shared" si="4"/>
        <v>1.3663220088626293</v>
      </c>
      <c r="U48" s="59">
        <f t="shared" si="5"/>
        <v>-900</v>
      </c>
      <c r="V48" s="33">
        <v>-223</v>
      </c>
      <c r="W48" s="33">
        <v>-223</v>
      </c>
      <c r="X48" s="33"/>
      <c r="Y48" s="33"/>
      <c r="Z48" s="42"/>
      <c r="AA48" s="60"/>
      <c r="AB48" s="105"/>
      <c r="AC48" s="93"/>
      <c r="AD48" s="33">
        <f t="shared" si="6"/>
        <v>0</v>
      </c>
      <c r="AE48" s="33">
        <f t="shared" si="7"/>
        <v>-925</v>
      </c>
      <c r="AF48" s="101">
        <f t="shared" si="8"/>
        <v>-248</v>
      </c>
    </row>
    <row r="49" spans="2:32" ht="13" outlineLevel="2" x14ac:dyDescent="0.3">
      <c r="B49" s="31" t="s">
        <v>83</v>
      </c>
      <c r="C49" s="33">
        <v>5803</v>
      </c>
      <c r="D49" s="33">
        <v>5803</v>
      </c>
      <c r="E49" s="23">
        <v>0</v>
      </c>
      <c r="F49" s="23">
        <v>100</v>
      </c>
      <c r="G49" s="23">
        <v>0</v>
      </c>
      <c r="H49" s="23">
        <v>0</v>
      </c>
      <c r="I49" s="23">
        <v>0</v>
      </c>
      <c r="J49" s="23">
        <v>0</v>
      </c>
      <c r="K49" s="23">
        <f t="shared" si="0"/>
        <v>100</v>
      </c>
      <c r="L49" s="33">
        <f t="shared" si="1"/>
        <v>100</v>
      </c>
      <c r="M49" s="33">
        <f t="shared" si="2"/>
        <v>100</v>
      </c>
      <c r="N49" s="33">
        <v>5903</v>
      </c>
      <c r="O49" s="33">
        <v>7893</v>
      </c>
      <c r="P49" s="33">
        <v>-1879</v>
      </c>
      <c r="Q49" s="33">
        <v>6014</v>
      </c>
      <c r="R49" s="33">
        <v>5903</v>
      </c>
      <c r="S49" s="33">
        <f t="shared" si="3"/>
        <v>111</v>
      </c>
      <c r="T49" s="38">
        <f t="shared" si="4"/>
        <v>1.0188039979671353</v>
      </c>
      <c r="U49" s="59">
        <f t="shared" si="5"/>
        <v>6053</v>
      </c>
      <c r="V49" s="33">
        <v>150</v>
      </c>
      <c r="W49" s="33">
        <v>150</v>
      </c>
      <c r="X49" s="33"/>
      <c r="Y49" s="33"/>
      <c r="Z49" s="42"/>
      <c r="AA49" s="60"/>
      <c r="AB49" s="105"/>
      <c r="AC49" s="93"/>
      <c r="AD49" s="33">
        <f t="shared" si="6"/>
        <v>0</v>
      </c>
      <c r="AE49" s="33">
        <f t="shared" si="7"/>
        <v>6014</v>
      </c>
      <c r="AF49" s="101">
        <f t="shared" si="8"/>
        <v>111</v>
      </c>
    </row>
    <row r="50" spans="2:32" ht="13" outlineLevel="2" x14ac:dyDescent="0.3">
      <c r="B50" s="31" t="s">
        <v>84</v>
      </c>
      <c r="C50" s="33">
        <v>6021</v>
      </c>
      <c r="D50" s="33">
        <v>6021</v>
      </c>
      <c r="E50" s="23">
        <v>0</v>
      </c>
      <c r="F50" s="23">
        <v>0</v>
      </c>
      <c r="G50" s="23">
        <v>0</v>
      </c>
      <c r="H50" s="23">
        <v>0</v>
      </c>
      <c r="I50" s="23">
        <v>0</v>
      </c>
      <c r="J50" s="23">
        <v>0</v>
      </c>
      <c r="K50" s="23">
        <f t="shared" si="0"/>
        <v>0</v>
      </c>
      <c r="L50" s="33">
        <f t="shared" si="1"/>
        <v>0</v>
      </c>
      <c r="M50" s="33">
        <f t="shared" si="2"/>
        <v>0</v>
      </c>
      <c r="N50" s="33">
        <v>6021</v>
      </c>
      <c r="O50" s="33">
        <v>5985</v>
      </c>
      <c r="P50" s="33">
        <v>3</v>
      </c>
      <c r="Q50" s="33">
        <v>5988</v>
      </c>
      <c r="R50" s="33">
        <v>6021</v>
      </c>
      <c r="S50" s="33">
        <f t="shared" si="3"/>
        <v>-33</v>
      </c>
      <c r="T50" s="38">
        <f t="shared" si="4"/>
        <v>0.99451918285999008</v>
      </c>
      <c r="U50" s="59">
        <f t="shared" si="5"/>
        <v>6054</v>
      </c>
      <c r="V50" s="33">
        <v>33</v>
      </c>
      <c r="W50" s="33">
        <v>33</v>
      </c>
      <c r="X50" s="33"/>
      <c r="Y50" s="33"/>
      <c r="Z50" s="42"/>
      <c r="AA50" s="60"/>
      <c r="AB50" s="105"/>
      <c r="AC50" s="93"/>
      <c r="AD50" s="33">
        <f t="shared" si="6"/>
        <v>0</v>
      </c>
      <c r="AE50" s="33">
        <f t="shared" si="7"/>
        <v>5988</v>
      </c>
      <c r="AF50" s="101">
        <f t="shared" si="8"/>
        <v>-33</v>
      </c>
    </row>
    <row r="51" spans="2:32" ht="13" outlineLevel="2" x14ac:dyDescent="0.3">
      <c r="B51" s="31" t="s">
        <v>85</v>
      </c>
      <c r="C51" s="33">
        <v>3196</v>
      </c>
      <c r="D51" s="33">
        <v>3196</v>
      </c>
      <c r="E51" s="23">
        <v>0</v>
      </c>
      <c r="F51" s="23">
        <v>0</v>
      </c>
      <c r="G51" s="23">
        <v>0</v>
      </c>
      <c r="H51" s="23">
        <v>0</v>
      </c>
      <c r="I51" s="23">
        <v>0</v>
      </c>
      <c r="J51" s="23">
        <v>0</v>
      </c>
      <c r="K51" s="23">
        <f t="shared" si="0"/>
        <v>0</v>
      </c>
      <c r="L51" s="33">
        <f t="shared" si="1"/>
        <v>0</v>
      </c>
      <c r="M51" s="33">
        <f t="shared" si="2"/>
        <v>0</v>
      </c>
      <c r="N51" s="33">
        <v>3196</v>
      </c>
      <c r="O51" s="33">
        <v>3309</v>
      </c>
      <c r="P51" s="33">
        <v>-89</v>
      </c>
      <c r="Q51" s="33">
        <v>3220</v>
      </c>
      <c r="R51" s="33">
        <v>3196</v>
      </c>
      <c r="S51" s="33">
        <f t="shared" si="3"/>
        <v>24</v>
      </c>
      <c r="T51" s="38">
        <f t="shared" si="4"/>
        <v>1.0075093867334168</v>
      </c>
      <c r="U51" s="59">
        <f t="shared" si="5"/>
        <v>3196</v>
      </c>
      <c r="V51" s="33">
        <v>0</v>
      </c>
      <c r="W51" s="33">
        <v>0</v>
      </c>
      <c r="X51" s="33"/>
      <c r="Y51" s="33"/>
      <c r="Z51" s="42"/>
      <c r="AA51" s="60"/>
      <c r="AB51" s="105"/>
      <c r="AC51" s="93"/>
      <c r="AD51" s="33">
        <f t="shared" si="6"/>
        <v>0</v>
      </c>
      <c r="AE51" s="33">
        <f t="shared" si="7"/>
        <v>3220</v>
      </c>
      <c r="AF51" s="101">
        <f t="shared" si="8"/>
        <v>24</v>
      </c>
    </row>
    <row r="52" spans="2:32" ht="13" outlineLevel="2" x14ac:dyDescent="0.3">
      <c r="B52" s="31" t="s">
        <v>86</v>
      </c>
      <c r="C52" s="33">
        <v>263</v>
      </c>
      <c r="D52" s="33">
        <v>263</v>
      </c>
      <c r="E52" s="23">
        <v>0</v>
      </c>
      <c r="F52" s="23">
        <v>0</v>
      </c>
      <c r="G52" s="23">
        <v>0</v>
      </c>
      <c r="H52" s="23">
        <v>0</v>
      </c>
      <c r="I52" s="23">
        <v>0</v>
      </c>
      <c r="J52" s="23">
        <v>0</v>
      </c>
      <c r="K52" s="23">
        <f t="shared" si="0"/>
        <v>0</v>
      </c>
      <c r="L52" s="33">
        <f t="shared" si="1"/>
        <v>0</v>
      </c>
      <c r="M52" s="33">
        <f t="shared" si="2"/>
        <v>0</v>
      </c>
      <c r="N52" s="33">
        <v>263</v>
      </c>
      <c r="O52" s="33">
        <v>262</v>
      </c>
      <c r="P52" s="33">
        <v>1</v>
      </c>
      <c r="Q52" s="33">
        <v>263</v>
      </c>
      <c r="R52" s="33">
        <v>263</v>
      </c>
      <c r="S52" s="33">
        <f t="shared" si="3"/>
        <v>0</v>
      </c>
      <c r="T52" s="38">
        <f t="shared" si="4"/>
        <v>1</v>
      </c>
      <c r="U52" s="59">
        <f t="shared" si="5"/>
        <v>263</v>
      </c>
      <c r="V52" s="33">
        <v>0</v>
      </c>
      <c r="W52" s="33">
        <v>0</v>
      </c>
      <c r="X52" s="33"/>
      <c r="Y52" s="33"/>
      <c r="Z52" s="42"/>
      <c r="AA52" s="60"/>
      <c r="AB52" s="105"/>
      <c r="AC52" s="93"/>
      <c r="AD52" s="33">
        <f t="shared" si="6"/>
        <v>0</v>
      </c>
      <c r="AE52" s="33">
        <f t="shared" si="7"/>
        <v>263</v>
      </c>
      <c r="AF52" s="101">
        <f t="shared" si="8"/>
        <v>0</v>
      </c>
    </row>
    <row r="53" spans="2:32" ht="13" outlineLevel="2" x14ac:dyDescent="0.3">
      <c r="B53" s="31" t="s">
        <v>87</v>
      </c>
      <c r="C53" s="33">
        <v>0</v>
      </c>
      <c r="D53" s="33">
        <v>0</v>
      </c>
      <c r="E53" s="23">
        <v>0</v>
      </c>
      <c r="F53" s="23">
        <v>0</v>
      </c>
      <c r="G53" s="23">
        <v>0</v>
      </c>
      <c r="H53" s="23">
        <v>0</v>
      </c>
      <c r="I53" s="23">
        <v>0</v>
      </c>
      <c r="J53" s="23">
        <v>0</v>
      </c>
      <c r="K53" s="23">
        <f t="shared" si="0"/>
        <v>0</v>
      </c>
      <c r="L53" s="33">
        <f t="shared" si="1"/>
        <v>0</v>
      </c>
      <c r="M53" s="33">
        <f t="shared" si="2"/>
        <v>0</v>
      </c>
      <c r="N53" s="33">
        <v>0</v>
      </c>
      <c r="O53" s="33">
        <v>2080</v>
      </c>
      <c r="P53" s="33">
        <v>-2080</v>
      </c>
      <c r="Q53" s="33">
        <v>0</v>
      </c>
      <c r="R53" s="33">
        <v>0</v>
      </c>
      <c r="S53" s="33">
        <f t="shared" si="3"/>
        <v>0</v>
      </c>
      <c r="T53" s="38" t="str">
        <f t="shared" si="4"/>
        <v>∞</v>
      </c>
      <c r="U53" s="59">
        <f t="shared" si="5"/>
        <v>0</v>
      </c>
      <c r="V53" s="33">
        <v>0</v>
      </c>
      <c r="W53" s="33">
        <v>0</v>
      </c>
      <c r="X53" s="33"/>
      <c r="Y53" s="33"/>
      <c r="Z53" s="42"/>
      <c r="AA53" s="60"/>
      <c r="AB53" s="105"/>
      <c r="AC53" s="93"/>
      <c r="AD53" s="33">
        <f t="shared" si="6"/>
        <v>0</v>
      </c>
      <c r="AE53" s="33">
        <f t="shared" si="7"/>
        <v>0</v>
      </c>
      <c r="AF53" s="101">
        <f t="shared" si="8"/>
        <v>0</v>
      </c>
    </row>
    <row r="54" spans="2:32" ht="13" outlineLevel="2" x14ac:dyDescent="0.3">
      <c r="B54" s="31" t="s">
        <v>88</v>
      </c>
      <c r="C54" s="33">
        <v>-1960</v>
      </c>
      <c r="D54" s="33">
        <v>-1960</v>
      </c>
      <c r="E54" s="23">
        <v>0</v>
      </c>
      <c r="F54" s="23">
        <v>0</v>
      </c>
      <c r="G54" s="23">
        <v>0</v>
      </c>
      <c r="H54" s="23">
        <v>0</v>
      </c>
      <c r="I54" s="23">
        <v>0</v>
      </c>
      <c r="J54" s="23">
        <v>0</v>
      </c>
      <c r="K54" s="23">
        <f t="shared" si="0"/>
        <v>0</v>
      </c>
      <c r="L54" s="33">
        <f t="shared" si="1"/>
        <v>0</v>
      </c>
      <c r="M54" s="33">
        <f t="shared" si="2"/>
        <v>0</v>
      </c>
      <c r="N54" s="33">
        <v>-1960</v>
      </c>
      <c r="O54" s="33">
        <v>113</v>
      </c>
      <c r="P54" s="33">
        <v>0</v>
      </c>
      <c r="Q54" s="33">
        <v>113</v>
      </c>
      <c r="R54" s="33">
        <v>-1960</v>
      </c>
      <c r="S54" s="33">
        <f t="shared" si="3"/>
        <v>2073</v>
      </c>
      <c r="T54" s="38">
        <f t="shared" si="4"/>
        <v>-5.7653061224489793E-2</v>
      </c>
      <c r="U54" s="59">
        <f t="shared" si="5"/>
        <v>-1960</v>
      </c>
      <c r="V54" s="33">
        <v>0</v>
      </c>
      <c r="W54" s="33">
        <v>0</v>
      </c>
      <c r="X54" s="33"/>
      <c r="Y54" s="33"/>
      <c r="Z54" s="42"/>
      <c r="AA54" s="60"/>
      <c r="AB54" s="105"/>
      <c r="AC54" s="93"/>
      <c r="AD54" s="33">
        <f t="shared" si="6"/>
        <v>0</v>
      </c>
      <c r="AE54" s="33">
        <f t="shared" si="7"/>
        <v>113</v>
      </c>
      <c r="AF54" s="101">
        <f t="shared" si="8"/>
        <v>2073</v>
      </c>
    </row>
    <row r="55" spans="2:32" ht="13" outlineLevel="2" x14ac:dyDescent="0.3">
      <c r="B55" s="31" t="s">
        <v>89</v>
      </c>
      <c r="C55" s="33">
        <v>-1086</v>
      </c>
      <c r="D55" s="33">
        <v>-1086</v>
      </c>
      <c r="E55" s="23">
        <v>0</v>
      </c>
      <c r="F55" s="23">
        <v>0</v>
      </c>
      <c r="G55" s="23">
        <v>0</v>
      </c>
      <c r="H55" s="23">
        <v>0</v>
      </c>
      <c r="I55" s="23">
        <v>0</v>
      </c>
      <c r="J55" s="23">
        <v>0</v>
      </c>
      <c r="K55" s="23">
        <f t="shared" si="0"/>
        <v>0</v>
      </c>
      <c r="L55" s="33">
        <f t="shared" si="1"/>
        <v>0</v>
      </c>
      <c r="M55" s="33">
        <f t="shared" si="2"/>
        <v>0</v>
      </c>
      <c r="N55" s="33">
        <v>-1086</v>
      </c>
      <c r="O55" s="33">
        <v>818</v>
      </c>
      <c r="P55" s="33">
        <v>-12</v>
      </c>
      <c r="Q55" s="33">
        <v>806</v>
      </c>
      <c r="R55" s="33">
        <v>-1086</v>
      </c>
      <c r="S55" s="33">
        <f t="shared" si="3"/>
        <v>1892</v>
      </c>
      <c r="T55" s="38">
        <f t="shared" si="4"/>
        <v>-0.74217311233885819</v>
      </c>
      <c r="U55" s="59">
        <f t="shared" si="5"/>
        <v>-1086</v>
      </c>
      <c r="V55" s="33">
        <v>0</v>
      </c>
      <c r="W55" s="33">
        <v>0</v>
      </c>
      <c r="X55" s="33"/>
      <c r="Y55" s="33"/>
      <c r="Z55" s="42"/>
      <c r="AA55" s="60"/>
      <c r="AB55" s="105"/>
      <c r="AC55" s="93"/>
      <c r="AD55" s="33">
        <f t="shared" si="6"/>
        <v>0</v>
      </c>
      <c r="AE55" s="33">
        <f t="shared" si="7"/>
        <v>806</v>
      </c>
      <c r="AF55" s="101">
        <f t="shared" si="8"/>
        <v>1892</v>
      </c>
    </row>
    <row r="56" spans="2:32" ht="13" outlineLevel="2" x14ac:dyDescent="0.3">
      <c r="B56" s="31" t="s">
        <v>90</v>
      </c>
      <c r="C56" s="33">
        <v>71</v>
      </c>
      <c r="D56" s="33">
        <v>71</v>
      </c>
      <c r="E56" s="23">
        <v>0</v>
      </c>
      <c r="F56" s="23">
        <v>0</v>
      </c>
      <c r="G56" s="23">
        <v>0</v>
      </c>
      <c r="H56" s="23">
        <v>0</v>
      </c>
      <c r="I56" s="23">
        <v>0</v>
      </c>
      <c r="J56" s="23">
        <v>0</v>
      </c>
      <c r="K56" s="23">
        <f t="shared" si="0"/>
        <v>0</v>
      </c>
      <c r="L56" s="33">
        <f t="shared" si="1"/>
        <v>0</v>
      </c>
      <c r="M56" s="33">
        <f t="shared" si="2"/>
        <v>0</v>
      </c>
      <c r="N56" s="33">
        <v>71</v>
      </c>
      <c r="O56" s="33">
        <v>162</v>
      </c>
      <c r="P56" s="33">
        <v>-90</v>
      </c>
      <c r="Q56" s="33">
        <v>72</v>
      </c>
      <c r="R56" s="33">
        <v>71</v>
      </c>
      <c r="S56" s="33">
        <f t="shared" si="3"/>
        <v>1</v>
      </c>
      <c r="T56" s="38">
        <f t="shared" si="4"/>
        <v>1.0140845070422535</v>
      </c>
      <c r="U56" s="59">
        <f t="shared" si="5"/>
        <v>71</v>
      </c>
      <c r="V56" s="33">
        <v>0</v>
      </c>
      <c r="W56" s="33">
        <v>0</v>
      </c>
      <c r="X56" s="33"/>
      <c r="Y56" s="33"/>
      <c r="Z56" s="42"/>
      <c r="AA56" s="60"/>
      <c r="AB56" s="105"/>
      <c r="AC56" s="93"/>
      <c r="AD56" s="33">
        <f t="shared" si="6"/>
        <v>0</v>
      </c>
      <c r="AE56" s="33">
        <f t="shared" si="7"/>
        <v>72</v>
      </c>
      <c r="AF56" s="101">
        <f t="shared" si="8"/>
        <v>1</v>
      </c>
    </row>
    <row r="57" spans="2:32" ht="13" outlineLevel="2" x14ac:dyDescent="0.3">
      <c r="B57" s="31" t="s">
        <v>91</v>
      </c>
      <c r="C57" s="33">
        <v>-226</v>
      </c>
      <c r="D57" s="33">
        <v>83</v>
      </c>
      <c r="E57" s="23">
        <v>0</v>
      </c>
      <c r="F57" s="23">
        <v>0</v>
      </c>
      <c r="G57" s="23">
        <v>309</v>
      </c>
      <c r="H57" s="23">
        <v>0</v>
      </c>
      <c r="I57" s="23">
        <v>0</v>
      </c>
      <c r="J57" s="23">
        <v>0</v>
      </c>
      <c r="K57" s="23">
        <f t="shared" si="0"/>
        <v>309</v>
      </c>
      <c r="L57" s="33">
        <f t="shared" si="1"/>
        <v>0</v>
      </c>
      <c r="M57" s="33">
        <f t="shared" si="2"/>
        <v>309</v>
      </c>
      <c r="N57" s="33">
        <v>83</v>
      </c>
      <c r="O57" s="33">
        <v>637</v>
      </c>
      <c r="P57" s="33">
        <v>-398</v>
      </c>
      <c r="Q57" s="33">
        <v>239</v>
      </c>
      <c r="R57" s="33">
        <v>83</v>
      </c>
      <c r="S57" s="33">
        <f t="shared" si="3"/>
        <v>156</v>
      </c>
      <c r="T57" s="38">
        <f t="shared" si="4"/>
        <v>2.8795180722891565</v>
      </c>
      <c r="U57" s="59">
        <f t="shared" si="5"/>
        <v>72</v>
      </c>
      <c r="V57" s="33">
        <v>-11</v>
      </c>
      <c r="W57" s="33">
        <v>-11</v>
      </c>
      <c r="X57" s="33"/>
      <c r="Y57" s="33"/>
      <c r="Z57" s="42"/>
      <c r="AA57" s="60"/>
      <c r="AB57" s="105"/>
      <c r="AC57" s="93"/>
      <c r="AD57" s="33">
        <f t="shared" si="6"/>
        <v>0</v>
      </c>
      <c r="AE57" s="33">
        <f t="shared" si="7"/>
        <v>239</v>
      </c>
      <c r="AF57" s="101">
        <f t="shared" si="8"/>
        <v>156</v>
      </c>
    </row>
    <row r="58" spans="2:32" ht="13" outlineLevel="1" x14ac:dyDescent="0.3">
      <c r="B58" s="32" t="s">
        <v>92</v>
      </c>
      <c r="C58" s="34">
        <f t="shared" ref="C58:J58" si="20">SUBTOTAL(9,C48:C57)</f>
        <v>11405</v>
      </c>
      <c r="D58" s="34">
        <f t="shared" si="20"/>
        <v>11714</v>
      </c>
      <c r="E58" s="24">
        <f t="shared" si="20"/>
        <v>0</v>
      </c>
      <c r="F58" s="24">
        <f t="shared" si="20"/>
        <v>100</v>
      </c>
      <c r="G58" s="24">
        <f t="shared" si="20"/>
        <v>309</v>
      </c>
      <c r="H58" s="24">
        <f t="shared" si="20"/>
        <v>0</v>
      </c>
      <c r="I58" s="24">
        <f t="shared" si="20"/>
        <v>0</v>
      </c>
      <c r="J58" s="24">
        <f t="shared" si="20"/>
        <v>0</v>
      </c>
      <c r="K58" s="24">
        <f>SUM(E58:J58)</f>
        <v>409</v>
      </c>
      <c r="L58" s="34">
        <f t="shared" si="1"/>
        <v>100</v>
      </c>
      <c r="M58" s="34">
        <f t="shared" si="2"/>
        <v>409</v>
      </c>
      <c r="N58" s="34">
        <f>SUBTOTAL(9,N48:N57)</f>
        <v>11814</v>
      </c>
      <c r="O58" s="34">
        <f>SUBTOTAL(9,O48:O57)</f>
        <v>26017</v>
      </c>
      <c r="P58" s="34">
        <f>SUBTOTAL(9,P48:P57)</f>
        <v>-10227</v>
      </c>
      <c r="Q58" s="34">
        <f>SUBTOTAL(9,Q48:Q57)</f>
        <v>15790</v>
      </c>
      <c r="R58" s="34">
        <f>SUBTOTAL(9,R48:R57)</f>
        <v>11814</v>
      </c>
      <c r="S58" s="34">
        <f>Q58-R58</f>
        <v>3976</v>
      </c>
      <c r="T58" s="38">
        <f>IFERROR((Q58/N58)*100%,"∞")</f>
        <v>1.3365498561029288</v>
      </c>
      <c r="U58" s="59">
        <f>N58+V58</f>
        <v>11763</v>
      </c>
      <c r="V58" s="34">
        <f>SUBTOTAL(9,V48:V57)</f>
        <v>-51</v>
      </c>
      <c r="W58" s="34">
        <f>SUBTOTAL(9,W48:W57)</f>
        <v>-51</v>
      </c>
      <c r="X58" s="34"/>
      <c r="Y58" s="34"/>
      <c r="Z58" s="41"/>
      <c r="AA58" s="60"/>
      <c r="AB58" s="102">
        <f>SUBTOTAL(9,AB1:AB57)</f>
        <v>0</v>
      </c>
      <c r="AC58" s="34">
        <f>SUBTOTAL(9,AC1:AC57)</f>
        <v>0</v>
      </c>
      <c r="AD58" s="34"/>
      <c r="AE58" s="34"/>
      <c r="AF58" s="103"/>
    </row>
    <row r="59" spans="2:32" ht="13.5" customHeight="1" thickBot="1" x14ac:dyDescent="0.35">
      <c r="B59" s="53" t="s">
        <v>93</v>
      </c>
      <c r="C59" s="35">
        <f t="shared" ref="C59:J59" si="21">SUBTOTAL(9,C48:C58)</f>
        <v>11405</v>
      </c>
      <c r="D59" s="35">
        <f t="shared" si="21"/>
        <v>11714</v>
      </c>
      <c r="E59" s="25">
        <f t="shared" si="21"/>
        <v>0</v>
      </c>
      <c r="F59" s="25">
        <f t="shared" si="21"/>
        <v>100</v>
      </c>
      <c r="G59" s="25">
        <f t="shared" si="21"/>
        <v>309</v>
      </c>
      <c r="H59" s="25">
        <f t="shared" si="21"/>
        <v>0</v>
      </c>
      <c r="I59" s="25">
        <f t="shared" si="21"/>
        <v>0</v>
      </c>
      <c r="J59" s="25">
        <f t="shared" si="21"/>
        <v>0</v>
      </c>
      <c r="K59" s="25">
        <f>SUM(E59:J59)</f>
        <v>409</v>
      </c>
      <c r="L59" s="35">
        <f t="shared" si="1"/>
        <v>100</v>
      </c>
      <c r="M59" s="35">
        <f t="shared" si="2"/>
        <v>409</v>
      </c>
      <c r="N59" s="35">
        <f>SUBTOTAL(9,N48:N58)</f>
        <v>11814</v>
      </c>
      <c r="O59" s="35">
        <f>SUBTOTAL(9,O48:O58)</f>
        <v>26017</v>
      </c>
      <c r="P59" s="35">
        <f>SUBTOTAL(9,P48:P58)</f>
        <v>-10227</v>
      </c>
      <c r="Q59" s="35">
        <f>SUBTOTAL(9,Q48:Q58)</f>
        <v>15790</v>
      </c>
      <c r="R59" s="35">
        <f>SUBTOTAL(9,R48:R58)</f>
        <v>11814</v>
      </c>
      <c r="S59" s="35">
        <f>Q59-R59</f>
        <v>3976</v>
      </c>
      <c r="T59" s="39">
        <f>IFERROR((Q59/N59)*100%,"∞")</f>
        <v>1.3365498561029288</v>
      </c>
      <c r="U59" s="54">
        <f>N59+V59</f>
        <v>11763</v>
      </c>
      <c r="V59" s="35">
        <f>SUBTOTAL(9,V48:V58)</f>
        <v>-51</v>
      </c>
      <c r="W59" s="35">
        <f>SUBTOTAL(9,W48:W58)</f>
        <v>-51</v>
      </c>
      <c r="X59" s="35"/>
      <c r="Y59" s="35"/>
      <c r="Z59" s="43"/>
      <c r="AA59" s="60"/>
      <c r="AB59" s="104">
        <f>SUBTOTAL(9,AB1:AB58)</f>
        <v>0</v>
      </c>
      <c r="AC59" s="104">
        <f>SUBTOTAL(9,AC1:AC58)</f>
        <v>0</v>
      </c>
      <c r="AD59" s="35">
        <f>SUM(AB59:AC59)</f>
        <v>0</v>
      </c>
      <c r="AE59" s="35">
        <f>Q59+AD59</f>
        <v>15790</v>
      </c>
      <c r="AF59" s="43">
        <f>AE59-N59</f>
        <v>3976</v>
      </c>
    </row>
    <row r="60" spans="2:32" ht="13.5" outlineLevel="2" thickTop="1" x14ac:dyDescent="0.3">
      <c r="B60" s="31" t="s">
        <v>94</v>
      </c>
      <c r="C60" s="33">
        <v>250</v>
      </c>
      <c r="D60" s="33">
        <v>356</v>
      </c>
      <c r="E60" s="23">
        <v>60</v>
      </c>
      <c r="F60" s="23">
        <v>0</v>
      </c>
      <c r="G60" s="23">
        <v>2</v>
      </c>
      <c r="H60" s="23">
        <v>-8</v>
      </c>
      <c r="I60" s="23">
        <v>44</v>
      </c>
      <c r="J60" s="23">
        <v>-60</v>
      </c>
      <c r="K60" s="23">
        <f t="shared" si="0"/>
        <v>38</v>
      </c>
      <c r="L60" s="33">
        <f t="shared" si="1"/>
        <v>-68</v>
      </c>
      <c r="M60" s="33">
        <f t="shared" si="2"/>
        <v>38</v>
      </c>
      <c r="N60" s="33">
        <v>288</v>
      </c>
      <c r="O60" s="33">
        <v>470</v>
      </c>
      <c r="P60" s="33">
        <v>0</v>
      </c>
      <c r="Q60" s="33">
        <v>470</v>
      </c>
      <c r="R60" s="33">
        <v>288</v>
      </c>
      <c r="S60" s="33">
        <f t="shared" si="3"/>
        <v>182</v>
      </c>
      <c r="T60" s="38">
        <f t="shared" si="4"/>
        <v>1.6319444444444444</v>
      </c>
      <c r="U60" s="59">
        <f t="shared" si="5"/>
        <v>438</v>
      </c>
      <c r="V60" s="33">
        <v>150</v>
      </c>
      <c r="W60" s="33">
        <v>150</v>
      </c>
      <c r="X60" s="33"/>
      <c r="Y60" s="33"/>
      <c r="Z60" s="42"/>
      <c r="AA60" s="60"/>
      <c r="AB60" s="105"/>
      <c r="AC60" s="93"/>
      <c r="AD60" s="33">
        <f t="shared" si="6"/>
        <v>0</v>
      </c>
      <c r="AE60" s="33">
        <f t="shared" si="7"/>
        <v>470</v>
      </c>
      <c r="AF60" s="101">
        <f t="shared" si="8"/>
        <v>182</v>
      </c>
    </row>
    <row r="61" spans="2:32" ht="13" outlineLevel="2" x14ac:dyDescent="0.3">
      <c r="B61" s="31" t="s">
        <v>95</v>
      </c>
      <c r="C61" s="33">
        <v>129</v>
      </c>
      <c r="D61" s="33">
        <v>125</v>
      </c>
      <c r="E61" s="23">
        <v>0</v>
      </c>
      <c r="F61" s="23">
        <v>0</v>
      </c>
      <c r="G61" s="23">
        <v>-4</v>
      </c>
      <c r="H61" s="23">
        <v>0</v>
      </c>
      <c r="I61" s="23">
        <v>0</v>
      </c>
      <c r="J61" s="23">
        <v>0</v>
      </c>
      <c r="K61" s="23">
        <f t="shared" si="0"/>
        <v>-4</v>
      </c>
      <c r="L61" s="33">
        <f t="shared" si="1"/>
        <v>0</v>
      </c>
      <c r="M61" s="33">
        <f t="shared" si="2"/>
        <v>-4</v>
      </c>
      <c r="N61" s="33">
        <v>125</v>
      </c>
      <c r="O61" s="33">
        <v>123</v>
      </c>
      <c r="P61" s="33">
        <v>0</v>
      </c>
      <c r="Q61" s="33">
        <v>123</v>
      </c>
      <c r="R61" s="33">
        <v>125</v>
      </c>
      <c r="S61" s="33">
        <f t="shared" si="3"/>
        <v>-2</v>
      </c>
      <c r="T61" s="38">
        <f t="shared" si="4"/>
        <v>0.98399999999999999</v>
      </c>
      <c r="U61" s="59">
        <f t="shared" si="5"/>
        <v>125</v>
      </c>
      <c r="V61" s="33">
        <v>0</v>
      </c>
      <c r="W61" s="33">
        <v>0</v>
      </c>
      <c r="X61" s="33"/>
      <c r="Y61" s="33"/>
      <c r="Z61" s="42"/>
      <c r="AA61" s="60"/>
      <c r="AB61" s="105"/>
      <c r="AC61" s="93"/>
      <c r="AD61" s="33">
        <f t="shared" si="6"/>
        <v>0</v>
      </c>
      <c r="AE61" s="33">
        <f t="shared" si="7"/>
        <v>123</v>
      </c>
      <c r="AF61" s="101">
        <f t="shared" si="8"/>
        <v>-2</v>
      </c>
    </row>
    <row r="62" spans="2:32" ht="13" outlineLevel="2" x14ac:dyDescent="0.3">
      <c r="B62" s="31" t="s">
        <v>96</v>
      </c>
      <c r="C62" s="33">
        <v>4149</v>
      </c>
      <c r="D62" s="33">
        <v>4263</v>
      </c>
      <c r="E62" s="23">
        <v>100</v>
      </c>
      <c r="F62" s="23">
        <v>-85</v>
      </c>
      <c r="G62" s="23">
        <v>15</v>
      </c>
      <c r="H62" s="23">
        <v>-50</v>
      </c>
      <c r="I62" s="23">
        <v>0</v>
      </c>
      <c r="J62" s="23">
        <v>60</v>
      </c>
      <c r="K62" s="23">
        <f t="shared" si="0"/>
        <v>40</v>
      </c>
      <c r="L62" s="33">
        <f t="shared" si="1"/>
        <v>-75</v>
      </c>
      <c r="M62" s="33">
        <f t="shared" si="2"/>
        <v>39</v>
      </c>
      <c r="N62" s="33">
        <v>4188</v>
      </c>
      <c r="O62" s="33">
        <v>4351</v>
      </c>
      <c r="P62" s="33">
        <v>-7</v>
      </c>
      <c r="Q62" s="33">
        <v>4344</v>
      </c>
      <c r="R62" s="33">
        <v>4188</v>
      </c>
      <c r="S62" s="33">
        <f t="shared" si="3"/>
        <v>156</v>
      </c>
      <c r="T62" s="38">
        <f t="shared" si="4"/>
        <v>1.0372492836676217</v>
      </c>
      <c r="U62" s="59">
        <f t="shared" si="5"/>
        <v>4305</v>
      </c>
      <c r="V62" s="33">
        <v>117</v>
      </c>
      <c r="W62" s="33">
        <v>117</v>
      </c>
      <c r="X62" s="33"/>
      <c r="Y62" s="33"/>
      <c r="Z62" s="42"/>
      <c r="AA62" s="60"/>
      <c r="AB62" s="105"/>
      <c r="AC62" s="93"/>
      <c r="AD62" s="33">
        <f t="shared" si="6"/>
        <v>0</v>
      </c>
      <c r="AE62" s="33">
        <f t="shared" si="7"/>
        <v>4344</v>
      </c>
      <c r="AF62" s="101">
        <f t="shared" si="8"/>
        <v>156</v>
      </c>
    </row>
    <row r="63" spans="2:32" ht="13" outlineLevel="2" x14ac:dyDescent="0.3">
      <c r="B63" s="31" t="s">
        <v>97</v>
      </c>
      <c r="C63" s="33">
        <v>2817</v>
      </c>
      <c r="D63" s="33">
        <v>2777</v>
      </c>
      <c r="E63" s="23">
        <v>0</v>
      </c>
      <c r="F63" s="23">
        <v>0</v>
      </c>
      <c r="G63" s="23">
        <v>-39</v>
      </c>
      <c r="H63" s="23">
        <v>0</v>
      </c>
      <c r="I63" s="23">
        <v>0</v>
      </c>
      <c r="J63" s="23">
        <v>0</v>
      </c>
      <c r="K63" s="23">
        <f t="shared" si="0"/>
        <v>-39</v>
      </c>
      <c r="L63" s="33">
        <f t="shared" si="1"/>
        <v>0</v>
      </c>
      <c r="M63" s="33">
        <f t="shared" si="2"/>
        <v>-40</v>
      </c>
      <c r="N63" s="33">
        <v>2777</v>
      </c>
      <c r="O63" s="33">
        <v>2897</v>
      </c>
      <c r="P63" s="33">
        <v>-90</v>
      </c>
      <c r="Q63" s="33">
        <v>2806</v>
      </c>
      <c r="R63" s="33">
        <v>2777</v>
      </c>
      <c r="S63" s="33">
        <f t="shared" si="3"/>
        <v>29</v>
      </c>
      <c r="T63" s="38">
        <f t="shared" si="4"/>
        <v>1.0104429240187252</v>
      </c>
      <c r="U63" s="59">
        <f t="shared" si="5"/>
        <v>2793</v>
      </c>
      <c r="V63" s="33">
        <v>16</v>
      </c>
      <c r="W63" s="33">
        <v>16</v>
      </c>
      <c r="X63" s="33"/>
      <c r="Y63" s="33"/>
      <c r="Z63" s="42"/>
      <c r="AA63" s="60"/>
      <c r="AB63" s="105"/>
      <c r="AC63" s="93"/>
      <c r="AD63" s="33">
        <f t="shared" si="6"/>
        <v>0</v>
      </c>
      <c r="AE63" s="33">
        <f t="shared" si="7"/>
        <v>2806</v>
      </c>
      <c r="AF63" s="101">
        <f t="shared" si="8"/>
        <v>29</v>
      </c>
    </row>
    <row r="64" spans="2:32" ht="13" outlineLevel="2" x14ac:dyDescent="0.3">
      <c r="B64" s="31" t="s">
        <v>98</v>
      </c>
      <c r="C64" s="33">
        <v>1607</v>
      </c>
      <c r="D64" s="33">
        <v>1549</v>
      </c>
      <c r="E64" s="23">
        <v>0</v>
      </c>
      <c r="F64" s="23">
        <v>-151</v>
      </c>
      <c r="G64" s="23">
        <v>-17</v>
      </c>
      <c r="H64" s="23">
        <v>0</v>
      </c>
      <c r="I64" s="23">
        <v>-41</v>
      </c>
      <c r="J64" s="23">
        <v>128</v>
      </c>
      <c r="K64" s="23">
        <f t="shared" si="0"/>
        <v>-81</v>
      </c>
      <c r="L64" s="33">
        <f t="shared" si="1"/>
        <v>-23</v>
      </c>
      <c r="M64" s="33">
        <f t="shared" si="2"/>
        <v>-81</v>
      </c>
      <c r="N64" s="33">
        <v>1526</v>
      </c>
      <c r="O64" s="33">
        <v>1549</v>
      </c>
      <c r="P64" s="33">
        <v>-56</v>
      </c>
      <c r="Q64" s="33">
        <v>1494</v>
      </c>
      <c r="R64" s="33">
        <v>1526</v>
      </c>
      <c r="S64" s="33">
        <f t="shared" si="3"/>
        <v>-32</v>
      </c>
      <c r="T64" s="38">
        <f t="shared" si="4"/>
        <v>0.9790301441677588</v>
      </c>
      <c r="U64" s="59">
        <f t="shared" si="5"/>
        <v>1503</v>
      </c>
      <c r="V64" s="33">
        <v>-23</v>
      </c>
      <c r="W64" s="33">
        <v>-23</v>
      </c>
      <c r="X64" s="33"/>
      <c r="Y64" s="33"/>
      <c r="Z64" s="42"/>
      <c r="AA64" s="60"/>
      <c r="AB64" s="105"/>
      <c r="AC64" s="93"/>
      <c r="AD64" s="33">
        <f t="shared" si="6"/>
        <v>0</v>
      </c>
      <c r="AE64" s="33">
        <f t="shared" si="7"/>
        <v>1494</v>
      </c>
      <c r="AF64" s="101">
        <f t="shared" si="8"/>
        <v>-32</v>
      </c>
    </row>
    <row r="65" spans="2:32" ht="13" outlineLevel="1" x14ac:dyDescent="0.3">
      <c r="B65" s="32" t="s">
        <v>100</v>
      </c>
      <c r="C65" s="34">
        <f t="shared" ref="C65:J65" si="22">SUBTOTAL(9,C60:C64)</f>
        <v>8952</v>
      </c>
      <c r="D65" s="34">
        <f t="shared" si="22"/>
        <v>9070</v>
      </c>
      <c r="E65" s="24">
        <f t="shared" si="22"/>
        <v>160</v>
      </c>
      <c r="F65" s="24">
        <f t="shared" si="22"/>
        <v>-236</v>
      </c>
      <c r="G65" s="24">
        <f t="shared" si="22"/>
        <v>-43</v>
      </c>
      <c r="H65" s="24">
        <f t="shared" si="22"/>
        <v>-58</v>
      </c>
      <c r="I65" s="24">
        <f t="shared" si="22"/>
        <v>3</v>
      </c>
      <c r="J65" s="24">
        <f t="shared" si="22"/>
        <v>128</v>
      </c>
      <c r="K65" s="24">
        <f>SUM(E65:J65)</f>
        <v>-46</v>
      </c>
      <c r="L65" s="34">
        <f t="shared" si="1"/>
        <v>-166</v>
      </c>
      <c r="M65" s="34">
        <f t="shared" si="2"/>
        <v>-48</v>
      </c>
      <c r="N65" s="34">
        <f>SUBTOTAL(9,N60:N64)</f>
        <v>8904</v>
      </c>
      <c r="O65" s="34">
        <f>SUBTOTAL(9,O60:O64)</f>
        <v>9390</v>
      </c>
      <c r="P65" s="34">
        <f>SUBTOTAL(9,P60:P64)</f>
        <v>-153</v>
      </c>
      <c r="Q65" s="34">
        <f>SUBTOTAL(9,Q60:Q64)</f>
        <v>9237</v>
      </c>
      <c r="R65" s="34">
        <f>SUBTOTAL(9,R60:R64)</f>
        <v>8904</v>
      </c>
      <c r="S65" s="34">
        <f>Q65-R65</f>
        <v>333</v>
      </c>
      <c r="T65" s="38">
        <f>IFERROR((Q65/N65)*100%,"∞")</f>
        <v>1.0373989218328841</v>
      </c>
      <c r="U65" s="59">
        <f>N65+V65</f>
        <v>9164</v>
      </c>
      <c r="V65" s="34">
        <f>SUBTOTAL(9,V60:V64)</f>
        <v>260</v>
      </c>
      <c r="W65" s="34">
        <f>SUBTOTAL(9,W60:W64)</f>
        <v>260</v>
      </c>
      <c r="X65" s="34"/>
      <c r="Y65" s="34"/>
      <c r="Z65" s="41"/>
      <c r="AA65" s="60"/>
      <c r="AB65" s="102">
        <f>SUBTOTAL(9,AB1:AB64)</f>
        <v>0</v>
      </c>
      <c r="AC65" s="34">
        <f>SUBTOTAL(9,AC1:AC64)</f>
        <v>0</v>
      </c>
      <c r="AD65" s="34"/>
      <c r="AE65" s="34"/>
      <c r="AF65" s="103"/>
    </row>
    <row r="66" spans="2:32" ht="13" outlineLevel="2" x14ac:dyDescent="0.3">
      <c r="B66" s="31" t="s">
        <v>101</v>
      </c>
      <c r="C66" s="33">
        <v>1124</v>
      </c>
      <c r="D66" s="33">
        <v>1108</v>
      </c>
      <c r="E66" s="23">
        <v>0</v>
      </c>
      <c r="F66" s="23">
        <v>0</v>
      </c>
      <c r="G66" s="23">
        <v>-21</v>
      </c>
      <c r="H66" s="23">
        <v>0</v>
      </c>
      <c r="I66" s="23">
        <v>5</v>
      </c>
      <c r="J66" s="23">
        <v>0</v>
      </c>
      <c r="K66" s="23">
        <f t="shared" si="0"/>
        <v>-16</v>
      </c>
      <c r="L66" s="33">
        <f t="shared" si="1"/>
        <v>0</v>
      </c>
      <c r="M66" s="33">
        <f t="shared" si="2"/>
        <v>-16</v>
      </c>
      <c r="N66" s="33">
        <v>1108</v>
      </c>
      <c r="O66" s="33">
        <v>1298</v>
      </c>
      <c r="P66" s="33">
        <v>-228</v>
      </c>
      <c r="Q66" s="33">
        <v>1070</v>
      </c>
      <c r="R66" s="33">
        <v>1108</v>
      </c>
      <c r="S66" s="33">
        <f t="shared" si="3"/>
        <v>-38</v>
      </c>
      <c r="T66" s="38">
        <f t="shared" si="4"/>
        <v>0.96570397111913353</v>
      </c>
      <c r="U66" s="59">
        <f t="shared" si="5"/>
        <v>1108</v>
      </c>
      <c r="V66" s="33">
        <v>0</v>
      </c>
      <c r="W66" s="33">
        <v>0</v>
      </c>
      <c r="X66" s="33"/>
      <c r="Y66" s="33"/>
      <c r="Z66" s="42"/>
      <c r="AA66" s="60"/>
      <c r="AB66" s="105"/>
      <c r="AC66" s="93"/>
      <c r="AD66" s="33">
        <f t="shared" si="6"/>
        <v>0</v>
      </c>
      <c r="AE66" s="33">
        <f t="shared" si="7"/>
        <v>1070</v>
      </c>
      <c r="AF66" s="101">
        <f t="shared" si="8"/>
        <v>-38</v>
      </c>
    </row>
    <row r="67" spans="2:32" ht="13" outlineLevel="2" x14ac:dyDescent="0.3">
      <c r="B67" s="31" t="s">
        <v>102</v>
      </c>
      <c r="C67" s="33">
        <v>230</v>
      </c>
      <c r="D67" s="33">
        <v>230</v>
      </c>
      <c r="E67" s="23">
        <v>0</v>
      </c>
      <c r="F67" s="23">
        <v>0</v>
      </c>
      <c r="G67" s="23">
        <v>0</v>
      </c>
      <c r="H67" s="23">
        <v>0</v>
      </c>
      <c r="I67" s="23">
        <v>0</v>
      </c>
      <c r="J67" s="23">
        <v>0</v>
      </c>
      <c r="K67" s="23">
        <f t="shared" si="0"/>
        <v>0</v>
      </c>
      <c r="L67" s="33">
        <f t="shared" si="1"/>
        <v>0</v>
      </c>
      <c r="M67" s="33">
        <f t="shared" si="2"/>
        <v>0</v>
      </c>
      <c r="N67" s="33">
        <v>230</v>
      </c>
      <c r="O67" s="33">
        <v>384</v>
      </c>
      <c r="P67" s="33">
        <v>-45</v>
      </c>
      <c r="Q67" s="33">
        <v>339</v>
      </c>
      <c r="R67" s="33">
        <v>230</v>
      </c>
      <c r="S67" s="33">
        <f t="shared" si="3"/>
        <v>109</v>
      </c>
      <c r="T67" s="38">
        <f t="shared" si="4"/>
        <v>1.4739130434782608</v>
      </c>
      <c r="U67" s="59">
        <f t="shared" si="5"/>
        <v>310</v>
      </c>
      <c r="V67" s="33">
        <v>80</v>
      </c>
      <c r="W67" s="33">
        <v>80</v>
      </c>
      <c r="X67" s="33"/>
      <c r="Y67" s="33"/>
      <c r="Z67" s="42"/>
      <c r="AA67" s="60"/>
      <c r="AB67" s="105"/>
      <c r="AC67" s="93"/>
      <c r="AD67" s="33">
        <f t="shared" si="6"/>
        <v>0</v>
      </c>
      <c r="AE67" s="33">
        <f t="shared" si="7"/>
        <v>339</v>
      </c>
      <c r="AF67" s="101">
        <f t="shared" si="8"/>
        <v>109</v>
      </c>
    </row>
    <row r="68" spans="2:32" ht="13" outlineLevel="2" x14ac:dyDescent="0.3">
      <c r="B68" s="31" t="s">
        <v>103</v>
      </c>
      <c r="C68" s="33">
        <v>145</v>
      </c>
      <c r="D68" s="33">
        <v>142</v>
      </c>
      <c r="E68" s="23">
        <v>0</v>
      </c>
      <c r="F68" s="23">
        <v>0</v>
      </c>
      <c r="G68" s="23">
        <v>-11</v>
      </c>
      <c r="H68" s="23">
        <v>0</v>
      </c>
      <c r="I68" s="23">
        <v>8</v>
      </c>
      <c r="J68" s="23">
        <v>-8</v>
      </c>
      <c r="K68" s="23">
        <f t="shared" si="0"/>
        <v>-11</v>
      </c>
      <c r="L68" s="33">
        <f t="shared" si="1"/>
        <v>-8</v>
      </c>
      <c r="M68" s="33">
        <f t="shared" si="2"/>
        <v>-11</v>
      </c>
      <c r="N68" s="33">
        <v>134</v>
      </c>
      <c r="O68" s="33">
        <v>439</v>
      </c>
      <c r="P68" s="33">
        <v>-212</v>
      </c>
      <c r="Q68" s="33">
        <v>226</v>
      </c>
      <c r="R68" s="33">
        <v>134</v>
      </c>
      <c r="S68" s="33">
        <f t="shared" si="3"/>
        <v>92</v>
      </c>
      <c r="T68" s="38">
        <f t="shared" si="4"/>
        <v>1.6865671641791045</v>
      </c>
      <c r="U68" s="59">
        <f t="shared" si="5"/>
        <v>262</v>
      </c>
      <c r="V68" s="33">
        <v>128</v>
      </c>
      <c r="W68" s="33">
        <v>128</v>
      </c>
      <c r="X68" s="33"/>
      <c r="Y68" s="33"/>
      <c r="Z68" s="42"/>
      <c r="AA68" s="60"/>
      <c r="AB68" s="105"/>
      <c r="AC68" s="93"/>
      <c r="AD68" s="33">
        <f t="shared" si="6"/>
        <v>0</v>
      </c>
      <c r="AE68" s="33">
        <f t="shared" si="7"/>
        <v>226</v>
      </c>
      <c r="AF68" s="101">
        <f t="shared" si="8"/>
        <v>92</v>
      </c>
    </row>
    <row r="69" spans="2:32" ht="13" outlineLevel="2" x14ac:dyDescent="0.3">
      <c r="B69" s="31" t="s">
        <v>104</v>
      </c>
      <c r="C69" s="33">
        <v>503</v>
      </c>
      <c r="D69" s="33">
        <v>495</v>
      </c>
      <c r="E69" s="23">
        <v>0</v>
      </c>
      <c r="F69" s="23">
        <v>0</v>
      </c>
      <c r="G69" s="23">
        <v>-11</v>
      </c>
      <c r="H69" s="23">
        <v>0</v>
      </c>
      <c r="I69" s="23">
        <v>3</v>
      </c>
      <c r="J69" s="23">
        <v>-15</v>
      </c>
      <c r="K69" s="23">
        <f t="shared" ref="K69:K77" si="23">SUM(E69:J69)</f>
        <v>-23</v>
      </c>
      <c r="L69" s="33">
        <f t="shared" ref="L69:L79" si="24">N69-D69</f>
        <v>-15</v>
      </c>
      <c r="M69" s="33">
        <f t="shared" ref="M69:M79" si="25">N69-C69</f>
        <v>-23</v>
      </c>
      <c r="N69" s="33">
        <v>480</v>
      </c>
      <c r="O69" s="33">
        <v>553</v>
      </c>
      <c r="P69" s="33">
        <v>3</v>
      </c>
      <c r="Q69" s="33">
        <v>555</v>
      </c>
      <c r="R69" s="33">
        <v>480</v>
      </c>
      <c r="S69" s="33">
        <f t="shared" ref="S69:S77" si="26">Q69-R69</f>
        <v>75</v>
      </c>
      <c r="T69" s="38">
        <f t="shared" ref="T69:T77" si="27">IFERROR((Q69/N69)*100%,"∞")</f>
        <v>1.15625</v>
      </c>
      <c r="U69" s="59">
        <f t="shared" ref="U69:U77" si="28">N69+V69</f>
        <v>534</v>
      </c>
      <c r="V69" s="33">
        <v>54</v>
      </c>
      <c r="W69" s="33">
        <v>54</v>
      </c>
      <c r="X69" s="33"/>
      <c r="Y69" s="33"/>
      <c r="Z69" s="42"/>
      <c r="AA69" s="60"/>
      <c r="AB69" s="105"/>
      <c r="AC69" s="93"/>
      <c r="AD69" s="33">
        <f t="shared" ref="AD69:AD77" si="29">SUM(AB69:AC69)</f>
        <v>0</v>
      </c>
      <c r="AE69" s="33">
        <f t="shared" ref="AE69:AE77" si="30">Q69+AD69</f>
        <v>555</v>
      </c>
      <c r="AF69" s="101">
        <f t="shared" ref="AF69:AF77" si="31">AE69-N69</f>
        <v>75</v>
      </c>
    </row>
    <row r="70" spans="2:32" ht="13" outlineLevel="2" x14ac:dyDescent="0.3">
      <c r="B70" s="31" t="s">
        <v>105</v>
      </c>
      <c r="C70" s="33">
        <v>901</v>
      </c>
      <c r="D70" s="33">
        <v>874</v>
      </c>
      <c r="E70" s="23">
        <v>0</v>
      </c>
      <c r="F70" s="23">
        <v>-104</v>
      </c>
      <c r="G70" s="23">
        <v>-34</v>
      </c>
      <c r="H70" s="23">
        <v>0</v>
      </c>
      <c r="I70" s="23">
        <v>7</v>
      </c>
      <c r="J70" s="23">
        <v>-15</v>
      </c>
      <c r="K70" s="23">
        <f t="shared" si="23"/>
        <v>-146</v>
      </c>
      <c r="L70" s="33">
        <f t="shared" si="24"/>
        <v>-119</v>
      </c>
      <c r="M70" s="33">
        <f t="shared" si="25"/>
        <v>-146</v>
      </c>
      <c r="N70" s="33">
        <v>755</v>
      </c>
      <c r="O70" s="33">
        <v>5314</v>
      </c>
      <c r="P70" s="33">
        <v>-4121</v>
      </c>
      <c r="Q70" s="33">
        <v>1193</v>
      </c>
      <c r="R70" s="33">
        <v>755</v>
      </c>
      <c r="S70" s="33">
        <f t="shared" si="26"/>
        <v>438</v>
      </c>
      <c r="T70" s="38">
        <f t="shared" si="27"/>
        <v>1.5801324503311258</v>
      </c>
      <c r="U70" s="59">
        <f t="shared" si="28"/>
        <v>815</v>
      </c>
      <c r="V70" s="33">
        <v>60</v>
      </c>
      <c r="W70" s="33">
        <v>60</v>
      </c>
      <c r="X70" s="33"/>
      <c r="Y70" s="33"/>
      <c r="Z70" s="42"/>
      <c r="AA70" s="60"/>
      <c r="AB70" s="105"/>
      <c r="AC70" s="93"/>
      <c r="AD70" s="33">
        <f t="shared" si="29"/>
        <v>0</v>
      </c>
      <c r="AE70" s="33">
        <f t="shared" si="30"/>
        <v>1193</v>
      </c>
      <c r="AF70" s="101">
        <f t="shared" si="31"/>
        <v>438</v>
      </c>
    </row>
    <row r="71" spans="2:32" ht="13" outlineLevel="2" x14ac:dyDescent="0.3">
      <c r="B71" s="31" t="s">
        <v>106</v>
      </c>
      <c r="C71" s="33">
        <v>117</v>
      </c>
      <c r="D71" s="33">
        <v>114</v>
      </c>
      <c r="E71" s="23">
        <v>0</v>
      </c>
      <c r="F71" s="23">
        <v>0</v>
      </c>
      <c r="G71" s="23">
        <v>-3</v>
      </c>
      <c r="H71" s="23">
        <v>0</v>
      </c>
      <c r="I71" s="23">
        <v>0</v>
      </c>
      <c r="J71" s="23">
        <v>0</v>
      </c>
      <c r="K71" s="23">
        <f t="shared" si="23"/>
        <v>-3</v>
      </c>
      <c r="L71" s="33">
        <f t="shared" si="24"/>
        <v>0</v>
      </c>
      <c r="M71" s="33">
        <f t="shared" si="25"/>
        <v>-3</v>
      </c>
      <c r="N71" s="33">
        <v>114</v>
      </c>
      <c r="O71" s="33">
        <v>180</v>
      </c>
      <c r="P71" s="33">
        <v>0</v>
      </c>
      <c r="Q71" s="33">
        <v>180</v>
      </c>
      <c r="R71" s="33">
        <v>114</v>
      </c>
      <c r="S71" s="33">
        <f t="shared" si="26"/>
        <v>66</v>
      </c>
      <c r="T71" s="38">
        <f t="shared" si="27"/>
        <v>1.5789473684210527</v>
      </c>
      <c r="U71" s="59">
        <f t="shared" si="28"/>
        <v>114</v>
      </c>
      <c r="V71" s="33">
        <v>0</v>
      </c>
      <c r="W71" s="33">
        <v>0</v>
      </c>
      <c r="X71" s="33"/>
      <c r="Y71" s="33"/>
      <c r="Z71" s="42"/>
      <c r="AA71" s="60"/>
      <c r="AB71" s="105"/>
      <c r="AC71" s="93"/>
      <c r="AD71" s="33">
        <f t="shared" si="29"/>
        <v>0</v>
      </c>
      <c r="AE71" s="33">
        <f t="shared" si="30"/>
        <v>180</v>
      </c>
      <c r="AF71" s="101">
        <f t="shared" si="31"/>
        <v>66</v>
      </c>
    </row>
    <row r="72" spans="2:32" ht="13" outlineLevel="1" x14ac:dyDescent="0.3">
      <c r="B72" s="32" t="s">
        <v>107</v>
      </c>
      <c r="C72" s="34">
        <f t="shared" ref="C72:J72" si="32">SUBTOTAL(9,C66:C71)</f>
        <v>3020</v>
      </c>
      <c r="D72" s="34">
        <f t="shared" si="32"/>
        <v>2963</v>
      </c>
      <c r="E72" s="24">
        <f t="shared" si="32"/>
        <v>0</v>
      </c>
      <c r="F72" s="24">
        <f t="shared" si="32"/>
        <v>-104</v>
      </c>
      <c r="G72" s="24">
        <f t="shared" si="32"/>
        <v>-80</v>
      </c>
      <c r="H72" s="24">
        <f t="shared" si="32"/>
        <v>0</v>
      </c>
      <c r="I72" s="24">
        <f t="shared" si="32"/>
        <v>23</v>
      </c>
      <c r="J72" s="24">
        <f t="shared" si="32"/>
        <v>-38</v>
      </c>
      <c r="K72" s="24">
        <f>SUM(E72:J72)</f>
        <v>-199</v>
      </c>
      <c r="L72" s="34">
        <f t="shared" si="24"/>
        <v>-142</v>
      </c>
      <c r="M72" s="34">
        <f t="shared" si="25"/>
        <v>-199</v>
      </c>
      <c r="N72" s="34">
        <f>SUBTOTAL(9,N66:N71)</f>
        <v>2821</v>
      </c>
      <c r="O72" s="34">
        <f>SUBTOTAL(9,O66:O71)</f>
        <v>8168</v>
      </c>
      <c r="P72" s="34">
        <f>SUBTOTAL(9,P66:P71)</f>
        <v>-4603</v>
      </c>
      <c r="Q72" s="34">
        <f>SUBTOTAL(9,Q66:Q71)</f>
        <v>3563</v>
      </c>
      <c r="R72" s="34">
        <f>SUBTOTAL(9,R66:R71)</f>
        <v>2821</v>
      </c>
      <c r="S72" s="34">
        <f>Q72-R72</f>
        <v>742</v>
      </c>
      <c r="T72" s="38">
        <f>IFERROR((Q72/N72)*100%,"∞")</f>
        <v>1.2630272952853598</v>
      </c>
      <c r="U72" s="59">
        <f>N72+V72</f>
        <v>3143</v>
      </c>
      <c r="V72" s="34">
        <f>SUBTOTAL(9,V66:V71)</f>
        <v>322</v>
      </c>
      <c r="W72" s="34">
        <f>SUBTOTAL(9,W66:W71)</f>
        <v>322</v>
      </c>
      <c r="X72" s="34"/>
      <c r="Y72" s="34"/>
      <c r="Z72" s="41"/>
      <c r="AA72" s="60"/>
      <c r="AB72" s="102">
        <f>SUBTOTAL(9,AB1:AB71)</f>
        <v>0</v>
      </c>
      <c r="AC72" s="34">
        <f>SUBTOTAL(9,AC1:AC71)</f>
        <v>0</v>
      </c>
      <c r="AD72" s="34"/>
      <c r="AE72" s="34"/>
      <c r="AF72" s="103"/>
    </row>
    <row r="73" spans="2:32" ht="13" outlineLevel="2" x14ac:dyDescent="0.3">
      <c r="B73" s="31" t="s">
        <v>111</v>
      </c>
      <c r="C73" s="33">
        <v>672</v>
      </c>
      <c r="D73" s="33">
        <v>666</v>
      </c>
      <c r="E73" s="23">
        <v>0</v>
      </c>
      <c r="F73" s="23">
        <v>0</v>
      </c>
      <c r="G73" s="23">
        <v>-6</v>
      </c>
      <c r="H73" s="23">
        <v>0</v>
      </c>
      <c r="I73" s="23">
        <v>0</v>
      </c>
      <c r="J73" s="23">
        <v>0</v>
      </c>
      <c r="K73" s="23">
        <f t="shared" si="23"/>
        <v>-6</v>
      </c>
      <c r="L73" s="33">
        <f t="shared" si="24"/>
        <v>0</v>
      </c>
      <c r="M73" s="33">
        <f t="shared" si="25"/>
        <v>-6</v>
      </c>
      <c r="N73" s="33">
        <v>666</v>
      </c>
      <c r="O73" s="33">
        <v>707</v>
      </c>
      <c r="P73" s="33">
        <v>-15</v>
      </c>
      <c r="Q73" s="33">
        <v>692</v>
      </c>
      <c r="R73" s="33">
        <v>666</v>
      </c>
      <c r="S73" s="33">
        <f t="shared" si="26"/>
        <v>26</v>
      </c>
      <c r="T73" s="38">
        <f t="shared" si="27"/>
        <v>1.0390390390390389</v>
      </c>
      <c r="U73" s="59">
        <f t="shared" si="28"/>
        <v>716</v>
      </c>
      <c r="V73" s="33">
        <v>50</v>
      </c>
      <c r="W73" s="33">
        <v>50</v>
      </c>
      <c r="X73" s="33"/>
      <c r="Y73" s="33"/>
      <c r="Z73" s="42"/>
      <c r="AA73" s="60"/>
      <c r="AB73" s="105"/>
      <c r="AC73" s="93"/>
      <c r="AD73" s="33">
        <f t="shared" si="29"/>
        <v>0</v>
      </c>
      <c r="AE73" s="33">
        <f t="shared" si="30"/>
        <v>692</v>
      </c>
      <c r="AF73" s="101">
        <f t="shared" si="31"/>
        <v>26</v>
      </c>
    </row>
    <row r="74" spans="2:32" ht="13" outlineLevel="2" x14ac:dyDescent="0.3">
      <c r="B74" s="31" t="s">
        <v>112</v>
      </c>
      <c r="C74" s="33">
        <v>399</v>
      </c>
      <c r="D74" s="33">
        <v>394</v>
      </c>
      <c r="E74" s="23">
        <v>0</v>
      </c>
      <c r="F74" s="23">
        <v>-27</v>
      </c>
      <c r="G74" s="23">
        <v>-5</v>
      </c>
      <c r="H74" s="23">
        <v>0</v>
      </c>
      <c r="I74" s="23">
        <v>0</v>
      </c>
      <c r="J74" s="23">
        <v>0</v>
      </c>
      <c r="K74" s="23">
        <f t="shared" si="23"/>
        <v>-32</v>
      </c>
      <c r="L74" s="33">
        <f t="shared" si="24"/>
        <v>-28</v>
      </c>
      <c r="M74" s="33">
        <f t="shared" si="25"/>
        <v>-33</v>
      </c>
      <c r="N74" s="33">
        <v>366</v>
      </c>
      <c r="O74" s="33">
        <v>507</v>
      </c>
      <c r="P74" s="33">
        <v>-173</v>
      </c>
      <c r="Q74" s="33">
        <v>334</v>
      </c>
      <c r="R74" s="33">
        <v>366</v>
      </c>
      <c r="S74" s="33">
        <f t="shared" si="26"/>
        <v>-32</v>
      </c>
      <c r="T74" s="38">
        <f t="shared" si="27"/>
        <v>0.91256830601092898</v>
      </c>
      <c r="U74" s="59">
        <f t="shared" si="28"/>
        <v>366</v>
      </c>
      <c r="V74" s="33">
        <v>0</v>
      </c>
      <c r="W74" s="33">
        <v>0</v>
      </c>
      <c r="X74" s="33"/>
      <c r="Y74" s="33"/>
      <c r="Z74" s="42"/>
      <c r="AA74" s="60"/>
      <c r="AB74" s="105"/>
      <c r="AC74" s="93"/>
      <c r="AD74" s="33">
        <f t="shared" si="29"/>
        <v>0</v>
      </c>
      <c r="AE74" s="33">
        <f t="shared" si="30"/>
        <v>334</v>
      </c>
      <c r="AF74" s="101">
        <f t="shared" si="31"/>
        <v>-32</v>
      </c>
    </row>
    <row r="75" spans="2:32" ht="13" outlineLevel="2" x14ac:dyDescent="0.3">
      <c r="B75" s="31" t="s">
        <v>113</v>
      </c>
      <c r="C75" s="33">
        <v>1046</v>
      </c>
      <c r="D75" s="33">
        <v>1038</v>
      </c>
      <c r="E75" s="23">
        <v>0</v>
      </c>
      <c r="F75" s="23">
        <v>0</v>
      </c>
      <c r="G75" s="23">
        <v>-20</v>
      </c>
      <c r="H75" s="23">
        <v>0</v>
      </c>
      <c r="I75" s="23">
        <v>12</v>
      </c>
      <c r="J75" s="23">
        <v>0</v>
      </c>
      <c r="K75" s="23">
        <f t="shared" si="23"/>
        <v>-8</v>
      </c>
      <c r="L75" s="33">
        <f t="shared" si="24"/>
        <v>0</v>
      </c>
      <c r="M75" s="33">
        <f t="shared" si="25"/>
        <v>-8</v>
      </c>
      <c r="N75" s="33">
        <v>1038</v>
      </c>
      <c r="O75" s="33">
        <v>1473</v>
      </c>
      <c r="P75" s="33">
        <v>-238</v>
      </c>
      <c r="Q75" s="33">
        <v>1235</v>
      </c>
      <c r="R75" s="33">
        <v>1038</v>
      </c>
      <c r="S75" s="33">
        <f t="shared" si="26"/>
        <v>197</v>
      </c>
      <c r="T75" s="38">
        <f t="shared" si="27"/>
        <v>1.1897880539499037</v>
      </c>
      <c r="U75" s="59">
        <f t="shared" si="28"/>
        <v>1238</v>
      </c>
      <c r="V75" s="33">
        <v>200</v>
      </c>
      <c r="W75" s="33">
        <v>200</v>
      </c>
      <c r="X75" s="33"/>
      <c r="Y75" s="33"/>
      <c r="Z75" s="42"/>
      <c r="AA75" s="60"/>
      <c r="AB75" s="105"/>
      <c r="AC75" s="93"/>
      <c r="AD75" s="33">
        <f t="shared" si="29"/>
        <v>0</v>
      </c>
      <c r="AE75" s="33">
        <f t="shared" si="30"/>
        <v>1235</v>
      </c>
      <c r="AF75" s="101">
        <f t="shared" si="31"/>
        <v>197</v>
      </c>
    </row>
    <row r="76" spans="2:32" ht="13" outlineLevel="2" x14ac:dyDescent="0.3">
      <c r="B76" s="31" t="s">
        <v>177</v>
      </c>
      <c r="C76" s="33">
        <v>754</v>
      </c>
      <c r="D76" s="33">
        <v>733</v>
      </c>
      <c r="E76" s="23">
        <v>0</v>
      </c>
      <c r="F76" s="23">
        <v>45</v>
      </c>
      <c r="G76" s="23">
        <v>-21</v>
      </c>
      <c r="H76" s="23">
        <v>0</v>
      </c>
      <c r="I76" s="23">
        <v>0</v>
      </c>
      <c r="J76" s="23">
        <v>0</v>
      </c>
      <c r="K76" s="23">
        <f t="shared" si="23"/>
        <v>24</v>
      </c>
      <c r="L76" s="33">
        <f t="shared" si="24"/>
        <v>45</v>
      </c>
      <c r="M76" s="33">
        <f t="shared" si="25"/>
        <v>24</v>
      </c>
      <c r="N76" s="33">
        <v>778</v>
      </c>
      <c r="O76" s="33">
        <v>866</v>
      </c>
      <c r="P76" s="33">
        <v>0</v>
      </c>
      <c r="Q76" s="33">
        <v>866</v>
      </c>
      <c r="R76" s="33">
        <v>778</v>
      </c>
      <c r="S76" s="33">
        <f t="shared" si="26"/>
        <v>88</v>
      </c>
      <c r="T76" s="38">
        <f t="shared" si="27"/>
        <v>1.1131105398457584</v>
      </c>
      <c r="U76" s="59">
        <f t="shared" si="28"/>
        <v>897</v>
      </c>
      <c r="V76" s="33">
        <v>119</v>
      </c>
      <c r="W76" s="33">
        <v>119</v>
      </c>
      <c r="X76" s="33"/>
      <c r="Y76" s="33"/>
      <c r="Z76" s="42"/>
      <c r="AA76" s="60"/>
      <c r="AB76" s="105"/>
      <c r="AC76" s="93"/>
      <c r="AD76" s="33">
        <f t="shared" si="29"/>
        <v>0</v>
      </c>
      <c r="AE76" s="33">
        <f t="shared" si="30"/>
        <v>866</v>
      </c>
      <c r="AF76" s="101">
        <f t="shared" si="31"/>
        <v>88</v>
      </c>
    </row>
    <row r="77" spans="2:32" ht="13" outlineLevel="2" x14ac:dyDescent="0.3">
      <c r="B77" s="31" t="s">
        <v>178</v>
      </c>
      <c r="C77" s="33">
        <v>516</v>
      </c>
      <c r="D77" s="33">
        <v>497</v>
      </c>
      <c r="E77" s="23">
        <v>0</v>
      </c>
      <c r="F77" s="23">
        <v>2</v>
      </c>
      <c r="G77" s="23">
        <v>-8</v>
      </c>
      <c r="H77" s="23">
        <v>0</v>
      </c>
      <c r="I77" s="23">
        <v>-12</v>
      </c>
      <c r="J77" s="23">
        <v>0</v>
      </c>
      <c r="K77" s="23">
        <f t="shared" si="23"/>
        <v>-18</v>
      </c>
      <c r="L77" s="33">
        <f t="shared" si="24"/>
        <v>2</v>
      </c>
      <c r="M77" s="33">
        <f t="shared" si="25"/>
        <v>-17</v>
      </c>
      <c r="N77" s="33">
        <v>499</v>
      </c>
      <c r="O77" s="33">
        <v>541</v>
      </c>
      <c r="P77" s="33">
        <v>-15</v>
      </c>
      <c r="Q77" s="33">
        <v>526</v>
      </c>
      <c r="R77" s="33">
        <v>499</v>
      </c>
      <c r="S77" s="33">
        <f t="shared" si="26"/>
        <v>27</v>
      </c>
      <c r="T77" s="38">
        <f t="shared" si="27"/>
        <v>1.0541082164328657</v>
      </c>
      <c r="U77" s="59">
        <f t="shared" si="28"/>
        <v>521</v>
      </c>
      <c r="V77" s="33">
        <v>22</v>
      </c>
      <c r="W77" s="33">
        <v>22</v>
      </c>
      <c r="X77" s="33"/>
      <c r="Y77" s="33"/>
      <c r="Z77" s="42"/>
      <c r="AA77" s="60"/>
      <c r="AB77" s="105"/>
      <c r="AC77" s="93"/>
      <c r="AD77" s="33">
        <f t="shared" si="29"/>
        <v>0</v>
      </c>
      <c r="AE77" s="33">
        <f t="shared" si="30"/>
        <v>526</v>
      </c>
      <c r="AF77" s="101">
        <f t="shared" si="31"/>
        <v>27</v>
      </c>
    </row>
    <row r="78" spans="2:32" ht="13" outlineLevel="1" x14ac:dyDescent="0.3">
      <c r="B78" s="32" t="s">
        <v>114</v>
      </c>
      <c r="C78" s="34">
        <f t="shared" ref="C78:J78" si="33">SUBTOTAL(9,C73:C77)</f>
        <v>3387</v>
      </c>
      <c r="D78" s="34">
        <f t="shared" si="33"/>
        <v>3328</v>
      </c>
      <c r="E78" s="24">
        <f t="shared" si="33"/>
        <v>0</v>
      </c>
      <c r="F78" s="24">
        <f t="shared" si="33"/>
        <v>20</v>
      </c>
      <c r="G78" s="24">
        <f t="shared" si="33"/>
        <v>-60</v>
      </c>
      <c r="H78" s="24">
        <f t="shared" si="33"/>
        <v>0</v>
      </c>
      <c r="I78" s="24">
        <f t="shared" si="33"/>
        <v>0</v>
      </c>
      <c r="J78" s="24">
        <f t="shared" si="33"/>
        <v>0</v>
      </c>
      <c r="K78" s="24">
        <f>SUM(E78:J78)</f>
        <v>-40</v>
      </c>
      <c r="L78" s="34">
        <f t="shared" si="24"/>
        <v>19</v>
      </c>
      <c r="M78" s="34">
        <f t="shared" si="25"/>
        <v>-40</v>
      </c>
      <c r="N78" s="34">
        <f>SUBTOTAL(9,N73:N77)</f>
        <v>3347</v>
      </c>
      <c r="O78" s="34">
        <f>SUBTOTAL(9,O73:O77)</f>
        <v>4094</v>
      </c>
      <c r="P78" s="34">
        <f>SUBTOTAL(9,P73:P77)</f>
        <v>-441</v>
      </c>
      <c r="Q78" s="34">
        <f>SUBTOTAL(9,Q73:Q77)</f>
        <v>3653</v>
      </c>
      <c r="R78" s="34">
        <f>SUBTOTAL(9,R73:R77)</f>
        <v>3347</v>
      </c>
      <c r="S78" s="34">
        <f>Q78-R78</f>
        <v>306</v>
      </c>
      <c r="T78" s="38">
        <f>IFERROR((Q78/N78)*100%,"∞")</f>
        <v>1.0914251568568867</v>
      </c>
      <c r="U78" s="59">
        <f>N78+V78</f>
        <v>3738</v>
      </c>
      <c r="V78" s="34">
        <f>SUBTOTAL(9,V73:V77)</f>
        <v>391</v>
      </c>
      <c r="W78" s="34">
        <f>SUBTOTAL(9,W73:W77)</f>
        <v>391</v>
      </c>
      <c r="X78" s="34"/>
      <c r="Y78" s="34"/>
      <c r="Z78" s="41"/>
      <c r="AA78" s="60"/>
      <c r="AB78" s="102">
        <f>SUBTOTAL(9,AB5:AB77)</f>
        <v>0</v>
      </c>
      <c r="AC78" s="34">
        <f>SUBTOTAL(9,AC5:AC77)</f>
        <v>0</v>
      </c>
      <c r="AD78" s="34"/>
      <c r="AE78" s="34"/>
      <c r="AF78" s="103"/>
    </row>
    <row r="79" spans="2:32" ht="13.5" customHeight="1" thickBot="1" x14ac:dyDescent="0.35">
      <c r="B79" s="53" t="s">
        <v>115</v>
      </c>
      <c r="C79" s="35">
        <f t="shared" ref="C79:J79" si="34">SUBTOTAL(9,C60:C78)</f>
        <v>15359</v>
      </c>
      <c r="D79" s="35">
        <f t="shared" si="34"/>
        <v>15361</v>
      </c>
      <c r="E79" s="25">
        <f t="shared" si="34"/>
        <v>160</v>
      </c>
      <c r="F79" s="25">
        <f t="shared" si="34"/>
        <v>-320</v>
      </c>
      <c r="G79" s="25">
        <f t="shared" si="34"/>
        <v>-183</v>
      </c>
      <c r="H79" s="25">
        <f t="shared" si="34"/>
        <v>-58</v>
      </c>
      <c r="I79" s="25">
        <f t="shared" si="34"/>
        <v>26</v>
      </c>
      <c r="J79" s="25">
        <f t="shared" si="34"/>
        <v>90</v>
      </c>
      <c r="K79" s="25">
        <f>SUM(E79:J79)</f>
        <v>-285</v>
      </c>
      <c r="L79" s="35">
        <f t="shared" si="24"/>
        <v>-289</v>
      </c>
      <c r="M79" s="35">
        <f t="shared" si="25"/>
        <v>-287</v>
      </c>
      <c r="N79" s="35">
        <f>SUBTOTAL(9,N60:N78)</f>
        <v>15072</v>
      </c>
      <c r="O79" s="35">
        <f>SUBTOTAL(9,O60:O78)</f>
        <v>21652</v>
      </c>
      <c r="P79" s="35">
        <f>SUBTOTAL(9,P60:P78)</f>
        <v>-5197</v>
      </c>
      <c r="Q79" s="35">
        <f>SUBTOTAL(9,Q60:Q78)</f>
        <v>16453</v>
      </c>
      <c r="R79" s="35">
        <f>SUBTOTAL(9,R60:R78)</f>
        <v>15072</v>
      </c>
      <c r="S79" s="35">
        <f>Q79-R79</f>
        <v>1381</v>
      </c>
      <c r="T79" s="39">
        <f>IFERROR((Q79/N79)*100%,"∞")</f>
        <v>1.0916268577494692</v>
      </c>
      <c r="U79" s="54">
        <f>N79+V79</f>
        <v>16045</v>
      </c>
      <c r="V79" s="35">
        <f>SUBTOTAL(9,V60:V78)</f>
        <v>973</v>
      </c>
      <c r="W79" s="35">
        <f>SUBTOTAL(9,W60:W78)</f>
        <v>973</v>
      </c>
      <c r="X79" s="35"/>
      <c r="Y79" s="35"/>
      <c r="Z79" s="43"/>
      <c r="AA79" s="60"/>
      <c r="AB79" s="104">
        <f>SUBTOTAL(9,AB5:AB78)</f>
        <v>0</v>
      </c>
      <c r="AC79" s="104">
        <f>SUBTOTAL(9,AC5:AC78)</f>
        <v>0</v>
      </c>
      <c r="AD79" s="35">
        <f>SUM(AB79:AC79)</f>
        <v>0</v>
      </c>
      <c r="AE79" s="35">
        <f>Q79+AD79</f>
        <v>16453</v>
      </c>
      <c r="AF79" s="43">
        <f>AE79-N79</f>
        <v>1381</v>
      </c>
    </row>
    <row r="80" spans="2:32" ht="14" thickTop="1" thickBot="1" x14ac:dyDescent="0.35">
      <c r="B80" s="61"/>
      <c r="C80" s="62"/>
      <c r="D80" s="62"/>
      <c r="E80" s="65"/>
      <c r="F80" s="65"/>
      <c r="G80" s="65"/>
      <c r="H80" s="65"/>
      <c r="I80" s="65"/>
      <c r="J80" s="65"/>
      <c r="K80" s="65"/>
      <c r="L80" s="62"/>
      <c r="M80" s="62"/>
      <c r="N80" s="62"/>
      <c r="O80" s="62"/>
      <c r="P80" s="62"/>
      <c r="Q80" s="62"/>
      <c r="R80" s="62"/>
      <c r="S80" s="62"/>
      <c r="T80" s="62"/>
      <c r="U80" s="64"/>
      <c r="V80" s="62"/>
      <c r="W80" s="62"/>
      <c r="X80" s="62"/>
      <c r="Y80" s="62"/>
      <c r="Z80" s="63"/>
      <c r="AA80" s="60"/>
      <c r="AB80" s="61"/>
      <c r="AC80" s="62"/>
      <c r="AD80" s="62"/>
      <c r="AE80" s="62"/>
      <c r="AF80" s="63"/>
    </row>
    <row r="81" spans="2:32" ht="13.5" thickBot="1" x14ac:dyDescent="0.35">
      <c r="B81" s="50" t="s">
        <v>116</v>
      </c>
      <c r="C81" s="51">
        <f t="shared" ref="C81:J81" si="35">SUBTOTAL(9,C5:C80)</f>
        <v>35794</v>
      </c>
      <c r="D81" s="51">
        <f t="shared" si="35"/>
        <v>33148</v>
      </c>
      <c r="E81" s="51">
        <f t="shared" si="35"/>
        <v>-2439</v>
      </c>
      <c r="F81" s="51">
        <f t="shared" si="35"/>
        <v>1887</v>
      </c>
      <c r="G81" s="51">
        <f t="shared" si="35"/>
        <v>-201</v>
      </c>
      <c r="H81" s="51">
        <f t="shared" si="35"/>
        <v>-41</v>
      </c>
      <c r="I81" s="51">
        <f t="shared" si="35"/>
        <v>0</v>
      </c>
      <c r="J81" s="51">
        <f t="shared" si="35"/>
        <v>0</v>
      </c>
      <c r="K81" s="51">
        <f>SUM(E81:J81)</f>
        <v>-794</v>
      </c>
      <c r="L81" s="51">
        <f>N81-D81</f>
        <v>1830</v>
      </c>
      <c r="M81" s="51">
        <f>N81-C81</f>
        <v>-816</v>
      </c>
      <c r="N81" s="51">
        <f>SUBTOTAL(9,N5:N80)</f>
        <v>34978</v>
      </c>
      <c r="O81" s="51">
        <f>SUBTOTAL(9,O5:O80)</f>
        <v>84872</v>
      </c>
      <c r="P81" s="51">
        <f>SUBTOTAL(9,P5:P80)</f>
        <v>-49252</v>
      </c>
      <c r="Q81" s="51">
        <f>SUBTOTAL(9,Q5:Q80)</f>
        <v>35620</v>
      </c>
      <c r="R81" s="51">
        <f>SUBTOTAL(9,R5:R80)</f>
        <v>34978</v>
      </c>
      <c r="S81" s="51">
        <f>Q81-R81</f>
        <v>642</v>
      </c>
      <c r="T81" s="52">
        <f>IFERROR((Q81/N81)*100%,"∞")</f>
        <v>1.0183543941906341</v>
      </c>
      <c r="U81" s="51">
        <f>N81+V81</f>
        <v>34943</v>
      </c>
      <c r="V81" s="51">
        <f>SUBTOTAL(9,V5:V80)</f>
        <v>-35</v>
      </c>
      <c r="W81" s="51">
        <f>SUBTOTAL(9,W5:W80)</f>
        <v>-35</v>
      </c>
      <c r="X81" s="51">
        <f>SUBTOTAL(9,X5:X80)</f>
        <v>0</v>
      </c>
      <c r="Y81" s="51">
        <f>SUBTOTAL(9,Y5:Y80)</f>
        <v>0</v>
      </c>
      <c r="Z81" s="51">
        <f>SUBTOTAL(9,Z5:Z80)</f>
        <v>0</v>
      </c>
      <c r="AA81" s="60"/>
      <c r="AB81" s="51">
        <f>SUBTOTAL(9,AB5:AB80)</f>
        <v>0</v>
      </c>
      <c r="AC81" s="51">
        <f>SUBTOTAL(9,AC5:AC80)</f>
        <v>0</v>
      </c>
      <c r="AD81" s="51">
        <f>SUM(AB81:AC81)</f>
        <v>0</v>
      </c>
      <c r="AE81" s="51">
        <f>Q81+AD81</f>
        <v>35620</v>
      </c>
      <c r="AF81" s="51">
        <f>AE81-N81</f>
        <v>642</v>
      </c>
    </row>
    <row r="82" spans="2:32" ht="13.5" thickTop="1" x14ac:dyDescent="0.3">
      <c r="B82" s="71"/>
      <c r="C82" s="72"/>
      <c r="D82" s="72"/>
      <c r="E82" s="73"/>
      <c r="F82" s="73"/>
      <c r="G82" s="73"/>
      <c r="H82" s="73"/>
      <c r="I82" s="73"/>
      <c r="J82" s="73"/>
      <c r="K82" s="73"/>
      <c r="L82" s="72"/>
      <c r="M82" s="72"/>
      <c r="N82" s="72"/>
      <c r="O82" s="72"/>
      <c r="P82" s="72"/>
      <c r="Q82" s="72"/>
      <c r="R82" s="72"/>
      <c r="S82" s="72"/>
      <c r="T82" s="72"/>
      <c r="U82" s="74"/>
      <c r="V82" s="72"/>
      <c r="W82" s="72"/>
      <c r="X82" s="72"/>
      <c r="Y82" s="72"/>
      <c r="Z82" s="75"/>
      <c r="AA82" s="60"/>
      <c r="AB82" s="71"/>
      <c r="AC82" s="72"/>
      <c r="AD82" s="72"/>
      <c r="AE82" s="72"/>
      <c r="AF82" s="75"/>
    </row>
    <row r="83" spans="2:32" ht="13" outlineLevel="1" x14ac:dyDescent="0.3">
      <c r="B83" s="31" t="s">
        <v>117</v>
      </c>
      <c r="C83" s="33">
        <v>4822</v>
      </c>
      <c r="D83" s="33">
        <v>4822</v>
      </c>
      <c r="E83" s="23">
        <v>0</v>
      </c>
      <c r="F83" s="23">
        <v>0</v>
      </c>
      <c r="G83" s="23">
        <v>0</v>
      </c>
      <c r="H83" s="23">
        <v>0</v>
      </c>
      <c r="I83" s="23">
        <v>0</v>
      </c>
      <c r="J83" s="23">
        <v>0</v>
      </c>
      <c r="K83" s="23">
        <f t="shared" ref="K83:K100" si="36">SUM(E83:J83)</f>
        <v>0</v>
      </c>
      <c r="L83" s="33">
        <f t="shared" ref="L83:L100" si="37">N83-D83</f>
        <v>0</v>
      </c>
      <c r="M83" s="33">
        <f t="shared" ref="M83:M100" si="38">N83-C83</f>
        <v>0</v>
      </c>
      <c r="N83" s="33">
        <v>4822</v>
      </c>
      <c r="O83" s="33">
        <v>5927</v>
      </c>
      <c r="P83" s="33">
        <v>0</v>
      </c>
      <c r="Q83" s="33">
        <v>5927</v>
      </c>
      <c r="R83" s="33">
        <v>4822</v>
      </c>
      <c r="S83" s="33">
        <f t="shared" ref="S83:S100" si="39">Q83-R83</f>
        <v>1105</v>
      </c>
      <c r="T83" s="38">
        <f t="shared" ref="T83:T100" si="40">IFERROR((Q83/N83)*100%,"∞")</f>
        <v>1.2291580257154708</v>
      </c>
      <c r="U83" s="59">
        <f t="shared" ref="U83:U100" si="41">N83+V83</f>
        <v>4822</v>
      </c>
      <c r="V83" s="33">
        <v>0</v>
      </c>
      <c r="W83" s="33">
        <v>0</v>
      </c>
      <c r="X83" s="33"/>
      <c r="Y83" s="33"/>
      <c r="Z83" s="42"/>
      <c r="AA83" s="60"/>
      <c r="AB83" s="105"/>
      <c r="AC83" s="93"/>
      <c r="AD83" s="33">
        <f t="shared" ref="AD83:AD100" si="42">SUM(AB83:AC83)</f>
        <v>0</v>
      </c>
      <c r="AE83" s="33">
        <f t="shared" ref="AE83:AE100" si="43">Q83+AD83</f>
        <v>5927</v>
      </c>
      <c r="AF83" s="101">
        <f t="shared" ref="AF83:AF100" si="44">AE83-N83</f>
        <v>1105</v>
      </c>
    </row>
    <row r="84" spans="2:32" ht="13" outlineLevel="1" x14ac:dyDescent="0.3">
      <c r="B84" s="31" t="s">
        <v>118</v>
      </c>
      <c r="C84" s="33">
        <v>-4822</v>
      </c>
      <c r="D84" s="33">
        <v>-4822</v>
      </c>
      <c r="E84" s="23">
        <v>0</v>
      </c>
      <c r="F84" s="23">
        <v>0</v>
      </c>
      <c r="G84" s="23">
        <v>0</v>
      </c>
      <c r="H84" s="23">
        <v>0</v>
      </c>
      <c r="I84" s="23">
        <v>0</v>
      </c>
      <c r="J84" s="23">
        <v>0</v>
      </c>
      <c r="K84" s="23">
        <f t="shared" si="36"/>
        <v>0</v>
      </c>
      <c r="L84" s="33">
        <f t="shared" si="37"/>
        <v>0</v>
      </c>
      <c r="M84" s="33">
        <f t="shared" si="38"/>
        <v>0</v>
      </c>
      <c r="N84" s="33">
        <v>-4822</v>
      </c>
      <c r="O84" s="33">
        <v>0</v>
      </c>
      <c r="P84" s="33">
        <v>-5927</v>
      </c>
      <c r="Q84" s="33">
        <v>-5927</v>
      </c>
      <c r="R84" s="33">
        <v>-4822</v>
      </c>
      <c r="S84" s="33">
        <f t="shared" si="39"/>
        <v>-1105</v>
      </c>
      <c r="T84" s="38">
        <f t="shared" si="40"/>
        <v>1.2291580257154708</v>
      </c>
      <c r="U84" s="59">
        <f t="shared" si="41"/>
        <v>-4822</v>
      </c>
      <c r="V84" s="33">
        <v>0</v>
      </c>
      <c r="W84" s="33">
        <v>0</v>
      </c>
      <c r="X84" s="33"/>
      <c r="Y84" s="33"/>
      <c r="Z84" s="42"/>
      <c r="AA84" s="60"/>
      <c r="AB84" s="105"/>
      <c r="AC84" s="93"/>
      <c r="AD84" s="33">
        <f t="shared" si="42"/>
        <v>0</v>
      </c>
      <c r="AE84" s="33">
        <f t="shared" si="43"/>
        <v>-5927</v>
      </c>
      <c r="AF84" s="101">
        <f t="shared" si="44"/>
        <v>-1105</v>
      </c>
    </row>
    <row r="85" spans="2:32" ht="13" outlineLevel="1" x14ac:dyDescent="0.3">
      <c r="B85" s="31" t="s">
        <v>119</v>
      </c>
      <c r="C85" s="33">
        <v>0</v>
      </c>
      <c r="D85" s="33">
        <v>0</v>
      </c>
      <c r="E85" s="23">
        <v>0</v>
      </c>
      <c r="F85" s="23">
        <v>0</v>
      </c>
      <c r="G85" s="23">
        <v>0</v>
      </c>
      <c r="H85" s="23">
        <v>0</v>
      </c>
      <c r="I85" s="23">
        <v>0</v>
      </c>
      <c r="J85" s="23">
        <v>0</v>
      </c>
      <c r="K85" s="23">
        <f t="shared" si="36"/>
        <v>0</v>
      </c>
      <c r="L85" s="33">
        <f t="shared" si="37"/>
        <v>0</v>
      </c>
      <c r="M85" s="33">
        <f t="shared" si="38"/>
        <v>0</v>
      </c>
      <c r="N85" s="33">
        <v>0</v>
      </c>
      <c r="O85" s="33">
        <v>-3112</v>
      </c>
      <c r="P85" s="33">
        <v>0</v>
      </c>
      <c r="Q85" s="33">
        <v>-3112</v>
      </c>
      <c r="R85" s="33">
        <v>0</v>
      </c>
      <c r="S85" s="33">
        <f t="shared" si="39"/>
        <v>-3112</v>
      </c>
      <c r="T85" s="38" t="str">
        <f t="shared" si="40"/>
        <v>∞</v>
      </c>
      <c r="U85" s="59">
        <f t="shared" si="41"/>
        <v>0</v>
      </c>
      <c r="V85" s="33">
        <v>0</v>
      </c>
      <c r="W85" s="33">
        <v>0</v>
      </c>
      <c r="X85" s="33"/>
      <c r="Y85" s="33"/>
      <c r="Z85" s="42"/>
      <c r="AA85" s="60"/>
      <c r="AB85" s="105"/>
      <c r="AC85" s="93"/>
      <c r="AD85" s="33">
        <f t="shared" si="42"/>
        <v>0</v>
      </c>
      <c r="AE85" s="33">
        <f t="shared" si="43"/>
        <v>-3112</v>
      </c>
      <c r="AF85" s="101">
        <f t="shared" si="44"/>
        <v>-3112</v>
      </c>
    </row>
    <row r="86" spans="2:32" ht="13" outlineLevel="1" x14ac:dyDescent="0.3">
      <c r="B86" s="31" t="s">
        <v>120</v>
      </c>
      <c r="C86" s="33">
        <v>0</v>
      </c>
      <c r="D86" s="33">
        <v>0</v>
      </c>
      <c r="E86" s="23">
        <v>0</v>
      </c>
      <c r="F86" s="23">
        <v>0</v>
      </c>
      <c r="G86" s="23">
        <v>0</v>
      </c>
      <c r="H86" s="23">
        <v>0</v>
      </c>
      <c r="I86" s="23">
        <v>0</v>
      </c>
      <c r="J86" s="23">
        <v>0</v>
      </c>
      <c r="K86" s="23">
        <f t="shared" si="36"/>
        <v>0</v>
      </c>
      <c r="L86" s="33">
        <f t="shared" si="37"/>
        <v>0</v>
      </c>
      <c r="M86" s="33">
        <f t="shared" si="38"/>
        <v>0</v>
      </c>
      <c r="N86" s="33">
        <v>0</v>
      </c>
      <c r="O86" s="33">
        <v>0</v>
      </c>
      <c r="P86" s="33">
        <v>3112</v>
      </c>
      <c r="Q86" s="33">
        <v>3112</v>
      </c>
      <c r="R86" s="33">
        <v>0</v>
      </c>
      <c r="S86" s="33">
        <f t="shared" si="39"/>
        <v>3112</v>
      </c>
      <c r="T86" s="38" t="str">
        <f t="shared" si="40"/>
        <v>∞</v>
      </c>
      <c r="U86" s="59">
        <f t="shared" si="41"/>
        <v>0</v>
      </c>
      <c r="V86" s="33">
        <v>0</v>
      </c>
      <c r="W86" s="33">
        <v>0</v>
      </c>
      <c r="X86" s="33"/>
      <c r="Y86" s="33"/>
      <c r="Z86" s="42"/>
      <c r="AA86" s="60"/>
      <c r="AB86" s="105"/>
      <c r="AC86" s="93"/>
      <c r="AD86" s="33">
        <f t="shared" si="42"/>
        <v>0</v>
      </c>
      <c r="AE86" s="33">
        <f t="shared" si="43"/>
        <v>3112</v>
      </c>
      <c r="AF86" s="101">
        <f t="shared" si="44"/>
        <v>3112</v>
      </c>
    </row>
    <row r="87" spans="2:32" ht="13" outlineLevel="1" x14ac:dyDescent="0.3">
      <c r="B87" s="31" t="s">
        <v>121</v>
      </c>
      <c r="C87" s="33">
        <v>0</v>
      </c>
      <c r="D87" s="33">
        <v>0</v>
      </c>
      <c r="E87" s="23">
        <v>0</v>
      </c>
      <c r="F87" s="23">
        <v>0</v>
      </c>
      <c r="G87" s="23">
        <v>0</v>
      </c>
      <c r="H87" s="23">
        <v>0</v>
      </c>
      <c r="I87" s="23">
        <v>0</v>
      </c>
      <c r="J87" s="23">
        <v>0</v>
      </c>
      <c r="K87" s="23">
        <f t="shared" si="36"/>
        <v>0</v>
      </c>
      <c r="L87" s="33">
        <f t="shared" si="37"/>
        <v>0</v>
      </c>
      <c r="M87" s="33">
        <f t="shared" si="38"/>
        <v>0</v>
      </c>
      <c r="N87" s="33">
        <v>0</v>
      </c>
      <c r="O87" s="33">
        <v>8562</v>
      </c>
      <c r="P87" s="33">
        <v>0</v>
      </c>
      <c r="Q87" s="33">
        <v>8562</v>
      </c>
      <c r="R87" s="33">
        <v>0</v>
      </c>
      <c r="S87" s="33">
        <f t="shared" si="39"/>
        <v>8562</v>
      </c>
      <c r="T87" s="38" t="str">
        <f t="shared" si="40"/>
        <v>∞</v>
      </c>
      <c r="U87" s="59">
        <f t="shared" si="41"/>
        <v>0</v>
      </c>
      <c r="V87" s="33">
        <v>0</v>
      </c>
      <c r="W87" s="33">
        <v>0</v>
      </c>
      <c r="X87" s="33"/>
      <c r="Y87" s="33"/>
      <c r="Z87" s="42"/>
      <c r="AA87" s="60"/>
      <c r="AB87" s="105"/>
      <c r="AC87" s="93"/>
      <c r="AD87" s="33">
        <f t="shared" si="42"/>
        <v>0</v>
      </c>
      <c r="AE87" s="33">
        <f t="shared" si="43"/>
        <v>8562</v>
      </c>
      <c r="AF87" s="101">
        <f t="shared" si="44"/>
        <v>8562</v>
      </c>
    </row>
    <row r="88" spans="2:32" ht="13" outlineLevel="1" x14ac:dyDescent="0.3">
      <c r="B88" s="31" t="s">
        <v>122</v>
      </c>
      <c r="C88" s="33">
        <v>0</v>
      </c>
      <c r="D88" s="33">
        <v>0</v>
      </c>
      <c r="E88" s="23">
        <v>0</v>
      </c>
      <c r="F88" s="23">
        <v>0</v>
      </c>
      <c r="G88" s="23">
        <v>0</v>
      </c>
      <c r="H88" s="23">
        <v>0</v>
      </c>
      <c r="I88" s="23">
        <v>0</v>
      </c>
      <c r="J88" s="23">
        <v>0</v>
      </c>
      <c r="K88" s="23">
        <f t="shared" si="36"/>
        <v>0</v>
      </c>
      <c r="L88" s="33">
        <f t="shared" si="37"/>
        <v>0</v>
      </c>
      <c r="M88" s="33">
        <f t="shared" si="38"/>
        <v>0</v>
      </c>
      <c r="N88" s="33">
        <v>0</v>
      </c>
      <c r="O88" s="33">
        <v>-8562</v>
      </c>
      <c r="P88" s="33">
        <v>0</v>
      </c>
      <c r="Q88" s="33">
        <v>-8562</v>
      </c>
      <c r="R88" s="33">
        <v>0</v>
      </c>
      <c r="S88" s="33">
        <f t="shared" si="39"/>
        <v>-8562</v>
      </c>
      <c r="T88" s="38" t="str">
        <f t="shared" si="40"/>
        <v>∞</v>
      </c>
      <c r="U88" s="59">
        <f t="shared" si="41"/>
        <v>0</v>
      </c>
      <c r="V88" s="33">
        <v>0</v>
      </c>
      <c r="W88" s="33">
        <v>0</v>
      </c>
      <c r="X88" s="33"/>
      <c r="Y88" s="33"/>
      <c r="Z88" s="42"/>
      <c r="AA88" s="60"/>
      <c r="AB88" s="105"/>
      <c r="AC88" s="93"/>
      <c r="AD88" s="33">
        <f t="shared" si="42"/>
        <v>0</v>
      </c>
      <c r="AE88" s="33">
        <f t="shared" si="43"/>
        <v>-8562</v>
      </c>
      <c r="AF88" s="101">
        <f t="shared" si="44"/>
        <v>-8562</v>
      </c>
    </row>
    <row r="89" spans="2:32" ht="13" outlineLevel="1" x14ac:dyDescent="0.3">
      <c r="B89" s="31" t="s">
        <v>123</v>
      </c>
      <c r="C89" s="33">
        <v>0</v>
      </c>
      <c r="D89" s="33">
        <v>0</v>
      </c>
      <c r="E89" s="23">
        <v>0</v>
      </c>
      <c r="F89" s="23">
        <v>0</v>
      </c>
      <c r="G89" s="23">
        <v>0</v>
      </c>
      <c r="H89" s="23">
        <v>0</v>
      </c>
      <c r="I89" s="23">
        <v>0</v>
      </c>
      <c r="J89" s="23">
        <v>0</v>
      </c>
      <c r="K89" s="23">
        <f t="shared" si="36"/>
        <v>0</v>
      </c>
      <c r="L89" s="33">
        <f t="shared" si="37"/>
        <v>0</v>
      </c>
      <c r="M89" s="33">
        <f t="shared" si="38"/>
        <v>0</v>
      </c>
      <c r="N89" s="33">
        <v>0</v>
      </c>
      <c r="O89" s="33">
        <v>0</v>
      </c>
      <c r="P89" s="33">
        <v>0</v>
      </c>
      <c r="Q89" s="33">
        <v>0</v>
      </c>
      <c r="R89" s="33">
        <v>0</v>
      </c>
      <c r="S89" s="33">
        <f t="shared" si="39"/>
        <v>0</v>
      </c>
      <c r="T89" s="38" t="str">
        <f t="shared" si="40"/>
        <v>∞</v>
      </c>
      <c r="U89" s="59">
        <f t="shared" si="41"/>
        <v>0</v>
      </c>
      <c r="V89" s="33">
        <v>0</v>
      </c>
      <c r="W89" s="33">
        <v>0</v>
      </c>
      <c r="X89" s="33"/>
      <c r="Y89" s="33"/>
      <c r="Z89" s="42"/>
      <c r="AA89" s="60"/>
      <c r="AB89" s="105"/>
      <c r="AC89" s="93"/>
      <c r="AD89" s="33">
        <f t="shared" si="42"/>
        <v>0</v>
      </c>
      <c r="AE89" s="33">
        <f t="shared" si="43"/>
        <v>0</v>
      </c>
      <c r="AF89" s="101">
        <f t="shared" si="44"/>
        <v>0</v>
      </c>
    </row>
    <row r="90" spans="2:32" ht="13" outlineLevel="1" x14ac:dyDescent="0.3">
      <c r="B90" s="31" t="s">
        <v>124</v>
      </c>
      <c r="C90" s="33">
        <v>0</v>
      </c>
      <c r="D90" s="33">
        <v>0</v>
      </c>
      <c r="E90" s="23">
        <v>0</v>
      </c>
      <c r="F90" s="23">
        <v>0</v>
      </c>
      <c r="G90" s="23">
        <v>0</v>
      </c>
      <c r="H90" s="23">
        <v>0</v>
      </c>
      <c r="I90" s="23">
        <v>0</v>
      </c>
      <c r="J90" s="23">
        <v>0</v>
      </c>
      <c r="K90" s="23">
        <f t="shared" si="36"/>
        <v>0</v>
      </c>
      <c r="L90" s="33">
        <f t="shared" si="37"/>
        <v>0</v>
      </c>
      <c r="M90" s="33">
        <f t="shared" si="38"/>
        <v>0</v>
      </c>
      <c r="N90" s="33">
        <v>0</v>
      </c>
      <c r="O90" s="33">
        <v>612</v>
      </c>
      <c r="P90" s="33">
        <v>0</v>
      </c>
      <c r="Q90" s="33">
        <v>612</v>
      </c>
      <c r="R90" s="33">
        <v>0</v>
      </c>
      <c r="S90" s="33">
        <f t="shared" si="39"/>
        <v>612</v>
      </c>
      <c r="T90" s="38" t="str">
        <f t="shared" si="40"/>
        <v>∞</v>
      </c>
      <c r="U90" s="59">
        <f t="shared" si="41"/>
        <v>0</v>
      </c>
      <c r="V90" s="33">
        <v>0</v>
      </c>
      <c r="W90" s="33">
        <v>0</v>
      </c>
      <c r="X90" s="33"/>
      <c r="Y90" s="33"/>
      <c r="Z90" s="42"/>
      <c r="AA90" s="60"/>
      <c r="AB90" s="105"/>
      <c r="AC90" s="93"/>
      <c r="AD90" s="33">
        <f t="shared" si="42"/>
        <v>0</v>
      </c>
      <c r="AE90" s="33">
        <f t="shared" si="43"/>
        <v>612</v>
      </c>
      <c r="AF90" s="101">
        <f t="shared" si="44"/>
        <v>612</v>
      </c>
    </row>
    <row r="91" spans="2:32" ht="13" outlineLevel="1" x14ac:dyDescent="0.3">
      <c r="B91" s="31" t="s">
        <v>125</v>
      </c>
      <c r="C91" s="33">
        <v>0</v>
      </c>
      <c r="D91" s="33">
        <v>0</v>
      </c>
      <c r="E91" s="23">
        <v>0</v>
      </c>
      <c r="F91" s="23">
        <v>0</v>
      </c>
      <c r="G91" s="23">
        <v>0</v>
      </c>
      <c r="H91" s="23">
        <v>0</v>
      </c>
      <c r="I91" s="23">
        <v>0</v>
      </c>
      <c r="J91" s="23">
        <v>0</v>
      </c>
      <c r="K91" s="23">
        <f t="shared" si="36"/>
        <v>0</v>
      </c>
      <c r="L91" s="33">
        <f t="shared" si="37"/>
        <v>0</v>
      </c>
      <c r="M91" s="33">
        <f t="shared" si="38"/>
        <v>0</v>
      </c>
      <c r="N91" s="33">
        <v>0</v>
      </c>
      <c r="O91" s="33">
        <v>-249</v>
      </c>
      <c r="P91" s="33">
        <v>0</v>
      </c>
      <c r="Q91" s="33">
        <v>-249</v>
      </c>
      <c r="R91" s="33">
        <v>0</v>
      </c>
      <c r="S91" s="33">
        <f t="shared" si="39"/>
        <v>-249</v>
      </c>
      <c r="T91" s="38" t="str">
        <f t="shared" si="40"/>
        <v>∞</v>
      </c>
      <c r="U91" s="59">
        <f t="shared" si="41"/>
        <v>0</v>
      </c>
      <c r="V91" s="33">
        <v>0</v>
      </c>
      <c r="W91" s="33">
        <v>0</v>
      </c>
      <c r="X91" s="33"/>
      <c r="Y91" s="33"/>
      <c r="Z91" s="42"/>
      <c r="AA91" s="60"/>
      <c r="AB91" s="105"/>
      <c r="AC91" s="93"/>
      <c r="AD91" s="33">
        <f t="shared" si="42"/>
        <v>0</v>
      </c>
      <c r="AE91" s="33">
        <f t="shared" si="43"/>
        <v>-249</v>
      </c>
      <c r="AF91" s="101">
        <f t="shared" si="44"/>
        <v>-249</v>
      </c>
    </row>
    <row r="92" spans="2:32" ht="13" outlineLevel="1" x14ac:dyDescent="0.3">
      <c r="B92" s="31" t="s">
        <v>126</v>
      </c>
      <c r="C92" s="33">
        <v>0</v>
      </c>
      <c r="D92" s="33">
        <v>0</v>
      </c>
      <c r="E92" s="23">
        <v>0</v>
      </c>
      <c r="F92" s="23">
        <v>0</v>
      </c>
      <c r="G92" s="23">
        <v>0</v>
      </c>
      <c r="H92" s="23">
        <v>0</v>
      </c>
      <c r="I92" s="23">
        <v>0</v>
      </c>
      <c r="J92" s="23">
        <v>0</v>
      </c>
      <c r="K92" s="23">
        <f t="shared" si="36"/>
        <v>0</v>
      </c>
      <c r="L92" s="33">
        <f t="shared" si="37"/>
        <v>0</v>
      </c>
      <c r="M92" s="33">
        <f t="shared" si="38"/>
        <v>0</v>
      </c>
      <c r="N92" s="33">
        <v>0</v>
      </c>
      <c r="O92" s="33">
        <v>249</v>
      </c>
      <c r="P92" s="33">
        <v>0</v>
      </c>
      <c r="Q92" s="33">
        <v>249</v>
      </c>
      <c r="R92" s="33">
        <v>0</v>
      </c>
      <c r="S92" s="33">
        <f t="shared" si="39"/>
        <v>249</v>
      </c>
      <c r="T92" s="38" t="str">
        <f t="shared" si="40"/>
        <v>∞</v>
      </c>
      <c r="U92" s="59">
        <f t="shared" si="41"/>
        <v>0</v>
      </c>
      <c r="V92" s="33">
        <v>0</v>
      </c>
      <c r="W92" s="33">
        <v>0</v>
      </c>
      <c r="X92" s="33"/>
      <c r="Y92" s="33"/>
      <c r="Z92" s="42"/>
      <c r="AA92" s="60"/>
      <c r="AB92" s="105"/>
      <c r="AC92" s="93"/>
      <c r="AD92" s="33">
        <f t="shared" si="42"/>
        <v>0</v>
      </c>
      <c r="AE92" s="33">
        <f t="shared" si="43"/>
        <v>249</v>
      </c>
      <c r="AF92" s="101">
        <f t="shared" si="44"/>
        <v>249</v>
      </c>
    </row>
    <row r="93" spans="2:32" ht="13" outlineLevel="1" x14ac:dyDescent="0.3">
      <c r="B93" s="31" t="s">
        <v>127</v>
      </c>
      <c r="C93" s="33">
        <v>0</v>
      </c>
      <c r="D93" s="33">
        <v>0</v>
      </c>
      <c r="E93" s="23">
        <v>0</v>
      </c>
      <c r="F93" s="23">
        <v>0</v>
      </c>
      <c r="G93" s="23">
        <v>0</v>
      </c>
      <c r="H93" s="23">
        <v>0</v>
      </c>
      <c r="I93" s="23">
        <v>0</v>
      </c>
      <c r="J93" s="23">
        <v>0</v>
      </c>
      <c r="K93" s="23">
        <f t="shared" si="36"/>
        <v>0</v>
      </c>
      <c r="L93" s="33">
        <f t="shared" si="37"/>
        <v>0</v>
      </c>
      <c r="M93" s="33">
        <f t="shared" si="38"/>
        <v>0</v>
      </c>
      <c r="N93" s="33">
        <v>0</v>
      </c>
      <c r="O93" s="33">
        <v>15194</v>
      </c>
      <c r="P93" s="33">
        <v>0</v>
      </c>
      <c r="Q93" s="33">
        <v>15194</v>
      </c>
      <c r="R93" s="33">
        <v>0</v>
      </c>
      <c r="S93" s="33">
        <f t="shared" si="39"/>
        <v>15194</v>
      </c>
      <c r="T93" s="38" t="str">
        <f t="shared" si="40"/>
        <v>∞</v>
      </c>
      <c r="U93" s="59">
        <f t="shared" si="41"/>
        <v>0</v>
      </c>
      <c r="V93" s="33">
        <v>0</v>
      </c>
      <c r="W93" s="33">
        <v>0</v>
      </c>
      <c r="X93" s="33"/>
      <c r="Y93" s="33"/>
      <c r="Z93" s="42"/>
      <c r="AA93" s="60"/>
      <c r="AB93" s="105"/>
      <c r="AC93" s="93"/>
      <c r="AD93" s="33">
        <f t="shared" si="42"/>
        <v>0</v>
      </c>
      <c r="AE93" s="33">
        <f t="shared" si="43"/>
        <v>15194</v>
      </c>
      <c r="AF93" s="101">
        <f t="shared" si="44"/>
        <v>15194</v>
      </c>
    </row>
    <row r="94" spans="2:32" ht="13" outlineLevel="1" x14ac:dyDescent="0.3">
      <c r="B94" s="31" t="s">
        <v>128</v>
      </c>
      <c r="C94" s="33">
        <v>0</v>
      </c>
      <c r="D94" s="33">
        <v>0</v>
      </c>
      <c r="E94" s="23">
        <v>0</v>
      </c>
      <c r="F94" s="23">
        <v>0</v>
      </c>
      <c r="G94" s="23">
        <v>0</v>
      </c>
      <c r="H94" s="23">
        <v>0</v>
      </c>
      <c r="I94" s="23">
        <v>0</v>
      </c>
      <c r="J94" s="23">
        <v>0</v>
      </c>
      <c r="K94" s="23">
        <f t="shared" si="36"/>
        <v>0</v>
      </c>
      <c r="L94" s="33">
        <f t="shared" si="37"/>
        <v>0</v>
      </c>
      <c r="M94" s="33">
        <f t="shared" si="38"/>
        <v>0</v>
      </c>
      <c r="N94" s="33">
        <v>0</v>
      </c>
      <c r="O94" s="33">
        <v>-14797</v>
      </c>
      <c r="P94" s="33">
        <v>0</v>
      </c>
      <c r="Q94" s="33">
        <v>-14797</v>
      </c>
      <c r="R94" s="33">
        <v>0</v>
      </c>
      <c r="S94" s="33">
        <f t="shared" si="39"/>
        <v>-14797</v>
      </c>
      <c r="T94" s="38" t="str">
        <f t="shared" si="40"/>
        <v>∞</v>
      </c>
      <c r="U94" s="59">
        <f t="shared" si="41"/>
        <v>0</v>
      </c>
      <c r="V94" s="33">
        <v>0</v>
      </c>
      <c r="W94" s="33">
        <v>0</v>
      </c>
      <c r="X94" s="33"/>
      <c r="Y94" s="33"/>
      <c r="Z94" s="42"/>
      <c r="AA94" s="60"/>
      <c r="AB94" s="105"/>
      <c r="AC94" s="93"/>
      <c r="AD94" s="33">
        <f t="shared" si="42"/>
        <v>0</v>
      </c>
      <c r="AE94" s="33">
        <f t="shared" si="43"/>
        <v>-14797</v>
      </c>
      <c r="AF94" s="101">
        <f t="shared" si="44"/>
        <v>-14797</v>
      </c>
    </row>
    <row r="95" spans="2:32" ht="13" outlineLevel="1" x14ac:dyDescent="0.3">
      <c r="B95" s="31" t="s">
        <v>129</v>
      </c>
      <c r="C95" s="33">
        <v>0</v>
      </c>
      <c r="D95" s="33">
        <v>0</v>
      </c>
      <c r="E95" s="23">
        <v>0</v>
      </c>
      <c r="F95" s="23">
        <v>0</v>
      </c>
      <c r="G95" s="23">
        <v>0</v>
      </c>
      <c r="H95" s="23">
        <v>0</v>
      </c>
      <c r="I95" s="23">
        <v>0</v>
      </c>
      <c r="J95" s="23">
        <v>0</v>
      </c>
      <c r="K95" s="23">
        <f t="shared" si="36"/>
        <v>0</v>
      </c>
      <c r="L95" s="33">
        <f t="shared" si="37"/>
        <v>0</v>
      </c>
      <c r="M95" s="33">
        <f t="shared" si="38"/>
        <v>0</v>
      </c>
      <c r="N95" s="33">
        <v>0</v>
      </c>
      <c r="O95" s="33">
        <v>-397</v>
      </c>
      <c r="P95" s="33">
        <v>0</v>
      </c>
      <c r="Q95" s="33">
        <v>-397</v>
      </c>
      <c r="R95" s="33">
        <v>0</v>
      </c>
      <c r="S95" s="33">
        <f t="shared" si="39"/>
        <v>-397</v>
      </c>
      <c r="T95" s="38" t="str">
        <f t="shared" si="40"/>
        <v>∞</v>
      </c>
      <c r="U95" s="59">
        <f t="shared" si="41"/>
        <v>0</v>
      </c>
      <c r="V95" s="33">
        <v>0</v>
      </c>
      <c r="W95" s="33">
        <v>0</v>
      </c>
      <c r="X95" s="33"/>
      <c r="Y95" s="33"/>
      <c r="Z95" s="42"/>
      <c r="AA95" s="60"/>
      <c r="AB95" s="105"/>
      <c r="AC95" s="93"/>
      <c r="AD95" s="33">
        <f t="shared" si="42"/>
        <v>0</v>
      </c>
      <c r="AE95" s="33">
        <f t="shared" si="43"/>
        <v>-397</v>
      </c>
      <c r="AF95" s="101">
        <f t="shared" si="44"/>
        <v>-397</v>
      </c>
    </row>
    <row r="96" spans="2:32" ht="13" outlineLevel="1" x14ac:dyDescent="0.3">
      <c r="B96" s="31" t="s">
        <v>130</v>
      </c>
      <c r="C96" s="33">
        <v>0</v>
      </c>
      <c r="D96" s="33">
        <v>0</v>
      </c>
      <c r="E96" s="23">
        <v>0</v>
      </c>
      <c r="F96" s="23">
        <v>0</v>
      </c>
      <c r="G96" s="23">
        <v>0</v>
      </c>
      <c r="H96" s="23">
        <v>0</v>
      </c>
      <c r="I96" s="23">
        <v>0</v>
      </c>
      <c r="J96" s="23">
        <v>0</v>
      </c>
      <c r="K96" s="23">
        <f t="shared" si="36"/>
        <v>0</v>
      </c>
      <c r="L96" s="33">
        <f t="shared" si="37"/>
        <v>0</v>
      </c>
      <c r="M96" s="33">
        <f t="shared" si="38"/>
        <v>0</v>
      </c>
      <c r="N96" s="33">
        <v>0</v>
      </c>
      <c r="O96" s="33">
        <v>7320</v>
      </c>
      <c r="P96" s="33">
        <v>0</v>
      </c>
      <c r="Q96" s="33">
        <v>7320</v>
      </c>
      <c r="R96" s="33">
        <v>0</v>
      </c>
      <c r="S96" s="33">
        <f t="shared" si="39"/>
        <v>7320</v>
      </c>
      <c r="T96" s="38" t="str">
        <f t="shared" si="40"/>
        <v>∞</v>
      </c>
      <c r="U96" s="59">
        <f t="shared" si="41"/>
        <v>0</v>
      </c>
      <c r="V96" s="33">
        <v>0</v>
      </c>
      <c r="W96" s="33">
        <v>0</v>
      </c>
      <c r="X96" s="33"/>
      <c r="Y96" s="33"/>
      <c r="Z96" s="42"/>
      <c r="AA96" s="60"/>
      <c r="AB96" s="105"/>
      <c r="AC96" s="93"/>
      <c r="AD96" s="33">
        <f t="shared" si="42"/>
        <v>0</v>
      </c>
      <c r="AE96" s="33">
        <f t="shared" si="43"/>
        <v>7320</v>
      </c>
      <c r="AF96" s="101">
        <f t="shared" si="44"/>
        <v>7320</v>
      </c>
    </row>
    <row r="97" spans="2:32" ht="13" outlineLevel="1" x14ac:dyDescent="0.3">
      <c r="B97" s="31" t="s">
        <v>131</v>
      </c>
      <c r="C97" s="33">
        <v>0</v>
      </c>
      <c r="D97" s="33">
        <v>0</v>
      </c>
      <c r="E97" s="23">
        <v>0</v>
      </c>
      <c r="F97" s="23">
        <v>0</v>
      </c>
      <c r="G97" s="23">
        <v>0</v>
      </c>
      <c r="H97" s="23">
        <v>0</v>
      </c>
      <c r="I97" s="23">
        <v>0</v>
      </c>
      <c r="J97" s="23">
        <v>0</v>
      </c>
      <c r="K97" s="23">
        <f t="shared" si="36"/>
        <v>0</v>
      </c>
      <c r="L97" s="33">
        <f t="shared" si="37"/>
        <v>0</v>
      </c>
      <c r="M97" s="33">
        <f t="shared" si="38"/>
        <v>0</v>
      </c>
      <c r="N97" s="33">
        <v>0</v>
      </c>
      <c r="O97" s="33">
        <v>0</v>
      </c>
      <c r="P97" s="33">
        <v>-7320</v>
      </c>
      <c r="Q97" s="33">
        <v>-7320</v>
      </c>
      <c r="R97" s="33">
        <v>0</v>
      </c>
      <c r="S97" s="33">
        <f t="shared" si="39"/>
        <v>-7320</v>
      </c>
      <c r="T97" s="38" t="str">
        <f t="shared" si="40"/>
        <v>∞</v>
      </c>
      <c r="U97" s="59">
        <f t="shared" si="41"/>
        <v>0</v>
      </c>
      <c r="V97" s="33">
        <v>0</v>
      </c>
      <c r="W97" s="33">
        <v>0</v>
      </c>
      <c r="X97" s="33"/>
      <c r="Y97" s="33"/>
      <c r="Z97" s="42"/>
      <c r="AA97" s="60"/>
      <c r="AB97" s="105"/>
      <c r="AC97" s="93"/>
      <c r="AD97" s="33">
        <f t="shared" si="42"/>
        <v>0</v>
      </c>
      <c r="AE97" s="33">
        <f t="shared" si="43"/>
        <v>-7320</v>
      </c>
      <c r="AF97" s="101">
        <f t="shared" si="44"/>
        <v>-7320</v>
      </c>
    </row>
    <row r="98" spans="2:32" ht="13" outlineLevel="1" x14ac:dyDescent="0.3">
      <c r="B98" s="31" t="s">
        <v>132</v>
      </c>
      <c r="C98" s="33">
        <v>14098</v>
      </c>
      <c r="D98" s="33">
        <v>14098</v>
      </c>
      <c r="E98" s="23">
        <v>0</v>
      </c>
      <c r="F98" s="23">
        <v>0</v>
      </c>
      <c r="G98" s="23">
        <v>0</v>
      </c>
      <c r="H98" s="23">
        <v>0</v>
      </c>
      <c r="I98" s="23">
        <v>0</v>
      </c>
      <c r="J98" s="23">
        <v>424</v>
      </c>
      <c r="K98" s="23">
        <f t="shared" si="36"/>
        <v>424</v>
      </c>
      <c r="L98" s="33">
        <f t="shared" si="37"/>
        <v>425</v>
      </c>
      <c r="M98" s="33">
        <f t="shared" si="38"/>
        <v>425</v>
      </c>
      <c r="N98" s="33">
        <v>14523</v>
      </c>
      <c r="O98" s="33">
        <v>21007</v>
      </c>
      <c r="P98" s="33">
        <v>0</v>
      </c>
      <c r="Q98" s="33">
        <v>21007</v>
      </c>
      <c r="R98" s="33">
        <v>14523</v>
      </c>
      <c r="S98" s="33">
        <f t="shared" si="39"/>
        <v>6484</v>
      </c>
      <c r="T98" s="38">
        <f t="shared" si="40"/>
        <v>1.4464642291537562</v>
      </c>
      <c r="U98" s="59">
        <f t="shared" si="41"/>
        <v>14523</v>
      </c>
      <c r="V98" s="33">
        <v>0</v>
      </c>
      <c r="W98" s="33">
        <v>0</v>
      </c>
      <c r="X98" s="33"/>
      <c r="Y98" s="33"/>
      <c r="Z98" s="42"/>
      <c r="AA98" s="60"/>
      <c r="AB98" s="105"/>
      <c r="AC98" s="93"/>
      <c r="AD98" s="33">
        <f t="shared" si="42"/>
        <v>0</v>
      </c>
      <c r="AE98" s="33">
        <f t="shared" si="43"/>
        <v>21007</v>
      </c>
      <c r="AF98" s="101">
        <f t="shared" si="44"/>
        <v>6484</v>
      </c>
    </row>
    <row r="99" spans="2:32" ht="13" outlineLevel="1" x14ac:dyDescent="0.3">
      <c r="B99" s="31" t="s">
        <v>133</v>
      </c>
      <c r="C99" s="33">
        <v>-20487</v>
      </c>
      <c r="D99" s="33">
        <v>-20487</v>
      </c>
      <c r="E99" s="23">
        <v>0</v>
      </c>
      <c r="F99" s="23">
        <v>0</v>
      </c>
      <c r="G99" s="23">
        <v>0</v>
      </c>
      <c r="H99" s="23">
        <v>0</v>
      </c>
      <c r="I99" s="23">
        <v>0</v>
      </c>
      <c r="J99" s="23">
        <v>-424</v>
      </c>
      <c r="K99" s="23">
        <f t="shared" si="36"/>
        <v>-424</v>
      </c>
      <c r="L99" s="33">
        <f t="shared" si="37"/>
        <v>-424</v>
      </c>
      <c r="M99" s="33">
        <f t="shared" si="38"/>
        <v>-424</v>
      </c>
      <c r="N99" s="33">
        <v>-20911</v>
      </c>
      <c r="O99" s="33">
        <v>0</v>
      </c>
      <c r="P99" s="33">
        <v>-29579</v>
      </c>
      <c r="Q99" s="33">
        <v>-29579</v>
      </c>
      <c r="R99" s="33">
        <v>-20911</v>
      </c>
      <c r="S99" s="33">
        <f t="shared" si="39"/>
        <v>-8668</v>
      </c>
      <c r="T99" s="38">
        <f t="shared" si="40"/>
        <v>1.4145186743819043</v>
      </c>
      <c r="U99" s="59">
        <f t="shared" si="41"/>
        <v>-20911</v>
      </c>
      <c r="V99" s="33">
        <v>0</v>
      </c>
      <c r="W99" s="33">
        <v>0</v>
      </c>
      <c r="X99" s="33"/>
      <c r="Y99" s="33"/>
      <c r="Z99" s="42"/>
      <c r="AA99" s="60"/>
      <c r="AB99" s="105"/>
      <c r="AC99" s="93"/>
      <c r="AD99" s="33">
        <f t="shared" si="42"/>
        <v>0</v>
      </c>
      <c r="AE99" s="33">
        <f t="shared" si="43"/>
        <v>-29579</v>
      </c>
      <c r="AF99" s="101">
        <f t="shared" si="44"/>
        <v>-8668</v>
      </c>
    </row>
    <row r="100" spans="2:32" ht="13" outlineLevel="1" x14ac:dyDescent="0.3">
      <c r="B100" s="31" t="s">
        <v>134</v>
      </c>
      <c r="C100" s="33">
        <v>-3149</v>
      </c>
      <c r="D100" s="33">
        <v>-3149</v>
      </c>
      <c r="E100" s="23">
        <v>0</v>
      </c>
      <c r="F100" s="23">
        <v>0</v>
      </c>
      <c r="G100" s="23">
        <v>0</v>
      </c>
      <c r="H100" s="23">
        <v>0</v>
      </c>
      <c r="I100" s="23">
        <v>0</v>
      </c>
      <c r="J100" s="23">
        <v>0</v>
      </c>
      <c r="K100" s="23">
        <f t="shared" si="36"/>
        <v>0</v>
      </c>
      <c r="L100" s="33">
        <f t="shared" si="37"/>
        <v>0</v>
      </c>
      <c r="M100" s="33">
        <f t="shared" si="38"/>
        <v>0</v>
      </c>
      <c r="N100" s="33">
        <v>-3149</v>
      </c>
      <c r="O100" s="33">
        <v>0</v>
      </c>
      <c r="P100" s="33">
        <v>-3149</v>
      </c>
      <c r="Q100" s="33">
        <v>-3149</v>
      </c>
      <c r="R100" s="33">
        <v>-3149</v>
      </c>
      <c r="S100" s="33">
        <f t="shared" si="39"/>
        <v>0</v>
      </c>
      <c r="T100" s="38">
        <f t="shared" si="40"/>
        <v>1</v>
      </c>
      <c r="U100" s="59">
        <f t="shared" si="41"/>
        <v>-3149</v>
      </c>
      <c r="V100" s="33">
        <v>0</v>
      </c>
      <c r="W100" s="33">
        <v>0</v>
      </c>
      <c r="X100" s="33"/>
      <c r="Y100" s="33"/>
      <c r="Z100" s="42"/>
      <c r="AA100" s="60"/>
      <c r="AB100" s="105"/>
      <c r="AC100" s="93"/>
      <c r="AD100" s="33">
        <f t="shared" si="42"/>
        <v>0</v>
      </c>
      <c r="AE100" s="33">
        <f t="shared" si="43"/>
        <v>-3149</v>
      </c>
      <c r="AF100" s="101">
        <f t="shared" si="44"/>
        <v>0</v>
      </c>
    </row>
    <row r="101" spans="2:32" ht="13.5" outlineLevel="1" thickBot="1" x14ac:dyDescent="0.35">
      <c r="B101" s="80"/>
      <c r="C101" s="81"/>
      <c r="D101" s="81"/>
      <c r="E101" s="82"/>
      <c r="F101" s="82"/>
      <c r="G101" s="82"/>
      <c r="H101" s="82"/>
      <c r="I101" s="82"/>
      <c r="J101" s="82"/>
      <c r="K101" s="82"/>
      <c r="L101" s="81"/>
      <c r="M101" s="81"/>
      <c r="N101" s="81"/>
      <c r="O101" s="81"/>
      <c r="P101" s="81"/>
      <c r="Q101" s="81"/>
      <c r="R101" s="81"/>
      <c r="S101" s="81"/>
      <c r="T101" s="81"/>
      <c r="U101" s="83"/>
      <c r="V101" s="81"/>
      <c r="W101" s="81"/>
      <c r="X101" s="81"/>
      <c r="Y101" s="81"/>
      <c r="Z101" s="84"/>
      <c r="AA101" s="60"/>
      <c r="AB101" s="98"/>
      <c r="AC101" s="36"/>
      <c r="AD101" s="36"/>
      <c r="AE101" s="36"/>
      <c r="AF101" s="99"/>
    </row>
    <row r="102" spans="2:32" ht="13.5" thickBot="1" x14ac:dyDescent="0.35">
      <c r="B102" s="68" t="s">
        <v>135</v>
      </c>
      <c r="C102" s="69">
        <f t="shared" ref="C102:J102" si="45">SUM(C83:C83,C84:C84,C85:C85,C86:C86,C87:C87,C88:C88,C89:C89,C90:C90,C91:C91,C92:C92,C93:C93,C94:C94,C95:C95,C96:C96,C97:C97,C98:C98,C99:C99,C100:C100)</f>
        <v>-9538</v>
      </c>
      <c r="D102" s="69">
        <f t="shared" si="45"/>
        <v>-9538</v>
      </c>
      <c r="E102" s="77">
        <f t="shared" si="45"/>
        <v>0</v>
      </c>
      <c r="F102" s="77">
        <f t="shared" si="45"/>
        <v>0</v>
      </c>
      <c r="G102" s="77">
        <f t="shared" si="45"/>
        <v>0</v>
      </c>
      <c r="H102" s="77">
        <f t="shared" si="45"/>
        <v>0</v>
      </c>
      <c r="I102" s="77">
        <f t="shared" si="45"/>
        <v>0</v>
      </c>
      <c r="J102" s="77">
        <f t="shared" si="45"/>
        <v>0</v>
      </c>
      <c r="K102" s="77">
        <f>SUM(E102:J102)</f>
        <v>0</v>
      </c>
      <c r="L102" s="69">
        <f>N102-D102</f>
        <v>1</v>
      </c>
      <c r="M102" s="69">
        <f>N102-C102</f>
        <v>1</v>
      </c>
      <c r="N102" s="69">
        <f>SUM(N83:N83,N84:N84,N85:N85,N86:N86,N87:N87,N88:N88,N89:N89,N90:N90,N91:N91,N92:N92,N93:N93,N94:N94,N95:N95,N96:N96,N97:N97,N98:N98,N99:N99,N100:N100)</f>
        <v>-9537</v>
      </c>
      <c r="O102" s="69">
        <f>SUM(O83:O83,O84:O84,O85:O85,O86:O86,O87:O87,O88:O88,O89:O89,O90:O90,O91:O91,O92:O92,O93:O93,O94:O94,O95:O95,O96:O96,O97:O97,O98:O98,O99:O99,O100:O100)</f>
        <v>31754</v>
      </c>
      <c r="P102" s="69">
        <f>SUM(P83:P83,P84:P84,P85:P85,P86:P86,P87:P87,P88:P88,P89:P89,P90:P90,P91:P91,P92:P92,P93:P93,P94:P94,P95:P95,P96:P96,P97:P97,P98:P98,P99:P99,P100:P100)</f>
        <v>-42863</v>
      </c>
      <c r="Q102" s="69">
        <f>SUM(Q83:Q83,Q84:Q84,Q85:Q85,Q86:Q86,Q87:Q87,Q88:Q88,Q89:Q89,Q90:Q90,Q91:Q91,Q92:Q92,Q93:Q93,Q94:Q94,Q95:Q95,Q96:Q96,Q97:Q97,Q98:Q98,Q99:Q99,Q100:Q100)</f>
        <v>-11109</v>
      </c>
      <c r="R102" s="69">
        <f>SUM(R83:R83,R84:R84,R85:R85,R86:R86,R87:R87,R88:R88,R89:R89,R90:R90,R91:R91,R92:R92,R93:R93,R94:R94,R95:R95,R96:R96,R97:R97,R98:R98,R99:R99,R100:R100)</f>
        <v>-9537</v>
      </c>
      <c r="S102" s="69">
        <f>Q102-R102</f>
        <v>-1572</v>
      </c>
      <c r="T102" s="70">
        <f>IFERROR((Q102/N102)*100%,"∞")</f>
        <v>1.1648317080843031</v>
      </c>
      <c r="U102" s="76">
        <f>N102+V102</f>
        <v>-9537</v>
      </c>
      <c r="V102" s="69">
        <f>SUM(V83:V83,V84:V84,V85:V85,V86:V86,V87:V87,V88:V88,V89:V89,V90:V90,V91:V91,V92:V92,V93:V93,V94:V94,V95:V95,V96:V96,V97:V97,V98:V98,V99:V99,V100:V100)</f>
        <v>0</v>
      </c>
      <c r="W102" s="69">
        <f>SUM(W83:W83,W84:W84,W85:W85,W86:W86,W87:W87,W88:W88,W89:W89,W90:W90,W91:W91,W92:W92,W93:W93,W94:W94,W95:W95,W96:W96,W97:W97,W98:W98,W99:W99,W100:W100)</f>
        <v>0</v>
      </c>
      <c r="X102" s="69">
        <f>SUM(X83:X83,X84:X84,X85:X85,X86:X86,X87:X87,X88:X88,X89:X89,X90:X90,X91:X91,X92:X92,X93:X93,X94:X94,X95:X95,X96:X96,X97:X97,X98:X98,X99:X99,X100:X100)</f>
        <v>0</v>
      </c>
      <c r="Y102" s="69">
        <f>SUM(Y83:Y83,Y84:Y84,Y85:Y85,Y86:Y86,Y87:Y87,Y88:Y88,Y89:Y89,Y90:Y90,Y91:Y91,Y92:Y92,Y93:Y93,Y94:Y94,Y95:Y95,Y96:Y96,Y97:Y97,Y98:Y98,Y99:Y99,Y100:Y100)</f>
        <v>0</v>
      </c>
      <c r="Z102" s="69">
        <f>SUM(Z83:Z83,Z84:Z84,Z85:Z85,Z86:Z86,Z87:Z87,Z88:Z88,Z89:Z89,Z90:Z90,Z91:Z91,Z92:Z92,Z93:Z93,Z94:Z94,Z95:Z95,Z96:Z96,Z97:Z97,Z98:Z98,Z99:Z99,Z100:Z100)</f>
        <v>0</v>
      </c>
      <c r="AA102" s="60"/>
      <c r="AB102" s="69">
        <f>SUM(AB83:AB83,AB84:AB84,AB85:AB85,AB86:AB86,AB87:AB87,AB88:AB88,AB89:AB89,AB90:AB90,AB91:AB91,AB92:AB92,AB93:AB93,AB94:AB94,AB95:AB95,AB96:AB96,AB97:AB97,AB98:AB98,AB99:AB99,AB100:AB100)</f>
        <v>0</v>
      </c>
      <c r="AC102" s="69">
        <f>SUM(AC83:AC83,AC84:AC84,AC85:AC85,AC86:AC86,AC87:AC87,AC88:AC88,AC89:AC89,AC90:AC90,AC91:AC91,AC92:AC92,AC93:AC93,AC94:AC94,AC95:AC95,AC96:AC96,AC97:AC97,AC98:AC98,AC99:AC99,AC100:AC100)</f>
        <v>0</v>
      </c>
      <c r="AD102" s="69">
        <f>SUM(AD83:AD83,AD84:AD84,AD85:AD85,AD86:AD86,AD87:AD87,AD88:AD88,AD89:AD89,AD90:AD90,AD91:AD91,AD92:AD92,AD93:AD93,AD94:AD94,AD95:AD95,AD96:AD96,AD97:AD97,AD98:AD98,AD99:AD99,AD100:AD100)</f>
        <v>0</v>
      </c>
      <c r="AE102" s="69">
        <f>SUM(AE83:AE83,AE84:AE84,AE85:AE85,AE86:AE86,AE87:AE87,AE88:AE88,AE89:AE89,AE90:AE90,AE91:AE91,AE92:AE92,AE93:AE93,AE94:AE94,AE95:AE95,AE96:AE96,AE97:AE97,AE98:AE98,AE99:AE99,AE100:AE100)</f>
        <v>-11109</v>
      </c>
      <c r="AF102" s="69">
        <f>SUM(AF83:AF83,AF84:AF84,AF85:AF85,AF86:AF86,AF87:AF87,AF88:AF88,AF89:AF89,AF90:AF90,AF91:AF91,AF92:AF92,AF93:AF93,AF94:AF94,AF95:AF95,AF96:AF96,AF97:AF97,AF98:AF98,AF99:AF99,AF100:AF100)</f>
        <v>-1572</v>
      </c>
    </row>
    <row r="103" spans="2:32" ht="13.5" thickTop="1" x14ac:dyDescent="0.3">
      <c r="B103" s="71"/>
      <c r="C103" s="72"/>
      <c r="D103" s="72"/>
      <c r="E103" s="73"/>
      <c r="F103" s="73"/>
      <c r="G103" s="73"/>
      <c r="H103" s="73"/>
      <c r="I103" s="73"/>
      <c r="J103" s="73"/>
      <c r="K103" s="73"/>
      <c r="L103" s="72"/>
      <c r="M103" s="72"/>
      <c r="N103" s="72"/>
      <c r="O103" s="72"/>
      <c r="P103" s="72"/>
      <c r="Q103" s="72"/>
      <c r="R103" s="72"/>
      <c r="S103" s="72"/>
      <c r="T103" s="72"/>
      <c r="U103" s="74"/>
      <c r="V103" s="72"/>
      <c r="W103" s="72"/>
      <c r="X103" s="72"/>
      <c r="Y103" s="72"/>
      <c r="Z103" s="75"/>
      <c r="AA103" s="60"/>
      <c r="AB103" s="71"/>
      <c r="AC103" s="72"/>
      <c r="AD103" s="72"/>
      <c r="AE103" s="72"/>
      <c r="AF103" s="75"/>
    </row>
    <row r="104" spans="2:32" ht="13" x14ac:dyDescent="0.3">
      <c r="B104" s="78" t="s">
        <v>136</v>
      </c>
      <c r="C104" s="34">
        <f t="shared" ref="C104:J104" si="46">SUM(C105:C115,C116:C116)</f>
        <v>1287</v>
      </c>
      <c r="D104" s="34">
        <f t="shared" si="46"/>
        <v>1229</v>
      </c>
      <c r="E104" s="24">
        <f t="shared" si="46"/>
        <v>0</v>
      </c>
      <c r="F104" s="24">
        <f t="shared" si="46"/>
        <v>16</v>
      </c>
      <c r="G104" s="24">
        <f t="shared" si="46"/>
        <v>-58</v>
      </c>
      <c r="H104" s="24">
        <f t="shared" si="46"/>
        <v>74</v>
      </c>
      <c r="I104" s="24">
        <f t="shared" si="46"/>
        <v>0</v>
      </c>
      <c r="J104" s="24">
        <f t="shared" si="46"/>
        <v>0</v>
      </c>
      <c r="K104" s="24">
        <f>SUM(K105:K116)</f>
        <v>32</v>
      </c>
      <c r="L104" s="34">
        <f>N104-D104</f>
        <v>74</v>
      </c>
      <c r="M104" s="34">
        <f>N104-C104</f>
        <v>16</v>
      </c>
      <c r="N104" s="34">
        <f>SUM(N105:N115,N116:N116)</f>
        <v>1303</v>
      </c>
      <c r="O104" s="34">
        <f>SUM(O105:O115,O116:O116)</f>
        <v>74554</v>
      </c>
      <c r="P104" s="34">
        <f>SUM(P105:P115,P116:P116)</f>
        <v>-76853</v>
      </c>
      <c r="Q104" s="34">
        <f>SUM(Q105:Q115,Q116:Q116)</f>
        <v>-2300</v>
      </c>
      <c r="R104" s="34">
        <f>SUM(R105:R115,R116:R116)</f>
        <v>1303</v>
      </c>
      <c r="S104" s="34">
        <f>Q104-R104</f>
        <v>-3603</v>
      </c>
      <c r="T104" s="94">
        <f>IFERROR((Q104/N104)*100%,"∞")</f>
        <v>-1.765157329240215</v>
      </c>
      <c r="U104" s="95">
        <f>N104+V104</f>
        <v>1303</v>
      </c>
      <c r="V104" s="34">
        <f>SUM(V105:V115,V116:V116)</f>
        <v>0</v>
      </c>
      <c r="W104" s="34">
        <f>SUM(W105:W115,W116:W116)</f>
        <v>0</v>
      </c>
      <c r="X104" s="34"/>
      <c r="Y104" s="34"/>
      <c r="Z104" s="41"/>
      <c r="AA104" s="60"/>
      <c r="AB104" s="100">
        <f>SUM(AB105:AB115,AB116:AB116)</f>
        <v>0</v>
      </c>
      <c r="AC104" s="33">
        <f>SUM(AC105:AC115,AC116:AC116)</f>
        <v>0</v>
      </c>
      <c r="AD104" s="33">
        <f>SUM(AD105:AD115,AD116:AD116)</f>
        <v>0</v>
      </c>
      <c r="AE104" s="33">
        <f>SUM(AE105:AE115,AE116:AE116)</f>
        <v>-2300</v>
      </c>
      <c r="AF104" s="101">
        <f>SUM(AF105:AF115,AF116:AF116)</f>
        <v>-3603</v>
      </c>
    </row>
    <row r="105" spans="2:32" ht="13" outlineLevel="1" x14ac:dyDescent="0.3">
      <c r="B105" s="79" t="s">
        <v>137</v>
      </c>
      <c r="C105" s="33">
        <v>380</v>
      </c>
      <c r="D105" s="33">
        <v>380</v>
      </c>
      <c r="E105" s="23">
        <v>0</v>
      </c>
      <c r="F105" s="23">
        <v>16</v>
      </c>
      <c r="G105" s="23">
        <v>0</v>
      </c>
      <c r="H105" s="23">
        <v>16</v>
      </c>
      <c r="I105" s="23">
        <v>0</v>
      </c>
      <c r="J105" s="23">
        <v>0</v>
      </c>
      <c r="K105" s="23">
        <f>SUM(E105:J105)</f>
        <v>32</v>
      </c>
      <c r="L105" s="33">
        <f>N105-D105</f>
        <v>16</v>
      </c>
      <c r="M105" s="33">
        <f>N105-C105</f>
        <v>16</v>
      </c>
      <c r="N105" s="33">
        <v>396</v>
      </c>
      <c r="O105" s="33">
        <v>38966</v>
      </c>
      <c r="P105" s="33">
        <v>-39141</v>
      </c>
      <c r="Q105" s="33">
        <v>-176</v>
      </c>
      <c r="R105" s="33">
        <v>396</v>
      </c>
      <c r="S105" s="33">
        <f>Q105-R105</f>
        <v>-572</v>
      </c>
      <c r="T105" s="38">
        <f>IFERROR((Q105/N105)*100%,"∞")</f>
        <v>-0.44444444444444442</v>
      </c>
      <c r="U105" s="59">
        <f>N105+V105</f>
        <v>396</v>
      </c>
      <c r="V105" s="33">
        <v>0</v>
      </c>
      <c r="W105" s="33">
        <v>0</v>
      </c>
      <c r="X105" s="33"/>
      <c r="Y105" s="33"/>
      <c r="Z105" s="42"/>
      <c r="AA105" s="60"/>
      <c r="AB105" s="105"/>
      <c r="AC105" s="93"/>
      <c r="AD105" s="33">
        <f>SUM(AB105:AC105)</f>
        <v>0</v>
      </c>
      <c r="AE105" s="33">
        <f>Q105+AD105</f>
        <v>-176</v>
      </c>
      <c r="AF105" s="101">
        <f>AE105-N105</f>
        <v>-572</v>
      </c>
    </row>
    <row r="106" spans="2:32" ht="13" outlineLevel="1" x14ac:dyDescent="0.3">
      <c r="B106" s="79" t="s">
        <v>138</v>
      </c>
      <c r="C106" s="33">
        <v>3062</v>
      </c>
      <c r="D106" s="33">
        <v>3062</v>
      </c>
      <c r="E106" s="23">
        <v>0</v>
      </c>
      <c r="F106" s="23">
        <v>0</v>
      </c>
      <c r="G106" s="23">
        <v>0</v>
      </c>
      <c r="H106" s="23">
        <v>0</v>
      </c>
      <c r="I106" s="23">
        <v>0</v>
      </c>
      <c r="J106" s="23">
        <v>0</v>
      </c>
      <c r="K106" s="23">
        <f t="shared" ref="K106:K114" si="47">SUM(E106:J106)</f>
        <v>0</v>
      </c>
      <c r="L106" s="33">
        <f t="shared" ref="L106:L114" si="48">N106-D106</f>
        <v>0</v>
      </c>
      <c r="M106" s="33">
        <f t="shared" ref="M106:M114" si="49">N106-C106</f>
        <v>0</v>
      </c>
      <c r="N106" s="33">
        <v>3062</v>
      </c>
      <c r="O106" s="33">
        <v>4324</v>
      </c>
      <c r="P106" s="33">
        <v>0</v>
      </c>
      <c r="Q106" s="33">
        <v>4324</v>
      </c>
      <c r="R106" s="33">
        <v>3062</v>
      </c>
      <c r="S106" s="33">
        <f t="shared" ref="S106:S114" si="50">Q106-R106</f>
        <v>1262</v>
      </c>
      <c r="T106" s="38">
        <f t="shared" ref="T106:T114" si="51">IFERROR((Q106/N106)*100%,"∞")</f>
        <v>1.4121489222730241</v>
      </c>
      <c r="U106" s="59">
        <f t="shared" ref="U106:U114" si="52">N106+V106</f>
        <v>3062</v>
      </c>
      <c r="V106" s="33">
        <v>0</v>
      </c>
      <c r="W106" s="33">
        <v>0</v>
      </c>
      <c r="X106" s="33"/>
      <c r="Y106" s="33"/>
      <c r="Z106" s="42"/>
      <c r="AA106" s="60"/>
      <c r="AB106" s="105"/>
      <c r="AC106" s="93"/>
      <c r="AD106" s="33">
        <f t="shared" ref="AD106:AD114" si="53">SUM(AB106:AC106)</f>
        <v>0</v>
      </c>
      <c r="AE106" s="33">
        <f t="shared" ref="AE106:AE114" si="54">Q106+AD106</f>
        <v>4324</v>
      </c>
      <c r="AF106" s="101">
        <f t="shared" ref="AF106:AF114" si="55">AE106-N106</f>
        <v>1262</v>
      </c>
    </row>
    <row r="107" spans="2:32" ht="13" outlineLevel="1" x14ac:dyDescent="0.3">
      <c r="B107" s="79" t="s">
        <v>139</v>
      </c>
      <c r="C107" s="33">
        <v>602</v>
      </c>
      <c r="D107" s="33">
        <v>602</v>
      </c>
      <c r="E107" s="23">
        <v>0</v>
      </c>
      <c r="F107" s="23">
        <v>0</v>
      </c>
      <c r="G107" s="23">
        <v>0</v>
      </c>
      <c r="H107" s="23">
        <v>0</v>
      </c>
      <c r="I107" s="23">
        <v>0</v>
      </c>
      <c r="J107" s="23">
        <v>0</v>
      </c>
      <c r="K107" s="23">
        <f t="shared" si="47"/>
        <v>0</v>
      </c>
      <c r="L107" s="33">
        <f t="shared" si="48"/>
        <v>0</v>
      </c>
      <c r="M107" s="33">
        <f t="shared" si="49"/>
        <v>0</v>
      </c>
      <c r="N107" s="33">
        <v>602</v>
      </c>
      <c r="O107" s="33">
        <v>426</v>
      </c>
      <c r="P107" s="33">
        <v>0</v>
      </c>
      <c r="Q107" s="33">
        <v>426</v>
      </c>
      <c r="R107" s="33">
        <v>602</v>
      </c>
      <c r="S107" s="33">
        <f t="shared" si="50"/>
        <v>-176</v>
      </c>
      <c r="T107" s="38">
        <f t="shared" si="51"/>
        <v>0.70764119601328901</v>
      </c>
      <c r="U107" s="59">
        <f t="shared" si="52"/>
        <v>602</v>
      </c>
      <c r="V107" s="33">
        <v>0</v>
      </c>
      <c r="W107" s="33">
        <v>0</v>
      </c>
      <c r="X107" s="33"/>
      <c r="Y107" s="33"/>
      <c r="Z107" s="42"/>
      <c r="AA107" s="60"/>
      <c r="AB107" s="105"/>
      <c r="AC107" s="93"/>
      <c r="AD107" s="33">
        <f t="shared" si="53"/>
        <v>0</v>
      </c>
      <c r="AE107" s="33">
        <f t="shared" si="54"/>
        <v>426</v>
      </c>
      <c r="AF107" s="101">
        <f t="shared" si="55"/>
        <v>-176</v>
      </c>
    </row>
    <row r="108" spans="2:32" ht="13" outlineLevel="1" x14ac:dyDescent="0.3">
      <c r="B108" s="79" t="s">
        <v>141</v>
      </c>
      <c r="C108" s="33">
        <v>8228</v>
      </c>
      <c r="D108" s="33">
        <v>8228</v>
      </c>
      <c r="E108" s="23">
        <v>0</v>
      </c>
      <c r="F108" s="23">
        <v>0</v>
      </c>
      <c r="G108" s="23">
        <v>0</v>
      </c>
      <c r="H108" s="23">
        <v>0</v>
      </c>
      <c r="I108" s="23">
        <v>0</v>
      </c>
      <c r="J108" s="23">
        <v>0</v>
      </c>
      <c r="K108" s="23">
        <f t="shared" si="47"/>
        <v>0</v>
      </c>
      <c r="L108" s="33">
        <f t="shared" si="48"/>
        <v>0</v>
      </c>
      <c r="M108" s="33">
        <f t="shared" si="49"/>
        <v>0</v>
      </c>
      <c r="N108" s="33">
        <v>8228</v>
      </c>
      <c r="O108" s="33">
        <v>7965</v>
      </c>
      <c r="P108" s="33">
        <v>0</v>
      </c>
      <c r="Q108" s="33">
        <v>7965</v>
      </c>
      <c r="R108" s="33">
        <v>8228</v>
      </c>
      <c r="S108" s="33">
        <f t="shared" si="50"/>
        <v>-263</v>
      </c>
      <c r="T108" s="38">
        <f t="shared" si="51"/>
        <v>0.96803597472046665</v>
      </c>
      <c r="U108" s="59">
        <f t="shared" si="52"/>
        <v>8228</v>
      </c>
      <c r="V108" s="33">
        <v>0</v>
      </c>
      <c r="W108" s="33">
        <v>0</v>
      </c>
      <c r="X108" s="33"/>
      <c r="Y108" s="33"/>
      <c r="Z108" s="42"/>
      <c r="AA108" s="60"/>
      <c r="AB108" s="105"/>
      <c r="AC108" s="93"/>
      <c r="AD108" s="33">
        <f t="shared" si="53"/>
        <v>0</v>
      </c>
      <c r="AE108" s="33">
        <f t="shared" si="54"/>
        <v>7965</v>
      </c>
      <c r="AF108" s="101">
        <f t="shared" si="55"/>
        <v>-263</v>
      </c>
    </row>
    <row r="109" spans="2:32" ht="13" outlineLevel="1" x14ac:dyDescent="0.3">
      <c r="B109" s="79" t="s">
        <v>142</v>
      </c>
      <c r="C109" s="33">
        <v>-4059</v>
      </c>
      <c r="D109" s="33">
        <v>-4059</v>
      </c>
      <c r="E109" s="23">
        <v>0</v>
      </c>
      <c r="F109" s="23">
        <v>0</v>
      </c>
      <c r="G109" s="23">
        <v>0</v>
      </c>
      <c r="H109" s="23">
        <v>0</v>
      </c>
      <c r="I109" s="23">
        <v>0</v>
      </c>
      <c r="J109" s="23">
        <v>0</v>
      </c>
      <c r="K109" s="23">
        <f t="shared" si="47"/>
        <v>0</v>
      </c>
      <c r="L109" s="33">
        <f t="shared" si="48"/>
        <v>0</v>
      </c>
      <c r="M109" s="33">
        <f t="shared" si="49"/>
        <v>0</v>
      </c>
      <c r="N109" s="33">
        <v>-4059</v>
      </c>
      <c r="O109" s="33">
        <v>121</v>
      </c>
      <c r="P109" s="33">
        <v>-4717</v>
      </c>
      <c r="Q109" s="33">
        <v>-4596</v>
      </c>
      <c r="R109" s="33">
        <v>-4059</v>
      </c>
      <c r="S109" s="33">
        <f t="shared" si="50"/>
        <v>-537</v>
      </c>
      <c r="T109" s="38">
        <f t="shared" si="51"/>
        <v>1.1322985957132299</v>
      </c>
      <c r="U109" s="59">
        <f t="shared" si="52"/>
        <v>-4059</v>
      </c>
      <c r="V109" s="33">
        <v>0</v>
      </c>
      <c r="W109" s="33">
        <v>0</v>
      </c>
      <c r="X109" s="33"/>
      <c r="Y109" s="33"/>
      <c r="Z109" s="42"/>
      <c r="AA109" s="60"/>
      <c r="AB109" s="105"/>
      <c r="AC109" s="93"/>
      <c r="AD109" s="33">
        <f t="shared" si="53"/>
        <v>0</v>
      </c>
      <c r="AE109" s="33">
        <f t="shared" si="54"/>
        <v>-4596</v>
      </c>
      <c r="AF109" s="101">
        <f t="shared" si="55"/>
        <v>-537</v>
      </c>
    </row>
    <row r="110" spans="2:32" ht="13" outlineLevel="1" x14ac:dyDescent="0.3">
      <c r="B110" s="79" t="s">
        <v>143</v>
      </c>
      <c r="C110" s="33">
        <v>-8097</v>
      </c>
      <c r="D110" s="33">
        <v>-8097</v>
      </c>
      <c r="E110" s="23">
        <v>0</v>
      </c>
      <c r="F110" s="23">
        <v>0</v>
      </c>
      <c r="G110" s="23">
        <v>0</v>
      </c>
      <c r="H110" s="23">
        <v>0</v>
      </c>
      <c r="I110" s="23">
        <v>0</v>
      </c>
      <c r="J110" s="23">
        <v>0</v>
      </c>
      <c r="K110" s="23">
        <f t="shared" si="47"/>
        <v>0</v>
      </c>
      <c r="L110" s="33">
        <f t="shared" si="48"/>
        <v>0</v>
      </c>
      <c r="M110" s="33">
        <f t="shared" si="49"/>
        <v>0</v>
      </c>
      <c r="N110" s="33">
        <v>-8097</v>
      </c>
      <c r="O110" s="33">
        <v>0</v>
      </c>
      <c r="P110" s="33">
        <v>-7636</v>
      </c>
      <c r="Q110" s="33">
        <v>-7636</v>
      </c>
      <c r="R110" s="33">
        <v>-8097</v>
      </c>
      <c r="S110" s="33">
        <f t="shared" si="50"/>
        <v>461</v>
      </c>
      <c r="T110" s="38">
        <f t="shared" si="51"/>
        <v>0.94306533283932326</v>
      </c>
      <c r="U110" s="59">
        <f t="shared" si="52"/>
        <v>-8097</v>
      </c>
      <c r="V110" s="33">
        <v>0</v>
      </c>
      <c r="W110" s="33">
        <v>0</v>
      </c>
      <c r="X110" s="33"/>
      <c r="Y110" s="33"/>
      <c r="Z110" s="42"/>
      <c r="AA110" s="60"/>
      <c r="AB110" s="105"/>
      <c r="AC110" s="93"/>
      <c r="AD110" s="33">
        <f t="shared" si="53"/>
        <v>0</v>
      </c>
      <c r="AE110" s="33">
        <f t="shared" si="54"/>
        <v>-7636</v>
      </c>
      <c r="AF110" s="101">
        <f t="shared" si="55"/>
        <v>461</v>
      </c>
    </row>
    <row r="111" spans="2:32" ht="13" outlineLevel="1" x14ac:dyDescent="0.3">
      <c r="B111" s="79" t="s">
        <v>144</v>
      </c>
      <c r="C111" s="33">
        <v>-605</v>
      </c>
      <c r="D111" s="33">
        <v>-605</v>
      </c>
      <c r="E111" s="23">
        <v>0</v>
      </c>
      <c r="F111" s="23">
        <v>0</v>
      </c>
      <c r="G111" s="23">
        <v>0</v>
      </c>
      <c r="H111" s="23">
        <v>0</v>
      </c>
      <c r="I111" s="23">
        <v>0</v>
      </c>
      <c r="J111" s="23">
        <v>0</v>
      </c>
      <c r="K111" s="23">
        <f t="shared" si="47"/>
        <v>0</v>
      </c>
      <c r="L111" s="33">
        <f t="shared" si="48"/>
        <v>0</v>
      </c>
      <c r="M111" s="33">
        <f t="shared" si="49"/>
        <v>0</v>
      </c>
      <c r="N111" s="33">
        <v>-605</v>
      </c>
      <c r="O111" s="33">
        <v>0</v>
      </c>
      <c r="P111" s="33">
        <v>-475</v>
      </c>
      <c r="Q111" s="33">
        <v>-475</v>
      </c>
      <c r="R111" s="33">
        <v>-605</v>
      </c>
      <c r="S111" s="33">
        <f t="shared" si="50"/>
        <v>130</v>
      </c>
      <c r="T111" s="38">
        <f t="shared" si="51"/>
        <v>0.78512396694214881</v>
      </c>
      <c r="U111" s="59">
        <f t="shared" si="52"/>
        <v>-605</v>
      </c>
      <c r="V111" s="33">
        <v>0</v>
      </c>
      <c r="W111" s="33">
        <v>0</v>
      </c>
      <c r="X111" s="33"/>
      <c r="Y111" s="33"/>
      <c r="Z111" s="42"/>
      <c r="AA111" s="60"/>
      <c r="AB111" s="105"/>
      <c r="AC111" s="93"/>
      <c r="AD111" s="33">
        <f t="shared" si="53"/>
        <v>0</v>
      </c>
      <c r="AE111" s="33">
        <f t="shared" si="54"/>
        <v>-475</v>
      </c>
      <c r="AF111" s="101">
        <f t="shared" si="55"/>
        <v>130</v>
      </c>
    </row>
    <row r="112" spans="2:32" ht="13" outlineLevel="1" x14ac:dyDescent="0.3">
      <c r="B112" s="79" t="s">
        <v>145</v>
      </c>
      <c r="C112" s="33">
        <v>2149</v>
      </c>
      <c r="D112" s="33">
        <v>2091</v>
      </c>
      <c r="E112" s="23">
        <v>0</v>
      </c>
      <c r="F112" s="23">
        <v>0</v>
      </c>
      <c r="G112" s="23">
        <v>-58</v>
      </c>
      <c r="H112" s="23">
        <v>58</v>
      </c>
      <c r="I112" s="23">
        <v>0</v>
      </c>
      <c r="J112" s="23">
        <v>0</v>
      </c>
      <c r="K112" s="23">
        <f t="shared" si="47"/>
        <v>0</v>
      </c>
      <c r="L112" s="33">
        <f t="shared" si="48"/>
        <v>58</v>
      </c>
      <c r="M112" s="33">
        <f t="shared" si="49"/>
        <v>0</v>
      </c>
      <c r="N112" s="33">
        <v>2149</v>
      </c>
      <c r="O112" s="33">
        <v>-90</v>
      </c>
      <c r="P112" s="33">
        <v>0</v>
      </c>
      <c r="Q112" s="33">
        <v>-90</v>
      </c>
      <c r="R112" s="33">
        <v>2149</v>
      </c>
      <c r="S112" s="33">
        <f t="shared" si="50"/>
        <v>-2239</v>
      </c>
      <c r="T112" s="38">
        <f t="shared" si="51"/>
        <v>-4.1879944160074456E-2</v>
      </c>
      <c r="U112" s="59">
        <f t="shared" si="52"/>
        <v>2149</v>
      </c>
      <c r="V112" s="33">
        <v>0</v>
      </c>
      <c r="W112" s="33">
        <v>0</v>
      </c>
      <c r="X112" s="33"/>
      <c r="Y112" s="33"/>
      <c r="Z112" s="42"/>
      <c r="AA112" s="60"/>
      <c r="AB112" s="105"/>
      <c r="AC112" s="93"/>
      <c r="AD112" s="33">
        <f t="shared" si="53"/>
        <v>0</v>
      </c>
      <c r="AE112" s="33">
        <f t="shared" si="54"/>
        <v>-90</v>
      </c>
      <c r="AF112" s="101">
        <f t="shared" si="55"/>
        <v>-2239</v>
      </c>
    </row>
    <row r="113" spans="2:32" ht="13" outlineLevel="1" x14ac:dyDescent="0.3">
      <c r="B113" s="79" t="s">
        <v>146</v>
      </c>
      <c r="C113" s="33">
        <v>165</v>
      </c>
      <c r="D113" s="33">
        <v>165</v>
      </c>
      <c r="E113" s="23">
        <v>0</v>
      </c>
      <c r="F113" s="23">
        <v>0</v>
      </c>
      <c r="G113" s="23">
        <v>0</v>
      </c>
      <c r="H113" s="23">
        <v>0</v>
      </c>
      <c r="I113" s="23">
        <v>0</v>
      </c>
      <c r="J113" s="23">
        <v>0</v>
      </c>
      <c r="K113" s="23">
        <f t="shared" si="47"/>
        <v>0</v>
      </c>
      <c r="L113" s="33">
        <f t="shared" si="48"/>
        <v>0</v>
      </c>
      <c r="M113" s="33">
        <f t="shared" si="49"/>
        <v>0</v>
      </c>
      <c r="N113" s="33">
        <v>165</v>
      </c>
      <c r="O113" s="33">
        <v>37</v>
      </c>
      <c r="P113" s="33">
        <v>0</v>
      </c>
      <c r="Q113" s="33">
        <v>37</v>
      </c>
      <c r="R113" s="33">
        <v>165</v>
      </c>
      <c r="S113" s="33">
        <f t="shared" si="50"/>
        <v>-128</v>
      </c>
      <c r="T113" s="38">
        <f t="shared" si="51"/>
        <v>0.22424242424242424</v>
      </c>
      <c r="U113" s="59">
        <f t="shared" si="52"/>
        <v>165</v>
      </c>
      <c r="V113" s="33">
        <v>0</v>
      </c>
      <c r="W113" s="33">
        <v>0</v>
      </c>
      <c r="X113" s="33"/>
      <c r="Y113" s="33"/>
      <c r="Z113" s="42"/>
      <c r="AA113" s="60"/>
      <c r="AB113" s="105"/>
      <c r="AC113" s="93"/>
      <c r="AD113" s="33">
        <f t="shared" si="53"/>
        <v>0</v>
      </c>
      <c r="AE113" s="33">
        <f t="shared" si="54"/>
        <v>37</v>
      </c>
      <c r="AF113" s="101">
        <f t="shared" si="55"/>
        <v>-128</v>
      </c>
    </row>
    <row r="114" spans="2:32" ht="13" outlineLevel="1" x14ac:dyDescent="0.3">
      <c r="B114" s="79" t="s">
        <v>147</v>
      </c>
      <c r="C114" s="33">
        <v>0</v>
      </c>
      <c r="D114" s="33">
        <v>0</v>
      </c>
      <c r="E114" s="23">
        <v>0</v>
      </c>
      <c r="F114" s="23">
        <v>0</v>
      </c>
      <c r="G114" s="23">
        <v>0</v>
      </c>
      <c r="H114" s="23">
        <v>0</v>
      </c>
      <c r="I114" s="23">
        <v>0</v>
      </c>
      <c r="J114" s="23">
        <v>0</v>
      </c>
      <c r="K114" s="23">
        <f t="shared" si="47"/>
        <v>0</v>
      </c>
      <c r="L114" s="33">
        <f t="shared" si="48"/>
        <v>0</v>
      </c>
      <c r="M114" s="33">
        <f t="shared" si="49"/>
        <v>0</v>
      </c>
      <c r="N114" s="33">
        <v>0</v>
      </c>
      <c r="O114" s="33">
        <v>24346</v>
      </c>
      <c r="P114" s="33">
        <v>-24346</v>
      </c>
      <c r="Q114" s="33">
        <v>0</v>
      </c>
      <c r="R114" s="33">
        <v>0</v>
      </c>
      <c r="S114" s="33">
        <f t="shared" si="50"/>
        <v>0</v>
      </c>
      <c r="T114" s="38" t="str">
        <f t="shared" si="51"/>
        <v>∞</v>
      </c>
      <c r="U114" s="59">
        <f t="shared" si="52"/>
        <v>0</v>
      </c>
      <c r="V114" s="33">
        <v>0</v>
      </c>
      <c r="W114" s="33">
        <v>0</v>
      </c>
      <c r="X114" s="33"/>
      <c r="Y114" s="33"/>
      <c r="Z114" s="42"/>
      <c r="AA114" s="60"/>
      <c r="AB114" s="105"/>
      <c r="AC114" s="93"/>
      <c r="AD114" s="33">
        <f t="shared" si="53"/>
        <v>0</v>
      </c>
      <c r="AE114" s="33">
        <f t="shared" si="54"/>
        <v>0</v>
      </c>
      <c r="AF114" s="101">
        <f t="shared" si="55"/>
        <v>0</v>
      </c>
    </row>
    <row r="115" spans="2:32" ht="13" outlineLevel="1" x14ac:dyDescent="0.3">
      <c r="B115" s="79" t="s">
        <v>199</v>
      </c>
      <c r="C115" s="33">
        <v>0</v>
      </c>
      <c r="D115" s="33">
        <v>0</v>
      </c>
      <c r="E115" s="23">
        <v>0</v>
      </c>
      <c r="F115" s="23">
        <v>0</v>
      </c>
      <c r="G115" s="23">
        <v>0</v>
      </c>
      <c r="H115" s="23">
        <v>0</v>
      </c>
      <c r="I115" s="23">
        <v>0</v>
      </c>
      <c r="J115" s="23">
        <v>0</v>
      </c>
      <c r="K115" s="23">
        <f>SUM(E115:J115)</f>
        <v>0</v>
      </c>
      <c r="L115" s="33">
        <f>N115-D115</f>
        <v>0</v>
      </c>
      <c r="M115" s="33">
        <f>N115-C115</f>
        <v>0</v>
      </c>
      <c r="N115" s="33">
        <v>0</v>
      </c>
      <c r="O115" s="33">
        <v>-1541</v>
      </c>
      <c r="P115" s="33">
        <v>0</v>
      </c>
      <c r="Q115" s="33">
        <v>-1541</v>
      </c>
      <c r="R115" s="33">
        <v>0</v>
      </c>
      <c r="S115" s="33">
        <f>Q115-R115</f>
        <v>-1541</v>
      </c>
      <c r="T115" s="38" t="str">
        <f>IFERROR((Q115/N115)*100%,"∞")</f>
        <v>∞</v>
      </c>
      <c r="U115" s="59">
        <f>N115+V115</f>
        <v>0</v>
      </c>
      <c r="V115" s="33">
        <v>0</v>
      </c>
      <c r="W115" s="33">
        <v>0</v>
      </c>
      <c r="X115" s="33"/>
      <c r="Y115" s="33"/>
      <c r="Z115" s="42"/>
      <c r="AA115" s="60"/>
      <c r="AB115" s="105"/>
      <c r="AC115" s="93"/>
      <c r="AD115" s="33">
        <f>SUM(AB115:AC115)</f>
        <v>0</v>
      </c>
      <c r="AE115" s="33">
        <f>Q115+AD115</f>
        <v>-1541</v>
      </c>
      <c r="AF115" s="101">
        <f>AE115-N115</f>
        <v>-1541</v>
      </c>
    </row>
    <row r="116" spans="2:32" ht="13" outlineLevel="1" x14ac:dyDescent="0.3">
      <c r="B116" s="79" t="s">
        <v>148</v>
      </c>
      <c r="C116" s="33">
        <v>-538</v>
      </c>
      <c r="D116" s="33">
        <v>-538</v>
      </c>
      <c r="E116" s="23">
        <v>0</v>
      </c>
      <c r="F116" s="23">
        <v>0</v>
      </c>
      <c r="G116" s="23">
        <v>0</v>
      </c>
      <c r="H116" s="23">
        <v>0</v>
      </c>
      <c r="I116" s="23">
        <v>0</v>
      </c>
      <c r="J116" s="23">
        <v>0</v>
      </c>
      <c r="K116" s="23">
        <f>SUM(E116:J116)</f>
        <v>0</v>
      </c>
      <c r="L116" s="33">
        <f>N116-D116</f>
        <v>0</v>
      </c>
      <c r="M116" s="33">
        <f>N116-C116</f>
        <v>0</v>
      </c>
      <c r="N116" s="33">
        <v>-538</v>
      </c>
      <c r="O116" s="33">
        <v>0</v>
      </c>
      <c r="P116" s="33">
        <v>-538</v>
      </c>
      <c r="Q116" s="33">
        <v>-538</v>
      </c>
      <c r="R116" s="33">
        <v>-538</v>
      </c>
      <c r="S116" s="33">
        <f>Q116-R116</f>
        <v>0</v>
      </c>
      <c r="T116" s="38">
        <f>IFERROR((Q116/N116)*100%,"∞")</f>
        <v>1</v>
      </c>
      <c r="U116" s="59">
        <f>N116+V116</f>
        <v>-538</v>
      </c>
      <c r="V116" s="33">
        <v>0</v>
      </c>
      <c r="W116" s="33">
        <v>0</v>
      </c>
      <c r="X116" s="33"/>
      <c r="Y116" s="33"/>
      <c r="Z116" s="42"/>
      <c r="AA116" s="60"/>
      <c r="AB116" s="105"/>
      <c r="AC116" s="93"/>
      <c r="AD116" s="33">
        <f>SUM(AB116:AC116)</f>
        <v>0</v>
      </c>
      <c r="AE116" s="33">
        <f>Q116+AD116</f>
        <v>-538</v>
      </c>
      <c r="AF116" s="101">
        <f>AE116-N116</f>
        <v>0</v>
      </c>
    </row>
    <row r="117" spans="2:32" ht="13" x14ac:dyDescent="0.3">
      <c r="B117" s="85"/>
      <c r="C117" s="86"/>
      <c r="D117" s="86"/>
      <c r="E117" s="87"/>
      <c r="F117" s="87"/>
      <c r="G117" s="87"/>
      <c r="H117" s="87"/>
      <c r="I117" s="87"/>
      <c r="J117" s="87"/>
      <c r="K117" s="87"/>
      <c r="L117" s="86"/>
      <c r="M117" s="86"/>
      <c r="N117" s="86"/>
      <c r="O117" s="86"/>
      <c r="P117" s="86"/>
      <c r="Q117" s="86"/>
      <c r="R117" s="86"/>
      <c r="S117" s="86"/>
      <c r="T117" s="86"/>
      <c r="U117" s="88"/>
      <c r="V117" s="86"/>
      <c r="W117" s="86"/>
      <c r="X117" s="86"/>
      <c r="Y117" s="86"/>
      <c r="Z117" s="89"/>
      <c r="AA117" s="60"/>
      <c r="AB117" s="98"/>
      <c r="AC117" s="36"/>
      <c r="AD117" s="36"/>
      <c r="AE117" s="36"/>
      <c r="AF117" s="99"/>
    </row>
    <row r="118" spans="2:32" ht="13" x14ac:dyDescent="0.3">
      <c r="B118" s="78" t="s">
        <v>149</v>
      </c>
      <c r="C118" s="34">
        <f t="shared" ref="C118:J118" si="56">SUM(C119:C127)</f>
        <v>633</v>
      </c>
      <c r="D118" s="34">
        <f t="shared" si="56"/>
        <v>895</v>
      </c>
      <c r="E118" s="24">
        <f t="shared" si="56"/>
        <v>0</v>
      </c>
      <c r="F118" s="24">
        <f t="shared" si="56"/>
        <v>0</v>
      </c>
      <c r="G118" s="24">
        <f t="shared" si="56"/>
        <v>262</v>
      </c>
      <c r="H118" s="24">
        <f t="shared" si="56"/>
        <v>0</v>
      </c>
      <c r="I118" s="24">
        <f t="shared" si="56"/>
        <v>0</v>
      </c>
      <c r="J118" s="24">
        <f t="shared" si="56"/>
        <v>0</v>
      </c>
      <c r="K118" s="24">
        <f>SUM(E118:J118)</f>
        <v>262</v>
      </c>
      <c r="L118" s="34">
        <f>N118-D118</f>
        <v>0</v>
      </c>
      <c r="M118" s="34">
        <f>N118-C118</f>
        <v>262</v>
      </c>
      <c r="N118" s="34">
        <f>SUM(N119:N127)</f>
        <v>895</v>
      </c>
      <c r="O118" s="34">
        <f>SUM(O119:O127)</f>
        <v>563</v>
      </c>
      <c r="P118" s="34">
        <f>SUM(P119:P127)</f>
        <v>-1060</v>
      </c>
      <c r="Q118" s="34">
        <f>SUM(Q119:Q127)</f>
        <v>-497</v>
      </c>
      <c r="R118" s="34">
        <f>SUM(R119:R127)</f>
        <v>895</v>
      </c>
      <c r="S118" s="34">
        <f>Q118-R118</f>
        <v>-1392</v>
      </c>
      <c r="T118" s="94">
        <f>IFERROR((Q118/N118)*100%,"∞")</f>
        <v>-0.55530726256983243</v>
      </c>
      <c r="U118" s="95">
        <f>N118+V118</f>
        <v>895</v>
      </c>
      <c r="V118" s="34">
        <f>SUM(V119:V127)</f>
        <v>0</v>
      </c>
      <c r="W118" s="34">
        <f>SUM(W119:W127)</f>
        <v>0</v>
      </c>
      <c r="X118" s="34"/>
      <c r="Y118" s="34"/>
      <c r="Z118" s="41"/>
      <c r="AA118" s="60"/>
      <c r="AB118" s="100">
        <f>SUM(AB119:AB127)</f>
        <v>0</v>
      </c>
      <c r="AC118" s="33">
        <f>SUM(AC119:AC127)</f>
        <v>0</v>
      </c>
      <c r="AD118" s="33">
        <f>SUM(AD119:AD127)</f>
        <v>0</v>
      </c>
      <c r="AE118" s="33">
        <f>SUM(AE119:AE127)</f>
        <v>-497</v>
      </c>
      <c r="AF118" s="101">
        <f>SUM(AF119:AF127)</f>
        <v>-1392</v>
      </c>
    </row>
    <row r="119" spans="2:32" ht="13" outlineLevel="1" x14ac:dyDescent="0.3">
      <c r="B119" s="79" t="s">
        <v>150</v>
      </c>
      <c r="C119" s="33">
        <v>278</v>
      </c>
      <c r="D119" s="33">
        <v>278</v>
      </c>
      <c r="E119" s="23">
        <v>0</v>
      </c>
      <c r="F119" s="23">
        <v>0</v>
      </c>
      <c r="G119" s="23">
        <v>0</v>
      </c>
      <c r="H119" s="23">
        <v>0</v>
      </c>
      <c r="I119" s="23">
        <v>0</v>
      </c>
      <c r="J119" s="23">
        <v>0</v>
      </c>
      <c r="K119" s="23">
        <f>SUM(E119:J119)</f>
        <v>0</v>
      </c>
      <c r="L119" s="33">
        <f>N119-D119</f>
        <v>0</v>
      </c>
      <c r="M119" s="33">
        <f>N119-C119</f>
        <v>0</v>
      </c>
      <c r="N119" s="33">
        <v>278</v>
      </c>
      <c r="O119" s="33">
        <v>0</v>
      </c>
      <c r="P119" s="33">
        <v>0</v>
      </c>
      <c r="Q119" s="33">
        <v>0</v>
      </c>
      <c r="R119" s="33">
        <v>278</v>
      </c>
      <c r="S119" s="33">
        <f>Q119-R119</f>
        <v>-278</v>
      </c>
      <c r="T119" s="38">
        <f>IFERROR((Q119/N119)*100%,"∞")</f>
        <v>0</v>
      </c>
      <c r="U119" s="59">
        <f>N119+V119</f>
        <v>278</v>
      </c>
      <c r="V119" s="33">
        <v>0</v>
      </c>
      <c r="W119" s="33">
        <v>0</v>
      </c>
      <c r="X119" s="33"/>
      <c r="Y119" s="33"/>
      <c r="Z119" s="42"/>
      <c r="AA119" s="60"/>
      <c r="AB119" s="105"/>
      <c r="AC119" s="93"/>
      <c r="AD119" s="33">
        <f>SUM(AB119:AC119)</f>
        <v>0</v>
      </c>
      <c r="AE119" s="33">
        <f>Q119+AD119</f>
        <v>0</v>
      </c>
      <c r="AF119" s="101">
        <f>AE119-N119</f>
        <v>-278</v>
      </c>
    </row>
    <row r="120" spans="2:32" ht="13" outlineLevel="1" x14ac:dyDescent="0.3">
      <c r="B120" s="79" t="s">
        <v>151</v>
      </c>
      <c r="C120" s="33">
        <v>-390</v>
      </c>
      <c r="D120" s="33">
        <v>540</v>
      </c>
      <c r="E120" s="23">
        <v>0</v>
      </c>
      <c r="F120" s="23">
        <v>0</v>
      </c>
      <c r="G120" s="23">
        <v>930</v>
      </c>
      <c r="H120" s="23">
        <v>0</v>
      </c>
      <c r="I120" s="23">
        <v>0</v>
      </c>
      <c r="J120" s="23">
        <v>0</v>
      </c>
      <c r="K120" s="23">
        <f t="shared" ref="K120:K126" si="57">SUM(E120:J120)</f>
        <v>930</v>
      </c>
      <c r="L120" s="33">
        <f t="shared" ref="L120:L126" si="58">N120-D120</f>
        <v>0</v>
      </c>
      <c r="M120" s="33">
        <f t="shared" ref="M120:M126" si="59">N120-C120</f>
        <v>930</v>
      </c>
      <c r="N120" s="33">
        <v>540</v>
      </c>
      <c r="O120" s="33">
        <v>1667</v>
      </c>
      <c r="P120" s="33">
        <v>0</v>
      </c>
      <c r="Q120" s="33">
        <v>1667</v>
      </c>
      <c r="R120" s="33">
        <v>540</v>
      </c>
      <c r="S120" s="33">
        <f t="shared" ref="S120:S126" si="60">Q120-R120</f>
        <v>1127</v>
      </c>
      <c r="T120" s="38">
        <f t="shared" ref="T120:T126" si="61">IFERROR((Q120/N120)*100%,"∞")</f>
        <v>3.087037037037037</v>
      </c>
      <c r="U120" s="59">
        <f t="shared" ref="U120:U126" si="62">N120+V120</f>
        <v>540</v>
      </c>
      <c r="V120" s="33">
        <v>0</v>
      </c>
      <c r="W120" s="33">
        <v>0</v>
      </c>
      <c r="X120" s="33"/>
      <c r="Y120" s="33"/>
      <c r="Z120" s="42"/>
      <c r="AA120" s="60"/>
      <c r="AB120" s="105"/>
      <c r="AC120" s="93"/>
      <c r="AD120" s="33">
        <f t="shared" ref="AD120:AD126" si="63">SUM(AB120:AC120)</f>
        <v>0</v>
      </c>
      <c r="AE120" s="33">
        <f t="shared" ref="AE120:AE126" si="64">Q120+AD120</f>
        <v>1667</v>
      </c>
      <c r="AF120" s="101">
        <f t="shared" ref="AF120:AF126" si="65">AE120-N120</f>
        <v>1127</v>
      </c>
    </row>
    <row r="121" spans="2:32" ht="13" outlineLevel="1" x14ac:dyDescent="0.3">
      <c r="B121" s="79" t="s">
        <v>152</v>
      </c>
      <c r="C121" s="33">
        <v>588</v>
      </c>
      <c r="D121" s="33">
        <v>0</v>
      </c>
      <c r="E121" s="23">
        <v>0</v>
      </c>
      <c r="F121" s="23">
        <v>0</v>
      </c>
      <c r="G121" s="23">
        <v>-588</v>
      </c>
      <c r="H121" s="23">
        <v>0</v>
      </c>
      <c r="I121" s="23">
        <v>0</v>
      </c>
      <c r="J121" s="23">
        <v>0</v>
      </c>
      <c r="K121" s="23">
        <f t="shared" si="57"/>
        <v>-588</v>
      </c>
      <c r="L121" s="33">
        <f t="shared" si="58"/>
        <v>0</v>
      </c>
      <c r="M121" s="33">
        <f t="shared" si="59"/>
        <v>-588</v>
      </c>
      <c r="N121" s="33">
        <v>0</v>
      </c>
      <c r="O121" s="33">
        <v>0</v>
      </c>
      <c r="P121" s="33">
        <v>0</v>
      </c>
      <c r="Q121" s="33">
        <v>0</v>
      </c>
      <c r="R121" s="33">
        <v>0</v>
      </c>
      <c r="S121" s="33">
        <f t="shared" si="60"/>
        <v>0</v>
      </c>
      <c r="T121" s="38" t="str">
        <f t="shared" si="61"/>
        <v>∞</v>
      </c>
      <c r="U121" s="59">
        <f t="shared" si="62"/>
        <v>0</v>
      </c>
      <c r="V121" s="33">
        <v>0</v>
      </c>
      <c r="W121" s="33">
        <v>0</v>
      </c>
      <c r="X121" s="33"/>
      <c r="Y121" s="33"/>
      <c r="Z121" s="42"/>
      <c r="AA121" s="60"/>
      <c r="AB121" s="105"/>
      <c r="AC121" s="93"/>
      <c r="AD121" s="33">
        <f t="shared" si="63"/>
        <v>0</v>
      </c>
      <c r="AE121" s="33">
        <f t="shared" si="64"/>
        <v>0</v>
      </c>
      <c r="AF121" s="101">
        <f t="shared" si="65"/>
        <v>0</v>
      </c>
    </row>
    <row r="122" spans="2:32" ht="13" outlineLevel="1" x14ac:dyDescent="0.3">
      <c r="B122" s="79" t="s">
        <v>153</v>
      </c>
      <c r="C122" s="33">
        <v>1170</v>
      </c>
      <c r="D122" s="33">
        <v>1090</v>
      </c>
      <c r="E122" s="23">
        <v>0</v>
      </c>
      <c r="F122" s="23">
        <v>0</v>
      </c>
      <c r="G122" s="23">
        <v>-80</v>
      </c>
      <c r="H122" s="23">
        <v>0</v>
      </c>
      <c r="I122" s="23">
        <v>0</v>
      </c>
      <c r="J122" s="23">
        <v>0</v>
      </c>
      <c r="K122" s="23">
        <f t="shared" si="57"/>
        <v>-80</v>
      </c>
      <c r="L122" s="33">
        <f t="shared" si="58"/>
        <v>0</v>
      </c>
      <c r="M122" s="33">
        <f t="shared" si="59"/>
        <v>-80</v>
      </c>
      <c r="N122" s="33">
        <v>1090</v>
      </c>
      <c r="O122" s="33">
        <v>0</v>
      </c>
      <c r="P122" s="33">
        <v>0</v>
      </c>
      <c r="Q122" s="33">
        <v>0</v>
      </c>
      <c r="R122" s="33">
        <v>1090</v>
      </c>
      <c r="S122" s="33">
        <f t="shared" si="60"/>
        <v>-1090</v>
      </c>
      <c r="T122" s="38">
        <f t="shared" si="61"/>
        <v>0</v>
      </c>
      <c r="U122" s="59">
        <f t="shared" si="62"/>
        <v>1090</v>
      </c>
      <c r="V122" s="33">
        <v>0</v>
      </c>
      <c r="W122" s="33">
        <v>0</v>
      </c>
      <c r="X122" s="33"/>
      <c r="Y122" s="33"/>
      <c r="Z122" s="42"/>
      <c r="AA122" s="60"/>
      <c r="AB122" s="105"/>
      <c r="AC122" s="93"/>
      <c r="AD122" s="33">
        <f t="shared" si="63"/>
        <v>0</v>
      </c>
      <c r="AE122" s="33">
        <f t="shared" si="64"/>
        <v>0</v>
      </c>
      <c r="AF122" s="101">
        <f t="shared" si="65"/>
        <v>-1090</v>
      </c>
    </row>
    <row r="123" spans="2:32" ht="13" outlineLevel="1" x14ac:dyDescent="0.3">
      <c r="B123" s="79" t="s">
        <v>154</v>
      </c>
      <c r="C123" s="33">
        <v>472</v>
      </c>
      <c r="D123" s="33">
        <v>472</v>
      </c>
      <c r="E123" s="23">
        <v>0</v>
      </c>
      <c r="F123" s="23">
        <v>0</v>
      </c>
      <c r="G123" s="23">
        <v>0</v>
      </c>
      <c r="H123" s="23">
        <v>0</v>
      </c>
      <c r="I123" s="23">
        <v>0</v>
      </c>
      <c r="J123" s="23">
        <v>0</v>
      </c>
      <c r="K123" s="23">
        <f t="shared" si="57"/>
        <v>0</v>
      </c>
      <c r="L123" s="33">
        <f t="shared" si="58"/>
        <v>0</v>
      </c>
      <c r="M123" s="33">
        <f t="shared" si="59"/>
        <v>0</v>
      </c>
      <c r="N123" s="33">
        <v>472</v>
      </c>
      <c r="O123" s="33">
        <v>0</v>
      </c>
      <c r="P123" s="33">
        <v>0</v>
      </c>
      <c r="Q123" s="33">
        <v>0</v>
      </c>
      <c r="R123" s="33">
        <v>472</v>
      </c>
      <c r="S123" s="33">
        <f t="shared" si="60"/>
        <v>-472</v>
      </c>
      <c r="T123" s="38">
        <f t="shared" si="61"/>
        <v>0</v>
      </c>
      <c r="U123" s="59">
        <f t="shared" si="62"/>
        <v>472</v>
      </c>
      <c r="V123" s="33">
        <v>0</v>
      </c>
      <c r="W123" s="33">
        <v>0</v>
      </c>
      <c r="X123" s="33"/>
      <c r="Y123" s="33"/>
      <c r="Z123" s="42"/>
      <c r="AA123" s="60"/>
      <c r="AB123" s="105"/>
      <c r="AC123" s="93"/>
      <c r="AD123" s="33">
        <f t="shared" si="63"/>
        <v>0</v>
      </c>
      <c r="AE123" s="33">
        <f t="shared" si="64"/>
        <v>0</v>
      </c>
      <c r="AF123" s="101">
        <f t="shared" si="65"/>
        <v>-472</v>
      </c>
    </row>
    <row r="124" spans="2:32" ht="13" outlineLevel="1" x14ac:dyDescent="0.3">
      <c r="B124" s="79" t="s">
        <v>219</v>
      </c>
      <c r="C124" s="33">
        <v>-485</v>
      </c>
      <c r="D124" s="33">
        <v>-485</v>
      </c>
      <c r="E124" s="23">
        <v>0</v>
      </c>
      <c r="F124" s="23">
        <v>0</v>
      </c>
      <c r="G124" s="23">
        <v>0</v>
      </c>
      <c r="H124" s="23">
        <v>0</v>
      </c>
      <c r="I124" s="23">
        <v>0</v>
      </c>
      <c r="J124" s="23">
        <v>0</v>
      </c>
      <c r="K124" s="23">
        <f t="shared" si="57"/>
        <v>0</v>
      </c>
      <c r="L124" s="33">
        <f t="shared" si="58"/>
        <v>0</v>
      </c>
      <c r="M124" s="33">
        <f t="shared" si="59"/>
        <v>0</v>
      </c>
      <c r="N124" s="33">
        <v>-485</v>
      </c>
      <c r="O124" s="33">
        <v>0</v>
      </c>
      <c r="P124" s="33">
        <v>0</v>
      </c>
      <c r="Q124" s="33">
        <v>0</v>
      </c>
      <c r="R124" s="33">
        <v>-485</v>
      </c>
      <c r="S124" s="33">
        <f t="shared" si="60"/>
        <v>485</v>
      </c>
      <c r="T124" s="38">
        <f t="shared" si="61"/>
        <v>0</v>
      </c>
      <c r="U124" s="59">
        <f t="shared" si="62"/>
        <v>-485</v>
      </c>
      <c r="V124" s="33">
        <v>0</v>
      </c>
      <c r="W124" s="33">
        <v>0</v>
      </c>
      <c r="X124" s="33"/>
      <c r="Y124" s="33"/>
      <c r="Z124" s="42"/>
      <c r="AA124" s="60"/>
      <c r="AB124" s="105"/>
      <c r="AC124" s="93"/>
      <c r="AD124" s="33">
        <f t="shared" si="63"/>
        <v>0</v>
      </c>
      <c r="AE124" s="33">
        <f t="shared" si="64"/>
        <v>0</v>
      </c>
      <c r="AF124" s="101">
        <f t="shared" si="65"/>
        <v>485</v>
      </c>
    </row>
    <row r="125" spans="2:32" ht="13" outlineLevel="1" x14ac:dyDescent="0.3">
      <c r="B125" s="79" t="s">
        <v>221</v>
      </c>
      <c r="C125" s="33">
        <v>-1000</v>
      </c>
      <c r="D125" s="33">
        <v>-1000</v>
      </c>
      <c r="E125" s="23">
        <v>0</v>
      </c>
      <c r="F125" s="23">
        <v>0</v>
      </c>
      <c r="G125" s="23">
        <v>0</v>
      </c>
      <c r="H125" s="23">
        <v>0</v>
      </c>
      <c r="I125" s="23">
        <v>0</v>
      </c>
      <c r="J125" s="23">
        <v>0</v>
      </c>
      <c r="K125" s="23">
        <f t="shared" si="57"/>
        <v>0</v>
      </c>
      <c r="L125" s="33">
        <f t="shared" si="58"/>
        <v>0</v>
      </c>
      <c r="M125" s="33">
        <f t="shared" si="59"/>
        <v>0</v>
      </c>
      <c r="N125" s="33">
        <v>-1000</v>
      </c>
      <c r="O125" s="33">
        <v>-1104</v>
      </c>
      <c r="P125" s="33">
        <v>0</v>
      </c>
      <c r="Q125" s="33">
        <v>-1104</v>
      </c>
      <c r="R125" s="33">
        <v>-1000</v>
      </c>
      <c r="S125" s="33">
        <f t="shared" si="60"/>
        <v>-104</v>
      </c>
      <c r="T125" s="38">
        <f t="shared" si="61"/>
        <v>1.1040000000000001</v>
      </c>
      <c r="U125" s="59">
        <f t="shared" si="62"/>
        <v>-1000</v>
      </c>
      <c r="V125" s="33">
        <v>0</v>
      </c>
      <c r="W125" s="33">
        <v>0</v>
      </c>
      <c r="X125" s="33"/>
      <c r="Y125" s="33"/>
      <c r="Z125" s="42"/>
      <c r="AA125" s="60"/>
      <c r="AB125" s="105"/>
      <c r="AC125" s="93"/>
      <c r="AD125" s="33">
        <f t="shared" si="63"/>
        <v>0</v>
      </c>
      <c r="AE125" s="33">
        <f t="shared" si="64"/>
        <v>-1104</v>
      </c>
      <c r="AF125" s="101">
        <f t="shared" si="65"/>
        <v>-104</v>
      </c>
    </row>
    <row r="126" spans="2:32" ht="13" outlineLevel="1" x14ac:dyDescent="0.3">
      <c r="B126" s="79" t="s">
        <v>222</v>
      </c>
      <c r="C126" s="33">
        <v>0</v>
      </c>
      <c r="D126" s="33">
        <v>0</v>
      </c>
      <c r="E126" s="23">
        <v>0</v>
      </c>
      <c r="F126" s="23">
        <v>0</v>
      </c>
      <c r="G126" s="23">
        <v>0</v>
      </c>
      <c r="H126" s="23">
        <v>0</v>
      </c>
      <c r="I126" s="23">
        <v>0</v>
      </c>
      <c r="J126" s="23">
        <v>0</v>
      </c>
      <c r="K126" s="23">
        <f t="shared" si="57"/>
        <v>0</v>
      </c>
      <c r="L126" s="33">
        <f t="shared" si="58"/>
        <v>0</v>
      </c>
      <c r="M126" s="33">
        <f t="shared" si="59"/>
        <v>0</v>
      </c>
      <c r="N126" s="33">
        <v>0</v>
      </c>
      <c r="O126" s="33">
        <v>0</v>
      </c>
      <c r="P126" s="33">
        <v>-766</v>
      </c>
      <c r="Q126" s="33">
        <v>-766</v>
      </c>
      <c r="R126" s="33">
        <v>0</v>
      </c>
      <c r="S126" s="33">
        <f t="shared" si="60"/>
        <v>-766</v>
      </c>
      <c r="T126" s="38" t="str">
        <f t="shared" si="61"/>
        <v>∞</v>
      </c>
      <c r="U126" s="59">
        <f t="shared" si="62"/>
        <v>0</v>
      </c>
      <c r="V126" s="33">
        <v>0</v>
      </c>
      <c r="W126" s="33">
        <v>0</v>
      </c>
      <c r="X126" s="33"/>
      <c r="Y126" s="33"/>
      <c r="Z126" s="42"/>
      <c r="AA126" s="60"/>
      <c r="AB126" s="105"/>
      <c r="AC126" s="93"/>
      <c r="AD126" s="33">
        <f t="shared" si="63"/>
        <v>0</v>
      </c>
      <c r="AE126" s="33">
        <f t="shared" si="64"/>
        <v>-766</v>
      </c>
      <c r="AF126" s="101">
        <f t="shared" si="65"/>
        <v>-766</v>
      </c>
    </row>
    <row r="127" spans="2:32" ht="13" outlineLevel="1" x14ac:dyDescent="0.3">
      <c r="B127" s="79" t="s">
        <v>224</v>
      </c>
      <c r="C127" s="33">
        <v>0</v>
      </c>
      <c r="D127" s="33">
        <v>0</v>
      </c>
      <c r="E127" s="23">
        <v>0</v>
      </c>
      <c r="F127" s="23">
        <v>0</v>
      </c>
      <c r="G127" s="23">
        <v>0</v>
      </c>
      <c r="H127" s="23">
        <v>0</v>
      </c>
      <c r="I127" s="23">
        <v>0</v>
      </c>
      <c r="J127" s="23">
        <v>0</v>
      </c>
      <c r="K127" s="23">
        <f>SUM(E127:J127)</f>
        <v>0</v>
      </c>
      <c r="L127" s="33">
        <f>N127-D127</f>
        <v>0</v>
      </c>
      <c r="M127" s="33">
        <f>N127-C127</f>
        <v>0</v>
      </c>
      <c r="N127" s="33">
        <v>0</v>
      </c>
      <c r="O127" s="33">
        <v>0</v>
      </c>
      <c r="P127" s="33">
        <v>-294</v>
      </c>
      <c r="Q127" s="33">
        <v>-294</v>
      </c>
      <c r="R127" s="33">
        <v>0</v>
      </c>
      <c r="S127" s="33">
        <f>Q127-R127</f>
        <v>-294</v>
      </c>
      <c r="T127" s="38" t="str">
        <f>IFERROR((Q127/N127)*100%,"∞")</f>
        <v>∞</v>
      </c>
      <c r="U127" s="59">
        <f>N127+V127</f>
        <v>0</v>
      </c>
      <c r="V127" s="33">
        <v>0</v>
      </c>
      <c r="W127" s="33">
        <v>0</v>
      </c>
      <c r="X127" s="33"/>
      <c r="Y127" s="33"/>
      <c r="Z127" s="42"/>
      <c r="AA127" s="60"/>
      <c r="AB127" s="105"/>
      <c r="AC127" s="93"/>
      <c r="AD127" s="33">
        <f>SUM(AB127:AC127)</f>
        <v>0</v>
      </c>
      <c r="AE127" s="33">
        <f>Q127+AD127</f>
        <v>-294</v>
      </c>
      <c r="AF127" s="101">
        <f>AE127-N127</f>
        <v>-294</v>
      </c>
    </row>
    <row r="128" spans="2:32" ht="13.5" thickBot="1" x14ac:dyDescent="0.35">
      <c r="B128" s="80"/>
      <c r="C128" s="81"/>
      <c r="D128" s="81"/>
      <c r="E128" s="82"/>
      <c r="F128" s="82"/>
      <c r="G128" s="82"/>
      <c r="H128" s="82"/>
      <c r="I128" s="82"/>
      <c r="J128" s="82"/>
      <c r="K128" s="82"/>
      <c r="L128" s="81"/>
      <c r="M128" s="81"/>
      <c r="N128" s="81"/>
      <c r="O128" s="81"/>
      <c r="P128" s="81"/>
      <c r="Q128" s="81"/>
      <c r="R128" s="81"/>
      <c r="S128" s="81"/>
      <c r="T128" s="81"/>
      <c r="U128" s="83"/>
      <c r="V128" s="81"/>
      <c r="W128" s="81"/>
      <c r="X128" s="81"/>
      <c r="Y128" s="81"/>
      <c r="Z128" s="84"/>
      <c r="AA128" s="60"/>
      <c r="AB128" s="100"/>
      <c r="AC128" s="33"/>
      <c r="AD128" s="33"/>
      <c r="AE128" s="33"/>
      <c r="AF128" s="101"/>
    </row>
    <row r="129" spans="2:32" ht="13.5" thickBot="1" x14ac:dyDescent="0.35">
      <c r="B129" s="91" t="s">
        <v>155</v>
      </c>
      <c r="C129" s="76">
        <f t="shared" ref="C129:J129" si="66">C104+C118</f>
        <v>1920</v>
      </c>
      <c r="D129" s="76">
        <f t="shared" si="66"/>
        <v>2124</v>
      </c>
      <c r="E129" s="76">
        <f t="shared" si="66"/>
        <v>0</v>
      </c>
      <c r="F129" s="76">
        <f t="shared" si="66"/>
        <v>16</v>
      </c>
      <c r="G129" s="76">
        <f t="shared" si="66"/>
        <v>204</v>
      </c>
      <c r="H129" s="76">
        <f t="shared" si="66"/>
        <v>74</v>
      </c>
      <c r="I129" s="76">
        <f t="shared" si="66"/>
        <v>0</v>
      </c>
      <c r="J129" s="76">
        <f t="shared" si="66"/>
        <v>0</v>
      </c>
      <c r="K129" s="76">
        <f>SUM(E129:J129)</f>
        <v>294</v>
      </c>
      <c r="L129" s="76">
        <f>N129-D129</f>
        <v>74</v>
      </c>
      <c r="M129" s="76">
        <f>N129-C129</f>
        <v>278</v>
      </c>
      <c r="N129" s="76">
        <f>N104+N118</f>
        <v>2198</v>
      </c>
      <c r="O129" s="76">
        <f>O104+O118</f>
        <v>75117</v>
      </c>
      <c r="P129" s="76">
        <f>P104+P118</f>
        <v>-77913</v>
      </c>
      <c r="Q129" s="76">
        <f>Q104+Q118</f>
        <v>-2797</v>
      </c>
      <c r="R129" s="76">
        <f>R104+R118</f>
        <v>2198</v>
      </c>
      <c r="S129" s="76">
        <f>Q129-R129</f>
        <v>-4995</v>
      </c>
      <c r="T129" s="92">
        <f>IFERROR((Q129/N129)*100%,"∞")</f>
        <v>-1.2725204731574158</v>
      </c>
      <c r="U129" s="76">
        <f>N129+V129</f>
        <v>2198</v>
      </c>
      <c r="V129" s="76">
        <f>V104+V118</f>
        <v>0</v>
      </c>
      <c r="W129" s="76">
        <f>W104+W118</f>
        <v>0</v>
      </c>
      <c r="X129" s="76">
        <f>X104+X118</f>
        <v>0</v>
      </c>
      <c r="Y129" s="76">
        <f>Y104+Y118</f>
        <v>0</v>
      </c>
      <c r="Z129" s="76">
        <f>Z104+Z118</f>
        <v>0</v>
      </c>
      <c r="AA129" s="60"/>
      <c r="AB129" s="76">
        <f>AB104+AB118</f>
        <v>0</v>
      </c>
      <c r="AC129" s="76">
        <f>AC104+AC118</f>
        <v>0</v>
      </c>
      <c r="AD129" s="76">
        <f>AD104+AD118</f>
        <v>0</v>
      </c>
      <c r="AE129" s="76">
        <f>AE104+AE118</f>
        <v>-2797</v>
      </c>
      <c r="AF129" s="76">
        <f>AF104+AF118</f>
        <v>-4995</v>
      </c>
    </row>
    <row r="130" spans="2:32" ht="14" thickTop="1" thickBot="1" x14ac:dyDescent="0.35">
      <c r="B130" s="80"/>
      <c r="C130" s="81"/>
      <c r="D130" s="81"/>
      <c r="E130" s="82"/>
      <c r="F130" s="82"/>
      <c r="G130" s="82"/>
      <c r="H130" s="82"/>
      <c r="I130" s="82"/>
      <c r="J130" s="82"/>
      <c r="K130" s="82"/>
      <c r="L130" s="81"/>
      <c r="M130" s="81"/>
      <c r="N130" s="81"/>
      <c r="O130" s="81"/>
      <c r="P130" s="81"/>
      <c r="Q130" s="81"/>
      <c r="R130" s="81"/>
      <c r="S130" s="81"/>
      <c r="T130" s="81"/>
      <c r="U130" s="83"/>
      <c r="V130" s="81"/>
      <c r="W130" s="81"/>
      <c r="X130" s="81"/>
      <c r="Y130" s="81"/>
      <c r="Z130" s="84"/>
      <c r="AA130" s="60"/>
      <c r="AB130" s="100"/>
      <c r="AC130" s="33"/>
      <c r="AD130" s="33"/>
      <c r="AE130" s="33"/>
      <c r="AF130" s="101"/>
    </row>
    <row r="131" spans="2:32" ht="13.5" thickBot="1" x14ac:dyDescent="0.35">
      <c r="B131" s="91" t="s">
        <v>156</v>
      </c>
      <c r="C131" s="76">
        <f t="shared" ref="C131:J131" si="67">C81+C102+C129</f>
        <v>28176</v>
      </c>
      <c r="D131" s="76">
        <f t="shared" si="67"/>
        <v>25734</v>
      </c>
      <c r="E131" s="76">
        <f t="shared" si="67"/>
        <v>-2439</v>
      </c>
      <c r="F131" s="76">
        <f t="shared" si="67"/>
        <v>1903</v>
      </c>
      <c r="G131" s="76">
        <f t="shared" si="67"/>
        <v>3</v>
      </c>
      <c r="H131" s="76">
        <f t="shared" si="67"/>
        <v>33</v>
      </c>
      <c r="I131" s="76">
        <f t="shared" si="67"/>
        <v>0</v>
      </c>
      <c r="J131" s="76">
        <f t="shared" si="67"/>
        <v>0</v>
      </c>
      <c r="K131" s="76">
        <f>SUM(E131:J131)</f>
        <v>-500</v>
      </c>
      <c r="L131" s="76">
        <f>N131-D131</f>
        <v>1905</v>
      </c>
      <c r="M131" s="76">
        <f>N131-C131</f>
        <v>-537</v>
      </c>
      <c r="N131" s="76">
        <f>N81+N102+N129</f>
        <v>27639</v>
      </c>
      <c r="O131" s="76">
        <f>O81+O102+O129</f>
        <v>191743</v>
      </c>
      <c r="P131" s="76">
        <f>P81+P102+P129</f>
        <v>-170028</v>
      </c>
      <c r="Q131" s="76">
        <f>Q81+Q102+Q129</f>
        <v>21714</v>
      </c>
      <c r="R131" s="76">
        <f>R81+R102+R129</f>
        <v>27639</v>
      </c>
      <c r="S131" s="76">
        <f>Q131-R131</f>
        <v>-5925</v>
      </c>
      <c r="T131" s="92">
        <f>IFERROR((Q131/N131)*100%,"∞")</f>
        <v>0.78562900249647238</v>
      </c>
      <c r="U131" s="76">
        <f>N131+V131</f>
        <v>27604</v>
      </c>
      <c r="V131" s="76">
        <f>V81+V102+V129</f>
        <v>-35</v>
      </c>
      <c r="W131" s="76">
        <f>W81+W102+W129</f>
        <v>-35</v>
      </c>
      <c r="X131" s="76">
        <f>X81+X102+X129</f>
        <v>0</v>
      </c>
      <c r="Y131" s="76">
        <f>Y81+Y102+Y129</f>
        <v>0</v>
      </c>
      <c r="Z131" s="76">
        <f>Z81+Z102+Z129</f>
        <v>0</v>
      </c>
      <c r="AA131" s="60"/>
      <c r="AB131" s="76">
        <f>AB81+AB102+AB129</f>
        <v>0</v>
      </c>
      <c r="AC131" s="76">
        <f>AC81+AC102+AC129</f>
        <v>0</v>
      </c>
      <c r="AD131" s="76">
        <f>AD81+AD102+AD129</f>
        <v>0</v>
      </c>
      <c r="AE131" s="76">
        <f>AE81+AE102+AE129</f>
        <v>21714</v>
      </c>
      <c r="AF131" s="76">
        <f>AF81+AF102+AF129</f>
        <v>-5925</v>
      </c>
    </row>
    <row r="132" spans="2:32" ht="13.5" thickTop="1" x14ac:dyDescent="0.3">
      <c r="B132" s="71"/>
      <c r="C132" s="72"/>
      <c r="D132" s="72"/>
      <c r="E132" s="73"/>
      <c r="F132" s="73"/>
      <c r="G132" s="73"/>
      <c r="H132" s="73"/>
      <c r="I132" s="73"/>
      <c r="J132" s="73"/>
      <c r="K132" s="73"/>
      <c r="L132" s="72"/>
      <c r="M132" s="72"/>
      <c r="N132" s="72"/>
      <c r="O132" s="72"/>
      <c r="P132" s="72"/>
      <c r="Q132" s="72"/>
      <c r="R132" s="72"/>
      <c r="S132" s="72"/>
      <c r="T132" s="72"/>
      <c r="U132" s="74"/>
      <c r="V132" s="72"/>
      <c r="W132" s="72"/>
      <c r="X132" s="72"/>
      <c r="Y132" s="72"/>
      <c r="Z132" s="75"/>
      <c r="AA132" s="60"/>
      <c r="AB132" s="100"/>
      <c r="AC132" s="33"/>
      <c r="AD132" s="33"/>
      <c r="AE132" s="33"/>
      <c r="AF132" s="101"/>
    </row>
    <row r="133" spans="2:32" ht="13" x14ac:dyDescent="0.3">
      <c r="B133" s="79" t="s">
        <v>157</v>
      </c>
      <c r="C133" s="33">
        <v>-5063</v>
      </c>
      <c r="D133" s="33">
        <v>-2624</v>
      </c>
      <c r="E133" s="23">
        <v>2439</v>
      </c>
      <c r="F133" s="23">
        <v>-3116</v>
      </c>
      <c r="G133" s="23">
        <v>0</v>
      </c>
      <c r="H133" s="23">
        <v>-1246</v>
      </c>
      <c r="I133" s="23">
        <v>0</v>
      </c>
      <c r="J133" s="23">
        <v>0</v>
      </c>
      <c r="K133" s="23">
        <f>SUM(E133:J133)</f>
        <v>-1923</v>
      </c>
      <c r="L133" s="33">
        <f>N133-D133</f>
        <v>-3116</v>
      </c>
      <c r="M133" s="33">
        <f>N133-C133</f>
        <v>-677</v>
      </c>
      <c r="N133" s="33">
        <v>-5740</v>
      </c>
      <c r="O133" s="33">
        <v>-1308</v>
      </c>
      <c r="P133" s="33">
        <v>0</v>
      </c>
      <c r="Q133" s="33">
        <v>-1308</v>
      </c>
      <c r="R133" s="33">
        <v>-5740</v>
      </c>
      <c r="S133" s="33">
        <f>Q133-R133</f>
        <v>4432</v>
      </c>
      <c r="T133" s="38">
        <f>IFERROR((Q133/N133)*100%,"∞")</f>
        <v>0.22787456445993032</v>
      </c>
      <c r="U133" s="59">
        <f>N133+V133</f>
        <v>-5740</v>
      </c>
      <c r="V133" s="33">
        <v>0</v>
      </c>
      <c r="W133" s="33">
        <v>0</v>
      </c>
      <c r="X133" s="33"/>
      <c r="Y133" s="33"/>
      <c r="Z133" s="42"/>
      <c r="AA133" s="60"/>
      <c r="AB133" s="105"/>
      <c r="AC133" s="93"/>
      <c r="AD133" s="33">
        <f>SUM(AB133:AC133)</f>
        <v>0</v>
      </c>
      <c r="AE133" s="33">
        <f>Q133+AD133</f>
        <v>-1308</v>
      </c>
      <c r="AF133" s="101">
        <f>AE133-N133</f>
        <v>4432</v>
      </c>
    </row>
    <row r="134" spans="2:32" ht="13.5" thickBot="1" x14ac:dyDescent="0.35">
      <c r="B134" s="80"/>
      <c r="C134" s="81"/>
      <c r="D134" s="81"/>
      <c r="E134" s="82"/>
      <c r="F134" s="82"/>
      <c r="G134" s="82"/>
      <c r="H134" s="82"/>
      <c r="I134" s="82"/>
      <c r="J134" s="82"/>
      <c r="K134" s="82"/>
      <c r="L134" s="81"/>
      <c r="M134" s="81"/>
      <c r="N134" s="81"/>
      <c r="O134" s="81"/>
      <c r="P134" s="81"/>
      <c r="Q134" s="81"/>
      <c r="R134" s="81"/>
      <c r="S134" s="81"/>
      <c r="T134" s="81"/>
      <c r="U134" s="83"/>
      <c r="V134" s="81"/>
      <c r="W134" s="81"/>
      <c r="X134" s="81"/>
      <c r="Y134" s="81"/>
      <c r="Z134" s="84"/>
      <c r="AA134" s="60"/>
      <c r="AB134" s="100"/>
      <c r="AC134" s="33"/>
      <c r="AD134" s="33"/>
      <c r="AE134" s="33"/>
      <c r="AF134" s="101"/>
    </row>
    <row r="135" spans="2:32" ht="13.5" thickBot="1" x14ac:dyDescent="0.35">
      <c r="B135" s="91" t="s">
        <v>158</v>
      </c>
      <c r="C135" s="76">
        <f t="shared" ref="C135:J135" si="68">C131+C133</f>
        <v>23113</v>
      </c>
      <c r="D135" s="76">
        <f t="shared" si="68"/>
        <v>23110</v>
      </c>
      <c r="E135" s="76">
        <f t="shared" si="68"/>
        <v>0</v>
      </c>
      <c r="F135" s="76">
        <f t="shared" si="68"/>
        <v>-1213</v>
      </c>
      <c r="G135" s="76">
        <f t="shared" si="68"/>
        <v>3</v>
      </c>
      <c r="H135" s="76">
        <f t="shared" si="68"/>
        <v>-1213</v>
      </c>
      <c r="I135" s="76">
        <f t="shared" si="68"/>
        <v>0</v>
      </c>
      <c r="J135" s="76">
        <f t="shared" si="68"/>
        <v>0</v>
      </c>
      <c r="K135" s="76">
        <f>SUM(E135:J135)</f>
        <v>-2423</v>
      </c>
      <c r="L135" s="76">
        <f>N135-D135</f>
        <v>-1211</v>
      </c>
      <c r="M135" s="76">
        <f>N135-C135</f>
        <v>-1214</v>
      </c>
      <c r="N135" s="76">
        <f>N131+N133</f>
        <v>21899</v>
      </c>
      <c r="O135" s="76">
        <f>O131+O133</f>
        <v>190435</v>
      </c>
      <c r="P135" s="76">
        <f>P131+P133</f>
        <v>-170028</v>
      </c>
      <c r="Q135" s="76">
        <f>Q131+Q133</f>
        <v>20406</v>
      </c>
      <c r="R135" s="76">
        <f>R131+R133</f>
        <v>21899</v>
      </c>
      <c r="S135" s="76">
        <f>Q135-R135</f>
        <v>-1493</v>
      </c>
      <c r="T135" s="92">
        <f>IFERROR((Q135/N135)*100%,"∞")</f>
        <v>0.93182337093017942</v>
      </c>
      <c r="U135" s="76">
        <f>N135+V135</f>
        <v>21864</v>
      </c>
      <c r="V135" s="76">
        <f>V131+V133</f>
        <v>-35</v>
      </c>
      <c r="W135" s="76">
        <f>W131+W133</f>
        <v>-35</v>
      </c>
      <c r="X135" s="76">
        <f>X131+X133</f>
        <v>0</v>
      </c>
      <c r="Y135" s="76">
        <f>Y131+Y133</f>
        <v>0</v>
      </c>
      <c r="Z135" s="76">
        <f>Z131+Z133</f>
        <v>0</v>
      </c>
      <c r="AA135" s="60"/>
      <c r="AB135" s="76">
        <f>AB131+AB133</f>
        <v>0</v>
      </c>
      <c r="AC135" s="76">
        <f>AC131+AC133</f>
        <v>0</v>
      </c>
      <c r="AD135" s="76">
        <f>AD131+AD133</f>
        <v>0</v>
      </c>
      <c r="AE135" s="76">
        <f>AE131+AE133</f>
        <v>20406</v>
      </c>
      <c r="AF135" s="76">
        <f>AF131+AF133</f>
        <v>-1493</v>
      </c>
    </row>
    <row r="136" spans="2:32" ht="13.5" thickTop="1" x14ac:dyDescent="0.3">
      <c r="B136" s="71"/>
      <c r="C136" s="72"/>
      <c r="D136" s="72"/>
      <c r="E136" s="73"/>
      <c r="F136" s="73"/>
      <c r="G136" s="73"/>
      <c r="H136" s="73"/>
      <c r="I136" s="73"/>
      <c r="J136" s="73"/>
      <c r="K136" s="73"/>
      <c r="L136" s="72"/>
      <c r="M136" s="72"/>
      <c r="N136" s="72"/>
      <c r="O136" s="72"/>
      <c r="P136" s="72"/>
      <c r="Q136" s="72"/>
      <c r="R136" s="72"/>
      <c r="S136" s="72"/>
      <c r="T136" s="72"/>
      <c r="U136" s="74"/>
      <c r="V136" s="72"/>
      <c r="W136" s="72"/>
      <c r="X136" s="72"/>
      <c r="Y136" s="72"/>
      <c r="Z136" s="75"/>
      <c r="AA136" s="60"/>
      <c r="AB136" s="100"/>
      <c r="AC136" s="33"/>
      <c r="AD136" s="33"/>
      <c r="AE136" s="33"/>
      <c r="AF136" s="101"/>
    </row>
    <row r="137" spans="2:32" ht="13" x14ac:dyDescent="0.3">
      <c r="B137" s="85"/>
      <c r="C137" s="86"/>
      <c r="D137" s="86"/>
      <c r="E137" s="87"/>
      <c r="F137" s="87"/>
      <c r="G137" s="87"/>
      <c r="H137" s="87"/>
      <c r="I137" s="87"/>
      <c r="J137" s="87"/>
      <c r="K137" s="87"/>
      <c r="L137" s="86"/>
      <c r="M137" s="86"/>
      <c r="N137" s="86"/>
      <c r="O137" s="86"/>
      <c r="P137" s="86"/>
      <c r="Q137" s="86"/>
      <c r="R137" s="86"/>
      <c r="S137" s="86"/>
      <c r="T137" s="86"/>
      <c r="U137" s="88"/>
      <c r="V137" s="86"/>
      <c r="W137" s="86"/>
      <c r="X137" s="86"/>
      <c r="Y137" s="86"/>
      <c r="Z137" s="89"/>
      <c r="AA137" s="60"/>
      <c r="AB137" s="100"/>
      <c r="AC137" s="33"/>
      <c r="AD137" s="33"/>
      <c r="AE137" s="33"/>
      <c r="AF137" s="101"/>
    </row>
    <row r="138" spans="2:32" ht="13" x14ac:dyDescent="0.3">
      <c r="B138" s="78" t="s">
        <v>159</v>
      </c>
      <c r="C138" s="33"/>
      <c r="D138" s="33"/>
      <c r="E138" s="23"/>
      <c r="F138" s="23"/>
      <c r="G138" s="23"/>
      <c r="H138" s="23"/>
      <c r="I138" s="23"/>
      <c r="J138" s="23"/>
      <c r="K138" s="23"/>
      <c r="L138" s="33"/>
      <c r="M138" s="33"/>
      <c r="N138" s="33"/>
      <c r="O138" s="33"/>
      <c r="P138" s="33"/>
      <c r="Q138" s="33"/>
      <c r="R138" s="33"/>
      <c r="S138" s="33"/>
      <c r="T138" s="38"/>
      <c r="U138" s="59"/>
      <c r="V138" s="33"/>
      <c r="W138" s="33"/>
      <c r="X138" s="33"/>
      <c r="Y138" s="33"/>
      <c r="Z138" s="42"/>
      <c r="AA138" s="60"/>
      <c r="AB138" s="100"/>
      <c r="AC138" s="33"/>
      <c r="AD138" s="33"/>
      <c r="AE138" s="33"/>
      <c r="AF138" s="101"/>
    </row>
    <row r="139" spans="2:32" ht="13" x14ac:dyDescent="0.3">
      <c r="B139" s="79" t="s">
        <v>160</v>
      </c>
      <c r="C139" s="33">
        <v>0</v>
      </c>
      <c r="D139" s="33">
        <v>0</v>
      </c>
      <c r="E139" s="23">
        <v>0</v>
      </c>
      <c r="F139" s="23">
        <v>-1212</v>
      </c>
      <c r="G139" s="23">
        <v>0</v>
      </c>
      <c r="H139" s="23">
        <v>-1212</v>
      </c>
      <c r="I139" s="23">
        <v>0</v>
      </c>
      <c r="J139" s="23">
        <v>0</v>
      </c>
      <c r="K139" s="23">
        <f t="shared" ref="K139:K140" si="69">SUM(E139:J139)</f>
        <v>-2424</v>
      </c>
      <c r="L139" s="33">
        <f t="shared" ref="L139:L140" si="70">N139-D139</f>
        <v>-1212</v>
      </c>
      <c r="M139" s="33">
        <f t="shared" ref="M139:M140" si="71">N139-C139</f>
        <v>-1212</v>
      </c>
      <c r="N139" s="33">
        <v>-1212</v>
      </c>
      <c r="O139" s="33">
        <v>0</v>
      </c>
      <c r="P139" s="33">
        <v>-235</v>
      </c>
      <c r="Q139" s="33">
        <v>-235</v>
      </c>
      <c r="R139" s="33">
        <v>-1212</v>
      </c>
      <c r="S139" s="33">
        <f t="shared" ref="S139:S140" si="72">Q139-R139</f>
        <v>977</v>
      </c>
      <c r="T139" s="38">
        <f t="shared" ref="T139:T140" si="73">IFERROR((Q139/N139)*100%,"∞")</f>
        <v>0.19389438943894388</v>
      </c>
      <c r="U139" s="59">
        <f t="shared" ref="U139:U140" si="74">N139+V139</f>
        <v>-1212</v>
      </c>
      <c r="V139" s="33">
        <v>0</v>
      </c>
      <c r="W139" s="33">
        <v>0</v>
      </c>
      <c r="X139" s="33"/>
      <c r="Y139" s="33"/>
      <c r="Z139" s="42"/>
      <c r="AA139" s="60"/>
      <c r="AB139" s="105"/>
      <c r="AC139" s="93"/>
      <c r="AD139" s="33">
        <f t="shared" ref="AD139:AD140" si="75">SUM(AB139:AC139)</f>
        <v>0</v>
      </c>
      <c r="AE139" s="33">
        <f t="shared" ref="AE139:AE140" si="76">Q139+AD139</f>
        <v>-235</v>
      </c>
      <c r="AF139" s="101">
        <f t="shared" ref="AF139:AF140" si="77">AE139-N139</f>
        <v>977</v>
      </c>
    </row>
    <row r="140" spans="2:32" ht="13" x14ac:dyDescent="0.3">
      <c r="B140" s="79" t="s">
        <v>161</v>
      </c>
      <c r="C140" s="33">
        <v>14911</v>
      </c>
      <c r="D140" s="33">
        <v>14911</v>
      </c>
      <c r="E140" s="23">
        <v>0</v>
      </c>
      <c r="F140" s="23">
        <v>0</v>
      </c>
      <c r="G140" s="23">
        <v>0</v>
      </c>
      <c r="H140" s="23">
        <v>0</v>
      </c>
      <c r="I140" s="23">
        <v>0</v>
      </c>
      <c r="J140" s="23">
        <v>0</v>
      </c>
      <c r="K140" s="23">
        <f t="shared" si="69"/>
        <v>0</v>
      </c>
      <c r="L140" s="33">
        <f t="shared" si="70"/>
        <v>0</v>
      </c>
      <c r="M140" s="33">
        <f t="shared" si="71"/>
        <v>0</v>
      </c>
      <c r="N140" s="33">
        <v>14911</v>
      </c>
      <c r="O140" s="33">
        <v>0</v>
      </c>
      <c r="P140" s="33">
        <v>0</v>
      </c>
      <c r="Q140" s="33">
        <v>0</v>
      </c>
      <c r="R140" s="33">
        <v>14911</v>
      </c>
      <c r="S140" s="33">
        <f t="shared" si="72"/>
        <v>-14911</v>
      </c>
      <c r="T140" s="38">
        <f t="shared" si="73"/>
        <v>0</v>
      </c>
      <c r="U140" s="59">
        <f t="shared" si="74"/>
        <v>14911</v>
      </c>
      <c r="V140" s="33">
        <v>0</v>
      </c>
      <c r="W140" s="33">
        <v>0</v>
      </c>
      <c r="X140" s="33"/>
      <c r="Y140" s="33"/>
      <c r="Z140" s="42"/>
      <c r="AA140" s="60"/>
      <c r="AB140" s="105"/>
      <c r="AC140" s="93"/>
      <c r="AD140" s="33">
        <f t="shared" si="75"/>
        <v>0</v>
      </c>
      <c r="AE140" s="33">
        <f t="shared" si="76"/>
        <v>0</v>
      </c>
      <c r="AF140" s="101">
        <f t="shared" si="77"/>
        <v>-14911</v>
      </c>
    </row>
    <row r="141" spans="2:32" ht="13" x14ac:dyDescent="0.3">
      <c r="B141" s="79" t="s">
        <v>162</v>
      </c>
      <c r="C141" s="33">
        <v>-278</v>
      </c>
      <c r="D141" s="33">
        <v>-278</v>
      </c>
      <c r="E141" s="23">
        <v>0</v>
      </c>
      <c r="F141" s="23">
        <v>0</v>
      </c>
      <c r="G141" s="23">
        <v>0</v>
      </c>
      <c r="H141" s="23">
        <v>0</v>
      </c>
      <c r="I141" s="23">
        <v>0</v>
      </c>
      <c r="J141" s="23">
        <v>0</v>
      </c>
      <c r="K141" s="23">
        <f>SUM(E141:J141)</f>
        <v>0</v>
      </c>
      <c r="L141" s="33">
        <f>N141-D141</f>
        <v>0</v>
      </c>
      <c r="M141" s="33">
        <f>N141-C141</f>
        <v>0</v>
      </c>
      <c r="N141" s="33">
        <v>-278</v>
      </c>
      <c r="O141" s="33">
        <v>-428</v>
      </c>
      <c r="P141" s="33">
        <v>0</v>
      </c>
      <c r="Q141" s="33">
        <v>-428</v>
      </c>
      <c r="R141" s="33">
        <v>-278</v>
      </c>
      <c r="S141" s="33">
        <f>Q141-R141</f>
        <v>-150</v>
      </c>
      <c r="T141" s="38">
        <f>IFERROR((Q141/N141)*100%,"∞")</f>
        <v>1.539568345323741</v>
      </c>
      <c r="U141" s="59">
        <f>N141+V141</f>
        <v>-278</v>
      </c>
      <c r="V141" s="33">
        <v>0</v>
      </c>
      <c r="W141" s="33">
        <v>0</v>
      </c>
      <c r="X141" s="33"/>
      <c r="Y141" s="33"/>
      <c r="Z141" s="42"/>
      <c r="AA141" s="60"/>
      <c r="AB141" s="105"/>
      <c r="AC141" s="93"/>
      <c r="AD141" s="33">
        <f>SUM(AB141:AC141)</f>
        <v>0</v>
      </c>
      <c r="AE141" s="33">
        <f>Q141+AD141</f>
        <v>-428</v>
      </c>
      <c r="AF141" s="101">
        <f>AE141-N141</f>
        <v>-150</v>
      </c>
    </row>
    <row r="142" spans="2:32" ht="13" x14ac:dyDescent="0.3">
      <c r="B142" s="79" t="s">
        <v>163</v>
      </c>
      <c r="C142" s="33">
        <v>8476</v>
      </c>
      <c r="D142" s="33">
        <v>8476</v>
      </c>
      <c r="E142" s="23">
        <v>0</v>
      </c>
      <c r="F142" s="23">
        <v>0</v>
      </c>
      <c r="G142" s="23">
        <v>0</v>
      </c>
      <c r="H142" s="23">
        <v>0</v>
      </c>
      <c r="I142" s="23">
        <v>0</v>
      </c>
      <c r="J142" s="23">
        <v>0</v>
      </c>
      <c r="K142" s="23">
        <f>SUM(E142:J142)</f>
        <v>0</v>
      </c>
      <c r="L142" s="33">
        <f>N142-D142</f>
        <v>0</v>
      </c>
      <c r="M142" s="33">
        <f>N142-C142</f>
        <v>0</v>
      </c>
      <c r="N142" s="33">
        <v>8476</v>
      </c>
      <c r="O142" s="33">
        <v>23895</v>
      </c>
      <c r="P142" s="33">
        <v>-21440</v>
      </c>
      <c r="Q142" s="33">
        <v>2455</v>
      </c>
      <c r="R142" s="33">
        <v>8476</v>
      </c>
      <c r="S142" s="33">
        <f>Q142-R142</f>
        <v>-6021</v>
      </c>
      <c r="T142" s="38">
        <f>IFERROR((Q142/N142)*100%,"∞")</f>
        <v>0.28964134025483718</v>
      </c>
      <c r="U142" s="59">
        <f>N142+V142</f>
        <v>8476</v>
      </c>
      <c r="V142" s="33">
        <v>0</v>
      </c>
      <c r="W142" s="33">
        <v>0</v>
      </c>
      <c r="X142" s="33"/>
      <c r="Y142" s="33"/>
      <c r="Z142" s="42"/>
      <c r="AA142" s="60"/>
      <c r="AB142" s="105"/>
      <c r="AC142" s="93"/>
      <c r="AD142" s="33">
        <f>SUM(AB142:AC142)</f>
        <v>0</v>
      </c>
      <c r="AE142" s="33">
        <f>Q142+AD142</f>
        <v>2455</v>
      </c>
      <c r="AF142" s="101">
        <f>AE142-N142</f>
        <v>-6021</v>
      </c>
    </row>
    <row r="143" spans="2:32" ht="13.5" thickBot="1" x14ac:dyDescent="0.35">
      <c r="B143" s="80"/>
      <c r="C143" s="81"/>
      <c r="D143" s="81"/>
      <c r="E143" s="82"/>
      <c r="F143" s="82"/>
      <c r="G143" s="82"/>
      <c r="H143" s="82"/>
      <c r="I143" s="82"/>
      <c r="J143" s="82"/>
      <c r="K143" s="82"/>
      <c r="L143" s="81"/>
      <c r="M143" s="81"/>
      <c r="N143" s="81"/>
      <c r="O143" s="81"/>
      <c r="P143" s="81"/>
      <c r="Q143" s="81"/>
      <c r="R143" s="81"/>
      <c r="S143" s="81"/>
      <c r="T143" s="81"/>
      <c r="U143" s="83"/>
      <c r="V143" s="81"/>
      <c r="W143" s="81"/>
      <c r="X143" s="81"/>
      <c r="Y143" s="81"/>
      <c r="Z143" s="84"/>
      <c r="AA143" s="60"/>
      <c r="AB143" s="100"/>
      <c r="AC143" s="33"/>
      <c r="AD143" s="33"/>
      <c r="AE143" s="33"/>
      <c r="AF143" s="101"/>
    </row>
    <row r="144" spans="2:32" ht="13.5" thickBot="1" x14ac:dyDescent="0.35">
      <c r="B144" s="91" t="s">
        <v>164</v>
      </c>
      <c r="C144" s="76">
        <f t="shared" ref="C144:J144" si="78">SUM(C139:C142)</f>
        <v>23109</v>
      </c>
      <c r="D144" s="76">
        <f t="shared" si="78"/>
        <v>23109</v>
      </c>
      <c r="E144" s="76">
        <f t="shared" si="78"/>
        <v>0</v>
      </c>
      <c r="F144" s="76">
        <f t="shared" si="78"/>
        <v>-1212</v>
      </c>
      <c r="G144" s="76">
        <f t="shared" si="78"/>
        <v>0</v>
      </c>
      <c r="H144" s="76">
        <f t="shared" si="78"/>
        <v>-1212</v>
      </c>
      <c r="I144" s="76">
        <f t="shared" si="78"/>
        <v>0</v>
      </c>
      <c r="J144" s="76">
        <f t="shared" si="78"/>
        <v>0</v>
      </c>
      <c r="K144" s="76">
        <f>SUM(E144:J144)</f>
        <v>-2424</v>
      </c>
      <c r="L144" s="76">
        <f>N144-D144</f>
        <v>-1212</v>
      </c>
      <c r="M144" s="76">
        <f>N144-C144</f>
        <v>-1212</v>
      </c>
      <c r="N144" s="76">
        <f>SUM(N139:N142)</f>
        <v>21897</v>
      </c>
      <c r="O144" s="76">
        <f>SUM(O139:O142)</f>
        <v>23467</v>
      </c>
      <c r="P144" s="76">
        <f>SUM(P139:P142)</f>
        <v>-21675</v>
      </c>
      <c r="Q144" s="76">
        <f>SUM(Q139:Q142)</f>
        <v>1792</v>
      </c>
      <c r="R144" s="76">
        <f>SUM(R139:R142)</f>
        <v>21897</v>
      </c>
      <c r="S144" s="76">
        <f>Q144-R144</f>
        <v>-20105</v>
      </c>
      <c r="T144" s="92">
        <f>IFERROR((Q144/N144)*100%,"∞")</f>
        <v>8.1837694661369143E-2</v>
      </c>
      <c r="U144" s="76">
        <f>N144+V144</f>
        <v>21897</v>
      </c>
      <c r="V144" s="76">
        <f>SUM(V139:V142)</f>
        <v>0</v>
      </c>
      <c r="W144" s="76">
        <f>SUM(W139:W142)</f>
        <v>0</v>
      </c>
      <c r="X144" s="76">
        <f>SUM(X139:X142)</f>
        <v>0</v>
      </c>
      <c r="Y144" s="76">
        <f>SUM(Y139:Y142)</f>
        <v>0</v>
      </c>
      <c r="Z144" s="76">
        <f>SUM(Z139:Z142)</f>
        <v>0</v>
      </c>
      <c r="AA144" s="60"/>
      <c r="AB144" s="76">
        <f>SUM(AB139:AB142)</f>
        <v>0</v>
      </c>
      <c r="AC144" s="76">
        <f>SUM(AC139:AC142)</f>
        <v>0</v>
      </c>
      <c r="AD144" s="76">
        <f>SUM(AD139:AD142)</f>
        <v>0</v>
      </c>
      <c r="AE144" s="76">
        <f>SUM(AE139:AE142)</f>
        <v>1792</v>
      </c>
      <c r="AF144" s="76">
        <f>SUM(AF139:AF142)</f>
        <v>-20105</v>
      </c>
    </row>
    <row r="145" spans="2:32" ht="14" thickTop="1" thickBot="1" x14ac:dyDescent="0.35">
      <c r="B145" s="80"/>
      <c r="C145" s="81"/>
      <c r="D145" s="81"/>
      <c r="E145" s="82"/>
      <c r="F145" s="82"/>
      <c r="G145" s="82"/>
      <c r="H145" s="82"/>
      <c r="I145" s="82"/>
      <c r="J145" s="82"/>
      <c r="K145" s="82"/>
      <c r="L145" s="81"/>
      <c r="M145" s="81"/>
      <c r="N145" s="81"/>
      <c r="O145" s="81"/>
      <c r="P145" s="81"/>
      <c r="Q145" s="81"/>
      <c r="R145" s="81"/>
      <c r="S145" s="81"/>
      <c r="T145" s="81"/>
      <c r="U145" s="83"/>
      <c r="V145" s="81"/>
      <c r="W145" s="81"/>
      <c r="X145" s="81"/>
      <c r="Y145" s="81"/>
      <c r="Z145" s="84"/>
      <c r="AA145" s="60"/>
      <c r="AB145" s="100"/>
      <c r="AC145" s="33"/>
      <c r="AD145" s="33"/>
      <c r="AE145" s="33"/>
      <c r="AF145" s="101"/>
    </row>
    <row r="146" spans="2:32" ht="13.5" thickBot="1" x14ac:dyDescent="0.35">
      <c r="B146" s="91" t="s">
        <v>165</v>
      </c>
      <c r="C146" s="76">
        <f t="shared" ref="C146:J146" si="79">C135-C144</f>
        <v>4</v>
      </c>
      <c r="D146" s="76">
        <f t="shared" si="79"/>
        <v>1</v>
      </c>
      <c r="E146" s="76">
        <f t="shared" si="79"/>
        <v>0</v>
      </c>
      <c r="F146" s="76">
        <f t="shared" si="79"/>
        <v>-1</v>
      </c>
      <c r="G146" s="76">
        <f t="shared" si="79"/>
        <v>3</v>
      </c>
      <c r="H146" s="76">
        <f t="shared" si="79"/>
        <v>-1</v>
      </c>
      <c r="I146" s="76">
        <f t="shared" si="79"/>
        <v>0</v>
      </c>
      <c r="J146" s="76">
        <f t="shared" si="79"/>
        <v>0</v>
      </c>
      <c r="K146" s="76">
        <f>SUM(E146:J146)</f>
        <v>1</v>
      </c>
      <c r="L146" s="76">
        <f>N146-D146</f>
        <v>1</v>
      </c>
      <c r="M146" s="76">
        <f>N146-C146</f>
        <v>-2</v>
      </c>
      <c r="N146" s="76">
        <f>N135-N144</f>
        <v>2</v>
      </c>
      <c r="O146" s="76">
        <f>O135-O144</f>
        <v>166968</v>
      </c>
      <c r="P146" s="76">
        <f>P135-P144</f>
        <v>-148353</v>
      </c>
      <c r="Q146" s="76">
        <f>Q135-Q144</f>
        <v>18614</v>
      </c>
      <c r="R146" s="76">
        <f>R135-R144</f>
        <v>2</v>
      </c>
      <c r="S146" s="76">
        <f>Q146-R146</f>
        <v>18612</v>
      </c>
      <c r="T146" s="92">
        <f>IFERROR((Q146/N146)*100%,"∞")</f>
        <v>9307</v>
      </c>
      <c r="U146" s="76">
        <f>N146+V146</f>
        <v>-33</v>
      </c>
      <c r="V146" s="76">
        <f>V135-V144</f>
        <v>-35</v>
      </c>
      <c r="W146" s="76">
        <f>W135-W144</f>
        <v>-35</v>
      </c>
      <c r="X146" s="76">
        <f>X135-X144</f>
        <v>0</v>
      </c>
      <c r="Y146" s="76">
        <f>Y135-Y144</f>
        <v>0</v>
      </c>
      <c r="Z146" s="76">
        <f>Z135-Z144</f>
        <v>0</v>
      </c>
      <c r="AA146" s="60"/>
      <c r="AB146" s="76">
        <f>AB135-AB144</f>
        <v>0</v>
      </c>
      <c r="AC146" s="76">
        <f>AC135-AC144</f>
        <v>0</v>
      </c>
      <c r="AD146" s="76">
        <f>AD135-AD144</f>
        <v>0</v>
      </c>
      <c r="AE146" s="76">
        <f>AE135-AE144</f>
        <v>18614</v>
      </c>
      <c r="AF146" s="76">
        <f>AF135-AF144</f>
        <v>18612</v>
      </c>
    </row>
    <row r="147" spans="2:32" ht="13" thickTop="1" x14ac:dyDescent="0.25"/>
  </sheetData>
  <dataConsolidate/>
  <customSheetViews>
    <customSheetView guid="{903669DD-1133-45D2-B108-C6B5BEA5EB61}" hiddenColumns="1" state="hidden">
      <pane xSplit="2" ySplit="3" topLeftCell="C4" activePane="bottomRight" state="frozen"/>
      <selection pane="bottomRight" activeCell="B29" sqref="B29"/>
      <pageMargins left="0" right="0" top="0" bottom="0" header="0" footer="0"/>
      <pageSetup paperSize="8" scale="74" orientation="landscape" r:id="rId1"/>
    </customSheetView>
    <customSheetView guid="{7910FD81-BFE7-4CD5-939B-3D7A1CA9601A}" hiddenColumns="1" state="hidden">
      <pane xSplit="2" ySplit="3" topLeftCell="C4" activePane="bottomRight" state="frozen"/>
      <selection pane="bottomRight" activeCell="B29" sqref="B29"/>
      <pageMargins left="0" right="0" top="0" bottom="0" header="0" footer="0"/>
      <pageSetup paperSize="8" scale="74" orientation="landscape" r:id="rId2"/>
    </customSheetView>
    <customSheetView guid="{E4F22399-07D5-465E-AFB1-A36259E00328}" hiddenColumns="1" state="hidden">
      <pane xSplit="2" ySplit="3" topLeftCell="C4" activePane="bottomRight" state="frozen"/>
      <selection pane="bottomRight" activeCell="B29" sqref="B29"/>
      <pageMargins left="0" right="0" top="0" bottom="0" header="0" footer="0"/>
      <pageSetup paperSize="8" scale="74" orientation="landscape" r:id="rId3"/>
    </customSheetView>
  </customSheetViews>
  <pageMargins left="0.23622047244094491" right="0.23622047244094491" top="0.74803149606299213" bottom="0.74803149606299213" header="0.31496062992125984" footer="0.31496062992125984"/>
  <pageSetup paperSize="8" scale="74"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Z97"/>
  <sheetViews>
    <sheetView topLeftCell="F43" zoomScale="80" zoomScaleNormal="80" workbookViewId="0">
      <selection activeCell="H61" sqref="H61"/>
    </sheetView>
  </sheetViews>
  <sheetFormatPr defaultColWidth="9.1796875" defaultRowHeight="12.5" x14ac:dyDescent="0.25"/>
  <cols>
    <col min="1" max="2" width="9.1796875" style="525" hidden="1" customWidth="1"/>
    <col min="3" max="3" width="13.81640625" style="525" hidden="1" customWidth="1"/>
    <col min="4" max="5" width="9.1796875" style="525" hidden="1" customWidth="1"/>
    <col min="6" max="6" width="37.81640625" style="535" customWidth="1"/>
    <col min="7" max="7" width="9.1796875" style="525"/>
    <col min="8" max="8" width="20.1796875" style="525" bestFit="1" customWidth="1"/>
    <col min="9" max="9" width="19.54296875" style="525" bestFit="1" customWidth="1"/>
    <col min="10" max="10" width="22.54296875" style="525" customWidth="1"/>
    <col min="11" max="11" width="24" style="527" customWidth="1"/>
    <col min="12" max="13" width="13.81640625" style="532" hidden="1" customWidth="1"/>
    <col min="14" max="15" width="13.81640625" style="532" customWidth="1"/>
    <col min="16" max="16" width="15.81640625" style="532" customWidth="1"/>
    <col min="17" max="18" width="13.81640625" style="532" customWidth="1"/>
    <col min="19" max="19" width="50.54296875" style="527" customWidth="1"/>
    <col min="20" max="23" width="9.1796875" style="525"/>
    <col min="24" max="24" width="21.81640625" style="525" customWidth="1"/>
    <col min="25" max="25" width="15.54296875" style="525" customWidth="1"/>
    <col min="26" max="16384" width="9.1796875" style="525"/>
  </cols>
  <sheetData>
    <row r="2" spans="1:26" ht="13" x14ac:dyDescent="0.3">
      <c r="F2" s="526" t="s">
        <v>467</v>
      </c>
      <c r="K2" s="527" t="s">
        <v>468</v>
      </c>
      <c r="L2" s="525"/>
      <c r="M2" s="526"/>
      <c r="N2" s="526"/>
      <c r="O2" s="526"/>
      <c r="P2" s="526"/>
      <c r="Q2" s="526"/>
      <c r="R2" s="526"/>
      <c r="S2" s="528" t="s">
        <v>469</v>
      </c>
    </row>
    <row r="3" spans="1:26" ht="53.9" customHeight="1" x14ac:dyDescent="0.3">
      <c r="F3" s="529" t="s">
        <v>0</v>
      </c>
      <c r="L3" s="530" t="s">
        <v>470</v>
      </c>
      <c r="M3" s="530" t="s">
        <v>471</v>
      </c>
      <c r="N3" s="530"/>
      <c r="O3" s="531" t="s">
        <v>472</v>
      </c>
      <c r="P3" s="531" t="s">
        <v>473</v>
      </c>
      <c r="Q3" s="531" t="s">
        <v>474</v>
      </c>
      <c r="S3" s="525"/>
    </row>
    <row r="4" spans="1:26" ht="13" x14ac:dyDescent="0.3">
      <c r="F4" s="529" t="s">
        <v>475</v>
      </c>
      <c r="L4" s="533" t="s">
        <v>476</v>
      </c>
      <c r="M4"/>
      <c r="N4" s="533" t="s">
        <v>477</v>
      </c>
      <c r="O4" s="533" t="s">
        <v>478</v>
      </c>
      <c r="P4" s="534" t="s">
        <v>479</v>
      </c>
      <c r="Q4" s="534" t="s">
        <v>480</v>
      </c>
      <c r="R4" s="534" t="s">
        <v>481</v>
      </c>
    </row>
    <row r="5" spans="1:26" ht="39" x14ac:dyDescent="0.3">
      <c r="A5" s="525" t="s">
        <v>482</v>
      </c>
      <c r="B5" s="525" t="s">
        <v>483</v>
      </c>
      <c r="C5" s="525" t="s">
        <v>484</v>
      </c>
      <c r="D5" s="535" t="s">
        <v>485</v>
      </c>
      <c r="E5" s="535" t="s">
        <v>486</v>
      </c>
      <c r="F5" s="536" t="s">
        <v>487</v>
      </c>
      <c r="G5" s="537" t="s">
        <v>488</v>
      </c>
      <c r="H5" s="537" t="s">
        <v>489</v>
      </c>
      <c r="I5" s="537" t="s">
        <v>490</v>
      </c>
      <c r="J5" s="537" t="s">
        <v>489</v>
      </c>
      <c r="K5" s="538" t="s">
        <v>491</v>
      </c>
      <c r="L5" s="539" t="s">
        <v>492</v>
      </c>
      <c r="M5" s="539" t="s">
        <v>493</v>
      </c>
      <c r="N5" s="539" t="s">
        <v>494</v>
      </c>
      <c r="O5" s="539" t="s">
        <v>495</v>
      </c>
      <c r="P5" s="539" t="s">
        <v>495</v>
      </c>
      <c r="Q5" s="539" t="s">
        <v>495</v>
      </c>
      <c r="R5" s="539" t="s">
        <v>495</v>
      </c>
      <c r="S5" s="538" t="s">
        <v>496</v>
      </c>
    </row>
    <row r="6" spans="1:26" ht="15" customHeight="1" x14ac:dyDescent="0.3">
      <c r="F6" s="536"/>
      <c r="G6" s="540"/>
      <c r="H6" s="540"/>
      <c r="I6" s="540"/>
      <c r="J6" s="540"/>
      <c r="K6" s="538"/>
      <c r="L6" s="533" t="s">
        <v>497</v>
      </c>
      <c r="M6" s="533" t="s">
        <v>497</v>
      </c>
      <c r="N6" s="533" t="s">
        <v>34</v>
      </c>
      <c r="O6" s="533" t="s">
        <v>497</v>
      </c>
      <c r="P6" s="533" t="s">
        <v>497</v>
      </c>
      <c r="Q6" s="533" t="s">
        <v>497</v>
      </c>
      <c r="R6" s="533" t="s">
        <v>497</v>
      </c>
      <c r="S6" s="538"/>
    </row>
    <row r="7" spans="1:26" ht="75" x14ac:dyDescent="0.25">
      <c r="F7" s="541" t="s">
        <v>498</v>
      </c>
      <c r="G7" s="542" t="s">
        <v>499</v>
      </c>
      <c r="H7" s="542" t="s">
        <v>500</v>
      </c>
      <c r="I7" s="543" t="s">
        <v>501</v>
      </c>
      <c r="J7" s="543"/>
      <c r="K7" s="544" t="s">
        <v>502</v>
      </c>
      <c r="L7" s="545">
        <v>400</v>
      </c>
      <c r="M7" s="546">
        <v>755</v>
      </c>
      <c r="N7" s="547">
        <f>+SUM(M7+L7)</f>
        <v>1155</v>
      </c>
      <c r="O7" s="548">
        <v>1000</v>
      </c>
      <c r="P7" s="548">
        <v>750</v>
      </c>
      <c r="Q7" s="548">
        <v>500</v>
      </c>
      <c r="R7" s="548"/>
      <c r="S7" s="549" t="s">
        <v>503</v>
      </c>
    </row>
    <row r="8" spans="1:26" ht="37.5" x14ac:dyDescent="0.25">
      <c r="F8" s="541" t="s">
        <v>504</v>
      </c>
      <c r="G8" s="542" t="s">
        <v>499</v>
      </c>
      <c r="H8" s="542" t="s">
        <v>500</v>
      </c>
      <c r="I8" s="543" t="s">
        <v>501</v>
      </c>
      <c r="J8" s="543"/>
      <c r="K8" s="544" t="s">
        <v>502</v>
      </c>
      <c r="L8" s="545">
        <v>300</v>
      </c>
      <c r="M8" s="546">
        <v>0</v>
      </c>
      <c r="N8" s="547">
        <f>+SUM(M8+L8)</f>
        <v>300</v>
      </c>
      <c r="O8" s="548">
        <v>300</v>
      </c>
      <c r="P8" s="548">
        <v>300</v>
      </c>
      <c r="Q8" s="548">
        <v>300</v>
      </c>
      <c r="R8" s="548">
        <v>300</v>
      </c>
      <c r="S8" s="549" t="s">
        <v>505</v>
      </c>
    </row>
    <row r="9" spans="1:26" ht="25" x14ac:dyDescent="0.25">
      <c r="F9" s="541" t="s">
        <v>506</v>
      </c>
      <c r="G9" s="542" t="s">
        <v>499</v>
      </c>
      <c r="H9" s="542" t="s">
        <v>500</v>
      </c>
      <c r="I9" s="543" t="s">
        <v>501</v>
      </c>
      <c r="J9" s="543"/>
      <c r="K9" s="549" t="s">
        <v>507</v>
      </c>
      <c r="L9" s="545">
        <v>-346</v>
      </c>
      <c r="M9" s="546"/>
      <c r="N9" s="547">
        <v>-557</v>
      </c>
      <c r="O9" s="548">
        <v>471</v>
      </c>
      <c r="P9" s="548">
        <v>490</v>
      </c>
      <c r="Q9" s="548">
        <v>554</v>
      </c>
      <c r="R9" s="548">
        <v>554</v>
      </c>
      <c r="S9" s="549" t="s">
        <v>508</v>
      </c>
    </row>
    <row r="10" spans="1:26" ht="87.5" x14ac:dyDescent="0.25">
      <c r="A10" s="525" t="e">
        <f>651/+SUM(E7:E10)</f>
        <v>#DIV/0!</v>
      </c>
      <c r="C10" s="525" t="e">
        <f>4109/+SUM(D7:D10)</f>
        <v>#DIV/0!</v>
      </c>
      <c r="F10" s="541" t="s">
        <v>509</v>
      </c>
      <c r="G10" s="542" t="s">
        <v>499</v>
      </c>
      <c r="H10" s="542" t="s">
        <v>510</v>
      </c>
      <c r="I10" s="543" t="s">
        <v>501</v>
      </c>
      <c r="J10" s="543"/>
      <c r="K10" s="549" t="s">
        <v>502</v>
      </c>
      <c r="L10" s="546">
        <v>1600</v>
      </c>
      <c r="M10" s="546">
        <v>1400</v>
      </c>
      <c r="N10" s="547">
        <v>3000</v>
      </c>
      <c r="O10" s="548">
        <v>2000</v>
      </c>
      <c r="P10" s="548">
        <v>1000</v>
      </c>
      <c r="Q10" s="548"/>
      <c r="R10" s="548"/>
      <c r="S10" s="549" t="s">
        <v>511</v>
      </c>
      <c r="T10" s="525" t="s">
        <v>512</v>
      </c>
    </row>
    <row r="11" spans="1:26" ht="25" x14ac:dyDescent="0.25">
      <c r="D11" s="525">
        <v>477</v>
      </c>
      <c r="E11" s="525">
        <f t="shared" ref="E11:E35" si="0">+D11/12</f>
        <v>39.75</v>
      </c>
      <c r="F11" s="541" t="s">
        <v>513</v>
      </c>
      <c r="G11" s="550" t="s">
        <v>499</v>
      </c>
      <c r="H11" s="550" t="s">
        <v>514</v>
      </c>
      <c r="I11" s="543" t="s">
        <v>501</v>
      </c>
      <c r="J11" s="543"/>
      <c r="K11" s="549" t="s">
        <v>515</v>
      </c>
      <c r="L11" s="545">
        <v>105</v>
      </c>
      <c r="M11" s="546">
        <v>105</v>
      </c>
      <c r="N11" s="547">
        <v>280</v>
      </c>
      <c r="O11" s="551">
        <f>+N11*0.75</f>
        <v>210</v>
      </c>
      <c r="P11" s="551">
        <f>O11*50%</f>
        <v>105</v>
      </c>
      <c r="Q11" s="551">
        <v>0</v>
      </c>
      <c r="R11" s="551"/>
      <c r="S11" s="549" t="s">
        <v>516</v>
      </c>
      <c r="T11" s="525" t="s">
        <v>517</v>
      </c>
    </row>
    <row r="12" spans="1:26" ht="37.5" x14ac:dyDescent="0.25">
      <c r="D12" s="525">
        <f>166*4</f>
        <v>664</v>
      </c>
      <c r="E12" s="525">
        <f t="shared" si="0"/>
        <v>55.333333333333336</v>
      </c>
      <c r="F12" s="541" t="s">
        <v>518</v>
      </c>
      <c r="G12" s="550" t="s">
        <v>499</v>
      </c>
      <c r="H12" s="550" t="s">
        <v>514</v>
      </c>
      <c r="I12" s="543" t="s">
        <v>501</v>
      </c>
      <c r="J12" s="543"/>
      <c r="K12" s="549" t="s">
        <v>519</v>
      </c>
      <c r="L12" s="545">
        <f>166+150</f>
        <v>316</v>
      </c>
      <c r="M12" s="546">
        <f>(166*3)</f>
        <v>498</v>
      </c>
      <c r="N12" s="547">
        <f>+M12+L12</f>
        <v>814</v>
      </c>
      <c r="O12" s="551">
        <f>(47)*12</f>
        <v>564</v>
      </c>
      <c r="P12" s="551">
        <f>(47)*12</f>
        <v>564</v>
      </c>
      <c r="Q12" s="551">
        <f>(47)*12</f>
        <v>564</v>
      </c>
      <c r="R12" s="551">
        <f>(47)*12</f>
        <v>564</v>
      </c>
      <c r="S12" s="549" t="s">
        <v>520</v>
      </c>
    </row>
    <row r="13" spans="1:26" x14ac:dyDescent="0.25">
      <c r="F13" s="541" t="s">
        <v>518</v>
      </c>
      <c r="G13" s="550"/>
      <c r="H13" s="550" t="s">
        <v>514</v>
      </c>
      <c r="I13" s="543"/>
      <c r="J13" s="543"/>
      <c r="K13" s="549"/>
      <c r="L13" s="545"/>
      <c r="M13" s="546">
        <f>9*32</f>
        <v>288</v>
      </c>
      <c r="N13" s="547">
        <v>384</v>
      </c>
      <c r="O13" s="551">
        <f>32*12</f>
        <v>384</v>
      </c>
      <c r="P13" s="551"/>
      <c r="Q13" s="551"/>
      <c r="R13" s="551"/>
      <c r="S13" s="549" t="s">
        <v>521</v>
      </c>
    </row>
    <row r="14" spans="1:26" ht="25" x14ac:dyDescent="0.25">
      <c r="A14" s="525">
        <f>222/+SUM(E11:E14)</f>
        <v>1.2442783745913124</v>
      </c>
      <c r="D14" s="525">
        <v>1000</v>
      </c>
      <c r="E14" s="525">
        <f t="shared" si="0"/>
        <v>83.333333333333329</v>
      </c>
      <c r="F14" s="541" t="s">
        <v>522</v>
      </c>
      <c r="G14" s="550" t="s">
        <v>499</v>
      </c>
      <c r="H14" s="550" t="s">
        <v>523</v>
      </c>
      <c r="I14" s="543" t="s">
        <v>501</v>
      </c>
      <c r="J14" s="543"/>
      <c r="K14" s="549" t="s">
        <v>519</v>
      </c>
      <c r="L14" s="545">
        <v>245</v>
      </c>
      <c r="M14" s="546">
        <f>250+240</f>
        <v>490</v>
      </c>
      <c r="N14" s="547">
        <f>562+29</f>
        <v>591</v>
      </c>
      <c r="O14" s="552">
        <v>300</v>
      </c>
      <c r="P14" s="552">
        <v>150</v>
      </c>
      <c r="Q14" s="552">
        <v>0</v>
      </c>
      <c r="R14" s="552">
        <v>0</v>
      </c>
      <c r="S14" s="549" t="s">
        <v>524</v>
      </c>
      <c r="T14" s="525" t="s">
        <v>517</v>
      </c>
    </row>
    <row r="15" spans="1:26" x14ac:dyDescent="0.25">
      <c r="A15" s="525">
        <f>50/66</f>
        <v>0.75757575757575757</v>
      </c>
      <c r="B15" s="525">
        <f>30/66</f>
        <v>0.45454545454545453</v>
      </c>
      <c r="C15" s="525">
        <f>80/800</f>
        <v>0.1</v>
      </c>
      <c r="E15" s="553"/>
      <c r="F15" s="541" t="s">
        <v>525</v>
      </c>
      <c r="G15" s="550" t="s">
        <v>526</v>
      </c>
      <c r="H15" s="550" t="s">
        <v>527</v>
      </c>
      <c r="I15" s="543" t="s">
        <v>528</v>
      </c>
      <c r="J15" s="543"/>
      <c r="K15" s="549" t="s">
        <v>507</v>
      </c>
      <c r="L15" s="546">
        <v>50</v>
      </c>
      <c r="M15" s="546">
        <v>30</v>
      </c>
      <c r="N15" s="547">
        <f t="shared" ref="N15:N30" si="1">+SUM(M15+L15)</f>
        <v>80</v>
      </c>
      <c r="O15" s="551"/>
      <c r="P15" s="551"/>
      <c r="Q15" s="551">
        <v>0</v>
      </c>
      <c r="R15" s="551"/>
      <c r="S15" s="549" t="s">
        <v>529</v>
      </c>
    </row>
    <row r="16" spans="1:26" ht="37.5" x14ac:dyDescent="0.25">
      <c r="A16" s="525" t="e">
        <f>100/E16</f>
        <v>#DIV/0!</v>
      </c>
      <c r="C16" s="525">
        <f>100/1000</f>
        <v>0.1</v>
      </c>
      <c r="E16" s="553"/>
      <c r="F16" s="541" t="s">
        <v>530</v>
      </c>
      <c r="G16" s="542" t="s">
        <v>526</v>
      </c>
      <c r="H16" s="542" t="s">
        <v>527</v>
      </c>
      <c r="I16" s="543" t="s">
        <v>531</v>
      </c>
      <c r="J16" s="543"/>
      <c r="K16" s="549" t="s">
        <v>507</v>
      </c>
      <c r="L16" s="551">
        <v>55</v>
      </c>
      <c r="M16" s="551">
        <v>400</v>
      </c>
      <c r="N16" s="547">
        <v>456</v>
      </c>
      <c r="O16" s="551">
        <v>79</v>
      </c>
      <c r="P16" s="551">
        <v>79</v>
      </c>
      <c r="Q16" s="551">
        <v>79</v>
      </c>
      <c r="R16" s="551">
        <v>79</v>
      </c>
      <c r="S16" s="549" t="s">
        <v>532</v>
      </c>
      <c r="X16" s="554" t="s">
        <v>533</v>
      </c>
      <c r="Y16" s="555" t="s">
        <v>534</v>
      </c>
      <c r="Z16" s="555" t="s">
        <v>535</v>
      </c>
    </row>
    <row r="17" spans="1:26" x14ac:dyDescent="0.25">
      <c r="D17" s="525">
        <f>+L17*12</f>
        <v>600</v>
      </c>
      <c r="E17" s="525">
        <f t="shared" si="0"/>
        <v>50</v>
      </c>
      <c r="F17" s="541" t="s">
        <v>536</v>
      </c>
      <c r="G17" s="550" t="s">
        <v>526</v>
      </c>
      <c r="H17" s="550" t="s">
        <v>537</v>
      </c>
      <c r="I17" s="543" t="s">
        <v>501</v>
      </c>
      <c r="J17" s="543"/>
      <c r="K17" s="549" t="s">
        <v>538</v>
      </c>
      <c r="L17" s="545">
        <v>50</v>
      </c>
      <c r="M17" s="546"/>
      <c r="N17" s="547">
        <f t="shared" si="1"/>
        <v>50</v>
      </c>
      <c r="O17" s="551"/>
      <c r="P17" s="551">
        <v>0</v>
      </c>
      <c r="Q17" s="551">
        <v>0</v>
      </c>
      <c r="R17" s="551"/>
      <c r="S17" s="549" t="s">
        <v>539</v>
      </c>
      <c r="X17" s="556" t="s">
        <v>540</v>
      </c>
      <c r="Y17" s="157">
        <v>0</v>
      </c>
      <c r="Z17" s="157">
        <v>15000</v>
      </c>
    </row>
    <row r="18" spans="1:26" ht="50" x14ac:dyDescent="0.25">
      <c r="A18" s="525">
        <f>483/675</f>
        <v>0.7155555555555555</v>
      </c>
      <c r="B18" s="525">
        <f>483/675</f>
        <v>0.7155555555555555</v>
      </c>
      <c r="C18" s="525">
        <f>675/8100</f>
        <v>8.3333333333333329E-2</v>
      </c>
      <c r="D18" s="525">
        <v>7500</v>
      </c>
      <c r="E18" s="525">
        <f t="shared" si="0"/>
        <v>625</v>
      </c>
      <c r="F18" s="541" t="s">
        <v>541</v>
      </c>
      <c r="G18" s="542" t="s">
        <v>499</v>
      </c>
      <c r="H18" s="542" t="s">
        <v>537</v>
      </c>
      <c r="I18" s="543" t="s">
        <v>501</v>
      </c>
      <c r="J18" s="543"/>
      <c r="K18" s="549" t="s">
        <v>542</v>
      </c>
      <c r="L18" s="545">
        <v>1400</v>
      </c>
      <c r="M18" s="546">
        <v>1400</v>
      </c>
      <c r="N18" s="547">
        <f t="shared" si="1"/>
        <v>2800</v>
      </c>
      <c r="O18" s="548"/>
      <c r="P18" s="548"/>
      <c r="Q18" s="548"/>
      <c r="R18" s="548"/>
      <c r="S18" s="557" t="s">
        <v>543</v>
      </c>
      <c r="T18" s="525" t="s">
        <v>544</v>
      </c>
      <c r="X18" s="556" t="s">
        <v>545</v>
      </c>
      <c r="Y18" s="157">
        <v>0</v>
      </c>
      <c r="Z18" s="157">
        <f>12 *((12*50) + (5 * 50) )</f>
        <v>10200</v>
      </c>
    </row>
    <row r="19" spans="1:26" ht="25" x14ac:dyDescent="0.25">
      <c r="E19" s="553"/>
      <c r="F19" s="541" t="s">
        <v>546</v>
      </c>
      <c r="G19" s="550" t="s">
        <v>499</v>
      </c>
      <c r="H19" s="550" t="s">
        <v>547</v>
      </c>
      <c r="I19" s="543" t="s">
        <v>531</v>
      </c>
      <c r="J19" s="543"/>
      <c r="K19" s="549" t="s">
        <v>515</v>
      </c>
      <c r="L19" s="546">
        <v>50</v>
      </c>
      <c r="M19" s="546"/>
      <c r="N19" s="547">
        <v>125</v>
      </c>
      <c r="O19" s="551">
        <v>0</v>
      </c>
      <c r="P19" s="551">
        <v>0</v>
      </c>
      <c r="Q19" s="551">
        <v>0</v>
      </c>
      <c r="R19" s="551"/>
      <c r="S19" s="549" t="s">
        <v>548</v>
      </c>
      <c r="X19" s="556" t="s">
        <v>549</v>
      </c>
      <c r="Y19" s="157">
        <v>30000</v>
      </c>
      <c r="Z19" s="157">
        <v>0</v>
      </c>
    </row>
    <row r="20" spans="1:26" ht="25" x14ac:dyDescent="0.25">
      <c r="E20" s="553"/>
      <c r="F20" s="541" t="s">
        <v>550</v>
      </c>
      <c r="G20" s="550" t="s">
        <v>499</v>
      </c>
      <c r="H20" s="550" t="s">
        <v>547</v>
      </c>
      <c r="I20" s="543" t="s">
        <v>531</v>
      </c>
      <c r="J20" s="543"/>
      <c r="K20" s="549" t="s">
        <v>515</v>
      </c>
      <c r="L20" s="546">
        <v>15</v>
      </c>
      <c r="M20" s="546"/>
      <c r="N20" s="547">
        <f t="shared" si="1"/>
        <v>15</v>
      </c>
      <c r="O20" s="551">
        <v>0</v>
      </c>
      <c r="P20" s="551">
        <v>0</v>
      </c>
      <c r="Q20" s="551">
        <v>0</v>
      </c>
      <c r="R20" s="551"/>
      <c r="S20" s="549" t="s">
        <v>551</v>
      </c>
      <c r="X20" s="554" t="s">
        <v>552</v>
      </c>
      <c r="Y20" s="159">
        <v>10000</v>
      </c>
      <c r="Z20" s="159">
        <v>0</v>
      </c>
    </row>
    <row r="21" spans="1:26" ht="25" x14ac:dyDescent="0.25">
      <c r="E21" s="553"/>
      <c r="F21" s="541" t="s">
        <v>553</v>
      </c>
      <c r="G21" s="550" t="s">
        <v>499</v>
      </c>
      <c r="H21" s="550" t="s">
        <v>547</v>
      </c>
      <c r="I21" s="543" t="s">
        <v>531</v>
      </c>
      <c r="J21" s="543"/>
      <c r="K21" s="549" t="s">
        <v>515</v>
      </c>
      <c r="L21" s="546">
        <v>100</v>
      </c>
      <c r="M21" s="546"/>
      <c r="N21" s="547">
        <f t="shared" si="1"/>
        <v>100</v>
      </c>
      <c r="O21" s="551">
        <v>0</v>
      </c>
      <c r="P21" s="551">
        <v>0</v>
      </c>
      <c r="Q21" s="551">
        <v>0</v>
      </c>
      <c r="R21" s="551"/>
      <c r="S21" s="549" t="s">
        <v>554</v>
      </c>
      <c r="X21" s="554" t="s">
        <v>555</v>
      </c>
      <c r="Y21" s="159">
        <v>40000</v>
      </c>
      <c r="Z21" s="159">
        <v>0</v>
      </c>
    </row>
    <row r="22" spans="1:26" ht="25" x14ac:dyDescent="0.25">
      <c r="E22" s="553"/>
      <c r="F22" s="541" t="s">
        <v>556</v>
      </c>
      <c r="G22" s="542" t="s">
        <v>499</v>
      </c>
      <c r="H22" s="542" t="s">
        <v>462</v>
      </c>
      <c r="I22" s="543" t="s">
        <v>528</v>
      </c>
      <c r="J22" s="543"/>
      <c r="K22" s="549" t="s">
        <v>515</v>
      </c>
      <c r="L22" s="546">
        <f>144*3</f>
        <v>432</v>
      </c>
      <c r="M22" s="546">
        <v>100</v>
      </c>
      <c r="N22" s="547">
        <f t="shared" si="1"/>
        <v>532</v>
      </c>
      <c r="O22" s="548">
        <v>50</v>
      </c>
      <c r="P22" s="548">
        <v>50</v>
      </c>
      <c r="Q22" s="548">
        <v>50</v>
      </c>
      <c r="R22" s="548"/>
      <c r="S22" s="549" t="s">
        <v>557</v>
      </c>
      <c r="T22" s="525" t="s">
        <v>558</v>
      </c>
      <c r="X22" s="554" t="s">
        <v>559</v>
      </c>
      <c r="Y22" s="159">
        <v>0</v>
      </c>
      <c r="Z22" s="159">
        <f>200*25</f>
        <v>5000</v>
      </c>
    </row>
    <row r="23" spans="1:26" ht="25" x14ac:dyDescent="0.25">
      <c r="E23" s="553"/>
      <c r="F23" s="541" t="s">
        <v>560</v>
      </c>
      <c r="G23" s="542"/>
      <c r="H23" s="542"/>
      <c r="I23" s="543"/>
      <c r="J23" s="543"/>
      <c r="K23" s="549"/>
      <c r="L23" s="546"/>
      <c r="M23" s="546"/>
      <c r="N23" s="547">
        <v>408</v>
      </c>
      <c r="O23" s="548"/>
      <c r="P23" s="548"/>
      <c r="Q23" s="548"/>
      <c r="R23" s="548"/>
      <c r="S23" s="549"/>
      <c r="X23" s="554"/>
      <c r="Y23" s="159"/>
      <c r="Z23" s="159"/>
    </row>
    <row r="24" spans="1:26" ht="37.5" x14ac:dyDescent="0.25">
      <c r="D24" s="525">
        <v>100000</v>
      </c>
      <c r="E24" s="525">
        <f t="shared" si="0"/>
        <v>8333.3333333333339</v>
      </c>
      <c r="F24" s="541" t="s">
        <v>561</v>
      </c>
      <c r="G24" s="542" t="s">
        <v>499</v>
      </c>
      <c r="H24" s="542" t="s">
        <v>562</v>
      </c>
      <c r="I24" s="543" t="s">
        <v>501</v>
      </c>
      <c r="J24" s="543"/>
      <c r="K24" s="549" t="s">
        <v>563</v>
      </c>
      <c r="L24" s="546"/>
      <c r="M24" s="546"/>
      <c r="N24" s="548">
        <f t="shared" si="1"/>
        <v>0</v>
      </c>
      <c r="O24" s="548">
        <v>600</v>
      </c>
      <c r="P24" s="548">
        <f>+O24*0.75</f>
        <v>450</v>
      </c>
      <c r="Q24" s="548">
        <f>+O24*0.5</f>
        <v>300</v>
      </c>
      <c r="R24" s="548"/>
      <c r="S24" s="549" t="s">
        <v>564</v>
      </c>
      <c r="T24" s="525" t="s">
        <v>565</v>
      </c>
      <c r="X24" s="554" t="s">
        <v>566</v>
      </c>
      <c r="Y24" s="159">
        <v>200000</v>
      </c>
      <c r="Z24" s="159">
        <v>20000</v>
      </c>
    </row>
    <row r="25" spans="1:26" ht="50" x14ac:dyDescent="0.25">
      <c r="D25" s="525">
        <v>240</v>
      </c>
      <c r="E25" s="525">
        <f t="shared" si="0"/>
        <v>20</v>
      </c>
      <c r="F25" s="541" t="s">
        <v>567</v>
      </c>
      <c r="G25" s="542" t="s">
        <v>499</v>
      </c>
      <c r="H25" s="542" t="s">
        <v>562</v>
      </c>
      <c r="I25" s="543" t="s">
        <v>501</v>
      </c>
      <c r="J25" s="543"/>
      <c r="K25" s="549" t="s">
        <v>538</v>
      </c>
      <c r="L25" s="546"/>
      <c r="M25" s="546">
        <v>150</v>
      </c>
      <c r="N25" s="548">
        <v>0</v>
      </c>
      <c r="O25" s="548"/>
      <c r="P25" s="548"/>
      <c r="Q25" s="548">
        <v>0</v>
      </c>
      <c r="R25" s="548"/>
      <c r="S25" s="549" t="s">
        <v>568</v>
      </c>
      <c r="X25" s="554" t="s">
        <v>569</v>
      </c>
      <c r="Y25" s="159">
        <v>0</v>
      </c>
      <c r="Z25" s="159">
        <f>1.5*500*12</f>
        <v>9000</v>
      </c>
    </row>
    <row r="26" spans="1:26" ht="50" x14ac:dyDescent="0.25">
      <c r="D26" s="525">
        <f>+N26/0.45</f>
        <v>357.77777777777777</v>
      </c>
      <c r="E26" s="525">
        <f t="shared" si="0"/>
        <v>29.814814814814813</v>
      </c>
      <c r="F26" s="541" t="s">
        <v>570</v>
      </c>
      <c r="G26" s="550" t="s">
        <v>499</v>
      </c>
      <c r="H26" s="550" t="s">
        <v>562</v>
      </c>
      <c r="I26" s="543" t="s">
        <v>501</v>
      </c>
      <c r="J26" s="543"/>
      <c r="K26" s="549" t="s">
        <v>571</v>
      </c>
      <c r="L26" s="545">
        <v>115</v>
      </c>
      <c r="M26" s="546">
        <v>20</v>
      </c>
      <c r="N26" s="547">
        <v>161</v>
      </c>
      <c r="O26" s="551">
        <v>20</v>
      </c>
      <c r="P26" s="551">
        <v>10</v>
      </c>
      <c r="Q26" s="551">
        <v>0</v>
      </c>
      <c r="R26" s="551"/>
      <c r="S26" s="549" t="s">
        <v>572</v>
      </c>
      <c r="X26" s="554" t="s">
        <v>573</v>
      </c>
      <c r="Y26" s="159">
        <v>0</v>
      </c>
      <c r="Z26" s="159">
        <f>5000</f>
        <v>5000</v>
      </c>
    </row>
    <row r="27" spans="1:26" ht="50" x14ac:dyDescent="0.25">
      <c r="D27" s="525">
        <v>600</v>
      </c>
      <c r="E27" s="525">
        <f t="shared" si="0"/>
        <v>50</v>
      </c>
      <c r="F27" s="541" t="s">
        <v>574</v>
      </c>
      <c r="G27" s="542" t="s">
        <v>499</v>
      </c>
      <c r="H27" s="542" t="s">
        <v>562</v>
      </c>
      <c r="I27" s="543" t="s">
        <v>501</v>
      </c>
      <c r="J27" s="543"/>
      <c r="K27" s="549" t="s">
        <v>571</v>
      </c>
      <c r="L27" s="545">
        <v>60</v>
      </c>
      <c r="M27" s="546"/>
      <c r="N27" s="547">
        <v>0</v>
      </c>
      <c r="O27" s="548"/>
      <c r="P27" s="558"/>
      <c r="Q27" s="548">
        <v>0</v>
      </c>
      <c r="R27" s="548"/>
      <c r="S27" s="433" t="s">
        <v>575</v>
      </c>
      <c r="X27" s="554" t="s">
        <v>576</v>
      </c>
      <c r="Y27" s="159">
        <v>0</v>
      </c>
      <c r="Z27" s="159">
        <f>10000</f>
        <v>10000</v>
      </c>
    </row>
    <row r="28" spans="1:26" ht="50" x14ac:dyDescent="0.25">
      <c r="D28" s="525">
        <v>700</v>
      </c>
      <c r="E28" s="525">
        <f t="shared" si="0"/>
        <v>58.333333333333336</v>
      </c>
      <c r="F28" s="541" t="s">
        <v>577</v>
      </c>
      <c r="G28" s="542" t="s">
        <v>499</v>
      </c>
      <c r="H28" s="542" t="s">
        <v>562</v>
      </c>
      <c r="I28" s="543" t="s">
        <v>501</v>
      </c>
      <c r="J28" s="543"/>
      <c r="K28" s="549" t="s">
        <v>571</v>
      </c>
      <c r="L28" s="545">
        <v>60</v>
      </c>
      <c r="M28" s="546"/>
      <c r="N28" s="547">
        <v>85</v>
      </c>
      <c r="O28" s="548"/>
      <c r="P28" s="548"/>
      <c r="Q28" s="548">
        <v>0</v>
      </c>
      <c r="R28" s="548"/>
      <c r="S28" s="559" t="s">
        <v>578</v>
      </c>
      <c r="X28" s="554" t="s">
        <v>579</v>
      </c>
      <c r="Y28" s="159">
        <f>75000</f>
        <v>75000</v>
      </c>
      <c r="Z28" s="159">
        <v>5000</v>
      </c>
    </row>
    <row r="29" spans="1:26" ht="25" x14ac:dyDescent="0.25">
      <c r="D29" s="525">
        <v>100000</v>
      </c>
      <c r="E29" s="525">
        <f t="shared" si="0"/>
        <v>8333.3333333333339</v>
      </c>
      <c r="F29" s="541" t="s">
        <v>580</v>
      </c>
      <c r="G29" s="542" t="s">
        <v>499</v>
      </c>
      <c r="H29" s="542" t="s">
        <v>562</v>
      </c>
      <c r="I29" s="543" t="s">
        <v>501</v>
      </c>
      <c r="J29" s="543"/>
      <c r="K29" s="549" t="s">
        <v>581</v>
      </c>
      <c r="L29" s="546"/>
      <c r="M29" s="546"/>
      <c r="N29" s="548">
        <f t="shared" si="1"/>
        <v>0</v>
      </c>
      <c r="O29" s="548">
        <v>500</v>
      </c>
      <c r="P29" s="548">
        <f>+O29*0.75</f>
        <v>375</v>
      </c>
      <c r="Q29" s="548">
        <f>+O29*0.5</f>
        <v>250</v>
      </c>
      <c r="R29" s="548"/>
      <c r="S29" s="549" t="s">
        <v>582</v>
      </c>
      <c r="X29" s="554" t="s">
        <v>583</v>
      </c>
      <c r="Y29" s="159">
        <f>250*150</f>
        <v>37500</v>
      </c>
      <c r="Z29" s="159">
        <v>0</v>
      </c>
    </row>
    <row r="30" spans="1:26" ht="13" x14ac:dyDescent="0.3">
      <c r="A30" s="525">
        <f>145/+SUM(E24:E30)</f>
        <v>8.5336879046145099E-3</v>
      </c>
      <c r="C30" s="525">
        <f>755/+SUM(D24:D30)</f>
        <v>3.7028358436689409E-3</v>
      </c>
      <c r="D30" s="525">
        <v>2000</v>
      </c>
      <c r="E30" s="525">
        <f t="shared" si="0"/>
        <v>166.66666666666666</v>
      </c>
      <c r="F30" s="541" t="s">
        <v>584</v>
      </c>
      <c r="G30" s="542" t="s">
        <v>499</v>
      </c>
      <c r="H30" s="542" t="s">
        <v>562</v>
      </c>
      <c r="I30" s="543" t="s">
        <v>501</v>
      </c>
      <c r="J30" s="543"/>
      <c r="K30" s="549" t="s">
        <v>507</v>
      </c>
      <c r="L30" s="545">
        <v>200</v>
      </c>
      <c r="M30" s="546">
        <v>150</v>
      </c>
      <c r="N30" s="547">
        <f t="shared" si="1"/>
        <v>350</v>
      </c>
      <c r="O30" s="548">
        <v>300</v>
      </c>
      <c r="P30" s="548">
        <v>300</v>
      </c>
      <c r="Q30" s="548">
        <v>150</v>
      </c>
      <c r="R30" s="548"/>
      <c r="S30" s="549" t="s">
        <v>585</v>
      </c>
      <c r="T30" s="525" t="s">
        <v>586</v>
      </c>
      <c r="X30" s="560" t="s">
        <v>587</v>
      </c>
      <c r="Y30" s="561">
        <f>SUM(Y17:Y29)</f>
        <v>392500</v>
      </c>
      <c r="Z30" s="561">
        <f>SUM(Z17:Z29)</f>
        <v>79200</v>
      </c>
    </row>
    <row r="31" spans="1:26" ht="50" x14ac:dyDescent="0.25">
      <c r="D31" s="525">
        <f>+N31/0.2</f>
        <v>300</v>
      </c>
      <c r="E31" s="525">
        <f t="shared" si="0"/>
        <v>25</v>
      </c>
      <c r="F31" s="541" t="s">
        <v>588</v>
      </c>
      <c r="G31" s="550" t="s">
        <v>499</v>
      </c>
      <c r="H31" s="550" t="s">
        <v>589</v>
      </c>
      <c r="I31" s="543" t="s">
        <v>501</v>
      </c>
      <c r="J31" s="543"/>
      <c r="K31" s="549" t="s">
        <v>571</v>
      </c>
      <c r="L31" s="545">
        <v>50</v>
      </c>
      <c r="M31" s="551">
        <v>50</v>
      </c>
      <c r="N31" s="547">
        <v>60</v>
      </c>
      <c r="O31" s="551">
        <v>50</v>
      </c>
      <c r="P31" s="551">
        <v>25</v>
      </c>
      <c r="Q31" s="551">
        <v>0</v>
      </c>
      <c r="R31" s="551"/>
      <c r="S31" s="549" t="s">
        <v>590</v>
      </c>
    </row>
    <row r="32" spans="1:26" ht="37.5" x14ac:dyDescent="0.25">
      <c r="E32" s="525">
        <f t="shared" si="0"/>
        <v>0</v>
      </c>
      <c r="F32" s="541" t="s">
        <v>591</v>
      </c>
      <c r="G32" s="542"/>
      <c r="H32" s="542" t="s">
        <v>589</v>
      </c>
      <c r="I32" s="543"/>
      <c r="J32" s="543"/>
      <c r="K32" s="549"/>
      <c r="L32" s="546"/>
      <c r="M32" s="548"/>
      <c r="N32" s="548"/>
      <c r="O32" s="548">
        <v>369</v>
      </c>
      <c r="P32" s="548"/>
      <c r="Q32" s="548"/>
      <c r="R32" s="548"/>
      <c r="S32" s="549" t="s">
        <v>592</v>
      </c>
    </row>
    <row r="33" spans="1:19" ht="50" x14ac:dyDescent="0.25">
      <c r="A33" s="525">
        <f>85/D33</f>
        <v>0.28333333333333333</v>
      </c>
      <c r="D33" s="525">
        <v>300</v>
      </c>
      <c r="E33" s="525">
        <f t="shared" si="0"/>
        <v>25</v>
      </c>
      <c r="F33" s="541" t="s">
        <v>593</v>
      </c>
      <c r="G33" s="542" t="s">
        <v>526</v>
      </c>
      <c r="H33" s="542" t="s">
        <v>594</v>
      </c>
      <c r="I33" s="543" t="s">
        <v>501</v>
      </c>
      <c r="J33" s="543"/>
      <c r="K33" s="549" t="s">
        <v>571</v>
      </c>
      <c r="L33" s="545">
        <v>85</v>
      </c>
      <c r="M33" s="548"/>
      <c r="N33" s="548">
        <v>0</v>
      </c>
      <c r="O33" s="548">
        <v>60</v>
      </c>
      <c r="P33" s="548"/>
      <c r="Q33" s="548">
        <v>0</v>
      </c>
      <c r="R33" s="548"/>
      <c r="S33" s="559" t="s">
        <v>595</v>
      </c>
    </row>
    <row r="34" spans="1:19" ht="15" customHeight="1" x14ac:dyDescent="0.25">
      <c r="E34" s="525">
        <f t="shared" si="0"/>
        <v>0</v>
      </c>
      <c r="F34" s="541"/>
      <c r="G34" s="542"/>
      <c r="H34" s="542"/>
      <c r="I34" s="543"/>
      <c r="J34" s="543"/>
      <c r="K34" s="549"/>
      <c r="L34" s="548"/>
      <c r="M34" s="548"/>
      <c r="N34" s="548"/>
      <c r="O34" s="548"/>
      <c r="P34" s="548"/>
      <c r="Q34" s="548"/>
      <c r="R34" s="548"/>
      <c r="S34" s="549"/>
    </row>
    <row r="35" spans="1:19" ht="15" customHeight="1" x14ac:dyDescent="0.3">
      <c r="E35" s="525">
        <f t="shared" si="0"/>
        <v>0</v>
      </c>
      <c r="F35" s="536" t="s">
        <v>457</v>
      </c>
      <c r="G35" s="562"/>
      <c r="H35" s="562"/>
      <c r="I35" s="562"/>
      <c r="J35" s="562"/>
      <c r="K35" s="538"/>
      <c r="L35" s="563">
        <f t="shared" ref="L35:R35" si="2">SUM(L7:L34)</f>
        <v>5342</v>
      </c>
      <c r="M35" s="563">
        <f t="shared" si="2"/>
        <v>5836</v>
      </c>
      <c r="N35" s="563">
        <f t="shared" si="2"/>
        <v>11189</v>
      </c>
      <c r="O35" s="563">
        <f t="shared" si="2"/>
        <v>7257</v>
      </c>
      <c r="P35" s="563">
        <f t="shared" si="2"/>
        <v>4648</v>
      </c>
      <c r="Q35" s="563">
        <f t="shared" si="2"/>
        <v>2747</v>
      </c>
      <c r="R35" s="563">
        <f t="shared" si="2"/>
        <v>1497</v>
      </c>
      <c r="S35" s="538"/>
    </row>
    <row r="36" spans="1:19" ht="15" customHeight="1" x14ac:dyDescent="0.25"/>
    <row r="37" spans="1:19" x14ac:dyDescent="0.25">
      <c r="D37" s="525">
        <f>+SUM(D7:D35)</f>
        <v>214738.77777777778</v>
      </c>
      <c r="E37" s="525">
        <f>+SUM(E7:E35)</f>
        <v>17894.89814814815</v>
      </c>
      <c r="F37" s="535" t="s">
        <v>596</v>
      </c>
      <c r="L37" s="532">
        <f>+L15+L16+L19+L20+L21+L22+L13</f>
        <v>702</v>
      </c>
      <c r="M37" s="532">
        <f t="shared" ref="M37:R37" si="3">+M15+M16+M19+M20+M21+M22+M13</f>
        <v>818</v>
      </c>
      <c r="N37" s="532">
        <f>+N15+N16+N19+N20+N21+N22+N13+N23</f>
        <v>2100</v>
      </c>
      <c r="O37" s="532">
        <f t="shared" si="3"/>
        <v>513</v>
      </c>
      <c r="P37" s="532">
        <f t="shared" si="3"/>
        <v>129</v>
      </c>
      <c r="Q37" s="532">
        <f t="shared" si="3"/>
        <v>129</v>
      </c>
      <c r="R37" s="532">
        <f t="shared" si="3"/>
        <v>79</v>
      </c>
    </row>
    <row r="38" spans="1:19" x14ac:dyDescent="0.25">
      <c r="F38" s="535" t="s">
        <v>597</v>
      </c>
      <c r="L38" s="532">
        <f>+L7+L8+L9+L10+L11+L12+L14+L17+L18+L24+L25+L26+L27+L28+L29+L30+L31+L32+L33</f>
        <v>4640</v>
      </c>
      <c r="M38" s="532">
        <f t="shared" ref="M38:R38" si="4">+M7+M8+M9+M10+M11+M12+M14+M17+M18+M24+M25+M26+M27+M28+M29+M30+M31+M32+M33</f>
        <v>5018</v>
      </c>
      <c r="N38" s="532">
        <f t="shared" si="4"/>
        <v>9089</v>
      </c>
      <c r="O38" s="532">
        <f t="shared" si="4"/>
        <v>6744</v>
      </c>
      <c r="P38" s="532">
        <f t="shared" si="4"/>
        <v>4519</v>
      </c>
      <c r="Q38" s="532">
        <f t="shared" si="4"/>
        <v>2618</v>
      </c>
      <c r="R38" s="532">
        <f t="shared" si="4"/>
        <v>1418</v>
      </c>
    </row>
    <row r="39" spans="1:19" x14ac:dyDescent="0.25">
      <c r="D39" s="525">
        <f>5837/D37</f>
        <v>2.7181862821443522E-2</v>
      </c>
      <c r="E39" s="525">
        <f>911/E37</f>
        <v>5.0908364633205506E-2</v>
      </c>
      <c r="F39" s="535" t="s">
        <v>457</v>
      </c>
      <c r="L39" s="564">
        <f>+L38+L37</f>
        <v>5342</v>
      </c>
      <c r="M39" s="564">
        <f t="shared" ref="M39:R39" si="5">+M38+M37</f>
        <v>5836</v>
      </c>
      <c r="N39" s="564">
        <f t="shared" si="5"/>
        <v>11189</v>
      </c>
      <c r="O39" s="564">
        <f t="shared" si="5"/>
        <v>7257</v>
      </c>
      <c r="P39" s="564">
        <f t="shared" si="5"/>
        <v>4648</v>
      </c>
      <c r="Q39" s="564">
        <f t="shared" si="5"/>
        <v>2747</v>
      </c>
      <c r="R39" s="564">
        <f t="shared" si="5"/>
        <v>1497</v>
      </c>
      <c r="S39" s="565">
        <f>+SUM(N39:R39)</f>
        <v>27338</v>
      </c>
    </row>
    <row r="40" spans="1:19" ht="13" thickBot="1" x14ac:dyDescent="0.3">
      <c r="I40" s="566">
        <f>N39-N35</f>
        <v>0</v>
      </c>
      <c r="L40" s="567"/>
      <c r="M40" s="567"/>
      <c r="N40" s="567"/>
      <c r="O40" s="567"/>
      <c r="P40" s="567"/>
      <c r="Q40" s="567"/>
      <c r="R40" s="567"/>
    </row>
    <row r="41" spans="1:19" ht="13.5" thickTop="1" x14ac:dyDescent="0.3">
      <c r="D41" s="525">
        <f>9946/D37</f>
        <v>4.6316739356189351E-2</v>
      </c>
      <c r="E41" s="525">
        <f>1562/E37</f>
        <v>8.728744847098463E-2</v>
      </c>
      <c r="F41" s="529" t="s">
        <v>598</v>
      </c>
    </row>
    <row r="43" spans="1:19" ht="25" x14ac:dyDescent="0.25">
      <c r="F43" s="535" t="s">
        <v>599</v>
      </c>
      <c r="L43" s="568"/>
      <c r="M43" s="568">
        <v>0</v>
      </c>
      <c r="N43" s="568">
        <f>+M43+L43</f>
        <v>0</v>
      </c>
      <c r="O43" s="568">
        <f>180997.666808201/1000</f>
        <v>180.99766680820099</v>
      </c>
      <c r="P43" s="568">
        <f>186445.515581464/1000</f>
        <v>186.44551558146398</v>
      </c>
      <c r="Q43" s="568">
        <f>192057.339154949/1000</f>
        <v>192.05733915494901</v>
      </c>
      <c r="R43" s="568">
        <f>197838.07300617/1000</f>
        <v>197.83807300616999</v>
      </c>
      <c r="S43" s="527" t="s">
        <v>600</v>
      </c>
    </row>
    <row r="46" spans="1:19" ht="13" x14ac:dyDescent="0.3">
      <c r="F46" s="529" t="s">
        <v>601</v>
      </c>
      <c r="K46" s="527" t="s">
        <v>602</v>
      </c>
      <c r="N46" s="532" t="s">
        <v>603</v>
      </c>
    </row>
    <row r="47" spans="1:19" x14ac:dyDescent="0.25">
      <c r="F47" s="535" t="s">
        <v>604</v>
      </c>
    </row>
    <row r="48" spans="1:19" ht="13" x14ac:dyDescent="0.25">
      <c r="F48" s="535" t="s">
        <v>605</v>
      </c>
      <c r="M48" s="444">
        <v>-32</v>
      </c>
      <c r="N48" s="444">
        <f>+M48+L48</f>
        <v>-32</v>
      </c>
      <c r="O48" s="444"/>
      <c r="P48" s="444"/>
      <c r="Q48" s="444"/>
      <c r="R48" s="444"/>
    </row>
    <row r="49" spans="6:19" x14ac:dyDescent="0.25">
      <c r="F49" s="535" t="s">
        <v>606</v>
      </c>
    </row>
    <row r="50" spans="6:19" ht="13" x14ac:dyDescent="0.25">
      <c r="F50" s="535" t="s">
        <v>607</v>
      </c>
      <c r="M50" s="444">
        <v>-110</v>
      </c>
      <c r="N50" s="444">
        <f>+M50+L50</f>
        <v>-110</v>
      </c>
      <c r="O50" s="444"/>
      <c r="P50" s="444"/>
      <c r="Q50" s="444"/>
      <c r="R50" s="444"/>
    </row>
    <row r="51" spans="6:19" ht="13" x14ac:dyDescent="0.25">
      <c r="F51" s="535" t="s">
        <v>608</v>
      </c>
      <c r="M51" s="444">
        <f>1511543/1000*-1</f>
        <v>-1511.5429999999999</v>
      </c>
      <c r="N51" s="444">
        <f>+M51+L51</f>
        <v>-1511.5429999999999</v>
      </c>
    </row>
    <row r="52" spans="6:19" ht="13" x14ac:dyDescent="0.25">
      <c r="F52" s="535" t="s">
        <v>609</v>
      </c>
      <c r="M52" s="444">
        <v>-268</v>
      </c>
      <c r="N52" s="444">
        <f>+M52+L52</f>
        <v>-268</v>
      </c>
    </row>
    <row r="53" spans="6:19" ht="13" x14ac:dyDescent="0.25">
      <c r="F53" s="535" t="s">
        <v>610</v>
      </c>
      <c r="M53" s="444"/>
      <c r="N53" s="444">
        <f>-575737/1000</f>
        <v>-575.73699999999997</v>
      </c>
    </row>
    <row r="54" spans="6:19" ht="13" x14ac:dyDescent="0.25">
      <c r="M54" s="444"/>
      <c r="N54" s="444"/>
    </row>
    <row r="55" spans="6:19" ht="13" x14ac:dyDescent="0.25">
      <c r="F55" s="535" t="s">
        <v>611</v>
      </c>
      <c r="K55" s="444">
        <v>-214</v>
      </c>
      <c r="M55" s="444">
        <v>-300</v>
      </c>
      <c r="N55" s="525"/>
      <c r="O55" s="525"/>
    </row>
    <row r="56" spans="6:19" ht="13" x14ac:dyDescent="0.25">
      <c r="F56" s="535" t="s">
        <v>612</v>
      </c>
      <c r="K56" s="444">
        <v>-300</v>
      </c>
      <c r="M56" s="444"/>
      <c r="N56" s="525"/>
    </row>
    <row r="57" spans="6:19" ht="13" x14ac:dyDescent="0.25">
      <c r="F57" s="535" t="s">
        <v>613</v>
      </c>
      <c r="M57" s="444"/>
      <c r="N57" s="444"/>
    </row>
    <row r="58" spans="6:19" ht="13" x14ac:dyDescent="0.25">
      <c r="F58" s="535" t="s">
        <v>614</v>
      </c>
      <c r="K58" s="444">
        <v>-146</v>
      </c>
      <c r="M58" s="444"/>
      <c r="N58" s="525"/>
    </row>
    <row r="59" spans="6:19" ht="13" x14ac:dyDescent="0.25">
      <c r="F59" s="535" t="s">
        <v>615</v>
      </c>
      <c r="M59" s="444"/>
      <c r="N59" s="444">
        <v>-5000</v>
      </c>
    </row>
    <row r="60" spans="6:19" ht="13" x14ac:dyDescent="0.25">
      <c r="F60" s="535" t="s">
        <v>518</v>
      </c>
      <c r="M60" s="444"/>
      <c r="N60" s="444">
        <v>-100</v>
      </c>
    </row>
    <row r="61" spans="6:19" ht="13" x14ac:dyDescent="0.25">
      <c r="M61" s="444"/>
      <c r="N61" s="444"/>
    </row>
    <row r="62" spans="6:19" ht="13.5" thickBot="1" x14ac:dyDescent="0.35">
      <c r="F62" s="569"/>
      <c r="H62" s="570"/>
      <c r="I62" s="570"/>
      <c r="J62" s="570"/>
      <c r="K62" s="571"/>
      <c r="L62" s="572"/>
      <c r="M62" s="449">
        <f>SUM(M47:M57)</f>
        <v>-2221.5429999999997</v>
      </c>
      <c r="N62" s="449">
        <f>SUM(N47:N61)</f>
        <v>-7597.28</v>
      </c>
      <c r="O62" s="449">
        <f>SUM(O47:O57)</f>
        <v>0</v>
      </c>
      <c r="P62" s="449">
        <f>SUM(P47:P57)</f>
        <v>0</v>
      </c>
      <c r="Q62" s="449">
        <f>SUM(Q47:Q57)</f>
        <v>0</v>
      </c>
      <c r="R62" s="449"/>
      <c r="S62" s="571"/>
    </row>
    <row r="63" spans="6:19" ht="13" thickTop="1" x14ac:dyDescent="0.25"/>
    <row r="64" spans="6:19" x14ac:dyDescent="0.25">
      <c r="G64" s="525" t="s">
        <v>616</v>
      </c>
      <c r="K64" s="573"/>
      <c r="L64" s="574">
        <f t="shared" ref="L64:R64" si="6">+L62+L39+L43</f>
        <v>5342</v>
      </c>
      <c r="M64" s="574">
        <f t="shared" si="6"/>
        <v>3614.4570000000003</v>
      </c>
      <c r="N64" s="574">
        <f t="shared" si="6"/>
        <v>3591.7200000000003</v>
      </c>
      <c r="O64" s="574">
        <f t="shared" si="6"/>
        <v>7437.9976668082008</v>
      </c>
      <c r="P64" s="574">
        <f t="shared" si="6"/>
        <v>4834.445515581464</v>
      </c>
      <c r="Q64" s="574">
        <f t="shared" si="6"/>
        <v>2939.0573391549492</v>
      </c>
      <c r="R64" s="574">
        <f t="shared" si="6"/>
        <v>1694.8380730061699</v>
      </c>
    </row>
    <row r="65" spans="3:19" x14ac:dyDescent="0.25">
      <c r="N65" s="532">
        <f>N39+N62</f>
        <v>3591.7200000000003</v>
      </c>
      <c r="O65" s="532">
        <f>O39+O62</f>
        <v>7257</v>
      </c>
      <c r="P65" s="532">
        <f>P39+P62</f>
        <v>4648</v>
      </c>
      <c r="Q65" s="532">
        <f>Q39+Q62</f>
        <v>2747</v>
      </c>
      <c r="R65" s="532">
        <f>R39+R62</f>
        <v>1497</v>
      </c>
    </row>
    <row r="66" spans="3:19" x14ac:dyDescent="0.25">
      <c r="L66" s="575">
        <f>911/+SUM(L38/3)</f>
        <v>0.58900862068965509</v>
      </c>
      <c r="M66" s="575"/>
      <c r="N66" s="575">
        <f>5837/N38</f>
        <v>0.64220486302123447</v>
      </c>
    </row>
    <row r="68" spans="3:19" x14ac:dyDescent="0.25">
      <c r="H68" s="525" t="s">
        <v>617</v>
      </c>
      <c r="L68" s="532">
        <v>1954</v>
      </c>
      <c r="M68" s="532">
        <v>2155</v>
      </c>
      <c r="N68" s="532">
        <v>4109</v>
      </c>
    </row>
    <row r="69" spans="3:19" x14ac:dyDescent="0.25">
      <c r="H69" s="525" t="s">
        <v>618</v>
      </c>
      <c r="L69" s="532">
        <f>+L38-L68</f>
        <v>2686</v>
      </c>
      <c r="M69" s="532">
        <f>+M38-M68</f>
        <v>2863</v>
      </c>
      <c r="N69" s="532">
        <f>+N38-N68</f>
        <v>4980</v>
      </c>
    </row>
    <row r="71" spans="3:19" x14ac:dyDescent="0.25">
      <c r="H71" s="525" t="s">
        <v>619</v>
      </c>
      <c r="L71" s="532">
        <f>+L69/3</f>
        <v>895.33333333333337</v>
      </c>
    </row>
    <row r="73" spans="3:19" x14ac:dyDescent="0.25">
      <c r="H73" s="525" t="s">
        <v>620</v>
      </c>
      <c r="L73" s="532">
        <f>+L33+L31+L30+L28+L27+L26+L18+L17+L14+L12+L11+L9+L8+L7</f>
        <v>3040</v>
      </c>
    </row>
    <row r="74" spans="3:19" s="532" customFormat="1" x14ac:dyDescent="0.25">
      <c r="C74" s="525"/>
      <c r="D74" s="525"/>
      <c r="E74" s="525"/>
      <c r="F74" s="535"/>
      <c r="G74" s="525"/>
      <c r="H74" s="525"/>
      <c r="I74" s="525"/>
      <c r="J74" s="525"/>
      <c r="K74" s="527"/>
      <c r="L74" s="532">
        <f>+L73/3</f>
        <v>1013.3333333333334</v>
      </c>
      <c r="S74" s="527"/>
    </row>
    <row r="76" spans="3:19" s="532" customFormat="1" x14ac:dyDescent="0.25">
      <c r="C76" s="525"/>
      <c r="D76" s="525"/>
      <c r="E76" s="525"/>
      <c r="F76" s="535"/>
      <c r="G76" s="525"/>
      <c r="H76" s="525" t="s">
        <v>621</v>
      </c>
      <c r="I76" s="525"/>
      <c r="J76" s="525"/>
      <c r="K76" s="527"/>
      <c r="L76" s="576">
        <v>0.64852752880921893</v>
      </c>
      <c r="N76" s="532">
        <v>0.101849989945707</v>
      </c>
      <c r="S76" s="527"/>
    </row>
    <row r="78" spans="3:19" s="532" customFormat="1" x14ac:dyDescent="0.25">
      <c r="C78" s="525"/>
      <c r="D78" s="525"/>
      <c r="E78" s="525"/>
      <c r="F78" s="535"/>
      <c r="G78" s="577"/>
      <c r="H78" s="525"/>
      <c r="I78" s="525"/>
      <c r="J78" s="525"/>
      <c r="K78" s="527"/>
      <c r="S78" s="527"/>
    </row>
    <row r="79" spans="3:19" s="532" customFormat="1" x14ac:dyDescent="0.25">
      <c r="C79" s="525" t="s">
        <v>622</v>
      </c>
      <c r="D79" s="525"/>
      <c r="E79" s="525"/>
      <c r="F79" s="578">
        <f>+SUM(N19:N21)</f>
        <v>240</v>
      </c>
      <c r="G79" s="579">
        <f>+F79/$F$88*100</f>
        <v>2.2564874012786764</v>
      </c>
      <c r="H79" s="525"/>
      <c r="I79" s="525"/>
      <c r="J79" s="525"/>
      <c r="K79" s="527"/>
      <c r="S79" s="527"/>
    </row>
    <row r="80" spans="3:19" s="532" customFormat="1" x14ac:dyDescent="0.25">
      <c r="C80" s="525"/>
      <c r="D80" s="525"/>
      <c r="E80" s="525"/>
      <c r="F80" s="578"/>
      <c r="G80" s="579">
        <f t="shared" ref="G80:G88" si="7">+F80/$F$88*100</f>
        <v>0</v>
      </c>
      <c r="H80" s="525"/>
      <c r="I80" s="525"/>
      <c r="J80" s="525"/>
      <c r="K80" s="527"/>
      <c r="S80" s="527"/>
    </row>
    <row r="81" spans="3:19" s="532" customFormat="1" x14ac:dyDescent="0.25">
      <c r="C81" s="525" t="s">
        <v>623</v>
      </c>
      <c r="D81" s="525"/>
      <c r="E81" s="525"/>
      <c r="F81" s="578">
        <f>+SUM(N22)</f>
        <v>532</v>
      </c>
      <c r="G81" s="579">
        <f t="shared" si="7"/>
        <v>5.0018804061677322</v>
      </c>
      <c r="H81" s="525"/>
      <c r="I81" s="525"/>
      <c r="J81" s="525"/>
      <c r="K81" s="527"/>
      <c r="S81" s="527"/>
    </row>
    <row r="82" spans="3:19" s="532" customFormat="1" x14ac:dyDescent="0.25">
      <c r="C82" s="525"/>
      <c r="D82" s="525"/>
      <c r="E82" s="525"/>
      <c r="F82" s="578"/>
      <c r="G82" s="579">
        <f t="shared" si="7"/>
        <v>0</v>
      </c>
      <c r="H82" s="525"/>
      <c r="I82" s="525"/>
      <c r="J82" s="525"/>
      <c r="K82" s="527"/>
      <c r="S82" s="527"/>
    </row>
    <row r="83" spans="3:19" s="532" customFormat="1" x14ac:dyDescent="0.25">
      <c r="C83" s="525" t="s">
        <v>523</v>
      </c>
      <c r="D83" s="525"/>
      <c r="E83" s="525"/>
      <c r="F83" s="578">
        <f>+SUM(N11:N14)</f>
        <v>2069</v>
      </c>
      <c r="G83" s="579">
        <f t="shared" si="7"/>
        <v>19.452801805189921</v>
      </c>
      <c r="H83" s="525"/>
      <c r="I83" s="525"/>
      <c r="J83" s="525"/>
      <c r="K83" s="527"/>
      <c r="S83" s="527"/>
    </row>
    <row r="84" spans="3:19" s="532" customFormat="1" x14ac:dyDescent="0.25">
      <c r="C84" s="525" t="s">
        <v>537</v>
      </c>
      <c r="D84" s="525"/>
      <c r="E84" s="525"/>
      <c r="F84" s="578">
        <f>+SUM(N17:N18)</f>
        <v>2850</v>
      </c>
      <c r="G84" s="579">
        <f t="shared" si="7"/>
        <v>26.795787890184279</v>
      </c>
      <c r="H84" s="525"/>
      <c r="I84" s="525"/>
      <c r="J84" s="525"/>
      <c r="K84" s="527"/>
      <c r="S84" s="527"/>
    </row>
    <row r="85" spans="3:19" s="532" customFormat="1" x14ac:dyDescent="0.25">
      <c r="C85" s="525" t="s">
        <v>624</v>
      </c>
      <c r="D85" s="525"/>
      <c r="E85" s="525"/>
      <c r="F85" s="578">
        <f>+SUM(N24:N30)+180+4109</f>
        <v>4885</v>
      </c>
      <c r="G85" s="579">
        <f t="shared" si="7"/>
        <v>45.928920646859723</v>
      </c>
      <c r="H85" s="525"/>
      <c r="I85" s="525"/>
      <c r="J85" s="525"/>
      <c r="K85" s="527"/>
      <c r="S85" s="527"/>
    </row>
    <row r="86" spans="3:19" s="532" customFormat="1" x14ac:dyDescent="0.25">
      <c r="C86" s="525" t="s">
        <v>589</v>
      </c>
      <c r="D86" s="525"/>
      <c r="E86" s="525"/>
      <c r="F86" s="578">
        <f>+SUM(N31:N33)</f>
        <v>60</v>
      </c>
      <c r="G86" s="579">
        <f t="shared" si="7"/>
        <v>0.5641218503196691</v>
      </c>
      <c r="H86" s="525"/>
      <c r="I86" s="525"/>
      <c r="J86" s="525"/>
      <c r="K86" s="527"/>
      <c r="S86" s="527"/>
    </row>
    <row r="87" spans="3:19" s="532" customFormat="1" x14ac:dyDescent="0.25">
      <c r="C87" s="525"/>
      <c r="D87" s="525"/>
      <c r="E87" s="525"/>
      <c r="F87" s="535"/>
      <c r="G87" s="579">
        <f t="shared" si="7"/>
        <v>0</v>
      </c>
      <c r="H87" s="525"/>
      <c r="I87" s="525"/>
      <c r="J87" s="525"/>
      <c r="K87" s="527"/>
      <c r="S87" s="527"/>
    </row>
    <row r="88" spans="3:19" s="532" customFormat="1" x14ac:dyDescent="0.25">
      <c r="C88" s="525"/>
      <c r="D88" s="525"/>
      <c r="E88" s="525"/>
      <c r="F88" s="578">
        <f>+SUM(F79:F86)</f>
        <v>10636</v>
      </c>
      <c r="G88" s="579">
        <f t="shared" si="7"/>
        <v>100</v>
      </c>
      <c r="H88" s="525"/>
      <c r="I88" s="525"/>
      <c r="J88" s="525"/>
      <c r="K88" s="527"/>
      <c r="S88" s="527"/>
    </row>
    <row r="92" spans="3:19" x14ac:dyDescent="0.25">
      <c r="I92" s="525" t="s">
        <v>237</v>
      </c>
      <c r="N92" s="532">
        <f>'[14]Appendix A'!V140</f>
        <v>8990.6020000000008</v>
      </c>
    </row>
    <row r="93" spans="3:19" x14ac:dyDescent="0.25">
      <c r="N93" s="532">
        <f>N92-N64</f>
        <v>5398.8820000000005</v>
      </c>
    </row>
    <row r="95" spans="3:19" x14ac:dyDescent="0.25">
      <c r="I95" s="525" t="s">
        <v>625</v>
      </c>
      <c r="N95" s="532">
        <f>'[14]Appendix A'!V9+'[14]Appendix A'!V12+'[14]Appendix A'!V15+'[14]Appendix A'!V47</f>
        <v>-89</v>
      </c>
    </row>
    <row r="97" spans="14:14" x14ac:dyDescent="0.25">
      <c r="N97" s="532">
        <f>N93-N95</f>
        <v>5487.8820000000005</v>
      </c>
    </row>
  </sheetData>
  <customSheetViews>
    <customSheetView guid="{903669DD-1133-45D2-B108-C6B5BEA5EB61}" scale="80" hiddenColumns="1" topLeftCell="F43">
      <selection activeCell="H61" sqref="H61"/>
      <pageMargins left="0" right="0" top="0" bottom="0" header="0" footer="0"/>
    </customSheetView>
    <customSheetView guid="{7910FD81-BFE7-4CD5-939B-3D7A1CA9601A}" scale="80" hiddenColumns="1" state="hidden" topLeftCell="F43">
      <selection activeCell="Q49" sqref="Q49"/>
      <pageMargins left="0" right="0" top="0" bottom="0" header="0" footer="0"/>
    </customSheetView>
    <customSheetView guid="{051C2D13-0D3D-44C3-A7DB-A0EAFBF115F0}" scale="80" hiddenColumns="1" state="hidden" topLeftCell="F43">
      <selection activeCell="Q49" sqref="Q49"/>
      <pageMargins left="0" right="0" top="0" bottom="0" header="0" footer="0"/>
    </customSheetView>
    <customSheetView guid="{9C479752-7F2F-4739-B52F-47A06FE05EF0}" scale="80" hiddenColumns="1" state="hidden" topLeftCell="F43">
      <selection activeCell="Q49" sqref="Q49"/>
      <pageMargins left="0" right="0" top="0" bottom="0" header="0" footer="0"/>
    </customSheetView>
    <customSheetView guid="{A0809A10-8F40-4AD2-8943-60E412AED428}" scale="80" hiddenColumns="1" state="hidden" topLeftCell="F43">
      <selection activeCell="Q49" sqref="Q49"/>
      <pageMargins left="0" right="0" top="0" bottom="0" header="0" footer="0"/>
    </customSheetView>
    <customSheetView guid="{3E006852-BD2D-4884-A2A1-BFAEAE24582F}" scale="80" hiddenColumns="1" state="hidden" topLeftCell="F43">
      <selection activeCell="Q49" sqref="Q49"/>
      <pageMargins left="0" right="0" top="0" bottom="0" header="0" footer="0"/>
    </customSheetView>
    <customSheetView guid="{2F5D2611-A2AC-4668-B979-0EE258BE5F1F}" scale="80" hiddenColumns="1" state="hidden" topLeftCell="F43">
      <selection activeCell="Q49" sqref="Q49"/>
      <pageMargins left="0" right="0" top="0" bottom="0" header="0" footer="0"/>
    </customSheetView>
    <customSheetView guid="{2EE8538C-E3AE-40C6-B22A-073EBF96300A}" scale="80" hiddenColumns="1" state="hidden" topLeftCell="F43">
      <selection activeCell="Q49" sqref="Q49"/>
      <pageMargins left="0" right="0" top="0" bottom="0" header="0" footer="0"/>
    </customSheetView>
    <customSheetView guid="{E4F22399-07D5-465E-AFB1-A36259E00328}" scale="80" hiddenColumns="1" topLeftCell="F43">
      <selection activeCell="H61" sqref="H61"/>
      <pageMargins left="0" right="0" top="0" bottom="0" header="0" footer="0"/>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AK146"/>
  <sheetViews>
    <sheetView zoomScale="80" zoomScaleNormal="80" workbookViewId="0">
      <pane xSplit="1" ySplit="2" topLeftCell="B93" activePane="bottomRight" state="frozen"/>
      <selection pane="topRight" activeCell="B1" sqref="B1"/>
      <selection pane="bottomLeft" activeCell="A3" sqref="A3"/>
      <selection pane="bottomRight" activeCell="AH1" sqref="AH1:AH1048576"/>
    </sheetView>
  </sheetViews>
  <sheetFormatPr defaultColWidth="9.453125" defaultRowHeight="12.5" outlineLevelRow="2" outlineLevelCol="1" x14ac:dyDescent="0.25"/>
  <cols>
    <col min="1" max="1" width="1.54296875" customWidth="1"/>
    <col min="2" max="2" width="55.453125" style="1" customWidth="1"/>
    <col min="3" max="3" width="13.54296875" customWidth="1"/>
    <col min="4" max="4" width="13.54296875" hidden="1" customWidth="1"/>
    <col min="5" max="5" width="13.54296875" hidden="1" customWidth="1" outlineLevel="1"/>
    <col min="6" max="6" width="13.54296875" style="1" hidden="1" customWidth="1" outlineLevel="1"/>
    <col min="7" max="11" width="13.54296875" hidden="1" customWidth="1" outlineLevel="1"/>
    <col min="12" max="12" width="13.54296875" hidden="1" customWidth="1" collapsed="1"/>
    <col min="13" max="13" width="13.54296875" hidden="1" customWidth="1" outlineLevel="1"/>
    <col min="14" max="14" width="13.54296875" customWidth="1" collapsed="1"/>
    <col min="15" max="16" width="13.54296875" customWidth="1" outlineLevel="1"/>
    <col min="17" max="17" width="13.54296875" customWidth="1"/>
    <col min="18" max="19" width="13.54296875" customWidth="1" outlineLevel="1"/>
    <col min="20" max="20" width="13.54296875" hidden="1" customWidth="1" outlineLevel="1"/>
    <col min="21" max="22" width="13.54296875" hidden="1" customWidth="1"/>
    <col min="23" max="23" width="13.54296875" customWidth="1" outlineLevel="1"/>
    <col min="24" max="26" width="13.54296875" hidden="1" customWidth="1" outlineLevel="1"/>
    <col min="27" max="27" width="1.54296875" customWidth="1" collapsed="1"/>
    <col min="28" max="32" width="13.54296875" customWidth="1" outlineLevel="1"/>
    <col min="33" max="33" width="1.54296875" customWidth="1"/>
    <col min="34" max="43" width="11.54296875" customWidth="1"/>
  </cols>
  <sheetData>
    <row r="1" spans="2:34" s="6" customFormat="1" ht="18.5" thickBot="1" x14ac:dyDescent="0.45">
      <c r="B1" s="17"/>
      <c r="D1" s="18" t="s">
        <v>0</v>
      </c>
      <c r="F1" s="17"/>
    </row>
    <row r="2" spans="2:34" ht="72" customHeight="1" thickBot="1" x14ac:dyDescent="0.3">
      <c r="B2" s="28" t="str">
        <f>_control!F9</f>
        <v>General Fund Outturn Report 24/25 @ 30 September 2024</v>
      </c>
      <c r="C2" s="48" t="s">
        <v>2</v>
      </c>
      <c r="D2" s="48" t="s">
        <v>3</v>
      </c>
      <c r="E2" s="49" t="s">
        <v>4</v>
      </c>
      <c r="F2" s="49" t="s">
        <v>5</v>
      </c>
      <c r="G2" s="49" t="s">
        <v>6</v>
      </c>
      <c r="H2" s="49" t="s">
        <v>7</v>
      </c>
      <c r="I2" s="49" t="s">
        <v>8</v>
      </c>
      <c r="J2" s="49" t="s">
        <v>9</v>
      </c>
      <c r="K2" s="49" t="s">
        <v>10</v>
      </c>
      <c r="L2" s="48" t="s">
        <v>11</v>
      </c>
      <c r="M2" s="48" t="s">
        <v>12</v>
      </c>
      <c r="N2" s="48" t="s">
        <v>13</v>
      </c>
      <c r="O2" s="48" t="s">
        <v>14</v>
      </c>
      <c r="P2" s="48" t="s">
        <v>15</v>
      </c>
      <c r="Q2" s="48" t="s">
        <v>16</v>
      </c>
      <c r="R2" s="48" t="s">
        <v>17</v>
      </c>
      <c r="S2" s="48" t="s">
        <v>18</v>
      </c>
      <c r="T2" s="48" t="s">
        <v>19</v>
      </c>
      <c r="U2" s="48" t="s">
        <v>20</v>
      </c>
      <c r="V2" s="48" t="s">
        <v>24</v>
      </c>
      <c r="W2" s="627" t="s">
        <v>25</v>
      </c>
      <c r="X2" s="48" t="s">
        <v>26</v>
      </c>
      <c r="Y2" s="48" t="s">
        <v>27</v>
      </c>
      <c r="Z2" s="48" t="s">
        <v>28</v>
      </c>
      <c r="AA2" s="60"/>
      <c r="AB2" s="48" t="s">
        <v>29</v>
      </c>
      <c r="AC2" s="48" t="s">
        <v>30</v>
      </c>
      <c r="AD2" s="48" t="s">
        <v>31</v>
      </c>
      <c r="AE2" s="48" t="s">
        <v>32</v>
      </c>
      <c r="AF2" s="48" t="s">
        <v>33</v>
      </c>
      <c r="AH2" s="626" t="s">
        <v>166</v>
      </c>
    </row>
    <row r="3" spans="2:34" ht="21" x14ac:dyDescent="0.5">
      <c r="B3" s="47"/>
      <c r="C3" s="55" t="s">
        <v>34</v>
      </c>
      <c r="D3" s="55" t="s">
        <v>34</v>
      </c>
      <c r="E3" s="56" t="s">
        <v>34</v>
      </c>
      <c r="F3" s="56" t="s">
        <v>34</v>
      </c>
      <c r="G3" s="56" t="s">
        <v>34</v>
      </c>
      <c r="H3" s="56" t="s">
        <v>34</v>
      </c>
      <c r="I3" s="56" t="s">
        <v>34</v>
      </c>
      <c r="J3" s="56" t="s">
        <v>34</v>
      </c>
      <c r="K3" s="56" t="s">
        <v>34</v>
      </c>
      <c r="L3" s="55" t="s">
        <v>34</v>
      </c>
      <c r="M3" s="55" t="s">
        <v>34</v>
      </c>
      <c r="N3" s="55" t="s">
        <v>34</v>
      </c>
      <c r="O3" s="55" t="s">
        <v>34</v>
      </c>
      <c r="P3" s="55" t="s">
        <v>34</v>
      </c>
      <c r="Q3" s="55" t="s">
        <v>34</v>
      </c>
      <c r="R3" s="55" t="s">
        <v>34</v>
      </c>
      <c r="S3" s="55" t="s">
        <v>34</v>
      </c>
      <c r="T3" s="55" t="s">
        <v>35</v>
      </c>
      <c r="U3" s="55" t="s">
        <v>34</v>
      </c>
      <c r="V3" s="55" t="s">
        <v>34</v>
      </c>
      <c r="W3" s="628" t="s">
        <v>34</v>
      </c>
      <c r="X3" s="55" t="s">
        <v>34</v>
      </c>
      <c r="Y3" s="55" t="s">
        <v>34</v>
      </c>
      <c r="Z3" s="26" t="s">
        <v>34</v>
      </c>
      <c r="AA3" s="60"/>
      <c r="AB3" s="96" t="s">
        <v>34</v>
      </c>
      <c r="AC3" s="55" t="s">
        <v>34</v>
      </c>
      <c r="AD3" s="55" t="s">
        <v>34</v>
      </c>
      <c r="AE3" s="55" t="s">
        <v>34</v>
      </c>
      <c r="AF3" s="97" t="s">
        <v>34</v>
      </c>
    </row>
    <row r="4" spans="2:34" ht="13" x14ac:dyDescent="0.3">
      <c r="B4" s="29"/>
      <c r="C4" s="36"/>
      <c r="D4" s="36"/>
      <c r="E4" s="22"/>
      <c r="F4" s="22"/>
      <c r="G4" s="22"/>
      <c r="H4" s="22"/>
      <c r="I4" s="22"/>
      <c r="J4" s="22"/>
      <c r="K4" s="22"/>
      <c r="L4" s="36"/>
      <c r="M4" s="36"/>
      <c r="N4" s="36"/>
      <c r="O4" s="36"/>
      <c r="P4" s="36"/>
      <c r="Q4" s="36"/>
      <c r="R4" s="36"/>
      <c r="S4" s="36"/>
      <c r="T4" s="36"/>
      <c r="U4" s="58"/>
      <c r="V4" s="36"/>
      <c r="W4" s="629"/>
      <c r="X4" s="36"/>
      <c r="Y4" s="36"/>
      <c r="Z4" s="40"/>
      <c r="AA4" s="60"/>
      <c r="AB4" s="98"/>
      <c r="AC4" s="36"/>
      <c r="AD4" s="36"/>
      <c r="AE4" s="36"/>
      <c r="AF4" s="99"/>
    </row>
    <row r="5" spans="2:34" ht="13" outlineLevel="2" x14ac:dyDescent="0.3">
      <c r="B5" s="31" t="s">
        <v>167</v>
      </c>
      <c r="C5" s="33">
        <v>812</v>
      </c>
      <c r="D5" s="33">
        <v>723</v>
      </c>
      <c r="E5" s="23">
        <v>0</v>
      </c>
      <c r="F5" s="23">
        <v>0</v>
      </c>
      <c r="G5" s="23">
        <v>-15</v>
      </c>
      <c r="H5" s="23">
        <v>0</v>
      </c>
      <c r="I5" s="23">
        <v>-74</v>
      </c>
      <c r="J5" s="23">
        <v>0</v>
      </c>
      <c r="K5" s="23">
        <f t="shared" ref="K5:K68" si="0">SUM(E5:J5)</f>
        <v>-89</v>
      </c>
      <c r="L5" s="33">
        <f t="shared" ref="L5:L68" si="1">N5-D5</f>
        <v>0</v>
      </c>
      <c r="M5" s="33">
        <f t="shared" ref="M5:M68" si="2">N5-C5</f>
        <v>-89</v>
      </c>
      <c r="N5" s="33">
        <v>723</v>
      </c>
      <c r="O5" s="33">
        <v>1089</v>
      </c>
      <c r="P5" s="33">
        <v>-475</v>
      </c>
      <c r="Q5" s="33">
        <v>614</v>
      </c>
      <c r="R5" s="33">
        <v>723</v>
      </c>
      <c r="S5" s="33">
        <f t="shared" ref="S5:S68" si="3">Q5-R5</f>
        <v>-109</v>
      </c>
      <c r="T5" s="38">
        <f t="shared" ref="T5:T68" si="4">IFERROR((Q5/N5)*100%,"∞")</f>
        <v>0.84923928077455046</v>
      </c>
      <c r="U5" s="59">
        <f t="shared" ref="U5:U68" si="5">N5+V5</f>
        <v>723</v>
      </c>
      <c r="V5" s="33">
        <v>0</v>
      </c>
      <c r="W5" s="630">
        <v>0</v>
      </c>
      <c r="X5" s="33"/>
      <c r="Y5" s="33"/>
      <c r="Z5" s="42"/>
      <c r="AA5" s="60"/>
      <c r="AB5" s="105"/>
      <c r="AC5" s="93"/>
      <c r="AD5" s="33">
        <f t="shared" ref="AD5:AD68" si="6">SUM(AB5:AC5)</f>
        <v>0</v>
      </c>
      <c r="AE5" s="33">
        <f t="shared" ref="AE5:AE68" si="7">Q5+AD5</f>
        <v>614</v>
      </c>
      <c r="AF5" s="101">
        <f t="shared" ref="AF5:AF68" si="8">AE5-N5</f>
        <v>-109</v>
      </c>
    </row>
    <row r="6" spans="2:34" ht="13" outlineLevel="2" x14ac:dyDescent="0.3">
      <c r="B6" s="31" t="s">
        <v>168</v>
      </c>
      <c r="C6" s="33">
        <v>4611</v>
      </c>
      <c r="D6" s="33">
        <v>1733</v>
      </c>
      <c r="E6" s="23">
        <v>-2762</v>
      </c>
      <c r="F6" s="23">
        <v>1530</v>
      </c>
      <c r="G6" s="23">
        <v>-56</v>
      </c>
      <c r="H6" s="23">
        <v>17</v>
      </c>
      <c r="I6" s="23">
        <v>-60</v>
      </c>
      <c r="J6" s="23">
        <v>-15</v>
      </c>
      <c r="K6" s="23">
        <f t="shared" si="0"/>
        <v>-1346</v>
      </c>
      <c r="L6" s="33">
        <f t="shared" si="1"/>
        <v>1515</v>
      </c>
      <c r="M6" s="33">
        <f t="shared" si="2"/>
        <v>-1363</v>
      </c>
      <c r="N6" s="33">
        <v>3248</v>
      </c>
      <c r="O6" s="33">
        <v>10536</v>
      </c>
      <c r="P6" s="33">
        <v>-7840</v>
      </c>
      <c r="Q6" s="33">
        <v>2697</v>
      </c>
      <c r="R6" s="33">
        <v>3248</v>
      </c>
      <c r="S6" s="33">
        <f t="shared" si="3"/>
        <v>-551</v>
      </c>
      <c r="T6" s="38">
        <f t="shared" si="4"/>
        <v>0.8303571428571429</v>
      </c>
      <c r="U6" s="59">
        <f t="shared" si="5"/>
        <v>2778</v>
      </c>
      <c r="V6" s="33">
        <v>-470</v>
      </c>
      <c r="W6" s="630">
        <v>-470</v>
      </c>
      <c r="X6" s="33"/>
      <c r="Y6" s="33"/>
      <c r="Z6" s="42"/>
      <c r="AA6" s="60"/>
      <c r="AB6" s="105"/>
      <c r="AC6" s="93"/>
      <c r="AD6" s="33">
        <f t="shared" si="6"/>
        <v>0</v>
      </c>
      <c r="AE6" s="33">
        <f t="shared" si="7"/>
        <v>2697</v>
      </c>
      <c r="AF6" s="101">
        <f t="shared" si="8"/>
        <v>-551</v>
      </c>
    </row>
    <row r="7" spans="2:34" ht="13" outlineLevel="2" x14ac:dyDescent="0.3">
      <c r="B7" s="31" t="s">
        <v>169</v>
      </c>
      <c r="C7" s="33">
        <v>-986</v>
      </c>
      <c r="D7" s="33">
        <v>52</v>
      </c>
      <c r="E7" s="23">
        <v>0</v>
      </c>
      <c r="F7" s="23">
        <v>0</v>
      </c>
      <c r="G7" s="23">
        <v>-1</v>
      </c>
      <c r="H7" s="23">
        <v>0</v>
      </c>
      <c r="I7" s="23">
        <v>1039</v>
      </c>
      <c r="J7" s="23">
        <v>0</v>
      </c>
      <c r="K7" s="23">
        <f t="shared" si="0"/>
        <v>1038</v>
      </c>
      <c r="L7" s="33">
        <f t="shared" si="1"/>
        <v>0</v>
      </c>
      <c r="M7" s="33">
        <f t="shared" si="2"/>
        <v>1038</v>
      </c>
      <c r="N7" s="33">
        <v>52</v>
      </c>
      <c r="O7" s="33">
        <v>55</v>
      </c>
      <c r="P7" s="33">
        <v>0</v>
      </c>
      <c r="Q7" s="33">
        <v>55</v>
      </c>
      <c r="R7" s="33">
        <v>52</v>
      </c>
      <c r="S7" s="33">
        <f t="shared" si="3"/>
        <v>3</v>
      </c>
      <c r="T7" s="38">
        <f t="shared" si="4"/>
        <v>1.0576923076923077</v>
      </c>
      <c r="U7" s="59">
        <f t="shared" si="5"/>
        <v>52</v>
      </c>
      <c r="V7" s="33">
        <v>0</v>
      </c>
      <c r="W7" s="630">
        <v>0</v>
      </c>
      <c r="X7" s="33"/>
      <c r="Y7" s="33"/>
      <c r="Z7" s="42"/>
      <c r="AA7" s="60"/>
      <c r="AB7" s="105"/>
      <c r="AC7" s="93"/>
      <c r="AD7" s="33">
        <f t="shared" si="6"/>
        <v>0</v>
      </c>
      <c r="AE7" s="33">
        <f t="shared" si="7"/>
        <v>55</v>
      </c>
      <c r="AF7" s="101">
        <f t="shared" si="8"/>
        <v>3</v>
      </c>
    </row>
    <row r="8" spans="2:34" ht="13" outlineLevel="2" x14ac:dyDescent="0.3">
      <c r="B8" s="31" t="s">
        <v>170</v>
      </c>
      <c r="C8" s="33">
        <v>121</v>
      </c>
      <c r="D8" s="33">
        <v>159</v>
      </c>
      <c r="E8" s="23">
        <v>0</v>
      </c>
      <c r="F8" s="23">
        <v>0</v>
      </c>
      <c r="G8" s="23">
        <v>-4</v>
      </c>
      <c r="H8" s="23">
        <v>0</v>
      </c>
      <c r="I8" s="23">
        <v>42</v>
      </c>
      <c r="J8" s="23">
        <v>0</v>
      </c>
      <c r="K8" s="23">
        <f t="shared" si="0"/>
        <v>38</v>
      </c>
      <c r="L8" s="33">
        <f t="shared" si="1"/>
        <v>0</v>
      </c>
      <c r="M8" s="33">
        <f t="shared" si="2"/>
        <v>38</v>
      </c>
      <c r="N8" s="33">
        <v>159</v>
      </c>
      <c r="O8" s="33">
        <v>484</v>
      </c>
      <c r="P8" s="33">
        <v>-254</v>
      </c>
      <c r="Q8" s="33">
        <v>230</v>
      </c>
      <c r="R8" s="33">
        <v>159</v>
      </c>
      <c r="S8" s="33">
        <f t="shared" si="3"/>
        <v>71</v>
      </c>
      <c r="T8" s="38">
        <f t="shared" si="4"/>
        <v>1.4465408805031446</v>
      </c>
      <c r="U8" s="59">
        <f t="shared" si="5"/>
        <v>159</v>
      </c>
      <c r="V8" s="33">
        <v>0</v>
      </c>
      <c r="W8" s="630">
        <v>0</v>
      </c>
      <c r="X8" s="33"/>
      <c r="Y8" s="33"/>
      <c r="Z8" s="42"/>
      <c r="AA8" s="60"/>
      <c r="AB8" s="105"/>
      <c r="AC8" s="93"/>
      <c r="AD8" s="33">
        <f t="shared" si="6"/>
        <v>0</v>
      </c>
      <c r="AE8" s="33">
        <f t="shared" si="7"/>
        <v>230</v>
      </c>
      <c r="AF8" s="101">
        <f t="shared" si="8"/>
        <v>71</v>
      </c>
    </row>
    <row r="9" spans="2:34" ht="13" outlineLevel="1" x14ac:dyDescent="0.3">
      <c r="B9" s="32" t="s">
        <v>43</v>
      </c>
      <c r="C9" s="34">
        <f t="shared" ref="C9:J9" si="9">SUBTOTAL(9,C5:C8)</f>
        <v>4558</v>
      </c>
      <c r="D9" s="34">
        <f t="shared" si="9"/>
        <v>2667</v>
      </c>
      <c r="E9" s="24">
        <f t="shared" si="9"/>
        <v>-2762</v>
      </c>
      <c r="F9" s="24">
        <f t="shared" si="9"/>
        <v>1530</v>
      </c>
      <c r="G9" s="24">
        <f t="shared" si="9"/>
        <v>-76</v>
      </c>
      <c r="H9" s="24">
        <f t="shared" si="9"/>
        <v>17</v>
      </c>
      <c r="I9" s="24">
        <f t="shared" si="9"/>
        <v>947</v>
      </c>
      <c r="J9" s="24">
        <f t="shared" si="9"/>
        <v>-15</v>
      </c>
      <c r="K9" s="24">
        <f>SUM(E9:J9)</f>
        <v>-359</v>
      </c>
      <c r="L9" s="34">
        <f t="shared" si="1"/>
        <v>1515</v>
      </c>
      <c r="M9" s="34">
        <f t="shared" si="2"/>
        <v>-376</v>
      </c>
      <c r="N9" s="34">
        <f>SUBTOTAL(9,N5:N8)</f>
        <v>4182</v>
      </c>
      <c r="O9" s="34">
        <f>SUBTOTAL(9,O5:O8)</f>
        <v>12164</v>
      </c>
      <c r="P9" s="34">
        <f>SUBTOTAL(9,P5:P8)</f>
        <v>-8569</v>
      </c>
      <c r="Q9" s="34">
        <f>SUBTOTAL(9,Q5:Q8)</f>
        <v>3596</v>
      </c>
      <c r="R9" s="34">
        <f>SUBTOTAL(9,R5:R8)</f>
        <v>4182</v>
      </c>
      <c r="S9" s="34">
        <f>Q9-R9</f>
        <v>-586</v>
      </c>
      <c r="T9" s="38">
        <f>IFERROR((Q9/N9)*100%,"∞")</f>
        <v>0.8598756575801052</v>
      </c>
      <c r="U9" s="59">
        <f>N9+V9</f>
        <v>3712</v>
      </c>
      <c r="V9" s="34">
        <f>SUBTOTAL(9,V5:V8)</f>
        <v>-470</v>
      </c>
      <c r="W9" s="631">
        <f>SUBTOTAL(9,W5:W8)</f>
        <v>-470</v>
      </c>
      <c r="X9" s="34">
        <f t="shared" ref="X9:AF9" si="10">SUBTOTAL(9,X5:X8)</f>
        <v>0</v>
      </c>
      <c r="Y9" s="34">
        <f t="shared" si="10"/>
        <v>0</v>
      </c>
      <c r="Z9" s="34">
        <f t="shared" si="10"/>
        <v>0</v>
      </c>
      <c r="AA9" s="34">
        <f t="shared" si="10"/>
        <v>0</v>
      </c>
      <c r="AB9" s="34">
        <f t="shared" si="10"/>
        <v>0</v>
      </c>
      <c r="AC9" s="34">
        <f t="shared" si="10"/>
        <v>0</v>
      </c>
      <c r="AD9" s="34">
        <f t="shared" si="10"/>
        <v>0</v>
      </c>
      <c r="AE9" s="34">
        <f t="shared" si="10"/>
        <v>3596</v>
      </c>
      <c r="AF9" s="34">
        <f t="shared" si="10"/>
        <v>-586</v>
      </c>
      <c r="AH9" s="19">
        <f>AF9-W9</f>
        <v>-116</v>
      </c>
    </row>
    <row r="10" spans="2:34" ht="13" outlineLevel="2" x14ac:dyDescent="0.3">
      <c r="B10" s="31" t="s">
        <v>171</v>
      </c>
      <c r="C10" s="33">
        <v>544</v>
      </c>
      <c r="D10" s="33">
        <v>512</v>
      </c>
      <c r="E10" s="23">
        <v>0</v>
      </c>
      <c r="F10" s="23">
        <v>-147</v>
      </c>
      <c r="G10" s="23">
        <v>-32</v>
      </c>
      <c r="H10" s="23">
        <v>0</v>
      </c>
      <c r="I10" s="23">
        <v>0</v>
      </c>
      <c r="J10" s="23">
        <v>-15</v>
      </c>
      <c r="K10" s="23">
        <f t="shared" si="0"/>
        <v>-194</v>
      </c>
      <c r="L10" s="33">
        <f t="shared" si="1"/>
        <v>-162</v>
      </c>
      <c r="M10" s="33">
        <f t="shared" si="2"/>
        <v>-194</v>
      </c>
      <c r="N10" s="33">
        <v>350</v>
      </c>
      <c r="O10" s="33">
        <v>2561</v>
      </c>
      <c r="P10" s="33">
        <v>-2145</v>
      </c>
      <c r="Q10" s="33">
        <v>417</v>
      </c>
      <c r="R10" s="33">
        <v>350</v>
      </c>
      <c r="S10" s="33">
        <f t="shared" si="3"/>
        <v>67</v>
      </c>
      <c r="T10" s="38">
        <f t="shared" si="4"/>
        <v>1.1914285714285715</v>
      </c>
      <c r="U10" s="59">
        <f t="shared" si="5"/>
        <v>508</v>
      </c>
      <c r="V10" s="33">
        <v>158</v>
      </c>
      <c r="W10" s="630">
        <v>158</v>
      </c>
      <c r="X10" s="33"/>
      <c r="Y10" s="33"/>
      <c r="Z10" s="42"/>
      <c r="AA10" s="60"/>
      <c r="AB10" s="105"/>
      <c r="AC10" s="93"/>
      <c r="AD10" s="33">
        <f t="shared" si="6"/>
        <v>0</v>
      </c>
      <c r="AE10" s="33">
        <f t="shared" si="7"/>
        <v>417</v>
      </c>
      <c r="AF10" s="101">
        <f t="shared" si="8"/>
        <v>67</v>
      </c>
    </row>
    <row r="11" spans="2:34" ht="13" outlineLevel="2" x14ac:dyDescent="0.3">
      <c r="B11" s="31" t="s">
        <v>44</v>
      </c>
      <c r="C11" s="33">
        <v>815</v>
      </c>
      <c r="D11" s="33">
        <v>849</v>
      </c>
      <c r="E11" s="23">
        <v>45</v>
      </c>
      <c r="F11" s="23">
        <v>89</v>
      </c>
      <c r="G11" s="23">
        <v>-28</v>
      </c>
      <c r="H11" s="23">
        <v>0</v>
      </c>
      <c r="I11" s="23">
        <v>18</v>
      </c>
      <c r="J11" s="23">
        <v>0</v>
      </c>
      <c r="K11" s="23">
        <f t="shared" si="0"/>
        <v>124</v>
      </c>
      <c r="L11" s="33">
        <f t="shared" si="1"/>
        <v>90</v>
      </c>
      <c r="M11" s="33">
        <f t="shared" si="2"/>
        <v>124</v>
      </c>
      <c r="N11" s="33">
        <v>939</v>
      </c>
      <c r="O11" s="33">
        <v>1859</v>
      </c>
      <c r="P11" s="33">
        <v>-960</v>
      </c>
      <c r="Q11" s="33">
        <v>899</v>
      </c>
      <c r="R11" s="33">
        <v>939</v>
      </c>
      <c r="S11" s="33">
        <f t="shared" si="3"/>
        <v>-40</v>
      </c>
      <c r="T11" s="38">
        <f t="shared" si="4"/>
        <v>0.95740149094781679</v>
      </c>
      <c r="U11" s="59">
        <f t="shared" si="5"/>
        <v>915</v>
      </c>
      <c r="V11" s="33">
        <v>-24</v>
      </c>
      <c r="W11" s="630">
        <v>-24</v>
      </c>
      <c r="X11" s="33"/>
      <c r="Y11" s="33"/>
      <c r="Z11" s="42"/>
      <c r="AA11" s="60"/>
      <c r="AB11" s="105"/>
      <c r="AC11" s="93"/>
      <c r="AD11" s="33">
        <f t="shared" si="6"/>
        <v>0</v>
      </c>
      <c r="AE11" s="33">
        <f t="shared" si="7"/>
        <v>899</v>
      </c>
      <c r="AF11" s="101">
        <f t="shared" si="8"/>
        <v>-40</v>
      </c>
    </row>
    <row r="12" spans="2:34" ht="13" outlineLevel="1" x14ac:dyDescent="0.3">
      <c r="B12" s="32" t="s">
        <v>172</v>
      </c>
      <c r="C12" s="34">
        <f t="shared" ref="C12:J12" si="11">SUBTOTAL(9,C10:C11)</f>
        <v>1359</v>
      </c>
      <c r="D12" s="34">
        <f t="shared" si="11"/>
        <v>1361</v>
      </c>
      <c r="E12" s="24">
        <f t="shared" si="11"/>
        <v>45</v>
      </c>
      <c r="F12" s="24">
        <f t="shared" si="11"/>
        <v>-58</v>
      </c>
      <c r="G12" s="24">
        <f t="shared" si="11"/>
        <v>-60</v>
      </c>
      <c r="H12" s="24">
        <f t="shared" si="11"/>
        <v>0</v>
      </c>
      <c r="I12" s="24">
        <f t="shared" si="11"/>
        <v>18</v>
      </c>
      <c r="J12" s="24">
        <f t="shared" si="11"/>
        <v>-15</v>
      </c>
      <c r="K12" s="24">
        <f>SUM(E12:J12)</f>
        <v>-70</v>
      </c>
      <c r="L12" s="34">
        <f t="shared" ref="L12" si="12">N12-D12</f>
        <v>-72</v>
      </c>
      <c r="M12" s="34">
        <f t="shared" ref="M12" si="13">N12-C12</f>
        <v>-70</v>
      </c>
      <c r="N12" s="34">
        <f>SUBTOTAL(9,N10:N11)</f>
        <v>1289</v>
      </c>
      <c r="O12" s="34">
        <f>SUBTOTAL(9,O10:O11)</f>
        <v>4420</v>
      </c>
      <c r="P12" s="34">
        <f>SUBTOTAL(9,P10:P11)</f>
        <v>-3105</v>
      </c>
      <c r="Q12" s="34">
        <f>SUBTOTAL(9,Q10:Q11)</f>
        <v>1316</v>
      </c>
      <c r="R12" s="34">
        <f>SUBTOTAL(9,R10:R11)</f>
        <v>1289</v>
      </c>
      <c r="S12" s="34">
        <f>Q12-R12</f>
        <v>27</v>
      </c>
      <c r="T12" s="38">
        <f>IFERROR((Q12/N12)*100%,"∞")</f>
        <v>1.0209464701318851</v>
      </c>
      <c r="U12" s="59">
        <f>N12+V12</f>
        <v>1423</v>
      </c>
      <c r="V12" s="34">
        <f>SUBTOTAL(9,V10:V11)</f>
        <v>134</v>
      </c>
      <c r="W12" s="631">
        <f>SUBTOTAL(9,W10:W11)</f>
        <v>134</v>
      </c>
      <c r="X12" s="34">
        <f t="shared" ref="X12:AF12" si="14">SUBTOTAL(9,X10:X11)</f>
        <v>0</v>
      </c>
      <c r="Y12" s="34">
        <f t="shared" si="14"/>
        <v>0</v>
      </c>
      <c r="Z12" s="34">
        <f t="shared" si="14"/>
        <v>0</v>
      </c>
      <c r="AA12" s="34">
        <f t="shared" si="14"/>
        <v>0</v>
      </c>
      <c r="AB12" s="34">
        <f t="shared" si="14"/>
        <v>0</v>
      </c>
      <c r="AC12" s="34">
        <f t="shared" si="14"/>
        <v>0</v>
      </c>
      <c r="AD12" s="34">
        <f t="shared" si="14"/>
        <v>0</v>
      </c>
      <c r="AE12" s="34">
        <f t="shared" si="14"/>
        <v>1316</v>
      </c>
      <c r="AF12" s="34">
        <f t="shared" si="14"/>
        <v>27</v>
      </c>
    </row>
    <row r="13" spans="2:34" ht="13" outlineLevel="2" x14ac:dyDescent="0.3">
      <c r="B13" s="31" t="s">
        <v>46</v>
      </c>
      <c r="C13" s="33">
        <v>1088</v>
      </c>
      <c r="D13" s="33">
        <v>1315</v>
      </c>
      <c r="E13" s="23">
        <v>261</v>
      </c>
      <c r="F13" s="23">
        <v>45</v>
      </c>
      <c r="G13" s="23">
        <v>-7</v>
      </c>
      <c r="H13" s="23">
        <v>0</v>
      </c>
      <c r="I13" s="23">
        <v>-26</v>
      </c>
      <c r="J13" s="23">
        <v>0</v>
      </c>
      <c r="K13" s="23">
        <f t="shared" si="0"/>
        <v>273</v>
      </c>
      <c r="L13" s="33">
        <f t="shared" si="1"/>
        <v>45</v>
      </c>
      <c r="M13" s="33">
        <f t="shared" si="2"/>
        <v>272</v>
      </c>
      <c r="N13" s="33">
        <v>1360</v>
      </c>
      <c r="O13" s="33">
        <v>1512</v>
      </c>
      <c r="P13" s="33">
        <v>-137</v>
      </c>
      <c r="Q13" s="33">
        <v>1374</v>
      </c>
      <c r="R13" s="33">
        <v>1360</v>
      </c>
      <c r="S13" s="33">
        <f t="shared" si="3"/>
        <v>14</v>
      </c>
      <c r="T13" s="38">
        <f t="shared" si="4"/>
        <v>1.0102941176470588</v>
      </c>
      <c r="U13" s="59">
        <f t="shared" si="5"/>
        <v>1483</v>
      </c>
      <c r="V13" s="33">
        <v>123</v>
      </c>
      <c r="W13" s="630">
        <v>123</v>
      </c>
      <c r="X13" s="33"/>
      <c r="Y13" s="33"/>
      <c r="Z13" s="42"/>
      <c r="AA13" s="60"/>
      <c r="AB13" s="105">
        <v>28</v>
      </c>
      <c r="AC13" s="93"/>
      <c r="AD13" s="33">
        <f t="shared" si="6"/>
        <v>28</v>
      </c>
      <c r="AE13" s="33">
        <f t="shared" si="7"/>
        <v>1402</v>
      </c>
      <c r="AF13" s="101">
        <f t="shared" si="8"/>
        <v>42</v>
      </c>
    </row>
    <row r="14" spans="2:34" ht="13" outlineLevel="2" x14ac:dyDescent="0.3">
      <c r="B14" s="31" t="s">
        <v>173</v>
      </c>
      <c r="C14" s="33">
        <v>0</v>
      </c>
      <c r="D14" s="33">
        <v>0</v>
      </c>
      <c r="E14" s="23">
        <v>0</v>
      </c>
      <c r="F14" s="23">
        <v>0</v>
      </c>
      <c r="G14" s="23">
        <v>0</v>
      </c>
      <c r="H14" s="23">
        <v>0</v>
      </c>
      <c r="I14" s="23">
        <v>0</v>
      </c>
      <c r="J14" s="23">
        <v>0</v>
      </c>
      <c r="K14" s="23">
        <f t="shared" si="0"/>
        <v>0</v>
      </c>
      <c r="L14" s="33">
        <f t="shared" si="1"/>
        <v>0</v>
      </c>
      <c r="M14" s="33">
        <f t="shared" si="2"/>
        <v>0</v>
      </c>
      <c r="N14" s="33">
        <v>0</v>
      </c>
      <c r="O14" s="33">
        <v>0</v>
      </c>
      <c r="P14" s="33">
        <v>0</v>
      </c>
      <c r="Q14" s="33">
        <v>0</v>
      </c>
      <c r="R14" s="33">
        <v>0</v>
      </c>
      <c r="S14" s="33">
        <f t="shared" si="3"/>
        <v>0</v>
      </c>
      <c r="T14" s="38" t="str">
        <f t="shared" si="4"/>
        <v>∞</v>
      </c>
      <c r="U14" s="59">
        <f t="shared" si="5"/>
        <v>0</v>
      </c>
      <c r="V14" s="33">
        <v>0</v>
      </c>
      <c r="W14" s="630">
        <v>0</v>
      </c>
      <c r="X14" s="33"/>
      <c r="Y14" s="33"/>
      <c r="Z14" s="42"/>
      <c r="AA14" s="60"/>
      <c r="AB14" s="105"/>
      <c r="AC14" s="93"/>
      <c r="AD14" s="33">
        <f t="shared" si="6"/>
        <v>0</v>
      </c>
      <c r="AE14" s="33">
        <f t="shared" si="7"/>
        <v>0</v>
      </c>
      <c r="AF14" s="101">
        <f t="shared" si="8"/>
        <v>0</v>
      </c>
    </row>
    <row r="15" spans="2:34" ht="13" outlineLevel="2" x14ac:dyDescent="0.3">
      <c r="B15" s="31" t="s">
        <v>47</v>
      </c>
      <c r="C15" s="33">
        <v>185</v>
      </c>
      <c r="D15" s="33">
        <v>181</v>
      </c>
      <c r="E15" s="23">
        <v>0</v>
      </c>
      <c r="F15" s="23">
        <v>2</v>
      </c>
      <c r="G15" s="23">
        <v>-4</v>
      </c>
      <c r="H15" s="23">
        <v>0</v>
      </c>
      <c r="I15" s="23">
        <v>0</v>
      </c>
      <c r="J15" s="23">
        <v>0</v>
      </c>
      <c r="K15" s="23">
        <f t="shared" si="0"/>
        <v>-2</v>
      </c>
      <c r="L15" s="33">
        <f t="shared" si="1"/>
        <v>3</v>
      </c>
      <c r="M15" s="33">
        <f t="shared" si="2"/>
        <v>-1</v>
      </c>
      <c r="N15" s="33">
        <v>184</v>
      </c>
      <c r="O15" s="33">
        <v>297</v>
      </c>
      <c r="P15" s="33">
        <v>-141</v>
      </c>
      <c r="Q15" s="33">
        <v>156</v>
      </c>
      <c r="R15" s="33">
        <v>184</v>
      </c>
      <c r="S15" s="33">
        <f t="shared" si="3"/>
        <v>-28</v>
      </c>
      <c r="T15" s="38">
        <f t="shared" si="4"/>
        <v>0.84782608695652173</v>
      </c>
      <c r="U15" s="59">
        <f t="shared" si="5"/>
        <v>206</v>
      </c>
      <c r="V15" s="33">
        <v>22</v>
      </c>
      <c r="W15" s="630">
        <v>22</v>
      </c>
      <c r="X15" s="33"/>
      <c r="Y15" s="33"/>
      <c r="Z15" s="42"/>
      <c r="AA15" s="60"/>
      <c r="AB15" s="105"/>
      <c r="AC15" s="93"/>
      <c r="AD15" s="33">
        <f t="shared" si="6"/>
        <v>0</v>
      </c>
      <c r="AE15" s="33">
        <f t="shared" si="7"/>
        <v>156</v>
      </c>
      <c r="AF15" s="101">
        <f t="shared" si="8"/>
        <v>-28</v>
      </c>
    </row>
    <row r="16" spans="2:34" ht="13" outlineLevel="2" x14ac:dyDescent="0.3">
      <c r="B16" s="31" t="s">
        <v>48</v>
      </c>
      <c r="C16" s="33">
        <v>365</v>
      </c>
      <c r="D16" s="33">
        <v>362</v>
      </c>
      <c r="E16" s="23">
        <v>0</v>
      </c>
      <c r="F16" s="23">
        <v>0</v>
      </c>
      <c r="G16" s="23">
        <v>-2</v>
      </c>
      <c r="H16" s="23">
        <v>0</v>
      </c>
      <c r="I16" s="23">
        <v>0</v>
      </c>
      <c r="J16" s="23">
        <v>0</v>
      </c>
      <c r="K16" s="23">
        <f t="shared" si="0"/>
        <v>-2</v>
      </c>
      <c r="L16" s="33">
        <f t="shared" si="1"/>
        <v>0</v>
      </c>
      <c r="M16" s="33">
        <f t="shared" si="2"/>
        <v>-3</v>
      </c>
      <c r="N16" s="33">
        <v>362</v>
      </c>
      <c r="O16" s="33">
        <v>386</v>
      </c>
      <c r="P16" s="33">
        <v>-44</v>
      </c>
      <c r="Q16" s="33">
        <v>342</v>
      </c>
      <c r="R16" s="33">
        <v>362</v>
      </c>
      <c r="S16" s="33">
        <f t="shared" si="3"/>
        <v>-20</v>
      </c>
      <c r="T16" s="38">
        <f t="shared" si="4"/>
        <v>0.94475138121546964</v>
      </c>
      <c r="U16" s="59">
        <f t="shared" si="5"/>
        <v>338</v>
      </c>
      <c r="V16" s="33">
        <v>-24</v>
      </c>
      <c r="W16" s="630">
        <v>-24</v>
      </c>
      <c r="X16" s="33"/>
      <c r="Y16" s="33"/>
      <c r="Z16" s="42"/>
      <c r="AA16" s="60"/>
      <c r="AB16" s="105"/>
      <c r="AC16" s="93"/>
      <c r="AD16" s="33">
        <f t="shared" si="6"/>
        <v>0</v>
      </c>
      <c r="AE16" s="33">
        <f t="shared" si="7"/>
        <v>342</v>
      </c>
      <c r="AF16" s="101">
        <f t="shared" si="8"/>
        <v>-20</v>
      </c>
    </row>
    <row r="17" spans="2:34" ht="13" outlineLevel="2" x14ac:dyDescent="0.3">
      <c r="B17" s="31" t="s">
        <v>49</v>
      </c>
      <c r="C17" s="33">
        <v>519</v>
      </c>
      <c r="D17" s="33">
        <v>502</v>
      </c>
      <c r="E17" s="23">
        <v>-14</v>
      </c>
      <c r="F17" s="23">
        <v>0</v>
      </c>
      <c r="G17" s="23">
        <v>-3</v>
      </c>
      <c r="H17" s="23">
        <v>0</v>
      </c>
      <c r="I17" s="23">
        <v>0</v>
      </c>
      <c r="J17" s="23">
        <v>0</v>
      </c>
      <c r="K17" s="23">
        <f t="shared" si="0"/>
        <v>-17</v>
      </c>
      <c r="L17" s="33">
        <f t="shared" si="1"/>
        <v>0</v>
      </c>
      <c r="M17" s="33">
        <f t="shared" si="2"/>
        <v>-17</v>
      </c>
      <c r="N17" s="33">
        <v>502</v>
      </c>
      <c r="O17" s="33">
        <v>805</v>
      </c>
      <c r="P17" s="33">
        <v>-341</v>
      </c>
      <c r="Q17" s="33">
        <v>464</v>
      </c>
      <c r="R17" s="33">
        <v>502</v>
      </c>
      <c r="S17" s="33">
        <f t="shared" si="3"/>
        <v>-38</v>
      </c>
      <c r="T17" s="38">
        <f t="shared" si="4"/>
        <v>0.92430278884462147</v>
      </c>
      <c r="U17" s="59">
        <f t="shared" si="5"/>
        <v>460</v>
      </c>
      <c r="V17" s="33">
        <v>-42</v>
      </c>
      <c r="W17" s="630">
        <v>-42</v>
      </c>
      <c r="X17" s="33"/>
      <c r="Y17" s="33"/>
      <c r="Z17" s="42"/>
      <c r="AA17" s="60"/>
      <c r="AB17" s="105">
        <v>50</v>
      </c>
      <c r="AC17" s="93"/>
      <c r="AD17" s="33">
        <f t="shared" si="6"/>
        <v>50</v>
      </c>
      <c r="AE17" s="33">
        <f t="shared" si="7"/>
        <v>514</v>
      </c>
      <c r="AF17" s="101">
        <f t="shared" si="8"/>
        <v>12</v>
      </c>
    </row>
    <row r="18" spans="2:34" ht="13" outlineLevel="2" x14ac:dyDescent="0.3">
      <c r="B18" s="31" t="s">
        <v>50</v>
      </c>
      <c r="C18" s="33">
        <v>389</v>
      </c>
      <c r="D18" s="33">
        <v>386</v>
      </c>
      <c r="E18" s="23">
        <v>0</v>
      </c>
      <c r="F18" s="23">
        <v>0</v>
      </c>
      <c r="G18" s="23">
        <v>-3</v>
      </c>
      <c r="H18" s="23">
        <v>0</v>
      </c>
      <c r="I18" s="23">
        <v>0</v>
      </c>
      <c r="J18" s="23">
        <v>-30</v>
      </c>
      <c r="K18" s="23">
        <f t="shared" si="0"/>
        <v>-33</v>
      </c>
      <c r="L18" s="33">
        <f t="shared" si="1"/>
        <v>-30</v>
      </c>
      <c r="M18" s="33">
        <f t="shared" si="2"/>
        <v>-33</v>
      </c>
      <c r="N18" s="33">
        <v>356</v>
      </c>
      <c r="O18" s="33">
        <v>400</v>
      </c>
      <c r="P18" s="33">
        <v>-80</v>
      </c>
      <c r="Q18" s="33">
        <v>320</v>
      </c>
      <c r="R18" s="33">
        <v>356</v>
      </c>
      <c r="S18" s="33">
        <f t="shared" si="3"/>
        <v>-36</v>
      </c>
      <c r="T18" s="38">
        <f t="shared" si="4"/>
        <v>0.898876404494382</v>
      </c>
      <c r="U18" s="59">
        <f t="shared" si="5"/>
        <v>370</v>
      </c>
      <c r="V18" s="33">
        <v>14</v>
      </c>
      <c r="W18" s="630">
        <v>14</v>
      </c>
      <c r="X18" s="33"/>
      <c r="Y18" s="33"/>
      <c r="Z18" s="42"/>
      <c r="AA18" s="60"/>
      <c r="AB18" s="105"/>
      <c r="AC18" s="93"/>
      <c r="AD18" s="33">
        <f t="shared" si="6"/>
        <v>0</v>
      </c>
      <c r="AE18" s="33">
        <f t="shared" si="7"/>
        <v>320</v>
      </c>
      <c r="AF18" s="101">
        <f t="shared" si="8"/>
        <v>-36</v>
      </c>
    </row>
    <row r="19" spans="2:34" ht="13" outlineLevel="2" x14ac:dyDescent="0.3">
      <c r="B19" s="31" t="s">
        <v>51</v>
      </c>
      <c r="C19" s="33">
        <v>1303</v>
      </c>
      <c r="D19" s="33">
        <v>1270</v>
      </c>
      <c r="E19" s="23">
        <v>-15</v>
      </c>
      <c r="F19" s="23">
        <v>0</v>
      </c>
      <c r="G19" s="23">
        <v>-17</v>
      </c>
      <c r="H19" s="23">
        <v>0</v>
      </c>
      <c r="I19" s="23">
        <v>0</v>
      </c>
      <c r="J19" s="23">
        <v>0</v>
      </c>
      <c r="K19" s="23">
        <f t="shared" si="0"/>
        <v>-32</v>
      </c>
      <c r="L19" s="33">
        <f t="shared" si="1"/>
        <v>0</v>
      </c>
      <c r="M19" s="33">
        <f t="shared" si="2"/>
        <v>-33</v>
      </c>
      <c r="N19" s="33">
        <v>1270</v>
      </c>
      <c r="O19" s="33">
        <v>1614</v>
      </c>
      <c r="P19" s="33">
        <v>-647</v>
      </c>
      <c r="Q19" s="33">
        <v>968</v>
      </c>
      <c r="R19" s="33">
        <v>1270</v>
      </c>
      <c r="S19" s="33">
        <f t="shared" si="3"/>
        <v>-302</v>
      </c>
      <c r="T19" s="38">
        <f t="shared" si="4"/>
        <v>0.76220472440944886</v>
      </c>
      <c r="U19" s="59">
        <f t="shared" si="5"/>
        <v>1029</v>
      </c>
      <c r="V19" s="33">
        <v>-241</v>
      </c>
      <c r="W19" s="630">
        <v>-241</v>
      </c>
      <c r="X19" s="33"/>
      <c r="Y19" s="33"/>
      <c r="Z19" s="42"/>
      <c r="AA19" s="60"/>
      <c r="AB19" s="105">
        <v>17</v>
      </c>
      <c r="AC19" s="93"/>
      <c r="AD19" s="33">
        <f t="shared" si="6"/>
        <v>17</v>
      </c>
      <c r="AE19" s="33">
        <f t="shared" si="7"/>
        <v>985</v>
      </c>
      <c r="AF19" s="101">
        <f t="shared" si="8"/>
        <v>-285</v>
      </c>
    </row>
    <row r="20" spans="2:34" ht="13" outlineLevel="2" x14ac:dyDescent="0.3">
      <c r="B20" s="31" t="s">
        <v>52</v>
      </c>
      <c r="C20" s="33">
        <v>516</v>
      </c>
      <c r="D20" s="33">
        <v>532</v>
      </c>
      <c r="E20" s="23">
        <v>0</v>
      </c>
      <c r="F20" s="23">
        <v>0</v>
      </c>
      <c r="G20" s="23">
        <v>-7</v>
      </c>
      <c r="H20" s="23">
        <v>0</v>
      </c>
      <c r="I20" s="23">
        <v>22</v>
      </c>
      <c r="J20" s="23">
        <v>0</v>
      </c>
      <c r="K20" s="23">
        <f t="shared" si="0"/>
        <v>15</v>
      </c>
      <c r="L20" s="33">
        <f t="shared" si="1"/>
        <v>0</v>
      </c>
      <c r="M20" s="33">
        <f t="shared" si="2"/>
        <v>16</v>
      </c>
      <c r="N20" s="33">
        <v>532</v>
      </c>
      <c r="O20" s="33">
        <v>995</v>
      </c>
      <c r="P20" s="33">
        <v>-617</v>
      </c>
      <c r="Q20" s="33">
        <v>379</v>
      </c>
      <c r="R20" s="33">
        <v>532</v>
      </c>
      <c r="S20" s="33">
        <f t="shared" si="3"/>
        <v>-153</v>
      </c>
      <c r="T20" s="38">
        <f t="shared" si="4"/>
        <v>0.71240601503759393</v>
      </c>
      <c r="U20" s="59">
        <f t="shared" si="5"/>
        <v>420</v>
      </c>
      <c r="V20" s="33">
        <v>-112</v>
      </c>
      <c r="W20" s="630">
        <v>-112</v>
      </c>
      <c r="X20" s="33"/>
      <c r="Y20" s="33"/>
      <c r="Z20" s="42"/>
      <c r="AA20" s="60"/>
      <c r="AB20" s="105">
        <v>65</v>
      </c>
      <c r="AC20" s="93"/>
      <c r="AD20" s="33">
        <f t="shared" si="6"/>
        <v>65</v>
      </c>
      <c r="AE20" s="33">
        <f t="shared" si="7"/>
        <v>444</v>
      </c>
      <c r="AF20" s="101">
        <f t="shared" si="8"/>
        <v>-88</v>
      </c>
    </row>
    <row r="21" spans="2:34" ht="13" outlineLevel="2" x14ac:dyDescent="0.3">
      <c r="B21" s="31" t="s">
        <v>53</v>
      </c>
      <c r="C21" s="33">
        <v>1456</v>
      </c>
      <c r="D21" s="33">
        <v>1481</v>
      </c>
      <c r="E21" s="23">
        <v>0</v>
      </c>
      <c r="F21" s="23">
        <v>-57</v>
      </c>
      <c r="G21" s="23">
        <v>-2</v>
      </c>
      <c r="H21" s="23">
        <v>0</v>
      </c>
      <c r="I21" s="23">
        <v>27</v>
      </c>
      <c r="J21" s="23">
        <v>-15</v>
      </c>
      <c r="K21" s="23">
        <f t="shared" si="0"/>
        <v>-47</v>
      </c>
      <c r="L21" s="33">
        <f t="shared" si="1"/>
        <v>-72</v>
      </c>
      <c r="M21" s="33">
        <f t="shared" si="2"/>
        <v>-47</v>
      </c>
      <c r="N21" s="33">
        <v>1409</v>
      </c>
      <c r="O21" s="33">
        <v>1299</v>
      </c>
      <c r="P21" s="33">
        <v>-104</v>
      </c>
      <c r="Q21" s="33">
        <v>1195</v>
      </c>
      <c r="R21" s="33">
        <v>1409</v>
      </c>
      <c r="S21" s="33">
        <f t="shared" si="3"/>
        <v>-214</v>
      </c>
      <c r="T21" s="38">
        <f t="shared" si="4"/>
        <v>0.84811923349893537</v>
      </c>
      <c r="U21" s="59">
        <f t="shared" si="5"/>
        <v>1259</v>
      </c>
      <c r="V21" s="33">
        <v>-150</v>
      </c>
      <c r="W21" s="630">
        <v>-150</v>
      </c>
      <c r="X21" s="33"/>
      <c r="Y21" s="33"/>
      <c r="Z21" s="42"/>
      <c r="AA21" s="60"/>
      <c r="AB21" s="105">
        <v>98</v>
      </c>
      <c r="AC21" s="93"/>
      <c r="AD21" s="33">
        <f t="shared" si="6"/>
        <v>98</v>
      </c>
      <c r="AE21" s="33">
        <f t="shared" si="7"/>
        <v>1293</v>
      </c>
      <c r="AF21" s="101">
        <f t="shared" si="8"/>
        <v>-116</v>
      </c>
    </row>
    <row r="22" spans="2:34" ht="13" outlineLevel="2" x14ac:dyDescent="0.3">
      <c r="B22" s="31" t="s">
        <v>54</v>
      </c>
      <c r="C22" s="33">
        <v>0</v>
      </c>
      <c r="D22" s="33">
        <v>-13</v>
      </c>
      <c r="E22" s="23">
        <v>0</v>
      </c>
      <c r="F22" s="23">
        <v>0</v>
      </c>
      <c r="G22" s="23">
        <v>-13</v>
      </c>
      <c r="H22" s="23">
        <v>0</v>
      </c>
      <c r="I22" s="23">
        <v>0</v>
      </c>
      <c r="J22" s="23">
        <v>0</v>
      </c>
      <c r="K22" s="23">
        <f t="shared" si="0"/>
        <v>-13</v>
      </c>
      <c r="L22" s="33">
        <f t="shared" si="1"/>
        <v>0</v>
      </c>
      <c r="M22" s="33">
        <f t="shared" si="2"/>
        <v>-13</v>
      </c>
      <c r="N22" s="33">
        <v>-13</v>
      </c>
      <c r="O22" s="33">
        <v>1461</v>
      </c>
      <c r="P22" s="33">
        <v>-1451</v>
      </c>
      <c r="Q22" s="33">
        <v>10</v>
      </c>
      <c r="R22" s="33">
        <v>-13</v>
      </c>
      <c r="S22" s="33">
        <f t="shared" si="3"/>
        <v>23</v>
      </c>
      <c r="T22" s="38">
        <f t="shared" si="4"/>
        <v>-0.76923076923076927</v>
      </c>
      <c r="U22" s="59">
        <f t="shared" si="5"/>
        <v>9</v>
      </c>
      <c r="V22" s="33">
        <v>22</v>
      </c>
      <c r="W22" s="630">
        <v>22</v>
      </c>
      <c r="X22" s="33"/>
      <c r="Y22" s="33"/>
      <c r="Z22" s="42"/>
      <c r="AA22" s="60"/>
      <c r="AB22" s="105"/>
      <c r="AC22" s="93"/>
      <c r="AD22" s="33">
        <f t="shared" si="6"/>
        <v>0</v>
      </c>
      <c r="AE22" s="33">
        <f t="shared" si="7"/>
        <v>10</v>
      </c>
      <c r="AF22" s="101">
        <f t="shared" si="8"/>
        <v>23</v>
      </c>
    </row>
    <row r="23" spans="2:34" ht="13" outlineLevel="1" x14ac:dyDescent="0.3">
      <c r="B23" s="32" t="s">
        <v>55</v>
      </c>
      <c r="C23" s="34">
        <f t="shared" ref="C23:J23" si="15">SUBTOTAL(9,C13:C22)</f>
        <v>5821</v>
      </c>
      <c r="D23" s="34">
        <f t="shared" si="15"/>
        <v>6016</v>
      </c>
      <c r="E23" s="24">
        <f t="shared" si="15"/>
        <v>232</v>
      </c>
      <c r="F23" s="24">
        <f t="shared" si="15"/>
        <v>-10</v>
      </c>
      <c r="G23" s="24">
        <f t="shared" si="15"/>
        <v>-58</v>
      </c>
      <c r="H23" s="24">
        <f t="shared" si="15"/>
        <v>0</v>
      </c>
      <c r="I23" s="24">
        <f t="shared" si="15"/>
        <v>23</v>
      </c>
      <c r="J23" s="24">
        <f t="shared" si="15"/>
        <v>-45</v>
      </c>
      <c r="K23" s="24">
        <f>SUM(E23:J23)</f>
        <v>142</v>
      </c>
      <c r="L23" s="34">
        <f t="shared" ref="L23:L24" si="16">N23-D23</f>
        <v>-54</v>
      </c>
      <c r="M23" s="34">
        <f t="shared" ref="M23:M24" si="17">N23-C23</f>
        <v>141</v>
      </c>
      <c r="N23" s="34">
        <f>SUBTOTAL(9,N13:N22)</f>
        <v>5962</v>
      </c>
      <c r="O23" s="34">
        <f>SUBTOTAL(9,O13:O22)</f>
        <v>8769</v>
      </c>
      <c r="P23" s="34">
        <f>SUBTOTAL(9,P13:P22)</f>
        <v>-3562</v>
      </c>
      <c r="Q23" s="34">
        <f>SUBTOTAL(9,Q13:Q22)</f>
        <v>5208</v>
      </c>
      <c r="R23" s="34">
        <f>SUBTOTAL(9,R13:R22)</f>
        <v>5962</v>
      </c>
      <c r="S23" s="34">
        <f>Q23-R23</f>
        <v>-754</v>
      </c>
      <c r="T23" s="38">
        <f>IFERROR((Q23/N23)*100%,"∞")</f>
        <v>0.8735323716873532</v>
      </c>
      <c r="U23" s="59">
        <f>N23+V23</f>
        <v>5574</v>
      </c>
      <c r="V23" s="34">
        <f>SUBTOTAL(9,V13:V22)</f>
        <v>-388</v>
      </c>
      <c r="W23" s="631">
        <f>SUBTOTAL(9,W13:W22)</f>
        <v>-388</v>
      </c>
      <c r="X23" s="34">
        <f t="shared" ref="X23:AF23" si="18">SUBTOTAL(9,X13:X22)</f>
        <v>0</v>
      </c>
      <c r="Y23" s="34">
        <f t="shared" si="18"/>
        <v>0</v>
      </c>
      <c r="Z23" s="34">
        <f t="shared" si="18"/>
        <v>0</v>
      </c>
      <c r="AA23" s="34">
        <f t="shared" si="18"/>
        <v>0</v>
      </c>
      <c r="AB23" s="34">
        <f t="shared" si="18"/>
        <v>258</v>
      </c>
      <c r="AC23" s="34">
        <f t="shared" si="18"/>
        <v>0</v>
      </c>
      <c r="AD23" s="34">
        <f t="shared" si="18"/>
        <v>258</v>
      </c>
      <c r="AE23" s="34">
        <f t="shared" si="18"/>
        <v>5466</v>
      </c>
      <c r="AF23" s="34">
        <f t="shared" si="18"/>
        <v>-496</v>
      </c>
      <c r="AH23" s="19">
        <f>AF23-W23</f>
        <v>-108</v>
      </c>
    </row>
    <row r="24" spans="2:34" ht="13.5" customHeight="1" thickBot="1" x14ac:dyDescent="0.35">
      <c r="B24" s="53" t="s">
        <v>56</v>
      </c>
      <c r="C24" s="35">
        <f t="shared" ref="C24:J24" si="19">SUBTOTAL(9,C5:C23)</f>
        <v>11738</v>
      </c>
      <c r="D24" s="35">
        <f t="shared" si="19"/>
        <v>10044</v>
      </c>
      <c r="E24" s="25">
        <f t="shared" si="19"/>
        <v>-2485</v>
      </c>
      <c r="F24" s="25">
        <f t="shared" si="19"/>
        <v>1462</v>
      </c>
      <c r="G24" s="25">
        <f t="shared" si="19"/>
        <v>-194</v>
      </c>
      <c r="H24" s="25">
        <f t="shared" si="19"/>
        <v>17</v>
      </c>
      <c r="I24" s="25">
        <f t="shared" si="19"/>
        <v>988</v>
      </c>
      <c r="J24" s="25">
        <f t="shared" si="19"/>
        <v>-75</v>
      </c>
      <c r="K24" s="25">
        <f>SUM(E24:J24)</f>
        <v>-287</v>
      </c>
      <c r="L24" s="35">
        <f t="shared" si="16"/>
        <v>1389</v>
      </c>
      <c r="M24" s="35">
        <f t="shared" si="17"/>
        <v>-305</v>
      </c>
      <c r="N24" s="35">
        <f>SUBTOTAL(9,N5:N23)</f>
        <v>11433</v>
      </c>
      <c r="O24" s="35">
        <f>SUBTOTAL(9,O5:O23)</f>
        <v>25353</v>
      </c>
      <c r="P24" s="35">
        <f>SUBTOTAL(9,P5:P23)</f>
        <v>-15236</v>
      </c>
      <c r="Q24" s="35">
        <f>SUBTOTAL(9,Q5:Q23)</f>
        <v>10120</v>
      </c>
      <c r="R24" s="35">
        <f>SUBTOTAL(9,R5:R23)</f>
        <v>11433</v>
      </c>
      <c r="S24" s="35">
        <f>Q24-R24</f>
        <v>-1313</v>
      </c>
      <c r="T24" s="39">
        <f>IFERROR((Q24/N24)*100%,"∞")</f>
        <v>0.88515700166185607</v>
      </c>
      <c r="U24" s="54">
        <f>N24+V24</f>
        <v>10709</v>
      </c>
      <c r="V24" s="35">
        <f>SUBTOTAL(9,V5:V23)</f>
        <v>-724</v>
      </c>
      <c r="W24" s="632">
        <f>SUBTOTAL(9,W5:W23)</f>
        <v>-724</v>
      </c>
      <c r="X24" s="35">
        <f t="shared" ref="X24:AF24" si="20">SUBTOTAL(9,X5:X23)</f>
        <v>0</v>
      </c>
      <c r="Y24" s="35">
        <f t="shared" si="20"/>
        <v>0</v>
      </c>
      <c r="Z24" s="35">
        <f t="shared" si="20"/>
        <v>0</v>
      </c>
      <c r="AA24" s="35">
        <f t="shared" si="20"/>
        <v>0</v>
      </c>
      <c r="AB24" s="35">
        <f t="shared" si="20"/>
        <v>258</v>
      </c>
      <c r="AC24" s="35">
        <f t="shared" si="20"/>
        <v>0</v>
      </c>
      <c r="AD24" s="35">
        <f t="shared" si="20"/>
        <v>258</v>
      </c>
      <c r="AE24" s="35">
        <f t="shared" si="20"/>
        <v>10378</v>
      </c>
      <c r="AF24" s="35">
        <f t="shared" si="20"/>
        <v>-1055</v>
      </c>
      <c r="AH24" s="19">
        <f>AF24-W24</f>
        <v>-331</v>
      </c>
    </row>
    <row r="25" spans="2:34" ht="13.5" outlineLevel="2" thickTop="1" x14ac:dyDescent="0.3">
      <c r="B25" s="31" t="s">
        <v>57</v>
      </c>
      <c r="C25" s="33">
        <v>2381</v>
      </c>
      <c r="D25" s="33">
        <v>1420</v>
      </c>
      <c r="E25" s="23">
        <v>0</v>
      </c>
      <c r="F25" s="23">
        <v>100</v>
      </c>
      <c r="G25" s="23">
        <v>-26</v>
      </c>
      <c r="H25" s="23">
        <v>0</v>
      </c>
      <c r="I25" s="23">
        <v>-935</v>
      </c>
      <c r="J25" s="23">
        <v>0</v>
      </c>
      <c r="K25" s="23">
        <f t="shared" si="0"/>
        <v>-861</v>
      </c>
      <c r="L25" s="33">
        <f t="shared" si="1"/>
        <v>100</v>
      </c>
      <c r="M25" s="33">
        <f t="shared" si="2"/>
        <v>-861</v>
      </c>
      <c r="N25" s="33">
        <v>1520</v>
      </c>
      <c r="O25" s="33">
        <v>2593</v>
      </c>
      <c r="P25" s="33">
        <v>-1454</v>
      </c>
      <c r="Q25" s="33">
        <v>1138</v>
      </c>
      <c r="R25" s="33">
        <v>1520</v>
      </c>
      <c r="S25" s="33">
        <f t="shared" si="3"/>
        <v>-382</v>
      </c>
      <c r="T25" s="38">
        <f t="shared" si="4"/>
        <v>0.74868421052631584</v>
      </c>
      <c r="U25" s="59">
        <f t="shared" si="5"/>
        <v>1677</v>
      </c>
      <c r="V25" s="33">
        <v>157</v>
      </c>
      <c r="W25" s="630">
        <v>157</v>
      </c>
      <c r="X25" s="33"/>
      <c r="Y25" s="33"/>
      <c r="Z25" s="42"/>
      <c r="AA25" s="60"/>
      <c r="AB25" s="105"/>
      <c r="AC25" s="93"/>
      <c r="AD25" s="33">
        <f t="shared" si="6"/>
        <v>0</v>
      </c>
      <c r="AE25" s="33">
        <f t="shared" si="7"/>
        <v>1138</v>
      </c>
      <c r="AF25" s="101">
        <f t="shared" si="8"/>
        <v>-382</v>
      </c>
      <c r="AH25" s="19"/>
    </row>
    <row r="26" spans="2:34" ht="13" outlineLevel="2" x14ac:dyDescent="0.3">
      <c r="B26" s="31" t="s">
        <v>58</v>
      </c>
      <c r="C26" s="33">
        <v>-8277</v>
      </c>
      <c r="D26" s="33">
        <v>-8369</v>
      </c>
      <c r="E26" s="23">
        <v>-1</v>
      </c>
      <c r="F26" s="23">
        <v>0</v>
      </c>
      <c r="G26" s="23">
        <v>-20</v>
      </c>
      <c r="H26" s="23">
        <v>0</v>
      </c>
      <c r="I26" s="23">
        <v>-72</v>
      </c>
      <c r="J26" s="23">
        <v>-30</v>
      </c>
      <c r="K26" s="23">
        <f t="shared" si="0"/>
        <v>-123</v>
      </c>
      <c r="L26" s="33">
        <f t="shared" si="1"/>
        <v>-30</v>
      </c>
      <c r="M26" s="33">
        <f t="shared" si="2"/>
        <v>-122</v>
      </c>
      <c r="N26" s="33">
        <v>-8399</v>
      </c>
      <c r="O26" s="33">
        <v>2304</v>
      </c>
      <c r="P26" s="33">
        <v>-9773</v>
      </c>
      <c r="Q26" s="33">
        <v>-7469</v>
      </c>
      <c r="R26" s="33">
        <v>-8399</v>
      </c>
      <c r="S26" s="33">
        <f t="shared" si="3"/>
        <v>930</v>
      </c>
      <c r="T26" s="38">
        <f t="shared" si="4"/>
        <v>0.88927253244433857</v>
      </c>
      <c r="U26" s="59">
        <f t="shared" si="5"/>
        <v>-8399</v>
      </c>
      <c r="V26" s="33">
        <v>0</v>
      </c>
      <c r="W26" s="630">
        <v>0</v>
      </c>
      <c r="X26" s="33"/>
      <c r="Y26" s="33"/>
      <c r="Z26" s="42"/>
      <c r="AA26" s="60"/>
      <c r="AB26" s="105"/>
      <c r="AC26" s="93"/>
      <c r="AD26" s="33">
        <f t="shared" si="6"/>
        <v>0</v>
      </c>
      <c r="AE26" s="33">
        <f t="shared" si="7"/>
        <v>-7469</v>
      </c>
      <c r="AF26" s="101">
        <f t="shared" si="8"/>
        <v>930</v>
      </c>
      <c r="AH26" s="19"/>
    </row>
    <row r="27" spans="2:34" ht="13" outlineLevel="2" x14ac:dyDescent="0.3">
      <c r="B27" s="31" t="s">
        <v>59</v>
      </c>
      <c r="C27" s="33">
        <v>287</v>
      </c>
      <c r="D27" s="33">
        <v>207</v>
      </c>
      <c r="E27" s="23">
        <v>0</v>
      </c>
      <c r="F27" s="23">
        <v>0</v>
      </c>
      <c r="G27" s="23">
        <v>-2</v>
      </c>
      <c r="H27" s="23">
        <v>0</v>
      </c>
      <c r="I27" s="23">
        <v>-78</v>
      </c>
      <c r="J27" s="23">
        <v>0</v>
      </c>
      <c r="K27" s="23">
        <f t="shared" si="0"/>
        <v>-80</v>
      </c>
      <c r="L27" s="33">
        <f t="shared" si="1"/>
        <v>0</v>
      </c>
      <c r="M27" s="33">
        <f t="shared" si="2"/>
        <v>-80</v>
      </c>
      <c r="N27" s="33">
        <v>207</v>
      </c>
      <c r="O27" s="33">
        <v>131</v>
      </c>
      <c r="P27" s="33">
        <v>0</v>
      </c>
      <c r="Q27" s="33">
        <v>131</v>
      </c>
      <c r="R27" s="33">
        <v>207</v>
      </c>
      <c r="S27" s="33">
        <f t="shared" si="3"/>
        <v>-76</v>
      </c>
      <c r="T27" s="38">
        <f t="shared" si="4"/>
        <v>0.63285024154589375</v>
      </c>
      <c r="U27" s="59">
        <f t="shared" si="5"/>
        <v>207</v>
      </c>
      <c r="V27" s="33">
        <v>0</v>
      </c>
      <c r="W27" s="630">
        <v>0</v>
      </c>
      <c r="X27" s="33"/>
      <c r="Y27" s="33"/>
      <c r="Z27" s="42"/>
      <c r="AA27" s="60"/>
      <c r="AB27" s="105"/>
      <c r="AC27" s="93"/>
      <c r="AD27" s="33">
        <f t="shared" si="6"/>
        <v>0</v>
      </c>
      <c r="AE27" s="33">
        <f t="shared" si="7"/>
        <v>131</v>
      </c>
      <c r="AF27" s="101">
        <f t="shared" si="8"/>
        <v>-76</v>
      </c>
      <c r="AH27" s="19"/>
    </row>
    <row r="28" spans="2:34" ht="13" outlineLevel="2" x14ac:dyDescent="0.3">
      <c r="B28" s="31" t="s">
        <v>60</v>
      </c>
      <c r="C28" s="33">
        <v>0</v>
      </c>
      <c r="D28" s="33">
        <v>0</v>
      </c>
      <c r="E28" s="23">
        <v>0</v>
      </c>
      <c r="F28" s="23">
        <v>0</v>
      </c>
      <c r="G28" s="23">
        <v>0</v>
      </c>
      <c r="H28" s="23">
        <v>0</v>
      </c>
      <c r="I28" s="23">
        <v>0</v>
      </c>
      <c r="J28" s="23">
        <v>0</v>
      </c>
      <c r="K28" s="23">
        <f t="shared" si="0"/>
        <v>0</v>
      </c>
      <c r="L28" s="33">
        <f t="shared" si="1"/>
        <v>0</v>
      </c>
      <c r="M28" s="33">
        <f t="shared" si="2"/>
        <v>0</v>
      </c>
      <c r="N28" s="33">
        <v>0</v>
      </c>
      <c r="O28" s="33">
        <v>-1</v>
      </c>
      <c r="P28" s="33">
        <v>-11</v>
      </c>
      <c r="Q28" s="33">
        <v>-12</v>
      </c>
      <c r="R28" s="33">
        <v>0</v>
      </c>
      <c r="S28" s="33">
        <f t="shared" si="3"/>
        <v>-12</v>
      </c>
      <c r="T28" s="38" t="str">
        <f t="shared" si="4"/>
        <v>∞</v>
      </c>
      <c r="U28" s="59">
        <f t="shared" si="5"/>
        <v>0</v>
      </c>
      <c r="V28" s="33">
        <v>0</v>
      </c>
      <c r="W28" s="630">
        <v>0</v>
      </c>
      <c r="X28" s="33"/>
      <c r="Y28" s="33"/>
      <c r="Z28" s="42"/>
      <c r="AA28" s="60"/>
      <c r="AB28" s="105"/>
      <c r="AC28" s="93"/>
      <c r="AD28" s="33">
        <f t="shared" si="6"/>
        <v>0</v>
      </c>
      <c r="AE28" s="33">
        <f t="shared" si="7"/>
        <v>-12</v>
      </c>
      <c r="AF28" s="101">
        <f t="shared" si="8"/>
        <v>-12</v>
      </c>
      <c r="AH28" s="19"/>
    </row>
    <row r="29" spans="2:34" ht="13" outlineLevel="1" x14ac:dyDescent="0.3">
      <c r="B29" s="32" t="s">
        <v>61</v>
      </c>
      <c r="C29" s="34">
        <f t="shared" ref="C29:J29" si="21">SUBTOTAL(9,C25:C28)</f>
        <v>-5609</v>
      </c>
      <c r="D29" s="34">
        <f t="shared" si="21"/>
        <v>-6742</v>
      </c>
      <c r="E29" s="24">
        <f t="shared" si="21"/>
        <v>-1</v>
      </c>
      <c r="F29" s="24">
        <f t="shared" si="21"/>
        <v>100</v>
      </c>
      <c r="G29" s="24">
        <f t="shared" si="21"/>
        <v>-48</v>
      </c>
      <c r="H29" s="24">
        <f t="shared" si="21"/>
        <v>0</v>
      </c>
      <c r="I29" s="24">
        <f t="shared" si="21"/>
        <v>-1085</v>
      </c>
      <c r="J29" s="24">
        <f t="shared" si="21"/>
        <v>-30</v>
      </c>
      <c r="K29" s="24">
        <f>SUM(E29:J29)</f>
        <v>-1064</v>
      </c>
      <c r="L29" s="34">
        <f t="shared" ref="L29" si="22">N29-D29</f>
        <v>70</v>
      </c>
      <c r="M29" s="34">
        <f t="shared" ref="M29" si="23">N29-C29</f>
        <v>-1063</v>
      </c>
      <c r="N29" s="34">
        <f>SUBTOTAL(9,N25:N28)</f>
        <v>-6672</v>
      </c>
      <c r="O29" s="34">
        <f>SUBTOTAL(9,O25:O28)</f>
        <v>5027</v>
      </c>
      <c r="P29" s="34">
        <f>SUBTOTAL(9,P25:P28)</f>
        <v>-11238</v>
      </c>
      <c r="Q29" s="34">
        <f>SUBTOTAL(9,Q25:Q28)</f>
        <v>-6212</v>
      </c>
      <c r="R29" s="34">
        <f>SUBTOTAL(9,R25:R28)</f>
        <v>-6672</v>
      </c>
      <c r="S29" s="34">
        <f>Q29-R29</f>
        <v>460</v>
      </c>
      <c r="T29" s="38">
        <f>IFERROR((Q29/N29)*100%,"∞")</f>
        <v>0.93105515587529974</v>
      </c>
      <c r="U29" s="59">
        <f>N29+V29</f>
        <v>-6515</v>
      </c>
      <c r="V29" s="34">
        <f>SUBTOTAL(9,V25:V28)</f>
        <v>157</v>
      </c>
      <c r="W29" s="631">
        <f>SUBTOTAL(9,W25:W28)</f>
        <v>157</v>
      </c>
      <c r="X29" s="34">
        <f t="shared" ref="X29:AF29" si="24">SUBTOTAL(9,X25:X28)</f>
        <v>0</v>
      </c>
      <c r="Y29" s="34">
        <f t="shared" si="24"/>
        <v>0</v>
      </c>
      <c r="Z29" s="34">
        <f t="shared" si="24"/>
        <v>0</v>
      </c>
      <c r="AA29" s="34">
        <f t="shared" si="24"/>
        <v>0</v>
      </c>
      <c r="AB29" s="34">
        <f t="shared" si="24"/>
        <v>0</v>
      </c>
      <c r="AC29" s="34">
        <f t="shared" si="24"/>
        <v>0</v>
      </c>
      <c r="AD29" s="34">
        <f t="shared" si="24"/>
        <v>0</v>
      </c>
      <c r="AE29" s="34">
        <f t="shared" si="24"/>
        <v>-6212</v>
      </c>
      <c r="AF29" s="34">
        <f t="shared" si="24"/>
        <v>460</v>
      </c>
      <c r="AH29" s="19">
        <f>AF29-W29</f>
        <v>303</v>
      </c>
    </row>
    <row r="30" spans="2:34" ht="13" outlineLevel="2" x14ac:dyDescent="0.3">
      <c r="B30" s="31" t="s">
        <v>62</v>
      </c>
      <c r="C30" s="33">
        <v>251</v>
      </c>
      <c r="D30" s="33">
        <v>359</v>
      </c>
      <c r="E30" s="23">
        <v>11</v>
      </c>
      <c r="F30" s="23">
        <v>254</v>
      </c>
      <c r="G30" s="23">
        <v>19</v>
      </c>
      <c r="H30" s="23">
        <v>0</v>
      </c>
      <c r="I30" s="23">
        <v>79</v>
      </c>
      <c r="J30" s="23">
        <v>0</v>
      </c>
      <c r="K30" s="23">
        <f t="shared" si="0"/>
        <v>363</v>
      </c>
      <c r="L30" s="33">
        <f t="shared" si="1"/>
        <v>254</v>
      </c>
      <c r="M30" s="33">
        <f t="shared" si="2"/>
        <v>362</v>
      </c>
      <c r="N30" s="33">
        <v>613</v>
      </c>
      <c r="O30" s="33">
        <v>1114</v>
      </c>
      <c r="P30" s="33">
        <v>-471</v>
      </c>
      <c r="Q30" s="33">
        <v>643</v>
      </c>
      <c r="R30" s="33">
        <v>613</v>
      </c>
      <c r="S30" s="33">
        <f t="shared" si="3"/>
        <v>30</v>
      </c>
      <c r="T30" s="38">
        <f t="shared" si="4"/>
        <v>1.0489396411092986</v>
      </c>
      <c r="U30" s="59">
        <f t="shared" si="5"/>
        <v>613</v>
      </c>
      <c r="V30" s="33">
        <v>0</v>
      </c>
      <c r="W30" s="630">
        <v>0</v>
      </c>
      <c r="X30" s="33"/>
      <c r="Y30" s="33"/>
      <c r="Z30" s="42"/>
      <c r="AA30" s="60"/>
      <c r="AB30" s="105"/>
      <c r="AC30" s="93"/>
      <c r="AD30" s="33">
        <f t="shared" si="6"/>
        <v>0</v>
      </c>
      <c r="AE30" s="33">
        <f t="shared" si="7"/>
        <v>643</v>
      </c>
      <c r="AF30" s="101">
        <f t="shared" si="8"/>
        <v>30</v>
      </c>
      <c r="AH30" s="19"/>
    </row>
    <row r="31" spans="2:34" ht="13" outlineLevel="2" x14ac:dyDescent="0.3">
      <c r="B31" s="31" t="s">
        <v>63</v>
      </c>
      <c r="C31" s="33">
        <v>355</v>
      </c>
      <c r="D31" s="33">
        <v>396</v>
      </c>
      <c r="E31" s="23">
        <v>0</v>
      </c>
      <c r="F31" s="23">
        <v>0</v>
      </c>
      <c r="G31" s="23">
        <v>-16</v>
      </c>
      <c r="H31" s="23">
        <v>0</v>
      </c>
      <c r="I31" s="23">
        <v>57</v>
      </c>
      <c r="J31" s="23">
        <v>0</v>
      </c>
      <c r="K31" s="23">
        <f t="shared" si="0"/>
        <v>41</v>
      </c>
      <c r="L31" s="33">
        <f t="shared" si="1"/>
        <v>0</v>
      </c>
      <c r="M31" s="33">
        <f t="shared" si="2"/>
        <v>41</v>
      </c>
      <c r="N31" s="33">
        <v>396</v>
      </c>
      <c r="O31" s="33">
        <v>377</v>
      </c>
      <c r="P31" s="33">
        <v>-9</v>
      </c>
      <c r="Q31" s="33">
        <v>367</v>
      </c>
      <c r="R31" s="33">
        <v>396</v>
      </c>
      <c r="S31" s="33">
        <f t="shared" si="3"/>
        <v>-29</v>
      </c>
      <c r="T31" s="38">
        <f t="shared" si="4"/>
        <v>0.9267676767676768</v>
      </c>
      <c r="U31" s="59">
        <f t="shared" si="5"/>
        <v>396</v>
      </c>
      <c r="V31" s="33">
        <v>0</v>
      </c>
      <c r="W31" s="630">
        <v>0</v>
      </c>
      <c r="X31" s="33"/>
      <c r="Y31" s="33"/>
      <c r="Z31" s="42"/>
      <c r="AA31" s="60"/>
      <c r="AB31" s="105"/>
      <c r="AC31" s="93"/>
      <c r="AD31" s="33">
        <f t="shared" si="6"/>
        <v>0</v>
      </c>
      <c r="AE31" s="33">
        <f t="shared" si="7"/>
        <v>367</v>
      </c>
      <c r="AF31" s="101">
        <f t="shared" si="8"/>
        <v>-29</v>
      </c>
      <c r="AH31" s="19"/>
    </row>
    <row r="32" spans="2:34" ht="13" outlineLevel="1" x14ac:dyDescent="0.3">
      <c r="B32" s="32" t="s">
        <v>65</v>
      </c>
      <c r="C32" s="34">
        <f t="shared" ref="C32:J32" si="25">SUBTOTAL(9,C30:C31)</f>
        <v>606</v>
      </c>
      <c r="D32" s="34">
        <f t="shared" si="25"/>
        <v>755</v>
      </c>
      <c r="E32" s="24">
        <f t="shared" si="25"/>
        <v>11</v>
      </c>
      <c r="F32" s="24">
        <f t="shared" si="25"/>
        <v>254</v>
      </c>
      <c r="G32" s="24">
        <f t="shared" si="25"/>
        <v>3</v>
      </c>
      <c r="H32" s="24">
        <f t="shared" si="25"/>
        <v>0</v>
      </c>
      <c r="I32" s="24">
        <f t="shared" si="25"/>
        <v>136</v>
      </c>
      <c r="J32" s="24">
        <f t="shared" si="25"/>
        <v>0</v>
      </c>
      <c r="K32" s="24">
        <f>SUM(E32:J32)</f>
        <v>404</v>
      </c>
      <c r="L32" s="34">
        <f t="shared" ref="L32" si="26">N32-D32</f>
        <v>254</v>
      </c>
      <c r="M32" s="34">
        <f t="shared" ref="M32" si="27">N32-C32</f>
        <v>403</v>
      </c>
      <c r="N32" s="34">
        <f>SUBTOTAL(9,N30:N31)</f>
        <v>1009</v>
      </c>
      <c r="O32" s="34">
        <f>SUBTOTAL(9,O30:O31)</f>
        <v>1491</v>
      </c>
      <c r="P32" s="34">
        <f>SUBTOTAL(9,P30:P31)</f>
        <v>-480</v>
      </c>
      <c r="Q32" s="34">
        <f>SUBTOTAL(9,Q30:Q31)</f>
        <v>1010</v>
      </c>
      <c r="R32" s="34">
        <f>SUBTOTAL(9,R30:R31)</f>
        <v>1009</v>
      </c>
      <c r="S32" s="34">
        <f>Q32-R32</f>
        <v>1</v>
      </c>
      <c r="T32" s="38">
        <f>IFERROR((Q32/N32)*100%,"∞")</f>
        <v>1.0009910802775024</v>
      </c>
      <c r="U32" s="59">
        <f>N32+V32</f>
        <v>1009</v>
      </c>
      <c r="V32" s="34">
        <f>SUBTOTAL(9,V30:V31)</f>
        <v>0</v>
      </c>
      <c r="W32" s="631">
        <f>SUBTOTAL(9,W30:W31)</f>
        <v>0</v>
      </c>
      <c r="X32" s="34"/>
      <c r="Y32" s="34"/>
      <c r="Z32" s="41"/>
      <c r="AA32" s="60"/>
      <c r="AB32" s="34">
        <f t="shared" ref="AB32" si="28">SUBTOTAL(9,AB30:AB31)</f>
        <v>0</v>
      </c>
      <c r="AC32" s="34">
        <f>SUBTOTAL(9,AC1:AC31)</f>
        <v>0</v>
      </c>
      <c r="AD32" s="34"/>
      <c r="AE32" s="34"/>
      <c r="AF32" s="103"/>
      <c r="AH32" s="19">
        <f>AF32-W32</f>
        <v>0</v>
      </c>
    </row>
    <row r="33" spans="2:34" ht="13" outlineLevel="2" x14ac:dyDescent="0.3">
      <c r="B33" s="31" t="s">
        <v>66</v>
      </c>
      <c r="C33" s="33">
        <v>-552</v>
      </c>
      <c r="D33" s="33">
        <v>-668</v>
      </c>
      <c r="E33" s="23">
        <v>0</v>
      </c>
      <c r="F33" s="23">
        <v>0</v>
      </c>
      <c r="G33" s="23">
        <v>-25</v>
      </c>
      <c r="H33" s="23">
        <v>0</v>
      </c>
      <c r="I33" s="23">
        <v>-90</v>
      </c>
      <c r="J33" s="23">
        <v>0</v>
      </c>
      <c r="K33" s="23">
        <f t="shared" si="0"/>
        <v>-115</v>
      </c>
      <c r="L33" s="33">
        <f t="shared" si="1"/>
        <v>0</v>
      </c>
      <c r="M33" s="33">
        <f t="shared" si="2"/>
        <v>-116</v>
      </c>
      <c r="N33" s="33">
        <v>-668</v>
      </c>
      <c r="O33" s="33">
        <v>1163</v>
      </c>
      <c r="P33" s="33">
        <v>-1876</v>
      </c>
      <c r="Q33" s="33">
        <v>-712</v>
      </c>
      <c r="R33" s="33">
        <v>-668</v>
      </c>
      <c r="S33" s="33">
        <f t="shared" si="3"/>
        <v>-44</v>
      </c>
      <c r="T33" s="38">
        <f t="shared" si="4"/>
        <v>1.0658682634730539</v>
      </c>
      <c r="U33" s="59">
        <f t="shared" si="5"/>
        <v>-757</v>
      </c>
      <c r="V33" s="33">
        <v>-89</v>
      </c>
      <c r="W33" s="630">
        <v>-89</v>
      </c>
      <c r="X33" s="33"/>
      <c r="Y33" s="33"/>
      <c r="Z33" s="42"/>
      <c r="AA33" s="60"/>
      <c r="AB33" s="105">
        <v>44</v>
      </c>
      <c r="AC33" s="93"/>
      <c r="AD33" s="33">
        <f t="shared" si="6"/>
        <v>44</v>
      </c>
      <c r="AE33" s="33">
        <f t="shared" si="7"/>
        <v>-668</v>
      </c>
      <c r="AF33" s="101">
        <f t="shared" si="8"/>
        <v>0</v>
      </c>
      <c r="AH33" s="19"/>
    </row>
    <row r="34" spans="2:34" ht="13" outlineLevel="2" x14ac:dyDescent="0.3">
      <c r="B34" s="31" t="s">
        <v>67</v>
      </c>
      <c r="C34" s="33">
        <v>170</v>
      </c>
      <c r="D34" s="33">
        <v>131</v>
      </c>
      <c r="E34" s="23">
        <v>0</v>
      </c>
      <c r="F34" s="23">
        <v>-8</v>
      </c>
      <c r="G34" s="23">
        <v>-5</v>
      </c>
      <c r="H34" s="23">
        <v>0</v>
      </c>
      <c r="I34" s="23">
        <v>-34</v>
      </c>
      <c r="J34" s="23">
        <v>0</v>
      </c>
      <c r="K34" s="23">
        <f t="shared" si="0"/>
        <v>-47</v>
      </c>
      <c r="L34" s="33">
        <f t="shared" si="1"/>
        <v>-8</v>
      </c>
      <c r="M34" s="33">
        <f t="shared" si="2"/>
        <v>-47</v>
      </c>
      <c r="N34" s="33">
        <v>123</v>
      </c>
      <c r="O34" s="33">
        <v>144</v>
      </c>
      <c r="P34" s="33">
        <v>-35</v>
      </c>
      <c r="Q34" s="33">
        <v>109</v>
      </c>
      <c r="R34" s="33">
        <v>123</v>
      </c>
      <c r="S34" s="33">
        <f t="shared" si="3"/>
        <v>-14</v>
      </c>
      <c r="T34" s="38">
        <f t="shared" si="4"/>
        <v>0.88617886178861793</v>
      </c>
      <c r="U34" s="59">
        <f t="shared" si="5"/>
        <v>123</v>
      </c>
      <c r="V34" s="33">
        <v>0</v>
      </c>
      <c r="W34" s="630">
        <v>0</v>
      </c>
      <c r="X34" s="33"/>
      <c r="Y34" s="33"/>
      <c r="Z34" s="42"/>
      <c r="AA34" s="60"/>
      <c r="AB34" s="105">
        <v>14</v>
      </c>
      <c r="AC34" s="93"/>
      <c r="AD34" s="33">
        <f t="shared" si="6"/>
        <v>14</v>
      </c>
      <c r="AE34" s="33">
        <f t="shared" si="7"/>
        <v>123</v>
      </c>
      <c r="AF34" s="101">
        <f t="shared" si="8"/>
        <v>0</v>
      </c>
      <c r="AH34" s="19"/>
    </row>
    <row r="35" spans="2:34" ht="13" outlineLevel="2" x14ac:dyDescent="0.3">
      <c r="B35" s="31" t="s">
        <v>68</v>
      </c>
      <c r="C35" s="33">
        <v>-192</v>
      </c>
      <c r="D35" s="33">
        <v>-192</v>
      </c>
      <c r="E35" s="23">
        <v>0</v>
      </c>
      <c r="F35" s="23">
        <v>0</v>
      </c>
      <c r="G35" s="23">
        <v>0</v>
      </c>
      <c r="H35" s="23">
        <v>0</v>
      </c>
      <c r="I35" s="23">
        <v>0</v>
      </c>
      <c r="J35" s="23">
        <v>0</v>
      </c>
      <c r="K35" s="23">
        <f t="shared" si="0"/>
        <v>0</v>
      </c>
      <c r="L35" s="33">
        <f t="shared" si="1"/>
        <v>0</v>
      </c>
      <c r="M35" s="33">
        <f t="shared" si="2"/>
        <v>0</v>
      </c>
      <c r="N35" s="33">
        <v>-192</v>
      </c>
      <c r="O35" s="33">
        <v>17</v>
      </c>
      <c r="P35" s="33">
        <v>-223</v>
      </c>
      <c r="Q35" s="33">
        <v>-207</v>
      </c>
      <c r="R35" s="33">
        <v>-192</v>
      </c>
      <c r="S35" s="33">
        <f t="shared" si="3"/>
        <v>-15</v>
      </c>
      <c r="T35" s="38">
        <f t="shared" si="4"/>
        <v>1.078125</v>
      </c>
      <c r="U35" s="59">
        <f t="shared" si="5"/>
        <v>-200</v>
      </c>
      <c r="V35" s="33">
        <v>-8</v>
      </c>
      <c r="W35" s="630">
        <v>-8</v>
      </c>
      <c r="X35" s="33"/>
      <c r="Y35" s="33"/>
      <c r="Z35" s="42"/>
      <c r="AA35" s="60"/>
      <c r="AB35" s="105">
        <v>15</v>
      </c>
      <c r="AC35" s="93"/>
      <c r="AD35" s="33">
        <f t="shared" si="6"/>
        <v>15</v>
      </c>
      <c r="AE35" s="33">
        <f t="shared" si="7"/>
        <v>-192</v>
      </c>
      <c r="AF35" s="101">
        <f t="shared" si="8"/>
        <v>0</v>
      </c>
      <c r="AH35" s="19"/>
    </row>
    <row r="36" spans="2:34" ht="13" outlineLevel="2" x14ac:dyDescent="0.3">
      <c r="B36" s="31" t="s">
        <v>69</v>
      </c>
      <c r="C36" s="33">
        <v>951</v>
      </c>
      <c r="D36" s="33">
        <v>1135</v>
      </c>
      <c r="E36" s="23">
        <v>0</v>
      </c>
      <c r="F36" s="23">
        <v>40</v>
      </c>
      <c r="G36" s="23">
        <v>-23</v>
      </c>
      <c r="H36" s="23">
        <v>0</v>
      </c>
      <c r="I36" s="23">
        <v>207</v>
      </c>
      <c r="J36" s="23">
        <v>15</v>
      </c>
      <c r="K36" s="23">
        <f t="shared" si="0"/>
        <v>239</v>
      </c>
      <c r="L36" s="33">
        <f t="shared" si="1"/>
        <v>55</v>
      </c>
      <c r="M36" s="33">
        <f t="shared" si="2"/>
        <v>239</v>
      </c>
      <c r="N36" s="33">
        <v>1190</v>
      </c>
      <c r="O36" s="33">
        <v>1280</v>
      </c>
      <c r="P36" s="33">
        <v>-208</v>
      </c>
      <c r="Q36" s="33">
        <v>1072</v>
      </c>
      <c r="R36" s="33">
        <v>1190</v>
      </c>
      <c r="S36" s="33">
        <f t="shared" si="3"/>
        <v>-118</v>
      </c>
      <c r="T36" s="38">
        <f t="shared" si="4"/>
        <v>0.9008403361344538</v>
      </c>
      <c r="U36" s="59">
        <f t="shared" si="5"/>
        <v>1097</v>
      </c>
      <c r="V36" s="33">
        <v>-93</v>
      </c>
      <c r="W36" s="630">
        <v>-93</v>
      </c>
      <c r="X36" s="33"/>
      <c r="Y36" s="33"/>
      <c r="Z36" s="42"/>
      <c r="AA36" s="60"/>
      <c r="AB36" s="105">
        <v>118</v>
      </c>
      <c r="AC36" s="93"/>
      <c r="AD36" s="33">
        <f t="shared" si="6"/>
        <v>118</v>
      </c>
      <c r="AE36" s="33">
        <f t="shared" si="7"/>
        <v>1190</v>
      </c>
      <c r="AF36" s="101">
        <f t="shared" si="8"/>
        <v>0</v>
      </c>
      <c r="AH36" s="19"/>
    </row>
    <row r="37" spans="2:34" ht="13" outlineLevel="1" x14ac:dyDescent="0.3">
      <c r="B37" s="32" t="s">
        <v>71</v>
      </c>
      <c r="C37" s="34">
        <f t="shared" ref="C37:J37" si="29">SUBTOTAL(9,C33:C36)</f>
        <v>377</v>
      </c>
      <c r="D37" s="34">
        <f t="shared" si="29"/>
        <v>406</v>
      </c>
      <c r="E37" s="24">
        <f t="shared" si="29"/>
        <v>0</v>
      </c>
      <c r="F37" s="24">
        <f t="shared" si="29"/>
        <v>32</v>
      </c>
      <c r="G37" s="24">
        <f t="shared" si="29"/>
        <v>-53</v>
      </c>
      <c r="H37" s="24">
        <f t="shared" si="29"/>
        <v>0</v>
      </c>
      <c r="I37" s="24">
        <f t="shared" si="29"/>
        <v>83</v>
      </c>
      <c r="J37" s="24">
        <f t="shared" si="29"/>
        <v>15</v>
      </c>
      <c r="K37" s="24">
        <f>SUM(E37:J37)</f>
        <v>77</v>
      </c>
      <c r="L37" s="34">
        <f t="shared" ref="L37:L38" si="30">N37-D37</f>
        <v>47</v>
      </c>
      <c r="M37" s="34">
        <f t="shared" ref="M37:M38" si="31">N37-C37</f>
        <v>76</v>
      </c>
      <c r="N37" s="34">
        <f>SUBTOTAL(9,N33:N36)</f>
        <v>453</v>
      </c>
      <c r="O37" s="34">
        <f>SUBTOTAL(9,O33:O36)</f>
        <v>2604</v>
      </c>
      <c r="P37" s="34">
        <f>SUBTOTAL(9,P33:P36)</f>
        <v>-2342</v>
      </c>
      <c r="Q37" s="34">
        <f>SUBTOTAL(9,Q33:Q36)</f>
        <v>262</v>
      </c>
      <c r="R37" s="34">
        <f>SUBTOTAL(9,R33:R36)</f>
        <v>453</v>
      </c>
      <c r="S37" s="34">
        <f>Q37-R37</f>
        <v>-191</v>
      </c>
      <c r="T37" s="38">
        <f>IFERROR((Q37/N37)*100%,"∞")</f>
        <v>0.57836644591611475</v>
      </c>
      <c r="U37" s="59">
        <f>N37+V37</f>
        <v>263</v>
      </c>
      <c r="V37" s="34">
        <f>SUBTOTAL(9,V33:V36)</f>
        <v>-190</v>
      </c>
      <c r="W37" s="631">
        <f>SUBTOTAL(9,W33:W36)</f>
        <v>-190</v>
      </c>
      <c r="X37" s="34">
        <f t="shared" ref="X37:AF37" si="32">SUBTOTAL(9,X33:X36)</f>
        <v>0</v>
      </c>
      <c r="Y37" s="34">
        <f t="shared" si="32"/>
        <v>0</v>
      </c>
      <c r="Z37" s="34">
        <f t="shared" si="32"/>
        <v>0</v>
      </c>
      <c r="AA37" s="34">
        <f t="shared" si="32"/>
        <v>0</v>
      </c>
      <c r="AB37" s="34">
        <f t="shared" si="32"/>
        <v>191</v>
      </c>
      <c r="AC37" s="34">
        <f t="shared" si="32"/>
        <v>0</v>
      </c>
      <c r="AD37" s="34">
        <f t="shared" si="32"/>
        <v>191</v>
      </c>
      <c r="AE37" s="34">
        <f t="shared" si="32"/>
        <v>453</v>
      </c>
      <c r="AF37" s="34">
        <f t="shared" si="32"/>
        <v>0</v>
      </c>
      <c r="AH37" s="19">
        <f>AF37-W37</f>
        <v>190</v>
      </c>
    </row>
    <row r="38" spans="2:34" ht="13.5" customHeight="1" thickBot="1" x14ac:dyDescent="0.35">
      <c r="B38" s="53" t="s">
        <v>72</v>
      </c>
      <c r="C38" s="35">
        <f t="shared" ref="C38:J38" si="33">SUBTOTAL(9,C25:C37)</f>
        <v>-4626</v>
      </c>
      <c r="D38" s="35">
        <f t="shared" si="33"/>
        <v>-5581</v>
      </c>
      <c r="E38" s="25">
        <f t="shared" si="33"/>
        <v>10</v>
      </c>
      <c r="F38" s="25">
        <f t="shared" si="33"/>
        <v>386</v>
      </c>
      <c r="G38" s="25">
        <f t="shared" si="33"/>
        <v>-98</v>
      </c>
      <c r="H38" s="25">
        <f t="shared" si="33"/>
        <v>0</v>
      </c>
      <c r="I38" s="25">
        <f t="shared" si="33"/>
        <v>-866</v>
      </c>
      <c r="J38" s="25">
        <f t="shared" si="33"/>
        <v>-15</v>
      </c>
      <c r="K38" s="25">
        <f>SUM(E38:J38)</f>
        <v>-583</v>
      </c>
      <c r="L38" s="35">
        <f t="shared" si="30"/>
        <v>371</v>
      </c>
      <c r="M38" s="35">
        <f t="shared" si="31"/>
        <v>-584</v>
      </c>
      <c r="N38" s="35">
        <f>SUBTOTAL(9,N25:N37)</f>
        <v>-5210</v>
      </c>
      <c r="O38" s="35">
        <f>SUBTOTAL(9,O25:O37)</f>
        <v>9122</v>
      </c>
      <c r="P38" s="35">
        <f>SUBTOTAL(9,P25:P37)</f>
        <v>-14060</v>
      </c>
      <c r="Q38" s="35">
        <f>SUBTOTAL(9,Q25:Q37)</f>
        <v>-4940</v>
      </c>
      <c r="R38" s="35">
        <f>SUBTOTAL(9,R25:R37)</f>
        <v>-5210</v>
      </c>
      <c r="S38" s="35">
        <f>Q38-R38</f>
        <v>270</v>
      </c>
      <c r="T38" s="39">
        <f>IFERROR((Q38/N38)*100%,"∞")</f>
        <v>0.94817658349328215</v>
      </c>
      <c r="U38" s="54">
        <f>N38+V38</f>
        <v>-5243</v>
      </c>
      <c r="V38" s="35">
        <f>SUBTOTAL(9,V25:V37)</f>
        <v>-33</v>
      </c>
      <c r="W38" s="632">
        <f>SUBTOTAL(9,W25:W37)</f>
        <v>-33</v>
      </c>
      <c r="X38" s="35">
        <f t="shared" ref="X38:AF38" si="34">SUBTOTAL(9,X25:X37)</f>
        <v>0</v>
      </c>
      <c r="Y38" s="35">
        <f t="shared" si="34"/>
        <v>0</v>
      </c>
      <c r="Z38" s="35">
        <f t="shared" si="34"/>
        <v>0</v>
      </c>
      <c r="AA38" s="35">
        <f t="shared" si="34"/>
        <v>0</v>
      </c>
      <c r="AB38" s="35">
        <f t="shared" si="34"/>
        <v>191</v>
      </c>
      <c r="AC38" s="35">
        <f t="shared" si="34"/>
        <v>0</v>
      </c>
      <c r="AD38" s="35">
        <f t="shared" si="34"/>
        <v>191</v>
      </c>
      <c r="AE38" s="35">
        <f t="shared" si="34"/>
        <v>-4749</v>
      </c>
      <c r="AF38" s="35">
        <f t="shared" si="34"/>
        <v>461</v>
      </c>
      <c r="AH38" s="19">
        <f>AF38-W38</f>
        <v>494</v>
      </c>
    </row>
    <row r="39" spans="2:34" ht="13.5" outlineLevel="2" thickTop="1" x14ac:dyDescent="0.3">
      <c r="B39" s="31" t="s">
        <v>73</v>
      </c>
      <c r="C39" s="33">
        <v>226</v>
      </c>
      <c r="D39" s="33">
        <v>163</v>
      </c>
      <c r="E39" s="23">
        <v>0</v>
      </c>
      <c r="F39" s="23">
        <v>0</v>
      </c>
      <c r="G39" s="23">
        <v>-4</v>
      </c>
      <c r="H39" s="23">
        <v>0</v>
      </c>
      <c r="I39" s="23">
        <v>-60</v>
      </c>
      <c r="J39" s="23">
        <v>0</v>
      </c>
      <c r="K39" s="23">
        <f t="shared" si="0"/>
        <v>-64</v>
      </c>
      <c r="L39" s="33">
        <f t="shared" si="1"/>
        <v>0</v>
      </c>
      <c r="M39" s="33">
        <f t="shared" si="2"/>
        <v>-63</v>
      </c>
      <c r="N39" s="33">
        <v>163</v>
      </c>
      <c r="O39" s="33">
        <v>125</v>
      </c>
      <c r="P39" s="33">
        <v>0</v>
      </c>
      <c r="Q39" s="33">
        <v>125</v>
      </c>
      <c r="R39" s="33">
        <v>163</v>
      </c>
      <c r="S39" s="33">
        <f t="shared" si="3"/>
        <v>-38</v>
      </c>
      <c r="T39" s="38">
        <f t="shared" si="4"/>
        <v>0.76687116564417179</v>
      </c>
      <c r="U39" s="59">
        <f t="shared" si="5"/>
        <v>125</v>
      </c>
      <c r="V39" s="33">
        <v>-38</v>
      </c>
      <c r="W39" s="630">
        <v>-38</v>
      </c>
      <c r="X39" s="33"/>
      <c r="Y39" s="33"/>
      <c r="Z39" s="42"/>
      <c r="AA39" s="60"/>
      <c r="AB39" s="105"/>
      <c r="AC39" s="93"/>
      <c r="AD39" s="33">
        <f t="shared" si="6"/>
        <v>0</v>
      </c>
      <c r="AE39" s="33">
        <f t="shared" si="7"/>
        <v>125</v>
      </c>
      <c r="AF39" s="101">
        <f t="shared" si="8"/>
        <v>-38</v>
      </c>
      <c r="AH39" s="19"/>
    </row>
    <row r="40" spans="2:34" ht="13" outlineLevel="2" x14ac:dyDescent="0.3">
      <c r="B40" s="31" t="s">
        <v>74</v>
      </c>
      <c r="C40" s="33">
        <v>387</v>
      </c>
      <c r="D40" s="33">
        <v>378</v>
      </c>
      <c r="E40" s="23">
        <v>0</v>
      </c>
      <c r="F40" s="23">
        <v>17</v>
      </c>
      <c r="G40" s="23">
        <v>-9</v>
      </c>
      <c r="H40" s="23">
        <v>0</v>
      </c>
      <c r="I40" s="23">
        <v>0</v>
      </c>
      <c r="J40" s="23">
        <v>0</v>
      </c>
      <c r="K40" s="23">
        <f t="shared" si="0"/>
        <v>8</v>
      </c>
      <c r="L40" s="33">
        <f t="shared" si="1"/>
        <v>17</v>
      </c>
      <c r="M40" s="33">
        <f t="shared" si="2"/>
        <v>8</v>
      </c>
      <c r="N40" s="33">
        <v>395</v>
      </c>
      <c r="O40" s="33">
        <v>566</v>
      </c>
      <c r="P40" s="33">
        <v>-191</v>
      </c>
      <c r="Q40" s="33">
        <v>376</v>
      </c>
      <c r="R40" s="33">
        <v>395</v>
      </c>
      <c r="S40" s="33">
        <f t="shared" si="3"/>
        <v>-19</v>
      </c>
      <c r="T40" s="38">
        <f t="shared" si="4"/>
        <v>0.95189873417721516</v>
      </c>
      <c r="U40" s="59">
        <f t="shared" si="5"/>
        <v>414</v>
      </c>
      <c r="V40" s="33">
        <v>19</v>
      </c>
      <c r="W40" s="630">
        <v>19</v>
      </c>
      <c r="X40" s="33"/>
      <c r="Y40" s="33"/>
      <c r="Z40" s="42"/>
      <c r="AA40" s="60"/>
      <c r="AB40" s="105"/>
      <c r="AC40" s="93"/>
      <c r="AD40" s="33">
        <f t="shared" si="6"/>
        <v>0</v>
      </c>
      <c r="AE40" s="33">
        <f t="shared" si="7"/>
        <v>376</v>
      </c>
      <c r="AF40" s="101">
        <f t="shared" si="8"/>
        <v>-19</v>
      </c>
      <c r="AH40" s="19"/>
    </row>
    <row r="41" spans="2:34" ht="13" outlineLevel="2" x14ac:dyDescent="0.3">
      <c r="B41" s="31" t="s">
        <v>75</v>
      </c>
      <c r="C41" s="33">
        <v>258</v>
      </c>
      <c r="D41" s="33">
        <v>254</v>
      </c>
      <c r="E41" s="23">
        <v>0</v>
      </c>
      <c r="F41" s="23">
        <v>115</v>
      </c>
      <c r="G41" s="23">
        <v>-4</v>
      </c>
      <c r="H41" s="23">
        <v>0</v>
      </c>
      <c r="I41" s="23">
        <v>0</v>
      </c>
      <c r="J41" s="23">
        <v>0</v>
      </c>
      <c r="K41" s="23">
        <f t="shared" si="0"/>
        <v>111</v>
      </c>
      <c r="L41" s="33">
        <f t="shared" si="1"/>
        <v>116</v>
      </c>
      <c r="M41" s="33">
        <f t="shared" si="2"/>
        <v>112</v>
      </c>
      <c r="N41" s="33">
        <v>370</v>
      </c>
      <c r="O41" s="33">
        <v>348</v>
      </c>
      <c r="P41" s="33">
        <v>-86</v>
      </c>
      <c r="Q41" s="33">
        <v>262</v>
      </c>
      <c r="R41" s="33">
        <v>370</v>
      </c>
      <c r="S41" s="33">
        <f t="shared" si="3"/>
        <v>-108</v>
      </c>
      <c r="T41" s="38">
        <f t="shared" si="4"/>
        <v>0.70810810810810809</v>
      </c>
      <c r="U41" s="59">
        <f t="shared" si="5"/>
        <v>258</v>
      </c>
      <c r="V41" s="33">
        <v>-112</v>
      </c>
      <c r="W41" s="630">
        <v>-112</v>
      </c>
      <c r="X41" s="33"/>
      <c r="Y41" s="33"/>
      <c r="Z41" s="42"/>
      <c r="AA41" s="60"/>
      <c r="AB41" s="105"/>
      <c r="AC41" s="93"/>
      <c r="AD41" s="33">
        <f t="shared" si="6"/>
        <v>0</v>
      </c>
      <c r="AE41" s="33">
        <f t="shared" si="7"/>
        <v>262</v>
      </c>
      <c r="AF41" s="101">
        <f t="shared" si="8"/>
        <v>-108</v>
      </c>
      <c r="AH41" s="19"/>
    </row>
    <row r="42" spans="2:34" ht="13" outlineLevel="1" x14ac:dyDescent="0.3">
      <c r="B42" s="32" t="s">
        <v>76</v>
      </c>
      <c r="C42" s="34">
        <f t="shared" ref="C42:J42" si="35">SUBTOTAL(9,C39:C41)</f>
        <v>871</v>
      </c>
      <c r="D42" s="34">
        <f t="shared" si="35"/>
        <v>795</v>
      </c>
      <c r="E42" s="24">
        <f t="shared" si="35"/>
        <v>0</v>
      </c>
      <c r="F42" s="24">
        <f t="shared" si="35"/>
        <v>132</v>
      </c>
      <c r="G42" s="24">
        <f t="shared" si="35"/>
        <v>-17</v>
      </c>
      <c r="H42" s="24">
        <f t="shared" si="35"/>
        <v>0</v>
      </c>
      <c r="I42" s="24">
        <f t="shared" si="35"/>
        <v>-60</v>
      </c>
      <c r="J42" s="24">
        <f t="shared" si="35"/>
        <v>0</v>
      </c>
      <c r="K42" s="24">
        <f>SUM(E42:J42)</f>
        <v>55</v>
      </c>
      <c r="L42" s="34">
        <f t="shared" ref="L42" si="36">N42-D42</f>
        <v>133</v>
      </c>
      <c r="M42" s="34">
        <f t="shared" ref="M42" si="37">N42-C42</f>
        <v>57</v>
      </c>
      <c r="N42" s="34">
        <f>SUBTOTAL(9,N39:N41)</f>
        <v>928</v>
      </c>
      <c r="O42" s="34">
        <f>SUBTOTAL(9,O39:O41)</f>
        <v>1039</v>
      </c>
      <c r="P42" s="34">
        <f>SUBTOTAL(9,P39:P41)</f>
        <v>-277</v>
      </c>
      <c r="Q42" s="34">
        <f>SUBTOTAL(9,Q39:Q41)</f>
        <v>763</v>
      </c>
      <c r="R42" s="34">
        <f>SUBTOTAL(9,R39:R41)</f>
        <v>928</v>
      </c>
      <c r="S42" s="34">
        <f>Q42-R42</f>
        <v>-165</v>
      </c>
      <c r="T42" s="38">
        <f>IFERROR((Q42/N42)*100%,"∞")</f>
        <v>0.82219827586206895</v>
      </c>
      <c r="U42" s="59">
        <f>N42+V42</f>
        <v>797</v>
      </c>
      <c r="V42" s="34">
        <f>SUBTOTAL(9,V39:V41)</f>
        <v>-131</v>
      </c>
      <c r="W42" s="631">
        <f>SUBTOTAL(9,W39:W41)</f>
        <v>-131</v>
      </c>
      <c r="X42" s="34">
        <f t="shared" ref="X42:AF42" si="38">SUBTOTAL(9,X39:X41)</f>
        <v>0</v>
      </c>
      <c r="Y42" s="34">
        <f t="shared" si="38"/>
        <v>0</v>
      </c>
      <c r="Z42" s="34">
        <f t="shared" si="38"/>
        <v>0</v>
      </c>
      <c r="AA42" s="34">
        <f t="shared" si="38"/>
        <v>0</v>
      </c>
      <c r="AB42" s="34">
        <f t="shared" si="38"/>
        <v>0</v>
      </c>
      <c r="AC42" s="34">
        <f t="shared" si="38"/>
        <v>0</v>
      </c>
      <c r="AD42" s="34">
        <f t="shared" si="38"/>
        <v>0</v>
      </c>
      <c r="AE42" s="34">
        <f t="shared" si="38"/>
        <v>763</v>
      </c>
      <c r="AF42" s="34">
        <f t="shared" si="38"/>
        <v>-165</v>
      </c>
      <c r="AH42" s="19">
        <f>AF42-W42</f>
        <v>-34</v>
      </c>
    </row>
    <row r="43" spans="2:34" ht="13" outlineLevel="2" x14ac:dyDescent="0.3">
      <c r="B43" s="31" t="s">
        <v>77</v>
      </c>
      <c r="C43" s="33">
        <v>463</v>
      </c>
      <c r="D43" s="33">
        <v>216</v>
      </c>
      <c r="E43" s="23">
        <v>-156</v>
      </c>
      <c r="F43" s="23">
        <v>1</v>
      </c>
      <c r="G43" s="23">
        <v>-7</v>
      </c>
      <c r="H43" s="23">
        <v>0</v>
      </c>
      <c r="I43" s="23">
        <v>-83</v>
      </c>
      <c r="J43" s="23">
        <v>0</v>
      </c>
      <c r="K43" s="23">
        <f t="shared" si="0"/>
        <v>-245</v>
      </c>
      <c r="L43" s="33">
        <f t="shared" si="1"/>
        <v>1</v>
      </c>
      <c r="M43" s="33">
        <f t="shared" si="2"/>
        <v>-246</v>
      </c>
      <c r="N43" s="33">
        <v>217</v>
      </c>
      <c r="O43" s="33">
        <v>404</v>
      </c>
      <c r="P43" s="33">
        <v>-272</v>
      </c>
      <c r="Q43" s="33">
        <v>132</v>
      </c>
      <c r="R43" s="33">
        <v>217</v>
      </c>
      <c r="S43" s="33">
        <f t="shared" si="3"/>
        <v>-85</v>
      </c>
      <c r="T43" s="38">
        <f t="shared" si="4"/>
        <v>0.60829493087557607</v>
      </c>
      <c r="U43" s="59">
        <f t="shared" si="5"/>
        <v>155</v>
      </c>
      <c r="V43" s="33">
        <v>-62</v>
      </c>
      <c r="W43" s="630">
        <v>-62</v>
      </c>
      <c r="X43" s="33"/>
      <c r="Y43" s="33"/>
      <c r="Z43" s="42"/>
      <c r="AA43" s="60"/>
      <c r="AB43" s="105"/>
      <c r="AC43" s="93"/>
      <c r="AD43" s="33">
        <f t="shared" si="6"/>
        <v>0</v>
      </c>
      <c r="AE43" s="33">
        <f t="shared" si="7"/>
        <v>132</v>
      </c>
      <c r="AF43" s="101">
        <f t="shared" si="8"/>
        <v>-85</v>
      </c>
      <c r="AH43" s="19"/>
    </row>
    <row r="44" spans="2:34" ht="13" outlineLevel="2" x14ac:dyDescent="0.3">
      <c r="B44" s="31" t="s">
        <v>78</v>
      </c>
      <c r="C44" s="33">
        <v>305</v>
      </c>
      <c r="D44" s="33">
        <v>282</v>
      </c>
      <c r="E44" s="23">
        <v>-4</v>
      </c>
      <c r="F44" s="23">
        <v>99</v>
      </c>
      <c r="G44" s="23">
        <v>-4</v>
      </c>
      <c r="H44" s="23">
        <v>0</v>
      </c>
      <c r="I44" s="23">
        <v>-15</v>
      </c>
      <c r="J44" s="23">
        <v>0</v>
      </c>
      <c r="K44" s="23">
        <f t="shared" si="0"/>
        <v>76</v>
      </c>
      <c r="L44" s="33">
        <f t="shared" si="1"/>
        <v>98</v>
      </c>
      <c r="M44" s="33">
        <f t="shared" si="2"/>
        <v>75</v>
      </c>
      <c r="N44" s="33">
        <v>380</v>
      </c>
      <c r="O44" s="33">
        <v>481</v>
      </c>
      <c r="P44" s="33">
        <v>-99</v>
      </c>
      <c r="Q44" s="33">
        <v>382</v>
      </c>
      <c r="R44" s="33">
        <v>380</v>
      </c>
      <c r="S44" s="33">
        <f t="shared" si="3"/>
        <v>2</v>
      </c>
      <c r="T44" s="38">
        <f t="shared" si="4"/>
        <v>1.0052631578947369</v>
      </c>
      <c r="U44" s="59">
        <f t="shared" si="5"/>
        <v>380</v>
      </c>
      <c r="V44" s="33">
        <v>0</v>
      </c>
      <c r="W44" s="630">
        <v>0</v>
      </c>
      <c r="X44" s="33"/>
      <c r="Y44" s="33"/>
      <c r="Z44" s="42"/>
      <c r="AA44" s="60"/>
      <c r="AB44" s="105">
        <v>26</v>
      </c>
      <c r="AC44" s="93"/>
      <c r="AD44" s="33">
        <f t="shared" si="6"/>
        <v>26</v>
      </c>
      <c r="AE44" s="33">
        <f t="shared" si="7"/>
        <v>408</v>
      </c>
      <c r="AF44" s="101">
        <f t="shared" si="8"/>
        <v>28</v>
      </c>
      <c r="AH44" s="19"/>
    </row>
    <row r="45" spans="2:34" ht="13" outlineLevel="2" x14ac:dyDescent="0.3">
      <c r="B45" s="31" t="s">
        <v>79</v>
      </c>
      <c r="C45" s="33">
        <v>279</v>
      </c>
      <c r="D45" s="33">
        <v>317</v>
      </c>
      <c r="E45" s="23">
        <v>36</v>
      </c>
      <c r="F45" s="23">
        <v>27</v>
      </c>
      <c r="G45" s="23">
        <v>-7</v>
      </c>
      <c r="H45" s="23">
        <v>0</v>
      </c>
      <c r="I45" s="23">
        <v>10</v>
      </c>
      <c r="J45" s="23">
        <v>0</v>
      </c>
      <c r="K45" s="23">
        <f t="shared" si="0"/>
        <v>66</v>
      </c>
      <c r="L45" s="33">
        <f t="shared" si="1"/>
        <v>27</v>
      </c>
      <c r="M45" s="33">
        <f t="shared" si="2"/>
        <v>65</v>
      </c>
      <c r="N45" s="33">
        <v>344</v>
      </c>
      <c r="O45" s="33">
        <v>764</v>
      </c>
      <c r="P45" s="33">
        <v>-426</v>
      </c>
      <c r="Q45" s="33">
        <v>338</v>
      </c>
      <c r="R45" s="33">
        <v>344</v>
      </c>
      <c r="S45" s="33">
        <f t="shared" si="3"/>
        <v>-6</v>
      </c>
      <c r="T45" s="38">
        <f t="shared" si="4"/>
        <v>0.98255813953488369</v>
      </c>
      <c r="U45" s="59">
        <f t="shared" si="5"/>
        <v>337</v>
      </c>
      <c r="V45" s="33">
        <v>-7</v>
      </c>
      <c r="W45" s="630">
        <v>-7</v>
      </c>
      <c r="X45" s="33"/>
      <c r="Y45" s="33"/>
      <c r="Z45" s="42"/>
      <c r="AA45" s="60"/>
      <c r="AB45" s="105"/>
      <c r="AC45" s="93"/>
      <c r="AD45" s="33">
        <f t="shared" si="6"/>
        <v>0</v>
      </c>
      <c r="AE45" s="33">
        <f t="shared" si="7"/>
        <v>338</v>
      </c>
      <c r="AF45" s="101">
        <f t="shared" si="8"/>
        <v>-6</v>
      </c>
      <c r="AH45" s="19"/>
    </row>
    <row r="46" spans="2:34" ht="13" outlineLevel="1" x14ac:dyDescent="0.3">
      <c r="B46" s="32" t="s">
        <v>80</v>
      </c>
      <c r="C46" s="34">
        <f t="shared" ref="C46:J46" si="39">SUBTOTAL(9,C43:C45)</f>
        <v>1047</v>
      </c>
      <c r="D46" s="34">
        <f t="shared" si="39"/>
        <v>815</v>
      </c>
      <c r="E46" s="24">
        <f t="shared" si="39"/>
        <v>-124</v>
      </c>
      <c r="F46" s="24">
        <f t="shared" si="39"/>
        <v>127</v>
      </c>
      <c r="G46" s="24">
        <f t="shared" si="39"/>
        <v>-18</v>
      </c>
      <c r="H46" s="24">
        <f t="shared" si="39"/>
        <v>0</v>
      </c>
      <c r="I46" s="24">
        <f t="shared" si="39"/>
        <v>-88</v>
      </c>
      <c r="J46" s="24">
        <f t="shared" si="39"/>
        <v>0</v>
      </c>
      <c r="K46" s="24">
        <f>SUM(E46:J46)</f>
        <v>-103</v>
      </c>
      <c r="L46" s="34">
        <f t="shared" ref="L46:L47" si="40">N46-D46</f>
        <v>126</v>
      </c>
      <c r="M46" s="34">
        <f t="shared" ref="M46:M47" si="41">N46-C46</f>
        <v>-106</v>
      </c>
      <c r="N46" s="34">
        <f>SUBTOTAL(9,N43:N45)</f>
        <v>941</v>
      </c>
      <c r="O46" s="34">
        <f>SUBTOTAL(9,O43:O45)</f>
        <v>1649</v>
      </c>
      <c r="P46" s="34">
        <f>SUBTOTAL(9,P43:P45)</f>
        <v>-797</v>
      </c>
      <c r="Q46" s="34">
        <f>SUBTOTAL(9,Q43:Q45)</f>
        <v>852</v>
      </c>
      <c r="R46" s="34">
        <f>SUBTOTAL(9,R43:R45)</f>
        <v>941</v>
      </c>
      <c r="S46" s="34">
        <f>Q46-R46</f>
        <v>-89</v>
      </c>
      <c r="T46" s="38">
        <f>IFERROR((Q46/N46)*100%,"∞")</f>
        <v>0.9054197662061636</v>
      </c>
      <c r="U46" s="59">
        <f>N46+V46</f>
        <v>872</v>
      </c>
      <c r="V46" s="34">
        <f>SUBTOTAL(9,V43:V45)</f>
        <v>-69</v>
      </c>
      <c r="W46" s="631">
        <f>SUBTOTAL(9,W43:W45)</f>
        <v>-69</v>
      </c>
      <c r="X46" s="34">
        <f t="shared" ref="X46:AF46" si="42">SUBTOTAL(9,X43:X45)</f>
        <v>0</v>
      </c>
      <c r="Y46" s="34">
        <f t="shared" si="42"/>
        <v>0</v>
      </c>
      <c r="Z46" s="34">
        <f t="shared" si="42"/>
        <v>0</v>
      </c>
      <c r="AA46" s="34">
        <f t="shared" si="42"/>
        <v>0</v>
      </c>
      <c r="AB46" s="34">
        <f t="shared" si="42"/>
        <v>26</v>
      </c>
      <c r="AC46" s="34">
        <f t="shared" si="42"/>
        <v>0</v>
      </c>
      <c r="AD46" s="34">
        <f t="shared" si="42"/>
        <v>26</v>
      </c>
      <c r="AE46" s="34">
        <f t="shared" si="42"/>
        <v>878</v>
      </c>
      <c r="AF46" s="34">
        <f t="shared" si="42"/>
        <v>-63</v>
      </c>
      <c r="AH46" s="19">
        <f>AF46-W46</f>
        <v>6</v>
      </c>
    </row>
    <row r="47" spans="2:34" ht="13.5" customHeight="1" thickBot="1" x14ac:dyDescent="0.35">
      <c r="B47" s="53" t="s">
        <v>81</v>
      </c>
      <c r="C47" s="35">
        <f t="shared" ref="C47:J47" si="43">SUBTOTAL(9,C39:C46)</f>
        <v>1918</v>
      </c>
      <c r="D47" s="35">
        <f t="shared" si="43"/>
        <v>1610</v>
      </c>
      <c r="E47" s="25">
        <f t="shared" si="43"/>
        <v>-124</v>
      </c>
      <c r="F47" s="25">
        <f t="shared" si="43"/>
        <v>259</v>
      </c>
      <c r="G47" s="25">
        <f t="shared" si="43"/>
        <v>-35</v>
      </c>
      <c r="H47" s="25">
        <f t="shared" si="43"/>
        <v>0</v>
      </c>
      <c r="I47" s="25">
        <f t="shared" si="43"/>
        <v>-148</v>
      </c>
      <c r="J47" s="25">
        <f t="shared" si="43"/>
        <v>0</v>
      </c>
      <c r="K47" s="25">
        <f>SUM(E47:J47)</f>
        <v>-48</v>
      </c>
      <c r="L47" s="35">
        <f t="shared" si="40"/>
        <v>259</v>
      </c>
      <c r="M47" s="35">
        <f t="shared" si="41"/>
        <v>-49</v>
      </c>
      <c r="N47" s="35">
        <f>SUBTOTAL(9,N39:N46)</f>
        <v>1869</v>
      </c>
      <c r="O47" s="35">
        <f>SUBTOTAL(9,O39:O46)</f>
        <v>2688</v>
      </c>
      <c r="P47" s="35">
        <f>SUBTOTAL(9,P39:P46)</f>
        <v>-1074</v>
      </c>
      <c r="Q47" s="35">
        <f>SUBTOTAL(9,Q39:Q46)</f>
        <v>1615</v>
      </c>
      <c r="R47" s="35">
        <f>SUBTOTAL(9,R39:R46)</f>
        <v>1869</v>
      </c>
      <c r="S47" s="35">
        <f>Q47-R47</f>
        <v>-254</v>
      </c>
      <c r="T47" s="39">
        <f>IFERROR((Q47/N47)*100%,"∞")</f>
        <v>0.86409844836811134</v>
      </c>
      <c r="U47" s="54">
        <f>N47+V47</f>
        <v>1669</v>
      </c>
      <c r="V47" s="35">
        <f>SUBTOTAL(9,V39:V46)</f>
        <v>-200</v>
      </c>
      <c r="W47" s="632">
        <f>SUBTOTAL(9,W39:W46)</f>
        <v>-200</v>
      </c>
      <c r="X47" s="35">
        <f t="shared" ref="X47:AF47" si="44">SUBTOTAL(9,X39:X46)</f>
        <v>0</v>
      </c>
      <c r="Y47" s="35">
        <f t="shared" si="44"/>
        <v>0</v>
      </c>
      <c r="Z47" s="35">
        <f t="shared" si="44"/>
        <v>0</v>
      </c>
      <c r="AA47" s="35">
        <f t="shared" si="44"/>
        <v>0</v>
      </c>
      <c r="AB47" s="35">
        <f t="shared" si="44"/>
        <v>26</v>
      </c>
      <c r="AC47" s="35">
        <f t="shared" si="44"/>
        <v>0</v>
      </c>
      <c r="AD47" s="35">
        <f t="shared" si="44"/>
        <v>26</v>
      </c>
      <c r="AE47" s="35">
        <f t="shared" si="44"/>
        <v>1641</v>
      </c>
      <c r="AF47" s="35">
        <f t="shared" si="44"/>
        <v>-228</v>
      </c>
      <c r="AH47" s="19">
        <f>AF47-W47</f>
        <v>-28</v>
      </c>
    </row>
    <row r="48" spans="2:34" ht="13.5" outlineLevel="2" thickTop="1" x14ac:dyDescent="0.3">
      <c r="B48" s="31" t="s">
        <v>82</v>
      </c>
      <c r="C48" s="33">
        <v>-677</v>
      </c>
      <c r="D48" s="33">
        <v>-677</v>
      </c>
      <c r="E48" s="23">
        <v>0</v>
      </c>
      <c r="F48" s="23">
        <v>0</v>
      </c>
      <c r="G48" s="23">
        <v>0</v>
      </c>
      <c r="H48" s="23">
        <v>0</v>
      </c>
      <c r="I48" s="23">
        <v>0</v>
      </c>
      <c r="J48" s="23">
        <v>0</v>
      </c>
      <c r="K48" s="23">
        <f t="shared" si="0"/>
        <v>0</v>
      </c>
      <c r="L48" s="33">
        <f t="shared" si="1"/>
        <v>0</v>
      </c>
      <c r="M48" s="33">
        <f t="shared" si="2"/>
        <v>0</v>
      </c>
      <c r="N48" s="33">
        <v>-677</v>
      </c>
      <c r="O48" s="33">
        <v>4758</v>
      </c>
      <c r="P48" s="33">
        <v>-5683</v>
      </c>
      <c r="Q48" s="33">
        <v>-925</v>
      </c>
      <c r="R48" s="33">
        <v>-677</v>
      </c>
      <c r="S48" s="33">
        <f t="shared" si="3"/>
        <v>-248</v>
      </c>
      <c r="T48" s="38">
        <f t="shared" si="4"/>
        <v>1.3663220088626293</v>
      </c>
      <c r="U48" s="59">
        <f t="shared" si="5"/>
        <v>-900</v>
      </c>
      <c r="V48" s="33">
        <v>-223</v>
      </c>
      <c r="W48" s="630">
        <v>-223</v>
      </c>
      <c r="X48" s="33"/>
      <c r="Y48" s="33"/>
      <c r="Z48" s="42"/>
      <c r="AA48" s="60"/>
      <c r="AB48" s="105"/>
      <c r="AC48" s="93"/>
      <c r="AD48" s="33">
        <f t="shared" si="6"/>
        <v>0</v>
      </c>
      <c r="AE48" s="33">
        <f t="shared" si="7"/>
        <v>-925</v>
      </c>
      <c r="AF48" s="101">
        <f t="shared" si="8"/>
        <v>-248</v>
      </c>
      <c r="AH48" s="19"/>
    </row>
    <row r="49" spans="2:34" ht="13" outlineLevel="2" x14ac:dyDescent="0.3">
      <c r="B49" s="31" t="s">
        <v>83</v>
      </c>
      <c r="C49" s="33">
        <v>5803</v>
      </c>
      <c r="D49" s="33">
        <v>5803</v>
      </c>
      <c r="E49" s="23">
        <v>0</v>
      </c>
      <c r="F49" s="23">
        <v>100</v>
      </c>
      <c r="G49" s="23">
        <v>0</v>
      </c>
      <c r="H49" s="23">
        <v>0</v>
      </c>
      <c r="I49" s="23">
        <v>0</v>
      </c>
      <c r="J49" s="23">
        <v>0</v>
      </c>
      <c r="K49" s="23">
        <f t="shared" si="0"/>
        <v>100</v>
      </c>
      <c r="L49" s="33">
        <f t="shared" si="1"/>
        <v>100</v>
      </c>
      <c r="M49" s="33">
        <f t="shared" si="2"/>
        <v>100</v>
      </c>
      <c r="N49" s="33">
        <v>5903</v>
      </c>
      <c r="O49" s="33">
        <v>7893</v>
      </c>
      <c r="P49" s="33">
        <v>-1879</v>
      </c>
      <c r="Q49" s="33">
        <v>6014</v>
      </c>
      <c r="R49" s="33">
        <v>5903</v>
      </c>
      <c r="S49" s="33">
        <f t="shared" si="3"/>
        <v>111</v>
      </c>
      <c r="T49" s="38">
        <f t="shared" si="4"/>
        <v>1.0188039979671353</v>
      </c>
      <c r="U49" s="59">
        <f t="shared" si="5"/>
        <v>6053</v>
      </c>
      <c r="V49" s="33">
        <v>150</v>
      </c>
      <c r="W49" s="630">
        <v>150</v>
      </c>
      <c r="X49" s="33"/>
      <c r="Y49" s="33"/>
      <c r="Z49" s="42"/>
      <c r="AA49" s="60"/>
      <c r="AB49" s="105"/>
      <c r="AC49" s="93"/>
      <c r="AD49" s="33">
        <f t="shared" si="6"/>
        <v>0</v>
      </c>
      <c r="AE49" s="33">
        <f t="shared" si="7"/>
        <v>6014</v>
      </c>
      <c r="AF49" s="101">
        <f t="shared" si="8"/>
        <v>111</v>
      </c>
      <c r="AH49" s="19"/>
    </row>
    <row r="50" spans="2:34" ht="13" outlineLevel="2" x14ac:dyDescent="0.3">
      <c r="B50" s="31" t="s">
        <v>84</v>
      </c>
      <c r="C50" s="33">
        <v>6021</v>
      </c>
      <c r="D50" s="33">
        <v>6021</v>
      </c>
      <c r="E50" s="23">
        <v>0</v>
      </c>
      <c r="F50" s="23">
        <v>0</v>
      </c>
      <c r="G50" s="23">
        <v>0</v>
      </c>
      <c r="H50" s="23">
        <v>0</v>
      </c>
      <c r="I50" s="23">
        <v>0</v>
      </c>
      <c r="J50" s="23">
        <v>0</v>
      </c>
      <c r="K50" s="23">
        <f t="shared" si="0"/>
        <v>0</v>
      </c>
      <c r="L50" s="33">
        <f t="shared" si="1"/>
        <v>0</v>
      </c>
      <c r="M50" s="33">
        <f t="shared" si="2"/>
        <v>0</v>
      </c>
      <c r="N50" s="33">
        <v>6021</v>
      </c>
      <c r="O50" s="33">
        <v>5985</v>
      </c>
      <c r="P50" s="33">
        <v>3</v>
      </c>
      <c r="Q50" s="33">
        <v>5988</v>
      </c>
      <c r="R50" s="33">
        <v>6021</v>
      </c>
      <c r="S50" s="33">
        <f t="shared" si="3"/>
        <v>-33</v>
      </c>
      <c r="T50" s="38">
        <f t="shared" si="4"/>
        <v>0.99451918285999008</v>
      </c>
      <c r="U50" s="59">
        <f t="shared" si="5"/>
        <v>6054</v>
      </c>
      <c r="V50" s="33">
        <v>33</v>
      </c>
      <c r="W50" s="630">
        <v>33</v>
      </c>
      <c r="X50" s="33"/>
      <c r="Y50" s="33"/>
      <c r="Z50" s="42"/>
      <c r="AA50" s="60"/>
      <c r="AB50" s="105"/>
      <c r="AC50" s="93"/>
      <c r="AD50" s="33">
        <f t="shared" si="6"/>
        <v>0</v>
      </c>
      <c r="AE50" s="33">
        <f t="shared" si="7"/>
        <v>5988</v>
      </c>
      <c r="AF50" s="101">
        <f t="shared" si="8"/>
        <v>-33</v>
      </c>
      <c r="AH50" s="19"/>
    </row>
    <row r="51" spans="2:34" ht="13" outlineLevel="2" x14ac:dyDescent="0.3">
      <c r="B51" s="31" t="s">
        <v>85</v>
      </c>
      <c r="C51" s="33">
        <v>3196</v>
      </c>
      <c r="D51" s="33">
        <v>3196</v>
      </c>
      <c r="E51" s="23">
        <v>0</v>
      </c>
      <c r="F51" s="23">
        <v>0</v>
      </c>
      <c r="G51" s="23">
        <v>0</v>
      </c>
      <c r="H51" s="23">
        <v>0</v>
      </c>
      <c r="I51" s="23">
        <v>0</v>
      </c>
      <c r="J51" s="23">
        <v>0</v>
      </c>
      <c r="K51" s="23">
        <f t="shared" si="0"/>
        <v>0</v>
      </c>
      <c r="L51" s="33">
        <f t="shared" si="1"/>
        <v>0</v>
      </c>
      <c r="M51" s="33">
        <f t="shared" si="2"/>
        <v>0</v>
      </c>
      <c r="N51" s="33">
        <v>3196</v>
      </c>
      <c r="O51" s="33">
        <v>3309</v>
      </c>
      <c r="P51" s="33">
        <v>-89</v>
      </c>
      <c r="Q51" s="33">
        <v>3220</v>
      </c>
      <c r="R51" s="33">
        <v>3196</v>
      </c>
      <c r="S51" s="33">
        <f t="shared" si="3"/>
        <v>24</v>
      </c>
      <c r="T51" s="38">
        <f t="shared" si="4"/>
        <v>1.0075093867334168</v>
      </c>
      <c r="U51" s="59">
        <f t="shared" si="5"/>
        <v>3196</v>
      </c>
      <c r="V51" s="33">
        <v>0</v>
      </c>
      <c r="W51" s="630">
        <v>0</v>
      </c>
      <c r="X51" s="33"/>
      <c r="Y51" s="33"/>
      <c r="Z51" s="42"/>
      <c r="AA51" s="60"/>
      <c r="AB51" s="105"/>
      <c r="AC51" s="93"/>
      <c r="AD51" s="33">
        <f t="shared" si="6"/>
        <v>0</v>
      </c>
      <c r="AE51" s="33">
        <f t="shared" si="7"/>
        <v>3220</v>
      </c>
      <c r="AF51" s="101">
        <f t="shared" si="8"/>
        <v>24</v>
      </c>
      <c r="AH51" s="19"/>
    </row>
    <row r="52" spans="2:34" ht="13" outlineLevel="2" x14ac:dyDescent="0.3">
      <c r="B52" s="31" t="s">
        <v>86</v>
      </c>
      <c r="C52" s="33">
        <v>263</v>
      </c>
      <c r="D52" s="33">
        <v>263</v>
      </c>
      <c r="E52" s="23">
        <v>0</v>
      </c>
      <c r="F52" s="23">
        <v>0</v>
      </c>
      <c r="G52" s="23">
        <v>0</v>
      </c>
      <c r="H52" s="23">
        <v>0</v>
      </c>
      <c r="I52" s="23">
        <v>0</v>
      </c>
      <c r="J52" s="23">
        <v>0</v>
      </c>
      <c r="K52" s="23">
        <f t="shared" si="0"/>
        <v>0</v>
      </c>
      <c r="L52" s="33">
        <f t="shared" si="1"/>
        <v>0</v>
      </c>
      <c r="M52" s="33">
        <f t="shared" si="2"/>
        <v>0</v>
      </c>
      <c r="N52" s="33">
        <v>263</v>
      </c>
      <c r="O52" s="33">
        <v>262</v>
      </c>
      <c r="P52" s="33">
        <v>1</v>
      </c>
      <c r="Q52" s="33">
        <v>263</v>
      </c>
      <c r="R52" s="33">
        <v>263</v>
      </c>
      <c r="S52" s="33">
        <f t="shared" si="3"/>
        <v>0</v>
      </c>
      <c r="T52" s="38">
        <f t="shared" si="4"/>
        <v>1</v>
      </c>
      <c r="U52" s="59">
        <f t="shared" si="5"/>
        <v>263</v>
      </c>
      <c r="V52" s="33">
        <v>0</v>
      </c>
      <c r="W52" s="630">
        <v>0</v>
      </c>
      <c r="X52" s="33"/>
      <c r="Y52" s="33"/>
      <c r="Z52" s="42"/>
      <c r="AA52" s="60"/>
      <c r="AB52" s="105"/>
      <c r="AC52" s="93"/>
      <c r="AD52" s="33">
        <f t="shared" si="6"/>
        <v>0</v>
      </c>
      <c r="AE52" s="33">
        <f t="shared" si="7"/>
        <v>263</v>
      </c>
      <c r="AF52" s="101">
        <f t="shared" si="8"/>
        <v>0</v>
      </c>
      <c r="AH52" s="19"/>
    </row>
    <row r="53" spans="2:34" ht="13" outlineLevel="2" x14ac:dyDescent="0.3">
      <c r="B53" s="31" t="s">
        <v>87</v>
      </c>
      <c r="C53" s="33">
        <v>0</v>
      </c>
      <c r="D53" s="33">
        <v>0</v>
      </c>
      <c r="E53" s="23">
        <v>0</v>
      </c>
      <c r="F53" s="23">
        <v>0</v>
      </c>
      <c r="G53" s="23">
        <v>0</v>
      </c>
      <c r="H53" s="23">
        <v>0</v>
      </c>
      <c r="I53" s="23">
        <v>0</v>
      </c>
      <c r="J53" s="23">
        <v>0</v>
      </c>
      <c r="K53" s="23">
        <f t="shared" si="0"/>
        <v>0</v>
      </c>
      <c r="L53" s="33">
        <f t="shared" si="1"/>
        <v>0</v>
      </c>
      <c r="M53" s="33">
        <f t="shared" si="2"/>
        <v>0</v>
      </c>
      <c r="N53" s="33">
        <v>0</v>
      </c>
      <c r="O53" s="33">
        <v>2080</v>
      </c>
      <c r="P53" s="33">
        <v>-2080</v>
      </c>
      <c r="Q53" s="33">
        <v>0</v>
      </c>
      <c r="R53" s="33">
        <v>0</v>
      </c>
      <c r="S53" s="33">
        <f t="shared" si="3"/>
        <v>0</v>
      </c>
      <c r="T53" s="38" t="str">
        <f t="shared" si="4"/>
        <v>∞</v>
      </c>
      <c r="U53" s="59">
        <f t="shared" si="5"/>
        <v>0</v>
      </c>
      <c r="V53" s="33">
        <v>0</v>
      </c>
      <c r="W53" s="630">
        <v>0</v>
      </c>
      <c r="X53" s="33"/>
      <c r="Y53" s="33"/>
      <c r="Z53" s="42"/>
      <c r="AA53" s="60"/>
      <c r="AB53" s="105"/>
      <c r="AC53" s="93"/>
      <c r="AD53" s="33">
        <f t="shared" si="6"/>
        <v>0</v>
      </c>
      <c r="AE53" s="33">
        <f t="shared" si="7"/>
        <v>0</v>
      </c>
      <c r="AF53" s="101">
        <f t="shared" si="8"/>
        <v>0</v>
      </c>
      <c r="AH53" s="19"/>
    </row>
    <row r="54" spans="2:34" ht="13" outlineLevel="2" x14ac:dyDescent="0.3">
      <c r="B54" s="31" t="s">
        <v>88</v>
      </c>
      <c r="C54" s="33">
        <v>-1960</v>
      </c>
      <c r="D54" s="33">
        <v>-1960</v>
      </c>
      <c r="E54" s="23">
        <v>0</v>
      </c>
      <c r="F54" s="23">
        <v>0</v>
      </c>
      <c r="G54" s="23">
        <v>0</v>
      </c>
      <c r="H54" s="23">
        <v>0</v>
      </c>
      <c r="I54" s="23">
        <v>0</v>
      </c>
      <c r="J54" s="23">
        <v>0</v>
      </c>
      <c r="K54" s="23">
        <f t="shared" si="0"/>
        <v>0</v>
      </c>
      <c r="L54" s="33">
        <f t="shared" si="1"/>
        <v>0</v>
      </c>
      <c r="M54" s="33">
        <f t="shared" si="2"/>
        <v>0</v>
      </c>
      <c r="N54" s="33">
        <v>-1960</v>
      </c>
      <c r="O54" s="33">
        <v>113</v>
      </c>
      <c r="P54" s="33">
        <v>0</v>
      </c>
      <c r="Q54" s="33">
        <v>113</v>
      </c>
      <c r="R54" s="33">
        <v>-1960</v>
      </c>
      <c r="S54" s="33">
        <f t="shared" si="3"/>
        <v>2073</v>
      </c>
      <c r="T54" s="38">
        <f t="shared" si="4"/>
        <v>-5.7653061224489793E-2</v>
      </c>
      <c r="U54" s="59">
        <f t="shared" si="5"/>
        <v>-1960</v>
      </c>
      <c r="V54" s="33">
        <v>0</v>
      </c>
      <c r="W54" s="630">
        <v>0</v>
      </c>
      <c r="X54" s="33"/>
      <c r="Y54" s="33"/>
      <c r="Z54" s="42"/>
      <c r="AA54" s="60"/>
      <c r="AB54" s="105"/>
      <c r="AC54" s="93"/>
      <c r="AD54" s="33">
        <f t="shared" si="6"/>
        <v>0</v>
      </c>
      <c r="AE54" s="33">
        <f t="shared" si="7"/>
        <v>113</v>
      </c>
      <c r="AF54" s="101">
        <f t="shared" si="8"/>
        <v>2073</v>
      </c>
      <c r="AH54" s="19" t="s">
        <v>174</v>
      </c>
    </row>
    <row r="55" spans="2:34" ht="13" outlineLevel="2" x14ac:dyDescent="0.3">
      <c r="B55" s="31" t="s">
        <v>89</v>
      </c>
      <c r="C55" s="33">
        <v>-1086</v>
      </c>
      <c r="D55" s="33">
        <v>-1086</v>
      </c>
      <c r="E55" s="23">
        <v>0</v>
      </c>
      <c r="F55" s="23">
        <v>0</v>
      </c>
      <c r="G55" s="23">
        <v>0</v>
      </c>
      <c r="H55" s="23">
        <v>0</v>
      </c>
      <c r="I55" s="23">
        <v>0</v>
      </c>
      <c r="J55" s="23">
        <v>0</v>
      </c>
      <c r="K55" s="23">
        <f t="shared" si="0"/>
        <v>0</v>
      </c>
      <c r="L55" s="33">
        <f t="shared" si="1"/>
        <v>0</v>
      </c>
      <c r="M55" s="33">
        <f t="shared" si="2"/>
        <v>0</v>
      </c>
      <c r="N55" s="33">
        <v>-1086</v>
      </c>
      <c r="O55" s="33">
        <v>818</v>
      </c>
      <c r="P55" s="33">
        <v>-12</v>
      </c>
      <c r="Q55" s="33">
        <v>806</v>
      </c>
      <c r="R55" s="33">
        <v>-1086</v>
      </c>
      <c r="S55" s="33">
        <f t="shared" si="3"/>
        <v>1892</v>
      </c>
      <c r="T55" s="38">
        <f t="shared" si="4"/>
        <v>-0.74217311233885819</v>
      </c>
      <c r="U55" s="59">
        <f t="shared" si="5"/>
        <v>-1086</v>
      </c>
      <c r="V55" s="33">
        <v>0</v>
      </c>
      <c r="W55" s="630">
        <v>0</v>
      </c>
      <c r="X55" s="33"/>
      <c r="Y55" s="33"/>
      <c r="Z55" s="42"/>
      <c r="AA55" s="60"/>
      <c r="AB55" s="105"/>
      <c r="AC55" s="93"/>
      <c r="AD55" s="33">
        <f t="shared" si="6"/>
        <v>0</v>
      </c>
      <c r="AE55" s="33">
        <f t="shared" si="7"/>
        <v>806</v>
      </c>
      <c r="AF55" s="101">
        <f t="shared" si="8"/>
        <v>1892</v>
      </c>
      <c r="AH55" s="19" t="s">
        <v>175</v>
      </c>
    </row>
    <row r="56" spans="2:34" ht="13" outlineLevel="2" x14ac:dyDescent="0.3">
      <c r="B56" s="31" t="s">
        <v>90</v>
      </c>
      <c r="C56" s="33">
        <v>71</v>
      </c>
      <c r="D56" s="33">
        <v>71</v>
      </c>
      <c r="E56" s="23">
        <v>0</v>
      </c>
      <c r="F56" s="23">
        <v>0</v>
      </c>
      <c r="G56" s="23">
        <v>0</v>
      </c>
      <c r="H56" s="23">
        <v>0</v>
      </c>
      <c r="I56" s="23">
        <v>0</v>
      </c>
      <c r="J56" s="23">
        <v>0</v>
      </c>
      <c r="K56" s="23">
        <f t="shared" si="0"/>
        <v>0</v>
      </c>
      <c r="L56" s="33">
        <f t="shared" si="1"/>
        <v>0</v>
      </c>
      <c r="M56" s="33">
        <f t="shared" si="2"/>
        <v>0</v>
      </c>
      <c r="N56" s="33">
        <v>71</v>
      </c>
      <c r="O56" s="33">
        <v>162</v>
      </c>
      <c r="P56" s="33">
        <v>-90</v>
      </c>
      <c r="Q56" s="33">
        <v>72</v>
      </c>
      <c r="R56" s="33">
        <v>71</v>
      </c>
      <c r="S56" s="33">
        <f t="shared" si="3"/>
        <v>1</v>
      </c>
      <c r="T56" s="38">
        <f t="shared" si="4"/>
        <v>1.0140845070422535</v>
      </c>
      <c r="U56" s="59">
        <f t="shared" si="5"/>
        <v>71</v>
      </c>
      <c r="V56" s="33">
        <v>0</v>
      </c>
      <c r="W56" s="630">
        <v>0</v>
      </c>
      <c r="X56" s="33"/>
      <c r="Y56" s="33"/>
      <c r="Z56" s="42"/>
      <c r="AA56" s="60"/>
      <c r="AB56" s="105"/>
      <c r="AC56" s="93"/>
      <c r="AD56" s="33">
        <f t="shared" si="6"/>
        <v>0</v>
      </c>
      <c r="AE56" s="33">
        <f t="shared" si="7"/>
        <v>72</v>
      </c>
      <c r="AF56" s="101">
        <f t="shared" si="8"/>
        <v>1</v>
      </c>
      <c r="AH56" s="19"/>
    </row>
    <row r="57" spans="2:34" ht="13" outlineLevel="2" x14ac:dyDescent="0.3">
      <c r="B57" s="31" t="s">
        <v>91</v>
      </c>
      <c r="C57" s="33">
        <v>-226</v>
      </c>
      <c r="D57" s="33">
        <v>83</v>
      </c>
      <c r="E57" s="23">
        <v>0</v>
      </c>
      <c r="F57" s="23">
        <v>0</v>
      </c>
      <c r="G57" s="23">
        <v>309</v>
      </c>
      <c r="H57" s="23">
        <v>0</v>
      </c>
      <c r="I57" s="23">
        <v>0</v>
      </c>
      <c r="J57" s="23">
        <v>0</v>
      </c>
      <c r="K57" s="23">
        <f t="shared" si="0"/>
        <v>309</v>
      </c>
      <c r="L57" s="33">
        <f t="shared" si="1"/>
        <v>0</v>
      </c>
      <c r="M57" s="33">
        <f t="shared" si="2"/>
        <v>309</v>
      </c>
      <c r="N57" s="33">
        <v>83</v>
      </c>
      <c r="O57" s="33">
        <v>637</v>
      </c>
      <c r="P57" s="33">
        <v>-398</v>
      </c>
      <c r="Q57" s="33">
        <v>239</v>
      </c>
      <c r="R57" s="33">
        <v>83</v>
      </c>
      <c r="S57" s="33">
        <f t="shared" si="3"/>
        <v>156</v>
      </c>
      <c r="T57" s="38">
        <f t="shared" si="4"/>
        <v>2.8795180722891565</v>
      </c>
      <c r="U57" s="59">
        <f t="shared" si="5"/>
        <v>72</v>
      </c>
      <c r="V57" s="33">
        <v>-11</v>
      </c>
      <c r="W57" s="630">
        <v>-11</v>
      </c>
      <c r="X57" s="33"/>
      <c r="Y57" s="33"/>
      <c r="Z57" s="42"/>
      <c r="AA57" s="60"/>
      <c r="AB57" s="105"/>
      <c r="AC57" s="93"/>
      <c r="AD57" s="33">
        <f t="shared" si="6"/>
        <v>0</v>
      </c>
      <c r="AE57" s="33">
        <f t="shared" si="7"/>
        <v>239</v>
      </c>
      <c r="AF57" s="101">
        <f t="shared" si="8"/>
        <v>156</v>
      </c>
      <c r="AH57" s="19"/>
    </row>
    <row r="58" spans="2:34" ht="13" outlineLevel="1" x14ac:dyDescent="0.3">
      <c r="B58" s="32" t="s">
        <v>92</v>
      </c>
      <c r="C58" s="34">
        <f t="shared" ref="C58:J58" si="45">SUBTOTAL(9,C48:C57)</f>
        <v>11405</v>
      </c>
      <c r="D58" s="34">
        <f t="shared" si="45"/>
        <v>11714</v>
      </c>
      <c r="E58" s="24">
        <f t="shared" si="45"/>
        <v>0</v>
      </c>
      <c r="F58" s="24">
        <f t="shared" si="45"/>
        <v>100</v>
      </c>
      <c r="G58" s="24">
        <f t="shared" si="45"/>
        <v>309</v>
      </c>
      <c r="H58" s="24">
        <f t="shared" si="45"/>
        <v>0</v>
      </c>
      <c r="I58" s="24">
        <f t="shared" si="45"/>
        <v>0</v>
      </c>
      <c r="J58" s="24">
        <f t="shared" si="45"/>
        <v>0</v>
      </c>
      <c r="K58" s="24">
        <f>SUM(E58:J58)</f>
        <v>409</v>
      </c>
      <c r="L58" s="34">
        <f t="shared" ref="L58:L59" si="46">N58-D58</f>
        <v>100</v>
      </c>
      <c r="M58" s="34">
        <f t="shared" ref="M58:M59" si="47">N58-C58</f>
        <v>409</v>
      </c>
      <c r="N58" s="34">
        <f>SUBTOTAL(9,N48:N57)</f>
        <v>11814</v>
      </c>
      <c r="O58" s="34">
        <f>SUBTOTAL(9,O48:O57)</f>
        <v>26017</v>
      </c>
      <c r="P58" s="34">
        <f>SUBTOTAL(9,P48:P57)</f>
        <v>-10227</v>
      </c>
      <c r="Q58" s="34">
        <f>SUBTOTAL(9,Q48:Q57)</f>
        <v>15790</v>
      </c>
      <c r="R58" s="34">
        <f>SUBTOTAL(9,R48:R57)</f>
        <v>11814</v>
      </c>
      <c r="S58" s="34">
        <f>Q58-R58</f>
        <v>3976</v>
      </c>
      <c r="T58" s="38">
        <f>IFERROR((Q58/N58)*100%,"∞")</f>
        <v>1.3365498561029288</v>
      </c>
      <c r="U58" s="59">
        <f>N58+V58</f>
        <v>11763</v>
      </c>
      <c r="V58" s="34">
        <f>SUBTOTAL(9,V48:V57)</f>
        <v>-51</v>
      </c>
      <c r="W58" s="631">
        <f>SUBTOTAL(9,W48:W57)</f>
        <v>-51</v>
      </c>
      <c r="X58" s="34">
        <f t="shared" ref="X58:AF58" si="48">SUBTOTAL(9,X48:X57)</f>
        <v>0</v>
      </c>
      <c r="Y58" s="34">
        <f t="shared" si="48"/>
        <v>0</v>
      </c>
      <c r="Z58" s="34">
        <f t="shared" si="48"/>
        <v>0</v>
      </c>
      <c r="AA58" s="34">
        <f t="shared" si="48"/>
        <v>0</v>
      </c>
      <c r="AB58" s="34">
        <f t="shared" si="48"/>
        <v>0</v>
      </c>
      <c r="AC58" s="34">
        <f t="shared" si="48"/>
        <v>0</v>
      </c>
      <c r="AD58" s="34">
        <f t="shared" si="48"/>
        <v>0</v>
      </c>
      <c r="AE58" s="34">
        <f t="shared" si="48"/>
        <v>15790</v>
      </c>
      <c r="AF58" s="34">
        <f t="shared" si="48"/>
        <v>3976</v>
      </c>
      <c r="AH58" s="19">
        <f>AF58-W58</f>
        <v>4027</v>
      </c>
    </row>
    <row r="59" spans="2:34" ht="13.5" customHeight="1" thickBot="1" x14ac:dyDescent="0.35">
      <c r="B59" s="53" t="s">
        <v>93</v>
      </c>
      <c r="C59" s="35">
        <f t="shared" ref="C59:J59" si="49">SUBTOTAL(9,C48:C58)</f>
        <v>11405</v>
      </c>
      <c r="D59" s="35">
        <f t="shared" si="49"/>
        <v>11714</v>
      </c>
      <c r="E59" s="25">
        <f t="shared" si="49"/>
        <v>0</v>
      </c>
      <c r="F59" s="25">
        <f t="shared" si="49"/>
        <v>100</v>
      </c>
      <c r="G59" s="25">
        <f t="shared" si="49"/>
        <v>309</v>
      </c>
      <c r="H59" s="25">
        <f t="shared" si="49"/>
        <v>0</v>
      </c>
      <c r="I59" s="25">
        <f t="shared" si="49"/>
        <v>0</v>
      </c>
      <c r="J59" s="25">
        <f t="shared" si="49"/>
        <v>0</v>
      </c>
      <c r="K59" s="25">
        <f>SUM(E59:J59)</f>
        <v>409</v>
      </c>
      <c r="L59" s="35">
        <f t="shared" si="46"/>
        <v>100</v>
      </c>
      <c r="M59" s="35">
        <f t="shared" si="47"/>
        <v>409</v>
      </c>
      <c r="N59" s="35">
        <f>SUBTOTAL(9,N48:N58)</f>
        <v>11814</v>
      </c>
      <c r="O59" s="35">
        <f>SUBTOTAL(9,O48:O58)</f>
        <v>26017</v>
      </c>
      <c r="P59" s="35">
        <f>SUBTOTAL(9,P48:P58)</f>
        <v>-10227</v>
      </c>
      <c r="Q59" s="35">
        <f>SUBTOTAL(9,Q48:Q58)</f>
        <v>15790</v>
      </c>
      <c r="R59" s="35">
        <f>SUBTOTAL(9,R48:R58)</f>
        <v>11814</v>
      </c>
      <c r="S59" s="35">
        <f>Q59-R59</f>
        <v>3976</v>
      </c>
      <c r="T59" s="39">
        <f>IFERROR((Q59/N59)*100%,"∞")</f>
        <v>1.3365498561029288</v>
      </c>
      <c r="U59" s="54">
        <f>N59+V59</f>
        <v>11763</v>
      </c>
      <c r="V59" s="35">
        <f>SUBTOTAL(9,V48:V58)</f>
        <v>-51</v>
      </c>
      <c r="W59" s="632">
        <f>SUBTOTAL(9,W48:W58)</f>
        <v>-51</v>
      </c>
      <c r="X59" s="35">
        <f t="shared" ref="X59:AF59" si="50">SUBTOTAL(9,X48:X58)</f>
        <v>0</v>
      </c>
      <c r="Y59" s="35">
        <f t="shared" si="50"/>
        <v>0</v>
      </c>
      <c r="Z59" s="35">
        <f t="shared" si="50"/>
        <v>0</v>
      </c>
      <c r="AA59" s="35">
        <f t="shared" si="50"/>
        <v>0</v>
      </c>
      <c r="AB59" s="35">
        <f t="shared" si="50"/>
        <v>0</v>
      </c>
      <c r="AC59" s="35">
        <f t="shared" si="50"/>
        <v>0</v>
      </c>
      <c r="AD59" s="35">
        <f t="shared" si="50"/>
        <v>0</v>
      </c>
      <c r="AE59" s="35">
        <f t="shared" si="50"/>
        <v>15790</v>
      </c>
      <c r="AF59" s="35">
        <f t="shared" si="50"/>
        <v>3976</v>
      </c>
      <c r="AH59" s="19">
        <f>AF59-W59</f>
        <v>4027</v>
      </c>
    </row>
    <row r="60" spans="2:34" ht="13.5" outlineLevel="2" thickTop="1" x14ac:dyDescent="0.3">
      <c r="B60" s="31" t="s">
        <v>94</v>
      </c>
      <c r="C60" s="33">
        <v>250</v>
      </c>
      <c r="D60" s="33">
        <v>356</v>
      </c>
      <c r="E60" s="23">
        <v>60</v>
      </c>
      <c r="F60" s="23">
        <v>0</v>
      </c>
      <c r="G60" s="23">
        <v>2</v>
      </c>
      <c r="H60" s="23">
        <v>-8</v>
      </c>
      <c r="I60" s="23">
        <v>44</v>
      </c>
      <c r="J60" s="23">
        <v>-60</v>
      </c>
      <c r="K60" s="23">
        <f t="shared" si="0"/>
        <v>38</v>
      </c>
      <c r="L60" s="33">
        <f t="shared" si="1"/>
        <v>-68</v>
      </c>
      <c r="M60" s="33">
        <f t="shared" si="2"/>
        <v>38</v>
      </c>
      <c r="N60" s="33">
        <v>288</v>
      </c>
      <c r="O60" s="33">
        <v>470</v>
      </c>
      <c r="P60" s="33">
        <v>0</v>
      </c>
      <c r="Q60" s="33">
        <v>470</v>
      </c>
      <c r="R60" s="33">
        <v>288</v>
      </c>
      <c r="S60" s="33">
        <f t="shared" si="3"/>
        <v>182</v>
      </c>
      <c r="T60" s="38">
        <f t="shared" si="4"/>
        <v>1.6319444444444444</v>
      </c>
      <c r="U60" s="59">
        <f t="shared" si="5"/>
        <v>438</v>
      </c>
      <c r="V60" s="33">
        <v>150</v>
      </c>
      <c r="W60" s="630">
        <v>150</v>
      </c>
      <c r="X60" s="33"/>
      <c r="Y60" s="33"/>
      <c r="Z60" s="42"/>
      <c r="AA60" s="60"/>
      <c r="AB60" s="105"/>
      <c r="AC60" s="93"/>
      <c r="AD60" s="33">
        <f t="shared" si="6"/>
        <v>0</v>
      </c>
      <c r="AE60" s="33">
        <f t="shared" si="7"/>
        <v>470</v>
      </c>
      <c r="AF60" s="101">
        <f t="shared" si="8"/>
        <v>182</v>
      </c>
      <c r="AH60" s="19"/>
    </row>
    <row r="61" spans="2:34" ht="13" outlineLevel="2" x14ac:dyDescent="0.3">
      <c r="B61" s="31" t="s">
        <v>95</v>
      </c>
      <c r="C61" s="33">
        <v>129</v>
      </c>
      <c r="D61" s="33">
        <v>125</v>
      </c>
      <c r="E61" s="23">
        <v>0</v>
      </c>
      <c r="F61" s="23">
        <v>0</v>
      </c>
      <c r="G61" s="23">
        <v>-4</v>
      </c>
      <c r="H61" s="23">
        <v>0</v>
      </c>
      <c r="I61" s="23">
        <v>0</v>
      </c>
      <c r="J61" s="23">
        <v>0</v>
      </c>
      <c r="K61" s="23">
        <f t="shared" si="0"/>
        <v>-4</v>
      </c>
      <c r="L61" s="33">
        <f t="shared" si="1"/>
        <v>0</v>
      </c>
      <c r="M61" s="33">
        <f t="shared" si="2"/>
        <v>-4</v>
      </c>
      <c r="N61" s="33">
        <v>125</v>
      </c>
      <c r="O61" s="33">
        <v>123</v>
      </c>
      <c r="P61" s="33">
        <v>0</v>
      </c>
      <c r="Q61" s="33">
        <v>123</v>
      </c>
      <c r="R61" s="33">
        <v>125</v>
      </c>
      <c r="S61" s="33">
        <f t="shared" si="3"/>
        <v>-2</v>
      </c>
      <c r="T61" s="38">
        <f t="shared" si="4"/>
        <v>0.98399999999999999</v>
      </c>
      <c r="U61" s="59">
        <f t="shared" si="5"/>
        <v>125</v>
      </c>
      <c r="V61" s="33">
        <v>0</v>
      </c>
      <c r="W61" s="630">
        <v>0</v>
      </c>
      <c r="X61" s="33"/>
      <c r="Y61" s="33"/>
      <c r="Z61" s="42"/>
      <c r="AA61" s="60"/>
      <c r="AB61" s="105"/>
      <c r="AC61" s="93"/>
      <c r="AD61" s="33">
        <f t="shared" si="6"/>
        <v>0</v>
      </c>
      <c r="AE61" s="33">
        <f t="shared" si="7"/>
        <v>123</v>
      </c>
      <c r="AF61" s="101">
        <f t="shared" si="8"/>
        <v>-2</v>
      </c>
      <c r="AH61" s="19"/>
    </row>
    <row r="62" spans="2:34" ht="13" outlineLevel="2" x14ac:dyDescent="0.3">
      <c r="B62" s="31" t="s">
        <v>96</v>
      </c>
      <c r="C62" s="33">
        <v>4149</v>
      </c>
      <c r="D62" s="33">
        <v>4263</v>
      </c>
      <c r="E62" s="23">
        <v>100</v>
      </c>
      <c r="F62" s="23">
        <v>-85</v>
      </c>
      <c r="G62" s="23">
        <v>15</v>
      </c>
      <c r="H62" s="23">
        <v>-50</v>
      </c>
      <c r="I62" s="23">
        <v>0</v>
      </c>
      <c r="J62" s="23">
        <v>60</v>
      </c>
      <c r="K62" s="23">
        <f t="shared" si="0"/>
        <v>40</v>
      </c>
      <c r="L62" s="33">
        <f t="shared" si="1"/>
        <v>-75</v>
      </c>
      <c r="M62" s="33">
        <f t="shared" si="2"/>
        <v>39</v>
      </c>
      <c r="N62" s="33">
        <v>4188</v>
      </c>
      <c r="O62" s="33">
        <v>4351</v>
      </c>
      <c r="P62" s="33">
        <v>-7</v>
      </c>
      <c r="Q62" s="33">
        <v>4344</v>
      </c>
      <c r="R62" s="33">
        <v>4188</v>
      </c>
      <c r="S62" s="33">
        <f t="shared" si="3"/>
        <v>156</v>
      </c>
      <c r="T62" s="38">
        <f t="shared" si="4"/>
        <v>1.0372492836676217</v>
      </c>
      <c r="U62" s="59">
        <f t="shared" si="5"/>
        <v>4305</v>
      </c>
      <c r="V62" s="33">
        <v>117</v>
      </c>
      <c r="W62" s="630">
        <v>117</v>
      </c>
      <c r="X62" s="33"/>
      <c r="Y62" s="33"/>
      <c r="Z62" s="42"/>
      <c r="AA62" s="60"/>
      <c r="AB62" s="105">
        <v>30</v>
      </c>
      <c r="AC62" s="93"/>
      <c r="AD62" s="33">
        <f t="shared" si="6"/>
        <v>30</v>
      </c>
      <c r="AE62" s="33">
        <f t="shared" si="7"/>
        <v>4374</v>
      </c>
      <c r="AF62" s="101">
        <f t="shared" si="8"/>
        <v>186</v>
      </c>
      <c r="AH62" s="19"/>
    </row>
    <row r="63" spans="2:34" ht="13" outlineLevel="2" x14ac:dyDescent="0.3">
      <c r="B63" s="31" t="s">
        <v>97</v>
      </c>
      <c r="C63" s="33">
        <v>2817</v>
      </c>
      <c r="D63" s="33">
        <v>2777</v>
      </c>
      <c r="E63" s="23">
        <v>0</v>
      </c>
      <c r="F63" s="23">
        <v>0</v>
      </c>
      <c r="G63" s="23">
        <v>-39</v>
      </c>
      <c r="H63" s="23">
        <v>0</v>
      </c>
      <c r="I63" s="23">
        <v>0</v>
      </c>
      <c r="J63" s="23">
        <v>0</v>
      </c>
      <c r="K63" s="23">
        <f t="shared" si="0"/>
        <v>-39</v>
      </c>
      <c r="L63" s="33">
        <f t="shared" si="1"/>
        <v>0</v>
      </c>
      <c r="M63" s="33">
        <f t="shared" si="2"/>
        <v>-40</v>
      </c>
      <c r="N63" s="33">
        <v>2777</v>
      </c>
      <c r="O63" s="33">
        <v>2897</v>
      </c>
      <c r="P63" s="33">
        <v>-90</v>
      </c>
      <c r="Q63" s="33">
        <v>2806</v>
      </c>
      <c r="R63" s="33">
        <v>2777</v>
      </c>
      <c r="S63" s="33">
        <f t="shared" si="3"/>
        <v>29</v>
      </c>
      <c r="T63" s="38">
        <f t="shared" si="4"/>
        <v>1.0104429240187252</v>
      </c>
      <c r="U63" s="59">
        <f t="shared" si="5"/>
        <v>2793</v>
      </c>
      <c r="V63" s="33">
        <v>16</v>
      </c>
      <c r="W63" s="630">
        <v>16</v>
      </c>
      <c r="X63" s="33"/>
      <c r="Y63" s="33"/>
      <c r="Z63" s="42"/>
      <c r="AA63" s="60"/>
      <c r="AB63" s="105"/>
      <c r="AC63" s="93"/>
      <c r="AD63" s="33">
        <f t="shared" si="6"/>
        <v>0</v>
      </c>
      <c r="AE63" s="33">
        <f t="shared" si="7"/>
        <v>2806</v>
      </c>
      <c r="AF63" s="101">
        <f t="shared" si="8"/>
        <v>29</v>
      </c>
      <c r="AH63" s="19"/>
    </row>
    <row r="64" spans="2:34" ht="13" outlineLevel="2" x14ac:dyDescent="0.3">
      <c r="B64" s="31" t="s">
        <v>98</v>
      </c>
      <c r="C64" s="33">
        <v>1607</v>
      </c>
      <c r="D64" s="33">
        <v>1549</v>
      </c>
      <c r="E64" s="23">
        <v>0</v>
      </c>
      <c r="F64" s="23">
        <v>-151</v>
      </c>
      <c r="G64" s="23">
        <v>-17</v>
      </c>
      <c r="H64" s="23">
        <v>0</v>
      </c>
      <c r="I64" s="23">
        <v>-41</v>
      </c>
      <c r="J64" s="23">
        <v>128</v>
      </c>
      <c r="K64" s="23">
        <f t="shared" si="0"/>
        <v>-81</v>
      </c>
      <c r="L64" s="33">
        <f t="shared" si="1"/>
        <v>-23</v>
      </c>
      <c r="M64" s="33">
        <f t="shared" si="2"/>
        <v>-81</v>
      </c>
      <c r="N64" s="33">
        <v>1526</v>
      </c>
      <c r="O64" s="33">
        <v>1549</v>
      </c>
      <c r="P64" s="33">
        <v>-56</v>
      </c>
      <c r="Q64" s="33">
        <v>1494</v>
      </c>
      <c r="R64" s="33">
        <v>1526</v>
      </c>
      <c r="S64" s="33">
        <f t="shared" si="3"/>
        <v>-32</v>
      </c>
      <c r="T64" s="38">
        <f t="shared" si="4"/>
        <v>0.9790301441677588</v>
      </c>
      <c r="U64" s="59">
        <f t="shared" si="5"/>
        <v>1503</v>
      </c>
      <c r="V64" s="33">
        <v>-23</v>
      </c>
      <c r="W64" s="630">
        <v>-23</v>
      </c>
      <c r="X64" s="33"/>
      <c r="Y64" s="33"/>
      <c r="Z64" s="42"/>
      <c r="AA64" s="60"/>
      <c r="AB64" s="105">
        <v>15</v>
      </c>
      <c r="AC64" s="93"/>
      <c r="AD64" s="33">
        <f t="shared" si="6"/>
        <v>15</v>
      </c>
      <c r="AE64" s="33">
        <f t="shared" si="7"/>
        <v>1509</v>
      </c>
      <c r="AF64" s="101">
        <f t="shared" si="8"/>
        <v>-17</v>
      </c>
      <c r="AH64" s="19"/>
    </row>
    <row r="65" spans="2:34" ht="13" outlineLevel="1" x14ac:dyDescent="0.3">
      <c r="B65" s="32" t="s">
        <v>100</v>
      </c>
      <c r="C65" s="34">
        <f t="shared" ref="C65:J65" si="51">SUBTOTAL(9,C60:C64)</f>
        <v>8952</v>
      </c>
      <c r="D65" s="34">
        <f t="shared" si="51"/>
        <v>9070</v>
      </c>
      <c r="E65" s="24">
        <f t="shared" si="51"/>
        <v>160</v>
      </c>
      <c r="F65" s="24">
        <f t="shared" si="51"/>
        <v>-236</v>
      </c>
      <c r="G65" s="24">
        <f t="shared" si="51"/>
        <v>-43</v>
      </c>
      <c r="H65" s="24">
        <f t="shared" si="51"/>
        <v>-58</v>
      </c>
      <c r="I65" s="24">
        <f t="shared" si="51"/>
        <v>3</v>
      </c>
      <c r="J65" s="24">
        <f t="shared" si="51"/>
        <v>128</v>
      </c>
      <c r="K65" s="24">
        <f>SUM(E65:J65)</f>
        <v>-46</v>
      </c>
      <c r="L65" s="34">
        <f t="shared" ref="L65" si="52">N65-D65</f>
        <v>-166</v>
      </c>
      <c r="M65" s="34">
        <f t="shared" ref="M65" si="53">N65-C65</f>
        <v>-48</v>
      </c>
      <c r="N65" s="34">
        <f>SUBTOTAL(9,N60:N64)</f>
        <v>8904</v>
      </c>
      <c r="O65" s="34">
        <f>SUBTOTAL(9,O60:O64)</f>
        <v>9390</v>
      </c>
      <c r="P65" s="34">
        <f>SUBTOTAL(9,P60:P64)</f>
        <v>-153</v>
      </c>
      <c r="Q65" s="34">
        <f>SUBTOTAL(9,Q60:Q64)</f>
        <v>9237</v>
      </c>
      <c r="R65" s="34">
        <f>SUBTOTAL(9,R60:R64)</f>
        <v>8904</v>
      </c>
      <c r="S65" s="34">
        <f>Q65-R65</f>
        <v>333</v>
      </c>
      <c r="T65" s="38">
        <f>IFERROR((Q65/N65)*100%,"∞")</f>
        <v>1.0373989218328841</v>
      </c>
      <c r="U65" s="59">
        <f>N65+V65</f>
        <v>9164</v>
      </c>
      <c r="V65" s="34">
        <f>SUBTOTAL(9,V60:V64)</f>
        <v>260</v>
      </c>
      <c r="W65" s="631">
        <f>SUBTOTAL(9,W60:W64)</f>
        <v>260</v>
      </c>
      <c r="X65" s="34">
        <f t="shared" ref="X65:AF65" si="54">SUBTOTAL(9,X60:X64)</f>
        <v>0</v>
      </c>
      <c r="Y65" s="34">
        <f t="shared" si="54"/>
        <v>0</v>
      </c>
      <c r="Z65" s="34">
        <f t="shared" si="54"/>
        <v>0</v>
      </c>
      <c r="AA65" s="34">
        <f t="shared" si="54"/>
        <v>0</v>
      </c>
      <c r="AB65" s="34">
        <f t="shared" si="54"/>
        <v>45</v>
      </c>
      <c r="AC65" s="34">
        <f t="shared" si="54"/>
        <v>0</v>
      </c>
      <c r="AD65" s="34">
        <f t="shared" si="54"/>
        <v>45</v>
      </c>
      <c r="AE65" s="34">
        <f t="shared" si="54"/>
        <v>9282</v>
      </c>
      <c r="AF65" s="34">
        <f t="shared" si="54"/>
        <v>378</v>
      </c>
      <c r="AH65" s="19">
        <f>AF65-W65</f>
        <v>118</v>
      </c>
    </row>
    <row r="66" spans="2:34" ht="13" outlineLevel="2" x14ac:dyDescent="0.3">
      <c r="B66" s="31" t="s">
        <v>101</v>
      </c>
      <c r="C66" s="33">
        <v>1124</v>
      </c>
      <c r="D66" s="33">
        <v>1108</v>
      </c>
      <c r="E66" s="23">
        <v>0</v>
      </c>
      <c r="F66" s="23">
        <v>0</v>
      </c>
      <c r="G66" s="23">
        <v>-21</v>
      </c>
      <c r="H66" s="23">
        <v>0</v>
      </c>
      <c r="I66" s="23">
        <v>5</v>
      </c>
      <c r="J66" s="23">
        <v>0</v>
      </c>
      <c r="K66" s="23">
        <f t="shared" si="0"/>
        <v>-16</v>
      </c>
      <c r="L66" s="33">
        <f t="shared" si="1"/>
        <v>0</v>
      </c>
      <c r="M66" s="33">
        <f t="shared" si="2"/>
        <v>-16</v>
      </c>
      <c r="N66" s="33">
        <v>1108</v>
      </c>
      <c r="O66" s="33">
        <v>1298</v>
      </c>
      <c r="P66" s="33">
        <v>-228</v>
      </c>
      <c r="Q66" s="33">
        <v>1070</v>
      </c>
      <c r="R66" s="33">
        <v>1108</v>
      </c>
      <c r="S66" s="33">
        <f t="shared" si="3"/>
        <v>-38</v>
      </c>
      <c r="T66" s="38">
        <f t="shared" si="4"/>
        <v>0.96570397111913353</v>
      </c>
      <c r="U66" s="59">
        <f t="shared" si="5"/>
        <v>1108</v>
      </c>
      <c r="V66" s="33">
        <v>0</v>
      </c>
      <c r="W66" s="630">
        <v>0</v>
      </c>
      <c r="X66" s="33"/>
      <c r="Y66" s="33"/>
      <c r="Z66" s="42"/>
      <c r="AA66" s="60"/>
      <c r="AB66" s="105"/>
      <c r="AC66" s="93"/>
      <c r="AD66" s="33">
        <f t="shared" si="6"/>
        <v>0</v>
      </c>
      <c r="AE66" s="33">
        <f t="shared" si="7"/>
        <v>1070</v>
      </c>
      <c r="AF66" s="101">
        <f t="shared" si="8"/>
        <v>-38</v>
      </c>
      <c r="AH66" s="19"/>
    </row>
    <row r="67" spans="2:34" ht="13" outlineLevel="2" x14ac:dyDescent="0.3">
      <c r="B67" s="31" t="s">
        <v>102</v>
      </c>
      <c r="C67" s="33">
        <v>230</v>
      </c>
      <c r="D67" s="33">
        <v>230</v>
      </c>
      <c r="E67" s="23">
        <v>0</v>
      </c>
      <c r="F67" s="23">
        <v>0</v>
      </c>
      <c r="G67" s="23">
        <v>0</v>
      </c>
      <c r="H67" s="23">
        <v>0</v>
      </c>
      <c r="I67" s="23">
        <v>0</v>
      </c>
      <c r="J67" s="23">
        <v>0</v>
      </c>
      <c r="K67" s="23">
        <f t="shared" si="0"/>
        <v>0</v>
      </c>
      <c r="L67" s="33">
        <f t="shared" si="1"/>
        <v>0</v>
      </c>
      <c r="M67" s="33">
        <f t="shared" si="2"/>
        <v>0</v>
      </c>
      <c r="N67" s="33">
        <v>230</v>
      </c>
      <c r="O67" s="33">
        <v>384</v>
      </c>
      <c r="P67" s="33">
        <v>-45</v>
      </c>
      <c r="Q67" s="33">
        <v>339</v>
      </c>
      <c r="R67" s="33">
        <v>230</v>
      </c>
      <c r="S67" s="33">
        <f t="shared" si="3"/>
        <v>109</v>
      </c>
      <c r="T67" s="38">
        <f t="shared" si="4"/>
        <v>1.4739130434782608</v>
      </c>
      <c r="U67" s="59">
        <f t="shared" si="5"/>
        <v>310</v>
      </c>
      <c r="V67" s="33">
        <v>80</v>
      </c>
      <c r="W67" s="630">
        <v>80</v>
      </c>
      <c r="X67" s="33"/>
      <c r="Y67" s="33"/>
      <c r="Z67" s="42"/>
      <c r="AA67" s="60"/>
      <c r="AB67" s="105"/>
      <c r="AC67" s="93"/>
      <c r="AD67" s="33">
        <f t="shared" si="6"/>
        <v>0</v>
      </c>
      <c r="AE67" s="33">
        <f t="shared" si="7"/>
        <v>339</v>
      </c>
      <c r="AF67" s="101">
        <f t="shared" si="8"/>
        <v>109</v>
      </c>
      <c r="AH67" s="19" t="s">
        <v>626</v>
      </c>
    </row>
    <row r="68" spans="2:34" ht="13" outlineLevel="2" x14ac:dyDescent="0.3">
      <c r="B68" s="31" t="s">
        <v>103</v>
      </c>
      <c r="C68" s="33">
        <v>145</v>
      </c>
      <c r="D68" s="33">
        <v>142</v>
      </c>
      <c r="E68" s="23">
        <v>0</v>
      </c>
      <c r="F68" s="23">
        <v>0</v>
      </c>
      <c r="G68" s="23">
        <v>-11</v>
      </c>
      <c r="H68" s="23">
        <v>0</v>
      </c>
      <c r="I68" s="23">
        <v>8</v>
      </c>
      <c r="J68" s="23">
        <v>-8</v>
      </c>
      <c r="K68" s="23">
        <f t="shared" si="0"/>
        <v>-11</v>
      </c>
      <c r="L68" s="33">
        <f t="shared" si="1"/>
        <v>-8</v>
      </c>
      <c r="M68" s="33">
        <f t="shared" si="2"/>
        <v>-11</v>
      </c>
      <c r="N68" s="33">
        <v>134</v>
      </c>
      <c r="O68" s="33">
        <v>439</v>
      </c>
      <c r="P68" s="33">
        <v>-212</v>
      </c>
      <c r="Q68" s="33">
        <v>226</v>
      </c>
      <c r="R68" s="33">
        <v>134</v>
      </c>
      <c r="S68" s="33">
        <f t="shared" si="3"/>
        <v>92</v>
      </c>
      <c r="T68" s="38">
        <f t="shared" si="4"/>
        <v>1.6865671641791045</v>
      </c>
      <c r="U68" s="59">
        <f t="shared" si="5"/>
        <v>262</v>
      </c>
      <c r="V68" s="33">
        <v>128</v>
      </c>
      <c r="W68" s="630">
        <v>128</v>
      </c>
      <c r="X68" s="33"/>
      <c r="Y68" s="33"/>
      <c r="Z68" s="42"/>
      <c r="AA68" s="60"/>
      <c r="AB68" s="105">
        <v>50</v>
      </c>
      <c r="AC68" s="93"/>
      <c r="AD68" s="33">
        <f t="shared" si="6"/>
        <v>50</v>
      </c>
      <c r="AE68" s="33">
        <f t="shared" si="7"/>
        <v>276</v>
      </c>
      <c r="AF68" s="101">
        <f t="shared" si="8"/>
        <v>142</v>
      </c>
      <c r="AH68" s="19" t="s">
        <v>627</v>
      </c>
    </row>
    <row r="69" spans="2:34" ht="13" outlineLevel="2" x14ac:dyDescent="0.3">
      <c r="B69" s="31" t="s">
        <v>104</v>
      </c>
      <c r="C69" s="33">
        <v>503</v>
      </c>
      <c r="D69" s="33">
        <v>495</v>
      </c>
      <c r="E69" s="23">
        <v>0</v>
      </c>
      <c r="F69" s="23">
        <v>0</v>
      </c>
      <c r="G69" s="23">
        <v>-11</v>
      </c>
      <c r="H69" s="23">
        <v>0</v>
      </c>
      <c r="I69" s="23">
        <v>3</v>
      </c>
      <c r="J69" s="23">
        <v>-15</v>
      </c>
      <c r="K69" s="23">
        <f t="shared" ref="K69:K77" si="55">SUM(E69:J69)</f>
        <v>-23</v>
      </c>
      <c r="L69" s="33">
        <f t="shared" ref="L69:L79" si="56">N69-D69</f>
        <v>-15</v>
      </c>
      <c r="M69" s="33">
        <f t="shared" ref="M69:M79" si="57">N69-C69</f>
        <v>-23</v>
      </c>
      <c r="N69" s="33">
        <v>480</v>
      </c>
      <c r="O69" s="33">
        <v>553</v>
      </c>
      <c r="P69" s="33">
        <v>3</v>
      </c>
      <c r="Q69" s="33">
        <v>555</v>
      </c>
      <c r="R69" s="33">
        <v>480</v>
      </c>
      <c r="S69" s="33">
        <f t="shared" ref="S69:S77" si="58">Q69-R69</f>
        <v>75</v>
      </c>
      <c r="T69" s="38">
        <f t="shared" ref="T69:T77" si="59">IFERROR((Q69/N69)*100%,"∞")</f>
        <v>1.15625</v>
      </c>
      <c r="U69" s="59">
        <f t="shared" ref="U69:U77" si="60">N69+V69</f>
        <v>534</v>
      </c>
      <c r="V69" s="33">
        <v>54</v>
      </c>
      <c r="W69" s="630">
        <v>54</v>
      </c>
      <c r="X69" s="33"/>
      <c r="Y69" s="33"/>
      <c r="Z69" s="42"/>
      <c r="AA69" s="60"/>
      <c r="AB69" s="105"/>
      <c r="AC69" s="93"/>
      <c r="AD69" s="33">
        <f t="shared" ref="AD69:AD77" si="61">SUM(AB69:AC69)</f>
        <v>0</v>
      </c>
      <c r="AE69" s="33">
        <f t="shared" ref="AE69:AE77" si="62">Q69+AD69</f>
        <v>555</v>
      </c>
      <c r="AF69" s="101">
        <f t="shared" ref="AF69:AF77" si="63">AE69-N69</f>
        <v>75</v>
      </c>
      <c r="AH69" s="19"/>
    </row>
    <row r="70" spans="2:34" ht="13" outlineLevel="2" x14ac:dyDescent="0.3">
      <c r="B70" s="31" t="s">
        <v>105</v>
      </c>
      <c r="C70" s="33">
        <v>901</v>
      </c>
      <c r="D70" s="33">
        <v>874</v>
      </c>
      <c r="E70" s="23">
        <v>0</v>
      </c>
      <c r="F70" s="23">
        <v>-104</v>
      </c>
      <c r="G70" s="23">
        <v>-34</v>
      </c>
      <c r="H70" s="23">
        <v>0</v>
      </c>
      <c r="I70" s="23">
        <v>7</v>
      </c>
      <c r="J70" s="23">
        <v>-15</v>
      </c>
      <c r="K70" s="23">
        <f t="shared" si="55"/>
        <v>-146</v>
      </c>
      <c r="L70" s="33">
        <f t="shared" si="56"/>
        <v>-119</v>
      </c>
      <c r="M70" s="33">
        <f t="shared" si="57"/>
        <v>-146</v>
      </c>
      <c r="N70" s="33">
        <v>755</v>
      </c>
      <c r="O70" s="33">
        <v>5314</v>
      </c>
      <c r="P70" s="33">
        <v>-4264</v>
      </c>
      <c r="Q70" s="33">
        <v>1051</v>
      </c>
      <c r="R70" s="33">
        <v>755</v>
      </c>
      <c r="S70" s="33">
        <f t="shared" si="58"/>
        <v>296</v>
      </c>
      <c r="T70" s="38">
        <f t="shared" si="59"/>
        <v>1.3920529801324504</v>
      </c>
      <c r="U70" s="59">
        <f t="shared" si="60"/>
        <v>815</v>
      </c>
      <c r="V70" s="33">
        <v>60</v>
      </c>
      <c r="W70" s="630">
        <v>60</v>
      </c>
      <c r="X70" s="33"/>
      <c r="Y70" s="33"/>
      <c r="Z70" s="42"/>
      <c r="AA70" s="60"/>
      <c r="AB70" s="105"/>
      <c r="AC70" s="93"/>
      <c r="AD70" s="33">
        <f t="shared" si="61"/>
        <v>0</v>
      </c>
      <c r="AE70" s="33">
        <f t="shared" si="62"/>
        <v>1051</v>
      </c>
      <c r="AF70" s="101">
        <f t="shared" si="63"/>
        <v>296</v>
      </c>
      <c r="AH70" s="19" t="s">
        <v>176</v>
      </c>
    </row>
    <row r="71" spans="2:34" ht="13" outlineLevel="2" x14ac:dyDescent="0.3">
      <c r="B71" s="31" t="s">
        <v>106</v>
      </c>
      <c r="C71" s="33">
        <v>117</v>
      </c>
      <c r="D71" s="33">
        <v>114</v>
      </c>
      <c r="E71" s="23">
        <v>0</v>
      </c>
      <c r="F71" s="23">
        <v>0</v>
      </c>
      <c r="G71" s="23">
        <v>-3</v>
      </c>
      <c r="H71" s="23">
        <v>0</v>
      </c>
      <c r="I71" s="23">
        <v>0</v>
      </c>
      <c r="J71" s="23">
        <v>0</v>
      </c>
      <c r="K71" s="23">
        <f t="shared" si="55"/>
        <v>-3</v>
      </c>
      <c r="L71" s="33">
        <f t="shared" si="56"/>
        <v>0</v>
      </c>
      <c r="M71" s="33">
        <f t="shared" si="57"/>
        <v>-3</v>
      </c>
      <c r="N71" s="33">
        <v>114</v>
      </c>
      <c r="O71" s="33">
        <v>180</v>
      </c>
      <c r="P71" s="33">
        <v>0</v>
      </c>
      <c r="Q71" s="33">
        <v>180</v>
      </c>
      <c r="R71" s="33">
        <v>114</v>
      </c>
      <c r="S71" s="33">
        <f t="shared" si="58"/>
        <v>66</v>
      </c>
      <c r="T71" s="38">
        <f t="shared" si="59"/>
        <v>1.5789473684210527</v>
      </c>
      <c r="U71" s="59">
        <f t="shared" si="60"/>
        <v>114</v>
      </c>
      <c r="V71" s="33">
        <v>0</v>
      </c>
      <c r="W71" s="630">
        <v>0</v>
      </c>
      <c r="X71" s="33"/>
      <c r="Y71" s="33"/>
      <c r="Z71" s="42"/>
      <c r="AA71" s="60"/>
      <c r="AB71" s="105"/>
      <c r="AC71" s="93"/>
      <c r="AD71" s="33">
        <f t="shared" si="61"/>
        <v>0</v>
      </c>
      <c r="AE71" s="33">
        <f t="shared" si="62"/>
        <v>180</v>
      </c>
      <c r="AF71" s="101">
        <f t="shared" si="63"/>
        <v>66</v>
      </c>
      <c r="AH71" s="19"/>
    </row>
    <row r="72" spans="2:34" ht="13" outlineLevel="1" x14ac:dyDescent="0.3">
      <c r="B72" s="32" t="s">
        <v>107</v>
      </c>
      <c r="C72" s="34">
        <f t="shared" ref="C72:J72" si="64">SUBTOTAL(9,C66:C71)</f>
        <v>3020</v>
      </c>
      <c r="D72" s="34">
        <f t="shared" si="64"/>
        <v>2963</v>
      </c>
      <c r="E72" s="24">
        <f t="shared" si="64"/>
        <v>0</v>
      </c>
      <c r="F72" s="24">
        <f t="shared" si="64"/>
        <v>-104</v>
      </c>
      <c r="G72" s="24">
        <f t="shared" si="64"/>
        <v>-80</v>
      </c>
      <c r="H72" s="24">
        <f t="shared" si="64"/>
        <v>0</v>
      </c>
      <c r="I72" s="24">
        <f t="shared" si="64"/>
        <v>23</v>
      </c>
      <c r="J72" s="24">
        <f t="shared" si="64"/>
        <v>-38</v>
      </c>
      <c r="K72" s="24">
        <f>SUM(E72:J72)</f>
        <v>-199</v>
      </c>
      <c r="L72" s="34">
        <f t="shared" si="56"/>
        <v>-142</v>
      </c>
      <c r="M72" s="34">
        <f t="shared" si="57"/>
        <v>-199</v>
      </c>
      <c r="N72" s="34">
        <f>SUBTOTAL(9,N66:N71)</f>
        <v>2821</v>
      </c>
      <c r="O72" s="34">
        <f>SUBTOTAL(9,O66:O71)</f>
        <v>8168</v>
      </c>
      <c r="P72" s="34">
        <f>SUBTOTAL(9,P66:P71)</f>
        <v>-4746</v>
      </c>
      <c r="Q72" s="34">
        <f>SUBTOTAL(9,Q66:Q71)</f>
        <v>3421</v>
      </c>
      <c r="R72" s="34">
        <f>SUBTOTAL(9,R66:R71)</f>
        <v>2821</v>
      </c>
      <c r="S72" s="34">
        <f>Q72-R72</f>
        <v>600</v>
      </c>
      <c r="T72" s="38">
        <f>IFERROR((Q72/N72)*100%,"∞")</f>
        <v>1.2126905352711805</v>
      </c>
      <c r="U72" s="59">
        <f>N72+V72</f>
        <v>3143</v>
      </c>
      <c r="V72" s="34">
        <f>SUBTOTAL(9,V66:V71)</f>
        <v>322</v>
      </c>
      <c r="W72" s="631">
        <f>SUBTOTAL(9,W66:W71)</f>
        <v>322</v>
      </c>
      <c r="X72" s="34">
        <f t="shared" ref="X72:AF72" si="65">SUBTOTAL(9,X66:X71)</f>
        <v>0</v>
      </c>
      <c r="Y72" s="34">
        <f t="shared" si="65"/>
        <v>0</v>
      </c>
      <c r="Z72" s="34">
        <f t="shared" si="65"/>
        <v>0</v>
      </c>
      <c r="AA72" s="34">
        <f t="shared" si="65"/>
        <v>0</v>
      </c>
      <c r="AB72" s="34">
        <f t="shared" si="65"/>
        <v>50</v>
      </c>
      <c r="AC72" s="34">
        <f t="shared" si="65"/>
        <v>0</v>
      </c>
      <c r="AD72" s="34">
        <f t="shared" si="65"/>
        <v>50</v>
      </c>
      <c r="AE72" s="34">
        <f t="shared" si="65"/>
        <v>3471</v>
      </c>
      <c r="AF72" s="34">
        <f t="shared" si="65"/>
        <v>650</v>
      </c>
      <c r="AH72" s="19">
        <f>AF72-W72</f>
        <v>328</v>
      </c>
    </row>
    <row r="73" spans="2:34" ht="13" outlineLevel="2" x14ac:dyDescent="0.3">
      <c r="B73" s="31" t="s">
        <v>111</v>
      </c>
      <c r="C73" s="33">
        <v>672</v>
      </c>
      <c r="D73" s="33">
        <v>666</v>
      </c>
      <c r="E73" s="23">
        <v>0</v>
      </c>
      <c r="F73" s="23">
        <v>0</v>
      </c>
      <c r="G73" s="23">
        <v>-6</v>
      </c>
      <c r="H73" s="23">
        <v>0</v>
      </c>
      <c r="I73" s="23">
        <v>0</v>
      </c>
      <c r="J73" s="23">
        <v>0</v>
      </c>
      <c r="K73" s="23">
        <f t="shared" si="55"/>
        <v>-6</v>
      </c>
      <c r="L73" s="33">
        <f t="shared" si="56"/>
        <v>0</v>
      </c>
      <c r="M73" s="33">
        <f t="shared" si="57"/>
        <v>-6</v>
      </c>
      <c r="N73" s="33">
        <v>666</v>
      </c>
      <c r="O73" s="33">
        <v>707</v>
      </c>
      <c r="P73" s="33">
        <v>-15</v>
      </c>
      <c r="Q73" s="33">
        <v>692</v>
      </c>
      <c r="R73" s="33">
        <v>666</v>
      </c>
      <c r="S73" s="33">
        <f t="shared" si="58"/>
        <v>26</v>
      </c>
      <c r="T73" s="38">
        <f t="shared" si="59"/>
        <v>1.0390390390390389</v>
      </c>
      <c r="U73" s="59">
        <f t="shared" si="60"/>
        <v>716</v>
      </c>
      <c r="V73" s="33">
        <v>50</v>
      </c>
      <c r="W73" s="630">
        <v>50</v>
      </c>
      <c r="X73" s="33"/>
      <c r="Y73" s="33"/>
      <c r="Z73" s="42"/>
      <c r="AA73" s="60"/>
      <c r="AB73" s="105"/>
      <c r="AC73" s="93"/>
      <c r="AD73" s="33">
        <f t="shared" si="61"/>
        <v>0</v>
      </c>
      <c r="AE73" s="33">
        <f t="shared" si="62"/>
        <v>692</v>
      </c>
      <c r="AF73" s="101">
        <f t="shared" si="63"/>
        <v>26</v>
      </c>
      <c r="AH73" s="19"/>
    </row>
    <row r="74" spans="2:34" ht="13" outlineLevel="2" x14ac:dyDescent="0.3">
      <c r="B74" s="31" t="s">
        <v>112</v>
      </c>
      <c r="C74" s="33">
        <v>399</v>
      </c>
      <c r="D74" s="33">
        <v>394</v>
      </c>
      <c r="E74" s="23">
        <v>0</v>
      </c>
      <c r="F74" s="23">
        <v>-27</v>
      </c>
      <c r="G74" s="23">
        <v>-5</v>
      </c>
      <c r="H74" s="23">
        <v>0</v>
      </c>
      <c r="I74" s="23">
        <v>0</v>
      </c>
      <c r="J74" s="23">
        <v>0</v>
      </c>
      <c r="K74" s="23">
        <f t="shared" si="55"/>
        <v>-32</v>
      </c>
      <c r="L74" s="33">
        <f t="shared" si="56"/>
        <v>-28</v>
      </c>
      <c r="M74" s="33">
        <f t="shared" si="57"/>
        <v>-33</v>
      </c>
      <c r="N74" s="33">
        <v>366</v>
      </c>
      <c r="O74" s="33">
        <v>507</v>
      </c>
      <c r="P74" s="33">
        <v>-173</v>
      </c>
      <c r="Q74" s="33">
        <v>334</v>
      </c>
      <c r="R74" s="33">
        <v>366</v>
      </c>
      <c r="S74" s="33">
        <f t="shared" si="58"/>
        <v>-32</v>
      </c>
      <c r="T74" s="38">
        <f t="shared" si="59"/>
        <v>0.91256830601092898</v>
      </c>
      <c r="U74" s="59">
        <f t="shared" si="60"/>
        <v>366</v>
      </c>
      <c r="V74" s="33">
        <v>0</v>
      </c>
      <c r="W74" s="630">
        <v>0</v>
      </c>
      <c r="X74" s="33"/>
      <c r="Y74" s="33"/>
      <c r="Z74" s="42"/>
      <c r="AA74" s="60"/>
      <c r="AB74" s="105"/>
      <c r="AC74" s="93"/>
      <c r="AD74" s="33">
        <f t="shared" si="61"/>
        <v>0</v>
      </c>
      <c r="AE74" s="33">
        <f t="shared" si="62"/>
        <v>334</v>
      </c>
      <c r="AF74" s="101">
        <f t="shared" si="63"/>
        <v>-32</v>
      </c>
      <c r="AH74" s="19"/>
    </row>
    <row r="75" spans="2:34" ht="13" outlineLevel="2" x14ac:dyDescent="0.3">
      <c r="B75" s="31" t="s">
        <v>113</v>
      </c>
      <c r="C75" s="33">
        <v>1046</v>
      </c>
      <c r="D75" s="33">
        <v>1038</v>
      </c>
      <c r="E75" s="23">
        <v>0</v>
      </c>
      <c r="F75" s="23">
        <v>0</v>
      </c>
      <c r="G75" s="23">
        <v>-20</v>
      </c>
      <c r="H75" s="23">
        <v>0</v>
      </c>
      <c r="I75" s="23">
        <v>12</v>
      </c>
      <c r="J75" s="23">
        <v>0</v>
      </c>
      <c r="K75" s="23">
        <f t="shared" si="55"/>
        <v>-8</v>
      </c>
      <c r="L75" s="33">
        <f t="shared" si="56"/>
        <v>0</v>
      </c>
      <c r="M75" s="33">
        <f t="shared" si="57"/>
        <v>-8</v>
      </c>
      <c r="N75" s="33">
        <v>1038</v>
      </c>
      <c r="O75" s="33">
        <v>1473</v>
      </c>
      <c r="P75" s="33">
        <v>-238</v>
      </c>
      <c r="Q75" s="33">
        <v>1235</v>
      </c>
      <c r="R75" s="33">
        <v>1038</v>
      </c>
      <c r="S75" s="33">
        <f t="shared" si="58"/>
        <v>197</v>
      </c>
      <c r="T75" s="38">
        <f t="shared" si="59"/>
        <v>1.1897880539499037</v>
      </c>
      <c r="U75" s="59">
        <f t="shared" si="60"/>
        <v>1238</v>
      </c>
      <c r="V75" s="33">
        <v>200</v>
      </c>
      <c r="W75" s="630">
        <v>200</v>
      </c>
      <c r="X75" s="33"/>
      <c r="Y75" s="33"/>
      <c r="Z75" s="42"/>
      <c r="AA75" s="60"/>
      <c r="AB75" s="105"/>
      <c r="AC75" s="93"/>
      <c r="AD75" s="33">
        <f t="shared" si="61"/>
        <v>0</v>
      </c>
      <c r="AE75" s="33">
        <f t="shared" si="62"/>
        <v>1235</v>
      </c>
      <c r="AF75" s="101">
        <f t="shared" si="63"/>
        <v>197</v>
      </c>
      <c r="AH75" s="19"/>
    </row>
    <row r="76" spans="2:34" ht="13" outlineLevel="2" x14ac:dyDescent="0.3">
      <c r="B76" s="31" t="s">
        <v>177</v>
      </c>
      <c r="C76" s="33">
        <v>754</v>
      </c>
      <c r="D76" s="33">
        <v>733</v>
      </c>
      <c r="E76" s="23">
        <v>0</v>
      </c>
      <c r="F76" s="23">
        <v>45</v>
      </c>
      <c r="G76" s="23">
        <v>-21</v>
      </c>
      <c r="H76" s="23">
        <v>0</v>
      </c>
      <c r="I76" s="23">
        <v>0</v>
      </c>
      <c r="J76" s="23">
        <v>0</v>
      </c>
      <c r="K76" s="23">
        <f t="shared" si="55"/>
        <v>24</v>
      </c>
      <c r="L76" s="33">
        <f t="shared" si="56"/>
        <v>45</v>
      </c>
      <c r="M76" s="33">
        <f t="shared" si="57"/>
        <v>24</v>
      </c>
      <c r="N76" s="33">
        <v>778</v>
      </c>
      <c r="O76" s="33">
        <v>866</v>
      </c>
      <c r="P76" s="33">
        <v>0</v>
      </c>
      <c r="Q76" s="33">
        <v>866</v>
      </c>
      <c r="R76" s="33">
        <v>778</v>
      </c>
      <c r="S76" s="33">
        <f t="shared" si="58"/>
        <v>88</v>
      </c>
      <c r="T76" s="38">
        <f t="shared" si="59"/>
        <v>1.1131105398457584</v>
      </c>
      <c r="U76" s="59">
        <f t="shared" si="60"/>
        <v>897</v>
      </c>
      <c r="V76" s="33">
        <v>119</v>
      </c>
      <c r="W76" s="630">
        <v>119</v>
      </c>
      <c r="X76" s="33"/>
      <c r="Y76" s="33"/>
      <c r="Z76" s="42"/>
      <c r="AA76" s="60"/>
      <c r="AB76" s="105"/>
      <c r="AC76" s="93"/>
      <c r="AD76" s="33">
        <f t="shared" si="61"/>
        <v>0</v>
      </c>
      <c r="AE76" s="33">
        <f t="shared" si="62"/>
        <v>866</v>
      </c>
      <c r="AF76" s="101">
        <f t="shared" si="63"/>
        <v>88</v>
      </c>
      <c r="AH76" s="19"/>
    </row>
    <row r="77" spans="2:34" ht="13" outlineLevel="2" x14ac:dyDescent="0.3">
      <c r="B77" s="31" t="s">
        <v>178</v>
      </c>
      <c r="C77" s="33">
        <v>516</v>
      </c>
      <c r="D77" s="33">
        <v>497</v>
      </c>
      <c r="E77" s="23">
        <v>0</v>
      </c>
      <c r="F77" s="23">
        <v>2</v>
      </c>
      <c r="G77" s="23">
        <v>-8</v>
      </c>
      <c r="H77" s="23">
        <v>0</v>
      </c>
      <c r="I77" s="23">
        <v>-12</v>
      </c>
      <c r="J77" s="23">
        <v>0</v>
      </c>
      <c r="K77" s="23">
        <f t="shared" si="55"/>
        <v>-18</v>
      </c>
      <c r="L77" s="33">
        <f t="shared" si="56"/>
        <v>2</v>
      </c>
      <c r="M77" s="33">
        <f t="shared" si="57"/>
        <v>-17</v>
      </c>
      <c r="N77" s="33">
        <v>499</v>
      </c>
      <c r="O77" s="33">
        <v>541</v>
      </c>
      <c r="P77" s="33">
        <v>-15</v>
      </c>
      <c r="Q77" s="33">
        <v>526</v>
      </c>
      <c r="R77" s="33">
        <v>499</v>
      </c>
      <c r="S77" s="33">
        <f t="shared" si="58"/>
        <v>27</v>
      </c>
      <c r="T77" s="38">
        <f t="shared" si="59"/>
        <v>1.0541082164328657</v>
      </c>
      <c r="U77" s="59">
        <f t="shared" si="60"/>
        <v>521</v>
      </c>
      <c r="V77" s="33">
        <v>22</v>
      </c>
      <c r="W77" s="630">
        <v>22</v>
      </c>
      <c r="X77" s="33"/>
      <c r="Y77" s="33"/>
      <c r="Z77" s="42"/>
      <c r="AA77" s="60"/>
      <c r="AB77" s="105"/>
      <c r="AC77" s="93"/>
      <c r="AD77" s="33">
        <f t="shared" si="61"/>
        <v>0</v>
      </c>
      <c r="AE77" s="33">
        <f t="shared" si="62"/>
        <v>526</v>
      </c>
      <c r="AF77" s="101">
        <f t="shared" si="63"/>
        <v>27</v>
      </c>
      <c r="AH77" s="19"/>
    </row>
    <row r="78" spans="2:34" ht="13" outlineLevel="1" x14ac:dyDescent="0.3">
      <c r="B78" s="32" t="s">
        <v>114</v>
      </c>
      <c r="C78" s="34">
        <f t="shared" ref="C78:J78" si="66">SUBTOTAL(9,C73:C77)</f>
        <v>3387</v>
      </c>
      <c r="D78" s="34">
        <f t="shared" si="66"/>
        <v>3328</v>
      </c>
      <c r="E78" s="24">
        <f t="shared" si="66"/>
        <v>0</v>
      </c>
      <c r="F78" s="24">
        <f t="shared" si="66"/>
        <v>20</v>
      </c>
      <c r="G78" s="24">
        <f t="shared" si="66"/>
        <v>-60</v>
      </c>
      <c r="H78" s="24">
        <f t="shared" si="66"/>
        <v>0</v>
      </c>
      <c r="I78" s="24">
        <f t="shared" si="66"/>
        <v>0</v>
      </c>
      <c r="J78" s="24">
        <f t="shared" si="66"/>
        <v>0</v>
      </c>
      <c r="K78" s="24">
        <f>SUM(E78:J78)</f>
        <v>-40</v>
      </c>
      <c r="L78" s="34">
        <f t="shared" si="56"/>
        <v>19</v>
      </c>
      <c r="M78" s="34">
        <f t="shared" si="57"/>
        <v>-40</v>
      </c>
      <c r="N78" s="34">
        <f>SUBTOTAL(9,N73:N77)</f>
        <v>3347</v>
      </c>
      <c r="O78" s="34">
        <f>SUBTOTAL(9,O73:O77)</f>
        <v>4094</v>
      </c>
      <c r="P78" s="34">
        <f>SUBTOTAL(9,P73:P77)</f>
        <v>-441</v>
      </c>
      <c r="Q78" s="34">
        <f>SUBTOTAL(9,Q73:Q77)</f>
        <v>3653</v>
      </c>
      <c r="R78" s="34">
        <f>SUBTOTAL(9,R73:R77)</f>
        <v>3347</v>
      </c>
      <c r="S78" s="34">
        <f>Q78-R78</f>
        <v>306</v>
      </c>
      <c r="T78" s="38">
        <f>IFERROR((Q78/N78)*100%,"∞")</f>
        <v>1.0914251568568867</v>
      </c>
      <c r="U78" s="59">
        <f>N78+V78</f>
        <v>3738</v>
      </c>
      <c r="V78" s="34">
        <f>SUBTOTAL(9,V73:V77)</f>
        <v>391</v>
      </c>
      <c r="W78" s="631">
        <f>SUBTOTAL(9,W73:W77)</f>
        <v>391</v>
      </c>
      <c r="X78" s="34">
        <f t="shared" ref="X78:AF78" si="67">SUBTOTAL(9,X73:X77)</f>
        <v>0</v>
      </c>
      <c r="Y78" s="34">
        <f t="shared" si="67"/>
        <v>0</v>
      </c>
      <c r="Z78" s="34">
        <f t="shared" si="67"/>
        <v>0</v>
      </c>
      <c r="AA78" s="34">
        <f t="shared" si="67"/>
        <v>0</v>
      </c>
      <c r="AB78" s="34">
        <f t="shared" si="67"/>
        <v>0</v>
      </c>
      <c r="AC78" s="34">
        <f t="shared" si="67"/>
        <v>0</v>
      </c>
      <c r="AD78" s="34">
        <f t="shared" si="67"/>
        <v>0</v>
      </c>
      <c r="AE78" s="34">
        <f t="shared" si="67"/>
        <v>3653</v>
      </c>
      <c r="AF78" s="34">
        <f t="shared" si="67"/>
        <v>306</v>
      </c>
      <c r="AH78" s="19">
        <f>AF78-W78</f>
        <v>-85</v>
      </c>
    </row>
    <row r="79" spans="2:34" ht="13.5" customHeight="1" thickBot="1" x14ac:dyDescent="0.35">
      <c r="B79" s="53" t="s">
        <v>115</v>
      </c>
      <c r="C79" s="35">
        <f t="shared" ref="C79:J79" si="68">SUBTOTAL(9,C60:C78)</f>
        <v>15359</v>
      </c>
      <c r="D79" s="35">
        <f t="shared" si="68"/>
        <v>15361</v>
      </c>
      <c r="E79" s="25">
        <f t="shared" si="68"/>
        <v>160</v>
      </c>
      <c r="F79" s="25">
        <f t="shared" si="68"/>
        <v>-320</v>
      </c>
      <c r="G79" s="25">
        <f t="shared" si="68"/>
        <v>-183</v>
      </c>
      <c r="H79" s="25">
        <f t="shared" si="68"/>
        <v>-58</v>
      </c>
      <c r="I79" s="25">
        <f t="shared" si="68"/>
        <v>26</v>
      </c>
      <c r="J79" s="25">
        <f t="shared" si="68"/>
        <v>90</v>
      </c>
      <c r="K79" s="25">
        <f>SUM(E79:J79)</f>
        <v>-285</v>
      </c>
      <c r="L79" s="35">
        <f t="shared" si="56"/>
        <v>-289</v>
      </c>
      <c r="M79" s="35">
        <f t="shared" si="57"/>
        <v>-287</v>
      </c>
      <c r="N79" s="35">
        <f>SUBTOTAL(9,N60:N78)</f>
        <v>15072</v>
      </c>
      <c r="O79" s="35">
        <f>SUBTOTAL(9,O60:O78)</f>
        <v>21652</v>
      </c>
      <c r="P79" s="35">
        <f>SUBTOTAL(9,P60:P78)</f>
        <v>-5340</v>
      </c>
      <c r="Q79" s="35">
        <f>SUBTOTAL(9,Q60:Q78)</f>
        <v>16311</v>
      </c>
      <c r="R79" s="35">
        <f>SUBTOTAL(9,R60:R78)</f>
        <v>15072</v>
      </c>
      <c r="S79" s="35">
        <f>Q79-R79</f>
        <v>1239</v>
      </c>
      <c r="T79" s="39">
        <f>IFERROR((Q79/N79)*100%,"∞")</f>
        <v>1.0822054140127388</v>
      </c>
      <c r="U79" s="54">
        <f>N79+V79</f>
        <v>16045</v>
      </c>
      <c r="V79" s="35">
        <f>SUBTOTAL(9,V60:V78)</f>
        <v>973</v>
      </c>
      <c r="W79" s="632">
        <f>SUBTOTAL(9,W60:W78)</f>
        <v>973</v>
      </c>
      <c r="X79" s="35">
        <f t="shared" ref="X79:AF79" si="69">SUBTOTAL(9,X60:X78)</f>
        <v>0</v>
      </c>
      <c r="Y79" s="35">
        <f t="shared" si="69"/>
        <v>0</v>
      </c>
      <c r="Z79" s="35">
        <f t="shared" si="69"/>
        <v>0</v>
      </c>
      <c r="AA79" s="35">
        <f t="shared" si="69"/>
        <v>0</v>
      </c>
      <c r="AB79" s="35">
        <f t="shared" si="69"/>
        <v>95</v>
      </c>
      <c r="AC79" s="35">
        <f t="shared" si="69"/>
        <v>0</v>
      </c>
      <c r="AD79" s="35">
        <f t="shared" si="69"/>
        <v>95</v>
      </c>
      <c r="AE79" s="35">
        <f t="shared" si="69"/>
        <v>16406</v>
      </c>
      <c r="AF79" s="35">
        <f t="shared" si="69"/>
        <v>1334</v>
      </c>
      <c r="AH79" s="19">
        <f>AF79-W79</f>
        <v>361</v>
      </c>
    </row>
    <row r="80" spans="2:34" ht="14" thickTop="1" thickBot="1" x14ac:dyDescent="0.35">
      <c r="B80" s="61"/>
      <c r="C80" s="62"/>
      <c r="D80" s="62"/>
      <c r="E80" s="65"/>
      <c r="F80" s="65"/>
      <c r="G80" s="65"/>
      <c r="H80" s="65"/>
      <c r="I80" s="65"/>
      <c r="J80" s="65"/>
      <c r="K80" s="65"/>
      <c r="L80" s="62"/>
      <c r="M80" s="62"/>
      <c r="N80" s="62"/>
      <c r="O80" s="62"/>
      <c r="P80" s="62"/>
      <c r="Q80" s="62"/>
      <c r="R80" s="62"/>
      <c r="S80" s="62"/>
      <c r="T80" s="62"/>
      <c r="U80" s="64"/>
      <c r="V80" s="62"/>
      <c r="W80" s="633"/>
      <c r="X80" s="62"/>
      <c r="Y80" s="62"/>
      <c r="Z80" s="63"/>
      <c r="AA80" s="60"/>
      <c r="AB80" s="61"/>
      <c r="AC80" s="62"/>
      <c r="AD80" s="62"/>
      <c r="AE80" s="62"/>
      <c r="AF80" s="63"/>
      <c r="AH80" s="19"/>
    </row>
    <row r="81" spans="2:37" ht="13.5" thickBot="1" x14ac:dyDescent="0.35">
      <c r="B81" s="50" t="s">
        <v>116</v>
      </c>
      <c r="C81" s="51">
        <f t="shared" ref="C81:J81" si="70">SUBTOTAL(9,C5:C80)</f>
        <v>35794</v>
      </c>
      <c r="D81" s="51">
        <f t="shared" si="70"/>
        <v>33148</v>
      </c>
      <c r="E81" s="51">
        <f t="shared" si="70"/>
        <v>-2439</v>
      </c>
      <c r="F81" s="51">
        <f t="shared" si="70"/>
        <v>1887</v>
      </c>
      <c r="G81" s="51">
        <f t="shared" si="70"/>
        <v>-201</v>
      </c>
      <c r="H81" s="51">
        <f t="shared" si="70"/>
        <v>-41</v>
      </c>
      <c r="I81" s="51">
        <f t="shared" si="70"/>
        <v>0</v>
      </c>
      <c r="J81" s="51">
        <f t="shared" si="70"/>
        <v>0</v>
      </c>
      <c r="K81" s="51">
        <f>SUM(E81:J81)</f>
        <v>-794</v>
      </c>
      <c r="L81" s="51">
        <f>N81-D81</f>
        <v>1830</v>
      </c>
      <c r="M81" s="51">
        <f>N81-C81</f>
        <v>-816</v>
      </c>
      <c r="N81" s="51">
        <f>SUBTOTAL(9,N5:N80)</f>
        <v>34978</v>
      </c>
      <c r="O81" s="51">
        <f>SUBTOTAL(9,O5:O80)</f>
        <v>84832</v>
      </c>
      <c r="P81" s="51">
        <f>SUBTOTAL(9,P5:P80)</f>
        <v>-45937</v>
      </c>
      <c r="Q81" s="51">
        <f>SUBTOTAL(9,Q5:Q80)</f>
        <v>38896</v>
      </c>
      <c r="R81" s="51">
        <f>SUBTOTAL(9,R5:R80)</f>
        <v>34978</v>
      </c>
      <c r="S81" s="51">
        <f>Q81-R81</f>
        <v>3918</v>
      </c>
      <c r="T81" s="52">
        <f>IFERROR((Q81/N81)*100%,"∞")</f>
        <v>1.1120132654811596</v>
      </c>
      <c r="U81" s="51">
        <f>N81+V81</f>
        <v>34943</v>
      </c>
      <c r="V81" s="51">
        <f>SUBTOTAL(9,V5:V80)</f>
        <v>-35</v>
      </c>
      <c r="W81" s="634">
        <f>SUBTOTAL(9,W5:W80)</f>
        <v>-35</v>
      </c>
      <c r="X81" s="51">
        <f>SUBTOTAL(9,X5:X80)</f>
        <v>0</v>
      </c>
      <c r="Y81" s="51">
        <f>SUBTOTAL(9,Y5:Y80)</f>
        <v>0</v>
      </c>
      <c r="Z81" s="51">
        <f>SUBTOTAL(9,Z5:Z80)</f>
        <v>0</v>
      </c>
      <c r="AA81" s="60"/>
      <c r="AB81" s="51">
        <f>SUBTOTAL(9,AB5:AB80)</f>
        <v>570</v>
      </c>
      <c r="AC81" s="51">
        <f>SUBTOTAL(9,AC5:AC80)</f>
        <v>0</v>
      </c>
      <c r="AD81" s="51">
        <f>SUM(AB81:AC81)</f>
        <v>570</v>
      </c>
      <c r="AE81" s="51">
        <f>Q81+AD81</f>
        <v>39466</v>
      </c>
      <c r="AF81" s="51">
        <f>AE81-N81</f>
        <v>4488</v>
      </c>
      <c r="AH81" s="19"/>
      <c r="AK81">
        <f>3718-4488</f>
        <v>-770</v>
      </c>
    </row>
    <row r="82" spans="2:37" ht="13.5" thickTop="1" x14ac:dyDescent="0.3">
      <c r="B82" s="71"/>
      <c r="C82" s="72"/>
      <c r="D82" s="72"/>
      <c r="E82" s="73"/>
      <c r="F82" s="73"/>
      <c r="G82" s="73"/>
      <c r="H82" s="73"/>
      <c r="I82" s="73"/>
      <c r="J82" s="73"/>
      <c r="K82" s="73"/>
      <c r="L82" s="72"/>
      <c r="M82" s="72"/>
      <c r="N82" s="72"/>
      <c r="O82" s="72"/>
      <c r="P82" s="72"/>
      <c r="Q82" s="72"/>
      <c r="R82" s="72"/>
      <c r="S82" s="72"/>
      <c r="T82" s="72"/>
      <c r="U82" s="74"/>
      <c r="V82" s="72"/>
      <c r="W82" s="635"/>
      <c r="X82" s="72"/>
      <c r="Y82" s="72"/>
      <c r="Z82" s="75"/>
      <c r="AA82" s="60"/>
      <c r="AB82" s="71"/>
      <c r="AC82" s="72"/>
      <c r="AD82" s="72"/>
      <c r="AE82" s="72"/>
      <c r="AF82" s="75"/>
    </row>
    <row r="83" spans="2:37" ht="13" outlineLevel="1" x14ac:dyDescent="0.3">
      <c r="B83" s="31" t="s">
        <v>117</v>
      </c>
      <c r="C83" s="33">
        <v>4822</v>
      </c>
      <c r="D83" s="33">
        <v>4822</v>
      </c>
      <c r="E83" s="23">
        <v>0</v>
      </c>
      <c r="F83" s="23">
        <v>0</v>
      </c>
      <c r="G83" s="23">
        <v>0</v>
      </c>
      <c r="H83" s="23">
        <v>0</v>
      </c>
      <c r="I83" s="23">
        <v>0</v>
      </c>
      <c r="J83" s="23">
        <v>0</v>
      </c>
      <c r="K83" s="23">
        <f t="shared" ref="K83:K100" si="71">SUM(E83:J83)</f>
        <v>0</v>
      </c>
      <c r="L83" s="33">
        <f t="shared" ref="L83:L100" si="72">N83-D83</f>
        <v>0</v>
      </c>
      <c r="M83" s="33">
        <f t="shared" ref="M83:M100" si="73">N83-C83</f>
        <v>0</v>
      </c>
      <c r="N83" s="33">
        <v>4822</v>
      </c>
      <c r="O83" s="33">
        <v>5927</v>
      </c>
      <c r="P83" s="33">
        <v>0</v>
      </c>
      <c r="Q83" s="33">
        <v>5927</v>
      </c>
      <c r="R83" s="33">
        <v>4822</v>
      </c>
      <c r="S83" s="33">
        <f t="shared" ref="S83:S100" si="74">Q83-R83</f>
        <v>1105</v>
      </c>
      <c r="T83" s="38">
        <f t="shared" ref="T83:T100" si="75">IFERROR((Q83/N83)*100%,"∞")</f>
        <v>1.2291580257154708</v>
      </c>
      <c r="U83" s="59">
        <f t="shared" ref="U83:U100" si="76">N83+V83</f>
        <v>4822</v>
      </c>
      <c r="V83" s="33">
        <v>0</v>
      </c>
      <c r="W83" s="630">
        <v>0</v>
      </c>
      <c r="X83" s="33"/>
      <c r="Y83" s="33"/>
      <c r="Z83" s="42"/>
      <c r="AA83" s="60"/>
      <c r="AB83" s="105"/>
      <c r="AC83" s="93"/>
      <c r="AD83" s="33">
        <f t="shared" ref="AD83:AD100" si="77">SUM(AB83:AC83)</f>
        <v>0</v>
      </c>
      <c r="AE83" s="33">
        <f t="shared" ref="AE83:AE100" si="78">Q83+AD83</f>
        <v>5927</v>
      </c>
      <c r="AF83" s="101">
        <f t="shared" ref="AF83:AF100" si="79">AE83-N83</f>
        <v>1105</v>
      </c>
    </row>
    <row r="84" spans="2:37" ht="13" outlineLevel="1" x14ac:dyDescent="0.3">
      <c r="B84" s="31" t="s">
        <v>118</v>
      </c>
      <c r="C84" s="33">
        <v>-4822</v>
      </c>
      <c r="D84" s="33">
        <v>-4822</v>
      </c>
      <c r="E84" s="23">
        <v>0</v>
      </c>
      <c r="F84" s="23">
        <v>0</v>
      </c>
      <c r="G84" s="23">
        <v>0</v>
      </c>
      <c r="H84" s="23">
        <v>0</v>
      </c>
      <c r="I84" s="23">
        <v>0</v>
      </c>
      <c r="J84" s="23">
        <v>0</v>
      </c>
      <c r="K84" s="23">
        <f t="shared" si="71"/>
        <v>0</v>
      </c>
      <c r="L84" s="33">
        <f t="shared" si="72"/>
        <v>0</v>
      </c>
      <c r="M84" s="33">
        <f t="shared" si="73"/>
        <v>0</v>
      </c>
      <c r="N84" s="33">
        <v>-4822</v>
      </c>
      <c r="O84" s="33">
        <v>0</v>
      </c>
      <c r="P84" s="33">
        <v>-5927</v>
      </c>
      <c r="Q84" s="33">
        <v>-5927</v>
      </c>
      <c r="R84" s="33">
        <v>-4822</v>
      </c>
      <c r="S84" s="33">
        <f t="shared" si="74"/>
        <v>-1105</v>
      </c>
      <c r="T84" s="38">
        <f t="shared" si="75"/>
        <v>1.2291580257154708</v>
      </c>
      <c r="U84" s="59">
        <f t="shared" si="76"/>
        <v>-4822</v>
      </c>
      <c r="V84" s="33">
        <v>0</v>
      </c>
      <c r="W84" s="630">
        <v>0</v>
      </c>
      <c r="X84" s="33"/>
      <c r="Y84" s="33"/>
      <c r="Z84" s="42"/>
      <c r="AA84" s="60"/>
      <c r="AB84" s="105"/>
      <c r="AC84" s="93"/>
      <c r="AD84" s="33">
        <f t="shared" si="77"/>
        <v>0</v>
      </c>
      <c r="AE84" s="33">
        <f t="shared" si="78"/>
        <v>-5927</v>
      </c>
      <c r="AF84" s="101">
        <f t="shared" si="79"/>
        <v>-1105</v>
      </c>
    </row>
    <row r="85" spans="2:37" ht="13" outlineLevel="1" x14ac:dyDescent="0.3">
      <c r="B85" s="31" t="s">
        <v>119</v>
      </c>
      <c r="C85" s="33">
        <v>0</v>
      </c>
      <c r="D85" s="33">
        <v>0</v>
      </c>
      <c r="E85" s="23">
        <v>0</v>
      </c>
      <c r="F85" s="23">
        <v>0</v>
      </c>
      <c r="G85" s="23">
        <v>0</v>
      </c>
      <c r="H85" s="23">
        <v>0</v>
      </c>
      <c r="I85" s="23">
        <v>0</v>
      </c>
      <c r="J85" s="23">
        <v>0</v>
      </c>
      <c r="K85" s="23">
        <f t="shared" si="71"/>
        <v>0</v>
      </c>
      <c r="L85" s="33">
        <f t="shared" si="72"/>
        <v>0</v>
      </c>
      <c r="M85" s="33">
        <f t="shared" si="73"/>
        <v>0</v>
      </c>
      <c r="N85" s="33">
        <v>0</v>
      </c>
      <c r="O85" s="33">
        <v>-3112</v>
      </c>
      <c r="P85" s="33">
        <v>0</v>
      </c>
      <c r="Q85" s="33">
        <v>-3112</v>
      </c>
      <c r="R85" s="33">
        <v>0</v>
      </c>
      <c r="S85" s="33">
        <f t="shared" si="74"/>
        <v>-3112</v>
      </c>
      <c r="T85" s="38" t="str">
        <f t="shared" si="75"/>
        <v>∞</v>
      </c>
      <c r="U85" s="59">
        <f t="shared" si="76"/>
        <v>0</v>
      </c>
      <c r="V85" s="33">
        <v>0</v>
      </c>
      <c r="W85" s="630">
        <v>0</v>
      </c>
      <c r="X85" s="33"/>
      <c r="Y85" s="33"/>
      <c r="Z85" s="42"/>
      <c r="AA85" s="60"/>
      <c r="AB85" s="105"/>
      <c r="AC85" s="93"/>
      <c r="AD85" s="33">
        <f t="shared" si="77"/>
        <v>0</v>
      </c>
      <c r="AE85" s="33">
        <f t="shared" si="78"/>
        <v>-3112</v>
      </c>
      <c r="AF85" s="101">
        <f t="shared" si="79"/>
        <v>-3112</v>
      </c>
    </row>
    <row r="86" spans="2:37" ht="13" outlineLevel="1" x14ac:dyDescent="0.3">
      <c r="B86" s="31" t="s">
        <v>120</v>
      </c>
      <c r="C86" s="33">
        <v>0</v>
      </c>
      <c r="D86" s="33">
        <v>0</v>
      </c>
      <c r="E86" s="23">
        <v>0</v>
      </c>
      <c r="F86" s="23">
        <v>0</v>
      </c>
      <c r="G86" s="23">
        <v>0</v>
      </c>
      <c r="H86" s="23">
        <v>0</v>
      </c>
      <c r="I86" s="23">
        <v>0</v>
      </c>
      <c r="J86" s="23">
        <v>0</v>
      </c>
      <c r="K86" s="23">
        <f t="shared" si="71"/>
        <v>0</v>
      </c>
      <c r="L86" s="33">
        <f t="shared" si="72"/>
        <v>0</v>
      </c>
      <c r="M86" s="33">
        <f t="shared" si="73"/>
        <v>0</v>
      </c>
      <c r="N86" s="33">
        <v>0</v>
      </c>
      <c r="O86" s="33">
        <v>0</v>
      </c>
      <c r="P86" s="33">
        <v>3112</v>
      </c>
      <c r="Q86" s="33">
        <v>3112</v>
      </c>
      <c r="R86" s="33">
        <v>0</v>
      </c>
      <c r="S86" s="33">
        <f t="shared" si="74"/>
        <v>3112</v>
      </c>
      <c r="T86" s="38" t="str">
        <f t="shared" si="75"/>
        <v>∞</v>
      </c>
      <c r="U86" s="59">
        <f t="shared" si="76"/>
        <v>0</v>
      </c>
      <c r="V86" s="33">
        <v>0</v>
      </c>
      <c r="W86" s="630">
        <v>0</v>
      </c>
      <c r="X86" s="33"/>
      <c r="Y86" s="33"/>
      <c r="Z86" s="42"/>
      <c r="AA86" s="60"/>
      <c r="AB86" s="105"/>
      <c r="AC86" s="93"/>
      <c r="AD86" s="33">
        <f t="shared" si="77"/>
        <v>0</v>
      </c>
      <c r="AE86" s="33">
        <f t="shared" si="78"/>
        <v>3112</v>
      </c>
      <c r="AF86" s="101">
        <f t="shared" si="79"/>
        <v>3112</v>
      </c>
    </row>
    <row r="87" spans="2:37" ht="13" outlineLevel="1" x14ac:dyDescent="0.3">
      <c r="B87" s="31" t="s">
        <v>121</v>
      </c>
      <c r="C87" s="33">
        <v>0</v>
      </c>
      <c r="D87" s="33">
        <v>0</v>
      </c>
      <c r="E87" s="23">
        <v>0</v>
      </c>
      <c r="F87" s="23">
        <v>0</v>
      </c>
      <c r="G87" s="23">
        <v>0</v>
      </c>
      <c r="H87" s="23">
        <v>0</v>
      </c>
      <c r="I87" s="23">
        <v>0</v>
      </c>
      <c r="J87" s="23">
        <v>0</v>
      </c>
      <c r="K87" s="23">
        <f t="shared" si="71"/>
        <v>0</v>
      </c>
      <c r="L87" s="33">
        <f t="shared" si="72"/>
        <v>0</v>
      </c>
      <c r="M87" s="33">
        <f t="shared" si="73"/>
        <v>0</v>
      </c>
      <c r="N87" s="33">
        <v>0</v>
      </c>
      <c r="O87" s="33">
        <v>8562</v>
      </c>
      <c r="P87" s="33">
        <v>0</v>
      </c>
      <c r="Q87" s="33">
        <v>8562</v>
      </c>
      <c r="R87" s="33">
        <v>0</v>
      </c>
      <c r="S87" s="33">
        <f t="shared" si="74"/>
        <v>8562</v>
      </c>
      <c r="T87" s="38" t="str">
        <f t="shared" si="75"/>
        <v>∞</v>
      </c>
      <c r="U87" s="59">
        <f t="shared" si="76"/>
        <v>0</v>
      </c>
      <c r="V87" s="33">
        <v>0</v>
      </c>
      <c r="W87" s="630">
        <v>0</v>
      </c>
      <c r="X87" s="33"/>
      <c r="Y87" s="33"/>
      <c r="Z87" s="42"/>
      <c r="AA87" s="60"/>
      <c r="AB87" s="105"/>
      <c r="AC87" s="93"/>
      <c r="AD87" s="33">
        <f t="shared" si="77"/>
        <v>0</v>
      </c>
      <c r="AE87" s="33">
        <f t="shared" si="78"/>
        <v>8562</v>
      </c>
      <c r="AF87" s="101">
        <f t="shared" si="79"/>
        <v>8562</v>
      </c>
    </row>
    <row r="88" spans="2:37" ht="13" outlineLevel="1" x14ac:dyDescent="0.3">
      <c r="B88" s="31" t="s">
        <v>122</v>
      </c>
      <c r="C88" s="33">
        <v>0</v>
      </c>
      <c r="D88" s="33">
        <v>0</v>
      </c>
      <c r="E88" s="23">
        <v>0</v>
      </c>
      <c r="F88" s="23">
        <v>0</v>
      </c>
      <c r="G88" s="23">
        <v>0</v>
      </c>
      <c r="H88" s="23">
        <v>0</v>
      </c>
      <c r="I88" s="23">
        <v>0</v>
      </c>
      <c r="J88" s="23">
        <v>0</v>
      </c>
      <c r="K88" s="23">
        <f t="shared" si="71"/>
        <v>0</v>
      </c>
      <c r="L88" s="33">
        <f t="shared" si="72"/>
        <v>0</v>
      </c>
      <c r="M88" s="33">
        <f t="shared" si="73"/>
        <v>0</v>
      </c>
      <c r="N88" s="33">
        <v>0</v>
      </c>
      <c r="O88" s="33">
        <v>-8562</v>
      </c>
      <c r="P88" s="33">
        <v>0</v>
      </c>
      <c r="Q88" s="33">
        <v>-8562</v>
      </c>
      <c r="R88" s="33">
        <v>0</v>
      </c>
      <c r="S88" s="33">
        <f t="shared" si="74"/>
        <v>-8562</v>
      </c>
      <c r="T88" s="38" t="str">
        <f t="shared" si="75"/>
        <v>∞</v>
      </c>
      <c r="U88" s="59">
        <f t="shared" si="76"/>
        <v>0</v>
      </c>
      <c r="V88" s="33">
        <v>0</v>
      </c>
      <c r="W88" s="630">
        <v>0</v>
      </c>
      <c r="X88" s="33"/>
      <c r="Y88" s="33"/>
      <c r="Z88" s="42"/>
      <c r="AA88" s="60"/>
      <c r="AB88" s="105"/>
      <c r="AC88" s="93"/>
      <c r="AD88" s="33">
        <f t="shared" si="77"/>
        <v>0</v>
      </c>
      <c r="AE88" s="33">
        <f t="shared" si="78"/>
        <v>-8562</v>
      </c>
      <c r="AF88" s="101">
        <f t="shared" si="79"/>
        <v>-8562</v>
      </c>
    </row>
    <row r="89" spans="2:37" ht="13" outlineLevel="1" x14ac:dyDescent="0.3">
      <c r="B89" s="31" t="s">
        <v>123</v>
      </c>
      <c r="C89" s="33">
        <v>0</v>
      </c>
      <c r="D89" s="33">
        <v>0</v>
      </c>
      <c r="E89" s="23">
        <v>0</v>
      </c>
      <c r="F89" s="23">
        <v>0</v>
      </c>
      <c r="G89" s="23">
        <v>0</v>
      </c>
      <c r="H89" s="23">
        <v>0</v>
      </c>
      <c r="I89" s="23">
        <v>0</v>
      </c>
      <c r="J89" s="23">
        <v>0</v>
      </c>
      <c r="K89" s="23">
        <f t="shared" si="71"/>
        <v>0</v>
      </c>
      <c r="L89" s="33">
        <f t="shared" si="72"/>
        <v>0</v>
      </c>
      <c r="M89" s="33">
        <f t="shared" si="73"/>
        <v>0</v>
      </c>
      <c r="N89" s="33">
        <v>0</v>
      </c>
      <c r="O89" s="33">
        <v>0</v>
      </c>
      <c r="P89" s="33">
        <v>-612</v>
      </c>
      <c r="Q89" s="33">
        <v>-612</v>
      </c>
      <c r="R89" s="33">
        <v>0</v>
      </c>
      <c r="S89" s="33">
        <f t="shared" si="74"/>
        <v>-612</v>
      </c>
      <c r="T89" s="38" t="str">
        <f t="shared" si="75"/>
        <v>∞</v>
      </c>
      <c r="U89" s="59">
        <f t="shared" si="76"/>
        <v>0</v>
      </c>
      <c r="V89" s="33">
        <v>0</v>
      </c>
      <c r="W89" s="630">
        <v>0</v>
      </c>
      <c r="X89" s="33"/>
      <c r="Y89" s="33"/>
      <c r="Z89" s="42"/>
      <c r="AA89" s="60"/>
      <c r="AB89" s="105"/>
      <c r="AC89" s="93"/>
      <c r="AD89" s="33">
        <f t="shared" si="77"/>
        <v>0</v>
      </c>
      <c r="AE89" s="33">
        <f t="shared" si="78"/>
        <v>-612</v>
      </c>
      <c r="AF89" s="101">
        <f t="shared" si="79"/>
        <v>-612</v>
      </c>
    </row>
    <row r="90" spans="2:37" ht="13" outlineLevel="1" x14ac:dyDescent="0.3">
      <c r="B90" s="31" t="s">
        <v>124</v>
      </c>
      <c r="C90" s="33">
        <v>0</v>
      </c>
      <c r="D90" s="33">
        <v>0</v>
      </c>
      <c r="E90" s="23">
        <v>0</v>
      </c>
      <c r="F90" s="23">
        <v>0</v>
      </c>
      <c r="G90" s="23">
        <v>0</v>
      </c>
      <c r="H90" s="23">
        <v>0</v>
      </c>
      <c r="I90" s="23">
        <v>0</v>
      </c>
      <c r="J90" s="23">
        <v>0</v>
      </c>
      <c r="K90" s="23">
        <f t="shared" si="71"/>
        <v>0</v>
      </c>
      <c r="L90" s="33">
        <f t="shared" si="72"/>
        <v>0</v>
      </c>
      <c r="M90" s="33">
        <f t="shared" si="73"/>
        <v>0</v>
      </c>
      <c r="N90" s="33">
        <v>0</v>
      </c>
      <c r="O90" s="33">
        <v>612</v>
      </c>
      <c r="P90" s="33">
        <v>0</v>
      </c>
      <c r="Q90" s="33">
        <v>612</v>
      </c>
      <c r="R90" s="33">
        <v>0</v>
      </c>
      <c r="S90" s="33">
        <f t="shared" si="74"/>
        <v>612</v>
      </c>
      <c r="T90" s="38" t="str">
        <f t="shared" si="75"/>
        <v>∞</v>
      </c>
      <c r="U90" s="59">
        <f t="shared" si="76"/>
        <v>0</v>
      </c>
      <c r="V90" s="33">
        <v>0</v>
      </c>
      <c r="W90" s="630">
        <v>0</v>
      </c>
      <c r="X90" s="33"/>
      <c r="Y90" s="33"/>
      <c r="Z90" s="42"/>
      <c r="AA90" s="60"/>
      <c r="AB90" s="105"/>
      <c r="AC90" s="93"/>
      <c r="AD90" s="33">
        <f t="shared" si="77"/>
        <v>0</v>
      </c>
      <c r="AE90" s="33">
        <f t="shared" si="78"/>
        <v>612</v>
      </c>
      <c r="AF90" s="101">
        <f t="shared" si="79"/>
        <v>612</v>
      </c>
    </row>
    <row r="91" spans="2:37" ht="13" outlineLevel="1" x14ac:dyDescent="0.3">
      <c r="B91" s="31" t="s">
        <v>125</v>
      </c>
      <c r="C91" s="33">
        <v>0</v>
      </c>
      <c r="D91" s="33">
        <v>0</v>
      </c>
      <c r="E91" s="23">
        <v>0</v>
      </c>
      <c r="F91" s="23">
        <v>0</v>
      </c>
      <c r="G91" s="23">
        <v>0</v>
      </c>
      <c r="H91" s="23">
        <v>0</v>
      </c>
      <c r="I91" s="23">
        <v>0</v>
      </c>
      <c r="J91" s="23">
        <v>0</v>
      </c>
      <c r="K91" s="23">
        <f t="shared" si="71"/>
        <v>0</v>
      </c>
      <c r="L91" s="33">
        <f t="shared" si="72"/>
        <v>0</v>
      </c>
      <c r="M91" s="33">
        <f t="shared" si="73"/>
        <v>0</v>
      </c>
      <c r="N91" s="33">
        <v>0</v>
      </c>
      <c r="O91" s="33">
        <v>-249</v>
      </c>
      <c r="P91" s="33">
        <v>0</v>
      </c>
      <c r="Q91" s="33">
        <v>-249</v>
      </c>
      <c r="R91" s="33">
        <v>0</v>
      </c>
      <c r="S91" s="33">
        <f t="shared" si="74"/>
        <v>-249</v>
      </c>
      <c r="T91" s="38" t="str">
        <f t="shared" si="75"/>
        <v>∞</v>
      </c>
      <c r="U91" s="59">
        <f t="shared" si="76"/>
        <v>0</v>
      </c>
      <c r="V91" s="33">
        <v>0</v>
      </c>
      <c r="W91" s="630">
        <v>0</v>
      </c>
      <c r="X91" s="33"/>
      <c r="Y91" s="33"/>
      <c r="Z91" s="42"/>
      <c r="AA91" s="60"/>
      <c r="AB91" s="105"/>
      <c r="AC91" s="93"/>
      <c r="AD91" s="33">
        <f t="shared" si="77"/>
        <v>0</v>
      </c>
      <c r="AE91" s="33">
        <f t="shared" si="78"/>
        <v>-249</v>
      </c>
      <c r="AF91" s="101">
        <f t="shared" si="79"/>
        <v>-249</v>
      </c>
    </row>
    <row r="92" spans="2:37" ht="13" outlineLevel="1" x14ac:dyDescent="0.3">
      <c r="B92" s="31" t="s">
        <v>126</v>
      </c>
      <c r="C92" s="33">
        <v>0</v>
      </c>
      <c r="D92" s="33">
        <v>0</v>
      </c>
      <c r="E92" s="23">
        <v>0</v>
      </c>
      <c r="F92" s="23">
        <v>0</v>
      </c>
      <c r="G92" s="23">
        <v>0</v>
      </c>
      <c r="H92" s="23">
        <v>0</v>
      </c>
      <c r="I92" s="23">
        <v>0</v>
      </c>
      <c r="J92" s="23">
        <v>0</v>
      </c>
      <c r="K92" s="23">
        <f t="shared" si="71"/>
        <v>0</v>
      </c>
      <c r="L92" s="33">
        <f t="shared" si="72"/>
        <v>0</v>
      </c>
      <c r="M92" s="33">
        <f t="shared" si="73"/>
        <v>0</v>
      </c>
      <c r="N92" s="33">
        <v>0</v>
      </c>
      <c r="O92" s="33">
        <v>249</v>
      </c>
      <c r="P92" s="33">
        <v>0</v>
      </c>
      <c r="Q92" s="33">
        <v>249</v>
      </c>
      <c r="R92" s="33">
        <v>0</v>
      </c>
      <c r="S92" s="33">
        <f t="shared" si="74"/>
        <v>249</v>
      </c>
      <c r="T92" s="38" t="str">
        <f t="shared" si="75"/>
        <v>∞</v>
      </c>
      <c r="U92" s="59">
        <f t="shared" si="76"/>
        <v>0</v>
      </c>
      <c r="V92" s="33">
        <v>0</v>
      </c>
      <c r="W92" s="630">
        <v>0</v>
      </c>
      <c r="X92" s="33"/>
      <c r="Y92" s="33"/>
      <c r="Z92" s="42"/>
      <c r="AA92" s="60"/>
      <c r="AB92" s="105"/>
      <c r="AC92" s="93"/>
      <c r="AD92" s="33">
        <f t="shared" si="77"/>
        <v>0</v>
      </c>
      <c r="AE92" s="33">
        <f t="shared" si="78"/>
        <v>249</v>
      </c>
      <c r="AF92" s="101">
        <f t="shared" si="79"/>
        <v>249</v>
      </c>
    </row>
    <row r="93" spans="2:37" ht="13" outlineLevel="1" x14ac:dyDescent="0.3">
      <c r="B93" s="31" t="s">
        <v>127</v>
      </c>
      <c r="C93" s="33">
        <v>0</v>
      </c>
      <c r="D93" s="33">
        <v>0</v>
      </c>
      <c r="E93" s="23">
        <v>0</v>
      </c>
      <c r="F93" s="23">
        <v>0</v>
      </c>
      <c r="G93" s="23">
        <v>0</v>
      </c>
      <c r="H93" s="23">
        <v>0</v>
      </c>
      <c r="I93" s="23">
        <v>0</v>
      </c>
      <c r="J93" s="23">
        <v>0</v>
      </c>
      <c r="K93" s="23">
        <f t="shared" si="71"/>
        <v>0</v>
      </c>
      <c r="L93" s="33">
        <f t="shared" si="72"/>
        <v>0</v>
      </c>
      <c r="M93" s="33">
        <f t="shared" si="73"/>
        <v>0</v>
      </c>
      <c r="N93" s="33">
        <v>0</v>
      </c>
      <c r="O93" s="33">
        <v>15194</v>
      </c>
      <c r="P93" s="33">
        <v>0</v>
      </c>
      <c r="Q93" s="33">
        <v>15194</v>
      </c>
      <c r="R93" s="33">
        <v>0</v>
      </c>
      <c r="S93" s="33">
        <f t="shared" si="74"/>
        <v>15194</v>
      </c>
      <c r="T93" s="38" t="str">
        <f t="shared" si="75"/>
        <v>∞</v>
      </c>
      <c r="U93" s="59">
        <f t="shared" si="76"/>
        <v>0</v>
      </c>
      <c r="V93" s="33">
        <v>0</v>
      </c>
      <c r="W93" s="630">
        <v>0</v>
      </c>
      <c r="X93" s="33"/>
      <c r="Y93" s="33"/>
      <c r="Z93" s="42"/>
      <c r="AA93" s="60"/>
      <c r="AB93" s="105"/>
      <c r="AC93" s="93"/>
      <c r="AD93" s="33">
        <f t="shared" si="77"/>
        <v>0</v>
      </c>
      <c r="AE93" s="33">
        <f t="shared" si="78"/>
        <v>15194</v>
      </c>
      <c r="AF93" s="101">
        <f t="shared" si="79"/>
        <v>15194</v>
      </c>
    </row>
    <row r="94" spans="2:37" ht="13" outlineLevel="1" x14ac:dyDescent="0.3">
      <c r="B94" s="31" t="s">
        <v>128</v>
      </c>
      <c r="C94" s="33">
        <v>0</v>
      </c>
      <c r="D94" s="33">
        <v>0</v>
      </c>
      <c r="E94" s="23">
        <v>0</v>
      </c>
      <c r="F94" s="23">
        <v>0</v>
      </c>
      <c r="G94" s="23">
        <v>0</v>
      </c>
      <c r="H94" s="23">
        <v>0</v>
      </c>
      <c r="I94" s="23">
        <v>0</v>
      </c>
      <c r="J94" s="23">
        <v>0</v>
      </c>
      <c r="K94" s="23">
        <f t="shared" si="71"/>
        <v>0</v>
      </c>
      <c r="L94" s="33">
        <f t="shared" si="72"/>
        <v>0</v>
      </c>
      <c r="M94" s="33">
        <f t="shared" si="73"/>
        <v>0</v>
      </c>
      <c r="N94" s="33">
        <v>0</v>
      </c>
      <c r="O94" s="33">
        <v>-14797</v>
      </c>
      <c r="P94" s="33">
        <v>0</v>
      </c>
      <c r="Q94" s="33">
        <v>-14797</v>
      </c>
      <c r="R94" s="33">
        <v>0</v>
      </c>
      <c r="S94" s="33">
        <f t="shared" si="74"/>
        <v>-14797</v>
      </c>
      <c r="T94" s="38" t="str">
        <f t="shared" si="75"/>
        <v>∞</v>
      </c>
      <c r="U94" s="59">
        <f t="shared" si="76"/>
        <v>0</v>
      </c>
      <c r="V94" s="33">
        <v>0</v>
      </c>
      <c r="W94" s="630">
        <v>0</v>
      </c>
      <c r="X94" s="33"/>
      <c r="Y94" s="33"/>
      <c r="Z94" s="42"/>
      <c r="AA94" s="60"/>
      <c r="AB94" s="105"/>
      <c r="AC94" s="93"/>
      <c r="AD94" s="33">
        <f t="shared" si="77"/>
        <v>0</v>
      </c>
      <c r="AE94" s="33">
        <f t="shared" si="78"/>
        <v>-14797</v>
      </c>
      <c r="AF94" s="101">
        <f t="shared" si="79"/>
        <v>-14797</v>
      </c>
    </row>
    <row r="95" spans="2:37" ht="13" outlineLevel="1" x14ac:dyDescent="0.3">
      <c r="B95" s="31" t="s">
        <v>129</v>
      </c>
      <c r="C95" s="33">
        <v>0</v>
      </c>
      <c r="D95" s="33">
        <v>0</v>
      </c>
      <c r="E95" s="23">
        <v>0</v>
      </c>
      <c r="F95" s="23">
        <v>0</v>
      </c>
      <c r="G95" s="23">
        <v>0</v>
      </c>
      <c r="H95" s="23">
        <v>0</v>
      </c>
      <c r="I95" s="23">
        <v>0</v>
      </c>
      <c r="J95" s="23">
        <v>0</v>
      </c>
      <c r="K95" s="23">
        <f t="shared" si="71"/>
        <v>0</v>
      </c>
      <c r="L95" s="33">
        <f t="shared" si="72"/>
        <v>0</v>
      </c>
      <c r="M95" s="33">
        <f t="shared" si="73"/>
        <v>0</v>
      </c>
      <c r="N95" s="33">
        <v>0</v>
      </c>
      <c r="O95" s="33">
        <v>-397</v>
      </c>
      <c r="P95" s="33">
        <v>0</v>
      </c>
      <c r="Q95" s="33">
        <v>-397</v>
      </c>
      <c r="R95" s="33">
        <v>0</v>
      </c>
      <c r="S95" s="33">
        <f t="shared" si="74"/>
        <v>-397</v>
      </c>
      <c r="T95" s="38" t="str">
        <f t="shared" si="75"/>
        <v>∞</v>
      </c>
      <c r="U95" s="59">
        <f t="shared" si="76"/>
        <v>0</v>
      </c>
      <c r="V95" s="33">
        <v>0</v>
      </c>
      <c r="W95" s="630">
        <v>0</v>
      </c>
      <c r="X95" s="33"/>
      <c r="Y95" s="33"/>
      <c r="Z95" s="42"/>
      <c r="AA95" s="60"/>
      <c r="AB95" s="105"/>
      <c r="AC95" s="93"/>
      <c r="AD95" s="33">
        <f t="shared" si="77"/>
        <v>0</v>
      </c>
      <c r="AE95" s="33">
        <f t="shared" si="78"/>
        <v>-397</v>
      </c>
      <c r="AF95" s="101">
        <f t="shared" si="79"/>
        <v>-397</v>
      </c>
    </row>
    <row r="96" spans="2:37" ht="13" outlineLevel="1" x14ac:dyDescent="0.3">
      <c r="B96" s="31" t="s">
        <v>130</v>
      </c>
      <c r="C96" s="33">
        <v>0</v>
      </c>
      <c r="D96" s="33">
        <v>0</v>
      </c>
      <c r="E96" s="23">
        <v>0</v>
      </c>
      <c r="F96" s="23">
        <v>0</v>
      </c>
      <c r="G96" s="23">
        <v>0</v>
      </c>
      <c r="H96" s="23">
        <v>0</v>
      </c>
      <c r="I96" s="23">
        <v>0</v>
      </c>
      <c r="J96" s="23">
        <v>0</v>
      </c>
      <c r="K96" s="23">
        <f t="shared" si="71"/>
        <v>0</v>
      </c>
      <c r="L96" s="33">
        <f t="shared" si="72"/>
        <v>0</v>
      </c>
      <c r="M96" s="33">
        <f t="shared" si="73"/>
        <v>0</v>
      </c>
      <c r="N96" s="33">
        <v>0</v>
      </c>
      <c r="O96" s="33">
        <v>7003</v>
      </c>
      <c r="P96" s="33">
        <v>0</v>
      </c>
      <c r="Q96" s="33">
        <v>7003</v>
      </c>
      <c r="R96" s="33">
        <v>0</v>
      </c>
      <c r="S96" s="33">
        <f t="shared" si="74"/>
        <v>7003</v>
      </c>
      <c r="T96" s="38" t="str">
        <f t="shared" si="75"/>
        <v>∞</v>
      </c>
      <c r="U96" s="59">
        <f t="shared" si="76"/>
        <v>0</v>
      </c>
      <c r="V96" s="33">
        <v>0</v>
      </c>
      <c r="W96" s="630">
        <v>0</v>
      </c>
      <c r="X96" s="33"/>
      <c r="Y96" s="33"/>
      <c r="Z96" s="42"/>
      <c r="AA96" s="60"/>
      <c r="AB96" s="105"/>
      <c r="AC96" s="93"/>
      <c r="AD96" s="33">
        <f t="shared" si="77"/>
        <v>0</v>
      </c>
      <c r="AE96" s="33">
        <f t="shared" si="78"/>
        <v>7003</v>
      </c>
      <c r="AF96" s="101">
        <f t="shared" si="79"/>
        <v>7003</v>
      </c>
    </row>
    <row r="97" spans="2:34" ht="13" outlineLevel="1" x14ac:dyDescent="0.3">
      <c r="B97" s="31" t="s">
        <v>131</v>
      </c>
      <c r="C97" s="33">
        <v>0</v>
      </c>
      <c r="D97" s="33">
        <v>0</v>
      </c>
      <c r="E97" s="23">
        <v>0</v>
      </c>
      <c r="F97" s="23">
        <v>0</v>
      </c>
      <c r="G97" s="23">
        <v>0</v>
      </c>
      <c r="H97" s="23">
        <v>0</v>
      </c>
      <c r="I97" s="23">
        <v>0</v>
      </c>
      <c r="J97" s="23">
        <v>0</v>
      </c>
      <c r="K97" s="23">
        <f t="shared" si="71"/>
        <v>0</v>
      </c>
      <c r="L97" s="33">
        <f t="shared" si="72"/>
        <v>0</v>
      </c>
      <c r="M97" s="33">
        <f t="shared" si="73"/>
        <v>0</v>
      </c>
      <c r="N97" s="33">
        <v>0</v>
      </c>
      <c r="O97" s="33">
        <v>0</v>
      </c>
      <c r="P97" s="33">
        <v>-7003</v>
      </c>
      <c r="Q97" s="33">
        <v>-7003</v>
      </c>
      <c r="R97" s="33">
        <v>0</v>
      </c>
      <c r="S97" s="33">
        <f t="shared" si="74"/>
        <v>-7003</v>
      </c>
      <c r="T97" s="38" t="str">
        <f t="shared" si="75"/>
        <v>∞</v>
      </c>
      <c r="U97" s="59">
        <f t="shared" si="76"/>
        <v>0</v>
      </c>
      <c r="V97" s="33">
        <v>0</v>
      </c>
      <c r="W97" s="630">
        <v>0</v>
      </c>
      <c r="X97" s="33"/>
      <c r="Y97" s="33"/>
      <c r="Z97" s="42"/>
      <c r="AA97" s="60"/>
      <c r="AB97" s="105"/>
      <c r="AC97" s="93"/>
      <c r="AD97" s="33">
        <f t="shared" si="77"/>
        <v>0</v>
      </c>
      <c r="AE97" s="33">
        <f t="shared" si="78"/>
        <v>-7003</v>
      </c>
      <c r="AF97" s="101">
        <f t="shared" si="79"/>
        <v>-7003</v>
      </c>
    </row>
    <row r="98" spans="2:34" ht="13" outlineLevel="1" x14ac:dyDescent="0.3">
      <c r="B98" s="31" t="s">
        <v>132</v>
      </c>
      <c r="C98" s="33">
        <v>14098</v>
      </c>
      <c r="D98" s="33">
        <v>14098</v>
      </c>
      <c r="E98" s="23">
        <v>0</v>
      </c>
      <c r="F98" s="23">
        <v>0</v>
      </c>
      <c r="G98" s="23">
        <v>0</v>
      </c>
      <c r="H98" s="23">
        <v>0</v>
      </c>
      <c r="I98" s="23">
        <v>0</v>
      </c>
      <c r="J98" s="23">
        <v>424</v>
      </c>
      <c r="K98" s="23">
        <f t="shared" si="71"/>
        <v>424</v>
      </c>
      <c r="L98" s="33">
        <f t="shared" si="72"/>
        <v>425</v>
      </c>
      <c r="M98" s="33">
        <f t="shared" si="73"/>
        <v>425</v>
      </c>
      <c r="N98" s="33">
        <v>14523</v>
      </c>
      <c r="O98" s="33">
        <v>21007</v>
      </c>
      <c r="P98" s="33">
        <v>0</v>
      </c>
      <c r="Q98" s="33">
        <v>21007</v>
      </c>
      <c r="R98" s="33">
        <v>14523</v>
      </c>
      <c r="S98" s="33">
        <f t="shared" si="74"/>
        <v>6484</v>
      </c>
      <c r="T98" s="38">
        <f t="shared" si="75"/>
        <v>1.4464642291537562</v>
      </c>
      <c r="U98" s="59">
        <f t="shared" si="76"/>
        <v>14523</v>
      </c>
      <c r="V98" s="33">
        <v>0</v>
      </c>
      <c r="W98" s="630">
        <v>0</v>
      </c>
      <c r="X98" s="33"/>
      <c r="Y98" s="33"/>
      <c r="Z98" s="42"/>
      <c r="AA98" s="60"/>
      <c r="AB98" s="105"/>
      <c r="AC98" s="93"/>
      <c r="AD98" s="33">
        <f t="shared" si="77"/>
        <v>0</v>
      </c>
      <c r="AE98" s="33">
        <f t="shared" si="78"/>
        <v>21007</v>
      </c>
      <c r="AF98" s="101">
        <f t="shared" si="79"/>
        <v>6484</v>
      </c>
    </row>
    <row r="99" spans="2:34" ht="13" outlineLevel="1" x14ac:dyDescent="0.3">
      <c r="B99" s="31" t="s">
        <v>133</v>
      </c>
      <c r="C99" s="33">
        <v>-20487</v>
      </c>
      <c r="D99" s="33">
        <v>-20487</v>
      </c>
      <c r="E99" s="23">
        <v>0</v>
      </c>
      <c r="F99" s="23">
        <v>0</v>
      </c>
      <c r="G99" s="23">
        <v>0</v>
      </c>
      <c r="H99" s="23">
        <v>0</v>
      </c>
      <c r="I99" s="23">
        <v>0</v>
      </c>
      <c r="J99" s="23">
        <v>-424</v>
      </c>
      <c r="K99" s="23">
        <f t="shared" si="71"/>
        <v>-424</v>
      </c>
      <c r="L99" s="33">
        <f t="shared" si="72"/>
        <v>-424</v>
      </c>
      <c r="M99" s="33">
        <f t="shared" si="73"/>
        <v>-424</v>
      </c>
      <c r="N99" s="33">
        <v>-20911</v>
      </c>
      <c r="O99" s="33">
        <v>0</v>
      </c>
      <c r="P99" s="33">
        <v>-29579</v>
      </c>
      <c r="Q99" s="33">
        <v>-29579</v>
      </c>
      <c r="R99" s="33">
        <v>-20911</v>
      </c>
      <c r="S99" s="33">
        <f t="shared" si="74"/>
        <v>-8668</v>
      </c>
      <c r="T99" s="38">
        <f t="shared" si="75"/>
        <v>1.4145186743819043</v>
      </c>
      <c r="U99" s="59">
        <f t="shared" si="76"/>
        <v>-20911</v>
      </c>
      <c r="V99" s="33">
        <v>0</v>
      </c>
      <c r="W99" s="630">
        <v>0</v>
      </c>
      <c r="X99" s="33"/>
      <c r="Y99" s="33"/>
      <c r="Z99" s="42"/>
      <c r="AA99" s="60"/>
      <c r="AB99" s="105"/>
      <c r="AC99" s="93"/>
      <c r="AD99" s="33">
        <f t="shared" si="77"/>
        <v>0</v>
      </c>
      <c r="AE99" s="33">
        <f t="shared" si="78"/>
        <v>-29579</v>
      </c>
      <c r="AF99" s="101">
        <f t="shared" si="79"/>
        <v>-8668</v>
      </c>
    </row>
    <row r="100" spans="2:34" ht="13" outlineLevel="1" x14ac:dyDescent="0.3">
      <c r="B100" s="31" t="s">
        <v>134</v>
      </c>
      <c r="C100" s="33">
        <v>-3149</v>
      </c>
      <c r="D100" s="33">
        <v>-3149</v>
      </c>
      <c r="E100" s="23">
        <v>0</v>
      </c>
      <c r="F100" s="23">
        <v>0</v>
      </c>
      <c r="G100" s="23">
        <v>0</v>
      </c>
      <c r="H100" s="23">
        <v>0</v>
      </c>
      <c r="I100" s="23">
        <v>0</v>
      </c>
      <c r="J100" s="23">
        <v>0</v>
      </c>
      <c r="K100" s="23">
        <f t="shared" si="71"/>
        <v>0</v>
      </c>
      <c r="L100" s="33">
        <f t="shared" si="72"/>
        <v>0</v>
      </c>
      <c r="M100" s="33">
        <f t="shared" si="73"/>
        <v>0</v>
      </c>
      <c r="N100" s="33">
        <v>-3149</v>
      </c>
      <c r="O100" s="33">
        <v>0</v>
      </c>
      <c r="P100" s="33">
        <v>-3149</v>
      </c>
      <c r="Q100" s="33">
        <v>-3149</v>
      </c>
      <c r="R100" s="33">
        <v>-3149</v>
      </c>
      <c r="S100" s="33">
        <f t="shared" si="74"/>
        <v>0</v>
      </c>
      <c r="T100" s="38">
        <f t="shared" si="75"/>
        <v>1</v>
      </c>
      <c r="U100" s="59">
        <f t="shared" si="76"/>
        <v>-3149</v>
      </c>
      <c r="V100" s="33">
        <v>0</v>
      </c>
      <c r="W100" s="630">
        <v>0</v>
      </c>
      <c r="X100" s="33"/>
      <c r="Y100" s="33"/>
      <c r="Z100" s="42"/>
      <c r="AA100" s="60"/>
      <c r="AB100" s="105"/>
      <c r="AC100" s="93"/>
      <c r="AD100" s="33">
        <f t="shared" si="77"/>
        <v>0</v>
      </c>
      <c r="AE100" s="33">
        <f t="shared" si="78"/>
        <v>-3149</v>
      </c>
      <c r="AF100" s="101">
        <f t="shared" si="79"/>
        <v>0</v>
      </c>
    </row>
    <row r="101" spans="2:34" ht="13.5" outlineLevel="1" thickBot="1" x14ac:dyDescent="0.35">
      <c r="B101" s="80"/>
      <c r="C101" s="81"/>
      <c r="D101" s="81"/>
      <c r="E101" s="82"/>
      <c r="F101" s="82"/>
      <c r="G101" s="82"/>
      <c r="H101" s="82"/>
      <c r="I101" s="82"/>
      <c r="J101" s="82"/>
      <c r="K101" s="82"/>
      <c r="L101" s="81"/>
      <c r="M101" s="81"/>
      <c r="N101" s="81"/>
      <c r="O101" s="81"/>
      <c r="P101" s="81"/>
      <c r="Q101" s="81"/>
      <c r="R101" s="81"/>
      <c r="S101" s="81"/>
      <c r="T101" s="81"/>
      <c r="U101" s="83"/>
      <c r="V101" s="81"/>
      <c r="W101" s="636"/>
      <c r="X101" s="81"/>
      <c r="Y101" s="81"/>
      <c r="Z101" s="84"/>
      <c r="AA101" s="60"/>
      <c r="AB101" s="98"/>
      <c r="AC101" s="36"/>
      <c r="AD101" s="36"/>
      <c r="AE101" s="36"/>
      <c r="AF101" s="99"/>
    </row>
    <row r="102" spans="2:34" ht="13.5" thickBot="1" x14ac:dyDescent="0.35">
      <c r="B102" s="68" t="s">
        <v>135</v>
      </c>
      <c r="C102" s="69">
        <f t="shared" ref="C102:J102" si="80">SUM(C83:C83,C84:C84,C85:C85,C86:C86,C87:C87,C88:C88,C89:C89,C90:C90,C91:C91,C92:C92,C93:C93,C94:C94,C95:C95,C96:C96,C97:C97,C98:C98,C99:C99,C100:C100)</f>
        <v>-9538</v>
      </c>
      <c r="D102" s="69">
        <f t="shared" si="80"/>
        <v>-9538</v>
      </c>
      <c r="E102" s="77">
        <f t="shared" si="80"/>
        <v>0</v>
      </c>
      <c r="F102" s="77">
        <f t="shared" si="80"/>
        <v>0</v>
      </c>
      <c r="G102" s="77">
        <f t="shared" si="80"/>
        <v>0</v>
      </c>
      <c r="H102" s="77">
        <f t="shared" si="80"/>
        <v>0</v>
      </c>
      <c r="I102" s="77">
        <f t="shared" si="80"/>
        <v>0</v>
      </c>
      <c r="J102" s="77">
        <f t="shared" si="80"/>
        <v>0</v>
      </c>
      <c r="K102" s="77">
        <f>SUM(E102:J102)</f>
        <v>0</v>
      </c>
      <c r="L102" s="69">
        <f>N102-D102</f>
        <v>1</v>
      </c>
      <c r="M102" s="69">
        <f>N102-C102</f>
        <v>1</v>
      </c>
      <c r="N102" s="69">
        <f>SUM(N83:N83,N84:N84,N85:N85,N86:N86,N87:N87,N88:N88,N89:N89,N90:N90,N91:N91,N92:N92,N93:N93,N94:N94,N95:N95,N96:N96,N97:N97,N98:N98,N99:N99,N100:N100)</f>
        <v>-9537</v>
      </c>
      <c r="O102" s="69">
        <f>SUM(O83:O83,O84:O84,O85:O85,O86:O86,O87:O87,O88:O88,O89:O89,O90:O90,O91:O91,O92:O92,O93:O93,O94:O94,O95:O95,O96:O96,O97:O97,O98:O98,O99:O99,O100:O100)</f>
        <v>31437</v>
      </c>
      <c r="P102" s="69">
        <f>SUM(P83:P83,P84:P84,P85:P85,P86:P86,P87:P87,P88:P88,P89:P89,P90:P90,P91:P91,P92:P92,P93:P93,P94:P94,P95:P95,P96:P96,P97:P97,P98:P98,P99:P99,P100:P100)</f>
        <v>-43158</v>
      </c>
      <c r="Q102" s="69">
        <f>SUM(Q83:Q83,Q84:Q84,Q85:Q85,Q86:Q86,Q87:Q87,Q88:Q88,Q89:Q89,Q90:Q90,Q91:Q91,Q92:Q92,Q93:Q93,Q94:Q94,Q95:Q95,Q96:Q96,Q97:Q97,Q98:Q98,Q99:Q99,Q100:Q100)</f>
        <v>-11721</v>
      </c>
      <c r="R102" s="69">
        <f>SUM(R83:R83,R84:R84,R85:R85,R86:R86,R87:R87,R88:R88,R89:R89,R90:R90,R91:R91,R92:R92,R93:R93,R94:R94,R95:R95,R96:R96,R97:R97,R98:R98,R99:R99,R100:R100)</f>
        <v>-9537</v>
      </c>
      <c r="S102" s="69">
        <f>Q102-R102</f>
        <v>-2184</v>
      </c>
      <c r="T102" s="70">
        <f>IFERROR((Q102/N102)*100%,"∞")</f>
        <v>1.2290028310789556</v>
      </c>
      <c r="U102" s="76">
        <f>N102+V102</f>
        <v>-9537</v>
      </c>
      <c r="V102" s="69">
        <f>SUM(V83:V83,V84:V84,V85:V85,V86:V86,V87:V87,V88:V88,V89:V89,V90:V90,V91:V91,V92:V92,V93:V93,V94:V94,V95:V95,V96:V96,V97:V97,V98:V98,V99:V99,V100:V100)</f>
        <v>0</v>
      </c>
      <c r="W102" s="637">
        <f>SUM(W83:W83,W84:W84,W85:W85,W86:W86,W87:W87,W88:W88,W89:W89,W90:W90,W91:W91,W92:W92,W93:W93,W94:W94,W95:W95,W96:W96,W97:W97,W98:W98,W99:W99,W100:W100)</f>
        <v>0</v>
      </c>
      <c r="X102" s="69">
        <f>SUM(X83:X83,X84:X84,X85:X85,X86:X86,X87:X87,X88:X88,X89:X89,X90:X90,X91:X91,X92:X92,X93:X93,X94:X94,X95:X95,X96:X96,X97:X97,X98:X98,X99:X99,X100:X100)</f>
        <v>0</v>
      </c>
      <c r="Y102" s="69">
        <f>SUM(Y83:Y83,Y84:Y84,Y85:Y85,Y86:Y86,Y87:Y87,Y88:Y88,Y89:Y89,Y90:Y90,Y91:Y91,Y92:Y92,Y93:Y93,Y94:Y94,Y95:Y95,Y96:Y96,Y97:Y97,Y98:Y98,Y99:Y99,Y100:Y100)</f>
        <v>0</v>
      </c>
      <c r="Z102" s="69">
        <f>SUM(Z83:Z83,Z84:Z84,Z85:Z85,Z86:Z86,Z87:Z87,Z88:Z88,Z89:Z89,Z90:Z90,Z91:Z91,Z92:Z92,Z93:Z93,Z94:Z94,Z95:Z95,Z96:Z96,Z97:Z97,Z98:Z98,Z99:Z99,Z100:Z100)</f>
        <v>0</v>
      </c>
      <c r="AA102" s="60"/>
      <c r="AB102" s="69">
        <f>SUM(AB83:AB83,AB84:AB84,AB85:AB85,AB86:AB86,AB87:AB87,AB88:AB88,AB89:AB89,AB90:AB90,AB91:AB91,AB92:AB92,AB93:AB93,AB94:AB94,AB95:AB95,AB96:AB96,AB97:AB97,AB98:AB98,AB99:AB99,AB100:AB100)</f>
        <v>0</v>
      </c>
      <c r="AC102" s="69">
        <f>SUM(AC83:AC83,AC84:AC84,AC85:AC85,AC86:AC86,AC87:AC87,AC88:AC88,AC89:AC89,AC90:AC90,AC91:AC91,AC92:AC92,AC93:AC93,AC94:AC94,AC95:AC95,AC96:AC96,AC97:AC97,AC98:AC98,AC99:AC99,AC100:AC100)</f>
        <v>0</v>
      </c>
      <c r="AD102" s="69">
        <f>SUM(AD83:AD83,AD84:AD84,AD85:AD85,AD86:AD86,AD87:AD87,AD88:AD88,AD89:AD89,AD90:AD90,AD91:AD91,AD92:AD92,AD93:AD93,AD94:AD94,AD95:AD95,AD96:AD96,AD97:AD97,AD98:AD98,AD99:AD99,AD100:AD100)</f>
        <v>0</v>
      </c>
      <c r="AE102" s="69">
        <f>SUM(AE83:AE83,AE84:AE84,AE85:AE85,AE86:AE86,AE87:AE87,AE88:AE88,AE89:AE89,AE90:AE90,AE91:AE91,AE92:AE92,AE93:AE93,AE94:AE94,AE95:AE95,AE96:AE96,AE97:AE97,AE98:AE98,AE99:AE99,AE100:AE100)</f>
        <v>-11721</v>
      </c>
      <c r="AF102" s="69">
        <f>SUM(AF83:AF83,AF84:AF84,AF85:AF85,AF86:AF86,AF87:AF87,AF88:AF88,AF89:AF89,AF90:AF90,AF91:AF91,AF92:AF92,AF93:AF93,AF94:AF94,AF95:AF95,AF96:AF96,AF97:AF97,AF98:AF98,AF99:AF99,AF100:AF100)</f>
        <v>-2184</v>
      </c>
      <c r="AH102" t="s">
        <v>180</v>
      </c>
    </row>
    <row r="103" spans="2:34" ht="13.5" thickTop="1" x14ac:dyDescent="0.3">
      <c r="B103" s="71"/>
      <c r="C103" s="72"/>
      <c r="D103" s="72"/>
      <c r="E103" s="73"/>
      <c r="F103" s="73"/>
      <c r="G103" s="73"/>
      <c r="H103" s="73"/>
      <c r="I103" s="73"/>
      <c r="J103" s="73"/>
      <c r="K103" s="73"/>
      <c r="L103" s="72"/>
      <c r="M103" s="72"/>
      <c r="N103" s="72"/>
      <c r="O103" s="72"/>
      <c r="P103" s="72"/>
      <c r="Q103" s="72"/>
      <c r="R103" s="72"/>
      <c r="S103" s="72"/>
      <c r="T103" s="72"/>
      <c r="U103" s="74"/>
      <c r="V103" s="72"/>
      <c r="W103" s="635"/>
      <c r="X103" s="72"/>
      <c r="Y103" s="72"/>
      <c r="Z103" s="75"/>
      <c r="AA103" s="60"/>
      <c r="AB103" s="71"/>
      <c r="AC103" s="72"/>
      <c r="AD103" s="72"/>
      <c r="AE103" s="72"/>
      <c r="AF103" s="75"/>
    </row>
    <row r="104" spans="2:34" ht="13" x14ac:dyDescent="0.3">
      <c r="B104" s="78" t="s">
        <v>136</v>
      </c>
      <c r="C104" s="34">
        <f t="shared" ref="C104:J104" si="81">SUM(C105:C114,C115:C115)</f>
        <v>1287</v>
      </c>
      <c r="D104" s="34">
        <f t="shared" si="81"/>
        <v>1229</v>
      </c>
      <c r="E104" s="24">
        <f t="shared" si="81"/>
        <v>0</v>
      </c>
      <c r="F104" s="24">
        <f t="shared" si="81"/>
        <v>16</v>
      </c>
      <c r="G104" s="24">
        <f t="shared" si="81"/>
        <v>-58</v>
      </c>
      <c r="H104" s="24">
        <f t="shared" si="81"/>
        <v>74</v>
      </c>
      <c r="I104" s="24">
        <f t="shared" si="81"/>
        <v>0</v>
      </c>
      <c r="J104" s="24">
        <f t="shared" si="81"/>
        <v>0</v>
      </c>
      <c r="K104" s="24">
        <f>SUM(K105:K115)</f>
        <v>32</v>
      </c>
      <c r="L104" s="34">
        <f>N104-D104</f>
        <v>74</v>
      </c>
      <c r="M104" s="34">
        <f>N104-C104</f>
        <v>16</v>
      </c>
      <c r="N104" s="34">
        <f>SUM(N105:N114,N115:N115)</f>
        <v>1303</v>
      </c>
      <c r="O104" s="34">
        <f>SUM(O105:O114,O115:O115)</f>
        <v>74866</v>
      </c>
      <c r="P104" s="34">
        <f>SUM(P105:P114,P115:P115)</f>
        <v>-75433</v>
      </c>
      <c r="Q104" s="34">
        <f>SUM(Q105:Q114,Q115:Q115)</f>
        <v>-567</v>
      </c>
      <c r="R104" s="34">
        <f>SUM(R105:R114,R115:R115)</f>
        <v>1303</v>
      </c>
      <c r="S104" s="34">
        <f>Q104-R104</f>
        <v>-1870</v>
      </c>
      <c r="T104" s="94">
        <f>IFERROR((Q104/N104)*100%,"∞")</f>
        <v>-0.43514965464313121</v>
      </c>
      <c r="U104" s="95">
        <f>N104+V104</f>
        <v>1303</v>
      </c>
      <c r="V104" s="34">
        <f>SUM(V105:V114,V115:V115)</f>
        <v>0</v>
      </c>
      <c r="W104" s="631">
        <f>SUM(W105:W114,W115:W115)</f>
        <v>0</v>
      </c>
      <c r="X104" s="34"/>
      <c r="Y104" s="34"/>
      <c r="Z104" s="41"/>
      <c r="AA104" s="60"/>
      <c r="AB104" s="100">
        <f>SUM(AB105:AB114,AB115:AB115)</f>
        <v>0</v>
      </c>
      <c r="AC104" s="33">
        <f>SUM(AC105:AC114,AC115:AC115)</f>
        <v>0</v>
      </c>
      <c r="AD104" s="33">
        <f>SUM(AD105:AD114,AD115:AD115)</f>
        <v>0</v>
      </c>
      <c r="AE104" s="33">
        <f>SUM(AE105:AE114,AE115:AE115)</f>
        <v>-567</v>
      </c>
      <c r="AF104" s="101">
        <f>SUM(AF105:AF114,AF115:AF115)</f>
        <v>-1870</v>
      </c>
      <c r="AH104" s="19"/>
    </row>
    <row r="105" spans="2:34" ht="13" outlineLevel="1" x14ac:dyDescent="0.3">
      <c r="B105" s="79" t="s">
        <v>137</v>
      </c>
      <c r="C105" s="33">
        <v>380</v>
      </c>
      <c r="D105" s="33">
        <v>380</v>
      </c>
      <c r="E105" s="23">
        <v>0</v>
      </c>
      <c r="F105" s="23">
        <v>16</v>
      </c>
      <c r="G105" s="23">
        <v>0</v>
      </c>
      <c r="H105" s="23">
        <v>16</v>
      </c>
      <c r="I105" s="23">
        <v>0</v>
      </c>
      <c r="J105" s="23">
        <v>0</v>
      </c>
      <c r="K105" s="23">
        <f>SUM(E105:J105)</f>
        <v>32</v>
      </c>
      <c r="L105" s="33">
        <f>N105-D105</f>
        <v>16</v>
      </c>
      <c r="M105" s="33">
        <f>N105-C105</f>
        <v>16</v>
      </c>
      <c r="N105" s="33">
        <v>396</v>
      </c>
      <c r="O105" s="33">
        <v>38966</v>
      </c>
      <c r="P105" s="33">
        <v>-37500</v>
      </c>
      <c r="Q105" s="33">
        <v>1466</v>
      </c>
      <c r="R105" s="33">
        <v>396</v>
      </c>
      <c r="S105" s="33">
        <f>Q105-R105</f>
        <v>1070</v>
      </c>
      <c r="T105" s="38">
        <f>IFERROR((Q105/N105)*100%,"∞")</f>
        <v>3.702020202020202</v>
      </c>
      <c r="U105" s="59">
        <f>N105+V105</f>
        <v>396</v>
      </c>
      <c r="V105" s="33">
        <v>0</v>
      </c>
      <c r="W105" s="630">
        <v>0</v>
      </c>
      <c r="X105" s="33"/>
      <c r="Y105" s="33"/>
      <c r="Z105" s="42"/>
      <c r="AA105" s="60"/>
      <c r="AB105" s="105"/>
      <c r="AC105" s="93"/>
      <c r="AD105" s="33">
        <f>SUM(AB105:AC105)</f>
        <v>0</v>
      </c>
      <c r="AE105" s="33">
        <f>Q105+AD105</f>
        <v>1466</v>
      </c>
      <c r="AF105" s="101">
        <f>AE105-N105</f>
        <v>1070</v>
      </c>
      <c r="AH105" t="s">
        <v>628</v>
      </c>
    </row>
    <row r="106" spans="2:34" ht="13" outlineLevel="1" x14ac:dyDescent="0.3">
      <c r="B106" s="79" t="s">
        <v>138</v>
      </c>
      <c r="C106" s="33">
        <v>3062</v>
      </c>
      <c r="D106" s="33">
        <v>3062</v>
      </c>
      <c r="E106" s="23">
        <v>0</v>
      </c>
      <c r="F106" s="23">
        <v>0</v>
      </c>
      <c r="G106" s="23">
        <v>0</v>
      </c>
      <c r="H106" s="23">
        <v>0</v>
      </c>
      <c r="I106" s="23">
        <v>0</v>
      </c>
      <c r="J106" s="23">
        <v>0</v>
      </c>
      <c r="K106" s="23">
        <f t="shared" ref="K106:K113" si="82">SUM(E106:J106)</f>
        <v>0</v>
      </c>
      <c r="L106" s="33">
        <f t="shared" ref="L106:L113" si="83">N106-D106</f>
        <v>0</v>
      </c>
      <c r="M106" s="33">
        <f t="shared" ref="M106:M113" si="84">N106-C106</f>
        <v>0</v>
      </c>
      <c r="N106" s="33">
        <v>3062</v>
      </c>
      <c r="O106" s="33">
        <v>4324</v>
      </c>
      <c r="P106" s="33">
        <v>0</v>
      </c>
      <c r="Q106" s="33">
        <v>4324</v>
      </c>
      <c r="R106" s="33">
        <v>3062</v>
      </c>
      <c r="S106" s="33">
        <f t="shared" ref="S106:S113" si="85">Q106-R106</f>
        <v>1262</v>
      </c>
      <c r="T106" s="38">
        <f t="shared" ref="T106:T113" si="86">IFERROR((Q106/N106)*100%,"∞")</f>
        <v>1.4121489222730241</v>
      </c>
      <c r="U106" s="59">
        <f t="shared" ref="U106:U113" si="87">N106+V106</f>
        <v>3062</v>
      </c>
      <c r="V106" s="33">
        <v>0</v>
      </c>
      <c r="W106" s="630">
        <v>0</v>
      </c>
      <c r="X106" s="33"/>
      <c r="Y106" s="33"/>
      <c r="Z106" s="42"/>
      <c r="AA106" s="60"/>
      <c r="AB106" s="105"/>
      <c r="AC106" s="93"/>
      <c r="AD106" s="33">
        <f t="shared" ref="AD106:AD113" si="88">SUM(AB106:AC106)</f>
        <v>0</v>
      </c>
      <c r="AE106" s="33">
        <f t="shared" ref="AE106:AE113" si="89">Q106+AD106</f>
        <v>4324</v>
      </c>
      <c r="AF106" s="101">
        <f t="shared" ref="AF106:AF113" si="90">AE106-N106</f>
        <v>1262</v>
      </c>
      <c r="AH106" t="s">
        <v>183</v>
      </c>
    </row>
    <row r="107" spans="2:34" ht="13" outlineLevel="1" x14ac:dyDescent="0.3">
      <c r="B107" s="79" t="s">
        <v>139</v>
      </c>
      <c r="C107" s="33">
        <v>602</v>
      </c>
      <c r="D107" s="33">
        <v>602</v>
      </c>
      <c r="E107" s="23">
        <v>0</v>
      </c>
      <c r="F107" s="23">
        <v>0</v>
      </c>
      <c r="G107" s="23">
        <v>0</v>
      </c>
      <c r="H107" s="23">
        <v>0</v>
      </c>
      <c r="I107" s="23">
        <v>0</v>
      </c>
      <c r="J107" s="23">
        <v>0</v>
      </c>
      <c r="K107" s="23">
        <f t="shared" si="82"/>
        <v>0</v>
      </c>
      <c r="L107" s="33">
        <f t="shared" si="83"/>
        <v>0</v>
      </c>
      <c r="M107" s="33">
        <f t="shared" si="84"/>
        <v>0</v>
      </c>
      <c r="N107" s="33">
        <v>602</v>
      </c>
      <c r="O107" s="33">
        <v>426</v>
      </c>
      <c r="P107" s="33">
        <v>0</v>
      </c>
      <c r="Q107" s="33">
        <v>426</v>
      </c>
      <c r="R107" s="33">
        <v>602</v>
      </c>
      <c r="S107" s="33">
        <f t="shared" si="85"/>
        <v>-176</v>
      </c>
      <c r="T107" s="38">
        <f t="shared" si="86"/>
        <v>0.70764119601328901</v>
      </c>
      <c r="U107" s="59">
        <f t="shared" si="87"/>
        <v>602</v>
      </c>
      <c r="V107" s="33">
        <v>0</v>
      </c>
      <c r="W107" s="630">
        <v>0</v>
      </c>
      <c r="X107" s="33"/>
      <c r="Y107" s="33"/>
      <c r="Z107" s="42"/>
      <c r="AA107" s="60"/>
      <c r="AB107" s="105"/>
      <c r="AC107" s="93"/>
      <c r="AD107" s="33">
        <f t="shared" si="88"/>
        <v>0</v>
      </c>
      <c r="AE107" s="33">
        <f t="shared" si="89"/>
        <v>426</v>
      </c>
      <c r="AF107" s="101">
        <f t="shared" si="90"/>
        <v>-176</v>
      </c>
    </row>
    <row r="108" spans="2:34" ht="13" outlineLevel="1" x14ac:dyDescent="0.3">
      <c r="B108" s="79" t="s">
        <v>141</v>
      </c>
      <c r="C108" s="33">
        <v>8228</v>
      </c>
      <c r="D108" s="33">
        <v>8228</v>
      </c>
      <c r="E108" s="23">
        <v>0</v>
      </c>
      <c r="F108" s="23">
        <v>0</v>
      </c>
      <c r="G108" s="23">
        <v>0</v>
      </c>
      <c r="H108" s="23">
        <v>0</v>
      </c>
      <c r="I108" s="23">
        <v>0</v>
      </c>
      <c r="J108" s="23">
        <v>0</v>
      </c>
      <c r="K108" s="23">
        <f t="shared" si="82"/>
        <v>0</v>
      </c>
      <c r="L108" s="33">
        <f t="shared" si="83"/>
        <v>0</v>
      </c>
      <c r="M108" s="33">
        <f t="shared" si="84"/>
        <v>0</v>
      </c>
      <c r="N108" s="33">
        <v>8228</v>
      </c>
      <c r="O108" s="33">
        <v>6425</v>
      </c>
      <c r="P108" s="33">
        <v>0</v>
      </c>
      <c r="Q108" s="33">
        <v>6425</v>
      </c>
      <c r="R108" s="33">
        <v>8228</v>
      </c>
      <c r="S108" s="33">
        <f t="shared" si="85"/>
        <v>-1803</v>
      </c>
      <c r="T108" s="38">
        <f t="shared" si="86"/>
        <v>0.78087019931939716</v>
      </c>
      <c r="U108" s="59">
        <f t="shared" si="87"/>
        <v>8228</v>
      </c>
      <c r="V108" s="33">
        <v>0</v>
      </c>
      <c r="W108" s="630">
        <v>0</v>
      </c>
      <c r="X108" s="33"/>
      <c r="Y108" s="33"/>
      <c r="Z108" s="42"/>
      <c r="AA108" s="60"/>
      <c r="AB108" s="105"/>
      <c r="AC108" s="93"/>
      <c r="AD108" s="33">
        <f t="shared" si="88"/>
        <v>0</v>
      </c>
      <c r="AE108" s="33">
        <f t="shared" si="89"/>
        <v>6425</v>
      </c>
      <c r="AF108" s="101">
        <f t="shared" si="90"/>
        <v>-1803</v>
      </c>
      <c r="AH108" t="s">
        <v>184</v>
      </c>
    </row>
    <row r="109" spans="2:34" ht="13" outlineLevel="1" x14ac:dyDescent="0.3">
      <c r="B109" s="79" t="s">
        <v>142</v>
      </c>
      <c r="C109" s="33">
        <v>-4059</v>
      </c>
      <c r="D109" s="33">
        <v>-4059</v>
      </c>
      <c r="E109" s="23">
        <v>0</v>
      </c>
      <c r="F109" s="23">
        <v>0</v>
      </c>
      <c r="G109" s="23">
        <v>0</v>
      </c>
      <c r="H109" s="23">
        <v>0</v>
      </c>
      <c r="I109" s="23">
        <v>0</v>
      </c>
      <c r="J109" s="23">
        <v>0</v>
      </c>
      <c r="K109" s="23">
        <f t="shared" si="82"/>
        <v>0</v>
      </c>
      <c r="L109" s="33">
        <f t="shared" si="83"/>
        <v>0</v>
      </c>
      <c r="M109" s="33">
        <f t="shared" si="84"/>
        <v>0</v>
      </c>
      <c r="N109" s="33">
        <v>-4059</v>
      </c>
      <c r="O109" s="33">
        <v>121</v>
      </c>
      <c r="P109" s="33">
        <v>-4717</v>
      </c>
      <c r="Q109" s="33">
        <v>-4596</v>
      </c>
      <c r="R109" s="33">
        <v>-4059</v>
      </c>
      <c r="S109" s="33">
        <f t="shared" si="85"/>
        <v>-537</v>
      </c>
      <c r="T109" s="38">
        <f t="shared" si="86"/>
        <v>1.1322985957132299</v>
      </c>
      <c r="U109" s="59">
        <f t="shared" si="87"/>
        <v>-4059</v>
      </c>
      <c r="V109" s="33">
        <v>0</v>
      </c>
      <c r="W109" s="630">
        <v>0</v>
      </c>
      <c r="X109" s="33"/>
      <c r="Y109" s="33"/>
      <c r="Z109" s="42"/>
      <c r="AA109" s="60"/>
      <c r="AB109" s="105"/>
      <c r="AC109" s="93"/>
      <c r="AD109" s="33">
        <f t="shared" si="88"/>
        <v>0</v>
      </c>
      <c r="AE109" s="33">
        <f t="shared" si="89"/>
        <v>-4596</v>
      </c>
      <c r="AF109" s="101">
        <f t="shared" si="90"/>
        <v>-537</v>
      </c>
      <c r="AH109" t="s">
        <v>184</v>
      </c>
    </row>
    <row r="110" spans="2:34" ht="13" outlineLevel="1" x14ac:dyDescent="0.3">
      <c r="B110" s="79" t="s">
        <v>143</v>
      </c>
      <c r="C110" s="33">
        <v>-8097</v>
      </c>
      <c r="D110" s="33">
        <v>-8097</v>
      </c>
      <c r="E110" s="23">
        <v>0</v>
      </c>
      <c r="F110" s="23">
        <v>0</v>
      </c>
      <c r="G110" s="23">
        <v>0</v>
      </c>
      <c r="H110" s="23">
        <v>0</v>
      </c>
      <c r="I110" s="23">
        <v>0</v>
      </c>
      <c r="J110" s="23">
        <v>0</v>
      </c>
      <c r="K110" s="23">
        <f t="shared" si="82"/>
        <v>0</v>
      </c>
      <c r="L110" s="33">
        <f t="shared" si="83"/>
        <v>0</v>
      </c>
      <c r="M110" s="33">
        <f t="shared" si="84"/>
        <v>0</v>
      </c>
      <c r="N110" s="33">
        <v>-8097</v>
      </c>
      <c r="O110" s="33">
        <v>0</v>
      </c>
      <c r="P110" s="33">
        <v>-7636</v>
      </c>
      <c r="Q110" s="33">
        <v>-7636</v>
      </c>
      <c r="R110" s="33">
        <v>-8097</v>
      </c>
      <c r="S110" s="33">
        <f t="shared" si="85"/>
        <v>461</v>
      </c>
      <c r="T110" s="38">
        <f t="shared" si="86"/>
        <v>0.94306533283932326</v>
      </c>
      <c r="U110" s="59">
        <f t="shared" si="87"/>
        <v>-8097</v>
      </c>
      <c r="V110" s="33">
        <v>0</v>
      </c>
      <c r="W110" s="630">
        <v>0</v>
      </c>
      <c r="X110" s="33"/>
      <c r="Y110" s="33"/>
      <c r="Z110" s="42"/>
      <c r="AA110" s="60"/>
      <c r="AB110" s="105"/>
      <c r="AC110" s="93"/>
      <c r="AD110" s="33">
        <f t="shared" si="88"/>
        <v>0</v>
      </c>
      <c r="AE110" s="33">
        <f t="shared" si="89"/>
        <v>-7636</v>
      </c>
      <c r="AF110" s="101">
        <f t="shared" si="90"/>
        <v>461</v>
      </c>
      <c r="AH110" t="s">
        <v>184</v>
      </c>
    </row>
    <row r="111" spans="2:34" ht="13" outlineLevel="1" x14ac:dyDescent="0.3">
      <c r="B111" s="79" t="s">
        <v>144</v>
      </c>
      <c r="C111" s="33">
        <v>-605</v>
      </c>
      <c r="D111" s="33">
        <v>-605</v>
      </c>
      <c r="E111" s="23">
        <v>0</v>
      </c>
      <c r="F111" s="23">
        <v>0</v>
      </c>
      <c r="G111" s="23">
        <v>0</v>
      </c>
      <c r="H111" s="23">
        <v>0</v>
      </c>
      <c r="I111" s="23">
        <v>0</v>
      </c>
      <c r="J111" s="23">
        <v>0</v>
      </c>
      <c r="K111" s="23">
        <f t="shared" si="82"/>
        <v>0</v>
      </c>
      <c r="L111" s="33">
        <f t="shared" si="83"/>
        <v>0</v>
      </c>
      <c r="M111" s="33">
        <f t="shared" si="84"/>
        <v>0</v>
      </c>
      <c r="N111" s="33">
        <v>-605</v>
      </c>
      <c r="O111" s="33">
        <v>0</v>
      </c>
      <c r="P111" s="33">
        <v>-475</v>
      </c>
      <c r="Q111" s="33">
        <v>-475</v>
      </c>
      <c r="R111" s="33">
        <v>-605</v>
      </c>
      <c r="S111" s="33">
        <f t="shared" si="85"/>
        <v>130</v>
      </c>
      <c r="T111" s="38">
        <f t="shared" si="86"/>
        <v>0.78512396694214881</v>
      </c>
      <c r="U111" s="59">
        <f t="shared" si="87"/>
        <v>-605</v>
      </c>
      <c r="V111" s="33">
        <v>0</v>
      </c>
      <c r="W111" s="630">
        <v>0</v>
      </c>
      <c r="X111" s="33"/>
      <c r="Y111" s="33"/>
      <c r="Z111" s="42"/>
      <c r="AA111" s="60"/>
      <c r="AB111" s="105"/>
      <c r="AC111" s="93"/>
      <c r="AD111" s="33">
        <f t="shared" si="88"/>
        <v>0</v>
      </c>
      <c r="AE111" s="33">
        <f t="shared" si="89"/>
        <v>-475</v>
      </c>
      <c r="AF111" s="101">
        <f t="shared" si="90"/>
        <v>130</v>
      </c>
      <c r="AH111" t="s">
        <v>184</v>
      </c>
    </row>
    <row r="112" spans="2:34" ht="13" outlineLevel="1" x14ac:dyDescent="0.3">
      <c r="B112" s="79" t="s">
        <v>145</v>
      </c>
      <c r="C112" s="33">
        <v>2149</v>
      </c>
      <c r="D112" s="33">
        <v>2091</v>
      </c>
      <c r="E112" s="23">
        <v>0</v>
      </c>
      <c r="F112" s="23">
        <v>0</v>
      </c>
      <c r="G112" s="23">
        <v>-58</v>
      </c>
      <c r="H112" s="23">
        <v>58</v>
      </c>
      <c r="I112" s="23">
        <v>0</v>
      </c>
      <c r="J112" s="23">
        <v>0</v>
      </c>
      <c r="K112" s="23">
        <f t="shared" si="82"/>
        <v>0</v>
      </c>
      <c r="L112" s="33">
        <f t="shared" si="83"/>
        <v>58</v>
      </c>
      <c r="M112" s="33">
        <f t="shared" si="84"/>
        <v>0</v>
      </c>
      <c r="N112" s="33">
        <v>2149</v>
      </c>
      <c r="O112" s="33">
        <v>0</v>
      </c>
      <c r="P112" s="33">
        <v>0</v>
      </c>
      <c r="Q112" s="33">
        <v>0</v>
      </c>
      <c r="R112" s="33">
        <v>2149</v>
      </c>
      <c r="S112" s="33">
        <f t="shared" si="85"/>
        <v>-2149</v>
      </c>
      <c r="T112" s="38">
        <f t="shared" si="86"/>
        <v>0</v>
      </c>
      <c r="U112" s="59">
        <f t="shared" si="87"/>
        <v>2149</v>
      </c>
      <c r="V112" s="33">
        <v>0</v>
      </c>
      <c r="W112" s="630">
        <v>0</v>
      </c>
      <c r="X112" s="33"/>
      <c r="Y112" s="33"/>
      <c r="Z112" s="42"/>
      <c r="AA112" s="60"/>
      <c r="AB112" s="105"/>
      <c r="AC112" s="93"/>
      <c r="AD112" s="33">
        <f>SUM(AC112:AC112)</f>
        <v>0</v>
      </c>
      <c r="AE112" s="33">
        <f t="shared" si="89"/>
        <v>0</v>
      </c>
      <c r="AF112" s="101">
        <f t="shared" si="90"/>
        <v>-2149</v>
      </c>
      <c r="AH112" t="s">
        <v>629</v>
      </c>
    </row>
    <row r="113" spans="2:34" ht="13" outlineLevel="1" x14ac:dyDescent="0.3">
      <c r="B113" s="79" t="s">
        <v>146</v>
      </c>
      <c r="C113" s="33">
        <v>165</v>
      </c>
      <c r="D113" s="33">
        <v>165</v>
      </c>
      <c r="E113" s="23">
        <v>0</v>
      </c>
      <c r="F113" s="23">
        <v>0</v>
      </c>
      <c r="G113" s="23">
        <v>0</v>
      </c>
      <c r="H113" s="23">
        <v>0</v>
      </c>
      <c r="I113" s="23">
        <v>0</v>
      </c>
      <c r="J113" s="23">
        <v>0</v>
      </c>
      <c r="K113" s="23">
        <f t="shared" si="82"/>
        <v>0</v>
      </c>
      <c r="L113" s="33">
        <f t="shared" si="83"/>
        <v>0</v>
      </c>
      <c r="M113" s="33">
        <f t="shared" si="84"/>
        <v>0</v>
      </c>
      <c r="N113" s="33">
        <v>165</v>
      </c>
      <c r="O113" s="33">
        <v>37</v>
      </c>
      <c r="P113" s="33">
        <v>0</v>
      </c>
      <c r="Q113" s="33">
        <v>37</v>
      </c>
      <c r="R113" s="33">
        <v>165</v>
      </c>
      <c r="S113" s="33">
        <f t="shared" si="85"/>
        <v>-128</v>
      </c>
      <c r="T113" s="38">
        <f t="shared" si="86"/>
        <v>0.22424242424242424</v>
      </c>
      <c r="U113" s="59">
        <f t="shared" si="87"/>
        <v>165</v>
      </c>
      <c r="V113" s="33">
        <v>0</v>
      </c>
      <c r="W113" s="630">
        <v>0</v>
      </c>
      <c r="X113" s="33"/>
      <c r="Y113" s="33"/>
      <c r="Z113" s="42"/>
      <c r="AA113" s="60"/>
      <c r="AB113" s="105"/>
      <c r="AC113" s="93"/>
      <c r="AD113" s="33">
        <f t="shared" si="88"/>
        <v>0</v>
      </c>
      <c r="AE113" s="33">
        <f t="shared" si="89"/>
        <v>37</v>
      </c>
      <c r="AF113" s="101">
        <f t="shared" si="90"/>
        <v>-128</v>
      </c>
    </row>
    <row r="114" spans="2:34" ht="13" outlineLevel="1" x14ac:dyDescent="0.3">
      <c r="B114" s="79" t="s">
        <v>147</v>
      </c>
      <c r="C114" s="33">
        <v>0</v>
      </c>
      <c r="D114" s="33">
        <v>0</v>
      </c>
      <c r="E114" s="23">
        <v>0</v>
      </c>
      <c r="F114" s="23">
        <v>0</v>
      </c>
      <c r="G114" s="23">
        <v>0</v>
      </c>
      <c r="H114" s="23">
        <v>0</v>
      </c>
      <c r="I114" s="23">
        <v>0</v>
      </c>
      <c r="J114" s="23">
        <v>0</v>
      </c>
      <c r="K114" s="23">
        <f>SUM(E114:J114)</f>
        <v>0</v>
      </c>
      <c r="L114" s="33">
        <f>N114-D114</f>
        <v>0</v>
      </c>
      <c r="M114" s="33">
        <f>N114-C114</f>
        <v>0</v>
      </c>
      <c r="N114" s="33">
        <v>0</v>
      </c>
      <c r="O114" s="33">
        <v>24567</v>
      </c>
      <c r="P114" s="33">
        <v>-24567</v>
      </c>
      <c r="Q114" s="33">
        <v>0</v>
      </c>
      <c r="R114" s="33">
        <v>0</v>
      </c>
      <c r="S114" s="33">
        <f>Q114-R114</f>
        <v>0</v>
      </c>
      <c r="T114" s="38" t="str">
        <f>IFERROR((Q114/N114)*100%,"∞")</f>
        <v>∞</v>
      </c>
      <c r="U114" s="59">
        <f>N114+V114</f>
        <v>0</v>
      </c>
      <c r="V114" s="33">
        <v>0</v>
      </c>
      <c r="W114" s="630">
        <v>0</v>
      </c>
      <c r="X114" s="33"/>
      <c r="Y114" s="33"/>
      <c r="Z114" s="42"/>
      <c r="AA114" s="60"/>
      <c r="AB114" s="105"/>
      <c r="AC114" s="93"/>
      <c r="AD114" s="33">
        <f>SUM(AB114:AC114)</f>
        <v>0</v>
      </c>
      <c r="AE114" s="33">
        <f>Q114+AD114</f>
        <v>0</v>
      </c>
      <c r="AF114" s="101">
        <f>AE114-N114</f>
        <v>0</v>
      </c>
    </row>
    <row r="115" spans="2:34" ht="13" outlineLevel="1" x14ac:dyDescent="0.3">
      <c r="B115" s="79" t="s">
        <v>148</v>
      </c>
      <c r="C115" s="33">
        <v>-538</v>
      </c>
      <c r="D115" s="33">
        <v>-538</v>
      </c>
      <c r="E115" s="23">
        <v>0</v>
      </c>
      <c r="F115" s="23">
        <v>0</v>
      </c>
      <c r="G115" s="23">
        <v>0</v>
      </c>
      <c r="H115" s="23">
        <v>0</v>
      </c>
      <c r="I115" s="23">
        <v>0</v>
      </c>
      <c r="J115" s="23">
        <v>0</v>
      </c>
      <c r="K115" s="23">
        <f>SUM(E115:J115)</f>
        <v>0</v>
      </c>
      <c r="L115" s="33">
        <f>N115-D115</f>
        <v>0</v>
      </c>
      <c r="M115" s="33">
        <f>N115-C115</f>
        <v>0</v>
      </c>
      <c r="N115" s="33">
        <v>-538</v>
      </c>
      <c r="O115" s="33">
        <v>0</v>
      </c>
      <c r="P115" s="33">
        <v>-538</v>
      </c>
      <c r="Q115" s="33">
        <v>-538</v>
      </c>
      <c r="R115" s="33">
        <v>-538</v>
      </c>
      <c r="S115" s="33">
        <f>Q115-R115</f>
        <v>0</v>
      </c>
      <c r="T115" s="38">
        <f>IFERROR((Q115/N115)*100%,"∞")</f>
        <v>1</v>
      </c>
      <c r="U115" s="59">
        <f>N115+V115</f>
        <v>-538</v>
      </c>
      <c r="V115" s="33">
        <v>0</v>
      </c>
      <c r="W115" s="630">
        <v>0</v>
      </c>
      <c r="X115" s="33"/>
      <c r="Y115" s="33"/>
      <c r="Z115" s="42"/>
      <c r="AA115" s="60"/>
      <c r="AB115" s="105"/>
      <c r="AC115" s="93"/>
      <c r="AD115" s="33">
        <f>SUM(AB115:AC115)</f>
        <v>0</v>
      </c>
      <c r="AE115" s="33">
        <f>Q115+AD115</f>
        <v>-538</v>
      </c>
      <c r="AF115" s="101">
        <f>AE115-N115</f>
        <v>0</v>
      </c>
    </row>
    <row r="116" spans="2:34" ht="13" x14ac:dyDescent="0.3">
      <c r="B116" s="85"/>
      <c r="C116" s="86"/>
      <c r="D116" s="86"/>
      <c r="E116" s="87"/>
      <c r="F116" s="87"/>
      <c r="G116" s="87"/>
      <c r="H116" s="87"/>
      <c r="I116" s="87"/>
      <c r="J116" s="87"/>
      <c r="K116" s="87"/>
      <c r="L116" s="86"/>
      <c r="M116" s="86"/>
      <c r="N116" s="86"/>
      <c r="O116" s="86"/>
      <c r="P116" s="86"/>
      <c r="Q116" s="86"/>
      <c r="R116" s="86"/>
      <c r="S116" s="86"/>
      <c r="T116" s="86"/>
      <c r="U116" s="88"/>
      <c r="V116" s="86"/>
      <c r="W116" s="638"/>
      <c r="X116" s="86"/>
      <c r="Y116" s="86"/>
      <c r="Z116" s="89"/>
      <c r="AA116" s="60"/>
      <c r="AB116" s="98"/>
      <c r="AC116" s="36"/>
      <c r="AD116" s="36"/>
      <c r="AE116" s="36"/>
      <c r="AF116" s="99"/>
    </row>
    <row r="117" spans="2:34" ht="13" x14ac:dyDescent="0.3">
      <c r="B117" s="78" t="s">
        <v>149</v>
      </c>
      <c r="C117" s="34">
        <f t="shared" ref="C117:J117" si="91">SUM(C118:C126)</f>
        <v>633</v>
      </c>
      <c r="D117" s="34">
        <f t="shared" si="91"/>
        <v>895</v>
      </c>
      <c r="E117" s="24">
        <f t="shared" si="91"/>
        <v>0</v>
      </c>
      <c r="F117" s="24">
        <f t="shared" si="91"/>
        <v>0</v>
      </c>
      <c r="G117" s="24">
        <f t="shared" si="91"/>
        <v>262</v>
      </c>
      <c r="H117" s="24">
        <f t="shared" si="91"/>
        <v>0</v>
      </c>
      <c r="I117" s="24">
        <f t="shared" si="91"/>
        <v>0</v>
      </c>
      <c r="J117" s="24">
        <f t="shared" si="91"/>
        <v>0</v>
      </c>
      <c r="K117" s="24">
        <f>SUM(E117:J117)</f>
        <v>262</v>
      </c>
      <c r="L117" s="34">
        <f>N117-D117</f>
        <v>0</v>
      </c>
      <c r="M117" s="34">
        <f>N117-C117</f>
        <v>262</v>
      </c>
      <c r="N117" s="34">
        <f>SUM(N118:N126)</f>
        <v>895</v>
      </c>
      <c r="O117" s="34">
        <f>SUM(O118:O126)</f>
        <v>78</v>
      </c>
      <c r="P117" s="34">
        <f>SUM(P118:P126)</f>
        <v>-1060</v>
      </c>
      <c r="Q117" s="34">
        <f>SUM(Q118:Q126)</f>
        <v>-982</v>
      </c>
      <c r="R117" s="34">
        <f>SUM(R118:R126)</f>
        <v>895</v>
      </c>
      <c r="S117" s="34">
        <f>Q117-R117</f>
        <v>-1877</v>
      </c>
      <c r="T117" s="94">
        <f>IFERROR((Q117/N117)*100%,"∞")</f>
        <v>-1.0972067039106146</v>
      </c>
      <c r="U117" s="95">
        <f>N117+V117</f>
        <v>895</v>
      </c>
      <c r="V117" s="34">
        <f>SUM(V118:V126)</f>
        <v>0</v>
      </c>
      <c r="W117" s="631">
        <f>SUM(W118:W126)</f>
        <v>0</v>
      </c>
      <c r="X117" s="34"/>
      <c r="Y117" s="34"/>
      <c r="Z117" s="41"/>
      <c r="AA117" s="60"/>
      <c r="AB117" s="100">
        <f>SUM(AB118:AB126)</f>
        <v>0</v>
      </c>
      <c r="AC117" s="33">
        <f>SUM(AC118:AC126)</f>
        <v>0</v>
      </c>
      <c r="AD117" s="33">
        <f>SUM(AD118:AD126)</f>
        <v>0</v>
      </c>
      <c r="AE117" s="33">
        <f>SUM(AE118:AE126)</f>
        <v>-982</v>
      </c>
      <c r="AF117" s="101">
        <f>SUM(AF118:AF126)</f>
        <v>-1877</v>
      </c>
    </row>
    <row r="118" spans="2:34" ht="13" outlineLevel="1" x14ac:dyDescent="0.3">
      <c r="B118" s="79" t="s">
        <v>150</v>
      </c>
      <c r="C118" s="33">
        <v>278</v>
      </c>
      <c r="D118" s="33">
        <v>278</v>
      </c>
      <c r="E118" s="23">
        <v>0</v>
      </c>
      <c r="F118" s="23">
        <v>0</v>
      </c>
      <c r="G118" s="23">
        <v>0</v>
      </c>
      <c r="H118" s="23">
        <v>0</v>
      </c>
      <c r="I118" s="23">
        <v>0</v>
      </c>
      <c r="J118" s="23">
        <v>0</v>
      </c>
      <c r="K118" s="23">
        <f>SUM(E118:J118)</f>
        <v>0</v>
      </c>
      <c r="L118" s="33">
        <f>N118-D118</f>
        <v>0</v>
      </c>
      <c r="M118" s="33">
        <f>N118-C118</f>
        <v>0</v>
      </c>
      <c r="N118" s="33">
        <v>278</v>
      </c>
      <c r="O118" s="33">
        <v>0</v>
      </c>
      <c r="P118" s="33">
        <v>0</v>
      </c>
      <c r="Q118" s="33">
        <v>0</v>
      </c>
      <c r="R118" s="33">
        <v>278</v>
      </c>
      <c r="S118" s="33">
        <f>Q118-R118</f>
        <v>-278</v>
      </c>
      <c r="T118" s="38">
        <f>IFERROR((Q118/N118)*100%,"∞")</f>
        <v>0</v>
      </c>
      <c r="U118" s="59">
        <f>N118+V118</f>
        <v>278</v>
      </c>
      <c r="V118" s="33">
        <v>0</v>
      </c>
      <c r="W118" s="630">
        <v>0</v>
      </c>
      <c r="X118" s="33"/>
      <c r="Y118" s="33"/>
      <c r="Z118" s="42"/>
      <c r="AA118" s="60"/>
      <c r="AB118" s="105"/>
      <c r="AC118" s="93"/>
      <c r="AD118" s="33">
        <f>SUM(AB118:AC118)</f>
        <v>0</v>
      </c>
      <c r="AE118" s="33">
        <f>Q118+AD118</f>
        <v>0</v>
      </c>
      <c r="AF118" s="101">
        <f>AE118-N118</f>
        <v>-278</v>
      </c>
    </row>
    <row r="119" spans="2:34" ht="13" outlineLevel="1" x14ac:dyDescent="0.3">
      <c r="B119" s="79" t="s">
        <v>151</v>
      </c>
      <c r="C119" s="33">
        <v>-390</v>
      </c>
      <c r="D119" s="33">
        <v>540</v>
      </c>
      <c r="E119" s="23">
        <v>0</v>
      </c>
      <c r="F119" s="23">
        <v>0</v>
      </c>
      <c r="G119" s="23">
        <v>930</v>
      </c>
      <c r="H119" s="23">
        <v>0</v>
      </c>
      <c r="I119" s="23">
        <v>0</v>
      </c>
      <c r="J119" s="23">
        <v>0</v>
      </c>
      <c r="K119" s="23">
        <f t="shared" ref="K119:K125" si="92">SUM(E119:J119)</f>
        <v>930</v>
      </c>
      <c r="L119" s="33">
        <f t="shared" ref="L119:L125" si="93">N119-D119</f>
        <v>0</v>
      </c>
      <c r="M119" s="33">
        <f t="shared" ref="M119:M125" si="94">N119-C119</f>
        <v>930</v>
      </c>
      <c r="N119" s="33">
        <v>540</v>
      </c>
      <c r="O119" s="33">
        <v>1667</v>
      </c>
      <c r="P119" s="33">
        <v>0</v>
      </c>
      <c r="Q119" s="33">
        <v>1667</v>
      </c>
      <c r="R119" s="33">
        <v>540</v>
      </c>
      <c r="S119" s="33">
        <f t="shared" ref="S119:S125" si="95">Q119-R119</f>
        <v>1127</v>
      </c>
      <c r="T119" s="38">
        <f t="shared" ref="T119:T125" si="96">IFERROR((Q119/N119)*100%,"∞")</f>
        <v>3.087037037037037</v>
      </c>
      <c r="U119" s="59">
        <f t="shared" ref="U119:U125" si="97">N119+V119</f>
        <v>540</v>
      </c>
      <c r="V119" s="33">
        <v>0</v>
      </c>
      <c r="W119" s="630">
        <v>0</v>
      </c>
      <c r="X119" s="33"/>
      <c r="Y119" s="33"/>
      <c r="Z119" s="42"/>
      <c r="AA119" s="60"/>
      <c r="AB119" s="105"/>
      <c r="AC119" s="93"/>
      <c r="AD119" s="33">
        <f t="shared" ref="AD119:AD125" si="98">SUM(AB119:AC119)</f>
        <v>0</v>
      </c>
      <c r="AE119" s="33">
        <f t="shared" ref="AE119:AE125" si="99">Q119+AD119</f>
        <v>1667</v>
      </c>
      <c r="AF119" s="101">
        <f t="shared" ref="AF119:AF125" si="100">AE119-N119</f>
        <v>1127</v>
      </c>
      <c r="AH119" t="s">
        <v>218</v>
      </c>
    </row>
    <row r="120" spans="2:34" ht="13" outlineLevel="1" x14ac:dyDescent="0.3">
      <c r="B120" s="79" t="s">
        <v>152</v>
      </c>
      <c r="C120" s="33">
        <v>588</v>
      </c>
      <c r="D120" s="33">
        <v>0</v>
      </c>
      <c r="E120" s="23">
        <v>0</v>
      </c>
      <c r="F120" s="23">
        <v>0</v>
      </c>
      <c r="G120" s="23">
        <v>-588</v>
      </c>
      <c r="H120" s="23">
        <v>0</v>
      </c>
      <c r="I120" s="23">
        <v>0</v>
      </c>
      <c r="J120" s="23">
        <v>0</v>
      </c>
      <c r="K120" s="23">
        <f t="shared" si="92"/>
        <v>-588</v>
      </c>
      <c r="L120" s="33">
        <f t="shared" si="93"/>
        <v>0</v>
      </c>
      <c r="M120" s="33">
        <f t="shared" si="94"/>
        <v>-588</v>
      </c>
      <c r="N120" s="33">
        <v>0</v>
      </c>
      <c r="O120" s="33">
        <v>0</v>
      </c>
      <c r="P120" s="33">
        <v>0</v>
      </c>
      <c r="Q120" s="33">
        <v>0</v>
      </c>
      <c r="R120" s="33">
        <v>0</v>
      </c>
      <c r="S120" s="33">
        <f t="shared" si="95"/>
        <v>0</v>
      </c>
      <c r="T120" s="38" t="str">
        <f t="shared" si="96"/>
        <v>∞</v>
      </c>
      <c r="U120" s="59">
        <f t="shared" si="97"/>
        <v>0</v>
      </c>
      <c r="V120" s="33">
        <v>0</v>
      </c>
      <c r="W120" s="630">
        <v>0</v>
      </c>
      <c r="X120" s="33"/>
      <c r="Y120" s="33"/>
      <c r="Z120" s="42"/>
      <c r="AA120" s="60"/>
      <c r="AB120" s="105"/>
      <c r="AC120" s="93"/>
      <c r="AD120" s="33">
        <f t="shared" si="98"/>
        <v>0</v>
      </c>
      <c r="AE120" s="33">
        <f t="shared" si="99"/>
        <v>0</v>
      </c>
      <c r="AF120" s="101">
        <f t="shared" si="100"/>
        <v>0</v>
      </c>
    </row>
    <row r="121" spans="2:34" ht="13" outlineLevel="1" x14ac:dyDescent="0.3">
      <c r="B121" s="79" t="s">
        <v>153</v>
      </c>
      <c r="C121" s="33">
        <v>1170</v>
      </c>
      <c r="D121" s="33">
        <v>1090</v>
      </c>
      <c r="E121" s="23">
        <v>0</v>
      </c>
      <c r="F121" s="23">
        <v>0</v>
      </c>
      <c r="G121" s="23">
        <v>-80</v>
      </c>
      <c r="H121" s="23">
        <v>0</v>
      </c>
      <c r="I121" s="23">
        <v>0</v>
      </c>
      <c r="J121" s="23">
        <v>0</v>
      </c>
      <c r="K121" s="23">
        <f t="shared" si="92"/>
        <v>-80</v>
      </c>
      <c r="L121" s="33">
        <f t="shared" si="93"/>
        <v>0</v>
      </c>
      <c r="M121" s="33">
        <f t="shared" si="94"/>
        <v>-80</v>
      </c>
      <c r="N121" s="33">
        <v>1090</v>
      </c>
      <c r="O121" s="33">
        <v>0</v>
      </c>
      <c r="P121" s="33">
        <v>0</v>
      </c>
      <c r="Q121" s="33">
        <v>0</v>
      </c>
      <c r="R121" s="33">
        <v>1090</v>
      </c>
      <c r="S121" s="33">
        <f t="shared" si="95"/>
        <v>-1090</v>
      </c>
      <c r="T121" s="38">
        <f t="shared" si="96"/>
        <v>0</v>
      </c>
      <c r="U121" s="59">
        <f t="shared" si="97"/>
        <v>1090</v>
      </c>
      <c r="V121" s="33">
        <v>0</v>
      </c>
      <c r="W121" s="630">
        <v>0</v>
      </c>
      <c r="X121" s="33"/>
      <c r="Y121" s="33"/>
      <c r="Z121" s="42"/>
      <c r="AA121" s="60"/>
      <c r="AB121" s="105"/>
      <c r="AC121" s="93"/>
      <c r="AD121" s="33">
        <f t="shared" si="98"/>
        <v>0</v>
      </c>
      <c r="AE121" s="33">
        <f t="shared" si="99"/>
        <v>0</v>
      </c>
      <c r="AF121" s="101">
        <f t="shared" si="100"/>
        <v>-1090</v>
      </c>
    </row>
    <row r="122" spans="2:34" ht="13" outlineLevel="1" x14ac:dyDescent="0.3">
      <c r="B122" s="79" t="s">
        <v>154</v>
      </c>
      <c r="C122" s="33">
        <v>472</v>
      </c>
      <c r="D122" s="33">
        <v>472</v>
      </c>
      <c r="E122" s="23">
        <v>0</v>
      </c>
      <c r="F122" s="23">
        <v>0</v>
      </c>
      <c r="G122" s="23">
        <v>0</v>
      </c>
      <c r="H122" s="23">
        <v>0</v>
      </c>
      <c r="I122" s="23">
        <v>0</v>
      </c>
      <c r="J122" s="23">
        <v>0</v>
      </c>
      <c r="K122" s="23">
        <f t="shared" si="92"/>
        <v>0</v>
      </c>
      <c r="L122" s="33">
        <f t="shared" si="93"/>
        <v>0</v>
      </c>
      <c r="M122" s="33">
        <f t="shared" si="94"/>
        <v>0</v>
      </c>
      <c r="N122" s="33">
        <v>472</v>
      </c>
      <c r="O122" s="33">
        <v>0</v>
      </c>
      <c r="P122" s="33">
        <v>0</v>
      </c>
      <c r="Q122" s="33">
        <v>0</v>
      </c>
      <c r="R122" s="33">
        <v>472</v>
      </c>
      <c r="S122" s="33">
        <f t="shared" si="95"/>
        <v>-472</v>
      </c>
      <c r="T122" s="38">
        <f t="shared" si="96"/>
        <v>0</v>
      </c>
      <c r="U122" s="59">
        <f t="shared" si="97"/>
        <v>472</v>
      </c>
      <c r="V122" s="33">
        <v>0</v>
      </c>
      <c r="W122" s="630">
        <v>0</v>
      </c>
      <c r="X122" s="33"/>
      <c r="Y122" s="33"/>
      <c r="Z122" s="42"/>
      <c r="AA122" s="60"/>
      <c r="AB122" s="105"/>
      <c r="AC122" s="93"/>
      <c r="AD122" s="33">
        <f t="shared" si="98"/>
        <v>0</v>
      </c>
      <c r="AE122" s="33">
        <f t="shared" si="99"/>
        <v>0</v>
      </c>
      <c r="AF122" s="101">
        <f t="shared" si="100"/>
        <v>-472</v>
      </c>
    </row>
    <row r="123" spans="2:34" ht="13" outlineLevel="1" x14ac:dyDescent="0.3">
      <c r="B123" s="79" t="s">
        <v>219</v>
      </c>
      <c r="C123" s="33">
        <v>-485</v>
      </c>
      <c r="D123" s="33">
        <v>-485</v>
      </c>
      <c r="E123" s="23">
        <v>0</v>
      </c>
      <c r="F123" s="23">
        <v>0</v>
      </c>
      <c r="G123" s="23">
        <v>0</v>
      </c>
      <c r="H123" s="23">
        <v>0</v>
      </c>
      <c r="I123" s="23">
        <v>0</v>
      </c>
      <c r="J123" s="23">
        <v>0</v>
      </c>
      <c r="K123" s="23">
        <f t="shared" si="92"/>
        <v>0</v>
      </c>
      <c r="L123" s="33">
        <f t="shared" si="93"/>
        <v>0</v>
      </c>
      <c r="M123" s="33">
        <f t="shared" si="94"/>
        <v>0</v>
      </c>
      <c r="N123" s="33">
        <v>-485</v>
      </c>
      <c r="O123" s="33">
        <v>-485</v>
      </c>
      <c r="P123" s="33">
        <v>0</v>
      </c>
      <c r="Q123" s="33">
        <v>-485</v>
      </c>
      <c r="R123" s="33">
        <v>-485</v>
      </c>
      <c r="S123" s="33">
        <f t="shared" si="95"/>
        <v>0</v>
      </c>
      <c r="T123" s="38">
        <f t="shared" si="96"/>
        <v>1</v>
      </c>
      <c r="U123" s="59">
        <f t="shared" si="97"/>
        <v>-485</v>
      </c>
      <c r="V123" s="33">
        <v>0</v>
      </c>
      <c r="W123" s="630">
        <v>0</v>
      </c>
      <c r="X123" s="33"/>
      <c r="Y123" s="33"/>
      <c r="Z123" s="42"/>
      <c r="AA123" s="60"/>
      <c r="AB123" s="105"/>
      <c r="AC123" s="93"/>
      <c r="AD123" s="33">
        <f t="shared" si="98"/>
        <v>0</v>
      </c>
      <c r="AE123" s="33">
        <f t="shared" si="99"/>
        <v>-485</v>
      </c>
      <c r="AF123" s="101">
        <f t="shared" si="100"/>
        <v>0</v>
      </c>
    </row>
    <row r="124" spans="2:34" ht="13" outlineLevel="1" x14ac:dyDescent="0.3">
      <c r="B124" s="79" t="s">
        <v>221</v>
      </c>
      <c r="C124" s="33">
        <v>-1000</v>
      </c>
      <c r="D124" s="33">
        <v>-1000</v>
      </c>
      <c r="E124" s="23">
        <v>0</v>
      </c>
      <c r="F124" s="23">
        <v>0</v>
      </c>
      <c r="G124" s="23">
        <v>0</v>
      </c>
      <c r="H124" s="23">
        <v>0</v>
      </c>
      <c r="I124" s="23">
        <v>0</v>
      </c>
      <c r="J124" s="23">
        <v>0</v>
      </c>
      <c r="K124" s="23">
        <f t="shared" si="92"/>
        <v>0</v>
      </c>
      <c r="L124" s="33">
        <f t="shared" si="93"/>
        <v>0</v>
      </c>
      <c r="M124" s="33">
        <f t="shared" si="94"/>
        <v>0</v>
      </c>
      <c r="N124" s="33">
        <v>-1000</v>
      </c>
      <c r="O124" s="33">
        <v>-1104</v>
      </c>
      <c r="P124" s="33">
        <v>0</v>
      </c>
      <c r="Q124" s="33">
        <v>-1104</v>
      </c>
      <c r="R124" s="33">
        <v>-1000</v>
      </c>
      <c r="S124" s="33">
        <f t="shared" si="95"/>
        <v>-104</v>
      </c>
      <c r="T124" s="38">
        <f t="shared" si="96"/>
        <v>1.1040000000000001</v>
      </c>
      <c r="U124" s="59">
        <f t="shared" si="97"/>
        <v>-1000</v>
      </c>
      <c r="V124" s="33">
        <v>0</v>
      </c>
      <c r="W124" s="630">
        <v>0</v>
      </c>
      <c r="X124" s="33"/>
      <c r="Y124" s="33"/>
      <c r="Z124" s="42"/>
      <c r="AA124" s="60"/>
      <c r="AB124" s="105"/>
      <c r="AC124" s="93"/>
      <c r="AD124" s="33">
        <f t="shared" si="98"/>
        <v>0</v>
      </c>
      <c r="AE124" s="33">
        <f t="shared" si="99"/>
        <v>-1104</v>
      </c>
      <c r="AF124" s="101">
        <f t="shared" si="100"/>
        <v>-104</v>
      </c>
    </row>
    <row r="125" spans="2:34" ht="13" outlineLevel="1" x14ac:dyDescent="0.3">
      <c r="B125" s="79" t="s">
        <v>222</v>
      </c>
      <c r="C125" s="33">
        <v>0</v>
      </c>
      <c r="D125" s="33">
        <v>0</v>
      </c>
      <c r="E125" s="23">
        <v>0</v>
      </c>
      <c r="F125" s="23">
        <v>0</v>
      </c>
      <c r="G125" s="23">
        <v>0</v>
      </c>
      <c r="H125" s="23">
        <v>0</v>
      </c>
      <c r="I125" s="23">
        <v>0</v>
      </c>
      <c r="J125" s="23">
        <v>0</v>
      </c>
      <c r="K125" s="23">
        <f t="shared" si="92"/>
        <v>0</v>
      </c>
      <c r="L125" s="33">
        <f t="shared" si="93"/>
        <v>0</v>
      </c>
      <c r="M125" s="33">
        <f t="shared" si="94"/>
        <v>0</v>
      </c>
      <c r="N125" s="33">
        <v>0</v>
      </c>
      <c r="O125" s="33">
        <v>0</v>
      </c>
      <c r="P125" s="33">
        <v>-766</v>
      </c>
      <c r="Q125" s="33">
        <v>-766</v>
      </c>
      <c r="R125" s="33">
        <v>0</v>
      </c>
      <c r="S125" s="33">
        <f t="shared" si="95"/>
        <v>-766</v>
      </c>
      <c r="T125" s="38" t="str">
        <f t="shared" si="96"/>
        <v>∞</v>
      </c>
      <c r="U125" s="59">
        <f t="shared" si="97"/>
        <v>0</v>
      </c>
      <c r="V125" s="33">
        <v>0</v>
      </c>
      <c r="W125" s="630">
        <v>0</v>
      </c>
      <c r="X125" s="33"/>
      <c r="Y125" s="33"/>
      <c r="Z125" s="42"/>
      <c r="AA125" s="60"/>
      <c r="AB125" s="105"/>
      <c r="AC125" s="93"/>
      <c r="AD125" s="33">
        <f t="shared" si="98"/>
        <v>0</v>
      </c>
      <c r="AE125" s="33">
        <f t="shared" si="99"/>
        <v>-766</v>
      </c>
      <c r="AF125" s="101">
        <f t="shared" si="100"/>
        <v>-766</v>
      </c>
      <c r="AH125" t="s">
        <v>223</v>
      </c>
    </row>
    <row r="126" spans="2:34" ht="13" outlineLevel="1" x14ac:dyDescent="0.3">
      <c r="B126" s="79" t="s">
        <v>224</v>
      </c>
      <c r="C126" s="33">
        <v>0</v>
      </c>
      <c r="D126" s="33">
        <v>0</v>
      </c>
      <c r="E126" s="23">
        <v>0</v>
      </c>
      <c r="F126" s="23">
        <v>0</v>
      </c>
      <c r="G126" s="23">
        <v>0</v>
      </c>
      <c r="H126" s="23">
        <v>0</v>
      </c>
      <c r="I126" s="23">
        <v>0</v>
      </c>
      <c r="J126" s="23">
        <v>0</v>
      </c>
      <c r="K126" s="23">
        <f>SUM(E126:J126)</f>
        <v>0</v>
      </c>
      <c r="L126" s="33">
        <f>N126-D126</f>
        <v>0</v>
      </c>
      <c r="M126" s="33">
        <f>N126-C126</f>
        <v>0</v>
      </c>
      <c r="N126" s="33">
        <v>0</v>
      </c>
      <c r="O126" s="33">
        <v>0</v>
      </c>
      <c r="P126" s="33">
        <v>-294</v>
      </c>
      <c r="Q126" s="33">
        <v>-294</v>
      </c>
      <c r="R126" s="33">
        <v>0</v>
      </c>
      <c r="S126" s="33">
        <f>Q126-R126</f>
        <v>-294</v>
      </c>
      <c r="T126" s="38" t="str">
        <f>IFERROR((Q126/N126)*100%,"∞")</f>
        <v>∞</v>
      </c>
      <c r="U126" s="59">
        <f>N126+V126</f>
        <v>0</v>
      </c>
      <c r="V126" s="33">
        <v>0</v>
      </c>
      <c r="W126" s="630">
        <v>0</v>
      </c>
      <c r="X126" s="33"/>
      <c r="Y126" s="33"/>
      <c r="Z126" s="42"/>
      <c r="AA126" s="60"/>
      <c r="AB126" s="105"/>
      <c r="AC126" s="93"/>
      <c r="AD126" s="33">
        <f>SUM(AB126:AC126)</f>
        <v>0</v>
      </c>
      <c r="AE126" s="33">
        <f>Q126+AD126</f>
        <v>-294</v>
      </c>
      <c r="AF126" s="101">
        <f>AE126-N126</f>
        <v>-294</v>
      </c>
      <c r="AH126" t="s">
        <v>225</v>
      </c>
    </row>
    <row r="127" spans="2:34" ht="13.5" thickBot="1" x14ac:dyDescent="0.35">
      <c r="B127" s="80"/>
      <c r="C127" s="81"/>
      <c r="D127" s="81"/>
      <c r="E127" s="82"/>
      <c r="F127" s="82"/>
      <c r="G127" s="82"/>
      <c r="H127" s="82"/>
      <c r="I127" s="82"/>
      <c r="J127" s="82"/>
      <c r="K127" s="82"/>
      <c r="L127" s="81"/>
      <c r="M127" s="81"/>
      <c r="N127" s="81"/>
      <c r="O127" s="81"/>
      <c r="P127" s="81"/>
      <c r="Q127" s="81"/>
      <c r="R127" s="81"/>
      <c r="S127" s="81"/>
      <c r="T127" s="81"/>
      <c r="U127" s="83"/>
      <c r="V127" s="81"/>
      <c r="W127" s="636"/>
      <c r="X127" s="81"/>
      <c r="Y127" s="81"/>
      <c r="Z127" s="84"/>
      <c r="AA127" s="60"/>
      <c r="AB127" s="100"/>
      <c r="AC127" s="33"/>
      <c r="AD127" s="33"/>
      <c r="AE127" s="33"/>
      <c r="AF127" s="101"/>
    </row>
    <row r="128" spans="2:34" ht="13.5" thickBot="1" x14ac:dyDescent="0.35">
      <c r="B128" s="91" t="s">
        <v>155</v>
      </c>
      <c r="C128" s="76">
        <f t="shared" ref="C128:J128" si="101">C104+C117</f>
        <v>1920</v>
      </c>
      <c r="D128" s="76">
        <f t="shared" si="101"/>
        <v>2124</v>
      </c>
      <c r="E128" s="76">
        <f t="shared" si="101"/>
        <v>0</v>
      </c>
      <c r="F128" s="76">
        <f t="shared" si="101"/>
        <v>16</v>
      </c>
      <c r="G128" s="76">
        <f t="shared" si="101"/>
        <v>204</v>
      </c>
      <c r="H128" s="76">
        <f t="shared" si="101"/>
        <v>74</v>
      </c>
      <c r="I128" s="76">
        <f t="shared" si="101"/>
        <v>0</v>
      </c>
      <c r="J128" s="76">
        <f t="shared" si="101"/>
        <v>0</v>
      </c>
      <c r="K128" s="76">
        <f>SUM(E128:J128)</f>
        <v>294</v>
      </c>
      <c r="L128" s="76">
        <f>N128-D128</f>
        <v>74</v>
      </c>
      <c r="M128" s="76">
        <f>N128-C128</f>
        <v>278</v>
      </c>
      <c r="N128" s="76">
        <f>N104+N117</f>
        <v>2198</v>
      </c>
      <c r="O128" s="76">
        <f>O104+O117</f>
        <v>74944</v>
      </c>
      <c r="P128" s="76">
        <f>P104+P117</f>
        <v>-76493</v>
      </c>
      <c r="Q128" s="76">
        <f>Q104+Q117</f>
        <v>-1549</v>
      </c>
      <c r="R128" s="76">
        <f>R104+R117</f>
        <v>2198</v>
      </c>
      <c r="S128" s="76">
        <f>Q128-R128</f>
        <v>-3747</v>
      </c>
      <c r="T128" s="92">
        <f>IFERROR((Q128/N128)*100%,"∞")</f>
        <v>-0.70473157415832577</v>
      </c>
      <c r="U128" s="76">
        <f>N128+V128</f>
        <v>2198</v>
      </c>
      <c r="V128" s="76">
        <f>V104+V117</f>
        <v>0</v>
      </c>
      <c r="W128" s="637">
        <f>W104+W117</f>
        <v>0</v>
      </c>
      <c r="X128" s="76">
        <f>X104+X117</f>
        <v>0</v>
      </c>
      <c r="Y128" s="76">
        <f>Y104+Y117</f>
        <v>0</v>
      </c>
      <c r="Z128" s="76">
        <f>Z104+Z117</f>
        <v>0</v>
      </c>
      <c r="AA128" s="60"/>
      <c r="AB128" s="76">
        <f>AB104+AB117</f>
        <v>0</v>
      </c>
      <c r="AC128" s="76">
        <f>AC104+AC117</f>
        <v>0</v>
      </c>
      <c r="AD128" s="76">
        <f>AD104+AD117</f>
        <v>0</v>
      </c>
      <c r="AE128" s="76">
        <f>AE104+AE117</f>
        <v>-1549</v>
      </c>
      <c r="AF128" s="76">
        <f>AF104+AF117</f>
        <v>-3747</v>
      </c>
    </row>
    <row r="129" spans="2:34" ht="14" thickTop="1" thickBot="1" x14ac:dyDescent="0.35">
      <c r="B129" s="80"/>
      <c r="C129" s="81"/>
      <c r="D129" s="81"/>
      <c r="E129" s="82"/>
      <c r="F129" s="82"/>
      <c r="G129" s="82"/>
      <c r="H129" s="82"/>
      <c r="I129" s="82"/>
      <c r="J129" s="82"/>
      <c r="K129" s="82"/>
      <c r="L129" s="81"/>
      <c r="M129" s="81"/>
      <c r="N129" s="81"/>
      <c r="O129" s="81"/>
      <c r="P129" s="81"/>
      <c r="Q129" s="81"/>
      <c r="R129" s="81"/>
      <c r="S129" s="81"/>
      <c r="T129" s="81"/>
      <c r="U129" s="83"/>
      <c r="V129" s="81"/>
      <c r="W129" s="636"/>
      <c r="X129" s="81"/>
      <c r="Y129" s="81"/>
      <c r="Z129" s="84"/>
      <c r="AA129" s="60"/>
      <c r="AB129" s="100"/>
      <c r="AC129" s="33"/>
      <c r="AD129" s="33"/>
      <c r="AE129" s="33"/>
      <c r="AF129" s="101"/>
    </row>
    <row r="130" spans="2:34" ht="13.5" thickBot="1" x14ac:dyDescent="0.35">
      <c r="B130" s="91" t="s">
        <v>156</v>
      </c>
      <c r="C130" s="76">
        <f t="shared" ref="C130:J130" si="102">C81+C102+C128</f>
        <v>28176</v>
      </c>
      <c r="D130" s="76">
        <f t="shared" si="102"/>
        <v>25734</v>
      </c>
      <c r="E130" s="76">
        <f t="shared" si="102"/>
        <v>-2439</v>
      </c>
      <c r="F130" s="76">
        <f t="shared" si="102"/>
        <v>1903</v>
      </c>
      <c r="G130" s="76">
        <f t="shared" si="102"/>
        <v>3</v>
      </c>
      <c r="H130" s="76">
        <f t="shared" si="102"/>
        <v>33</v>
      </c>
      <c r="I130" s="76">
        <f t="shared" si="102"/>
        <v>0</v>
      </c>
      <c r="J130" s="76">
        <f t="shared" si="102"/>
        <v>0</v>
      </c>
      <c r="K130" s="76">
        <f>SUM(E130:J130)</f>
        <v>-500</v>
      </c>
      <c r="L130" s="76">
        <f>N130-D130</f>
        <v>1905</v>
      </c>
      <c r="M130" s="76">
        <f>N130-C130</f>
        <v>-537</v>
      </c>
      <c r="N130" s="76">
        <f>N81+N102+N128</f>
        <v>27639</v>
      </c>
      <c r="O130" s="76">
        <f>O81+O102+O128</f>
        <v>191213</v>
      </c>
      <c r="P130" s="76">
        <f>P81+P102+P128</f>
        <v>-165588</v>
      </c>
      <c r="Q130" s="76">
        <f>Q81+Q102+Q128</f>
        <v>25626</v>
      </c>
      <c r="R130" s="76">
        <f>R81+R102+R128</f>
        <v>27639</v>
      </c>
      <c r="S130" s="76">
        <f>Q130-R130</f>
        <v>-2013</v>
      </c>
      <c r="T130" s="92">
        <f>IFERROR((Q130/N130)*100%,"∞")</f>
        <v>0.92716813198740911</v>
      </c>
      <c r="U130" s="76">
        <f>N130+V130</f>
        <v>27604</v>
      </c>
      <c r="V130" s="76">
        <f>V81+V102+V128</f>
        <v>-35</v>
      </c>
      <c r="W130" s="637">
        <f>W81+W102+W128</f>
        <v>-35</v>
      </c>
      <c r="X130" s="76">
        <f>X81+X102+X128</f>
        <v>0</v>
      </c>
      <c r="Y130" s="76">
        <f>Y81+Y102+Y128</f>
        <v>0</v>
      </c>
      <c r="Z130" s="76">
        <f>Z81+Z102+Z128</f>
        <v>0</v>
      </c>
      <c r="AA130" s="60"/>
      <c r="AB130" s="76">
        <f>AB81+AB102+AB128</f>
        <v>570</v>
      </c>
      <c r="AC130" s="76">
        <f>AC81+AC102+AC128</f>
        <v>0</v>
      </c>
      <c r="AD130" s="76">
        <f>AD81+AD102+AD128</f>
        <v>570</v>
      </c>
      <c r="AE130" s="76">
        <f>AE81+AE102+AE128</f>
        <v>26196</v>
      </c>
      <c r="AF130" s="76">
        <f>AF81+AF102+AF128</f>
        <v>-1443</v>
      </c>
    </row>
    <row r="131" spans="2:34" ht="13.5" thickTop="1" x14ac:dyDescent="0.3">
      <c r="B131" s="71"/>
      <c r="C131" s="72"/>
      <c r="D131" s="72"/>
      <c r="E131" s="73"/>
      <c r="F131" s="73"/>
      <c r="G131" s="73"/>
      <c r="H131" s="73"/>
      <c r="I131" s="73"/>
      <c r="J131" s="73"/>
      <c r="K131" s="73"/>
      <c r="L131" s="72"/>
      <c r="M131" s="72"/>
      <c r="N131" s="72"/>
      <c r="O131" s="72"/>
      <c r="P131" s="72"/>
      <c r="Q131" s="72"/>
      <c r="R131" s="72"/>
      <c r="S131" s="72"/>
      <c r="T131" s="72"/>
      <c r="U131" s="74"/>
      <c r="V131" s="72"/>
      <c r="W131" s="635"/>
      <c r="X131" s="72"/>
      <c r="Y131" s="72"/>
      <c r="Z131" s="75"/>
      <c r="AA131" s="60"/>
      <c r="AB131" s="100"/>
      <c r="AC131" s="33"/>
      <c r="AD131" s="33"/>
      <c r="AE131" s="33"/>
      <c r="AF131" s="101"/>
    </row>
    <row r="132" spans="2:34" ht="13" x14ac:dyDescent="0.3">
      <c r="B132" s="79" t="s">
        <v>157</v>
      </c>
      <c r="C132" s="33">
        <v>-5063</v>
      </c>
      <c r="D132" s="33">
        <v>-2624</v>
      </c>
      <c r="E132" s="23">
        <v>2439</v>
      </c>
      <c r="F132" s="23">
        <v>-3116</v>
      </c>
      <c r="G132" s="23">
        <v>0</v>
      </c>
      <c r="H132" s="23">
        <v>-1246</v>
      </c>
      <c r="I132" s="23">
        <v>0</v>
      </c>
      <c r="J132" s="23">
        <v>0</v>
      </c>
      <c r="K132" s="23">
        <f>SUM(E132:J132)</f>
        <v>-1923</v>
      </c>
      <c r="L132" s="33">
        <f>N132-D132</f>
        <v>-3116</v>
      </c>
      <c r="M132" s="33">
        <f>N132-C132</f>
        <v>-677</v>
      </c>
      <c r="N132" s="33">
        <v>-5740</v>
      </c>
      <c r="O132" s="33">
        <v>-942</v>
      </c>
      <c r="P132" s="33">
        <v>0</v>
      </c>
      <c r="Q132" s="33">
        <v>-942</v>
      </c>
      <c r="R132" s="33">
        <v>-5740</v>
      </c>
      <c r="S132" s="33">
        <f>Q132-R132</f>
        <v>4798</v>
      </c>
      <c r="T132" s="38">
        <f>IFERROR((Q132/N132)*100%,"∞")</f>
        <v>0.16411149825783972</v>
      </c>
      <c r="U132" s="59">
        <f>N132+V132</f>
        <v>-5740</v>
      </c>
      <c r="V132" s="33">
        <v>0</v>
      </c>
      <c r="W132" s="630">
        <v>0</v>
      </c>
      <c r="X132" s="33"/>
      <c r="Y132" s="33"/>
      <c r="Z132" s="42"/>
      <c r="AA132" s="60"/>
      <c r="AB132" s="105"/>
      <c r="AC132" s="93"/>
      <c r="AD132" s="33">
        <f>SUM(AB132:AC132)</f>
        <v>0</v>
      </c>
      <c r="AE132" s="33">
        <f>Q132+AD132</f>
        <v>-942</v>
      </c>
      <c r="AF132" s="101">
        <f>AE132-N132</f>
        <v>4798</v>
      </c>
      <c r="AH132" t="s">
        <v>227</v>
      </c>
    </row>
    <row r="133" spans="2:34" ht="13.5" thickBot="1" x14ac:dyDescent="0.35">
      <c r="B133" s="80"/>
      <c r="C133" s="81"/>
      <c r="D133" s="81"/>
      <c r="E133" s="82"/>
      <c r="F133" s="82"/>
      <c r="G133" s="82"/>
      <c r="H133" s="82"/>
      <c r="I133" s="82"/>
      <c r="J133" s="82"/>
      <c r="K133" s="82"/>
      <c r="L133" s="81"/>
      <c r="M133" s="81"/>
      <c r="N133" s="81"/>
      <c r="O133" s="81"/>
      <c r="P133" s="81"/>
      <c r="Q133" s="81"/>
      <c r="R133" s="81"/>
      <c r="S133" s="81"/>
      <c r="T133" s="81"/>
      <c r="U133" s="83"/>
      <c r="V133" s="81"/>
      <c r="W133" s="636"/>
      <c r="X133" s="81"/>
      <c r="Y133" s="81"/>
      <c r="Z133" s="84"/>
      <c r="AA133" s="60"/>
      <c r="AB133" s="100"/>
      <c r="AC133" s="33"/>
      <c r="AD133" s="33"/>
      <c r="AE133" s="33"/>
      <c r="AF133" s="101"/>
    </row>
    <row r="134" spans="2:34" ht="13.5" thickBot="1" x14ac:dyDescent="0.35">
      <c r="B134" s="91" t="s">
        <v>158</v>
      </c>
      <c r="C134" s="76">
        <f t="shared" ref="C134:J134" si="103">C130+C132</f>
        <v>23113</v>
      </c>
      <c r="D134" s="76">
        <f t="shared" si="103"/>
        <v>23110</v>
      </c>
      <c r="E134" s="76">
        <f t="shared" si="103"/>
        <v>0</v>
      </c>
      <c r="F134" s="76">
        <f t="shared" si="103"/>
        <v>-1213</v>
      </c>
      <c r="G134" s="76">
        <f t="shared" si="103"/>
        <v>3</v>
      </c>
      <c r="H134" s="76">
        <f t="shared" si="103"/>
        <v>-1213</v>
      </c>
      <c r="I134" s="76">
        <f t="shared" si="103"/>
        <v>0</v>
      </c>
      <c r="J134" s="76">
        <f t="shared" si="103"/>
        <v>0</v>
      </c>
      <c r="K134" s="76">
        <f>SUM(E134:J134)</f>
        <v>-2423</v>
      </c>
      <c r="L134" s="76">
        <f>N134-D134</f>
        <v>-1211</v>
      </c>
      <c r="M134" s="76">
        <f>N134-C134</f>
        <v>-1214</v>
      </c>
      <c r="N134" s="76">
        <f>N130+N132</f>
        <v>21899</v>
      </c>
      <c r="O134" s="76">
        <f>O130+O132</f>
        <v>190271</v>
      </c>
      <c r="P134" s="76">
        <f>P130+P132</f>
        <v>-165588</v>
      </c>
      <c r="Q134" s="76">
        <f>Q130+Q132</f>
        <v>24684</v>
      </c>
      <c r="R134" s="76">
        <f>R130+R132</f>
        <v>21899</v>
      </c>
      <c r="S134" s="76">
        <f>Q134-R134</f>
        <v>2785</v>
      </c>
      <c r="T134" s="92">
        <f>IFERROR((Q134/N134)*100%,"∞")</f>
        <v>1.1271747568382118</v>
      </c>
      <c r="U134" s="76">
        <f>N134+V134</f>
        <v>21864</v>
      </c>
      <c r="V134" s="76">
        <f>V130+V132</f>
        <v>-35</v>
      </c>
      <c r="W134" s="637">
        <f>W130+W132</f>
        <v>-35</v>
      </c>
      <c r="X134" s="76">
        <f>X130+X132</f>
        <v>0</v>
      </c>
      <c r="Y134" s="76">
        <f>Y130+Y132</f>
        <v>0</v>
      </c>
      <c r="Z134" s="76">
        <f>Z130+Z132</f>
        <v>0</v>
      </c>
      <c r="AA134" s="60"/>
      <c r="AB134" s="76">
        <f>AB130+AB132</f>
        <v>570</v>
      </c>
      <c r="AC134" s="76">
        <f>AC130+AC132</f>
        <v>0</v>
      </c>
      <c r="AD134" s="76">
        <f>AD130+AD132</f>
        <v>570</v>
      </c>
      <c r="AE134" s="76">
        <f>AE130+AE132</f>
        <v>25254</v>
      </c>
      <c r="AF134" s="76">
        <f>AF130+AF132</f>
        <v>3355</v>
      </c>
    </row>
    <row r="135" spans="2:34" ht="13.5" thickTop="1" x14ac:dyDescent="0.3">
      <c r="B135" s="71"/>
      <c r="C135" s="72"/>
      <c r="D135" s="72"/>
      <c r="E135" s="73"/>
      <c r="F135" s="73"/>
      <c r="G135" s="73"/>
      <c r="H135" s="73"/>
      <c r="I135" s="73"/>
      <c r="J135" s="73"/>
      <c r="K135" s="73"/>
      <c r="L135" s="72"/>
      <c r="M135" s="72"/>
      <c r="N135" s="72"/>
      <c r="O135" s="72"/>
      <c r="P135" s="72"/>
      <c r="Q135" s="72"/>
      <c r="R135" s="72"/>
      <c r="S135" s="72"/>
      <c r="T135" s="72"/>
      <c r="U135" s="74"/>
      <c r="V135" s="72"/>
      <c r="W135" s="635"/>
      <c r="X135" s="72"/>
      <c r="Y135" s="72"/>
      <c r="Z135" s="75"/>
      <c r="AA135" s="60"/>
      <c r="AB135" s="100"/>
      <c r="AC135" s="33"/>
      <c r="AD135" s="33"/>
      <c r="AE135" s="33"/>
      <c r="AF135" s="101"/>
    </row>
    <row r="136" spans="2:34" ht="13" x14ac:dyDescent="0.3">
      <c r="B136" s="85"/>
      <c r="C136" s="86"/>
      <c r="D136" s="86"/>
      <c r="E136" s="87"/>
      <c r="F136" s="87"/>
      <c r="G136" s="87"/>
      <c r="H136" s="87"/>
      <c r="I136" s="87"/>
      <c r="J136" s="87"/>
      <c r="K136" s="87"/>
      <c r="L136" s="86"/>
      <c r="M136" s="86"/>
      <c r="N136" s="86"/>
      <c r="O136" s="86"/>
      <c r="P136" s="86"/>
      <c r="Q136" s="86"/>
      <c r="R136" s="86"/>
      <c r="S136" s="86"/>
      <c r="T136" s="86"/>
      <c r="U136" s="88"/>
      <c r="V136" s="86"/>
      <c r="W136" s="638"/>
      <c r="X136" s="86"/>
      <c r="Y136" s="86"/>
      <c r="Z136" s="89"/>
      <c r="AA136" s="60"/>
      <c r="AB136" s="100"/>
      <c r="AC136" s="33"/>
      <c r="AD136" s="33"/>
      <c r="AE136" s="33"/>
      <c r="AF136" s="101"/>
    </row>
    <row r="137" spans="2:34" ht="13" x14ac:dyDescent="0.3">
      <c r="B137" s="78" t="s">
        <v>159</v>
      </c>
      <c r="C137" s="33"/>
      <c r="D137" s="33"/>
      <c r="E137" s="23"/>
      <c r="F137" s="23"/>
      <c r="G137" s="23"/>
      <c r="H137" s="23"/>
      <c r="I137" s="23"/>
      <c r="J137" s="23"/>
      <c r="K137" s="23"/>
      <c r="L137" s="33"/>
      <c r="M137" s="33"/>
      <c r="N137" s="33"/>
      <c r="O137" s="33"/>
      <c r="P137" s="33"/>
      <c r="Q137" s="33"/>
      <c r="R137" s="33"/>
      <c r="S137" s="33"/>
      <c r="T137" s="38"/>
      <c r="U137" s="59"/>
      <c r="V137" s="33"/>
      <c r="W137" s="630"/>
      <c r="X137" s="33"/>
      <c r="Y137" s="33"/>
      <c r="Z137" s="42"/>
      <c r="AA137" s="60"/>
      <c r="AB137" s="100"/>
      <c r="AC137" s="33"/>
      <c r="AD137" s="33"/>
      <c r="AE137" s="33"/>
      <c r="AF137" s="101"/>
    </row>
    <row r="138" spans="2:34" ht="13" x14ac:dyDescent="0.3">
      <c r="B138" s="79" t="s">
        <v>160</v>
      </c>
      <c r="C138" s="33">
        <v>0</v>
      </c>
      <c r="D138" s="33">
        <v>0</v>
      </c>
      <c r="E138" s="23">
        <v>0</v>
      </c>
      <c r="F138" s="23">
        <v>-1212</v>
      </c>
      <c r="G138" s="23">
        <v>0</v>
      </c>
      <c r="H138" s="23">
        <v>-1212</v>
      </c>
      <c r="I138" s="23">
        <v>0</v>
      </c>
      <c r="J138" s="23">
        <v>0</v>
      </c>
      <c r="K138" s="23">
        <f t="shared" ref="K138:K139" si="104">SUM(E138:J138)</f>
        <v>-2424</v>
      </c>
      <c r="L138" s="33">
        <f t="shared" ref="L138:L139" si="105">N138-D138</f>
        <v>-1212</v>
      </c>
      <c r="M138" s="33">
        <f t="shared" ref="M138:M139" si="106">N138-C138</f>
        <v>-1212</v>
      </c>
      <c r="N138" s="33">
        <v>-1212</v>
      </c>
      <c r="O138" s="33">
        <v>0</v>
      </c>
      <c r="P138" s="33">
        <v>50</v>
      </c>
      <c r="Q138" s="33">
        <v>50</v>
      </c>
      <c r="R138" s="33">
        <v>-1212</v>
      </c>
      <c r="S138" s="33">
        <f t="shared" ref="S138:S139" si="107">Q138-R138</f>
        <v>1262</v>
      </c>
      <c r="T138" s="38">
        <f t="shared" ref="T138:T139" si="108">IFERROR((Q138/N138)*100%,"∞")</f>
        <v>-4.1254125412541254E-2</v>
      </c>
      <c r="U138" s="59">
        <f t="shared" ref="U138:U139" si="109">N138+V138</f>
        <v>-1212</v>
      </c>
      <c r="V138" s="33">
        <v>0</v>
      </c>
      <c r="W138" s="630">
        <v>0</v>
      </c>
      <c r="X138" s="33"/>
      <c r="Y138" s="33"/>
      <c r="Z138" s="42"/>
      <c r="AA138" s="60"/>
      <c r="AB138" s="105"/>
      <c r="AC138" s="93"/>
      <c r="AD138" s="33">
        <f t="shared" ref="AD138:AD139" si="110">SUM(AB138:AC138)</f>
        <v>0</v>
      </c>
      <c r="AE138" s="33">
        <f t="shared" ref="AE138:AE139" si="111">Q138+AD138</f>
        <v>50</v>
      </c>
      <c r="AF138" s="101">
        <f t="shared" ref="AF138:AF139" si="112">AE138-N138</f>
        <v>1262</v>
      </c>
    </row>
    <row r="139" spans="2:34" ht="13" x14ac:dyDescent="0.3">
      <c r="B139" s="79" t="s">
        <v>161</v>
      </c>
      <c r="C139" s="33">
        <v>14911</v>
      </c>
      <c r="D139" s="33">
        <v>14911</v>
      </c>
      <c r="E139" s="23">
        <v>0</v>
      </c>
      <c r="F139" s="23">
        <v>0</v>
      </c>
      <c r="G139" s="23">
        <v>0</v>
      </c>
      <c r="H139" s="23">
        <v>0</v>
      </c>
      <c r="I139" s="23">
        <v>0</v>
      </c>
      <c r="J139" s="23">
        <v>0</v>
      </c>
      <c r="K139" s="23">
        <f t="shared" si="104"/>
        <v>0</v>
      </c>
      <c r="L139" s="33">
        <f t="shared" si="105"/>
        <v>0</v>
      </c>
      <c r="M139" s="33">
        <f t="shared" si="106"/>
        <v>0</v>
      </c>
      <c r="N139" s="33">
        <v>14911</v>
      </c>
      <c r="O139" s="33">
        <v>0</v>
      </c>
      <c r="P139" s="33">
        <v>14841</v>
      </c>
      <c r="Q139" s="33">
        <v>14841</v>
      </c>
      <c r="R139" s="33">
        <v>14911</v>
      </c>
      <c r="S139" s="33">
        <f t="shared" si="107"/>
        <v>-70</v>
      </c>
      <c r="T139" s="38">
        <f t="shared" si="108"/>
        <v>0.99530547917644696</v>
      </c>
      <c r="U139" s="59">
        <f t="shared" si="109"/>
        <v>14911</v>
      </c>
      <c r="V139" s="33">
        <v>0</v>
      </c>
      <c r="W139" s="630">
        <v>0</v>
      </c>
      <c r="X139" s="33"/>
      <c r="Y139" s="33"/>
      <c r="Z139" s="42"/>
      <c r="AA139" s="60"/>
      <c r="AB139" s="105"/>
      <c r="AC139" s="93"/>
      <c r="AD139" s="33">
        <f t="shared" si="110"/>
        <v>0</v>
      </c>
      <c r="AE139" s="33">
        <f t="shared" si="111"/>
        <v>14841</v>
      </c>
      <c r="AF139" s="101">
        <f t="shared" si="112"/>
        <v>-70</v>
      </c>
    </row>
    <row r="140" spans="2:34" ht="13" x14ac:dyDescent="0.3">
      <c r="B140" s="79" t="s">
        <v>162</v>
      </c>
      <c r="C140" s="33">
        <v>-278</v>
      </c>
      <c r="D140" s="33">
        <v>-278</v>
      </c>
      <c r="E140" s="23">
        <v>0</v>
      </c>
      <c r="F140" s="23">
        <v>0</v>
      </c>
      <c r="G140" s="23">
        <v>0</v>
      </c>
      <c r="H140" s="23">
        <v>0</v>
      </c>
      <c r="I140" s="23">
        <v>0</v>
      </c>
      <c r="J140" s="23">
        <v>0</v>
      </c>
      <c r="K140" s="23">
        <f>SUM(E140:J140)</f>
        <v>0</v>
      </c>
      <c r="L140" s="33">
        <f>N140-D140</f>
        <v>0</v>
      </c>
      <c r="M140" s="33">
        <f>N140-C140</f>
        <v>0</v>
      </c>
      <c r="N140" s="33">
        <v>-278</v>
      </c>
      <c r="O140" s="33">
        <v>-428</v>
      </c>
      <c r="P140" s="33">
        <v>0</v>
      </c>
      <c r="Q140" s="33">
        <v>-428</v>
      </c>
      <c r="R140" s="33">
        <v>-278</v>
      </c>
      <c r="S140" s="33">
        <f>Q140-R140</f>
        <v>-150</v>
      </c>
      <c r="T140" s="38">
        <f>IFERROR((Q140/N140)*100%,"∞")</f>
        <v>1.539568345323741</v>
      </c>
      <c r="U140" s="59">
        <f>N140+V140</f>
        <v>-278</v>
      </c>
      <c r="V140" s="33">
        <v>0</v>
      </c>
      <c r="W140" s="630">
        <v>0</v>
      </c>
      <c r="X140" s="33"/>
      <c r="Y140" s="33"/>
      <c r="Z140" s="42"/>
      <c r="AA140" s="60"/>
      <c r="AB140" s="105"/>
      <c r="AC140" s="93"/>
      <c r="AD140" s="33">
        <f>SUM(AB140:AC140)</f>
        <v>0</v>
      </c>
      <c r="AE140" s="33">
        <f>Q140+AD140</f>
        <v>-428</v>
      </c>
      <c r="AF140" s="101">
        <f>AE140-N140</f>
        <v>-150</v>
      </c>
    </row>
    <row r="141" spans="2:34" ht="13" x14ac:dyDescent="0.3">
      <c r="B141" s="79" t="s">
        <v>163</v>
      </c>
      <c r="C141" s="33">
        <v>8476</v>
      </c>
      <c r="D141" s="33">
        <v>8476</v>
      </c>
      <c r="E141" s="23">
        <v>0</v>
      </c>
      <c r="F141" s="23">
        <v>0</v>
      </c>
      <c r="G141" s="23">
        <v>0</v>
      </c>
      <c r="H141" s="23">
        <v>0</v>
      </c>
      <c r="I141" s="23">
        <v>0</v>
      </c>
      <c r="J141" s="23">
        <v>0</v>
      </c>
      <c r="K141" s="23">
        <f>SUM(E141:J141)</f>
        <v>0</v>
      </c>
      <c r="L141" s="33">
        <f>N141-D141</f>
        <v>0</v>
      </c>
      <c r="M141" s="33">
        <f>N141-C141</f>
        <v>0</v>
      </c>
      <c r="N141" s="33">
        <v>8476</v>
      </c>
      <c r="O141" s="33">
        <v>23895</v>
      </c>
      <c r="P141" s="33">
        <v>-21702</v>
      </c>
      <c r="Q141" s="33">
        <v>2193</v>
      </c>
      <c r="R141" s="33">
        <v>8476</v>
      </c>
      <c r="S141" s="33">
        <f>Q141-R141</f>
        <v>-6283</v>
      </c>
      <c r="T141" s="38">
        <f>IFERROR((Q141/N141)*100%,"∞")</f>
        <v>0.25873053327041057</v>
      </c>
      <c r="U141" s="59">
        <f>N141+V141</f>
        <v>8476</v>
      </c>
      <c r="V141" s="33">
        <v>0</v>
      </c>
      <c r="W141" s="630">
        <v>0</v>
      </c>
      <c r="X141" s="33"/>
      <c r="Y141" s="33"/>
      <c r="Z141" s="42"/>
      <c r="AA141" s="60"/>
      <c r="AB141" s="105"/>
      <c r="AC141" s="93">
        <v>6283</v>
      </c>
      <c r="AD141" s="33">
        <f>SUM(AB141:AC141)</f>
        <v>6283</v>
      </c>
      <c r="AE141" s="33">
        <f>Q141+AD141</f>
        <v>8476</v>
      </c>
      <c r="AF141" s="101">
        <f>AE141-N141</f>
        <v>0</v>
      </c>
    </row>
    <row r="142" spans="2:34" ht="13.5" thickBot="1" x14ac:dyDescent="0.35">
      <c r="B142" s="80"/>
      <c r="C142" s="81"/>
      <c r="D142" s="81"/>
      <c r="E142" s="82"/>
      <c r="F142" s="82"/>
      <c r="G142" s="82"/>
      <c r="H142" s="82"/>
      <c r="I142" s="82"/>
      <c r="J142" s="82"/>
      <c r="K142" s="82"/>
      <c r="L142" s="81"/>
      <c r="M142" s="81"/>
      <c r="N142" s="81"/>
      <c r="O142" s="81"/>
      <c r="P142" s="81"/>
      <c r="Q142" s="81"/>
      <c r="R142" s="81"/>
      <c r="S142" s="81"/>
      <c r="T142" s="81"/>
      <c r="U142" s="83"/>
      <c r="V142" s="81"/>
      <c r="W142" s="636"/>
      <c r="X142" s="81"/>
      <c r="Y142" s="81"/>
      <c r="Z142" s="84"/>
      <c r="AA142" s="60"/>
      <c r="AB142" s="100"/>
      <c r="AC142" s="33"/>
      <c r="AD142" s="33"/>
      <c r="AE142" s="33"/>
      <c r="AF142" s="101"/>
    </row>
    <row r="143" spans="2:34" ht="13.5" thickBot="1" x14ac:dyDescent="0.35">
      <c r="B143" s="91" t="s">
        <v>164</v>
      </c>
      <c r="C143" s="76">
        <f t="shared" ref="C143:J143" si="113">SUM(C138:C141)</f>
        <v>23109</v>
      </c>
      <c r="D143" s="76">
        <f t="shared" si="113"/>
        <v>23109</v>
      </c>
      <c r="E143" s="76">
        <f t="shared" si="113"/>
        <v>0</v>
      </c>
      <c r="F143" s="76">
        <f t="shared" si="113"/>
        <v>-1212</v>
      </c>
      <c r="G143" s="76">
        <f t="shared" si="113"/>
        <v>0</v>
      </c>
      <c r="H143" s="76">
        <f t="shared" si="113"/>
        <v>-1212</v>
      </c>
      <c r="I143" s="76">
        <f t="shared" si="113"/>
        <v>0</v>
      </c>
      <c r="J143" s="76">
        <f t="shared" si="113"/>
        <v>0</v>
      </c>
      <c r="K143" s="76">
        <f>SUM(E143:J143)</f>
        <v>-2424</v>
      </c>
      <c r="L143" s="76">
        <f>N143-D143</f>
        <v>-1212</v>
      </c>
      <c r="M143" s="76">
        <f>N143-C143</f>
        <v>-1212</v>
      </c>
      <c r="N143" s="76">
        <f>SUM(N138:N141)</f>
        <v>21897</v>
      </c>
      <c r="O143" s="76">
        <f>SUM(O138:O141)</f>
        <v>23467</v>
      </c>
      <c r="P143" s="76">
        <f>SUM(P138:P141)</f>
        <v>-6811</v>
      </c>
      <c r="Q143" s="76">
        <f>SUM(Q138:Q141)</f>
        <v>16656</v>
      </c>
      <c r="R143" s="76">
        <f>SUM(R138:R141)</f>
        <v>21897</v>
      </c>
      <c r="S143" s="76">
        <f>Q143-R143</f>
        <v>-5241</v>
      </c>
      <c r="T143" s="92">
        <f>IFERROR((Q143/N143)*100%,"∞")</f>
        <v>0.7606521441293328</v>
      </c>
      <c r="U143" s="76">
        <f>N143+V143</f>
        <v>21897</v>
      </c>
      <c r="V143" s="76">
        <f>SUM(V138:V141)</f>
        <v>0</v>
      </c>
      <c r="W143" s="637">
        <f>SUM(W138:W141)</f>
        <v>0</v>
      </c>
      <c r="X143" s="76">
        <f>SUM(X138:X141)</f>
        <v>0</v>
      </c>
      <c r="Y143" s="76">
        <f>SUM(Y138:Y141)</f>
        <v>0</v>
      </c>
      <c r="Z143" s="76">
        <f>SUM(Z138:Z141)</f>
        <v>0</v>
      </c>
      <c r="AA143" s="60"/>
      <c r="AB143" s="76">
        <f>SUM(AB138:AB141)</f>
        <v>0</v>
      </c>
      <c r="AC143" s="76">
        <f>SUM(AC138:AC141)</f>
        <v>6283</v>
      </c>
      <c r="AD143" s="76">
        <f>SUM(AD138:AD141)</f>
        <v>6283</v>
      </c>
      <c r="AE143" s="76">
        <f>SUM(AE138:AE141)</f>
        <v>22939</v>
      </c>
      <c r="AF143" s="76">
        <f>SUM(AF138:AF141)</f>
        <v>1042</v>
      </c>
    </row>
    <row r="144" spans="2:34" ht="14" thickTop="1" thickBot="1" x14ac:dyDescent="0.35">
      <c r="B144" s="80"/>
      <c r="C144" s="81"/>
      <c r="D144" s="81"/>
      <c r="E144" s="82"/>
      <c r="F144" s="82"/>
      <c r="G144" s="82"/>
      <c r="H144" s="82"/>
      <c r="I144" s="82"/>
      <c r="J144" s="82"/>
      <c r="K144" s="82"/>
      <c r="L144" s="81"/>
      <c r="M144" s="81"/>
      <c r="N144" s="81"/>
      <c r="O144" s="81"/>
      <c r="P144" s="81"/>
      <c r="Q144" s="81"/>
      <c r="R144" s="81"/>
      <c r="S144" s="81"/>
      <c r="T144" s="81"/>
      <c r="U144" s="83"/>
      <c r="V144" s="81"/>
      <c r="W144" s="636"/>
      <c r="X144" s="81"/>
      <c r="Y144" s="81"/>
      <c r="Z144" s="84"/>
      <c r="AA144" s="60"/>
      <c r="AB144" s="100"/>
      <c r="AC144" s="33"/>
      <c r="AD144" s="33"/>
      <c r="AE144" s="33"/>
      <c r="AF144" s="101"/>
    </row>
    <row r="145" spans="2:32" ht="13.5" thickBot="1" x14ac:dyDescent="0.35">
      <c r="B145" s="91" t="s">
        <v>165</v>
      </c>
      <c r="C145" s="76">
        <f t="shared" ref="C145:J145" si="114">C134-C143</f>
        <v>4</v>
      </c>
      <c r="D145" s="76">
        <f t="shared" si="114"/>
        <v>1</v>
      </c>
      <c r="E145" s="76">
        <f t="shared" si="114"/>
        <v>0</v>
      </c>
      <c r="F145" s="76">
        <f t="shared" si="114"/>
        <v>-1</v>
      </c>
      <c r="G145" s="76">
        <f t="shared" si="114"/>
        <v>3</v>
      </c>
      <c r="H145" s="76">
        <f t="shared" si="114"/>
        <v>-1</v>
      </c>
      <c r="I145" s="76">
        <f t="shared" si="114"/>
        <v>0</v>
      </c>
      <c r="J145" s="76">
        <f t="shared" si="114"/>
        <v>0</v>
      </c>
      <c r="K145" s="76">
        <f>SUM(E145:J145)</f>
        <v>1</v>
      </c>
      <c r="L145" s="76">
        <f>N145-D145</f>
        <v>1</v>
      </c>
      <c r="M145" s="76">
        <f>N145-C145</f>
        <v>-2</v>
      </c>
      <c r="N145" s="76">
        <f>N134-N143</f>
        <v>2</v>
      </c>
      <c r="O145" s="76">
        <f>O134-O143</f>
        <v>166804</v>
      </c>
      <c r="P145" s="76">
        <f>P134-P143</f>
        <v>-158777</v>
      </c>
      <c r="Q145" s="76">
        <f>Q134-Q143</f>
        <v>8028</v>
      </c>
      <c r="R145" s="76">
        <f>R134-R143</f>
        <v>2</v>
      </c>
      <c r="S145" s="76">
        <f>Q145-R145</f>
        <v>8026</v>
      </c>
      <c r="T145" s="92">
        <f>IFERROR((Q145/N145)*100%,"∞")</f>
        <v>4014</v>
      </c>
      <c r="U145" s="76">
        <f>N145+V145</f>
        <v>-33</v>
      </c>
      <c r="V145" s="76">
        <f>V134-V143</f>
        <v>-35</v>
      </c>
      <c r="W145" s="637">
        <f>W134-W143</f>
        <v>-35</v>
      </c>
      <c r="X145" s="76">
        <f>X134-X143</f>
        <v>0</v>
      </c>
      <c r="Y145" s="76">
        <f>Y134-Y143</f>
        <v>0</v>
      </c>
      <c r="Z145" s="76">
        <f>Z134-Z143</f>
        <v>0</v>
      </c>
      <c r="AA145" s="60"/>
      <c r="AB145" s="76">
        <f>AB134-AB143</f>
        <v>570</v>
      </c>
      <c r="AC145" s="76">
        <f>AC134-AC143</f>
        <v>-6283</v>
      </c>
      <c r="AD145" s="76">
        <f>AD134-AD143</f>
        <v>-5713</v>
      </c>
      <c r="AE145" s="76">
        <f>AE134-AE143</f>
        <v>2315</v>
      </c>
      <c r="AF145" s="76">
        <f>AF134-AF143</f>
        <v>2313</v>
      </c>
    </row>
    <row r="146" spans="2:32" ht="13" thickTop="1" x14ac:dyDescent="0.25"/>
  </sheetData>
  <dataConsolidate/>
  <pageMargins left="0.23622047244094491" right="0.23622047244094491" top="0.74803149606299213" bottom="0.74803149606299213" header="0.31496062992125984" footer="0.31496062992125984"/>
  <pageSetup paperSize="8" scale="7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379D9667A0DF419C9F4774B1B0E625" ma:contentTypeVersion="13" ma:contentTypeDescription="Create a new document." ma:contentTypeScope="" ma:versionID="2c9d58df7f406c29b7007ccbec47ce6c">
  <xsd:schema xmlns:xsd="http://www.w3.org/2001/XMLSchema" xmlns:xs="http://www.w3.org/2001/XMLSchema" xmlns:p="http://schemas.microsoft.com/office/2006/metadata/properties" xmlns:ns3="3f5f9952-ea91-494a-95ea-713a38e9086b" xmlns:ns4="da1bc37e-9c64-45de-bb1e-5320679afe0f" targetNamespace="http://schemas.microsoft.com/office/2006/metadata/properties" ma:root="true" ma:fieldsID="662aead8d872aea0bf7ce52ee2c7d08e" ns3:_="" ns4:_="">
    <xsd:import namespace="3f5f9952-ea91-494a-95ea-713a38e9086b"/>
    <xsd:import namespace="da1bc37e-9c64-45de-bb1e-5320679afe0f"/>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4:SharedWithUsers" minOccurs="0"/>
                <xsd:element ref="ns4:SharedWithDetails" minOccurs="0"/>
                <xsd:element ref="ns4:SharingHintHash" minOccurs="0"/>
                <xsd:element ref="ns3:MediaServiceSearchProperties" minOccurs="0"/>
                <xsd:element ref="ns3:MediaServiceDateTaken"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f9952-ea91-494a-95ea-713a38e90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1bc37e-9c64-45de-bb1e-5320679afe0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f5f9952-ea91-494a-95ea-713a38e9086b" xsi:nil="true"/>
  </documentManagement>
</p:properties>
</file>

<file path=customXml/itemProps1.xml><?xml version="1.0" encoding="utf-8"?>
<ds:datastoreItem xmlns:ds="http://schemas.openxmlformats.org/officeDocument/2006/customXml" ds:itemID="{1E139968-18F5-4C93-98E3-E63E193C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f9952-ea91-494a-95ea-713a38e9086b"/>
    <ds:schemaRef ds:uri="da1bc37e-9c64-45de-bb1e-5320679afe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E2DBBF-E9F7-4C20-A526-4ACD0D2F56A6}">
  <ds:schemaRefs>
    <ds:schemaRef ds:uri="http://schemas.microsoft.com/sharepoint/v3/contenttype/forms"/>
  </ds:schemaRefs>
</ds:datastoreItem>
</file>

<file path=customXml/itemProps3.xml><?xml version="1.0" encoding="utf-8"?>
<ds:datastoreItem xmlns:ds="http://schemas.openxmlformats.org/officeDocument/2006/customXml" ds:itemID="{9C5268A3-2ABB-4B0C-8C3D-6946416C2154}">
  <ds:schemaRefs>
    <ds:schemaRef ds:uri="http://schemas.microsoft.com/office/2006/metadata/properties"/>
    <ds:schemaRef ds:uri="http://schemas.microsoft.com/office/infopath/2007/PartnerControls"/>
    <ds:schemaRef ds:uri="3f5f9952-ea91-494a-95ea-713a38e90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vt:i4>
      </vt:variant>
    </vt:vector>
  </HeadingPairs>
  <TitlesOfParts>
    <vt:vector size="37" baseType="lpstr">
      <vt:lpstr>Appendix A (updated 24.06)</vt:lpstr>
      <vt:lpstr>Appendix A (Original)</vt:lpstr>
      <vt:lpstr>Comments Feeder</vt:lpstr>
      <vt:lpstr>_control</vt:lpstr>
      <vt:lpstr>Comments</vt:lpstr>
      <vt:lpstr>Virements</vt:lpstr>
      <vt:lpstr>old Comments Feeder</vt:lpstr>
      <vt:lpstr>COVID</vt:lpstr>
      <vt:lpstr>Appendix A 040722</vt:lpstr>
      <vt:lpstr>Appendix A 0407</vt:lpstr>
      <vt:lpstr>Grants</vt:lpstr>
      <vt:lpstr>Car parking</vt:lpstr>
      <vt:lpstr>Appendix A 0607</vt:lpstr>
      <vt:lpstr>Sheet2</vt:lpstr>
      <vt:lpstr>OX-1002860 1002859</vt:lpstr>
      <vt:lpstr>september Appendix A for report</vt:lpstr>
      <vt:lpstr>COVID sept</vt:lpstr>
      <vt:lpstr>_options</vt:lpstr>
      <vt:lpstr>Template</vt:lpstr>
      <vt:lpstr>Appendix EX</vt:lpstr>
      <vt:lpstr>COVID 19</vt:lpstr>
      <vt:lpstr>All transactions</vt:lpstr>
      <vt:lpstr>pivot</vt:lpstr>
      <vt:lpstr>AJ all trans</vt:lpstr>
      <vt:lpstr>planning</vt:lpstr>
      <vt:lpstr>COVID 19 </vt:lpstr>
      <vt:lpstr>COVID 19)</vt:lpstr>
      <vt:lpstr>COVID 19  (2)</vt:lpstr>
      <vt:lpstr>old Appendix A</vt:lpstr>
      <vt:lpstr>Last Appendix A</vt:lpstr>
      <vt:lpstr>Appendix A 240227</vt:lpstr>
      <vt:lpstr>Appendix A 240321</vt:lpstr>
      <vt:lpstr>Appendix A 21.03</vt:lpstr>
      <vt:lpstr>Appendix A 12.04</vt:lpstr>
      <vt:lpstr>Appendix A</vt:lpstr>
      <vt:lpstr>Comments!_GoBack</vt:lpstr>
      <vt:lpstr>_Hlk179983188</vt:lpstr>
    </vt:vector>
  </TitlesOfParts>
  <Manager/>
  <Company>Oxford City County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rtaylor</dc:creator>
  <cp:keywords/>
  <dc:description/>
  <cp:lastModifiedBy>KENNEDY Nigel</cp:lastModifiedBy>
  <cp:revision/>
  <cp:lastPrinted>2024-11-08T11:45:17Z</cp:lastPrinted>
  <dcterms:created xsi:type="dcterms:W3CDTF">2020-02-28T11:08:55Z</dcterms:created>
  <dcterms:modified xsi:type="dcterms:W3CDTF">2024-11-15T15:12:37Z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0x01010054379D9667A0DF419C9F4774B1B0E625</vt:lpwstr>
  </property>
</Properties>
</file>